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 Files\blp\data\"/>
    </mc:Choice>
  </mc:AlternateContent>
  <bookViews>
    <workbookView xWindow="10395" yWindow="-105" windowWidth="14850" windowHeight="12735"/>
  </bookViews>
  <sheets>
    <sheet name="BIData" sheetId="2" r:id="rId1"/>
    <sheet name="ReferenceData" sheetId="3" r:id="rId2"/>
    <sheet name="Help-Reference" sheetId="4" r:id="rId3"/>
  </sheets>
  <calcPr calcId="162913"/>
</workbook>
</file>

<file path=xl/calcChain.xml><?xml version="1.0" encoding="utf-8"?>
<calcChain xmlns="http://schemas.openxmlformats.org/spreadsheetml/2006/main">
  <c r="DU1021" i="3" l="1"/>
  <c r="DT1021" i="3"/>
  <c r="DS1021" i="3"/>
  <c r="DR1021" i="3"/>
  <c r="DQ1021" i="3"/>
  <c r="DP1021" i="3"/>
  <c r="DO1021" i="3"/>
  <c r="DN1021" i="3"/>
  <c r="DM1021" i="3"/>
  <c r="DL1021" i="3"/>
  <c r="DK1021" i="3"/>
  <c r="DJ1021" i="3"/>
  <c r="DI1021" i="3"/>
  <c r="DH1021" i="3"/>
  <c r="DG1021" i="3"/>
  <c r="DF1021" i="3"/>
  <c r="DE1021" i="3"/>
  <c r="DD1021" i="3"/>
  <c r="DC1021" i="3"/>
  <c r="DB1021" i="3"/>
  <c r="DA1021" i="3"/>
  <c r="CZ1021" i="3"/>
  <c r="CY1021" i="3"/>
  <c r="CX1021" i="3"/>
  <c r="CW1021" i="3"/>
  <c r="CV1021" i="3"/>
  <c r="CU1021" i="3"/>
  <c r="CT1021" i="3"/>
  <c r="CS1021" i="3"/>
  <c r="CR1021" i="3"/>
  <c r="CQ1021" i="3"/>
  <c r="CP1021" i="3"/>
  <c r="CO1021" i="3"/>
  <c r="CN1021" i="3"/>
  <c r="CM1021" i="3"/>
  <c r="CL1021" i="3"/>
  <c r="CK1021" i="3"/>
  <c r="CJ1021" i="3"/>
  <c r="CI1021" i="3"/>
  <c r="CH1021" i="3"/>
  <c r="CG1021" i="3"/>
  <c r="CF1021" i="3"/>
  <c r="CE1021" i="3"/>
  <c r="CD1021" i="3"/>
  <c r="CC1021" i="3"/>
  <c r="CB1021" i="3"/>
  <c r="CA1021" i="3"/>
  <c r="BZ1021" i="3"/>
  <c r="BY1021" i="3"/>
  <c r="BX1021" i="3"/>
  <c r="BW1021" i="3"/>
  <c r="BV1021" i="3"/>
  <c r="BU1021" i="3"/>
  <c r="BT1021" i="3"/>
  <c r="BS1021" i="3"/>
  <c r="BR1021" i="3"/>
  <c r="BQ1021" i="3"/>
  <c r="BP1021" i="3"/>
  <c r="BO1021" i="3"/>
  <c r="BN1021" i="3"/>
  <c r="E1021" i="3"/>
  <c r="D1021" i="3"/>
  <c r="C1021" i="3"/>
  <c r="B1021" i="3"/>
  <c r="A1021" i="3"/>
  <c r="DU1020" i="3"/>
  <c r="DT1020" i="3"/>
  <c r="DS1020" i="3"/>
  <c r="DR1020" i="3"/>
  <c r="DQ1020" i="3"/>
  <c r="DP1020" i="3"/>
  <c r="DO1020" i="3"/>
  <c r="DN1020" i="3"/>
  <c r="DM1020" i="3"/>
  <c r="DL1020" i="3"/>
  <c r="DK1020" i="3"/>
  <c r="DJ1020" i="3"/>
  <c r="DI1020" i="3"/>
  <c r="DH1020" i="3"/>
  <c r="DG1020" i="3"/>
  <c r="DF1020" i="3"/>
  <c r="DE1020" i="3"/>
  <c r="DD1020" i="3"/>
  <c r="DC1020" i="3"/>
  <c r="DB1020" i="3"/>
  <c r="DA1020" i="3"/>
  <c r="CZ1020" i="3"/>
  <c r="CY1020" i="3"/>
  <c r="CX1020" i="3"/>
  <c r="CW1020" i="3"/>
  <c r="CV1020" i="3"/>
  <c r="CU1020" i="3"/>
  <c r="CT1020" i="3"/>
  <c r="CS1020" i="3"/>
  <c r="CR1020" i="3"/>
  <c r="CQ1020" i="3"/>
  <c r="CP1020" i="3"/>
  <c r="CO1020" i="3"/>
  <c r="CN1020" i="3"/>
  <c r="CM1020" i="3"/>
  <c r="CL1020" i="3"/>
  <c r="CK1020" i="3"/>
  <c r="CJ1020" i="3"/>
  <c r="CI1020" i="3"/>
  <c r="CH1020" i="3"/>
  <c r="CG1020" i="3"/>
  <c r="CF1020" i="3"/>
  <c r="CE1020" i="3"/>
  <c r="CD1020" i="3"/>
  <c r="CC1020" i="3"/>
  <c r="CB1020" i="3"/>
  <c r="CA1020" i="3"/>
  <c r="BZ1020" i="3"/>
  <c r="BY1020" i="3"/>
  <c r="BX1020" i="3"/>
  <c r="BW1020" i="3"/>
  <c r="BV1020" i="3"/>
  <c r="BU1020" i="3"/>
  <c r="BT1020" i="3"/>
  <c r="BS1020" i="3"/>
  <c r="BR1020" i="3"/>
  <c r="BQ1020" i="3"/>
  <c r="BP1020" i="3"/>
  <c r="BO1020" i="3"/>
  <c r="BN1020" i="3"/>
  <c r="A1020" i="3"/>
  <c r="DU1019" i="3"/>
  <c r="DT1019" i="3"/>
  <c r="DS1019" i="3"/>
  <c r="DR1019" i="3"/>
  <c r="DQ1019" i="3"/>
  <c r="DP1019" i="3"/>
  <c r="DO1019" i="3"/>
  <c r="DN1019" i="3"/>
  <c r="DM1019" i="3"/>
  <c r="DL1019" i="3"/>
  <c r="DK1019" i="3"/>
  <c r="DJ1019" i="3"/>
  <c r="DI1019" i="3"/>
  <c r="DH1019" i="3"/>
  <c r="DG1019" i="3"/>
  <c r="DF1019" i="3"/>
  <c r="DE1019" i="3"/>
  <c r="DD1019" i="3"/>
  <c r="DC1019" i="3"/>
  <c r="DB1019" i="3"/>
  <c r="DA1019" i="3"/>
  <c r="CZ1019" i="3"/>
  <c r="CY1019" i="3"/>
  <c r="CX1019" i="3"/>
  <c r="CW1019" i="3"/>
  <c r="CV1019" i="3"/>
  <c r="CU1019" i="3"/>
  <c r="CT1019" i="3"/>
  <c r="CS1019" i="3"/>
  <c r="CR1019" i="3"/>
  <c r="CQ1019" i="3"/>
  <c r="CP1019" i="3"/>
  <c r="CO1019" i="3"/>
  <c r="CN1019" i="3"/>
  <c r="CM1019" i="3"/>
  <c r="CL1019" i="3"/>
  <c r="CK1019" i="3"/>
  <c r="CJ1019" i="3"/>
  <c r="CI1019" i="3"/>
  <c r="CH1019" i="3"/>
  <c r="CG1019" i="3"/>
  <c r="CF1019" i="3"/>
  <c r="CE1019" i="3"/>
  <c r="CD1019" i="3"/>
  <c r="CC1019" i="3"/>
  <c r="CB1019" i="3"/>
  <c r="CA1019" i="3"/>
  <c r="BZ1019" i="3"/>
  <c r="BY1019" i="3"/>
  <c r="BX1019" i="3"/>
  <c r="BW1019" i="3"/>
  <c r="BV1019" i="3"/>
  <c r="BU1019" i="3"/>
  <c r="BT1019" i="3"/>
  <c r="BS1019" i="3"/>
  <c r="BR1019" i="3"/>
  <c r="BQ1019" i="3"/>
  <c r="BP1019" i="3"/>
  <c r="BO1019" i="3"/>
  <c r="BN1019" i="3"/>
  <c r="A1019" i="3"/>
  <c r="DU1018" i="3"/>
  <c r="DT1018" i="3"/>
  <c r="DS1018" i="3"/>
  <c r="DR1018" i="3"/>
  <c r="DQ1018" i="3"/>
  <c r="DP1018" i="3"/>
  <c r="DO1018" i="3"/>
  <c r="DN1018" i="3"/>
  <c r="DM1018" i="3"/>
  <c r="DL1018" i="3"/>
  <c r="DK1018" i="3"/>
  <c r="DJ1018" i="3"/>
  <c r="DI1018" i="3"/>
  <c r="DH1018" i="3"/>
  <c r="DG1018" i="3"/>
  <c r="DF1018" i="3"/>
  <c r="DE1018" i="3"/>
  <c r="DD1018" i="3"/>
  <c r="DC1018" i="3"/>
  <c r="DB1018" i="3"/>
  <c r="DA1018" i="3"/>
  <c r="CZ1018" i="3"/>
  <c r="CY1018" i="3"/>
  <c r="CX1018" i="3"/>
  <c r="CW1018" i="3"/>
  <c r="CV1018" i="3"/>
  <c r="CU1018" i="3"/>
  <c r="CT1018" i="3"/>
  <c r="CS1018" i="3"/>
  <c r="CR1018" i="3"/>
  <c r="CQ1018" i="3"/>
  <c r="CP1018" i="3"/>
  <c r="CO1018" i="3"/>
  <c r="CN1018" i="3"/>
  <c r="CM1018" i="3"/>
  <c r="CL1018" i="3"/>
  <c r="CK1018" i="3"/>
  <c r="CJ1018" i="3"/>
  <c r="CI1018" i="3"/>
  <c r="CH1018" i="3"/>
  <c r="CG1018" i="3"/>
  <c r="CF1018" i="3"/>
  <c r="CE1018" i="3"/>
  <c r="CD1018" i="3"/>
  <c r="CC1018" i="3"/>
  <c r="CB1018" i="3"/>
  <c r="CA1018" i="3"/>
  <c r="BZ1018" i="3"/>
  <c r="BY1018" i="3"/>
  <c r="BX1018" i="3"/>
  <c r="BW1018" i="3"/>
  <c r="BV1018" i="3"/>
  <c r="BU1018" i="3"/>
  <c r="BT1018" i="3"/>
  <c r="BS1018" i="3"/>
  <c r="BR1018" i="3"/>
  <c r="BQ1018" i="3"/>
  <c r="BP1018" i="3"/>
  <c r="BO1018" i="3"/>
  <c r="BN1018" i="3"/>
  <c r="A1018" i="3"/>
  <c r="DU1017" i="3"/>
  <c r="DT1017" i="3"/>
  <c r="DS1017" i="3"/>
  <c r="DR1017" i="3"/>
  <c r="DQ1017" i="3"/>
  <c r="DP1017" i="3"/>
  <c r="DO1017" i="3"/>
  <c r="DN1017" i="3"/>
  <c r="DM1017" i="3"/>
  <c r="DL1017" i="3"/>
  <c r="DK1017" i="3"/>
  <c r="DJ1017" i="3"/>
  <c r="DI1017" i="3"/>
  <c r="DH1017" i="3"/>
  <c r="DG1017" i="3"/>
  <c r="DF1017" i="3"/>
  <c r="DE1017" i="3"/>
  <c r="DD1017" i="3"/>
  <c r="DC1017" i="3"/>
  <c r="DB1017" i="3"/>
  <c r="DA1017" i="3"/>
  <c r="CZ1017" i="3"/>
  <c r="CY1017" i="3"/>
  <c r="CX1017" i="3"/>
  <c r="CW1017" i="3"/>
  <c r="CV1017" i="3"/>
  <c r="CU1017" i="3"/>
  <c r="CT1017" i="3"/>
  <c r="CS1017" i="3"/>
  <c r="CR1017" i="3"/>
  <c r="CQ1017" i="3"/>
  <c r="CP1017" i="3"/>
  <c r="CO1017" i="3"/>
  <c r="CN1017" i="3"/>
  <c r="CM1017" i="3"/>
  <c r="CL1017" i="3"/>
  <c r="CK1017" i="3"/>
  <c r="CJ1017" i="3"/>
  <c r="CI1017" i="3"/>
  <c r="CH1017" i="3"/>
  <c r="CG1017" i="3"/>
  <c r="CF1017" i="3"/>
  <c r="CE1017" i="3"/>
  <c r="CD1017" i="3"/>
  <c r="CC1017" i="3"/>
  <c r="CB1017" i="3"/>
  <c r="CA1017" i="3"/>
  <c r="BZ1017" i="3"/>
  <c r="BY1017" i="3"/>
  <c r="BX1017" i="3"/>
  <c r="BW1017" i="3"/>
  <c r="BV1017" i="3"/>
  <c r="BU1017" i="3"/>
  <c r="BT1017" i="3"/>
  <c r="BS1017" i="3"/>
  <c r="BR1017" i="3"/>
  <c r="BQ1017" i="3"/>
  <c r="BP1017" i="3"/>
  <c r="BO1017" i="3"/>
  <c r="BN1017" i="3"/>
  <c r="A1017" i="3"/>
  <c r="DU1016" i="3"/>
  <c r="DT1016" i="3"/>
  <c r="DS1016" i="3"/>
  <c r="DR1016" i="3"/>
  <c r="DQ1016" i="3"/>
  <c r="DP1016" i="3"/>
  <c r="DO1016" i="3"/>
  <c r="DN1016" i="3"/>
  <c r="DM1016" i="3"/>
  <c r="DL1016" i="3"/>
  <c r="DK1016" i="3"/>
  <c r="DJ1016" i="3"/>
  <c r="DI1016" i="3"/>
  <c r="DH1016" i="3"/>
  <c r="DG1016" i="3"/>
  <c r="DF1016" i="3"/>
  <c r="DE1016" i="3"/>
  <c r="DD1016" i="3"/>
  <c r="DC1016" i="3"/>
  <c r="DB1016" i="3"/>
  <c r="DA1016" i="3"/>
  <c r="CZ1016" i="3"/>
  <c r="CY1016" i="3"/>
  <c r="CX1016" i="3"/>
  <c r="CW1016" i="3"/>
  <c r="CV1016" i="3"/>
  <c r="CU1016" i="3"/>
  <c r="CT1016" i="3"/>
  <c r="CS1016" i="3"/>
  <c r="CR1016" i="3"/>
  <c r="CQ1016" i="3"/>
  <c r="CP1016" i="3"/>
  <c r="CO1016" i="3"/>
  <c r="CN1016" i="3"/>
  <c r="CM1016" i="3"/>
  <c r="CL1016" i="3"/>
  <c r="CK1016" i="3"/>
  <c r="CJ1016" i="3"/>
  <c r="CI1016" i="3"/>
  <c r="CH1016" i="3"/>
  <c r="CG1016" i="3"/>
  <c r="CF1016" i="3"/>
  <c r="CE1016" i="3"/>
  <c r="CD1016" i="3"/>
  <c r="CC1016" i="3"/>
  <c r="CB1016" i="3"/>
  <c r="CA1016" i="3"/>
  <c r="BZ1016" i="3"/>
  <c r="BY1016" i="3"/>
  <c r="BX1016" i="3"/>
  <c r="BW1016" i="3"/>
  <c r="BV1016" i="3"/>
  <c r="BU1016" i="3"/>
  <c r="BT1016" i="3"/>
  <c r="BS1016" i="3"/>
  <c r="BR1016" i="3"/>
  <c r="BQ1016" i="3"/>
  <c r="BP1016" i="3"/>
  <c r="BO1016" i="3"/>
  <c r="BN1016" i="3"/>
  <c r="A1016" i="3"/>
  <c r="DU1015" i="3"/>
  <c r="DT1015" i="3"/>
  <c r="DS1015" i="3"/>
  <c r="DR1015" i="3"/>
  <c r="DQ1015" i="3"/>
  <c r="DP1015" i="3"/>
  <c r="DO1015" i="3"/>
  <c r="DN1015" i="3"/>
  <c r="DM1015" i="3"/>
  <c r="DL1015" i="3"/>
  <c r="DK1015" i="3"/>
  <c r="DJ1015" i="3"/>
  <c r="DI1015" i="3"/>
  <c r="DH1015" i="3"/>
  <c r="DG1015" i="3"/>
  <c r="DF1015" i="3"/>
  <c r="DE1015" i="3"/>
  <c r="DD1015" i="3"/>
  <c r="DC1015" i="3"/>
  <c r="DB1015" i="3"/>
  <c r="DA1015" i="3"/>
  <c r="CZ1015" i="3"/>
  <c r="CY1015" i="3"/>
  <c r="CX1015" i="3"/>
  <c r="CW1015" i="3"/>
  <c r="CV1015" i="3"/>
  <c r="CU1015" i="3"/>
  <c r="CT1015" i="3"/>
  <c r="CS1015" i="3"/>
  <c r="CR1015" i="3"/>
  <c r="CQ1015" i="3"/>
  <c r="CP1015" i="3"/>
  <c r="CO1015" i="3"/>
  <c r="CN1015" i="3"/>
  <c r="CM1015" i="3"/>
  <c r="CL1015" i="3"/>
  <c r="CK1015" i="3"/>
  <c r="CJ1015" i="3"/>
  <c r="CI1015" i="3"/>
  <c r="CH1015" i="3"/>
  <c r="CG1015" i="3"/>
  <c r="CF1015" i="3"/>
  <c r="CE1015" i="3"/>
  <c r="CD1015" i="3"/>
  <c r="CC1015" i="3"/>
  <c r="CB1015" i="3"/>
  <c r="CA1015" i="3"/>
  <c r="BZ1015" i="3"/>
  <c r="BY1015" i="3"/>
  <c r="BX1015" i="3"/>
  <c r="BW1015" i="3"/>
  <c r="BV1015" i="3"/>
  <c r="BU1015" i="3"/>
  <c r="BT1015" i="3"/>
  <c r="BS1015" i="3"/>
  <c r="BR1015" i="3"/>
  <c r="BQ1015" i="3"/>
  <c r="BP1015" i="3"/>
  <c r="BO1015" i="3"/>
  <c r="BN1015" i="3"/>
  <c r="A1015" i="3"/>
  <c r="DU1014" i="3"/>
  <c r="DT1014" i="3"/>
  <c r="DS1014" i="3"/>
  <c r="DR1014" i="3"/>
  <c r="DQ1014" i="3"/>
  <c r="DP1014" i="3"/>
  <c r="DO1014" i="3"/>
  <c r="DN1014" i="3"/>
  <c r="DM1014" i="3"/>
  <c r="DL1014" i="3"/>
  <c r="DK1014" i="3"/>
  <c r="DJ1014" i="3"/>
  <c r="DI1014" i="3"/>
  <c r="DH1014" i="3"/>
  <c r="DG1014" i="3"/>
  <c r="DF1014" i="3"/>
  <c r="DE1014" i="3"/>
  <c r="DD1014" i="3"/>
  <c r="DC1014" i="3"/>
  <c r="DB1014" i="3"/>
  <c r="DA1014" i="3"/>
  <c r="CZ1014" i="3"/>
  <c r="CY1014" i="3"/>
  <c r="CX1014" i="3"/>
  <c r="CW1014" i="3"/>
  <c r="CV1014" i="3"/>
  <c r="CU1014" i="3"/>
  <c r="CT1014" i="3"/>
  <c r="CS1014" i="3"/>
  <c r="CR1014" i="3"/>
  <c r="CQ1014" i="3"/>
  <c r="CP1014" i="3"/>
  <c r="CO1014" i="3"/>
  <c r="CN1014" i="3"/>
  <c r="CM1014" i="3"/>
  <c r="CL1014" i="3"/>
  <c r="CK1014" i="3"/>
  <c r="CJ1014" i="3"/>
  <c r="CI1014" i="3"/>
  <c r="CH1014" i="3"/>
  <c r="CG1014" i="3"/>
  <c r="CF1014" i="3"/>
  <c r="CE1014" i="3"/>
  <c r="CD1014" i="3"/>
  <c r="CC1014" i="3"/>
  <c r="CB1014" i="3"/>
  <c r="CA1014" i="3"/>
  <c r="BZ1014" i="3"/>
  <c r="BY1014" i="3"/>
  <c r="BX1014" i="3"/>
  <c r="BW1014" i="3"/>
  <c r="BV1014" i="3"/>
  <c r="BU1014" i="3"/>
  <c r="BT1014" i="3"/>
  <c r="BS1014" i="3"/>
  <c r="BR1014" i="3"/>
  <c r="BQ1014" i="3"/>
  <c r="BP1014" i="3"/>
  <c r="BO1014" i="3"/>
  <c r="BN1014" i="3"/>
  <c r="A1014" i="3"/>
  <c r="DU1013" i="3"/>
  <c r="DT1013" i="3"/>
  <c r="DS1013" i="3"/>
  <c r="DR1013" i="3"/>
  <c r="DQ1013" i="3"/>
  <c r="DP1013" i="3"/>
  <c r="DO1013" i="3"/>
  <c r="DN1013" i="3"/>
  <c r="DM1013" i="3"/>
  <c r="DL1013" i="3"/>
  <c r="DK1013" i="3"/>
  <c r="DJ1013" i="3"/>
  <c r="DI1013" i="3"/>
  <c r="DH1013" i="3"/>
  <c r="DG1013" i="3"/>
  <c r="DF1013" i="3"/>
  <c r="DE1013" i="3"/>
  <c r="DD1013" i="3"/>
  <c r="DC1013" i="3"/>
  <c r="DB1013" i="3"/>
  <c r="DA1013" i="3"/>
  <c r="CZ1013" i="3"/>
  <c r="CY1013" i="3"/>
  <c r="CX1013" i="3"/>
  <c r="CW1013" i="3"/>
  <c r="CV1013" i="3"/>
  <c r="CU1013" i="3"/>
  <c r="CT1013" i="3"/>
  <c r="CS1013" i="3"/>
  <c r="CR1013" i="3"/>
  <c r="CQ1013" i="3"/>
  <c r="CP1013" i="3"/>
  <c r="CO1013" i="3"/>
  <c r="CN1013" i="3"/>
  <c r="CM1013" i="3"/>
  <c r="CL1013" i="3"/>
  <c r="CK1013" i="3"/>
  <c r="CJ1013" i="3"/>
  <c r="CI1013" i="3"/>
  <c r="CH1013" i="3"/>
  <c r="CG1013" i="3"/>
  <c r="CF1013" i="3"/>
  <c r="CE1013" i="3"/>
  <c r="CD1013" i="3"/>
  <c r="CC1013" i="3"/>
  <c r="CB1013" i="3"/>
  <c r="CA1013" i="3"/>
  <c r="BZ1013" i="3"/>
  <c r="BY1013" i="3"/>
  <c r="BX1013" i="3"/>
  <c r="BW1013" i="3"/>
  <c r="BV1013" i="3"/>
  <c r="BU1013" i="3"/>
  <c r="BT1013" i="3"/>
  <c r="BS1013" i="3"/>
  <c r="BR1013" i="3"/>
  <c r="BQ1013" i="3"/>
  <c r="BP1013" i="3"/>
  <c r="BO1013" i="3"/>
  <c r="BN1013" i="3"/>
  <c r="A1013" i="3"/>
  <c r="DU1012" i="3"/>
  <c r="DT1012" i="3"/>
  <c r="DS1012" i="3"/>
  <c r="DR1012" i="3"/>
  <c r="DQ1012" i="3"/>
  <c r="DP1012" i="3"/>
  <c r="DO1012" i="3"/>
  <c r="DN1012" i="3"/>
  <c r="DM1012" i="3"/>
  <c r="DL1012" i="3"/>
  <c r="DK1012" i="3"/>
  <c r="DJ1012" i="3"/>
  <c r="DI1012" i="3"/>
  <c r="DH1012" i="3"/>
  <c r="DG1012" i="3"/>
  <c r="DF1012" i="3"/>
  <c r="DE1012" i="3"/>
  <c r="DD1012" i="3"/>
  <c r="DC1012" i="3"/>
  <c r="DB1012" i="3"/>
  <c r="DA1012" i="3"/>
  <c r="CZ1012" i="3"/>
  <c r="CY1012" i="3"/>
  <c r="CX1012" i="3"/>
  <c r="CW1012" i="3"/>
  <c r="CV1012" i="3"/>
  <c r="CU1012" i="3"/>
  <c r="CT1012" i="3"/>
  <c r="CS1012" i="3"/>
  <c r="CR1012" i="3"/>
  <c r="CQ1012" i="3"/>
  <c r="CP1012" i="3"/>
  <c r="CO1012" i="3"/>
  <c r="CN1012" i="3"/>
  <c r="CM1012" i="3"/>
  <c r="CL1012" i="3"/>
  <c r="CK1012" i="3"/>
  <c r="CJ1012" i="3"/>
  <c r="CI1012" i="3"/>
  <c r="CH1012" i="3"/>
  <c r="CG1012" i="3"/>
  <c r="CF1012" i="3"/>
  <c r="CE1012" i="3"/>
  <c r="CD1012" i="3"/>
  <c r="CC1012" i="3"/>
  <c r="CB1012" i="3"/>
  <c r="CA1012" i="3"/>
  <c r="BZ1012" i="3"/>
  <c r="BY1012" i="3"/>
  <c r="BX1012" i="3"/>
  <c r="BW1012" i="3"/>
  <c r="BV1012" i="3"/>
  <c r="BU1012" i="3"/>
  <c r="BT1012" i="3"/>
  <c r="BS1012" i="3"/>
  <c r="BR1012" i="3"/>
  <c r="BQ1012" i="3"/>
  <c r="BP1012" i="3"/>
  <c r="BO1012" i="3"/>
  <c r="BN1012" i="3"/>
  <c r="A1012" i="3"/>
  <c r="DU1011" i="3"/>
  <c r="DT1011" i="3"/>
  <c r="DS1011" i="3"/>
  <c r="DR1011" i="3"/>
  <c r="DQ1011" i="3"/>
  <c r="DP1011" i="3"/>
  <c r="DO1011" i="3"/>
  <c r="DN1011" i="3"/>
  <c r="DM1011" i="3"/>
  <c r="DL1011" i="3"/>
  <c r="DK1011" i="3"/>
  <c r="DJ1011" i="3"/>
  <c r="DI1011" i="3"/>
  <c r="DH1011" i="3"/>
  <c r="DG1011" i="3"/>
  <c r="DF1011" i="3"/>
  <c r="DE1011" i="3"/>
  <c r="DD1011" i="3"/>
  <c r="DC1011" i="3"/>
  <c r="DB1011" i="3"/>
  <c r="DA1011" i="3"/>
  <c r="CZ1011" i="3"/>
  <c r="CY1011" i="3"/>
  <c r="CX1011" i="3"/>
  <c r="CW1011" i="3"/>
  <c r="CV1011" i="3"/>
  <c r="CU1011" i="3"/>
  <c r="CT1011" i="3"/>
  <c r="CS1011" i="3"/>
  <c r="CR1011" i="3"/>
  <c r="CQ1011" i="3"/>
  <c r="CP1011" i="3"/>
  <c r="CO1011" i="3"/>
  <c r="CN1011" i="3"/>
  <c r="CM1011" i="3"/>
  <c r="CL1011" i="3"/>
  <c r="CK1011" i="3"/>
  <c r="CJ1011" i="3"/>
  <c r="CI1011" i="3"/>
  <c r="CH1011" i="3"/>
  <c r="CG1011" i="3"/>
  <c r="CF1011" i="3"/>
  <c r="CE1011" i="3"/>
  <c r="CD1011" i="3"/>
  <c r="CC1011" i="3"/>
  <c r="CB1011" i="3"/>
  <c r="CA1011" i="3"/>
  <c r="BZ1011" i="3"/>
  <c r="BY1011" i="3"/>
  <c r="BX1011" i="3"/>
  <c r="BW1011" i="3"/>
  <c r="BV1011" i="3"/>
  <c r="BU1011" i="3"/>
  <c r="BT1011" i="3"/>
  <c r="BS1011" i="3"/>
  <c r="BR1011" i="3"/>
  <c r="BQ1011" i="3"/>
  <c r="BP1011" i="3"/>
  <c r="BO1011" i="3"/>
  <c r="BN1011" i="3"/>
  <c r="A1011" i="3"/>
  <c r="DU1010" i="3"/>
  <c r="DT1010" i="3"/>
  <c r="DS1010" i="3"/>
  <c r="DR1010" i="3"/>
  <c r="DQ1010" i="3"/>
  <c r="DP1010" i="3"/>
  <c r="DO1010" i="3"/>
  <c r="DN1010" i="3"/>
  <c r="DM1010" i="3"/>
  <c r="DL1010" i="3"/>
  <c r="DK1010" i="3"/>
  <c r="DJ1010" i="3"/>
  <c r="DI1010" i="3"/>
  <c r="DH1010" i="3"/>
  <c r="DG1010" i="3"/>
  <c r="DF1010" i="3"/>
  <c r="DE1010" i="3"/>
  <c r="DD1010" i="3"/>
  <c r="DC1010" i="3"/>
  <c r="DB1010" i="3"/>
  <c r="DA1010" i="3"/>
  <c r="CZ1010" i="3"/>
  <c r="CY1010" i="3"/>
  <c r="CX1010" i="3"/>
  <c r="CW1010" i="3"/>
  <c r="CV1010" i="3"/>
  <c r="CU1010" i="3"/>
  <c r="CT1010" i="3"/>
  <c r="CS1010" i="3"/>
  <c r="CR1010" i="3"/>
  <c r="CQ1010" i="3"/>
  <c r="CP1010" i="3"/>
  <c r="CO1010" i="3"/>
  <c r="CN1010" i="3"/>
  <c r="CM1010" i="3"/>
  <c r="CL1010" i="3"/>
  <c r="CK1010" i="3"/>
  <c r="CJ1010" i="3"/>
  <c r="CI1010" i="3"/>
  <c r="CH1010" i="3"/>
  <c r="CG1010" i="3"/>
  <c r="CF1010" i="3"/>
  <c r="CE1010" i="3"/>
  <c r="CD1010" i="3"/>
  <c r="CC1010" i="3"/>
  <c r="CB1010" i="3"/>
  <c r="CA1010" i="3"/>
  <c r="BZ1010" i="3"/>
  <c r="BY1010" i="3"/>
  <c r="BX1010" i="3"/>
  <c r="BW1010" i="3"/>
  <c r="BV1010" i="3"/>
  <c r="BU1010" i="3"/>
  <c r="BT1010" i="3"/>
  <c r="BS1010" i="3"/>
  <c r="BR1010" i="3"/>
  <c r="BQ1010" i="3"/>
  <c r="BP1010" i="3"/>
  <c r="BO1010" i="3"/>
  <c r="BN1010" i="3"/>
  <c r="A1010" i="3"/>
  <c r="DU1009" i="3"/>
  <c r="DT1009" i="3"/>
  <c r="DS1009" i="3"/>
  <c r="DR1009" i="3"/>
  <c r="DQ1009" i="3"/>
  <c r="DP1009" i="3"/>
  <c r="DO1009" i="3"/>
  <c r="DN1009" i="3"/>
  <c r="DM1009" i="3"/>
  <c r="DL1009" i="3"/>
  <c r="DK1009" i="3"/>
  <c r="DJ1009" i="3"/>
  <c r="DI1009" i="3"/>
  <c r="DH1009" i="3"/>
  <c r="DG1009" i="3"/>
  <c r="DF1009" i="3"/>
  <c r="DE1009" i="3"/>
  <c r="DD1009" i="3"/>
  <c r="DC1009" i="3"/>
  <c r="DB1009" i="3"/>
  <c r="DA1009" i="3"/>
  <c r="CZ1009" i="3"/>
  <c r="CY1009" i="3"/>
  <c r="CX1009" i="3"/>
  <c r="CW1009" i="3"/>
  <c r="CV1009" i="3"/>
  <c r="CU1009" i="3"/>
  <c r="CT1009" i="3"/>
  <c r="CS1009" i="3"/>
  <c r="CR1009" i="3"/>
  <c r="CQ1009" i="3"/>
  <c r="CP1009" i="3"/>
  <c r="CO1009" i="3"/>
  <c r="CN1009" i="3"/>
  <c r="CM1009" i="3"/>
  <c r="CL1009" i="3"/>
  <c r="CK1009" i="3"/>
  <c r="CJ1009" i="3"/>
  <c r="CI1009" i="3"/>
  <c r="CH1009" i="3"/>
  <c r="CG1009" i="3"/>
  <c r="CF1009" i="3"/>
  <c r="CE1009" i="3"/>
  <c r="CD1009" i="3"/>
  <c r="CC1009" i="3"/>
  <c r="CB1009" i="3"/>
  <c r="CA1009" i="3"/>
  <c r="BZ1009" i="3"/>
  <c r="BY1009" i="3"/>
  <c r="BX1009" i="3"/>
  <c r="BW1009" i="3"/>
  <c r="BV1009" i="3"/>
  <c r="BU1009" i="3"/>
  <c r="BT1009" i="3"/>
  <c r="BS1009" i="3"/>
  <c r="BR1009" i="3"/>
  <c r="BQ1009" i="3"/>
  <c r="BP1009" i="3"/>
  <c r="BO1009" i="3"/>
  <c r="BN1009" i="3"/>
  <c r="A1009" i="3"/>
  <c r="DU1008" i="3"/>
  <c r="DT1008" i="3"/>
  <c r="DS1008" i="3"/>
  <c r="DR1008" i="3"/>
  <c r="DQ1008" i="3"/>
  <c r="DP1008" i="3"/>
  <c r="DO1008" i="3"/>
  <c r="DN1008" i="3"/>
  <c r="DM1008" i="3"/>
  <c r="DL1008" i="3"/>
  <c r="DK1008" i="3"/>
  <c r="DJ1008" i="3"/>
  <c r="DI1008" i="3"/>
  <c r="DH1008" i="3"/>
  <c r="DG1008" i="3"/>
  <c r="DF1008" i="3"/>
  <c r="DE1008" i="3"/>
  <c r="DD1008" i="3"/>
  <c r="DC1008" i="3"/>
  <c r="DB1008" i="3"/>
  <c r="DA1008" i="3"/>
  <c r="CZ1008" i="3"/>
  <c r="CY1008" i="3"/>
  <c r="CX1008" i="3"/>
  <c r="CW1008" i="3"/>
  <c r="CV1008" i="3"/>
  <c r="CU1008" i="3"/>
  <c r="CT1008" i="3"/>
  <c r="CS1008" i="3"/>
  <c r="CR1008" i="3"/>
  <c r="CQ1008" i="3"/>
  <c r="CP1008" i="3"/>
  <c r="CO1008" i="3"/>
  <c r="CN1008" i="3"/>
  <c r="CM1008" i="3"/>
  <c r="CL1008" i="3"/>
  <c r="CK1008" i="3"/>
  <c r="CJ1008" i="3"/>
  <c r="CI1008" i="3"/>
  <c r="CH1008" i="3"/>
  <c r="CG1008" i="3"/>
  <c r="CF1008" i="3"/>
  <c r="CE1008" i="3"/>
  <c r="CD1008" i="3"/>
  <c r="CC1008" i="3"/>
  <c r="CB1008" i="3"/>
  <c r="CA1008" i="3"/>
  <c r="BZ1008" i="3"/>
  <c r="BY1008" i="3"/>
  <c r="BX1008" i="3"/>
  <c r="BW1008" i="3"/>
  <c r="BV1008" i="3"/>
  <c r="BU1008" i="3"/>
  <c r="BT1008" i="3"/>
  <c r="BS1008" i="3"/>
  <c r="BR1008" i="3"/>
  <c r="BQ1008" i="3"/>
  <c r="BP1008" i="3"/>
  <c r="BO1008" i="3"/>
  <c r="BN1008" i="3"/>
  <c r="A1008" i="3"/>
  <c r="DU1007" i="3"/>
  <c r="DT1007" i="3"/>
  <c r="DS1007" i="3"/>
  <c r="DR1007" i="3"/>
  <c r="DQ1007" i="3"/>
  <c r="DP1007" i="3"/>
  <c r="DO1007" i="3"/>
  <c r="DN1007" i="3"/>
  <c r="DM1007" i="3"/>
  <c r="DL1007" i="3"/>
  <c r="DK1007" i="3"/>
  <c r="DJ1007" i="3"/>
  <c r="DI1007" i="3"/>
  <c r="DH1007" i="3"/>
  <c r="DG1007" i="3"/>
  <c r="DF1007" i="3"/>
  <c r="DE1007" i="3"/>
  <c r="DD1007" i="3"/>
  <c r="DC1007" i="3"/>
  <c r="DB1007" i="3"/>
  <c r="DA1007" i="3"/>
  <c r="CZ1007" i="3"/>
  <c r="CY1007" i="3"/>
  <c r="CX1007" i="3"/>
  <c r="CW1007" i="3"/>
  <c r="CV1007" i="3"/>
  <c r="CU1007" i="3"/>
  <c r="CT1007" i="3"/>
  <c r="CS1007" i="3"/>
  <c r="CR1007" i="3"/>
  <c r="CQ1007" i="3"/>
  <c r="CP1007" i="3"/>
  <c r="CO1007" i="3"/>
  <c r="CN1007" i="3"/>
  <c r="CM1007" i="3"/>
  <c r="CL1007" i="3"/>
  <c r="CK1007" i="3"/>
  <c r="CJ1007" i="3"/>
  <c r="CI1007" i="3"/>
  <c r="CH1007" i="3"/>
  <c r="CG1007" i="3"/>
  <c r="CF1007" i="3"/>
  <c r="CE1007" i="3"/>
  <c r="CD1007" i="3"/>
  <c r="CC1007" i="3"/>
  <c r="CB1007" i="3"/>
  <c r="CA1007" i="3"/>
  <c r="BZ1007" i="3"/>
  <c r="BY1007" i="3"/>
  <c r="BX1007" i="3"/>
  <c r="BW1007" i="3"/>
  <c r="BV1007" i="3"/>
  <c r="BU1007" i="3"/>
  <c r="BT1007" i="3"/>
  <c r="BS1007" i="3"/>
  <c r="BR1007" i="3"/>
  <c r="BQ1007" i="3"/>
  <c r="BP1007" i="3"/>
  <c r="BO1007" i="3"/>
  <c r="BN1007" i="3"/>
  <c r="A1007" i="3"/>
  <c r="DU1006" i="3"/>
  <c r="DT1006" i="3"/>
  <c r="DS1006" i="3"/>
  <c r="DR1006" i="3"/>
  <c r="DQ1006" i="3"/>
  <c r="DP1006" i="3"/>
  <c r="DO1006" i="3"/>
  <c r="DN1006" i="3"/>
  <c r="DM1006" i="3"/>
  <c r="DL1006" i="3"/>
  <c r="DK1006" i="3"/>
  <c r="DJ1006" i="3"/>
  <c r="DI1006" i="3"/>
  <c r="DH1006" i="3"/>
  <c r="DG1006" i="3"/>
  <c r="DF1006" i="3"/>
  <c r="DE1006" i="3"/>
  <c r="DD1006" i="3"/>
  <c r="DC1006" i="3"/>
  <c r="DB1006" i="3"/>
  <c r="DA1006" i="3"/>
  <c r="CZ1006" i="3"/>
  <c r="CY1006" i="3"/>
  <c r="CX1006" i="3"/>
  <c r="CW1006" i="3"/>
  <c r="CV1006" i="3"/>
  <c r="CU1006" i="3"/>
  <c r="CT1006" i="3"/>
  <c r="CS1006" i="3"/>
  <c r="CR1006" i="3"/>
  <c r="CQ1006" i="3"/>
  <c r="CP1006" i="3"/>
  <c r="CO1006" i="3"/>
  <c r="CN1006" i="3"/>
  <c r="CM1006" i="3"/>
  <c r="CL1006" i="3"/>
  <c r="CK1006" i="3"/>
  <c r="CJ1006" i="3"/>
  <c r="CI1006" i="3"/>
  <c r="CH1006" i="3"/>
  <c r="CG1006" i="3"/>
  <c r="CF1006" i="3"/>
  <c r="CE1006" i="3"/>
  <c r="CD1006" i="3"/>
  <c r="CC1006" i="3"/>
  <c r="CB1006" i="3"/>
  <c r="CA1006" i="3"/>
  <c r="BZ1006" i="3"/>
  <c r="BY1006" i="3"/>
  <c r="BX1006" i="3"/>
  <c r="BW1006" i="3"/>
  <c r="BV1006" i="3"/>
  <c r="BU1006" i="3"/>
  <c r="BT1006" i="3"/>
  <c r="BS1006" i="3"/>
  <c r="BR1006" i="3"/>
  <c r="BQ1006" i="3"/>
  <c r="BP1006" i="3"/>
  <c r="BO1006" i="3"/>
  <c r="BN1006" i="3"/>
  <c r="A1006" i="3"/>
  <c r="DU1005" i="3"/>
  <c r="DT1005" i="3"/>
  <c r="DS1005" i="3"/>
  <c r="DR1005" i="3"/>
  <c r="DQ1005" i="3"/>
  <c r="DP1005" i="3"/>
  <c r="DO1005" i="3"/>
  <c r="DN1005" i="3"/>
  <c r="DM1005" i="3"/>
  <c r="DL1005" i="3"/>
  <c r="DK1005" i="3"/>
  <c r="DJ1005" i="3"/>
  <c r="DI1005" i="3"/>
  <c r="DH1005" i="3"/>
  <c r="DG1005" i="3"/>
  <c r="DF1005" i="3"/>
  <c r="DE1005" i="3"/>
  <c r="DD1005" i="3"/>
  <c r="DC1005" i="3"/>
  <c r="DB1005" i="3"/>
  <c r="DA1005" i="3"/>
  <c r="CZ1005" i="3"/>
  <c r="CY1005" i="3"/>
  <c r="CX1005" i="3"/>
  <c r="CW1005" i="3"/>
  <c r="CV1005" i="3"/>
  <c r="CU1005" i="3"/>
  <c r="CT1005" i="3"/>
  <c r="CS1005" i="3"/>
  <c r="CR1005" i="3"/>
  <c r="CQ1005" i="3"/>
  <c r="CP1005" i="3"/>
  <c r="CO1005" i="3"/>
  <c r="CN1005" i="3"/>
  <c r="CM1005" i="3"/>
  <c r="CL1005" i="3"/>
  <c r="CK1005" i="3"/>
  <c r="CJ1005" i="3"/>
  <c r="CI1005" i="3"/>
  <c r="CH1005" i="3"/>
  <c r="CG1005" i="3"/>
  <c r="CF1005" i="3"/>
  <c r="CE1005" i="3"/>
  <c r="CD1005" i="3"/>
  <c r="CC1005" i="3"/>
  <c r="CB1005" i="3"/>
  <c r="CA1005" i="3"/>
  <c r="BZ1005" i="3"/>
  <c r="BY1005" i="3"/>
  <c r="BX1005" i="3"/>
  <c r="BW1005" i="3"/>
  <c r="BV1005" i="3"/>
  <c r="BU1005" i="3"/>
  <c r="BT1005" i="3"/>
  <c r="BS1005" i="3"/>
  <c r="BR1005" i="3"/>
  <c r="BQ1005" i="3"/>
  <c r="BP1005" i="3"/>
  <c r="BO1005" i="3"/>
  <c r="BN1005" i="3"/>
  <c r="A1005" i="3"/>
  <c r="DU1004" i="3"/>
  <c r="DT1004" i="3"/>
  <c r="DS1004" i="3"/>
  <c r="DR1004" i="3"/>
  <c r="DQ1004" i="3"/>
  <c r="DP1004" i="3"/>
  <c r="DO1004" i="3"/>
  <c r="DN1004" i="3"/>
  <c r="DM1004" i="3"/>
  <c r="DL1004" i="3"/>
  <c r="DK1004" i="3"/>
  <c r="DJ1004" i="3"/>
  <c r="DI1004" i="3"/>
  <c r="DH1004" i="3"/>
  <c r="DG1004" i="3"/>
  <c r="DF1004" i="3"/>
  <c r="DE1004" i="3"/>
  <c r="DD1004" i="3"/>
  <c r="DC1004" i="3"/>
  <c r="DB1004" i="3"/>
  <c r="DA1004" i="3"/>
  <c r="CZ1004" i="3"/>
  <c r="CY1004" i="3"/>
  <c r="CX1004" i="3"/>
  <c r="CW1004" i="3"/>
  <c r="CV1004" i="3"/>
  <c r="CU1004" i="3"/>
  <c r="CT1004" i="3"/>
  <c r="CS1004" i="3"/>
  <c r="CR1004" i="3"/>
  <c r="CQ1004" i="3"/>
  <c r="CP1004" i="3"/>
  <c r="CO1004" i="3"/>
  <c r="CN1004" i="3"/>
  <c r="CM1004" i="3"/>
  <c r="CL1004" i="3"/>
  <c r="CK1004" i="3"/>
  <c r="CJ1004" i="3"/>
  <c r="CI1004" i="3"/>
  <c r="CH1004" i="3"/>
  <c r="CG1004" i="3"/>
  <c r="CF1004" i="3"/>
  <c r="CE1004" i="3"/>
  <c r="CD1004" i="3"/>
  <c r="CC1004" i="3"/>
  <c r="CB1004" i="3"/>
  <c r="CA1004" i="3"/>
  <c r="BZ1004" i="3"/>
  <c r="BY1004" i="3"/>
  <c r="BX1004" i="3"/>
  <c r="BW1004" i="3"/>
  <c r="BV1004" i="3"/>
  <c r="BU1004" i="3"/>
  <c r="BT1004" i="3"/>
  <c r="BS1004" i="3"/>
  <c r="BR1004" i="3"/>
  <c r="BQ1004" i="3"/>
  <c r="BP1004" i="3"/>
  <c r="BO1004" i="3"/>
  <c r="BN1004" i="3"/>
  <c r="BJ1004" i="3"/>
  <c r="BI1004" i="3"/>
  <c r="BH1004" i="3"/>
  <c r="BG1004" i="3"/>
  <c r="BF1004" i="3"/>
  <c r="BE1004" i="3"/>
  <c r="BD1004" i="3"/>
  <c r="BC1004" i="3"/>
  <c r="BB1004" i="3"/>
  <c r="BA1004" i="3"/>
  <c r="AZ1004" i="3"/>
  <c r="AY1004" i="3"/>
  <c r="AX1004" i="3"/>
  <c r="AW1004" i="3"/>
  <c r="AV1004" i="3"/>
  <c r="AU1004" i="3"/>
  <c r="AT1004" i="3"/>
  <c r="AS1004" i="3"/>
  <c r="AR1004" i="3"/>
  <c r="AQ1004" i="3"/>
  <c r="AP1004" i="3"/>
  <c r="AO1004" i="3"/>
  <c r="AN1004" i="3"/>
  <c r="AM1004" i="3"/>
  <c r="AL1004" i="3"/>
  <c r="AK1004" i="3"/>
  <c r="AJ1004" i="3"/>
  <c r="AI1004" i="3"/>
  <c r="AH1004" i="3"/>
  <c r="AG1004" i="3"/>
  <c r="AF1004" i="3"/>
  <c r="AE1004" i="3"/>
  <c r="AD1004" i="3"/>
  <c r="AC1004" i="3"/>
  <c r="AB1004" i="3"/>
  <c r="AA1004" i="3"/>
  <c r="Z1004" i="3"/>
  <c r="Y1004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DU1003" i="3"/>
  <c r="DT1003" i="3"/>
  <c r="DS1003" i="3"/>
  <c r="DR1003" i="3"/>
  <c r="DQ1003" i="3"/>
  <c r="DP1003" i="3"/>
  <c r="DO1003" i="3"/>
  <c r="DN1003" i="3"/>
  <c r="DM1003" i="3"/>
  <c r="DL1003" i="3"/>
  <c r="DK1003" i="3"/>
  <c r="DJ1003" i="3"/>
  <c r="DI1003" i="3"/>
  <c r="DH1003" i="3"/>
  <c r="DG1003" i="3"/>
  <c r="DF1003" i="3"/>
  <c r="DE1003" i="3"/>
  <c r="DD1003" i="3"/>
  <c r="DC1003" i="3"/>
  <c r="DB1003" i="3"/>
  <c r="DA1003" i="3"/>
  <c r="CZ1003" i="3"/>
  <c r="CY1003" i="3"/>
  <c r="CX1003" i="3"/>
  <c r="CW1003" i="3"/>
  <c r="CV1003" i="3"/>
  <c r="CU1003" i="3"/>
  <c r="CT1003" i="3"/>
  <c r="CS1003" i="3"/>
  <c r="CR1003" i="3"/>
  <c r="CQ1003" i="3"/>
  <c r="CP1003" i="3"/>
  <c r="CO1003" i="3"/>
  <c r="CN1003" i="3"/>
  <c r="CM1003" i="3"/>
  <c r="CL1003" i="3"/>
  <c r="CK1003" i="3"/>
  <c r="CJ1003" i="3"/>
  <c r="CI1003" i="3"/>
  <c r="CH1003" i="3"/>
  <c r="CG1003" i="3"/>
  <c r="CF1003" i="3"/>
  <c r="CE1003" i="3"/>
  <c r="CD1003" i="3"/>
  <c r="CC1003" i="3"/>
  <c r="CB1003" i="3"/>
  <c r="CA1003" i="3"/>
  <c r="BZ1003" i="3"/>
  <c r="BY1003" i="3"/>
  <c r="BX1003" i="3"/>
  <c r="BW1003" i="3"/>
  <c r="BV1003" i="3"/>
  <c r="BU1003" i="3"/>
  <c r="BT1003" i="3"/>
  <c r="BS1003" i="3"/>
  <c r="BR1003" i="3"/>
  <c r="BQ1003" i="3"/>
  <c r="BP1003" i="3"/>
  <c r="BO1003" i="3"/>
  <c r="BN1003" i="3"/>
  <c r="E1003" i="3"/>
  <c r="D1003" i="3"/>
  <c r="C1003" i="3"/>
  <c r="B1003" i="3"/>
  <c r="A1003" i="3"/>
  <c r="DU1002" i="3"/>
  <c r="DT1002" i="3"/>
  <c r="DS1002" i="3"/>
  <c r="DR1002" i="3"/>
  <c r="DQ1002" i="3"/>
  <c r="DP1002" i="3"/>
  <c r="DO1002" i="3"/>
  <c r="DN1002" i="3"/>
  <c r="DM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1002" i="3"/>
  <c r="BX1002" i="3"/>
  <c r="BW1002" i="3"/>
  <c r="BV1002" i="3"/>
  <c r="BU1002" i="3"/>
  <c r="BT1002" i="3"/>
  <c r="BS1002" i="3"/>
  <c r="BR1002" i="3"/>
  <c r="BQ1002" i="3"/>
  <c r="BP1002" i="3"/>
  <c r="BO1002" i="3"/>
  <c r="BN1002" i="3"/>
  <c r="E1002" i="3"/>
  <c r="D1002" i="3"/>
  <c r="C1002" i="3"/>
  <c r="B1002" i="3"/>
  <c r="A1002" i="3"/>
  <c r="DU1001" i="3"/>
  <c r="DT1001" i="3"/>
  <c r="DS1001" i="3"/>
  <c r="DR1001" i="3"/>
  <c r="DQ1001" i="3"/>
  <c r="DP1001" i="3"/>
  <c r="DO1001" i="3"/>
  <c r="DN1001" i="3"/>
  <c r="DM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U1001" i="3"/>
  <c r="BT1001" i="3"/>
  <c r="BS1001" i="3"/>
  <c r="BR1001" i="3"/>
  <c r="BQ1001" i="3"/>
  <c r="BP1001" i="3"/>
  <c r="BO1001" i="3"/>
  <c r="BN1001" i="3"/>
  <c r="E1001" i="3"/>
  <c r="D1001" i="3"/>
  <c r="C1001" i="3"/>
  <c r="A1001" i="3"/>
  <c r="DU1000" i="3"/>
  <c r="DT1000" i="3"/>
  <c r="DS1000" i="3"/>
  <c r="DR1000" i="3"/>
  <c r="DQ1000" i="3"/>
  <c r="DP1000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U1000" i="3"/>
  <c r="BT1000" i="3"/>
  <c r="BS1000" i="3"/>
  <c r="BR1000" i="3"/>
  <c r="BQ1000" i="3"/>
  <c r="BP1000" i="3"/>
  <c r="BO1000" i="3"/>
  <c r="BN1000" i="3"/>
  <c r="E1000" i="3"/>
  <c r="D1000" i="3"/>
  <c r="C1000" i="3"/>
  <c r="B1000" i="3"/>
  <c r="A1000" i="3"/>
  <c r="DU999" i="3"/>
  <c r="DT999" i="3"/>
  <c r="DS999" i="3"/>
  <c r="DR999" i="3"/>
  <c r="DQ999" i="3"/>
  <c r="DP999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BU999" i="3"/>
  <c r="BT999" i="3"/>
  <c r="BS999" i="3"/>
  <c r="BR999" i="3"/>
  <c r="BQ999" i="3"/>
  <c r="BP999" i="3"/>
  <c r="BO999" i="3"/>
  <c r="BN999" i="3"/>
  <c r="A999" i="3"/>
  <c r="DU998" i="3"/>
  <c r="DT998" i="3"/>
  <c r="DS998" i="3"/>
  <c r="DR998" i="3"/>
  <c r="DQ998" i="3"/>
  <c r="DP998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BY998" i="3"/>
  <c r="BX998" i="3"/>
  <c r="BW998" i="3"/>
  <c r="BV998" i="3"/>
  <c r="BU998" i="3"/>
  <c r="BT998" i="3"/>
  <c r="BS998" i="3"/>
  <c r="BR998" i="3"/>
  <c r="BQ998" i="3"/>
  <c r="BP998" i="3"/>
  <c r="BO998" i="3"/>
  <c r="BN998" i="3"/>
  <c r="E998" i="3"/>
  <c r="D998" i="3"/>
  <c r="C998" i="3"/>
  <c r="B998" i="3"/>
  <c r="A998" i="3"/>
  <c r="DU997" i="3"/>
  <c r="DT997" i="3"/>
  <c r="DS997" i="3"/>
  <c r="DR997" i="3"/>
  <c r="DQ997" i="3"/>
  <c r="DP997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BY997" i="3"/>
  <c r="BX997" i="3"/>
  <c r="BW997" i="3"/>
  <c r="BV997" i="3"/>
  <c r="BU997" i="3"/>
  <c r="BT997" i="3"/>
  <c r="BS997" i="3"/>
  <c r="BR997" i="3"/>
  <c r="BQ997" i="3"/>
  <c r="BP997" i="3"/>
  <c r="BO997" i="3"/>
  <c r="BN997" i="3"/>
  <c r="E997" i="3"/>
  <c r="D997" i="3"/>
  <c r="C997" i="3"/>
  <c r="B997" i="3"/>
  <c r="A997" i="3"/>
  <c r="DU996" i="3"/>
  <c r="DT996" i="3"/>
  <c r="DS996" i="3"/>
  <c r="DR996" i="3"/>
  <c r="DQ996" i="3"/>
  <c r="DP996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BY996" i="3"/>
  <c r="BX996" i="3"/>
  <c r="BW996" i="3"/>
  <c r="BV996" i="3"/>
  <c r="BU996" i="3"/>
  <c r="BT996" i="3"/>
  <c r="BS996" i="3"/>
  <c r="BR996" i="3"/>
  <c r="BQ996" i="3"/>
  <c r="BP996" i="3"/>
  <c r="BO996" i="3"/>
  <c r="BN996" i="3"/>
  <c r="E996" i="3"/>
  <c r="D996" i="3"/>
  <c r="C996" i="3"/>
  <c r="B996" i="3"/>
  <c r="A996" i="3"/>
  <c r="DU995" i="3"/>
  <c r="DT995" i="3"/>
  <c r="DS995" i="3"/>
  <c r="DR995" i="3"/>
  <c r="DQ995" i="3"/>
  <c r="DP995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BY995" i="3"/>
  <c r="BX995" i="3"/>
  <c r="BW995" i="3"/>
  <c r="BV995" i="3"/>
  <c r="BU995" i="3"/>
  <c r="BT995" i="3"/>
  <c r="BS995" i="3"/>
  <c r="BR995" i="3"/>
  <c r="BQ995" i="3"/>
  <c r="BP995" i="3"/>
  <c r="BO995" i="3"/>
  <c r="BN995" i="3"/>
  <c r="E995" i="3"/>
  <c r="D995" i="3"/>
  <c r="C995" i="3"/>
  <c r="B995" i="3"/>
  <c r="A995" i="3"/>
  <c r="DU994" i="3"/>
  <c r="DT994" i="3"/>
  <c r="DS994" i="3"/>
  <c r="DR994" i="3"/>
  <c r="DQ994" i="3"/>
  <c r="DP994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BY994" i="3"/>
  <c r="BX994" i="3"/>
  <c r="BW994" i="3"/>
  <c r="BV994" i="3"/>
  <c r="BU994" i="3"/>
  <c r="BT994" i="3"/>
  <c r="BS994" i="3"/>
  <c r="BR994" i="3"/>
  <c r="BQ994" i="3"/>
  <c r="BP994" i="3"/>
  <c r="BO994" i="3"/>
  <c r="BN994" i="3"/>
  <c r="E994" i="3"/>
  <c r="D994" i="3"/>
  <c r="C994" i="3"/>
  <c r="B994" i="3"/>
  <c r="A994" i="3"/>
  <c r="DU993" i="3"/>
  <c r="DT993" i="3"/>
  <c r="DS993" i="3"/>
  <c r="DR993" i="3"/>
  <c r="DQ993" i="3"/>
  <c r="DP993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BY993" i="3"/>
  <c r="BX993" i="3"/>
  <c r="BW993" i="3"/>
  <c r="BV993" i="3"/>
  <c r="BU993" i="3"/>
  <c r="BT993" i="3"/>
  <c r="BS993" i="3"/>
  <c r="BR993" i="3"/>
  <c r="BQ993" i="3"/>
  <c r="BP993" i="3"/>
  <c r="BO993" i="3"/>
  <c r="BN993" i="3"/>
  <c r="E993" i="3"/>
  <c r="D993" i="3"/>
  <c r="C993" i="3"/>
  <c r="B993" i="3"/>
  <c r="A993" i="3"/>
  <c r="DU992" i="3"/>
  <c r="DT992" i="3"/>
  <c r="DS992" i="3"/>
  <c r="DR992" i="3"/>
  <c r="DQ992" i="3"/>
  <c r="DP992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BY992" i="3"/>
  <c r="BX992" i="3"/>
  <c r="BW992" i="3"/>
  <c r="BV992" i="3"/>
  <c r="BU992" i="3"/>
  <c r="BT992" i="3"/>
  <c r="BS992" i="3"/>
  <c r="BR992" i="3"/>
  <c r="BQ992" i="3"/>
  <c r="BP992" i="3"/>
  <c r="BO992" i="3"/>
  <c r="BN992" i="3"/>
  <c r="DU991" i="3"/>
  <c r="DT991" i="3"/>
  <c r="DS991" i="3"/>
  <c r="DR991" i="3"/>
  <c r="DQ991" i="3"/>
  <c r="DP991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BY991" i="3"/>
  <c r="BX991" i="3"/>
  <c r="BW991" i="3"/>
  <c r="BV991" i="3"/>
  <c r="BU991" i="3"/>
  <c r="BT991" i="3"/>
  <c r="BS991" i="3"/>
  <c r="BR991" i="3"/>
  <c r="BQ991" i="3"/>
  <c r="BP991" i="3"/>
  <c r="BO991" i="3"/>
  <c r="BN991" i="3"/>
  <c r="DU990" i="3"/>
  <c r="DT990" i="3"/>
  <c r="DS990" i="3"/>
  <c r="DR990" i="3"/>
  <c r="DQ990" i="3"/>
  <c r="DP990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BY990" i="3"/>
  <c r="BX990" i="3"/>
  <c r="BW990" i="3"/>
  <c r="BV990" i="3"/>
  <c r="BU990" i="3"/>
  <c r="BT990" i="3"/>
  <c r="BS990" i="3"/>
  <c r="BR990" i="3"/>
  <c r="BQ990" i="3"/>
  <c r="BP990" i="3"/>
  <c r="BO990" i="3"/>
  <c r="BN990" i="3"/>
  <c r="DU989" i="3"/>
  <c r="DT989" i="3"/>
  <c r="DS989" i="3"/>
  <c r="DR989" i="3"/>
  <c r="DQ989" i="3"/>
  <c r="DP989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BY989" i="3"/>
  <c r="BX989" i="3"/>
  <c r="BW989" i="3"/>
  <c r="BV989" i="3"/>
  <c r="BU989" i="3"/>
  <c r="BT989" i="3"/>
  <c r="BS989" i="3"/>
  <c r="BR989" i="3"/>
  <c r="BQ989" i="3"/>
  <c r="BP989" i="3"/>
  <c r="BO989" i="3"/>
  <c r="BN989" i="3"/>
  <c r="DU988" i="3"/>
  <c r="DT988" i="3"/>
  <c r="DS988" i="3"/>
  <c r="DR988" i="3"/>
  <c r="DQ988" i="3"/>
  <c r="DP988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BY988" i="3"/>
  <c r="BX988" i="3"/>
  <c r="BW988" i="3"/>
  <c r="BV988" i="3"/>
  <c r="BU988" i="3"/>
  <c r="BT988" i="3"/>
  <c r="BS988" i="3"/>
  <c r="BR988" i="3"/>
  <c r="BQ988" i="3"/>
  <c r="BP988" i="3"/>
  <c r="BO988" i="3"/>
  <c r="BN988" i="3"/>
  <c r="DU987" i="3"/>
  <c r="DT987" i="3"/>
  <c r="DS987" i="3"/>
  <c r="DR987" i="3"/>
  <c r="DQ987" i="3"/>
  <c r="DP987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BY987" i="3"/>
  <c r="BX987" i="3"/>
  <c r="BW987" i="3"/>
  <c r="BV987" i="3"/>
  <c r="BU987" i="3"/>
  <c r="BT987" i="3"/>
  <c r="BS987" i="3"/>
  <c r="BR987" i="3"/>
  <c r="BQ987" i="3"/>
  <c r="BP987" i="3"/>
  <c r="BO987" i="3"/>
  <c r="BN987" i="3"/>
  <c r="DU986" i="3"/>
  <c r="DT986" i="3"/>
  <c r="DS986" i="3"/>
  <c r="DR986" i="3"/>
  <c r="DQ986" i="3"/>
  <c r="DP986" i="3"/>
  <c r="DO986" i="3"/>
  <c r="DN986" i="3"/>
  <c r="DM986" i="3"/>
  <c r="DL986" i="3"/>
  <c r="DK986" i="3"/>
  <c r="DJ986" i="3"/>
  <c r="DI986" i="3"/>
  <c r="DH986" i="3"/>
  <c r="DG986" i="3"/>
  <c r="DF986" i="3"/>
  <c r="DE986" i="3"/>
  <c r="DD986" i="3"/>
  <c r="DC986" i="3"/>
  <c r="DB986" i="3"/>
  <c r="DA986" i="3"/>
  <c r="CZ986" i="3"/>
  <c r="CY986" i="3"/>
  <c r="CX986" i="3"/>
  <c r="CW986" i="3"/>
  <c r="CV986" i="3"/>
  <c r="CU986" i="3"/>
  <c r="CT986" i="3"/>
  <c r="CS986" i="3"/>
  <c r="CR986" i="3"/>
  <c r="CQ986" i="3"/>
  <c r="CP986" i="3"/>
  <c r="CO986" i="3"/>
  <c r="CN986" i="3"/>
  <c r="CM986" i="3"/>
  <c r="CL986" i="3"/>
  <c r="CK986" i="3"/>
  <c r="CJ986" i="3"/>
  <c r="CI986" i="3"/>
  <c r="CH986" i="3"/>
  <c r="CG986" i="3"/>
  <c r="CF986" i="3"/>
  <c r="CE986" i="3"/>
  <c r="CD986" i="3"/>
  <c r="CC986" i="3"/>
  <c r="CB986" i="3"/>
  <c r="CA986" i="3"/>
  <c r="BZ986" i="3"/>
  <c r="BY986" i="3"/>
  <c r="BX986" i="3"/>
  <c r="BW986" i="3"/>
  <c r="BV986" i="3"/>
  <c r="BU986" i="3"/>
  <c r="BT986" i="3"/>
  <c r="BS986" i="3"/>
  <c r="BR986" i="3"/>
  <c r="BQ986" i="3"/>
  <c r="BP986" i="3"/>
  <c r="BO986" i="3"/>
  <c r="BN986" i="3"/>
  <c r="DU985" i="3"/>
  <c r="DT985" i="3"/>
  <c r="DS985" i="3"/>
  <c r="DR985" i="3"/>
  <c r="DQ985" i="3"/>
  <c r="DP985" i="3"/>
  <c r="DO985" i="3"/>
  <c r="DN985" i="3"/>
  <c r="DM985" i="3"/>
  <c r="DL985" i="3"/>
  <c r="DK985" i="3"/>
  <c r="DJ985" i="3"/>
  <c r="DI985" i="3"/>
  <c r="DH985" i="3"/>
  <c r="DG985" i="3"/>
  <c r="DF985" i="3"/>
  <c r="DE985" i="3"/>
  <c r="DD985" i="3"/>
  <c r="DC985" i="3"/>
  <c r="DB985" i="3"/>
  <c r="DA985" i="3"/>
  <c r="CZ985" i="3"/>
  <c r="CY985" i="3"/>
  <c r="CX985" i="3"/>
  <c r="CW985" i="3"/>
  <c r="CV985" i="3"/>
  <c r="CU985" i="3"/>
  <c r="CT985" i="3"/>
  <c r="CS985" i="3"/>
  <c r="CR985" i="3"/>
  <c r="CQ985" i="3"/>
  <c r="CP985" i="3"/>
  <c r="CO985" i="3"/>
  <c r="CN985" i="3"/>
  <c r="CM985" i="3"/>
  <c r="CL985" i="3"/>
  <c r="CK985" i="3"/>
  <c r="CJ985" i="3"/>
  <c r="CI985" i="3"/>
  <c r="CH985" i="3"/>
  <c r="CG985" i="3"/>
  <c r="CF985" i="3"/>
  <c r="CE985" i="3"/>
  <c r="CD985" i="3"/>
  <c r="CC985" i="3"/>
  <c r="CB985" i="3"/>
  <c r="CA985" i="3"/>
  <c r="BZ985" i="3"/>
  <c r="BY985" i="3"/>
  <c r="BX985" i="3"/>
  <c r="BW985" i="3"/>
  <c r="BV985" i="3"/>
  <c r="BU985" i="3"/>
  <c r="BT985" i="3"/>
  <c r="BS985" i="3"/>
  <c r="BR985" i="3"/>
  <c r="BQ985" i="3"/>
  <c r="BP985" i="3"/>
  <c r="BO985" i="3"/>
  <c r="BN985" i="3"/>
  <c r="DU984" i="3"/>
  <c r="DT984" i="3"/>
  <c r="DS984" i="3"/>
  <c r="DR984" i="3"/>
  <c r="DQ984" i="3"/>
  <c r="DP984" i="3"/>
  <c r="DO984" i="3"/>
  <c r="DN984" i="3"/>
  <c r="DM984" i="3"/>
  <c r="DL984" i="3"/>
  <c r="DK984" i="3"/>
  <c r="DJ984" i="3"/>
  <c r="DI984" i="3"/>
  <c r="DH984" i="3"/>
  <c r="DG984" i="3"/>
  <c r="DF984" i="3"/>
  <c r="DE984" i="3"/>
  <c r="DD984" i="3"/>
  <c r="DC984" i="3"/>
  <c r="DB984" i="3"/>
  <c r="DA984" i="3"/>
  <c r="CZ984" i="3"/>
  <c r="CY984" i="3"/>
  <c r="CX984" i="3"/>
  <c r="CW984" i="3"/>
  <c r="CV984" i="3"/>
  <c r="CU984" i="3"/>
  <c r="CT984" i="3"/>
  <c r="CS984" i="3"/>
  <c r="CR984" i="3"/>
  <c r="CQ984" i="3"/>
  <c r="CP984" i="3"/>
  <c r="CO984" i="3"/>
  <c r="CN984" i="3"/>
  <c r="CM984" i="3"/>
  <c r="CL984" i="3"/>
  <c r="CK984" i="3"/>
  <c r="CJ984" i="3"/>
  <c r="CI984" i="3"/>
  <c r="CH984" i="3"/>
  <c r="CG984" i="3"/>
  <c r="CF984" i="3"/>
  <c r="CE984" i="3"/>
  <c r="CD984" i="3"/>
  <c r="CC984" i="3"/>
  <c r="CB984" i="3"/>
  <c r="CA984" i="3"/>
  <c r="BZ984" i="3"/>
  <c r="BY984" i="3"/>
  <c r="BX984" i="3"/>
  <c r="BW984" i="3"/>
  <c r="BV984" i="3"/>
  <c r="BU984" i="3"/>
  <c r="BT984" i="3"/>
  <c r="BS984" i="3"/>
  <c r="BR984" i="3"/>
  <c r="BQ984" i="3"/>
  <c r="BP984" i="3"/>
  <c r="BO984" i="3"/>
  <c r="BN984" i="3"/>
  <c r="DU983" i="3"/>
  <c r="DT983" i="3"/>
  <c r="DS983" i="3"/>
  <c r="DR983" i="3"/>
  <c r="DQ983" i="3"/>
  <c r="DP983" i="3"/>
  <c r="DO983" i="3"/>
  <c r="DN983" i="3"/>
  <c r="DM983" i="3"/>
  <c r="DL983" i="3"/>
  <c r="DK983" i="3"/>
  <c r="DJ983" i="3"/>
  <c r="DI983" i="3"/>
  <c r="DH983" i="3"/>
  <c r="DG983" i="3"/>
  <c r="DF983" i="3"/>
  <c r="DE983" i="3"/>
  <c r="DD983" i="3"/>
  <c r="DC983" i="3"/>
  <c r="DB983" i="3"/>
  <c r="DA983" i="3"/>
  <c r="CZ983" i="3"/>
  <c r="CY983" i="3"/>
  <c r="CX983" i="3"/>
  <c r="CW983" i="3"/>
  <c r="CV983" i="3"/>
  <c r="CU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C983" i="3"/>
  <c r="CB983" i="3"/>
  <c r="CA983" i="3"/>
  <c r="BZ983" i="3"/>
  <c r="BY983" i="3"/>
  <c r="BX983" i="3"/>
  <c r="BW983" i="3"/>
  <c r="BV983" i="3"/>
  <c r="BU983" i="3"/>
  <c r="BT983" i="3"/>
  <c r="BS983" i="3"/>
  <c r="BR983" i="3"/>
  <c r="BQ983" i="3"/>
  <c r="BP983" i="3"/>
  <c r="BO983" i="3"/>
  <c r="BN983" i="3"/>
  <c r="DU982" i="3"/>
  <c r="DT982" i="3"/>
  <c r="DS982" i="3"/>
  <c r="DR982" i="3"/>
  <c r="DQ982" i="3"/>
  <c r="DP982" i="3"/>
  <c r="DO982" i="3"/>
  <c r="DN982" i="3"/>
  <c r="DM982" i="3"/>
  <c r="DL982" i="3"/>
  <c r="DK982" i="3"/>
  <c r="DJ982" i="3"/>
  <c r="DI982" i="3"/>
  <c r="DH982" i="3"/>
  <c r="DG982" i="3"/>
  <c r="DF982" i="3"/>
  <c r="DE982" i="3"/>
  <c r="DD982" i="3"/>
  <c r="DC982" i="3"/>
  <c r="DB982" i="3"/>
  <c r="DA982" i="3"/>
  <c r="CZ982" i="3"/>
  <c r="CY982" i="3"/>
  <c r="CX982" i="3"/>
  <c r="CW982" i="3"/>
  <c r="CV982" i="3"/>
  <c r="CU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C982" i="3"/>
  <c r="CB982" i="3"/>
  <c r="CA982" i="3"/>
  <c r="BZ982" i="3"/>
  <c r="BY982" i="3"/>
  <c r="BX982" i="3"/>
  <c r="BW982" i="3"/>
  <c r="BV982" i="3"/>
  <c r="BU982" i="3"/>
  <c r="BT982" i="3"/>
  <c r="BS982" i="3"/>
  <c r="BR982" i="3"/>
  <c r="BQ982" i="3"/>
  <c r="BP982" i="3"/>
  <c r="BO982" i="3"/>
  <c r="BN982" i="3"/>
  <c r="DU981" i="3"/>
  <c r="DT981" i="3"/>
  <c r="DS981" i="3"/>
  <c r="DR981" i="3"/>
  <c r="DQ981" i="3"/>
  <c r="DP981" i="3"/>
  <c r="DO981" i="3"/>
  <c r="DN981" i="3"/>
  <c r="DM981" i="3"/>
  <c r="DL981" i="3"/>
  <c r="DK981" i="3"/>
  <c r="DJ981" i="3"/>
  <c r="DI981" i="3"/>
  <c r="DH981" i="3"/>
  <c r="DG981" i="3"/>
  <c r="DF981" i="3"/>
  <c r="DE981" i="3"/>
  <c r="DD981" i="3"/>
  <c r="DC981" i="3"/>
  <c r="DB981" i="3"/>
  <c r="DA981" i="3"/>
  <c r="CZ981" i="3"/>
  <c r="CY981" i="3"/>
  <c r="CX981" i="3"/>
  <c r="CW981" i="3"/>
  <c r="CV981" i="3"/>
  <c r="CU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C981" i="3"/>
  <c r="CB981" i="3"/>
  <c r="CA981" i="3"/>
  <c r="BZ981" i="3"/>
  <c r="BY981" i="3"/>
  <c r="BX981" i="3"/>
  <c r="BW981" i="3"/>
  <c r="BV981" i="3"/>
  <c r="BU981" i="3"/>
  <c r="BT981" i="3"/>
  <c r="BS981" i="3"/>
  <c r="BR981" i="3"/>
  <c r="BQ981" i="3"/>
  <c r="BP981" i="3"/>
  <c r="BO981" i="3"/>
  <c r="BN981" i="3"/>
  <c r="DU980" i="3"/>
  <c r="DT980" i="3"/>
  <c r="DS980" i="3"/>
  <c r="DR980" i="3"/>
  <c r="DQ980" i="3"/>
  <c r="DP980" i="3"/>
  <c r="DO980" i="3"/>
  <c r="DN980" i="3"/>
  <c r="DM980" i="3"/>
  <c r="DL980" i="3"/>
  <c r="DK980" i="3"/>
  <c r="DJ980" i="3"/>
  <c r="DI980" i="3"/>
  <c r="DH980" i="3"/>
  <c r="DG980" i="3"/>
  <c r="DF980" i="3"/>
  <c r="DE980" i="3"/>
  <c r="DD980" i="3"/>
  <c r="DC980" i="3"/>
  <c r="DB980" i="3"/>
  <c r="DA980" i="3"/>
  <c r="CZ980" i="3"/>
  <c r="CY980" i="3"/>
  <c r="CX980" i="3"/>
  <c r="CW980" i="3"/>
  <c r="CV980" i="3"/>
  <c r="CU980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C980" i="3"/>
  <c r="CB980" i="3"/>
  <c r="CA980" i="3"/>
  <c r="BZ980" i="3"/>
  <c r="BY980" i="3"/>
  <c r="BX980" i="3"/>
  <c r="BW980" i="3"/>
  <c r="BV980" i="3"/>
  <c r="BU980" i="3"/>
  <c r="BT980" i="3"/>
  <c r="BS980" i="3"/>
  <c r="BR980" i="3"/>
  <c r="BQ980" i="3"/>
  <c r="BP980" i="3"/>
  <c r="BO980" i="3"/>
  <c r="BN980" i="3"/>
  <c r="DU979" i="3"/>
  <c r="DT979" i="3"/>
  <c r="DS979" i="3"/>
  <c r="DR979" i="3"/>
  <c r="DQ979" i="3"/>
  <c r="DP979" i="3"/>
  <c r="DO979" i="3"/>
  <c r="DN979" i="3"/>
  <c r="DM979" i="3"/>
  <c r="DL979" i="3"/>
  <c r="DK979" i="3"/>
  <c r="DJ979" i="3"/>
  <c r="DI979" i="3"/>
  <c r="DH979" i="3"/>
  <c r="DG979" i="3"/>
  <c r="DF979" i="3"/>
  <c r="DE979" i="3"/>
  <c r="DD979" i="3"/>
  <c r="DC979" i="3"/>
  <c r="DB979" i="3"/>
  <c r="DA979" i="3"/>
  <c r="CZ979" i="3"/>
  <c r="CY979" i="3"/>
  <c r="CX979" i="3"/>
  <c r="CW979" i="3"/>
  <c r="CV979" i="3"/>
  <c r="CU979" i="3"/>
  <c r="CT979" i="3"/>
  <c r="CS979" i="3"/>
  <c r="CR979" i="3"/>
  <c r="CQ979" i="3"/>
  <c r="CP979" i="3"/>
  <c r="CO979" i="3"/>
  <c r="CN979" i="3"/>
  <c r="CM979" i="3"/>
  <c r="CL979" i="3"/>
  <c r="CK979" i="3"/>
  <c r="CJ979" i="3"/>
  <c r="CI979" i="3"/>
  <c r="CH979" i="3"/>
  <c r="CG979" i="3"/>
  <c r="CF979" i="3"/>
  <c r="CE979" i="3"/>
  <c r="CD979" i="3"/>
  <c r="CC979" i="3"/>
  <c r="CB979" i="3"/>
  <c r="CA979" i="3"/>
  <c r="BZ979" i="3"/>
  <c r="BY979" i="3"/>
  <c r="BX979" i="3"/>
  <c r="BW979" i="3"/>
  <c r="BV979" i="3"/>
  <c r="BU979" i="3"/>
  <c r="BT979" i="3"/>
  <c r="BS979" i="3"/>
  <c r="BR979" i="3"/>
  <c r="BQ979" i="3"/>
  <c r="BP979" i="3"/>
  <c r="BO979" i="3"/>
  <c r="BN979" i="3"/>
  <c r="DU978" i="3"/>
  <c r="DT978" i="3"/>
  <c r="DS978" i="3"/>
  <c r="DR978" i="3"/>
  <c r="DQ978" i="3"/>
  <c r="DP978" i="3"/>
  <c r="DO978" i="3"/>
  <c r="DN978" i="3"/>
  <c r="DM978" i="3"/>
  <c r="DL978" i="3"/>
  <c r="DK978" i="3"/>
  <c r="DJ978" i="3"/>
  <c r="DI978" i="3"/>
  <c r="DH978" i="3"/>
  <c r="DG978" i="3"/>
  <c r="DF978" i="3"/>
  <c r="DE978" i="3"/>
  <c r="DD978" i="3"/>
  <c r="DC978" i="3"/>
  <c r="DB978" i="3"/>
  <c r="DA978" i="3"/>
  <c r="CZ978" i="3"/>
  <c r="CY978" i="3"/>
  <c r="CX978" i="3"/>
  <c r="CW978" i="3"/>
  <c r="CV978" i="3"/>
  <c r="CU978" i="3"/>
  <c r="CT978" i="3"/>
  <c r="CS978" i="3"/>
  <c r="CR978" i="3"/>
  <c r="CQ978" i="3"/>
  <c r="CP978" i="3"/>
  <c r="CO978" i="3"/>
  <c r="CN978" i="3"/>
  <c r="CM978" i="3"/>
  <c r="CL978" i="3"/>
  <c r="CK978" i="3"/>
  <c r="CJ978" i="3"/>
  <c r="CI978" i="3"/>
  <c r="CH978" i="3"/>
  <c r="CG978" i="3"/>
  <c r="CF978" i="3"/>
  <c r="CE978" i="3"/>
  <c r="CD978" i="3"/>
  <c r="CC978" i="3"/>
  <c r="CB978" i="3"/>
  <c r="CA978" i="3"/>
  <c r="BZ978" i="3"/>
  <c r="BY978" i="3"/>
  <c r="BX978" i="3"/>
  <c r="BW978" i="3"/>
  <c r="BV978" i="3"/>
  <c r="BU978" i="3"/>
  <c r="BT978" i="3"/>
  <c r="BS978" i="3"/>
  <c r="BR978" i="3"/>
  <c r="BQ978" i="3"/>
  <c r="BP978" i="3"/>
  <c r="BO978" i="3"/>
  <c r="BN978" i="3"/>
  <c r="DU977" i="3"/>
  <c r="DT977" i="3"/>
  <c r="DS977" i="3"/>
  <c r="DR977" i="3"/>
  <c r="DQ977" i="3"/>
  <c r="DP977" i="3"/>
  <c r="DO977" i="3"/>
  <c r="DN977" i="3"/>
  <c r="DM977" i="3"/>
  <c r="DL977" i="3"/>
  <c r="DK977" i="3"/>
  <c r="DJ977" i="3"/>
  <c r="DI977" i="3"/>
  <c r="DH977" i="3"/>
  <c r="DG977" i="3"/>
  <c r="DF977" i="3"/>
  <c r="DE977" i="3"/>
  <c r="DD977" i="3"/>
  <c r="DC977" i="3"/>
  <c r="DB977" i="3"/>
  <c r="DA977" i="3"/>
  <c r="CZ977" i="3"/>
  <c r="CY977" i="3"/>
  <c r="CX977" i="3"/>
  <c r="CW977" i="3"/>
  <c r="CV977" i="3"/>
  <c r="CU977" i="3"/>
  <c r="CT977" i="3"/>
  <c r="CS977" i="3"/>
  <c r="CR977" i="3"/>
  <c r="CQ977" i="3"/>
  <c r="CP977" i="3"/>
  <c r="CO977" i="3"/>
  <c r="CN977" i="3"/>
  <c r="CM977" i="3"/>
  <c r="CL977" i="3"/>
  <c r="CK977" i="3"/>
  <c r="CJ977" i="3"/>
  <c r="CI977" i="3"/>
  <c r="CH977" i="3"/>
  <c r="CG977" i="3"/>
  <c r="CF977" i="3"/>
  <c r="CE977" i="3"/>
  <c r="CD977" i="3"/>
  <c r="CC977" i="3"/>
  <c r="CB977" i="3"/>
  <c r="CA977" i="3"/>
  <c r="BZ977" i="3"/>
  <c r="BY977" i="3"/>
  <c r="BX977" i="3"/>
  <c r="BW977" i="3"/>
  <c r="BV977" i="3"/>
  <c r="BU977" i="3"/>
  <c r="BT977" i="3"/>
  <c r="BS977" i="3"/>
  <c r="BR977" i="3"/>
  <c r="BQ977" i="3"/>
  <c r="BP977" i="3"/>
  <c r="BO977" i="3"/>
  <c r="BN977" i="3"/>
  <c r="DU976" i="3"/>
  <c r="DT976" i="3"/>
  <c r="DS976" i="3"/>
  <c r="DR976" i="3"/>
  <c r="DQ976" i="3"/>
  <c r="DP976" i="3"/>
  <c r="DO976" i="3"/>
  <c r="DN976" i="3"/>
  <c r="DM976" i="3"/>
  <c r="DL976" i="3"/>
  <c r="DK976" i="3"/>
  <c r="DJ976" i="3"/>
  <c r="DI976" i="3"/>
  <c r="DH976" i="3"/>
  <c r="DG976" i="3"/>
  <c r="DF976" i="3"/>
  <c r="DE976" i="3"/>
  <c r="DD976" i="3"/>
  <c r="DC976" i="3"/>
  <c r="DB976" i="3"/>
  <c r="DA976" i="3"/>
  <c r="CZ976" i="3"/>
  <c r="CY976" i="3"/>
  <c r="CX976" i="3"/>
  <c r="CW976" i="3"/>
  <c r="CV976" i="3"/>
  <c r="CU976" i="3"/>
  <c r="CT976" i="3"/>
  <c r="CS976" i="3"/>
  <c r="CR976" i="3"/>
  <c r="CQ976" i="3"/>
  <c r="CP976" i="3"/>
  <c r="CO976" i="3"/>
  <c r="CN976" i="3"/>
  <c r="CM976" i="3"/>
  <c r="CL976" i="3"/>
  <c r="CK976" i="3"/>
  <c r="CJ976" i="3"/>
  <c r="CI976" i="3"/>
  <c r="CH976" i="3"/>
  <c r="CG976" i="3"/>
  <c r="CF976" i="3"/>
  <c r="CE976" i="3"/>
  <c r="CD976" i="3"/>
  <c r="CC976" i="3"/>
  <c r="CB976" i="3"/>
  <c r="CA976" i="3"/>
  <c r="BZ976" i="3"/>
  <c r="BY976" i="3"/>
  <c r="BX976" i="3"/>
  <c r="BW976" i="3"/>
  <c r="BV976" i="3"/>
  <c r="BU976" i="3"/>
  <c r="BT976" i="3"/>
  <c r="BS976" i="3"/>
  <c r="BR976" i="3"/>
  <c r="BQ976" i="3"/>
  <c r="BP976" i="3"/>
  <c r="BO976" i="3"/>
  <c r="BN976" i="3"/>
  <c r="DU975" i="3"/>
  <c r="DT975" i="3"/>
  <c r="DS975" i="3"/>
  <c r="DR975" i="3"/>
  <c r="DQ975" i="3"/>
  <c r="DP975" i="3"/>
  <c r="DO975" i="3"/>
  <c r="DN975" i="3"/>
  <c r="DM975" i="3"/>
  <c r="DL975" i="3"/>
  <c r="DK975" i="3"/>
  <c r="DJ975" i="3"/>
  <c r="DI975" i="3"/>
  <c r="DH975" i="3"/>
  <c r="DG975" i="3"/>
  <c r="DF975" i="3"/>
  <c r="DE975" i="3"/>
  <c r="DD975" i="3"/>
  <c r="DC975" i="3"/>
  <c r="DB975" i="3"/>
  <c r="DA975" i="3"/>
  <c r="CZ975" i="3"/>
  <c r="CY975" i="3"/>
  <c r="CX975" i="3"/>
  <c r="CW975" i="3"/>
  <c r="CV975" i="3"/>
  <c r="CU975" i="3"/>
  <c r="CT975" i="3"/>
  <c r="CS975" i="3"/>
  <c r="CR975" i="3"/>
  <c r="CQ975" i="3"/>
  <c r="CP975" i="3"/>
  <c r="CO975" i="3"/>
  <c r="CN975" i="3"/>
  <c r="CM975" i="3"/>
  <c r="CL975" i="3"/>
  <c r="CK975" i="3"/>
  <c r="CJ975" i="3"/>
  <c r="CI975" i="3"/>
  <c r="CH975" i="3"/>
  <c r="CG975" i="3"/>
  <c r="CF975" i="3"/>
  <c r="CE975" i="3"/>
  <c r="CD975" i="3"/>
  <c r="CC975" i="3"/>
  <c r="CB975" i="3"/>
  <c r="CA975" i="3"/>
  <c r="BZ975" i="3"/>
  <c r="BY975" i="3"/>
  <c r="BX975" i="3"/>
  <c r="BW975" i="3"/>
  <c r="BV975" i="3"/>
  <c r="BU975" i="3"/>
  <c r="BT975" i="3"/>
  <c r="BS975" i="3"/>
  <c r="BR975" i="3"/>
  <c r="BQ975" i="3"/>
  <c r="BP975" i="3"/>
  <c r="BO975" i="3"/>
  <c r="BN975" i="3"/>
  <c r="DU974" i="3"/>
  <c r="DT974" i="3"/>
  <c r="DS974" i="3"/>
  <c r="DR974" i="3"/>
  <c r="DQ974" i="3"/>
  <c r="DP974" i="3"/>
  <c r="DO974" i="3"/>
  <c r="DN974" i="3"/>
  <c r="DM974" i="3"/>
  <c r="DL974" i="3"/>
  <c r="DK974" i="3"/>
  <c r="DJ974" i="3"/>
  <c r="DI974" i="3"/>
  <c r="DH974" i="3"/>
  <c r="DG974" i="3"/>
  <c r="DF974" i="3"/>
  <c r="DE974" i="3"/>
  <c r="DD974" i="3"/>
  <c r="DC974" i="3"/>
  <c r="DB974" i="3"/>
  <c r="DA974" i="3"/>
  <c r="CZ974" i="3"/>
  <c r="CY974" i="3"/>
  <c r="CX974" i="3"/>
  <c r="CW974" i="3"/>
  <c r="CV974" i="3"/>
  <c r="CU974" i="3"/>
  <c r="CT974" i="3"/>
  <c r="CS974" i="3"/>
  <c r="CR974" i="3"/>
  <c r="CQ974" i="3"/>
  <c r="CP974" i="3"/>
  <c r="CO974" i="3"/>
  <c r="CN974" i="3"/>
  <c r="CM974" i="3"/>
  <c r="CL974" i="3"/>
  <c r="CK974" i="3"/>
  <c r="CJ974" i="3"/>
  <c r="CI974" i="3"/>
  <c r="CH974" i="3"/>
  <c r="CG974" i="3"/>
  <c r="CF974" i="3"/>
  <c r="CE974" i="3"/>
  <c r="CD974" i="3"/>
  <c r="CC974" i="3"/>
  <c r="CB974" i="3"/>
  <c r="CA974" i="3"/>
  <c r="BZ974" i="3"/>
  <c r="BY974" i="3"/>
  <c r="BX974" i="3"/>
  <c r="BW974" i="3"/>
  <c r="BV974" i="3"/>
  <c r="BU974" i="3"/>
  <c r="BT974" i="3"/>
  <c r="BS974" i="3"/>
  <c r="BR974" i="3"/>
  <c r="BQ974" i="3"/>
  <c r="BP974" i="3"/>
  <c r="BO974" i="3"/>
  <c r="BN974" i="3"/>
  <c r="DU973" i="3"/>
  <c r="DT973" i="3"/>
  <c r="DS973" i="3"/>
  <c r="DR973" i="3"/>
  <c r="DQ973" i="3"/>
  <c r="DP973" i="3"/>
  <c r="DO973" i="3"/>
  <c r="DN973" i="3"/>
  <c r="DM973" i="3"/>
  <c r="DL973" i="3"/>
  <c r="DK973" i="3"/>
  <c r="DJ973" i="3"/>
  <c r="DI973" i="3"/>
  <c r="DH973" i="3"/>
  <c r="DG973" i="3"/>
  <c r="DF973" i="3"/>
  <c r="DE973" i="3"/>
  <c r="DD973" i="3"/>
  <c r="DC973" i="3"/>
  <c r="DB973" i="3"/>
  <c r="DA973" i="3"/>
  <c r="CZ973" i="3"/>
  <c r="CY973" i="3"/>
  <c r="CX973" i="3"/>
  <c r="CW973" i="3"/>
  <c r="CV973" i="3"/>
  <c r="CU973" i="3"/>
  <c r="CT973" i="3"/>
  <c r="CS973" i="3"/>
  <c r="CR973" i="3"/>
  <c r="CQ973" i="3"/>
  <c r="CP973" i="3"/>
  <c r="CO973" i="3"/>
  <c r="CN973" i="3"/>
  <c r="CM973" i="3"/>
  <c r="CL973" i="3"/>
  <c r="CK973" i="3"/>
  <c r="CJ973" i="3"/>
  <c r="CI973" i="3"/>
  <c r="CH973" i="3"/>
  <c r="CG973" i="3"/>
  <c r="CF973" i="3"/>
  <c r="CE973" i="3"/>
  <c r="CD973" i="3"/>
  <c r="CC973" i="3"/>
  <c r="CB973" i="3"/>
  <c r="CA973" i="3"/>
  <c r="BZ973" i="3"/>
  <c r="BY973" i="3"/>
  <c r="BX973" i="3"/>
  <c r="BW973" i="3"/>
  <c r="BV973" i="3"/>
  <c r="BU973" i="3"/>
  <c r="BT973" i="3"/>
  <c r="BS973" i="3"/>
  <c r="BR973" i="3"/>
  <c r="BQ973" i="3"/>
  <c r="BP973" i="3"/>
  <c r="BO973" i="3"/>
  <c r="BN973" i="3"/>
  <c r="DU972" i="3"/>
  <c r="DT972" i="3"/>
  <c r="DS972" i="3"/>
  <c r="DR972" i="3"/>
  <c r="DQ972" i="3"/>
  <c r="DP972" i="3"/>
  <c r="DO972" i="3"/>
  <c r="DN972" i="3"/>
  <c r="DM972" i="3"/>
  <c r="DL972" i="3"/>
  <c r="DK972" i="3"/>
  <c r="DJ972" i="3"/>
  <c r="DI972" i="3"/>
  <c r="DH972" i="3"/>
  <c r="DG972" i="3"/>
  <c r="DF972" i="3"/>
  <c r="DE972" i="3"/>
  <c r="DD972" i="3"/>
  <c r="DC972" i="3"/>
  <c r="DB972" i="3"/>
  <c r="DA972" i="3"/>
  <c r="CZ972" i="3"/>
  <c r="CY972" i="3"/>
  <c r="CX972" i="3"/>
  <c r="CW972" i="3"/>
  <c r="CV972" i="3"/>
  <c r="CU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C972" i="3"/>
  <c r="CB972" i="3"/>
  <c r="CA972" i="3"/>
  <c r="BZ972" i="3"/>
  <c r="BY972" i="3"/>
  <c r="BX972" i="3"/>
  <c r="BW972" i="3"/>
  <c r="BV972" i="3"/>
  <c r="BU972" i="3"/>
  <c r="BT972" i="3"/>
  <c r="BS972" i="3"/>
  <c r="BR972" i="3"/>
  <c r="BQ972" i="3"/>
  <c r="BP972" i="3"/>
  <c r="BO972" i="3"/>
  <c r="BN972" i="3"/>
  <c r="DU971" i="3"/>
  <c r="DT971" i="3"/>
  <c r="DS971" i="3"/>
  <c r="DR971" i="3"/>
  <c r="DQ971" i="3"/>
  <c r="DP971" i="3"/>
  <c r="DO971" i="3"/>
  <c r="DN971" i="3"/>
  <c r="DM971" i="3"/>
  <c r="DL971" i="3"/>
  <c r="DK971" i="3"/>
  <c r="DJ971" i="3"/>
  <c r="DI971" i="3"/>
  <c r="DH971" i="3"/>
  <c r="DG971" i="3"/>
  <c r="DF971" i="3"/>
  <c r="DE971" i="3"/>
  <c r="DD971" i="3"/>
  <c r="DC971" i="3"/>
  <c r="DB971" i="3"/>
  <c r="DA971" i="3"/>
  <c r="CZ971" i="3"/>
  <c r="CY971" i="3"/>
  <c r="CX971" i="3"/>
  <c r="CW971" i="3"/>
  <c r="CV971" i="3"/>
  <c r="CU971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C971" i="3"/>
  <c r="CB971" i="3"/>
  <c r="CA971" i="3"/>
  <c r="BZ971" i="3"/>
  <c r="BY971" i="3"/>
  <c r="BX971" i="3"/>
  <c r="BW971" i="3"/>
  <c r="BV971" i="3"/>
  <c r="BU971" i="3"/>
  <c r="BT971" i="3"/>
  <c r="BS971" i="3"/>
  <c r="BR971" i="3"/>
  <c r="BQ971" i="3"/>
  <c r="BP971" i="3"/>
  <c r="BO971" i="3"/>
  <c r="BN971" i="3"/>
  <c r="DU970" i="3"/>
  <c r="DT970" i="3"/>
  <c r="DS970" i="3"/>
  <c r="DR970" i="3"/>
  <c r="DQ970" i="3"/>
  <c r="DP970" i="3"/>
  <c r="DO970" i="3"/>
  <c r="DN970" i="3"/>
  <c r="DM970" i="3"/>
  <c r="DL970" i="3"/>
  <c r="DK970" i="3"/>
  <c r="DJ970" i="3"/>
  <c r="DI970" i="3"/>
  <c r="DH970" i="3"/>
  <c r="DG970" i="3"/>
  <c r="DF970" i="3"/>
  <c r="DE970" i="3"/>
  <c r="DD970" i="3"/>
  <c r="DC970" i="3"/>
  <c r="DB970" i="3"/>
  <c r="DA970" i="3"/>
  <c r="CZ970" i="3"/>
  <c r="CY970" i="3"/>
  <c r="CX970" i="3"/>
  <c r="CW970" i="3"/>
  <c r="CV970" i="3"/>
  <c r="CU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C970" i="3"/>
  <c r="CB970" i="3"/>
  <c r="CA970" i="3"/>
  <c r="BZ970" i="3"/>
  <c r="BY970" i="3"/>
  <c r="BX970" i="3"/>
  <c r="BW970" i="3"/>
  <c r="BV970" i="3"/>
  <c r="BU970" i="3"/>
  <c r="BT970" i="3"/>
  <c r="BS970" i="3"/>
  <c r="BR970" i="3"/>
  <c r="BQ970" i="3"/>
  <c r="BP970" i="3"/>
  <c r="BO970" i="3"/>
  <c r="BN970" i="3"/>
  <c r="DU969" i="3"/>
  <c r="DT969" i="3"/>
  <c r="DS969" i="3"/>
  <c r="DR969" i="3"/>
  <c r="DQ969" i="3"/>
  <c r="DP969" i="3"/>
  <c r="DO969" i="3"/>
  <c r="DN969" i="3"/>
  <c r="DM969" i="3"/>
  <c r="DL969" i="3"/>
  <c r="DK969" i="3"/>
  <c r="DJ969" i="3"/>
  <c r="DI969" i="3"/>
  <c r="DH969" i="3"/>
  <c r="DG969" i="3"/>
  <c r="DF969" i="3"/>
  <c r="DE969" i="3"/>
  <c r="DD969" i="3"/>
  <c r="DC969" i="3"/>
  <c r="DB969" i="3"/>
  <c r="DA969" i="3"/>
  <c r="CZ969" i="3"/>
  <c r="CY969" i="3"/>
  <c r="CX969" i="3"/>
  <c r="CW969" i="3"/>
  <c r="CV969" i="3"/>
  <c r="CU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C969" i="3"/>
  <c r="CB969" i="3"/>
  <c r="CA969" i="3"/>
  <c r="BZ969" i="3"/>
  <c r="BY969" i="3"/>
  <c r="BX969" i="3"/>
  <c r="BW969" i="3"/>
  <c r="BV969" i="3"/>
  <c r="BU969" i="3"/>
  <c r="BT969" i="3"/>
  <c r="BS969" i="3"/>
  <c r="BR969" i="3"/>
  <c r="BQ969" i="3"/>
  <c r="BP969" i="3"/>
  <c r="BO969" i="3"/>
  <c r="BN969" i="3"/>
  <c r="DU968" i="3"/>
  <c r="DT968" i="3"/>
  <c r="DS968" i="3"/>
  <c r="DR968" i="3"/>
  <c r="DQ968" i="3"/>
  <c r="DP968" i="3"/>
  <c r="DO968" i="3"/>
  <c r="DN968" i="3"/>
  <c r="DM968" i="3"/>
  <c r="DL968" i="3"/>
  <c r="DK968" i="3"/>
  <c r="DJ968" i="3"/>
  <c r="DI968" i="3"/>
  <c r="DH968" i="3"/>
  <c r="DG968" i="3"/>
  <c r="DF968" i="3"/>
  <c r="DE968" i="3"/>
  <c r="DD968" i="3"/>
  <c r="DC968" i="3"/>
  <c r="DB968" i="3"/>
  <c r="DA968" i="3"/>
  <c r="CZ968" i="3"/>
  <c r="CY968" i="3"/>
  <c r="CX968" i="3"/>
  <c r="CW968" i="3"/>
  <c r="CV968" i="3"/>
  <c r="CU968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C968" i="3"/>
  <c r="CB968" i="3"/>
  <c r="CA968" i="3"/>
  <c r="BZ968" i="3"/>
  <c r="BY968" i="3"/>
  <c r="BX968" i="3"/>
  <c r="BW968" i="3"/>
  <c r="BV968" i="3"/>
  <c r="BU968" i="3"/>
  <c r="BT968" i="3"/>
  <c r="BS968" i="3"/>
  <c r="BR968" i="3"/>
  <c r="BQ968" i="3"/>
  <c r="BP968" i="3"/>
  <c r="BO968" i="3"/>
  <c r="BN968" i="3"/>
  <c r="DU967" i="3"/>
  <c r="DT967" i="3"/>
  <c r="DS967" i="3"/>
  <c r="DR967" i="3"/>
  <c r="DQ967" i="3"/>
  <c r="DP967" i="3"/>
  <c r="DO967" i="3"/>
  <c r="DN967" i="3"/>
  <c r="DM967" i="3"/>
  <c r="DL967" i="3"/>
  <c r="DK967" i="3"/>
  <c r="DJ967" i="3"/>
  <c r="DI967" i="3"/>
  <c r="DH967" i="3"/>
  <c r="DG967" i="3"/>
  <c r="DF967" i="3"/>
  <c r="DE967" i="3"/>
  <c r="DD967" i="3"/>
  <c r="DC967" i="3"/>
  <c r="DB967" i="3"/>
  <c r="DA967" i="3"/>
  <c r="CZ967" i="3"/>
  <c r="CY967" i="3"/>
  <c r="CX967" i="3"/>
  <c r="CW967" i="3"/>
  <c r="CV967" i="3"/>
  <c r="CU967" i="3"/>
  <c r="CT967" i="3"/>
  <c r="CS967" i="3"/>
  <c r="CR967" i="3"/>
  <c r="CQ967" i="3"/>
  <c r="CP967" i="3"/>
  <c r="CO967" i="3"/>
  <c r="CN967" i="3"/>
  <c r="CM967" i="3"/>
  <c r="CL967" i="3"/>
  <c r="CK967" i="3"/>
  <c r="CJ967" i="3"/>
  <c r="CI967" i="3"/>
  <c r="CH967" i="3"/>
  <c r="CG967" i="3"/>
  <c r="CF967" i="3"/>
  <c r="CE967" i="3"/>
  <c r="CD967" i="3"/>
  <c r="CC967" i="3"/>
  <c r="CB967" i="3"/>
  <c r="CA967" i="3"/>
  <c r="BZ967" i="3"/>
  <c r="BY967" i="3"/>
  <c r="BX967" i="3"/>
  <c r="BW967" i="3"/>
  <c r="BV967" i="3"/>
  <c r="BU967" i="3"/>
  <c r="BT967" i="3"/>
  <c r="BS967" i="3"/>
  <c r="BR967" i="3"/>
  <c r="BQ967" i="3"/>
  <c r="BP967" i="3"/>
  <c r="BO967" i="3"/>
  <c r="BN967" i="3"/>
  <c r="DU966" i="3"/>
  <c r="DT966" i="3"/>
  <c r="DS966" i="3"/>
  <c r="DR966" i="3"/>
  <c r="DQ966" i="3"/>
  <c r="DP966" i="3"/>
  <c r="DO966" i="3"/>
  <c r="DN966" i="3"/>
  <c r="DM966" i="3"/>
  <c r="DL966" i="3"/>
  <c r="DK966" i="3"/>
  <c r="DJ966" i="3"/>
  <c r="DI966" i="3"/>
  <c r="DH966" i="3"/>
  <c r="DG966" i="3"/>
  <c r="DF966" i="3"/>
  <c r="DE966" i="3"/>
  <c r="DD966" i="3"/>
  <c r="DC966" i="3"/>
  <c r="DB966" i="3"/>
  <c r="DA966" i="3"/>
  <c r="CZ966" i="3"/>
  <c r="CY966" i="3"/>
  <c r="CX966" i="3"/>
  <c r="CW966" i="3"/>
  <c r="CV966" i="3"/>
  <c r="CU966" i="3"/>
  <c r="CT966" i="3"/>
  <c r="CS966" i="3"/>
  <c r="CR966" i="3"/>
  <c r="CQ966" i="3"/>
  <c r="CP966" i="3"/>
  <c r="CO966" i="3"/>
  <c r="CN966" i="3"/>
  <c r="CM966" i="3"/>
  <c r="CL966" i="3"/>
  <c r="CK966" i="3"/>
  <c r="CJ966" i="3"/>
  <c r="CI966" i="3"/>
  <c r="CH966" i="3"/>
  <c r="CG966" i="3"/>
  <c r="CF966" i="3"/>
  <c r="CE966" i="3"/>
  <c r="CD966" i="3"/>
  <c r="CC966" i="3"/>
  <c r="CB966" i="3"/>
  <c r="CA966" i="3"/>
  <c r="BZ966" i="3"/>
  <c r="BY966" i="3"/>
  <c r="BX966" i="3"/>
  <c r="BW966" i="3"/>
  <c r="BV966" i="3"/>
  <c r="BU966" i="3"/>
  <c r="BT966" i="3"/>
  <c r="BS966" i="3"/>
  <c r="BR966" i="3"/>
  <c r="BQ966" i="3"/>
  <c r="BP966" i="3"/>
  <c r="BO966" i="3"/>
  <c r="BN966" i="3"/>
  <c r="DU965" i="3"/>
  <c r="DT965" i="3"/>
  <c r="DS965" i="3"/>
  <c r="DR965" i="3"/>
  <c r="DQ965" i="3"/>
  <c r="DP965" i="3"/>
  <c r="DO965" i="3"/>
  <c r="DN965" i="3"/>
  <c r="DM965" i="3"/>
  <c r="DL965" i="3"/>
  <c r="DK965" i="3"/>
  <c r="DJ965" i="3"/>
  <c r="DI965" i="3"/>
  <c r="DH965" i="3"/>
  <c r="DG965" i="3"/>
  <c r="DF965" i="3"/>
  <c r="DE965" i="3"/>
  <c r="DD965" i="3"/>
  <c r="DC965" i="3"/>
  <c r="DB965" i="3"/>
  <c r="DA965" i="3"/>
  <c r="CZ965" i="3"/>
  <c r="CY965" i="3"/>
  <c r="CX965" i="3"/>
  <c r="CW965" i="3"/>
  <c r="CV965" i="3"/>
  <c r="CU965" i="3"/>
  <c r="CT965" i="3"/>
  <c r="CS965" i="3"/>
  <c r="CR965" i="3"/>
  <c r="CQ965" i="3"/>
  <c r="CP965" i="3"/>
  <c r="CO965" i="3"/>
  <c r="CN965" i="3"/>
  <c r="CM965" i="3"/>
  <c r="CL965" i="3"/>
  <c r="CK965" i="3"/>
  <c r="CJ965" i="3"/>
  <c r="CI965" i="3"/>
  <c r="CH965" i="3"/>
  <c r="CG965" i="3"/>
  <c r="CF965" i="3"/>
  <c r="CE965" i="3"/>
  <c r="CD965" i="3"/>
  <c r="CC965" i="3"/>
  <c r="CB965" i="3"/>
  <c r="CA965" i="3"/>
  <c r="BZ965" i="3"/>
  <c r="BY965" i="3"/>
  <c r="BX965" i="3"/>
  <c r="BW965" i="3"/>
  <c r="BV965" i="3"/>
  <c r="BU965" i="3"/>
  <c r="BT965" i="3"/>
  <c r="BS965" i="3"/>
  <c r="BR965" i="3"/>
  <c r="BQ965" i="3"/>
  <c r="BP965" i="3"/>
  <c r="BO965" i="3"/>
  <c r="BN965" i="3"/>
  <c r="DU964" i="3"/>
  <c r="DT964" i="3"/>
  <c r="DS964" i="3"/>
  <c r="DR964" i="3"/>
  <c r="DQ964" i="3"/>
  <c r="DP964" i="3"/>
  <c r="DO964" i="3"/>
  <c r="DN964" i="3"/>
  <c r="DM964" i="3"/>
  <c r="DL964" i="3"/>
  <c r="DK964" i="3"/>
  <c r="DJ964" i="3"/>
  <c r="DI964" i="3"/>
  <c r="DH964" i="3"/>
  <c r="DG964" i="3"/>
  <c r="DF964" i="3"/>
  <c r="DE964" i="3"/>
  <c r="DD964" i="3"/>
  <c r="DC964" i="3"/>
  <c r="DB964" i="3"/>
  <c r="DA964" i="3"/>
  <c r="CZ964" i="3"/>
  <c r="CY964" i="3"/>
  <c r="CX964" i="3"/>
  <c r="CW964" i="3"/>
  <c r="CV964" i="3"/>
  <c r="CU964" i="3"/>
  <c r="CT964" i="3"/>
  <c r="CS964" i="3"/>
  <c r="CR964" i="3"/>
  <c r="CQ964" i="3"/>
  <c r="CP964" i="3"/>
  <c r="CO964" i="3"/>
  <c r="CN964" i="3"/>
  <c r="CM964" i="3"/>
  <c r="CL964" i="3"/>
  <c r="CK964" i="3"/>
  <c r="CJ964" i="3"/>
  <c r="CI964" i="3"/>
  <c r="CH964" i="3"/>
  <c r="CG964" i="3"/>
  <c r="CF964" i="3"/>
  <c r="CE964" i="3"/>
  <c r="CD964" i="3"/>
  <c r="CC964" i="3"/>
  <c r="CB964" i="3"/>
  <c r="CA964" i="3"/>
  <c r="BZ964" i="3"/>
  <c r="BY964" i="3"/>
  <c r="BX964" i="3"/>
  <c r="BW964" i="3"/>
  <c r="BV964" i="3"/>
  <c r="BU964" i="3"/>
  <c r="BT964" i="3"/>
  <c r="BS964" i="3"/>
  <c r="BR964" i="3"/>
  <c r="BQ964" i="3"/>
  <c r="BP964" i="3"/>
  <c r="BO964" i="3"/>
  <c r="BN964" i="3"/>
  <c r="DU963" i="3"/>
  <c r="DT963" i="3"/>
  <c r="DS963" i="3"/>
  <c r="DR963" i="3"/>
  <c r="DQ963" i="3"/>
  <c r="DP963" i="3"/>
  <c r="DO963" i="3"/>
  <c r="DN963" i="3"/>
  <c r="DM963" i="3"/>
  <c r="DL963" i="3"/>
  <c r="DK963" i="3"/>
  <c r="DJ963" i="3"/>
  <c r="DI963" i="3"/>
  <c r="DH963" i="3"/>
  <c r="DG963" i="3"/>
  <c r="DF963" i="3"/>
  <c r="DE963" i="3"/>
  <c r="DD963" i="3"/>
  <c r="DC963" i="3"/>
  <c r="DB963" i="3"/>
  <c r="DA963" i="3"/>
  <c r="CZ963" i="3"/>
  <c r="CY963" i="3"/>
  <c r="CX963" i="3"/>
  <c r="CW963" i="3"/>
  <c r="CV963" i="3"/>
  <c r="CU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C963" i="3"/>
  <c r="CB963" i="3"/>
  <c r="CA963" i="3"/>
  <c r="BZ963" i="3"/>
  <c r="BY963" i="3"/>
  <c r="BX963" i="3"/>
  <c r="BW963" i="3"/>
  <c r="BV963" i="3"/>
  <c r="BU963" i="3"/>
  <c r="BT963" i="3"/>
  <c r="BS963" i="3"/>
  <c r="BR963" i="3"/>
  <c r="BQ963" i="3"/>
  <c r="BP963" i="3"/>
  <c r="BO963" i="3"/>
  <c r="BN963" i="3"/>
  <c r="DU962" i="3"/>
  <c r="DT962" i="3"/>
  <c r="DS962" i="3"/>
  <c r="DR962" i="3"/>
  <c r="DQ962" i="3"/>
  <c r="DP962" i="3"/>
  <c r="DO962" i="3"/>
  <c r="DN962" i="3"/>
  <c r="DM962" i="3"/>
  <c r="DL962" i="3"/>
  <c r="DK962" i="3"/>
  <c r="DJ962" i="3"/>
  <c r="DI962" i="3"/>
  <c r="DH962" i="3"/>
  <c r="DG962" i="3"/>
  <c r="DF962" i="3"/>
  <c r="DE962" i="3"/>
  <c r="DD962" i="3"/>
  <c r="DC962" i="3"/>
  <c r="DB962" i="3"/>
  <c r="DA962" i="3"/>
  <c r="CZ962" i="3"/>
  <c r="CY962" i="3"/>
  <c r="CX962" i="3"/>
  <c r="CW962" i="3"/>
  <c r="CV962" i="3"/>
  <c r="CU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C962" i="3"/>
  <c r="CB962" i="3"/>
  <c r="CA962" i="3"/>
  <c r="BZ962" i="3"/>
  <c r="BY962" i="3"/>
  <c r="BX962" i="3"/>
  <c r="BW962" i="3"/>
  <c r="BV962" i="3"/>
  <c r="BU962" i="3"/>
  <c r="BT962" i="3"/>
  <c r="BS962" i="3"/>
  <c r="BR962" i="3"/>
  <c r="BQ962" i="3"/>
  <c r="BP962" i="3"/>
  <c r="BO962" i="3"/>
  <c r="BN962" i="3"/>
  <c r="DU961" i="3"/>
  <c r="DT961" i="3"/>
  <c r="DS961" i="3"/>
  <c r="DR961" i="3"/>
  <c r="DQ961" i="3"/>
  <c r="DP961" i="3"/>
  <c r="DO961" i="3"/>
  <c r="DN961" i="3"/>
  <c r="DM961" i="3"/>
  <c r="DL961" i="3"/>
  <c r="DK961" i="3"/>
  <c r="DJ961" i="3"/>
  <c r="DI961" i="3"/>
  <c r="DH961" i="3"/>
  <c r="DG961" i="3"/>
  <c r="DF961" i="3"/>
  <c r="DE961" i="3"/>
  <c r="DD961" i="3"/>
  <c r="DC961" i="3"/>
  <c r="DB961" i="3"/>
  <c r="DA961" i="3"/>
  <c r="CZ961" i="3"/>
  <c r="CY961" i="3"/>
  <c r="CX961" i="3"/>
  <c r="CW961" i="3"/>
  <c r="CV961" i="3"/>
  <c r="CU961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C961" i="3"/>
  <c r="CB961" i="3"/>
  <c r="CA961" i="3"/>
  <c r="BZ961" i="3"/>
  <c r="BY961" i="3"/>
  <c r="BX961" i="3"/>
  <c r="BW961" i="3"/>
  <c r="BV961" i="3"/>
  <c r="BU961" i="3"/>
  <c r="BT961" i="3"/>
  <c r="BS961" i="3"/>
  <c r="BR961" i="3"/>
  <c r="BQ961" i="3"/>
  <c r="BP961" i="3"/>
  <c r="BO961" i="3"/>
  <c r="BN961" i="3"/>
  <c r="DU960" i="3"/>
  <c r="DT960" i="3"/>
  <c r="DS960" i="3"/>
  <c r="DR960" i="3"/>
  <c r="DQ960" i="3"/>
  <c r="DP960" i="3"/>
  <c r="DO960" i="3"/>
  <c r="DN960" i="3"/>
  <c r="DM960" i="3"/>
  <c r="DL960" i="3"/>
  <c r="DK960" i="3"/>
  <c r="DJ960" i="3"/>
  <c r="DI960" i="3"/>
  <c r="DH960" i="3"/>
  <c r="DG960" i="3"/>
  <c r="DF960" i="3"/>
  <c r="DE960" i="3"/>
  <c r="DD960" i="3"/>
  <c r="DC960" i="3"/>
  <c r="DB960" i="3"/>
  <c r="DA960" i="3"/>
  <c r="CZ960" i="3"/>
  <c r="CY960" i="3"/>
  <c r="CX960" i="3"/>
  <c r="CW960" i="3"/>
  <c r="CV960" i="3"/>
  <c r="CU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C960" i="3"/>
  <c r="CB960" i="3"/>
  <c r="CA960" i="3"/>
  <c r="BZ960" i="3"/>
  <c r="BY960" i="3"/>
  <c r="BX960" i="3"/>
  <c r="BW960" i="3"/>
  <c r="BV960" i="3"/>
  <c r="BU960" i="3"/>
  <c r="BT960" i="3"/>
  <c r="BS960" i="3"/>
  <c r="BR960" i="3"/>
  <c r="BQ960" i="3"/>
  <c r="BP960" i="3"/>
  <c r="BO960" i="3"/>
  <c r="BN960" i="3"/>
  <c r="DU959" i="3"/>
  <c r="DT959" i="3"/>
  <c r="DS959" i="3"/>
  <c r="DR959" i="3"/>
  <c r="DQ959" i="3"/>
  <c r="DP959" i="3"/>
  <c r="DO959" i="3"/>
  <c r="DN959" i="3"/>
  <c r="DM959" i="3"/>
  <c r="DL959" i="3"/>
  <c r="DK959" i="3"/>
  <c r="DJ959" i="3"/>
  <c r="DI959" i="3"/>
  <c r="DH959" i="3"/>
  <c r="DG959" i="3"/>
  <c r="DF959" i="3"/>
  <c r="DE959" i="3"/>
  <c r="DD959" i="3"/>
  <c r="DC959" i="3"/>
  <c r="DB959" i="3"/>
  <c r="DA959" i="3"/>
  <c r="CZ959" i="3"/>
  <c r="CY959" i="3"/>
  <c r="CX959" i="3"/>
  <c r="CW959" i="3"/>
  <c r="CV959" i="3"/>
  <c r="CU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C959" i="3"/>
  <c r="CB959" i="3"/>
  <c r="CA959" i="3"/>
  <c r="BZ959" i="3"/>
  <c r="BY959" i="3"/>
  <c r="BX959" i="3"/>
  <c r="BW959" i="3"/>
  <c r="BV959" i="3"/>
  <c r="BU959" i="3"/>
  <c r="BT959" i="3"/>
  <c r="BS959" i="3"/>
  <c r="BR959" i="3"/>
  <c r="BQ959" i="3"/>
  <c r="BP959" i="3"/>
  <c r="BO959" i="3"/>
  <c r="BN959" i="3"/>
  <c r="DU958" i="3"/>
  <c r="DT958" i="3"/>
  <c r="DS958" i="3"/>
  <c r="DR958" i="3"/>
  <c r="DQ958" i="3"/>
  <c r="DP958" i="3"/>
  <c r="DO958" i="3"/>
  <c r="DN958" i="3"/>
  <c r="DM958" i="3"/>
  <c r="DL958" i="3"/>
  <c r="DK958" i="3"/>
  <c r="DJ958" i="3"/>
  <c r="DI958" i="3"/>
  <c r="DH958" i="3"/>
  <c r="DG958" i="3"/>
  <c r="DF958" i="3"/>
  <c r="DE958" i="3"/>
  <c r="DD958" i="3"/>
  <c r="DC958" i="3"/>
  <c r="DB958" i="3"/>
  <c r="DA958" i="3"/>
  <c r="CZ958" i="3"/>
  <c r="CY958" i="3"/>
  <c r="CX958" i="3"/>
  <c r="CW958" i="3"/>
  <c r="CV958" i="3"/>
  <c r="CU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C958" i="3"/>
  <c r="CB958" i="3"/>
  <c r="CA958" i="3"/>
  <c r="BZ958" i="3"/>
  <c r="BY958" i="3"/>
  <c r="BX958" i="3"/>
  <c r="BW958" i="3"/>
  <c r="BV958" i="3"/>
  <c r="BU958" i="3"/>
  <c r="BT958" i="3"/>
  <c r="BS958" i="3"/>
  <c r="BR958" i="3"/>
  <c r="BQ958" i="3"/>
  <c r="BP958" i="3"/>
  <c r="BO958" i="3"/>
  <c r="BN958" i="3"/>
  <c r="DU957" i="3"/>
  <c r="DT957" i="3"/>
  <c r="DS957" i="3"/>
  <c r="DR957" i="3"/>
  <c r="DQ957" i="3"/>
  <c r="DP957" i="3"/>
  <c r="DO957" i="3"/>
  <c r="DN957" i="3"/>
  <c r="DM957" i="3"/>
  <c r="DL957" i="3"/>
  <c r="DK957" i="3"/>
  <c r="DJ957" i="3"/>
  <c r="DI957" i="3"/>
  <c r="DH957" i="3"/>
  <c r="DG957" i="3"/>
  <c r="DF957" i="3"/>
  <c r="DE957" i="3"/>
  <c r="DD957" i="3"/>
  <c r="DC957" i="3"/>
  <c r="DB957" i="3"/>
  <c r="DA957" i="3"/>
  <c r="CZ957" i="3"/>
  <c r="CY957" i="3"/>
  <c r="CX957" i="3"/>
  <c r="CW957" i="3"/>
  <c r="CV957" i="3"/>
  <c r="CU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C957" i="3"/>
  <c r="CB957" i="3"/>
  <c r="CA957" i="3"/>
  <c r="BZ957" i="3"/>
  <c r="BY957" i="3"/>
  <c r="BX957" i="3"/>
  <c r="BW957" i="3"/>
  <c r="BV957" i="3"/>
  <c r="BU957" i="3"/>
  <c r="BT957" i="3"/>
  <c r="BS957" i="3"/>
  <c r="BR957" i="3"/>
  <c r="BQ957" i="3"/>
  <c r="BP957" i="3"/>
  <c r="BO957" i="3"/>
  <c r="BN957" i="3"/>
  <c r="DU956" i="3"/>
  <c r="DT956" i="3"/>
  <c r="DS956" i="3"/>
  <c r="DR956" i="3"/>
  <c r="DQ956" i="3"/>
  <c r="DP956" i="3"/>
  <c r="DO956" i="3"/>
  <c r="DN956" i="3"/>
  <c r="DM956" i="3"/>
  <c r="DL956" i="3"/>
  <c r="DK956" i="3"/>
  <c r="DJ956" i="3"/>
  <c r="DI956" i="3"/>
  <c r="DH956" i="3"/>
  <c r="DG956" i="3"/>
  <c r="DF956" i="3"/>
  <c r="DE956" i="3"/>
  <c r="DD956" i="3"/>
  <c r="DC956" i="3"/>
  <c r="DB956" i="3"/>
  <c r="DA956" i="3"/>
  <c r="CZ956" i="3"/>
  <c r="CY956" i="3"/>
  <c r="CX956" i="3"/>
  <c r="CW956" i="3"/>
  <c r="CV956" i="3"/>
  <c r="CU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C956" i="3"/>
  <c r="CB956" i="3"/>
  <c r="CA956" i="3"/>
  <c r="BZ956" i="3"/>
  <c r="BY956" i="3"/>
  <c r="BX956" i="3"/>
  <c r="BW956" i="3"/>
  <c r="BV956" i="3"/>
  <c r="BU956" i="3"/>
  <c r="BT956" i="3"/>
  <c r="BS956" i="3"/>
  <c r="BR956" i="3"/>
  <c r="BQ956" i="3"/>
  <c r="BP956" i="3"/>
  <c r="BO956" i="3"/>
  <c r="BN956" i="3"/>
  <c r="DU955" i="3"/>
  <c r="DT955" i="3"/>
  <c r="DS955" i="3"/>
  <c r="DR955" i="3"/>
  <c r="DQ955" i="3"/>
  <c r="DP955" i="3"/>
  <c r="DO955" i="3"/>
  <c r="DN955" i="3"/>
  <c r="DM955" i="3"/>
  <c r="DL955" i="3"/>
  <c r="DK955" i="3"/>
  <c r="DJ955" i="3"/>
  <c r="DI955" i="3"/>
  <c r="DH955" i="3"/>
  <c r="DG955" i="3"/>
  <c r="DF955" i="3"/>
  <c r="DE955" i="3"/>
  <c r="DD955" i="3"/>
  <c r="DC955" i="3"/>
  <c r="DB955" i="3"/>
  <c r="DA955" i="3"/>
  <c r="CZ955" i="3"/>
  <c r="CY955" i="3"/>
  <c r="CX955" i="3"/>
  <c r="CW955" i="3"/>
  <c r="CV955" i="3"/>
  <c r="CU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C955" i="3"/>
  <c r="CB955" i="3"/>
  <c r="CA955" i="3"/>
  <c r="BZ955" i="3"/>
  <c r="BY955" i="3"/>
  <c r="BX955" i="3"/>
  <c r="BW955" i="3"/>
  <c r="BV955" i="3"/>
  <c r="BU955" i="3"/>
  <c r="BT955" i="3"/>
  <c r="BS955" i="3"/>
  <c r="BR955" i="3"/>
  <c r="BQ955" i="3"/>
  <c r="BP955" i="3"/>
  <c r="BO955" i="3"/>
  <c r="BN955" i="3"/>
  <c r="DU954" i="3"/>
  <c r="DT954" i="3"/>
  <c r="DS954" i="3"/>
  <c r="DR954" i="3"/>
  <c r="DQ954" i="3"/>
  <c r="DP954" i="3"/>
  <c r="DO954" i="3"/>
  <c r="DN954" i="3"/>
  <c r="DM954" i="3"/>
  <c r="DL954" i="3"/>
  <c r="DK954" i="3"/>
  <c r="DJ954" i="3"/>
  <c r="DI954" i="3"/>
  <c r="DH954" i="3"/>
  <c r="DG954" i="3"/>
  <c r="DF954" i="3"/>
  <c r="DE954" i="3"/>
  <c r="DD954" i="3"/>
  <c r="DC954" i="3"/>
  <c r="DB954" i="3"/>
  <c r="DA954" i="3"/>
  <c r="CZ954" i="3"/>
  <c r="CY954" i="3"/>
  <c r="CX954" i="3"/>
  <c r="CW954" i="3"/>
  <c r="CV954" i="3"/>
  <c r="CU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C954" i="3"/>
  <c r="CB954" i="3"/>
  <c r="CA954" i="3"/>
  <c r="BZ954" i="3"/>
  <c r="BY954" i="3"/>
  <c r="BX954" i="3"/>
  <c r="BW954" i="3"/>
  <c r="BV954" i="3"/>
  <c r="BU954" i="3"/>
  <c r="BT954" i="3"/>
  <c r="BS954" i="3"/>
  <c r="BR954" i="3"/>
  <c r="BQ954" i="3"/>
  <c r="BP954" i="3"/>
  <c r="BO954" i="3"/>
  <c r="BN954" i="3"/>
  <c r="DU953" i="3"/>
  <c r="DT953" i="3"/>
  <c r="DS953" i="3"/>
  <c r="DR953" i="3"/>
  <c r="DQ953" i="3"/>
  <c r="DP953" i="3"/>
  <c r="DO953" i="3"/>
  <c r="DN953" i="3"/>
  <c r="DM953" i="3"/>
  <c r="DL953" i="3"/>
  <c r="DK953" i="3"/>
  <c r="DJ953" i="3"/>
  <c r="DI953" i="3"/>
  <c r="DH953" i="3"/>
  <c r="DG953" i="3"/>
  <c r="DF953" i="3"/>
  <c r="DE953" i="3"/>
  <c r="DD953" i="3"/>
  <c r="DC953" i="3"/>
  <c r="DB953" i="3"/>
  <c r="DA953" i="3"/>
  <c r="CZ953" i="3"/>
  <c r="CY953" i="3"/>
  <c r="CX953" i="3"/>
  <c r="CW953" i="3"/>
  <c r="CV953" i="3"/>
  <c r="CU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C953" i="3"/>
  <c r="CB953" i="3"/>
  <c r="CA953" i="3"/>
  <c r="BZ953" i="3"/>
  <c r="BY953" i="3"/>
  <c r="BX953" i="3"/>
  <c r="BW953" i="3"/>
  <c r="BV953" i="3"/>
  <c r="BU953" i="3"/>
  <c r="BT953" i="3"/>
  <c r="BS953" i="3"/>
  <c r="BR953" i="3"/>
  <c r="BQ953" i="3"/>
  <c r="BP953" i="3"/>
  <c r="BO953" i="3"/>
  <c r="BN953" i="3"/>
  <c r="DU952" i="3"/>
  <c r="DT952" i="3"/>
  <c r="DS952" i="3"/>
  <c r="DR952" i="3"/>
  <c r="DQ952" i="3"/>
  <c r="DP952" i="3"/>
  <c r="DO952" i="3"/>
  <c r="DN952" i="3"/>
  <c r="DM952" i="3"/>
  <c r="DL952" i="3"/>
  <c r="DK952" i="3"/>
  <c r="DJ952" i="3"/>
  <c r="DI952" i="3"/>
  <c r="DH952" i="3"/>
  <c r="DG952" i="3"/>
  <c r="DF952" i="3"/>
  <c r="DE952" i="3"/>
  <c r="DD952" i="3"/>
  <c r="DC952" i="3"/>
  <c r="DB952" i="3"/>
  <c r="DA952" i="3"/>
  <c r="CZ952" i="3"/>
  <c r="CY952" i="3"/>
  <c r="CX952" i="3"/>
  <c r="CW952" i="3"/>
  <c r="CV952" i="3"/>
  <c r="CU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C952" i="3"/>
  <c r="CB952" i="3"/>
  <c r="CA952" i="3"/>
  <c r="BZ952" i="3"/>
  <c r="BY952" i="3"/>
  <c r="BX952" i="3"/>
  <c r="BW952" i="3"/>
  <c r="BV952" i="3"/>
  <c r="BU952" i="3"/>
  <c r="BT952" i="3"/>
  <c r="BS952" i="3"/>
  <c r="BR952" i="3"/>
  <c r="BQ952" i="3"/>
  <c r="BP952" i="3"/>
  <c r="BO952" i="3"/>
  <c r="BN952" i="3"/>
  <c r="DU951" i="3"/>
  <c r="DT951" i="3"/>
  <c r="DS951" i="3"/>
  <c r="DR951" i="3"/>
  <c r="DQ951" i="3"/>
  <c r="DP951" i="3"/>
  <c r="DO951" i="3"/>
  <c r="DN951" i="3"/>
  <c r="DM951" i="3"/>
  <c r="DL951" i="3"/>
  <c r="DK951" i="3"/>
  <c r="DJ951" i="3"/>
  <c r="DI951" i="3"/>
  <c r="DH951" i="3"/>
  <c r="DG951" i="3"/>
  <c r="DF951" i="3"/>
  <c r="DE951" i="3"/>
  <c r="DD951" i="3"/>
  <c r="DC951" i="3"/>
  <c r="DB951" i="3"/>
  <c r="DA951" i="3"/>
  <c r="CZ951" i="3"/>
  <c r="CY951" i="3"/>
  <c r="CX951" i="3"/>
  <c r="CW951" i="3"/>
  <c r="CV951" i="3"/>
  <c r="CU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C951" i="3"/>
  <c r="CB951" i="3"/>
  <c r="CA951" i="3"/>
  <c r="BZ951" i="3"/>
  <c r="BY951" i="3"/>
  <c r="BX951" i="3"/>
  <c r="BW951" i="3"/>
  <c r="BV951" i="3"/>
  <c r="BU951" i="3"/>
  <c r="BT951" i="3"/>
  <c r="BS951" i="3"/>
  <c r="BR951" i="3"/>
  <c r="BQ951" i="3"/>
  <c r="BP951" i="3"/>
  <c r="BO951" i="3"/>
  <c r="BN951" i="3"/>
  <c r="DU950" i="3"/>
  <c r="DT950" i="3"/>
  <c r="DS950" i="3"/>
  <c r="DR950" i="3"/>
  <c r="DQ950" i="3"/>
  <c r="DP950" i="3"/>
  <c r="DO950" i="3"/>
  <c r="DN950" i="3"/>
  <c r="DM950" i="3"/>
  <c r="DL950" i="3"/>
  <c r="DK950" i="3"/>
  <c r="DJ950" i="3"/>
  <c r="DI950" i="3"/>
  <c r="DH950" i="3"/>
  <c r="DG950" i="3"/>
  <c r="DF950" i="3"/>
  <c r="DE950" i="3"/>
  <c r="DD950" i="3"/>
  <c r="DC950" i="3"/>
  <c r="DB950" i="3"/>
  <c r="DA950" i="3"/>
  <c r="CZ950" i="3"/>
  <c r="CY950" i="3"/>
  <c r="CX950" i="3"/>
  <c r="CW950" i="3"/>
  <c r="CV950" i="3"/>
  <c r="CU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C950" i="3"/>
  <c r="CB950" i="3"/>
  <c r="CA950" i="3"/>
  <c r="BZ950" i="3"/>
  <c r="BY950" i="3"/>
  <c r="BX950" i="3"/>
  <c r="BW950" i="3"/>
  <c r="BV950" i="3"/>
  <c r="BU950" i="3"/>
  <c r="BT950" i="3"/>
  <c r="BS950" i="3"/>
  <c r="BR950" i="3"/>
  <c r="BQ950" i="3"/>
  <c r="BP950" i="3"/>
  <c r="BO950" i="3"/>
  <c r="BN950" i="3"/>
  <c r="DU949" i="3"/>
  <c r="DT949" i="3"/>
  <c r="DS949" i="3"/>
  <c r="DR949" i="3"/>
  <c r="DQ949" i="3"/>
  <c r="DP949" i="3"/>
  <c r="DO949" i="3"/>
  <c r="DN949" i="3"/>
  <c r="DM949" i="3"/>
  <c r="DL949" i="3"/>
  <c r="DK949" i="3"/>
  <c r="DJ949" i="3"/>
  <c r="DI949" i="3"/>
  <c r="DH949" i="3"/>
  <c r="DG949" i="3"/>
  <c r="DF949" i="3"/>
  <c r="DE949" i="3"/>
  <c r="DD949" i="3"/>
  <c r="DC949" i="3"/>
  <c r="DB949" i="3"/>
  <c r="DA949" i="3"/>
  <c r="CZ949" i="3"/>
  <c r="CY949" i="3"/>
  <c r="CX949" i="3"/>
  <c r="CW949" i="3"/>
  <c r="CV949" i="3"/>
  <c r="CU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C949" i="3"/>
  <c r="CB949" i="3"/>
  <c r="CA949" i="3"/>
  <c r="BZ949" i="3"/>
  <c r="BY949" i="3"/>
  <c r="BX949" i="3"/>
  <c r="BW949" i="3"/>
  <c r="BV949" i="3"/>
  <c r="BU949" i="3"/>
  <c r="BT949" i="3"/>
  <c r="BS949" i="3"/>
  <c r="BR949" i="3"/>
  <c r="BQ949" i="3"/>
  <c r="BP949" i="3"/>
  <c r="BO949" i="3"/>
  <c r="BN949" i="3"/>
  <c r="DU948" i="3"/>
  <c r="DT948" i="3"/>
  <c r="DS948" i="3"/>
  <c r="DR948" i="3"/>
  <c r="DQ948" i="3"/>
  <c r="DP948" i="3"/>
  <c r="DO948" i="3"/>
  <c r="DN948" i="3"/>
  <c r="DM948" i="3"/>
  <c r="DL948" i="3"/>
  <c r="DK948" i="3"/>
  <c r="DJ948" i="3"/>
  <c r="DI948" i="3"/>
  <c r="DH948" i="3"/>
  <c r="DG948" i="3"/>
  <c r="DF948" i="3"/>
  <c r="DE948" i="3"/>
  <c r="DD948" i="3"/>
  <c r="DC948" i="3"/>
  <c r="DB948" i="3"/>
  <c r="DA948" i="3"/>
  <c r="CZ948" i="3"/>
  <c r="CY948" i="3"/>
  <c r="CX948" i="3"/>
  <c r="CW948" i="3"/>
  <c r="CV948" i="3"/>
  <c r="CU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C948" i="3"/>
  <c r="CB948" i="3"/>
  <c r="CA948" i="3"/>
  <c r="BZ948" i="3"/>
  <c r="BY948" i="3"/>
  <c r="BX948" i="3"/>
  <c r="BW948" i="3"/>
  <c r="BV948" i="3"/>
  <c r="BU948" i="3"/>
  <c r="BT948" i="3"/>
  <c r="BS948" i="3"/>
  <c r="BR948" i="3"/>
  <c r="BQ948" i="3"/>
  <c r="BP948" i="3"/>
  <c r="BO948" i="3"/>
  <c r="BN948" i="3"/>
  <c r="DU947" i="3"/>
  <c r="DT947" i="3"/>
  <c r="DS947" i="3"/>
  <c r="DR947" i="3"/>
  <c r="DQ947" i="3"/>
  <c r="DP947" i="3"/>
  <c r="DO947" i="3"/>
  <c r="DN947" i="3"/>
  <c r="DM947" i="3"/>
  <c r="DL947" i="3"/>
  <c r="DK947" i="3"/>
  <c r="DJ947" i="3"/>
  <c r="DI947" i="3"/>
  <c r="DH947" i="3"/>
  <c r="DG947" i="3"/>
  <c r="DF947" i="3"/>
  <c r="DE947" i="3"/>
  <c r="DD947" i="3"/>
  <c r="DC947" i="3"/>
  <c r="DB947" i="3"/>
  <c r="DA947" i="3"/>
  <c r="CZ947" i="3"/>
  <c r="CY947" i="3"/>
  <c r="CX947" i="3"/>
  <c r="CW947" i="3"/>
  <c r="CV947" i="3"/>
  <c r="CU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C947" i="3"/>
  <c r="CB947" i="3"/>
  <c r="CA947" i="3"/>
  <c r="BZ947" i="3"/>
  <c r="BY947" i="3"/>
  <c r="BX947" i="3"/>
  <c r="BW947" i="3"/>
  <c r="BV947" i="3"/>
  <c r="BU947" i="3"/>
  <c r="BT947" i="3"/>
  <c r="BS947" i="3"/>
  <c r="BR947" i="3"/>
  <c r="BQ947" i="3"/>
  <c r="BP947" i="3"/>
  <c r="BO947" i="3"/>
  <c r="BN947" i="3"/>
  <c r="DU946" i="3"/>
  <c r="DT946" i="3"/>
  <c r="DS946" i="3"/>
  <c r="DR946" i="3"/>
  <c r="DQ946" i="3"/>
  <c r="DP946" i="3"/>
  <c r="DO946" i="3"/>
  <c r="DN946" i="3"/>
  <c r="DM946" i="3"/>
  <c r="DL946" i="3"/>
  <c r="DK946" i="3"/>
  <c r="DJ946" i="3"/>
  <c r="DI946" i="3"/>
  <c r="DH946" i="3"/>
  <c r="DG946" i="3"/>
  <c r="DF946" i="3"/>
  <c r="DE946" i="3"/>
  <c r="DD946" i="3"/>
  <c r="DC946" i="3"/>
  <c r="DB946" i="3"/>
  <c r="DA946" i="3"/>
  <c r="CZ946" i="3"/>
  <c r="CY946" i="3"/>
  <c r="CX946" i="3"/>
  <c r="CW946" i="3"/>
  <c r="CV946" i="3"/>
  <c r="CU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C946" i="3"/>
  <c r="CB946" i="3"/>
  <c r="CA946" i="3"/>
  <c r="BZ946" i="3"/>
  <c r="BY946" i="3"/>
  <c r="BX946" i="3"/>
  <c r="BW946" i="3"/>
  <c r="BV946" i="3"/>
  <c r="BU946" i="3"/>
  <c r="BT946" i="3"/>
  <c r="BS946" i="3"/>
  <c r="BR946" i="3"/>
  <c r="BQ946" i="3"/>
  <c r="BP946" i="3"/>
  <c r="BO946" i="3"/>
  <c r="BN946" i="3"/>
  <c r="DU945" i="3"/>
  <c r="DT945" i="3"/>
  <c r="DS945" i="3"/>
  <c r="DR945" i="3"/>
  <c r="DQ945" i="3"/>
  <c r="DP945" i="3"/>
  <c r="DO945" i="3"/>
  <c r="DN945" i="3"/>
  <c r="DM945" i="3"/>
  <c r="DL945" i="3"/>
  <c r="DK945" i="3"/>
  <c r="DJ945" i="3"/>
  <c r="DI945" i="3"/>
  <c r="DH945" i="3"/>
  <c r="DG945" i="3"/>
  <c r="DF945" i="3"/>
  <c r="DE945" i="3"/>
  <c r="DD945" i="3"/>
  <c r="DC945" i="3"/>
  <c r="DB945" i="3"/>
  <c r="DA945" i="3"/>
  <c r="CZ945" i="3"/>
  <c r="CY945" i="3"/>
  <c r="CX945" i="3"/>
  <c r="CW945" i="3"/>
  <c r="CV945" i="3"/>
  <c r="CU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C945" i="3"/>
  <c r="CB945" i="3"/>
  <c r="CA945" i="3"/>
  <c r="BZ945" i="3"/>
  <c r="BY945" i="3"/>
  <c r="BX945" i="3"/>
  <c r="BW945" i="3"/>
  <c r="BV945" i="3"/>
  <c r="BU945" i="3"/>
  <c r="BT945" i="3"/>
  <c r="BS945" i="3"/>
  <c r="BR945" i="3"/>
  <c r="BQ945" i="3"/>
  <c r="BP945" i="3"/>
  <c r="BO945" i="3"/>
  <c r="BN945" i="3"/>
  <c r="DU944" i="3"/>
  <c r="DT944" i="3"/>
  <c r="DS944" i="3"/>
  <c r="DR944" i="3"/>
  <c r="DQ944" i="3"/>
  <c r="DP944" i="3"/>
  <c r="DO944" i="3"/>
  <c r="DN944" i="3"/>
  <c r="DM944" i="3"/>
  <c r="DL944" i="3"/>
  <c r="DK944" i="3"/>
  <c r="DJ944" i="3"/>
  <c r="DI944" i="3"/>
  <c r="DH944" i="3"/>
  <c r="DG944" i="3"/>
  <c r="DF944" i="3"/>
  <c r="DE944" i="3"/>
  <c r="DD944" i="3"/>
  <c r="DC944" i="3"/>
  <c r="DB944" i="3"/>
  <c r="DA944" i="3"/>
  <c r="CZ944" i="3"/>
  <c r="CY944" i="3"/>
  <c r="CX944" i="3"/>
  <c r="CW944" i="3"/>
  <c r="CV944" i="3"/>
  <c r="CU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C944" i="3"/>
  <c r="CB944" i="3"/>
  <c r="CA944" i="3"/>
  <c r="BZ944" i="3"/>
  <c r="BY944" i="3"/>
  <c r="BX944" i="3"/>
  <c r="BW944" i="3"/>
  <c r="BV944" i="3"/>
  <c r="BU944" i="3"/>
  <c r="BT944" i="3"/>
  <c r="BS944" i="3"/>
  <c r="BR944" i="3"/>
  <c r="BQ944" i="3"/>
  <c r="BP944" i="3"/>
  <c r="BO944" i="3"/>
  <c r="BN944" i="3"/>
  <c r="DU943" i="3"/>
  <c r="DT943" i="3"/>
  <c r="DS943" i="3"/>
  <c r="DR943" i="3"/>
  <c r="DQ943" i="3"/>
  <c r="DP943" i="3"/>
  <c r="DO943" i="3"/>
  <c r="DN943" i="3"/>
  <c r="DM943" i="3"/>
  <c r="DL943" i="3"/>
  <c r="DK943" i="3"/>
  <c r="DJ943" i="3"/>
  <c r="DI943" i="3"/>
  <c r="DH943" i="3"/>
  <c r="DG943" i="3"/>
  <c r="DF943" i="3"/>
  <c r="DE943" i="3"/>
  <c r="DD943" i="3"/>
  <c r="DC943" i="3"/>
  <c r="DB943" i="3"/>
  <c r="DA943" i="3"/>
  <c r="CZ943" i="3"/>
  <c r="CY943" i="3"/>
  <c r="CX943" i="3"/>
  <c r="CW943" i="3"/>
  <c r="CV943" i="3"/>
  <c r="CU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C943" i="3"/>
  <c r="CB943" i="3"/>
  <c r="CA943" i="3"/>
  <c r="BZ943" i="3"/>
  <c r="BY943" i="3"/>
  <c r="BX943" i="3"/>
  <c r="BW943" i="3"/>
  <c r="BV943" i="3"/>
  <c r="BU943" i="3"/>
  <c r="BT943" i="3"/>
  <c r="BS943" i="3"/>
  <c r="BR943" i="3"/>
  <c r="BQ943" i="3"/>
  <c r="BP943" i="3"/>
  <c r="BO943" i="3"/>
  <c r="BN943" i="3"/>
  <c r="DU942" i="3"/>
  <c r="DT942" i="3"/>
  <c r="DS942" i="3"/>
  <c r="DR942" i="3"/>
  <c r="DQ942" i="3"/>
  <c r="DP942" i="3"/>
  <c r="DO942" i="3"/>
  <c r="DN942" i="3"/>
  <c r="DM942" i="3"/>
  <c r="DL942" i="3"/>
  <c r="DK942" i="3"/>
  <c r="DJ942" i="3"/>
  <c r="DI942" i="3"/>
  <c r="DH942" i="3"/>
  <c r="DG942" i="3"/>
  <c r="DF942" i="3"/>
  <c r="DE942" i="3"/>
  <c r="DD942" i="3"/>
  <c r="DC942" i="3"/>
  <c r="DB942" i="3"/>
  <c r="DA942" i="3"/>
  <c r="CZ942" i="3"/>
  <c r="CY942" i="3"/>
  <c r="CX942" i="3"/>
  <c r="CW942" i="3"/>
  <c r="CV942" i="3"/>
  <c r="CU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C942" i="3"/>
  <c r="CB942" i="3"/>
  <c r="CA942" i="3"/>
  <c r="BZ942" i="3"/>
  <c r="BY942" i="3"/>
  <c r="BX942" i="3"/>
  <c r="BW942" i="3"/>
  <c r="BV942" i="3"/>
  <c r="BU942" i="3"/>
  <c r="BT942" i="3"/>
  <c r="BS942" i="3"/>
  <c r="BR942" i="3"/>
  <c r="BQ942" i="3"/>
  <c r="BP942" i="3"/>
  <c r="BO942" i="3"/>
  <c r="BN942" i="3"/>
  <c r="DU941" i="3"/>
  <c r="DT941" i="3"/>
  <c r="DS941" i="3"/>
  <c r="DR941" i="3"/>
  <c r="DQ941" i="3"/>
  <c r="DP941" i="3"/>
  <c r="DO941" i="3"/>
  <c r="DN941" i="3"/>
  <c r="DM941" i="3"/>
  <c r="DL941" i="3"/>
  <c r="DK941" i="3"/>
  <c r="DJ941" i="3"/>
  <c r="DI941" i="3"/>
  <c r="DH941" i="3"/>
  <c r="DG941" i="3"/>
  <c r="DF941" i="3"/>
  <c r="DE941" i="3"/>
  <c r="DD941" i="3"/>
  <c r="DC941" i="3"/>
  <c r="DB941" i="3"/>
  <c r="DA941" i="3"/>
  <c r="CZ941" i="3"/>
  <c r="CY941" i="3"/>
  <c r="CX941" i="3"/>
  <c r="CW941" i="3"/>
  <c r="CV941" i="3"/>
  <c r="CU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C941" i="3"/>
  <c r="CB941" i="3"/>
  <c r="CA941" i="3"/>
  <c r="BZ941" i="3"/>
  <c r="BY941" i="3"/>
  <c r="BX941" i="3"/>
  <c r="BW941" i="3"/>
  <c r="BV941" i="3"/>
  <c r="BU941" i="3"/>
  <c r="BT941" i="3"/>
  <c r="BS941" i="3"/>
  <c r="BR941" i="3"/>
  <c r="BQ941" i="3"/>
  <c r="BP941" i="3"/>
  <c r="BO941" i="3"/>
  <c r="BN941" i="3"/>
  <c r="DU940" i="3"/>
  <c r="DT940" i="3"/>
  <c r="DS940" i="3"/>
  <c r="DR940" i="3"/>
  <c r="DQ940" i="3"/>
  <c r="DP940" i="3"/>
  <c r="DO940" i="3"/>
  <c r="DN940" i="3"/>
  <c r="DM940" i="3"/>
  <c r="DL940" i="3"/>
  <c r="DK940" i="3"/>
  <c r="DJ940" i="3"/>
  <c r="DI940" i="3"/>
  <c r="DH940" i="3"/>
  <c r="DG940" i="3"/>
  <c r="DF940" i="3"/>
  <c r="DE940" i="3"/>
  <c r="DD940" i="3"/>
  <c r="DC940" i="3"/>
  <c r="DB940" i="3"/>
  <c r="DA940" i="3"/>
  <c r="CZ940" i="3"/>
  <c r="CY940" i="3"/>
  <c r="CX940" i="3"/>
  <c r="CW940" i="3"/>
  <c r="CV940" i="3"/>
  <c r="CU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C940" i="3"/>
  <c r="CB940" i="3"/>
  <c r="CA940" i="3"/>
  <c r="BZ940" i="3"/>
  <c r="BY940" i="3"/>
  <c r="BX940" i="3"/>
  <c r="BW940" i="3"/>
  <c r="BV940" i="3"/>
  <c r="BU940" i="3"/>
  <c r="BT940" i="3"/>
  <c r="BS940" i="3"/>
  <c r="BR940" i="3"/>
  <c r="BQ940" i="3"/>
  <c r="BP940" i="3"/>
  <c r="BO940" i="3"/>
  <c r="BN940" i="3"/>
  <c r="DU939" i="3"/>
  <c r="DT939" i="3"/>
  <c r="DS939" i="3"/>
  <c r="DR939" i="3"/>
  <c r="DQ939" i="3"/>
  <c r="DP939" i="3"/>
  <c r="DO939" i="3"/>
  <c r="DN939" i="3"/>
  <c r="DM939" i="3"/>
  <c r="DL939" i="3"/>
  <c r="DK939" i="3"/>
  <c r="DJ939" i="3"/>
  <c r="DI939" i="3"/>
  <c r="DH939" i="3"/>
  <c r="DG939" i="3"/>
  <c r="DF939" i="3"/>
  <c r="DE939" i="3"/>
  <c r="DD939" i="3"/>
  <c r="DC939" i="3"/>
  <c r="DB939" i="3"/>
  <c r="DA939" i="3"/>
  <c r="CZ939" i="3"/>
  <c r="CY939" i="3"/>
  <c r="CX939" i="3"/>
  <c r="CW939" i="3"/>
  <c r="CV939" i="3"/>
  <c r="CU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C939" i="3"/>
  <c r="CB939" i="3"/>
  <c r="CA939" i="3"/>
  <c r="BZ939" i="3"/>
  <c r="BY939" i="3"/>
  <c r="BX939" i="3"/>
  <c r="BW939" i="3"/>
  <c r="BV939" i="3"/>
  <c r="BU939" i="3"/>
  <c r="BT939" i="3"/>
  <c r="BS939" i="3"/>
  <c r="BR939" i="3"/>
  <c r="BQ939" i="3"/>
  <c r="BP939" i="3"/>
  <c r="BO939" i="3"/>
  <c r="BN939" i="3"/>
  <c r="DU938" i="3"/>
  <c r="DT938" i="3"/>
  <c r="DS938" i="3"/>
  <c r="DR938" i="3"/>
  <c r="DQ938" i="3"/>
  <c r="DP938" i="3"/>
  <c r="DO938" i="3"/>
  <c r="DN938" i="3"/>
  <c r="DM938" i="3"/>
  <c r="DL938" i="3"/>
  <c r="DK938" i="3"/>
  <c r="DJ938" i="3"/>
  <c r="DI938" i="3"/>
  <c r="DH938" i="3"/>
  <c r="DG938" i="3"/>
  <c r="DF938" i="3"/>
  <c r="DE938" i="3"/>
  <c r="DD938" i="3"/>
  <c r="DC938" i="3"/>
  <c r="DB938" i="3"/>
  <c r="DA938" i="3"/>
  <c r="CZ938" i="3"/>
  <c r="CY938" i="3"/>
  <c r="CX938" i="3"/>
  <c r="CW938" i="3"/>
  <c r="CV938" i="3"/>
  <c r="CU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C938" i="3"/>
  <c r="CB938" i="3"/>
  <c r="CA938" i="3"/>
  <c r="BZ938" i="3"/>
  <c r="BY938" i="3"/>
  <c r="BX938" i="3"/>
  <c r="BW938" i="3"/>
  <c r="BV938" i="3"/>
  <c r="BU938" i="3"/>
  <c r="BT938" i="3"/>
  <c r="BS938" i="3"/>
  <c r="BR938" i="3"/>
  <c r="BQ938" i="3"/>
  <c r="BP938" i="3"/>
  <c r="BO938" i="3"/>
  <c r="BN938" i="3"/>
  <c r="DU937" i="3"/>
  <c r="DT937" i="3"/>
  <c r="DS937" i="3"/>
  <c r="DR937" i="3"/>
  <c r="DQ937" i="3"/>
  <c r="DP937" i="3"/>
  <c r="DO937" i="3"/>
  <c r="DN937" i="3"/>
  <c r="DM937" i="3"/>
  <c r="DL937" i="3"/>
  <c r="DK937" i="3"/>
  <c r="DJ937" i="3"/>
  <c r="DI937" i="3"/>
  <c r="DH937" i="3"/>
  <c r="DG937" i="3"/>
  <c r="DF937" i="3"/>
  <c r="DE937" i="3"/>
  <c r="DD937" i="3"/>
  <c r="DC937" i="3"/>
  <c r="DB937" i="3"/>
  <c r="DA937" i="3"/>
  <c r="CZ937" i="3"/>
  <c r="CY937" i="3"/>
  <c r="CX937" i="3"/>
  <c r="CW937" i="3"/>
  <c r="CV937" i="3"/>
  <c r="CU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C937" i="3"/>
  <c r="CB937" i="3"/>
  <c r="CA937" i="3"/>
  <c r="BZ937" i="3"/>
  <c r="BY937" i="3"/>
  <c r="BX937" i="3"/>
  <c r="BW937" i="3"/>
  <c r="BV937" i="3"/>
  <c r="BU937" i="3"/>
  <c r="BT937" i="3"/>
  <c r="BS937" i="3"/>
  <c r="BR937" i="3"/>
  <c r="BQ937" i="3"/>
  <c r="BP937" i="3"/>
  <c r="BO937" i="3"/>
  <c r="BN937" i="3"/>
  <c r="DU936" i="3"/>
  <c r="DT936" i="3"/>
  <c r="DS936" i="3"/>
  <c r="DR936" i="3"/>
  <c r="DQ936" i="3"/>
  <c r="DP936" i="3"/>
  <c r="DO936" i="3"/>
  <c r="DN936" i="3"/>
  <c r="DM936" i="3"/>
  <c r="DL936" i="3"/>
  <c r="DK936" i="3"/>
  <c r="DJ936" i="3"/>
  <c r="DI936" i="3"/>
  <c r="DH936" i="3"/>
  <c r="DG936" i="3"/>
  <c r="DF936" i="3"/>
  <c r="DE936" i="3"/>
  <c r="DD936" i="3"/>
  <c r="DC936" i="3"/>
  <c r="DB936" i="3"/>
  <c r="DA936" i="3"/>
  <c r="CZ936" i="3"/>
  <c r="CY936" i="3"/>
  <c r="CX936" i="3"/>
  <c r="CW936" i="3"/>
  <c r="CV936" i="3"/>
  <c r="CU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C936" i="3"/>
  <c r="CB936" i="3"/>
  <c r="CA936" i="3"/>
  <c r="BZ936" i="3"/>
  <c r="BY936" i="3"/>
  <c r="BX936" i="3"/>
  <c r="BW936" i="3"/>
  <c r="BV936" i="3"/>
  <c r="BU936" i="3"/>
  <c r="BT936" i="3"/>
  <c r="BS936" i="3"/>
  <c r="BR936" i="3"/>
  <c r="BQ936" i="3"/>
  <c r="BP936" i="3"/>
  <c r="BO936" i="3"/>
  <c r="BN936" i="3"/>
  <c r="DU935" i="3"/>
  <c r="DT935" i="3"/>
  <c r="DS935" i="3"/>
  <c r="DR935" i="3"/>
  <c r="DQ935" i="3"/>
  <c r="DP935" i="3"/>
  <c r="DO935" i="3"/>
  <c r="DN935" i="3"/>
  <c r="DM935" i="3"/>
  <c r="DL935" i="3"/>
  <c r="DK935" i="3"/>
  <c r="DJ935" i="3"/>
  <c r="DI935" i="3"/>
  <c r="DH935" i="3"/>
  <c r="DG935" i="3"/>
  <c r="DF935" i="3"/>
  <c r="DE935" i="3"/>
  <c r="DD935" i="3"/>
  <c r="DC935" i="3"/>
  <c r="DB935" i="3"/>
  <c r="DA935" i="3"/>
  <c r="CZ935" i="3"/>
  <c r="CY935" i="3"/>
  <c r="CX935" i="3"/>
  <c r="CW935" i="3"/>
  <c r="CV935" i="3"/>
  <c r="CU935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C935" i="3"/>
  <c r="CB935" i="3"/>
  <c r="CA935" i="3"/>
  <c r="BZ935" i="3"/>
  <c r="BY935" i="3"/>
  <c r="BX935" i="3"/>
  <c r="BW935" i="3"/>
  <c r="BV935" i="3"/>
  <c r="BU935" i="3"/>
  <c r="BT935" i="3"/>
  <c r="BS935" i="3"/>
  <c r="BR935" i="3"/>
  <c r="BQ935" i="3"/>
  <c r="BP935" i="3"/>
  <c r="BO935" i="3"/>
  <c r="BN935" i="3"/>
  <c r="DU934" i="3"/>
  <c r="DT934" i="3"/>
  <c r="DS934" i="3"/>
  <c r="DR934" i="3"/>
  <c r="DQ934" i="3"/>
  <c r="DP934" i="3"/>
  <c r="DO934" i="3"/>
  <c r="DN934" i="3"/>
  <c r="DM934" i="3"/>
  <c r="DL934" i="3"/>
  <c r="DK934" i="3"/>
  <c r="DJ934" i="3"/>
  <c r="DI934" i="3"/>
  <c r="DH934" i="3"/>
  <c r="DG934" i="3"/>
  <c r="DF934" i="3"/>
  <c r="DE934" i="3"/>
  <c r="DD934" i="3"/>
  <c r="DC934" i="3"/>
  <c r="DB934" i="3"/>
  <c r="DA934" i="3"/>
  <c r="CZ934" i="3"/>
  <c r="CY934" i="3"/>
  <c r="CX934" i="3"/>
  <c r="CW934" i="3"/>
  <c r="CV934" i="3"/>
  <c r="CU934" i="3"/>
  <c r="CT934" i="3"/>
  <c r="CS934" i="3"/>
  <c r="CR934" i="3"/>
  <c r="CQ934" i="3"/>
  <c r="CP934" i="3"/>
  <c r="CO934" i="3"/>
  <c r="CN934" i="3"/>
  <c r="CM934" i="3"/>
  <c r="CL934" i="3"/>
  <c r="CK934" i="3"/>
  <c r="CJ934" i="3"/>
  <c r="CI934" i="3"/>
  <c r="CH934" i="3"/>
  <c r="CG934" i="3"/>
  <c r="CF934" i="3"/>
  <c r="CE934" i="3"/>
  <c r="CD934" i="3"/>
  <c r="CC934" i="3"/>
  <c r="CB934" i="3"/>
  <c r="CA934" i="3"/>
  <c r="BZ934" i="3"/>
  <c r="BY934" i="3"/>
  <c r="BX934" i="3"/>
  <c r="BW934" i="3"/>
  <c r="BV934" i="3"/>
  <c r="BU934" i="3"/>
  <c r="BT934" i="3"/>
  <c r="BS934" i="3"/>
  <c r="BR934" i="3"/>
  <c r="BQ934" i="3"/>
  <c r="BP934" i="3"/>
  <c r="BO934" i="3"/>
  <c r="BN934" i="3"/>
  <c r="DU933" i="3"/>
  <c r="DT933" i="3"/>
  <c r="DS933" i="3"/>
  <c r="DR933" i="3"/>
  <c r="DQ933" i="3"/>
  <c r="DP933" i="3"/>
  <c r="DO933" i="3"/>
  <c r="DN933" i="3"/>
  <c r="DM933" i="3"/>
  <c r="DL933" i="3"/>
  <c r="DK933" i="3"/>
  <c r="DJ933" i="3"/>
  <c r="DI933" i="3"/>
  <c r="DH933" i="3"/>
  <c r="DG933" i="3"/>
  <c r="DF933" i="3"/>
  <c r="DE933" i="3"/>
  <c r="DD933" i="3"/>
  <c r="DC933" i="3"/>
  <c r="DB933" i="3"/>
  <c r="DA933" i="3"/>
  <c r="CZ933" i="3"/>
  <c r="CY933" i="3"/>
  <c r="CX933" i="3"/>
  <c r="CW933" i="3"/>
  <c r="CV933" i="3"/>
  <c r="CU933" i="3"/>
  <c r="CT933" i="3"/>
  <c r="CS933" i="3"/>
  <c r="CR933" i="3"/>
  <c r="CQ933" i="3"/>
  <c r="CP933" i="3"/>
  <c r="CO933" i="3"/>
  <c r="CN933" i="3"/>
  <c r="CM933" i="3"/>
  <c r="CL933" i="3"/>
  <c r="CK933" i="3"/>
  <c r="CJ933" i="3"/>
  <c r="CI933" i="3"/>
  <c r="CH933" i="3"/>
  <c r="CG933" i="3"/>
  <c r="CF933" i="3"/>
  <c r="CE933" i="3"/>
  <c r="CD933" i="3"/>
  <c r="CC933" i="3"/>
  <c r="CB933" i="3"/>
  <c r="CA933" i="3"/>
  <c r="BZ933" i="3"/>
  <c r="BY933" i="3"/>
  <c r="BX933" i="3"/>
  <c r="BW933" i="3"/>
  <c r="BV933" i="3"/>
  <c r="BU933" i="3"/>
  <c r="BT933" i="3"/>
  <c r="BS933" i="3"/>
  <c r="BR933" i="3"/>
  <c r="BQ933" i="3"/>
  <c r="BP933" i="3"/>
  <c r="BO933" i="3"/>
  <c r="BN933" i="3"/>
  <c r="DU932" i="3"/>
  <c r="DT932" i="3"/>
  <c r="DS932" i="3"/>
  <c r="DR932" i="3"/>
  <c r="DQ932" i="3"/>
  <c r="DP932" i="3"/>
  <c r="DO932" i="3"/>
  <c r="DN932" i="3"/>
  <c r="DM932" i="3"/>
  <c r="DL932" i="3"/>
  <c r="DK932" i="3"/>
  <c r="DJ932" i="3"/>
  <c r="DI932" i="3"/>
  <c r="DH932" i="3"/>
  <c r="DG932" i="3"/>
  <c r="DF932" i="3"/>
  <c r="DE932" i="3"/>
  <c r="DD932" i="3"/>
  <c r="DC932" i="3"/>
  <c r="DB932" i="3"/>
  <c r="DA932" i="3"/>
  <c r="CZ932" i="3"/>
  <c r="CY932" i="3"/>
  <c r="CX932" i="3"/>
  <c r="CW932" i="3"/>
  <c r="CV932" i="3"/>
  <c r="CU932" i="3"/>
  <c r="CT932" i="3"/>
  <c r="CS932" i="3"/>
  <c r="CR932" i="3"/>
  <c r="CQ932" i="3"/>
  <c r="CP932" i="3"/>
  <c r="CO932" i="3"/>
  <c r="CN932" i="3"/>
  <c r="CM932" i="3"/>
  <c r="CL932" i="3"/>
  <c r="CK932" i="3"/>
  <c r="CJ932" i="3"/>
  <c r="CI932" i="3"/>
  <c r="CH932" i="3"/>
  <c r="CG932" i="3"/>
  <c r="CF932" i="3"/>
  <c r="CE932" i="3"/>
  <c r="CD932" i="3"/>
  <c r="CC932" i="3"/>
  <c r="CB932" i="3"/>
  <c r="CA932" i="3"/>
  <c r="BZ932" i="3"/>
  <c r="BY932" i="3"/>
  <c r="BX932" i="3"/>
  <c r="BW932" i="3"/>
  <c r="BV932" i="3"/>
  <c r="BU932" i="3"/>
  <c r="BT932" i="3"/>
  <c r="BS932" i="3"/>
  <c r="BR932" i="3"/>
  <c r="BQ932" i="3"/>
  <c r="BP932" i="3"/>
  <c r="BO932" i="3"/>
  <c r="BN932" i="3"/>
  <c r="DU931" i="3"/>
  <c r="DT931" i="3"/>
  <c r="DS931" i="3"/>
  <c r="DR931" i="3"/>
  <c r="DQ931" i="3"/>
  <c r="DP931" i="3"/>
  <c r="DO931" i="3"/>
  <c r="DN931" i="3"/>
  <c r="DM931" i="3"/>
  <c r="DL931" i="3"/>
  <c r="DK931" i="3"/>
  <c r="DJ931" i="3"/>
  <c r="DI931" i="3"/>
  <c r="DH931" i="3"/>
  <c r="DG931" i="3"/>
  <c r="DF931" i="3"/>
  <c r="DE931" i="3"/>
  <c r="DD931" i="3"/>
  <c r="DC931" i="3"/>
  <c r="DB931" i="3"/>
  <c r="DA931" i="3"/>
  <c r="CZ931" i="3"/>
  <c r="CY931" i="3"/>
  <c r="CX931" i="3"/>
  <c r="CW931" i="3"/>
  <c r="CV931" i="3"/>
  <c r="CU931" i="3"/>
  <c r="CT931" i="3"/>
  <c r="CS931" i="3"/>
  <c r="CR931" i="3"/>
  <c r="CQ931" i="3"/>
  <c r="CP931" i="3"/>
  <c r="CO931" i="3"/>
  <c r="CN931" i="3"/>
  <c r="CM931" i="3"/>
  <c r="CL931" i="3"/>
  <c r="CK931" i="3"/>
  <c r="CJ931" i="3"/>
  <c r="CI931" i="3"/>
  <c r="CH931" i="3"/>
  <c r="CG931" i="3"/>
  <c r="CF931" i="3"/>
  <c r="CE931" i="3"/>
  <c r="CD931" i="3"/>
  <c r="CC931" i="3"/>
  <c r="CB931" i="3"/>
  <c r="CA931" i="3"/>
  <c r="BZ931" i="3"/>
  <c r="BY931" i="3"/>
  <c r="BX931" i="3"/>
  <c r="BW931" i="3"/>
  <c r="BV931" i="3"/>
  <c r="BU931" i="3"/>
  <c r="BT931" i="3"/>
  <c r="BS931" i="3"/>
  <c r="BR931" i="3"/>
  <c r="BQ931" i="3"/>
  <c r="BP931" i="3"/>
  <c r="BO931" i="3"/>
  <c r="BN931" i="3"/>
  <c r="DU930" i="3"/>
  <c r="DT930" i="3"/>
  <c r="DS930" i="3"/>
  <c r="DR930" i="3"/>
  <c r="DQ930" i="3"/>
  <c r="DP930" i="3"/>
  <c r="DO930" i="3"/>
  <c r="DN930" i="3"/>
  <c r="DM930" i="3"/>
  <c r="DL930" i="3"/>
  <c r="DK930" i="3"/>
  <c r="DJ930" i="3"/>
  <c r="DI930" i="3"/>
  <c r="DH930" i="3"/>
  <c r="DG930" i="3"/>
  <c r="DF930" i="3"/>
  <c r="DE930" i="3"/>
  <c r="DD930" i="3"/>
  <c r="DC930" i="3"/>
  <c r="DB930" i="3"/>
  <c r="DA930" i="3"/>
  <c r="CZ930" i="3"/>
  <c r="CY930" i="3"/>
  <c r="CX930" i="3"/>
  <c r="CW930" i="3"/>
  <c r="CV930" i="3"/>
  <c r="CU930" i="3"/>
  <c r="CT930" i="3"/>
  <c r="CS930" i="3"/>
  <c r="CR930" i="3"/>
  <c r="CQ930" i="3"/>
  <c r="CP930" i="3"/>
  <c r="CO930" i="3"/>
  <c r="CN930" i="3"/>
  <c r="CM930" i="3"/>
  <c r="CL930" i="3"/>
  <c r="CK930" i="3"/>
  <c r="CJ930" i="3"/>
  <c r="CI930" i="3"/>
  <c r="CH930" i="3"/>
  <c r="CG930" i="3"/>
  <c r="CF930" i="3"/>
  <c r="CE930" i="3"/>
  <c r="CD930" i="3"/>
  <c r="CC930" i="3"/>
  <c r="CB930" i="3"/>
  <c r="CA930" i="3"/>
  <c r="BZ930" i="3"/>
  <c r="BY930" i="3"/>
  <c r="BX930" i="3"/>
  <c r="BW930" i="3"/>
  <c r="BV930" i="3"/>
  <c r="BU930" i="3"/>
  <c r="BT930" i="3"/>
  <c r="BS930" i="3"/>
  <c r="BR930" i="3"/>
  <c r="BQ930" i="3"/>
  <c r="BP930" i="3"/>
  <c r="BO930" i="3"/>
  <c r="BN930" i="3"/>
  <c r="DU929" i="3"/>
  <c r="DT929" i="3"/>
  <c r="DS929" i="3"/>
  <c r="DR929" i="3"/>
  <c r="DQ929" i="3"/>
  <c r="DP929" i="3"/>
  <c r="DO929" i="3"/>
  <c r="DN929" i="3"/>
  <c r="DM929" i="3"/>
  <c r="DL929" i="3"/>
  <c r="DK929" i="3"/>
  <c r="DJ929" i="3"/>
  <c r="DI929" i="3"/>
  <c r="DH929" i="3"/>
  <c r="DG929" i="3"/>
  <c r="DF929" i="3"/>
  <c r="DE929" i="3"/>
  <c r="DD929" i="3"/>
  <c r="DC929" i="3"/>
  <c r="DB929" i="3"/>
  <c r="DA929" i="3"/>
  <c r="CZ929" i="3"/>
  <c r="CY929" i="3"/>
  <c r="CX929" i="3"/>
  <c r="CW929" i="3"/>
  <c r="CV929" i="3"/>
  <c r="CU929" i="3"/>
  <c r="CT929" i="3"/>
  <c r="CS929" i="3"/>
  <c r="CR929" i="3"/>
  <c r="CQ929" i="3"/>
  <c r="CP929" i="3"/>
  <c r="CO929" i="3"/>
  <c r="CN929" i="3"/>
  <c r="CM929" i="3"/>
  <c r="CL929" i="3"/>
  <c r="CK929" i="3"/>
  <c r="CJ929" i="3"/>
  <c r="CI929" i="3"/>
  <c r="CH929" i="3"/>
  <c r="CG929" i="3"/>
  <c r="CF929" i="3"/>
  <c r="CE929" i="3"/>
  <c r="CD929" i="3"/>
  <c r="CC929" i="3"/>
  <c r="CB929" i="3"/>
  <c r="CA929" i="3"/>
  <c r="BZ929" i="3"/>
  <c r="BY929" i="3"/>
  <c r="BX929" i="3"/>
  <c r="BW929" i="3"/>
  <c r="BV929" i="3"/>
  <c r="BU929" i="3"/>
  <c r="BT929" i="3"/>
  <c r="BS929" i="3"/>
  <c r="BR929" i="3"/>
  <c r="BQ929" i="3"/>
  <c r="BP929" i="3"/>
  <c r="BO929" i="3"/>
  <c r="BN929" i="3"/>
  <c r="DU928" i="3"/>
  <c r="DT928" i="3"/>
  <c r="DS928" i="3"/>
  <c r="DR928" i="3"/>
  <c r="DQ928" i="3"/>
  <c r="DP928" i="3"/>
  <c r="DO928" i="3"/>
  <c r="DN928" i="3"/>
  <c r="DM928" i="3"/>
  <c r="DL928" i="3"/>
  <c r="DK928" i="3"/>
  <c r="DJ928" i="3"/>
  <c r="DI928" i="3"/>
  <c r="DH928" i="3"/>
  <c r="DG928" i="3"/>
  <c r="DF928" i="3"/>
  <c r="DE928" i="3"/>
  <c r="DD928" i="3"/>
  <c r="DC928" i="3"/>
  <c r="DB928" i="3"/>
  <c r="DA928" i="3"/>
  <c r="CZ928" i="3"/>
  <c r="CY928" i="3"/>
  <c r="CX928" i="3"/>
  <c r="CW928" i="3"/>
  <c r="CV928" i="3"/>
  <c r="CU928" i="3"/>
  <c r="CT928" i="3"/>
  <c r="CS928" i="3"/>
  <c r="CR928" i="3"/>
  <c r="CQ928" i="3"/>
  <c r="CP928" i="3"/>
  <c r="CO928" i="3"/>
  <c r="CN928" i="3"/>
  <c r="CM928" i="3"/>
  <c r="CL928" i="3"/>
  <c r="CK928" i="3"/>
  <c r="CJ928" i="3"/>
  <c r="CI928" i="3"/>
  <c r="CH928" i="3"/>
  <c r="CG928" i="3"/>
  <c r="CF928" i="3"/>
  <c r="CE928" i="3"/>
  <c r="CD928" i="3"/>
  <c r="CC928" i="3"/>
  <c r="CB928" i="3"/>
  <c r="CA928" i="3"/>
  <c r="BZ928" i="3"/>
  <c r="BY928" i="3"/>
  <c r="BX928" i="3"/>
  <c r="BW928" i="3"/>
  <c r="BV928" i="3"/>
  <c r="BU928" i="3"/>
  <c r="BT928" i="3"/>
  <c r="BS928" i="3"/>
  <c r="BR928" i="3"/>
  <c r="BQ928" i="3"/>
  <c r="BP928" i="3"/>
  <c r="BO928" i="3"/>
  <c r="BN928" i="3"/>
  <c r="DU927" i="3"/>
  <c r="DT927" i="3"/>
  <c r="DS927" i="3"/>
  <c r="DR927" i="3"/>
  <c r="DQ927" i="3"/>
  <c r="DP927" i="3"/>
  <c r="DO927" i="3"/>
  <c r="DN927" i="3"/>
  <c r="DM927" i="3"/>
  <c r="DL927" i="3"/>
  <c r="DK927" i="3"/>
  <c r="DJ927" i="3"/>
  <c r="DI927" i="3"/>
  <c r="DH927" i="3"/>
  <c r="DG927" i="3"/>
  <c r="DF927" i="3"/>
  <c r="DE927" i="3"/>
  <c r="DD927" i="3"/>
  <c r="DC927" i="3"/>
  <c r="DB927" i="3"/>
  <c r="DA927" i="3"/>
  <c r="CZ927" i="3"/>
  <c r="CY927" i="3"/>
  <c r="CX927" i="3"/>
  <c r="CW927" i="3"/>
  <c r="CV927" i="3"/>
  <c r="CU927" i="3"/>
  <c r="CT927" i="3"/>
  <c r="CS927" i="3"/>
  <c r="CR927" i="3"/>
  <c r="CQ927" i="3"/>
  <c r="CP927" i="3"/>
  <c r="CO927" i="3"/>
  <c r="CN927" i="3"/>
  <c r="CM927" i="3"/>
  <c r="CL927" i="3"/>
  <c r="CK927" i="3"/>
  <c r="CJ927" i="3"/>
  <c r="CI927" i="3"/>
  <c r="CH927" i="3"/>
  <c r="CG927" i="3"/>
  <c r="CF927" i="3"/>
  <c r="CE927" i="3"/>
  <c r="CD927" i="3"/>
  <c r="CC927" i="3"/>
  <c r="CB927" i="3"/>
  <c r="CA927" i="3"/>
  <c r="BZ927" i="3"/>
  <c r="BY927" i="3"/>
  <c r="BX927" i="3"/>
  <c r="BW927" i="3"/>
  <c r="BV927" i="3"/>
  <c r="BU927" i="3"/>
  <c r="BT927" i="3"/>
  <c r="BS927" i="3"/>
  <c r="BR927" i="3"/>
  <c r="BQ927" i="3"/>
  <c r="BP927" i="3"/>
  <c r="BO927" i="3"/>
  <c r="BN927" i="3"/>
  <c r="DU926" i="3"/>
  <c r="DT926" i="3"/>
  <c r="DS926" i="3"/>
  <c r="DR926" i="3"/>
  <c r="DQ926" i="3"/>
  <c r="DP926" i="3"/>
  <c r="DO926" i="3"/>
  <c r="DN926" i="3"/>
  <c r="DM926" i="3"/>
  <c r="DL926" i="3"/>
  <c r="DK926" i="3"/>
  <c r="DJ926" i="3"/>
  <c r="DI926" i="3"/>
  <c r="DH926" i="3"/>
  <c r="DG926" i="3"/>
  <c r="DF926" i="3"/>
  <c r="DE926" i="3"/>
  <c r="DD926" i="3"/>
  <c r="DC926" i="3"/>
  <c r="DB926" i="3"/>
  <c r="DA926" i="3"/>
  <c r="CZ926" i="3"/>
  <c r="CY926" i="3"/>
  <c r="CX926" i="3"/>
  <c r="CW926" i="3"/>
  <c r="CV926" i="3"/>
  <c r="CU926" i="3"/>
  <c r="CT926" i="3"/>
  <c r="CS926" i="3"/>
  <c r="CR926" i="3"/>
  <c r="CQ926" i="3"/>
  <c r="CP926" i="3"/>
  <c r="CO926" i="3"/>
  <c r="CN926" i="3"/>
  <c r="CM926" i="3"/>
  <c r="CL926" i="3"/>
  <c r="CK926" i="3"/>
  <c r="CJ926" i="3"/>
  <c r="CI926" i="3"/>
  <c r="CH926" i="3"/>
  <c r="CG926" i="3"/>
  <c r="CF926" i="3"/>
  <c r="CE926" i="3"/>
  <c r="CD926" i="3"/>
  <c r="CC926" i="3"/>
  <c r="CB926" i="3"/>
  <c r="CA926" i="3"/>
  <c r="BZ926" i="3"/>
  <c r="BY926" i="3"/>
  <c r="BX926" i="3"/>
  <c r="BW926" i="3"/>
  <c r="BV926" i="3"/>
  <c r="BU926" i="3"/>
  <c r="BT926" i="3"/>
  <c r="BS926" i="3"/>
  <c r="BR926" i="3"/>
  <c r="BQ926" i="3"/>
  <c r="BP926" i="3"/>
  <c r="BO926" i="3"/>
  <c r="BN926" i="3"/>
  <c r="DU925" i="3"/>
  <c r="DT925" i="3"/>
  <c r="DS925" i="3"/>
  <c r="DR925" i="3"/>
  <c r="DQ925" i="3"/>
  <c r="DP925" i="3"/>
  <c r="DO925" i="3"/>
  <c r="DN925" i="3"/>
  <c r="DM925" i="3"/>
  <c r="DL925" i="3"/>
  <c r="DK925" i="3"/>
  <c r="DJ925" i="3"/>
  <c r="DI925" i="3"/>
  <c r="DH925" i="3"/>
  <c r="DG925" i="3"/>
  <c r="DF925" i="3"/>
  <c r="DE925" i="3"/>
  <c r="DD925" i="3"/>
  <c r="DC925" i="3"/>
  <c r="DB925" i="3"/>
  <c r="DA925" i="3"/>
  <c r="CZ925" i="3"/>
  <c r="CY925" i="3"/>
  <c r="CX925" i="3"/>
  <c r="CW925" i="3"/>
  <c r="CV925" i="3"/>
  <c r="CU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C925" i="3"/>
  <c r="CB925" i="3"/>
  <c r="CA925" i="3"/>
  <c r="BZ925" i="3"/>
  <c r="BY925" i="3"/>
  <c r="BX925" i="3"/>
  <c r="BW925" i="3"/>
  <c r="BV925" i="3"/>
  <c r="BU925" i="3"/>
  <c r="BT925" i="3"/>
  <c r="BS925" i="3"/>
  <c r="BR925" i="3"/>
  <c r="BQ925" i="3"/>
  <c r="BP925" i="3"/>
  <c r="BO925" i="3"/>
  <c r="BN925" i="3"/>
  <c r="DU924" i="3"/>
  <c r="DT924" i="3"/>
  <c r="DS924" i="3"/>
  <c r="DR924" i="3"/>
  <c r="DQ924" i="3"/>
  <c r="DP924" i="3"/>
  <c r="DO924" i="3"/>
  <c r="DN924" i="3"/>
  <c r="DM924" i="3"/>
  <c r="DL924" i="3"/>
  <c r="DK924" i="3"/>
  <c r="DJ924" i="3"/>
  <c r="DI924" i="3"/>
  <c r="DH924" i="3"/>
  <c r="DG924" i="3"/>
  <c r="DF924" i="3"/>
  <c r="DE924" i="3"/>
  <c r="DD924" i="3"/>
  <c r="DC924" i="3"/>
  <c r="DB924" i="3"/>
  <c r="DA924" i="3"/>
  <c r="CZ924" i="3"/>
  <c r="CY924" i="3"/>
  <c r="CX924" i="3"/>
  <c r="CW924" i="3"/>
  <c r="CV924" i="3"/>
  <c r="CU924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C924" i="3"/>
  <c r="CB924" i="3"/>
  <c r="CA924" i="3"/>
  <c r="BZ924" i="3"/>
  <c r="BY924" i="3"/>
  <c r="BX924" i="3"/>
  <c r="BW924" i="3"/>
  <c r="BV924" i="3"/>
  <c r="BU924" i="3"/>
  <c r="BT924" i="3"/>
  <c r="BS924" i="3"/>
  <c r="BR924" i="3"/>
  <c r="BQ924" i="3"/>
  <c r="BP924" i="3"/>
  <c r="BO924" i="3"/>
  <c r="BN924" i="3"/>
  <c r="DU923" i="3"/>
  <c r="DT923" i="3"/>
  <c r="DS923" i="3"/>
  <c r="DR923" i="3"/>
  <c r="DQ923" i="3"/>
  <c r="DP923" i="3"/>
  <c r="DO923" i="3"/>
  <c r="DN923" i="3"/>
  <c r="DM923" i="3"/>
  <c r="DL923" i="3"/>
  <c r="DK923" i="3"/>
  <c r="DJ923" i="3"/>
  <c r="DI923" i="3"/>
  <c r="DH923" i="3"/>
  <c r="DG923" i="3"/>
  <c r="DF923" i="3"/>
  <c r="DE923" i="3"/>
  <c r="DD923" i="3"/>
  <c r="DC923" i="3"/>
  <c r="DB923" i="3"/>
  <c r="DA923" i="3"/>
  <c r="CZ923" i="3"/>
  <c r="CY923" i="3"/>
  <c r="CX923" i="3"/>
  <c r="CW923" i="3"/>
  <c r="CV923" i="3"/>
  <c r="CU923" i="3"/>
  <c r="CT923" i="3"/>
  <c r="CS923" i="3"/>
  <c r="CR923" i="3"/>
  <c r="CQ923" i="3"/>
  <c r="CP923" i="3"/>
  <c r="CO923" i="3"/>
  <c r="CN923" i="3"/>
  <c r="CM923" i="3"/>
  <c r="CL923" i="3"/>
  <c r="CK923" i="3"/>
  <c r="CJ923" i="3"/>
  <c r="CI923" i="3"/>
  <c r="CH923" i="3"/>
  <c r="CG923" i="3"/>
  <c r="CF923" i="3"/>
  <c r="CE923" i="3"/>
  <c r="CD923" i="3"/>
  <c r="CC923" i="3"/>
  <c r="CB923" i="3"/>
  <c r="CA923" i="3"/>
  <c r="BZ923" i="3"/>
  <c r="BY923" i="3"/>
  <c r="BX923" i="3"/>
  <c r="BW923" i="3"/>
  <c r="BV923" i="3"/>
  <c r="BU923" i="3"/>
  <c r="BT923" i="3"/>
  <c r="BS923" i="3"/>
  <c r="BR923" i="3"/>
  <c r="BQ923" i="3"/>
  <c r="BP923" i="3"/>
  <c r="BO923" i="3"/>
  <c r="BN923" i="3"/>
  <c r="DU922" i="3"/>
  <c r="DT922" i="3"/>
  <c r="DS922" i="3"/>
  <c r="DR922" i="3"/>
  <c r="DQ922" i="3"/>
  <c r="DP922" i="3"/>
  <c r="DO922" i="3"/>
  <c r="DN922" i="3"/>
  <c r="DM922" i="3"/>
  <c r="DL922" i="3"/>
  <c r="DK922" i="3"/>
  <c r="DJ922" i="3"/>
  <c r="DI922" i="3"/>
  <c r="DH922" i="3"/>
  <c r="DG922" i="3"/>
  <c r="DF922" i="3"/>
  <c r="DE922" i="3"/>
  <c r="DD922" i="3"/>
  <c r="DC922" i="3"/>
  <c r="DB922" i="3"/>
  <c r="DA922" i="3"/>
  <c r="CZ922" i="3"/>
  <c r="CY922" i="3"/>
  <c r="CX922" i="3"/>
  <c r="CW922" i="3"/>
  <c r="CV922" i="3"/>
  <c r="CU922" i="3"/>
  <c r="CT922" i="3"/>
  <c r="CS922" i="3"/>
  <c r="CR922" i="3"/>
  <c r="CQ922" i="3"/>
  <c r="CP922" i="3"/>
  <c r="CO922" i="3"/>
  <c r="CN922" i="3"/>
  <c r="CM922" i="3"/>
  <c r="CL922" i="3"/>
  <c r="CK922" i="3"/>
  <c r="CJ922" i="3"/>
  <c r="CI922" i="3"/>
  <c r="CH922" i="3"/>
  <c r="CG922" i="3"/>
  <c r="CF922" i="3"/>
  <c r="CE922" i="3"/>
  <c r="CD922" i="3"/>
  <c r="CC922" i="3"/>
  <c r="CB922" i="3"/>
  <c r="CA922" i="3"/>
  <c r="BZ922" i="3"/>
  <c r="BY922" i="3"/>
  <c r="BX922" i="3"/>
  <c r="BW922" i="3"/>
  <c r="BV922" i="3"/>
  <c r="BU922" i="3"/>
  <c r="BT922" i="3"/>
  <c r="BS922" i="3"/>
  <c r="BR922" i="3"/>
  <c r="BQ922" i="3"/>
  <c r="BP922" i="3"/>
  <c r="BO922" i="3"/>
  <c r="BN922" i="3"/>
  <c r="DU921" i="3"/>
  <c r="DT921" i="3"/>
  <c r="DS921" i="3"/>
  <c r="DR921" i="3"/>
  <c r="DQ921" i="3"/>
  <c r="DP921" i="3"/>
  <c r="DO921" i="3"/>
  <c r="DN921" i="3"/>
  <c r="DM921" i="3"/>
  <c r="DL921" i="3"/>
  <c r="DK921" i="3"/>
  <c r="DJ921" i="3"/>
  <c r="DI921" i="3"/>
  <c r="DH921" i="3"/>
  <c r="DG921" i="3"/>
  <c r="DF921" i="3"/>
  <c r="DE921" i="3"/>
  <c r="DD921" i="3"/>
  <c r="DC921" i="3"/>
  <c r="DB921" i="3"/>
  <c r="DA921" i="3"/>
  <c r="CZ921" i="3"/>
  <c r="CY921" i="3"/>
  <c r="CX921" i="3"/>
  <c r="CW921" i="3"/>
  <c r="CV921" i="3"/>
  <c r="CU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C921" i="3"/>
  <c r="CB921" i="3"/>
  <c r="CA921" i="3"/>
  <c r="BZ921" i="3"/>
  <c r="BY921" i="3"/>
  <c r="BX921" i="3"/>
  <c r="BW921" i="3"/>
  <c r="BV921" i="3"/>
  <c r="BU921" i="3"/>
  <c r="BT921" i="3"/>
  <c r="BS921" i="3"/>
  <c r="BR921" i="3"/>
  <c r="BQ921" i="3"/>
  <c r="BP921" i="3"/>
  <c r="BO921" i="3"/>
  <c r="BN921" i="3"/>
  <c r="DU920" i="3"/>
  <c r="DT920" i="3"/>
  <c r="DS920" i="3"/>
  <c r="DR920" i="3"/>
  <c r="DQ920" i="3"/>
  <c r="DP920" i="3"/>
  <c r="DO920" i="3"/>
  <c r="DN920" i="3"/>
  <c r="DM920" i="3"/>
  <c r="DL920" i="3"/>
  <c r="DK920" i="3"/>
  <c r="DJ920" i="3"/>
  <c r="DI920" i="3"/>
  <c r="DH920" i="3"/>
  <c r="DG920" i="3"/>
  <c r="DF920" i="3"/>
  <c r="DE920" i="3"/>
  <c r="DD920" i="3"/>
  <c r="DC920" i="3"/>
  <c r="DB920" i="3"/>
  <c r="DA920" i="3"/>
  <c r="CZ920" i="3"/>
  <c r="CY920" i="3"/>
  <c r="CX920" i="3"/>
  <c r="CW920" i="3"/>
  <c r="CV920" i="3"/>
  <c r="CU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C920" i="3"/>
  <c r="CB920" i="3"/>
  <c r="CA920" i="3"/>
  <c r="BZ920" i="3"/>
  <c r="BY920" i="3"/>
  <c r="BX920" i="3"/>
  <c r="BW920" i="3"/>
  <c r="BV920" i="3"/>
  <c r="BU920" i="3"/>
  <c r="BT920" i="3"/>
  <c r="BS920" i="3"/>
  <c r="BR920" i="3"/>
  <c r="BQ920" i="3"/>
  <c r="BP920" i="3"/>
  <c r="BO920" i="3"/>
  <c r="BN920" i="3"/>
  <c r="DU919" i="3"/>
  <c r="DT919" i="3"/>
  <c r="DS919" i="3"/>
  <c r="DR919" i="3"/>
  <c r="DQ919" i="3"/>
  <c r="DP919" i="3"/>
  <c r="DO919" i="3"/>
  <c r="DN919" i="3"/>
  <c r="DM919" i="3"/>
  <c r="DL919" i="3"/>
  <c r="DK919" i="3"/>
  <c r="DJ919" i="3"/>
  <c r="DI919" i="3"/>
  <c r="DH919" i="3"/>
  <c r="DG919" i="3"/>
  <c r="DF919" i="3"/>
  <c r="DE919" i="3"/>
  <c r="DD919" i="3"/>
  <c r="DC919" i="3"/>
  <c r="DB919" i="3"/>
  <c r="DA919" i="3"/>
  <c r="CZ919" i="3"/>
  <c r="CY919" i="3"/>
  <c r="CX919" i="3"/>
  <c r="CW919" i="3"/>
  <c r="CV919" i="3"/>
  <c r="CU919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C919" i="3"/>
  <c r="CB919" i="3"/>
  <c r="CA919" i="3"/>
  <c r="BZ919" i="3"/>
  <c r="BY919" i="3"/>
  <c r="BX919" i="3"/>
  <c r="BW919" i="3"/>
  <c r="BV919" i="3"/>
  <c r="BU919" i="3"/>
  <c r="BT919" i="3"/>
  <c r="BS919" i="3"/>
  <c r="BR919" i="3"/>
  <c r="BQ919" i="3"/>
  <c r="BP919" i="3"/>
  <c r="BO919" i="3"/>
  <c r="BN919" i="3"/>
  <c r="DU918" i="3"/>
  <c r="DT918" i="3"/>
  <c r="DS918" i="3"/>
  <c r="DR918" i="3"/>
  <c r="DQ918" i="3"/>
  <c r="DP918" i="3"/>
  <c r="DO918" i="3"/>
  <c r="DN918" i="3"/>
  <c r="DM918" i="3"/>
  <c r="DL918" i="3"/>
  <c r="DK918" i="3"/>
  <c r="DJ918" i="3"/>
  <c r="DI918" i="3"/>
  <c r="DH918" i="3"/>
  <c r="DG918" i="3"/>
  <c r="DF918" i="3"/>
  <c r="DE918" i="3"/>
  <c r="DD918" i="3"/>
  <c r="DC918" i="3"/>
  <c r="DB918" i="3"/>
  <c r="DA918" i="3"/>
  <c r="CZ918" i="3"/>
  <c r="CY918" i="3"/>
  <c r="CX918" i="3"/>
  <c r="CW918" i="3"/>
  <c r="CV918" i="3"/>
  <c r="CU918" i="3"/>
  <c r="CT918" i="3"/>
  <c r="CS918" i="3"/>
  <c r="CR918" i="3"/>
  <c r="CQ918" i="3"/>
  <c r="CP918" i="3"/>
  <c r="CO918" i="3"/>
  <c r="CN918" i="3"/>
  <c r="CM918" i="3"/>
  <c r="CL918" i="3"/>
  <c r="CK918" i="3"/>
  <c r="CJ918" i="3"/>
  <c r="CI918" i="3"/>
  <c r="CH918" i="3"/>
  <c r="CG918" i="3"/>
  <c r="CF918" i="3"/>
  <c r="CE918" i="3"/>
  <c r="CD918" i="3"/>
  <c r="CC918" i="3"/>
  <c r="CB918" i="3"/>
  <c r="CA918" i="3"/>
  <c r="BZ918" i="3"/>
  <c r="BY918" i="3"/>
  <c r="BX918" i="3"/>
  <c r="BW918" i="3"/>
  <c r="BV918" i="3"/>
  <c r="BU918" i="3"/>
  <c r="BT918" i="3"/>
  <c r="BS918" i="3"/>
  <c r="BR918" i="3"/>
  <c r="BQ918" i="3"/>
  <c r="BP918" i="3"/>
  <c r="BO918" i="3"/>
  <c r="BN918" i="3"/>
  <c r="DU917" i="3"/>
  <c r="DT917" i="3"/>
  <c r="DS917" i="3"/>
  <c r="DR917" i="3"/>
  <c r="DQ917" i="3"/>
  <c r="DP917" i="3"/>
  <c r="DO917" i="3"/>
  <c r="DN917" i="3"/>
  <c r="DM917" i="3"/>
  <c r="DL917" i="3"/>
  <c r="DK917" i="3"/>
  <c r="DJ917" i="3"/>
  <c r="DI917" i="3"/>
  <c r="DH917" i="3"/>
  <c r="DG917" i="3"/>
  <c r="DF917" i="3"/>
  <c r="DE917" i="3"/>
  <c r="DD917" i="3"/>
  <c r="DC917" i="3"/>
  <c r="DB917" i="3"/>
  <c r="DA917" i="3"/>
  <c r="CZ917" i="3"/>
  <c r="CY917" i="3"/>
  <c r="CX917" i="3"/>
  <c r="CW917" i="3"/>
  <c r="CV917" i="3"/>
  <c r="CU917" i="3"/>
  <c r="CT917" i="3"/>
  <c r="CS917" i="3"/>
  <c r="CR917" i="3"/>
  <c r="CQ917" i="3"/>
  <c r="CP917" i="3"/>
  <c r="CO917" i="3"/>
  <c r="CN917" i="3"/>
  <c r="CM917" i="3"/>
  <c r="CL917" i="3"/>
  <c r="CK917" i="3"/>
  <c r="CJ917" i="3"/>
  <c r="CI917" i="3"/>
  <c r="CH917" i="3"/>
  <c r="CG917" i="3"/>
  <c r="CF917" i="3"/>
  <c r="CE917" i="3"/>
  <c r="CD917" i="3"/>
  <c r="CC917" i="3"/>
  <c r="CB917" i="3"/>
  <c r="CA917" i="3"/>
  <c r="BZ917" i="3"/>
  <c r="BY917" i="3"/>
  <c r="BX917" i="3"/>
  <c r="BW917" i="3"/>
  <c r="BV917" i="3"/>
  <c r="BU917" i="3"/>
  <c r="BT917" i="3"/>
  <c r="BS917" i="3"/>
  <c r="BR917" i="3"/>
  <c r="BQ917" i="3"/>
  <c r="BP917" i="3"/>
  <c r="BO917" i="3"/>
  <c r="BN917" i="3"/>
  <c r="DU916" i="3"/>
  <c r="DT916" i="3"/>
  <c r="DS916" i="3"/>
  <c r="DR916" i="3"/>
  <c r="DQ916" i="3"/>
  <c r="DP916" i="3"/>
  <c r="DO916" i="3"/>
  <c r="DN916" i="3"/>
  <c r="DM916" i="3"/>
  <c r="DL916" i="3"/>
  <c r="DK916" i="3"/>
  <c r="DJ916" i="3"/>
  <c r="DI916" i="3"/>
  <c r="DH916" i="3"/>
  <c r="DG916" i="3"/>
  <c r="DF916" i="3"/>
  <c r="DE916" i="3"/>
  <c r="DD916" i="3"/>
  <c r="DC916" i="3"/>
  <c r="DB916" i="3"/>
  <c r="DA916" i="3"/>
  <c r="CZ916" i="3"/>
  <c r="CY916" i="3"/>
  <c r="CX916" i="3"/>
  <c r="CW916" i="3"/>
  <c r="CV916" i="3"/>
  <c r="CU916" i="3"/>
  <c r="CT916" i="3"/>
  <c r="CS916" i="3"/>
  <c r="CR916" i="3"/>
  <c r="CQ916" i="3"/>
  <c r="CP916" i="3"/>
  <c r="CO916" i="3"/>
  <c r="CN916" i="3"/>
  <c r="CM916" i="3"/>
  <c r="CL916" i="3"/>
  <c r="CK916" i="3"/>
  <c r="CJ916" i="3"/>
  <c r="CI916" i="3"/>
  <c r="CH916" i="3"/>
  <c r="CG916" i="3"/>
  <c r="CF916" i="3"/>
  <c r="CE916" i="3"/>
  <c r="CD916" i="3"/>
  <c r="CC916" i="3"/>
  <c r="CB916" i="3"/>
  <c r="CA916" i="3"/>
  <c r="BZ916" i="3"/>
  <c r="BY916" i="3"/>
  <c r="BX916" i="3"/>
  <c r="BW916" i="3"/>
  <c r="BV916" i="3"/>
  <c r="BU916" i="3"/>
  <c r="BT916" i="3"/>
  <c r="BS916" i="3"/>
  <c r="BR916" i="3"/>
  <c r="BQ916" i="3"/>
  <c r="BP916" i="3"/>
  <c r="BO916" i="3"/>
  <c r="BN916" i="3"/>
  <c r="DU915" i="3"/>
  <c r="DT915" i="3"/>
  <c r="DS915" i="3"/>
  <c r="DR915" i="3"/>
  <c r="DQ915" i="3"/>
  <c r="DP915" i="3"/>
  <c r="DO915" i="3"/>
  <c r="DN915" i="3"/>
  <c r="DM915" i="3"/>
  <c r="DL915" i="3"/>
  <c r="DK915" i="3"/>
  <c r="DJ915" i="3"/>
  <c r="DI915" i="3"/>
  <c r="DH915" i="3"/>
  <c r="DG915" i="3"/>
  <c r="DF915" i="3"/>
  <c r="DE915" i="3"/>
  <c r="DD915" i="3"/>
  <c r="DC915" i="3"/>
  <c r="DB915" i="3"/>
  <c r="DA915" i="3"/>
  <c r="CZ915" i="3"/>
  <c r="CY915" i="3"/>
  <c r="CX915" i="3"/>
  <c r="CW915" i="3"/>
  <c r="CV915" i="3"/>
  <c r="CU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C915" i="3"/>
  <c r="CB915" i="3"/>
  <c r="CA915" i="3"/>
  <c r="BZ915" i="3"/>
  <c r="BY915" i="3"/>
  <c r="BX915" i="3"/>
  <c r="BW915" i="3"/>
  <c r="BV915" i="3"/>
  <c r="BU915" i="3"/>
  <c r="BT915" i="3"/>
  <c r="BS915" i="3"/>
  <c r="BR915" i="3"/>
  <c r="BQ915" i="3"/>
  <c r="BP915" i="3"/>
  <c r="BO915" i="3"/>
  <c r="BN915" i="3"/>
  <c r="DU914" i="3"/>
  <c r="DT914" i="3"/>
  <c r="DS914" i="3"/>
  <c r="DR914" i="3"/>
  <c r="DQ914" i="3"/>
  <c r="DP914" i="3"/>
  <c r="DO914" i="3"/>
  <c r="DN914" i="3"/>
  <c r="DM914" i="3"/>
  <c r="DL914" i="3"/>
  <c r="DK914" i="3"/>
  <c r="DJ914" i="3"/>
  <c r="DI914" i="3"/>
  <c r="DH914" i="3"/>
  <c r="DG914" i="3"/>
  <c r="DF914" i="3"/>
  <c r="DE914" i="3"/>
  <c r="DD914" i="3"/>
  <c r="DC914" i="3"/>
  <c r="DB914" i="3"/>
  <c r="DA914" i="3"/>
  <c r="CZ914" i="3"/>
  <c r="CY914" i="3"/>
  <c r="CX914" i="3"/>
  <c r="CW914" i="3"/>
  <c r="CV914" i="3"/>
  <c r="CU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C914" i="3"/>
  <c r="CB914" i="3"/>
  <c r="CA914" i="3"/>
  <c r="BZ914" i="3"/>
  <c r="BY914" i="3"/>
  <c r="BX914" i="3"/>
  <c r="BW914" i="3"/>
  <c r="BV914" i="3"/>
  <c r="BU914" i="3"/>
  <c r="BT914" i="3"/>
  <c r="BS914" i="3"/>
  <c r="BR914" i="3"/>
  <c r="BQ914" i="3"/>
  <c r="BP914" i="3"/>
  <c r="BO914" i="3"/>
  <c r="BN914" i="3"/>
  <c r="DU913" i="3"/>
  <c r="DT913" i="3"/>
  <c r="DS913" i="3"/>
  <c r="DR913" i="3"/>
  <c r="DQ913" i="3"/>
  <c r="DP913" i="3"/>
  <c r="DO913" i="3"/>
  <c r="DN913" i="3"/>
  <c r="DM913" i="3"/>
  <c r="DL913" i="3"/>
  <c r="DK913" i="3"/>
  <c r="DJ913" i="3"/>
  <c r="DI913" i="3"/>
  <c r="DH913" i="3"/>
  <c r="DG913" i="3"/>
  <c r="DF913" i="3"/>
  <c r="DE913" i="3"/>
  <c r="DD913" i="3"/>
  <c r="DC913" i="3"/>
  <c r="DB913" i="3"/>
  <c r="DA913" i="3"/>
  <c r="CZ913" i="3"/>
  <c r="CY913" i="3"/>
  <c r="CX913" i="3"/>
  <c r="CW913" i="3"/>
  <c r="CV913" i="3"/>
  <c r="CU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C913" i="3"/>
  <c r="CB913" i="3"/>
  <c r="CA913" i="3"/>
  <c r="BZ913" i="3"/>
  <c r="BY913" i="3"/>
  <c r="BX913" i="3"/>
  <c r="BW913" i="3"/>
  <c r="BV913" i="3"/>
  <c r="BU913" i="3"/>
  <c r="BT913" i="3"/>
  <c r="BS913" i="3"/>
  <c r="BR913" i="3"/>
  <c r="BQ913" i="3"/>
  <c r="BP913" i="3"/>
  <c r="BO913" i="3"/>
  <c r="BN913" i="3"/>
  <c r="DU912" i="3"/>
  <c r="DT912" i="3"/>
  <c r="DS912" i="3"/>
  <c r="DR912" i="3"/>
  <c r="DQ912" i="3"/>
  <c r="DP912" i="3"/>
  <c r="DO912" i="3"/>
  <c r="DN912" i="3"/>
  <c r="DM912" i="3"/>
  <c r="DL912" i="3"/>
  <c r="DK912" i="3"/>
  <c r="DJ912" i="3"/>
  <c r="DI912" i="3"/>
  <c r="DH912" i="3"/>
  <c r="DG912" i="3"/>
  <c r="DF912" i="3"/>
  <c r="DE912" i="3"/>
  <c r="DD912" i="3"/>
  <c r="DC912" i="3"/>
  <c r="DB912" i="3"/>
  <c r="DA912" i="3"/>
  <c r="CZ912" i="3"/>
  <c r="CY912" i="3"/>
  <c r="CX912" i="3"/>
  <c r="CW912" i="3"/>
  <c r="CV912" i="3"/>
  <c r="CU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C912" i="3"/>
  <c r="CB912" i="3"/>
  <c r="CA912" i="3"/>
  <c r="BZ912" i="3"/>
  <c r="BY912" i="3"/>
  <c r="BX912" i="3"/>
  <c r="BW912" i="3"/>
  <c r="BV912" i="3"/>
  <c r="BU912" i="3"/>
  <c r="BT912" i="3"/>
  <c r="BS912" i="3"/>
  <c r="BR912" i="3"/>
  <c r="BQ912" i="3"/>
  <c r="BP912" i="3"/>
  <c r="BO912" i="3"/>
  <c r="BN912" i="3"/>
  <c r="DU911" i="3"/>
  <c r="DT911" i="3"/>
  <c r="DS911" i="3"/>
  <c r="DR911" i="3"/>
  <c r="DQ911" i="3"/>
  <c r="DP911" i="3"/>
  <c r="DO911" i="3"/>
  <c r="DN911" i="3"/>
  <c r="DM911" i="3"/>
  <c r="DL911" i="3"/>
  <c r="DK911" i="3"/>
  <c r="DJ911" i="3"/>
  <c r="DI911" i="3"/>
  <c r="DH911" i="3"/>
  <c r="DG911" i="3"/>
  <c r="DF911" i="3"/>
  <c r="DE911" i="3"/>
  <c r="DD911" i="3"/>
  <c r="DC911" i="3"/>
  <c r="DB911" i="3"/>
  <c r="DA911" i="3"/>
  <c r="CZ911" i="3"/>
  <c r="CY911" i="3"/>
  <c r="CX911" i="3"/>
  <c r="CW911" i="3"/>
  <c r="CV911" i="3"/>
  <c r="CU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C911" i="3"/>
  <c r="CB911" i="3"/>
  <c r="CA911" i="3"/>
  <c r="BZ911" i="3"/>
  <c r="BY911" i="3"/>
  <c r="BX911" i="3"/>
  <c r="BW911" i="3"/>
  <c r="BV911" i="3"/>
  <c r="BU911" i="3"/>
  <c r="BT911" i="3"/>
  <c r="BS911" i="3"/>
  <c r="BR911" i="3"/>
  <c r="BQ911" i="3"/>
  <c r="BP911" i="3"/>
  <c r="BO911" i="3"/>
  <c r="BN911" i="3"/>
  <c r="DU910" i="3"/>
  <c r="DT910" i="3"/>
  <c r="DS910" i="3"/>
  <c r="DR910" i="3"/>
  <c r="DQ910" i="3"/>
  <c r="DP910" i="3"/>
  <c r="DO910" i="3"/>
  <c r="DN910" i="3"/>
  <c r="DM910" i="3"/>
  <c r="DL910" i="3"/>
  <c r="DK910" i="3"/>
  <c r="DJ910" i="3"/>
  <c r="DI910" i="3"/>
  <c r="DH910" i="3"/>
  <c r="DG910" i="3"/>
  <c r="DF910" i="3"/>
  <c r="DE910" i="3"/>
  <c r="DD910" i="3"/>
  <c r="DC910" i="3"/>
  <c r="DB910" i="3"/>
  <c r="DA910" i="3"/>
  <c r="CZ910" i="3"/>
  <c r="CY910" i="3"/>
  <c r="CX910" i="3"/>
  <c r="CW910" i="3"/>
  <c r="CV910" i="3"/>
  <c r="CU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C910" i="3"/>
  <c r="CB910" i="3"/>
  <c r="CA910" i="3"/>
  <c r="BZ910" i="3"/>
  <c r="BY910" i="3"/>
  <c r="BX910" i="3"/>
  <c r="BW910" i="3"/>
  <c r="BV910" i="3"/>
  <c r="BU910" i="3"/>
  <c r="BT910" i="3"/>
  <c r="BS910" i="3"/>
  <c r="BR910" i="3"/>
  <c r="BQ910" i="3"/>
  <c r="BP910" i="3"/>
  <c r="BO910" i="3"/>
  <c r="BN910" i="3"/>
  <c r="DU909" i="3"/>
  <c r="DT909" i="3"/>
  <c r="DS909" i="3"/>
  <c r="DR909" i="3"/>
  <c r="DQ909" i="3"/>
  <c r="DP909" i="3"/>
  <c r="DO909" i="3"/>
  <c r="DN909" i="3"/>
  <c r="DM909" i="3"/>
  <c r="DL909" i="3"/>
  <c r="DK909" i="3"/>
  <c r="DJ909" i="3"/>
  <c r="DI909" i="3"/>
  <c r="DH909" i="3"/>
  <c r="DG909" i="3"/>
  <c r="DF909" i="3"/>
  <c r="DE909" i="3"/>
  <c r="DD909" i="3"/>
  <c r="DC909" i="3"/>
  <c r="DB909" i="3"/>
  <c r="DA909" i="3"/>
  <c r="CZ909" i="3"/>
  <c r="CY909" i="3"/>
  <c r="CX909" i="3"/>
  <c r="CW909" i="3"/>
  <c r="CV909" i="3"/>
  <c r="CU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C909" i="3"/>
  <c r="CB909" i="3"/>
  <c r="CA909" i="3"/>
  <c r="BZ909" i="3"/>
  <c r="BY909" i="3"/>
  <c r="BX909" i="3"/>
  <c r="BW909" i="3"/>
  <c r="BV909" i="3"/>
  <c r="BU909" i="3"/>
  <c r="BT909" i="3"/>
  <c r="BS909" i="3"/>
  <c r="BR909" i="3"/>
  <c r="BQ909" i="3"/>
  <c r="BP909" i="3"/>
  <c r="BO909" i="3"/>
  <c r="BN909" i="3"/>
  <c r="DU908" i="3"/>
  <c r="DT908" i="3"/>
  <c r="DS908" i="3"/>
  <c r="DR908" i="3"/>
  <c r="DQ908" i="3"/>
  <c r="DP908" i="3"/>
  <c r="DO908" i="3"/>
  <c r="DN908" i="3"/>
  <c r="DM908" i="3"/>
  <c r="DL908" i="3"/>
  <c r="DK908" i="3"/>
  <c r="DJ908" i="3"/>
  <c r="DI908" i="3"/>
  <c r="DH908" i="3"/>
  <c r="DG908" i="3"/>
  <c r="DF908" i="3"/>
  <c r="DE908" i="3"/>
  <c r="DD908" i="3"/>
  <c r="DC908" i="3"/>
  <c r="DB908" i="3"/>
  <c r="DA908" i="3"/>
  <c r="CZ908" i="3"/>
  <c r="CY908" i="3"/>
  <c r="CX908" i="3"/>
  <c r="CW908" i="3"/>
  <c r="CV908" i="3"/>
  <c r="CU908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C908" i="3"/>
  <c r="CB908" i="3"/>
  <c r="CA908" i="3"/>
  <c r="BZ908" i="3"/>
  <c r="BY908" i="3"/>
  <c r="BX908" i="3"/>
  <c r="BW908" i="3"/>
  <c r="BV908" i="3"/>
  <c r="BU908" i="3"/>
  <c r="BT908" i="3"/>
  <c r="BS908" i="3"/>
  <c r="BR908" i="3"/>
  <c r="BQ908" i="3"/>
  <c r="BP908" i="3"/>
  <c r="BO908" i="3"/>
  <c r="BN908" i="3"/>
  <c r="DU907" i="3"/>
  <c r="DT907" i="3"/>
  <c r="DS907" i="3"/>
  <c r="DR907" i="3"/>
  <c r="DQ907" i="3"/>
  <c r="DP907" i="3"/>
  <c r="DO907" i="3"/>
  <c r="DN907" i="3"/>
  <c r="DM907" i="3"/>
  <c r="DL907" i="3"/>
  <c r="DK907" i="3"/>
  <c r="DJ907" i="3"/>
  <c r="DI907" i="3"/>
  <c r="DH907" i="3"/>
  <c r="DG907" i="3"/>
  <c r="DF907" i="3"/>
  <c r="DE907" i="3"/>
  <c r="DD907" i="3"/>
  <c r="DC907" i="3"/>
  <c r="DB907" i="3"/>
  <c r="DA907" i="3"/>
  <c r="CZ907" i="3"/>
  <c r="CY907" i="3"/>
  <c r="CX907" i="3"/>
  <c r="CW907" i="3"/>
  <c r="CV907" i="3"/>
  <c r="CU907" i="3"/>
  <c r="CT907" i="3"/>
  <c r="CS907" i="3"/>
  <c r="CR907" i="3"/>
  <c r="CQ907" i="3"/>
  <c r="CP907" i="3"/>
  <c r="CO907" i="3"/>
  <c r="CN907" i="3"/>
  <c r="CM907" i="3"/>
  <c r="CL907" i="3"/>
  <c r="CK907" i="3"/>
  <c r="CJ907" i="3"/>
  <c r="CI907" i="3"/>
  <c r="CH907" i="3"/>
  <c r="CG907" i="3"/>
  <c r="CF907" i="3"/>
  <c r="CE907" i="3"/>
  <c r="CD907" i="3"/>
  <c r="CC907" i="3"/>
  <c r="CB907" i="3"/>
  <c r="CA907" i="3"/>
  <c r="BZ907" i="3"/>
  <c r="BY907" i="3"/>
  <c r="BX907" i="3"/>
  <c r="BW907" i="3"/>
  <c r="BV907" i="3"/>
  <c r="BU907" i="3"/>
  <c r="BT907" i="3"/>
  <c r="BS907" i="3"/>
  <c r="BR907" i="3"/>
  <c r="BQ907" i="3"/>
  <c r="BP907" i="3"/>
  <c r="BO907" i="3"/>
  <c r="BN907" i="3"/>
  <c r="DU906" i="3"/>
  <c r="DT906" i="3"/>
  <c r="DS906" i="3"/>
  <c r="DR906" i="3"/>
  <c r="DQ906" i="3"/>
  <c r="DP906" i="3"/>
  <c r="DO906" i="3"/>
  <c r="DN906" i="3"/>
  <c r="DM906" i="3"/>
  <c r="DL906" i="3"/>
  <c r="DK906" i="3"/>
  <c r="DJ906" i="3"/>
  <c r="DI906" i="3"/>
  <c r="DH906" i="3"/>
  <c r="DG906" i="3"/>
  <c r="DF906" i="3"/>
  <c r="DE906" i="3"/>
  <c r="DD906" i="3"/>
  <c r="DC906" i="3"/>
  <c r="DB906" i="3"/>
  <c r="DA906" i="3"/>
  <c r="CZ906" i="3"/>
  <c r="CY906" i="3"/>
  <c r="CX906" i="3"/>
  <c r="CW906" i="3"/>
  <c r="CV906" i="3"/>
  <c r="CU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C906" i="3"/>
  <c r="CB906" i="3"/>
  <c r="CA906" i="3"/>
  <c r="BZ906" i="3"/>
  <c r="BY906" i="3"/>
  <c r="BX906" i="3"/>
  <c r="BW906" i="3"/>
  <c r="BV906" i="3"/>
  <c r="BU906" i="3"/>
  <c r="BT906" i="3"/>
  <c r="BS906" i="3"/>
  <c r="BR906" i="3"/>
  <c r="BQ906" i="3"/>
  <c r="BP906" i="3"/>
  <c r="BO906" i="3"/>
  <c r="BN906" i="3"/>
  <c r="DU905" i="3"/>
  <c r="DT905" i="3"/>
  <c r="DS905" i="3"/>
  <c r="DR905" i="3"/>
  <c r="DQ905" i="3"/>
  <c r="DP905" i="3"/>
  <c r="DO905" i="3"/>
  <c r="DN905" i="3"/>
  <c r="DM905" i="3"/>
  <c r="DL905" i="3"/>
  <c r="DK905" i="3"/>
  <c r="DJ905" i="3"/>
  <c r="DI905" i="3"/>
  <c r="DH905" i="3"/>
  <c r="DG905" i="3"/>
  <c r="DF905" i="3"/>
  <c r="DE905" i="3"/>
  <c r="DD905" i="3"/>
  <c r="DC905" i="3"/>
  <c r="DB905" i="3"/>
  <c r="DA905" i="3"/>
  <c r="CZ905" i="3"/>
  <c r="CY905" i="3"/>
  <c r="CX905" i="3"/>
  <c r="CW905" i="3"/>
  <c r="CV905" i="3"/>
  <c r="CU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C905" i="3"/>
  <c r="CB905" i="3"/>
  <c r="CA905" i="3"/>
  <c r="BZ905" i="3"/>
  <c r="BY905" i="3"/>
  <c r="BX905" i="3"/>
  <c r="BW905" i="3"/>
  <c r="BV905" i="3"/>
  <c r="BU905" i="3"/>
  <c r="BT905" i="3"/>
  <c r="BS905" i="3"/>
  <c r="BR905" i="3"/>
  <c r="BQ905" i="3"/>
  <c r="BP905" i="3"/>
  <c r="BO905" i="3"/>
  <c r="BN905" i="3"/>
  <c r="DU904" i="3"/>
  <c r="DT904" i="3"/>
  <c r="DS904" i="3"/>
  <c r="DR904" i="3"/>
  <c r="DQ904" i="3"/>
  <c r="DP904" i="3"/>
  <c r="DO904" i="3"/>
  <c r="DN904" i="3"/>
  <c r="DM904" i="3"/>
  <c r="DL904" i="3"/>
  <c r="DK904" i="3"/>
  <c r="DJ904" i="3"/>
  <c r="DI904" i="3"/>
  <c r="DH904" i="3"/>
  <c r="DG904" i="3"/>
  <c r="DF904" i="3"/>
  <c r="DE904" i="3"/>
  <c r="DD904" i="3"/>
  <c r="DC904" i="3"/>
  <c r="DB904" i="3"/>
  <c r="DA904" i="3"/>
  <c r="CZ904" i="3"/>
  <c r="CY904" i="3"/>
  <c r="CX904" i="3"/>
  <c r="CW904" i="3"/>
  <c r="CV904" i="3"/>
  <c r="CU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C904" i="3"/>
  <c r="CB904" i="3"/>
  <c r="CA904" i="3"/>
  <c r="BZ904" i="3"/>
  <c r="BY904" i="3"/>
  <c r="BX904" i="3"/>
  <c r="BW904" i="3"/>
  <c r="BV904" i="3"/>
  <c r="BU904" i="3"/>
  <c r="BT904" i="3"/>
  <c r="BS904" i="3"/>
  <c r="BR904" i="3"/>
  <c r="BQ904" i="3"/>
  <c r="BP904" i="3"/>
  <c r="BO904" i="3"/>
  <c r="BN904" i="3"/>
  <c r="DU903" i="3"/>
  <c r="DT903" i="3"/>
  <c r="DS903" i="3"/>
  <c r="DR903" i="3"/>
  <c r="DQ903" i="3"/>
  <c r="DP903" i="3"/>
  <c r="DO903" i="3"/>
  <c r="DN903" i="3"/>
  <c r="DM903" i="3"/>
  <c r="DL903" i="3"/>
  <c r="DK903" i="3"/>
  <c r="DJ903" i="3"/>
  <c r="DI903" i="3"/>
  <c r="DH903" i="3"/>
  <c r="DG903" i="3"/>
  <c r="DF903" i="3"/>
  <c r="DE903" i="3"/>
  <c r="DD903" i="3"/>
  <c r="DC903" i="3"/>
  <c r="DB903" i="3"/>
  <c r="DA903" i="3"/>
  <c r="CZ903" i="3"/>
  <c r="CY903" i="3"/>
  <c r="CX903" i="3"/>
  <c r="CW903" i="3"/>
  <c r="CV903" i="3"/>
  <c r="CU903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C903" i="3"/>
  <c r="CB903" i="3"/>
  <c r="CA903" i="3"/>
  <c r="BZ903" i="3"/>
  <c r="BY903" i="3"/>
  <c r="BX903" i="3"/>
  <c r="BW903" i="3"/>
  <c r="BV903" i="3"/>
  <c r="BU903" i="3"/>
  <c r="BT903" i="3"/>
  <c r="BS903" i="3"/>
  <c r="BR903" i="3"/>
  <c r="BQ903" i="3"/>
  <c r="BP903" i="3"/>
  <c r="BO903" i="3"/>
  <c r="BN903" i="3"/>
  <c r="DU902" i="3"/>
  <c r="DT902" i="3"/>
  <c r="DS902" i="3"/>
  <c r="DR902" i="3"/>
  <c r="DQ902" i="3"/>
  <c r="DP902" i="3"/>
  <c r="DO902" i="3"/>
  <c r="DN902" i="3"/>
  <c r="DM902" i="3"/>
  <c r="DL902" i="3"/>
  <c r="DK902" i="3"/>
  <c r="DJ902" i="3"/>
  <c r="DI902" i="3"/>
  <c r="DH902" i="3"/>
  <c r="DG902" i="3"/>
  <c r="DF902" i="3"/>
  <c r="DE902" i="3"/>
  <c r="DD902" i="3"/>
  <c r="DC902" i="3"/>
  <c r="DB902" i="3"/>
  <c r="DA902" i="3"/>
  <c r="CZ902" i="3"/>
  <c r="CY902" i="3"/>
  <c r="CX902" i="3"/>
  <c r="CW902" i="3"/>
  <c r="CV902" i="3"/>
  <c r="CU902" i="3"/>
  <c r="CT902" i="3"/>
  <c r="CS902" i="3"/>
  <c r="CR902" i="3"/>
  <c r="CQ902" i="3"/>
  <c r="CP902" i="3"/>
  <c r="CO902" i="3"/>
  <c r="CN902" i="3"/>
  <c r="CM902" i="3"/>
  <c r="CL902" i="3"/>
  <c r="CK902" i="3"/>
  <c r="CJ902" i="3"/>
  <c r="CI902" i="3"/>
  <c r="CH902" i="3"/>
  <c r="CG902" i="3"/>
  <c r="CF902" i="3"/>
  <c r="CE902" i="3"/>
  <c r="CD902" i="3"/>
  <c r="CC902" i="3"/>
  <c r="CB902" i="3"/>
  <c r="CA902" i="3"/>
  <c r="BZ902" i="3"/>
  <c r="BY902" i="3"/>
  <c r="BX902" i="3"/>
  <c r="BW902" i="3"/>
  <c r="BV902" i="3"/>
  <c r="BU902" i="3"/>
  <c r="BT902" i="3"/>
  <c r="BS902" i="3"/>
  <c r="BR902" i="3"/>
  <c r="BQ902" i="3"/>
  <c r="BP902" i="3"/>
  <c r="BO902" i="3"/>
  <c r="BN902" i="3"/>
  <c r="DU901" i="3"/>
  <c r="DT901" i="3"/>
  <c r="DS901" i="3"/>
  <c r="DR901" i="3"/>
  <c r="DQ901" i="3"/>
  <c r="DP901" i="3"/>
  <c r="DO901" i="3"/>
  <c r="DN901" i="3"/>
  <c r="DM901" i="3"/>
  <c r="DL901" i="3"/>
  <c r="DK901" i="3"/>
  <c r="DJ901" i="3"/>
  <c r="DI901" i="3"/>
  <c r="DH901" i="3"/>
  <c r="DG901" i="3"/>
  <c r="DF901" i="3"/>
  <c r="DE901" i="3"/>
  <c r="DD901" i="3"/>
  <c r="DC901" i="3"/>
  <c r="DB901" i="3"/>
  <c r="DA901" i="3"/>
  <c r="CZ901" i="3"/>
  <c r="CY901" i="3"/>
  <c r="CX901" i="3"/>
  <c r="CW901" i="3"/>
  <c r="CV901" i="3"/>
  <c r="CU901" i="3"/>
  <c r="CT901" i="3"/>
  <c r="CS901" i="3"/>
  <c r="CR901" i="3"/>
  <c r="CQ901" i="3"/>
  <c r="CP901" i="3"/>
  <c r="CO901" i="3"/>
  <c r="CN901" i="3"/>
  <c r="CM901" i="3"/>
  <c r="CL901" i="3"/>
  <c r="CK901" i="3"/>
  <c r="CJ901" i="3"/>
  <c r="CI901" i="3"/>
  <c r="CH901" i="3"/>
  <c r="CG901" i="3"/>
  <c r="CF901" i="3"/>
  <c r="CE901" i="3"/>
  <c r="CD901" i="3"/>
  <c r="CC901" i="3"/>
  <c r="CB901" i="3"/>
  <c r="CA901" i="3"/>
  <c r="BZ901" i="3"/>
  <c r="BY901" i="3"/>
  <c r="BX901" i="3"/>
  <c r="BW901" i="3"/>
  <c r="BV901" i="3"/>
  <c r="BU901" i="3"/>
  <c r="BT901" i="3"/>
  <c r="BS901" i="3"/>
  <c r="BR901" i="3"/>
  <c r="BQ901" i="3"/>
  <c r="BP901" i="3"/>
  <c r="BO901" i="3"/>
  <c r="BN901" i="3"/>
  <c r="DU900" i="3"/>
  <c r="DT900" i="3"/>
  <c r="DS900" i="3"/>
  <c r="DR900" i="3"/>
  <c r="DQ900" i="3"/>
  <c r="DP900" i="3"/>
  <c r="DO900" i="3"/>
  <c r="DN900" i="3"/>
  <c r="DM900" i="3"/>
  <c r="DL900" i="3"/>
  <c r="DK900" i="3"/>
  <c r="DJ900" i="3"/>
  <c r="DI900" i="3"/>
  <c r="DH900" i="3"/>
  <c r="DG900" i="3"/>
  <c r="DF900" i="3"/>
  <c r="DE900" i="3"/>
  <c r="DD900" i="3"/>
  <c r="DC900" i="3"/>
  <c r="DB900" i="3"/>
  <c r="DA900" i="3"/>
  <c r="CZ900" i="3"/>
  <c r="CY900" i="3"/>
  <c r="CX900" i="3"/>
  <c r="CW900" i="3"/>
  <c r="CV900" i="3"/>
  <c r="CU900" i="3"/>
  <c r="CT900" i="3"/>
  <c r="CS900" i="3"/>
  <c r="CR900" i="3"/>
  <c r="CQ900" i="3"/>
  <c r="CP900" i="3"/>
  <c r="CO900" i="3"/>
  <c r="CN900" i="3"/>
  <c r="CM900" i="3"/>
  <c r="CL900" i="3"/>
  <c r="CK900" i="3"/>
  <c r="CJ900" i="3"/>
  <c r="CI900" i="3"/>
  <c r="CH900" i="3"/>
  <c r="CG900" i="3"/>
  <c r="CF900" i="3"/>
  <c r="CE900" i="3"/>
  <c r="CD900" i="3"/>
  <c r="CC900" i="3"/>
  <c r="CB900" i="3"/>
  <c r="CA900" i="3"/>
  <c r="BZ900" i="3"/>
  <c r="BY900" i="3"/>
  <c r="BX900" i="3"/>
  <c r="BW900" i="3"/>
  <c r="BV900" i="3"/>
  <c r="BU900" i="3"/>
  <c r="BT900" i="3"/>
  <c r="BS900" i="3"/>
  <c r="BR900" i="3"/>
  <c r="BQ900" i="3"/>
  <c r="BP900" i="3"/>
  <c r="BO900" i="3"/>
  <c r="BN900" i="3"/>
  <c r="DU899" i="3"/>
  <c r="DT899" i="3"/>
  <c r="DS899" i="3"/>
  <c r="DR899" i="3"/>
  <c r="DQ899" i="3"/>
  <c r="DP899" i="3"/>
  <c r="DO899" i="3"/>
  <c r="DN899" i="3"/>
  <c r="DM899" i="3"/>
  <c r="DL899" i="3"/>
  <c r="DK899" i="3"/>
  <c r="DJ899" i="3"/>
  <c r="DI899" i="3"/>
  <c r="DH899" i="3"/>
  <c r="DG899" i="3"/>
  <c r="DF899" i="3"/>
  <c r="DE899" i="3"/>
  <c r="DD899" i="3"/>
  <c r="DC899" i="3"/>
  <c r="DB899" i="3"/>
  <c r="DA899" i="3"/>
  <c r="CZ899" i="3"/>
  <c r="CY899" i="3"/>
  <c r="CX899" i="3"/>
  <c r="CW899" i="3"/>
  <c r="CV899" i="3"/>
  <c r="CU899" i="3"/>
  <c r="CT899" i="3"/>
  <c r="CS899" i="3"/>
  <c r="CR899" i="3"/>
  <c r="CQ899" i="3"/>
  <c r="CP899" i="3"/>
  <c r="CO899" i="3"/>
  <c r="CN899" i="3"/>
  <c r="CM899" i="3"/>
  <c r="CL899" i="3"/>
  <c r="CK899" i="3"/>
  <c r="CJ899" i="3"/>
  <c r="CI899" i="3"/>
  <c r="CH899" i="3"/>
  <c r="CG899" i="3"/>
  <c r="CF899" i="3"/>
  <c r="CE899" i="3"/>
  <c r="CD899" i="3"/>
  <c r="CC899" i="3"/>
  <c r="CB899" i="3"/>
  <c r="CA899" i="3"/>
  <c r="BZ899" i="3"/>
  <c r="BY899" i="3"/>
  <c r="BX899" i="3"/>
  <c r="BW899" i="3"/>
  <c r="BV899" i="3"/>
  <c r="BU899" i="3"/>
  <c r="BT899" i="3"/>
  <c r="BS899" i="3"/>
  <c r="BR899" i="3"/>
  <c r="BQ899" i="3"/>
  <c r="BP899" i="3"/>
  <c r="BO899" i="3"/>
  <c r="BN899" i="3"/>
  <c r="DU898" i="3"/>
  <c r="DT898" i="3"/>
  <c r="DS898" i="3"/>
  <c r="DR898" i="3"/>
  <c r="DQ898" i="3"/>
  <c r="DP898" i="3"/>
  <c r="DO898" i="3"/>
  <c r="DN898" i="3"/>
  <c r="DM898" i="3"/>
  <c r="DL898" i="3"/>
  <c r="DK898" i="3"/>
  <c r="DJ898" i="3"/>
  <c r="DI898" i="3"/>
  <c r="DH898" i="3"/>
  <c r="DG898" i="3"/>
  <c r="DF898" i="3"/>
  <c r="DE898" i="3"/>
  <c r="DD898" i="3"/>
  <c r="DC898" i="3"/>
  <c r="DB898" i="3"/>
  <c r="DA898" i="3"/>
  <c r="CZ898" i="3"/>
  <c r="CY898" i="3"/>
  <c r="CX898" i="3"/>
  <c r="CW898" i="3"/>
  <c r="CV898" i="3"/>
  <c r="CU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C898" i="3"/>
  <c r="CB898" i="3"/>
  <c r="CA898" i="3"/>
  <c r="BZ898" i="3"/>
  <c r="BY898" i="3"/>
  <c r="BX898" i="3"/>
  <c r="BW898" i="3"/>
  <c r="BV898" i="3"/>
  <c r="BU898" i="3"/>
  <c r="BT898" i="3"/>
  <c r="BS898" i="3"/>
  <c r="BR898" i="3"/>
  <c r="BQ898" i="3"/>
  <c r="BP898" i="3"/>
  <c r="BO898" i="3"/>
  <c r="BN898" i="3"/>
  <c r="DU897" i="3"/>
  <c r="DT897" i="3"/>
  <c r="DS897" i="3"/>
  <c r="DR897" i="3"/>
  <c r="DQ897" i="3"/>
  <c r="DP897" i="3"/>
  <c r="DO897" i="3"/>
  <c r="DN897" i="3"/>
  <c r="DM897" i="3"/>
  <c r="DL897" i="3"/>
  <c r="DK897" i="3"/>
  <c r="DJ897" i="3"/>
  <c r="DI897" i="3"/>
  <c r="DH897" i="3"/>
  <c r="DG897" i="3"/>
  <c r="DF897" i="3"/>
  <c r="DE897" i="3"/>
  <c r="DD897" i="3"/>
  <c r="DC897" i="3"/>
  <c r="DB897" i="3"/>
  <c r="DA897" i="3"/>
  <c r="CZ897" i="3"/>
  <c r="CY897" i="3"/>
  <c r="CX897" i="3"/>
  <c r="CW897" i="3"/>
  <c r="CV897" i="3"/>
  <c r="CU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C897" i="3"/>
  <c r="CB897" i="3"/>
  <c r="CA897" i="3"/>
  <c r="BZ897" i="3"/>
  <c r="BY897" i="3"/>
  <c r="BX897" i="3"/>
  <c r="BW897" i="3"/>
  <c r="BV897" i="3"/>
  <c r="BU897" i="3"/>
  <c r="BT897" i="3"/>
  <c r="BS897" i="3"/>
  <c r="BR897" i="3"/>
  <c r="BQ897" i="3"/>
  <c r="BP897" i="3"/>
  <c r="BO897" i="3"/>
  <c r="BN897" i="3"/>
  <c r="DU896" i="3"/>
  <c r="DT896" i="3"/>
  <c r="DS896" i="3"/>
  <c r="DR896" i="3"/>
  <c r="DQ896" i="3"/>
  <c r="DP896" i="3"/>
  <c r="DO896" i="3"/>
  <c r="DN896" i="3"/>
  <c r="DM896" i="3"/>
  <c r="DL896" i="3"/>
  <c r="DK896" i="3"/>
  <c r="DJ896" i="3"/>
  <c r="DI896" i="3"/>
  <c r="DH896" i="3"/>
  <c r="DG896" i="3"/>
  <c r="DF896" i="3"/>
  <c r="DE896" i="3"/>
  <c r="DD896" i="3"/>
  <c r="DC896" i="3"/>
  <c r="DB896" i="3"/>
  <c r="DA896" i="3"/>
  <c r="CZ896" i="3"/>
  <c r="CY896" i="3"/>
  <c r="CX896" i="3"/>
  <c r="CW896" i="3"/>
  <c r="CV896" i="3"/>
  <c r="CU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C896" i="3"/>
  <c r="CB896" i="3"/>
  <c r="CA896" i="3"/>
  <c r="BZ896" i="3"/>
  <c r="BY896" i="3"/>
  <c r="BX896" i="3"/>
  <c r="BW896" i="3"/>
  <c r="BV896" i="3"/>
  <c r="BU896" i="3"/>
  <c r="BT896" i="3"/>
  <c r="BS896" i="3"/>
  <c r="BR896" i="3"/>
  <c r="BQ896" i="3"/>
  <c r="BP896" i="3"/>
  <c r="BO896" i="3"/>
  <c r="BN896" i="3"/>
  <c r="DU895" i="3"/>
  <c r="DT895" i="3"/>
  <c r="DS895" i="3"/>
  <c r="DR895" i="3"/>
  <c r="DQ895" i="3"/>
  <c r="DP895" i="3"/>
  <c r="DO895" i="3"/>
  <c r="DN895" i="3"/>
  <c r="DM895" i="3"/>
  <c r="DL895" i="3"/>
  <c r="DK895" i="3"/>
  <c r="DJ895" i="3"/>
  <c r="DI895" i="3"/>
  <c r="DH895" i="3"/>
  <c r="DG895" i="3"/>
  <c r="DF895" i="3"/>
  <c r="DE895" i="3"/>
  <c r="DD895" i="3"/>
  <c r="DC895" i="3"/>
  <c r="DB895" i="3"/>
  <c r="DA895" i="3"/>
  <c r="CZ895" i="3"/>
  <c r="CY895" i="3"/>
  <c r="CX895" i="3"/>
  <c r="CW895" i="3"/>
  <c r="CV895" i="3"/>
  <c r="CU895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C895" i="3"/>
  <c r="CB895" i="3"/>
  <c r="CA895" i="3"/>
  <c r="BZ895" i="3"/>
  <c r="BY895" i="3"/>
  <c r="BX895" i="3"/>
  <c r="BW895" i="3"/>
  <c r="BV895" i="3"/>
  <c r="BU895" i="3"/>
  <c r="BT895" i="3"/>
  <c r="BS895" i="3"/>
  <c r="BR895" i="3"/>
  <c r="BQ895" i="3"/>
  <c r="BP895" i="3"/>
  <c r="BO895" i="3"/>
  <c r="BN895" i="3"/>
  <c r="DU894" i="3"/>
  <c r="DT894" i="3"/>
  <c r="DS894" i="3"/>
  <c r="DR894" i="3"/>
  <c r="DQ894" i="3"/>
  <c r="DP894" i="3"/>
  <c r="DO894" i="3"/>
  <c r="DN894" i="3"/>
  <c r="DM894" i="3"/>
  <c r="DL894" i="3"/>
  <c r="DK894" i="3"/>
  <c r="DJ894" i="3"/>
  <c r="DI894" i="3"/>
  <c r="DH894" i="3"/>
  <c r="DG894" i="3"/>
  <c r="DF894" i="3"/>
  <c r="DE894" i="3"/>
  <c r="DD894" i="3"/>
  <c r="DC894" i="3"/>
  <c r="DB894" i="3"/>
  <c r="DA894" i="3"/>
  <c r="CZ894" i="3"/>
  <c r="CY894" i="3"/>
  <c r="CX894" i="3"/>
  <c r="CW894" i="3"/>
  <c r="CV894" i="3"/>
  <c r="CU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CC894" i="3"/>
  <c r="CB894" i="3"/>
  <c r="CA894" i="3"/>
  <c r="BZ894" i="3"/>
  <c r="BY894" i="3"/>
  <c r="BX894" i="3"/>
  <c r="BW894" i="3"/>
  <c r="BV894" i="3"/>
  <c r="BU894" i="3"/>
  <c r="BT894" i="3"/>
  <c r="BS894" i="3"/>
  <c r="BR894" i="3"/>
  <c r="BQ894" i="3"/>
  <c r="BP894" i="3"/>
  <c r="BO894" i="3"/>
  <c r="BN894" i="3"/>
  <c r="DU893" i="3"/>
  <c r="DT893" i="3"/>
  <c r="DS893" i="3"/>
  <c r="DR893" i="3"/>
  <c r="DQ893" i="3"/>
  <c r="DP893" i="3"/>
  <c r="DO893" i="3"/>
  <c r="DN893" i="3"/>
  <c r="DM893" i="3"/>
  <c r="DL893" i="3"/>
  <c r="DK893" i="3"/>
  <c r="DJ893" i="3"/>
  <c r="DI893" i="3"/>
  <c r="DH893" i="3"/>
  <c r="DG893" i="3"/>
  <c r="DF893" i="3"/>
  <c r="DE893" i="3"/>
  <c r="DD893" i="3"/>
  <c r="DC893" i="3"/>
  <c r="DB893" i="3"/>
  <c r="DA893" i="3"/>
  <c r="CZ893" i="3"/>
  <c r="CY893" i="3"/>
  <c r="CX893" i="3"/>
  <c r="CW893" i="3"/>
  <c r="CV893" i="3"/>
  <c r="CU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C893" i="3"/>
  <c r="CB893" i="3"/>
  <c r="CA893" i="3"/>
  <c r="BZ893" i="3"/>
  <c r="BY893" i="3"/>
  <c r="BX893" i="3"/>
  <c r="BW893" i="3"/>
  <c r="BV893" i="3"/>
  <c r="BU893" i="3"/>
  <c r="BT893" i="3"/>
  <c r="BS893" i="3"/>
  <c r="BR893" i="3"/>
  <c r="BQ893" i="3"/>
  <c r="BP893" i="3"/>
  <c r="BO893" i="3"/>
  <c r="BN893" i="3"/>
  <c r="DU892" i="3"/>
  <c r="DT892" i="3"/>
  <c r="DS892" i="3"/>
  <c r="DR892" i="3"/>
  <c r="DQ892" i="3"/>
  <c r="DP892" i="3"/>
  <c r="DO892" i="3"/>
  <c r="DN892" i="3"/>
  <c r="DM892" i="3"/>
  <c r="DL892" i="3"/>
  <c r="DK892" i="3"/>
  <c r="DJ892" i="3"/>
  <c r="DI892" i="3"/>
  <c r="DH892" i="3"/>
  <c r="DG892" i="3"/>
  <c r="DF892" i="3"/>
  <c r="DE892" i="3"/>
  <c r="DD892" i="3"/>
  <c r="DC892" i="3"/>
  <c r="DB892" i="3"/>
  <c r="DA892" i="3"/>
  <c r="CZ892" i="3"/>
  <c r="CY892" i="3"/>
  <c r="CX892" i="3"/>
  <c r="CW892" i="3"/>
  <c r="CV892" i="3"/>
  <c r="CU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C892" i="3"/>
  <c r="CB892" i="3"/>
  <c r="CA892" i="3"/>
  <c r="BZ892" i="3"/>
  <c r="BY892" i="3"/>
  <c r="BX892" i="3"/>
  <c r="BW892" i="3"/>
  <c r="BV892" i="3"/>
  <c r="BU892" i="3"/>
  <c r="BT892" i="3"/>
  <c r="BS892" i="3"/>
  <c r="BR892" i="3"/>
  <c r="BQ892" i="3"/>
  <c r="BP892" i="3"/>
  <c r="BO892" i="3"/>
  <c r="BN892" i="3"/>
  <c r="DU891" i="3"/>
  <c r="DT891" i="3"/>
  <c r="DS891" i="3"/>
  <c r="DR891" i="3"/>
  <c r="DQ891" i="3"/>
  <c r="DP891" i="3"/>
  <c r="DO891" i="3"/>
  <c r="DN891" i="3"/>
  <c r="DM891" i="3"/>
  <c r="DL891" i="3"/>
  <c r="DK891" i="3"/>
  <c r="DJ891" i="3"/>
  <c r="DI891" i="3"/>
  <c r="DH891" i="3"/>
  <c r="DG891" i="3"/>
  <c r="DF891" i="3"/>
  <c r="DE891" i="3"/>
  <c r="DD891" i="3"/>
  <c r="DC891" i="3"/>
  <c r="DB891" i="3"/>
  <c r="DA891" i="3"/>
  <c r="CZ891" i="3"/>
  <c r="CY891" i="3"/>
  <c r="CX891" i="3"/>
  <c r="CW891" i="3"/>
  <c r="CV891" i="3"/>
  <c r="CU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C891" i="3"/>
  <c r="CB891" i="3"/>
  <c r="CA891" i="3"/>
  <c r="BZ891" i="3"/>
  <c r="BY891" i="3"/>
  <c r="BX891" i="3"/>
  <c r="BW891" i="3"/>
  <c r="BV891" i="3"/>
  <c r="BU891" i="3"/>
  <c r="BT891" i="3"/>
  <c r="BS891" i="3"/>
  <c r="BR891" i="3"/>
  <c r="BQ891" i="3"/>
  <c r="BP891" i="3"/>
  <c r="BO891" i="3"/>
  <c r="BN891" i="3"/>
  <c r="DU890" i="3"/>
  <c r="DT890" i="3"/>
  <c r="DS890" i="3"/>
  <c r="DR890" i="3"/>
  <c r="DQ890" i="3"/>
  <c r="DP890" i="3"/>
  <c r="DO890" i="3"/>
  <c r="DN890" i="3"/>
  <c r="DM890" i="3"/>
  <c r="DL890" i="3"/>
  <c r="DK890" i="3"/>
  <c r="DJ890" i="3"/>
  <c r="DI890" i="3"/>
  <c r="DH890" i="3"/>
  <c r="DG890" i="3"/>
  <c r="DF890" i="3"/>
  <c r="DE890" i="3"/>
  <c r="DD890" i="3"/>
  <c r="DC890" i="3"/>
  <c r="DB890" i="3"/>
  <c r="DA890" i="3"/>
  <c r="CZ890" i="3"/>
  <c r="CY890" i="3"/>
  <c r="CX890" i="3"/>
  <c r="CW890" i="3"/>
  <c r="CV890" i="3"/>
  <c r="CU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C890" i="3"/>
  <c r="CB890" i="3"/>
  <c r="CA890" i="3"/>
  <c r="BZ890" i="3"/>
  <c r="BY890" i="3"/>
  <c r="BX890" i="3"/>
  <c r="BW890" i="3"/>
  <c r="BV890" i="3"/>
  <c r="BU890" i="3"/>
  <c r="BT890" i="3"/>
  <c r="BS890" i="3"/>
  <c r="BR890" i="3"/>
  <c r="BQ890" i="3"/>
  <c r="BP890" i="3"/>
  <c r="BO890" i="3"/>
  <c r="BN890" i="3"/>
  <c r="DU889" i="3"/>
  <c r="DT889" i="3"/>
  <c r="DS889" i="3"/>
  <c r="DR889" i="3"/>
  <c r="DQ889" i="3"/>
  <c r="DP889" i="3"/>
  <c r="DO889" i="3"/>
  <c r="DN889" i="3"/>
  <c r="DM889" i="3"/>
  <c r="DL889" i="3"/>
  <c r="DK889" i="3"/>
  <c r="DJ889" i="3"/>
  <c r="DI889" i="3"/>
  <c r="DH889" i="3"/>
  <c r="DG889" i="3"/>
  <c r="DF889" i="3"/>
  <c r="DE889" i="3"/>
  <c r="DD889" i="3"/>
  <c r="DC889" i="3"/>
  <c r="DB889" i="3"/>
  <c r="DA889" i="3"/>
  <c r="CZ889" i="3"/>
  <c r="CY889" i="3"/>
  <c r="CX889" i="3"/>
  <c r="CW889" i="3"/>
  <c r="CV889" i="3"/>
  <c r="CU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C889" i="3"/>
  <c r="CB889" i="3"/>
  <c r="CA889" i="3"/>
  <c r="BZ889" i="3"/>
  <c r="BY889" i="3"/>
  <c r="BX889" i="3"/>
  <c r="BW889" i="3"/>
  <c r="BV889" i="3"/>
  <c r="BU889" i="3"/>
  <c r="BT889" i="3"/>
  <c r="BS889" i="3"/>
  <c r="BR889" i="3"/>
  <c r="BQ889" i="3"/>
  <c r="BP889" i="3"/>
  <c r="BO889" i="3"/>
  <c r="BN889" i="3"/>
  <c r="DU888" i="3"/>
  <c r="DT888" i="3"/>
  <c r="DS888" i="3"/>
  <c r="DR888" i="3"/>
  <c r="DQ888" i="3"/>
  <c r="DP888" i="3"/>
  <c r="DO888" i="3"/>
  <c r="DN888" i="3"/>
  <c r="DM888" i="3"/>
  <c r="DL888" i="3"/>
  <c r="DK888" i="3"/>
  <c r="DJ888" i="3"/>
  <c r="DI888" i="3"/>
  <c r="DH888" i="3"/>
  <c r="DG888" i="3"/>
  <c r="DF888" i="3"/>
  <c r="DE888" i="3"/>
  <c r="DD888" i="3"/>
  <c r="DC888" i="3"/>
  <c r="DB888" i="3"/>
  <c r="DA888" i="3"/>
  <c r="CZ888" i="3"/>
  <c r="CY888" i="3"/>
  <c r="CX888" i="3"/>
  <c r="CW888" i="3"/>
  <c r="CV888" i="3"/>
  <c r="CU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C888" i="3"/>
  <c r="CB888" i="3"/>
  <c r="CA888" i="3"/>
  <c r="BZ888" i="3"/>
  <c r="BY888" i="3"/>
  <c r="BX888" i="3"/>
  <c r="BW888" i="3"/>
  <c r="BV888" i="3"/>
  <c r="BU888" i="3"/>
  <c r="BT888" i="3"/>
  <c r="BS888" i="3"/>
  <c r="BR888" i="3"/>
  <c r="BQ888" i="3"/>
  <c r="BP888" i="3"/>
  <c r="BO888" i="3"/>
  <c r="BN888" i="3"/>
  <c r="DU887" i="3"/>
  <c r="DT887" i="3"/>
  <c r="DS887" i="3"/>
  <c r="DR887" i="3"/>
  <c r="DQ887" i="3"/>
  <c r="DP887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BY887" i="3"/>
  <c r="BX887" i="3"/>
  <c r="BW887" i="3"/>
  <c r="BV887" i="3"/>
  <c r="BU887" i="3"/>
  <c r="BT887" i="3"/>
  <c r="BS887" i="3"/>
  <c r="BR887" i="3"/>
  <c r="BQ887" i="3"/>
  <c r="BP887" i="3"/>
  <c r="BO887" i="3"/>
  <c r="BN887" i="3"/>
  <c r="DU886" i="3"/>
  <c r="DT886" i="3"/>
  <c r="DS886" i="3"/>
  <c r="DR886" i="3"/>
  <c r="DQ886" i="3"/>
  <c r="DP886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BY886" i="3"/>
  <c r="BX886" i="3"/>
  <c r="BW886" i="3"/>
  <c r="BV886" i="3"/>
  <c r="BU886" i="3"/>
  <c r="BT886" i="3"/>
  <c r="BS886" i="3"/>
  <c r="BR886" i="3"/>
  <c r="BQ886" i="3"/>
  <c r="BP886" i="3"/>
  <c r="BO886" i="3"/>
  <c r="BN886" i="3"/>
  <c r="DU885" i="3"/>
  <c r="DT885" i="3"/>
  <c r="DS885" i="3"/>
  <c r="DR885" i="3"/>
  <c r="DQ885" i="3"/>
  <c r="DP885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BY885" i="3"/>
  <c r="BX885" i="3"/>
  <c r="BW885" i="3"/>
  <c r="BV885" i="3"/>
  <c r="BU885" i="3"/>
  <c r="BT885" i="3"/>
  <c r="BS885" i="3"/>
  <c r="BR885" i="3"/>
  <c r="BQ885" i="3"/>
  <c r="BP885" i="3"/>
  <c r="BO885" i="3"/>
  <c r="BN885" i="3"/>
  <c r="DU884" i="3"/>
  <c r="DT884" i="3"/>
  <c r="DS884" i="3"/>
  <c r="DR884" i="3"/>
  <c r="DQ884" i="3"/>
  <c r="DP884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BY884" i="3"/>
  <c r="BX884" i="3"/>
  <c r="BW884" i="3"/>
  <c r="BV884" i="3"/>
  <c r="BU884" i="3"/>
  <c r="BT884" i="3"/>
  <c r="BS884" i="3"/>
  <c r="BR884" i="3"/>
  <c r="BQ884" i="3"/>
  <c r="BP884" i="3"/>
  <c r="BO884" i="3"/>
  <c r="BN884" i="3"/>
  <c r="DU883" i="3"/>
  <c r="DT883" i="3"/>
  <c r="DS883" i="3"/>
  <c r="DR883" i="3"/>
  <c r="DQ883" i="3"/>
  <c r="DP883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BY883" i="3"/>
  <c r="BX883" i="3"/>
  <c r="BW883" i="3"/>
  <c r="BV883" i="3"/>
  <c r="BU883" i="3"/>
  <c r="BT883" i="3"/>
  <c r="BS883" i="3"/>
  <c r="BR883" i="3"/>
  <c r="BQ883" i="3"/>
  <c r="BP883" i="3"/>
  <c r="BO883" i="3"/>
  <c r="BN883" i="3"/>
  <c r="DU882" i="3"/>
  <c r="DT882" i="3"/>
  <c r="DS882" i="3"/>
  <c r="DR882" i="3"/>
  <c r="DQ882" i="3"/>
  <c r="DP882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BY882" i="3"/>
  <c r="BX882" i="3"/>
  <c r="BW882" i="3"/>
  <c r="BV882" i="3"/>
  <c r="BU882" i="3"/>
  <c r="BT882" i="3"/>
  <c r="BS882" i="3"/>
  <c r="BR882" i="3"/>
  <c r="BQ882" i="3"/>
  <c r="BP882" i="3"/>
  <c r="BO882" i="3"/>
  <c r="BN882" i="3"/>
  <c r="DU881" i="3"/>
  <c r="DT881" i="3"/>
  <c r="DS881" i="3"/>
  <c r="DR881" i="3"/>
  <c r="DQ881" i="3"/>
  <c r="DP881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BY881" i="3"/>
  <c r="BX881" i="3"/>
  <c r="BW881" i="3"/>
  <c r="BV881" i="3"/>
  <c r="BU881" i="3"/>
  <c r="BT881" i="3"/>
  <c r="BS881" i="3"/>
  <c r="BR881" i="3"/>
  <c r="BQ881" i="3"/>
  <c r="BP881" i="3"/>
  <c r="BO881" i="3"/>
  <c r="BN881" i="3"/>
  <c r="DU880" i="3"/>
  <c r="DT880" i="3"/>
  <c r="DS880" i="3"/>
  <c r="DR880" i="3"/>
  <c r="DQ880" i="3"/>
  <c r="DP880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BY880" i="3"/>
  <c r="BX880" i="3"/>
  <c r="BW880" i="3"/>
  <c r="BV880" i="3"/>
  <c r="BU880" i="3"/>
  <c r="BT880" i="3"/>
  <c r="BS880" i="3"/>
  <c r="BR880" i="3"/>
  <c r="BQ880" i="3"/>
  <c r="BP880" i="3"/>
  <c r="BO880" i="3"/>
  <c r="BN880" i="3"/>
  <c r="DU879" i="3"/>
  <c r="DT879" i="3"/>
  <c r="DS879" i="3"/>
  <c r="DR879" i="3"/>
  <c r="DQ879" i="3"/>
  <c r="DP879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BY879" i="3"/>
  <c r="BX879" i="3"/>
  <c r="BW879" i="3"/>
  <c r="BV879" i="3"/>
  <c r="BU879" i="3"/>
  <c r="BT879" i="3"/>
  <c r="BS879" i="3"/>
  <c r="BR879" i="3"/>
  <c r="BQ879" i="3"/>
  <c r="BP879" i="3"/>
  <c r="BO879" i="3"/>
  <c r="BN879" i="3"/>
  <c r="DU878" i="3"/>
  <c r="DT878" i="3"/>
  <c r="DS878" i="3"/>
  <c r="DR878" i="3"/>
  <c r="DQ878" i="3"/>
  <c r="DP878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BY878" i="3"/>
  <c r="BX878" i="3"/>
  <c r="BW878" i="3"/>
  <c r="BV878" i="3"/>
  <c r="BU878" i="3"/>
  <c r="BT878" i="3"/>
  <c r="BS878" i="3"/>
  <c r="BR878" i="3"/>
  <c r="BQ878" i="3"/>
  <c r="BP878" i="3"/>
  <c r="BO878" i="3"/>
  <c r="BN878" i="3"/>
  <c r="DU877" i="3"/>
  <c r="DT877" i="3"/>
  <c r="DS877" i="3"/>
  <c r="DR877" i="3"/>
  <c r="DQ877" i="3"/>
  <c r="DP877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BY877" i="3"/>
  <c r="BX877" i="3"/>
  <c r="BW877" i="3"/>
  <c r="BV877" i="3"/>
  <c r="BU877" i="3"/>
  <c r="BT877" i="3"/>
  <c r="BS877" i="3"/>
  <c r="BR877" i="3"/>
  <c r="BQ877" i="3"/>
  <c r="BP877" i="3"/>
  <c r="BO877" i="3"/>
  <c r="BN877" i="3"/>
  <c r="DU876" i="3"/>
  <c r="DT876" i="3"/>
  <c r="DS876" i="3"/>
  <c r="DR876" i="3"/>
  <c r="DQ876" i="3"/>
  <c r="DP876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BY876" i="3"/>
  <c r="BX876" i="3"/>
  <c r="BW876" i="3"/>
  <c r="BV876" i="3"/>
  <c r="BU876" i="3"/>
  <c r="BT876" i="3"/>
  <c r="BS876" i="3"/>
  <c r="BR876" i="3"/>
  <c r="BQ876" i="3"/>
  <c r="BP876" i="3"/>
  <c r="BO876" i="3"/>
  <c r="BN876" i="3"/>
  <c r="DU875" i="3"/>
  <c r="DT875" i="3"/>
  <c r="DS875" i="3"/>
  <c r="DR875" i="3"/>
  <c r="DQ875" i="3"/>
  <c r="DP875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BY875" i="3"/>
  <c r="BX875" i="3"/>
  <c r="BW875" i="3"/>
  <c r="BV875" i="3"/>
  <c r="BU875" i="3"/>
  <c r="BT875" i="3"/>
  <c r="BS875" i="3"/>
  <c r="BR875" i="3"/>
  <c r="BQ875" i="3"/>
  <c r="BP875" i="3"/>
  <c r="BO875" i="3"/>
  <c r="BN875" i="3"/>
  <c r="DU874" i="3"/>
  <c r="DT874" i="3"/>
  <c r="DS874" i="3"/>
  <c r="DR874" i="3"/>
  <c r="DQ874" i="3"/>
  <c r="DP874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BY874" i="3"/>
  <c r="BX874" i="3"/>
  <c r="BW874" i="3"/>
  <c r="BV874" i="3"/>
  <c r="BU874" i="3"/>
  <c r="BT874" i="3"/>
  <c r="BS874" i="3"/>
  <c r="BR874" i="3"/>
  <c r="BQ874" i="3"/>
  <c r="BP874" i="3"/>
  <c r="BO874" i="3"/>
  <c r="BN874" i="3"/>
  <c r="DU873" i="3"/>
  <c r="DT873" i="3"/>
  <c r="DS873" i="3"/>
  <c r="DR873" i="3"/>
  <c r="DQ873" i="3"/>
  <c r="DP873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BY873" i="3"/>
  <c r="BX873" i="3"/>
  <c r="BW873" i="3"/>
  <c r="BV873" i="3"/>
  <c r="BU873" i="3"/>
  <c r="BT873" i="3"/>
  <c r="BS873" i="3"/>
  <c r="BR873" i="3"/>
  <c r="BQ873" i="3"/>
  <c r="BP873" i="3"/>
  <c r="BO873" i="3"/>
  <c r="BN873" i="3"/>
  <c r="DU872" i="3"/>
  <c r="DT872" i="3"/>
  <c r="DS872" i="3"/>
  <c r="DR872" i="3"/>
  <c r="DQ872" i="3"/>
  <c r="DP872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BY872" i="3"/>
  <c r="BX872" i="3"/>
  <c r="BW872" i="3"/>
  <c r="BV872" i="3"/>
  <c r="BU872" i="3"/>
  <c r="BT872" i="3"/>
  <c r="BS872" i="3"/>
  <c r="BR872" i="3"/>
  <c r="BQ872" i="3"/>
  <c r="BP872" i="3"/>
  <c r="BO872" i="3"/>
  <c r="BN872" i="3"/>
  <c r="DU871" i="3"/>
  <c r="DT871" i="3"/>
  <c r="DS871" i="3"/>
  <c r="DR871" i="3"/>
  <c r="DQ871" i="3"/>
  <c r="DP871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BY871" i="3"/>
  <c r="BX871" i="3"/>
  <c r="BW871" i="3"/>
  <c r="BV871" i="3"/>
  <c r="BU871" i="3"/>
  <c r="BT871" i="3"/>
  <c r="BS871" i="3"/>
  <c r="BR871" i="3"/>
  <c r="BQ871" i="3"/>
  <c r="BP871" i="3"/>
  <c r="BO871" i="3"/>
  <c r="BN871" i="3"/>
  <c r="DU870" i="3"/>
  <c r="DT870" i="3"/>
  <c r="DS870" i="3"/>
  <c r="DR870" i="3"/>
  <c r="DQ870" i="3"/>
  <c r="DP870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Y870" i="3"/>
  <c r="BX870" i="3"/>
  <c r="BW870" i="3"/>
  <c r="BV870" i="3"/>
  <c r="BU870" i="3"/>
  <c r="BT870" i="3"/>
  <c r="BS870" i="3"/>
  <c r="BR870" i="3"/>
  <c r="BQ870" i="3"/>
  <c r="BP870" i="3"/>
  <c r="BO870" i="3"/>
  <c r="BN870" i="3"/>
  <c r="DU869" i="3"/>
  <c r="DT869" i="3"/>
  <c r="DS869" i="3"/>
  <c r="DR869" i="3"/>
  <c r="DQ869" i="3"/>
  <c r="DP869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Y869" i="3"/>
  <c r="BX869" i="3"/>
  <c r="BW869" i="3"/>
  <c r="BV869" i="3"/>
  <c r="BU869" i="3"/>
  <c r="BT869" i="3"/>
  <c r="BS869" i="3"/>
  <c r="BR869" i="3"/>
  <c r="BQ869" i="3"/>
  <c r="BP869" i="3"/>
  <c r="BO869" i="3"/>
  <c r="BN869" i="3"/>
  <c r="DU868" i="3"/>
  <c r="DT868" i="3"/>
  <c r="DS868" i="3"/>
  <c r="DR868" i="3"/>
  <c r="DQ868" i="3"/>
  <c r="DP868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Y868" i="3"/>
  <c r="BX868" i="3"/>
  <c r="BW868" i="3"/>
  <c r="BV868" i="3"/>
  <c r="BU868" i="3"/>
  <c r="BT868" i="3"/>
  <c r="BS868" i="3"/>
  <c r="BR868" i="3"/>
  <c r="BQ868" i="3"/>
  <c r="BP868" i="3"/>
  <c r="BO868" i="3"/>
  <c r="BN868" i="3"/>
  <c r="DU867" i="3"/>
  <c r="DT867" i="3"/>
  <c r="DS867" i="3"/>
  <c r="DR867" i="3"/>
  <c r="DQ867" i="3"/>
  <c r="DP867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Y867" i="3"/>
  <c r="BX867" i="3"/>
  <c r="BW867" i="3"/>
  <c r="BV867" i="3"/>
  <c r="BU867" i="3"/>
  <c r="BT867" i="3"/>
  <c r="BS867" i="3"/>
  <c r="BR867" i="3"/>
  <c r="BQ867" i="3"/>
  <c r="BP867" i="3"/>
  <c r="BO867" i="3"/>
  <c r="BN867" i="3"/>
  <c r="DU866" i="3"/>
  <c r="DT866" i="3"/>
  <c r="DS866" i="3"/>
  <c r="DR866" i="3"/>
  <c r="DQ866" i="3"/>
  <c r="DP866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Y866" i="3"/>
  <c r="BX866" i="3"/>
  <c r="BW866" i="3"/>
  <c r="BV866" i="3"/>
  <c r="BU866" i="3"/>
  <c r="BT866" i="3"/>
  <c r="BS866" i="3"/>
  <c r="BR866" i="3"/>
  <c r="BQ866" i="3"/>
  <c r="BP866" i="3"/>
  <c r="BO866" i="3"/>
  <c r="BN866" i="3"/>
  <c r="DU865" i="3"/>
  <c r="DT865" i="3"/>
  <c r="DS865" i="3"/>
  <c r="DR865" i="3"/>
  <c r="DQ865" i="3"/>
  <c r="DP865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Y865" i="3"/>
  <c r="BX865" i="3"/>
  <c r="BW865" i="3"/>
  <c r="BV865" i="3"/>
  <c r="BU865" i="3"/>
  <c r="BT865" i="3"/>
  <c r="BS865" i="3"/>
  <c r="BR865" i="3"/>
  <c r="BQ865" i="3"/>
  <c r="BP865" i="3"/>
  <c r="BO865" i="3"/>
  <c r="BN865" i="3"/>
  <c r="DU864" i="3"/>
  <c r="DT864" i="3"/>
  <c r="DS864" i="3"/>
  <c r="DR864" i="3"/>
  <c r="DQ864" i="3"/>
  <c r="DP864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Y864" i="3"/>
  <c r="BX864" i="3"/>
  <c r="BW864" i="3"/>
  <c r="BV864" i="3"/>
  <c r="BU864" i="3"/>
  <c r="BT864" i="3"/>
  <c r="BS864" i="3"/>
  <c r="BR864" i="3"/>
  <c r="BQ864" i="3"/>
  <c r="BP864" i="3"/>
  <c r="BO864" i="3"/>
  <c r="BN864" i="3"/>
  <c r="DU863" i="3"/>
  <c r="DT863" i="3"/>
  <c r="DS863" i="3"/>
  <c r="DR863" i="3"/>
  <c r="DQ863" i="3"/>
  <c r="DP863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Y863" i="3"/>
  <c r="BX863" i="3"/>
  <c r="BW863" i="3"/>
  <c r="BV863" i="3"/>
  <c r="BU863" i="3"/>
  <c r="BT863" i="3"/>
  <c r="BS863" i="3"/>
  <c r="BR863" i="3"/>
  <c r="BQ863" i="3"/>
  <c r="BP863" i="3"/>
  <c r="BO863" i="3"/>
  <c r="BN863" i="3"/>
  <c r="DU862" i="3"/>
  <c r="DT862" i="3"/>
  <c r="DS862" i="3"/>
  <c r="DR862" i="3"/>
  <c r="DQ862" i="3"/>
  <c r="DP862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Y862" i="3"/>
  <c r="BX862" i="3"/>
  <c r="BW862" i="3"/>
  <c r="BV862" i="3"/>
  <c r="BU862" i="3"/>
  <c r="BT862" i="3"/>
  <c r="BS862" i="3"/>
  <c r="BR862" i="3"/>
  <c r="BQ862" i="3"/>
  <c r="BP862" i="3"/>
  <c r="BO862" i="3"/>
  <c r="BN862" i="3"/>
  <c r="DU861" i="3"/>
  <c r="DT861" i="3"/>
  <c r="DS861" i="3"/>
  <c r="DR861" i="3"/>
  <c r="DQ861" i="3"/>
  <c r="DP861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Y861" i="3"/>
  <c r="BX861" i="3"/>
  <c r="BW861" i="3"/>
  <c r="BV861" i="3"/>
  <c r="BU861" i="3"/>
  <c r="BT861" i="3"/>
  <c r="BS861" i="3"/>
  <c r="BR861" i="3"/>
  <c r="BQ861" i="3"/>
  <c r="BP861" i="3"/>
  <c r="BO861" i="3"/>
  <c r="BN861" i="3"/>
  <c r="DU860" i="3"/>
  <c r="DT860" i="3"/>
  <c r="DS860" i="3"/>
  <c r="DR860" i="3"/>
  <c r="DQ860" i="3"/>
  <c r="DP860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Y860" i="3"/>
  <c r="BX860" i="3"/>
  <c r="BW860" i="3"/>
  <c r="BV860" i="3"/>
  <c r="BU860" i="3"/>
  <c r="BT860" i="3"/>
  <c r="BS860" i="3"/>
  <c r="BR860" i="3"/>
  <c r="BQ860" i="3"/>
  <c r="BP860" i="3"/>
  <c r="BO860" i="3"/>
  <c r="BN860" i="3"/>
  <c r="DU859" i="3"/>
  <c r="DT859" i="3"/>
  <c r="DS859" i="3"/>
  <c r="DR859" i="3"/>
  <c r="DQ859" i="3"/>
  <c r="DP859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Y859" i="3"/>
  <c r="BX859" i="3"/>
  <c r="BW859" i="3"/>
  <c r="BV859" i="3"/>
  <c r="BU859" i="3"/>
  <c r="BT859" i="3"/>
  <c r="BS859" i="3"/>
  <c r="BR859" i="3"/>
  <c r="BQ859" i="3"/>
  <c r="BP859" i="3"/>
  <c r="BO859" i="3"/>
  <c r="BN859" i="3"/>
  <c r="DU858" i="3"/>
  <c r="DT858" i="3"/>
  <c r="DS858" i="3"/>
  <c r="DR858" i="3"/>
  <c r="DQ858" i="3"/>
  <c r="DP858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Y858" i="3"/>
  <c r="BX858" i="3"/>
  <c r="BW858" i="3"/>
  <c r="BV858" i="3"/>
  <c r="BU858" i="3"/>
  <c r="BT858" i="3"/>
  <c r="BS858" i="3"/>
  <c r="BR858" i="3"/>
  <c r="BQ858" i="3"/>
  <c r="BP858" i="3"/>
  <c r="BO858" i="3"/>
  <c r="BN858" i="3"/>
  <c r="DU857" i="3"/>
  <c r="DT857" i="3"/>
  <c r="DS857" i="3"/>
  <c r="DR857" i="3"/>
  <c r="DQ857" i="3"/>
  <c r="DP857" i="3"/>
  <c r="DO857" i="3"/>
  <c r="DN857" i="3"/>
  <c r="DM857" i="3"/>
  <c r="DL857" i="3"/>
  <c r="DK857" i="3"/>
  <c r="DJ857" i="3"/>
  <c r="DI857" i="3"/>
  <c r="DH857" i="3"/>
  <c r="DG857" i="3"/>
  <c r="DF857" i="3"/>
  <c r="DE857" i="3"/>
  <c r="DD857" i="3"/>
  <c r="DC857" i="3"/>
  <c r="DB857" i="3"/>
  <c r="DA857" i="3"/>
  <c r="CZ857" i="3"/>
  <c r="CY857" i="3"/>
  <c r="CX857" i="3"/>
  <c r="CW857" i="3"/>
  <c r="CV857" i="3"/>
  <c r="CU857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Y857" i="3"/>
  <c r="BX857" i="3"/>
  <c r="BW857" i="3"/>
  <c r="BV857" i="3"/>
  <c r="BU857" i="3"/>
  <c r="BT857" i="3"/>
  <c r="BS857" i="3"/>
  <c r="BR857" i="3"/>
  <c r="BQ857" i="3"/>
  <c r="BP857" i="3"/>
  <c r="BO857" i="3"/>
  <c r="BN857" i="3"/>
  <c r="DU856" i="3"/>
  <c r="DT856" i="3"/>
  <c r="DS856" i="3"/>
  <c r="DR856" i="3"/>
  <c r="DQ856" i="3"/>
  <c r="DP856" i="3"/>
  <c r="DO856" i="3"/>
  <c r="DN856" i="3"/>
  <c r="DM856" i="3"/>
  <c r="DL856" i="3"/>
  <c r="DK856" i="3"/>
  <c r="DJ856" i="3"/>
  <c r="DI856" i="3"/>
  <c r="DH856" i="3"/>
  <c r="DG856" i="3"/>
  <c r="DF856" i="3"/>
  <c r="DE856" i="3"/>
  <c r="DD856" i="3"/>
  <c r="DC856" i="3"/>
  <c r="DB856" i="3"/>
  <c r="DA856" i="3"/>
  <c r="CZ856" i="3"/>
  <c r="CY856" i="3"/>
  <c r="CX856" i="3"/>
  <c r="CW856" i="3"/>
  <c r="CV856" i="3"/>
  <c r="CU856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Y856" i="3"/>
  <c r="BX856" i="3"/>
  <c r="BW856" i="3"/>
  <c r="BV856" i="3"/>
  <c r="BU856" i="3"/>
  <c r="BT856" i="3"/>
  <c r="BS856" i="3"/>
  <c r="BR856" i="3"/>
  <c r="BQ856" i="3"/>
  <c r="BP856" i="3"/>
  <c r="BO856" i="3"/>
  <c r="BN856" i="3"/>
  <c r="DU855" i="3"/>
  <c r="DT855" i="3"/>
  <c r="DS855" i="3"/>
  <c r="DR855" i="3"/>
  <c r="DQ855" i="3"/>
  <c r="DP855" i="3"/>
  <c r="DO855" i="3"/>
  <c r="DN855" i="3"/>
  <c r="DM855" i="3"/>
  <c r="DL855" i="3"/>
  <c r="DK855" i="3"/>
  <c r="DJ855" i="3"/>
  <c r="DI855" i="3"/>
  <c r="DH855" i="3"/>
  <c r="DG855" i="3"/>
  <c r="DF855" i="3"/>
  <c r="DE855" i="3"/>
  <c r="DD855" i="3"/>
  <c r="DC855" i="3"/>
  <c r="DB855" i="3"/>
  <c r="DA855" i="3"/>
  <c r="CZ855" i="3"/>
  <c r="CY855" i="3"/>
  <c r="CX855" i="3"/>
  <c r="CW855" i="3"/>
  <c r="CV855" i="3"/>
  <c r="CU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Y855" i="3"/>
  <c r="BX855" i="3"/>
  <c r="BW855" i="3"/>
  <c r="BV855" i="3"/>
  <c r="BU855" i="3"/>
  <c r="BT855" i="3"/>
  <c r="BS855" i="3"/>
  <c r="BR855" i="3"/>
  <c r="BQ855" i="3"/>
  <c r="BP855" i="3"/>
  <c r="BO855" i="3"/>
  <c r="BN855" i="3"/>
  <c r="DU854" i="3"/>
  <c r="DT854" i="3"/>
  <c r="DS854" i="3"/>
  <c r="DR854" i="3"/>
  <c r="DQ854" i="3"/>
  <c r="DP854" i="3"/>
  <c r="DO854" i="3"/>
  <c r="DN854" i="3"/>
  <c r="DM854" i="3"/>
  <c r="DL854" i="3"/>
  <c r="DK854" i="3"/>
  <c r="DJ854" i="3"/>
  <c r="DI854" i="3"/>
  <c r="DH854" i="3"/>
  <c r="DG854" i="3"/>
  <c r="DF854" i="3"/>
  <c r="DE854" i="3"/>
  <c r="DD854" i="3"/>
  <c r="DC854" i="3"/>
  <c r="DB854" i="3"/>
  <c r="DA854" i="3"/>
  <c r="CZ854" i="3"/>
  <c r="CY854" i="3"/>
  <c r="CX854" i="3"/>
  <c r="CW854" i="3"/>
  <c r="CV854" i="3"/>
  <c r="CU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Y854" i="3"/>
  <c r="BX854" i="3"/>
  <c r="BW854" i="3"/>
  <c r="BV854" i="3"/>
  <c r="BU854" i="3"/>
  <c r="BT854" i="3"/>
  <c r="BS854" i="3"/>
  <c r="BR854" i="3"/>
  <c r="BQ854" i="3"/>
  <c r="BP854" i="3"/>
  <c r="BO854" i="3"/>
  <c r="BN854" i="3"/>
  <c r="DU853" i="3"/>
  <c r="DT853" i="3"/>
  <c r="DS853" i="3"/>
  <c r="DR853" i="3"/>
  <c r="DQ853" i="3"/>
  <c r="DP853" i="3"/>
  <c r="DO853" i="3"/>
  <c r="DN853" i="3"/>
  <c r="DM853" i="3"/>
  <c r="DL853" i="3"/>
  <c r="DK853" i="3"/>
  <c r="DJ853" i="3"/>
  <c r="DI853" i="3"/>
  <c r="DH853" i="3"/>
  <c r="DG853" i="3"/>
  <c r="DF853" i="3"/>
  <c r="DE853" i="3"/>
  <c r="DD853" i="3"/>
  <c r="DC853" i="3"/>
  <c r="DB853" i="3"/>
  <c r="DA853" i="3"/>
  <c r="CZ853" i="3"/>
  <c r="CY853" i="3"/>
  <c r="CX853" i="3"/>
  <c r="CW853" i="3"/>
  <c r="CV853" i="3"/>
  <c r="CU853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Y853" i="3"/>
  <c r="BX853" i="3"/>
  <c r="BW853" i="3"/>
  <c r="BV853" i="3"/>
  <c r="BU853" i="3"/>
  <c r="BT853" i="3"/>
  <c r="BS853" i="3"/>
  <c r="BR853" i="3"/>
  <c r="BQ853" i="3"/>
  <c r="BP853" i="3"/>
  <c r="BO853" i="3"/>
  <c r="BN853" i="3"/>
  <c r="DU852" i="3"/>
  <c r="DT852" i="3"/>
  <c r="DS852" i="3"/>
  <c r="DR852" i="3"/>
  <c r="DQ852" i="3"/>
  <c r="DP852" i="3"/>
  <c r="DO852" i="3"/>
  <c r="DN852" i="3"/>
  <c r="DM852" i="3"/>
  <c r="DL852" i="3"/>
  <c r="DK852" i="3"/>
  <c r="DJ852" i="3"/>
  <c r="DI852" i="3"/>
  <c r="DH852" i="3"/>
  <c r="DG852" i="3"/>
  <c r="DF852" i="3"/>
  <c r="DE852" i="3"/>
  <c r="DD852" i="3"/>
  <c r="DC852" i="3"/>
  <c r="DB852" i="3"/>
  <c r="DA852" i="3"/>
  <c r="CZ852" i="3"/>
  <c r="CY852" i="3"/>
  <c r="CX852" i="3"/>
  <c r="CW852" i="3"/>
  <c r="CV852" i="3"/>
  <c r="CU852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Y852" i="3"/>
  <c r="BX852" i="3"/>
  <c r="BW852" i="3"/>
  <c r="BV852" i="3"/>
  <c r="BU852" i="3"/>
  <c r="BT852" i="3"/>
  <c r="BS852" i="3"/>
  <c r="BR852" i="3"/>
  <c r="BQ852" i="3"/>
  <c r="BP852" i="3"/>
  <c r="BO852" i="3"/>
  <c r="BN852" i="3"/>
  <c r="DU851" i="3"/>
  <c r="DT851" i="3"/>
  <c r="DS851" i="3"/>
  <c r="DR851" i="3"/>
  <c r="DQ851" i="3"/>
  <c r="DP851" i="3"/>
  <c r="DO851" i="3"/>
  <c r="DN851" i="3"/>
  <c r="DM851" i="3"/>
  <c r="DL851" i="3"/>
  <c r="DK851" i="3"/>
  <c r="DJ851" i="3"/>
  <c r="DI851" i="3"/>
  <c r="DH851" i="3"/>
  <c r="DG851" i="3"/>
  <c r="DF851" i="3"/>
  <c r="DE851" i="3"/>
  <c r="DD851" i="3"/>
  <c r="DC851" i="3"/>
  <c r="DB851" i="3"/>
  <c r="DA851" i="3"/>
  <c r="CZ851" i="3"/>
  <c r="CY851" i="3"/>
  <c r="CX851" i="3"/>
  <c r="CW851" i="3"/>
  <c r="CV851" i="3"/>
  <c r="CU851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Y851" i="3"/>
  <c r="BX851" i="3"/>
  <c r="BW851" i="3"/>
  <c r="BV851" i="3"/>
  <c r="BU851" i="3"/>
  <c r="BT851" i="3"/>
  <c r="BS851" i="3"/>
  <c r="BR851" i="3"/>
  <c r="BQ851" i="3"/>
  <c r="BP851" i="3"/>
  <c r="BO851" i="3"/>
  <c r="BN851" i="3"/>
  <c r="DU850" i="3"/>
  <c r="DT850" i="3"/>
  <c r="DS850" i="3"/>
  <c r="DR850" i="3"/>
  <c r="DQ850" i="3"/>
  <c r="DP850" i="3"/>
  <c r="DO850" i="3"/>
  <c r="DN850" i="3"/>
  <c r="DM850" i="3"/>
  <c r="DL850" i="3"/>
  <c r="DK850" i="3"/>
  <c r="DJ850" i="3"/>
  <c r="DI850" i="3"/>
  <c r="DH850" i="3"/>
  <c r="DG850" i="3"/>
  <c r="DF850" i="3"/>
  <c r="DE850" i="3"/>
  <c r="DD850" i="3"/>
  <c r="DC850" i="3"/>
  <c r="DB850" i="3"/>
  <c r="DA850" i="3"/>
  <c r="CZ850" i="3"/>
  <c r="CY850" i="3"/>
  <c r="CX850" i="3"/>
  <c r="CW850" i="3"/>
  <c r="CV850" i="3"/>
  <c r="CU850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Y850" i="3"/>
  <c r="BX850" i="3"/>
  <c r="BW850" i="3"/>
  <c r="BV850" i="3"/>
  <c r="BU850" i="3"/>
  <c r="BT850" i="3"/>
  <c r="BS850" i="3"/>
  <c r="BR850" i="3"/>
  <c r="BQ850" i="3"/>
  <c r="BP850" i="3"/>
  <c r="BO850" i="3"/>
  <c r="BN850" i="3"/>
  <c r="DU849" i="3"/>
  <c r="DT849" i="3"/>
  <c r="DS849" i="3"/>
  <c r="DR849" i="3"/>
  <c r="DQ849" i="3"/>
  <c r="DP849" i="3"/>
  <c r="DO849" i="3"/>
  <c r="DN849" i="3"/>
  <c r="DM849" i="3"/>
  <c r="DL849" i="3"/>
  <c r="DK849" i="3"/>
  <c r="DJ849" i="3"/>
  <c r="DI849" i="3"/>
  <c r="DH849" i="3"/>
  <c r="DG849" i="3"/>
  <c r="DF849" i="3"/>
  <c r="DE849" i="3"/>
  <c r="DD849" i="3"/>
  <c r="DC849" i="3"/>
  <c r="DB849" i="3"/>
  <c r="DA849" i="3"/>
  <c r="CZ849" i="3"/>
  <c r="CY849" i="3"/>
  <c r="CX849" i="3"/>
  <c r="CW849" i="3"/>
  <c r="CV849" i="3"/>
  <c r="CU849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Y849" i="3"/>
  <c r="BX849" i="3"/>
  <c r="BW849" i="3"/>
  <c r="BV849" i="3"/>
  <c r="BU849" i="3"/>
  <c r="BT849" i="3"/>
  <c r="BS849" i="3"/>
  <c r="BR849" i="3"/>
  <c r="BQ849" i="3"/>
  <c r="BP849" i="3"/>
  <c r="BO849" i="3"/>
  <c r="BN849" i="3"/>
  <c r="DU848" i="3"/>
  <c r="DT848" i="3"/>
  <c r="DS848" i="3"/>
  <c r="DR848" i="3"/>
  <c r="DQ848" i="3"/>
  <c r="DP848" i="3"/>
  <c r="DO848" i="3"/>
  <c r="DN848" i="3"/>
  <c r="DM848" i="3"/>
  <c r="DL848" i="3"/>
  <c r="DK848" i="3"/>
  <c r="DJ848" i="3"/>
  <c r="DI848" i="3"/>
  <c r="DH848" i="3"/>
  <c r="DG848" i="3"/>
  <c r="DF848" i="3"/>
  <c r="DE848" i="3"/>
  <c r="DD848" i="3"/>
  <c r="DC848" i="3"/>
  <c r="DB848" i="3"/>
  <c r="DA848" i="3"/>
  <c r="CZ848" i="3"/>
  <c r="CY848" i="3"/>
  <c r="CX848" i="3"/>
  <c r="CW848" i="3"/>
  <c r="CV848" i="3"/>
  <c r="CU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C848" i="3"/>
  <c r="CB848" i="3"/>
  <c r="CA848" i="3"/>
  <c r="BZ848" i="3"/>
  <c r="BY848" i="3"/>
  <c r="BX848" i="3"/>
  <c r="BW848" i="3"/>
  <c r="BV848" i="3"/>
  <c r="BU848" i="3"/>
  <c r="BT848" i="3"/>
  <c r="BS848" i="3"/>
  <c r="BR848" i="3"/>
  <c r="BQ848" i="3"/>
  <c r="BP848" i="3"/>
  <c r="BO848" i="3"/>
  <c r="BN848" i="3"/>
  <c r="DU847" i="3"/>
  <c r="DT847" i="3"/>
  <c r="DS847" i="3"/>
  <c r="DR847" i="3"/>
  <c r="DQ847" i="3"/>
  <c r="DP847" i="3"/>
  <c r="DO847" i="3"/>
  <c r="DN847" i="3"/>
  <c r="DM847" i="3"/>
  <c r="DL847" i="3"/>
  <c r="DK847" i="3"/>
  <c r="DJ847" i="3"/>
  <c r="DI847" i="3"/>
  <c r="DH847" i="3"/>
  <c r="DG847" i="3"/>
  <c r="DF847" i="3"/>
  <c r="DE847" i="3"/>
  <c r="DD847" i="3"/>
  <c r="DC847" i="3"/>
  <c r="DB847" i="3"/>
  <c r="DA847" i="3"/>
  <c r="CZ847" i="3"/>
  <c r="CY847" i="3"/>
  <c r="CX847" i="3"/>
  <c r="CW847" i="3"/>
  <c r="CV847" i="3"/>
  <c r="CU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C847" i="3"/>
  <c r="CB847" i="3"/>
  <c r="CA847" i="3"/>
  <c r="BZ847" i="3"/>
  <c r="BY847" i="3"/>
  <c r="BX847" i="3"/>
  <c r="BW847" i="3"/>
  <c r="BV847" i="3"/>
  <c r="BU847" i="3"/>
  <c r="BT847" i="3"/>
  <c r="BS847" i="3"/>
  <c r="BR847" i="3"/>
  <c r="BQ847" i="3"/>
  <c r="BP847" i="3"/>
  <c r="BO847" i="3"/>
  <c r="BN847" i="3"/>
  <c r="DU846" i="3"/>
  <c r="DT846" i="3"/>
  <c r="DS846" i="3"/>
  <c r="DR846" i="3"/>
  <c r="DQ846" i="3"/>
  <c r="DP846" i="3"/>
  <c r="DO846" i="3"/>
  <c r="DN846" i="3"/>
  <c r="DM846" i="3"/>
  <c r="DL846" i="3"/>
  <c r="DK846" i="3"/>
  <c r="DJ846" i="3"/>
  <c r="DI846" i="3"/>
  <c r="DH846" i="3"/>
  <c r="DG846" i="3"/>
  <c r="DF846" i="3"/>
  <c r="DE846" i="3"/>
  <c r="DD846" i="3"/>
  <c r="DC846" i="3"/>
  <c r="DB846" i="3"/>
  <c r="DA846" i="3"/>
  <c r="CZ846" i="3"/>
  <c r="CY846" i="3"/>
  <c r="CX846" i="3"/>
  <c r="CW846" i="3"/>
  <c r="CV846" i="3"/>
  <c r="CU846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C846" i="3"/>
  <c r="CB846" i="3"/>
  <c r="CA846" i="3"/>
  <c r="BZ846" i="3"/>
  <c r="BY846" i="3"/>
  <c r="BX846" i="3"/>
  <c r="BW846" i="3"/>
  <c r="BV846" i="3"/>
  <c r="BU846" i="3"/>
  <c r="BT846" i="3"/>
  <c r="BS846" i="3"/>
  <c r="BR846" i="3"/>
  <c r="BQ846" i="3"/>
  <c r="BP846" i="3"/>
  <c r="BO846" i="3"/>
  <c r="BN846" i="3"/>
  <c r="DU845" i="3"/>
  <c r="DT845" i="3"/>
  <c r="DS845" i="3"/>
  <c r="DR845" i="3"/>
  <c r="DQ845" i="3"/>
  <c r="DP845" i="3"/>
  <c r="DO845" i="3"/>
  <c r="DN845" i="3"/>
  <c r="DM845" i="3"/>
  <c r="DL845" i="3"/>
  <c r="DK845" i="3"/>
  <c r="DJ845" i="3"/>
  <c r="DI845" i="3"/>
  <c r="DH845" i="3"/>
  <c r="DG845" i="3"/>
  <c r="DF845" i="3"/>
  <c r="DE845" i="3"/>
  <c r="DD845" i="3"/>
  <c r="DC845" i="3"/>
  <c r="DB845" i="3"/>
  <c r="DA845" i="3"/>
  <c r="CZ845" i="3"/>
  <c r="CY845" i="3"/>
  <c r="CX845" i="3"/>
  <c r="CW845" i="3"/>
  <c r="CV845" i="3"/>
  <c r="CU845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C845" i="3"/>
  <c r="CB845" i="3"/>
  <c r="CA845" i="3"/>
  <c r="BZ845" i="3"/>
  <c r="BY845" i="3"/>
  <c r="BX845" i="3"/>
  <c r="BW845" i="3"/>
  <c r="BV845" i="3"/>
  <c r="BU845" i="3"/>
  <c r="BT845" i="3"/>
  <c r="BS845" i="3"/>
  <c r="BR845" i="3"/>
  <c r="BQ845" i="3"/>
  <c r="BP845" i="3"/>
  <c r="BO845" i="3"/>
  <c r="BN845" i="3"/>
  <c r="DU844" i="3"/>
  <c r="DT844" i="3"/>
  <c r="DS844" i="3"/>
  <c r="DR844" i="3"/>
  <c r="DQ844" i="3"/>
  <c r="DP844" i="3"/>
  <c r="DO844" i="3"/>
  <c r="DN844" i="3"/>
  <c r="DM844" i="3"/>
  <c r="DL844" i="3"/>
  <c r="DK844" i="3"/>
  <c r="DJ844" i="3"/>
  <c r="DI844" i="3"/>
  <c r="DH844" i="3"/>
  <c r="DG844" i="3"/>
  <c r="DF844" i="3"/>
  <c r="DE844" i="3"/>
  <c r="DD844" i="3"/>
  <c r="DC844" i="3"/>
  <c r="DB844" i="3"/>
  <c r="DA844" i="3"/>
  <c r="CZ844" i="3"/>
  <c r="CY844" i="3"/>
  <c r="CX844" i="3"/>
  <c r="CW844" i="3"/>
  <c r="CV844" i="3"/>
  <c r="CU844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C844" i="3"/>
  <c r="CB844" i="3"/>
  <c r="CA844" i="3"/>
  <c r="BZ844" i="3"/>
  <c r="BY844" i="3"/>
  <c r="BX844" i="3"/>
  <c r="BW844" i="3"/>
  <c r="BV844" i="3"/>
  <c r="BU844" i="3"/>
  <c r="BT844" i="3"/>
  <c r="BS844" i="3"/>
  <c r="BR844" i="3"/>
  <c r="BQ844" i="3"/>
  <c r="BP844" i="3"/>
  <c r="BO844" i="3"/>
  <c r="BN844" i="3"/>
  <c r="DU843" i="3"/>
  <c r="DT843" i="3"/>
  <c r="DS843" i="3"/>
  <c r="DR843" i="3"/>
  <c r="DQ843" i="3"/>
  <c r="DP843" i="3"/>
  <c r="DO843" i="3"/>
  <c r="DN843" i="3"/>
  <c r="DM843" i="3"/>
  <c r="DL843" i="3"/>
  <c r="DK843" i="3"/>
  <c r="DJ843" i="3"/>
  <c r="DI843" i="3"/>
  <c r="DH843" i="3"/>
  <c r="DG843" i="3"/>
  <c r="DF843" i="3"/>
  <c r="DE843" i="3"/>
  <c r="DD843" i="3"/>
  <c r="DC843" i="3"/>
  <c r="DB843" i="3"/>
  <c r="DA843" i="3"/>
  <c r="CZ843" i="3"/>
  <c r="CY843" i="3"/>
  <c r="CX843" i="3"/>
  <c r="CW843" i="3"/>
  <c r="CV843" i="3"/>
  <c r="CU84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C843" i="3"/>
  <c r="CB843" i="3"/>
  <c r="CA843" i="3"/>
  <c r="BZ843" i="3"/>
  <c r="BY843" i="3"/>
  <c r="BX843" i="3"/>
  <c r="BW843" i="3"/>
  <c r="BV843" i="3"/>
  <c r="BU843" i="3"/>
  <c r="BT843" i="3"/>
  <c r="BS843" i="3"/>
  <c r="BR843" i="3"/>
  <c r="BQ843" i="3"/>
  <c r="BP843" i="3"/>
  <c r="BO843" i="3"/>
  <c r="BN843" i="3"/>
  <c r="DU842" i="3"/>
  <c r="DT842" i="3"/>
  <c r="DS842" i="3"/>
  <c r="DR842" i="3"/>
  <c r="DQ842" i="3"/>
  <c r="DP842" i="3"/>
  <c r="DO842" i="3"/>
  <c r="DN842" i="3"/>
  <c r="DM842" i="3"/>
  <c r="DL842" i="3"/>
  <c r="DK842" i="3"/>
  <c r="DJ842" i="3"/>
  <c r="DI842" i="3"/>
  <c r="DH842" i="3"/>
  <c r="DG842" i="3"/>
  <c r="DF842" i="3"/>
  <c r="DE842" i="3"/>
  <c r="DD842" i="3"/>
  <c r="DC842" i="3"/>
  <c r="DB842" i="3"/>
  <c r="DA842" i="3"/>
  <c r="CZ842" i="3"/>
  <c r="CY842" i="3"/>
  <c r="CX842" i="3"/>
  <c r="CW842" i="3"/>
  <c r="CV842" i="3"/>
  <c r="CU842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Y842" i="3"/>
  <c r="BX842" i="3"/>
  <c r="BW842" i="3"/>
  <c r="BV842" i="3"/>
  <c r="BU842" i="3"/>
  <c r="BT842" i="3"/>
  <c r="BS842" i="3"/>
  <c r="BR842" i="3"/>
  <c r="BQ842" i="3"/>
  <c r="BP842" i="3"/>
  <c r="BO842" i="3"/>
  <c r="BN842" i="3"/>
  <c r="DU841" i="3"/>
  <c r="DT841" i="3"/>
  <c r="DS841" i="3"/>
  <c r="DR841" i="3"/>
  <c r="DQ841" i="3"/>
  <c r="DP841" i="3"/>
  <c r="DO841" i="3"/>
  <c r="DN841" i="3"/>
  <c r="DM841" i="3"/>
  <c r="DL841" i="3"/>
  <c r="DK841" i="3"/>
  <c r="DJ841" i="3"/>
  <c r="DI841" i="3"/>
  <c r="DH841" i="3"/>
  <c r="DG841" i="3"/>
  <c r="DF841" i="3"/>
  <c r="DE841" i="3"/>
  <c r="DD841" i="3"/>
  <c r="DC841" i="3"/>
  <c r="DB841" i="3"/>
  <c r="DA841" i="3"/>
  <c r="CZ841" i="3"/>
  <c r="CY841" i="3"/>
  <c r="CX841" i="3"/>
  <c r="CW841" i="3"/>
  <c r="CV841" i="3"/>
  <c r="CU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Y841" i="3"/>
  <c r="BX841" i="3"/>
  <c r="BW841" i="3"/>
  <c r="BV841" i="3"/>
  <c r="BU841" i="3"/>
  <c r="BT841" i="3"/>
  <c r="BS841" i="3"/>
  <c r="BR841" i="3"/>
  <c r="BQ841" i="3"/>
  <c r="BP841" i="3"/>
  <c r="BO841" i="3"/>
  <c r="BN841" i="3"/>
  <c r="DU840" i="3"/>
  <c r="DT840" i="3"/>
  <c r="DS840" i="3"/>
  <c r="DR840" i="3"/>
  <c r="DQ840" i="3"/>
  <c r="DP840" i="3"/>
  <c r="DO840" i="3"/>
  <c r="DN840" i="3"/>
  <c r="DM840" i="3"/>
  <c r="DL840" i="3"/>
  <c r="DK840" i="3"/>
  <c r="DJ840" i="3"/>
  <c r="DI840" i="3"/>
  <c r="DH840" i="3"/>
  <c r="DG840" i="3"/>
  <c r="DF840" i="3"/>
  <c r="DE840" i="3"/>
  <c r="DD840" i="3"/>
  <c r="DC840" i="3"/>
  <c r="DB840" i="3"/>
  <c r="DA840" i="3"/>
  <c r="CZ840" i="3"/>
  <c r="CY840" i="3"/>
  <c r="CX840" i="3"/>
  <c r="CW840" i="3"/>
  <c r="CV840" i="3"/>
  <c r="CU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Y840" i="3"/>
  <c r="BX840" i="3"/>
  <c r="BW840" i="3"/>
  <c r="BV840" i="3"/>
  <c r="BU840" i="3"/>
  <c r="BT840" i="3"/>
  <c r="BS840" i="3"/>
  <c r="BR840" i="3"/>
  <c r="BQ840" i="3"/>
  <c r="BP840" i="3"/>
  <c r="BO840" i="3"/>
  <c r="BN840" i="3"/>
  <c r="DU839" i="3"/>
  <c r="DT839" i="3"/>
  <c r="DS839" i="3"/>
  <c r="DR839" i="3"/>
  <c r="DQ839" i="3"/>
  <c r="DP839" i="3"/>
  <c r="DO839" i="3"/>
  <c r="DN839" i="3"/>
  <c r="DM839" i="3"/>
  <c r="DL839" i="3"/>
  <c r="DK839" i="3"/>
  <c r="DJ839" i="3"/>
  <c r="DI839" i="3"/>
  <c r="DH839" i="3"/>
  <c r="DG839" i="3"/>
  <c r="DF839" i="3"/>
  <c r="DE839" i="3"/>
  <c r="DD839" i="3"/>
  <c r="DC839" i="3"/>
  <c r="DB839" i="3"/>
  <c r="DA839" i="3"/>
  <c r="CZ839" i="3"/>
  <c r="CY839" i="3"/>
  <c r="CX839" i="3"/>
  <c r="CW839" i="3"/>
  <c r="CV839" i="3"/>
  <c r="CU839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Y839" i="3"/>
  <c r="BX839" i="3"/>
  <c r="BW839" i="3"/>
  <c r="BV839" i="3"/>
  <c r="BU839" i="3"/>
  <c r="BT839" i="3"/>
  <c r="BS839" i="3"/>
  <c r="BR839" i="3"/>
  <c r="BQ839" i="3"/>
  <c r="BP839" i="3"/>
  <c r="BO839" i="3"/>
  <c r="BN839" i="3"/>
  <c r="DU838" i="3"/>
  <c r="DT838" i="3"/>
  <c r="DS838" i="3"/>
  <c r="DR838" i="3"/>
  <c r="DQ838" i="3"/>
  <c r="DP838" i="3"/>
  <c r="DO838" i="3"/>
  <c r="DN838" i="3"/>
  <c r="DM838" i="3"/>
  <c r="DL838" i="3"/>
  <c r="DK838" i="3"/>
  <c r="DJ838" i="3"/>
  <c r="DI838" i="3"/>
  <c r="DH838" i="3"/>
  <c r="DG838" i="3"/>
  <c r="DF838" i="3"/>
  <c r="DE838" i="3"/>
  <c r="DD838" i="3"/>
  <c r="DC838" i="3"/>
  <c r="DB838" i="3"/>
  <c r="DA838" i="3"/>
  <c r="CZ838" i="3"/>
  <c r="CY838" i="3"/>
  <c r="CX838" i="3"/>
  <c r="CW838" i="3"/>
  <c r="CV838" i="3"/>
  <c r="CU838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Y838" i="3"/>
  <c r="BX838" i="3"/>
  <c r="BW838" i="3"/>
  <c r="BV838" i="3"/>
  <c r="BU838" i="3"/>
  <c r="BT838" i="3"/>
  <c r="BS838" i="3"/>
  <c r="BR838" i="3"/>
  <c r="BQ838" i="3"/>
  <c r="BP838" i="3"/>
  <c r="BO838" i="3"/>
  <c r="BN838" i="3"/>
  <c r="DU837" i="3"/>
  <c r="DT837" i="3"/>
  <c r="DS837" i="3"/>
  <c r="DR837" i="3"/>
  <c r="DQ837" i="3"/>
  <c r="DP837" i="3"/>
  <c r="DO837" i="3"/>
  <c r="DN837" i="3"/>
  <c r="DM837" i="3"/>
  <c r="DL837" i="3"/>
  <c r="DK837" i="3"/>
  <c r="DJ837" i="3"/>
  <c r="DI837" i="3"/>
  <c r="DH837" i="3"/>
  <c r="DG837" i="3"/>
  <c r="DF837" i="3"/>
  <c r="DE837" i="3"/>
  <c r="DD837" i="3"/>
  <c r="DC837" i="3"/>
  <c r="DB837" i="3"/>
  <c r="DA837" i="3"/>
  <c r="CZ837" i="3"/>
  <c r="CY837" i="3"/>
  <c r="CX837" i="3"/>
  <c r="CW837" i="3"/>
  <c r="CV837" i="3"/>
  <c r="CU837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Y837" i="3"/>
  <c r="BX837" i="3"/>
  <c r="BW837" i="3"/>
  <c r="BV837" i="3"/>
  <c r="BU837" i="3"/>
  <c r="BT837" i="3"/>
  <c r="BS837" i="3"/>
  <c r="BR837" i="3"/>
  <c r="BQ837" i="3"/>
  <c r="BP837" i="3"/>
  <c r="BO837" i="3"/>
  <c r="BN837" i="3"/>
  <c r="DU836" i="3"/>
  <c r="DT836" i="3"/>
  <c r="DS836" i="3"/>
  <c r="DR836" i="3"/>
  <c r="DQ836" i="3"/>
  <c r="DP836" i="3"/>
  <c r="DO836" i="3"/>
  <c r="DN836" i="3"/>
  <c r="DM836" i="3"/>
  <c r="DL836" i="3"/>
  <c r="DK836" i="3"/>
  <c r="DJ836" i="3"/>
  <c r="DI836" i="3"/>
  <c r="DH836" i="3"/>
  <c r="DG836" i="3"/>
  <c r="DF836" i="3"/>
  <c r="DE836" i="3"/>
  <c r="DD836" i="3"/>
  <c r="DC836" i="3"/>
  <c r="DB836" i="3"/>
  <c r="DA836" i="3"/>
  <c r="CZ836" i="3"/>
  <c r="CY836" i="3"/>
  <c r="CX836" i="3"/>
  <c r="CW836" i="3"/>
  <c r="CV836" i="3"/>
  <c r="CU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C836" i="3"/>
  <c r="CB836" i="3"/>
  <c r="CA836" i="3"/>
  <c r="BZ836" i="3"/>
  <c r="BY836" i="3"/>
  <c r="BX836" i="3"/>
  <c r="BW836" i="3"/>
  <c r="BV836" i="3"/>
  <c r="BU836" i="3"/>
  <c r="BT836" i="3"/>
  <c r="BS836" i="3"/>
  <c r="BR836" i="3"/>
  <c r="BQ836" i="3"/>
  <c r="BP836" i="3"/>
  <c r="BO836" i="3"/>
  <c r="BN836" i="3"/>
  <c r="DU835" i="3"/>
  <c r="DT835" i="3"/>
  <c r="DS835" i="3"/>
  <c r="DR835" i="3"/>
  <c r="DQ835" i="3"/>
  <c r="DP835" i="3"/>
  <c r="DO835" i="3"/>
  <c r="DN835" i="3"/>
  <c r="DM835" i="3"/>
  <c r="DL835" i="3"/>
  <c r="DK835" i="3"/>
  <c r="DJ835" i="3"/>
  <c r="DI835" i="3"/>
  <c r="DH835" i="3"/>
  <c r="DG835" i="3"/>
  <c r="DF835" i="3"/>
  <c r="DE835" i="3"/>
  <c r="DD835" i="3"/>
  <c r="DC835" i="3"/>
  <c r="DB835" i="3"/>
  <c r="DA835" i="3"/>
  <c r="CZ835" i="3"/>
  <c r="CY835" i="3"/>
  <c r="CX835" i="3"/>
  <c r="CW835" i="3"/>
  <c r="CV835" i="3"/>
  <c r="CU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C835" i="3"/>
  <c r="CB835" i="3"/>
  <c r="CA835" i="3"/>
  <c r="BZ835" i="3"/>
  <c r="BY835" i="3"/>
  <c r="BX835" i="3"/>
  <c r="BW835" i="3"/>
  <c r="BV835" i="3"/>
  <c r="BU835" i="3"/>
  <c r="BT835" i="3"/>
  <c r="BS835" i="3"/>
  <c r="BR835" i="3"/>
  <c r="BQ835" i="3"/>
  <c r="BP835" i="3"/>
  <c r="BO835" i="3"/>
  <c r="BN835" i="3"/>
  <c r="DU834" i="3"/>
  <c r="DT834" i="3"/>
  <c r="DS834" i="3"/>
  <c r="DR834" i="3"/>
  <c r="DQ834" i="3"/>
  <c r="DP834" i="3"/>
  <c r="DO834" i="3"/>
  <c r="DN834" i="3"/>
  <c r="DM834" i="3"/>
  <c r="DL834" i="3"/>
  <c r="DK834" i="3"/>
  <c r="DJ834" i="3"/>
  <c r="DI834" i="3"/>
  <c r="DH834" i="3"/>
  <c r="DG834" i="3"/>
  <c r="DF834" i="3"/>
  <c r="DE834" i="3"/>
  <c r="DD834" i="3"/>
  <c r="DC834" i="3"/>
  <c r="DB834" i="3"/>
  <c r="DA834" i="3"/>
  <c r="CZ834" i="3"/>
  <c r="CY834" i="3"/>
  <c r="CX834" i="3"/>
  <c r="CW834" i="3"/>
  <c r="CV834" i="3"/>
  <c r="CU834" i="3"/>
  <c r="CT834" i="3"/>
  <c r="CS834" i="3"/>
  <c r="CR834" i="3"/>
  <c r="CQ834" i="3"/>
  <c r="CP834" i="3"/>
  <c r="CO834" i="3"/>
  <c r="CN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Y834" i="3"/>
  <c r="BX834" i="3"/>
  <c r="BW834" i="3"/>
  <c r="BV834" i="3"/>
  <c r="BU834" i="3"/>
  <c r="BT834" i="3"/>
  <c r="BS834" i="3"/>
  <c r="BR834" i="3"/>
  <c r="BQ834" i="3"/>
  <c r="BP834" i="3"/>
  <c r="BO834" i="3"/>
  <c r="BN834" i="3"/>
  <c r="DU833" i="3"/>
  <c r="DT833" i="3"/>
  <c r="DS833" i="3"/>
  <c r="DR833" i="3"/>
  <c r="DQ833" i="3"/>
  <c r="DP833" i="3"/>
  <c r="DO833" i="3"/>
  <c r="DN833" i="3"/>
  <c r="DM833" i="3"/>
  <c r="DL833" i="3"/>
  <c r="DK833" i="3"/>
  <c r="DJ833" i="3"/>
  <c r="DI833" i="3"/>
  <c r="DH833" i="3"/>
  <c r="DG833" i="3"/>
  <c r="DF833" i="3"/>
  <c r="DE833" i="3"/>
  <c r="DD833" i="3"/>
  <c r="DC833" i="3"/>
  <c r="DB833" i="3"/>
  <c r="DA833" i="3"/>
  <c r="CZ833" i="3"/>
  <c r="CY833" i="3"/>
  <c r="CX833" i="3"/>
  <c r="CW833" i="3"/>
  <c r="CV833" i="3"/>
  <c r="CU833" i="3"/>
  <c r="CT833" i="3"/>
  <c r="CS833" i="3"/>
  <c r="CR833" i="3"/>
  <c r="CQ833" i="3"/>
  <c r="CP833" i="3"/>
  <c r="CO833" i="3"/>
  <c r="CN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Y833" i="3"/>
  <c r="BX833" i="3"/>
  <c r="BW833" i="3"/>
  <c r="BV833" i="3"/>
  <c r="BU833" i="3"/>
  <c r="BT833" i="3"/>
  <c r="BS833" i="3"/>
  <c r="BR833" i="3"/>
  <c r="BQ833" i="3"/>
  <c r="BP833" i="3"/>
  <c r="BO833" i="3"/>
  <c r="BN833" i="3"/>
  <c r="DU832" i="3"/>
  <c r="DT832" i="3"/>
  <c r="DS832" i="3"/>
  <c r="DR832" i="3"/>
  <c r="DQ832" i="3"/>
  <c r="DP832" i="3"/>
  <c r="DO832" i="3"/>
  <c r="DN832" i="3"/>
  <c r="DM832" i="3"/>
  <c r="DL832" i="3"/>
  <c r="DK832" i="3"/>
  <c r="DJ832" i="3"/>
  <c r="DI832" i="3"/>
  <c r="DH832" i="3"/>
  <c r="DG832" i="3"/>
  <c r="DF832" i="3"/>
  <c r="DE832" i="3"/>
  <c r="DD832" i="3"/>
  <c r="DC832" i="3"/>
  <c r="DB832" i="3"/>
  <c r="DA832" i="3"/>
  <c r="CZ832" i="3"/>
  <c r="CY832" i="3"/>
  <c r="CX832" i="3"/>
  <c r="CW832" i="3"/>
  <c r="CV832" i="3"/>
  <c r="CU832" i="3"/>
  <c r="CT832" i="3"/>
  <c r="CS832" i="3"/>
  <c r="CR832" i="3"/>
  <c r="CQ832" i="3"/>
  <c r="CP832" i="3"/>
  <c r="CO832" i="3"/>
  <c r="CN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Y832" i="3"/>
  <c r="BX832" i="3"/>
  <c r="BW832" i="3"/>
  <c r="BV832" i="3"/>
  <c r="BU832" i="3"/>
  <c r="BT832" i="3"/>
  <c r="BS832" i="3"/>
  <c r="BR832" i="3"/>
  <c r="BQ832" i="3"/>
  <c r="BP832" i="3"/>
  <c r="BO832" i="3"/>
  <c r="BN832" i="3"/>
  <c r="DU831" i="3"/>
  <c r="DT831" i="3"/>
  <c r="DS831" i="3"/>
  <c r="DR831" i="3"/>
  <c r="DQ831" i="3"/>
  <c r="DP831" i="3"/>
  <c r="DO831" i="3"/>
  <c r="DN831" i="3"/>
  <c r="DM831" i="3"/>
  <c r="DL831" i="3"/>
  <c r="DK831" i="3"/>
  <c r="DJ831" i="3"/>
  <c r="DI831" i="3"/>
  <c r="DH831" i="3"/>
  <c r="DG831" i="3"/>
  <c r="DF831" i="3"/>
  <c r="DE831" i="3"/>
  <c r="DD831" i="3"/>
  <c r="DC831" i="3"/>
  <c r="DB831" i="3"/>
  <c r="DA831" i="3"/>
  <c r="CZ831" i="3"/>
  <c r="CY831" i="3"/>
  <c r="CX831" i="3"/>
  <c r="CW831" i="3"/>
  <c r="CV831" i="3"/>
  <c r="CU831" i="3"/>
  <c r="CT831" i="3"/>
  <c r="CS831" i="3"/>
  <c r="CR831" i="3"/>
  <c r="CQ831" i="3"/>
  <c r="CP831" i="3"/>
  <c r="CO831" i="3"/>
  <c r="CN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Y831" i="3"/>
  <c r="BX831" i="3"/>
  <c r="BW831" i="3"/>
  <c r="BV831" i="3"/>
  <c r="BU831" i="3"/>
  <c r="BT831" i="3"/>
  <c r="BS831" i="3"/>
  <c r="BR831" i="3"/>
  <c r="BQ831" i="3"/>
  <c r="BP831" i="3"/>
  <c r="BO831" i="3"/>
  <c r="BN831" i="3"/>
  <c r="DU830" i="3"/>
  <c r="DT830" i="3"/>
  <c r="DS830" i="3"/>
  <c r="DR830" i="3"/>
  <c r="DQ830" i="3"/>
  <c r="DP830" i="3"/>
  <c r="DO830" i="3"/>
  <c r="DN830" i="3"/>
  <c r="DM830" i="3"/>
  <c r="DL830" i="3"/>
  <c r="DK830" i="3"/>
  <c r="DJ830" i="3"/>
  <c r="DI830" i="3"/>
  <c r="DH830" i="3"/>
  <c r="DG830" i="3"/>
  <c r="DF830" i="3"/>
  <c r="DE830" i="3"/>
  <c r="DD830" i="3"/>
  <c r="DC830" i="3"/>
  <c r="DB830" i="3"/>
  <c r="DA830" i="3"/>
  <c r="CZ830" i="3"/>
  <c r="CY830" i="3"/>
  <c r="CX830" i="3"/>
  <c r="CW830" i="3"/>
  <c r="CV830" i="3"/>
  <c r="CU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Y830" i="3"/>
  <c r="BX830" i="3"/>
  <c r="BW830" i="3"/>
  <c r="BV830" i="3"/>
  <c r="BU830" i="3"/>
  <c r="BT830" i="3"/>
  <c r="BS830" i="3"/>
  <c r="BR830" i="3"/>
  <c r="BQ830" i="3"/>
  <c r="BP830" i="3"/>
  <c r="BO830" i="3"/>
  <c r="BN830" i="3"/>
  <c r="DU829" i="3"/>
  <c r="DT829" i="3"/>
  <c r="DS829" i="3"/>
  <c r="DR829" i="3"/>
  <c r="DQ829" i="3"/>
  <c r="DP829" i="3"/>
  <c r="DO829" i="3"/>
  <c r="DN829" i="3"/>
  <c r="DM829" i="3"/>
  <c r="DL829" i="3"/>
  <c r="DK829" i="3"/>
  <c r="DJ829" i="3"/>
  <c r="DI829" i="3"/>
  <c r="DH829" i="3"/>
  <c r="DG829" i="3"/>
  <c r="DF829" i="3"/>
  <c r="DE829" i="3"/>
  <c r="DD829" i="3"/>
  <c r="DC829" i="3"/>
  <c r="DB829" i="3"/>
  <c r="DA829" i="3"/>
  <c r="CZ829" i="3"/>
  <c r="CY829" i="3"/>
  <c r="CX829" i="3"/>
  <c r="CW829" i="3"/>
  <c r="CV829" i="3"/>
  <c r="CU829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Y829" i="3"/>
  <c r="BX829" i="3"/>
  <c r="BW829" i="3"/>
  <c r="BV829" i="3"/>
  <c r="BU829" i="3"/>
  <c r="BT829" i="3"/>
  <c r="BS829" i="3"/>
  <c r="BR829" i="3"/>
  <c r="BQ829" i="3"/>
  <c r="BP829" i="3"/>
  <c r="BO829" i="3"/>
  <c r="BN829" i="3"/>
  <c r="DU828" i="3"/>
  <c r="DT828" i="3"/>
  <c r="DS828" i="3"/>
  <c r="DR828" i="3"/>
  <c r="DQ828" i="3"/>
  <c r="DP828" i="3"/>
  <c r="DO828" i="3"/>
  <c r="DN828" i="3"/>
  <c r="DM828" i="3"/>
  <c r="DL828" i="3"/>
  <c r="DK828" i="3"/>
  <c r="DJ828" i="3"/>
  <c r="DI828" i="3"/>
  <c r="DH828" i="3"/>
  <c r="DG828" i="3"/>
  <c r="DF828" i="3"/>
  <c r="DE828" i="3"/>
  <c r="DD828" i="3"/>
  <c r="DC828" i="3"/>
  <c r="DB828" i="3"/>
  <c r="DA828" i="3"/>
  <c r="CZ828" i="3"/>
  <c r="CY828" i="3"/>
  <c r="CX828" i="3"/>
  <c r="CW828" i="3"/>
  <c r="CV828" i="3"/>
  <c r="CU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Y828" i="3"/>
  <c r="BX828" i="3"/>
  <c r="BW828" i="3"/>
  <c r="BV828" i="3"/>
  <c r="BU828" i="3"/>
  <c r="BT828" i="3"/>
  <c r="BS828" i="3"/>
  <c r="BR828" i="3"/>
  <c r="BQ828" i="3"/>
  <c r="BP828" i="3"/>
  <c r="BO828" i="3"/>
  <c r="BN828" i="3"/>
  <c r="DU827" i="3"/>
  <c r="DT827" i="3"/>
  <c r="DS827" i="3"/>
  <c r="DR827" i="3"/>
  <c r="DQ827" i="3"/>
  <c r="DP827" i="3"/>
  <c r="DO827" i="3"/>
  <c r="DN827" i="3"/>
  <c r="DM827" i="3"/>
  <c r="DL827" i="3"/>
  <c r="DK827" i="3"/>
  <c r="DJ827" i="3"/>
  <c r="DI827" i="3"/>
  <c r="DH827" i="3"/>
  <c r="DG827" i="3"/>
  <c r="DF827" i="3"/>
  <c r="DE827" i="3"/>
  <c r="DD827" i="3"/>
  <c r="DC827" i="3"/>
  <c r="DB827" i="3"/>
  <c r="DA827" i="3"/>
  <c r="CZ827" i="3"/>
  <c r="CY827" i="3"/>
  <c r="CX827" i="3"/>
  <c r="CW827" i="3"/>
  <c r="CV827" i="3"/>
  <c r="CU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Y827" i="3"/>
  <c r="BX827" i="3"/>
  <c r="BW827" i="3"/>
  <c r="BV827" i="3"/>
  <c r="BU827" i="3"/>
  <c r="BT827" i="3"/>
  <c r="BS827" i="3"/>
  <c r="BR827" i="3"/>
  <c r="BQ827" i="3"/>
  <c r="BP827" i="3"/>
  <c r="BO827" i="3"/>
  <c r="BN827" i="3"/>
  <c r="DU826" i="3"/>
  <c r="DT826" i="3"/>
  <c r="DS826" i="3"/>
  <c r="DR826" i="3"/>
  <c r="DQ826" i="3"/>
  <c r="DP826" i="3"/>
  <c r="DO826" i="3"/>
  <c r="DN826" i="3"/>
  <c r="DM826" i="3"/>
  <c r="DL826" i="3"/>
  <c r="DK826" i="3"/>
  <c r="DJ826" i="3"/>
  <c r="DI826" i="3"/>
  <c r="DH826" i="3"/>
  <c r="DG826" i="3"/>
  <c r="DF826" i="3"/>
  <c r="DE826" i="3"/>
  <c r="DD826" i="3"/>
  <c r="DC826" i="3"/>
  <c r="DB826" i="3"/>
  <c r="DA826" i="3"/>
  <c r="CZ826" i="3"/>
  <c r="CY826" i="3"/>
  <c r="CX826" i="3"/>
  <c r="CW826" i="3"/>
  <c r="CV826" i="3"/>
  <c r="CU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C826" i="3"/>
  <c r="CB826" i="3"/>
  <c r="CA826" i="3"/>
  <c r="BZ826" i="3"/>
  <c r="BY826" i="3"/>
  <c r="BX826" i="3"/>
  <c r="BW826" i="3"/>
  <c r="BV826" i="3"/>
  <c r="BU826" i="3"/>
  <c r="BT826" i="3"/>
  <c r="BS826" i="3"/>
  <c r="BR826" i="3"/>
  <c r="BQ826" i="3"/>
  <c r="BP826" i="3"/>
  <c r="BO826" i="3"/>
  <c r="BN826" i="3"/>
  <c r="DU825" i="3"/>
  <c r="DT825" i="3"/>
  <c r="DS825" i="3"/>
  <c r="DR825" i="3"/>
  <c r="DQ825" i="3"/>
  <c r="DP825" i="3"/>
  <c r="DO825" i="3"/>
  <c r="DN825" i="3"/>
  <c r="DM825" i="3"/>
  <c r="DL825" i="3"/>
  <c r="DK825" i="3"/>
  <c r="DJ825" i="3"/>
  <c r="DI825" i="3"/>
  <c r="DH825" i="3"/>
  <c r="DG825" i="3"/>
  <c r="DF825" i="3"/>
  <c r="DE825" i="3"/>
  <c r="DD825" i="3"/>
  <c r="DC825" i="3"/>
  <c r="DB825" i="3"/>
  <c r="DA825" i="3"/>
  <c r="CZ825" i="3"/>
  <c r="CY825" i="3"/>
  <c r="CX825" i="3"/>
  <c r="CW825" i="3"/>
  <c r="CV825" i="3"/>
  <c r="CU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C825" i="3"/>
  <c r="CB825" i="3"/>
  <c r="CA825" i="3"/>
  <c r="BZ825" i="3"/>
  <c r="BY825" i="3"/>
  <c r="BX825" i="3"/>
  <c r="BW825" i="3"/>
  <c r="BV825" i="3"/>
  <c r="BU825" i="3"/>
  <c r="BT825" i="3"/>
  <c r="BS825" i="3"/>
  <c r="BR825" i="3"/>
  <c r="BQ825" i="3"/>
  <c r="BP825" i="3"/>
  <c r="BO825" i="3"/>
  <c r="BN825" i="3"/>
  <c r="DU824" i="3"/>
  <c r="DT824" i="3"/>
  <c r="DS824" i="3"/>
  <c r="DR824" i="3"/>
  <c r="DQ824" i="3"/>
  <c r="DP824" i="3"/>
  <c r="DO824" i="3"/>
  <c r="DN824" i="3"/>
  <c r="DM824" i="3"/>
  <c r="DL824" i="3"/>
  <c r="DK824" i="3"/>
  <c r="DJ824" i="3"/>
  <c r="DI824" i="3"/>
  <c r="DH824" i="3"/>
  <c r="DG824" i="3"/>
  <c r="DF824" i="3"/>
  <c r="DE824" i="3"/>
  <c r="DD824" i="3"/>
  <c r="DC824" i="3"/>
  <c r="DB824" i="3"/>
  <c r="DA824" i="3"/>
  <c r="CZ824" i="3"/>
  <c r="CY824" i="3"/>
  <c r="CX824" i="3"/>
  <c r="CW824" i="3"/>
  <c r="CV824" i="3"/>
  <c r="CU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C824" i="3"/>
  <c r="CB824" i="3"/>
  <c r="CA824" i="3"/>
  <c r="BZ824" i="3"/>
  <c r="BY824" i="3"/>
  <c r="BX824" i="3"/>
  <c r="BW824" i="3"/>
  <c r="BV824" i="3"/>
  <c r="BU824" i="3"/>
  <c r="BT824" i="3"/>
  <c r="BS824" i="3"/>
  <c r="BR824" i="3"/>
  <c r="BQ824" i="3"/>
  <c r="BP824" i="3"/>
  <c r="BO824" i="3"/>
  <c r="BN824" i="3"/>
  <c r="DU823" i="3"/>
  <c r="DT823" i="3"/>
  <c r="DS823" i="3"/>
  <c r="DR823" i="3"/>
  <c r="DQ823" i="3"/>
  <c r="DP823" i="3"/>
  <c r="DO823" i="3"/>
  <c r="DN823" i="3"/>
  <c r="DM823" i="3"/>
  <c r="DL823" i="3"/>
  <c r="DK823" i="3"/>
  <c r="DJ823" i="3"/>
  <c r="DI823" i="3"/>
  <c r="DH823" i="3"/>
  <c r="DG823" i="3"/>
  <c r="DF823" i="3"/>
  <c r="DE823" i="3"/>
  <c r="DD823" i="3"/>
  <c r="DC823" i="3"/>
  <c r="DB823" i="3"/>
  <c r="DA823" i="3"/>
  <c r="CZ823" i="3"/>
  <c r="CY823" i="3"/>
  <c r="CX823" i="3"/>
  <c r="CW823" i="3"/>
  <c r="CV823" i="3"/>
  <c r="CU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C823" i="3"/>
  <c r="CB823" i="3"/>
  <c r="CA823" i="3"/>
  <c r="BZ823" i="3"/>
  <c r="BY823" i="3"/>
  <c r="BX823" i="3"/>
  <c r="BW823" i="3"/>
  <c r="BV823" i="3"/>
  <c r="BU823" i="3"/>
  <c r="BT823" i="3"/>
  <c r="BS823" i="3"/>
  <c r="BR823" i="3"/>
  <c r="BQ823" i="3"/>
  <c r="BP823" i="3"/>
  <c r="BO823" i="3"/>
  <c r="BN823" i="3"/>
  <c r="DU822" i="3"/>
  <c r="DT822" i="3"/>
  <c r="DS822" i="3"/>
  <c r="DR822" i="3"/>
  <c r="DQ822" i="3"/>
  <c r="DP822" i="3"/>
  <c r="DO822" i="3"/>
  <c r="DN822" i="3"/>
  <c r="DM822" i="3"/>
  <c r="DL822" i="3"/>
  <c r="DK822" i="3"/>
  <c r="DJ822" i="3"/>
  <c r="DI822" i="3"/>
  <c r="DH822" i="3"/>
  <c r="DG822" i="3"/>
  <c r="DF822" i="3"/>
  <c r="DE822" i="3"/>
  <c r="DD822" i="3"/>
  <c r="DC822" i="3"/>
  <c r="DB822" i="3"/>
  <c r="DA822" i="3"/>
  <c r="CZ822" i="3"/>
  <c r="CY822" i="3"/>
  <c r="CX822" i="3"/>
  <c r="CW822" i="3"/>
  <c r="CV822" i="3"/>
  <c r="CU822" i="3"/>
  <c r="CT822" i="3"/>
  <c r="CS822" i="3"/>
  <c r="CR822" i="3"/>
  <c r="CQ822" i="3"/>
  <c r="CP822" i="3"/>
  <c r="CO822" i="3"/>
  <c r="CN822" i="3"/>
  <c r="CM822" i="3"/>
  <c r="CL822" i="3"/>
  <c r="CK822" i="3"/>
  <c r="CJ822" i="3"/>
  <c r="CI822" i="3"/>
  <c r="CH822" i="3"/>
  <c r="CG822" i="3"/>
  <c r="CF822" i="3"/>
  <c r="CE822" i="3"/>
  <c r="CD822" i="3"/>
  <c r="CC822" i="3"/>
  <c r="CB822" i="3"/>
  <c r="CA822" i="3"/>
  <c r="BZ822" i="3"/>
  <c r="BY822" i="3"/>
  <c r="BX822" i="3"/>
  <c r="BW822" i="3"/>
  <c r="BV822" i="3"/>
  <c r="BU822" i="3"/>
  <c r="BT822" i="3"/>
  <c r="BS822" i="3"/>
  <c r="BR822" i="3"/>
  <c r="BQ822" i="3"/>
  <c r="BP822" i="3"/>
  <c r="BO822" i="3"/>
  <c r="BN822" i="3"/>
  <c r="DU821" i="3"/>
  <c r="DT821" i="3"/>
  <c r="DS821" i="3"/>
  <c r="DR821" i="3"/>
  <c r="DQ821" i="3"/>
  <c r="DP821" i="3"/>
  <c r="DO821" i="3"/>
  <c r="DN821" i="3"/>
  <c r="DM821" i="3"/>
  <c r="DL821" i="3"/>
  <c r="DK821" i="3"/>
  <c r="DJ821" i="3"/>
  <c r="DI821" i="3"/>
  <c r="DH821" i="3"/>
  <c r="DG821" i="3"/>
  <c r="DF821" i="3"/>
  <c r="DE821" i="3"/>
  <c r="DD821" i="3"/>
  <c r="DC821" i="3"/>
  <c r="DB821" i="3"/>
  <c r="DA821" i="3"/>
  <c r="CZ821" i="3"/>
  <c r="CY821" i="3"/>
  <c r="CX821" i="3"/>
  <c r="CW821" i="3"/>
  <c r="CV821" i="3"/>
  <c r="CU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CC821" i="3"/>
  <c r="CB821" i="3"/>
  <c r="CA821" i="3"/>
  <c r="BZ821" i="3"/>
  <c r="BY821" i="3"/>
  <c r="BX821" i="3"/>
  <c r="BW821" i="3"/>
  <c r="BV821" i="3"/>
  <c r="BU821" i="3"/>
  <c r="BT821" i="3"/>
  <c r="BS821" i="3"/>
  <c r="BR821" i="3"/>
  <c r="BQ821" i="3"/>
  <c r="BP821" i="3"/>
  <c r="BO821" i="3"/>
  <c r="BN821" i="3"/>
  <c r="DU820" i="3"/>
  <c r="DT820" i="3"/>
  <c r="DS820" i="3"/>
  <c r="DR820" i="3"/>
  <c r="DQ820" i="3"/>
  <c r="DP820" i="3"/>
  <c r="DO820" i="3"/>
  <c r="DN820" i="3"/>
  <c r="DM820" i="3"/>
  <c r="DL820" i="3"/>
  <c r="DK820" i="3"/>
  <c r="DJ820" i="3"/>
  <c r="DI820" i="3"/>
  <c r="DH820" i="3"/>
  <c r="DG820" i="3"/>
  <c r="DF820" i="3"/>
  <c r="DE820" i="3"/>
  <c r="DD820" i="3"/>
  <c r="DC820" i="3"/>
  <c r="DB820" i="3"/>
  <c r="DA820" i="3"/>
  <c r="CZ820" i="3"/>
  <c r="CY820" i="3"/>
  <c r="CX820" i="3"/>
  <c r="CW820" i="3"/>
  <c r="CV820" i="3"/>
  <c r="CU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C820" i="3"/>
  <c r="CB820" i="3"/>
  <c r="CA820" i="3"/>
  <c r="BZ820" i="3"/>
  <c r="BY820" i="3"/>
  <c r="BX820" i="3"/>
  <c r="BW820" i="3"/>
  <c r="BV820" i="3"/>
  <c r="BU820" i="3"/>
  <c r="BT820" i="3"/>
  <c r="BS820" i="3"/>
  <c r="BR820" i="3"/>
  <c r="BQ820" i="3"/>
  <c r="BP820" i="3"/>
  <c r="BO820" i="3"/>
  <c r="BN820" i="3"/>
  <c r="DU819" i="3"/>
  <c r="DT819" i="3"/>
  <c r="DS819" i="3"/>
  <c r="DR819" i="3"/>
  <c r="DQ819" i="3"/>
  <c r="DP819" i="3"/>
  <c r="DO819" i="3"/>
  <c r="DN819" i="3"/>
  <c r="DM819" i="3"/>
  <c r="DL819" i="3"/>
  <c r="DK819" i="3"/>
  <c r="DJ819" i="3"/>
  <c r="DI819" i="3"/>
  <c r="DH819" i="3"/>
  <c r="DG819" i="3"/>
  <c r="DF819" i="3"/>
  <c r="DE819" i="3"/>
  <c r="DD819" i="3"/>
  <c r="DC819" i="3"/>
  <c r="DB819" i="3"/>
  <c r="DA819" i="3"/>
  <c r="CZ819" i="3"/>
  <c r="CY819" i="3"/>
  <c r="CX819" i="3"/>
  <c r="CW819" i="3"/>
  <c r="CV819" i="3"/>
  <c r="CU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C819" i="3"/>
  <c r="CB819" i="3"/>
  <c r="CA819" i="3"/>
  <c r="BZ819" i="3"/>
  <c r="BY819" i="3"/>
  <c r="BX819" i="3"/>
  <c r="BW819" i="3"/>
  <c r="BV819" i="3"/>
  <c r="BU819" i="3"/>
  <c r="BT819" i="3"/>
  <c r="BS819" i="3"/>
  <c r="BR819" i="3"/>
  <c r="BQ819" i="3"/>
  <c r="BP819" i="3"/>
  <c r="BO819" i="3"/>
  <c r="BN819" i="3"/>
  <c r="DU818" i="3"/>
  <c r="DT818" i="3"/>
  <c r="DS818" i="3"/>
  <c r="DR818" i="3"/>
  <c r="DQ818" i="3"/>
  <c r="DP818" i="3"/>
  <c r="DO818" i="3"/>
  <c r="DN818" i="3"/>
  <c r="DM818" i="3"/>
  <c r="DL818" i="3"/>
  <c r="DK818" i="3"/>
  <c r="DJ818" i="3"/>
  <c r="DI818" i="3"/>
  <c r="DH818" i="3"/>
  <c r="DG818" i="3"/>
  <c r="DF818" i="3"/>
  <c r="DE818" i="3"/>
  <c r="DD818" i="3"/>
  <c r="DC818" i="3"/>
  <c r="DB818" i="3"/>
  <c r="DA818" i="3"/>
  <c r="CZ818" i="3"/>
  <c r="CY818" i="3"/>
  <c r="CX818" i="3"/>
  <c r="CW818" i="3"/>
  <c r="CV818" i="3"/>
  <c r="CU818" i="3"/>
  <c r="CT818" i="3"/>
  <c r="CS818" i="3"/>
  <c r="CR818" i="3"/>
  <c r="CQ818" i="3"/>
  <c r="CP818" i="3"/>
  <c r="CO818" i="3"/>
  <c r="CN818" i="3"/>
  <c r="CM818" i="3"/>
  <c r="CL818" i="3"/>
  <c r="CK818" i="3"/>
  <c r="CJ818" i="3"/>
  <c r="CI818" i="3"/>
  <c r="CH818" i="3"/>
  <c r="CG818" i="3"/>
  <c r="CF818" i="3"/>
  <c r="CE818" i="3"/>
  <c r="CD818" i="3"/>
  <c r="CC818" i="3"/>
  <c r="CB818" i="3"/>
  <c r="CA818" i="3"/>
  <c r="BZ818" i="3"/>
  <c r="BY818" i="3"/>
  <c r="BX818" i="3"/>
  <c r="BW818" i="3"/>
  <c r="BV818" i="3"/>
  <c r="BU818" i="3"/>
  <c r="BT818" i="3"/>
  <c r="BS818" i="3"/>
  <c r="BR818" i="3"/>
  <c r="BQ818" i="3"/>
  <c r="BP818" i="3"/>
  <c r="BO818" i="3"/>
  <c r="BN818" i="3"/>
  <c r="DU817" i="3"/>
  <c r="DT817" i="3"/>
  <c r="DS817" i="3"/>
  <c r="DR817" i="3"/>
  <c r="DQ817" i="3"/>
  <c r="DP817" i="3"/>
  <c r="DO817" i="3"/>
  <c r="DN817" i="3"/>
  <c r="DM817" i="3"/>
  <c r="DL817" i="3"/>
  <c r="DK817" i="3"/>
  <c r="DJ817" i="3"/>
  <c r="DI817" i="3"/>
  <c r="DH817" i="3"/>
  <c r="DG817" i="3"/>
  <c r="DF817" i="3"/>
  <c r="DE817" i="3"/>
  <c r="DD817" i="3"/>
  <c r="DC817" i="3"/>
  <c r="DB817" i="3"/>
  <c r="DA817" i="3"/>
  <c r="CZ817" i="3"/>
  <c r="CY817" i="3"/>
  <c r="CX817" i="3"/>
  <c r="CW817" i="3"/>
  <c r="CV817" i="3"/>
  <c r="CU817" i="3"/>
  <c r="CT817" i="3"/>
  <c r="CS817" i="3"/>
  <c r="CR817" i="3"/>
  <c r="CQ817" i="3"/>
  <c r="CP817" i="3"/>
  <c r="CO817" i="3"/>
  <c r="CN817" i="3"/>
  <c r="CM817" i="3"/>
  <c r="CL817" i="3"/>
  <c r="CK817" i="3"/>
  <c r="CJ817" i="3"/>
  <c r="CI817" i="3"/>
  <c r="CH817" i="3"/>
  <c r="CG817" i="3"/>
  <c r="CF817" i="3"/>
  <c r="CE817" i="3"/>
  <c r="CD817" i="3"/>
  <c r="CC817" i="3"/>
  <c r="CB817" i="3"/>
  <c r="CA817" i="3"/>
  <c r="BZ817" i="3"/>
  <c r="BY817" i="3"/>
  <c r="BX817" i="3"/>
  <c r="BW817" i="3"/>
  <c r="BV817" i="3"/>
  <c r="BU817" i="3"/>
  <c r="BT817" i="3"/>
  <c r="BS817" i="3"/>
  <c r="BR817" i="3"/>
  <c r="BQ817" i="3"/>
  <c r="BP817" i="3"/>
  <c r="BO817" i="3"/>
  <c r="BN817" i="3"/>
  <c r="DU816" i="3"/>
  <c r="DT816" i="3"/>
  <c r="DS816" i="3"/>
  <c r="DR816" i="3"/>
  <c r="DQ816" i="3"/>
  <c r="DP816" i="3"/>
  <c r="DO816" i="3"/>
  <c r="DN816" i="3"/>
  <c r="DM816" i="3"/>
  <c r="DL816" i="3"/>
  <c r="DK816" i="3"/>
  <c r="DJ816" i="3"/>
  <c r="DI816" i="3"/>
  <c r="DH816" i="3"/>
  <c r="DG816" i="3"/>
  <c r="DF816" i="3"/>
  <c r="DE816" i="3"/>
  <c r="DD816" i="3"/>
  <c r="DC816" i="3"/>
  <c r="DB816" i="3"/>
  <c r="DA816" i="3"/>
  <c r="CZ816" i="3"/>
  <c r="CY816" i="3"/>
  <c r="CX816" i="3"/>
  <c r="CW816" i="3"/>
  <c r="CV816" i="3"/>
  <c r="CU816" i="3"/>
  <c r="CT816" i="3"/>
  <c r="CS816" i="3"/>
  <c r="CR816" i="3"/>
  <c r="CQ816" i="3"/>
  <c r="CP816" i="3"/>
  <c r="CO816" i="3"/>
  <c r="CN816" i="3"/>
  <c r="CM816" i="3"/>
  <c r="CL816" i="3"/>
  <c r="CK816" i="3"/>
  <c r="CJ816" i="3"/>
  <c r="CI816" i="3"/>
  <c r="CH816" i="3"/>
  <c r="CG816" i="3"/>
  <c r="CF816" i="3"/>
  <c r="CE816" i="3"/>
  <c r="CD816" i="3"/>
  <c r="CC816" i="3"/>
  <c r="CB816" i="3"/>
  <c r="CA816" i="3"/>
  <c r="BZ816" i="3"/>
  <c r="BY816" i="3"/>
  <c r="BX816" i="3"/>
  <c r="BW816" i="3"/>
  <c r="BV816" i="3"/>
  <c r="BU816" i="3"/>
  <c r="BT816" i="3"/>
  <c r="BS816" i="3"/>
  <c r="BR816" i="3"/>
  <c r="BQ816" i="3"/>
  <c r="BP816" i="3"/>
  <c r="BO816" i="3"/>
  <c r="BN816" i="3"/>
  <c r="DU815" i="3"/>
  <c r="DT815" i="3"/>
  <c r="DS815" i="3"/>
  <c r="DR815" i="3"/>
  <c r="DQ815" i="3"/>
  <c r="DP815" i="3"/>
  <c r="DO815" i="3"/>
  <c r="DN815" i="3"/>
  <c r="DM815" i="3"/>
  <c r="DL815" i="3"/>
  <c r="DK815" i="3"/>
  <c r="DJ815" i="3"/>
  <c r="DI815" i="3"/>
  <c r="DH815" i="3"/>
  <c r="DG815" i="3"/>
  <c r="DF815" i="3"/>
  <c r="DE815" i="3"/>
  <c r="DD815" i="3"/>
  <c r="DC815" i="3"/>
  <c r="DB815" i="3"/>
  <c r="DA815" i="3"/>
  <c r="CZ815" i="3"/>
  <c r="CY815" i="3"/>
  <c r="CX815" i="3"/>
  <c r="CW815" i="3"/>
  <c r="CV815" i="3"/>
  <c r="CU815" i="3"/>
  <c r="CT815" i="3"/>
  <c r="CS815" i="3"/>
  <c r="CR815" i="3"/>
  <c r="CQ815" i="3"/>
  <c r="CP815" i="3"/>
  <c r="CO815" i="3"/>
  <c r="CN815" i="3"/>
  <c r="CM815" i="3"/>
  <c r="CL815" i="3"/>
  <c r="CK815" i="3"/>
  <c r="CJ815" i="3"/>
  <c r="CI815" i="3"/>
  <c r="CH815" i="3"/>
  <c r="CG815" i="3"/>
  <c r="CF815" i="3"/>
  <c r="CE815" i="3"/>
  <c r="CD815" i="3"/>
  <c r="CC815" i="3"/>
  <c r="CB815" i="3"/>
  <c r="CA815" i="3"/>
  <c r="BZ815" i="3"/>
  <c r="BY815" i="3"/>
  <c r="BX815" i="3"/>
  <c r="BW815" i="3"/>
  <c r="BV815" i="3"/>
  <c r="BU815" i="3"/>
  <c r="BT815" i="3"/>
  <c r="BS815" i="3"/>
  <c r="BR815" i="3"/>
  <c r="BQ815" i="3"/>
  <c r="BP815" i="3"/>
  <c r="BO815" i="3"/>
  <c r="BN815" i="3"/>
  <c r="DU814" i="3"/>
  <c r="DT814" i="3"/>
  <c r="DS814" i="3"/>
  <c r="DR814" i="3"/>
  <c r="DQ814" i="3"/>
  <c r="DP814" i="3"/>
  <c r="DO814" i="3"/>
  <c r="DN814" i="3"/>
  <c r="DM814" i="3"/>
  <c r="DL814" i="3"/>
  <c r="DK814" i="3"/>
  <c r="DJ814" i="3"/>
  <c r="DI814" i="3"/>
  <c r="DH814" i="3"/>
  <c r="DG814" i="3"/>
  <c r="DF814" i="3"/>
  <c r="DE814" i="3"/>
  <c r="DD814" i="3"/>
  <c r="DC814" i="3"/>
  <c r="DB814" i="3"/>
  <c r="DA814" i="3"/>
  <c r="CZ814" i="3"/>
  <c r="CY814" i="3"/>
  <c r="CX814" i="3"/>
  <c r="CW814" i="3"/>
  <c r="CV814" i="3"/>
  <c r="CU814" i="3"/>
  <c r="CT814" i="3"/>
  <c r="CS814" i="3"/>
  <c r="CR814" i="3"/>
  <c r="CQ814" i="3"/>
  <c r="CP814" i="3"/>
  <c r="CO814" i="3"/>
  <c r="CN814" i="3"/>
  <c r="CM814" i="3"/>
  <c r="CL814" i="3"/>
  <c r="CK814" i="3"/>
  <c r="CJ814" i="3"/>
  <c r="CI814" i="3"/>
  <c r="CH814" i="3"/>
  <c r="CG814" i="3"/>
  <c r="CF814" i="3"/>
  <c r="CE814" i="3"/>
  <c r="CD814" i="3"/>
  <c r="CC814" i="3"/>
  <c r="CB814" i="3"/>
  <c r="CA814" i="3"/>
  <c r="BZ814" i="3"/>
  <c r="BY814" i="3"/>
  <c r="BX814" i="3"/>
  <c r="BW814" i="3"/>
  <c r="BV814" i="3"/>
  <c r="BU814" i="3"/>
  <c r="BT814" i="3"/>
  <c r="BS814" i="3"/>
  <c r="BR814" i="3"/>
  <c r="BQ814" i="3"/>
  <c r="BP814" i="3"/>
  <c r="BO814" i="3"/>
  <c r="BN814" i="3"/>
  <c r="DU813" i="3"/>
  <c r="DT813" i="3"/>
  <c r="DS813" i="3"/>
  <c r="DR813" i="3"/>
  <c r="DQ813" i="3"/>
  <c r="DP813" i="3"/>
  <c r="DO813" i="3"/>
  <c r="DN813" i="3"/>
  <c r="DM813" i="3"/>
  <c r="DL813" i="3"/>
  <c r="DK813" i="3"/>
  <c r="DJ813" i="3"/>
  <c r="DI813" i="3"/>
  <c r="DH813" i="3"/>
  <c r="DG813" i="3"/>
  <c r="DF813" i="3"/>
  <c r="DE813" i="3"/>
  <c r="DD813" i="3"/>
  <c r="DC813" i="3"/>
  <c r="DB813" i="3"/>
  <c r="DA813" i="3"/>
  <c r="CZ813" i="3"/>
  <c r="CY813" i="3"/>
  <c r="CX813" i="3"/>
  <c r="CW813" i="3"/>
  <c r="CV813" i="3"/>
  <c r="CU813" i="3"/>
  <c r="CT813" i="3"/>
  <c r="CS813" i="3"/>
  <c r="CR813" i="3"/>
  <c r="CQ813" i="3"/>
  <c r="CP813" i="3"/>
  <c r="CO813" i="3"/>
  <c r="CN813" i="3"/>
  <c r="CM813" i="3"/>
  <c r="CL813" i="3"/>
  <c r="CK813" i="3"/>
  <c r="CJ813" i="3"/>
  <c r="CI813" i="3"/>
  <c r="CH813" i="3"/>
  <c r="CG813" i="3"/>
  <c r="CF813" i="3"/>
  <c r="CE813" i="3"/>
  <c r="CD813" i="3"/>
  <c r="CC813" i="3"/>
  <c r="CB813" i="3"/>
  <c r="CA813" i="3"/>
  <c r="BZ813" i="3"/>
  <c r="BY813" i="3"/>
  <c r="BX813" i="3"/>
  <c r="BW813" i="3"/>
  <c r="BV813" i="3"/>
  <c r="BU813" i="3"/>
  <c r="BT813" i="3"/>
  <c r="BS813" i="3"/>
  <c r="BR813" i="3"/>
  <c r="BQ813" i="3"/>
  <c r="BP813" i="3"/>
  <c r="BO813" i="3"/>
  <c r="BN813" i="3"/>
  <c r="DU812" i="3"/>
  <c r="DT812" i="3"/>
  <c r="DS812" i="3"/>
  <c r="DR812" i="3"/>
  <c r="DQ812" i="3"/>
  <c r="DP812" i="3"/>
  <c r="DO812" i="3"/>
  <c r="DN812" i="3"/>
  <c r="DM812" i="3"/>
  <c r="DL812" i="3"/>
  <c r="DK812" i="3"/>
  <c r="DJ812" i="3"/>
  <c r="DI812" i="3"/>
  <c r="DH812" i="3"/>
  <c r="DG812" i="3"/>
  <c r="DF812" i="3"/>
  <c r="DE812" i="3"/>
  <c r="DD812" i="3"/>
  <c r="DC812" i="3"/>
  <c r="DB812" i="3"/>
  <c r="DA812" i="3"/>
  <c r="CZ812" i="3"/>
  <c r="CY812" i="3"/>
  <c r="CX812" i="3"/>
  <c r="CW812" i="3"/>
  <c r="CV812" i="3"/>
  <c r="CU812" i="3"/>
  <c r="CT812" i="3"/>
  <c r="CS812" i="3"/>
  <c r="CR812" i="3"/>
  <c r="CQ812" i="3"/>
  <c r="CP812" i="3"/>
  <c r="CO812" i="3"/>
  <c r="CN812" i="3"/>
  <c r="CM812" i="3"/>
  <c r="CL812" i="3"/>
  <c r="CK812" i="3"/>
  <c r="CJ812" i="3"/>
  <c r="CI812" i="3"/>
  <c r="CH812" i="3"/>
  <c r="CG812" i="3"/>
  <c r="CF812" i="3"/>
  <c r="CE812" i="3"/>
  <c r="CD812" i="3"/>
  <c r="CC812" i="3"/>
  <c r="CB812" i="3"/>
  <c r="CA812" i="3"/>
  <c r="BZ812" i="3"/>
  <c r="BY812" i="3"/>
  <c r="BX812" i="3"/>
  <c r="BW812" i="3"/>
  <c r="BV812" i="3"/>
  <c r="BU812" i="3"/>
  <c r="BT812" i="3"/>
  <c r="BS812" i="3"/>
  <c r="BR812" i="3"/>
  <c r="BQ812" i="3"/>
  <c r="BP812" i="3"/>
  <c r="BO812" i="3"/>
  <c r="BN812" i="3"/>
  <c r="DU811" i="3"/>
  <c r="DT811" i="3"/>
  <c r="DS811" i="3"/>
  <c r="DR811" i="3"/>
  <c r="DQ811" i="3"/>
  <c r="DP811" i="3"/>
  <c r="DO811" i="3"/>
  <c r="DN811" i="3"/>
  <c r="DM811" i="3"/>
  <c r="DL811" i="3"/>
  <c r="DK811" i="3"/>
  <c r="DJ811" i="3"/>
  <c r="DI811" i="3"/>
  <c r="DH811" i="3"/>
  <c r="DG811" i="3"/>
  <c r="DF811" i="3"/>
  <c r="DE811" i="3"/>
  <c r="DD811" i="3"/>
  <c r="DC811" i="3"/>
  <c r="DB811" i="3"/>
  <c r="DA811" i="3"/>
  <c r="CZ811" i="3"/>
  <c r="CY811" i="3"/>
  <c r="CX811" i="3"/>
  <c r="CW811" i="3"/>
  <c r="CV811" i="3"/>
  <c r="CU811" i="3"/>
  <c r="CT811" i="3"/>
  <c r="CS811" i="3"/>
  <c r="CR811" i="3"/>
  <c r="CQ811" i="3"/>
  <c r="CP811" i="3"/>
  <c r="CO811" i="3"/>
  <c r="CN811" i="3"/>
  <c r="CM811" i="3"/>
  <c r="CL811" i="3"/>
  <c r="CK811" i="3"/>
  <c r="CJ811" i="3"/>
  <c r="CI811" i="3"/>
  <c r="CH811" i="3"/>
  <c r="CG811" i="3"/>
  <c r="CF811" i="3"/>
  <c r="CE811" i="3"/>
  <c r="CD811" i="3"/>
  <c r="CC811" i="3"/>
  <c r="CB811" i="3"/>
  <c r="CA811" i="3"/>
  <c r="BZ811" i="3"/>
  <c r="BY811" i="3"/>
  <c r="BX811" i="3"/>
  <c r="BW811" i="3"/>
  <c r="BV811" i="3"/>
  <c r="BU811" i="3"/>
  <c r="BT811" i="3"/>
  <c r="BS811" i="3"/>
  <c r="BR811" i="3"/>
  <c r="BQ811" i="3"/>
  <c r="BP811" i="3"/>
  <c r="BO811" i="3"/>
  <c r="BN811" i="3"/>
  <c r="DU810" i="3"/>
  <c r="DT810" i="3"/>
  <c r="DS810" i="3"/>
  <c r="DR810" i="3"/>
  <c r="DQ810" i="3"/>
  <c r="DP810" i="3"/>
  <c r="DO810" i="3"/>
  <c r="DN810" i="3"/>
  <c r="DM810" i="3"/>
  <c r="DL810" i="3"/>
  <c r="DK810" i="3"/>
  <c r="DJ810" i="3"/>
  <c r="DI810" i="3"/>
  <c r="DH810" i="3"/>
  <c r="DG810" i="3"/>
  <c r="DF810" i="3"/>
  <c r="DE810" i="3"/>
  <c r="DD810" i="3"/>
  <c r="DC810" i="3"/>
  <c r="DB810" i="3"/>
  <c r="DA810" i="3"/>
  <c r="CZ810" i="3"/>
  <c r="CY810" i="3"/>
  <c r="CX810" i="3"/>
  <c r="CW810" i="3"/>
  <c r="CV810" i="3"/>
  <c r="CU81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Y810" i="3"/>
  <c r="BX810" i="3"/>
  <c r="BW810" i="3"/>
  <c r="BV810" i="3"/>
  <c r="BU810" i="3"/>
  <c r="BT810" i="3"/>
  <c r="BS810" i="3"/>
  <c r="BR810" i="3"/>
  <c r="BQ810" i="3"/>
  <c r="BP810" i="3"/>
  <c r="BO810" i="3"/>
  <c r="BN810" i="3"/>
  <c r="DU809" i="3"/>
  <c r="DT809" i="3"/>
  <c r="DS809" i="3"/>
  <c r="DR809" i="3"/>
  <c r="DQ809" i="3"/>
  <c r="DP809" i="3"/>
  <c r="DO809" i="3"/>
  <c r="DN809" i="3"/>
  <c r="DM809" i="3"/>
  <c r="DL809" i="3"/>
  <c r="DK809" i="3"/>
  <c r="DJ809" i="3"/>
  <c r="DI809" i="3"/>
  <c r="DH809" i="3"/>
  <c r="DG809" i="3"/>
  <c r="DF809" i="3"/>
  <c r="DE809" i="3"/>
  <c r="DD809" i="3"/>
  <c r="DC809" i="3"/>
  <c r="DB809" i="3"/>
  <c r="DA809" i="3"/>
  <c r="CZ809" i="3"/>
  <c r="CY809" i="3"/>
  <c r="CX809" i="3"/>
  <c r="CW809" i="3"/>
  <c r="CV809" i="3"/>
  <c r="CU80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Y809" i="3"/>
  <c r="BX809" i="3"/>
  <c r="BW809" i="3"/>
  <c r="BV809" i="3"/>
  <c r="BU809" i="3"/>
  <c r="BT809" i="3"/>
  <c r="BS809" i="3"/>
  <c r="BR809" i="3"/>
  <c r="BQ809" i="3"/>
  <c r="BP809" i="3"/>
  <c r="BO809" i="3"/>
  <c r="BN809" i="3"/>
  <c r="DU808" i="3"/>
  <c r="DT808" i="3"/>
  <c r="DS808" i="3"/>
  <c r="DR808" i="3"/>
  <c r="DQ808" i="3"/>
  <c r="DP808" i="3"/>
  <c r="DO808" i="3"/>
  <c r="DN808" i="3"/>
  <c r="DM808" i="3"/>
  <c r="DL808" i="3"/>
  <c r="DK808" i="3"/>
  <c r="DJ808" i="3"/>
  <c r="DI808" i="3"/>
  <c r="DH808" i="3"/>
  <c r="DG808" i="3"/>
  <c r="DF808" i="3"/>
  <c r="DE808" i="3"/>
  <c r="DD808" i="3"/>
  <c r="DC808" i="3"/>
  <c r="DB808" i="3"/>
  <c r="DA808" i="3"/>
  <c r="CZ808" i="3"/>
  <c r="CY808" i="3"/>
  <c r="CX808" i="3"/>
  <c r="CW808" i="3"/>
  <c r="CV808" i="3"/>
  <c r="CU808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Y808" i="3"/>
  <c r="BX808" i="3"/>
  <c r="BW808" i="3"/>
  <c r="BV808" i="3"/>
  <c r="BU808" i="3"/>
  <c r="BT808" i="3"/>
  <c r="BS808" i="3"/>
  <c r="BR808" i="3"/>
  <c r="BQ808" i="3"/>
  <c r="BP808" i="3"/>
  <c r="BO808" i="3"/>
  <c r="BN808" i="3"/>
  <c r="DU807" i="3"/>
  <c r="DT807" i="3"/>
  <c r="DS807" i="3"/>
  <c r="DR807" i="3"/>
  <c r="DQ807" i="3"/>
  <c r="DP807" i="3"/>
  <c r="DO807" i="3"/>
  <c r="DN807" i="3"/>
  <c r="DM807" i="3"/>
  <c r="DL807" i="3"/>
  <c r="DK807" i="3"/>
  <c r="DJ807" i="3"/>
  <c r="DI807" i="3"/>
  <c r="DH807" i="3"/>
  <c r="DG807" i="3"/>
  <c r="DF807" i="3"/>
  <c r="DE807" i="3"/>
  <c r="DD807" i="3"/>
  <c r="DC807" i="3"/>
  <c r="DB807" i="3"/>
  <c r="DA807" i="3"/>
  <c r="CZ807" i="3"/>
  <c r="CY807" i="3"/>
  <c r="CX807" i="3"/>
  <c r="CW807" i="3"/>
  <c r="CV807" i="3"/>
  <c r="CU807" i="3"/>
  <c r="CT807" i="3"/>
  <c r="CS807" i="3"/>
  <c r="CR807" i="3"/>
  <c r="CQ807" i="3"/>
  <c r="CP807" i="3"/>
  <c r="CO807" i="3"/>
  <c r="CN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Y807" i="3"/>
  <c r="BX807" i="3"/>
  <c r="BW807" i="3"/>
  <c r="BV807" i="3"/>
  <c r="BU807" i="3"/>
  <c r="BT807" i="3"/>
  <c r="BS807" i="3"/>
  <c r="BR807" i="3"/>
  <c r="BQ807" i="3"/>
  <c r="BP807" i="3"/>
  <c r="BO807" i="3"/>
  <c r="BN807" i="3"/>
  <c r="DU806" i="3"/>
  <c r="DT806" i="3"/>
  <c r="DS806" i="3"/>
  <c r="DR806" i="3"/>
  <c r="DQ806" i="3"/>
  <c r="DP806" i="3"/>
  <c r="DO806" i="3"/>
  <c r="DN806" i="3"/>
  <c r="DM806" i="3"/>
  <c r="DL806" i="3"/>
  <c r="DK806" i="3"/>
  <c r="DJ806" i="3"/>
  <c r="DI806" i="3"/>
  <c r="DH806" i="3"/>
  <c r="DG806" i="3"/>
  <c r="DF806" i="3"/>
  <c r="DE806" i="3"/>
  <c r="DD806" i="3"/>
  <c r="DC806" i="3"/>
  <c r="DB806" i="3"/>
  <c r="DA806" i="3"/>
  <c r="CZ806" i="3"/>
  <c r="CY806" i="3"/>
  <c r="CX806" i="3"/>
  <c r="CW806" i="3"/>
  <c r="CV806" i="3"/>
  <c r="CU806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Y806" i="3"/>
  <c r="BX806" i="3"/>
  <c r="BW806" i="3"/>
  <c r="BV806" i="3"/>
  <c r="BU806" i="3"/>
  <c r="BT806" i="3"/>
  <c r="BS806" i="3"/>
  <c r="BR806" i="3"/>
  <c r="BQ806" i="3"/>
  <c r="BP806" i="3"/>
  <c r="BO806" i="3"/>
  <c r="BN806" i="3"/>
  <c r="DU805" i="3"/>
  <c r="DT805" i="3"/>
  <c r="DS805" i="3"/>
  <c r="DR805" i="3"/>
  <c r="DQ805" i="3"/>
  <c r="DP805" i="3"/>
  <c r="DO805" i="3"/>
  <c r="DN805" i="3"/>
  <c r="DM805" i="3"/>
  <c r="DL805" i="3"/>
  <c r="DK805" i="3"/>
  <c r="DJ805" i="3"/>
  <c r="DI805" i="3"/>
  <c r="DH805" i="3"/>
  <c r="DG805" i="3"/>
  <c r="DF805" i="3"/>
  <c r="DE805" i="3"/>
  <c r="DD805" i="3"/>
  <c r="DC805" i="3"/>
  <c r="DB805" i="3"/>
  <c r="DA805" i="3"/>
  <c r="CZ805" i="3"/>
  <c r="CY805" i="3"/>
  <c r="CX805" i="3"/>
  <c r="CW805" i="3"/>
  <c r="CV805" i="3"/>
  <c r="CU805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Y805" i="3"/>
  <c r="BX805" i="3"/>
  <c r="BW805" i="3"/>
  <c r="BV805" i="3"/>
  <c r="BU805" i="3"/>
  <c r="BT805" i="3"/>
  <c r="BS805" i="3"/>
  <c r="BR805" i="3"/>
  <c r="BQ805" i="3"/>
  <c r="BP805" i="3"/>
  <c r="BO805" i="3"/>
  <c r="BN805" i="3"/>
  <c r="DU804" i="3"/>
  <c r="DT804" i="3"/>
  <c r="DS804" i="3"/>
  <c r="DR804" i="3"/>
  <c r="DQ804" i="3"/>
  <c r="DP804" i="3"/>
  <c r="DO804" i="3"/>
  <c r="DN804" i="3"/>
  <c r="DM804" i="3"/>
  <c r="DL804" i="3"/>
  <c r="DK804" i="3"/>
  <c r="DJ804" i="3"/>
  <c r="DI804" i="3"/>
  <c r="DH804" i="3"/>
  <c r="DG804" i="3"/>
  <c r="DF804" i="3"/>
  <c r="DE804" i="3"/>
  <c r="DD804" i="3"/>
  <c r="DC804" i="3"/>
  <c r="DB804" i="3"/>
  <c r="DA804" i="3"/>
  <c r="CZ804" i="3"/>
  <c r="CY804" i="3"/>
  <c r="CX804" i="3"/>
  <c r="CW804" i="3"/>
  <c r="CV804" i="3"/>
  <c r="CU804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Y804" i="3"/>
  <c r="BX804" i="3"/>
  <c r="BW804" i="3"/>
  <c r="BV804" i="3"/>
  <c r="BU804" i="3"/>
  <c r="BT804" i="3"/>
  <c r="BS804" i="3"/>
  <c r="BR804" i="3"/>
  <c r="BQ804" i="3"/>
  <c r="BP804" i="3"/>
  <c r="BO804" i="3"/>
  <c r="BN804" i="3"/>
  <c r="DU803" i="3"/>
  <c r="DT803" i="3"/>
  <c r="DS803" i="3"/>
  <c r="DR803" i="3"/>
  <c r="DQ803" i="3"/>
  <c r="DP803" i="3"/>
  <c r="DO803" i="3"/>
  <c r="DN803" i="3"/>
  <c r="DM803" i="3"/>
  <c r="DL803" i="3"/>
  <c r="DK803" i="3"/>
  <c r="DJ803" i="3"/>
  <c r="DI803" i="3"/>
  <c r="DH803" i="3"/>
  <c r="DG803" i="3"/>
  <c r="DF803" i="3"/>
  <c r="DE803" i="3"/>
  <c r="DD803" i="3"/>
  <c r="DC803" i="3"/>
  <c r="DB803" i="3"/>
  <c r="DA803" i="3"/>
  <c r="CZ803" i="3"/>
  <c r="CY803" i="3"/>
  <c r="CX803" i="3"/>
  <c r="CW803" i="3"/>
  <c r="CV803" i="3"/>
  <c r="CU803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Y803" i="3"/>
  <c r="BX803" i="3"/>
  <c r="BW803" i="3"/>
  <c r="BV803" i="3"/>
  <c r="BU803" i="3"/>
  <c r="BT803" i="3"/>
  <c r="BS803" i="3"/>
  <c r="BR803" i="3"/>
  <c r="BQ803" i="3"/>
  <c r="BP803" i="3"/>
  <c r="BO803" i="3"/>
  <c r="BN803" i="3"/>
  <c r="DU802" i="3"/>
  <c r="DT802" i="3"/>
  <c r="DS802" i="3"/>
  <c r="DR802" i="3"/>
  <c r="DQ802" i="3"/>
  <c r="DP802" i="3"/>
  <c r="DO802" i="3"/>
  <c r="DN802" i="3"/>
  <c r="DM802" i="3"/>
  <c r="DL802" i="3"/>
  <c r="DK802" i="3"/>
  <c r="DJ802" i="3"/>
  <c r="DI802" i="3"/>
  <c r="DH802" i="3"/>
  <c r="DG802" i="3"/>
  <c r="DF802" i="3"/>
  <c r="DE802" i="3"/>
  <c r="DD802" i="3"/>
  <c r="DC802" i="3"/>
  <c r="DB802" i="3"/>
  <c r="DA802" i="3"/>
  <c r="CZ802" i="3"/>
  <c r="CY802" i="3"/>
  <c r="CX802" i="3"/>
  <c r="CW802" i="3"/>
  <c r="CV802" i="3"/>
  <c r="CU802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Y802" i="3"/>
  <c r="BX802" i="3"/>
  <c r="BW802" i="3"/>
  <c r="BV802" i="3"/>
  <c r="BU802" i="3"/>
  <c r="BT802" i="3"/>
  <c r="BS802" i="3"/>
  <c r="BR802" i="3"/>
  <c r="BQ802" i="3"/>
  <c r="BP802" i="3"/>
  <c r="BO802" i="3"/>
  <c r="BN802" i="3"/>
  <c r="DU801" i="3"/>
  <c r="DT801" i="3"/>
  <c r="DS801" i="3"/>
  <c r="DR801" i="3"/>
  <c r="DQ801" i="3"/>
  <c r="DP801" i="3"/>
  <c r="DO801" i="3"/>
  <c r="DN801" i="3"/>
  <c r="DM801" i="3"/>
  <c r="DL801" i="3"/>
  <c r="DK801" i="3"/>
  <c r="DJ801" i="3"/>
  <c r="DI801" i="3"/>
  <c r="DH801" i="3"/>
  <c r="DG801" i="3"/>
  <c r="DF801" i="3"/>
  <c r="DE801" i="3"/>
  <c r="DD801" i="3"/>
  <c r="DC801" i="3"/>
  <c r="DB801" i="3"/>
  <c r="DA801" i="3"/>
  <c r="CZ801" i="3"/>
  <c r="CY801" i="3"/>
  <c r="CX801" i="3"/>
  <c r="CW801" i="3"/>
  <c r="CV801" i="3"/>
  <c r="CU801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Y801" i="3"/>
  <c r="BX801" i="3"/>
  <c r="BW801" i="3"/>
  <c r="BV801" i="3"/>
  <c r="BU801" i="3"/>
  <c r="BT801" i="3"/>
  <c r="BS801" i="3"/>
  <c r="BR801" i="3"/>
  <c r="BQ801" i="3"/>
  <c r="BP801" i="3"/>
  <c r="BO801" i="3"/>
  <c r="BN801" i="3"/>
  <c r="DU800" i="3"/>
  <c r="DT800" i="3"/>
  <c r="DS800" i="3"/>
  <c r="DR800" i="3"/>
  <c r="DQ800" i="3"/>
  <c r="DP800" i="3"/>
  <c r="DO800" i="3"/>
  <c r="DN800" i="3"/>
  <c r="DM800" i="3"/>
  <c r="DL800" i="3"/>
  <c r="DK800" i="3"/>
  <c r="DJ800" i="3"/>
  <c r="DI800" i="3"/>
  <c r="DH800" i="3"/>
  <c r="DG800" i="3"/>
  <c r="DF800" i="3"/>
  <c r="DE800" i="3"/>
  <c r="DD800" i="3"/>
  <c r="DC800" i="3"/>
  <c r="DB800" i="3"/>
  <c r="DA800" i="3"/>
  <c r="CZ800" i="3"/>
  <c r="CY800" i="3"/>
  <c r="CX800" i="3"/>
  <c r="CW800" i="3"/>
  <c r="CV800" i="3"/>
  <c r="CU800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Y800" i="3"/>
  <c r="BX800" i="3"/>
  <c r="BW800" i="3"/>
  <c r="BV800" i="3"/>
  <c r="BU800" i="3"/>
  <c r="BT800" i="3"/>
  <c r="BS800" i="3"/>
  <c r="BR800" i="3"/>
  <c r="BQ800" i="3"/>
  <c r="BP800" i="3"/>
  <c r="BO800" i="3"/>
  <c r="BN800" i="3"/>
  <c r="DU799" i="3"/>
  <c r="DT799" i="3"/>
  <c r="DS799" i="3"/>
  <c r="DR799" i="3"/>
  <c r="DQ799" i="3"/>
  <c r="DP799" i="3"/>
  <c r="DO799" i="3"/>
  <c r="DN799" i="3"/>
  <c r="DM799" i="3"/>
  <c r="DL799" i="3"/>
  <c r="DK799" i="3"/>
  <c r="DJ799" i="3"/>
  <c r="DI799" i="3"/>
  <c r="DH799" i="3"/>
  <c r="DG799" i="3"/>
  <c r="DF799" i="3"/>
  <c r="DE799" i="3"/>
  <c r="DD799" i="3"/>
  <c r="DC799" i="3"/>
  <c r="DB799" i="3"/>
  <c r="DA799" i="3"/>
  <c r="CZ799" i="3"/>
  <c r="CY799" i="3"/>
  <c r="CX799" i="3"/>
  <c r="CW799" i="3"/>
  <c r="CV799" i="3"/>
  <c r="CU799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Y799" i="3"/>
  <c r="BX799" i="3"/>
  <c r="BW799" i="3"/>
  <c r="BV799" i="3"/>
  <c r="BU799" i="3"/>
  <c r="BT799" i="3"/>
  <c r="BS799" i="3"/>
  <c r="BR799" i="3"/>
  <c r="BQ799" i="3"/>
  <c r="BP799" i="3"/>
  <c r="BO799" i="3"/>
  <c r="BN799" i="3"/>
  <c r="DU798" i="3"/>
  <c r="DT798" i="3"/>
  <c r="DS798" i="3"/>
  <c r="DR798" i="3"/>
  <c r="DQ798" i="3"/>
  <c r="DP798" i="3"/>
  <c r="DO798" i="3"/>
  <c r="DN798" i="3"/>
  <c r="DM798" i="3"/>
  <c r="DL798" i="3"/>
  <c r="DK798" i="3"/>
  <c r="DJ798" i="3"/>
  <c r="DI798" i="3"/>
  <c r="DH798" i="3"/>
  <c r="DG798" i="3"/>
  <c r="DF798" i="3"/>
  <c r="DE798" i="3"/>
  <c r="DD798" i="3"/>
  <c r="DC798" i="3"/>
  <c r="DB798" i="3"/>
  <c r="DA798" i="3"/>
  <c r="CZ798" i="3"/>
  <c r="CY798" i="3"/>
  <c r="CX798" i="3"/>
  <c r="CW798" i="3"/>
  <c r="CV798" i="3"/>
  <c r="CU798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Y798" i="3"/>
  <c r="BX798" i="3"/>
  <c r="BW798" i="3"/>
  <c r="BV798" i="3"/>
  <c r="BU798" i="3"/>
  <c r="BT798" i="3"/>
  <c r="BS798" i="3"/>
  <c r="BR798" i="3"/>
  <c r="BQ798" i="3"/>
  <c r="BP798" i="3"/>
  <c r="BO798" i="3"/>
  <c r="BN798" i="3"/>
  <c r="DU797" i="3"/>
  <c r="DT797" i="3"/>
  <c r="DS797" i="3"/>
  <c r="DR797" i="3"/>
  <c r="DQ797" i="3"/>
  <c r="DP797" i="3"/>
  <c r="DO797" i="3"/>
  <c r="DN797" i="3"/>
  <c r="DM797" i="3"/>
  <c r="DL797" i="3"/>
  <c r="DK797" i="3"/>
  <c r="DJ797" i="3"/>
  <c r="DI797" i="3"/>
  <c r="DH797" i="3"/>
  <c r="DG797" i="3"/>
  <c r="DF797" i="3"/>
  <c r="DE797" i="3"/>
  <c r="DD797" i="3"/>
  <c r="DC797" i="3"/>
  <c r="DB797" i="3"/>
  <c r="DA797" i="3"/>
  <c r="CZ797" i="3"/>
  <c r="CY797" i="3"/>
  <c r="CX797" i="3"/>
  <c r="CW797" i="3"/>
  <c r="CV797" i="3"/>
  <c r="CU797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Y797" i="3"/>
  <c r="BX797" i="3"/>
  <c r="BW797" i="3"/>
  <c r="BV797" i="3"/>
  <c r="BU797" i="3"/>
  <c r="BT797" i="3"/>
  <c r="BS797" i="3"/>
  <c r="BR797" i="3"/>
  <c r="BQ797" i="3"/>
  <c r="BP797" i="3"/>
  <c r="BO797" i="3"/>
  <c r="BN797" i="3"/>
  <c r="DU796" i="3"/>
  <c r="DT796" i="3"/>
  <c r="DS796" i="3"/>
  <c r="DR796" i="3"/>
  <c r="DQ796" i="3"/>
  <c r="DP796" i="3"/>
  <c r="DO796" i="3"/>
  <c r="DN796" i="3"/>
  <c r="DM796" i="3"/>
  <c r="DL796" i="3"/>
  <c r="DK796" i="3"/>
  <c r="DJ796" i="3"/>
  <c r="DI796" i="3"/>
  <c r="DH796" i="3"/>
  <c r="DG796" i="3"/>
  <c r="DF796" i="3"/>
  <c r="DE796" i="3"/>
  <c r="DD796" i="3"/>
  <c r="DC796" i="3"/>
  <c r="DB796" i="3"/>
  <c r="DA796" i="3"/>
  <c r="CZ796" i="3"/>
  <c r="CY796" i="3"/>
  <c r="CX796" i="3"/>
  <c r="CW796" i="3"/>
  <c r="CV796" i="3"/>
  <c r="CU796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Y796" i="3"/>
  <c r="BX796" i="3"/>
  <c r="BW796" i="3"/>
  <c r="BV796" i="3"/>
  <c r="BU796" i="3"/>
  <c r="BT796" i="3"/>
  <c r="BS796" i="3"/>
  <c r="BR796" i="3"/>
  <c r="BQ796" i="3"/>
  <c r="BP796" i="3"/>
  <c r="BO796" i="3"/>
  <c r="BN796" i="3"/>
  <c r="DU795" i="3"/>
  <c r="DT795" i="3"/>
  <c r="DS795" i="3"/>
  <c r="DR795" i="3"/>
  <c r="DQ795" i="3"/>
  <c r="DP795" i="3"/>
  <c r="DO795" i="3"/>
  <c r="DN795" i="3"/>
  <c r="DM795" i="3"/>
  <c r="DL795" i="3"/>
  <c r="DK795" i="3"/>
  <c r="DJ795" i="3"/>
  <c r="DI795" i="3"/>
  <c r="DH795" i="3"/>
  <c r="DG795" i="3"/>
  <c r="DF795" i="3"/>
  <c r="DE795" i="3"/>
  <c r="DD795" i="3"/>
  <c r="DC795" i="3"/>
  <c r="DB795" i="3"/>
  <c r="DA795" i="3"/>
  <c r="CZ795" i="3"/>
  <c r="CY795" i="3"/>
  <c r="CX795" i="3"/>
  <c r="CW795" i="3"/>
  <c r="CV795" i="3"/>
  <c r="CU795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Y795" i="3"/>
  <c r="BX795" i="3"/>
  <c r="BW795" i="3"/>
  <c r="BV795" i="3"/>
  <c r="BU795" i="3"/>
  <c r="BT795" i="3"/>
  <c r="BS795" i="3"/>
  <c r="BR795" i="3"/>
  <c r="BQ795" i="3"/>
  <c r="BP795" i="3"/>
  <c r="BO795" i="3"/>
  <c r="BN795" i="3"/>
  <c r="DU794" i="3"/>
  <c r="DT794" i="3"/>
  <c r="DS794" i="3"/>
  <c r="DR794" i="3"/>
  <c r="DQ794" i="3"/>
  <c r="DP794" i="3"/>
  <c r="DO794" i="3"/>
  <c r="DN794" i="3"/>
  <c r="DM794" i="3"/>
  <c r="DL794" i="3"/>
  <c r="DK794" i="3"/>
  <c r="DJ794" i="3"/>
  <c r="DI794" i="3"/>
  <c r="DH794" i="3"/>
  <c r="DG794" i="3"/>
  <c r="DF794" i="3"/>
  <c r="DE794" i="3"/>
  <c r="DD794" i="3"/>
  <c r="DC794" i="3"/>
  <c r="DB794" i="3"/>
  <c r="DA794" i="3"/>
  <c r="CZ794" i="3"/>
  <c r="CY794" i="3"/>
  <c r="CX794" i="3"/>
  <c r="CW794" i="3"/>
  <c r="CV794" i="3"/>
  <c r="CU794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Y794" i="3"/>
  <c r="BX794" i="3"/>
  <c r="BW794" i="3"/>
  <c r="BV794" i="3"/>
  <c r="BU794" i="3"/>
  <c r="BT794" i="3"/>
  <c r="BS794" i="3"/>
  <c r="BR794" i="3"/>
  <c r="BQ794" i="3"/>
  <c r="BP794" i="3"/>
  <c r="BO794" i="3"/>
  <c r="BN794" i="3"/>
  <c r="DU793" i="3"/>
  <c r="DT793" i="3"/>
  <c r="DS793" i="3"/>
  <c r="DR793" i="3"/>
  <c r="DQ793" i="3"/>
  <c r="DP793" i="3"/>
  <c r="DO793" i="3"/>
  <c r="DN793" i="3"/>
  <c r="DM793" i="3"/>
  <c r="DL793" i="3"/>
  <c r="DK793" i="3"/>
  <c r="DJ793" i="3"/>
  <c r="DI793" i="3"/>
  <c r="DH793" i="3"/>
  <c r="DG793" i="3"/>
  <c r="DF793" i="3"/>
  <c r="DE793" i="3"/>
  <c r="DD793" i="3"/>
  <c r="DC793" i="3"/>
  <c r="DB793" i="3"/>
  <c r="DA793" i="3"/>
  <c r="CZ793" i="3"/>
  <c r="CY793" i="3"/>
  <c r="CX793" i="3"/>
  <c r="CW793" i="3"/>
  <c r="CV793" i="3"/>
  <c r="CU793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Y793" i="3"/>
  <c r="BX793" i="3"/>
  <c r="BW793" i="3"/>
  <c r="BV793" i="3"/>
  <c r="BU793" i="3"/>
  <c r="BT793" i="3"/>
  <c r="BS793" i="3"/>
  <c r="BR793" i="3"/>
  <c r="BQ793" i="3"/>
  <c r="BP793" i="3"/>
  <c r="BO793" i="3"/>
  <c r="BN793" i="3"/>
  <c r="DU792" i="3"/>
  <c r="DT792" i="3"/>
  <c r="DS792" i="3"/>
  <c r="DR792" i="3"/>
  <c r="DQ792" i="3"/>
  <c r="DP792" i="3"/>
  <c r="DO792" i="3"/>
  <c r="DN792" i="3"/>
  <c r="DM792" i="3"/>
  <c r="DL792" i="3"/>
  <c r="DK792" i="3"/>
  <c r="DJ792" i="3"/>
  <c r="DI792" i="3"/>
  <c r="DH792" i="3"/>
  <c r="DG792" i="3"/>
  <c r="DF792" i="3"/>
  <c r="DE792" i="3"/>
  <c r="DD792" i="3"/>
  <c r="DC792" i="3"/>
  <c r="DB792" i="3"/>
  <c r="DA792" i="3"/>
  <c r="CZ792" i="3"/>
  <c r="CY792" i="3"/>
  <c r="CX792" i="3"/>
  <c r="CW792" i="3"/>
  <c r="CV792" i="3"/>
  <c r="CU792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C792" i="3"/>
  <c r="CB792" i="3"/>
  <c r="CA792" i="3"/>
  <c r="BZ792" i="3"/>
  <c r="BY792" i="3"/>
  <c r="BX792" i="3"/>
  <c r="BW792" i="3"/>
  <c r="BV792" i="3"/>
  <c r="BU792" i="3"/>
  <c r="BT792" i="3"/>
  <c r="BS792" i="3"/>
  <c r="BR792" i="3"/>
  <c r="BQ792" i="3"/>
  <c r="BP792" i="3"/>
  <c r="BO792" i="3"/>
  <c r="BN792" i="3"/>
  <c r="DU791" i="3"/>
  <c r="DT791" i="3"/>
  <c r="DS791" i="3"/>
  <c r="DR791" i="3"/>
  <c r="DQ791" i="3"/>
  <c r="DP791" i="3"/>
  <c r="DO791" i="3"/>
  <c r="DN791" i="3"/>
  <c r="DM791" i="3"/>
  <c r="DL791" i="3"/>
  <c r="DK791" i="3"/>
  <c r="DJ791" i="3"/>
  <c r="DI791" i="3"/>
  <c r="DH791" i="3"/>
  <c r="DG791" i="3"/>
  <c r="DF791" i="3"/>
  <c r="DE791" i="3"/>
  <c r="DD791" i="3"/>
  <c r="DC791" i="3"/>
  <c r="DB791" i="3"/>
  <c r="DA791" i="3"/>
  <c r="CZ791" i="3"/>
  <c r="CY791" i="3"/>
  <c r="CX791" i="3"/>
  <c r="CW791" i="3"/>
  <c r="CV791" i="3"/>
  <c r="CU791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C791" i="3"/>
  <c r="CB791" i="3"/>
  <c r="CA791" i="3"/>
  <c r="BZ791" i="3"/>
  <c r="BY791" i="3"/>
  <c r="BX791" i="3"/>
  <c r="BW791" i="3"/>
  <c r="BV791" i="3"/>
  <c r="BU791" i="3"/>
  <c r="BT791" i="3"/>
  <c r="BS791" i="3"/>
  <c r="BR791" i="3"/>
  <c r="BQ791" i="3"/>
  <c r="BP791" i="3"/>
  <c r="BO791" i="3"/>
  <c r="BN791" i="3"/>
  <c r="DU790" i="3"/>
  <c r="DT790" i="3"/>
  <c r="DS790" i="3"/>
  <c r="DR790" i="3"/>
  <c r="DQ790" i="3"/>
  <c r="DP790" i="3"/>
  <c r="DO790" i="3"/>
  <c r="DN790" i="3"/>
  <c r="DM790" i="3"/>
  <c r="DL790" i="3"/>
  <c r="DK790" i="3"/>
  <c r="DJ790" i="3"/>
  <c r="DI790" i="3"/>
  <c r="DH790" i="3"/>
  <c r="DG790" i="3"/>
  <c r="DF790" i="3"/>
  <c r="DE790" i="3"/>
  <c r="DD790" i="3"/>
  <c r="DC790" i="3"/>
  <c r="DB790" i="3"/>
  <c r="DA790" i="3"/>
  <c r="CZ790" i="3"/>
  <c r="CY790" i="3"/>
  <c r="CX790" i="3"/>
  <c r="CW790" i="3"/>
  <c r="CV790" i="3"/>
  <c r="CU790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C790" i="3"/>
  <c r="CB790" i="3"/>
  <c r="CA790" i="3"/>
  <c r="BZ790" i="3"/>
  <c r="BY790" i="3"/>
  <c r="BX790" i="3"/>
  <c r="BW790" i="3"/>
  <c r="BV790" i="3"/>
  <c r="BU790" i="3"/>
  <c r="BT790" i="3"/>
  <c r="BS790" i="3"/>
  <c r="BR790" i="3"/>
  <c r="BQ790" i="3"/>
  <c r="BP790" i="3"/>
  <c r="BO790" i="3"/>
  <c r="BN790" i="3"/>
  <c r="DU789" i="3"/>
  <c r="DT789" i="3"/>
  <c r="DS789" i="3"/>
  <c r="DR789" i="3"/>
  <c r="DQ789" i="3"/>
  <c r="DP789" i="3"/>
  <c r="DO789" i="3"/>
  <c r="DN789" i="3"/>
  <c r="DM789" i="3"/>
  <c r="DL789" i="3"/>
  <c r="DK789" i="3"/>
  <c r="DJ789" i="3"/>
  <c r="DI789" i="3"/>
  <c r="DH789" i="3"/>
  <c r="DG789" i="3"/>
  <c r="DF789" i="3"/>
  <c r="DE789" i="3"/>
  <c r="DD789" i="3"/>
  <c r="DC789" i="3"/>
  <c r="DB789" i="3"/>
  <c r="DA789" i="3"/>
  <c r="CZ789" i="3"/>
  <c r="CY789" i="3"/>
  <c r="CX789" i="3"/>
  <c r="CW789" i="3"/>
  <c r="CV789" i="3"/>
  <c r="CU789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C789" i="3"/>
  <c r="CB789" i="3"/>
  <c r="CA789" i="3"/>
  <c r="BZ789" i="3"/>
  <c r="BY789" i="3"/>
  <c r="BX789" i="3"/>
  <c r="BW789" i="3"/>
  <c r="BV789" i="3"/>
  <c r="BU789" i="3"/>
  <c r="BT789" i="3"/>
  <c r="BS789" i="3"/>
  <c r="BR789" i="3"/>
  <c r="BQ789" i="3"/>
  <c r="BP789" i="3"/>
  <c r="BO789" i="3"/>
  <c r="BN789" i="3"/>
  <c r="DU788" i="3"/>
  <c r="DT788" i="3"/>
  <c r="DS788" i="3"/>
  <c r="DR788" i="3"/>
  <c r="DQ788" i="3"/>
  <c r="DP788" i="3"/>
  <c r="DO788" i="3"/>
  <c r="DN788" i="3"/>
  <c r="DM788" i="3"/>
  <c r="DL788" i="3"/>
  <c r="DK788" i="3"/>
  <c r="DJ788" i="3"/>
  <c r="DI788" i="3"/>
  <c r="DH788" i="3"/>
  <c r="DG788" i="3"/>
  <c r="DF788" i="3"/>
  <c r="DE788" i="3"/>
  <c r="DD788" i="3"/>
  <c r="DC788" i="3"/>
  <c r="DB788" i="3"/>
  <c r="DA788" i="3"/>
  <c r="CZ788" i="3"/>
  <c r="CY788" i="3"/>
  <c r="CX788" i="3"/>
  <c r="CW788" i="3"/>
  <c r="CV788" i="3"/>
  <c r="CU788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C788" i="3"/>
  <c r="CB788" i="3"/>
  <c r="CA788" i="3"/>
  <c r="BZ788" i="3"/>
  <c r="BY788" i="3"/>
  <c r="BX788" i="3"/>
  <c r="BW788" i="3"/>
  <c r="BV788" i="3"/>
  <c r="BU788" i="3"/>
  <c r="BT788" i="3"/>
  <c r="BS788" i="3"/>
  <c r="BR788" i="3"/>
  <c r="BQ788" i="3"/>
  <c r="BP788" i="3"/>
  <c r="BO788" i="3"/>
  <c r="BN788" i="3"/>
  <c r="DU787" i="3"/>
  <c r="DT787" i="3"/>
  <c r="DS787" i="3"/>
  <c r="DR787" i="3"/>
  <c r="DQ787" i="3"/>
  <c r="DP787" i="3"/>
  <c r="DO787" i="3"/>
  <c r="DN787" i="3"/>
  <c r="DM787" i="3"/>
  <c r="DL787" i="3"/>
  <c r="DK787" i="3"/>
  <c r="DJ787" i="3"/>
  <c r="DI787" i="3"/>
  <c r="DH787" i="3"/>
  <c r="DG787" i="3"/>
  <c r="DF787" i="3"/>
  <c r="DE787" i="3"/>
  <c r="DD787" i="3"/>
  <c r="DC787" i="3"/>
  <c r="DB787" i="3"/>
  <c r="DA787" i="3"/>
  <c r="CZ787" i="3"/>
  <c r="CY787" i="3"/>
  <c r="CX787" i="3"/>
  <c r="CW787" i="3"/>
  <c r="CV787" i="3"/>
  <c r="CU787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Y787" i="3"/>
  <c r="BX787" i="3"/>
  <c r="BW787" i="3"/>
  <c r="BV787" i="3"/>
  <c r="BU787" i="3"/>
  <c r="BT787" i="3"/>
  <c r="BS787" i="3"/>
  <c r="BR787" i="3"/>
  <c r="BQ787" i="3"/>
  <c r="BP787" i="3"/>
  <c r="BO787" i="3"/>
  <c r="BN787" i="3"/>
  <c r="DU786" i="3"/>
  <c r="DT786" i="3"/>
  <c r="DS786" i="3"/>
  <c r="DR786" i="3"/>
  <c r="DQ786" i="3"/>
  <c r="DP786" i="3"/>
  <c r="DO786" i="3"/>
  <c r="DN786" i="3"/>
  <c r="DM786" i="3"/>
  <c r="DL786" i="3"/>
  <c r="DK786" i="3"/>
  <c r="DJ786" i="3"/>
  <c r="DI786" i="3"/>
  <c r="DH786" i="3"/>
  <c r="DG786" i="3"/>
  <c r="DF786" i="3"/>
  <c r="DE786" i="3"/>
  <c r="DD786" i="3"/>
  <c r="DC786" i="3"/>
  <c r="DB786" i="3"/>
  <c r="DA786" i="3"/>
  <c r="CZ786" i="3"/>
  <c r="CY786" i="3"/>
  <c r="CX786" i="3"/>
  <c r="CW786" i="3"/>
  <c r="CV786" i="3"/>
  <c r="CU786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Y786" i="3"/>
  <c r="BX786" i="3"/>
  <c r="BW786" i="3"/>
  <c r="BV786" i="3"/>
  <c r="BU786" i="3"/>
  <c r="BT786" i="3"/>
  <c r="BS786" i="3"/>
  <c r="BR786" i="3"/>
  <c r="BQ786" i="3"/>
  <c r="BP786" i="3"/>
  <c r="BO786" i="3"/>
  <c r="BN786" i="3"/>
  <c r="DU785" i="3"/>
  <c r="DT785" i="3"/>
  <c r="DS785" i="3"/>
  <c r="DR785" i="3"/>
  <c r="DQ785" i="3"/>
  <c r="DP785" i="3"/>
  <c r="DO785" i="3"/>
  <c r="DN785" i="3"/>
  <c r="DM785" i="3"/>
  <c r="DL785" i="3"/>
  <c r="DK785" i="3"/>
  <c r="DJ785" i="3"/>
  <c r="DI785" i="3"/>
  <c r="DH785" i="3"/>
  <c r="DG785" i="3"/>
  <c r="DF785" i="3"/>
  <c r="DE785" i="3"/>
  <c r="DD785" i="3"/>
  <c r="DC785" i="3"/>
  <c r="DB785" i="3"/>
  <c r="DA785" i="3"/>
  <c r="CZ785" i="3"/>
  <c r="CY785" i="3"/>
  <c r="CX785" i="3"/>
  <c r="CW785" i="3"/>
  <c r="CV785" i="3"/>
  <c r="CU785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Y785" i="3"/>
  <c r="BX785" i="3"/>
  <c r="BW785" i="3"/>
  <c r="BV785" i="3"/>
  <c r="BU785" i="3"/>
  <c r="BT785" i="3"/>
  <c r="BS785" i="3"/>
  <c r="BR785" i="3"/>
  <c r="BQ785" i="3"/>
  <c r="BP785" i="3"/>
  <c r="BO785" i="3"/>
  <c r="BN785" i="3"/>
  <c r="DU784" i="3"/>
  <c r="DT784" i="3"/>
  <c r="DS784" i="3"/>
  <c r="DR784" i="3"/>
  <c r="DQ784" i="3"/>
  <c r="DP784" i="3"/>
  <c r="DO784" i="3"/>
  <c r="DN784" i="3"/>
  <c r="DM784" i="3"/>
  <c r="DL784" i="3"/>
  <c r="DK784" i="3"/>
  <c r="DJ784" i="3"/>
  <c r="DI784" i="3"/>
  <c r="DH784" i="3"/>
  <c r="DG784" i="3"/>
  <c r="DF784" i="3"/>
  <c r="DE784" i="3"/>
  <c r="DD784" i="3"/>
  <c r="DC784" i="3"/>
  <c r="DB784" i="3"/>
  <c r="DA784" i="3"/>
  <c r="CZ784" i="3"/>
  <c r="CY784" i="3"/>
  <c r="CX784" i="3"/>
  <c r="CW784" i="3"/>
  <c r="CV784" i="3"/>
  <c r="CU784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Y784" i="3"/>
  <c r="BX784" i="3"/>
  <c r="BW784" i="3"/>
  <c r="BV784" i="3"/>
  <c r="BU784" i="3"/>
  <c r="BT784" i="3"/>
  <c r="BS784" i="3"/>
  <c r="BR784" i="3"/>
  <c r="BQ784" i="3"/>
  <c r="BP784" i="3"/>
  <c r="BO784" i="3"/>
  <c r="BN784" i="3"/>
  <c r="DU783" i="3"/>
  <c r="DT783" i="3"/>
  <c r="DS783" i="3"/>
  <c r="DR783" i="3"/>
  <c r="DQ783" i="3"/>
  <c r="DP783" i="3"/>
  <c r="DO783" i="3"/>
  <c r="DN783" i="3"/>
  <c r="DM783" i="3"/>
  <c r="DL783" i="3"/>
  <c r="DK783" i="3"/>
  <c r="DJ783" i="3"/>
  <c r="DI783" i="3"/>
  <c r="DH783" i="3"/>
  <c r="DG783" i="3"/>
  <c r="DF783" i="3"/>
  <c r="DE783" i="3"/>
  <c r="DD783" i="3"/>
  <c r="DC783" i="3"/>
  <c r="DB783" i="3"/>
  <c r="DA783" i="3"/>
  <c r="CZ783" i="3"/>
  <c r="CY783" i="3"/>
  <c r="CX783" i="3"/>
  <c r="CW783" i="3"/>
  <c r="CV783" i="3"/>
  <c r="CU783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Y783" i="3"/>
  <c r="BX783" i="3"/>
  <c r="BW783" i="3"/>
  <c r="BV783" i="3"/>
  <c r="BU783" i="3"/>
  <c r="BT783" i="3"/>
  <c r="BS783" i="3"/>
  <c r="BR783" i="3"/>
  <c r="BQ783" i="3"/>
  <c r="BP783" i="3"/>
  <c r="BO783" i="3"/>
  <c r="BN783" i="3"/>
  <c r="DU782" i="3"/>
  <c r="DT782" i="3"/>
  <c r="DS782" i="3"/>
  <c r="DR782" i="3"/>
  <c r="DQ782" i="3"/>
  <c r="DP782" i="3"/>
  <c r="DO782" i="3"/>
  <c r="DN782" i="3"/>
  <c r="DM782" i="3"/>
  <c r="DL782" i="3"/>
  <c r="DK782" i="3"/>
  <c r="DJ782" i="3"/>
  <c r="DI782" i="3"/>
  <c r="DH782" i="3"/>
  <c r="DG782" i="3"/>
  <c r="DF782" i="3"/>
  <c r="DE782" i="3"/>
  <c r="DD782" i="3"/>
  <c r="DC782" i="3"/>
  <c r="DB782" i="3"/>
  <c r="DA782" i="3"/>
  <c r="CZ782" i="3"/>
  <c r="CY782" i="3"/>
  <c r="CX782" i="3"/>
  <c r="CW782" i="3"/>
  <c r="CV782" i="3"/>
  <c r="CU782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Y782" i="3"/>
  <c r="BX782" i="3"/>
  <c r="BW782" i="3"/>
  <c r="BV782" i="3"/>
  <c r="BU782" i="3"/>
  <c r="BT782" i="3"/>
  <c r="BS782" i="3"/>
  <c r="BR782" i="3"/>
  <c r="BQ782" i="3"/>
  <c r="BP782" i="3"/>
  <c r="BO782" i="3"/>
  <c r="BN782" i="3"/>
  <c r="DU781" i="3"/>
  <c r="DT781" i="3"/>
  <c r="DS781" i="3"/>
  <c r="DR781" i="3"/>
  <c r="DQ781" i="3"/>
  <c r="DP781" i="3"/>
  <c r="DO781" i="3"/>
  <c r="DN781" i="3"/>
  <c r="DM781" i="3"/>
  <c r="DL781" i="3"/>
  <c r="DK781" i="3"/>
  <c r="DJ781" i="3"/>
  <c r="DI781" i="3"/>
  <c r="DH781" i="3"/>
  <c r="DG781" i="3"/>
  <c r="DF781" i="3"/>
  <c r="DE781" i="3"/>
  <c r="DD781" i="3"/>
  <c r="DC781" i="3"/>
  <c r="DB781" i="3"/>
  <c r="DA781" i="3"/>
  <c r="CZ781" i="3"/>
  <c r="CY781" i="3"/>
  <c r="CX781" i="3"/>
  <c r="CW781" i="3"/>
  <c r="CV781" i="3"/>
  <c r="CU781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Y781" i="3"/>
  <c r="BX781" i="3"/>
  <c r="BW781" i="3"/>
  <c r="BV781" i="3"/>
  <c r="BU781" i="3"/>
  <c r="BT781" i="3"/>
  <c r="BS781" i="3"/>
  <c r="BR781" i="3"/>
  <c r="BQ781" i="3"/>
  <c r="BP781" i="3"/>
  <c r="BO781" i="3"/>
  <c r="BN781" i="3"/>
  <c r="DU780" i="3"/>
  <c r="DT780" i="3"/>
  <c r="DS780" i="3"/>
  <c r="DR780" i="3"/>
  <c r="DQ780" i="3"/>
  <c r="DP780" i="3"/>
  <c r="DO780" i="3"/>
  <c r="DN780" i="3"/>
  <c r="DM780" i="3"/>
  <c r="DL780" i="3"/>
  <c r="DK780" i="3"/>
  <c r="DJ780" i="3"/>
  <c r="DI780" i="3"/>
  <c r="DH780" i="3"/>
  <c r="DG780" i="3"/>
  <c r="DF780" i="3"/>
  <c r="DE780" i="3"/>
  <c r="DD780" i="3"/>
  <c r="DC780" i="3"/>
  <c r="DB780" i="3"/>
  <c r="DA780" i="3"/>
  <c r="CZ780" i="3"/>
  <c r="CY780" i="3"/>
  <c r="CX780" i="3"/>
  <c r="CW780" i="3"/>
  <c r="CV780" i="3"/>
  <c r="CU780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Y780" i="3"/>
  <c r="BX780" i="3"/>
  <c r="BW780" i="3"/>
  <c r="BV780" i="3"/>
  <c r="BU780" i="3"/>
  <c r="BT780" i="3"/>
  <c r="BS780" i="3"/>
  <c r="BR780" i="3"/>
  <c r="BQ780" i="3"/>
  <c r="BP780" i="3"/>
  <c r="BO780" i="3"/>
  <c r="BN780" i="3"/>
  <c r="DU779" i="3"/>
  <c r="DT779" i="3"/>
  <c r="DS779" i="3"/>
  <c r="DR779" i="3"/>
  <c r="DQ779" i="3"/>
  <c r="DP779" i="3"/>
  <c r="DO779" i="3"/>
  <c r="DN779" i="3"/>
  <c r="DM779" i="3"/>
  <c r="DL779" i="3"/>
  <c r="DK779" i="3"/>
  <c r="DJ779" i="3"/>
  <c r="DI779" i="3"/>
  <c r="DH779" i="3"/>
  <c r="DG779" i="3"/>
  <c r="DF779" i="3"/>
  <c r="DE779" i="3"/>
  <c r="DD779" i="3"/>
  <c r="DC779" i="3"/>
  <c r="DB779" i="3"/>
  <c r="DA779" i="3"/>
  <c r="CZ779" i="3"/>
  <c r="CY779" i="3"/>
  <c r="CX779" i="3"/>
  <c r="CW779" i="3"/>
  <c r="CV779" i="3"/>
  <c r="CU779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Y779" i="3"/>
  <c r="BX779" i="3"/>
  <c r="BW779" i="3"/>
  <c r="BV779" i="3"/>
  <c r="BU779" i="3"/>
  <c r="BT779" i="3"/>
  <c r="BS779" i="3"/>
  <c r="BR779" i="3"/>
  <c r="BQ779" i="3"/>
  <c r="BP779" i="3"/>
  <c r="BO779" i="3"/>
  <c r="BN779" i="3"/>
  <c r="DU778" i="3"/>
  <c r="DT778" i="3"/>
  <c r="DS778" i="3"/>
  <c r="DR778" i="3"/>
  <c r="DQ778" i="3"/>
  <c r="DP778" i="3"/>
  <c r="DO778" i="3"/>
  <c r="DN778" i="3"/>
  <c r="DM778" i="3"/>
  <c r="DL778" i="3"/>
  <c r="DK778" i="3"/>
  <c r="DJ778" i="3"/>
  <c r="DI778" i="3"/>
  <c r="DH778" i="3"/>
  <c r="DG778" i="3"/>
  <c r="DF778" i="3"/>
  <c r="DE778" i="3"/>
  <c r="DD778" i="3"/>
  <c r="DC778" i="3"/>
  <c r="DB778" i="3"/>
  <c r="DA778" i="3"/>
  <c r="CZ778" i="3"/>
  <c r="CY778" i="3"/>
  <c r="CX778" i="3"/>
  <c r="CW778" i="3"/>
  <c r="CV778" i="3"/>
  <c r="CU778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Y778" i="3"/>
  <c r="BX778" i="3"/>
  <c r="BW778" i="3"/>
  <c r="BV778" i="3"/>
  <c r="BU778" i="3"/>
  <c r="BT778" i="3"/>
  <c r="BS778" i="3"/>
  <c r="BR778" i="3"/>
  <c r="BQ778" i="3"/>
  <c r="BP778" i="3"/>
  <c r="BO778" i="3"/>
  <c r="BN778" i="3"/>
  <c r="DU777" i="3"/>
  <c r="DT777" i="3"/>
  <c r="DS777" i="3"/>
  <c r="DR777" i="3"/>
  <c r="DQ777" i="3"/>
  <c r="DP777" i="3"/>
  <c r="DO777" i="3"/>
  <c r="DN777" i="3"/>
  <c r="DM777" i="3"/>
  <c r="DL777" i="3"/>
  <c r="DK777" i="3"/>
  <c r="DJ777" i="3"/>
  <c r="DI777" i="3"/>
  <c r="DH777" i="3"/>
  <c r="DG777" i="3"/>
  <c r="DF777" i="3"/>
  <c r="DE777" i="3"/>
  <c r="DD777" i="3"/>
  <c r="DC777" i="3"/>
  <c r="DB777" i="3"/>
  <c r="DA777" i="3"/>
  <c r="CZ777" i="3"/>
  <c r="CY777" i="3"/>
  <c r="CX777" i="3"/>
  <c r="CW777" i="3"/>
  <c r="CV777" i="3"/>
  <c r="CU777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Y777" i="3"/>
  <c r="BX777" i="3"/>
  <c r="BW777" i="3"/>
  <c r="BV777" i="3"/>
  <c r="BU777" i="3"/>
  <c r="BT777" i="3"/>
  <c r="BS777" i="3"/>
  <c r="BR777" i="3"/>
  <c r="BQ777" i="3"/>
  <c r="BP777" i="3"/>
  <c r="BO777" i="3"/>
  <c r="BN777" i="3"/>
  <c r="DU776" i="3"/>
  <c r="DT776" i="3"/>
  <c r="DS776" i="3"/>
  <c r="DR776" i="3"/>
  <c r="DQ776" i="3"/>
  <c r="DP776" i="3"/>
  <c r="DO776" i="3"/>
  <c r="DN776" i="3"/>
  <c r="DM776" i="3"/>
  <c r="DL776" i="3"/>
  <c r="DK776" i="3"/>
  <c r="DJ776" i="3"/>
  <c r="DI776" i="3"/>
  <c r="DH776" i="3"/>
  <c r="DG776" i="3"/>
  <c r="DF776" i="3"/>
  <c r="DE776" i="3"/>
  <c r="DD776" i="3"/>
  <c r="DC776" i="3"/>
  <c r="DB776" i="3"/>
  <c r="DA776" i="3"/>
  <c r="CZ776" i="3"/>
  <c r="CY776" i="3"/>
  <c r="CX776" i="3"/>
  <c r="CW776" i="3"/>
  <c r="CV776" i="3"/>
  <c r="CU776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Y776" i="3"/>
  <c r="BX776" i="3"/>
  <c r="BW776" i="3"/>
  <c r="BV776" i="3"/>
  <c r="BU776" i="3"/>
  <c r="BT776" i="3"/>
  <c r="BS776" i="3"/>
  <c r="BR776" i="3"/>
  <c r="BQ776" i="3"/>
  <c r="BP776" i="3"/>
  <c r="BO776" i="3"/>
  <c r="BN776" i="3"/>
  <c r="DU775" i="3"/>
  <c r="DT775" i="3"/>
  <c r="DS775" i="3"/>
  <c r="DR775" i="3"/>
  <c r="DQ775" i="3"/>
  <c r="DP775" i="3"/>
  <c r="DO775" i="3"/>
  <c r="DN775" i="3"/>
  <c r="DM775" i="3"/>
  <c r="DL775" i="3"/>
  <c r="DK775" i="3"/>
  <c r="DJ775" i="3"/>
  <c r="DI775" i="3"/>
  <c r="DH775" i="3"/>
  <c r="DG775" i="3"/>
  <c r="DF775" i="3"/>
  <c r="DE775" i="3"/>
  <c r="DD775" i="3"/>
  <c r="DC775" i="3"/>
  <c r="DB775" i="3"/>
  <c r="DA775" i="3"/>
  <c r="CZ775" i="3"/>
  <c r="CY775" i="3"/>
  <c r="CX775" i="3"/>
  <c r="CW775" i="3"/>
  <c r="CV775" i="3"/>
  <c r="CU775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Y775" i="3"/>
  <c r="BX775" i="3"/>
  <c r="BW775" i="3"/>
  <c r="BV775" i="3"/>
  <c r="BU775" i="3"/>
  <c r="BT775" i="3"/>
  <c r="BS775" i="3"/>
  <c r="BR775" i="3"/>
  <c r="BQ775" i="3"/>
  <c r="BP775" i="3"/>
  <c r="BO775" i="3"/>
  <c r="BN775" i="3"/>
  <c r="DU774" i="3"/>
  <c r="DT774" i="3"/>
  <c r="DS774" i="3"/>
  <c r="DR774" i="3"/>
  <c r="DQ774" i="3"/>
  <c r="DP774" i="3"/>
  <c r="DO774" i="3"/>
  <c r="DN774" i="3"/>
  <c r="DM774" i="3"/>
  <c r="DL774" i="3"/>
  <c r="DK774" i="3"/>
  <c r="DJ774" i="3"/>
  <c r="DI774" i="3"/>
  <c r="DH774" i="3"/>
  <c r="DG774" i="3"/>
  <c r="DF774" i="3"/>
  <c r="DE774" i="3"/>
  <c r="DD774" i="3"/>
  <c r="DC774" i="3"/>
  <c r="DB774" i="3"/>
  <c r="DA774" i="3"/>
  <c r="CZ774" i="3"/>
  <c r="CY774" i="3"/>
  <c r="CX774" i="3"/>
  <c r="CW774" i="3"/>
  <c r="CV774" i="3"/>
  <c r="CU774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Y774" i="3"/>
  <c r="BX774" i="3"/>
  <c r="BW774" i="3"/>
  <c r="BV774" i="3"/>
  <c r="BU774" i="3"/>
  <c r="BT774" i="3"/>
  <c r="BS774" i="3"/>
  <c r="BR774" i="3"/>
  <c r="BQ774" i="3"/>
  <c r="BP774" i="3"/>
  <c r="BO774" i="3"/>
  <c r="BN774" i="3"/>
  <c r="DU773" i="3"/>
  <c r="DT773" i="3"/>
  <c r="DS773" i="3"/>
  <c r="DR773" i="3"/>
  <c r="DQ773" i="3"/>
  <c r="DP773" i="3"/>
  <c r="DO773" i="3"/>
  <c r="DN773" i="3"/>
  <c r="DM773" i="3"/>
  <c r="DL773" i="3"/>
  <c r="DK773" i="3"/>
  <c r="DJ773" i="3"/>
  <c r="DI773" i="3"/>
  <c r="DH773" i="3"/>
  <c r="DG773" i="3"/>
  <c r="DF773" i="3"/>
  <c r="DE773" i="3"/>
  <c r="DD773" i="3"/>
  <c r="DC773" i="3"/>
  <c r="DB773" i="3"/>
  <c r="DA773" i="3"/>
  <c r="CZ773" i="3"/>
  <c r="CY773" i="3"/>
  <c r="CX773" i="3"/>
  <c r="CW773" i="3"/>
  <c r="CV773" i="3"/>
  <c r="CU773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Y773" i="3"/>
  <c r="BX773" i="3"/>
  <c r="BW773" i="3"/>
  <c r="BV773" i="3"/>
  <c r="BU773" i="3"/>
  <c r="BT773" i="3"/>
  <c r="BS773" i="3"/>
  <c r="BR773" i="3"/>
  <c r="BQ773" i="3"/>
  <c r="BP773" i="3"/>
  <c r="BO773" i="3"/>
  <c r="BN773" i="3"/>
  <c r="DU772" i="3"/>
  <c r="DT772" i="3"/>
  <c r="DS772" i="3"/>
  <c r="DR772" i="3"/>
  <c r="DQ772" i="3"/>
  <c r="DP772" i="3"/>
  <c r="DO772" i="3"/>
  <c r="DN772" i="3"/>
  <c r="DM772" i="3"/>
  <c r="DL772" i="3"/>
  <c r="DK772" i="3"/>
  <c r="DJ772" i="3"/>
  <c r="DI772" i="3"/>
  <c r="DH772" i="3"/>
  <c r="DG772" i="3"/>
  <c r="DF772" i="3"/>
  <c r="DE772" i="3"/>
  <c r="DD772" i="3"/>
  <c r="DC772" i="3"/>
  <c r="DB772" i="3"/>
  <c r="DA772" i="3"/>
  <c r="CZ772" i="3"/>
  <c r="CY772" i="3"/>
  <c r="CX772" i="3"/>
  <c r="CW772" i="3"/>
  <c r="CV772" i="3"/>
  <c r="CU772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Y772" i="3"/>
  <c r="BX772" i="3"/>
  <c r="BW772" i="3"/>
  <c r="BV772" i="3"/>
  <c r="BU772" i="3"/>
  <c r="BT772" i="3"/>
  <c r="BS772" i="3"/>
  <c r="BR772" i="3"/>
  <c r="BQ772" i="3"/>
  <c r="BP772" i="3"/>
  <c r="BO772" i="3"/>
  <c r="BN772" i="3"/>
  <c r="DU771" i="3"/>
  <c r="DT771" i="3"/>
  <c r="DS771" i="3"/>
  <c r="DR771" i="3"/>
  <c r="DQ771" i="3"/>
  <c r="DP771" i="3"/>
  <c r="DO771" i="3"/>
  <c r="DN771" i="3"/>
  <c r="DM771" i="3"/>
  <c r="DL771" i="3"/>
  <c r="DK771" i="3"/>
  <c r="DJ771" i="3"/>
  <c r="DI771" i="3"/>
  <c r="DH771" i="3"/>
  <c r="DG771" i="3"/>
  <c r="DF771" i="3"/>
  <c r="DE771" i="3"/>
  <c r="DD771" i="3"/>
  <c r="DC771" i="3"/>
  <c r="DB771" i="3"/>
  <c r="DA771" i="3"/>
  <c r="CZ771" i="3"/>
  <c r="CY771" i="3"/>
  <c r="CX771" i="3"/>
  <c r="CW771" i="3"/>
  <c r="CV771" i="3"/>
  <c r="CU771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Y771" i="3"/>
  <c r="BX771" i="3"/>
  <c r="BW771" i="3"/>
  <c r="BV771" i="3"/>
  <c r="BU771" i="3"/>
  <c r="BT771" i="3"/>
  <c r="BS771" i="3"/>
  <c r="BR771" i="3"/>
  <c r="BQ771" i="3"/>
  <c r="BP771" i="3"/>
  <c r="BO771" i="3"/>
  <c r="BN771" i="3"/>
  <c r="DU770" i="3"/>
  <c r="DT770" i="3"/>
  <c r="DS770" i="3"/>
  <c r="DR770" i="3"/>
  <c r="DQ770" i="3"/>
  <c r="DP770" i="3"/>
  <c r="DO770" i="3"/>
  <c r="DN770" i="3"/>
  <c r="DM770" i="3"/>
  <c r="DL770" i="3"/>
  <c r="DK770" i="3"/>
  <c r="DJ770" i="3"/>
  <c r="DI770" i="3"/>
  <c r="DH770" i="3"/>
  <c r="DG770" i="3"/>
  <c r="DF770" i="3"/>
  <c r="DE770" i="3"/>
  <c r="DD770" i="3"/>
  <c r="DC770" i="3"/>
  <c r="DB770" i="3"/>
  <c r="DA770" i="3"/>
  <c r="CZ770" i="3"/>
  <c r="CY770" i="3"/>
  <c r="CX770" i="3"/>
  <c r="CW770" i="3"/>
  <c r="CV770" i="3"/>
  <c r="CU770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Y770" i="3"/>
  <c r="BX770" i="3"/>
  <c r="BW770" i="3"/>
  <c r="BV770" i="3"/>
  <c r="BU770" i="3"/>
  <c r="BT770" i="3"/>
  <c r="BS770" i="3"/>
  <c r="BR770" i="3"/>
  <c r="BQ770" i="3"/>
  <c r="BP770" i="3"/>
  <c r="BO770" i="3"/>
  <c r="BN770" i="3"/>
  <c r="DU769" i="3"/>
  <c r="DT769" i="3"/>
  <c r="DS769" i="3"/>
  <c r="DR769" i="3"/>
  <c r="DQ769" i="3"/>
  <c r="DP769" i="3"/>
  <c r="DO769" i="3"/>
  <c r="DN769" i="3"/>
  <c r="DM769" i="3"/>
  <c r="DL769" i="3"/>
  <c r="DK769" i="3"/>
  <c r="DJ769" i="3"/>
  <c r="DI769" i="3"/>
  <c r="DH769" i="3"/>
  <c r="DG769" i="3"/>
  <c r="DF769" i="3"/>
  <c r="DE769" i="3"/>
  <c r="DD769" i="3"/>
  <c r="DC769" i="3"/>
  <c r="DB769" i="3"/>
  <c r="DA769" i="3"/>
  <c r="CZ769" i="3"/>
  <c r="CY769" i="3"/>
  <c r="CX769" i="3"/>
  <c r="CW769" i="3"/>
  <c r="CV769" i="3"/>
  <c r="CU769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Y769" i="3"/>
  <c r="BX769" i="3"/>
  <c r="BW769" i="3"/>
  <c r="BV769" i="3"/>
  <c r="BU769" i="3"/>
  <c r="BT769" i="3"/>
  <c r="BS769" i="3"/>
  <c r="BR769" i="3"/>
  <c r="BQ769" i="3"/>
  <c r="BP769" i="3"/>
  <c r="BO769" i="3"/>
  <c r="BN769" i="3"/>
  <c r="DU768" i="3"/>
  <c r="DT768" i="3"/>
  <c r="DS768" i="3"/>
  <c r="DR768" i="3"/>
  <c r="DQ768" i="3"/>
  <c r="DP768" i="3"/>
  <c r="DO768" i="3"/>
  <c r="DN768" i="3"/>
  <c r="DM768" i="3"/>
  <c r="DL768" i="3"/>
  <c r="DK768" i="3"/>
  <c r="DJ768" i="3"/>
  <c r="DI768" i="3"/>
  <c r="DH768" i="3"/>
  <c r="DG768" i="3"/>
  <c r="DF768" i="3"/>
  <c r="DE768" i="3"/>
  <c r="DD768" i="3"/>
  <c r="DC768" i="3"/>
  <c r="DB768" i="3"/>
  <c r="DA768" i="3"/>
  <c r="CZ768" i="3"/>
  <c r="CY768" i="3"/>
  <c r="CX768" i="3"/>
  <c r="CW768" i="3"/>
  <c r="CV768" i="3"/>
  <c r="CU768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Y768" i="3"/>
  <c r="BX768" i="3"/>
  <c r="BW768" i="3"/>
  <c r="BV768" i="3"/>
  <c r="BU768" i="3"/>
  <c r="BT768" i="3"/>
  <c r="BS768" i="3"/>
  <c r="BR768" i="3"/>
  <c r="BQ768" i="3"/>
  <c r="BP768" i="3"/>
  <c r="BO768" i="3"/>
  <c r="BN768" i="3"/>
  <c r="DU767" i="3"/>
  <c r="DT767" i="3"/>
  <c r="DS767" i="3"/>
  <c r="DR767" i="3"/>
  <c r="DQ767" i="3"/>
  <c r="DP767" i="3"/>
  <c r="DO767" i="3"/>
  <c r="DN767" i="3"/>
  <c r="DM767" i="3"/>
  <c r="DL767" i="3"/>
  <c r="DK767" i="3"/>
  <c r="DJ767" i="3"/>
  <c r="DI767" i="3"/>
  <c r="DH767" i="3"/>
  <c r="DG767" i="3"/>
  <c r="DF767" i="3"/>
  <c r="DE767" i="3"/>
  <c r="DD767" i="3"/>
  <c r="DC767" i="3"/>
  <c r="DB767" i="3"/>
  <c r="DA767" i="3"/>
  <c r="CZ767" i="3"/>
  <c r="CY767" i="3"/>
  <c r="CX767" i="3"/>
  <c r="CW767" i="3"/>
  <c r="CV767" i="3"/>
  <c r="CU767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Y767" i="3"/>
  <c r="BX767" i="3"/>
  <c r="BW767" i="3"/>
  <c r="BV767" i="3"/>
  <c r="BU767" i="3"/>
  <c r="BT767" i="3"/>
  <c r="BS767" i="3"/>
  <c r="BR767" i="3"/>
  <c r="BQ767" i="3"/>
  <c r="BP767" i="3"/>
  <c r="BO767" i="3"/>
  <c r="BN767" i="3"/>
  <c r="DU766" i="3"/>
  <c r="DT766" i="3"/>
  <c r="DS766" i="3"/>
  <c r="DR766" i="3"/>
  <c r="DQ766" i="3"/>
  <c r="DP766" i="3"/>
  <c r="DO766" i="3"/>
  <c r="DN766" i="3"/>
  <c r="DM766" i="3"/>
  <c r="DL766" i="3"/>
  <c r="DK766" i="3"/>
  <c r="DJ766" i="3"/>
  <c r="DI766" i="3"/>
  <c r="DH766" i="3"/>
  <c r="DG766" i="3"/>
  <c r="DF766" i="3"/>
  <c r="DE766" i="3"/>
  <c r="DD766" i="3"/>
  <c r="DC766" i="3"/>
  <c r="DB766" i="3"/>
  <c r="DA766" i="3"/>
  <c r="CZ766" i="3"/>
  <c r="CY766" i="3"/>
  <c r="CX766" i="3"/>
  <c r="CW766" i="3"/>
  <c r="CV766" i="3"/>
  <c r="CU766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Y766" i="3"/>
  <c r="BX766" i="3"/>
  <c r="BW766" i="3"/>
  <c r="BV766" i="3"/>
  <c r="BU766" i="3"/>
  <c r="BT766" i="3"/>
  <c r="BS766" i="3"/>
  <c r="BR766" i="3"/>
  <c r="BQ766" i="3"/>
  <c r="BP766" i="3"/>
  <c r="BO766" i="3"/>
  <c r="BN766" i="3"/>
  <c r="DU765" i="3"/>
  <c r="DT765" i="3"/>
  <c r="DS765" i="3"/>
  <c r="DR765" i="3"/>
  <c r="DQ765" i="3"/>
  <c r="DP765" i="3"/>
  <c r="DO765" i="3"/>
  <c r="DN765" i="3"/>
  <c r="DM765" i="3"/>
  <c r="DL765" i="3"/>
  <c r="DK765" i="3"/>
  <c r="DJ765" i="3"/>
  <c r="DI765" i="3"/>
  <c r="DH765" i="3"/>
  <c r="DG765" i="3"/>
  <c r="DF765" i="3"/>
  <c r="DE765" i="3"/>
  <c r="DD765" i="3"/>
  <c r="DC765" i="3"/>
  <c r="DB765" i="3"/>
  <c r="DA765" i="3"/>
  <c r="CZ765" i="3"/>
  <c r="CY765" i="3"/>
  <c r="CX765" i="3"/>
  <c r="CW765" i="3"/>
  <c r="CV765" i="3"/>
  <c r="CU765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Y765" i="3"/>
  <c r="BX765" i="3"/>
  <c r="BW765" i="3"/>
  <c r="BV765" i="3"/>
  <c r="BU765" i="3"/>
  <c r="BT765" i="3"/>
  <c r="BS765" i="3"/>
  <c r="BR765" i="3"/>
  <c r="BQ765" i="3"/>
  <c r="BP765" i="3"/>
  <c r="BO765" i="3"/>
  <c r="BN765" i="3"/>
  <c r="DU764" i="3"/>
  <c r="DT764" i="3"/>
  <c r="DS764" i="3"/>
  <c r="DR764" i="3"/>
  <c r="DQ764" i="3"/>
  <c r="DP764" i="3"/>
  <c r="DO764" i="3"/>
  <c r="DN764" i="3"/>
  <c r="DM764" i="3"/>
  <c r="DL764" i="3"/>
  <c r="DK764" i="3"/>
  <c r="DJ764" i="3"/>
  <c r="DI764" i="3"/>
  <c r="DH764" i="3"/>
  <c r="DG764" i="3"/>
  <c r="DF764" i="3"/>
  <c r="DE764" i="3"/>
  <c r="DD764" i="3"/>
  <c r="DC764" i="3"/>
  <c r="DB764" i="3"/>
  <c r="DA764" i="3"/>
  <c r="CZ764" i="3"/>
  <c r="CY764" i="3"/>
  <c r="CX764" i="3"/>
  <c r="CW764" i="3"/>
  <c r="CV764" i="3"/>
  <c r="CU764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Y764" i="3"/>
  <c r="BX764" i="3"/>
  <c r="BW764" i="3"/>
  <c r="BV764" i="3"/>
  <c r="BU764" i="3"/>
  <c r="BT764" i="3"/>
  <c r="BS764" i="3"/>
  <c r="BR764" i="3"/>
  <c r="BQ764" i="3"/>
  <c r="BP764" i="3"/>
  <c r="BO764" i="3"/>
  <c r="BN764" i="3"/>
  <c r="DU763" i="3"/>
  <c r="DT763" i="3"/>
  <c r="DS763" i="3"/>
  <c r="DR763" i="3"/>
  <c r="DQ763" i="3"/>
  <c r="DP763" i="3"/>
  <c r="DO763" i="3"/>
  <c r="DN763" i="3"/>
  <c r="DM763" i="3"/>
  <c r="DL763" i="3"/>
  <c r="DK763" i="3"/>
  <c r="DJ763" i="3"/>
  <c r="DI763" i="3"/>
  <c r="DH763" i="3"/>
  <c r="DG763" i="3"/>
  <c r="DF763" i="3"/>
  <c r="DE763" i="3"/>
  <c r="DD763" i="3"/>
  <c r="DC763" i="3"/>
  <c r="DB763" i="3"/>
  <c r="DA763" i="3"/>
  <c r="CZ763" i="3"/>
  <c r="CY763" i="3"/>
  <c r="CX763" i="3"/>
  <c r="CW763" i="3"/>
  <c r="CV763" i="3"/>
  <c r="CU763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Y763" i="3"/>
  <c r="BX763" i="3"/>
  <c r="BW763" i="3"/>
  <c r="BV763" i="3"/>
  <c r="BU763" i="3"/>
  <c r="BT763" i="3"/>
  <c r="BS763" i="3"/>
  <c r="BR763" i="3"/>
  <c r="BQ763" i="3"/>
  <c r="BP763" i="3"/>
  <c r="BO763" i="3"/>
  <c r="BN763" i="3"/>
  <c r="DU762" i="3"/>
  <c r="DT762" i="3"/>
  <c r="DS762" i="3"/>
  <c r="DR762" i="3"/>
  <c r="DQ762" i="3"/>
  <c r="DP762" i="3"/>
  <c r="DO762" i="3"/>
  <c r="DN762" i="3"/>
  <c r="DM762" i="3"/>
  <c r="DL762" i="3"/>
  <c r="DK762" i="3"/>
  <c r="DJ762" i="3"/>
  <c r="DI762" i="3"/>
  <c r="DH762" i="3"/>
  <c r="DG762" i="3"/>
  <c r="DF762" i="3"/>
  <c r="DE762" i="3"/>
  <c r="DD762" i="3"/>
  <c r="DC762" i="3"/>
  <c r="DB762" i="3"/>
  <c r="DA762" i="3"/>
  <c r="CZ762" i="3"/>
  <c r="CY762" i="3"/>
  <c r="CX762" i="3"/>
  <c r="CW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Y762" i="3"/>
  <c r="BX762" i="3"/>
  <c r="BW762" i="3"/>
  <c r="BV762" i="3"/>
  <c r="BU762" i="3"/>
  <c r="BT762" i="3"/>
  <c r="BS762" i="3"/>
  <c r="BR762" i="3"/>
  <c r="BQ762" i="3"/>
  <c r="BP762" i="3"/>
  <c r="BO762" i="3"/>
  <c r="BN762" i="3"/>
  <c r="DU761" i="3"/>
  <c r="DT761" i="3"/>
  <c r="DS761" i="3"/>
  <c r="DR761" i="3"/>
  <c r="DQ761" i="3"/>
  <c r="DP761" i="3"/>
  <c r="DO761" i="3"/>
  <c r="DN761" i="3"/>
  <c r="DM761" i="3"/>
  <c r="DL761" i="3"/>
  <c r="DK761" i="3"/>
  <c r="DJ761" i="3"/>
  <c r="DI761" i="3"/>
  <c r="DH761" i="3"/>
  <c r="DG761" i="3"/>
  <c r="DF761" i="3"/>
  <c r="DE761" i="3"/>
  <c r="DD761" i="3"/>
  <c r="DC761" i="3"/>
  <c r="DB761" i="3"/>
  <c r="DA761" i="3"/>
  <c r="CZ761" i="3"/>
  <c r="CY761" i="3"/>
  <c r="CX761" i="3"/>
  <c r="CW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Y761" i="3"/>
  <c r="BX761" i="3"/>
  <c r="BW761" i="3"/>
  <c r="BV761" i="3"/>
  <c r="BU761" i="3"/>
  <c r="BT761" i="3"/>
  <c r="BS761" i="3"/>
  <c r="BR761" i="3"/>
  <c r="BQ761" i="3"/>
  <c r="BP761" i="3"/>
  <c r="BO761" i="3"/>
  <c r="BN761" i="3"/>
  <c r="DU760" i="3"/>
  <c r="DT760" i="3"/>
  <c r="DS760" i="3"/>
  <c r="DR760" i="3"/>
  <c r="DQ760" i="3"/>
  <c r="DP760" i="3"/>
  <c r="DO760" i="3"/>
  <c r="DN760" i="3"/>
  <c r="DM760" i="3"/>
  <c r="DL760" i="3"/>
  <c r="DK760" i="3"/>
  <c r="DJ760" i="3"/>
  <c r="DI760" i="3"/>
  <c r="DH760" i="3"/>
  <c r="DG760" i="3"/>
  <c r="DF760" i="3"/>
  <c r="DE760" i="3"/>
  <c r="DD760" i="3"/>
  <c r="DC760" i="3"/>
  <c r="DB760" i="3"/>
  <c r="DA760" i="3"/>
  <c r="CZ760" i="3"/>
  <c r="CY760" i="3"/>
  <c r="CX760" i="3"/>
  <c r="CW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Y760" i="3"/>
  <c r="BX760" i="3"/>
  <c r="BW760" i="3"/>
  <c r="BV760" i="3"/>
  <c r="BU760" i="3"/>
  <c r="BT760" i="3"/>
  <c r="BS760" i="3"/>
  <c r="BR760" i="3"/>
  <c r="BQ760" i="3"/>
  <c r="BP760" i="3"/>
  <c r="BO760" i="3"/>
  <c r="BN760" i="3"/>
  <c r="DU759" i="3"/>
  <c r="DT759" i="3"/>
  <c r="DS759" i="3"/>
  <c r="DR759" i="3"/>
  <c r="DQ759" i="3"/>
  <c r="DP759" i="3"/>
  <c r="DO759" i="3"/>
  <c r="DN759" i="3"/>
  <c r="DM759" i="3"/>
  <c r="DL759" i="3"/>
  <c r="DK759" i="3"/>
  <c r="DJ759" i="3"/>
  <c r="DI759" i="3"/>
  <c r="DH759" i="3"/>
  <c r="DG759" i="3"/>
  <c r="DF759" i="3"/>
  <c r="DE759" i="3"/>
  <c r="DD759" i="3"/>
  <c r="DC759" i="3"/>
  <c r="DB759" i="3"/>
  <c r="DA759" i="3"/>
  <c r="CZ759" i="3"/>
  <c r="CY759" i="3"/>
  <c r="CX759" i="3"/>
  <c r="CW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Y759" i="3"/>
  <c r="BX759" i="3"/>
  <c r="BW759" i="3"/>
  <c r="BV759" i="3"/>
  <c r="BU759" i="3"/>
  <c r="BT759" i="3"/>
  <c r="BS759" i="3"/>
  <c r="BR759" i="3"/>
  <c r="BQ759" i="3"/>
  <c r="BP759" i="3"/>
  <c r="BO759" i="3"/>
  <c r="BN759" i="3"/>
  <c r="DU758" i="3"/>
  <c r="DT758" i="3"/>
  <c r="DS758" i="3"/>
  <c r="DR758" i="3"/>
  <c r="DQ758" i="3"/>
  <c r="DP758" i="3"/>
  <c r="DO758" i="3"/>
  <c r="DN758" i="3"/>
  <c r="DM758" i="3"/>
  <c r="DL758" i="3"/>
  <c r="DK758" i="3"/>
  <c r="DJ758" i="3"/>
  <c r="DI758" i="3"/>
  <c r="DH758" i="3"/>
  <c r="DG758" i="3"/>
  <c r="DF758" i="3"/>
  <c r="DE758" i="3"/>
  <c r="DD758" i="3"/>
  <c r="DC758" i="3"/>
  <c r="DB758" i="3"/>
  <c r="DA758" i="3"/>
  <c r="CZ758" i="3"/>
  <c r="CY758" i="3"/>
  <c r="CX758" i="3"/>
  <c r="CW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Y758" i="3"/>
  <c r="BX758" i="3"/>
  <c r="BW758" i="3"/>
  <c r="BV758" i="3"/>
  <c r="BU758" i="3"/>
  <c r="BT758" i="3"/>
  <c r="BS758" i="3"/>
  <c r="BR758" i="3"/>
  <c r="BQ758" i="3"/>
  <c r="BP758" i="3"/>
  <c r="BO758" i="3"/>
  <c r="BN758" i="3"/>
  <c r="DU757" i="3"/>
  <c r="DT757" i="3"/>
  <c r="DS757" i="3"/>
  <c r="DR757" i="3"/>
  <c r="DQ757" i="3"/>
  <c r="DP757" i="3"/>
  <c r="DO757" i="3"/>
  <c r="DN757" i="3"/>
  <c r="DM757" i="3"/>
  <c r="DL757" i="3"/>
  <c r="DK757" i="3"/>
  <c r="DJ757" i="3"/>
  <c r="DI757" i="3"/>
  <c r="DH757" i="3"/>
  <c r="DG757" i="3"/>
  <c r="DF757" i="3"/>
  <c r="DE757" i="3"/>
  <c r="DD757" i="3"/>
  <c r="DC757" i="3"/>
  <c r="DB757" i="3"/>
  <c r="DA757" i="3"/>
  <c r="CZ757" i="3"/>
  <c r="CY757" i="3"/>
  <c r="CX757" i="3"/>
  <c r="CW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Y757" i="3"/>
  <c r="BX757" i="3"/>
  <c r="BW757" i="3"/>
  <c r="BV757" i="3"/>
  <c r="BU757" i="3"/>
  <c r="BT757" i="3"/>
  <c r="BS757" i="3"/>
  <c r="BR757" i="3"/>
  <c r="BQ757" i="3"/>
  <c r="BP757" i="3"/>
  <c r="BO757" i="3"/>
  <c r="BN757" i="3"/>
  <c r="DU756" i="3"/>
  <c r="DT756" i="3"/>
  <c r="DS756" i="3"/>
  <c r="DR756" i="3"/>
  <c r="DQ756" i="3"/>
  <c r="DP756" i="3"/>
  <c r="DO756" i="3"/>
  <c r="DN756" i="3"/>
  <c r="DM756" i="3"/>
  <c r="DL756" i="3"/>
  <c r="DK756" i="3"/>
  <c r="DJ756" i="3"/>
  <c r="DI756" i="3"/>
  <c r="DH756" i="3"/>
  <c r="DG756" i="3"/>
  <c r="DF756" i="3"/>
  <c r="DE756" i="3"/>
  <c r="DD756" i="3"/>
  <c r="DC756" i="3"/>
  <c r="DB756" i="3"/>
  <c r="DA756" i="3"/>
  <c r="CZ756" i="3"/>
  <c r="CY756" i="3"/>
  <c r="CX756" i="3"/>
  <c r="CW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Y756" i="3"/>
  <c r="BX756" i="3"/>
  <c r="BW756" i="3"/>
  <c r="BV756" i="3"/>
  <c r="BU756" i="3"/>
  <c r="BT756" i="3"/>
  <c r="BS756" i="3"/>
  <c r="BR756" i="3"/>
  <c r="BQ756" i="3"/>
  <c r="BP756" i="3"/>
  <c r="BO756" i="3"/>
  <c r="BN756" i="3"/>
  <c r="DU755" i="3"/>
  <c r="DT755" i="3"/>
  <c r="DS755" i="3"/>
  <c r="DR755" i="3"/>
  <c r="DQ755" i="3"/>
  <c r="DP755" i="3"/>
  <c r="DO755" i="3"/>
  <c r="DN755" i="3"/>
  <c r="DM755" i="3"/>
  <c r="DL755" i="3"/>
  <c r="DK755" i="3"/>
  <c r="DJ755" i="3"/>
  <c r="DI755" i="3"/>
  <c r="DH755" i="3"/>
  <c r="DG755" i="3"/>
  <c r="DF755" i="3"/>
  <c r="DE755" i="3"/>
  <c r="DD755" i="3"/>
  <c r="DC755" i="3"/>
  <c r="DB755" i="3"/>
  <c r="DA755" i="3"/>
  <c r="CZ755" i="3"/>
  <c r="CY755" i="3"/>
  <c r="CX755" i="3"/>
  <c r="CW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Y755" i="3"/>
  <c r="BX755" i="3"/>
  <c r="BW755" i="3"/>
  <c r="BV755" i="3"/>
  <c r="BU755" i="3"/>
  <c r="BT755" i="3"/>
  <c r="BS755" i="3"/>
  <c r="BR755" i="3"/>
  <c r="BQ755" i="3"/>
  <c r="BP755" i="3"/>
  <c r="BO755" i="3"/>
  <c r="BN755" i="3"/>
  <c r="DU754" i="3"/>
  <c r="DT754" i="3"/>
  <c r="DS754" i="3"/>
  <c r="DR754" i="3"/>
  <c r="DQ754" i="3"/>
  <c r="DP754" i="3"/>
  <c r="DO754" i="3"/>
  <c r="DN754" i="3"/>
  <c r="DM754" i="3"/>
  <c r="DL754" i="3"/>
  <c r="DK754" i="3"/>
  <c r="DJ754" i="3"/>
  <c r="DI754" i="3"/>
  <c r="DH754" i="3"/>
  <c r="DG754" i="3"/>
  <c r="DF754" i="3"/>
  <c r="DE754" i="3"/>
  <c r="DD754" i="3"/>
  <c r="DC754" i="3"/>
  <c r="DB754" i="3"/>
  <c r="DA754" i="3"/>
  <c r="CZ754" i="3"/>
  <c r="CY754" i="3"/>
  <c r="CX754" i="3"/>
  <c r="CW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Y754" i="3"/>
  <c r="BX754" i="3"/>
  <c r="BW754" i="3"/>
  <c r="BV754" i="3"/>
  <c r="BU754" i="3"/>
  <c r="BT754" i="3"/>
  <c r="BS754" i="3"/>
  <c r="BR754" i="3"/>
  <c r="BQ754" i="3"/>
  <c r="BP754" i="3"/>
  <c r="BO754" i="3"/>
  <c r="BN754" i="3"/>
  <c r="DU753" i="3"/>
  <c r="DT753" i="3"/>
  <c r="DS753" i="3"/>
  <c r="DR753" i="3"/>
  <c r="DQ753" i="3"/>
  <c r="DP753" i="3"/>
  <c r="DO753" i="3"/>
  <c r="DN753" i="3"/>
  <c r="DM753" i="3"/>
  <c r="DL753" i="3"/>
  <c r="DK753" i="3"/>
  <c r="DJ753" i="3"/>
  <c r="DI753" i="3"/>
  <c r="DH753" i="3"/>
  <c r="DG753" i="3"/>
  <c r="DF753" i="3"/>
  <c r="DE753" i="3"/>
  <c r="DD753" i="3"/>
  <c r="DC753" i="3"/>
  <c r="DB753" i="3"/>
  <c r="DA753" i="3"/>
  <c r="CZ753" i="3"/>
  <c r="CY753" i="3"/>
  <c r="CX753" i="3"/>
  <c r="CW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Y753" i="3"/>
  <c r="BX753" i="3"/>
  <c r="BW753" i="3"/>
  <c r="BV753" i="3"/>
  <c r="BU753" i="3"/>
  <c r="BT753" i="3"/>
  <c r="BS753" i="3"/>
  <c r="BR753" i="3"/>
  <c r="BQ753" i="3"/>
  <c r="BP753" i="3"/>
  <c r="BO753" i="3"/>
  <c r="BN753" i="3"/>
  <c r="DU752" i="3"/>
  <c r="DT752" i="3"/>
  <c r="DS752" i="3"/>
  <c r="DR752" i="3"/>
  <c r="DQ752" i="3"/>
  <c r="DP752" i="3"/>
  <c r="DO752" i="3"/>
  <c r="DN752" i="3"/>
  <c r="DM752" i="3"/>
  <c r="DL752" i="3"/>
  <c r="DK752" i="3"/>
  <c r="DJ752" i="3"/>
  <c r="DI752" i="3"/>
  <c r="DH752" i="3"/>
  <c r="DG752" i="3"/>
  <c r="DF752" i="3"/>
  <c r="DE752" i="3"/>
  <c r="DD752" i="3"/>
  <c r="DC752" i="3"/>
  <c r="DB752" i="3"/>
  <c r="DA752" i="3"/>
  <c r="CZ752" i="3"/>
  <c r="CY752" i="3"/>
  <c r="CX752" i="3"/>
  <c r="CW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Y752" i="3"/>
  <c r="BX752" i="3"/>
  <c r="BW752" i="3"/>
  <c r="BV752" i="3"/>
  <c r="BU752" i="3"/>
  <c r="BT752" i="3"/>
  <c r="BS752" i="3"/>
  <c r="BR752" i="3"/>
  <c r="BQ752" i="3"/>
  <c r="BP752" i="3"/>
  <c r="BO752" i="3"/>
  <c r="BN752" i="3"/>
  <c r="DU751" i="3"/>
  <c r="DT751" i="3"/>
  <c r="DS751" i="3"/>
  <c r="DR751" i="3"/>
  <c r="DQ751" i="3"/>
  <c r="DP751" i="3"/>
  <c r="DO751" i="3"/>
  <c r="DN751" i="3"/>
  <c r="DM751" i="3"/>
  <c r="DL751" i="3"/>
  <c r="DK751" i="3"/>
  <c r="DJ751" i="3"/>
  <c r="DI751" i="3"/>
  <c r="DH751" i="3"/>
  <c r="DG751" i="3"/>
  <c r="DF751" i="3"/>
  <c r="DE751" i="3"/>
  <c r="DD751" i="3"/>
  <c r="DC751" i="3"/>
  <c r="DB751" i="3"/>
  <c r="DA751" i="3"/>
  <c r="CZ751" i="3"/>
  <c r="CY751" i="3"/>
  <c r="CX751" i="3"/>
  <c r="CW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Y751" i="3"/>
  <c r="BX751" i="3"/>
  <c r="BW751" i="3"/>
  <c r="BV751" i="3"/>
  <c r="BU751" i="3"/>
  <c r="BT751" i="3"/>
  <c r="BS751" i="3"/>
  <c r="BR751" i="3"/>
  <c r="BQ751" i="3"/>
  <c r="BP751" i="3"/>
  <c r="BO751" i="3"/>
  <c r="BN751" i="3"/>
  <c r="DU750" i="3"/>
  <c r="DT750" i="3"/>
  <c r="DS750" i="3"/>
  <c r="DR750" i="3"/>
  <c r="DQ750" i="3"/>
  <c r="DP750" i="3"/>
  <c r="DO750" i="3"/>
  <c r="DN750" i="3"/>
  <c r="DM750" i="3"/>
  <c r="DL750" i="3"/>
  <c r="DK750" i="3"/>
  <c r="DJ750" i="3"/>
  <c r="DI750" i="3"/>
  <c r="DH750" i="3"/>
  <c r="DG750" i="3"/>
  <c r="DF750" i="3"/>
  <c r="DE750" i="3"/>
  <c r="DD750" i="3"/>
  <c r="DC750" i="3"/>
  <c r="DB750" i="3"/>
  <c r="DA750" i="3"/>
  <c r="CZ750" i="3"/>
  <c r="CY750" i="3"/>
  <c r="CX750" i="3"/>
  <c r="CW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Y750" i="3"/>
  <c r="BX750" i="3"/>
  <c r="BW750" i="3"/>
  <c r="BV750" i="3"/>
  <c r="BU750" i="3"/>
  <c r="BT750" i="3"/>
  <c r="BS750" i="3"/>
  <c r="BR750" i="3"/>
  <c r="BQ750" i="3"/>
  <c r="BP750" i="3"/>
  <c r="BO750" i="3"/>
  <c r="BN750" i="3"/>
  <c r="DU749" i="3"/>
  <c r="DT749" i="3"/>
  <c r="DS749" i="3"/>
  <c r="DR749" i="3"/>
  <c r="DQ749" i="3"/>
  <c r="DP749" i="3"/>
  <c r="DO749" i="3"/>
  <c r="DN749" i="3"/>
  <c r="DM749" i="3"/>
  <c r="DL749" i="3"/>
  <c r="DK749" i="3"/>
  <c r="DJ749" i="3"/>
  <c r="DI749" i="3"/>
  <c r="DH749" i="3"/>
  <c r="DG749" i="3"/>
  <c r="DF749" i="3"/>
  <c r="DE749" i="3"/>
  <c r="DD749" i="3"/>
  <c r="DC749" i="3"/>
  <c r="DB749" i="3"/>
  <c r="DA749" i="3"/>
  <c r="CZ749" i="3"/>
  <c r="CY749" i="3"/>
  <c r="CX749" i="3"/>
  <c r="CW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Y749" i="3"/>
  <c r="BX749" i="3"/>
  <c r="BW749" i="3"/>
  <c r="BV749" i="3"/>
  <c r="BU749" i="3"/>
  <c r="BT749" i="3"/>
  <c r="BS749" i="3"/>
  <c r="BR749" i="3"/>
  <c r="BQ749" i="3"/>
  <c r="BP749" i="3"/>
  <c r="BO749" i="3"/>
  <c r="BN749" i="3"/>
  <c r="DU748" i="3"/>
  <c r="DT748" i="3"/>
  <c r="DS748" i="3"/>
  <c r="DR748" i="3"/>
  <c r="DQ748" i="3"/>
  <c r="DP748" i="3"/>
  <c r="DO748" i="3"/>
  <c r="DN748" i="3"/>
  <c r="DM748" i="3"/>
  <c r="DL748" i="3"/>
  <c r="DK748" i="3"/>
  <c r="DJ748" i="3"/>
  <c r="DI748" i="3"/>
  <c r="DH748" i="3"/>
  <c r="DG748" i="3"/>
  <c r="DF748" i="3"/>
  <c r="DE748" i="3"/>
  <c r="DD748" i="3"/>
  <c r="DC748" i="3"/>
  <c r="DB748" i="3"/>
  <c r="DA748" i="3"/>
  <c r="CZ748" i="3"/>
  <c r="CY748" i="3"/>
  <c r="CX748" i="3"/>
  <c r="CW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Y748" i="3"/>
  <c r="BX748" i="3"/>
  <c r="BW748" i="3"/>
  <c r="BV748" i="3"/>
  <c r="BU748" i="3"/>
  <c r="BT748" i="3"/>
  <c r="BS748" i="3"/>
  <c r="BR748" i="3"/>
  <c r="BQ748" i="3"/>
  <c r="BP748" i="3"/>
  <c r="BO748" i="3"/>
  <c r="BN748" i="3"/>
  <c r="DU747" i="3"/>
  <c r="DT747" i="3"/>
  <c r="DS747" i="3"/>
  <c r="DR747" i="3"/>
  <c r="DQ747" i="3"/>
  <c r="DP747" i="3"/>
  <c r="DO747" i="3"/>
  <c r="DN747" i="3"/>
  <c r="DM747" i="3"/>
  <c r="DL747" i="3"/>
  <c r="DK747" i="3"/>
  <c r="DJ747" i="3"/>
  <c r="DI747" i="3"/>
  <c r="DH747" i="3"/>
  <c r="DG747" i="3"/>
  <c r="DF747" i="3"/>
  <c r="DE747" i="3"/>
  <c r="DD747" i="3"/>
  <c r="DC747" i="3"/>
  <c r="DB747" i="3"/>
  <c r="DA747" i="3"/>
  <c r="CZ747" i="3"/>
  <c r="CY747" i="3"/>
  <c r="CX747" i="3"/>
  <c r="CW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Y747" i="3"/>
  <c r="BX747" i="3"/>
  <c r="BW747" i="3"/>
  <c r="BV747" i="3"/>
  <c r="BU747" i="3"/>
  <c r="BT747" i="3"/>
  <c r="BS747" i="3"/>
  <c r="BR747" i="3"/>
  <c r="BQ747" i="3"/>
  <c r="BP747" i="3"/>
  <c r="BO747" i="3"/>
  <c r="BN747" i="3"/>
  <c r="DU746" i="3"/>
  <c r="DT746" i="3"/>
  <c r="DS746" i="3"/>
  <c r="DR746" i="3"/>
  <c r="DQ746" i="3"/>
  <c r="DP746" i="3"/>
  <c r="DO746" i="3"/>
  <c r="DN746" i="3"/>
  <c r="DM746" i="3"/>
  <c r="DL746" i="3"/>
  <c r="DK746" i="3"/>
  <c r="DJ746" i="3"/>
  <c r="DI746" i="3"/>
  <c r="DH746" i="3"/>
  <c r="DG746" i="3"/>
  <c r="DF746" i="3"/>
  <c r="DE746" i="3"/>
  <c r="DD746" i="3"/>
  <c r="DC746" i="3"/>
  <c r="DB746" i="3"/>
  <c r="DA746" i="3"/>
  <c r="CZ746" i="3"/>
  <c r="CY746" i="3"/>
  <c r="CX746" i="3"/>
  <c r="CW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Y746" i="3"/>
  <c r="BX746" i="3"/>
  <c r="BW746" i="3"/>
  <c r="BV746" i="3"/>
  <c r="BU746" i="3"/>
  <c r="BT746" i="3"/>
  <c r="BS746" i="3"/>
  <c r="BR746" i="3"/>
  <c r="BQ746" i="3"/>
  <c r="BP746" i="3"/>
  <c r="BO746" i="3"/>
  <c r="BN746" i="3"/>
  <c r="DU745" i="3"/>
  <c r="DT745" i="3"/>
  <c r="DS745" i="3"/>
  <c r="DR745" i="3"/>
  <c r="DQ745" i="3"/>
  <c r="DP745" i="3"/>
  <c r="DO745" i="3"/>
  <c r="DN745" i="3"/>
  <c r="DM745" i="3"/>
  <c r="DL745" i="3"/>
  <c r="DK745" i="3"/>
  <c r="DJ745" i="3"/>
  <c r="DI745" i="3"/>
  <c r="DH745" i="3"/>
  <c r="DG745" i="3"/>
  <c r="DF745" i="3"/>
  <c r="DE745" i="3"/>
  <c r="DD745" i="3"/>
  <c r="DC745" i="3"/>
  <c r="DB745" i="3"/>
  <c r="DA745" i="3"/>
  <c r="CZ745" i="3"/>
  <c r="CY745" i="3"/>
  <c r="CX745" i="3"/>
  <c r="CW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Y745" i="3"/>
  <c r="BX745" i="3"/>
  <c r="BW745" i="3"/>
  <c r="BV745" i="3"/>
  <c r="BU745" i="3"/>
  <c r="BT745" i="3"/>
  <c r="BS745" i="3"/>
  <c r="BR745" i="3"/>
  <c r="BQ745" i="3"/>
  <c r="BP745" i="3"/>
  <c r="BO745" i="3"/>
  <c r="BN745" i="3"/>
  <c r="DU744" i="3"/>
  <c r="DT744" i="3"/>
  <c r="DS744" i="3"/>
  <c r="DR744" i="3"/>
  <c r="DQ744" i="3"/>
  <c r="DP744" i="3"/>
  <c r="DO744" i="3"/>
  <c r="DN744" i="3"/>
  <c r="DM744" i="3"/>
  <c r="DL744" i="3"/>
  <c r="DK744" i="3"/>
  <c r="DJ744" i="3"/>
  <c r="DI744" i="3"/>
  <c r="DH744" i="3"/>
  <c r="DG744" i="3"/>
  <c r="DF744" i="3"/>
  <c r="DE744" i="3"/>
  <c r="DD744" i="3"/>
  <c r="DC744" i="3"/>
  <c r="DB744" i="3"/>
  <c r="DA744" i="3"/>
  <c r="CZ744" i="3"/>
  <c r="CY744" i="3"/>
  <c r="CX744" i="3"/>
  <c r="CW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Y744" i="3"/>
  <c r="BX744" i="3"/>
  <c r="BW744" i="3"/>
  <c r="BV744" i="3"/>
  <c r="BU744" i="3"/>
  <c r="BT744" i="3"/>
  <c r="BS744" i="3"/>
  <c r="BR744" i="3"/>
  <c r="BQ744" i="3"/>
  <c r="BP744" i="3"/>
  <c r="BO744" i="3"/>
  <c r="BN744" i="3"/>
  <c r="DU743" i="3"/>
  <c r="DT743" i="3"/>
  <c r="DS743" i="3"/>
  <c r="DR743" i="3"/>
  <c r="DQ743" i="3"/>
  <c r="DP743" i="3"/>
  <c r="DO743" i="3"/>
  <c r="DN743" i="3"/>
  <c r="DM743" i="3"/>
  <c r="DL743" i="3"/>
  <c r="DK743" i="3"/>
  <c r="DJ743" i="3"/>
  <c r="DI743" i="3"/>
  <c r="DH743" i="3"/>
  <c r="DG743" i="3"/>
  <c r="DF743" i="3"/>
  <c r="DE743" i="3"/>
  <c r="DD743" i="3"/>
  <c r="DC743" i="3"/>
  <c r="DB743" i="3"/>
  <c r="DA743" i="3"/>
  <c r="CZ743" i="3"/>
  <c r="CY743" i="3"/>
  <c r="CX743" i="3"/>
  <c r="CW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Y743" i="3"/>
  <c r="BX743" i="3"/>
  <c r="BW743" i="3"/>
  <c r="BV743" i="3"/>
  <c r="BU743" i="3"/>
  <c r="BT743" i="3"/>
  <c r="BS743" i="3"/>
  <c r="BR743" i="3"/>
  <c r="BQ743" i="3"/>
  <c r="BP743" i="3"/>
  <c r="BO743" i="3"/>
  <c r="BN743" i="3"/>
  <c r="DU742" i="3"/>
  <c r="DT742" i="3"/>
  <c r="DS742" i="3"/>
  <c r="DR742" i="3"/>
  <c r="DQ742" i="3"/>
  <c r="DP742" i="3"/>
  <c r="DO742" i="3"/>
  <c r="DN742" i="3"/>
  <c r="DM742" i="3"/>
  <c r="DL742" i="3"/>
  <c r="DK742" i="3"/>
  <c r="DJ742" i="3"/>
  <c r="DI742" i="3"/>
  <c r="DH742" i="3"/>
  <c r="DG742" i="3"/>
  <c r="DF742" i="3"/>
  <c r="DE742" i="3"/>
  <c r="DD742" i="3"/>
  <c r="DC742" i="3"/>
  <c r="DB742" i="3"/>
  <c r="DA742" i="3"/>
  <c r="CZ742" i="3"/>
  <c r="CY742" i="3"/>
  <c r="CX742" i="3"/>
  <c r="CW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Y742" i="3"/>
  <c r="BX742" i="3"/>
  <c r="BW742" i="3"/>
  <c r="BV742" i="3"/>
  <c r="BU742" i="3"/>
  <c r="BT742" i="3"/>
  <c r="BS742" i="3"/>
  <c r="BR742" i="3"/>
  <c r="BQ742" i="3"/>
  <c r="BP742" i="3"/>
  <c r="BO742" i="3"/>
  <c r="BN742" i="3"/>
  <c r="DU741" i="3"/>
  <c r="DT741" i="3"/>
  <c r="DS741" i="3"/>
  <c r="DR741" i="3"/>
  <c r="DQ741" i="3"/>
  <c r="DP741" i="3"/>
  <c r="DO741" i="3"/>
  <c r="DN741" i="3"/>
  <c r="DM741" i="3"/>
  <c r="DL741" i="3"/>
  <c r="DK741" i="3"/>
  <c r="DJ741" i="3"/>
  <c r="DI741" i="3"/>
  <c r="DH741" i="3"/>
  <c r="DG741" i="3"/>
  <c r="DF741" i="3"/>
  <c r="DE741" i="3"/>
  <c r="DD741" i="3"/>
  <c r="DC741" i="3"/>
  <c r="DB741" i="3"/>
  <c r="DA741" i="3"/>
  <c r="CZ741" i="3"/>
  <c r="CY741" i="3"/>
  <c r="CX741" i="3"/>
  <c r="CW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Y741" i="3"/>
  <c r="BX741" i="3"/>
  <c r="BW741" i="3"/>
  <c r="BV741" i="3"/>
  <c r="BU741" i="3"/>
  <c r="BT741" i="3"/>
  <c r="BS741" i="3"/>
  <c r="BR741" i="3"/>
  <c r="BQ741" i="3"/>
  <c r="BP741" i="3"/>
  <c r="BO741" i="3"/>
  <c r="BN741" i="3"/>
  <c r="DU740" i="3"/>
  <c r="DT740" i="3"/>
  <c r="DS740" i="3"/>
  <c r="DR740" i="3"/>
  <c r="DQ740" i="3"/>
  <c r="DP740" i="3"/>
  <c r="DO740" i="3"/>
  <c r="DN740" i="3"/>
  <c r="DM740" i="3"/>
  <c r="DL740" i="3"/>
  <c r="DK740" i="3"/>
  <c r="DJ740" i="3"/>
  <c r="DI740" i="3"/>
  <c r="DH740" i="3"/>
  <c r="DG740" i="3"/>
  <c r="DF740" i="3"/>
  <c r="DE740" i="3"/>
  <c r="DD740" i="3"/>
  <c r="DC740" i="3"/>
  <c r="DB740" i="3"/>
  <c r="DA740" i="3"/>
  <c r="CZ740" i="3"/>
  <c r="CY740" i="3"/>
  <c r="CX740" i="3"/>
  <c r="CW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Y740" i="3"/>
  <c r="BX740" i="3"/>
  <c r="BW740" i="3"/>
  <c r="BV740" i="3"/>
  <c r="BU740" i="3"/>
  <c r="BT740" i="3"/>
  <c r="BS740" i="3"/>
  <c r="BR740" i="3"/>
  <c r="BQ740" i="3"/>
  <c r="BP740" i="3"/>
  <c r="BO740" i="3"/>
  <c r="BN740" i="3"/>
  <c r="DU739" i="3"/>
  <c r="DT739" i="3"/>
  <c r="DS739" i="3"/>
  <c r="DR739" i="3"/>
  <c r="DQ739" i="3"/>
  <c r="DP739" i="3"/>
  <c r="DO739" i="3"/>
  <c r="DN739" i="3"/>
  <c r="DM739" i="3"/>
  <c r="DL739" i="3"/>
  <c r="DK739" i="3"/>
  <c r="DJ739" i="3"/>
  <c r="DI739" i="3"/>
  <c r="DH739" i="3"/>
  <c r="DG739" i="3"/>
  <c r="DF739" i="3"/>
  <c r="DE739" i="3"/>
  <c r="DD739" i="3"/>
  <c r="DC739" i="3"/>
  <c r="DB739" i="3"/>
  <c r="DA739" i="3"/>
  <c r="CZ739" i="3"/>
  <c r="CY739" i="3"/>
  <c r="CX739" i="3"/>
  <c r="CW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Y739" i="3"/>
  <c r="BX739" i="3"/>
  <c r="BW739" i="3"/>
  <c r="BV739" i="3"/>
  <c r="BU739" i="3"/>
  <c r="BT739" i="3"/>
  <c r="BS739" i="3"/>
  <c r="BR739" i="3"/>
  <c r="BQ739" i="3"/>
  <c r="BP739" i="3"/>
  <c r="BO739" i="3"/>
  <c r="BN739" i="3"/>
  <c r="DU738" i="3"/>
  <c r="DT738" i="3"/>
  <c r="DS738" i="3"/>
  <c r="DR738" i="3"/>
  <c r="DQ738" i="3"/>
  <c r="DP738" i="3"/>
  <c r="DO738" i="3"/>
  <c r="DN738" i="3"/>
  <c r="DM738" i="3"/>
  <c r="DL738" i="3"/>
  <c r="DK738" i="3"/>
  <c r="DJ738" i="3"/>
  <c r="DI738" i="3"/>
  <c r="DH738" i="3"/>
  <c r="DG738" i="3"/>
  <c r="DF738" i="3"/>
  <c r="DE738" i="3"/>
  <c r="DD738" i="3"/>
  <c r="DC738" i="3"/>
  <c r="DB738" i="3"/>
  <c r="DA738" i="3"/>
  <c r="CZ738" i="3"/>
  <c r="CY738" i="3"/>
  <c r="CX738" i="3"/>
  <c r="CW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Y738" i="3"/>
  <c r="BX738" i="3"/>
  <c r="BW738" i="3"/>
  <c r="BV738" i="3"/>
  <c r="BU738" i="3"/>
  <c r="BT738" i="3"/>
  <c r="BS738" i="3"/>
  <c r="BR738" i="3"/>
  <c r="BQ738" i="3"/>
  <c r="BP738" i="3"/>
  <c r="BO738" i="3"/>
  <c r="BN738" i="3"/>
  <c r="DU737" i="3"/>
  <c r="DT737" i="3"/>
  <c r="DS737" i="3"/>
  <c r="DR737" i="3"/>
  <c r="DQ737" i="3"/>
  <c r="DP737" i="3"/>
  <c r="DO737" i="3"/>
  <c r="DN737" i="3"/>
  <c r="DM737" i="3"/>
  <c r="DL737" i="3"/>
  <c r="DK737" i="3"/>
  <c r="DJ737" i="3"/>
  <c r="DI737" i="3"/>
  <c r="DH737" i="3"/>
  <c r="DG737" i="3"/>
  <c r="DF737" i="3"/>
  <c r="DE737" i="3"/>
  <c r="DD737" i="3"/>
  <c r="DC737" i="3"/>
  <c r="DB737" i="3"/>
  <c r="DA737" i="3"/>
  <c r="CZ737" i="3"/>
  <c r="CY737" i="3"/>
  <c r="CX737" i="3"/>
  <c r="CW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Y737" i="3"/>
  <c r="BX737" i="3"/>
  <c r="BW737" i="3"/>
  <c r="BV737" i="3"/>
  <c r="BU737" i="3"/>
  <c r="BT737" i="3"/>
  <c r="BS737" i="3"/>
  <c r="BR737" i="3"/>
  <c r="BQ737" i="3"/>
  <c r="BP737" i="3"/>
  <c r="BO737" i="3"/>
  <c r="BN737" i="3"/>
  <c r="DU736" i="3"/>
  <c r="DT736" i="3"/>
  <c r="DS736" i="3"/>
  <c r="DR736" i="3"/>
  <c r="DQ736" i="3"/>
  <c r="DP736" i="3"/>
  <c r="DO736" i="3"/>
  <c r="DN736" i="3"/>
  <c r="DM736" i="3"/>
  <c r="DL736" i="3"/>
  <c r="DK736" i="3"/>
  <c r="DJ736" i="3"/>
  <c r="DI736" i="3"/>
  <c r="DH736" i="3"/>
  <c r="DG736" i="3"/>
  <c r="DF736" i="3"/>
  <c r="DE736" i="3"/>
  <c r="DD736" i="3"/>
  <c r="DC736" i="3"/>
  <c r="DB736" i="3"/>
  <c r="DA736" i="3"/>
  <c r="CZ736" i="3"/>
  <c r="CY736" i="3"/>
  <c r="CX736" i="3"/>
  <c r="CW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Y736" i="3"/>
  <c r="BX736" i="3"/>
  <c r="BW736" i="3"/>
  <c r="BV736" i="3"/>
  <c r="BU736" i="3"/>
  <c r="BT736" i="3"/>
  <c r="BS736" i="3"/>
  <c r="BR736" i="3"/>
  <c r="BQ736" i="3"/>
  <c r="BP736" i="3"/>
  <c r="BO736" i="3"/>
  <c r="BN736" i="3"/>
  <c r="DU735" i="3"/>
  <c r="DT735" i="3"/>
  <c r="DS735" i="3"/>
  <c r="DR735" i="3"/>
  <c r="DQ735" i="3"/>
  <c r="DP735" i="3"/>
  <c r="DO735" i="3"/>
  <c r="DN735" i="3"/>
  <c r="DM735" i="3"/>
  <c r="DL735" i="3"/>
  <c r="DK735" i="3"/>
  <c r="DJ735" i="3"/>
  <c r="DI735" i="3"/>
  <c r="DH735" i="3"/>
  <c r="DG735" i="3"/>
  <c r="DF735" i="3"/>
  <c r="DE735" i="3"/>
  <c r="DD735" i="3"/>
  <c r="DC735" i="3"/>
  <c r="DB735" i="3"/>
  <c r="DA735" i="3"/>
  <c r="CZ735" i="3"/>
  <c r="CY735" i="3"/>
  <c r="CX735" i="3"/>
  <c r="CW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Y735" i="3"/>
  <c r="BX735" i="3"/>
  <c r="BW735" i="3"/>
  <c r="BV735" i="3"/>
  <c r="BU735" i="3"/>
  <c r="BT735" i="3"/>
  <c r="BS735" i="3"/>
  <c r="BR735" i="3"/>
  <c r="BQ735" i="3"/>
  <c r="BP735" i="3"/>
  <c r="BO735" i="3"/>
  <c r="BN735" i="3"/>
  <c r="DU734" i="3"/>
  <c r="DT734" i="3"/>
  <c r="DS734" i="3"/>
  <c r="DR734" i="3"/>
  <c r="DQ734" i="3"/>
  <c r="DP734" i="3"/>
  <c r="DO734" i="3"/>
  <c r="DN734" i="3"/>
  <c r="DM734" i="3"/>
  <c r="DL734" i="3"/>
  <c r="DK734" i="3"/>
  <c r="DJ734" i="3"/>
  <c r="DI734" i="3"/>
  <c r="DH734" i="3"/>
  <c r="DG734" i="3"/>
  <c r="DF734" i="3"/>
  <c r="DE734" i="3"/>
  <c r="DD734" i="3"/>
  <c r="DC734" i="3"/>
  <c r="DB734" i="3"/>
  <c r="DA734" i="3"/>
  <c r="CZ734" i="3"/>
  <c r="CY734" i="3"/>
  <c r="CX734" i="3"/>
  <c r="CW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Y734" i="3"/>
  <c r="BX734" i="3"/>
  <c r="BW734" i="3"/>
  <c r="BV734" i="3"/>
  <c r="BU734" i="3"/>
  <c r="BT734" i="3"/>
  <c r="BS734" i="3"/>
  <c r="BR734" i="3"/>
  <c r="BQ734" i="3"/>
  <c r="BP734" i="3"/>
  <c r="BO734" i="3"/>
  <c r="BN734" i="3"/>
  <c r="DU733" i="3"/>
  <c r="DT733" i="3"/>
  <c r="DS733" i="3"/>
  <c r="DR733" i="3"/>
  <c r="DQ733" i="3"/>
  <c r="DP733" i="3"/>
  <c r="DO733" i="3"/>
  <c r="DN733" i="3"/>
  <c r="DM733" i="3"/>
  <c r="DL733" i="3"/>
  <c r="DK733" i="3"/>
  <c r="DJ733" i="3"/>
  <c r="DI733" i="3"/>
  <c r="DH733" i="3"/>
  <c r="DG733" i="3"/>
  <c r="DF733" i="3"/>
  <c r="DE733" i="3"/>
  <c r="DD733" i="3"/>
  <c r="DC733" i="3"/>
  <c r="DB733" i="3"/>
  <c r="DA733" i="3"/>
  <c r="CZ733" i="3"/>
  <c r="CY733" i="3"/>
  <c r="CX733" i="3"/>
  <c r="CW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Y733" i="3"/>
  <c r="BX733" i="3"/>
  <c r="BW733" i="3"/>
  <c r="BV733" i="3"/>
  <c r="BU733" i="3"/>
  <c r="BT733" i="3"/>
  <c r="BS733" i="3"/>
  <c r="BR733" i="3"/>
  <c r="BQ733" i="3"/>
  <c r="BP733" i="3"/>
  <c r="BO733" i="3"/>
  <c r="BN733" i="3"/>
  <c r="DU732" i="3"/>
  <c r="DT732" i="3"/>
  <c r="DS732" i="3"/>
  <c r="DR732" i="3"/>
  <c r="DQ732" i="3"/>
  <c r="DP732" i="3"/>
  <c r="DO732" i="3"/>
  <c r="DN732" i="3"/>
  <c r="DM732" i="3"/>
  <c r="DL732" i="3"/>
  <c r="DK732" i="3"/>
  <c r="DJ732" i="3"/>
  <c r="DI732" i="3"/>
  <c r="DH732" i="3"/>
  <c r="DG732" i="3"/>
  <c r="DF732" i="3"/>
  <c r="DE732" i="3"/>
  <c r="DD732" i="3"/>
  <c r="DC732" i="3"/>
  <c r="DB732" i="3"/>
  <c r="DA732" i="3"/>
  <c r="CZ732" i="3"/>
  <c r="CY732" i="3"/>
  <c r="CX732" i="3"/>
  <c r="CW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Y732" i="3"/>
  <c r="BX732" i="3"/>
  <c r="BW732" i="3"/>
  <c r="BV732" i="3"/>
  <c r="BU732" i="3"/>
  <c r="BT732" i="3"/>
  <c r="BS732" i="3"/>
  <c r="BR732" i="3"/>
  <c r="BQ732" i="3"/>
  <c r="BP732" i="3"/>
  <c r="BO732" i="3"/>
  <c r="BN732" i="3"/>
  <c r="DU731" i="3"/>
  <c r="DT731" i="3"/>
  <c r="DS731" i="3"/>
  <c r="DR731" i="3"/>
  <c r="DQ731" i="3"/>
  <c r="DP731" i="3"/>
  <c r="DO731" i="3"/>
  <c r="DN731" i="3"/>
  <c r="DM731" i="3"/>
  <c r="DL731" i="3"/>
  <c r="DK731" i="3"/>
  <c r="DJ731" i="3"/>
  <c r="DI731" i="3"/>
  <c r="DH731" i="3"/>
  <c r="DG731" i="3"/>
  <c r="DF731" i="3"/>
  <c r="DE731" i="3"/>
  <c r="DD731" i="3"/>
  <c r="DC731" i="3"/>
  <c r="DB731" i="3"/>
  <c r="DA731" i="3"/>
  <c r="CZ731" i="3"/>
  <c r="CY731" i="3"/>
  <c r="CX731" i="3"/>
  <c r="CW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Y731" i="3"/>
  <c r="BX731" i="3"/>
  <c r="BW731" i="3"/>
  <c r="BV731" i="3"/>
  <c r="BU731" i="3"/>
  <c r="BT731" i="3"/>
  <c r="BS731" i="3"/>
  <c r="BR731" i="3"/>
  <c r="BQ731" i="3"/>
  <c r="BP731" i="3"/>
  <c r="BO731" i="3"/>
  <c r="BN731" i="3"/>
  <c r="DU730" i="3"/>
  <c r="DT730" i="3"/>
  <c r="DS730" i="3"/>
  <c r="DR730" i="3"/>
  <c r="DQ730" i="3"/>
  <c r="DP730" i="3"/>
  <c r="DO730" i="3"/>
  <c r="DN730" i="3"/>
  <c r="DM730" i="3"/>
  <c r="DL730" i="3"/>
  <c r="DK730" i="3"/>
  <c r="DJ730" i="3"/>
  <c r="DI730" i="3"/>
  <c r="DH730" i="3"/>
  <c r="DG730" i="3"/>
  <c r="DF730" i="3"/>
  <c r="DE730" i="3"/>
  <c r="DD730" i="3"/>
  <c r="DC730" i="3"/>
  <c r="DB730" i="3"/>
  <c r="DA730" i="3"/>
  <c r="CZ730" i="3"/>
  <c r="CY730" i="3"/>
  <c r="CX730" i="3"/>
  <c r="CW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Y730" i="3"/>
  <c r="BX730" i="3"/>
  <c r="BW730" i="3"/>
  <c r="BV730" i="3"/>
  <c r="BU730" i="3"/>
  <c r="BT730" i="3"/>
  <c r="BS730" i="3"/>
  <c r="BR730" i="3"/>
  <c r="BQ730" i="3"/>
  <c r="BP730" i="3"/>
  <c r="BO730" i="3"/>
  <c r="BN730" i="3"/>
  <c r="DU729" i="3"/>
  <c r="DT729" i="3"/>
  <c r="DS729" i="3"/>
  <c r="DR729" i="3"/>
  <c r="DQ729" i="3"/>
  <c r="DP729" i="3"/>
  <c r="DO729" i="3"/>
  <c r="DN729" i="3"/>
  <c r="DM729" i="3"/>
  <c r="DL729" i="3"/>
  <c r="DK729" i="3"/>
  <c r="DJ729" i="3"/>
  <c r="DI729" i="3"/>
  <c r="DH729" i="3"/>
  <c r="DG729" i="3"/>
  <c r="DF729" i="3"/>
  <c r="DE729" i="3"/>
  <c r="DD729" i="3"/>
  <c r="DC729" i="3"/>
  <c r="DB729" i="3"/>
  <c r="DA729" i="3"/>
  <c r="CZ729" i="3"/>
  <c r="CY729" i="3"/>
  <c r="CX729" i="3"/>
  <c r="CW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Y729" i="3"/>
  <c r="BX729" i="3"/>
  <c r="BW729" i="3"/>
  <c r="BV729" i="3"/>
  <c r="BU729" i="3"/>
  <c r="BT729" i="3"/>
  <c r="BS729" i="3"/>
  <c r="BR729" i="3"/>
  <c r="BQ729" i="3"/>
  <c r="BP729" i="3"/>
  <c r="BO729" i="3"/>
  <c r="BN729" i="3"/>
  <c r="DU728" i="3"/>
  <c r="DT728" i="3"/>
  <c r="DS728" i="3"/>
  <c r="DR728" i="3"/>
  <c r="DQ728" i="3"/>
  <c r="DP728" i="3"/>
  <c r="DO728" i="3"/>
  <c r="DN728" i="3"/>
  <c r="DM728" i="3"/>
  <c r="DL728" i="3"/>
  <c r="DK728" i="3"/>
  <c r="DJ728" i="3"/>
  <c r="DI728" i="3"/>
  <c r="DH728" i="3"/>
  <c r="DG728" i="3"/>
  <c r="DF728" i="3"/>
  <c r="DE728" i="3"/>
  <c r="DD728" i="3"/>
  <c r="DC728" i="3"/>
  <c r="DB728" i="3"/>
  <c r="DA728" i="3"/>
  <c r="CZ728" i="3"/>
  <c r="CY728" i="3"/>
  <c r="CX728" i="3"/>
  <c r="CW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Y728" i="3"/>
  <c r="BX728" i="3"/>
  <c r="BW728" i="3"/>
  <c r="BV728" i="3"/>
  <c r="BU728" i="3"/>
  <c r="BT728" i="3"/>
  <c r="BS728" i="3"/>
  <c r="BR728" i="3"/>
  <c r="BQ728" i="3"/>
  <c r="BP728" i="3"/>
  <c r="BO728" i="3"/>
  <c r="BN728" i="3"/>
  <c r="DU727" i="3"/>
  <c r="DT727" i="3"/>
  <c r="DS727" i="3"/>
  <c r="DR727" i="3"/>
  <c r="DQ727" i="3"/>
  <c r="DP727" i="3"/>
  <c r="DO727" i="3"/>
  <c r="DN727" i="3"/>
  <c r="DM727" i="3"/>
  <c r="DL727" i="3"/>
  <c r="DK727" i="3"/>
  <c r="DJ727" i="3"/>
  <c r="DI727" i="3"/>
  <c r="DH727" i="3"/>
  <c r="DG727" i="3"/>
  <c r="DF727" i="3"/>
  <c r="DE727" i="3"/>
  <c r="DD727" i="3"/>
  <c r="DC727" i="3"/>
  <c r="DB727" i="3"/>
  <c r="DA727" i="3"/>
  <c r="CZ727" i="3"/>
  <c r="CY727" i="3"/>
  <c r="CX727" i="3"/>
  <c r="CW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Y727" i="3"/>
  <c r="BX727" i="3"/>
  <c r="BW727" i="3"/>
  <c r="BV727" i="3"/>
  <c r="BU727" i="3"/>
  <c r="BT727" i="3"/>
  <c r="BS727" i="3"/>
  <c r="BR727" i="3"/>
  <c r="BQ727" i="3"/>
  <c r="BP727" i="3"/>
  <c r="BO727" i="3"/>
  <c r="BN727" i="3"/>
  <c r="DU726" i="3"/>
  <c r="DT726" i="3"/>
  <c r="DS726" i="3"/>
  <c r="DR726" i="3"/>
  <c r="DQ726" i="3"/>
  <c r="DP726" i="3"/>
  <c r="DO726" i="3"/>
  <c r="DN726" i="3"/>
  <c r="DM726" i="3"/>
  <c r="DL726" i="3"/>
  <c r="DK726" i="3"/>
  <c r="DJ726" i="3"/>
  <c r="DI726" i="3"/>
  <c r="DH726" i="3"/>
  <c r="DG726" i="3"/>
  <c r="DF726" i="3"/>
  <c r="DE726" i="3"/>
  <c r="DD726" i="3"/>
  <c r="DC726" i="3"/>
  <c r="DB726" i="3"/>
  <c r="DA726" i="3"/>
  <c r="CZ726" i="3"/>
  <c r="CY726" i="3"/>
  <c r="CX726" i="3"/>
  <c r="CW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Y726" i="3"/>
  <c r="BX726" i="3"/>
  <c r="BW726" i="3"/>
  <c r="BV726" i="3"/>
  <c r="BU726" i="3"/>
  <c r="BT726" i="3"/>
  <c r="BS726" i="3"/>
  <c r="BR726" i="3"/>
  <c r="BQ726" i="3"/>
  <c r="BP726" i="3"/>
  <c r="BO726" i="3"/>
  <c r="BN726" i="3"/>
  <c r="DU725" i="3"/>
  <c r="DT725" i="3"/>
  <c r="DS725" i="3"/>
  <c r="DR725" i="3"/>
  <c r="DQ725" i="3"/>
  <c r="DP725" i="3"/>
  <c r="DO725" i="3"/>
  <c r="DN725" i="3"/>
  <c r="DM725" i="3"/>
  <c r="DL725" i="3"/>
  <c r="DK725" i="3"/>
  <c r="DJ725" i="3"/>
  <c r="DI725" i="3"/>
  <c r="DH725" i="3"/>
  <c r="DG725" i="3"/>
  <c r="DF725" i="3"/>
  <c r="DE725" i="3"/>
  <c r="DD725" i="3"/>
  <c r="DC725" i="3"/>
  <c r="DB725" i="3"/>
  <c r="DA725" i="3"/>
  <c r="CZ725" i="3"/>
  <c r="CY725" i="3"/>
  <c r="CX725" i="3"/>
  <c r="CW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Y725" i="3"/>
  <c r="BX725" i="3"/>
  <c r="BW725" i="3"/>
  <c r="BV725" i="3"/>
  <c r="BU725" i="3"/>
  <c r="BT725" i="3"/>
  <c r="BS725" i="3"/>
  <c r="BR725" i="3"/>
  <c r="BQ725" i="3"/>
  <c r="BP725" i="3"/>
  <c r="BO725" i="3"/>
  <c r="BN725" i="3"/>
  <c r="DU724" i="3"/>
  <c r="DT724" i="3"/>
  <c r="DS724" i="3"/>
  <c r="DR724" i="3"/>
  <c r="DQ724" i="3"/>
  <c r="DP724" i="3"/>
  <c r="DO724" i="3"/>
  <c r="DN724" i="3"/>
  <c r="DM724" i="3"/>
  <c r="DL724" i="3"/>
  <c r="DK724" i="3"/>
  <c r="DJ724" i="3"/>
  <c r="DI724" i="3"/>
  <c r="DH724" i="3"/>
  <c r="DG724" i="3"/>
  <c r="DF724" i="3"/>
  <c r="DE724" i="3"/>
  <c r="DD724" i="3"/>
  <c r="DC724" i="3"/>
  <c r="DB724" i="3"/>
  <c r="DA724" i="3"/>
  <c r="CZ724" i="3"/>
  <c r="CY724" i="3"/>
  <c r="CX724" i="3"/>
  <c r="CW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Y724" i="3"/>
  <c r="BX724" i="3"/>
  <c r="BW724" i="3"/>
  <c r="BV724" i="3"/>
  <c r="BU724" i="3"/>
  <c r="BT724" i="3"/>
  <c r="BS724" i="3"/>
  <c r="BR724" i="3"/>
  <c r="BQ724" i="3"/>
  <c r="BP724" i="3"/>
  <c r="BO724" i="3"/>
  <c r="BN724" i="3"/>
  <c r="DU723" i="3"/>
  <c r="DT723" i="3"/>
  <c r="DS723" i="3"/>
  <c r="DR723" i="3"/>
  <c r="DQ723" i="3"/>
  <c r="DP723" i="3"/>
  <c r="DO723" i="3"/>
  <c r="DN723" i="3"/>
  <c r="DM723" i="3"/>
  <c r="DL723" i="3"/>
  <c r="DK723" i="3"/>
  <c r="DJ723" i="3"/>
  <c r="DI723" i="3"/>
  <c r="DH723" i="3"/>
  <c r="DG723" i="3"/>
  <c r="DF723" i="3"/>
  <c r="DE723" i="3"/>
  <c r="DD723" i="3"/>
  <c r="DC723" i="3"/>
  <c r="DB723" i="3"/>
  <c r="DA723" i="3"/>
  <c r="CZ723" i="3"/>
  <c r="CY723" i="3"/>
  <c r="CX723" i="3"/>
  <c r="CW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Y723" i="3"/>
  <c r="BX723" i="3"/>
  <c r="BW723" i="3"/>
  <c r="BV723" i="3"/>
  <c r="BU723" i="3"/>
  <c r="BT723" i="3"/>
  <c r="BS723" i="3"/>
  <c r="BR723" i="3"/>
  <c r="BQ723" i="3"/>
  <c r="BP723" i="3"/>
  <c r="BO723" i="3"/>
  <c r="BN723" i="3"/>
  <c r="DU722" i="3"/>
  <c r="DT722" i="3"/>
  <c r="DS722" i="3"/>
  <c r="DR722" i="3"/>
  <c r="DQ722" i="3"/>
  <c r="DP722" i="3"/>
  <c r="DO722" i="3"/>
  <c r="DN722" i="3"/>
  <c r="DM722" i="3"/>
  <c r="DL722" i="3"/>
  <c r="DK722" i="3"/>
  <c r="DJ722" i="3"/>
  <c r="DI722" i="3"/>
  <c r="DH722" i="3"/>
  <c r="DG722" i="3"/>
  <c r="DF722" i="3"/>
  <c r="DE722" i="3"/>
  <c r="DD722" i="3"/>
  <c r="DC722" i="3"/>
  <c r="DB722" i="3"/>
  <c r="DA722" i="3"/>
  <c r="CZ722" i="3"/>
  <c r="CY722" i="3"/>
  <c r="CX722" i="3"/>
  <c r="CW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Y722" i="3"/>
  <c r="BX722" i="3"/>
  <c r="BW722" i="3"/>
  <c r="BV722" i="3"/>
  <c r="BU722" i="3"/>
  <c r="BT722" i="3"/>
  <c r="BS722" i="3"/>
  <c r="BR722" i="3"/>
  <c r="BQ722" i="3"/>
  <c r="BP722" i="3"/>
  <c r="BO722" i="3"/>
  <c r="BN722" i="3"/>
  <c r="DU721" i="3"/>
  <c r="DT721" i="3"/>
  <c r="DS721" i="3"/>
  <c r="DR721" i="3"/>
  <c r="DQ721" i="3"/>
  <c r="DP721" i="3"/>
  <c r="DO721" i="3"/>
  <c r="DN721" i="3"/>
  <c r="DM721" i="3"/>
  <c r="DL721" i="3"/>
  <c r="DK721" i="3"/>
  <c r="DJ721" i="3"/>
  <c r="DI721" i="3"/>
  <c r="DH721" i="3"/>
  <c r="DG721" i="3"/>
  <c r="DF721" i="3"/>
  <c r="DE721" i="3"/>
  <c r="DD721" i="3"/>
  <c r="DC721" i="3"/>
  <c r="DB721" i="3"/>
  <c r="DA721" i="3"/>
  <c r="CZ721" i="3"/>
  <c r="CY721" i="3"/>
  <c r="CX721" i="3"/>
  <c r="CW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Y721" i="3"/>
  <c r="BX721" i="3"/>
  <c r="BW721" i="3"/>
  <c r="BV721" i="3"/>
  <c r="BU721" i="3"/>
  <c r="BT721" i="3"/>
  <c r="BS721" i="3"/>
  <c r="BR721" i="3"/>
  <c r="BQ721" i="3"/>
  <c r="BP721" i="3"/>
  <c r="BO721" i="3"/>
  <c r="BN721" i="3"/>
  <c r="DU720" i="3"/>
  <c r="DT720" i="3"/>
  <c r="DS720" i="3"/>
  <c r="DR720" i="3"/>
  <c r="DQ720" i="3"/>
  <c r="DP720" i="3"/>
  <c r="DO720" i="3"/>
  <c r="DN720" i="3"/>
  <c r="DM720" i="3"/>
  <c r="DL720" i="3"/>
  <c r="DK720" i="3"/>
  <c r="DJ720" i="3"/>
  <c r="DI720" i="3"/>
  <c r="DH720" i="3"/>
  <c r="DG720" i="3"/>
  <c r="DF720" i="3"/>
  <c r="DE720" i="3"/>
  <c r="DD720" i="3"/>
  <c r="DC720" i="3"/>
  <c r="DB720" i="3"/>
  <c r="DA720" i="3"/>
  <c r="CZ720" i="3"/>
  <c r="CY720" i="3"/>
  <c r="CX720" i="3"/>
  <c r="CW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Y720" i="3"/>
  <c r="BX720" i="3"/>
  <c r="BW720" i="3"/>
  <c r="BV720" i="3"/>
  <c r="BU720" i="3"/>
  <c r="BT720" i="3"/>
  <c r="BS720" i="3"/>
  <c r="BR720" i="3"/>
  <c r="BQ720" i="3"/>
  <c r="BP720" i="3"/>
  <c r="BO720" i="3"/>
  <c r="BN720" i="3"/>
  <c r="DU719" i="3"/>
  <c r="DT719" i="3"/>
  <c r="DS719" i="3"/>
  <c r="DR719" i="3"/>
  <c r="DQ719" i="3"/>
  <c r="DP719" i="3"/>
  <c r="DO719" i="3"/>
  <c r="DN719" i="3"/>
  <c r="DM719" i="3"/>
  <c r="DL719" i="3"/>
  <c r="DK719" i="3"/>
  <c r="DJ719" i="3"/>
  <c r="DI719" i="3"/>
  <c r="DH719" i="3"/>
  <c r="DG719" i="3"/>
  <c r="DF719" i="3"/>
  <c r="DE719" i="3"/>
  <c r="DD719" i="3"/>
  <c r="DC719" i="3"/>
  <c r="DB719" i="3"/>
  <c r="DA719" i="3"/>
  <c r="CZ719" i="3"/>
  <c r="CY719" i="3"/>
  <c r="CX719" i="3"/>
  <c r="CW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Y719" i="3"/>
  <c r="BX719" i="3"/>
  <c r="BW719" i="3"/>
  <c r="BV719" i="3"/>
  <c r="BU719" i="3"/>
  <c r="BT719" i="3"/>
  <c r="BS719" i="3"/>
  <c r="BR719" i="3"/>
  <c r="BQ719" i="3"/>
  <c r="BP719" i="3"/>
  <c r="BO719" i="3"/>
  <c r="BN719" i="3"/>
  <c r="DU718" i="3"/>
  <c r="DT718" i="3"/>
  <c r="DS718" i="3"/>
  <c r="DR718" i="3"/>
  <c r="DQ718" i="3"/>
  <c r="DP718" i="3"/>
  <c r="DO718" i="3"/>
  <c r="DN718" i="3"/>
  <c r="DM718" i="3"/>
  <c r="DL718" i="3"/>
  <c r="DK718" i="3"/>
  <c r="DJ718" i="3"/>
  <c r="DI718" i="3"/>
  <c r="DH718" i="3"/>
  <c r="DG718" i="3"/>
  <c r="DF718" i="3"/>
  <c r="DE718" i="3"/>
  <c r="DD718" i="3"/>
  <c r="DC718" i="3"/>
  <c r="DB718" i="3"/>
  <c r="DA718" i="3"/>
  <c r="CZ718" i="3"/>
  <c r="CY718" i="3"/>
  <c r="CX718" i="3"/>
  <c r="CW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Y718" i="3"/>
  <c r="BX718" i="3"/>
  <c r="BW718" i="3"/>
  <c r="BV718" i="3"/>
  <c r="BU718" i="3"/>
  <c r="BT718" i="3"/>
  <c r="BS718" i="3"/>
  <c r="BR718" i="3"/>
  <c r="BQ718" i="3"/>
  <c r="BP718" i="3"/>
  <c r="BO718" i="3"/>
  <c r="BN718" i="3"/>
  <c r="DU717" i="3"/>
  <c r="DT717" i="3"/>
  <c r="DS717" i="3"/>
  <c r="DR717" i="3"/>
  <c r="DQ717" i="3"/>
  <c r="DP717" i="3"/>
  <c r="DO717" i="3"/>
  <c r="DN717" i="3"/>
  <c r="DM717" i="3"/>
  <c r="DL717" i="3"/>
  <c r="DK717" i="3"/>
  <c r="DJ717" i="3"/>
  <c r="DI717" i="3"/>
  <c r="DH717" i="3"/>
  <c r="DG717" i="3"/>
  <c r="DF717" i="3"/>
  <c r="DE717" i="3"/>
  <c r="DD717" i="3"/>
  <c r="DC717" i="3"/>
  <c r="DB717" i="3"/>
  <c r="DA717" i="3"/>
  <c r="CZ717" i="3"/>
  <c r="CY717" i="3"/>
  <c r="CX717" i="3"/>
  <c r="CW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Y717" i="3"/>
  <c r="BX717" i="3"/>
  <c r="BW717" i="3"/>
  <c r="BV717" i="3"/>
  <c r="BU717" i="3"/>
  <c r="BT717" i="3"/>
  <c r="BS717" i="3"/>
  <c r="BR717" i="3"/>
  <c r="BQ717" i="3"/>
  <c r="BP717" i="3"/>
  <c r="BO717" i="3"/>
  <c r="BN717" i="3"/>
  <c r="DU716" i="3"/>
  <c r="DT716" i="3"/>
  <c r="DS716" i="3"/>
  <c r="DR716" i="3"/>
  <c r="DQ716" i="3"/>
  <c r="DP716" i="3"/>
  <c r="DO716" i="3"/>
  <c r="DN716" i="3"/>
  <c r="DM716" i="3"/>
  <c r="DL716" i="3"/>
  <c r="DK716" i="3"/>
  <c r="DJ716" i="3"/>
  <c r="DI716" i="3"/>
  <c r="DH716" i="3"/>
  <c r="DG716" i="3"/>
  <c r="DF716" i="3"/>
  <c r="DE716" i="3"/>
  <c r="DD716" i="3"/>
  <c r="DC716" i="3"/>
  <c r="DB716" i="3"/>
  <c r="DA716" i="3"/>
  <c r="CZ716" i="3"/>
  <c r="CY716" i="3"/>
  <c r="CX716" i="3"/>
  <c r="CW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Y716" i="3"/>
  <c r="BX716" i="3"/>
  <c r="BW716" i="3"/>
  <c r="BV716" i="3"/>
  <c r="BU716" i="3"/>
  <c r="BT716" i="3"/>
  <c r="BS716" i="3"/>
  <c r="BR716" i="3"/>
  <c r="BQ716" i="3"/>
  <c r="BP716" i="3"/>
  <c r="BO716" i="3"/>
  <c r="BN716" i="3"/>
  <c r="DU715" i="3"/>
  <c r="DT715" i="3"/>
  <c r="DS715" i="3"/>
  <c r="DR715" i="3"/>
  <c r="DQ715" i="3"/>
  <c r="DP715" i="3"/>
  <c r="DO715" i="3"/>
  <c r="DN715" i="3"/>
  <c r="DM715" i="3"/>
  <c r="DL715" i="3"/>
  <c r="DK715" i="3"/>
  <c r="DJ715" i="3"/>
  <c r="DI715" i="3"/>
  <c r="DH715" i="3"/>
  <c r="DG715" i="3"/>
  <c r="DF715" i="3"/>
  <c r="DE715" i="3"/>
  <c r="DD715" i="3"/>
  <c r="DC715" i="3"/>
  <c r="DB715" i="3"/>
  <c r="DA715" i="3"/>
  <c r="CZ715" i="3"/>
  <c r="CY715" i="3"/>
  <c r="CX715" i="3"/>
  <c r="CW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Y715" i="3"/>
  <c r="BX715" i="3"/>
  <c r="BW715" i="3"/>
  <c r="BV715" i="3"/>
  <c r="BU715" i="3"/>
  <c r="BT715" i="3"/>
  <c r="BS715" i="3"/>
  <c r="BR715" i="3"/>
  <c r="BQ715" i="3"/>
  <c r="BP715" i="3"/>
  <c r="BO715" i="3"/>
  <c r="BN715" i="3"/>
  <c r="DU714" i="3"/>
  <c r="DT714" i="3"/>
  <c r="DS714" i="3"/>
  <c r="DR714" i="3"/>
  <c r="DQ714" i="3"/>
  <c r="DP714" i="3"/>
  <c r="DO714" i="3"/>
  <c r="DN714" i="3"/>
  <c r="DM714" i="3"/>
  <c r="DL714" i="3"/>
  <c r="DK714" i="3"/>
  <c r="DJ714" i="3"/>
  <c r="DI714" i="3"/>
  <c r="DH714" i="3"/>
  <c r="DG714" i="3"/>
  <c r="DF714" i="3"/>
  <c r="DE714" i="3"/>
  <c r="DD714" i="3"/>
  <c r="DC714" i="3"/>
  <c r="DB714" i="3"/>
  <c r="DA714" i="3"/>
  <c r="CZ714" i="3"/>
  <c r="CY714" i="3"/>
  <c r="CX714" i="3"/>
  <c r="CW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Y714" i="3"/>
  <c r="BX714" i="3"/>
  <c r="BW714" i="3"/>
  <c r="BV714" i="3"/>
  <c r="BU714" i="3"/>
  <c r="BT714" i="3"/>
  <c r="BS714" i="3"/>
  <c r="BR714" i="3"/>
  <c r="BQ714" i="3"/>
  <c r="BP714" i="3"/>
  <c r="BO714" i="3"/>
  <c r="BN714" i="3"/>
  <c r="DU713" i="3"/>
  <c r="DT713" i="3"/>
  <c r="DS713" i="3"/>
  <c r="DR713" i="3"/>
  <c r="DQ713" i="3"/>
  <c r="DP713" i="3"/>
  <c r="DO713" i="3"/>
  <c r="DN713" i="3"/>
  <c r="DM713" i="3"/>
  <c r="DL713" i="3"/>
  <c r="DK713" i="3"/>
  <c r="DJ713" i="3"/>
  <c r="DI713" i="3"/>
  <c r="DH713" i="3"/>
  <c r="DG713" i="3"/>
  <c r="DF713" i="3"/>
  <c r="DE713" i="3"/>
  <c r="DD713" i="3"/>
  <c r="DC713" i="3"/>
  <c r="DB713" i="3"/>
  <c r="DA713" i="3"/>
  <c r="CZ713" i="3"/>
  <c r="CY713" i="3"/>
  <c r="CX713" i="3"/>
  <c r="CW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Y713" i="3"/>
  <c r="BX713" i="3"/>
  <c r="BW713" i="3"/>
  <c r="BV713" i="3"/>
  <c r="BU713" i="3"/>
  <c r="BT713" i="3"/>
  <c r="BS713" i="3"/>
  <c r="BR713" i="3"/>
  <c r="BQ713" i="3"/>
  <c r="BP713" i="3"/>
  <c r="BO713" i="3"/>
  <c r="BN713" i="3"/>
  <c r="DU712" i="3"/>
  <c r="DT712" i="3"/>
  <c r="DS712" i="3"/>
  <c r="DR712" i="3"/>
  <c r="DQ712" i="3"/>
  <c r="DP712" i="3"/>
  <c r="DO712" i="3"/>
  <c r="DN712" i="3"/>
  <c r="DM712" i="3"/>
  <c r="DL712" i="3"/>
  <c r="DK712" i="3"/>
  <c r="DJ712" i="3"/>
  <c r="DI712" i="3"/>
  <c r="DH712" i="3"/>
  <c r="DG712" i="3"/>
  <c r="DF712" i="3"/>
  <c r="DE712" i="3"/>
  <c r="DD712" i="3"/>
  <c r="DC712" i="3"/>
  <c r="DB712" i="3"/>
  <c r="DA712" i="3"/>
  <c r="CZ712" i="3"/>
  <c r="CY712" i="3"/>
  <c r="CX712" i="3"/>
  <c r="CW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Y712" i="3"/>
  <c r="BX712" i="3"/>
  <c r="BW712" i="3"/>
  <c r="BV712" i="3"/>
  <c r="BU712" i="3"/>
  <c r="BT712" i="3"/>
  <c r="BS712" i="3"/>
  <c r="BR712" i="3"/>
  <c r="BQ712" i="3"/>
  <c r="BP712" i="3"/>
  <c r="BO712" i="3"/>
  <c r="BN712" i="3"/>
  <c r="DU711" i="3"/>
  <c r="DT711" i="3"/>
  <c r="DS711" i="3"/>
  <c r="DR711" i="3"/>
  <c r="DQ711" i="3"/>
  <c r="DP711" i="3"/>
  <c r="DO711" i="3"/>
  <c r="DN711" i="3"/>
  <c r="DM711" i="3"/>
  <c r="DL711" i="3"/>
  <c r="DK711" i="3"/>
  <c r="DJ711" i="3"/>
  <c r="DI711" i="3"/>
  <c r="DH711" i="3"/>
  <c r="DG711" i="3"/>
  <c r="DF711" i="3"/>
  <c r="DE711" i="3"/>
  <c r="DD711" i="3"/>
  <c r="DC711" i="3"/>
  <c r="DB711" i="3"/>
  <c r="DA711" i="3"/>
  <c r="CZ711" i="3"/>
  <c r="CY711" i="3"/>
  <c r="CX711" i="3"/>
  <c r="CW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Y711" i="3"/>
  <c r="BX711" i="3"/>
  <c r="BW711" i="3"/>
  <c r="BV711" i="3"/>
  <c r="BU711" i="3"/>
  <c r="BT711" i="3"/>
  <c r="BS711" i="3"/>
  <c r="BR711" i="3"/>
  <c r="BQ711" i="3"/>
  <c r="BP711" i="3"/>
  <c r="BO711" i="3"/>
  <c r="BN711" i="3"/>
  <c r="DU710" i="3"/>
  <c r="DT710" i="3"/>
  <c r="DS710" i="3"/>
  <c r="DR710" i="3"/>
  <c r="DQ710" i="3"/>
  <c r="DP710" i="3"/>
  <c r="DO710" i="3"/>
  <c r="DN710" i="3"/>
  <c r="DM710" i="3"/>
  <c r="DL710" i="3"/>
  <c r="DK710" i="3"/>
  <c r="DJ710" i="3"/>
  <c r="DI710" i="3"/>
  <c r="DH710" i="3"/>
  <c r="DG710" i="3"/>
  <c r="DF710" i="3"/>
  <c r="DE710" i="3"/>
  <c r="DD710" i="3"/>
  <c r="DC710" i="3"/>
  <c r="DB710" i="3"/>
  <c r="DA710" i="3"/>
  <c r="CZ710" i="3"/>
  <c r="CY710" i="3"/>
  <c r="CX710" i="3"/>
  <c r="CW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Y710" i="3"/>
  <c r="BX710" i="3"/>
  <c r="BW710" i="3"/>
  <c r="BV710" i="3"/>
  <c r="BU710" i="3"/>
  <c r="BT710" i="3"/>
  <c r="BS710" i="3"/>
  <c r="BR710" i="3"/>
  <c r="BQ710" i="3"/>
  <c r="BP710" i="3"/>
  <c r="BO710" i="3"/>
  <c r="BN710" i="3"/>
  <c r="DU709" i="3"/>
  <c r="DT709" i="3"/>
  <c r="DS709" i="3"/>
  <c r="DR709" i="3"/>
  <c r="DQ709" i="3"/>
  <c r="DP709" i="3"/>
  <c r="DO709" i="3"/>
  <c r="DN709" i="3"/>
  <c r="DM709" i="3"/>
  <c r="DL709" i="3"/>
  <c r="DK709" i="3"/>
  <c r="DJ709" i="3"/>
  <c r="DI709" i="3"/>
  <c r="DH709" i="3"/>
  <c r="DG709" i="3"/>
  <c r="DF709" i="3"/>
  <c r="DE709" i="3"/>
  <c r="DD709" i="3"/>
  <c r="DC709" i="3"/>
  <c r="DB709" i="3"/>
  <c r="DA709" i="3"/>
  <c r="CZ709" i="3"/>
  <c r="CY709" i="3"/>
  <c r="CX709" i="3"/>
  <c r="CW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Y709" i="3"/>
  <c r="BX709" i="3"/>
  <c r="BW709" i="3"/>
  <c r="BV709" i="3"/>
  <c r="BU709" i="3"/>
  <c r="BT709" i="3"/>
  <c r="BS709" i="3"/>
  <c r="BR709" i="3"/>
  <c r="BQ709" i="3"/>
  <c r="BP709" i="3"/>
  <c r="BO709" i="3"/>
  <c r="BN709" i="3"/>
  <c r="DU708" i="3"/>
  <c r="DT708" i="3"/>
  <c r="DS708" i="3"/>
  <c r="DR708" i="3"/>
  <c r="DQ708" i="3"/>
  <c r="DP708" i="3"/>
  <c r="DO708" i="3"/>
  <c r="DN708" i="3"/>
  <c r="DM708" i="3"/>
  <c r="DL708" i="3"/>
  <c r="DK708" i="3"/>
  <c r="DJ708" i="3"/>
  <c r="DI708" i="3"/>
  <c r="DH708" i="3"/>
  <c r="DG708" i="3"/>
  <c r="DF708" i="3"/>
  <c r="DE708" i="3"/>
  <c r="DD708" i="3"/>
  <c r="DC708" i="3"/>
  <c r="DB708" i="3"/>
  <c r="DA708" i="3"/>
  <c r="CZ708" i="3"/>
  <c r="CY708" i="3"/>
  <c r="CX708" i="3"/>
  <c r="CW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Y708" i="3"/>
  <c r="BX708" i="3"/>
  <c r="BW708" i="3"/>
  <c r="BV708" i="3"/>
  <c r="BU708" i="3"/>
  <c r="BT708" i="3"/>
  <c r="BS708" i="3"/>
  <c r="BR708" i="3"/>
  <c r="BQ708" i="3"/>
  <c r="BP708" i="3"/>
  <c r="BO708" i="3"/>
  <c r="BN708" i="3"/>
  <c r="DU707" i="3"/>
  <c r="DT707" i="3"/>
  <c r="DS707" i="3"/>
  <c r="DR707" i="3"/>
  <c r="DQ707" i="3"/>
  <c r="DP707" i="3"/>
  <c r="DO707" i="3"/>
  <c r="DN707" i="3"/>
  <c r="DM707" i="3"/>
  <c r="DL707" i="3"/>
  <c r="DK707" i="3"/>
  <c r="DJ707" i="3"/>
  <c r="DI707" i="3"/>
  <c r="DH707" i="3"/>
  <c r="DG707" i="3"/>
  <c r="DF707" i="3"/>
  <c r="DE707" i="3"/>
  <c r="DD707" i="3"/>
  <c r="DC707" i="3"/>
  <c r="DB707" i="3"/>
  <c r="DA707" i="3"/>
  <c r="CZ707" i="3"/>
  <c r="CY707" i="3"/>
  <c r="CX707" i="3"/>
  <c r="CW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Y707" i="3"/>
  <c r="BX707" i="3"/>
  <c r="BW707" i="3"/>
  <c r="BV707" i="3"/>
  <c r="BU707" i="3"/>
  <c r="BT707" i="3"/>
  <c r="BS707" i="3"/>
  <c r="BR707" i="3"/>
  <c r="BQ707" i="3"/>
  <c r="BP707" i="3"/>
  <c r="BO707" i="3"/>
  <c r="BN707" i="3"/>
  <c r="DU706" i="3"/>
  <c r="DT706" i="3"/>
  <c r="DS706" i="3"/>
  <c r="DR706" i="3"/>
  <c r="DQ706" i="3"/>
  <c r="DP706" i="3"/>
  <c r="DO706" i="3"/>
  <c r="DN706" i="3"/>
  <c r="DM706" i="3"/>
  <c r="DL706" i="3"/>
  <c r="DK706" i="3"/>
  <c r="DJ706" i="3"/>
  <c r="DI706" i="3"/>
  <c r="DH706" i="3"/>
  <c r="DG706" i="3"/>
  <c r="DF706" i="3"/>
  <c r="DE706" i="3"/>
  <c r="DD706" i="3"/>
  <c r="DC706" i="3"/>
  <c r="DB706" i="3"/>
  <c r="DA706" i="3"/>
  <c r="CZ706" i="3"/>
  <c r="CY706" i="3"/>
  <c r="CX706" i="3"/>
  <c r="CW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Y706" i="3"/>
  <c r="BX706" i="3"/>
  <c r="BW706" i="3"/>
  <c r="BV706" i="3"/>
  <c r="BU706" i="3"/>
  <c r="BT706" i="3"/>
  <c r="BS706" i="3"/>
  <c r="BR706" i="3"/>
  <c r="BQ706" i="3"/>
  <c r="BP706" i="3"/>
  <c r="BO706" i="3"/>
  <c r="BN706" i="3"/>
  <c r="DU705" i="3"/>
  <c r="DT705" i="3"/>
  <c r="DS705" i="3"/>
  <c r="DR705" i="3"/>
  <c r="DQ705" i="3"/>
  <c r="DP705" i="3"/>
  <c r="DO705" i="3"/>
  <c r="DN705" i="3"/>
  <c r="DM705" i="3"/>
  <c r="DL705" i="3"/>
  <c r="DK705" i="3"/>
  <c r="DJ705" i="3"/>
  <c r="DI705" i="3"/>
  <c r="DH705" i="3"/>
  <c r="DG705" i="3"/>
  <c r="DF705" i="3"/>
  <c r="DE705" i="3"/>
  <c r="DD705" i="3"/>
  <c r="DC705" i="3"/>
  <c r="DB705" i="3"/>
  <c r="DA705" i="3"/>
  <c r="CZ705" i="3"/>
  <c r="CY705" i="3"/>
  <c r="CX705" i="3"/>
  <c r="CW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Y705" i="3"/>
  <c r="BX705" i="3"/>
  <c r="BW705" i="3"/>
  <c r="BV705" i="3"/>
  <c r="BU705" i="3"/>
  <c r="BT705" i="3"/>
  <c r="BS705" i="3"/>
  <c r="BR705" i="3"/>
  <c r="BQ705" i="3"/>
  <c r="BP705" i="3"/>
  <c r="BO705" i="3"/>
  <c r="BN705" i="3"/>
  <c r="DU704" i="3"/>
  <c r="DT704" i="3"/>
  <c r="DS704" i="3"/>
  <c r="DR704" i="3"/>
  <c r="DQ704" i="3"/>
  <c r="DP704" i="3"/>
  <c r="DO704" i="3"/>
  <c r="DN704" i="3"/>
  <c r="DM704" i="3"/>
  <c r="DL704" i="3"/>
  <c r="DK704" i="3"/>
  <c r="DJ704" i="3"/>
  <c r="DI704" i="3"/>
  <c r="DH704" i="3"/>
  <c r="DG704" i="3"/>
  <c r="DF704" i="3"/>
  <c r="DE704" i="3"/>
  <c r="DD704" i="3"/>
  <c r="DC704" i="3"/>
  <c r="DB704" i="3"/>
  <c r="DA704" i="3"/>
  <c r="CZ704" i="3"/>
  <c r="CY704" i="3"/>
  <c r="CX704" i="3"/>
  <c r="CW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Y704" i="3"/>
  <c r="BX704" i="3"/>
  <c r="BW704" i="3"/>
  <c r="BV704" i="3"/>
  <c r="BU704" i="3"/>
  <c r="BT704" i="3"/>
  <c r="BS704" i="3"/>
  <c r="BR704" i="3"/>
  <c r="BQ704" i="3"/>
  <c r="BP704" i="3"/>
  <c r="BO704" i="3"/>
  <c r="BN704" i="3"/>
  <c r="DU703" i="3"/>
  <c r="DT703" i="3"/>
  <c r="DS703" i="3"/>
  <c r="DR703" i="3"/>
  <c r="DQ703" i="3"/>
  <c r="DP703" i="3"/>
  <c r="DO703" i="3"/>
  <c r="DN703" i="3"/>
  <c r="DM703" i="3"/>
  <c r="DL703" i="3"/>
  <c r="DK703" i="3"/>
  <c r="DJ703" i="3"/>
  <c r="DI703" i="3"/>
  <c r="DH703" i="3"/>
  <c r="DG703" i="3"/>
  <c r="DF703" i="3"/>
  <c r="DE703" i="3"/>
  <c r="DD703" i="3"/>
  <c r="DC703" i="3"/>
  <c r="DB703" i="3"/>
  <c r="DA703" i="3"/>
  <c r="CZ703" i="3"/>
  <c r="CY703" i="3"/>
  <c r="CX703" i="3"/>
  <c r="CW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Y703" i="3"/>
  <c r="BX703" i="3"/>
  <c r="BW703" i="3"/>
  <c r="BV703" i="3"/>
  <c r="BU703" i="3"/>
  <c r="BT703" i="3"/>
  <c r="BS703" i="3"/>
  <c r="BR703" i="3"/>
  <c r="BQ703" i="3"/>
  <c r="BP703" i="3"/>
  <c r="BO703" i="3"/>
  <c r="BN703" i="3"/>
  <c r="DU702" i="3"/>
  <c r="DT702" i="3"/>
  <c r="DS702" i="3"/>
  <c r="DR702" i="3"/>
  <c r="DQ702" i="3"/>
  <c r="DP702" i="3"/>
  <c r="DO702" i="3"/>
  <c r="DN702" i="3"/>
  <c r="DM702" i="3"/>
  <c r="DL702" i="3"/>
  <c r="DK702" i="3"/>
  <c r="DJ702" i="3"/>
  <c r="DI702" i="3"/>
  <c r="DH702" i="3"/>
  <c r="DG702" i="3"/>
  <c r="DF702" i="3"/>
  <c r="DE702" i="3"/>
  <c r="DD702" i="3"/>
  <c r="DC702" i="3"/>
  <c r="DB702" i="3"/>
  <c r="DA702" i="3"/>
  <c r="CZ702" i="3"/>
  <c r="CY702" i="3"/>
  <c r="CX702" i="3"/>
  <c r="CW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Y702" i="3"/>
  <c r="BX702" i="3"/>
  <c r="BW702" i="3"/>
  <c r="BV702" i="3"/>
  <c r="BU702" i="3"/>
  <c r="BT702" i="3"/>
  <c r="BS702" i="3"/>
  <c r="BR702" i="3"/>
  <c r="BQ702" i="3"/>
  <c r="BP702" i="3"/>
  <c r="BO702" i="3"/>
  <c r="BN702" i="3"/>
  <c r="DU701" i="3"/>
  <c r="DT701" i="3"/>
  <c r="DS701" i="3"/>
  <c r="DR701" i="3"/>
  <c r="DQ701" i="3"/>
  <c r="DP701" i="3"/>
  <c r="DO701" i="3"/>
  <c r="DN701" i="3"/>
  <c r="DM701" i="3"/>
  <c r="DL701" i="3"/>
  <c r="DK701" i="3"/>
  <c r="DJ701" i="3"/>
  <c r="DI701" i="3"/>
  <c r="DH701" i="3"/>
  <c r="DG701" i="3"/>
  <c r="DF701" i="3"/>
  <c r="DE701" i="3"/>
  <c r="DD701" i="3"/>
  <c r="DC701" i="3"/>
  <c r="DB701" i="3"/>
  <c r="DA701" i="3"/>
  <c r="CZ701" i="3"/>
  <c r="CY701" i="3"/>
  <c r="CX701" i="3"/>
  <c r="CW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Y701" i="3"/>
  <c r="BX701" i="3"/>
  <c r="BW701" i="3"/>
  <c r="BV701" i="3"/>
  <c r="BU701" i="3"/>
  <c r="BT701" i="3"/>
  <c r="BS701" i="3"/>
  <c r="BR701" i="3"/>
  <c r="BQ701" i="3"/>
  <c r="BP701" i="3"/>
  <c r="BO701" i="3"/>
  <c r="BN701" i="3"/>
  <c r="DU700" i="3"/>
  <c r="DT700" i="3"/>
  <c r="DS700" i="3"/>
  <c r="DR700" i="3"/>
  <c r="DQ700" i="3"/>
  <c r="DP700" i="3"/>
  <c r="DO700" i="3"/>
  <c r="DN700" i="3"/>
  <c r="DM700" i="3"/>
  <c r="DL700" i="3"/>
  <c r="DK700" i="3"/>
  <c r="DJ700" i="3"/>
  <c r="DI700" i="3"/>
  <c r="DH700" i="3"/>
  <c r="DG700" i="3"/>
  <c r="DF700" i="3"/>
  <c r="DE700" i="3"/>
  <c r="DD700" i="3"/>
  <c r="DC700" i="3"/>
  <c r="DB700" i="3"/>
  <c r="DA700" i="3"/>
  <c r="CZ700" i="3"/>
  <c r="CY700" i="3"/>
  <c r="CX700" i="3"/>
  <c r="CW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Y700" i="3"/>
  <c r="BX700" i="3"/>
  <c r="BW700" i="3"/>
  <c r="BV700" i="3"/>
  <c r="BU700" i="3"/>
  <c r="BT700" i="3"/>
  <c r="BS700" i="3"/>
  <c r="BR700" i="3"/>
  <c r="BQ700" i="3"/>
  <c r="BP700" i="3"/>
  <c r="BO700" i="3"/>
  <c r="BN700" i="3"/>
  <c r="DU699" i="3"/>
  <c r="DT699" i="3"/>
  <c r="DS699" i="3"/>
  <c r="DR699" i="3"/>
  <c r="DQ699" i="3"/>
  <c r="DP699" i="3"/>
  <c r="DO699" i="3"/>
  <c r="DN699" i="3"/>
  <c r="DM699" i="3"/>
  <c r="DL699" i="3"/>
  <c r="DK699" i="3"/>
  <c r="DJ699" i="3"/>
  <c r="DI699" i="3"/>
  <c r="DH699" i="3"/>
  <c r="DG699" i="3"/>
  <c r="DF699" i="3"/>
  <c r="DE699" i="3"/>
  <c r="DD699" i="3"/>
  <c r="DC699" i="3"/>
  <c r="DB699" i="3"/>
  <c r="DA699" i="3"/>
  <c r="CZ699" i="3"/>
  <c r="CY699" i="3"/>
  <c r="CX699" i="3"/>
  <c r="CW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Y699" i="3"/>
  <c r="BX699" i="3"/>
  <c r="BW699" i="3"/>
  <c r="BV699" i="3"/>
  <c r="BU699" i="3"/>
  <c r="BT699" i="3"/>
  <c r="BS699" i="3"/>
  <c r="BR699" i="3"/>
  <c r="BQ699" i="3"/>
  <c r="BP699" i="3"/>
  <c r="BO699" i="3"/>
  <c r="BN699" i="3"/>
  <c r="DU698" i="3"/>
  <c r="DT698" i="3"/>
  <c r="DS698" i="3"/>
  <c r="DR698" i="3"/>
  <c r="DQ698" i="3"/>
  <c r="DP698" i="3"/>
  <c r="DO698" i="3"/>
  <c r="DN698" i="3"/>
  <c r="DM698" i="3"/>
  <c r="DL698" i="3"/>
  <c r="DK698" i="3"/>
  <c r="DJ698" i="3"/>
  <c r="DI698" i="3"/>
  <c r="DH698" i="3"/>
  <c r="DG698" i="3"/>
  <c r="DF698" i="3"/>
  <c r="DE698" i="3"/>
  <c r="DD698" i="3"/>
  <c r="DC698" i="3"/>
  <c r="DB698" i="3"/>
  <c r="DA698" i="3"/>
  <c r="CZ698" i="3"/>
  <c r="CY698" i="3"/>
  <c r="CX698" i="3"/>
  <c r="CW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Y698" i="3"/>
  <c r="BX698" i="3"/>
  <c r="BW698" i="3"/>
  <c r="BV698" i="3"/>
  <c r="BU698" i="3"/>
  <c r="BT698" i="3"/>
  <c r="BS698" i="3"/>
  <c r="BR698" i="3"/>
  <c r="BQ698" i="3"/>
  <c r="BP698" i="3"/>
  <c r="BO698" i="3"/>
  <c r="BN698" i="3"/>
  <c r="DU697" i="3"/>
  <c r="DT697" i="3"/>
  <c r="DS697" i="3"/>
  <c r="DR697" i="3"/>
  <c r="DQ697" i="3"/>
  <c r="DP697" i="3"/>
  <c r="DO697" i="3"/>
  <c r="DN697" i="3"/>
  <c r="DM697" i="3"/>
  <c r="DL697" i="3"/>
  <c r="DK697" i="3"/>
  <c r="DJ697" i="3"/>
  <c r="DI697" i="3"/>
  <c r="DH697" i="3"/>
  <c r="DG697" i="3"/>
  <c r="DF697" i="3"/>
  <c r="DE697" i="3"/>
  <c r="DD697" i="3"/>
  <c r="DC697" i="3"/>
  <c r="DB697" i="3"/>
  <c r="DA697" i="3"/>
  <c r="CZ697" i="3"/>
  <c r="CY697" i="3"/>
  <c r="CX697" i="3"/>
  <c r="CW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Y697" i="3"/>
  <c r="BX697" i="3"/>
  <c r="BW697" i="3"/>
  <c r="BV697" i="3"/>
  <c r="BU697" i="3"/>
  <c r="BT697" i="3"/>
  <c r="BS697" i="3"/>
  <c r="BR697" i="3"/>
  <c r="BQ697" i="3"/>
  <c r="BP697" i="3"/>
  <c r="BO697" i="3"/>
  <c r="BN697" i="3"/>
  <c r="DU696" i="3"/>
  <c r="DT696" i="3"/>
  <c r="DS696" i="3"/>
  <c r="DR696" i="3"/>
  <c r="DQ696" i="3"/>
  <c r="DP696" i="3"/>
  <c r="DO696" i="3"/>
  <c r="DN696" i="3"/>
  <c r="DM696" i="3"/>
  <c r="DL696" i="3"/>
  <c r="DK696" i="3"/>
  <c r="DJ696" i="3"/>
  <c r="DI696" i="3"/>
  <c r="DH696" i="3"/>
  <c r="DG696" i="3"/>
  <c r="DF696" i="3"/>
  <c r="DE696" i="3"/>
  <c r="DD696" i="3"/>
  <c r="DC696" i="3"/>
  <c r="DB696" i="3"/>
  <c r="DA696" i="3"/>
  <c r="CZ696" i="3"/>
  <c r="CY696" i="3"/>
  <c r="CX696" i="3"/>
  <c r="CW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Y696" i="3"/>
  <c r="BX696" i="3"/>
  <c r="BW696" i="3"/>
  <c r="BV696" i="3"/>
  <c r="BU696" i="3"/>
  <c r="BT696" i="3"/>
  <c r="BS696" i="3"/>
  <c r="BR696" i="3"/>
  <c r="BQ696" i="3"/>
  <c r="BP696" i="3"/>
  <c r="BO696" i="3"/>
  <c r="BN696" i="3"/>
  <c r="DU695" i="3"/>
  <c r="DT695" i="3"/>
  <c r="DS695" i="3"/>
  <c r="DR695" i="3"/>
  <c r="DQ695" i="3"/>
  <c r="DP695" i="3"/>
  <c r="DO695" i="3"/>
  <c r="DN695" i="3"/>
  <c r="DM695" i="3"/>
  <c r="DL695" i="3"/>
  <c r="DK695" i="3"/>
  <c r="DJ695" i="3"/>
  <c r="DI695" i="3"/>
  <c r="DH695" i="3"/>
  <c r="DG695" i="3"/>
  <c r="DF695" i="3"/>
  <c r="DE695" i="3"/>
  <c r="DD695" i="3"/>
  <c r="DC695" i="3"/>
  <c r="DB695" i="3"/>
  <c r="DA695" i="3"/>
  <c r="CZ695" i="3"/>
  <c r="CY695" i="3"/>
  <c r="CX695" i="3"/>
  <c r="CW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Y695" i="3"/>
  <c r="BX695" i="3"/>
  <c r="BW695" i="3"/>
  <c r="BV695" i="3"/>
  <c r="BU695" i="3"/>
  <c r="BT695" i="3"/>
  <c r="BS695" i="3"/>
  <c r="BR695" i="3"/>
  <c r="BQ695" i="3"/>
  <c r="BP695" i="3"/>
  <c r="BO695" i="3"/>
  <c r="BN695" i="3"/>
  <c r="DU694" i="3"/>
  <c r="DT694" i="3"/>
  <c r="DS694" i="3"/>
  <c r="DR694" i="3"/>
  <c r="DQ694" i="3"/>
  <c r="DP694" i="3"/>
  <c r="DO694" i="3"/>
  <c r="DN694" i="3"/>
  <c r="DM694" i="3"/>
  <c r="DL694" i="3"/>
  <c r="DK694" i="3"/>
  <c r="DJ694" i="3"/>
  <c r="DI694" i="3"/>
  <c r="DH694" i="3"/>
  <c r="DG694" i="3"/>
  <c r="DF694" i="3"/>
  <c r="DE694" i="3"/>
  <c r="DD694" i="3"/>
  <c r="DC694" i="3"/>
  <c r="DB694" i="3"/>
  <c r="DA694" i="3"/>
  <c r="CZ694" i="3"/>
  <c r="CY694" i="3"/>
  <c r="CX694" i="3"/>
  <c r="CW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Y694" i="3"/>
  <c r="BX694" i="3"/>
  <c r="BW694" i="3"/>
  <c r="BV694" i="3"/>
  <c r="BU694" i="3"/>
  <c r="BT694" i="3"/>
  <c r="BS694" i="3"/>
  <c r="BR694" i="3"/>
  <c r="BQ694" i="3"/>
  <c r="BP694" i="3"/>
  <c r="BO694" i="3"/>
  <c r="BN694" i="3"/>
  <c r="DU693" i="3"/>
  <c r="DT693" i="3"/>
  <c r="DS693" i="3"/>
  <c r="DR693" i="3"/>
  <c r="DQ693" i="3"/>
  <c r="DP693" i="3"/>
  <c r="DO693" i="3"/>
  <c r="DN693" i="3"/>
  <c r="DM693" i="3"/>
  <c r="DL693" i="3"/>
  <c r="DK693" i="3"/>
  <c r="DJ693" i="3"/>
  <c r="DI693" i="3"/>
  <c r="DH693" i="3"/>
  <c r="DG693" i="3"/>
  <c r="DF693" i="3"/>
  <c r="DE693" i="3"/>
  <c r="DD693" i="3"/>
  <c r="DC693" i="3"/>
  <c r="DB693" i="3"/>
  <c r="DA693" i="3"/>
  <c r="CZ693" i="3"/>
  <c r="CY693" i="3"/>
  <c r="CX693" i="3"/>
  <c r="CW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Y693" i="3"/>
  <c r="BX693" i="3"/>
  <c r="BW693" i="3"/>
  <c r="BV693" i="3"/>
  <c r="BU693" i="3"/>
  <c r="BT693" i="3"/>
  <c r="BS693" i="3"/>
  <c r="BR693" i="3"/>
  <c r="BQ693" i="3"/>
  <c r="BP693" i="3"/>
  <c r="BO693" i="3"/>
  <c r="BN693" i="3"/>
  <c r="DU692" i="3"/>
  <c r="DT692" i="3"/>
  <c r="DS692" i="3"/>
  <c r="DR692" i="3"/>
  <c r="DQ692" i="3"/>
  <c r="DP692" i="3"/>
  <c r="DO692" i="3"/>
  <c r="DN692" i="3"/>
  <c r="DM692" i="3"/>
  <c r="DL692" i="3"/>
  <c r="DK692" i="3"/>
  <c r="DJ692" i="3"/>
  <c r="DI692" i="3"/>
  <c r="DH692" i="3"/>
  <c r="DG692" i="3"/>
  <c r="DF692" i="3"/>
  <c r="DE692" i="3"/>
  <c r="DD692" i="3"/>
  <c r="DC692" i="3"/>
  <c r="DB692" i="3"/>
  <c r="DA692" i="3"/>
  <c r="CZ692" i="3"/>
  <c r="CY692" i="3"/>
  <c r="CX692" i="3"/>
  <c r="CW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Y692" i="3"/>
  <c r="BX692" i="3"/>
  <c r="BW692" i="3"/>
  <c r="BV692" i="3"/>
  <c r="BU692" i="3"/>
  <c r="BT692" i="3"/>
  <c r="BS692" i="3"/>
  <c r="BR692" i="3"/>
  <c r="BQ692" i="3"/>
  <c r="BP692" i="3"/>
  <c r="BO692" i="3"/>
  <c r="BN692" i="3"/>
  <c r="DU691" i="3"/>
  <c r="DT691" i="3"/>
  <c r="DS691" i="3"/>
  <c r="DR691" i="3"/>
  <c r="DQ691" i="3"/>
  <c r="DP691" i="3"/>
  <c r="DO691" i="3"/>
  <c r="DN691" i="3"/>
  <c r="DM691" i="3"/>
  <c r="DL691" i="3"/>
  <c r="DK691" i="3"/>
  <c r="DJ691" i="3"/>
  <c r="DI691" i="3"/>
  <c r="DH691" i="3"/>
  <c r="DG691" i="3"/>
  <c r="DF691" i="3"/>
  <c r="DE691" i="3"/>
  <c r="DD691" i="3"/>
  <c r="DC691" i="3"/>
  <c r="DB691" i="3"/>
  <c r="DA691" i="3"/>
  <c r="CZ691" i="3"/>
  <c r="CY691" i="3"/>
  <c r="CX691" i="3"/>
  <c r="CW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Y691" i="3"/>
  <c r="BX691" i="3"/>
  <c r="BW691" i="3"/>
  <c r="BV691" i="3"/>
  <c r="BU691" i="3"/>
  <c r="BT691" i="3"/>
  <c r="BS691" i="3"/>
  <c r="BR691" i="3"/>
  <c r="BQ691" i="3"/>
  <c r="BP691" i="3"/>
  <c r="BO691" i="3"/>
  <c r="BN691" i="3"/>
  <c r="DU690" i="3"/>
  <c r="DT690" i="3"/>
  <c r="DS690" i="3"/>
  <c r="DR690" i="3"/>
  <c r="DQ690" i="3"/>
  <c r="DP690" i="3"/>
  <c r="DO690" i="3"/>
  <c r="DN690" i="3"/>
  <c r="DM690" i="3"/>
  <c r="DL690" i="3"/>
  <c r="DK690" i="3"/>
  <c r="DJ690" i="3"/>
  <c r="DI690" i="3"/>
  <c r="DH690" i="3"/>
  <c r="DG690" i="3"/>
  <c r="DF690" i="3"/>
  <c r="DE690" i="3"/>
  <c r="DD690" i="3"/>
  <c r="DC690" i="3"/>
  <c r="DB690" i="3"/>
  <c r="DA690" i="3"/>
  <c r="CZ690" i="3"/>
  <c r="CY690" i="3"/>
  <c r="CX690" i="3"/>
  <c r="CW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Y690" i="3"/>
  <c r="BX690" i="3"/>
  <c r="BW690" i="3"/>
  <c r="BV690" i="3"/>
  <c r="BU690" i="3"/>
  <c r="BT690" i="3"/>
  <c r="BS690" i="3"/>
  <c r="BR690" i="3"/>
  <c r="BQ690" i="3"/>
  <c r="BP690" i="3"/>
  <c r="BO690" i="3"/>
  <c r="BN690" i="3"/>
  <c r="DU689" i="3"/>
  <c r="DT689" i="3"/>
  <c r="DS689" i="3"/>
  <c r="DR689" i="3"/>
  <c r="DQ689" i="3"/>
  <c r="DP689" i="3"/>
  <c r="DO689" i="3"/>
  <c r="DN689" i="3"/>
  <c r="DM689" i="3"/>
  <c r="DL689" i="3"/>
  <c r="DK689" i="3"/>
  <c r="DJ689" i="3"/>
  <c r="DI689" i="3"/>
  <c r="DH689" i="3"/>
  <c r="DG689" i="3"/>
  <c r="DF689" i="3"/>
  <c r="DE689" i="3"/>
  <c r="DD689" i="3"/>
  <c r="DC689" i="3"/>
  <c r="DB689" i="3"/>
  <c r="DA689" i="3"/>
  <c r="CZ689" i="3"/>
  <c r="CY689" i="3"/>
  <c r="CX689" i="3"/>
  <c r="CW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Y689" i="3"/>
  <c r="BX689" i="3"/>
  <c r="BW689" i="3"/>
  <c r="BV689" i="3"/>
  <c r="BU689" i="3"/>
  <c r="BT689" i="3"/>
  <c r="BS689" i="3"/>
  <c r="BR689" i="3"/>
  <c r="BQ689" i="3"/>
  <c r="BP689" i="3"/>
  <c r="BO689" i="3"/>
  <c r="BN689" i="3"/>
  <c r="DU688" i="3"/>
  <c r="DT688" i="3"/>
  <c r="DS688" i="3"/>
  <c r="DR688" i="3"/>
  <c r="DQ688" i="3"/>
  <c r="DP688" i="3"/>
  <c r="DO688" i="3"/>
  <c r="DN688" i="3"/>
  <c r="DM688" i="3"/>
  <c r="DL688" i="3"/>
  <c r="DK688" i="3"/>
  <c r="DJ688" i="3"/>
  <c r="DI688" i="3"/>
  <c r="DH688" i="3"/>
  <c r="DG688" i="3"/>
  <c r="DF688" i="3"/>
  <c r="DE688" i="3"/>
  <c r="DD688" i="3"/>
  <c r="DC688" i="3"/>
  <c r="DB688" i="3"/>
  <c r="DA688" i="3"/>
  <c r="CZ688" i="3"/>
  <c r="CY688" i="3"/>
  <c r="CX688" i="3"/>
  <c r="CW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Y688" i="3"/>
  <c r="BX688" i="3"/>
  <c r="BW688" i="3"/>
  <c r="BV688" i="3"/>
  <c r="BU688" i="3"/>
  <c r="BT688" i="3"/>
  <c r="BS688" i="3"/>
  <c r="BR688" i="3"/>
  <c r="BQ688" i="3"/>
  <c r="BP688" i="3"/>
  <c r="BO688" i="3"/>
  <c r="BN688" i="3"/>
  <c r="DU687" i="3"/>
  <c r="DT687" i="3"/>
  <c r="DS687" i="3"/>
  <c r="DR687" i="3"/>
  <c r="DQ687" i="3"/>
  <c r="DP687" i="3"/>
  <c r="DO687" i="3"/>
  <c r="DN687" i="3"/>
  <c r="DM687" i="3"/>
  <c r="DL687" i="3"/>
  <c r="DK687" i="3"/>
  <c r="DJ687" i="3"/>
  <c r="DI687" i="3"/>
  <c r="DH687" i="3"/>
  <c r="DG687" i="3"/>
  <c r="DF687" i="3"/>
  <c r="DE687" i="3"/>
  <c r="DD687" i="3"/>
  <c r="DC687" i="3"/>
  <c r="DB687" i="3"/>
  <c r="DA687" i="3"/>
  <c r="CZ687" i="3"/>
  <c r="CY687" i="3"/>
  <c r="CX687" i="3"/>
  <c r="CW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Y687" i="3"/>
  <c r="BX687" i="3"/>
  <c r="BW687" i="3"/>
  <c r="BV687" i="3"/>
  <c r="BU687" i="3"/>
  <c r="BT687" i="3"/>
  <c r="BS687" i="3"/>
  <c r="BR687" i="3"/>
  <c r="BQ687" i="3"/>
  <c r="BP687" i="3"/>
  <c r="BO687" i="3"/>
  <c r="BN687" i="3"/>
  <c r="DU686" i="3"/>
  <c r="DT686" i="3"/>
  <c r="DS686" i="3"/>
  <c r="DR686" i="3"/>
  <c r="DQ686" i="3"/>
  <c r="DP686" i="3"/>
  <c r="DO686" i="3"/>
  <c r="DN686" i="3"/>
  <c r="DM686" i="3"/>
  <c r="DL686" i="3"/>
  <c r="DK686" i="3"/>
  <c r="DJ686" i="3"/>
  <c r="DI686" i="3"/>
  <c r="DH686" i="3"/>
  <c r="DG686" i="3"/>
  <c r="DF686" i="3"/>
  <c r="DE686" i="3"/>
  <c r="DD686" i="3"/>
  <c r="DC686" i="3"/>
  <c r="DB686" i="3"/>
  <c r="DA686" i="3"/>
  <c r="CZ686" i="3"/>
  <c r="CY686" i="3"/>
  <c r="CX686" i="3"/>
  <c r="CW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Y686" i="3"/>
  <c r="BX686" i="3"/>
  <c r="BW686" i="3"/>
  <c r="BV686" i="3"/>
  <c r="BU686" i="3"/>
  <c r="BT686" i="3"/>
  <c r="BS686" i="3"/>
  <c r="BR686" i="3"/>
  <c r="BQ686" i="3"/>
  <c r="BP686" i="3"/>
  <c r="BO686" i="3"/>
  <c r="BN686" i="3"/>
  <c r="DU685" i="3"/>
  <c r="DT685" i="3"/>
  <c r="DS685" i="3"/>
  <c r="DR685" i="3"/>
  <c r="DQ685" i="3"/>
  <c r="DP685" i="3"/>
  <c r="DO685" i="3"/>
  <c r="DN685" i="3"/>
  <c r="DM685" i="3"/>
  <c r="DL685" i="3"/>
  <c r="DK685" i="3"/>
  <c r="DJ685" i="3"/>
  <c r="DI685" i="3"/>
  <c r="DH685" i="3"/>
  <c r="DG685" i="3"/>
  <c r="DF685" i="3"/>
  <c r="DE685" i="3"/>
  <c r="DD685" i="3"/>
  <c r="DC685" i="3"/>
  <c r="DB685" i="3"/>
  <c r="DA685" i="3"/>
  <c r="CZ685" i="3"/>
  <c r="CY685" i="3"/>
  <c r="CX685" i="3"/>
  <c r="CW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Y685" i="3"/>
  <c r="BX685" i="3"/>
  <c r="BW685" i="3"/>
  <c r="BV685" i="3"/>
  <c r="BU685" i="3"/>
  <c r="BT685" i="3"/>
  <c r="BS685" i="3"/>
  <c r="BR685" i="3"/>
  <c r="BQ685" i="3"/>
  <c r="BP685" i="3"/>
  <c r="BO685" i="3"/>
  <c r="BN685" i="3"/>
  <c r="DU684" i="3"/>
  <c r="DT684" i="3"/>
  <c r="DS684" i="3"/>
  <c r="DR684" i="3"/>
  <c r="DQ684" i="3"/>
  <c r="DP684" i="3"/>
  <c r="DO684" i="3"/>
  <c r="DN684" i="3"/>
  <c r="DM684" i="3"/>
  <c r="DL684" i="3"/>
  <c r="DK684" i="3"/>
  <c r="DJ684" i="3"/>
  <c r="DI684" i="3"/>
  <c r="DH684" i="3"/>
  <c r="DG684" i="3"/>
  <c r="DF684" i="3"/>
  <c r="DE684" i="3"/>
  <c r="DD684" i="3"/>
  <c r="DC684" i="3"/>
  <c r="DB684" i="3"/>
  <c r="DA684" i="3"/>
  <c r="CZ684" i="3"/>
  <c r="CY684" i="3"/>
  <c r="CX684" i="3"/>
  <c r="CW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Y684" i="3"/>
  <c r="BX684" i="3"/>
  <c r="BW684" i="3"/>
  <c r="BV684" i="3"/>
  <c r="BU684" i="3"/>
  <c r="BT684" i="3"/>
  <c r="BS684" i="3"/>
  <c r="BR684" i="3"/>
  <c r="BQ684" i="3"/>
  <c r="BP684" i="3"/>
  <c r="BO684" i="3"/>
  <c r="BN684" i="3"/>
  <c r="DU683" i="3"/>
  <c r="DT683" i="3"/>
  <c r="DS683" i="3"/>
  <c r="DR683" i="3"/>
  <c r="DQ683" i="3"/>
  <c r="DP683" i="3"/>
  <c r="DO683" i="3"/>
  <c r="DN683" i="3"/>
  <c r="DM683" i="3"/>
  <c r="DL683" i="3"/>
  <c r="DK683" i="3"/>
  <c r="DJ683" i="3"/>
  <c r="DI683" i="3"/>
  <c r="DH683" i="3"/>
  <c r="DG683" i="3"/>
  <c r="DF683" i="3"/>
  <c r="DE683" i="3"/>
  <c r="DD683" i="3"/>
  <c r="DC683" i="3"/>
  <c r="DB683" i="3"/>
  <c r="DA683" i="3"/>
  <c r="CZ683" i="3"/>
  <c r="CY683" i="3"/>
  <c r="CX683" i="3"/>
  <c r="CW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Y683" i="3"/>
  <c r="BX683" i="3"/>
  <c r="BW683" i="3"/>
  <c r="BV683" i="3"/>
  <c r="BU683" i="3"/>
  <c r="BT683" i="3"/>
  <c r="BS683" i="3"/>
  <c r="BR683" i="3"/>
  <c r="BQ683" i="3"/>
  <c r="BP683" i="3"/>
  <c r="BO683" i="3"/>
  <c r="BN683" i="3"/>
  <c r="DU682" i="3"/>
  <c r="DT682" i="3"/>
  <c r="DS682" i="3"/>
  <c r="DR682" i="3"/>
  <c r="DQ682" i="3"/>
  <c r="DP682" i="3"/>
  <c r="DO682" i="3"/>
  <c r="DN682" i="3"/>
  <c r="DM682" i="3"/>
  <c r="DL682" i="3"/>
  <c r="DK682" i="3"/>
  <c r="DJ682" i="3"/>
  <c r="DI682" i="3"/>
  <c r="DH682" i="3"/>
  <c r="DG682" i="3"/>
  <c r="DF682" i="3"/>
  <c r="DE682" i="3"/>
  <c r="DD682" i="3"/>
  <c r="DC682" i="3"/>
  <c r="DB682" i="3"/>
  <c r="DA682" i="3"/>
  <c r="CZ682" i="3"/>
  <c r="CY682" i="3"/>
  <c r="CX682" i="3"/>
  <c r="CW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Y682" i="3"/>
  <c r="BX682" i="3"/>
  <c r="BW682" i="3"/>
  <c r="BV682" i="3"/>
  <c r="BU682" i="3"/>
  <c r="BT682" i="3"/>
  <c r="BS682" i="3"/>
  <c r="BR682" i="3"/>
  <c r="BQ682" i="3"/>
  <c r="BP682" i="3"/>
  <c r="BO682" i="3"/>
  <c r="BN682" i="3"/>
  <c r="DU681" i="3"/>
  <c r="DT681" i="3"/>
  <c r="DS681" i="3"/>
  <c r="DR681" i="3"/>
  <c r="DQ681" i="3"/>
  <c r="DP681" i="3"/>
  <c r="DO681" i="3"/>
  <c r="DN681" i="3"/>
  <c r="DM681" i="3"/>
  <c r="DL681" i="3"/>
  <c r="DK681" i="3"/>
  <c r="DJ681" i="3"/>
  <c r="DI681" i="3"/>
  <c r="DH681" i="3"/>
  <c r="DG681" i="3"/>
  <c r="DF681" i="3"/>
  <c r="DE681" i="3"/>
  <c r="DD681" i="3"/>
  <c r="DC681" i="3"/>
  <c r="DB681" i="3"/>
  <c r="DA681" i="3"/>
  <c r="CZ681" i="3"/>
  <c r="CY681" i="3"/>
  <c r="CX681" i="3"/>
  <c r="CW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Y681" i="3"/>
  <c r="BX681" i="3"/>
  <c r="BW681" i="3"/>
  <c r="BV681" i="3"/>
  <c r="BU681" i="3"/>
  <c r="BT681" i="3"/>
  <c r="BS681" i="3"/>
  <c r="BR681" i="3"/>
  <c r="BQ681" i="3"/>
  <c r="BP681" i="3"/>
  <c r="BO681" i="3"/>
  <c r="BN681" i="3"/>
  <c r="DU680" i="3"/>
  <c r="DT680" i="3"/>
  <c r="DS680" i="3"/>
  <c r="DR680" i="3"/>
  <c r="DQ680" i="3"/>
  <c r="DP680" i="3"/>
  <c r="DO680" i="3"/>
  <c r="DN680" i="3"/>
  <c r="DM680" i="3"/>
  <c r="DL680" i="3"/>
  <c r="DK680" i="3"/>
  <c r="DJ680" i="3"/>
  <c r="DI680" i="3"/>
  <c r="DH680" i="3"/>
  <c r="DG680" i="3"/>
  <c r="DF680" i="3"/>
  <c r="DE680" i="3"/>
  <c r="DD680" i="3"/>
  <c r="DC680" i="3"/>
  <c r="DB680" i="3"/>
  <c r="DA680" i="3"/>
  <c r="CZ680" i="3"/>
  <c r="CY680" i="3"/>
  <c r="CX680" i="3"/>
  <c r="CW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Y680" i="3"/>
  <c r="BX680" i="3"/>
  <c r="BW680" i="3"/>
  <c r="BV680" i="3"/>
  <c r="BU680" i="3"/>
  <c r="BT680" i="3"/>
  <c r="BS680" i="3"/>
  <c r="BR680" i="3"/>
  <c r="BQ680" i="3"/>
  <c r="BP680" i="3"/>
  <c r="BO680" i="3"/>
  <c r="BN680" i="3"/>
  <c r="DU679" i="3"/>
  <c r="DT679" i="3"/>
  <c r="DS679" i="3"/>
  <c r="DR679" i="3"/>
  <c r="DQ679" i="3"/>
  <c r="DP679" i="3"/>
  <c r="DO679" i="3"/>
  <c r="DN679" i="3"/>
  <c r="DM679" i="3"/>
  <c r="DL679" i="3"/>
  <c r="DK679" i="3"/>
  <c r="DJ679" i="3"/>
  <c r="DI679" i="3"/>
  <c r="DH679" i="3"/>
  <c r="DG679" i="3"/>
  <c r="DF679" i="3"/>
  <c r="DE679" i="3"/>
  <c r="DD679" i="3"/>
  <c r="DC679" i="3"/>
  <c r="DB679" i="3"/>
  <c r="DA679" i="3"/>
  <c r="CZ679" i="3"/>
  <c r="CY679" i="3"/>
  <c r="CX679" i="3"/>
  <c r="CW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Y679" i="3"/>
  <c r="BX679" i="3"/>
  <c r="BW679" i="3"/>
  <c r="BV679" i="3"/>
  <c r="BU679" i="3"/>
  <c r="BT679" i="3"/>
  <c r="BS679" i="3"/>
  <c r="BR679" i="3"/>
  <c r="BQ679" i="3"/>
  <c r="BP679" i="3"/>
  <c r="BO679" i="3"/>
  <c r="BN679" i="3"/>
  <c r="DU678" i="3"/>
  <c r="DT678" i="3"/>
  <c r="DS678" i="3"/>
  <c r="DR678" i="3"/>
  <c r="DQ678" i="3"/>
  <c r="DP678" i="3"/>
  <c r="DO678" i="3"/>
  <c r="DN678" i="3"/>
  <c r="DM678" i="3"/>
  <c r="DL678" i="3"/>
  <c r="DK678" i="3"/>
  <c r="DJ678" i="3"/>
  <c r="DI678" i="3"/>
  <c r="DH678" i="3"/>
  <c r="DG678" i="3"/>
  <c r="DF678" i="3"/>
  <c r="DE678" i="3"/>
  <c r="DD678" i="3"/>
  <c r="DC678" i="3"/>
  <c r="DB678" i="3"/>
  <c r="DA678" i="3"/>
  <c r="CZ678" i="3"/>
  <c r="CY678" i="3"/>
  <c r="CX678" i="3"/>
  <c r="CW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Y678" i="3"/>
  <c r="BX678" i="3"/>
  <c r="BW678" i="3"/>
  <c r="BV678" i="3"/>
  <c r="BU678" i="3"/>
  <c r="BT678" i="3"/>
  <c r="BS678" i="3"/>
  <c r="BR678" i="3"/>
  <c r="BQ678" i="3"/>
  <c r="BP678" i="3"/>
  <c r="BO678" i="3"/>
  <c r="BN678" i="3"/>
  <c r="DU677" i="3"/>
  <c r="DT677" i="3"/>
  <c r="DS677" i="3"/>
  <c r="DR677" i="3"/>
  <c r="DQ677" i="3"/>
  <c r="DP677" i="3"/>
  <c r="DO677" i="3"/>
  <c r="DN677" i="3"/>
  <c r="DM677" i="3"/>
  <c r="DL677" i="3"/>
  <c r="DK677" i="3"/>
  <c r="DJ677" i="3"/>
  <c r="DI677" i="3"/>
  <c r="DH677" i="3"/>
  <c r="DG677" i="3"/>
  <c r="DF677" i="3"/>
  <c r="DE677" i="3"/>
  <c r="DD677" i="3"/>
  <c r="DC677" i="3"/>
  <c r="DB677" i="3"/>
  <c r="DA677" i="3"/>
  <c r="CZ677" i="3"/>
  <c r="CY677" i="3"/>
  <c r="CX677" i="3"/>
  <c r="CW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Y677" i="3"/>
  <c r="BX677" i="3"/>
  <c r="BW677" i="3"/>
  <c r="BV677" i="3"/>
  <c r="BU677" i="3"/>
  <c r="BT677" i="3"/>
  <c r="BS677" i="3"/>
  <c r="BR677" i="3"/>
  <c r="BQ677" i="3"/>
  <c r="BP677" i="3"/>
  <c r="BO677" i="3"/>
  <c r="BN677" i="3"/>
  <c r="DU676" i="3"/>
  <c r="DT676" i="3"/>
  <c r="DS676" i="3"/>
  <c r="DR676" i="3"/>
  <c r="DQ676" i="3"/>
  <c r="DP676" i="3"/>
  <c r="DO676" i="3"/>
  <c r="DN676" i="3"/>
  <c r="DM676" i="3"/>
  <c r="DL676" i="3"/>
  <c r="DK676" i="3"/>
  <c r="DJ676" i="3"/>
  <c r="DI676" i="3"/>
  <c r="DH676" i="3"/>
  <c r="DG676" i="3"/>
  <c r="DF676" i="3"/>
  <c r="DE676" i="3"/>
  <c r="DD676" i="3"/>
  <c r="DC676" i="3"/>
  <c r="DB676" i="3"/>
  <c r="DA676" i="3"/>
  <c r="CZ676" i="3"/>
  <c r="CY676" i="3"/>
  <c r="CX676" i="3"/>
  <c r="CW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Y676" i="3"/>
  <c r="BX676" i="3"/>
  <c r="BW676" i="3"/>
  <c r="BV676" i="3"/>
  <c r="BU676" i="3"/>
  <c r="BT676" i="3"/>
  <c r="BS676" i="3"/>
  <c r="BR676" i="3"/>
  <c r="BQ676" i="3"/>
  <c r="BP676" i="3"/>
  <c r="BO676" i="3"/>
  <c r="BN676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X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DU665" i="3"/>
  <c r="DT665" i="3"/>
  <c r="DS665" i="3"/>
  <c r="DR665" i="3"/>
  <c r="DQ665" i="3"/>
  <c r="DP665" i="3"/>
  <c r="DO665" i="3"/>
  <c r="DN665" i="3"/>
  <c r="DM665" i="3"/>
  <c r="DL665" i="3"/>
  <c r="DK665" i="3"/>
  <c r="DJ665" i="3"/>
  <c r="DI665" i="3"/>
  <c r="DH665" i="3"/>
  <c r="DG665" i="3"/>
  <c r="DF665" i="3"/>
  <c r="DE665" i="3"/>
  <c r="DD665" i="3"/>
  <c r="DC665" i="3"/>
  <c r="DB665" i="3"/>
  <c r="DA665" i="3"/>
  <c r="CZ665" i="3"/>
  <c r="CY665" i="3"/>
  <c r="CX665" i="3"/>
  <c r="CW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Y665" i="3"/>
  <c r="BX665" i="3"/>
  <c r="BW665" i="3"/>
  <c r="BV665" i="3"/>
  <c r="BU665" i="3"/>
  <c r="BT665" i="3"/>
  <c r="BS665" i="3"/>
  <c r="BR665" i="3"/>
  <c r="BQ665" i="3"/>
  <c r="BP665" i="3"/>
  <c r="BO665" i="3"/>
  <c r="BN665" i="3"/>
  <c r="DU664" i="3"/>
  <c r="DT664" i="3"/>
  <c r="DS664" i="3"/>
  <c r="DR664" i="3"/>
  <c r="DQ664" i="3"/>
  <c r="DP664" i="3"/>
  <c r="DO664" i="3"/>
  <c r="DN664" i="3"/>
  <c r="DM664" i="3"/>
  <c r="DL664" i="3"/>
  <c r="DK664" i="3"/>
  <c r="DJ664" i="3"/>
  <c r="DI664" i="3"/>
  <c r="DH664" i="3"/>
  <c r="DG664" i="3"/>
  <c r="DF664" i="3"/>
  <c r="DE664" i="3"/>
  <c r="DD664" i="3"/>
  <c r="DC664" i="3"/>
  <c r="DB664" i="3"/>
  <c r="DA664" i="3"/>
  <c r="CZ664" i="3"/>
  <c r="CY664" i="3"/>
  <c r="CX664" i="3"/>
  <c r="CW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Y664" i="3"/>
  <c r="BX664" i="3"/>
  <c r="BW664" i="3"/>
  <c r="BV664" i="3"/>
  <c r="BU664" i="3"/>
  <c r="BT664" i="3"/>
  <c r="BS664" i="3"/>
  <c r="BR664" i="3"/>
  <c r="BQ664" i="3"/>
  <c r="BP664" i="3"/>
  <c r="BO664" i="3"/>
  <c r="BN664" i="3"/>
  <c r="DU663" i="3"/>
  <c r="DT663" i="3"/>
  <c r="DS663" i="3"/>
  <c r="DR663" i="3"/>
  <c r="DQ663" i="3"/>
  <c r="DP663" i="3"/>
  <c r="DO663" i="3"/>
  <c r="DN663" i="3"/>
  <c r="DM663" i="3"/>
  <c r="DL663" i="3"/>
  <c r="DK663" i="3"/>
  <c r="DJ663" i="3"/>
  <c r="DI663" i="3"/>
  <c r="DH663" i="3"/>
  <c r="DG663" i="3"/>
  <c r="DF663" i="3"/>
  <c r="DE663" i="3"/>
  <c r="DD663" i="3"/>
  <c r="DC663" i="3"/>
  <c r="DB663" i="3"/>
  <c r="DA663" i="3"/>
  <c r="CZ663" i="3"/>
  <c r="CY663" i="3"/>
  <c r="CX663" i="3"/>
  <c r="CW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Y663" i="3"/>
  <c r="BX663" i="3"/>
  <c r="BW663" i="3"/>
  <c r="BV663" i="3"/>
  <c r="BU663" i="3"/>
  <c r="BT663" i="3"/>
  <c r="BS663" i="3"/>
  <c r="BR663" i="3"/>
  <c r="BQ663" i="3"/>
  <c r="BP663" i="3"/>
  <c r="BO663" i="3"/>
  <c r="BN663" i="3"/>
  <c r="DU662" i="3"/>
  <c r="DT662" i="3"/>
  <c r="DS662" i="3"/>
  <c r="DR662" i="3"/>
  <c r="DQ662" i="3"/>
  <c r="DP662" i="3"/>
  <c r="DO662" i="3"/>
  <c r="DN662" i="3"/>
  <c r="DM662" i="3"/>
  <c r="DL662" i="3"/>
  <c r="DK662" i="3"/>
  <c r="DJ662" i="3"/>
  <c r="DI662" i="3"/>
  <c r="DH662" i="3"/>
  <c r="DG662" i="3"/>
  <c r="DF662" i="3"/>
  <c r="DE662" i="3"/>
  <c r="DD662" i="3"/>
  <c r="DC662" i="3"/>
  <c r="DB662" i="3"/>
  <c r="DA662" i="3"/>
  <c r="CZ662" i="3"/>
  <c r="CY662" i="3"/>
  <c r="CX662" i="3"/>
  <c r="CW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Y662" i="3"/>
  <c r="BX662" i="3"/>
  <c r="BW662" i="3"/>
  <c r="BV662" i="3"/>
  <c r="BU662" i="3"/>
  <c r="BT662" i="3"/>
  <c r="BS662" i="3"/>
  <c r="BR662" i="3"/>
  <c r="BQ662" i="3"/>
  <c r="BP662" i="3"/>
  <c r="BO662" i="3"/>
  <c r="BN662" i="3"/>
  <c r="DU661" i="3"/>
  <c r="DT661" i="3"/>
  <c r="DS661" i="3"/>
  <c r="DR661" i="3"/>
  <c r="DQ661" i="3"/>
  <c r="DP661" i="3"/>
  <c r="DO661" i="3"/>
  <c r="DN661" i="3"/>
  <c r="DM661" i="3"/>
  <c r="DL661" i="3"/>
  <c r="DK661" i="3"/>
  <c r="DJ661" i="3"/>
  <c r="DI661" i="3"/>
  <c r="DH661" i="3"/>
  <c r="DG661" i="3"/>
  <c r="DF661" i="3"/>
  <c r="DE661" i="3"/>
  <c r="DD661" i="3"/>
  <c r="DC661" i="3"/>
  <c r="DB661" i="3"/>
  <c r="DA661" i="3"/>
  <c r="CZ661" i="3"/>
  <c r="CY661" i="3"/>
  <c r="CX661" i="3"/>
  <c r="CW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Y661" i="3"/>
  <c r="BX661" i="3"/>
  <c r="BW661" i="3"/>
  <c r="BV661" i="3"/>
  <c r="BU661" i="3"/>
  <c r="BT661" i="3"/>
  <c r="BS661" i="3"/>
  <c r="BR661" i="3"/>
  <c r="BQ661" i="3"/>
  <c r="BP661" i="3"/>
  <c r="BO661" i="3"/>
  <c r="BN661" i="3"/>
  <c r="DU660" i="3"/>
  <c r="DT660" i="3"/>
  <c r="DS660" i="3"/>
  <c r="DR660" i="3"/>
  <c r="DQ660" i="3"/>
  <c r="DP660" i="3"/>
  <c r="DO660" i="3"/>
  <c r="DN660" i="3"/>
  <c r="DM660" i="3"/>
  <c r="DL660" i="3"/>
  <c r="DK660" i="3"/>
  <c r="DJ660" i="3"/>
  <c r="DI660" i="3"/>
  <c r="DH660" i="3"/>
  <c r="DG660" i="3"/>
  <c r="DF660" i="3"/>
  <c r="DE660" i="3"/>
  <c r="DD660" i="3"/>
  <c r="DC660" i="3"/>
  <c r="DB660" i="3"/>
  <c r="DA660" i="3"/>
  <c r="CZ660" i="3"/>
  <c r="CY660" i="3"/>
  <c r="CX660" i="3"/>
  <c r="CW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Y660" i="3"/>
  <c r="BX660" i="3"/>
  <c r="BW660" i="3"/>
  <c r="BV660" i="3"/>
  <c r="BU660" i="3"/>
  <c r="BT660" i="3"/>
  <c r="BS660" i="3"/>
  <c r="BR660" i="3"/>
  <c r="BQ660" i="3"/>
  <c r="BP660" i="3"/>
  <c r="BO660" i="3"/>
  <c r="BN660" i="3"/>
  <c r="DU659" i="3"/>
  <c r="DT659" i="3"/>
  <c r="DS659" i="3"/>
  <c r="DR659" i="3"/>
  <c r="DQ659" i="3"/>
  <c r="DP659" i="3"/>
  <c r="DO659" i="3"/>
  <c r="DN659" i="3"/>
  <c r="DM659" i="3"/>
  <c r="DL659" i="3"/>
  <c r="DK659" i="3"/>
  <c r="DJ659" i="3"/>
  <c r="DI659" i="3"/>
  <c r="DH659" i="3"/>
  <c r="DG659" i="3"/>
  <c r="DF659" i="3"/>
  <c r="DE659" i="3"/>
  <c r="DD659" i="3"/>
  <c r="DC659" i="3"/>
  <c r="DB659" i="3"/>
  <c r="DA659" i="3"/>
  <c r="CZ659" i="3"/>
  <c r="CY659" i="3"/>
  <c r="CX659" i="3"/>
  <c r="CW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Y659" i="3"/>
  <c r="BX659" i="3"/>
  <c r="BW659" i="3"/>
  <c r="BV659" i="3"/>
  <c r="BU659" i="3"/>
  <c r="BT659" i="3"/>
  <c r="BS659" i="3"/>
  <c r="BR659" i="3"/>
  <c r="BQ659" i="3"/>
  <c r="BP659" i="3"/>
  <c r="BO659" i="3"/>
  <c r="BN659" i="3"/>
  <c r="DU658" i="3"/>
  <c r="DT658" i="3"/>
  <c r="DS658" i="3"/>
  <c r="DR658" i="3"/>
  <c r="DQ658" i="3"/>
  <c r="DP658" i="3"/>
  <c r="DO658" i="3"/>
  <c r="DN658" i="3"/>
  <c r="DM658" i="3"/>
  <c r="DL658" i="3"/>
  <c r="DK658" i="3"/>
  <c r="DJ658" i="3"/>
  <c r="DI658" i="3"/>
  <c r="DH658" i="3"/>
  <c r="DG658" i="3"/>
  <c r="DF658" i="3"/>
  <c r="DE658" i="3"/>
  <c r="DD658" i="3"/>
  <c r="DC658" i="3"/>
  <c r="DB658" i="3"/>
  <c r="DA658" i="3"/>
  <c r="CZ658" i="3"/>
  <c r="CY658" i="3"/>
  <c r="CX658" i="3"/>
  <c r="CW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Y658" i="3"/>
  <c r="BX658" i="3"/>
  <c r="BW658" i="3"/>
  <c r="BV658" i="3"/>
  <c r="BU658" i="3"/>
  <c r="BT658" i="3"/>
  <c r="BS658" i="3"/>
  <c r="BR658" i="3"/>
  <c r="BQ658" i="3"/>
  <c r="BP658" i="3"/>
  <c r="BO658" i="3"/>
  <c r="BN658" i="3"/>
  <c r="DU657" i="3"/>
  <c r="DT657" i="3"/>
  <c r="DS657" i="3"/>
  <c r="DR657" i="3"/>
  <c r="DQ657" i="3"/>
  <c r="DP657" i="3"/>
  <c r="DO657" i="3"/>
  <c r="DN657" i="3"/>
  <c r="DM657" i="3"/>
  <c r="DL657" i="3"/>
  <c r="DK657" i="3"/>
  <c r="DJ657" i="3"/>
  <c r="DI657" i="3"/>
  <c r="DH657" i="3"/>
  <c r="DG657" i="3"/>
  <c r="DF657" i="3"/>
  <c r="DE657" i="3"/>
  <c r="DD657" i="3"/>
  <c r="DC657" i="3"/>
  <c r="DB657" i="3"/>
  <c r="DA657" i="3"/>
  <c r="CZ657" i="3"/>
  <c r="CY657" i="3"/>
  <c r="CX657" i="3"/>
  <c r="CW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Y657" i="3"/>
  <c r="BX657" i="3"/>
  <c r="BW657" i="3"/>
  <c r="BV657" i="3"/>
  <c r="BU657" i="3"/>
  <c r="BT657" i="3"/>
  <c r="BS657" i="3"/>
  <c r="BR657" i="3"/>
  <c r="BQ657" i="3"/>
  <c r="BP657" i="3"/>
  <c r="BO657" i="3"/>
  <c r="BN657" i="3"/>
  <c r="DU656" i="3"/>
  <c r="DT656" i="3"/>
  <c r="DS656" i="3"/>
  <c r="DR656" i="3"/>
  <c r="DQ656" i="3"/>
  <c r="DP656" i="3"/>
  <c r="DO656" i="3"/>
  <c r="DN656" i="3"/>
  <c r="DM656" i="3"/>
  <c r="DL656" i="3"/>
  <c r="DK656" i="3"/>
  <c r="DJ656" i="3"/>
  <c r="DI656" i="3"/>
  <c r="DH656" i="3"/>
  <c r="DG656" i="3"/>
  <c r="DF656" i="3"/>
  <c r="DE656" i="3"/>
  <c r="DD656" i="3"/>
  <c r="DC656" i="3"/>
  <c r="DB656" i="3"/>
  <c r="DA656" i="3"/>
  <c r="CZ656" i="3"/>
  <c r="CY656" i="3"/>
  <c r="CX656" i="3"/>
  <c r="CW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Y656" i="3"/>
  <c r="BX656" i="3"/>
  <c r="BW656" i="3"/>
  <c r="BV656" i="3"/>
  <c r="BU656" i="3"/>
  <c r="BT656" i="3"/>
  <c r="BS656" i="3"/>
  <c r="BR656" i="3"/>
  <c r="BQ656" i="3"/>
  <c r="BP656" i="3"/>
  <c r="BO656" i="3"/>
  <c r="BN656" i="3"/>
  <c r="DU655" i="3"/>
  <c r="DT655" i="3"/>
  <c r="DS655" i="3"/>
  <c r="DR655" i="3"/>
  <c r="DQ655" i="3"/>
  <c r="DP655" i="3"/>
  <c r="DO655" i="3"/>
  <c r="DN655" i="3"/>
  <c r="DM655" i="3"/>
  <c r="DL655" i="3"/>
  <c r="DK655" i="3"/>
  <c r="DJ655" i="3"/>
  <c r="DI655" i="3"/>
  <c r="DH655" i="3"/>
  <c r="DG655" i="3"/>
  <c r="DF655" i="3"/>
  <c r="DE655" i="3"/>
  <c r="DD655" i="3"/>
  <c r="DC655" i="3"/>
  <c r="DB655" i="3"/>
  <c r="DA655" i="3"/>
  <c r="CZ655" i="3"/>
  <c r="CY655" i="3"/>
  <c r="CX655" i="3"/>
  <c r="CW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Y655" i="3"/>
  <c r="BX655" i="3"/>
  <c r="BW655" i="3"/>
  <c r="BV655" i="3"/>
  <c r="BU655" i="3"/>
  <c r="BT655" i="3"/>
  <c r="BS655" i="3"/>
  <c r="BR655" i="3"/>
  <c r="BQ655" i="3"/>
  <c r="BP655" i="3"/>
  <c r="BO655" i="3"/>
  <c r="BN655" i="3"/>
  <c r="DU654" i="3"/>
  <c r="DT654" i="3"/>
  <c r="DS654" i="3"/>
  <c r="DR654" i="3"/>
  <c r="DQ654" i="3"/>
  <c r="DP654" i="3"/>
  <c r="DO654" i="3"/>
  <c r="DN654" i="3"/>
  <c r="DM654" i="3"/>
  <c r="DL654" i="3"/>
  <c r="DK654" i="3"/>
  <c r="DJ654" i="3"/>
  <c r="DI654" i="3"/>
  <c r="DH654" i="3"/>
  <c r="DG654" i="3"/>
  <c r="DF654" i="3"/>
  <c r="DE654" i="3"/>
  <c r="DD654" i="3"/>
  <c r="DC654" i="3"/>
  <c r="DB654" i="3"/>
  <c r="DA654" i="3"/>
  <c r="CZ654" i="3"/>
  <c r="CY654" i="3"/>
  <c r="CX654" i="3"/>
  <c r="CW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Y654" i="3"/>
  <c r="BX654" i="3"/>
  <c r="BW654" i="3"/>
  <c r="BV654" i="3"/>
  <c r="BU654" i="3"/>
  <c r="BT654" i="3"/>
  <c r="BS654" i="3"/>
  <c r="BR654" i="3"/>
  <c r="BQ654" i="3"/>
  <c r="BP654" i="3"/>
  <c r="BO654" i="3"/>
  <c r="BN654" i="3"/>
  <c r="DU653" i="3"/>
  <c r="DT653" i="3"/>
  <c r="DS653" i="3"/>
  <c r="DR653" i="3"/>
  <c r="DQ653" i="3"/>
  <c r="DP653" i="3"/>
  <c r="DO653" i="3"/>
  <c r="DN653" i="3"/>
  <c r="DM653" i="3"/>
  <c r="DL653" i="3"/>
  <c r="DK653" i="3"/>
  <c r="DJ653" i="3"/>
  <c r="DI653" i="3"/>
  <c r="DH653" i="3"/>
  <c r="DG653" i="3"/>
  <c r="DF653" i="3"/>
  <c r="DE653" i="3"/>
  <c r="DD653" i="3"/>
  <c r="DC653" i="3"/>
  <c r="DB653" i="3"/>
  <c r="DA653" i="3"/>
  <c r="CZ653" i="3"/>
  <c r="CY653" i="3"/>
  <c r="CX653" i="3"/>
  <c r="CW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Y653" i="3"/>
  <c r="BX653" i="3"/>
  <c r="BW653" i="3"/>
  <c r="BV653" i="3"/>
  <c r="BU653" i="3"/>
  <c r="BT653" i="3"/>
  <c r="BS653" i="3"/>
  <c r="BR653" i="3"/>
  <c r="BQ653" i="3"/>
  <c r="BP653" i="3"/>
  <c r="BO653" i="3"/>
  <c r="BN653" i="3"/>
  <c r="DU652" i="3"/>
  <c r="DT652" i="3"/>
  <c r="DS652" i="3"/>
  <c r="DR652" i="3"/>
  <c r="DQ652" i="3"/>
  <c r="DP652" i="3"/>
  <c r="DO652" i="3"/>
  <c r="DN652" i="3"/>
  <c r="DM652" i="3"/>
  <c r="DL652" i="3"/>
  <c r="DK652" i="3"/>
  <c r="DJ652" i="3"/>
  <c r="DI652" i="3"/>
  <c r="DH652" i="3"/>
  <c r="DG652" i="3"/>
  <c r="DF652" i="3"/>
  <c r="DE652" i="3"/>
  <c r="DD652" i="3"/>
  <c r="DC652" i="3"/>
  <c r="DB652" i="3"/>
  <c r="DA652" i="3"/>
  <c r="CZ652" i="3"/>
  <c r="CY652" i="3"/>
  <c r="CX652" i="3"/>
  <c r="CW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Y652" i="3"/>
  <c r="BX652" i="3"/>
  <c r="BW652" i="3"/>
  <c r="BV652" i="3"/>
  <c r="BU652" i="3"/>
  <c r="BT652" i="3"/>
  <c r="BS652" i="3"/>
  <c r="BR652" i="3"/>
  <c r="BQ652" i="3"/>
  <c r="BP652" i="3"/>
  <c r="BO652" i="3"/>
  <c r="BN652" i="3"/>
  <c r="DU651" i="3"/>
  <c r="DT651" i="3"/>
  <c r="DS651" i="3"/>
  <c r="DR651" i="3"/>
  <c r="DQ651" i="3"/>
  <c r="DP651" i="3"/>
  <c r="DO651" i="3"/>
  <c r="DN651" i="3"/>
  <c r="DM651" i="3"/>
  <c r="DL651" i="3"/>
  <c r="DK651" i="3"/>
  <c r="DJ651" i="3"/>
  <c r="DI651" i="3"/>
  <c r="DH651" i="3"/>
  <c r="DG651" i="3"/>
  <c r="DF651" i="3"/>
  <c r="DE651" i="3"/>
  <c r="DD651" i="3"/>
  <c r="DC651" i="3"/>
  <c r="DB651" i="3"/>
  <c r="DA651" i="3"/>
  <c r="CZ651" i="3"/>
  <c r="CY651" i="3"/>
  <c r="CX651" i="3"/>
  <c r="CW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Y651" i="3"/>
  <c r="BX651" i="3"/>
  <c r="BW651" i="3"/>
  <c r="BV651" i="3"/>
  <c r="BU651" i="3"/>
  <c r="BT651" i="3"/>
  <c r="BS651" i="3"/>
  <c r="BR651" i="3"/>
  <c r="BQ651" i="3"/>
  <c r="BP651" i="3"/>
  <c r="BO651" i="3"/>
  <c r="BN651" i="3"/>
  <c r="DU650" i="3"/>
  <c r="DT650" i="3"/>
  <c r="DS650" i="3"/>
  <c r="DR650" i="3"/>
  <c r="DQ650" i="3"/>
  <c r="DP650" i="3"/>
  <c r="DO650" i="3"/>
  <c r="DN650" i="3"/>
  <c r="DM650" i="3"/>
  <c r="DL650" i="3"/>
  <c r="DK650" i="3"/>
  <c r="DJ650" i="3"/>
  <c r="DI650" i="3"/>
  <c r="DH650" i="3"/>
  <c r="DG650" i="3"/>
  <c r="DF650" i="3"/>
  <c r="DE650" i="3"/>
  <c r="DD650" i="3"/>
  <c r="DC650" i="3"/>
  <c r="DB650" i="3"/>
  <c r="DA650" i="3"/>
  <c r="CZ650" i="3"/>
  <c r="CY650" i="3"/>
  <c r="CX650" i="3"/>
  <c r="CW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Y650" i="3"/>
  <c r="BX650" i="3"/>
  <c r="BW650" i="3"/>
  <c r="BV650" i="3"/>
  <c r="BU650" i="3"/>
  <c r="BT650" i="3"/>
  <c r="BS650" i="3"/>
  <c r="BR650" i="3"/>
  <c r="BQ650" i="3"/>
  <c r="BP650" i="3"/>
  <c r="BO650" i="3"/>
  <c r="BN650" i="3"/>
  <c r="DU649" i="3"/>
  <c r="DT649" i="3"/>
  <c r="DS649" i="3"/>
  <c r="DR649" i="3"/>
  <c r="DQ649" i="3"/>
  <c r="DP649" i="3"/>
  <c r="DO649" i="3"/>
  <c r="DN649" i="3"/>
  <c r="DM649" i="3"/>
  <c r="DL649" i="3"/>
  <c r="DK649" i="3"/>
  <c r="DJ649" i="3"/>
  <c r="DI649" i="3"/>
  <c r="DH649" i="3"/>
  <c r="DG649" i="3"/>
  <c r="DF649" i="3"/>
  <c r="DE649" i="3"/>
  <c r="DD649" i="3"/>
  <c r="DC649" i="3"/>
  <c r="DB649" i="3"/>
  <c r="DA649" i="3"/>
  <c r="CZ649" i="3"/>
  <c r="CY649" i="3"/>
  <c r="CX649" i="3"/>
  <c r="CW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Y649" i="3"/>
  <c r="BX649" i="3"/>
  <c r="BW649" i="3"/>
  <c r="BV649" i="3"/>
  <c r="BU649" i="3"/>
  <c r="BT649" i="3"/>
  <c r="BS649" i="3"/>
  <c r="BR649" i="3"/>
  <c r="BQ649" i="3"/>
  <c r="BP649" i="3"/>
  <c r="BO649" i="3"/>
  <c r="BN649" i="3"/>
  <c r="DU648" i="3"/>
  <c r="DT648" i="3"/>
  <c r="DS648" i="3"/>
  <c r="DR648" i="3"/>
  <c r="DQ648" i="3"/>
  <c r="DP648" i="3"/>
  <c r="DO648" i="3"/>
  <c r="DN648" i="3"/>
  <c r="DM648" i="3"/>
  <c r="DL648" i="3"/>
  <c r="DK648" i="3"/>
  <c r="DJ648" i="3"/>
  <c r="DI648" i="3"/>
  <c r="DH648" i="3"/>
  <c r="DG648" i="3"/>
  <c r="DF648" i="3"/>
  <c r="DE648" i="3"/>
  <c r="DD648" i="3"/>
  <c r="DC648" i="3"/>
  <c r="DB648" i="3"/>
  <c r="DA648" i="3"/>
  <c r="CZ648" i="3"/>
  <c r="CY648" i="3"/>
  <c r="CX648" i="3"/>
  <c r="CW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Y648" i="3"/>
  <c r="BX648" i="3"/>
  <c r="BW648" i="3"/>
  <c r="BV648" i="3"/>
  <c r="BU648" i="3"/>
  <c r="BT648" i="3"/>
  <c r="BS648" i="3"/>
  <c r="BR648" i="3"/>
  <c r="BQ648" i="3"/>
  <c r="BP648" i="3"/>
  <c r="BO648" i="3"/>
  <c r="BN648" i="3"/>
  <c r="DU647" i="3"/>
  <c r="DT647" i="3"/>
  <c r="DS647" i="3"/>
  <c r="DR647" i="3"/>
  <c r="DQ647" i="3"/>
  <c r="DP647" i="3"/>
  <c r="DO647" i="3"/>
  <c r="DN647" i="3"/>
  <c r="DM647" i="3"/>
  <c r="DL647" i="3"/>
  <c r="DK647" i="3"/>
  <c r="DJ647" i="3"/>
  <c r="DI647" i="3"/>
  <c r="DH647" i="3"/>
  <c r="DG647" i="3"/>
  <c r="DF647" i="3"/>
  <c r="DE647" i="3"/>
  <c r="DD647" i="3"/>
  <c r="DC647" i="3"/>
  <c r="DB647" i="3"/>
  <c r="DA647" i="3"/>
  <c r="CZ647" i="3"/>
  <c r="CY647" i="3"/>
  <c r="CX647" i="3"/>
  <c r="CW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Y647" i="3"/>
  <c r="BX647" i="3"/>
  <c r="BW647" i="3"/>
  <c r="BV647" i="3"/>
  <c r="BU647" i="3"/>
  <c r="BT647" i="3"/>
  <c r="BS647" i="3"/>
  <c r="BR647" i="3"/>
  <c r="BQ647" i="3"/>
  <c r="BP647" i="3"/>
  <c r="BO647" i="3"/>
  <c r="BN647" i="3"/>
  <c r="DU646" i="3"/>
  <c r="DT646" i="3"/>
  <c r="DS646" i="3"/>
  <c r="DR646" i="3"/>
  <c r="DQ646" i="3"/>
  <c r="DP646" i="3"/>
  <c r="DO646" i="3"/>
  <c r="DN646" i="3"/>
  <c r="DM646" i="3"/>
  <c r="DL646" i="3"/>
  <c r="DK646" i="3"/>
  <c r="DJ646" i="3"/>
  <c r="DI646" i="3"/>
  <c r="DH646" i="3"/>
  <c r="DG646" i="3"/>
  <c r="DF646" i="3"/>
  <c r="DE646" i="3"/>
  <c r="DD646" i="3"/>
  <c r="DC646" i="3"/>
  <c r="DB646" i="3"/>
  <c r="DA646" i="3"/>
  <c r="CZ646" i="3"/>
  <c r="CY646" i="3"/>
  <c r="CX646" i="3"/>
  <c r="CW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Y646" i="3"/>
  <c r="BX646" i="3"/>
  <c r="BW646" i="3"/>
  <c r="BV646" i="3"/>
  <c r="BU646" i="3"/>
  <c r="BT646" i="3"/>
  <c r="BS646" i="3"/>
  <c r="BR646" i="3"/>
  <c r="BQ646" i="3"/>
  <c r="BP646" i="3"/>
  <c r="BO646" i="3"/>
  <c r="BN646" i="3"/>
  <c r="DU645" i="3"/>
  <c r="DT645" i="3"/>
  <c r="DS645" i="3"/>
  <c r="DR645" i="3"/>
  <c r="DQ645" i="3"/>
  <c r="DP645" i="3"/>
  <c r="DO645" i="3"/>
  <c r="DN645" i="3"/>
  <c r="DM645" i="3"/>
  <c r="DL645" i="3"/>
  <c r="DK645" i="3"/>
  <c r="DJ645" i="3"/>
  <c r="DI645" i="3"/>
  <c r="DH645" i="3"/>
  <c r="DG645" i="3"/>
  <c r="DF645" i="3"/>
  <c r="DE645" i="3"/>
  <c r="DD645" i="3"/>
  <c r="DC645" i="3"/>
  <c r="DB645" i="3"/>
  <c r="DA645" i="3"/>
  <c r="CZ645" i="3"/>
  <c r="CY645" i="3"/>
  <c r="CX645" i="3"/>
  <c r="CW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Y645" i="3"/>
  <c r="BX645" i="3"/>
  <c r="BW645" i="3"/>
  <c r="BV645" i="3"/>
  <c r="BU645" i="3"/>
  <c r="BT645" i="3"/>
  <c r="BS645" i="3"/>
  <c r="BR645" i="3"/>
  <c r="BQ645" i="3"/>
  <c r="BP645" i="3"/>
  <c r="BO645" i="3"/>
  <c r="BN645" i="3"/>
  <c r="DU644" i="3"/>
  <c r="DT644" i="3"/>
  <c r="DS644" i="3"/>
  <c r="DR644" i="3"/>
  <c r="DQ644" i="3"/>
  <c r="DP644" i="3"/>
  <c r="DO644" i="3"/>
  <c r="DN644" i="3"/>
  <c r="DM644" i="3"/>
  <c r="DL644" i="3"/>
  <c r="DK644" i="3"/>
  <c r="DJ644" i="3"/>
  <c r="DI644" i="3"/>
  <c r="DH644" i="3"/>
  <c r="DG644" i="3"/>
  <c r="DF644" i="3"/>
  <c r="DE644" i="3"/>
  <c r="DD644" i="3"/>
  <c r="DC644" i="3"/>
  <c r="DB644" i="3"/>
  <c r="DA644" i="3"/>
  <c r="CZ644" i="3"/>
  <c r="CY644" i="3"/>
  <c r="CX644" i="3"/>
  <c r="CW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Y644" i="3"/>
  <c r="BX644" i="3"/>
  <c r="BW644" i="3"/>
  <c r="BV644" i="3"/>
  <c r="BU644" i="3"/>
  <c r="BT644" i="3"/>
  <c r="BS644" i="3"/>
  <c r="BR644" i="3"/>
  <c r="BQ644" i="3"/>
  <c r="BP644" i="3"/>
  <c r="BO644" i="3"/>
  <c r="BN644" i="3"/>
  <c r="DU643" i="3"/>
  <c r="DT643" i="3"/>
  <c r="DS643" i="3"/>
  <c r="DR643" i="3"/>
  <c r="DQ643" i="3"/>
  <c r="DP643" i="3"/>
  <c r="DO643" i="3"/>
  <c r="DN643" i="3"/>
  <c r="DM643" i="3"/>
  <c r="DL643" i="3"/>
  <c r="DK643" i="3"/>
  <c r="DJ643" i="3"/>
  <c r="DI643" i="3"/>
  <c r="DH643" i="3"/>
  <c r="DG643" i="3"/>
  <c r="DF643" i="3"/>
  <c r="DE643" i="3"/>
  <c r="DD643" i="3"/>
  <c r="DC643" i="3"/>
  <c r="DB643" i="3"/>
  <c r="DA643" i="3"/>
  <c r="CZ643" i="3"/>
  <c r="CY643" i="3"/>
  <c r="CX643" i="3"/>
  <c r="CW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Y643" i="3"/>
  <c r="BX643" i="3"/>
  <c r="BW643" i="3"/>
  <c r="BV643" i="3"/>
  <c r="BU643" i="3"/>
  <c r="BT643" i="3"/>
  <c r="BS643" i="3"/>
  <c r="BR643" i="3"/>
  <c r="BQ643" i="3"/>
  <c r="BP643" i="3"/>
  <c r="BO643" i="3"/>
  <c r="BN643" i="3"/>
  <c r="DU642" i="3"/>
  <c r="DT642" i="3"/>
  <c r="DS642" i="3"/>
  <c r="DR642" i="3"/>
  <c r="DQ642" i="3"/>
  <c r="DP642" i="3"/>
  <c r="DO642" i="3"/>
  <c r="DN642" i="3"/>
  <c r="DM642" i="3"/>
  <c r="DL642" i="3"/>
  <c r="DK642" i="3"/>
  <c r="DJ642" i="3"/>
  <c r="DI642" i="3"/>
  <c r="DH642" i="3"/>
  <c r="DG642" i="3"/>
  <c r="DF642" i="3"/>
  <c r="DE642" i="3"/>
  <c r="DD642" i="3"/>
  <c r="DC642" i="3"/>
  <c r="DB642" i="3"/>
  <c r="DA642" i="3"/>
  <c r="CZ642" i="3"/>
  <c r="CY642" i="3"/>
  <c r="CX642" i="3"/>
  <c r="CW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Y642" i="3"/>
  <c r="BX642" i="3"/>
  <c r="BW642" i="3"/>
  <c r="BV642" i="3"/>
  <c r="BU642" i="3"/>
  <c r="BT642" i="3"/>
  <c r="BS642" i="3"/>
  <c r="BR642" i="3"/>
  <c r="BQ642" i="3"/>
  <c r="BP642" i="3"/>
  <c r="BO642" i="3"/>
  <c r="BN642" i="3"/>
  <c r="DU641" i="3"/>
  <c r="DT641" i="3"/>
  <c r="DS641" i="3"/>
  <c r="DR641" i="3"/>
  <c r="DQ641" i="3"/>
  <c r="DP641" i="3"/>
  <c r="DO641" i="3"/>
  <c r="DN641" i="3"/>
  <c r="DM641" i="3"/>
  <c r="DL641" i="3"/>
  <c r="DK641" i="3"/>
  <c r="DJ641" i="3"/>
  <c r="DI641" i="3"/>
  <c r="DH641" i="3"/>
  <c r="DG641" i="3"/>
  <c r="DF641" i="3"/>
  <c r="DE641" i="3"/>
  <c r="DD641" i="3"/>
  <c r="DC641" i="3"/>
  <c r="DB641" i="3"/>
  <c r="DA641" i="3"/>
  <c r="CZ641" i="3"/>
  <c r="CY641" i="3"/>
  <c r="CX641" i="3"/>
  <c r="CW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Y641" i="3"/>
  <c r="BX641" i="3"/>
  <c r="BW641" i="3"/>
  <c r="BV641" i="3"/>
  <c r="BU641" i="3"/>
  <c r="BT641" i="3"/>
  <c r="BS641" i="3"/>
  <c r="BR641" i="3"/>
  <c r="BQ641" i="3"/>
  <c r="BP641" i="3"/>
  <c r="BO641" i="3"/>
  <c r="BN641" i="3"/>
  <c r="DU640" i="3"/>
  <c r="DT640" i="3"/>
  <c r="DS640" i="3"/>
  <c r="DR640" i="3"/>
  <c r="DQ640" i="3"/>
  <c r="DP640" i="3"/>
  <c r="DO640" i="3"/>
  <c r="DN640" i="3"/>
  <c r="DM640" i="3"/>
  <c r="DL640" i="3"/>
  <c r="DK640" i="3"/>
  <c r="DJ640" i="3"/>
  <c r="DI640" i="3"/>
  <c r="DH640" i="3"/>
  <c r="DG640" i="3"/>
  <c r="DF640" i="3"/>
  <c r="DE640" i="3"/>
  <c r="DD640" i="3"/>
  <c r="DC640" i="3"/>
  <c r="DB640" i="3"/>
  <c r="DA640" i="3"/>
  <c r="CZ640" i="3"/>
  <c r="CY640" i="3"/>
  <c r="CX640" i="3"/>
  <c r="CW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Y640" i="3"/>
  <c r="BX640" i="3"/>
  <c r="BW640" i="3"/>
  <c r="BV640" i="3"/>
  <c r="BU640" i="3"/>
  <c r="BT640" i="3"/>
  <c r="BS640" i="3"/>
  <c r="BR640" i="3"/>
  <c r="BQ640" i="3"/>
  <c r="BP640" i="3"/>
  <c r="BO640" i="3"/>
  <c r="BN640" i="3"/>
  <c r="DU639" i="3"/>
  <c r="DT639" i="3"/>
  <c r="DS639" i="3"/>
  <c r="DR639" i="3"/>
  <c r="DQ639" i="3"/>
  <c r="DP639" i="3"/>
  <c r="DO639" i="3"/>
  <c r="DN639" i="3"/>
  <c r="DM639" i="3"/>
  <c r="DL639" i="3"/>
  <c r="DK639" i="3"/>
  <c r="DJ639" i="3"/>
  <c r="DI639" i="3"/>
  <c r="DH639" i="3"/>
  <c r="DG639" i="3"/>
  <c r="DF639" i="3"/>
  <c r="DE639" i="3"/>
  <c r="DD639" i="3"/>
  <c r="DC639" i="3"/>
  <c r="DB639" i="3"/>
  <c r="DA639" i="3"/>
  <c r="CZ639" i="3"/>
  <c r="CY639" i="3"/>
  <c r="CX639" i="3"/>
  <c r="CW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Y639" i="3"/>
  <c r="BX639" i="3"/>
  <c r="BW639" i="3"/>
  <c r="BV639" i="3"/>
  <c r="BU639" i="3"/>
  <c r="BT639" i="3"/>
  <c r="BS639" i="3"/>
  <c r="BR639" i="3"/>
  <c r="BQ639" i="3"/>
  <c r="BP639" i="3"/>
  <c r="BO639" i="3"/>
  <c r="BN639" i="3"/>
  <c r="DU638" i="3"/>
  <c r="DT638" i="3"/>
  <c r="DS638" i="3"/>
  <c r="DR638" i="3"/>
  <c r="DQ638" i="3"/>
  <c r="DP638" i="3"/>
  <c r="DO638" i="3"/>
  <c r="DN638" i="3"/>
  <c r="DM638" i="3"/>
  <c r="DL638" i="3"/>
  <c r="DK638" i="3"/>
  <c r="DJ638" i="3"/>
  <c r="DI638" i="3"/>
  <c r="DH638" i="3"/>
  <c r="DG638" i="3"/>
  <c r="DF638" i="3"/>
  <c r="DE638" i="3"/>
  <c r="DD638" i="3"/>
  <c r="DC638" i="3"/>
  <c r="DB638" i="3"/>
  <c r="DA638" i="3"/>
  <c r="CZ638" i="3"/>
  <c r="CY638" i="3"/>
  <c r="CX638" i="3"/>
  <c r="CW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Y638" i="3"/>
  <c r="BX638" i="3"/>
  <c r="BW638" i="3"/>
  <c r="BV638" i="3"/>
  <c r="BU638" i="3"/>
  <c r="BT638" i="3"/>
  <c r="BS638" i="3"/>
  <c r="BR638" i="3"/>
  <c r="BQ638" i="3"/>
  <c r="BP638" i="3"/>
  <c r="BO638" i="3"/>
  <c r="BN638" i="3"/>
  <c r="DU637" i="3"/>
  <c r="DT637" i="3"/>
  <c r="DS637" i="3"/>
  <c r="DR637" i="3"/>
  <c r="DQ637" i="3"/>
  <c r="DP637" i="3"/>
  <c r="DO637" i="3"/>
  <c r="DN637" i="3"/>
  <c r="DM637" i="3"/>
  <c r="DL637" i="3"/>
  <c r="DK637" i="3"/>
  <c r="DJ637" i="3"/>
  <c r="DI637" i="3"/>
  <c r="DH637" i="3"/>
  <c r="DG637" i="3"/>
  <c r="DF637" i="3"/>
  <c r="DE637" i="3"/>
  <c r="DD637" i="3"/>
  <c r="DC637" i="3"/>
  <c r="DB637" i="3"/>
  <c r="DA637" i="3"/>
  <c r="CZ637" i="3"/>
  <c r="CY637" i="3"/>
  <c r="CX637" i="3"/>
  <c r="CW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Y637" i="3"/>
  <c r="BX637" i="3"/>
  <c r="BW637" i="3"/>
  <c r="BV637" i="3"/>
  <c r="BU637" i="3"/>
  <c r="BT637" i="3"/>
  <c r="BS637" i="3"/>
  <c r="BR637" i="3"/>
  <c r="BQ637" i="3"/>
  <c r="BP637" i="3"/>
  <c r="BO637" i="3"/>
  <c r="BN637" i="3"/>
  <c r="DU636" i="3"/>
  <c r="DT636" i="3"/>
  <c r="DS636" i="3"/>
  <c r="DR636" i="3"/>
  <c r="DQ636" i="3"/>
  <c r="DP636" i="3"/>
  <c r="DO636" i="3"/>
  <c r="DN636" i="3"/>
  <c r="DM636" i="3"/>
  <c r="DL636" i="3"/>
  <c r="DK636" i="3"/>
  <c r="DJ636" i="3"/>
  <c r="DI636" i="3"/>
  <c r="DH636" i="3"/>
  <c r="DG636" i="3"/>
  <c r="DF636" i="3"/>
  <c r="DE636" i="3"/>
  <c r="DD636" i="3"/>
  <c r="DC636" i="3"/>
  <c r="DB636" i="3"/>
  <c r="DA636" i="3"/>
  <c r="CZ636" i="3"/>
  <c r="CY636" i="3"/>
  <c r="CX636" i="3"/>
  <c r="CW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Y636" i="3"/>
  <c r="BX636" i="3"/>
  <c r="BW636" i="3"/>
  <c r="BV636" i="3"/>
  <c r="BU636" i="3"/>
  <c r="BT636" i="3"/>
  <c r="BS636" i="3"/>
  <c r="BR636" i="3"/>
  <c r="BQ636" i="3"/>
  <c r="BP636" i="3"/>
  <c r="BO636" i="3"/>
  <c r="BN636" i="3"/>
  <c r="DU635" i="3"/>
  <c r="DT635" i="3"/>
  <c r="DS635" i="3"/>
  <c r="DR635" i="3"/>
  <c r="DQ635" i="3"/>
  <c r="DP635" i="3"/>
  <c r="DO635" i="3"/>
  <c r="DN635" i="3"/>
  <c r="DM635" i="3"/>
  <c r="DL635" i="3"/>
  <c r="DK635" i="3"/>
  <c r="DJ635" i="3"/>
  <c r="DI635" i="3"/>
  <c r="DH635" i="3"/>
  <c r="DG635" i="3"/>
  <c r="DF635" i="3"/>
  <c r="DE635" i="3"/>
  <c r="DD635" i="3"/>
  <c r="DC635" i="3"/>
  <c r="DB635" i="3"/>
  <c r="DA635" i="3"/>
  <c r="CZ635" i="3"/>
  <c r="CY635" i="3"/>
  <c r="CX635" i="3"/>
  <c r="CW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Y635" i="3"/>
  <c r="BX635" i="3"/>
  <c r="BW635" i="3"/>
  <c r="BV635" i="3"/>
  <c r="BU635" i="3"/>
  <c r="BT635" i="3"/>
  <c r="BS635" i="3"/>
  <c r="BR635" i="3"/>
  <c r="BQ635" i="3"/>
  <c r="BP635" i="3"/>
  <c r="BO635" i="3"/>
  <c r="BN635" i="3"/>
  <c r="DU634" i="3"/>
  <c r="DT634" i="3"/>
  <c r="DS634" i="3"/>
  <c r="DR634" i="3"/>
  <c r="DQ634" i="3"/>
  <c r="DP634" i="3"/>
  <c r="DO634" i="3"/>
  <c r="DN634" i="3"/>
  <c r="DM634" i="3"/>
  <c r="DL634" i="3"/>
  <c r="DK634" i="3"/>
  <c r="DJ634" i="3"/>
  <c r="DI634" i="3"/>
  <c r="DH634" i="3"/>
  <c r="DG634" i="3"/>
  <c r="DF634" i="3"/>
  <c r="DE634" i="3"/>
  <c r="DD634" i="3"/>
  <c r="DC634" i="3"/>
  <c r="DB634" i="3"/>
  <c r="DA634" i="3"/>
  <c r="CZ634" i="3"/>
  <c r="CY634" i="3"/>
  <c r="CX634" i="3"/>
  <c r="CW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Y634" i="3"/>
  <c r="BX634" i="3"/>
  <c r="BW634" i="3"/>
  <c r="BV634" i="3"/>
  <c r="BU634" i="3"/>
  <c r="BT634" i="3"/>
  <c r="BS634" i="3"/>
  <c r="BR634" i="3"/>
  <c r="BQ634" i="3"/>
  <c r="BP634" i="3"/>
  <c r="BO634" i="3"/>
  <c r="BN634" i="3"/>
  <c r="DU633" i="3"/>
  <c r="DT633" i="3"/>
  <c r="DS633" i="3"/>
  <c r="DR633" i="3"/>
  <c r="DQ633" i="3"/>
  <c r="DP633" i="3"/>
  <c r="DO633" i="3"/>
  <c r="DN633" i="3"/>
  <c r="DM633" i="3"/>
  <c r="DL633" i="3"/>
  <c r="DK633" i="3"/>
  <c r="DJ633" i="3"/>
  <c r="DI633" i="3"/>
  <c r="DH633" i="3"/>
  <c r="DG633" i="3"/>
  <c r="DF633" i="3"/>
  <c r="DE633" i="3"/>
  <c r="DD633" i="3"/>
  <c r="DC633" i="3"/>
  <c r="DB633" i="3"/>
  <c r="DA633" i="3"/>
  <c r="CZ633" i="3"/>
  <c r="CY633" i="3"/>
  <c r="CX633" i="3"/>
  <c r="CW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Y633" i="3"/>
  <c r="BX633" i="3"/>
  <c r="BW633" i="3"/>
  <c r="BV633" i="3"/>
  <c r="BU633" i="3"/>
  <c r="BT633" i="3"/>
  <c r="BS633" i="3"/>
  <c r="BR633" i="3"/>
  <c r="BQ633" i="3"/>
  <c r="BP633" i="3"/>
  <c r="BO633" i="3"/>
  <c r="BN633" i="3"/>
  <c r="DU632" i="3"/>
  <c r="DT632" i="3"/>
  <c r="DS632" i="3"/>
  <c r="DR632" i="3"/>
  <c r="DQ632" i="3"/>
  <c r="DP632" i="3"/>
  <c r="DO632" i="3"/>
  <c r="DN632" i="3"/>
  <c r="DM632" i="3"/>
  <c r="DL632" i="3"/>
  <c r="DK632" i="3"/>
  <c r="DJ632" i="3"/>
  <c r="DI632" i="3"/>
  <c r="DH632" i="3"/>
  <c r="DG632" i="3"/>
  <c r="DF632" i="3"/>
  <c r="DE632" i="3"/>
  <c r="DD632" i="3"/>
  <c r="DC632" i="3"/>
  <c r="DB632" i="3"/>
  <c r="DA632" i="3"/>
  <c r="CZ632" i="3"/>
  <c r="CY632" i="3"/>
  <c r="CX632" i="3"/>
  <c r="CW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Y632" i="3"/>
  <c r="BX632" i="3"/>
  <c r="BW632" i="3"/>
  <c r="BV632" i="3"/>
  <c r="BU632" i="3"/>
  <c r="BT632" i="3"/>
  <c r="BS632" i="3"/>
  <c r="BR632" i="3"/>
  <c r="BQ632" i="3"/>
  <c r="BP632" i="3"/>
  <c r="BO632" i="3"/>
  <c r="BN632" i="3"/>
  <c r="DU631" i="3"/>
  <c r="DT631" i="3"/>
  <c r="DS631" i="3"/>
  <c r="DR631" i="3"/>
  <c r="DQ631" i="3"/>
  <c r="DP631" i="3"/>
  <c r="DO631" i="3"/>
  <c r="DN631" i="3"/>
  <c r="DM631" i="3"/>
  <c r="DL631" i="3"/>
  <c r="DK631" i="3"/>
  <c r="DJ631" i="3"/>
  <c r="DI631" i="3"/>
  <c r="DH631" i="3"/>
  <c r="DG631" i="3"/>
  <c r="DF631" i="3"/>
  <c r="DE631" i="3"/>
  <c r="DD631" i="3"/>
  <c r="DC631" i="3"/>
  <c r="DB631" i="3"/>
  <c r="DA631" i="3"/>
  <c r="CZ631" i="3"/>
  <c r="CY631" i="3"/>
  <c r="CX631" i="3"/>
  <c r="CW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Y631" i="3"/>
  <c r="BX631" i="3"/>
  <c r="BW631" i="3"/>
  <c r="BV631" i="3"/>
  <c r="BU631" i="3"/>
  <c r="BT631" i="3"/>
  <c r="BS631" i="3"/>
  <c r="BR631" i="3"/>
  <c r="BQ631" i="3"/>
  <c r="BP631" i="3"/>
  <c r="BO631" i="3"/>
  <c r="BN631" i="3"/>
  <c r="DU630" i="3"/>
  <c r="DT630" i="3"/>
  <c r="DS630" i="3"/>
  <c r="DR630" i="3"/>
  <c r="DQ630" i="3"/>
  <c r="DP630" i="3"/>
  <c r="DO630" i="3"/>
  <c r="DN630" i="3"/>
  <c r="DM630" i="3"/>
  <c r="DL630" i="3"/>
  <c r="DK630" i="3"/>
  <c r="DJ630" i="3"/>
  <c r="DI630" i="3"/>
  <c r="DH630" i="3"/>
  <c r="DG630" i="3"/>
  <c r="DF630" i="3"/>
  <c r="DE630" i="3"/>
  <c r="DD630" i="3"/>
  <c r="DC630" i="3"/>
  <c r="DB630" i="3"/>
  <c r="DA630" i="3"/>
  <c r="CZ630" i="3"/>
  <c r="CY630" i="3"/>
  <c r="CX630" i="3"/>
  <c r="CW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Y630" i="3"/>
  <c r="BX630" i="3"/>
  <c r="BW630" i="3"/>
  <c r="BV630" i="3"/>
  <c r="BU630" i="3"/>
  <c r="BT630" i="3"/>
  <c r="BS630" i="3"/>
  <c r="BR630" i="3"/>
  <c r="BQ630" i="3"/>
  <c r="BP630" i="3"/>
  <c r="BO630" i="3"/>
  <c r="BN630" i="3"/>
  <c r="DU629" i="3"/>
  <c r="DT629" i="3"/>
  <c r="DS629" i="3"/>
  <c r="DR629" i="3"/>
  <c r="DQ629" i="3"/>
  <c r="DP629" i="3"/>
  <c r="DO629" i="3"/>
  <c r="DN629" i="3"/>
  <c r="DM629" i="3"/>
  <c r="DL629" i="3"/>
  <c r="DK629" i="3"/>
  <c r="DJ629" i="3"/>
  <c r="DI629" i="3"/>
  <c r="DH629" i="3"/>
  <c r="DG629" i="3"/>
  <c r="DF629" i="3"/>
  <c r="DE629" i="3"/>
  <c r="DD629" i="3"/>
  <c r="DC629" i="3"/>
  <c r="DB629" i="3"/>
  <c r="DA629" i="3"/>
  <c r="CZ629" i="3"/>
  <c r="CY629" i="3"/>
  <c r="CX629" i="3"/>
  <c r="CW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Y629" i="3"/>
  <c r="BX629" i="3"/>
  <c r="BW629" i="3"/>
  <c r="BV629" i="3"/>
  <c r="BU629" i="3"/>
  <c r="BT629" i="3"/>
  <c r="BS629" i="3"/>
  <c r="BR629" i="3"/>
  <c r="BQ629" i="3"/>
  <c r="BP629" i="3"/>
  <c r="BO629" i="3"/>
  <c r="BN629" i="3"/>
  <c r="DU628" i="3"/>
  <c r="DT628" i="3"/>
  <c r="DS628" i="3"/>
  <c r="DR628" i="3"/>
  <c r="DQ628" i="3"/>
  <c r="DP628" i="3"/>
  <c r="DO628" i="3"/>
  <c r="DN628" i="3"/>
  <c r="DM628" i="3"/>
  <c r="DL628" i="3"/>
  <c r="DK628" i="3"/>
  <c r="DJ628" i="3"/>
  <c r="DI628" i="3"/>
  <c r="DH628" i="3"/>
  <c r="DG628" i="3"/>
  <c r="DF628" i="3"/>
  <c r="DE628" i="3"/>
  <c r="DD628" i="3"/>
  <c r="DC628" i="3"/>
  <c r="DB628" i="3"/>
  <c r="DA628" i="3"/>
  <c r="CZ628" i="3"/>
  <c r="CY628" i="3"/>
  <c r="CX628" i="3"/>
  <c r="CW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Y628" i="3"/>
  <c r="BX628" i="3"/>
  <c r="BW628" i="3"/>
  <c r="BV628" i="3"/>
  <c r="BU628" i="3"/>
  <c r="BT628" i="3"/>
  <c r="BS628" i="3"/>
  <c r="BR628" i="3"/>
  <c r="BQ628" i="3"/>
  <c r="BP628" i="3"/>
  <c r="BO628" i="3"/>
  <c r="BN628" i="3"/>
  <c r="DU627" i="3"/>
  <c r="DT627" i="3"/>
  <c r="DS627" i="3"/>
  <c r="DR627" i="3"/>
  <c r="DQ627" i="3"/>
  <c r="DP627" i="3"/>
  <c r="DO627" i="3"/>
  <c r="DN627" i="3"/>
  <c r="DM627" i="3"/>
  <c r="DL627" i="3"/>
  <c r="DK627" i="3"/>
  <c r="DJ627" i="3"/>
  <c r="DI627" i="3"/>
  <c r="DH627" i="3"/>
  <c r="DG627" i="3"/>
  <c r="DF627" i="3"/>
  <c r="DE627" i="3"/>
  <c r="DD627" i="3"/>
  <c r="DC627" i="3"/>
  <c r="DB627" i="3"/>
  <c r="DA627" i="3"/>
  <c r="CZ627" i="3"/>
  <c r="CY627" i="3"/>
  <c r="CX627" i="3"/>
  <c r="CW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Y627" i="3"/>
  <c r="BX627" i="3"/>
  <c r="BW627" i="3"/>
  <c r="BV627" i="3"/>
  <c r="BU627" i="3"/>
  <c r="BT627" i="3"/>
  <c r="BS627" i="3"/>
  <c r="BR627" i="3"/>
  <c r="BQ627" i="3"/>
  <c r="BP627" i="3"/>
  <c r="BO627" i="3"/>
  <c r="BN627" i="3"/>
  <c r="DU626" i="3"/>
  <c r="DT626" i="3"/>
  <c r="DS626" i="3"/>
  <c r="DR626" i="3"/>
  <c r="DQ626" i="3"/>
  <c r="DP626" i="3"/>
  <c r="DO626" i="3"/>
  <c r="DN626" i="3"/>
  <c r="DM626" i="3"/>
  <c r="DL626" i="3"/>
  <c r="DK626" i="3"/>
  <c r="DJ626" i="3"/>
  <c r="DI626" i="3"/>
  <c r="DH626" i="3"/>
  <c r="DG626" i="3"/>
  <c r="DF626" i="3"/>
  <c r="DE626" i="3"/>
  <c r="DD626" i="3"/>
  <c r="DC626" i="3"/>
  <c r="DB626" i="3"/>
  <c r="DA626" i="3"/>
  <c r="CZ626" i="3"/>
  <c r="CY626" i="3"/>
  <c r="CX626" i="3"/>
  <c r="CW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Y626" i="3"/>
  <c r="BX626" i="3"/>
  <c r="BW626" i="3"/>
  <c r="BV626" i="3"/>
  <c r="BU626" i="3"/>
  <c r="BT626" i="3"/>
  <c r="BS626" i="3"/>
  <c r="BR626" i="3"/>
  <c r="BQ626" i="3"/>
  <c r="BP626" i="3"/>
  <c r="BO626" i="3"/>
  <c r="BN626" i="3"/>
  <c r="DU625" i="3"/>
  <c r="DT625" i="3"/>
  <c r="DS625" i="3"/>
  <c r="DR625" i="3"/>
  <c r="DQ625" i="3"/>
  <c r="DP625" i="3"/>
  <c r="DO625" i="3"/>
  <c r="DN625" i="3"/>
  <c r="DM625" i="3"/>
  <c r="DL625" i="3"/>
  <c r="DK625" i="3"/>
  <c r="DJ625" i="3"/>
  <c r="DI625" i="3"/>
  <c r="DH625" i="3"/>
  <c r="DG625" i="3"/>
  <c r="DF625" i="3"/>
  <c r="DE625" i="3"/>
  <c r="DD625" i="3"/>
  <c r="DC625" i="3"/>
  <c r="DB625" i="3"/>
  <c r="DA625" i="3"/>
  <c r="CZ625" i="3"/>
  <c r="CY625" i="3"/>
  <c r="CX625" i="3"/>
  <c r="CW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Y625" i="3"/>
  <c r="BX625" i="3"/>
  <c r="BW625" i="3"/>
  <c r="BV625" i="3"/>
  <c r="BU625" i="3"/>
  <c r="BT625" i="3"/>
  <c r="BS625" i="3"/>
  <c r="BR625" i="3"/>
  <c r="BQ625" i="3"/>
  <c r="BP625" i="3"/>
  <c r="BO625" i="3"/>
  <c r="BN625" i="3"/>
  <c r="DU624" i="3"/>
  <c r="DT624" i="3"/>
  <c r="DS624" i="3"/>
  <c r="DR624" i="3"/>
  <c r="DQ624" i="3"/>
  <c r="DP624" i="3"/>
  <c r="DO624" i="3"/>
  <c r="DN624" i="3"/>
  <c r="DM624" i="3"/>
  <c r="DL624" i="3"/>
  <c r="DK624" i="3"/>
  <c r="DJ624" i="3"/>
  <c r="DI624" i="3"/>
  <c r="DH624" i="3"/>
  <c r="DG624" i="3"/>
  <c r="DF624" i="3"/>
  <c r="DE624" i="3"/>
  <c r="DD624" i="3"/>
  <c r="DC624" i="3"/>
  <c r="DB624" i="3"/>
  <c r="DA624" i="3"/>
  <c r="CZ624" i="3"/>
  <c r="CY624" i="3"/>
  <c r="CX624" i="3"/>
  <c r="CW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Y624" i="3"/>
  <c r="BX624" i="3"/>
  <c r="BW624" i="3"/>
  <c r="BV624" i="3"/>
  <c r="BU624" i="3"/>
  <c r="BT624" i="3"/>
  <c r="BS624" i="3"/>
  <c r="BR624" i="3"/>
  <c r="BQ624" i="3"/>
  <c r="BP624" i="3"/>
  <c r="BO624" i="3"/>
  <c r="BN624" i="3"/>
  <c r="DU623" i="3"/>
  <c r="DT623" i="3"/>
  <c r="DS623" i="3"/>
  <c r="DR623" i="3"/>
  <c r="DQ623" i="3"/>
  <c r="DP623" i="3"/>
  <c r="DO623" i="3"/>
  <c r="DN623" i="3"/>
  <c r="DM623" i="3"/>
  <c r="DL623" i="3"/>
  <c r="DK623" i="3"/>
  <c r="DJ623" i="3"/>
  <c r="DI623" i="3"/>
  <c r="DH623" i="3"/>
  <c r="DG623" i="3"/>
  <c r="DF623" i="3"/>
  <c r="DE623" i="3"/>
  <c r="DD623" i="3"/>
  <c r="DC623" i="3"/>
  <c r="DB623" i="3"/>
  <c r="DA623" i="3"/>
  <c r="CZ623" i="3"/>
  <c r="CY623" i="3"/>
  <c r="CX623" i="3"/>
  <c r="CW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Y623" i="3"/>
  <c r="BX623" i="3"/>
  <c r="BW623" i="3"/>
  <c r="BV623" i="3"/>
  <c r="BU623" i="3"/>
  <c r="BT623" i="3"/>
  <c r="BS623" i="3"/>
  <c r="BR623" i="3"/>
  <c r="BQ623" i="3"/>
  <c r="BP623" i="3"/>
  <c r="BO623" i="3"/>
  <c r="BN623" i="3"/>
  <c r="DU622" i="3"/>
  <c r="DT622" i="3"/>
  <c r="DS622" i="3"/>
  <c r="DR622" i="3"/>
  <c r="DQ622" i="3"/>
  <c r="DP622" i="3"/>
  <c r="DO622" i="3"/>
  <c r="DN622" i="3"/>
  <c r="DM622" i="3"/>
  <c r="DL622" i="3"/>
  <c r="DK622" i="3"/>
  <c r="DJ622" i="3"/>
  <c r="DI622" i="3"/>
  <c r="DH622" i="3"/>
  <c r="DG622" i="3"/>
  <c r="DF622" i="3"/>
  <c r="DE622" i="3"/>
  <c r="DD622" i="3"/>
  <c r="DC622" i="3"/>
  <c r="DB622" i="3"/>
  <c r="DA622" i="3"/>
  <c r="CZ622" i="3"/>
  <c r="CY622" i="3"/>
  <c r="CX622" i="3"/>
  <c r="CW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Y622" i="3"/>
  <c r="BX622" i="3"/>
  <c r="BW622" i="3"/>
  <c r="BV622" i="3"/>
  <c r="BU622" i="3"/>
  <c r="BT622" i="3"/>
  <c r="BS622" i="3"/>
  <c r="BR622" i="3"/>
  <c r="BQ622" i="3"/>
  <c r="BP622" i="3"/>
  <c r="BO622" i="3"/>
  <c r="BN622" i="3"/>
  <c r="DU621" i="3"/>
  <c r="DT621" i="3"/>
  <c r="DS621" i="3"/>
  <c r="DR621" i="3"/>
  <c r="DQ621" i="3"/>
  <c r="DP621" i="3"/>
  <c r="DO621" i="3"/>
  <c r="DN621" i="3"/>
  <c r="DM621" i="3"/>
  <c r="DL621" i="3"/>
  <c r="DK621" i="3"/>
  <c r="DJ621" i="3"/>
  <c r="DI621" i="3"/>
  <c r="DH621" i="3"/>
  <c r="DG621" i="3"/>
  <c r="DF621" i="3"/>
  <c r="DE621" i="3"/>
  <c r="DD621" i="3"/>
  <c r="DC621" i="3"/>
  <c r="DB621" i="3"/>
  <c r="DA621" i="3"/>
  <c r="CZ621" i="3"/>
  <c r="CY621" i="3"/>
  <c r="CX621" i="3"/>
  <c r="CW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Y621" i="3"/>
  <c r="BX621" i="3"/>
  <c r="BW621" i="3"/>
  <c r="BV621" i="3"/>
  <c r="BU621" i="3"/>
  <c r="BT621" i="3"/>
  <c r="BS621" i="3"/>
  <c r="BR621" i="3"/>
  <c r="BQ621" i="3"/>
  <c r="BP621" i="3"/>
  <c r="BO621" i="3"/>
  <c r="BN621" i="3"/>
  <c r="DU620" i="3"/>
  <c r="DT620" i="3"/>
  <c r="DS620" i="3"/>
  <c r="DR620" i="3"/>
  <c r="DQ620" i="3"/>
  <c r="DP620" i="3"/>
  <c r="DO620" i="3"/>
  <c r="DN620" i="3"/>
  <c r="DM620" i="3"/>
  <c r="DL620" i="3"/>
  <c r="DK620" i="3"/>
  <c r="DJ620" i="3"/>
  <c r="DI620" i="3"/>
  <c r="DH620" i="3"/>
  <c r="DG620" i="3"/>
  <c r="DF620" i="3"/>
  <c r="DE620" i="3"/>
  <c r="DD620" i="3"/>
  <c r="DC620" i="3"/>
  <c r="DB620" i="3"/>
  <c r="DA620" i="3"/>
  <c r="CZ620" i="3"/>
  <c r="CY620" i="3"/>
  <c r="CX620" i="3"/>
  <c r="CW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Y620" i="3"/>
  <c r="BX620" i="3"/>
  <c r="BW620" i="3"/>
  <c r="BV620" i="3"/>
  <c r="BU620" i="3"/>
  <c r="BT620" i="3"/>
  <c r="BS620" i="3"/>
  <c r="BR620" i="3"/>
  <c r="BQ620" i="3"/>
  <c r="BP620" i="3"/>
  <c r="BO620" i="3"/>
  <c r="BN620" i="3"/>
  <c r="DU619" i="3"/>
  <c r="DT619" i="3"/>
  <c r="DS619" i="3"/>
  <c r="DR619" i="3"/>
  <c r="DQ619" i="3"/>
  <c r="DP619" i="3"/>
  <c r="DO619" i="3"/>
  <c r="DN619" i="3"/>
  <c r="DM619" i="3"/>
  <c r="DL619" i="3"/>
  <c r="DK619" i="3"/>
  <c r="DJ619" i="3"/>
  <c r="DI619" i="3"/>
  <c r="DH619" i="3"/>
  <c r="DG619" i="3"/>
  <c r="DF619" i="3"/>
  <c r="DE619" i="3"/>
  <c r="DD619" i="3"/>
  <c r="DC619" i="3"/>
  <c r="DB619" i="3"/>
  <c r="DA619" i="3"/>
  <c r="CZ619" i="3"/>
  <c r="CY619" i="3"/>
  <c r="CX619" i="3"/>
  <c r="CW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Y619" i="3"/>
  <c r="BX619" i="3"/>
  <c r="BW619" i="3"/>
  <c r="BV619" i="3"/>
  <c r="BU619" i="3"/>
  <c r="BT619" i="3"/>
  <c r="BS619" i="3"/>
  <c r="BR619" i="3"/>
  <c r="BQ619" i="3"/>
  <c r="BP619" i="3"/>
  <c r="BO619" i="3"/>
  <c r="BN619" i="3"/>
  <c r="DU618" i="3"/>
  <c r="DT618" i="3"/>
  <c r="DS618" i="3"/>
  <c r="DR618" i="3"/>
  <c r="DQ618" i="3"/>
  <c r="DP618" i="3"/>
  <c r="DO618" i="3"/>
  <c r="DN618" i="3"/>
  <c r="DM618" i="3"/>
  <c r="DL618" i="3"/>
  <c r="DK618" i="3"/>
  <c r="DJ618" i="3"/>
  <c r="DI618" i="3"/>
  <c r="DH618" i="3"/>
  <c r="DG618" i="3"/>
  <c r="DF618" i="3"/>
  <c r="DE618" i="3"/>
  <c r="DD618" i="3"/>
  <c r="DC618" i="3"/>
  <c r="DB618" i="3"/>
  <c r="DA618" i="3"/>
  <c r="CZ618" i="3"/>
  <c r="CY618" i="3"/>
  <c r="CX618" i="3"/>
  <c r="CW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Y618" i="3"/>
  <c r="BX618" i="3"/>
  <c r="BW618" i="3"/>
  <c r="BV618" i="3"/>
  <c r="BU618" i="3"/>
  <c r="BT618" i="3"/>
  <c r="BS618" i="3"/>
  <c r="BR618" i="3"/>
  <c r="BQ618" i="3"/>
  <c r="BP618" i="3"/>
  <c r="BO618" i="3"/>
  <c r="BN618" i="3"/>
  <c r="DU617" i="3"/>
  <c r="DT617" i="3"/>
  <c r="DS617" i="3"/>
  <c r="DR617" i="3"/>
  <c r="DQ617" i="3"/>
  <c r="DP617" i="3"/>
  <c r="DO617" i="3"/>
  <c r="DN617" i="3"/>
  <c r="DM617" i="3"/>
  <c r="DL617" i="3"/>
  <c r="DK617" i="3"/>
  <c r="DJ617" i="3"/>
  <c r="DI617" i="3"/>
  <c r="DH617" i="3"/>
  <c r="DG617" i="3"/>
  <c r="DF617" i="3"/>
  <c r="DE617" i="3"/>
  <c r="DD617" i="3"/>
  <c r="DC617" i="3"/>
  <c r="DB617" i="3"/>
  <c r="DA617" i="3"/>
  <c r="CZ617" i="3"/>
  <c r="CY617" i="3"/>
  <c r="CX617" i="3"/>
  <c r="CW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Y617" i="3"/>
  <c r="BX617" i="3"/>
  <c r="BW617" i="3"/>
  <c r="BV617" i="3"/>
  <c r="BU617" i="3"/>
  <c r="BT617" i="3"/>
  <c r="BS617" i="3"/>
  <c r="BR617" i="3"/>
  <c r="BQ617" i="3"/>
  <c r="BP617" i="3"/>
  <c r="BO617" i="3"/>
  <c r="BN617" i="3"/>
  <c r="DU616" i="3"/>
  <c r="DT616" i="3"/>
  <c r="DS616" i="3"/>
  <c r="DR616" i="3"/>
  <c r="DQ616" i="3"/>
  <c r="DP616" i="3"/>
  <c r="DO616" i="3"/>
  <c r="DN616" i="3"/>
  <c r="DM616" i="3"/>
  <c r="DL616" i="3"/>
  <c r="DK616" i="3"/>
  <c r="DJ616" i="3"/>
  <c r="DI616" i="3"/>
  <c r="DH616" i="3"/>
  <c r="DG616" i="3"/>
  <c r="DF616" i="3"/>
  <c r="DE616" i="3"/>
  <c r="DD616" i="3"/>
  <c r="DC616" i="3"/>
  <c r="DB616" i="3"/>
  <c r="DA616" i="3"/>
  <c r="CZ616" i="3"/>
  <c r="CY616" i="3"/>
  <c r="CX616" i="3"/>
  <c r="CW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Y616" i="3"/>
  <c r="BX616" i="3"/>
  <c r="BW616" i="3"/>
  <c r="BV616" i="3"/>
  <c r="BU616" i="3"/>
  <c r="BT616" i="3"/>
  <c r="BS616" i="3"/>
  <c r="BR616" i="3"/>
  <c r="BQ616" i="3"/>
  <c r="BP616" i="3"/>
  <c r="BO616" i="3"/>
  <c r="BN616" i="3"/>
  <c r="DU615" i="3"/>
  <c r="DT615" i="3"/>
  <c r="DS615" i="3"/>
  <c r="DR615" i="3"/>
  <c r="DQ615" i="3"/>
  <c r="DP615" i="3"/>
  <c r="DO615" i="3"/>
  <c r="DN615" i="3"/>
  <c r="DM615" i="3"/>
  <c r="DL615" i="3"/>
  <c r="DK615" i="3"/>
  <c r="DJ615" i="3"/>
  <c r="DI615" i="3"/>
  <c r="DH615" i="3"/>
  <c r="DG615" i="3"/>
  <c r="DF615" i="3"/>
  <c r="DE615" i="3"/>
  <c r="DD615" i="3"/>
  <c r="DC615" i="3"/>
  <c r="DB615" i="3"/>
  <c r="DA615" i="3"/>
  <c r="CZ615" i="3"/>
  <c r="CY615" i="3"/>
  <c r="CX615" i="3"/>
  <c r="CW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Y615" i="3"/>
  <c r="BX615" i="3"/>
  <c r="BW615" i="3"/>
  <c r="BV615" i="3"/>
  <c r="BU615" i="3"/>
  <c r="BT615" i="3"/>
  <c r="BS615" i="3"/>
  <c r="BR615" i="3"/>
  <c r="BQ615" i="3"/>
  <c r="BP615" i="3"/>
  <c r="BO615" i="3"/>
  <c r="BN615" i="3"/>
  <c r="DU614" i="3"/>
  <c r="DT614" i="3"/>
  <c r="DS614" i="3"/>
  <c r="DR614" i="3"/>
  <c r="DQ614" i="3"/>
  <c r="DP614" i="3"/>
  <c r="DO614" i="3"/>
  <c r="DN614" i="3"/>
  <c r="DM614" i="3"/>
  <c r="DL614" i="3"/>
  <c r="DK614" i="3"/>
  <c r="DJ614" i="3"/>
  <c r="DI614" i="3"/>
  <c r="DH614" i="3"/>
  <c r="DG614" i="3"/>
  <c r="DF614" i="3"/>
  <c r="DE614" i="3"/>
  <c r="DD614" i="3"/>
  <c r="DC614" i="3"/>
  <c r="DB614" i="3"/>
  <c r="DA614" i="3"/>
  <c r="CZ614" i="3"/>
  <c r="CY614" i="3"/>
  <c r="CX614" i="3"/>
  <c r="CW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Y614" i="3"/>
  <c r="BX614" i="3"/>
  <c r="BW614" i="3"/>
  <c r="BV614" i="3"/>
  <c r="BU614" i="3"/>
  <c r="BT614" i="3"/>
  <c r="BS614" i="3"/>
  <c r="BR614" i="3"/>
  <c r="BQ614" i="3"/>
  <c r="BP614" i="3"/>
  <c r="BO614" i="3"/>
  <c r="BN614" i="3"/>
  <c r="DU613" i="3"/>
  <c r="DT613" i="3"/>
  <c r="DS613" i="3"/>
  <c r="DR613" i="3"/>
  <c r="DQ613" i="3"/>
  <c r="DP613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Y613" i="3"/>
  <c r="BX613" i="3"/>
  <c r="BW613" i="3"/>
  <c r="BV613" i="3"/>
  <c r="BU613" i="3"/>
  <c r="BT613" i="3"/>
  <c r="BS613" i="3"/>
  <c r="BR613" i="3"/>
  <c r="BQ613" i="3"/>
  <c r="BP613" i="3"/>
  <c r="BO613" i="3"/>
  <c r="BN613" i="3"/>
  <c r="DU612" i="3"/>
  <c r="DT612" i="3"/>
  <c r="DS612" i="3"/>
  <c r="DR612" i="3"/>
  <c r="DQ612" i="3"/>
  <c r="DP612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Y612" i="3"/>
  <c r="BX612" i="3"/>
  <c r="BW612" i="3"/>
  <c r="BV612" i="3"/>
  <c r="BU612" i="3"/>
  <c r="BT612" i="3"/>
  <c r="BS612" i="3"/>
  <c r="BR612" i="3"/>
  <c r="BQ612" i="3"/>
  <c r="BP612" i="3"/>
  <c r="BO612" i="3"/>
  <c r="BN612" i="3"/>
  <c r="DU611" i="3"/>
  <c r="DT611" i="3"/>
  <c r="DS611" i="3"/>
  <c r="DR611" i="3"/>
  <c r="DQ611" i="3"/>
  <c r="DP611" i="3"/>
  <c r="DO611" i="3"/>
  <c r="DN611" i="3"/>
  <c r="DM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Y611" i="3"/>
  <c r="BX611" i="3"/>
  <c r="BW611" i="3"/>
  <c r="BV611" i="3"/>
  <c r="BU611" i="3"/>
  <c r="BT611" i="3"/>
  <c r="BS611" i="3"/>
  <c r="BR611" i="3"/>
  <c r="BQ611" i="3"/>
  <c r="BP611" i="3"/>
  <c r="BO611" i="3"/>
  <c r="BN611" i="3"/>
  <c r="DU610" i="3"/>
  <c r="DT610" i="3"/>
  <c r="DS610" i="3"/>
  <c r="DR610" i="3"/>
  <c r="DQ610" i="3"/>
  <c r="DP610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Y610" i="3"/>
  <c r="BX610" i="3"/>
  <c r="BW610" i="3"/>
  <c r="BV610" i="3"/>
  <c r="BU610" i="3"/>
  <c r="BT610" i="3"/>
  <c r="BS610" i="3"/>
  <c r="BR610" i="3"/>
  <c r="BQ610" i="3"/>
  <c r="BP610" i="3"/>
  <c r="BO610" i="3"/>
  <c r="BN610" i="3"/>
  <c r="DU609" i="3"/>
  <c r="DT609" i="3"/>
  <c r="DS609" i="3"/>
  <c r="DR609" i="3"/>
  <c r="DQ609" i="3"/>
  <c r="DP609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Y609" i="3"/>
  <c r="BX609" i="3"/>
  <c r="BW609" i="3"/>
  <c r="BV609" i="3"/>
  <c r="BU609" i="3"/>
  <c r="BT609" i="3"/>
  <c r="BS609" i="3"/>
  <c r="BR609" i="3"/>
  <c r="BQ609" i="3"/>
  <c r="BP609" i="3"/>
  <c r="BO609" i="3"/>
  <c r="BN609" i="3"/>
  <c r="DU608" i="3"/>
  <c r="DT608" i="3"/>
  <c r="DS608" i="3"/>
  <c r="DR608" i="3"/>
  <c r="DQ608" i="3"/>
  <c r="DP608" i="3"/>
  <c r="DO608" i="3"/>
  <c r="DN608" i="3"/>
  <c r="DM608" i="3"/>
  <c r="DL608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Y608" i="3"/>
  <c r="BX608" i="3"/>
  <c r="BW608" i="3"/>
  <c r="BV608" i="3"/>
  <c r="BU608" i="3"/>
  <c r="BT608" i="3"/>
  <c r="BS608" i="3"/>
  <c r="BR608" i="3"/>
  <c r="BQ608" i="3"/>
  <c r="BP608" i="3"/>
  <c r="BO608" i="3"/>
  <c r="BN608" i="3"/>
  <c r="DU607" i="3"/>
  <c r="DT607" i="3"/>
  <c r="DS607" i="3"/>
  <c r="DR607" i="3"/>
  <c r="DQ607" i="3"/>
  <c r="DP607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Y607" i="3"/>
  <c r="BX607" i="3"/>
  <c r="BW607" i="3"/>
  <c r="BV607" i="3"/>
  <c r="BU607" i="3"/>
  <c r="BT607" i="3"/>
  <c r="BS607" i="3"/>
  <c r="BR607" i="3"/>
  <c r="BQ607" i="3"/>
  <c r="BP607" i="3"/>
  <c r="BO607" i="3"/>
  <c r="BN607" i="3"/>
  <c r="DU606" i="3"/>
  <c r="DT606" i="3"/>
  <c r="DS606" i="3"/>
  <c r="DR606" i="3"/>
  <c r="DQ606" i="3"/>
  <c r="DP606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Y606" i="3"/>
  <c r="BX606" i="3"/>
  <c r="BW606" i="3"/>
  <c r="BV606" i="3"/>
  <c r="BU606" i="3"/>
  <c r="BT606" i="3"/>
  <c r="BS606" i="3"/>
  <c r="BR606" i="3"/>
  <c r="BQ606" i="3"/>
  <c r="BP606" i="3"/>
  <c r="BO606" i="3"/>
  <c r="BN606" i="3"/>
  <c r="DU605" i="3"/>
  <c r="DT605" i="3"/>
  <c r="DS605" i="3"/>
  <c r="DR605" i="3"/>
  <c r="DQ605" i="3"/>
  <c r="DP605" i="3"/>
  <c r="DO605" i="3"/>
  <c r="DN605" i="3"/>
  <c r="DM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Y605" i="3"/>
  <c r="BX605" i="3"/>
  <c r="BW605" i="3"/>
  <c r="BV605" i="3"/>
  <c r="BU605" i="3"/>
  <c r="BT605" i="3"/>
  <c r="BS605" i="3"/>
  <c r="BR605" i="3"/>
  <c r="BQ605" i="3"/>
  <c r="BP605" i="3"/>
  <c r="BO605" i="3"/>
  <c r="BN605" i="3"/>
  <c r="DU604" i="3"/>
  <c r="DT604" i="3"/>
  <c r="DS604" i="3"/>
  <c r="DR604" i="3"/>
  <c r="DQ604" i="3"/>
  <c r="DP604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Y604" i="3"/>
  <c r="BX604" i="3"/>
  <c r="BW604" i="3"/>
  <c r="BV604" i="3"/>
  <c r="BU604" i="3"/>
  <c r="BT604" i="3"/>
  <c r="BS604" i="3"/>
  <c r="BR604" i="3"/>
  <c r="BQ604" i="3"/>
  <c r="BP604" i="3"/>
  <c r="BO604" i="3"/>
  <c r="BN604" i="3"/>
  <c r="DU603" i="3"/>
  <c r="DT603" i="3"/>
  <c r="DS603" i="3"/>
  <c r="DR603" i="3"/>
  <c r="DQ603" i="3"/>
  <c r="DP603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Y603" i="3"/>
  <c r="BX603" i="3"/>
  <c r="BW603" i="3"/>
  <c r="BV603" i="3"/>
  <c r="BU603" i="3"/>
  <c r="BT603" i="3"/>
  <c r="BS603" i="3"/>
  <c r="BR603" i="3"/>
  <c r="BQ603" i="3"/>
  <c r="BP603" i="3"/>
  <c r="BO603" i="3"/>
  <c r="BN603" i="3"/>
  <c r="DU602" i="3"/>
  <c r="DT602" i="3"/>
  <c r="DS602" i="3"/>
  <c r="DR602" i="3"/>
  <c r="DQ602" i="3"/>
  <c r="DP602" i="3"/>
  <c r="DO602" i="3"/>
  <c r="DN602" i="3"/>
  <c r="DM602" i="3"/>
  <c r="DL602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Y602" i="3"/>
  <c r="BX602" i="3"/>
  <c r="BW602" i="3"/>
  <c r="BV602" i="3"/>
  <c r="BU602" i="3"/>
  <c r="BT602" i="3"/>
  <c r="BS602" i="3"/>
  <c r="BR602" i="3"/>
  <c r="BQ602" i="3"/>
  <c r="BP602" i="3"/>
  <c r="BO602" i="3"/>
  <c r="BN602" i="3"/>
  <c r="DU601" i="3"/>
  <c r="DT601" i="3"/>
  <c r="DS601" i="3"/>
  <c r="DR601" i="3"/>
  <c r="DQ601" i="3"/>
  <c r="DP601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Y601" i="3"/>
  <c r="BX601" i="3"/>
  <c r="BW601" i="3"/>
  <c r="BV601" i="3"/>
  <c r="BU601" i="3"/>
  <c r="BT601" i="3"/>
  <c r="BS601" i="3"/>
  <c r="BR601" i="3"/>
  <c r="BQ601" i="3"/>
  <c r="BP601" i="3"/>
  <c r="BO601" i="3"/>
  <c r="BN601" i="3"/>
  <c r="DU600" i="3"/>
  <c r="DT600" i="3"/>
  <c r="DS600" i="3"/>
  <c r="DR600" i="3"/>
  <c r="DQ600" i="3"/>
  <c r="DP600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Y600" i="3"/>
  <c r="BX600" i="3"/>
  <c r="BW600" i="3"/>
  <c r="BV600" i="3"/>
  <c r="BU600" i="3"/>
  <c r="BT600" i="3"/>
  <c r="BS600" i="3"/>
  <c r="BR600" i="3"/>
  <c r="BQ600" i="3"/>
  <c r="BP600" i="3"/>
  <c r="BO600" i="3"/>
  <c r="BN600" i="3"/>
  <c r="DU599" i="3"/>
  <c r="DT599" i="3"/>
  <c r="DS599" i="3"/>
  <c r="DR599" i="3"/>
  <c r="DQ599" i="3"/>
  <c r="DP599" i="3"/>
  <c r="DO599" i="3"/>
  <c r="DN599" i="3"/>
  <c r="DM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CY599" i="3"/>
  <c r="CX599" i="3"/>
  <c r="CW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Y599" i="3"/>
  <c r="BX599" i="3"/>
  <c r="BW599" i="3"/>
  <c r="BV599" i="3"/>
  <c r="BU599" i="3"/>
  <c r="BT599" i="3"/>
  <c r="BS599" i="3"/>
  <c r="BR599" i="3"/>
  <c r="BQ599" i="3"/>
  <c r="BP599" i="3"/>
  <c r="BO599" i="3"/>
  <c r="BN599" i="3"/>
  <c r="DU598" i="3"/>
  <c r="DT598" i="3"/>
  <c r="DS598" i="3"/>
  <c r="DR598" i="3"/>
  <c r="DQ598" i="3"/>
  <c r="DP598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CY598" i="3"/>
  <c r="CX598" i="3"/>
  <c r="CW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Y598" i="3"/>
  <c r="BX598" i="3"/>
  <c r="BW598" i="3"/>
  <c r="BV598" i="3"/>
  <c r="BU598" i="3"/>
  <c r="BT598" i="3"/>
  <c r="BS598" i="3"/>
  <c r="BR598" i="3"/>
  <c r="BQ598" i="3"/>
  <c r="BP598" i="3"/>
  <c r="BO598" i="3"/>
  <c r="BN598" i="3"/>
  <c r="DU597" i="3"/>
  <c r="DT597" i="3"/>
  <c r="DS597" i="3"/>
  <c r="DR597" i="3"/>
  <c r="DQ597" i="3"/>
  <c r="DP597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Y597" i="3"/>
  <c r="BX597" i="3"/>
  <c r="BW597" i="3"/>
  <c r="BV597" i="3"/>
  <c r="BU597" i="3"/>
  <c r="BT597" i="3"/>
  <c r="BS597" i="3"/>
  <c r="BR597" i="3"/>
  <c r="BQ597" i="3"/>
  <c r="BP597" i="3"/>
  <c r="BO597" i="3"/>
  <c r="BN597" i="3"/>
  <c r="DU596" i="3"/>
  <c r="DT596" i="3"/>
  <c r="DS596" i="3"/>
  <c r="DR596" i="3"/>
  <c r="DQ596" i="3"/>
  <c r="DP596" i="3"/>
  <c r="DO596" i="3"/>
  <c r="DN596" i="3"/>
  <c r="DM596" i="3"/>
  <c r="DL596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Y596" i="3"/>
  <c r="BX596" i="3"/>
  <c r="BW596" i="3"/>
  <c r="BV596" i="3"/>
  <c r="BU596" i="3"/>
  <c r="BT596" i="3"/>
  <c r="BS596" i="3"/>
  <c r="BR596" i="3"/>
  <c r="BQ596" i="3"/>
  <c r="BP596" i="3"/>
  <c r="BO596" i="3"/>
  <c r="BN596" i="3"/>
  <c r="DU595" i="3"/>
  <c r="DT595" i="3"/>
  <c r="DS595" i="3"/>
  <c r="DR595" i="3"/>
  <c r="DQ595" i="3"/>
  <c r="DP595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Y595" i="3"/>
  <c r="BX595" i="3"/>
  <c r="BW595" i="3"/>
  <c r="BV595" i="3"/>
  <c r="BU595" i="3"/>
  <c r="BT595" i="3"/>
  <c r="BS595" i="3"/>
  <c r="BR595" i="3"/>
  <c r="BQ595" i="3"/>
  <c r="BP595" i="3"/>
  <c r="BO595" i="3"/>
  <c r="BN595" i="3"/>
  <c r="DU594" i="3"/>
  <c r="DT594" i="3"/>
  <c r="DS594" i="3"/>
  <c r="DR594" i="3"/>
  <c r="DQ594" i="3"/>
  <c r="DP594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Y594" i="3"/>
  <c r="BX594" i="3"/>
  <c r="BW594" i="3"/>
  <c r="BV594" i="3"/>
  <c r="BU594" i="3"/>
  <c r="BT594" i="3"/>
  <c r="BS594" i="3"/>
  <c r="BR594" i="3"/>
  <c r="BQ594" i="3"/>
  <c r="BP594" i="3"/>
  <c r="BO594" i="3"/>
  <c r="BN594" i="3"/>
  <c r="DU593" i="3"/>
  <c r="DT593" i="3"/>
  <c r="DS593" i="3"/>
  <c r="DR593" i="3"/>
  <c r="DQ593" i="3"/>
  <c r="DP593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Y593" i="3"/>
  <c r="BX593" i="3"/>
  <c r="BW593" i="3"/>
  <c r="BV593" i="3"/>
  <c r="BU593" i="3"/>
  <c r="BT593" i="3"/>
  <c r="BS593" i="3"/>
  <c r="BR593" i="3"/>
  <c r="BQ593" i="3"/>
  <c r="BP593" i="3"/>
  <c r="BO593" i="3"/>
  <c r="BN593" i="3"/>
  <c r="DU592" i="3"/>
  <c r="DT592" i="3"/>
  <c r="DS592" i="3"/>
  <c r="DR592" i="3"/>
  <c r="DQ592" i="3"/>
  <c r="DP592" i="3"/>
  <c r="DO592" i="3"/>
  <c r="DN592" i="3"/>
  <c r="DM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Y592" i="3"/>
  <c r="BX592" i="3"/>
  <c r="BW592" i="3"/>
  <c r="BV592" i="3"/>
  <c r="BU592" i="3"/>
  <c r="BT592" i="3"/>
  <c r="BS592" i="3"/>
  <c r="BR592" i="3"/>
  <c r="BQ592" i="3"/>
  <c r="BP592" i="3"/>
  <c r="BO592" i="3"/>
  <c r="BN592" i="3"/>
  <c r="DU591" i="3"/>
  <c r="DT591" i="3"/>
  <c r="DS591" i="3"/>
  <c r="DR591" i="3"/>
  <c r="DQ591" i="3"/>
  <c r="DP591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Y591" i="3"/>
  <c r="BX591" i="3"/>
  <c r="BW591" i="3"/>
  <c r="BV591" i="3"/>
  <c r="BU591" i="3"/>
  <c r="BT591" i="3"/>
  <c r="BS591" i="3"/>
  <c r="BR591" i="3"/>
  <c r="BQ591" i="3"/>
  <c r="BP591" i="3"/>
  <c r="BO591" i="3"/>
  <c r="BN591" i="3"/>
  <c r="DU590" i="3"/>
  <c r="DT590" i="3"/>
  <c r="DS590" i="3"/>
  <c r="DR590" i="3"/>
  <c r="DQ590" i="3"/>
  <c r="DP590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Y590" i="3"/>
  <c r="BX590" i="3"/>
  <c r="BW590" i="3"/>
  <c r="BV590" i="3"/>
  <c r="BU590" i="3"/>
  <c r="BT590" i="3"/>
  <c r="BS590" i="3"/>
  <c r="BR590" i="3"/>
  <c r="BQ590" i="3"/>
  <c r="BP590" i="3"/>
  <c r="BO590" i="3"/>
  <c r="BN590" i="3"/>
  <c r="DU589" i="3"/>
  <c r="DT589" i="3"/>
  <c r="DS589" i="3"/>
  <c r="DR589" i="3"/>
  <c r="DQ589" i="3"/>
  <c r="DP589" i="3"/>
  <c r="DO589" i="3"/>
  <c r="DN589" i="3"/>
  <c r="DM589" i="3"/>
  <c r="DL589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Y589" i="3"/>
  <c r="BX589" i="3"/>
  <c r="BW589" i="3"/>
  <c r="BV589" i="3"/>
  <c r="BU589" i="3"/>
  <c r="BT589" i="3"/>
  <c r="BS589" i="3"/>
  <c r="BR589" i="3"/>
  <c r="BQ589" i="3"/>
  <c r="BP589" i="3"/>
  <c r="BO589" i="3"/>
  <c r="BN589" i="3"/>
  <c r="DU588" i="3"/>
  <c r="DT588" i="3"/>
  <c r="DS588" i="3"/>
  <c r="DR588" i="3"/>
  <c r="DQ588" i="3"/>
  <c r="DP588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Y588" i="3"/>
  <c r="BX588" i="3"/>
  <c r="BW588" i="3"/>
  <c r="BV588" i="3"/>
  <c r="BU588" i="3"/>
  <c r="BT588" i="3"/>
  <c r="BS588" i="3"/>
  <c r="BR588" i="3"/>
  <c r="BQ588" i="3"/>
  <c r="BP588" i="3"/>
  <c r="BO588" i="3"/>
  <c r="BN588" i="3"/>
  <c r="DU587" i="3"/>
  <c r="DT587" i="3"/>
  <c r="DS587" i="3"/>
  <c r="DR587" i="3"/>
  <c r="DQ587" i="3"/>
  <c r="DP587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Y587" i="3"/>
  <c r="BX587" i="3"/>
  <c r="BW587" i="3"/>
  <c r="BV587" i="3"/>
  <c r="BU587" i="3"/>
  <c r="BT587" i="3"/>
  <c r="BS587" i="3"/>
  <c r="BR587" i="3"/>
  <c r="BQ587" i="3"/>
  <c r="BP587" i="3"/>
  <c r="BO587" i="3"/>
  <c r="BN587" i="3"/>
  <c r="DU586" i="3"/>
  <c r="DT586" i="3"/>
  <c r="DS586" i="3"/>
  <c r="DR586" i="3"/>
  <c r="DQ586" i="3"/>
  <c r="DP586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Y586" i="3"/>
  <c r="BX586" i="3"/>
  <c r="BW586" i="3"/>
  <c r="BV586" i="3"/>
  <c r="BU586" i="3"/>
  <c r="BT586" i="3"/>
  <c r="BS586" i="3"/>
  <c r="BR586" i="3"/>
  <c r="BQ586" i="3"/>
  <c r="BP586" i="3"/>
  <c r="BO586" i="3"/>
  <c r="BN586" i="3"/>
  <c r="DU585" i="3"/>
  <c r="DT585" i="3"/>
  <c r="DS585" i="3"/>
  <c r="DR585" i="3"/>
  <c r="DQ585" i="3"/>
  <c r="DP585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Y585" i="3"/>
  <c r="BX585" i="3"/>
  <c r="BW585" i="3"/>
  <c r="BV585" i="3"/>
  <c r="BU585" i="3"/>
  <c r="BT585" i="3"/>
  <c r="BS585" i="3"/>
  <c r="BR585" i="3"/>
  <c r="BQ585" i="3"/>
  <c r="BP585" i="3"/>
  <c r="BO585" i="3"/>
  <c r="BN585" i="3"/>
  <c r="DU584" i="3"/>
  <c r="DT584" i="3"/>
  <c r="DS584" i="3"/>
  <c r="DR584" i="3"/>
  <c r="DQ584" i="3"/>
  <c r="DP584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Y584" i="3"/>
  <c r="BX584" i="3"/>
  <c r="BW584" i="3"/>
  <c r="BV584" i="3"/>
  <c r="BU584" i="3"/>
  <c r="BT584" i="3"/>
  <c r="BS584" i="3"/>
  <c r="BR584" i="3"/>
  <c r="BQ584" i="3"/>
  <c r="BP584" i="3"/>
  <c r="BO584" i="3"/>
  <c r="BN584" i="3"/>
  <c r="DU583" i="3"/>
  <c r="DT583" i="3"/>
  <c r="DS583" i="3"/>
  <c r="DR583" i="3"/>
  <c r="DQ583" i="3"/>
  <c r="DP583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Y583" i="3"/>
  <c r="BX583" i="3"/>
  <c r="BW583" i="3"/>
  <c r="BV583" i="3"/>
  <c r="BU583" i="3"/>
  <c r="BT583" i="3"/>
  <c r="BS583" i="3"/>
  <c r="BR583" i="3"/>
  <c r="BQ583" i="3"/>
  <c r="BP583" i="3"/>
  <c r="BO583" i="3"/>
  <c r="BN583" i="3"/>
  <c r="DU582" i="3"/>
  <c r="DT582" i="3"/>
  <c r="DS582" i="3"/>
  <c r="DR582" i="3"/>
  <c r="DQ582" i="3"/>
  <c r="DP582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Y582" i="3"/>
  <c r="BX582" i="3"/>
  <c r="BW582" i="3"/>
  <c r="BV582" i="3"/>
  <c r="BU582" i="3"/>
  <c r="BT582" i="3"/>
  <c r="BS582" i="3"/>
  <c r="BR582" i="3"/>
  <c r="BQ582" i="3"/>
  <c r="BP582" i="3"/>
  <c r="BO582" i="3"/>
  <c r="BN582" i="3"/>
  <c r="DU581" i="3"/>
  <c r="DT581" i="3"/>
  <c r="DS581" i="3"/>
  <c r="DR581" i="3"/>
  <c r="DQ581" i="3"/>
  <c r="DP581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Y581" i="3"/>
  <c r="BX581" i="3"/>
  <c r="BW581" i="3"/>
  <c r="BV581" i="3"/>
  <c r="BU581" i="3"/>
  <c r="BT581" i="3"/>
  <c r="BS581" i="3"/>
  <c r="BR581" i="3"/>
  <c r="BQ581" i="3"/>
  <c r="BP581" i="3"/>
  <c r="BO581" i="3"/>
  <c r="BN581" i="3"/>
  <c r="DU580" i="3"/>
  <c r="DT580" i="3"/>
  <c r="DS580" i="3"/>
  <c r="DR580" i="3"/>
  <c r="DQ580" i="3"/>
  <c r="DP580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Y580" i="3"/>
  <c r="BX580" i="3"/>
  <c r="BW580" i="3"/>
  <c r="BV580" i="3"/>
  <c r="BU580" i="3"/>
  <c r="BT580" i="3"/>
  <c r="BS580" i="3"/>
  <c r="BR580" i="3"/>
  <c r="BQ580" i="3"/>
  <c r="BP580" i="3"/>
  <c r="BO580" i="3"/>
  <c r="BN580" i="3"/>
  <c r="DU579" i="3"/>
  <c r="DT579" i="3"/>
  <c r="DS579" i="3"/>
  <c r="DR579" i="3"/>
  <c r="DQ579" i="3"/>
  <c r="DP579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Y579" i="3"/>
  <c r="BX579" i="3"/>
  <c r="BW579" i="3"/>
  <c r="BV579" i="3"/>
  <c r="BU579" i="3"/>
  <c r="BT579" i="3"/>
  <c r="BS579" i="3"/>
  <c r="BR579" i="3"/>
  <c r="BQ579" i="3"/>
  <c r="BP579" i="3"/>
  <c r="BO579" i="3"/>
  <c r="BN579" i="3"/>
  <c r="DU578" i="3"/>
  <c r="DT578" i="3"/>
  <c r="DS578" i="3"/>
  <c r="DR578" i="3"/>
  <c r="DQ578" i="3"/>
  <c r="DP578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Y578" i="3"/>
  <c r="BX578" i="3"/>
  <c r="BW578" i="3"/>
  <c r="BV578" i="3"/>
  <c r="BU578" i="3"/>
  <c r="BT578" i="3"/>
  <c r="BS578" i="3"/>
  <c r="BR578" i="3"/>
  <c r="BQ578" i="3"/>
  <c r="BP578" i="3"/>
  <c r="BO578" i="3"/>
  <c r="BN578" i="3"/>
  <c r="DU577" i="3"/>
  <c r="DT577" i="3"/>
  <c r="DS577" i="3"/>
  <c r="DR577" i="3"/>
  <c r="DQ577" i="3"/>
  <c r="DP577" i="3"/>
  <c r="DO577" i="3"/>
  <c r="DN577" i="3"/>
  <c r="DM577" i="3"/>
  <c r="DL577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Y577" i="3"/>
  <c r="BX577" i="3"/>
  <c r="BW577" i="3"/>
  <c r="BV577" i="3"/>
  <c r="BU577" i="3"/>
  <c r="BT577" i="3"/>
  <c r="BS577" i="3"/>
  <c r="BR577" i="3"/>
  <c r="BQ577" i="3"/>
  <c r="BP577" i="3"/>
  <c r="BO577" i="3"/>
  <c r="BN577" i="3"/>
  <c r="DU576" i="3"/>
  <c r="DT576" i="3"/>
  <c r="DS576" i="3"/>
  <c r="DR576" i="3"/>
  <c r="DQ576" i="3"/>
  <c r="DP576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Y576" i="3"/>
  <c r="BX576" i="3"/>
  <c r="BW576" i="3"/>
  <c r="BV576" i="3"/>
  <c r="BU576" i="3"/>
  <c r="BT576" i="3"/>
  <c r="BS576" i="3"/>
  <c r="BR576" i="3"/>
  <c r="BQ576" i="3"/>
  <c r="BP576" i="3"/>
  <c r="BO576" i="3"/>
  <c r="BN576" i="3"/>
  <c r="DU575" i="3"/>
  <c r="DT575" i="3"/>
  <c r="DS575" i="3"/>
  <c r="DR575" i="3"/>
  <c r="DQ575" i="3"/>
  <c r="DP575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Y575" i="3"/>
  <c r="BX575" i="3"/>
  <c r="BW575" i="3"/>
  <c r="BV575" i="3"/>
  <c r="BU575" i="3"/>
  <c r="BT575" i="3"/>
  <c r="BS575" i="3"/>
  <c r="BR575" i="3"/>
  <c r="BQ575" i="3"/>
  <c r="BP575" i="3"/>
  <c r="BO575" i="3"/>
  <c r="BN575" i="3"/>
  <c r="DU574" i="3"/>
  <c r="DT574" i="3"/>
  <c r="DS574" i="3"/>
  <c r="DR574" i="3"/>
  <c r="DQ574" i="3"/>
  <c r="DP574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Y574" i="3"/>
  <c r="BX574" i="3"/>
  <c r="BW574" i="3"/>
  <c r="BV574" i="3"/>
  <c r="BU574" i="3"/>
  <c r="BT574" i="3"/>
  <c r="BS574" i="3"/>
  <c r="BR574" i="3"/>
  <c r="BQ574" i="3"/>
  <c r="BP574" i="3"/>
  <c r="BO574" i="3"/>
  <c r="BN574" i="3"/>
  <c r="DU573" i="3"/>
  <c r="DT573" i="3"/>
  <c r="DS573" i="3"/>
  <c r="DR573" i="3"/>
  <c r="DQ573" i="3"/>
  <c r="DP573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Y573" i="3"/>
  <c r="BX573" i="3"/>
  <c r="BW573" i="3"/>
  <c r="BV573" i="3"/>
  <c r="BU573" i="3"/>
  <c r="BT573" i="3"/>
  <c r="BS573" i="3"/>
  <c r="BR573" i="3"/>
  <c r="BQ573" i="3"/>
  <c r="BP573" i="3"/>
  <c r="BO573" i="3"/>
  <c r="BN573" i="3"/>
  <c r="DU572" i="3"/>
  <c r="DT572" i="3"/>
  <c r="DS572" i="3"/>
  <c r="DR572" i="3"/>
  <c r="DQ572" i="3"/>
  <c r="DP572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Y572" i="3"/>
  <c r="BX572" i="3"/>
  <c r="BW572" i="3"/>
  <c r="BV572" i="3"/>
  <c r="BU572" i="3"/>
  <c r="BT572" i="3"/>
  <c r="BS572" i="3"/>
  <c r="BR572" i="3"/>
  <c r="BQ572" i="3"/>
  <c r="BP572" i="3"/>
  <c r="BO572" i="3"/>
  <c r="BN572" i="3"/>
  <c r="DU571" i="3"/>
  <c r="DT571" i="3"/>
  <c r="DS571" i="3"/>
  <c r="DR571" i="3"/>
  <c r="DQ571" i="3"/>
  <c r="DP571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Y571" i="3"/>
  <c r="BX571" i="3"/>
  <c r="BW571" i="3"/>
  <c r="BV571" i="3"/>
  <c r="BU571" i="3"/>
  <c r="BT571" i="3"/>
  <c r="BS571" i="3"/>
  <c r="BR571" i="3"/>
  <c r="BQ571" i="3"/>
  <c r="BP571" i="3"/>
  <c r="BO571" i="3"/>
  <c r="BN571" i="3"/>
  <c r="DU570" i="3"/>
  <c r="DT570" i="3"/>
  <c r="DS570" i="3"/>
  <c r="DR570" i="3"/>
  <c r="DQ570" i="3"/>
  <c r="DP570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Y570" i="3"/>
  <c r="BX570" i="3"/>
  <c r="BW570" i="3"/>
  <c r="BV570" i="3"/>
  <c r="BU570" i="3"/>
  <c r="BT570" i="3"/>
  <c r="BS570" i="3"/>
  <c r="BR570" i="3"/>
  <c r="BQ570" i="3"/>
  <c r="BP570" i="3"/>
  <c r="BO570" i="3"/>
  <c r="BN570" i="3"/>
  <c r="DU569" i="3"/>
  <c r="DT569" i="3"/>
  <c r="DS569" i="3"/>
  <c r="DR569" i="3"/>
  <c r="DQ569" i="3"/>
  <c r="DP569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Y569" i="3"/>
  <c r="BX569" i="3"/>
  <c r="BW569" i="3"/>
  <c r="BV569" i="3"/>
  <c r="BU569" i="3"/>
  <c r="BT569" i="3"/>
  <c r="BS569" i="3"/>
  <c r="BR569" i="3"/>
  <c r="BQ569" i="3"/>
  <c r="BP569" i="3"/>
  <c r="BO569" i="3"/>
  <c r="BN569" i="3"/>
  <c r="DU568" i="3"/>
  <c r="DT568" i="3"/>
  <c r="DS568" i="3"/>
  <c r="DR568" i="3"/>
  <c r="DQ568" i="3"/>
  <c r="DP568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BU568" i="3"/>
  <c r="BT568" i="3"/>
  <c r="BS568" i="3"/>
  <c r="BR568" i="3"/>
  <c r="BQ568" i="3"/>
  <c r="BP568" i="3"/>
  <c r="BO568" i="3"/>
  <c r="BN568" i="3"/>
  <c r="DU567" i="3"/>
  <c r="DT567" i="3"/>
  <c r="DS567" i="3"/>
  <c r="DR567" i="3"/>
  <c r="DQ567" i="3"/>
  <c r="DP567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Y567" i="3"/>
  <c r="BX567" i="3"/>
  <c r="BW567" i="3"/>
  <c r="BV567" i="3"/>
  <c r="BU567" i="3"/>
  <c r="BT567" i="3"/>
  <c r="BS567" i="3"/>
  <c r="BR567" i="3"/>
  <c r="BQ567" i="3"/>
  <c r="BP567" i="3"/>
  <c r="BO567" i="3"/>
  <c r="BN567" i="3"/>
  <c r="DU566" i="3"/>
  <c r="DT566" i="3"/>
  <c r="DS566" i="3"/>
  <c r="DR566" i="3"/>
  <c r="DQ566" i="3"/>
  <c r="DP566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Y566" i="3"/>
  <c r="BX566" i="3"/>
  <c r="BW566" i="3"/>
  <c r="BV566" i="3"/>
  <c r="BU566" i="3"/>
  <c r="BT566" i="3"/>
  <c r="BS566" i="3"/>
  <c r="BR566" i="3"/>
  <c r="BQ566" i="3"/>
  <c r="BP566" i="3"/>
  <c r="BO566" i="3"/>
  <c r="BN566" i="3"/>
  <c r="DU565" i="3"/>
  <c r="DT565" i="3"/>
  <c r="DS565" i="3"/>
  <c r="DR565" i="3"/>
  <c r="DQ565" i="3"/>
  <c r="DP565" i="3"/>
  <c r="DO565" i="3"/>
  <c r="DN565" i="3"/>
  <c r="DM565" i="3"/>
  <c r="DL565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Y565" i="3"/>
  <c r="BX565" i="3"/>
  <c r="BW565" i="3"/>
  <c r="BV565" i="3"/>
  <c r="BU565" i="3"/>
  <c r="BT565" i="3"/>
  <c r="BS565" i="3"/>
  <c r="BR565" i="3"/>
  <c r="BQ565" i="3"/>
  <c r="BP565" i="3"/>
  <c r="BO565" i="3"/>
  <c r="BN565" i="3"/>
  <c r="DU564" i="3"/>
  <c r="DT564" i="3"/>
  <c r="DS564" i="3"/>
  <c r="DR564" i="3"/>
  <c r="DQ564" i="3"/>
  <c r="DP564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Y564" i="3"/>
  <c r="BX564" i="3"/>
  <c r="BW564" i="3"/>
  <c r="BV564" i="3"/>
  <c r="BU564" i="3"/>
  <c r="BT564" i="3"/>
  <c r="BS564" i="3"/>
  <c r="BR564" i="3"/>
  <c r="BQ564" i="3"/>
  <c r="BP564" i="3"/>
  <c r="BO564" i="3"/>
  <c r="BN564" i="3"/>
  <c r="DU563" i="3"/>
  <c r="DT563" i="3"/>
  <c r="DS563" i="3"/>
  <c r="DR563" i="3"/>
  <c r="DQ563" i="3"/>
  <c r="DP563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Y563" i="3"/>
  <c r="BX563" i="3"/>
  <c r="BW563" i="3"/>
  <c r="BV563" i="3"/>
  <c r="BU563" i="3"/>
  <c r="BT563" i="3"/>
  <c r="BS563" i="3"/>
  <c r="BR563" i="3"/>
  <c r="BQ563" i="3"/>
  <c r="BP563" i="3"/>
  <c r="BO563" i="3"/>
  <c r="BN563" i="3"/>
  <c r="DU562" i="3"/>
  <c r="DT562" i="3"/>
  <c r="DS562" i="3"/>
  <c r="DR562" i="3"/>
  <c r="DQ562" i="3"/>
  <c r="DP562" i="3"/>
  <c r="DO562" i="3"/>
  <c r="DN562" i="3"/>
  <c r="DM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BU562" i="3"/>
  <c r="BT562" i="3"/>
  <c r="BS562" i="3"/>
  <c r="BR562" i="3"/>
  <c r="BQ562" i="3"/>
  <c r="BP562" i="3"/>
  <c r="BO562" i="3"/>
  <c r="BN562" i="3"/>
  <c r="DU561" i="3"/>
  <c r="DT561" i="3"/>
  <c r="DS561" i="3"/>
  <c r="DR561" i="3"/>
  <c r="DQ561" i="3"/>
  <c r="DP561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Y561" i="3"/>
  <c r="BX561" i="3"/>
  <c r="BW561" i="3"/>
  <c r="BV561" i="3"/>
  <c r="BU561" i="3"/>
  <c r="BT561" i="3"/>
  <c r="BS561" i="3"/>
  <c r="BR561" i="3"/>
  <c r="BQ561" i="3"/>
  <c r="BP561" i="3"/>
  <c r="BO561" i="3"/>
  <c r="BN561" i="3"/>
  <c r="DU560" i="3"/>
  <c r="DT560" i="3"/>
  <c r="DS560" i="3"/>
  <c r="DR560" i="3"/>
  <c r="DQ560" i="3"/>
  <c r="DP560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Y560" i="3"/>
  <c r="BX560" i="3"/>
  <c r="BW560" i="3"/>
  <c r="BV560" i="3"/>
  <c r="BU560" i="3"/>
  <c r="BT560" i="3"/>
  <c r="BS560" i="3"/>
  <c r="BR560" i="3"/>
  <c r="BQ560" i="3"/>
  <c r="BP560" i="3"/>
  <c r="BO560" i="3"/>
  <c r="BN560" i="3"/>
  <c r="DU559" i="3"/>
  <c r="DT559" i="3"/>
  <c r="DS559" i="3"/>
  <c r="DR559" i="3"/>
  <c r="DQ559" i="3"/>
  <c r="DP559" i="3"/>
  <c r="DO559" i="3"/>
  <c r="DN559" i="3"/>
  <c r="DM559" i="3"/>
  <c r="DL559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Y559" i="3"/>
  <c r="BX559" i="3"/>
  <c r="BW559" i="3"/>
  <c r="BV559" i="3"/>
  <c r="BU559" i="3"/>
  <c r="BT559" i="3"/>
  <c r="BS559" i="3"/>
  <c r="BR559" i="3"/>
  <c r="BQ559" i="3"/>
  <c r="BP559" i="3"/>
  <c r="BO559" i="3"/>
  <c r="BN559" i="3"/>
  <c r="DU558" i="3"/>
  <c r="DT558" i="3"/>
  <c r="DS558" i="3"/>
  <c r="DR558" i="3"/>
  <c r="DQ558" i="3"/>
  <c r="DP558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Y558" i="3"/>
  <c r="BX558" i="3"/>
  <c r="BW558" i="3"/>
  <c r="BV558" i="3"/>
  <c r="BU558" i="3"/>
  <c r="BT558" i="3"/>
  <c r="BS558" i="3"/>
  <c r="BR558" i="3"/>
  <c r="BQ558" i="3"/>
  <c r="BP558" i="3"/>
  <c r="BO558" i="3"/>
  <c r="BN558" i="3"/>
  <c r="DU557" i="3"/>
  <c r="DT557" i="3"/>
  <c r="DS557" i="3"/>
  <c r="DR557" i="3"/>
  <c r="DQ557" i="3"/>
  <c r="DP557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Y557" i="3"/>
  <c r="BX557" i="3"/>
  <c r="BW557" i="3"/>
  <c r="BV557" i="3"/>
  <c r="BU557" i="3"/>
  <c r="BT557" i="3"/>
  <c r="BS557" i="3"/>
  <c r="BR557" i="3"/>
  <c r="BQ557" i="3"/>
  <c r="BP557" i="3"/>
  <c r="BO557" i="3"/>
  <c r="BN557" i="3"/>
  <c r="DU556" i="3"/>
  <c r="DT556" i="3"/>
  <c r="DS556" i="3"/>
  <c r="DR556" i="3"/>
  <c r="DQ556" i="3"/>
  <c r="DP556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BU556" i="3"/>
  <c r="BT556" i="3"/>
  <c r="BS556" i="3"/>
  <c r="BR556" i="3"/>
  <c r="BQ556" i="3"/>
  <c r="BP556" i="3"/>
  <c r="BO556" i="3"/>
  <c r="BN556" i="3"/>
  <c r="DU555" i="3"/>
  <c r="DT555" i="3"/>
  <c r="DS555" i="3"/>
  <c r="DR555" i="3"/>
  <c r="DQ555" i="3"/>
  <c r="DP555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Y555" i="3"/>
  <c r="BX555" i="3"/>
  <c r="BW555" i="3"/>
  <c r="BV555" i="3"/>
  <c r="BU555" i="3"/>
  <c r="BT555" i="3"/>
  <c r="BS555" i="3"/>
  <c r="BR555" i="3"/>
  <c r="BQ555" i="3"/>
  <c r="BP555" i="3"/>
  <c r="BO555" i="3"/>
  <c r="BN555" i="3"/>
  <c r="DU554" i="3"/>
  <c r="DT554" i="3"/>
  <c r="DS554" i="3"/>
  <c r="DR554" i="3"/>
  <c r="DQ554" i="3"/>
  <c r="DP554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Y554" i="3"/>
  <c r="BX554" i="3"/>
  <c r="BW554" i="3"/>
  <c r="BV554" i="3"/>
  <c r="BU554" i="3"/>
  <c r="BT554" i="3"/>
  <c r="BS554" i="3"/>
  <c r="BR554" i="3"/>
  <c r="BQ554" i="3"/>
  <c r="BP554" i="3"/>
  <c r="BO554" i="3"/>
  <c r="BN554" i="3"/>
  <c r="DU553" i="3"/>
  <c r="DT553" i="3"/>
  <c r="DS553" i="3"/>
  <c r="DR553" i="3"/>
  <c r="DQ553" i="3"/>
  <c r="DP553" i="3"/>
  <c r="DO553" i="3"/>
  <c r="DN553" i="3"/>
  <c r="DM553" i="3"/>
  <c r="DL553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Y553" i="3"/>
  <c r="BX553" i="3"/>
  <c r="BW553" i="3"/>
  <c r="BV553" i="3"/>
  <c r="BU553" i="3"/>
  <c r="BT553" i="3"/>
  <c r="BS553" i="3"/>
  <c r="BR553" i="3"/>
  <c r="BQ553" i="3"/>
  <c r="BP553" i="3"/>
  <c r="BO553" i="3"/>
  <c r="BN553" i="3"/>
  <c r="DU552" i="3"/>
  <c r="DT552" i="3"/>
  <c r="DS552" i="3"/>
  <c r="DR552" i="3"/>
  <c r="DQ552" i="3"/>
  <c r="DP552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Y552" i="3"/>
  <c r="BX552" i="3"/>
  <c r="BW552" i="3"/>
  <c r="BV552" i="3"/>
  <c r="BU552" i="3"/>
  <c r="BT552" i="3"/>
  <c r="BS552" i="3"/>
  <c r="BR552" i="3"/>
  <c r="BQ552" i="3"/>
  <c r="BP552" i="3"/>
  <c r="BO552" i="3"/>
  <c r="BN552" i="3"/>
  <c r="DU551" i="3"/>
  <c r="DT551" i="3"/>
  <c r="DS551" i="3"/>
  <c r="DR551" i="3"/>
  <c r="DQ551" i="3"/>
  <c r="DP551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Y551" i="3"/>
  <c r="BX551" i="3"/>
  <c r="BW551" i="3"/>
  <c r="BV551" i="3"/>
  <c r="BU551" i="3"/>
  <c r="BT551" i="3"/>
  <c r="BS551" i="3"/>
  <c r="BR551" i="3"/>
  <c r="BQ551" i="3"/>
  <c r="BP551" i="3"/>
  <c r="BO551" i="3"/>
  <c r="BN551" i="3"/>
  <c r="DU550" i="3"/>
  <c r="DT550" i="3"/>
  <c r="DS550" i="3"/>
  <c r="DR550" i="3"/>
  <c r="DQ550" i="3"/>
  <c r="DP550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BU550" i="3"/>
  <c r="BT550" i="3"/>
  <c r="BS550" i="3"/>
  <c r="BR550" i="3"/>
  <c r="BQ550" i="3"/>
  <c r="BP550" i="3"/>
  <c r="BO550" i="3"/>
  <c r="BN550" i="3"/>
  <c r="DU549" i="3"/>
  <c r="DT549" i="3"/>
  <c r="DS549" i="3"/>
  <c r="DR549" i="3"/>
  <c r="DQ549" i="3"/>
  <c r="DP549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Y549" i="3"/>
  <c r="BX549" i="3"/>
  <c r="BW549" i="3"/>
  <c r="BV549" i="3"/>
  <c r="BU549" i="3"/>
  <c r="BT549" i="3"/>
  <c r="BS549" i="3"/>
  <c r="BR549" i="3"/>
  <c r="BQ549" i="3"/>
  <c r="BP549" i="3"/>
  <c r="BO549" i="3"/>
  <c r="BN549" i="3"/>
  <c r="DU548" i="3"/>
  <c r="DT548" i="3"/>
  <c r="DS548" i="3"/>
  <c r="DR548" i="3"/>
  <c r="DQ548" i="3"/>
  <c r="DP548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Y548" i="3"/>
  <c r="BX548" i="3"/>
  <c r="BW548" i="3"/>
  <c r="BV548" i="3"/>
  <c r="BU548" i="3"/>
  <c r="BT548" i="3"/>
  <c r="BS548" i="3"/>
  <c r="BR548" i="3"/>
  <c r="BQ548" i="3"/>
  <c r="BP548" i="3"/>
  <c r="BO548" i="3"/>
  <c r="BN548" i="3"/>
  <c r="DU547" i="3"/>
  <c r="DT547" i="3"/>
  <c r="DS547" i="3"/>
  <c r="DR547" i="3"/>
  <c r="DQ547" i="3"/>
  <c r="DP547" i="3"/>
  <c r="DO547" i="3"/>
  <c r="DN547" i="3"/>
  <c r="DM547" i="3"/>
  <c r="DL547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Y547" i="3"/>
  <c r="BX547" i="3"/>
  <c r="BW547" i="3"/>
  <c r="BV547" i="3"/>
  <c r="BU547" i="3"/>
  <c r="BT547" i="3"/>
  <c r="BS547" i="3"/>
  <c r="BR547" i="3"/>
  <c r="BQ547" i="3"/>
  <c r="BP547" i="3"/>
  <c r="BO547" i="3"/>
  <c r="BN547" i="3"/>
  <c r="DU546" i="3"/>
  <c r="DT546" i="3"/>
  <c r="DS546" i="3"/>
  <c r="DR546" i="3"/>
  <c r="DQ546" i="3"/>
  <c r="DP546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Y546" i="3"/>
  <c r="BX546" i="3"/>
  <c r="BW546" i="3"/>
  <c r="BV546" i="3"/>
  <c r="BU546" i="3"/>
  <c r="BT546" i="3"/>
  <c r="BS546" i="3"/>
  <c r="BR546" i="3"/>
  <c r="BQ546" i="3"/>
  <c r="BP546" i="3"/>
  <c r="BO546" i="3"/>
  <c r="BN546" i="3"/>
  <c r="DU545" i="3"/>
  <c r="DT545" i="3"/>
  <c r="DS545" i="3"/>
  <c r="DR545" i="3"/>
  <c r="DQ545" i="3"/>
  <c r="DP545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Y545" i="3"/>
  <c r="BX545" i="3"/>
  <c r="BW545" i="3"/>
  <c r="BV545" i="3"/>
  <c r="BU545" i="3"/>
  <c r="BT545" i="3"/>
  <c r="BS545" i="3"/>
  <c r="BR545" i="3"/>
  <c r="BQ545" i="3"/>
  <c r="BP545" i="3"/>
  <c r="BO545" i="3"/>
  <c r="BN545" i="3"/>
  <c r="DU544" i="3"/>
  <c r="DT544" i="3"/>
  <c r="DS544" i="3"/>
  <c r="DR544" i="3"/>
  <c r="DQ544" i="3"/>
  <c r="DP544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BU544" i="3"/>
  <c r="BT544" i="3"/>
  <c r="BS544" i="3"/>
  <c r="BR544" i="3"/>
  <c r="BQ544" i="3"/>
  <c r="BP544" i="3"/>
  <c r="BO544" i="3"/>
  <c r="BN544" i="3"/>
  <c r="DU543" i="3"/>
  <c r="DT543" i="3"/>
  <c r="DS543" i="3"/>
  <c r="DR543" i="3"/>
  <c r="DQ543" i="3"/>
  <c r="DP543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Y543" i="3"/>
  <c r="BX543" i="3"/>
  <c r="BW543" i="3"/>
  <c r="BV543" i="3"/>
  <c r="BU543" i="3"/>
  <c r="BT543" i="3"/>
  <c r="BS543" i="3"/>
  <c r="BR543" i="3"/>
  <c r="BQ543" i="3"/>
  <c r="BP543" i="3"/>
  <c r="BO543" i="3"/>
  <c r="BN543" i="3"/>
  <c r="DU542" i="3"/>
  <c r="DT542" i="3"/>
  <c r="DS542" i="3"/>
  <c r="DR542" i="3"/>
  <c r="DQ542" i="3"/>
  <c r="DP542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Y542" i="3"/>
  <c r="BX542" i="3"/>
  <c r="BW542" i="3"/>
  <c r="BV542" i="3"/>
  <c r="BU542" i="3"/>
  <c r="BT542" i="3"/>
  <c r="BS542" i="3"/>
  <c r="BR542" i="3"/>
  <c r="BQ542" i="3"/>
  <c r="BP542" i="3"/>
  <c r="BO542" i="3"/>
  <c r="BN542" i="3"/>
  <c r="DU541" i="3"/>
  <c r="DT541" i="3"/>
  <c r="DS541" i="3"/>
  <c r="DR541" i="3"/>
  <c r="DQ541" i="3"/>
  <c r="DP541" i="3"/>
  <c r="DO541" i="3"/>
  <c r="DN541" i="3"/>
  <c r="DM541" i="3"/>
  <c r="DL541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Y541" i="3"/>
  <c r="BX541" i="3"/>
  <c r="BW541" i="3"/>
  <c r="BV541" i="3"/>
  <c r="BU541" i="3"/>
  <c r="BT541" i="3"/>
  <c r="BS541" i="3"/>
  <c r="BR541" i="3"/>
  <c r="BQ541" i="3"/>
  <c r="BP541" i="3"/>
  <c r="BO541" i="3"/>
  <c r="BN541" i="3"/>
  <c r="DU540" i="3"/>
  <c r="DT540" i="3"/>
  <c r="DS540" i="3"/>
  <c r="DR540" i="3"/>
  <c r="DQ540" i="3"/>
  <c r="DP540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Y540" i="3"/>
  <c r="BX540" i="3"/>
  <c r="BW540" i="3"/>
  <c r="BV540" i="3"/>
  <c r="BU540" i="3"/>
  <c r="BT540" i="3"/>
  <c r="BS540" i="3"/>
  <c r="BR540" i="3"/>
  <c r="BQ540" i="3"/>
  <c r="BP540" i="3"/>
  <c r="BO540" i="3"/>
  <c r="BN540" i="3"/>
  <c r="DU539" i="3"/>
  <c r="DT539" i="3"/>
  <c r="DS539" i="3"/>
  <c r="DR539" i="3"/>
  <c r="DQ539" i="3"/>
  <c r="DP539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Y539" i="3"/>
  <c r="BX539" i="3"/>
  <c r="BW539" i="3"/>
  <c r="BV539" i="3"/>
  <c r="BU539" i="3"/>
  <c r="BT539" i="3"/>
  <c r="BS539" i="3"/>
  <c r="BR539" i="3"/>
  <c r="BQ539" i="3"/>
  <c r="BP539" i="3"/>
  <c r="BO539" i="3"/>
  <c r="BN539" i="3"/>
  <c r="DU538" i="3"/>
  <c r="DT538" i="3"/>
  <c r="DS538" i="3"/>
  <c r="DR538" i="3"/>
  <c r="DQ538" i="3"/>
  <c r="DP538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BU538" i="3"/>
  <c r="BT538" i="3"/>
  <c r="BS538" i="3"/>
  <c r="BR538" i="3"/>
  <c r="BQ538" i="3"/>
  <c r="BP538" i="3"/>
  <c r="BO538" i="3"/>
  <c r="BN538" i="3"/>
  <c r="DU537" i="3"/>
  <c r="DT537" i="3"/>
  <c r="DS537" i="3"/>
  <c r="DR537" i="3"/>
  <c r="DQ537" i="3"/>
  <c r="DP537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Y537" i="3"/>
  <c r="BX537" i="3"/>
  <c r="BW537" i="3"/>
  <c r="BV537" i="3"/>
  <c r="BU537" i="3"/>
  <c r="BT537" i="3"/>
  <c r="BS537" i="3"/>
  <c r="BR537" i="3"/>
  <c r="BQ537" i="3"/>
  <c r="BP537" i="3"/>
  <c r="BO537" i="3"/>
  <c r="BN537" i="3"/>
  <c r="DU536" i="3"/>
  <c r="DT536" i="3"/>
  <c r="DS536" i="3"/>
  <c r="DR536" i="3"/>
  <c r="DQ536" i="3"/>
  <c r="DP536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Y536" i="3"/>
  <c r="BX536" i="3"/>
  <c r="BW536" i="3"/>
  <c r="BV536" i="3"/>
  <c r="BU536" i="3"/>
  <c r="BT536" i="3"/>
  <c r="BS536" i="3"/>
  <c r="BR536" i="3"/>
  <c r="BQ536" i="3"/>
  <c r="BP536" i="3"/>
  <c r="BO536" i="3"/>
  <c r="BN536" i="3"/>
  <c r="DU535" i="3"/>
  <c r="DT535" i="3"/>
  <c r="DS535" i="3"/>
  <c r="DR535" i="3"/>
  <c r="DQ535" i="3"/>
  <c r="DP535" i="3"/>
  <c r="DO535" i="3"/>
  <c r="DN535" i="3"/>
  <c r="DM535" i="3"/>
  <c r="DL535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Y535" i="3"/>
  <c r="BX535" i="3"/>
  <c r="BW535" i="3"/>
  <c r="BV535" i="3"/>
  <c r="BU535" i="3"/>
  <c r="BT535" i="3"/>
  <c r="BS535" i="3"/>
  <c r="BR535" i="3"/>
  <c r="BQ535" i="3"/>
  <c r="BP535" i="3"/>
  <c r="BO535" i="3"/>
  <c r="BN535" i="3"/>
  <c r="DU534" i="3"/>
  <c r="DT534" i="3"/>
  <c r="DS534" i="3"/>
  <c r="DR534" i="3"/>
  <c r="DQ534" i="3"/>
  <c r="DP534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Y534" i="3"/>
  <c r="BX534" i="3"/>
  <c r="BW534" i="3"/>
  <c r="BV534" i="3"/>
  <c r="BU534" i="3"/>
  <c r="BT534" i="3"/>
  <c r="BS534" i="3"/>
  <c r="BR534" i="3"/>
  <c r="BQ534" i="3"/>
  <c r="BP534" i="3"/>
  <c r="BO534" i="3"/>
  <c r="BN534" i="3"/>
  <c r="DU533" i="3"/>
  <c r="DT533" i="3"/>
  <c r="DS533" i="3"/>
  <c r="DR533" i="3"/>
  <c r="DQ533" i="3"/>
  <c r="DP533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Y533" i="3"/>
  <c r="BX533" i="3"/>
  <c r="BW533" i="3"/>
  <c r="BV533" i="3"/>
  <c r="BU533" i="3"/>
  <c r="BT533" i="3"/>
  <c r="BS533" i="3"/>
  <c r="BR533" i="3"/>
  <c r="BQ533" i="3"/>
  <c r="BP533" i="3"/>
  <c r="BO533" i="3"/>
  <c r="BN533" i="3"/>
  <c r="DU532" i="3"/>
  <c r="DT532" i="3"/>
  <c r="DS532" i="3"/>
  <c r="DR532" i="3"/>
  <c r="DQ532" i="3"/>
  <c r="DP532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BU532" i="3"/>
  <c r="BT532" i="3"/>
  <c r="BS532" i="3"/>
  <c r="BR532" i="3"/>
  <c r="BQ532" i="3"/>
  <c r="BP532" i="3"/>
  <c r="BO532" i="3"/>
  <c r="BN532" i="3"/>
  <c r="DU531" i="3"/>
  <c r="DT531" i="3"/>
  <c r="DS531" i="3"/>
  <c r="DR531" i="3"/>
  <c r="DQ531" i="3"/>
  <c r="DP531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Y531" i="3"/>
  <c r="BX531" i="3"/>
  <c r="BW531" i="3"/>
  <c r="BV531" i="3"/>
  <c r="BU531" i="3"/>
  <c r="BT531" i="3"/>
  <c r="BS531" i="3"/>
  <c r="BR531" i="3"/>
  <c r="BQ531" i="3"/>
  <c r="BP531" i="3"/>
  <c r="BO531" i="3"/>
  <c r="BN531" i="3"/>
  <c r="DU530" i="3"/>
  <c r="DT530" i="3"/>
  <c r="DS530" i="3"/>
  <c r="DR530" i="3"/>
  <c r="DQ530" i="3"/>
  <c r="DP530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Y530" i="3"/>
  <c r="BX530" i="3"/>
  <c r="BW530" i="3"/>
  <c r="BV530" i="3"/>
  <c r="BU530" i="3"/>
  <c r="BT530" i="3"/>
  <c r="BS530" i="3"/>
  <c r="BR530" i="3"/>
  <c r="BQ530" i="3"/>
  <c r="BP530" i="3"/>
  <c r="BO530" i="3"/>
  <c r="BN530" i="3"/>
  <c r="DU529" i="3"/>
  <c r="DT529" i="3"/>
  <c r="DS529" i="3"/>
  <c r="DR529" i="3"/>
  <c r="DQ529" i="3"/>
  <c r="DP529" i="3"/>
  <c r="DO529" i="3"/>
  <c r="DN529" i="3"/>
  <c r="DM529" i="3"/>
  <c r="DL529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Y529" i="3"/>
  <c r="BX529" i="3"/>
  <c r="BW529" i="3"/>
  <c r="BV529" i="3"/>
  <c r="BU529" i="3"/>
  <c r="BT529" i="3"/>
  <c r="BS529" i="3"/>
  <c r="BR529" i="3"/>
  <c r="BQ529" i="3"/>
  <c r="BP529" i="3"/>
  <c r="BO529" i="3"/>
  <c r="BN529" i="3"/>
  <c r="DU528" i="3"/>
  <c r="DT528" i="3"/>
  <c r="DS528" i="3"/>
  <c r="DR528" i="3"/>
  <c r="DQ528" i="3"/>
  <c r="DP528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Y528" i="3"/>
  <c r="BX528" i="3"/>
  <c r="BW528" i="3"/>
  <c r="BV528" i="3"/>
  <c r="BU528" i="3"/>
  <c r="BT528" i="3"/>
  <c r="BS528" i="3"/>
  <c r="BR528" i="3"/>
  <c r="BQ528" i="3"/>
  <c r="BP528" i="3"/>
  <c r="BO528" i="3"/>
  <c r="BN528" i="3"/>
  <c r="DU527" i="3"/>
  <c r="DT527" i="3"/>
  <c r="DS527" i="3"/>
  <c r="DR527" i="3"/>
  <c r="DQ527" i="3"/>
  <c r="DP527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Y527" i="3"/>
  <c r="BX527" i="3"/>
  <c r="BW527" i="3"/>
  <c r="BV527" i="3"/>
  <c r="BU527" i="3"/>
  <c r="BT527" i="3"/>
  <c r="BS527" i="3"/>
  <c r="BR527" i="3"/>
  <c r="BQ527" i="3"/>
  <c r="BP527" i="3"/>
  <c r="BO527" i="3"/>
  <c r="BN527" i="3"/>
  <c r="DU526" i="3"/>
  <c r="DT526" i="3"/>
  <c r="DS526" i="3"/>
  <c r="DR526" i="3"/>
  <c r="DQ526" i="3"/>
  <c r="DP526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BU526" i="3"/>
  <c r="BT526" i="3"/>
  <c r="BS526" i="3"/>
  <c r="BR526" i="3"/>
  <c r="BQ526" i="3"/>
  <c r="BP526" i="3"/>
  <c r="BO526" i="3"/>
  <c r="BN526" i="3"/>
  <c r="DU525" i="3"/>
  <c r="DT525" i="3"/>
  <c r="DS525" i="3"/>
  <c r="DR525" i="3"/>
  <c r="DQ525" i="3"/>
  <c r="DP525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Y525" i="3"/>
  <c r="BX525" i="3"/>
  <c r="BW525" i="3"/>
  <c r="BV525" i="3"/>
  <c r="BU525" i="3"/>
  <c r="BT525" i="3"/>
  <c r="BS525" i="3"/>
  <c r="BR525" i="3"/>
  <c r="BQ525" i="3"/>
  <c r="BP525" i="3"/>
  <c r="BO525" i="3"/>
  <c r="BN525" i="3"/>
  <c r="DU524" i="3"/>
  <c r="DT524" i="3"/>
  <c r="DS524" i="3"/>
  <c r="DR524" i="3"/>
  <c r="DQ524" i="3"/>
  <c r="DP524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Y524" i="3"/>
  <c r="BX524" i="3"/>
  <c r="BW524" i="3"/>
  <c r="BV524" i="3"/>
  <c r="BU524" i="3"/>
  <c r="BT524" i="3"/>
  <c r="BS524" i="3"/>
  <c r="BR524" i="3"/>
  <c r="BQ524" i="3"/>
  <c r="BP524" i="3"/>
  <c r="BO524" i="3"/>
  <c r="BN524" i="3"/>
  <c r="DU523" i="3"/>
  <c r="DT523" i="3"/>
  <c r="DS523" i="3"/>
  <c r="DR523" i="3"/>
  <c r="DQ523" i="3"/>
  <c r="DP523" i="3"/>
  <c r="DO523" i="3"/>
  <c r="DN523" i="3"/>
  <c r="DM523" i="3"/>
  <c r="DL523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Y523" i="3"/>
  <c r="BX523" i="3"/>
  <c r="BW523" i="3"/>
  <c r="BV523" i="3"/>
  <c r="BU523" i="3"/>
  <c r="BT523" i="3"/>
  <c r="BS523" i="3"/>
  <c r="BR523" i="3"/>
  <c r="BQ523" i="3"/>
  <c r="BP523" i="3"/>
  <c r="BO523" i="3"/>
  <c r="BN523" i="3"/>
  <c r="DU522" i="3"/>
  <c r="DT522" i="3"/>
  <c r="DS522" i="3"/>
  <c r="DR522" i="3"/>
  <c r="DQ522" i="3"/>
  <c r="DP522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Y522" i="3"/>
  <c r="BX522" i="3"/>
  <c r="BW522" i="3"/>
  <c r="BV522" i="3"/>
  <c r="BU522" i="3"/>
  <c r="BT522" i="3"/>
  <c r="BS522" i="3"/>
  <c r="BR522" i="3"/>
  <c r="BQ522" i="3"/>
  <c r="BP522" i="3"/>
  <c r="BO522" i="3"/>
  <c r="BN522" i="3"/>
  <c r="DU521" i="3"/>
  <c r="DT521" i="3"/>
  <c r="DS521" i="3"/>
  <c r="DR521" i="3"/>
  <c r="DQ521" i="3"/>
  <c r="DP521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Y521" i="3"/>
  <c r="BX521" i="3"/>
  <c r="BW521" i="3"/>
  <c r="BV521" i="3"/>
  <c r="BU521" i="3"/>
  <c r="BT521" i="3"/>
  <c r="BS521" i="3"/>
  <c r="BR521" i="3"/>
  <c r="BQ521" i="3"/>
  <c r="BP521" i="3"/>
  <c r="BO521" i="3"/>
  <c r="BN521" i="3"/>
  <c r="DU520" i="3"/>
  <c r="DT520" i="3"/>
  <c r="DS520" i="3"/>
  <c r="DR520" i="3"/>
  <c r="DQ520" i="3"/>
  <c r="DP520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BU520" i="3"/>
  <c r="BT520" i="3"/>
  <c r="BS520" i="3"/>
  <c r="BR520" i="3"/>
  <c r="BQ520" i="3"/>
  <c r="BP520" i="3"/>
  <c r="BO520" i="3"/>
  <c r="BN520" i="3"/>
  <c r="DU519" i="3"/>
  <c r="DT519" i="3"/>
  <c r="DS519" i="3"/>
  <c r="DR519" i="3"/>
  <c r="DQ519" i="3"/>
  <c r="DP519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Y519" i="3"/>
  <c r="BX519" i="3"/>
  <c r="BW519" i="3"/>
  <c r="BV519" i="3"/>
  <c r="BU519" i="3"/>
  <c r="BT519" i="3"/>
  <c r="BS519" i="3"/>
  <c r="BR519" i="3"/>
  <c r="BQ519" i="3"/>
  <c r="BP519" i="3"/>
  <c r="BO519" i="3"/>
  <c r="BN519" i="3"/>
  <c r="DU518" i="3"/>
  <c r="DT518" i="3"/>
  <c r="DS518" i="3"/>
  <c r="DR518" i="3"/>
  <c r="DQ518" i="3"/>
  <c r="DP518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Y518" i="3"/>
  <c r="BX518" i="3"/>
  <c r="BW518" i="3"/>
  <c r="BV518" i="3"/>
  <c r="BU518" i="3"/>
  <c r="BT518" i="3"/>
  <c r="BS518" i="3"/>
  <c r="BR518" i="3"/>
  <c r="BQ518" i="3"/>
  <c r="BP518" i="3"/>
  <c r="BO518" i="3"/>
  <c r="BN518" i="3"/>
  <c r="DU517" i="3"/>
  <c r="DT517" i="3"/>
  <c r="DS517" i="3"/>
  <c r="DR517" i="3"/>
  <c r="DQ517" i="3"/>
  <c r="DP517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Y517" i="3"/>
  <c r="BX517" i="3"/>
  <c r="BW517" i="3"/>
  <c r="BV517" i="3"/>
  <c r="BU517" i="3"/>
  <c r="BT517" i="3"/>
  <c r="BS517" i="3"/>
  <c r="BR517" i="3"/>
  <c r="BQ517" i="3"/>
  <c r="BP517" i="3"/>
  <c r="BO517" i="3"/>
  <c r="BN517" i="3"/>
  <c r="DU516" i="3"/>
  <c r="DT516" i="3"/>
  <c r="DS516" i="3"/>
  <c r="DR516" i="3"/>
  <c r="DQ516" i="3"/>
  <c r="DP516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Y516" i="3"/>
  <c r="BX516" i="3"/>
  <c r="BW516" i="3"/>
  <c r="BV516" i="3"/>
  <c r="BU516" i="3"/>
  <c r="BT516" i="3"/>
  <c r="BS516" i="3"/>
  <c r="BR516" i="3"/>
  <c r="BQ516" i="3"/>
  <c r="BP516" i="3"/>
  <c r="BO516" i="3"/>
  <c r="BN516" i="3"/>
  <c r="DU515" i="3"/>
  <c r="DT515" i="3"/>
  <c r="DS515" i="3"/>
  <c r="DR515" i="3"/>
  <c r="DQ515" i="3"/>
  <c r="DP515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Y515" i="3"/>
  <c r="BX515" i="3"/>
  <c r="BW515" i="3"/>
  <c r="BV515" i="3"/>
  <c r="BU515" i="3"/>
  <c r="BT515" i="3"/>
  <c r="BS515" i="3"/>
  <c r="BR515" i="3"/>
  <c r="BQ515" i="3"/>
  <c r="BP515" i="3"/>
  <c r="BO515" i="3"/>
  <c r="BN515" i="3"/>
  <c r="DU514" i="3"/>
  <c r="DT514" i="3"/>
  <c r="DS514" i="3"/>
  <c r="DR514" i="3"/>
  <c r="DQ514" i="3"/>
  <c r="DP514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BU514" i="3"/>
  <c r="BT514" i="3"/>
  <c r="BS514" i="3"/>
  <c r="BR514" i="3"/>
  <c r="BQ514" i="3"/>
  <c r="BP514" i="3"/>
  <c r="BO514" i="3"/>
  <c r="BN514" i="3"/>
  <c r="DU513" i="3"/>
  <c r="DT513" i="3"/>
  <c r="DS513" i="3"/>
  <c r="DR513" i="3"/>
  <c r="DQ513" i="3"/>
  <c r="DP513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Y513" i="3"/>
  <c r="BX513" i="3"/>
  <c r="BW513" i="3"/>
  <c r="BV513" i="3"/>
  <c r="BU513" i="3"/>
  <c r="BT513" i="3"/>
  <c r="BS513" i="3"/>
  <c r="BR513" i="3"/>
  <c r="BQ513" i="3"/>
  <c r="BP513" i="3"/>
  <c r="BO513" i="3"/>
  <c r="BN513" i="3"/>
  <c r="DU512" i="3"/>
  <c r="DT512" i="3"/>
  <c r="DS512" i="3"/>
  <c r="DR512" i="3"/>
  <c r="DQ512" i="3"/>
  <c r="DP512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Y512" i="3"/>
  <c r="BX512" i="3"/>
  <c r="BW512" i="3"/>
  <c r="BV512" i="3"/>
  <c r="BU512" i="3"/>
  <c r="BT512" i="3"/>
  <c r="BS512" i="3"/>
  <c r="BR512" i="3"/>
  <c r="BQ512" i="3"/>
  <c r="BP512" i="3"/>
  <c r="BO512" i="3"/>
  <c r="BN512" i="3"/>
  <c r="DU511" i="3"/>
  <c r="DT511" i="3"/>
  <c r="DS511" i="3"/>
  <c r="DR511" i="3"/>
  <c r="DQ511" i="3"/>
  <c r="DP511" i="3"/>
  <c r="DO511" i="3"/>
  <c r="DN511" i="3"/>
  <c r="DM511" i="3"/>
  <c r="DL511" i="3"/>
  <c r="DK511" i="3"/>
  <c r="DJ511" i="3"/>
  <c r="DI511" i="3"/>
  <c r="DH511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Y511" i="3"/>
  <c r="BX511" i="3"/>
  <c r="BW511" i="3"/>
  <c r="BV511" i="3"/>
  <c r="BU511" i="3"/>
  <c r="BT511" i="3"/>
  <c r="BS511" i="3"/>
  <c r="BR511" i="3"/>
  <c r="BQ511" i="3"/>
  <c r="BP511" i="3"/>
  <c r="BO511" i="3"/>
  <c r="BN511" i="3"/>
  <c r="A511" i="3"/>
  <c r="DU510" i="3"/>
  <c r="DT510" i="3"/>
  <c r="DS510" i="3"/>
  <c r="DR510" i="3"/>
  <c r="DQ510" i="3"/>
  <c r="DP510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Y510" i="3"/>
  <c r="BX510" i="3"/>
  <c r="BW510" i="3"/>
  <c r="BV510" i="3"/>
  <c r="BU510" i="3"/>
  <c r="BT510" i="3"/>
  <c r="BS510" i="3"/>
  <c r="BR510" i="3"/>
  <c r="BQ510" i="3"/>
  <c r="BP510" i="3"/>
  <c r="BO510" i="3"/>
  <c r="BN510" i="3"/>
  <c r="B510" i="3"/>
  <c r="B1001" i="3" s="1"/>
  <c r="A510" i="3"/>
  <c r="DU509" i="3"/>
  <c r="DT509" i="3"/>
  <c r="DS509" i="3"/>
  <c r="DR509" i="3"/>
  <c r="DQ509" i="3"/>
  <c r="DP509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Y509" i="3"/>
  <c r="BX509" i="3"/>
  <c r="BW509" i="3"/>
  <c r="BV509" i="3"/>
  <c r="BU509" i="3"/>
  <c r="BT509" i="3"/>
  <c r="BS509" i="3"/>
  <c r="BR509" i="3"/>
  <c r="BQ509" i="3"/>
  <c r="BP509" i="3"/>
  <c r="BO509" i="3"/>
  <c r="BN509" i="3"/>
  <c r="A509" i="3"/>
  <c r="DU508" i="3"/>
  <c r="DT508" i="3"/>
  <c r="DS508" i="3"/>
  <c r="DR508" i="3"/>
  <c r="DQ508" i="3"/>
  <c r="DP508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BU508" i="3"/>
  <c r="BT508" i="3"/>
  <c r="BS508" i="3"/>
  <c r="BR508" i="3"/>
  <c r="BQ508" i="3"/>
  <c r="BP508" i="3"/>
  <c r="BO508" i="3"/>
  <c r="BN508" i="3"/>
  <c r="B508" i="3"/>
  <c r="B509" i="3" s="1"/>
  <c r="A508" i="3"/>
  <c r="DU507" i="3"/>
  <c r="DT507" i="3"/>
  <c r="DS507" i="3"/>
  <c r="DR507" i="3"/>
  <c r="DQ507" i="3"/>
  <c r="DP507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Y507" i="3"/>
  <c r="BX507" i="3"/>
  <c r="BW507" i="3"/>
  <c r="BV507" i="3"/>
  <c r="BU507" i="3"/>
  <c r="BT507" i="3"/>
  <c r="BS507" i="3"/>
  <c r="BR507" i="3"/>
  <c r="BQ507" i="3"/>
  <c r="BP507" i="3"/>
  <c r="BO507" i="3"/>
  <c r="BN507" i="3"/>
  <c r="C507" i="3"/>
  <c r="B507" i="3"/>
  <c r="A507" i="3"/>
  <c r="DU506" i="3"/>
  <c r="DT506" i="3"/>
  <c r="DS506" i="3"/>
  <c r="DR506" i="3"/>
  <c r="DQ506" i="3"/>
  <c r="DP506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Y506" i="3"/>
  <c r="BX506" i="3"/>
  <c r="BW506" i="3"/>
  <c r="BV506" i="3"/>
  <c r="BU506" i="3"/>
  <c r="BT506" i="3"/>
  <c r="BS506" i="3"/>
  <c r="BR506" i="3"/>
  <c r="BQ506" i="3"/>
  <c r="BP506" i="3"/>
  <c r="BO506" i="3"/>
  <c r="BN506" i="3"/>
  <c r="B506" i="3"/>
  <c r="A506" i="3"/>
  <c r="DU505" i="3"/>
  <c r="DT505" i="3"/>
  <c r="DS505" i="3"/>
  <c r="DR505" i="3"/>
  <c r="DQ505" i="3"/>
  <c r="DP505" i="3"/>
  <c r="DO505" i="3"/>
  <c r="DN505" i="3"/>
  <c r="DM505" i="3"/>
  <c r="DL505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Y505" i="3"/>
  <c r="BX505" i="3"/>
  <c r="BW505" i="3"/>
  <c r="BV505" i="3"/>
  <c r="BU505" i="3"/>
  <c r="BT505" i="3"/>
  <c r="BS505" i="3"/>
  <c r="BR505" i="3"/>
  <c r="BQ505" i="3"/>
  <c r="BP505" i="3"/>
  <c r="BO505" i="3"/>
  <c r="BN505" i="3"/>
  <c r="DU504" i="3"/>
  <c r="DT504" i="3"/>
  <c r="DS504" i="3"/>
  <c r="DR504" i="3"/>
  <c r="DQ504" i="3"/>
  <c r="DP504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Y504" i="3"/>
  <c r="BX504" i="3"/>
  <c r="BW504" i="3"/>
  <c r="BV504" i="3"/>
  <c r="BU504" i="3"/>
  <c r="BT504" i="3"/>
  <c r="BS504" i="3"/>
  <c r="BR504" i="3"/>
  <c r="BQ504" i="3"/>
  <c r="BP504" i="3"/>
  <c r="BO504" i="3"/>
  <c r="BN504" i="3"/>
  <c r="A504" i="3"/>
  <c r="DU503" i="3"/>
  <c r="DT503" i="3"/>
  <c r="DS503" i="3"/>
  <c r="DR503" i="3"/>
  <c r="DQ503" i="3"/>
  <c r="DP503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Y503" i="3"/>
  <c r="BX503" i="3"/>
  <c r="BW503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H503" i="3"/>
  <c r="BG503" i="3"/>
  <c r="BF503" i="3"/>
  <c r="BE503" i="3"/>
  <c r="BD503" i="3"/>
  <c r="BC503" i="3"/>
  <c r="BB503" i="3"/>
  <c r="BA503" i="3"/>
  <c r="AZ503" i="3"/>
  <c r="AY503" i="3"/>
  <c r="AX503" i="3"/>
  <c r="AW503" i="3"/>
  <c r="AV503" i="3"/>
  <c r="AU503" i="3"/>
  <c r="AT503" i="3"/>
  <c r="AS503" i="3"/>
  <c r="AR503" i="3"/>
  <c r="AQ503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DU502" i="3"/>
  <c r="DT502" i="3"/>
  <c r="DS502" i="3"/>
  <c r="DR502" i="3"/>
  <c r="DQ502" i="3"/>
  <c r="DP502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BU502" i="3"/>
  <c r="BT502" i="3"/>
  <c r="BS502" i="3"/>
  <c r="BR502" i="3"/>
  <c r="BQ502" i="3"/>
  <c r="BP502" i="3"/>
  <c r="BO502" i="3"/>
  <c r="BN502" i="3"/>
  <c r="DU501" i="3"/>
  <c r="DT501" i="3"/>
  <c r="DS501" i="3"/>
  <c r="DR501" i="3"/>
  <c r="DQ501" i="3"/>
  <c r="DP501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Y501" i="3"/>
  <c r="BX501" i="3"/>
  <c r="BW501" i="3"/>
  <c r="BV501" i="3"/>
  <c r="BU501" i="3"/>
  <c r="BT501" i="3"/>
  <c r="BS501" i="3"/>
  <c r="BR501" i="3"/>
  <c r="BQ501" i="3"/>
  <c r="BP501" i="3"/>
  <c r="BO501" i="3"/>
  <c r="BN501" i="3"/>
  <c r="DU500" i="3"/>
  <c r="DT500" i="3"/>
  <c r="DS500" i="3"/>
  <c r="DR500" i="3"/>
  <c r="DQ500" i="3"/>
  <c r="DP500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Y500" i="3"/>
  <c r="BX500" i="3"/>
  <c r="BW500" i="3"/>
  <c r="BV500" i="3"/>
  <c r="BU500" i="3"/>
  <c r="BT500" i="3"/>
  <c r="BS500" i="3"/>
  <c r="BR500" i="3"/>
  <c r="BQ500" i="3"/>
  <c r="BP500" i="3"/>
  <c r="BO500" i="3"/>
  <c r="BN500" i="3"/>
  <c r="DU499" i="3"/>
  <c r="DT499" i="3"/>
  <c r="DS499" i="3"/>
  <c r="DR499" i="3"/>
  <c r="DQ499" i="3"/>
  <c r="DP499" i="3"/>
  <c r="DO499" i="3"/>
  <c r="DN499" i="3"/>
  <c r="DM499" i="3"/>
  <c r="DL499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Y499" i="3"/>
  <c r="BX499" i="3"/>
  <c r="BW499" i="3"/>
  <c r="BV499" i="3"/>
  <c r="BU499" i="3"/>
  <c r="BT499" i="3"/>
  <c r="BS499" i="3"/>
  <c r="BR499" i="3"/>
  <c r="BQ499" i="3"/>
  <c r="BP499" i="3"/>
  <c r="BO499" i="3"/>
  <c r="BN499" i="3"/>
  <c r="DU498" i="3"/>
  <c r="DT498" i="3"/>
  <c r="DS498" i="3"/>
  <c r="DR498" i="3"/>
  <c r="DQ498" i="3"/>
  <c r="DP498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Y498" i="3"/>
  <c r="BX498" i="3"/>
  <c r="BW498" i="3"/>
  <c r="BV498" i="3"/>
  <c r="BU498" i="3"/>
  <c r="BT498" i="3"/>
  <c r="BS498" i="3"/>
  <c r="BR498" i="3"/>
  <c r="BQ498" i="3"/>
  <c r="BP498" i="3"/>
  <c r="BO498" i="3"/>
  <c r="BN498" i="3"/>
  <c r="DU497" i="3"/>
  <c r="DT497" i="3"/>
  <c r="DS497" i="3"/>
  <c r="DR497" i="3"/>
  <c r="DQ497" i="3"/>
  <c r="DP497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Y497" i="3"/>
  <c r="BX497" i="3"/>
  <c r="BW497" i="3"/>
  <c r="BV497" i="3"/>
  <c r="BU497" i="3"/>
  <c r="BT497" i="3"/>
  <c r="BS497" i="3"/>
  <c r="BR497" i="3"/>
  <c r="BQ497" i="3"/>
  <c r="BP497" i="3"/>
  <c r="BO497" i="3"/>
  <c r="BN497" i="3"/>
  <c r="DU496" i="3"/>
  <c r="DT496" i="3"/>
  <c r="DS496" i="3"/>
  <c r="DR496" i="3"/>
  <c r="DQ496" i="3"/>
  <c r="DP496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Y496" i="3"/>
  <c r="BX496" i="3"/>
  <c r="BW496" i="3"/>
  <c r="BV496" i="3"/>
  <c r="BU496" i="3"/>
  <c r="BT496" i="3"/>
  <c r="BS496" i="3"/>
  <c r="BR496" i="3"/>
  <c r="BQ496" i="3"/>
  <c r="BP496" i="3"/>
  <c r="BO496" i="3"/>
  <c r="BN496" i="3"/>
  <c r="DU495" i="3"/>
  <c r="DT495" i="3"/>
  <c r="DS495" i="3"/>
  <c r="DR495" i="3"/>
  <c r="DQ495" i="3"/>
  <c r="DP495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Y495" i="3"/>
  <c r="BX495" i="3"/>
  <c r="BW495" i="3"/>
  <c r="BV495" i="3"/>
  <c r="BU495" i="3"/>
  <c r="BT495" i="3"/>
  <c r="BS495" i="3"/>
  <c r="BR495" i="3"/>
  <c r="BQ495" i="3"/>
  <c r="BP495" i="3"/>
  <c r="BO495" i="3"/>
  <c r="BN495" i="3"/>
  <c r="E495" i="3"/>
  <c r="E992" i="3" s="1"/>
  <c r="D495" i="3"/>
  <c r="D992" i="3" s="1"/>
  <c r="C495" i="3"/>
  <c r="C992" i="3" s="1"/>
  <c r="B495" i="3"/>
  <c r="B992" i="3" s="1"/>
  <c r="A495" i="3"/>
  <c r="A992" i="3" s="1"/>
  <c r="DU494" i="3"/>
  <c r="DT494" i="3"/>
  <c r="DS494" i="3"/>
  <c r="DR494" i="3"/>
  <c r="DQ494" i="3"/>
  <c r="DP494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Y494" i="3"/>
  <c r="BX494" i="3"/>
  <c r="BW494" i="3"/>
  <c r="BV494" i="3"/>
  <c r="BU494" i="3"/>
  <c r="BT494" i="3"/>
  <c r="BS494" i="3"/>
  <c r="BR494" i="3"/>
  <c r="BQ494" i="3"/>
  <c r="BP494" i="3"/>
  <c r="BO494" i="3"/>
  <c r="BN494" i="3"/>
  <c r="E494" i="3"/>
  <c r="E991" i="3" s="1"/>
  <c r="D494" i="3"/>
  <c r="D991" i="3" s="1"/>
  <c r="C494" i="3"/>
  <c r="C991" i="3" s="1"/>
  <c r="B494" i="3"/>
  <c r="B991" i="3" s="1"/>
  <c r="A494" i="3"/>
  <c r="A991" i="3" s="1"/>
  <c r="DU493" i="3"/>
  <c r="DT493" i="3"/>
  <c r="DS493" i="3"/>
  <c r="DR493" i="3"/>
  <c r="DQ493" i="3"/>
  <c r="DP493" i="3"/>
  <c r="DO493" i="3"/>
  <c r="DN493" i="3"/>
  <c r="DM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BU493" i="3"/>
  <c r="BT493" i="3"/>
  <c r="BS493" i="3"/>
  <c r="BR493" i="3"/>
  <c r="BQ493" i="3"/>
  <c r="BP493" i="3"/>
  <c r="BO493" i="3"/>
  <c r="BN493" i="3"/>
  <c r="E493" i="3"/>
  <c r="E990" i="3" s="1"/>
  <c r="D493" i="3"/>
  <c r="D990" i="3" s="1"/>
  <c r="C493" i="3"/>
  <c r="C990" i="3" s="1"/>
  <c r="B493" i="3"/>
  <c r="B990" i="3" s="1"/>
  <c r="A493" i="3"/>
  <c r="A990" i="3" s="1"/>
  <c r="DU492" i="3"/>
  <c r="DT492" i="3"/>
  <c r="DS492" i="3"/>
  <c r="DR492" i="3"/>
  <c r="DQ492" i="3"/>
  <c r="DP492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Y492" i="3"/>
  <c r="BX492" i="3"/>
  <c r="BW492" i="3"/>
  <c r="BV492" i="3"/>
  <c r="BU492" i="3"/>
  <c r="BT492" i="3"/>
  <c r="BS492" i="3"/>
  <c r="BR492" i="3"/>
  <c r="BQ492" i="3"/>
  <c r="BP492" i="3"/>
  <c r="BO492" i="3"/>
  <c r="BN492" i="3"/>
  <c r="E492" i="3"/>
  <c r="E989" i="3" s="1"/>
  <c r="D492" i="3"/>
  <c r="D989" i="3" s="1"/>
  <c r="C492" i="3"/>
  <c r="C989" i="3" s="1"/>
  <c r="B492" i="3"/>
  <c r="B989" i="3" s="1"/>
  <c r="A492" i="3"/>
  <c r="A989" i="3" s="1"/>
  <c r="DU491" i="3"/>
  <c r="DT491" i="3"/>
  <c r="DS491" i="3"/>
  <c r="DR491" i="3"/>
  <c r="DQ491" i="3"/>
  <c r="DP491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Y491" i="3"/>
  <c r="BX491" i="3"/>
  <c r="BW491" i="3"/>
  <c r="BV491" i="3"/>
  <c r="BU491" i="3"/>
  <c r="BT491" i="3"/>
  <c r="BS491" i="3"/>
  <c r="BR491" i="3"/>
  <c r="BQ491" i="3"/>
  <c r="BP491" i="3"/>
  <c r="BO491" i="3"/>
  <c r="BN491" i="3"/>
  <c r="E491" i="3"/>
  <c r="E988" i="3" s="1"/>
  <c r="D491" i="3"/>
  <c r="D988" i="3" s="1"/>
  <c r="C491" i="3"/>
  <c r="C988" i="3" s="1"/>
  <c r="B491" i="3"/>
  <c r="B988" i="3" s="1"/>
  <c r="A491" i="3"/>
  <c r="A988" i="3" s="1"/>
  <c r="DU490" i="3"/>
  <c r="DT490" i="3"/>
  <c r="DS490" i="3"/>
  <c r="DR490" i="3"/>
  <c r="DQ490" i="3"/>
  <c r="DP490" i="3"/>
  <c r="DO490" i="3"/>
  <c r="DN490" i="3"/>
  <c r="DM490" i="3"/>
  <c r="DL490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Y490" i="3"/>
  <c r="BX490" i="3"/>
  <c r="BW490" i="3"/>
  <c r="BV490" i="3"/>
  <c r="BU490" i="3"/>
  <c r="BT490" i="3"/>
  <c r="BS490" i="3"/>
  <c r="BR490" i="3"/>
  <c r="BQ490" i="3"/>
  <c r="BP490" i="3"/>
  <c r="BO490" i="3"/>
  <c r="BN490" i="3"/>
  <c r="E490" i="3"/>
  <c r="E987" i="3" s="1"/>
  <c r="D490" i="3"/>
  <c r="D987" i="3" s="1"/>
  <c r="C490" i="3"/>
  <c r="C987" i="3" s="1"/>
  <c r="B490" i="3"/>
  <c r="B987" i="3" s="1"/>
  <c r="A490" i="3"/>
  <c r="A987" i="3" s="1"/>
  <c r="DU489" i="3"/>
  <c r="DT489" i="3"/>
  <c r="DS489" i="3"/>
  <c r="DR489" i="3"/>
  <c r="DQ489" i="3"/>
  <c r="DP489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Y489" i="3"/>
  <c r="BX489" i="3"/>
  <c r="BW489" i="3"/>
  <c r="BV489" i="3"/>
  <c r="BU489" i="3"/>
  <c r="BT489" i="3"/>
  <c r="BS489" i="3"/>
  <c r="BR489" i="3"/>
  <c r="BQ489" i="3"/>
  <c r="BP489" i="3"/>
  <c r="BO489" i="3"/>
  <c r="BN489" i="3"/>
  <c r="E489" i="3"/>
  <c r="E986" i="3" s="1"/>
  <c r="D489" i="3"/>
  <c r="D986" i="3" s="1"/>
  <c r="C489" i="3"/>
  <c r="C986" i="3" s="1"/>
  <c r="B489" i="3"/>
  <c r="B986" i="3" s="1"/>
  <c r="A489" i="3"/>
  <c r="A986" i="3" s="1"/>
  <c r="DU488" i="3"/>
  <c r="DT488" i="3"/>
  <c r="DS488" i="3"/>
  <c r="DR488" i="3"/>
  <c r="DQ488" i="3"/>
  <c r="DP488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Y488" i="3"/>
  <c r="BX488" i="3"/>
  <c r="BW488" i="3"/>
  <c r="BV488" i="3"/>
  <c r="BU488" i="3"/>
  <c r="BT488" i="3"/>
  <c r="BS488" i="3"/>
  <c r="BR488" i="3"/>
  <c r="BQ488" i="3"/>
  <c r="BP488" i="3"/>
  <c r="BO488" i="3"/>
  <c r="BN488" i="3"/>
  <c r="E488" i="3"/>
  <c r="E985" i="3" s="1"/>
  <c r="D488" i="3"/>
  <c r="D985" i="3" s="1"/>
  <c r="C488" i="3"/>
  <c r="C985" i="3" s="1"/>
  <c r="B488" i="3"/>
  <c r="B985" i="3" s="1"/>
  <c r="A488" i="3"/>
  <c r="A985" i="3" s="1"/>
  <c r="DU487" i="3"/>
  <c r="DT487" i="3"/>
  <c r="DS487" i="3"/>
  <c r="DR487" i="3"/>
  <c r="DQ487" i="3"/>
  <c r="DP487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Y487" i="3"/>
  <c r="BX487" i="3"/>
  <c r="BW487" i="3"/>
  <c r="BV487" i="3"/>
  <c r="BU487" i="3"/>
  <c r="BT487" i="3"/>
  <c r="BS487" i="3"/>
  <c r="BR487" i="3"/>
  <c r="BQ487" i="3"/>
  <c r="BP487" i="3"/>
  <c r="BO487" i="3"/>
  <c r="BN487" i="3"/>
  <c r="E487" i="3"/>
  <c r="E984" i="3" s="1"/>
  <c r="D487" i="3"/>
  <c r="D984" i="3" s="1"/>
  <c r="C487" i="3"/>
  <c r="C984" i="3" s="1"/>
  <c r="B487" i="3"/>
  <c r="B984" i="3" s="1"/>
  <c r="A487" i="3"/>
  <c r="A984" i="3" s="1"/>
  <c r="DU486" i="3"/>
  <c r="DT486" i="3"/>
  <c r="DS486" i="3"/>
  <c r="DR486" i="3"/>
  <c r="DQ486" i="3"/>
  <c r="DP486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Y486" i="3"/>
  <c r="BX486" i="3"/>
  <c r="BW486" i="3"/>
  <c r="BV486" i="3"/>
  <c r="BU486" i="3"/>
  <c r="BT486" i="3"/>
  <c r="BS486" i="3"/>
  <c r="BR486" i="3"/>
  <c r="BQ486" i="3"/>
  <c r="BP486" i="3"/>
  <c r="BO486" i="3"/>
  <c r="BN486" i="3"/>
  <c r="E486" i="3"/>
  <c r="E983" i="3" s="1"/>
  <c r="D486" i="3"/>
  <c r="D983" i="3" s="1"/>
  <c r="C486" i="3"/>
  <c r="C983" i="3" s="1"/>
  <c r="B486" i="3"/>
  <c r="B983" i="3" s="1"/>
  <c r="A486" i="3"/>
  <c r="A983" i="3" s="1"/>
  <c r="DU485" i="3"/>
  <c r="DT485" i="3"/>
  <c r="DS485" i="3"/>
  <c r="DR485" i="3"/>
  <c r="DQ485" i="3"/>
  <c r="DP485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Y485" i="3"/>
  <c r="BX485" i="3"/>
  <c r="BW485" i="3"/>
  <c r="BV485" i="3"/>
  <c r="BU485" i="3"/>
  <c r="BT485" i="3"/>
  <c r="BS485" i="3"/>
  <c r="BR485" i="3"/>
  <c r="BQ485" i="3"/>
  <c r="BP485" i="3"/>
  <c r="BO485" i="3"/>
  <c r="BN485" i="3"/>
  <c r="E485" i="3"/>
  <c r="E982" i="3" s="1"/>
  <c r="D485" i="3"/>
  <c r="D982" i="3" s="1"/>
  <c r="C485" i="3"/>
  <c r="C982" i="3" s="1"/>
  <c r="B485" i="3"/>
  <c r="B982" i="3" s="1"/>
  <c r="A485" i="3"/>
  <c r="A982" i="3" s="1"/>
  <c r="DU484" i="3"/>
  <c r="DT484" i="3"/>
  <c r="DS484" i="3"/>
  <c r="DR484" i="3"/>
  <c r="DQ484" i="3"/>
  <c r="DP484" i="3"/>
  <c r="DO484" i="3"/>
  <c r="DN484" i="3"/>
  <c r="DM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BU484" i="3"/>
  <c r="BT484" i="3"/>
  <c r="BS484" i="3"/>
  <c r="BR484" i="3"/>
  <c r="BQ484" i="3"/>
  <c r="BP484" i="3"/>
  <c r="BO484" i="3"/>
  <c r="BN484" i="3"/>
  <c r="E484" i="3"/>
  <c r="E981" i="3" s="1"/>
  <c r="D484" i="3"/>
  <c r="D981" i="3" s="1"/>
  <c r="C484" i="3"/>
  <c r="C981" i="3" s="1"/>
  <c r="B484" i="3"/>
  <c r="B981" i="3" s="1"/>
  <c r="A484" i="3"/>
  <c r="A981" i="3" s="1"/>
  <c r="DU483" i="3"/>
  <c r="DT483" i="3"/>
  <c r="DS483" i="3"/>
  <c r="DR483" i="3"/>
  <c r="DQ483" i="3"/>
  <c r="DP483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Y483" i="3"/>
  <c r="BX483" i="3"/>
  <c r="BW483" i="3"/>
  <c r="BV483" i="3"/>
  <c r="BU483" i="3"/>
  <c r="BT483" i="3"/>
  <c r="BS483" i="3"/>
  <c r="BR483" i="3"/>
  <c r="BQ483" i="3"/>
  <c r="BP483" i="3"/>
  <c r="BO483" i="3"/>
  <c r="BN483" i="3"/>
  <c r="E483" i="3"/>
  <c r="E980" i="3" s="1"/>
  <c r="D483" i="3"/>
  <c r="D980" i="3" s="1"/>
  <c r="C483" i="3"/>
  <c r="C980" i="3" s="1"/>
  <c r="B483" i="3"/>
  <c r="B980" i="3" s="1"/>
  <c r="A483" i="3"/>
  <c r="A980" i="3" s="1"/>
  <c r="DU482" i="3"/>
  <c r="DT482" i="3"/>
  <c r="DS482" i="3"/>
  <c r="DR482" i="3"/>
  <c r="DQ482" i="3"/>
  <c r="DP482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Y482" i="3"/>
  <c r="BX482" i="3"/>
  <c r="BW482" i="3"/>
  <c r="BV482" i="3"/>
  <c r="BU482" i="3"/>
  <c r="BT482" i="3"/>
  <c r="BS482" i="3"/>
  <c r="BR482" i="3"/>
  <c r="BQ482" i="3"/>
  <c r="BP482" i="3"/>
  <c r="BO482" i="3"/>
  <c r="BN482" i="3"/>
  <c r="E482" i="3"/>
  <c r="E979" i="3" s="1"/>
  <c r="D482" i="3"/>
  <c r="D979" i="3" s="1"/>
  <c r="C482" i="3"/>
  <c r="C979" i="3" s="1"/>
  <c r="B482" i="3"/>
  <c r="B979" i="3" s="1"/>
  <c r="A482" i="3"/>
  <c r="A979" i="3" s="1"/>
  <c r="DU481" i="3"/>
  <c r="DT481" i="3"/>
  <c r="DS481" i="3"/>
  <c r="DR481" i="3"/>
  <c r="DQ481" i="3"/>
  <c r="DP481" i="3"/>
  <c r="DO481" i="3"/>
  <c r="DN481" i="3"/>
  <c r="DM481" i="3"/>
  <c r="DL481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Y481" i="3"/>
  <c r="BX481" i="3"/>
  <c r="BW481" i="3"/>
  <c r="BV481" i="3"/>
  <c r="BU481" i="3"/>
  <c r="BT481" i="3"/>
  <c r="BS481" i="3"/>
  <c r="BR481" i="3"/>
  <c r="BQ481" i="3"/>
  <c r="BP481" i="3"/>
  <c r="BO481" i="3"/>
  <c r="BN481" i="3"/>
  <c r="E481" i="3"/>
  <c r="E978" i="3" s="1"/>
  <c r="D481" i="3"/>
  <c r="D978" i="3" s="1"/>
  <c r="C481" i="3"/>
  <c r="C978" i="3" s="1"/>
  <c r="B481" i="3"/>
  <c r="B978" i="3" s="1"/>
  <c r="A481" i="3"/>
  <c r="A978" i="3" s="1"/>
  <c r="DU480" i="3"/>
  <c r="DT480" i="3"/>
  <c r="DS480" i="3"/>
  <c r="DR480" i="3"/>
  <c r="DQ480" i="3"/>
  <c r="DP480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Y480" i="3"/>
  <c r="BX480" i="3"/>
  <c r="BW480" i="3"/>
  <c r="BV480" i="3"/>
  <c r="BU480" i="3"/>
  <c r="BT480" i="3"/>
  <c r="BS480" i="3"/>
  <c r="BR480" i="3"/>
  <c r="BQ480" i="3"/>
  <c r="BP480" i="3"/>
  <c r="BO480" i="3"/>
  <c r="BN480" i="3"/>
  <c r="E480" i="3"/>
  <c r="E977" i="3" s="1"/>
  <c r="D480" i="3"/>
  <c r="D977" i="3" s="1"/>
  <c r="C480" i="3"/>
  <c r="C977" i="3" s="1"/>
  <c r="B480" i="3"/>
  <c r="B977" i="3" s="1"/>
  <c r="A480" i="3"/>
  <c r="A977" i="3" s="1"/>
  <c r="DU479" i="3"/>
  <c r="DT479" i="3"/>
  <c r="DS479" i="3"/>
  <c r="DR479" i="3"/>
  <c r="DQ479" i="3"/>
  <c r="DP479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Y479" i="3"/>
  <c r="BX479" i="3"/>
  <c r="BW479" i="3"/>
  <c r="BV479" i="3"/>
  <c r="BU479" i="3"/>
  <c r="BT479" i="3"/>
  <c r="BS479" i="3"/>
  <c r="BR479" i="3"/>
  <c r="BQ479" i="3"/>
  <c r="BP479" i="3"/>
  <c r="BO479" i="3"/>
  <c r="BN479" i="3"/>
  <c r="E479" i="3"/>
  <c r="E976" i="3" s="1"/>
  <c r="D479" i="3"/>
  <c r="D976" i="3" s="1"/>
  <c r="C479" i="3"/>
  <c r="C976" i="3" s="1"/>
  <c r="B479" i="3"/>
  <c r="B976" i="3" s="1"/>
  <c r="A479" i="3"/>
  <c r="A976" i="3" s="1"/>
  <c r="DU478" i="3"/>
  <c r="DT478" i="3"/>
  <c r="DS478" i="3"/>
  <c r="DR478" i="3"/>
  <c r="DQ478" i="3"/>
  <c r="DP478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Y478" i="3"/>
  <c r="BX478" i="3"/>
  <c r="BW478" i="3"/>
  <c r="BV478" i="3"/>
  <c r="BU478" i="3"/>
  <c r="BT478" i="3"/>
  <c r="BS478" i="3"/>
  <c r="BR478" i="3"/>
  <c r="BQ478" i="3"/>
  <c r="BP478" i="3"/>
  <c r="BO478" i="3"/>
  <c r="BN478" i="3"/>
  <c r="E478" i="3"/>
  <c r="E975" i="3" s="1"/>
  <c r="D478" i="3"/>
  <c r="D975" i="3" s="1"/>
  <c r="C478" i="3"/>
  <c r="C975" i="3" s="1"/>
  <c r="B478" i="3"/>
  <c r="B975" i="3" s="1"/>
  <c r="A478" i="3"/>
  <c r="A975" i="3" s="1"/>
  <c r="DU477" i="3"/>
  <c r="DT477" i="3"/>
  <c r="DS477" i="3"/>
  <c r="DR477" i="3"/>
  <c r="DQ477" i="3"/>
  <c r="DP477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Y477" i="3"/>
  <c r="BX477" i="3"/>
  <c r="BW477" i="3"/>
  <c r="BV477" i="3"/>
  <c r="BU477" i="3"/>
  <c r="BT477" i="3"/>
  <c r="BS477" i="3"/>
  <c r="BR477" i="3"/>
  <c r="BQ477" i="3"/>
  <c r="BP477" i="3"/>
  <c r="BO477" i="3"/>
  <c r="BN477" i="3"/>
  <c r="E477" i="3"/>
  <c r="E974" i="3" s="1"/>
  <c r="D477" i="3"/>
  <c r="D974" i="3" s="1"/>
  <c r="C477" i="3"/>
  <c r="C974" i="3" s="1"/>
  <c r="B477" i="3"/>
  <c r="B974" i="3" s="1"/>
  <c r="A477" i="3"/>
  <c r="A974" i="3" s="1"/>
  <c r="DU476" i="3"/>
  <c r="DT476" i="3"/>
  <c r="DS476" i="3"/>
  <c r="DR476" i="3"/>
  <c r="DQ476" i="3"/>
  <c r="DP476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Y476" i="3"/>
  <c r="BX476" i="3"/>
  <c r="BW476" i="3"/>
  <c r="BV476" i="3"/>
  <c r="BU476" i="3"/>
  <c r="BT476" i="3"/>
  <c r="BS476" i="3"/>
  <c r="BR476" i="3"/>
  <c r="BQ476" i="3"/>
  <c r="BP476" i="3"/>
  <c r="BO476" i="3"/>
  <c r="BN476" i="3"/>
  <c r="E476" i="3"/>
  <c r="E973" i="3" s="1"/>
  <c r="D476" i="3"/>
  <c r="D973" i="3" s="1"/>
  <c r="C476" i="3"/>
  <c r="C973" i="3" s="1"/>
  <c r="B476" i="3"/>
  <c r="B973" i="3" s="1"/>
  <c r="A476" i="3"/>
  <c r="A973" i="3" s="1"/>
  <c r="DU475" i="3"/>
  <c r="DT475" i="3"/>
  <c r="DS475" i="3"/>
  <c r="DR475" i="3"/>
  <c r="DQ475" i="3"/>
  <c r="DP475" i="3"/>
  <c r="DO475" i="3"/>
  <c r="DN475" i="3"/>
  <c r="DM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BU475" i="3"/>
  <c r="BT475" i="3"/>
  <c r="BS475" i="3"/>
  <c r="BR475" i="3"/>
  <c r="BQ475" i="3"/>
  <c r="BP475" i="3"/>
  <c r="BO475" i="3"/>
  <c r="BN475" i="3"/>
  <c r="E475" i="3"/>
  <c r="E972" i="3" s="1"/>
  <c r="D475" i="3"/>
  <c r="D972" i="3" s="1"/>
  <c r="C475" i="3"/>
  <c r="C972" i="3" s="1"/>
  <c r="B475" i="3"/>
  <c r="B972" i="3" s="1"/>
  <c r="A475" i="3"/>
  <c r="A972" i="3" s="1"/>
  <c r="DU474" i="3"/>
  <c r="DT474" i="3"/>
  <c r="DS474" i="3"/>
  <c r="DR474" i="3"/>
  <c r="DQ474" i="3"/>
  <c r="DP474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Y474" i="3"/>
  <c r="BX474" i="3"/>
  <c r="BW474" i="3"/>
  <c r="BV474" i="3"/>
  <c r="BU474" i="3"/>
  <c r="BT474" i="3"/>
  <c r="BS474" i="3"/>
  <c r="BR474" i="3"/>
  <c r="BQ474" i="3"/>
  <c r="BP474" i="3"/>
  <c r="BO474" i="3"/>
  <c r="BN474" i="3"/>
  <c r="E474" i="3"/>
  <c r="E971" i="3" s="1"/>
  <c r="D474" i="3"/>
  <c r="D971" i="3" s="1"/>
  <c r="C474" i="3"/>
  <c r="C971" i="3" s="1"/>
  <c r="B474" i="3"/>
  <c r="B971" i="3" s="1"/>
  <c r="A474" i="3"/>
  <c r="A971" i="3" s="1"/>
  <c r="DU473" i="3"/>
  <c r="DT473" i="3"/>
  <c r="DS473" i="3"/>
  <c r="DR473" i="3"/>
  <c r="DQ473" i="3"/>
  <c r="DP473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Y473" i="3"/>
  <c r="BX473" i="3"/>
  <c r="BW473" i="3"/>
  <c r="BV473" i="3"/>
  <c r="BU473" i="3"/>
  <c r="BT473" i="3"/>
  <c r="BS473" i="3"/>
  <c r="BR473" i="3"/>
  <c r="BQ473" i="3"/>
  <c r="BP473" i="3"/>
  <c r="BO473" i="3"/>
  <c r="BN473" i="3"/>
  <c r="E473" i="3"/>
  <c r="E970" i="3" s="1"/>
  <c r="D473" i="3"/>
  <c r="D970" i="3" s="1"/>
  <c r="C473" i="3"/>
  <c r="C970" i="3" s="1"/>
  <c r="B473" i="3"/>
  <c r="B970" i="3" s="1"/>
  <c r="A473" i="3"/>
  <c r="A970" i="3" s="1"/>
  <c r="DU472" i="3"/>
  <c r="DT472" i="3"/>
  <c r="DS472" i="3"/>
  <c r="DR472" i="3"/>
  <c r="DQ472" i="3"/>
  <c r="DP472" i="3"/>
  <c r="DO472" i="3"/>
  <c r="DN472" i="3"/>
  <c r="DM472" i="3"/>
  <c r="DL472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Y472" i="3"/>
  <c r="BX472" i="3"/>
  <c r="BW472" i="3"/>
  <c r="BV472" i="3"/>
  <c r="BU472" i="3"/>
  <c r="BT472" i="3"/>
  <c r="BS472" i="3"/>
  <c r="BR472" i="3"/>
  <c r="BQ472" i="3"/>
  <c r="BP472" i="3"/>
  <c r="BO472" i="3"/>
  <c r="BN472" i="3"/>
  <c r="E472" i="3"/>
  <c r="E969" i="3" s="1"/>
  <c r="D472" i="3"/>
  <c r="D969" i="3" s="1"/>
  <c r="C472" i="3"/>
  <c r="C969" i="3" s="1"/>
  <c r="B472" i="3"/>
  <c r="B969" i="3" s="1"/>
  <c r="A472" i="3"/>
  <c r="A969" i="3" s="1"/>
  <c r="DU471" i="3"/>
  <c r="DT471" i="3"/>
  <c r="DS471" i="3"/>
  <c r="DR471" i="3"/>
  <c r="DQ471" i="3"/>
  <c r="DP471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Y471" i="3"/>
  <c r="BX471" i="3"/>
  <c r="BW471" i="3"/>
  <c r="BV471" i="3"/>
  <c r="BU471" i="3"/>
  <c r="BT471" i="3"/>
  <c r="BS471" i="3"/>
  <c r="BR471" i="3"/>
  <c r="BQ471" i="3"/>
  <c r="BP471" i="3"/>
  <c r="BO471" i="3"/>
  <c r="BN471" i="3"/>
  <c r="E471" i="3"/>
  <c r="E968" i="3" s="1"/>
  <c r="D471" i="3"/>
  <c r="D968" i="3" s="1"/>
  <c r="C471" i="3"/>
  <c r="C968" i="3" s="1"/>
  <c r="B471" i="3"/>
  <c r="B968" i="3" s="1"/>
  <c r="A471" i="3"/>
  <c r="A968" i="3" s="1"/>
  <c r="DU470" i="3"/>
  <c r="DT470" i="3"/>
  <c r="DS470" i="3"/>
  <c r="DR470" i="3"/>
  <c r="DQ470" i="3"/>
  <c r="DP470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Y470" i="3"/>
  <c r="BX470" i="3"/>
  <c r="BW470" i="3"/>
  <c r="BV470" i="3"/>
  <c r="BU470" i="3"/>
  <c r="BT470" i="3"/>
  <c r="BS470" i="3"/>
  <c r="BR470" i="3"/>
  <c r="BQ470" i="3"/>
  <c r="BP470" i="3"/>
  <c r="BO470" i="3"/>
  <c r="BN470" i="3"/>
  <c r="E470" i="3"/>
  <c r="E967" i="3" s="1"/>
  <c r="D470" i="3"/>
  <c r="D967" i="3" s="1"/>
  <c r="C470" i="3"/>
  <c r="C967" i="3" s="1"/>
  <c r="B470" i="3"/>
  <c r="B967" i="3" s="1"/>
  <c r="A470" i="3"/>
  <c r="A967" i="3" s="1"/>
  <c r="DU469" i="3"/>
  <c r="DT469" i="3"/>
  <c r="DS469" i="3"/>
  <c r="DR469" i="3"/>
  <c r="DQ469" i="3"/>
  <c r="DP469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Y469" i="3"/>
  <c r="BX469" i="3"/>
  <c r="BW469" i="3"/>
  <c r="BV469" i="3"/>
  <c r="BU469" i="3"/>
  <c r="BT469" i="3"/>
  <c r="BS469" i="3"/>
  <c r="BR469" i="3"/>
  <c r="BQ469" i="3"/>
  <c r="BP469" i="3"/>
  <c r="BO469" i="3"/>
  <c r="BN469" i="3"/>
  <c r="E469" i="3"/>
  <c r="E966" i="3" s="1"/>
  <c r="D469" i="3"/>
  <c r="D966" i="3" s="1"/>
  <c r="C469" i="3"/>
  <c r="C966" i="3" s="1"/>
  <c r="B469" i="3"/>
  <c r="B966" i="3" s="1"/>
  <c r="A469" i="3"/>
  <c r="A966" i="3" s="1"/>
  <c r="DU468" i="3"/>
  <c r="DT468" i="3"/>
  <c r="DS468" i="3"/>
  <c r="DR468" i="3"/>
  <c r="DQ468" i="3"/>
  <c r="DP468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Y468" i="3"/>
  <c r="BX468" i="3"/>
  <c r="BW468" i="3"/>
  <c r="BV468" i="3"/>
  <c r="BU468" i="3"/>
  <c r="BT468" i="3"/>
  <c r="BS468" i="3"/>
  <c r="BR468" i="3"/>
  <c r="BQ468" i="3"/>
  <c r="BP468" i="3"/>
  <c r="BO468" i="3"/>
  <c r="BN468" i="3"/>
  <c r="E468" i="3"/>
  <c r="E965" i="3" s="1"/>
  <c r="D468" i="3"/>
  <c r="D965" i="3" s="1"/>
  <c r="C468" i="3"/>
  <c r="C965" i="3" s="1"/>
  <c r="B468" i="3"/>
  <c r="B965" i="3" s="1"/>
  <c r="A468" i="3"/>
  <c r="A965" i="3" s="1"/>
  <c r="DU467" i="3"/>
  <c r="DT467" i="3"/>
  <c r="DS467" i="3"/>
  <c r="DR467" i="3"/>
  <c r="DQ467" i="3"/>
  <c r="DP467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Y467" i="3"/>
  <c r="BX467" i="3"/>
  <c r="BW467" i="3"/>
  <c r="BV467" i="3"/>
  <c r="BU467" i="3"/>
  <c r="BT467" i="3"/>
  <c r="BS467" i="3"/>
  <c r="BR467" i="3"/>
  <c r="BQ467" i="3"/>
  <c r="BP467" i="3"/>
  <c r="BO467" i="3"/>
  <c r="BN467" i="3"/>
  <c r="E467" i="3"/>
  <c r="E964" i="3" s="1"/>
  <c r="D467" i="3"/>
  <c r="D964" i="3" s="1"/>
  <c r="C467" i="3"/>
  <c r="C964" i="3" s="1"/>
  <c r="B467" i="3"/>
  <c r="B964" i="3" s="1"/>
  <c r="A467" i="3"/>
  <c r="A964" i="3" s="1"/>
  <c r="DU466" i="3"/>
  <c r="DT466" i="3"/>
  <c r="DS466" i="3"/>
  <c r="DR466" i="3"/>
  <c r="DQ466" i="3"/>
  <c r="DP466" i="3"/>
  <c r="DO466" i="3"/>
  <c r="DN466" i="3"/>
  <c r="DM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BU466" i="3"/>
  <c r="BT466" i="3"/>
  <c r="BS466" i="3"/>
  <c r="BR466" i="3"/>
  <c r="BQ466" i="3"/>
  <c r="BP466" i="3"/>
  <c r="BO466" i="3"/>
  <c r="BN466" i="3"/>
  <c r="E466" i="3"/>
  <c r="E963" i="3" s="1"/>
  <c r="D466" i="3"/>
  <c r="D963" i="3" s="1"/>
  <c r="C466" i="3"/>
  <c r="C963" i="3" s="1"/>
  <c r="B466" i="3"/>
  <c r="B963" i="3" s="1"/>
  <c r="A466" i="3"/>
  <c r="A963" i="3" s="1"/>
  <c r="DU465" i="3"/>
  <c r="DT465" i="3"/>
  <c r="DS465" i="3"/>
  <c r="DR465" i="3"/>
  <c r="DQ465" i="3"/>
  <c r="DP465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Y465" i="3"/>
  <c r="BX465" i="3"/>
  <c r="BW465" i="3"/>
  <c r="BV465" i="3"/>
  <c r="BU465" i="3"/>
  <c r="BT465" i="3"/>
  <c r="BS465" i="3"/>
  <c r="BR465" i="3"/>
  <c r="BQ465" i="3"/>
  <c r="BP465" i="3"/>
  <c r="BO465" i="3"/>
  <c r="BN465" i="3"/>
  <c r="E465" i="3"/>
  <c r="E962" i="3" s="1"/>
  <c r="D465" i="3"/>
  <c r="D962" i="3" s="1"/>
  <c r="C465" i="3"/>
  <c r="C962" i="3" s="1"/>
  <c r="B465" i="3"/>
  <c r="B962" i="3" s="1"/>
  <c r="A465" i="3"/>
  <c r="A962" i="3" s="1"/>
  <c r="DU464" i="3"/>
  <c r="DT464" i="3"/>
  <c r="DS464" i="3"/>
  <c r="DR464" i="3"/>
  <c r="DQ464" i="3"/>
  <c r="DP464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Y464" i="3"/>
  <c r="BX464" i="3"/>
  <c r="BW464" i="3"/>
  <c r="BV464" i="3"/>
  <c r="BU464" i="3"/>
  <c r="BT464" i="3"/>
  <c r="BS464" i="3"/>
  <c r="BR464" i="3"/>
  <c r="BQ464" i="3"/>
  <c r="BP464" i="3"/>
  <c r="BO464" i="3"/>
  <c r="BN464" i="3"/>
  <c r="E464" i="3"/>
  <c r="E961" i="3" s="1"/>
  <c r="D464" i="3"/>
  <c r="D961" i="3" s="1"/>
  <c r="C464" i="3"/>
  <c r="C961" i="3" s="1"/>
  <c r="B464" i="3"/>
  <c r="B961" i="3" s="1"/>
  <c r="A464" i="3"/>
  <c r="A961" i="3" s="1"/>
  <c r="DU463" i="3"/>
  <c r="DT463" i="3"/>
  <c r="DS463" i="3"/>
  <c r="DR463" i="3"/>
  <c r="DQ463" i="3"/>
  <c r="DP463" i="3"/>
  <c r="DO463" i="3"/>
  <c r="DN463" i="3"/>
  <c r="DM463" i="3"/>
  <c r="DL463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Y463" i="3"/>
  <c r="BX463" i="3"/>
  <c r="BW463" i="3"/>
  <c r="BV463" i="3"/>
  <c r="BU463" i="3"/>
  <c r="BT463" i="3"/>
  <c r="BS463" i="3"/>
  <c r="BR463" i="3"/>
  <c r="BQ463" i="3"/>
  <c r="BP463" i="3"/>
  <c r="BO463" i="3"/>
  <c r="BN463" i="3"/>
  <c r="E463" i="3"/>
  <c r="E960" i="3" s="1"/>
  <c r="D463" i="3"/>
  <c r="D960" i="3" s="1"/>
  <c r="C463" i="3"/>
  <c r="C960" i="3" s="1"/>
  <c r="B463" i="3"/>
  <c r="B960" i="3" s="1"/>
  <c r="A463" i="3"/>
  <c r="A960" i="3" s="1"/>
  <c r="DU462" i="3"/>
  <c r="DT462" i="3"/>
  <c r="DS462" i="3"/>
  <c r="DR462" i="3"/>
  <c r="DQ462" i="3"/>
  <c r="DP462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Y462" i="3"/>
  <c r="BX462" i="3"/>
  <c r="BW462" i="3"/>
  <c r="BV462" i="3"/>
  <c r="BU462" i="3"/>
  <c r="BT462" i="3"/>
  <c r="BS462" i="3"/>
  <c r="BR462" i="3"/>
  <c r="BQ462" i="3"/>
  <c r="BP462" i="3"/>
  <c r="BO462" i="3"/>
  <c r="BN462" i="3"/>
  <c r="E462" i="3"/>
  <c r="E959" i="3" s="1"/>
  <c r="D462" i="3"/>
  <c r="D959" i="3" s="1"/>
  <c r="C462" i="3"/>
  <c r="C959" i="3" s="1"/>
  <c r="B462" i="3"/>
  <c r="B959" i="3" s="1"/>
  <c r="A462" i="3"/>
  <c r="A959" i="3" s="1"/>
  <c r="DU461" i="3"/>
  <c r="DT461" i="3"/>
  <c r="DS461" i="3"/>
  <c r="DR461" i="3"/>
  <c r="DQ461" i="3"/>
  <c r="DP461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Y461" i="3"/>
  <c r="BX461" i="3"/>
  <c r="BW461" i="3"/>
  <c r="BV461" i="3"/>
  <c r="BU461" i="3"/>
  <c r="BT461" i="3"/>
  <c r="BS461" i="3"/>
  <c r="BR461" i="3"/>
  <c r="BQ461" i="3"/>
  <c r="BP461" i="3"/>
  <c r="BO461" i="3"/>
  <c r="BN461" i="3"/>
  <c r="E461" i="3"/>
  <c r="E958" i="3" s="1"/>
  <c r="D461" i="3"/>
  <c r="D958" i="3" s="1"/>
  <c r="C461" i="3"/>
  <c r="C958" i="3" s="1"/>
  <c r="B461" i="3"/>
  <c r="B958" i="3" s="1"/>
  <c r="A461" i="3"/>
  <c r="A958" i="3" s="1"/>
  <c r="DU460" i="3"/>
  <c r="DT460" i="3"/>
  <c r="DS460" i="3"/>
  <c r="DR460" i="3"/>
  <c r="DQ460" i="3"/>
  <c r="DP460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Y460" i="3"/>
  <c r="BX460" i="3"/>
  <c r="BW460" i="3"/>
  <c r="BV460" i="3"/>
  <c r="BU460" i="3"/>
  <c r="BT460" i="3"/>
  <c r="BS460" i="3"/>
  <c r="BR460" i="3"/>
  <c r="BQ460" i="3"/>
  <c r="BP460" i="3"/>
  <c r="BO460" i="3"/>
  <c r="BN460" i="3"/>
  <c r="E460" i="3"/>
  <c r="E957" i="3" s="1"/>
  <c r="D460" i="3"/>
  <c r="D957" i="3" s="1"/>
  <c r="C460" i="3"/>
  <c r="C957" i="3" s="1"/>
  <c r="B460" i="3"/>
  <c r="B957" i="3" s="1"/>
  <c r="A460" i="3"/>
  <c r="A957" i="3" s="1"/>
  <c r="DU459" i="3"/>
  <c r="DT459" i="3"/>
  <c r="DS459" i="3"/>
  <c r="DR459" i="3"/>
  <c r="DQ459" i="3"/>
  <c r="DP459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Y459" i="3"/>
  <c r="BX459" i="3"/>
  <c r="BW459" i="3"/>
  <c r="BV459" i="3"/>
  <c r="BU459" i="3"/>
  <c r="BT459" i="3"/>
  <c r="BS459" i="3"/>
  <c r="BR459" i="3"/>
  <c r="BQ459" i="3"/>
  <c r="BP459" i="3"/>
  <c r="BO459" i="3"/>
  <c r="BN459" i="3"/>
  <c r="E459" i="3"/>
  <c r="E956" i="3" s="1"/>
  <c r="D459" i="3"/>
  <c r="D956" i="3" s="1"/>
  <c r="C459" i="3"/>
  <c r="C956" i="3" s="1"/>
  <c r="B459" i="3"/>
  <c r="B956" i="3" s="1"/>
  <c r="A459" i="3"/>
  <c r="A956" i="3" s="1"/>
  <c r="DU458" i="3"/>
  <c r="DT458" i="3"/>
  <c r="DS458" i="3"/>
  <c r="DR458" i="3"/>
  <c r="DQ458" i="3"/>
  <c r="DP458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Y458" i="3"/>
  <c r="BX458" i="3"/>
  <c r="BW458" i="3"/>
  <c r="BV458" i="3"/>
  <c r="BU458" i="3"/>
  <c r="BT458" i="3"/>
  <c r="BS458" i="3"/>
  <c r="BR458" i="3"/>
  <c r="BQ458" i="3"/>
  <c r="BP458" i="3"/>
  <c r="BO458" i="3"/>
  <c r="BN458" i="3"/>
  <c r="E458" i="3"/>
  <c r="E955" i="3" s="1"/>
  <c r="D458" i="3"/>
  <c r="D955" i="3" s="1"/>
  <c r="C458" i="3"/>
  <c r="C955" i="3" s="1"/>
  <c r="B458" i="3"/>
  <c r="B955" i="3" s="1"/>
  <c r="A458" i="3"/>
  <c r="A955" i="3" s="1"/>
  <c r="DU457" i="3"/>
  <c r="DT457" i="3"/>
  <c r="DS457" i="3"/>
  <c r="DR457" i="3"/>
  <c r="DQ457" i="3"/>
  <c r="DP457" i="3"/>
  <c r="DO457" i="3"/>
  <c r="DN457" i="3"/>
  <c r="DM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BU457" i="3"/>
  <c r="BT457" i="3"/>
  <c r="BS457" i="3"/>
  <c r="BR457" i="3"/>
  <c r="BQ457" i="3"/>
  <c r="BP457" i="3"/>
  <c r="BO457" i="3"/>
  <c r="BN457" i="3"/>
  <c r="E457" i="3"/>
  <c r="E954" i="3" s="1"/>
  <c r="D457" i="3"/>
  <c r="D954" i="3" s="1"/>
  <c r="C457" i="3"/>
  <c r="C954" i="3" s="1"/>
  <c r="B457" i="3"/>
  <c r="B954" i="3" s="1"/>
  <c r="A457" i="3"/>
  <c r="A954" i="3" s="1"/>
  <c r="DU456" i="3"/>
  <c r="DT456" i="3"/>
  <c r="DS456" i="3"/>
  <c r="DR456" i="3"/>
  <c r="DQ456" i="3"/>
  <c r="DP456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Y456" i="3"/>
  <c r="BX456" i="3"/>
  <c r="BW456" i="3"/>
  <c r="BV456" i="3"/>
  <c r="BU456" i="3"/>
  <c r="BT456" i="3"/>
  <c r="BS456" i="3"/>
  <c r="BR456" i="3"/>
  <c r="BQ456" i="3"/>
  <c r="BP456" i="3"/>
  <c r="BO456" i="3"/>
  <c r="BN456" i="3"/>
  <c r="E456" i="3"/>
  <c r="E953" i="3" s="1"/>
  <c r="D456" i="3"/>
  <c r="D953" i="3" s="1"/>
  <c r="C456" i="3"/>
  <c r="C953" i="3" s="1"/>
  <c r="B456" i="3"/>
  <c r="B953" i="3" s="1"/>
  <c r="A456" i="3"/>
  <c r="A953" i="3" s="1"/>
  <c r="DU455" i="3"/>
  <c r="DT455" i="3"/>
  <c r="DS455" i="3"/>
  <c r="DR455" i="3"/>
  <c r="DQ455" i="3"/>
  <c r="DP455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Y455" i="3"/>
  <c r="BX455" i="3"/>
  <c r="BW455" i="3"/>
  <c r="BV455" i="3"/>
  <c r="BU455" i="3"/>
  <c r="BT455" i="3"/>
  <c r="BS455" i="3"/>
  <c r="BR455" i="3"/>
  <c r="BQ455" i="3"/>
  <c r="BP455" i="3"/>
  <c r="BO455" i="3"/>
  <c r="BN455" i="3"/>
  <c r="E455" i="3"/>
  <c r="B455" i="3"/>
  <c r="A455" i="3"/>
  <c r="DU454" i="3"/>
  <c r="DT454" i="3"/>
  <c r="DS454" i="3"/>
  <c r="DR454" i="3"/>
  <c r="DQ454" i="3"/>
  <c r="DP454" i="3"/>
  <c r="DO454" i="3"/>
  <c r="DN454" i="3"/>
  <c r="DM454" i="3"/>
  <c r="DL454" i="3"/>
  <c r="DK454" i="3"/>
  <c r="DJ454" i="3"/>
  <c r="DI454" i="3"/>
  <c r="DH454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Y454" i="3"/>
  <c r="BX454" i="3"/>
  <c r="BW454" i="3"/>
  <c r="BV454" i="3"/>
  <c r="BU454" i="3"/>
  <c r="BT454" i="3"/>
  <c r="BS454" i="3"/>
  <c r="BR454" i="3"/>
  <c r="BQ454" i="3"/>
  <c r="BP454" i="3"/>
  <c r="BO454" i="3"/>
  <c r="BN454" i="3"/>
  <c r="E454" i="3"/>
  <c r="E952" i="3" s="1"/>
  <c r="D454" i="3"/>
  <c r="D952" i="3" s="1"/>
  <c r="C454" i="3"/>
  <c r="C952" i="3" s="1"/>
  <c r="B454" i="3"/>
  <c r="B952" i="3" s="1"/>
  <c r="A454" i="3"/>
  <c r="A952" i="3" s="1"/>
  <c r="DU453" i="3"/>
  <c r="DT453" i="3"/>
  <c r="DS453" i="3"/>
  <c r="DR453" i="3"/>
  <c r="DQ453" i="3"/>
  <c r="DP453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Y453" i="3"/>
  <c r="BX453" i="3"/>
  <c r="BW453" i="3"/>
  <c r="BV453" i="3"/>
  <c r="BU453" i="3"/>
  <c r="BT453" i="3"/>
  <c r="BS453" i="3"/>
  <c r="BR453" i="3"/>
  <c r="BQ453" i="3"/>
  <c r="BP453" i="3"/>
  <c r="BO453" i="3"/>
  <c r="BN453" i="3"/>
  <c r="E453" i="3"/>
  <c r="E951" i="3" s="1"/>
  <c r="D453" i="3"/>
  <c r="D951" i="3" s="1"/>
  <c r="C453" i="3"/>
  <c r="C951" i="3" s="1"/>
  <c r="B453" i="3"/>
  <c r="B951" i="3" s="1"/>
  <c r="A453" i="3"/>
  <c r="A951" i="3" s="1"/>
  <c r="DU452" i="3"/>
  <c r="DT452" i="3"/>
  <c r="DS452" i="3"/>
  <c r="DR452" i="3"/>
  <c r="DQ452" i="3"/>
  <c r="DP452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Y452" i="3"/>
  <c r="BX452" i="3"/>
  <c r="BW452" i="3"/>
  <c r="BV452" i="3"/>
  <c r="BU452" i="3"/>
  <c r="BT452" i="3"/>
  <c r="BS452" i="3"/>
  <c r="BR452" i="3"/>
  <c r="BQ452" i="3"/>
  <c r="BP452" i="3"/>
  <c r="BO452" i="3"/>
  <c r="BN452" i="3"/>
  <c r="E452" i="3"/>
  <c r="E950" i="3" s="1"/>
  <c r="D452" i="3"/>
  <c r="D950" i="3" s="1"/>
  <c r="C452" i="3"/>
  <c r="C950" i="3" s="1"/>
  <c r="B452" i="3"/>
  <c r="B950" i="3" s="1"/>
  <c r="A452" i="3"/>
  <c r="A950" i="3" s="1"/>
  <c r="DU451" i="3"/>
  <c r="DT451" i="3"/>
  <c r="DS451" i="3"/>
  <c r="DR451" i="3"/>
  <c r="DQ451" i="3"/>
  <c r="DP451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Y451" i="3"/>
  <c r="BX451" i="3"/>
  <c r="BW451" i="3"/>
  <c r="BV451" i="3"/>
  <c r="BU451" i="3"/>
  <c r="BT451" i="3"/>
  <c r="BS451" i="3"/>
  <c r="BR451" i="3"/>
  <c r="BQ451" i="3"/>
  <c r="BP451" i="3"/>
  <c r="BO451" i="3"/>
  <c r="BN451" i="3"/>
  <c r="E451" i="3"/>
  <c r="E949" i="3" s="1"/>
  <c r="D451" i="3"/>
  <c r="D949" i="3" s="1"/>
  <c r="C451" i="3"/>
  <c r="C949" i="3" s="1"/>
  <c r="B451" i="3"/>
  <c r="B949" i="3" s="1"/>
  <c r="A451" i="3"/>
  <c r="A949" i="3" s="1"/>
  <c r="DU450" i="3"/>
  <c r="DT450" i="3"/>
  <c r="DS450" i="3"/>
  <c r="DR450" i="3"/>
  <c r="DQ450" i="3"/>
  <c r="DP450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Y450" i="3"/>
  <c r="BX450" i="3"/>
  <c r="BW450" i="3"/>
  <c r="BV450" i="3"/>
  <c r="BU450" i="3"/>
  <c r="BT450" i="3"/>
  <c r="BS450" i="3"/>
  <c r="BR450" i="3"/>
  <c r="BQ450" i="3"/>
  <c r="BP450" i="3"/>
  <c r="BO450" i="3"/>
  <c r="BN450" i="3"/>
  <c r="E450" i="3"/>
  <c r="E948" i="3" s="1"/>
  <c r="D450" i="3"/>
  <c r="D948" i="3" s="1"/>
  <c r="C450" i="3"/>
  <c r="C948" i="3" s="1"/>
  <c r="B450" i="3"/>
  <c r="B948" i="3" s="1"/>
  <c r="A450" i="3"/>
  <c r="A948" i="3" s="1"/>
  <c r="DU449" i="3"/>
  <c r="DT449" i="3"/>
  <c r="DS449" i="3"/>
  <c r="DR449" i="3"/>
  <c r="DQ449" i="3"/>
  <c r="DP449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Y449" i="3"/>
  <c r="BX449" i="3"/>
  <c r="BW449" i="3"/>
  <c r="BV449" i="3"/>
  <c r="BU449" i="3"/>
  <c r="BT449" i="3"/>
  <c r="BS449" i="3"/>
  <c r="BR449" i="3"/>
  <c r="BQ449" i="3"/>
  <c r="BP449" i="3"/>
  <c r="BO449" i="3"/>
  <c r="BN449" i="3"/>
  <c r="E449" i="3"/>
  <c r="E947" i="3" s="1"/>
  <c r="D449" i="3"/>
  <c r="D947" i="3" s="1"/>
  <c r="C449" i="3"/>
  <c r="C947" i="3" s="1"/>
  <c r="B449" i="3"/>
  <c r="B947" i="3" s="1"/>
  <c r="A449" i="3"/>
  <c r="A947" i="3" s="1"/>
  <c r="DU448" i="3"/>
  <c r="DT448" i="3"/>
  <c r="DS448" i="3"/>
  <c r="DR448" i="3"/>
  <c r="DQ448" i="3"/>
  <c r="DP448" i="3"/>
  <c r="DO448" i="3"/>
  <c r="DN448" i="3"/>
  <c r="DM448" i="3"/>
  <c r="DL448" i="3"/>
  <c r="DK448" i="3"/>
  <c r="DJ448" i="3"/>
  <c r="DI448" i="3"/>
  <c r="DH448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Y448" i="3"/>
  <c r="BX448" i="3"/>
  <c r="BW448" i="3"/>
  <c r="BV448" i="3"/>
  <c r="BU448" i="3"/>
  <c r="BT448" i="3"/>
  <c r="BS448" i="3"/>
  <c r="BR448" i="3"/>
  <c r="BQ448" i="3"/>
  <c r="BP448" i="3"/>
  <c r="BO448" i="3"/>
  <c r="BN448" i="3"/>
  <c r="E448" i="3"/>
  <c r="E946" i="3" s="1"/>
  <c r="D448" i="3"/>
  <c r="D946" i="3" s="1"/>
  <c r="C448" i="3"/>
  <c r="C946" i="3" s="1"/>
  <c r="B448" i="3"/>
  <c r="B946" i="3" s="1"/>
  <c r="A448" i="3"/>
  <c r="A946" i="3" s="1"/>
  <c r="DU447" i="3"/>
  <c r="DT447" i="3"/>
  <c r="DS447" i="3"/>
  <c r="DR447" i="3"/>
  <c r="DQ447" i="3"/>
  <c r="DP447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Y447" i="3"/>
  <c r="BX447" i="3"/>
  <c r="BW447" i="3"/>
  <c r="BV447" i="3"/>
  <c r="BU447" i="3"/>
  <c r="BT447" i="3"/>
  <c r="BS447" i="3"/>
  <c r="BR447" i="3"/>
  <c r="BQ447" i="3"/>
  <c r="BP447" i="3"/>
  <c r="BO447" i="3"/>
  <c r="BN447" i="3"/>
  <c r="E447" i="3"/>
  <c r="E945" i="3" s="1"/>
  <c r="D447" i="3"/>
  <c r="D945" i="3" s="1"/>
  <c r="C447" i="3"/>
  <c r="C945" i="3" s="1"/>
  <c r="B447" i="3"/>
  <c r="B945" i="3" s="1"/>
  <c r="A447" i="3"/>
  <c r="A945" i="3" s="1"/>
  <c r="DU446" i="3"/>
  <c r="DT446" i="3"/>
  <c r="DS446" i="3"/>
  <c r="DR446" i="3"/>
  <c r="DQ446" i="3"/>
  <c r="DP446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Y446" i="3"/>
  <c r="BX446" i="3"/>
  <c r="BW446" i="3"/>
  <c r="BV446" i="3"/>
  <c r="BU446" i="3"/>
  <c r="BT446" i="3"/>
  <c r="BS446" i="3"/>
  <c r="BR446" i="3"/>
  <c r="BQ446" i="3"/>
  <c r="BP446" i="3"/>
  <c r="BO446" i="3"/>
  <c r="BN446" i="3"/>
  <c r="E446" i="3"/>
  <c r="E944" i="3" s="1"/>
  <c r="D446" i="3"/>
  <c r="D944" i="3" s="1"/>
  <c r="C446" i="3"/>
  <c r="C944" i="3" s="1"/>
  <c r="B446" i="3"/>
  <c r="B944" i="3" s="1"/>
  <c r="A446" i="3"/>
  <c r="A944" i="3" s="1"/>
  <c r="DU445" i="3"/>
  <c r="DT445" i="3"/>
  <c r="DS445" i="3"/>
  <c r="DR445" i="3"/>
  <c r="DQ445" i="3"/>
  <c r="DP445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Y445" i="3"/>
  <c r="BX445" i="3"/>
  <c r="BW445" i="3"/>
  <c r="BV445" i="3"/>
  <c r="BU445" i="3"/>
  <c r="BT445" i="3"/>
  <c r="BS445" i="3"/>
  <c r="BR445" i="3"/>
  <c r="BQ445" i="3"/>
  <c r="BP445" i="3"/>
  <c r="BO445" i="3"/>
  <c r="BN445" i="3"/>
  <c r="E445" i="3"/>
  <c r="E943" i="3" s="1"/>
  <c r="D445" i="3"/>
  <c r="D943" i="3" s="1"/>
  <c r="C445" i="3"/>
  <c r="C943" i="3" s="1"/>
  <c r="B445" i="3"/>
  <c r="B943" i="3" s="1"/>
  <c r="A445" i="3"/>
  <c r="A943" i="3" s="1"/>
  <c r="DU444" i="3"/>
  <c r="DT444" i="3"/>
  <c r="DS444" i="3"/>
  <c r="DR444" i="3"/>
  <c r="DQ444" i="3"/>
  <c r="DP444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Y444" i="3"/>
  <c r="BX444" i="3"/>
  <c r="BW444" i="3"/>
  <c r="BV444" i="3"/>
  <c r="BU444" i="3"/>
  <c r="BT444" i="3"/>
  <c r="BS444" i="3"/>
  <c r="BR444" i="3"/>
  <c r="BQ444" i="3"/>
  <c r="BP444" i="3"/>
  <c r="BO444" i="3"/>
  <c r="BN444" i="3"/>
  <c r="E444" i="3"/>
  <c r="E942" i="3" s="1"/>
  <c r="D444" i="3"/>
  <c r="D942" i="3" s="1"/>
  <c r="C444" i="3"/>
  <c r="C942" i="3" s="1"/>
  <c r="B444" i="3"/>
  <c r="B942" i="3" s="1"/>
  <c r="A444" i="3"/>
  <c r="A942" i="3" s="1"/>
  <c r="DU443" i="3"/>
  <c r="DT443" i="3"/>
  <c r="DS443" i="3"/>
  <c r="DR443" i="3"/>
  <c r="DQ443" i="3"/>
  <c r="DP443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Y443" i="3"/>
  <c r="BX443" i="3"/>
  <c r="BW443" i="3"/>
  <c r="BV443" i="3"/>
  <c r="BU443" i="3"/>
  <c r="BT443" i="3"/>
  <c r="BS443" i="3"/>
  <c r="BR443" i="3"/>
  <c r="BQ443" i="3"/>
  <c r="BP443" i="3"/>
  <c r="BO443" i="3"/>
  <c r="BN443" i="3"/>
  <c r="E443" i="3"/>
  <c r="E941" i="3" s="1"/>
  <c r="D443" i="3"/>
  <c r="D941" i="3" s="1"/>
  <c r="C443" i="3"/>
  <c r="C941" i="3" s="1"/>
  <c r="B443" i="3"/>
  <c r="B941" i="3" s="1"/>
  <c r="A443" i="3"/>
  <c r="A941" i="3" s="1"/>
  <c r="DU442" i="3"/>
  <c r="DT442" i="3"/>
  <c r="DS442" i="3"/>
  <c r="DR442" i="3"/>
  <c r="DQ442" i="3"/>
  <c r="DP442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Y442" i="3"/>
  <c r="BX442" i="3"/>
  <c r="BW442" i="3"/>
  <c r="BV442" i="3"/>
  <c r="BU442" i="3"/>
  <c r="BT442" i="3"/>
  <c r="BS442" i="3"/>
  <c r="BR442" i="3"/>
  <c r="BQ442" i="3"/>
  <c r="BP442" i="3"/>
  <c r="BO442" i="3"/>
  <c r="BN442" i="3"/>
  <c r="E442" i="3"/>
  <c r="E940" i="3" s="1"/>
  <c r="D442" i="3"/>
  <c r="D940" i="3" s="1"/>
  <c r="C442" i="3"/>
  <c r="C940" i="3" s="1"/>
  <c r="B442" i="3"/>
  <c r="B940" i="3" s="1"/>
  <c r="A442" i="3"/>
  <c r="A940" i="3" s="1"/>
  <c r="DU441" i="3"/>
  <c r="DT441" i="3"/>
  <c r="DS441" i="3"/>
  <c r="DR441" i="3"/>
  <c r="DQ441" i="3"/>
  <c r="DP441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BU441" i="3"/>
  <c r="BT441" i="3"/>
  <c r="BS441" i="3"/>
  <c r="BR441" i="3"/>
  <c r="BQ441" i="3"/>
  <c r="BP441" i="3"/>
  <c r="BO441" i="3"/>
  <c r="BN441" i="3"/>
  <c r="E441" i="3"/>
  <c r="E939" i="3" s="1"/>
  <c r="D441" i="3"/>
  <c r="D939" i="3" s="1"/>
  <c r="C441" i="3"/>
  <c r="C939" i="3" s="1"/>
  <c r="B441" i="3"/>
  <c r="B939" i="3" s="1"/>
  <c r="A441" i="3"/>
  <c r="A939" i="3" s="1"/>
  <c r="DU440" i="3"/>
  <c r="DT440" i="3"/>
  <c r="DS440" i="3"/>
  <c r="DR440" i="3"/>
  <c r="DQ440" i="3"/>
  <c r="DP440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BU440" i="3"/>
  <c r="BT440" i="3"/>
  <c r="BS440" i="3"/>
  <c r="BR440" i="3"/>
  <c r="BQ440" i="3"/>
  <c r="BP440" i="3"/>
  <c r="BO440" i="3"/>
  <c r="BN440" i="3"/>
  <c r="E440" i="3"/>
  <c r="E938" i="3" s="1"/>
  <c r="D440" i="3"/>
  <c r="D938" i="3" s="1"/>
  <c r="C440" i="3"/>
  <c r="C938" i="3" s="1"/>
  <c r="B440" i="3"/>
  <c r="B938" i="3" s="1"/>
  <c r="A440" i="3"/>
  <c r="A938" i="3" s="1"/>
  <c r="DU439" i="3"/>
  <c r="DT439" i="3"/>
  <c r="DS439" i="3"/>
  <c r="DR439" i="3"/>
  <c r="DQ439" i="3"/>
  <c r="DP439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Y439" i="3"/>
  <c r="BX439" i="3"/>
  <c r="BW439" i="3"/>
  <c r="BV439" i="3"/>
  <c r="BU439" i="3"/>
  <c r="BT439" i="3"/>
  <c r="BS439" i="3"/>
  <c r="BR439" i="3"/>
  <c r="BQ439" i="3"/>
  <c r="BP439" i="3"/>
  <c r="BO439" i="3"/>
  <c r="BN439" i="3"/>
  <c r="E439" i="3"/>
  <c r="E937" i="3" s="1"/>
  <c r="D439" i="3"/>
  <c r="D937" i="3" s="1"/>
  <c r="C439" i="3"/>
  <c r="C937" i="3" s="1"/>
  <c r="B439" i="3"/>
  <c r="B937" i="3" s="1"/>
  <c r="A439" i="3"/>
  <c r="A937" i="3" s="1"/>
  <c r="DU438" i="3"/>
  <c r="DT438" i="3"/>
  <c r="DS438" i="3"/>
  <c r="DR438" i="3"/>
  <c r="DQ438" i="3"/>
  <c r="DP438" i="3"/>
  <c r="DO438" i="3"/>
  <c r="DN438" i="3"/>
  <c r="DM438" i="3"/>
  <c r="DL438" i="3"/>
  <c r="DK438" i="3"/>
  <c r="DJ438" i="3"/>
  <c r="DI438" i="3"/>
  <c r="DH438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Y438" i="3"/>
  <c r="BX438" i="3"/>
  <c r="BW438" i="3"/>
  <c r="BV438" i="3"/>
  <c r="BU438" i="3"/>
  <c r="BT438" i="3"/>
  <c r="BS438" i="3"/>
  <c r="BR438" i="3"/>
  <c r="BQ438" i="3"/>
  <c r="BP438" i="3"/>
  <c r="BO438" i="3"/>
  <c r="BN438" i="3"/>
  <c r="E438" i="3"/>
  <c r="E936" i="3" s="1"/>
  <c r="D438" i="3"/>
  <c r="D936" i="3" s="1"/>
  <c r="C438" i="3"/>
  <c r="C936" i="3" s="1"/>
  <c r="B438" i="3"/>
  <c r="B936" i="3" s="1"/>
  <c r="A438" i="3"/>
  <c r="A936" i="3" s="1"/>
  <c r="DU437" i="3"/>
  <c r="DT437" i="3"/>
  <c r="DS437" i="3"/>
  <c r="DR437" i="3"/>
  <c r="DQ437" i="3"/>
  <c r="DP437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Y437" i="3"/>
  <c r="BX437" i="3"/>
  <c r="BW437" i="3"/>
  <c r="BV437" i="3"/>
  <c r="BU437" i="3"/>
  <c r="BT437" i="3"/>
  <c r="BS437" i="3"/>
  <c r="BR437" i="3"/>
  <c r="BQ437" i="3"/>
  <c r="BP437" i="3"/>
  <c r="BO437" i="3"/>
  <c r="BN437" i="3"/>
  <c r="E437" i="3"/>
  <c r="E935" i="3" s="1"/>
  <c r="D437" i="3"/>
  <c r="D935" i="3" s="1"/>
  <c r="C437" i="3"/>
  <c r="C935" i="3" s="1"/>
  <c r="B437" i="3"/>
  <c r="B935" i="3" s="1"/>
  <c r="A437" i="3"/>
  <c r="A935" i="3" s="1"/>
  <c r="DU436" i="3"/>
  <c r="DT436" i="3"/>
  <c r="DS436" i="3"/>
  <c r="DR436" i="3"/>
  <c r="DQ436" i="3"/>
  <c r="DP436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Y436" i="3"/>
  <c r="BX436" i="3"/>
  <c r="BW436" i="3"/>
  <c r="BV436" i="3"/>
  <c r="BU436" i="3"/>
  <c r="BT436" i="3"/>
  <c r="BS436" i="3"/>
  <c r="BR436" i="3"/>
  <c r="BQ436" i="3"/>
  <c r="BP436" i="3"/>
  <c r="BO436" i="3"/>
  <c r="BN436" i="3"/>
  <c r="E436" i="3"/>
  <c r="E934" i="3" s="1"/>
  <c r="D436" i="3"/>
  <c r="D934" i="3" s="1"/>
  <c r="C436" i="3"/>
  <c r="C934" i="3" s="1"/>
  <c r="B436" i="3"/>
  <c r="B934" i="3" s="1"/>
  <c r="A436" i="3"/>
  <c r="A934" i="3" s="1"/>
  <c r="DU435" i="3"/>
  <c r="DT435" i="3"/>
  <c r="DS435" i="3"/>
  <c r="DR435" i="3"/>
  <c r="DQ435" i="3"/>
  <c r="DP435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Y435" i="3"/>
  <c r="BX435" i="3"/>
  <c r="BW435" i="3"/>
  <c r="BV435" i="3"/>
  <c r="BU435" i="3"/>
  <c r="BT435" i="3"/>
  <c r="BS435" i="3"/>
  <c r="BR435" i="3"/>
  <c r="BQ435" i="3"/>
  <c r="BP435" i="3"/>
  <c r="BO435" i="3"/>
  <c r="BN435" i="3"/>
  <c r="E435" i="3"/>
  <c r="E933" i="3" s="1"/>
  <c r="D435" i="3"/>
  <c r="D933" i="3" s="1"/>
  <c r="C435" i="3"/>
  <c r="C933" i="3" s="1"/>
  <c r="B435" i="3"/>
  <c r="B933" i="3" s="1"/>
  <c r="A435" i="3"/>
  <c r="A933" i="3" s="1"/>
  <c r="DU434" i="3"/>
  <c r="DT434" i="3"/>
  <c r="DS434" i="3"/>
  <c r="DR434" i="3"/>
  <c r="DQ434" i="3"/>
  <c r="DP434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Y434" i="3"/>
  <c r="BX434" i="3"/>
  <c r="BW434" i="3"/>
  <c r="BV434" i="3"/>
  <c r="BU434" i="3"/>
  <c r="BT434" i="3"/>
  <c r="BS434" i="3"/>
  <c r="BR434" i="3"/>
  <c r="BQ434" i="3"/>
  <c r="BP434" i="3"/>
  <c r="BO434" i="3"/>
  <c r="BN434" i="3"/>
  <c r="E434" i="3"/>
  <c r="E932" i="3" s="1"/>
  <c r="D434" i="3"/>
  <c r="D932" i="3" s="1"/>
  <c r="C434" i="3"/>
  <c r="C932" i="3" s="1"/>
  <c r="B434" i="3"/>
  <c r="B932" i="3" s="1"/>
  <c r="A434" i="3"/>
  <c r="A932" i="3" s="1"/>
  <c r="DU433" i="3"/>
  <c r="DT433" i="3"/>
  <c r="DS433" i="3"/>
  <c r="DR433" i="3"/>
  <c r="DQ433" i="3"/>
  <c r="DP433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Y433" i="3"/>
  <c r="BX433" i="3"/>
  <c r="BW433" i="3"/>
  <c r="BV433" i="3"/>
  <c r="BU433" i="3"/>
  <c r="BT433" i="3"/>
  <c r="BS433" i="3"/>
  <c r="BR433" i="3"/>
  <c r="BQ433" i="3"/>
  <c r="BP433" i="3"/>
  <c r="BO433" i="3"/>
  <c r="BN433" i="3"/>
  <c r="E433" i="3"/>
  <c r="E931" i="3" s="1"/>
  <c r="D433" i="3"/>
  <c r="D931" i="3" s="1"/>
  <c r="C433" i="3"/>
  <c r="C931" i="3" s="1"/>
  <c r="B433" i="3"/>
  <c r="B931" i="3" s="1"/>
  <c r="A433" i="3"/>
  <c r="A931" i="3" s="1"/>
  <c r="DU432" i="3"/>
  <c r="DT432" i="3"/>
  <c r="DS432" i="3"/>
  <c r="DR432" i="3"/>
  <c r="DQ432" i="3"/>
  <c r="DP432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Y432" i="3"/>
  <c r="BX432" i="3"/>
  <c r="BW432" i="3"/>
  <c r="BV432" i="3"/>
  <c r="BU432" i="3"/>
  <c r="BT432" i="3"/>
  <c r="BS432" i="3"/>
  <c r="BR432" i="3"/>
  <c r="BQ432" i="3"/>
  <c r="BP432" i="3"/>
  <c r="BO432" i="3"/>
  <c r="BN432" i="3"/>
  <c r="E432" i="3"/>
  <c r="E930" i="3" s="1"/>
  <c r="D432" i="3"/>
  <c r="D930" i="3" s="1"/>
  <c r="C432" i="3"/>
  <c r="C930" i="3" s="1"/>
  <c r="B432" i="3"/>
  <c r="B930" i="3" s="1"/>
  <c r="A432" i="3"/>
  <c r="A930" i="3" s="1"/>
  <c r="DU431" i="3"/>
  <c r="DT431" i="3"/>
  <c r="DS431" i="3"/>
  <c r="DR431" i="3"/>
  <c r="DQ431" i="3"/>
  <c r="DP431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BU431" i="3"/>
  <c r="BT431" i="3"/>
  <c r="BS431" i="3"/>
  <c r="BR431" i="3"/>
  <c r="BQ431" i="3"/>
  <c r="BP431" i="3"/>
  <c r="BO431" i="3"/>
  <c r="BN431" i="3"/>
  <c r="E431" i="3"/>
  <c r="E929" i="3" s="1"/>
  <c r="D431" i="3"/>
  <c r="D929" i="3" s="1"/>
  <c r="C431" i="3"/>
  <c r="C929" i="3" s="1"/>
  <c r="B431" i="3"/>
  <c r="B929" i="3" s="1"/>
  <c r="A431" i="3"/>
  <c r="A929" i="3" s="1"/>
  <c r="DU430" i="3"/>
  <c r="DT430" i="3"/>
  <c r="DS430" i="3"/>
  <c r="DR430" i="3"/>
  <c r="DQ430" i="3"/>
  <c r="DP430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BU430" i="3"/>
  <c r="BT430" i="3"/>
  <c r="BS430" i="3"/>
  <c r="BR430" i="3"/>
  <c r="BQ430" i="3"/>
  <c r="BP430" i="3"/>
  <c r="BO430" i="3"/>
  <c r="BN430" i="3"/>
  <c r="E430" i="3"/>
  <c r="E928" i="3" s="1"/>
  <c r="D430" i="3"/>
  <c r="D928" i="3" s="1"/>
  <c r="C430" i="3"/>
  <c r="C928" i="3" s="1"/>
  <c r="B430" i="3"/>
  <c r="B928" i="3" s="1"/>
  <c r="A430" i="3"/>
  <c r="A928" i="3" s="1"/>
  <c r="DU429" i="3"/>
  <c r="DT429" i="3"/>
  <c r="DS429" i="3"/>
  <c r="DR429" i="3"/>
  <c r="DQ429" i="3"/>
  <c r="DP429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Y429" i="3"/>
  <c r="BX429" i="3"/>
  <c r="BW429" i="3"/>
  <c r="BV429" i="3"/>
  <c r="BU429" i="3"/>
  <c r="BT429" i="3"/>
  <c r="BS429" i="3"/>
  <c r="BR429" i="3"/>
  <c r="BQ429" i="3"/>
  <c r="BP429" i="3"/>
  <c r="BO429" i="3"/>
  <c r="BN429" i="3"/>
  <c r="E429" i="3"/>
  <c r="E927" i="3" s="1"/>
  <c r="D429" i="3"/>
  <c r="D927" i="3" s="1"/>
  <c r="C429" i="3"/>
  <c r="C927" i="3" s="1"/>
  <c r="B429" i="3"/>
  <c r="B927" i="3" s="1"/>
  <c r="A429" i="3"/>
  <c r="A927" i="3" s="1"/>
  <c r="DU428" i="3"/>
  <c r="DT428" i="3"/>
  <c r="DS428" i="3"/>
  <c r="DR428" i="3"/>
  <c r="DQ428" i="3"/>
  <c r="DP428" i="3"/>
  <c r="DO428" i="3"/>
  <c r="DN428" i="3"/>
  <c r="DM428" i="3"/>
  <c r="DL428" i="3"/>
  <c r="DK428" i="3"/>
  <c r="DJ428" i="3"/>
  <c r="DI428" i="3"/>
  <c r="DH428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Y428" i="3"/>
  <c r="BX428" i="3"/>
  <c r="BW428" i="3"/>
  <c r="BV428" i="3"/>
  <c r="BU428" i="3"/>
  <c r="BT428" i="3"/>
  <c r="BS428" i="3"/>
  <c r="BR428" i="3"/>
  <c r="BQ428" i="3"/>
  <c r="BP428" i="3"/>
  <c r="BO428" i="3"/>
  <c r="BN428" i="3"/>
  <c r="E428" i="3"/>
  <c r="E926" i="3" s="1"/>
  <c r="D428" i="3"/>
  <c r="D926" i="3" s="1"/>
  <c r="C428" i="3"/>
  <c r="C926" i="3" s="1"/>
  <c r="B428" i="3"/>
  <c r="B926" i="3" s="1"/>
  <c r="A428" i="3"/>
  <c r="A926" i="3" s="1"/>
  <c r="DU427" i="3"/>
  <c r="DT427" i="3"/>
  <c r="DS427" i="3"/>
  <c r="DR427" i="3"/>
  <c r="DQ427" i="3"/>
  <c r="DP427" i="3"/>
  <c r="DO427" i="3"/>
  <c r="DN427" i="3"/>
  <c r="DM427" i="3"/>
  <c r="DL427" i="3"/>
  <c r="DK427" i="3"/>
  <c r="DJ427" i="3"/>
  <c r="DI427" i="3"/>
  <c r="DH427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Y427" i="3"/>
  <c r="BX427" i="3"/>
  <c r="BW427" i="3"/>
  <c r="BV427" i="3"/>
  <c r="BU427" i="3"/>
  <c r="BT427" i="3"/>
  <c r="BS427" i="3"/>
  <c r="BR427" i="3"/>
  <c r="BQ427" i="3"/>
  <c r="BP427" i="3"/>
  <c r="BO427" i="3"/>
  <c r="BN427" i="3"/>
  <c r="E427" i="3"/>
  <c r="E925" i="3" s="1"/>
  <c r="D427" i="3"/>
  <c r="D925" i="3" s="1"/>
  <c r="C427" i="3"/>
  <c r="C925" i="3" s="1"/>
  <c r="B427" i="3"/>
  <c r="B925" i="3" s="1"/>
  <c r="A427" i="3"/>
  <c r="A925" i="3" s="1"/>
  <c r="DU426" i="3"/>
  <c r="DT426" i="3"/>
  <c r="DS426" i="3"/>
  <c r="DR426" i="3"/>
  <c r="DQ426" i="3"/>
  <c r="DP426" i="3"/>
  <c r="DO426" i="3"/>
  <c r="DN426" i="3"/>
  <c r="DM426" i="3"/>
  <c r="DL426" i="3"/>
  <c r="DK426" i="3"/>
  <c r="DJ426" i="3"/>
  <c r="DI426" i="3"/>
  <c r="DH426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Y426" i="3"/>
  <c r="BX426" i="3"/>
  <c r="BW426" i="3"/>
  <c r="BV426" i="3"/>
  <c r="BU426" i="3"/>
  <c r="BT426" i="3"/>
  <c r="BS426" i="3"/>
  <c r="BR426" i="3"/>
  <c r="BQ426" i="3"/>
  <c r="BP426" i="3"/>
  <c r="BO426" i="3"/>
  <c r="BN426" i="3"/>
  <c r="E426" i="3"/>
  <c r="E924" i="3" s="1"/>
  <c r="D426" i="3"/>
  <c r="D924" i="3" s="1"/>
  <c r="C426" i="3"/>
  <c r="C924" i="3" s="1"/>
  <c r="B426" i="3"/>
  <c r="B924" i="3" s="1"/>
  <c r="A426" i="3"/>
  <c r="A924" i="3" s="1"/>
  <c r="DU425" i="3"/>
  <c r="DT425" i="3"/>
  <c r="DS425" i="3"/>
  <c r="DR425" i="3"/>
  <c r="DQ425" i="3"/>
  <c r="DP425" i="3"/>
  <c r="DO425" i="3"/>
  <c r="DN425" i="3"/>
  <c r="DM425" i="3"/>
  <c r="DL425" i="3"/>
  <c r="DK425" i="3"/>
  <c r="DJ425" i="3"/>
  <c r="DI425" i="3"/>
  <c r="DH425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Y425" i="3"/>
  <c r="BX425" i="3"/>
  <c r="BW425" i="3"/>
  <c r="BV425" i="3"/>
  <c r="BU425" i="3"/>
  <c r="BT425" i="3"/>
  <c r="BS425" i="3"/>
  <c r="BR425" i="3"/>
  <c r="BQ425" i="3"/>
  <c r="BP425" i="3"/>
  <c r="BO425" i="3"/>
  <c r="BN425" i="3"/>
  <c r="E425" i="3"/>
  <c r="E923" i="3" s="1"/>
  <c r="D425" i="3"/>
  <c r="D923" i="3" s="1"/>
  <c r="C425" i="3"/>
  <c r="C923" i="3" s="1"/>
  <c r="B425" i="3"/>
  <c r="B923" i="3" s="1"/>
  <c r="A425" i="3"/>
  <c r="A923" i="3" s="1"/>
  <c r="DU424" i="3"/>
  <c r="DT424" i="3"/>
  <c r="DS424" i="3"/>
  <c r="DR424" i="3"/>
  <c r="DQ424" i="3"/>
  <c r="DP424" i="3"/>
  <c r="DO424" i="3"/>
  <c r="DN424" i="3"/>
  <c r="DM424" i="3"/>
  <c r="DL424" i="3"/>
  <c r="DK424" i="3"/>
  <c r="DJ424" i="3"/>
  <c r="DI424" i="3"/>
  <c r="DH424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Y424" i="3"/>
  <c r="BX424" i="3"/>
  <c r="BW424" i="3"/>
  <c r="BV424" i="3"/>
  <c r="BU424" i="3"/>
  <c r="BT424" i="3"/>
  <c r="BS424" i="3"/>
  <c r="BR424" i="3"/>
  <c r="BQ424" i="3"/>
  <c r="BP424" i="3"/>
  <c r="BO424" i="3"/>
  <c r="BN424" i="3"/>
  <c r="E424" i="3"/>
  <c r="E922" i="3" s="1"/>
  <c r="D424" i="3"/>
  <c r="D922" i="3" s="1"/>
  <c r="C424" i="3"/>
  <c r="C922" i="3" s="1"/>
  <c r="B424" i="3"/>
  <c r="B922" i="3" s="1"/>
  <c r="A424" i="3"/>
  <c r="A922" i="3" s="1"/>
  <c r="DU423" i="3"/>
  <c r="DT423" i="3"/>
  <c r="DS423" i="3"/>
  <c r="DR423" i="3"/>
  <c r="DQ423" i="3"/>
  <c r="DP423" i="3"/>
  <c r="DO423" i="3"/>
  <c r="DN423" i="3"/>
  <c r="DM423" i="3"/>
  <c r="DL423" i="3"/>
  <c r="DK423" i="3"/>
  <c r="DJ423" i="3"/>
  <c r="DI423" i="3"/>
  <c r="DH423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Y423" i="3"/>
  <c r="BX423" i="3"/>
  <c r="BW423" i="3"/>
  <c r="BV423" i="3"/>
  <c r="BU423" i="3"/>
  <c r="BT423" i="3"/>
  <c r="BS423" i="3"/>
  <c r="BR423" i="3"/>
  <c r="BQ423" i="3"/>
  <c r="BP423" i="3"/>
  <c r="BO423" i="3"/>
  <c r="BN423" i="3"/>
  <c r="E423" i="3"/>
  <c r="E921" i="3" s="1"/>
  <c r="D423" i="3"/>
  <c r="D921" i="3" s="1"/>
  <c r="C423" i="3"/>
  <c r="C921" i="3" s="1"/>
  <c r="B423" i="3"/>
  <c r="B921" i="3" s="1"/>
  <c r="A423" i="3"/>
  <c r="A921" i="3" s="1"/>
  <c r="DU422" i="3"/>
  <c r="DT422" i="3"/>
  <c r="DS422" i="3"/>
  <c r="DR422" i="3"/>
  <c r="DQ422" i="3"/>
  <c r="DP422" i="3"/>
  <c r="DO422" i="3"/>
  <c r="DN422" i="3"/>
  <c r="DM422" i="3"/>
  <c r="DL422" i="3"/>
  <c r="DK422" i="3"/>
  <c r="DJ422" i="3"/>
  <c r="DI422" i="3"/>
  <c r="DH422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Y422" i="3"/>
  <c r="BX422" i="3"/>
  <c r="BW422" i="3"/>
  <c r="BV422" i="3"/>
  <c r="BU422" i="3"/>
  <c r="BT422" i="3"/>
  <c r="BS422" i="3"/>
  <c r="BR422" i="3"/>
  <c r="BQ422" i="3"/>
  <c r="BP422" i="3"/>
  <c r="BO422" i="3"/>
  <c r="BN422" i="3"/>
  <c r="E422" i="3"/>
  <c r="E920" i="3" s="1"/>
  <c r="D422" i="3"/>
  <c r="D920" i="3" s="1"/>
  <c r="C422" i="3"/>
  <c r="C920" i="3" s="1"/>
  <c r="B422" i="3"/>
  <c r="B920" i="3" s="1"/>
  <c r="A422" i="3"/>
  <c r="A920" i="3" s="1"/>
  <c r="DU421" i="3"/>
  <c r="DT421" i="3"/>
  <c r="DS421" i="3"/>
  <c r="DR421" i="3"/>
  <c r="DQ421" i="3"/>
  <c r="DP421" i="3"/>
  <c r="DO421" i="3"/>
  <c r="DN421" i="3"/>
  <c r="DM421" i="3"/>
  <c r="DL421" i="3"/>
  <c r="DK421" i="3"/>
  <c r="DJ421" i="3"/>
  <c r="DI421" i="3"/>
  <c r="DH421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Y421" i="3"/>
  <c r="BX421" i="3"/>
  <c r="BW421" i="3"/>
  <c r="BV421" i="3"/>
  <c r="BU421" i="3"/>
  <c r="BT421" i="3"/>
  <c r="BS421" i="3"/>
  <c r="BR421" i="3"/>
  <c r="BQ421" i="3"/>
  <c r="BP421" i="3"/>
  <c r="BO421" i="3"/>
  <c r="BN421" i="3"/>
  <c r="E421" i="3"/>
  <c r="E919" i="3" s="1"/>
  <c r="D421" i="3"/>
  <c r="D919" i="3" s="1"/>
  <c r="C421" i="3"/>
  <c r="C919" i="3" s="1"/>
  <c r="B421" i="3"/>
  <c r="B919" i="3" s="1"/>
  <c r="A421" i="3"/>
  <c r="A919" i="3" s="1"/>
  <c r="DU420" i="3"/>
  <c r="DT420" i="3"/>
  <c r="DS420" i="3"/>
  <c r="DR420" i="3"/>
  <c r="DQ420" i="3"/>
  <c r="DP420" i="3"/>
  <c r="DO420" i="3"/>
  <c r="DN420" i="3"/>
  <c r="DM420" i="3"/>
  <c r="DL420" i="3"/>
  <c r="DK420" i="3"/>
  <c r="DJ420" i="3"/>
  <c r="DI420" i="3"/>
  <c r="DH420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Y420" i="3"/>
  <c r="BX420" i="3"/>
  <c r="BW420" i="3"/>
  <c r="BV420" i="3"/>
  <c r="BU420" i="3"/>
  <c r="BT420" i="3"/>
  <c r="BS420" i="3"/>
  <c r="BR420" i="3"/>
  <c r="BQ420" i="3"/>
  <c r="BP420" i="3"/>
  <c r="BO420" i="3"/>
  <c r="BN420" i="3"/>
  <c r="E420" i="3"/>
  <c r="E918" i="3" s="1"/>
  <c r="D420" i="3"/>
  <c r="D918" i="3" s="1"/>
  <c r="C420" i="3"/>
  <c r="C918" i="3" s="1"/>
  <c r="B420" i="3"/>
  <c r="B918" i="3" s="1"/>
  <c r="A420" i="3"/>
  <c r="A918" i="3" s="1"/>
  <c r="DU419" i="3"/>
  <c r="DT419" i="3"/>
  <c r="DS419" i="3"/>
  <c r="DR419" i="3"/>
  <c r="DQ419" i="3"/>
  <c r="DP419" i="3"/>
  <c r="DO419" i="3"/>
  <c r="DN419" i="3"/>
  <c r="DM419" i="3"/>
  <c r="DL419" i="3"/>
  <c r="DK419" i="3"/>
  <c r="DJ419" i="3"/>
  <c r="DI419" i="3"/>
  <c r="DH419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Y419" i="3"/>
  <c r="BX419" i="3"/>
  <c r="BW419" i="3"/>
  <c r="BV419" i="3"/>
  <c r="BU419" i="3"/>
  <c r="BT419" i="3"/>
  <c r="BS419" i="3"/>
  <c r="BR419" i="3"/>
  <c r="BQ419" i="3"/>
  <c r="BP419" i="3"/>
  <c r="BO419" i="3"/>
  <c r="BN419" i="3"/>
  <c r="E419" i="3"/>
  <c r="E917" i="3" s="1"/>
  <c r="D419" i="3"/>
  <c r="D917" i="3" s="1"/>
  <c r="C419" i="3"/>
  <c r="C917" i="3" s="1"/>
  <c r="B419" i="3"/>
  <c r="B917" i="3" s="1"/>
  <c r="A419" i="3"/>
  <c r="A917" i="3" s="1"/>
  <c r="DU418" i="3"/>
  <c r="DT418" i="3"/>
  <c r="DS418" i="3"/>
  <c r="DR418" i="3"/>
  <c r="DQ418" i="3"/>
  <c r="DP418" i="3"/>
  <c r="DO418" i="3"/>
  <c r="DN418" i="3"/>
  <c r="DM418" i="3"/>
  <c r="DL418" i="3"/>
  <c r="DK418" i="3"/>
  <c r="DJ418" i="3"/>
  <c r="DI418" i="3"/>
  <c r="DH418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Y418" i="3"/>
  <c r="BX418" i="3"/>
  <c r="BW418" i="3"/>
  <c r="BV418" i="3"/>
  <c r="BU418" i="3"/>
  <c r="BT418" i="3"/>
  <c r="BS418" i="3"/>
  <c r="BR418" i="3"/>
  <c r="BQ418" i="3"/>
  <c r="BP418" i="3"/>
  <c r="BO418" i="3"/>
  <c r="BN418" i="3"/>
  <c r="E418" i="3"/>
  <c r="E916" i="3" s="1"/>
  <c r="D418" i="3"/>
  <c r="D916" i="3" s="1"/>
  <c r="C418" i="3"/>
  <c r="C916" i="3" s="1"/>
  <c r="B418" i="3"/>
  <c r="B916" i="3" s="1"/>
  <c r="A418" i="3"/>
  <c r="A916" i="3" s="1"/>
  <c r="DU417" i="3"/>
  <c r="DT417" i="3"/>
  <c r="DS417" i="3"/>
  <c r="DR417" i="3"/>
  <c r="DQ417" i="3"/>
  <c r="DP417" i="3"/>
  <c r="DO417" i="3"/>
  <c r="DN417" i="3"/>
  <c r="DM417" i="3"/>
  <c r="DL417" i="3"/>
  <c r="DK417" i="3"/>
  <c r="DJ417" i="3"/>
  <c r="DI417" i="3"/>
  <c r="DH417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Y417" i="3"/>
  <c r="BX417" i="3"/>
  <c r="BW417" i="3"/>
  <c r="BV417" i="3"/>
  <c r="BU417" i="3"/>
  <c r="BT417" i="3"/>
  <c r="BS417" i="3"/>
  <c r="BR417" i="3"/>
  <c r="BQ417" i="3"/>
  <c r="BP417" i="3"/>
  <c r="BO417" i="3"/>
  <c r="BN417" i="3"/>
  <c r="E417" i="3"/>
  <c r="E915" i="3" s="1"/>
  <c r="D417" i="3"/>
  <c r="D915" i="3" s="1"/>
  <c r="C417" i="3"/>
  <c r="C915" i="3" s="1"/>
  <c r="B417" i="3"/>
  <c r="B915" i="3" s="1"/>
  <c r="A417" i="3"/>
  <c r="A915" i="3" s="1"/>
  <c r="DU416" i="3"/>
  <c r="DT416" i="3"/>
  <c r="DS416" i="3"/>
  <c r="DR416" i="3"/>
  <c r="DQ416" i="3"/>
  <c r="DP416" i="3"/>
  <c r="DO416" i="3"/>
  <c r="DN416" i="3"/>
  <c r="DM416" i="3"/>
  <c r="DL416" i="3"/>
  <c r="DK416" i="3"/>
  <c r="DJ416" i="3"/>
  <c r="DI416" i="3"/>
  <c r="DH416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Y416" i="3"/>
  <c r="BX416" i="3"/>
  <c r="BW416" i="3"/>
  <c r="BV416" i="3"/>
  <c r="BU416" i="3"/>
  <c r="BT416" i="3"/>
  <c r="BS416" i="3"/>
  <c r="BR416" i="3"/>
  <c r="BQ416" i="3"/>
  <c r="BP416" i="3"/>
  <c r="BO416" i="3"/>
  <c r="BN416" i="3"/>
  <c r="E416" i="3"/>
  <c r="E914" i="3" s="1"/>
  <c r="D416" i="3"/>
  <c r="D914" i="3" s="1"/>
  <c r="C416" i="3"/>
  <c r="C914" i="3" s="1"/>
  <c r="B416" i="3"/>
  <c r="B914" i="3" s="1"/>
  <c r="A416" i="3"/>
  <c r="A914" i="3" s="1"/>
  <c r="DU415" i="3"/>
  <c r="DT415" i="3"/>
  <c r="DS415" i="3"/>
  <c r="DR415" i="3"/>
  <c r="DQ415" i="3"/>
  <c r="DP415" i="3"/>
  <c r="DO415" i="3"/>
  <c r="DN415" i="3"/>
  <c r="DM415" i="3"/>
  <c r="DL415" i="3"/>
  <c r="DK415" i="3"/>
  <c r="DJ415" i="3"/>
  <c r="DI415" i="3"/>
  <c r="DH415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Y415" i="3"/>
  <c r="BX415" i="3"/>
  <c r="BW415" i="3"/>
  <c r="BV415" i="3"/>
  <c r="BU415" i="3"/>
  <c r="BT415" i="3"/>
  <c r="BS415" i="3"/>
  <c r="BR415" i="3"/>
  <c r="BQ415" i="3"/>
  <c r="BP415" i="3"/>
  <c r="BO415" i="3"/>
  <c r="BN415" i="3"/>
  <c r="E415" i="3"/>
  <c r="E913" i="3" s="1"/>
  <c r="D415" i="3"/>
  <c r="D913" i="3" s="1"/>
  <c r="C415" i="3"/>
  <c r="C913" i="3" s="1"/>
  <c r="B415" i="3"/>
  <c r="B913" i="3" s="1"/>
  <c r="A415" i="3"/>
  <c r="A913" i="3" s="1"/>
  <c r="DU414" i="3"/>
  <c r="DT414" i="3"/>
  <c r="DS414" i="3"/>
  <c r="DR414" i="3"/>
  <c r="DQ414" i="3"/>
  <c r="DP414" i="3"/>
  <c r="DO414" i="3"/>
  <c r="DN414" i="3"/>
  <c r="DM414" i="3"/>
  <c r="DL414" i="3"/>
  <c r="DK414" i="3"/>
  <c r="DJ414" i="3"/>
  <c r="DI414" i="3"/>
  <c r="DH414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Y414" i="3"/>
  <c r="BX414" i="3"/>
  <c r="BW414" i="3"/>
  <c r="BV414" i="3"/>
  <c r="BU414" i="3"/>
  <c r="BT414" i="3"/>
  <c r="BS414" i="3"/>
  <c r="BR414" i="3"/>
  <c r="BQ414" i="3"/>
  <c r="BP414" i="3"/>
  <c r="BO414" i="3"/>
  <c r="BN414" i="3"/>
  <c r="E414" i="3"/>
  <c r="B414" i="3"/>
  <c r="A414" i="3"/>
  <c r="DU413" i="3"/>
  <c r="DT413" i="3"/>
  <c r="DS413" i="3"/>
  <c r="DR413" i="3"/>
  <c r="DQ413" i="3"/>
  <c r="DP413" i="3"/>
  <c r="DO413" i="3"/>
  <c r="DN413" i="3"/>
  <c r="DM413" i="3"/>
  <c r="DL413" i="3"/>
  <c r="DK413" i="3"/>
  <c r="DJ413" i="3"/>
  <c r="DI413" i="3"/>
  <c r="DH413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BX413" i="3"/>
  <c r="BW413" i="3"/>
  <c r="BV413" i="3"/>
  <c r="BU413" i="3"/>
  <c r="BT413" i="3"/>
  <c r="BS413" i="3"/>
  <c r="BR413" i="3"/>
  <c r="BQ413" i="3"/>
  <c r="BP413" i="3"/>
  <c r="BO413" i="3"/>
  <c r="BN413" i="3"/>
  <c r="E413" i="3"/>
  <c r="E912" i="3" s="1"/>
  <c r="D413" i="3"/>
  <c r="D912" i="3" s="1"/>
  <c r="C413" i="3"/>
  <c r="C912" i="3" s="1"/>
  <c r="B413" i="3"/>
  <c r="B912" i="3" s="1"/>
  <c r="A413" i="3"/>
  <c r="A912" i="3" s="1"/>
  <c r="DU412" i="3"/>
  <c r="DT412" i="3"/>
  <c r="DS412" i="3"/>
  <c r="DR412" i="3"/>
  <c r="DQ412" i="3"/>
  <c r="DP412" i="3"/>
  <c r="DO412" i="3"/>
  <c r="DN412" i="3"/>
  <c r="DM412" i="3"/>
  <c r="DL412" i="3"/>
  <c r="DK412" i="3"/>
  <c r="DJ412" i="3"/>
  <c r="DI412" i="3"/>
  <c r="DH412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Y412" i="3"/>
  <c r="BX412" i="3"/>
  <c r="BW412" i="3"/>
  <c r="BV412" i="3"/>
  <c r="BU412" i="3"/>
  <c r="BT412" i="3"/>
  <c r="BS412" i="3"/>
  <c r="BR412" i="3"/>
  <c r="BQ412" i="3"/>
  <c r="BP412" i="3"/>
  <c r="BO412" i="3"/>
  <c r="BN412" i="3"/>
  <c r="E412" i="3"/>
  <c r="E911" i="3" s="1"/>
  <c r="D412" i="3"/>
  <c r="D911" i="3" s="1"/>
  <c r="C412" i="3"/>
  <c r="C911" i="3" s="1"/>
  <c r="B412" i="3"/>
  <c r="B911" i="3" s="1"/>
  <c r="A412" i="3"/>
  <c r="A911" i="3" s="1"/>
  <c r="DU411" i="3"/>
  <c r="DT411" i="3"/>
  <c r="DS411" i="3"/>
  <c r="DR411" i="3"/>
  <c r="DQ411" i="3"/>
  <c r="DP411" i="3"/>
  <c r="DO411" i="3"/>
  <c r="DN411" i="3"/>
  <c r="DM411" i="3"/>
  <c r="DL411" i="3"/>
  <c r="DK411" i="3"/>
  <c r="DJ411" i="3"/>
  <c r="DI411" i="3"/>
  <c r="DH411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Y411" i="3"/>
  <c r="BX411" i="3"/>
  <c r="BW411" i="3"/>
  <c r="BV411" i="3"/>
  <c r="BU411" i="3"/>
  <c r="BT411" i="3"/>
  <c r="BS411" i="3"/>
  <c r="BR411" i="3"/>
  <c r="BQ411" i="3"/>
  <c r="BP411" i="3"/>
  <c r="BO411" i="3"/>
  <c r="BN411" i="3"/>
  <c r="E411" i="3"/>
  <c r="E910" i="3" s="1"/>
  <c r="D411" i="3"/>
  <c r="D910" i="3" s="1"/>
  <c r="C411" i="3"/>
  <c r="C910" i="3" s="1"/>
  <c r="B411" i="3"/>
  <c r="B910" i="3" s="1"/>
  <c r="A411" i="3"/>
  <c r="A910" i="3" s="1"/>
  <c r="DU410" i="3"/>
  <c r="DT410" i="3"/>
  <c r="DS410" i="3"/>
  <c r="DR410" i="3"/>
  <c r="DQ410" i="3"/>
  <c r="DP410" i="3"/>
  <c r="DO410" i="3"/>
  <c r="DN410" i="3"/>
  <c r="DM410" i="3"/>
  <c r="DL410" i="3"/>
  <c r="DK410" i="3"/>
  <c r="DJ410" i="3"/>
  <c r="DI410" i="3"/>
  <c r="DH410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Y410" i="3"/>
  <c r="BX410" i="3"/>
  <c r="BW410" i="3"/>
  <c r="BV410" i="3"/>
  <c r="BU410" i="3"/>
  <c r="BT410" i="3"/>
  <c r="BS410" i="3"/>
  <c r="BR410" i="3"/>
  <c r="BQ410" i="3"/>
  <c r="BP410" i="3"/>
  <c r="BO410" i="3"/>
  <c r="BN410" i="3"/>
  <c r="E410" i="3"/>
  <c r="E909" i="3" s="1"/>
  <c r="D410" i="3"/>
  <c r="D909" i="3" s="1"/>
  <c r="C410" i="3"/>
  <c r="C909" i="3" s="1"/>
  <c r="B410" i="3"/>
  <c r="B909" i="3" s="1"/>
  <c r="A410" i="3"/>
  <c r="A909" i="3" s="1"/>
  <c r="DU409" i="3"/>
  <c r="DT409" i="3"/>
  <c r="DS409" i="3"/>
  <c r="DR409" i="3"/>
  <c r="DQ409" i="3"/>
  <c r="DP409" i="3"/>
  <c r="DO409" i="3"/>
  <c r="DN409" i="3"/>
  <c r="DM409" i="3"/>
  <c r="DL409" i="3"/>
  <c r="DK409" i="3"/>
  <c r="DJ409" i="3"/>
  <c r="DI409" i="3"/>
  <c r="DH409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Y409" i="3"/>
  <c r="BX409" i="3"/>
  <c r="BW409" i="3"/>
  <c r="BV409" i="3"/>
  <c r="BU409" i="3"/>
  <c r="BT409" i="3"/>
  <c r="BS409" i="3"/>
  <c r="BR409" i="3"/>
  <c r="BQ409" i="3"/>
  <c r="BP409" i="3"/>
  <c r="BO409" i="3"/>
  <c r="BN409" i="3"/>
  <c r="E409" i="3"/>
  <c r="E908" i="3" s="1"/>
  <c r="D409" i="3"/>
  <c r="D908" i="3" s="1"/>
  <c r="C409" i="3"/>
  <c r="C908" i="3" s="1"/>
  <c r="B409" i="3"/>
  <c r="B908" i="3" s="1"/>
  <c r="A409" i="3"/>
  <c r="A908" i="3" s="1"/>
  <c r="DU408" i="3"/>
  <c r="DT408" i="3"/>
  <c r="DS408" i="3"/>
  <c r="DR408" i="3"/>
  <c r="DQ408" i="3"/>
  <c r="DP408" i="3"/>
  <c r="DO408" i="3"/>
  <c r="DN408" i="3"/>
  <c r="DM408" i="3"/>
  <c r="DL408" i="3"/>
  <c r="DK408" i="3"/>
  <c r="DJ408" i="3"/>
  <c r="DI408" i="3"/>
  <c r="DH408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Y408" i="3"/>
  <c r="BX408" i="3"/>
  <c r="BW408" i="3"/>
  <c r="BV408" i="3"/>
  <c r="BU408" i="3"/>
  <c r="BT408" i="3"/>
  <c r="BS408" i="3"/>
  <c r="BR408" i="3"/>
  <c r="BQ408" i="3"/>
  <c r="BP408" i="3"/>
  <c r="BO408" i="3"/>
  <c r="BN408" i="3"/>
  <c r="E408" i="3"/>
  <c r="E907" i="3" s="1"/>
  <c r="D408" i="3"/>
  <c r="D907" i="3" s="1"/>
  <c r="C408" i="3"/>
  <c r="C907" i="3" s="1"/>
  <c r="B408" i="3"/>
  <c r="B907" i="3" s="1"/>
  <c r="A408" i="3"/>
  <c r="A907" i="3" s="1"/>
  <c r="DU407" i="3"/>
  <c r="DT407" i="3"/>
  <c r="DS407" i="3"/>
  <c r="DR407" i="3"/>
  <c r="DQ407" i="3"/>
  <c r="DP407" i="3"/>
  <c r="DO407" i="3"/>
  <c r="DN407" i="3"/>
  <c r="DM407" i="3"/>
  <c r="DL407" i="3"/>
  <c r="DK407" i="3"/>
  <c r="DJ407" i="3"/>
  <c r="DI407" i="3"/>
  <c r="DH407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Y407" i="3"/>
  <c r="BX407" i="3"/>
  <c r="BW407" i="3"/>
  <c r="BV407" i="3"/>
  <c r="BU407" i="3"/>
  <c r="BT407" i="3"/>
  <c r="BS407" i="3"/>
  <c r="BR407" i="3"/>
  <c r="BQ407" i="3"/>
  <c r="BP407" i="3"/>
  <c r="BO407" i="3"/>
  <c r="BN407" i="3"/>
  <c r="E407" i="3"/>
  <c r="E906" i="3" s="1"/>
  <c r="D407" i="3"/>
  <c r="D906" i="3" s="1"/>
  <c r="C407" i="3"/>
  <c r="C906" i="3" s="1"/>
  <c r="B407" i="3"/>
  <c r="B906" i="3" s="1"/>
  <c r="A407" i="3"/>
  <c r="A906" i="3" s="1"/>
  <c r="DU406" i="3"/>
  <c r="DT406" i="3"/>
  <c r="DS406" i="3"/>
  <c r="DR406" i="3"/>
  <c r="DQ406" i="3"/>
  <c r="DP406" i="3"/>
  <c r="DO406" i="3"/>
  <c r="DN406" i="3"/>
  <c r="DM406" i="3"/>
  <c r="DL406" i="3"/>
  <c r="DK406" i="3"/>
  <c r="DJ406" i="3"/>
  <c r="DI406" i="3"/>
  <c r="DH406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Y406" i="3"/>
  <c r="BX406" i="3"/>
  <c r="BW406" i="3"/>
  <c r="BV406" i="3"/>
  <c r="BU406" i="3"/>
  <c r="BT406" i="3"/>
  <c r="BS406" i="3"/>
  <c r="BR406" i="3"/>
  <c r="BQ406" i="3"/>
  <c r="BP406" i="3"/>
  <c r="BO406" i="3"/>
  <c r="BN406" i="3"/>
  <c r="E406" i="3"/>
  <c r="E905" i="3" s="1"/>
  <c r="D406" i="3"/>
  <c r="D905" i="3" s="1"/>
  <c r="C406" i="3"/>
  <c r="C905" i="3" s="1"/>
  <c r="B406" i="3"/>
  <c r="B905" i="3" s="1"/>
  <c r="A406" i="3"/>
  <c r="A905" i="3" s="1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E405" i="3"/>
  <c r="E904" i="3" s="1"/>
  <c r="D405" i="3"/>
  <c r="D904" i="3" s="1"/>
  <c r="C405" i="3"/>
  <c r="C904" i="3" s="1"/>
  <c r="B405" i="3"/>
  <c r="B904" i="3" s="1"/>
  <c r="A405" i="3"/>
  <c r="A904" i="3" s="1"/>
  <c r="DU404" i="3"/>
  <c r="DT404" i="3"/>
  <c r="DS404" i="3"/>
  <c r="DR404" i="3"/>
  <c r="DQ404" i="3"/>
  <c r="DP404" i="3"/>
  <c r="DO404" i="3"/>
  <c r="DN404" i="3"/>
  <c r="DM404" i="3"/>
  <c r="DL404" i="3"/>
  <c r="DK404" i="3"/>
  <c r="DJ404" i="3"/>
  <c r="DI404" i="3"/>
  <c r="DH404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Y404" i="3"/>
  <c r="BX404" i="3"/>
  <c r="BW404" i="3"/>
  <c r="BV404" i="3"/>
  <c r="BU404" i="3"/>
  <c r="BT404" i="3"/>
  <c r="BS404" i="3"/>
  <c r="BR404" i="3"/>
  <c r="BQ404" i="3"/>
  <c r="BP404" i="3"/>
  <c r="BO404" i="3"/>
  <c r="BN404" i="3"/>
  <c r="E404" i="3"/>
  <c r="E903" i="3" s="1"/>
  <c r="D404" i="3"/>
  <c r="D903" i="3" s="1"/>
  <c r="C404" i="3"/>
  <c r="C903" i="3" s="1"/>
  <c r="B404" i="3"/>
  <c r="B903" i="3" s="1"/>
  <c r="A404" i="3"/>
  <c r="A903" i="3" s="1"/>
  <c r="DU403" i="3"/>
  <c r="DT403" i="3"/>
  <c r="DS403" i="3"/>
  <c r="DR403" i="3"/>
  <c r="DQ403" i="3"/>
  <c r="DP403" i="3"/>
  <c r="DO403" i="3"/>
  <c r="DN403" i="3"/>
  <c r="DM403" i="3"/>
  <c r="DL403" i="3"/>
  <c r="DK403" i="3"/>
  <c r="DJ403" i="3"/>
  <c r="DI403" i="3"/>
  <c r="DH403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Y403" i="3"/>
  <c r="BX403" i="3"/>
  <c r="BW403" i="3"/>
  <c r="BV403" i="3"/>
  <c r="BU403" i="3"/>
  <c r="BT403" i="3"/>
  <c r="BS403" i="3"/>
  <c r="BR403" i="3"/>
  <c r="BQ403" i="3"/>
  <c r="BP403" i="3"/>
  <c r="BO403" i="3"/>
  <c r="BN403" i="3"/>
  <c r="E403" i="3"/>
  <c r="E902" i="3" s="1"/>
  <c r="D403" i="3"/>
  <c r="D902" i="3" s="1"/>
  <c r="C403" i="3"/>
  <c r="C902" i="3" s="1"/>
  <c r="B403" i="3"/>
  <c r="B902" i="3" s="1"/>
  <c r="A403" i="3"/>
  <c r="A902" i="3" s="1"/>
  <c r="DU402" i="3"/>
  <c r="DT402" i="3"/>
  <c r="DS402" i="3"/>
  <c r="DR402" i="3"/>
  <c r="DQ402" i="3"/>
  <c r="DP402" i="3"/>
  <c r="DO402" i="3"/>
  <c r="DN402" i="3"/>
  <c r="DM402" i="3"/>
  <c r="DL402" i="3"/>
  <c r="DK402" i="3"/>
  <c r="DJ402" i="3"/>
  <c r="DI402" i="3"/>
  <c r="DH402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Y402" i="3"/>
  <c r="BX402" i="3"/>
  <c r="BW402" i="3"/>
  <c r="BV402" i="3"/>
  <c r="BU402" i="3"/>
  <c r="BT402" i="3"/>
  <c r="BS402" i="3"/>
  <c r="BR402" i="3"/>
  <c r="BQ402" i="3"/>
  <c r="BP402" i="3"/>
  <c r="BO402" i="3"/>
  <c r="BN402" i="3"/>
  <c r="E402" i="3"/>
  <c r="E901" i="3" s="1"/>
  <c r="D402" i="3"/>
  <c r="D901" i="3" s="1"/>
  <c r="C402" i="3"/>
  <c r="C901" i="3" s="1"/>
  <c r="B402" i="3"/>
  <c r="B901" i="3" s="1"/>
  <c r="A402" i="3"/>
  <c r="A901" i="3" s="1"/>
  <c r="DU401" i="3"/>
  <c r="DT401" i="3"/>
  <c r="DS401" i="3"/>
  <c r="DR401" i="3"/>
  <c r="DQ401" i="3"/>
  <c r="DP401" i="3"/>
  <c r="DO401" i="3"/>
  <c r="DN401" i="3"/>
  <c r="DM401" i="3"/>
  <c r="DL401" i="3"/>
  <c r="DK401" i="3"/>
  <c r="DJ401" i="3"/>
  <c r="DI401" i="3"/>
  <c r="DH401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Y401" i="3"/>
  <c r="BX401" i="3"/>
  <c r="BW401" i="3"/>
  <c r="BV401" i="3"/>
  <c r="BU401" i="3"/>
  <c r="BT401" i="3"/>
  <c r="BS401" i="3"/>
  <c r="BR401" i="3"/>
  <c r="BQ401" i="3"/>
  <c r="BP401" i="3"/>
  <c r="BO401" i="3"/>
  <c r="BN401" i="3"/>
  <c r="E401" i="3"/>
  <c r="E900" i="3" s="1"/>
  <c r="D401" i="3"/>
  <c r="D900" i="3" s="1"/>
  <c r="C401" i="3"/>
  <c r="C900" i="3" s="1"/>
  <c r="B401" i="3"/>
  <c r="B900" i="3" s="1"/>
  <c r="A401" i="3"/>
  <c r="A900" i="3" s="1"/>
  <c r="DU400" i="3"/>
  <c r="DT400" i="3"/>
  <c r="DS400" i="3"/>
  <c r="DR400" i="3"/>
  <c r="DQ400" i="3"/>
  <c r="DP400" i="3"/>
  <c r="DO400" i="3"/>
  <c r="DN400" i="3"/>
  <c r="DM400" i="3"/>
  <c r="DL400" i="3"/>
  <c r="DK400" i="3"/>
  <c r="DJ400" i="3"/>
  <c r="DI400" i="3"/>
  <c r="DH400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BP400" i="3"/>
  <c r="BO400" i="3"/>
  <c r="BN400" i="3"/>
  <c r="E400" i="3"/>
  <c r="E899" i="3" s="1"/>
  <c r="D400" i="3"/>
  <c r="D899" i="3" s="1"/>
  <c r="C400" i="3"/>
  <c r="C899" i="3" s="1"/>
  <c r="B400" i="3"/>
  <c r="B899" i="3" s="1"/>
  <c r="A400" i="3"/>
  <c r="A899" i="3" s="1"/>
  <c r="DU399" i="3"/>
  <c r="DT399" i="3"/>
  <c r="DS399" i="3"/>
  <c r="DR399" i="3"/>
  <c r="DQ399" i="3"/>
  <c r="DP399" i="3"/>
  <c r="DO399" i="3"/>
  <c r="DN399" i="3"/>
  <c r="DM399" i="3"/>
  <c r="DL399" i="3"/>
  <c r="DK399" i="3"/>
  <c r="DJ399" i="3"/>
  <c r="DI399" i="3"/>
  <c r="DH399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E399" i="3"/>
  <c r="E898" i="3" s="1"/>
  <c r="D399" i="3"/>
  <c r="D898" i="3" s="1"/>
  <c r="C399" i="3"/>
  <c r="C898" i="3" s="1"/>
  <c r="B399" i="3"/>
  <c r="B898" i="3" s="1"/>
  <c r="A399" i="3"/>
  <c r="A898" i="3" s="1"/>
  <c r="DU398" i="3"/>
  <c r="DT398" i="3"/>
  <c r="DS398" i="3"/>
  <c r="DR398" i="3"/>
  <c r="DQ398" i="3"/>
  <c r="DP398" i="3"/>
  <c r="DO398" i="3"/>
  <c r="DN398" i="3"/>
  <c r="DM398" i="3"/>
  <c r="DL398" i="3"/>
  <c r="DK398" i="3"/>
  <c r="DJ398" i="3"/>
  <c r="DI398" i="3"/>
  <c r="DH398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E398" i="3"/>
  <c r="E897" i="3" s="1"/>
  <c r="D398" i="3"/>
  <c r="D897" i="3" s="1"/>
  <c r="C398" i="3"/>
  <c r="C897" i="3" s="1"/>
  <c r="B398" i="3"/>
  <c r="B897" i="3" s="1"/>
  <c r="A398" i="3"/>
  <c r="A897" i="3" s="1"/>
  <c r="DU397" i="3"/>
  <c r="DT397" i="3"/>
  <c r="DS397" i="3"/>
  <c r="DR397" i="3"/>
  <c r="DQ397" i="3"/>
  <c r="DP397" i="3"/>
  <c r="DO397" i="3"/>
  <c r="DN397" i="3"/>
  <c r="DM397" i="3"/>
  <c r="DL397" i="3"/>
  <c r="DK397" i="3"/>
  <c r="DJ397" i="3"/>
  <c r="DI397" i="3"/>
  <c r="DH397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E397" i="3"/>
  <c r="E896" i="3" s="1"/>
  <c r="D397" i="3"/>
  <c r="D896" i="3" s="1"/>
  <c r="C397" i="3"/>
  <c r="C896" i="3" s="1"/>
  <c r="B397" i="3"/>
  <c r="B896" i="3" s="1"/>
  <c r="A397" i="3"/>
  <c r="A896" i="3" s="1"/>
  <c r="DU396" i="3"/>
  <c r="DT396" i="3"/>
  <c r="DS396" i="3"/>
  <c r="DR396" i="3"/>
  <c r="DQ396" i="3"/>
  <c r="DP396" i="3"/>
  <c r="DO396" i="3"/>
  <c r="DN396" i="3"/>
  <c r="DM396" i="3"/>
  <c r="DL396" i="3"/>
  <c r="DK396" i="3"/>
  <c r="DJ396" i="3"/>
  <c r="DI396" i="3"/>
  <c r="DH396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E396" i="3"/>
  <c r="E895" i="3" s="1"/>
  <c r="D396" i="3"/>
  <c r="D895" i="3" s="1"/>
  <c r="C396" i="3"/>
  <c r="C895" i="3" s="1"/>
  <c r="B396" i="3"/>
  <c r="B895" i="3" s="1"/>
  <c r="A396" i="3"/>
  <c r="A895" i="3" s="1"/>
  <c r="DU395" i="3"/>
  <c r="DT395" i="3"/>
  <c r="DS395" i="3"/>
  <c r="DR395" i="3"/>
  <c r="DQ395" i="3"/>
  <c r="DP395" i="3"/>
  <c r="DO395" i="3"/>
  <c r="DN395" i="3"/>
  <c r="DM395" i="3"/>
  <c r="DL395" i="3"/>
  <c r="DK395" i="3"/>
  <c r="DJ395" i="3"/>
  <c r="DI395" i="3"/>
  <c r="DH395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E395" i="3"/>
  <c r="E894" i="3" s="1"/>
  <c r="D395" i="3"/>
  <c r="D894" i="3" s="1"/>
  <c r="C395" i="3"/>
  <c r="C894" i="3" s="1"/>
  <c r="B395" i="3"/>
  <c r="B894" i="3" s="1"/>
  <c r="A395" i="3"/>
  <c r="A894" i="3" s="1"/>
  <c r="DU394" i="3"/>
  <c r="DT394" i="3"/>
  <c r="DS394" i="3"/>
  <c r="DR394" i="3"/>
  <c r="DQ394" i="3"/>
  <c r="DP394" i="3"/>
  <c r="DO394" i="3"/>
  <c r="DN394" i="3"/>
  <c r="DM394" i="3"/>
  <c r="DL394" i="3"/>
  <c r="DK394" i="3"/>
  <c r="DJ394" i="3"/>
  <c r="DI394" i="3"/>
  <c r="DH394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E394" i="3"/>
  <c r="E893" i="3" s="1"/>
  <c r="D394" i="3"/>
  <c r="D893" i="3" s="1"/>
  <c r="C394" i="3"/>
  <c r="C893" i="3" s="1"/>
  <c r="B394" i="3"/>
  <c r="B893" i="3" s="1"/>
  <c r="A394" i="3"/>
  <c r="A893" i="3" s="1"/>
  <c r="DU393" i="3"/>
  <c r="DT393" i="3"/>
  <c r="DS393" i="3"/>
  <c r="DR393" i="3"/>
  <c r="DQ393" i="3"/>
  <c r="DP393" i="3"/>
  <c r="DO393" i="3"/>
  <c r="DN393" i="3"/>
  <c r="DM393" i="3"/>
  <c r="DL393" i="3"/>
  <c r="DK393" i="3"/>
  <c r="DJ393" i="3"/>
  <c r="DI393" i="3"/>
  <c r="DH393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Y393" i="3"/>
  <c r="BX393" i="3"/>
  <c r="BW393" i="3"/>
  <c r="BV393" i="3"/>
  <c r="BU393" i="3"/>
  <c r="BT393" i="3"/>
  <c r="BS393" i="3"/>
  <c r="BR393" i="3"/>
  <c r="BQ393" i="3"/>
  <c r="BP393" i="3"/>
  <c r="BO393" i="3"/>
  <c r="BN393" i="3"/>
  <c r="E393" i="3"/>
  <c r="E892" i="3" s="1"/>
  <c r="D393" i="3"/>
  <c r="D892" i="3" s="1"/>
  <c r="C393" i="3"/>
  <c r="C892" i="3" s="1"/>
  <c r="B393" i="3"/>
  <c r="B892" i="3" s="1"/>
  <c r="A393" i="3"/>
  <c r="A892" i="3" s="1"/>
  <c r="DU392" i="3"/>
  <c r="DT392" i="3"/>
  <c r="DS392" i="3"/>
  <c r="DR392" i="3"/>
  <c r="DQ392" i="3"/>
  <c r="DP392" i="3"/>
  <c r="DO392" i="3"/>
  <c r="DN392" i="3"/>
  <c r="DM392" i="3"/>
  <c r="DL392" i="3"/>
  <c r="DK392" i="3"/>
  <c r="DJ392" i="3"/>
  <c r="DI392" i="3"/>
  <c r="DH392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Y392" i="3"/>
  <c r="BX392" i="3"/>
  <c r="BW392" i="3"/>
  <c r="BV392" i="3"/>
  <c r="BU392" i="3"/>
  <c r="BT392" i="3"/>
  <c r="BS392" i="3"/>
  <c r="BR392" i="3"/>
  <c r="BQ392" i="3"/>
  <c r="BP392" i="3"/>
  <c r="BO392" i="3"/>
  <c r="BN392" i="3"/>
  <c r="E392" i="3"/>
  <c r="E891" i="3" s="1"/>
  <c r="D392" i="3"/>
  <c r="D891" i="3" s="1"/>
  <c r="C392" i="3"/>
  <c r="C891" i="3" s="1"/>
  <c r="B392" i="3"/>
  <c r="B891" i="3" s="1"/>
  <c r="A392" i="3"/>
  <c r="A891" i="3" s="1"/>
  <c r="DU391" i="3"/>
  <c r="DT391" i="3"/>
  <c r="DS391" i="3"/>
  <c r="DR391" i="3"/>
  <c r="DQ391" i="3"/>
  <c r="DP391" i="3"/>
  <c r="DO391" i="3"/>
  <c r="DN391" i="3"/>
  <c r="DM391" i="3"/>
  <c r="DL391" i="3"/>
  <c r="DK391" i="3"/>
  <c r="DJ391" i="3"/>
  <c r="DI391" i="3"/>
  <c r="DH391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Y391" i="3"/>
  <c r="BX391" i="3"/>
  <c r="BW391" i="3"/>
  <c r="BV391" i="3"/>
  <c r="BU391" i="3"/>
  <c r="BT391" i="3"/>
  <c r="BS391" i="3"/>
  <c r="BR391" i="3"/>
  <c r="BQ391" i="3"/>
  <c r="BP391" i="3"/>
  <c r="BO391" i="3"/>
  <c r="BN391" i="3"/>
  <c r="E391" i="3"/>
  <c r="E890" i="3" s="1"/>
  <c r="D391" i="3"/>
  <c r="D890" i="3" s="1"/>
  <c r="C391" i="3"/>
  <c r="C890" i="3" s="1"/>
  <c r="B391" i="3"/>
  <c r="B890" i="3" s="1"/>
  <c r="A391" i="3"/>
  <c r="A890" i="3" s="1"/>
  <c r="DU390" i="3"/>
  <c r="DT390" i="3"/>
  <c r="DS390" i="3"/>
  <c r="DR390" i="3"/>
  <c r="DQ390" i="3"/>
  <c r="DP390" i="3"/>
  <c r="DO390" i="3"/>
  <c r="DN390" i="3"/>
  <c r="DM390" i="3"/>
  <c r="DL390" i="3"/>
  <c r="DK390" i="3"/>
  <c r="DJ390" i="3"/>
  <c r="DI390" i="3"/>
  <c r="DH390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Y390" i="3"/>
  <c r="BX390" i="3"/>
  <c r="BW390" i="3"/>
  <c r="BV390" i="3"/>
  <c r="BU390" i="3"/>
  <c r="BT390" i="3"/>
  <c r="BS390" i="3"/>
  <c r="BR390" i="3"/>
  <c r="BQ390" i="3"/>
  <c r="BP390" i="3"/>
  <c r="BO390" i="3"/>
  <c r="BN390" i="3"/>
  <c r="E390" i="3"/>
  <c r="E889" i="3" s="1"/>
  <c r="D390" i="3"/>
  <c r="D889" i="3" s="1"/>
  <c r="C390" i="3"/>
  <c r="C889" i="3" s="1"/>
  <c r="B390" i="3"/>
  <c r="B889" i="3" s="1"/>
  <c r="A390" i="3"/>
  <c r="A889" i="3" s="1"/>
  <c r="DU389" i="3"/>
  <c r="DT389" i="3"/>
  <c r="DS389" i="3"/>
  <c r="DR389" i="3"/>
  <c r="DQ389" i="3"/>
  <c r="DP389" i="3"/>
  <c r="DO389" i="3"/>
  <c r="DN389" i="3"/>
  <c r="DM389" i="3"/>
  <c r="DL389" i="3"/>
  <c r="DK389" i="3"/>
  <c r="DJ389" i="3"/>
  <c r="DI389" i="3"/>
  <c r="DH389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Y389" i="3"/>
  <c r="BX389" i="3"/>
  <c r="BW389" i="3"/>
  <c r="BV389" i="3"/>
  <c r="BU389" i="3"/>
  <c r="BT389" i="3"/>
  <c r="BS389" i="3"/>
  <c r="BR389" i="3"/>
  <c r="BQ389" i="3"/>
  <c r="BP389" i="3"/>
  <c r="BO389" i="3"/>
  <c r="BN389" i="3"/>
  <c r="E389" i="3"/>
  <c r="E888" i="3" s="1"/>
  <c r="D389" i="3"/>
  <c r="D888" i="3" s="1"/>
  <c r="C389" i="3"/>
  <c r="C888" i="3" s="1"/>
  <c r="B389" i="3"/>
  <c r="B888" i="3" s="1"/>
  <c r="A389" i="3"/>
  <c r="A888" i="3" s="1"/>
  <c r="DU388" i="3"/>
  <c r="DT388" i="3"/>
  <c r="DS388" i="3"/>
  <c r="DR388" i="3"/>
  <c r="DQ388" i="3"/>
  <c r="DP388" i="3"/>
  <c r="DO388" i="3"/>
  <c r="DN388" i="3"/>
  <c r="DM388" i="3"/>
  <c r="DL388" i="3"/>
  <c r="DK388" i="3"/>
  <c r="DJ388" i="3"/>
  <c r="DI388" i="3"/>
  <c r="DH388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Y388" i="3"/>
  <c r="BX388" i="3"/>
  <c r="BW388" i="3"/>
  <c r="BV388" i="3"/>
  <c r="BU388" i="3"/>
  <c r="BT388" i="3"/>
  <c r="BS388" i="3"/>
  <c r="BR388" i="3"/>
  <c r="BQ388" i="3"/>
  <c r="BP388" i="3"/>
  <c r="BO388" i="3"/>
  <c r="BN388" i="3"/>
  <c r="E388" i="3"/>
  <c r="E887" i="3" s="1"/>
  <c r="D388" i="3"/>
  <c r="D887" i="3" s="1"/>
  <c r="C388" i="3"/>
  <c r="C887" i="3" s="1"/>
  <c r="B388" i="3"/>
  <c r="B887" i="3" s="1"/>
  <c r="A388" i="3"/>
  <c r="A887" i="3" s="1"/>
  <c r="DU387" i="3"/>
  <c r="DT387" i="3"/>
  <c r="DS387" i="3"/>
  <c r="DR387" i="3"/>
  <c r="DQ387" i="3"/>
  <c r="DP387" i="3"/>
  <c r="DO387" i="3"/>
  <c r="DN387" i="3"/>
  <c r="DM387" i="3"/>
  <c r="DL387" i="3"/>
  <c r="DK387" i="3"/>
  <c r="DJ387" i="3"/>
  <c r="DI387" i="3"/>
  <c r="DH387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Y387" i="3"/>
  <c r="BX387" i="3"/>
  <c r="BW387" i="3"/>
  <c r="BV387" i="3"/>
  <c r="BU387" i="3"/>
  <c r="BT387" i="3"/>
  <c r="BS387" i="3"/>
  <c r="BR387" i="3"/>
  <c r="BQ387" i="3"/>
  <c r="BP387" i="3"/>
  <c r="BO387" i="3"/>
  <c r="BN387" i="3"/>
  <c r="E387" i="3"/>
  <c r="E886" i="3" s="1"/>
  <c r="D387" i="3"/>
  <c r="D886" i="3" s="1"/>
  <c r="C387" i="3"/>
  <c r="C886" i="3" s="1"/>
  <c r="B387" i="3"/>
  <c r="B886" i="3" s="1"/>
  <c r="A387" i="3"/>
  <c r="A886" i="3" s="1"/>
  <c r="DU386" i="3"/>
  <c r="DT386" i="3"/>
  <c r="DS386" i="3"/>
  <c r="DR386" i="3"/>
  <c r="DQ386" i="3"/>
  <c r="DP386" i="3"/>
  <c r="DO386" i="3"/>
  <c r="DN386" i="3"/>
  <c r="DM386" i="3"/>
  <c r="DL386" i="3"/>
  <c r="DK386" i="3"/>
  <c r="DJ386" i="3"/>
  <c r="DI386" i="3"/>
  <c r="DH386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Y386" i="3"/>
  <c r="BX386" i="3"/>
  <c r="BW386" i="3"/>
  <c r="BV386" i="3"/>
  <c r="BU386" i="3"/>
  <c r="BT386" i="3"/>
  <c r="BS386" i="3"/>
  <c r="BR386" i="3"/>
  <c r="BQ386" i="3"/>
  <c r="BP386" i="3"/>
  <c r="BO386" i="3"/>
  <c r="BN386" i="3"/>
  <c r="E386" i="3"/>
  <c r="E885" i="3" s="1"/>
  <c r="D386" i="3"/>
  <c r="D885" i="3" s="1"/>
  <c r="C386" i="3"/>
  <c r="C885" i="3" s="1"/>
  <c r="B386" i="3"/>
  <c r="B885" i="3" s="1"/>
  <c r="A386" i="3"/>
  <c r="A885" i="3" s="1"/>
  <c r="DU385" i="3"/>
  <c r="DT385" i="3"/>
  <c r="DS385" i="3"/>
  <c r="DR385" i="3"/>
  <c r="DQ385" i="3"/>
  <c r="DP385" i="3"/>
  <c r="DO385" i="3"/>
  <c r="DN385" i="3"/>
  <c r="DM385" i="3"/>
  <c r="DL385" i="3"/>
  <c r="DK385" i="3"/>
  <c r="DJ385" i="3"/>
  <c r="DI385" i="3"/>
  <c r="DH385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Y385" i="3"/>
  <c r="BX385" i="3"/>
  <c r="BW385" i="3"/>
  <c r="BV385" i="3"/>
  <c r="BU385" i="3"/>
  <c r="BT385" i="3"/>
  <c r="BS385" i="3"/>
  <c r="BR385" i="3"/>
  <c r="BQ385" i="3"/>
  <c r="BP385" i="3"/>
  <c r="BO385" i="3"/>
  <c r="BN385" i="3"/>
  <c r="E385" i="3"/>
  <c r="E884" i="3" s="1"/>
  <c r="D385" i="3"/>
  <c r="D884" i="3" s="1"/>
  <c r="C385" i="3"/>
  <c r="C884" i="3" s="1"/>
  <c r="B385" i="3"/>
  <c r="B884" i="3" s="1"/>
  <c r="A385" i="3"/>
  <c r="A884" i="3" s="1"/>
  <c r="DU384" i="3"/>
  <c r="DT384" i="3"/>
  <c r="DS384" i="3"/>
  <c r="DR384" i="3"/>
  <c r="DQ384" i="3"/>
  <c r="DP384" i="3"/>
  <c r="DO384" i="3"/>
  <c r="DN384" i="3"/>
  <c r="DM384" i="3"/>
  <c r="DL384" i="3"/>
  <c r="DK384" i="3"/>
  <c r="DJ384" i="3"/>
  <c r="DI384" i="3"/>
  <c r="DH384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Y384" i="3"/>
  <c r="BX384" i="3"/>
  <c r="BW384" i="3"/>
  <c r="BV384" i="3"/>
  <c r="BU384" i="3"/>
  <c r="BT384" i="3"/>
  <c r="BS384" i="3"/>
  <c r="BR384" i="3"/>
  <c r="BQ384" i="3"/>
  <c r="BP384" i="3"/>
  <c r="BO384" i="3"/>
  <c r="BN384" i="3"/>
  <c r="E384" i="3"/>
  <c r="E883" i="3" s="1"/>
  <c r="D384" i="3"/>
  <c r="D883" i="3" s="1"/>
  <c r="C384" i="3"/>
  <c r="C883" i="3" s="1"/>
  <c r="B384" i="3"/>
  <c r="B883" i="3" s="1"/>
  <c r="A384" i="3"/>
  <c r="A883" i="3" s="1"/>
  <c r="DU383" i="3"/>
  <c r="DT383" i="3"/>
  <c r="DS383" i="3"/>
  <c r="DR383" i="3"/>
  <c r="DQ383" i="3"/>
  <c r="DP383" i="3"/>
  <c r="DO383" i="3"/>
  <c r="DN383" i="3"/>
  <c r="DM383" i="3"/>
  <c r="DL383" i="3"/>
  <c r="DK383" i="3"/>
  <c r="DJ383" i="3"/>
  <c r="DI383" i="3"/>
  <c r="DH383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Y383" i="3"/>
  <c r="BX383" i="3"/>
  <c r="BW383" i="3"/>
  <c r="BV383" i="3"/>
  <c r="BU383" i="3"/>
  <c r="BT383" i="3"/>
  <c r="BS383" i="3"/>
  <c r="BR383" i="3"/>
  <c r="BQ383" i="3"/>
  <c r="BP383" i="3"/>
  <c r="BO383" i="3"/>
  <c r="BN383" i="3"/>
  <c r="E383" i="3"/>
  <c r="E882" i="3" s="1"/>
  <c r="D383" i="3"/>
  <c r="D882" i="3" s="1"/>
  <c r="C383" i="3"/>
  <c r="C882" i="3" s="1"/>
  <c r="B383" i="3"/>
  <c r="B882" i="3" s="1"/>
  <c r="A383" i="3"/>
  <c r="A882" i="3" s="1"/>
  <c r="DU382" i="3"/>
  <c r="DT382" i="3"/>
  <c r="DS382" i="3"/>
  <c r="DR382" i="3"/>
  <c r="DQ382" i="3"/>
  <c r="DP382" i="3"/>
  <c r="DO382" i="3"/>
  <c r="DN382" i="3"/>
  <c r="DM382" i="3"/>
  <c r="DL382" i="3"/>
  <c r="DK382" i="3"/>
  <c r="DJ38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BV382" i="3"/>
  <c r="BU382" i="3"/>
  <c r="BT382" i="3"/>
  <c r="BS382" i="3"/>
  <c r="BR382" i="3"/>
  <c r="BQ382" i="3"/>
  <c r="BP382" i="3"/>
  <c r="BO382" i="3"/>
  <c r="BN382" i="3"/>
  <c r="E382" i="3"/>
  <c r="E881" i="3" s="1"/>
  <c r="D382" i="3"/>
  <c r="D881" i="3" s="1"/>
  <c r="C382" i="3"/>
  <c r="C881" i="3" s="1"/>
  <c r="B382" i="3"/>
  <c r="B881" i="3" s="1"/>
  <c r="A382" i="3"/>
  <c r="A881" i="3" s="1"/>
  <c r="DU381" i="3"/>
  <c r="DT381" i="3"/>
  <c r="DS381" i="3"/>
  <c r="DR381" i="3"/>
  <c r="DQ381" i="3"/>
  <c r="DP381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BV381" i="3"/>
  <c r="BU381" i="3"/>
  <c r="BT381" i="3"/>
  <c r="BS381" i="3"/>
  <c r="BR381" i="3"/>
  <c r="BQ381" i="3"/>
  <c r="BP381" i="3"/>
  <c r="BO381" i="3"/>
  <c r="BN381" i="3"/>
  <c r="E381" i="3"/>
  <c r="E880" i="3" s="1"/>
  <c r="D381" i="3"/>
  <c r="D880" i="3" s="1"/>
  <c r="C381" i="3"/>
  <c r="C880" i="3" s="1"/>
  <c r="B381" i="3"/>
  <c r="B880" i="3" s="1"/>
  <c r="A381" i="3"/>
  <c r="A880" i="3" s="1"/>
  <c r="DU380" i="3"/>
  <c r="DT380" i="3"/>
  <c r="DS380" i="3"/>
  <c r="DR380" i="3"/>
  <c r="DQ380" i="3"/>
  <c r="DP380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BV380" i="3"/>
  <c r="BU380" i="3"/>
  <c r="BT380" i="3"/>
  <c r="BS380" i="3"/>
  <c r="BR380" i="3"/>
  <c r="BQ380" i="3"/>
  <c r="BP380" i="3"/>
  <c r="BO380" i="3"/>
  <c r="BN380" i="3"/>
  <c r="E380" i="3"/>
  <c r="E879" i="3" s="1"/>
  <c r="D380" i="3"/>
  <c r="D879" i="3" s="1"/>
  <c r="C380" i="3"/>
  <c r="C879" i="3" s="1"/>
  <c r="B380" i="3"/>
  <c r="B879" i="3" s="1"/>
  <c r="A380" i="3"/>
  <c r="A879" i="3" s="1"/>
  <c r="DU379" i="3"/>
  <c r="DT379" i="3"/>
  <c r="DS379" i="3"/>
  <c r="DR379" i="3"/>
  <c r="DQ379" i="3"/>
  <c r="DP379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BV379" i="3"/>
  <c r="BU379" i="3"/>
  <c r="BT379" i="3"/>
  <c r="BS379" i="3"/>
  <c r="BR379" i="3"/>
  <c r="BQ379" i="3"/>
  <c r="BP379" i="3"/>
  <c r="BO379" i="3"/>
  <c r="BN379" i="3"/>
  <c r="E379" i="3"/>
  <c r="E878" i="3" s="1"/>
  <c r="D379" i="3"/>
  <c r="D878" i="3" s="1"/>
  <c r="C379" i="3"/>
  <c r="C878" i="3" s="1"/>
  <c r="B379" i="3"/>
  <c r="B878" i="3" s="1"/>
  <c r="A379" i="3"/>
  <c r="A878" i="3" s="1"/>
  <c r="DU378" i="3"/>
  <c r="DT378" i="3"/>
  <c r="DS378" i="3"/>
  <c r="DR378" i="3"/>
  <c r="DQ378" i="3"/>
  <c r="DP378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BV378" i="3"/>
  <c r="BU378" i="3"/>
  <c r="BT378" i="3"/>
  <c r="BS378" i="3"/>
  <c r="BR378" i="3"/>
  <c r="BQ378" i="3"/>
  <c r="BP378" i="3"/>
  <c r="BO378" i="3"/>
  <c r="BN378" i="3"/>
  <c r="E378" i="3"/>
  <c r="E877" i="3" s="1"/>
  <c r="D378" i="3"/>
  <c r="D877" i="3" s="1"/>
  <c r="C378" i="3"/>
  <c r="C877" i="3" s="1"/>
  <c r="B378" i="3"/>
  <c r="B877" i="3" s="1"/>
  <c r="A378" i="3"/>
  <c r="A877" i="3" s="1"/>
  <c r="DU377" i="3"/>
  <c r="DT377" i="3"/>
  <c r="DS377" i="3"/>
  <c r="DR377" i="3"/>
  <c r="DQ377" i="3"/>
  <c r="DP377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BV377" i="3"/>
  <c r="BU377" i="3"/>
  <c r="BT377" i="3"/>
  <c r="BS377" i="3"/>
  <c r="BR377" i="3"/>
  <c r="BQ377" i="3"/>
  <c r="BP377" i="3"/>
  <c r="BO377" i="3"/>
  <c r="BN377" i="3"/>
  <c r="E377" i="3"/>
  <c r="E876" i="3" s="1"/>
  <c r="D377" i="3"/>
  <c r="D876" i="3" s="1"/>
  <c r="C377" i="3"/>
  <c r="C876" i="3" s="1"/>
  <c r="B377" i="3"/>
  <c r="B876" i="3" s="1"/>
  <c r="A377" i="3"/>
  <c r="A876" i="3" s="1"/>
  <c r="DU376" i="3"/>
  <c r="DT376" i="3"/>
  <c r="DS376" i="3"/>
  <c r="DR376" i="3"/>
  <c r="DQ376" i="3"/>
  <c r="DP376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BV376" i="3"/>
  <c r="BU376" i="3"/>
  <c r="BT376" i="3"/>
  <c r="BS376" i="3"/>
  <c r="BR376" i="3"/>
  <c r="BQ376" i="3"/>
  <c r="BP376" i="3"/>
  <c r="BO376" i="3"/>
  <c r="BN376" i="3"/>
  <c r="E376" i="3"/>
  <c r="E875" i="3" s="1"/>
  <c r="D376" i="3"/>
  <c r="D875" i="3" s="1"/>
  <c r="C376" i="3"/>
  <c r="C875" i="3" s="1"/>
  <c r="B376" i="3"/>
  <c r="B875" i="3" s="1"/>
  <c r="A376" i="3"/>
  <c r="A875" i="3" s="1"/>
  <c r="DU375" i="3"/>
  <c r="DT375" i="3"/>
  <c r="DS375" i="3"/>
  <c r="DR375" i="3"/>
  <c r="DQ375" i="3"/>
  <c r="DP375" i="3"/>
  <c r="DO375" i="3"/>
  <c r="DN375" i="3"/>
  <c r="DM375" i="3"/>
  <c r="DL375" i="3"/>
  <c r="DK375" i="3"/>
  <c r="DJ375" i="3"/>
  <c r="DI375" i="3"/>
  <c r="DH375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BV375" i="3"/>
  <c r="BU375" i="3"/>
  <c r="BT375" i="3"/>
  <c r="BS375" i="3"/>
  <c r="BR375" i="3"/>
  <c r="BQ375" i="3"/>
  <c r="BP375" i="3"/>
  <c r="BO375" i="3"/>
  <c r="BN375" i="3"/>
  <c r="E375" i="3"/>
  <c r="E874" i="3" s="1"/>
  <c r="D375" i="3"/>
  <c r="D874" i="3" s="1"/>
  <c r="C375" i="3"/>
  <c r="C874" i="3" s="1"/>
  <c r="B375" i="3"/>
  <c r="B874" i="3" s="1"/>
  <c r="A375" i="3"/>
  <c r="A874" i="3" s="1"/>
  <c r="DU374" i="3"/>
  <c r="DT374" i="3"/>
  <c r="DS374" i="3"/>
  <c r="DR374" i="3"/>
  <c r="DQ374" i="3"/>
  <c r="DP374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BV374" i="3"/>
  <c r="BU374" i="3"/>
  <c r="BT374" i="3"/>
  <c r="BS374" i="3"/>
  <c r="BR374" i="3"/>
  <c r="BQ374" i="3"/>
  <c r="BP374" i="3"/>
  <c r="BO374" i="3"/>
  <c r="BN374" i="3"/>
  <c r="E374" i="3"/>
  <c r="E873" i="3" s="1"/>
  <c r="D374" i="3"/>
  <c r="D873" i="3" s="1"/>
  <c r="C374" i="3"/>
  <c r="C873" i="3" s="1"/>
  <c r="B374" i="3"/>
  <c r="B873" i="3" s="1"/>
  <c r="A374" i="3"/>
  <c r="A873" i="3" s="1"/>
  <c r="DU373" i="3"/>
  <c r="DT373" i="3"/>
  <c r="DS373" i="3"/>
  <c r="DR373" i="3"/>
  <c r="DQ373" i="3"/>
  <c r="DP373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BV373" i="3"/>
  <c r="BU373" i="3"/>
  <c r="BT373" i="3"/>
  <c r="BS373" i="3"/>
  <c r="BR373" i="3"/>
  <c r="BQ373" i="3"/>
  <c r="BP373" i="3"/>
  <c r="BO373" i="3"/>
  <c r="BN373" i="3"/>
  <c r="E373" i="3"/>
  <c r="B373" i="3"/>
  <c r="A373" i="3"/>
  <c r="DU372" i="3"/>
  <c r="DT372" i="3"/>
  <c r="DS372" i="3"/>
  <c r="DR372" i="3"/>
  <c r="DQ372" i="3"/>
  <c r="DP372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BV372" i="3"/>
  <c r="BU372" i="3"/>
  <c r="BT372" i="3"/>
  <c r="BS372" i="3"/>
  <c r="BR372" i="3"/>
  <c r="BQ372" i="3"/>
  <c r="BP372" i="3"/>
  <c r="BO372" i="3"/>
  <c r="BN372" i="3"/>
  <c r="E372" i="3"/>
  <c r="B372" i="3"/>
  <c r="A372" i="3"/>
  <c r="DU371" i="3"/>
  <c r="DT371" i="3"/>
  <c r="DS371" i="3"/>
  <c r="DR371" i="3"/>
  <c r="DQ371" i="3"/>
  <c r="DP371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BV371" i="3"/>
  <c r="BU371" i="3"/>
  <c r="BT371" i="3"/>
  <c r="BS371" i="3"/>
  <c r="BR371" i="3"/>
  <c r="BQ371" i="3"/>
  <c r="BP371" i="3"/>
  <c r="BO371" i="3"/>
  <c r="BN371" i="3"/>
  <c r="E371" i="3"/>
  <c r="E872" i="3" s="1"/>
  <c r="D371" i="3"/>
  <c r="D872" i="3" s="1"/>
  <c r="C371" i="3"/>
  <c r="C872" i="3" s="1"/>
  <c r="B371" i="3"/>
  <c r="B872" i="3" s="1"/>
  <c r="A371" i="3"/>
  <c r="A872" i="3" s="1"/>
  <c r="DU370" i="3"/>
  <c r="DT370" i="3"/>
  <c r="DS370" i="3"/>
  <c r="DR370" i="3"/>
  <c r="DQ370" i="3"/>
  <c r="DP370" i="3"/>
  <c r="DO370" i="3"/>
  <c r="DN370" i="3"/>
  <c r="DM370" i="3"/>
  <c r="DL370" i="3"/>
  <c r="DK370" i="3"/>
  <c r="DJ370" i="3"/>
  <c r="DI370" i="3"/>
  <c r="DH370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BV370" i="3"/>
  <c r="BU370" i="3"/>
  <c r="BT370" i="3"/>
  <c r="BS370" i="3"/>
  <c r="BR370" i="3"/>
  <c r="BQ370" i="3"/>
  <c r="BP370" i="3"/>
  <c r="BO370" i="3"/>
  <c r="BN370" i="3"/>
  <c r="E370" i="3"/>
  <c r="E871" i="3" s="1"/>
  <c r="D370" i="3"/>
  <c r="D871" i="3" s="1"/>
  <c r="C370" i="3"/>
  <c r="C871" i="3" s="1"/>
  <c r="B370" i="3"/>
  <c r="B871" i="3" s="1"/>
  <c r="A370" i="3"/>
  <c r="A871" i="3" s="1"/>
  <c r="DU369" i="3"/>
  <c r="DT369" i="3"/>
  <c r="DS369" i="3"/>
  <c r="DR369" i="3"/>
  <c r="DQ369" i="3"/>
  <c r="DP369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BV369" i="3"/>
  <c r="BU369" i="3"/>
  <c r="BT369" i="3"/>
  <c r="BS369" i="3"/>
  <c r="BR369" i="3"/>
  <c r="BQ369" i="3"/>
  <c r="BP369" i="3"/>
  <c r="BO369" i="3"/>
  <c r="BN369" i="3"/>
  <c r="E369" i="3"/>
  <c r="E870" i="3" s="1"/>
  <c r="D369" i="3"/>
  <c r="D870" i="3" s="1"/>
  <c r="C369" i="3"/>
  <c r="C870" i="3" s="1"/>
  <c r="B369" i="3"/>
  <c r="B870" i="3" s="1"/>
  <c r="A369" i="3"/>
  <c r="A870" i="3" s="1"/>
  <c r="DU368" i="3"/>
  <c r="DT368" i="3"/>
  <c r="DS368" i="3"/>
  <c r="DR368" i="3"/>
  <c r="DQ368" i="3"/>
  <c r="DP368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BV368" i="3"/>
  <c r="BU368" i="3"/>
  <c r="BT368" i="3"/>
  <c r="BS368" i="3"/>
  <c r="BR368" i="3"/>
  <c r="BQ368" i="3"/>
  <c r="BP368" i="3"/>
  <c r="BO368" i="3"/>
  <c r="BN368" i="3"/>
  <c r="E368" i="3"/>
  <c r="E869" i="3" s="1"/>
  <c r="D368" i="3"/>
  <c r="D869" i="3" s="1"/>
  <c r="C368" i="3"/>
  <c r="C869" i="3" s="1"/>
  <c r="B368" i="3"/>
  <c r="B869" i="3" s="1"/>
  <c r="A368" i="3"/>
  <c r="A869" i="3" s="1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E367" i="3"/>
  <c r="E868" i="3" s="1"/>
  <c r="D367" i="3"/>
  <c r="D868" i="3" s="1"/>
  <c r="C367" i="3"/>
  <c r="C868" i="3" s="1"/>
  <c r="B367" i="3"/>
  <c r="B868" i="3" s="1"/>
  <c r="A367" i="3"/>
  <c r="A868" i="3" s="1"/>
  <c r="DU366" i="3"/>
  <c r="DT366" i="3"/>
  <c r="DS366" i="3"/>
  <c r="DR366" i="3"/>
  <c r="DQ366" i="3"/>
  <c r="DP366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BV366" i="3"/>
  <c r="BU366" i="3"/>
  <c r="BT366" i="3"/>
  <c r="BS366" i="3"/>
  <c r="BR366" i="3"/>
  <c r="BQ366" i="3"/>
  <c r="BP366" i="3"/>
  <c r="BO366" i="3"/>
  <c r="BN366" i="3"/>
  <c r="E366" i="3"/>
  <c r="E867" i="3" s="1"/>
  <c r="D366" i="3"/>
  <c r="D867" i="3" s="1"/>
  <c r="C366" i="3"/>
  <c r="C867" i="3" s="1"/>
  <c r="B366" i="3"/>
  <c r="B867" i="3" s="1"/>
  <c r="A366" i="3"/>
  <c r="A867" i="3" s="1"/>
  <c r="DU365" i="3"/>
  <c r="DT365" i="3"/>
  <c r="DS365" i="3"/>
  <c r="DR365" i="3"/>
  <c r="DQ365" i="3"/>
  <c r="DP365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BV365" i="3"/>
  <c r="BU365" i="3"/>
  <c r="BT365" i="3"/>
  <c r="BS365" i="3"/>
  <c r="BR365" i="3"/>
  <c r="BQ365" i="3"/>
  <c r="BP365" i="3"/>
  <c r="BO365" i="3"/>
  <c r="BN365" i="3"/>
  <c r="E365" i="3"/>
  <c r="E866" i="3" s="1"/>
  <c r="D365" i="3"/>
  <c r="D866" i="3" s="1"/>
  <c r="C365" i="3"/>
  <c r="C866" i="3" s="1"/>
  <c r="B365" i="3"/>
  <c r="B866" i="3" s="1"/>
  <c r="A365" i="3"/>
  <c r="A866" i="3" s="1"/>
  <c r="DU364" i="3"/>
  <c r="DT364" i="3"/>
  <c r="DS364" i="3"/>
  <c r="DR364" i="3"/>
  <c r="DQ364" i="3"/>
  <c r="DP364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BV364" i="3"/>
  <c r="BU364" i="3"/>
  <c r="BT364" i="3"/>
  <c r="BS364" i="3"/>
  <c r="BR364" i="3"/>
  <c r="BQ364" i="3"/>
  <c r="BP364" i="3"/>
  <c r="BO364" i="3"/>
  <c r="BN364" i="3"/>
  <c r="E364" i="3"/>
  <c r="E865" i="3" s="1"/>
  <c r="D364" i="3"/>
  <c r="D865" i="3" s="1"/>
  <c r="C364" i="3"/>
  <c r="C865" i="3" s="1"/>
  <c r="B364" i="3"/>
  <c r="B865" i="3" s="1"/>
  <c r="A364" i="3"/>
  <c r="A865" i="3" s="1"/>
  <c r="DU363" i="3"/>
  <c r="DT363" i="3"/>
  <c r="DS363" i="3"/>
  <c r="DR363" i="3"/>
  <c r="DQ363" i="3"/>
  <c r="DP363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BV363" i="3"/>
  <c r="BU363" i="3"/>
  <c r="BT363" i="3"/>
  <c r="BS363" i="3"/>
  <c r="BR363" i="3"/>
  <c r="BQ363" i="3"/>
  <c r="BP363" i="3"/>
  <c r="BO363" i="3"/>
  <c r="BN363" i="3"/>
  <c r="E363" i="3"/>
  <c r="E864" i="3" s="1"/>
  <c r="D363" i="3"/>
  <c r="D864" i="3" s="1"/>
  <c r="C363" i="3"/>
  <c r="C864" i="3" s="1"/>
  <c r="B363" i="3"/>
  <c r="B864" i="3" s="1"/>
  <c r="A363" i="3"/>
  <c r="A864" i="3" s="1"/>
  <c r="DU362" i="3"/>
  <c r="DT362" i="3"/>
  <c r="DS362" i="3"/>
  <c r="DR362" i="3"/>
  <c r="DQ362" i="3"/>
  <c r="DP362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BV362" i="3"/>
  <c r="BU362" i="3"/>
  <c r="BT362" i="3"/>
  <c r="BS362" i="3"/>
  <c r="BR362" i="3"/>
  <c r="BQ362" i="3"/>
  <c r="BP362" i="3"/>
  <c r="BO362" i="3"/>
  <c r="BN362" i="3"/>
  <c r="E362" i="3"/>
  <c r="E863" i="3" s="1"/>
  <c r="D362" i="3"/>
  <c r="D863" i="3" s="1"/>
  <c r="C362" i="3"/>
  <c r="C863" i="3" s="1"/>
  <c r="B362" i="3"/>
  <c r="B863" i="3" s="1"/>
  <c r="A362" i="3"/>
  <c r="A863" i="3" s="1"/>
  <c r="DU361" i="3"/>
  <c r="DT361" i="3"/>
  <c r="DS361" i="3"/>
  <c r="DR361" i="3"/>
  <c r="DQ361" i="3"/>
  <c r="DP361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BV361" i="3"/>
  <c r="BU361" i="3"/>
  <c r="BT361" i="3"/>
  <c r="BS361" i="3"/>
  <c r="BR361" i="3"/>
  <c r="BQ361" i="3"/>
  <c r="BP361" i="3"/>
  <c r="BO361" i="3"/>
  <c r="BN361" i="3"/>
  <c r="E361" i="3"/>
  <c r="E862" i="3" s="1"/>
  <c r="D361" i="3"/>
  <c r="D862" i="3" s="1"/>
  <c r="C361" i="3"/>
  <c r="C862" i="3" s="1"/>
  <c r="B361" i="3"/>
  <c r="B862" i="3" s="1"/>
  <c r="A361" i="3"/>
  <c r="A862" i="3" s="1"/>
  <c r="DU360" i="3"/>
  <c r="DT360" i="3"/>
  <c r="DS360" i="3"/>
  <c r="DR360" i="3"/>
  <c r="DQ360" i="3"/>
  <c r="DP360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BP360" i="3"/>
  <c r="BO360" i="3"/>
  <c r="BN360" i="3"/>
  <c r="E360" i="3"/>
  <c r="E861" i="3" s="1"/>
  <c r="D360" i="3"/>
  <c r="D861" i="3" s="1"/>
  <c r="C360" i="3"/>
  <c r="C861" i="3" s="1"/>
  <c r="B360" i="3"/>
  <c r="B861" i="3" s="1"/>
  <c r="A360" i="3"/>
  <c r="A861" i="3" s="1"/>
  <c r="DU359" i="3"/>
  <c r="DT359" i="3"/>
  <c r="DS359" i="3"/>
  <c r="DR359" i="3"/>
  <c r="DQ359" i="3"/>
  <c r="DP359" i="3"/>
  <c r="DO359" i="3"/>
  <c r="DN359" i="3"/>
  <c r="DM359" i="3"/>
  <c r="DL359" i="3"/>
  <c r="DK359" i="3"/>
  <c r="DJ359" i="3"/>
  <c r="DI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BV359" i="3"/>
  <c r="BU359" i="3"/>
  <c r="BT359" i="3"/>
  <c r="BS359" i="3"/>
  <c r="BR359" i="3"/>
  <c r="BQ359" i="3"/>
  <c r="BP359" i="3"/>
  <c r="BO359" i="3"/>
  <c r="BN359" i="3"/>
  <c r="E359" i="3"/>
  <c r="E860" i="3" s="1"/>
  <c r="D359" i="3"/>
  <c r="D860" i="3" s="1"/>
  <c r="C359" i="3"/>
  <c r="C860" i="3" s="1"/>
  <c r="B359" i="3"/>
  <c r="B860" i="3" s="1"/>
  <c r="A359" i="3"/>
  <c r="A860" i="3" s="1"/>
  <c r="DU358" i="3"/>
  <c r="DT358" i="3"/>
  <c r="DS358" i="3"/>
  <c r="DR358" i="3"/>
  <c r="DQ358" i="3"/>
  <c r="DP35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BV358" i="3"/>
  <c r="BU358" i="3"/>
  <c r="BT358" i="3"/>
  <c r="BS358" i="3"/>
  <c r="BR358" i="3"/>
  <c r="BQ358" i="3"/>
  <c r="BP358" i="3"/>
  <c r="BO358" i="3"/>
  <c r="BN358" i="3"/>
  <c r="E358" i="3"/>
  <c r="E859" i="3" s="1"/>
  <c r="D358" i="3"/>
  <c r="D859" i="3" s="1"/>
  <c r="C358" i="3"/>
  <c r="C859" i="3" s="1"/>
  <c r="B358" i="3"/>
  <c r="B859" i="3" s="1"/>
  <c r="A358" i="3"/>
  <c r="A859" i="3" s="1"/>
  <c r="DU357" i="3"/>
  <c r="DT357" i="3"/>
  <c r="DS357" i="3"/>
  <c r="DR357" i="3"/>
  <c r="DQ357" i="3"/>
  <c r="DP35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BV357" i="3"/>
  <c r="BU357" i="3"/>
  <c r="BT357" i="3"/>
  <c r="BS357" i="3"/>
  <c r="BR357" i="3"/>
  <c r="BQ357" i="3"/>
  <c r="BP357" i="3"/>
  <c r="BO357" i="3"/>
  <c r="BN357" i="3"/>
  <c r="E357" i="3"/>
  <c r="E858" i="3" s="1"/>
  <c r="D357" i="3"/>
  <c r="D858" i="3" s="1"/>
  <c r="C357" i="3"/>
  <c r="C858" i="3" s="1"/>
  <c r="B357" i="3"/>
  <c r="B858" i="3" s="1"/>
  <c r="A357" i="3"/>
  <c r="A858" i="3" s="1"/>
  <c r="DU356" i="3"/>
  <c r="DT356" i="3"/>
  <c r="DS356" i="3"/>
  <c r="DR356" i="3"/>
  <c r="DQ356" i="3"/>
  <c r="DP356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BV356" i="3"/>
  <c r="BU356" i="3"/>
  <c r="BT356" i="3"/>
  <c r="BS356" i="3"/>
  <c r="BR356" i="3"/>
  <c r="BQ356" i="3"/>
  <c r="BP356" i="3"/>
  <c r="BO356" i="3"/>
  <c r="BN356" i="3"/>
  <c r="E356" i="3"/>
  <c r="E857" i="3" s="1"/>
  <c r="D356" i="3"/>
  <c r="D857" i="3" s="1"/>
  <c r="C356" i="3"/>
  <c r="C857" i="3" s="1"/>
  <c r="B356" i="3"/>
  <c r="B857" i="3" s="1"/>
  <c r="A356" i="3"/>
  <c r="A857" i="3" s="1"/>
  <c r="DU355" i="3"/>
  <c r="DT355" i="3"/>
  <c r="DS355" i="3"/>
  <c r="DR355" i="3"/>
  <c r="DQ355" i="3"/>
  <c r="DP355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BV355" i="3"/>
  <c r="BU355" i="3"/>
  <c r="BT355" i="3"/>
  <c r="BS355" i="3"/>
  <c r="BR355" i="3"/>
  <c r="BQ355" i="3"/>
  <c r="BP355" i="3"/>
  <c r="BO355" i="3"/>
  <c r="BN355" i="3"/>
  <c r="E355" i="3"/>
  <c r="E856" i="3" s="1"/>
  <c r="D355" i="3"/>
  <c r="D856" i="3" s="1"/>
  <c r="C355" i="3"/>
  <c r="C856" i="3" s="1"/>
  <c r="B355" i="3"/>
  <c r="B856" i="3" s="1"/>
  <c r="A355" i="3"/>
  <c r="A856" i="3" s="1"/>
  <c r="DU354" i="3"/>
  <c r="DT354" i="3"/>
  <c r="DS354" i="3"/>
  <c r="DR354" i="3"/>
  <c r="DQ354" i="3"/>
  <c r="DP354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BV354" i="3"/>
  <c r="BU354" i="3"/>
  <c r="BT354" i="3"/>
  <c r="BS354" i="3"/>
  <c r="BR354" i="3"/>
  <c r="BQ354" i="3"/>
  <c r="BP354" i="3"/>
  <c r="BO354" i="3"/>
  <c r="BN354" i="3"/>
  <c r="E354" i="3"/>
  <c r="E855" i="3" s="1"/>
  <c r="D354" i="3"/>
  <c r="D855" i="3" s="1"/>
  <c r="C354" i="3"/>
  <c r="C855" i="3" s="1"/>
  <c r="B354" i="3"/>
  <c r="B855" i="3" s="1"/>
  <c r="A354" i="3"/>
  <c r="A855" i="3" s="1"/>
  <c r="DU353" i="3"/>
  <c r="DT353" i="3"/>
  <c r="DS353" i="3"/>
  <c r="DR353" i="3"/>
  <c r="DQ353" i="3"/>
  <c r="DP353" i="3"/>
  <c r="DO353" i="3"/>
  <c r="DN353" i="3"/>
  <c r="DM353" i="3"/>
  <c r="DL353" i="3"/>
  <c r="DK353" i="3"/>
  <c r="DJ353" i="3"/>
  <c r="DI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BV353" i="3"/>
  <c r="BU353" i="3"/>
  <c r="BT353" i="3"/>
  <c r="BS353" i="3"/>
  <c r="BR353" i="3"/>
  <c r="BQ353" i="3"/>
  <c r="BP353" i="3"/>
  <c r="BO353" i="3"/>
  <c r="BN353" i="3"/>
  <c r="E353" i="3"/>
  <c r="E854" i="3" s="1"/>
  <c r="D353" i="3"/>
  <c r="D854" i="3" s="1"/>
  <c r="C353" i="3"/>
  <c r="C854" i="3" s="1"/>
  <c r="B353" i="3"/>
  <c r="B854" i="3" s="1"/>
  <c r="A353" i="3"/>
  <c r="A854" i="3" s="1"/>
  <c r="DU352" i="3"/>
  <c r="DT352" i="3"/>
  <c r="DS352" i="3"/>
  <c r="DR352" i="3"/>
  <c r="DQ352" i="3"/>
  <c r="DP352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BV352" i="3"/>
  <c r="BU352" i="3"/>
  <c r="BT352" i="3"/>
  <c r="BS352" i="3"/>
  <c r="BR352" i="3"/>
  <c r="BQ352" i="3"/>
  <c r="BP352" i="3"/>
  <c r="BO352" i="3"/>
  <c r="BN352" i="3"/>
  <c r="E352" i="3"/>
  <c r="E853" i="3" s="1"/>
  <c r="D352" i="3"/>
  <c r="D853" i="3" s="1"/>
  <c r="C352" i="3"/>
  <c r="C853" i="3" s="1"/>
  <c r="B352" i="3"/>
  <c r="B853" i="3" s="1"/>
  <c r="A352" i="3"/>
  <c r="A853" i="3" s="1"/>
  <c r="DU351" i="3"/>
  <c r="DT351" i="3"/>
  <c r="DS351" i="3"/>
  <c r="DR351" i="3"/>
  <c r="DQ351" i="3"/>
  <c r="DP351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BV351" i="3"/>
  <c r="BU351" i="3"/>
  <c r="BT351" i="3"/>
  <c r="BS351" i="3"/>
  <c r="BR351" i="3"/>
  <c r="BQ351" i="3"/>
  <c r="BP351" i="3"/>
  <c r="BO351" i="3"/>
  <c r="BN351" i="3"/>
  <c r="E351" i="3"/>
  <c r="E852" i="3" s="1"/>
  <c r="D351" i="3"/>
  <c r="D852" i="3" s="1"/>
  <c r="C351" i="3"/>
  <c r="C852" i="3" s="1"/>
  <c r="B351" i="3"/>
  <c r="B852" i="3" s="1"/>
  <c r="A351" i="3"/>
  <c r="A852" i="3" s="1"/>
  <c r="DU350" i="3"/>
  <c r="DT350" i="3"/>
  <c r="DS350" i="3"/>
  <c r="DR350" i="3"/>
  <c r="DQ350" i="3"/>
  <c r="DP350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BV350" i="3"/>
  <c r="BU350" i="3"/>
  <c r="BT350" i="3"/>
  <c r="BS350" i="3"/>
  <c r="BR350" i="3"/>
  <c r="BQ350" i="3"/>
  <c r="BP350" i="3"/>
  <c r="BO350" i="3"/>
  <c r="BN350" i="3"/>
  <c r="E350" i="3"/>
  <c r="E851" i="3" s="1"/>
  <c r="D350" i="3"/>
  <c r="D851" i="3" s="1"/>
  <c r="C350" i="3"/>
  <c r="C851" i="3" s="1"/>
  <c r="B350" i="3"/>
  <c r="B851" i="3" s="1"/>
  <c r="A350" i="3"/>
  <c r="A851" i="3" s="1"/>
  <c r="DU349" i="3"/>
  <c r="DT349" i="3"/>
  <c r="DS349" i="3"/>
  <c r="DR349" i="3"/>
  <c r="DQ349" i="3"/>
  <c r="DP349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E349" i="3"/>
  <c r="E850" i="3" s="1"/>
  <c r="D349" i="3"/>
  <c r="D850" i="3" s="1"/>
  <c r="C349" i="3"/>
  <c r="C850" i="3" s="1"/>
  <c r="B349" i="3"/>
  <c r="B850" i="3" s="1"/>
  <c r="A349" i="3"/>
  <c r="A850" i="3" s="1"/>
  <c r="DU348" i="3"/>
  <c r="DT348" i="3"/>
  <c r="DS348" i="3"/>
  <c r="DR348" i="3"/>
  <c r="DQ348" i="3"/>
  <c r="DP348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E348" i="3"/>
  <c r="E849" i="3" s="1"/>
  <c r="D348" i="3"/>
  <c r="D849" i="3" s="1"/>
  <c r="C348" i="3"/>
  <c r="C849" i="3" s="1"/>
  <c r="B348" i="3"/>
  <c r="B849" i="3" s="1"/>
  <c r="A348" i="3"/>
  <c r="A849" i="3" s="1"/>
  <c r="DU347" i="3"/>
  <c r="DT347" i="3"/>
  <c r="DS347" i="3"/>
  <c r="DR347" i="3"/>
  <c r="DQ347" i="3"/>
  <c r="DP347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E347" i="3"/>
  <c r="E848" i="3" s="1"/>
  <c r="D347" i="3"/>
  <c r="D848" i="3" s="1"/>
  <c r="C347" i="3"/>
  <c r="C848" i="3" s="1"/>
  <c r="B347" i="3"/>
  <c r="B848" i="3" s="1"/>
  <c r="A347" i="3"/>
  <c r="A848" i="3" s="1"/>
  <c r="DU346" i="3"/>
  <c r="DT346" i="3"/>
  <c r="DS346" i="3"/>
  <c r="DR346" i="3"/>
  <c r="DQ346" i="3"/>
  <c r="DP346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E346" i="3"/>
  <c r="E847" i="3" s="1"/>
  <c r="D346" i="3"/>
  <c r="D847" i="3" s="1"/>
  <c r="C346" i="3"/>
  <c r="C847" i="3" s="1"/>
  <c r="B346" i="3"/>
  <c r="B847" i="3" s="1"/>
  <c r="A346" i="3"/>
  <c r="A847" i="3" s="1"/>
  <c r="DU345" i="3"/>
  <c r="DT345" i="3"/>
  <c r="DS345" i="3"/>
  <c r="DR345" i="3"/>
  <c r="DQ345" i="3"/>
  <c r="DP345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E345" i="3"/>
  <c r="E846" i="3" s="1"/>
  <c r="D345" i="3"/>
  <c r="D846" i="3" s="1"/>
  <c r="C345" i="3"/>
  <c r="C846" i="3" s="1"/>
  <c r="B345" i="3"/>
  <c r="B846" i="3" s="1"/>
  <c r="A345" i="3"/>
  <c r="A846" i="3" s="1"/>
  <c r="DU344" i="3"/>
  <c r="DT344" i="3"/>
  <c r="DS344" i="3"/>
  <c r="DR344" i="3"/>
  <c r="DQ344" i="3"/>
  <c r="DP344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E344" i="3"/>
  <c r="E845" i="3" s="1"/>
  <c r="D344" i="3"/>
  <c r="D845" i="3" s="1"/>
  <c r="C344" i="3"/>
  <c r="C845" i="3" s="1"/>
  <c r="B344" i="3"/>
  <c r="B845" i="3" s="1"/>
  <c r="A344" i="3"/>
  <c r="A845" i="3" s="1"/>
  <c r="DU343" i="3"/>
  <c r="DT343" i="3"/>
  <c r="DS343" i="3"/>
  <c r="DR343" i="3"/>
  <c r="DQ343" i="3"/>
  <c r="DP343" i="3"/>
  <c r="DO343" i="3"/>
  <c r="DN343" i="3"/>
  <c r="DM343" i="3"/>
  <c r="DL343" i="3"/>
  <c r="DK343" i="3"/>
  <c r="DJ343" i="3"/>
  <c r="DI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BV343" i="3"/>
  <c r="BU343" i="3"/>
  <c r="BT343" i="3"/>
  <c r="BS343" i="3"/>
  <c r="BR343" i="3"/>
  <c r="BQ343" i="3"/>
  <c r="BP343" i="3"/>
  <c r="BO343" i="3"/>
  <c r="BN343" i="3"/>
  <c r="E343" i="3"/>
  <c r="E844" i="3" s="1"/>
  <c r="D343" i="3"/>
  <c r="D844" i="3" s="1"/>
  <c r="C343" i="3"/>
  <c r="C844" i="3" s="1"/>
  <c r="B343" i="3"/>
  <c r="B844" i="3" s="1"/>
  <c r="A343" i="3"/>
  <c r="A844" i="3" s="1"/>
  <c r="DU342" i="3"/>
  <c r="DT342" i="3"/>
  <c r="DS342" i="3"/>
  <c r="DR342" i="3"/>
  <c r="DQ342" i="3"/>
  <c r="DP342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W342" i="3"/>
  <c r="BV342" i="3"/>
  <c r="BU342" i="3"/>
  <c r="BT342" i="3"/>
  <c r="BS342" i="3"/>
  <c r="BR342" i="3"/>
  <c r="BQ342" i="3"/>
  <c r="BP342" i="3"/>
  <c r="BO342" i="3"/>
  <c r="BN342" i="3"/>
  <c r="E342" i="3"/>
  <c r="E843" i="3" s="1"/>
  <c r="D342" i="3"/>
  <c r="D843" i="3" s="1"/>
  <c r="C342" i="3"/>
  <c r="C843" i="3" s="1"/>
  <c r="B342" i="3"/>
  <c r="B843" i="3" s="1"/>
  <c r="A342" i="3"/>
  <c r="A843" i="3" s="1"/>
  <c r="DU341" i="3"/>
  <c r="DT341" i="3"/>
  <c r="DS341" i="3"/>
  <c r="DR341" i="3"/>
  <c r="DQ341" i="3"/>
  <c r="DP341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E341" i="3"/>
  <c r="E842" i="3" s="1"/>
  <c r="D341" i="3"/>
  <c r="D842" i="3" s="1"/>
  <c r="C341" i="3"/>
  <c r="C842" i="3" s="1"/>
  <c r="B341" i="3"/>
  <c r="B842" i="3" s="1"/>
  <c r="A341" i="3"/>
  <c r="A842" i="3" s="1"/>
  <c r="DU340" i="3"/>
  <c r="DT340" i="3"/>
  <c r="DS340" i="3"/>
  <c r="DR340" i="3"/>
  <c r="DQ340" i="3"/>
  <c r="DP340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E340" i="3"/>
  <c r="E841" i="3" s="1"/>
  <c r="D340" i="3"/>
  <c r="D841" i="3" s="1"/>
  <c r="C340" i="3"/>
  <c r="C841" i="3" s="1"/>
  <c r="B340" i="3"/>
  <c r="B841" i="3" s="1"/>
  <c r="A340" i="3"/>
  <c r="A841" i="3" s="1"/>
  <c r="DU339" i="3"/>
  <c r="DT339" i="3"/>
  <c r="DS339" i="3"/>
  <c r="DR339" i="3"/>
  <c r="DQ339" i="3"/>
  <c r="DP339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E339" i="3"/>
  <c r="E840" i="3" s="1"/>
  <c r="D339" i="3"/>
  <c r="D840" i="3" s="1"/>
  <c r="C339" i="3"/>
  <c r="C840" i="3" s="1"/>
  <c r="B339" i="3"/>
  <c r="B840" i="3" s="1"/>
  <c r="A339" i="3"/>
  <c r="A840" i="3" s="1"/>
  <c r="DU338" i="3"/>
  <c r="DT338" i="3"/>
  <c r="DS338" i="3"/>
  <c r="DR338" i="3"/>
  <c r="DQ338" i="3"/>
  <c r="DP338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E338" i="3"/>
  <c r="E839" i="3" s="1"/>
  <c r="D338" i="3"/>
  <c r="D839" i="3" s="1"/>
  <c r="C338" i="3"/>
  <c r="C839" i="3" s="1"/>
  <c r="B338" i="3"/>
  <c r="B839" i="3" s="1"/>
  <c r="A338" i="3"/>
  <c r="A839" i="3" s="1"/>
  <c r="DU337" i="3"/>
  <c r="DT337" i="3"/>
  <c r="DS337" i="3"/>
  <c r="DR337" i="3"/>
  <c r="DQ337" i="3"/>
  <c r="DP337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E337" i="3"/>
  <c r="E838" i="3" s="1"/>
  <c r="D337" i="3"/>
  <c r="D838" i="3" s="1"/>
  <c r="C337" i="3"/>
  <c r="C838" i="3" s="1"/>
  <c r="B337" i="3"/>
  <c r="B838" i="3" s="1"/>
  <c r="A337" i="3"/>
  <c r="A838" i="3" s="1"/>
  <c r="DU336" i="3"/>
  <c r="DT336" i="3"/>
  <c r="DS336" i="3"/>
  <c r="DR336" i="3"/>
  <c r="DQ336" i="3"/>
  <c r="DP336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E336" i="3"/>
  <c r="E837" i="3" s="1"/>
  <c r="D336" i="3"/>
  <c r="D837" i="3" s="1"/>
  <c r="C336" i="3"/>
  <c r="C837" i="3" s="1"/>
  <c r="B336" i="3"/>
  <c r="B837" i="3" s="1"/>
  <c r="A336" i="3"/>
  <c r="A837" i="3" s="1"/>
  <c r="DU335" i="3"/>
  <c r="DT335" i="3"/>
  <c r="DS335" i="3"/>
  <c r="DR335" i="3"/>
  <c r="DQ335" i="3"/>
  <c r="DP335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E335" i="3"/>
  <c r="E836" i="3" s="1"/>
  <c r="D335" i="3"/>
  <c r="D836" i="3" s="1"/>
  <c r="C335" i="3"/>
  <c r="C836" i="3" s="1"/>
  <c r="B335" i="3"/>
  <c r="B836" i="3" s="1"/>
  <c r="A335" i="3"/>
  <c r="A836" i="3" s="1"/>
  <c r="DU334" i="3"/>
  <c r="DT334" i="3"/>
  <c r="DS334" i="3"/>
  <c r="DR334" i="3"/>
  <c r="DQ334" i="3"/>
  <c r="DP334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E334" i="3"/>
  <c r="E835" i="3" s="1"/>
  <c r="D334" i="3"/>
  <c r="D835" i="3" s="1"/>
  <c r="C334" i="3"/>
  <c r="C835" i="3" s="1"/>
  <c r="B334" i="3"/>
  <c r="B835" i="3" s="1"/>
  <c r="A334" i="3"/>
  <c r="A835" i="3" s="1"/>
  <c r="DU333" i="3"/>
  <c r="DT333" i="3"/>
  <c r="DS333" i="3"/>
  <c r="DR333" i="3"/>
  <c r="DQ333" i="3"/>
  <c r="DP333" i="3"/>
  <c r="DO333" i="3"/>
  <c r="DN333" i="3"/>
  <c r="DM333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E333" i="3"/>
  <c r="E834" i="3" s="1"/>
  <c r="D333" i="3"/>
  <c r="D834" i="3" s="1"/>
  <c r="C333" i="3"/>
  <c r="C834" i="3" s="1"/>
  <c r="B333" i="3"/>
  <c r="B834" i="3" s="1"/>
  <c r="A333" i="3"/>
  <c r="A834" i="3" s="1"/>
  <c r="DU332" i="3"/>
  <c r="DT332" i="3"/>
  <c r="DS332" i="3"/>
  <c r="DR332" i="3"/>
  <c r="DQ332" i="3"/>
  <c r="DP332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E332" i="3"/>
  <c r="E833" i="3" s="1"/>
  <c r="D332" i="3"/>
  <c r="D833" i="3" s="1"/>
  <c r="C332" i="3"/>
  <c r="C833" i="3" s="1"/>
  <c r="B332" i="3"/>
  <c r="B833" i="3" s="1"/>
  <c r="A332" i="3"/>
  <c r="A833" i="3" s="1"/>
  <c r="DU331" i="3"/>
  <c r="DT331" i="3"/>
  <c r="DS331" i="3"/>
  <c r="DR331" i="3"/>
  <c r="DQ331" i="3"/>
  <c r="DP331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E331" i="3"/>
  <c r="B331" i="3"/>
  <c r="A331" i="3"/>
  <c r="DU330" i="3"/>
  <c r="DT330" i="3"/>
  <c r="DS330" i="3"/>
  <c r="DR330" i="3"/>
  <c r="DQ330" i="3"/>
  <c r="DP330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E330" i="3"/>
  <c r="E832" i="3" s="1"/>
  <c r="D330" i="3"/>
  <c r="D832" i="3" s="1"/>
  <c r="C330" i="3"/>
  <c r="C832" i="3" s="1"/>
  <c r="B330" i="3"/>
  <c r="B832" i="3" s="1"/>
  <c r="A330" i="3"/>
  <c r="A832" i="3" s="1"/>
  <c r="DU329" i="3"/>
  <c r="DT329" i="3"/>
  <c r="DS329" i="3"/>
  <c r="DR329" i="3"/>
  <c r="DQ329" i="3"/>
  <c r="DP329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E329" i="3"/>
  <c r="E831" i="3" s="1"/>
  <c r="D329" i="3"/>
  <c r="D831" i="3" s="1"/>
  <c r="C329" i="3"/>
  <c r="C831" i="3" s="1"/>
  <c r="B329" i="3"/>
  <c r="B831" i="3" s="1"/>
  <c r="A329" i="3"/>
  <c r="A831" i="3" s="1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E328" i="3"/>
  <c r="E830" i="3" s="1"/>
  <c r="D328" i="3"/>
  <c r="D830" i="3" s="1"/>
  <c r="C328" i="3"/>
  <c r="C830" i="3" s="1"/>
  <c r="B328" i="3"/>
  <c r="B830" i="3" s="1"/>
  <c r="A328" i="3"/>
  <c r="A830" i="3" s="1"/>
  <c r="DU327" i="3"/>
  <c r="DT327" i="3"/>
  <c r="DS327" i="3"/>
  <c r="DR327" i="3"/>
  <c r="DQ327" i="3"/>
  <c r="DP327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E327" i="3"/>
  <c r="E829" i="3" s="1"/>
  <c r="D327" i="3"/>
  <c r="D829" i="3" s="1"/>
  <c r="C327" i="3"/>
  <c r="C829" i="3" s="1"/>
  <c r="B327" i="3"/>
  <c r="B829" i="3" s="1"/>
  <c r="A327" i="3"/>
  <c r="A829" i="3" s="1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E326" i="3"/>
  <c r="E828" i="3" s="1"/>
  <c r="D326" i="3"/>
  <c r="D828" i="3" s="1"/>
  <c r="C326" i="3"/>
  <c r="C828" i="3" s="1"/>
  <c r="B326" i="3"/>
  <c r="B828" i="3" s="1"/>
  <c r="A326" i="3"/>
  <c r="A828" i="3" s="1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E325" i="3"/>
  <c r="E827" i="3" s="1"/>
  <c r="D325" i="3"/>
  <c r="D827" i="3" s="1"/>
  <c r="C325" i="3"/>
  <c r="C827" i="3" s="1"/>
  <c r="B325" i="3"/>
  <c r="B827" i="3" s="1"/>
  <c r="A325" i="3"/>
  <c r="A827" i="3" s="1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E324" i="3"/>
  <c r="E826" i="3" s="1"/>
  <c r="D324" i="3"/>
  <c r="D826" i="3" s="1"/>
  <c r="C324" i="3"/>
  <c r="C826" i="3" s="1"/>
  <c r="B324" i="3"/>
  <c r="B826" i="3" s="1"/>
  <c r="A324" i="3"/>
  <c r="A826" i="3" s="1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E323" i="3"/>
  <c r="E825" i="3" s="1"/>
  <c r="D323" i="3"/>
  <c r="D825" i="3" s="1"/>
  <c r="C323" i="3"/>
  <c r="C825" i="3" s="1"/>
  <c r="B323" i="3"/>
  <c r="B825" i="3" s="1"/>
  <c r="A323" i="3"/>
  <c r="A825" i="3" s="1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E322" i="3"/>
  <c r="E824" i="3" s="1"/>
  <c r="D322" i="3"/>
  <c r="D824" i="3" s="1"/>
  <c r="C322" i="3"/>
  <c r="C824" i="3" s="1"/>
  <c r="B322" i="3"/>
  <c r="B824" i="3" s="1"/>
  <c r="A322" i="3"/>
  <c r="A824" i="3" s="1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E321" i="3"/>
  <c r="E823" i="3" s="1"/>
  <c r="D321" i="3"/>
  <c r="D823" i="3" s="1"/>
  <c r="C321" i="3"/>
  <c r="C823" i="3" s="1"/>
  <c r="B321" i="3"/>
  <c r="B823" i="3" s="1"/>
  <c r="A321" i="3"/>
  <c r="A823" i="3" s="1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E320" i="3"/>
  <c r="E822" i="3" s="1"/>
  <c r="D320" i="3"/>
  <c r="D822" i="3" s="1"/>
  <c r="C320" i="3"/>
  <c r="C822" i="3" s="1"/>
  <c r="B320" i="3"/>
  <c r="B822" i="3" s="1"/>
  <c r="A320" i="3"/>
  <c r="A822" i="3" s="1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E319" i="3"/>
  <c r="E821" i="3" s="1"/>
  <c r="D319" i="3"/>
  <c r="D821" i="3" s="1"/>
  <c r="C319" i="3"/>
  <c r="C821" i="3" s="1"/>
  <c r="B319" i="3"/>
  <c r="B821" i="3" s="1"/>
  <c r="A319" i="3"/>
  <c r="A821" i="3" s="1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E318" i="3"/>
  <c r="E820" i="3" s="1"/>
  <c r="D318" i="3"/>
  <c r="D820" i="3" s="1"/>
  <c r="C318" i="3"/>
  <c r="C820" i="3" s="1"/>
  <c r="B318" i="3"/>
  <c r="B820" i="3" s="1"/>
  <c r="A318" i="3"/>
  <c r="A820" i="3" s="1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E317" i="3"/>
  <c r="E819" i="3" s="1"/>
  <c r="D317" i="3"/>
  <c r="D819" i="3" s="1"/>
  <c r="C317" i="3"/>
  <c r="C819" i="3" s="1"/>
  <c r="B317" i="3"/>
  <c r="B819" i="3" s="1"/>
  <c r="A317" i="3"/>
  <c r="A819" i="3" s="1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E316" i="3"/>
  <c r="E818" i="3" s="1"/>
  <c r="D316" i="3"/>
  <c r="D818" i="3" s="1"/>
  <c r="C316" i="3"/>
  <c r="C818" i="3" s="1"/>
  <c r="B316" i="3"/>
  <c r="B818" i="3" s="1"/>
  <c r="A316" i="3"/>
  <c r="A818" i="3" s="1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E315" i="3"/>
  <c r="E817" i="3" s="1"/>
  <c r="D315" i="3"/>
  <c r="D817" i="3" s="1"/>
  <c r="C315" i="3"/>
  <c r="C817" i="3" s="1"/>
  <c r="B315" i="3"/>
  <c r="B817" i="3" s="1"/>
  <c r="A315" i="3"/>
  <c r="A817" i="3" s="1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E314" i="3"/>
  <c r="E816" i="3" s="1"/>
  <c r="D314" i="3"/>
  <c r="D816" i="3" s="1"/>
  <c r="C314" i="3"/>
  <c r="C816" i="3" s="1"/>
  <c r="B314" i="3"/>
  <c r="B816" i="3" s="1"/>
  <c r="A314" i="3"/>
  <c r="A816" i="3" s="1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E313" i="3"/>
  <c r="E815" i="3" s="1"/>
  <c r="D313" i="3"/>
  <c r="D815" i="3" s="1"/>
  <c r="C313" i="3"/>
  <c r="C815" i="3" s="1"/>
  <c r="B313" i="3"/>
  <c r="B815" i="3" s="1"/>
  <c r="A313" i="3"/>
  <c r="A815" i="3" s="1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E312" i="3"/>
  <c r="E814" i="3" s="1"/>
  <c r="D312" i="3"/>
  <c r="D814" i="3" s="1"/>
  <c r="C312" i="3"/>
  <c r="C814" i="3" s="1"/>
  <c r="B312" i="3"/>
  <c r="B814" i="3" s="1"/>
  <c r="A312" i="3"/>
  <c r="A814" i="3" s="1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E311" i="3"/>
  <c r="E813" i="3" s="1"/>
  <c r="D311" i="3"/>
  <c r="D813" i="3" s="1"/>
  <c r="C311" i="3"/>
  <c r="C813" i="3" s="1"/>
  <c r="B311" i="3"/>
  <c r="B813" i="3" s="1"/>
  <c r="A311" i="3"/>
  <c r="A813" i="3" s="1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E310" i="3"/>
  <c r="E812" i="3" s="1"/>
  <c r="D310" i="3"/>
  <c r="D812" i="3" s="1"/>
  <c r="C310" i="3"/>
  <c r="C812" i="3" s="1"/>
  <c r="B310" i="3"/>
  <c r="B812" i="3" s="1"/>
  <c r="A310" i="3"/>
  <c r="A812" i="3" s="1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E309" i="3"/>
  <c r="E811" i="3" s="1"/>
  <c r="D309" i="3"/>
  <c r="D811" i="3" s="1"/>
  <c r="C309" i="3"/>
  <c r="C811" i="3" s="1"/>
  <c r="B309" i="3"/>
  <c r="B811" i="3" s="1"/>
  <c r="A309" i="3"/>
  <c r="A811" i="3" s="1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E308" i="3"/>
  <c r="E810" i="3" s="1"/>
  <c r="D308" i="3"/>
  <c r="D810" i="3" s="1"/>
  <c r="C308" i="3"/>
  <c r="C810" i="3" s="1"/>
  <c r="B308" i="3"/>
  <c r="B810" i="3" s="1"/>
  <c r="A308" i="3"/>
  <c r="A810" i="3" s="1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E307" i="3"/>
  <c r="E809" i="3" s="1"/>
  <c r="D307" i="3"/>
  <c r="D809" i="3" s="1"/>
  <c r="C307" i="3"/>
  <c r="C809" i="3" s="1"/>
  <c r="B307" i="3"/>
  <c r="B809" i="3" s="1"/>
  <c r="A307" i="3"/>
  <c r="A809" i="3" s="1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E306" i="3"/>
  <c r="E808" i="3" s="1"/>
  <c r="D306" i="3"/>
  <c r="D808" i="3" s="1"/>
  <c r="C306" i="3"/>
  <c r="C808" i="3" s="1"/>
  <c r="B306" i="3"/>
  <c r="B808" i="3" s="1"/>
  <c r="A306" i="3"/>
  <c r="A808" i="3" s="1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E305" i="3"/>
  <c r="E807" i="3" s="1"/>
  <c r="D305" i="3"/>
  <c r="D807" i="3" s="1"/>
  <c r="C305" i="3"/>
  <c r="C807" i="3" s="1"/>
  <c r="B305" i="3"/>
  <c r="B807" i="3" s="1"/>
  <c r="A305" i="3"/>
  <c r="A807" i="3" s="1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E304" i="3"/>
  <c r="E806" i="3" s="1"/>
  <c r="D304" i="3"/>
  <c r="D806" i="3" s="1"/>
  <c r="C304" i="3"/>
  <c r="C806" i="3" s="1"/>
  <c r="B304" i="3"/>
  <c r="B806" i="3" s="1"/>
  <c r="A304" i="3"/>
  <c r="A806" i="3" s="1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E303" i="3"/>
  <c r="E805" i="3" s="1"/>
  <c r="D303" i="3"/>
  <c r="D805" i="3" s="1"/>
  <c r="C303" i="3"/>
  <c r="C805" i="3" s="1"/>
  <c r="B303" i="3"/>
  <c r="B805" i="3" s="1"/>
  <c r="A303" i="3"/>
  <c r="A805" i="3" s="1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E302" i="3"/>
  <c r="E804" i="3" s="1"/>
  <c r="D302" i="3"/>
  <c r="D804" i="3" s="1"/>
  <c r="C302" i="3"/>
  <c r="C804" i="3" s="1"/>
  <c r="B302" i="3"/>
  <c r="B804" i="3" s="1"/>
  <c r="A302" i="3"/>
  <c r="A804" i="3" s="1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E301" i="3"/>
  <c r="E803" i="3" s="1"/>
  <c r="D301" i="3"/>
  <c r="D803" i="3" s="1"/>
  <c r="C301" i="3"/>
  <c r="C803" i="3" s="1"/>
  <c r="B301" i="3"/>
  <c r="B803" i="3" s="1"/>
  <c r="A301" i="3"/>
  <c r="A803" i="3" s="1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E300" i="3"/>
  <c r="E802" i="3" s="1"/>
  <c r="D300" i="3"/>
  <c r="D802" i="3" s="1"/>
  <c r="C300" i="3"/>
  <c r="C802" i="3" s="1"/>
  <c r="B300" i="3"/>
  <c r="B802" i="3" s="1"/>
  <c r="A300" i="3"/>
  <c r="A802" i="3" s="1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E299" i="3"/>
  <c r="E801" i="3" s="1"/>
  <c r="D299" i="3"/>
  <c r="D801" i="3" s="1"/>
  <c r="C299" i="3"/>
  <c r="C801" i="3" s="1"/>
  <c r="B299" i="3"/>
  <c r="B801" i="3" s="1"/>
  <c r="A299" i="3"/>
  <c r="A801" i="3" s="1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E298" i="3"/>
  <c r="E800" i="3" s="1"/>
  <c r="D298" i="3"/>
  <c r="D800" i="3" s="1"/>
  <c r="C298" i="3"/>
  <c r="C800" i="3" s="1"/>
  <c r="B298" i="3"/>
  <c r="B800" i="3" s="1"/>
  <c r="A298" i="3"/>
  <c r="A800" i="3" s="1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E297" i="3"/>
  <c r="E799" i="3" s="1"/>
  <c r="D297" i="3"/>
  <c r="D799" i="3" s="1"/>
  <c r="C297" i="3"/>
  <c r="C799" i="3" s="1"/>
  <c r="B297" i="3"/>
  <c r="B799" i="3" s="1"/>
  <c r="A297" i="3"/>
  <c r="A799" i="3" s="1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E296" i="3"/>
  <c r="E798" i="3" s="1"/>
  <c r="D296" i="3"/>
  <c r="D798" i="3" s="1"/>
  <c r="C296" i="3"/>
  <c r="C798" i="3" s="1"/>
  <c r="B296" i="3"/>
  <c r="B798" i="3" s="1"/>
  <c r="A296" i="3"/>
  <c r="A798" i="3" s="1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E295" i="3"/>
  <c r="E797" i="3" s="1"/>
  <c r="D295" i="3"/>
  <c r="D797" i="3" s="1"/>
  <c r="C295" i="3"/>
  <c r="C797" i="3" s="1"/>
  <c r="B295" i="3"/>
  <c r="B797" i="3" s="1"/>
  <c r="A295" i="3"/>
  <c r="A797" i="3" s="1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E294" i="3"/>
  <c r="E796" i="3" s="1"/>
  <c r="D294" i="3"/>
  <c r="D796" i="3" s="1"/>
  <c r="C294" i="3"/>
  <c r="C796" i="3" s="1"/>
  <c r="B294" i="3"/>
  <c r="B796" i="3" s="1"/>
  <c r="A294" i="3"/>
  <c r="A796" i="3" s="1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E293" i="3"/>
  <c r="E795" i="3" s="1"/>
  <c r="D293" i="3"/>
  <c r="D795" i="3" s="1"/>
  <c r="C293" i="3"/>
  <c r="C795" i="3" s="1"/>
  <c r="B293" i="3"/>
  <c r="B795" i="3" s="1"/>
  <c r="A293" i="3"/>
  <c r="A795" i="3" s="1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E292" i="3"/>
  <c r="E794" i="3" s="1"/>
  <c r="D292" i="3"/>
  <c r="D794" i="3" s="1"/>
  <c r="C292" i="3"/>
  <c r="C794" i="3" s="1"/>
  <c r="B292" i="3"/>
  <c r="B794" i="3" s="1"/>
  <c r="A292" i="3"/>
  <c r="A794" i="3" s="1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E291" i="3"/>
  <c r="E793" i="3" s="1"/>
  <c r="D291" i="3"/>
  <c r="D793" i="3" s="1"/>
  <c r="C291" i="3"/>
  <c r="C793" i="3" s="1"/>
  <c r="B291" i="3"/>
  <c r="B793" i="3" s="1"/>
  <c r="A291" i="3"/>
  <c r="A793" i="3" s="1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E290" i="3"/>
  <c r="B290" i="3"/>
  <c r="A290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E289" i="3"/>
  <c r="E792" i="3" s="1"/>
  <c r="D289" i="3"/>
  <c r="D792" i="3" s="1"/>
  <c r="C289" i="3"/>
  <c r="C792" i="3" s="1"/>
  <c r="B289" i="3"/>
  <c r="B792" i="3" s="1"/>
  <c r="A289" i="3"/>
  <c r="A792" i="3" s="1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E288" i="3"/>
  <c r="E791" i="3" s="1"/>
  <c r="D288" i="3"/>
  <c r="D791" i="3" s="1"/>
  <c r="C288" i="3"/>
  <c r="C791" i="3" s="1"/>
  <c r="B288" i="3"/>
  <c r="B791" i="3" s="1"/>
  <c r="A288" i="3"/>
  <c r="A791" i="3" s="1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E287" i="3"/>
  <c r="E790" i="3" s="1"/>
  <c r="D287" i="3"/>
  <c r="D790" i="3" s="1"/>
  <c r="C287" i="3"/>
  <c r="C790" i="3" s="1"/>
  <c r="B287" i="3"/>
  <c r="B790" i="3" s="1"/>
  <c r="A287" i="3"/>
  <c r="A790" i="3" s="1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E286" i="3"/>
  <c r="E789" i="3" s="1"/>
  <c r="D286" i="3"/>
  <c r="D789" i="3" s="1"/>
  <c r="C286" i="3"/>
  <c r="C789" i="3" s="1"/>
  <c r="B286" i="3"/>
  <c r="B789" i="3" s="1"/>
  <c r="A286" i="3"/>
  <c r="A789" i="3" s="1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E285" i="3"/>
  <c r="E788" i="3" s="1"/>
  <c r="D285" i="3"/>
  <c r="D788" i="3" s="1"/>
  <c r="C285" i="3"/>
  <c r="C788" i="3" s="1"/>
  <c r="B285" i="3"/>
  <c r="B788" i="3" s="1"/>
  <c r="A285" i="3"/>
  <c r="A788" i="3" s="1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E284" i="3"/>
  <c r="E787" i="3" s="1"/>
  <c r="D284" i="3"/>
  <c r="D787" i="3" s="1"/>
  <c r="C284" i="3"/>
  <c r="C787" i="3" s="1"/>
  <c r="B284" i="3"/>
  <c r="B787" i="3" s="1"/>
  <c r="A284" i="3"/>
  <c r="A787" i="3" s="1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E283" i="3"/>
  <c r="E786" i="3" s="1"/>
  <c r="D283" i="3"/>
  <c r="D786" i="3" s="1"/>
  <c r="C283" i="3"/>
  <c r="C786" i="3" s="1"/>
  <c r="B283" i="3"/>
  <c r="B786" i="3" s="1"/>
  <c r="A283" i="3"/>
  <c r="A786" i="3" s="1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E282" i="3"/>
  <c r="E785" i="3" s="1"/>
  <c r="D282" i="3"/>
  <c r="D785" i="3" s="1"/>
  <c r="C282" i="3"/>
  <c r="C785" i="3" s="1"/>
  <c r="B282" i="3"/>
  <c r="B785" i="3" s="1"/>
  <c r="A282" i="3"/>
  <c r="A785" i="3" s="1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E281" i="3"/>
  <c r="E784" i="3" s="1"/>
  <c r="D281" i="3"/>
  <c r="D784" i="3" s="1"/>
  <c r="C281" i="3"/>
  <c r="C784" i="3" s="1"/>
  <c r="B281" i="3"/>
  <c r="B784" i="3" s="1"/>
  <c r="A281" i="3"/>
  <c r="A784" i="3" s="1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E280" i="3"/>
  <c r="E783" i="3" s="1"/>
  <c r="D280" i="3"/>
  <c r="D783" i="3" s="1"/>
  <c r="C280" i="3"/>
  <c r="C783" i="3" s="1"/>
  <c r="B280" i="3"/>
  <c r="B783" i="3" s="1"/>
  <c r="A280" i="3"/>
  <c r="A783" i="3" s="1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E279" i="3"/>
  <c r="E782" i="3" s="1"/>
  <c r="D279" i="3"/>
  <c r="D782" i="3" s="1"/>
  <c r="C279" i="3"/>
  <c r="C782" i="3" s="1"/>
  <c r="B279" i="3"/>
  <c r="B782" i="3" s="1"/>
  <c r="A279" i="3"/>
  <c r="A782" i="3" s="1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E278" i="3"/>
  <c r="E781" i="3" s="1"/>
  <c r="D278" i="3"/>
  <c r="D781" i="3" s="1"/>
  <c r="C278" i="3"/>
  <c r="C781" i="3" s="1"/>
  <c r="B278" i="3"/>
  <c r="B781" i="3" s="1"/>
  <c r="A278" i="3"/>
  <c r="A781" i="3" s="1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E277" i="3"/>
  <c r="E780" i="3" s="1"/>
  <c r="D277" i="3"/>
  <c r="D780" i="3" s="1"/>
  <c r="C277" i="3"/>
  <c r="C780" i="3" s="1"/>
  <c r="B277" i="3"/>
  <c r="B780" i="3" s="1"/>
  <c r="A277" i="3"/>
  <c r="A780" i="3" s="1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E276" i="3"/>
  <c r="E779" i="3" s="1"/>
  <c r="D276" i="3"/>
  <c r="D779" i="3" s="1"/>
  <c r="C276" i="3"/>
  <c r="C779" i="3" s="1"/>
  <c r="B276" i="3"/>
  <c r="B779" i="3" s="1"/>
  <c r="A276" i="3"/>
  <c r="A779" i="3" s="1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E275" i="3"/>
  <c r="E778" i="3" s="1"/>
  <c r="D275" i="3"/>
  <c r="D778" i="3" s="1"/>
  <c r="C275" i="3"/>
  <c r="C778" i="3" s="1"/>
  <c r="B275" i="3"/>
  <c r="B778" i="3" s="1"/>
  <c r="A275" i="3"/>
  <c r="A778" i="3" s="1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E274" i="3"/>
  <c r="E777" i="3" s="1"/>
  <c r="D274" i="3"/>
  <c r="D777" i="3" s="1"/>
  <c r="C274" i="3"/>
  <c r="C777" i="3" s="1"/>
  <c r="B274" i="3"/>
  <c r="B777" i="3" s="1"/>
  <c r="A274" i="3"/>
  <c r="A777" i="3" s="1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E273" i="3"/>
  <c r="E776" i="3" s="1"/>
  <c r="D273" i="3"/>
  <c r="D776" i="3" s="1"/>
  <c r="C273" i="3"/>
  <c r="C776" i="3" s="1"/>
  <c r="B273" i="3"/>
  <c r="B776" i="3" s="1"/>
  <c r="A273" i="3"/>
  <c r="A776" i="3" s="1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E272" i="3"/>
  <c r="E775" i="3" s="1"/>
  <c r="D272" i="3"/>
  <c r="D775" i="3" s="1"/>
  <c r="C272" i="3"/>
  <c r="C775" i="3" s="1"/>
  <c r="B272" i="3"/>
  <c r="B775" i="3" s="1"/>
  <c r="A272" i="3"/>
  <c r="A775" i="3" s="1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E271" i="3"/>
  <c r="E774" i="3" s="1"/>
  <c r="D271" i="3"/>
  <c r="D774" i="3" s="1"/>
  <c r="C271" i="3"/>
  <c r="C774" i="3" s="1"/>
  <c r="B271" i="3"/>
  <c r="B774" i="3" s="1"/>
  <c r="A271" i="3"/>
  <c r="A774" i="3" s="1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E270" i="3"/>
  <c r="E773" i="3" s="1"/>
  <c r="D270" i="3"/>
  <c r="D773" i="3" s="1"/>
  <c r="C270" i="3"/>
  <c r="C773" i="3" s="1"/>
  <c r="B270" i="3"/>
  <c r="B773" i="3" s="1"/>
  <c r="A270" i="3"/>
  <c r="A773" i="3" s="1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E269" i="3"/>
  <c r="E772" i="3" s="1"/>
  <c r="D269" i="3"/>
  <c r="D772" i="3" s="1"/>
  <c r="C269" i="3"/>
  <c r="C772" i="3" s="1"/>
  <c r="B269" i="3"/>
  <c r="B772" i="3" s="1"/>
  <c r="A269" i="3"/>
  <c r="A772" i="3" s="1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E268" i="3"/>
  <c r="E771" i="3" s="1"/>
  <c r="D268" i="3"/>
  <c r="D771" i="3" s="1"/>
  <c r="C268" i="3"/>
  <c r="C771" i="3" s="1"/>
  <c r="B268" i="3"/>
  <c r="B771" i="3" s="1"/>
  <c r="A268" i="3"/>
  <c r="A771" i="3" s="1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E267" i="3"/>
  <c r="E770" i="3" s="1"/>
  <c r="D267" i="3"/>
  <c r="D770" i="3" s="1"/>
  <c r="C267" i="3"/>
  <c r="C770" i="3" s="1"/>
  <c r="B267" i="3"/>
  <c r="B770" i="3" s="1"/>
  <c r="A267" i="3"/>
  <c r="A770" i="3" s="1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E266" i="3"/>
  <c r="E769" i="3" s="1"/>
  <c r="D266" i="3"/>
  <c r="D769" i="3" s="1"/>
  <c r="C266" i="3"/>
  <c r="C769" i="3" s="1"/>
  <c r="B266" i="3"/>
  <c r="B769" i="3" s="1"/>
  <c r="A266" i="3"/>
  <c r="A769" i="3" s="1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E265" i="3"/>
  <c r="E768" i="3" s="1"/>
  <c r="D265" i="3"/>
  <c r="D768" i="3" s="1"/>
  <c r="C265" i="3"/>
  <c r="C768" i="3" s="1"/>
  <c r="B265" i="3"/>
  <c r="B768" i="3" s="1"/>
  <c r="A265" i="3"/>
  <c r="A768" i="3" s="1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E264" i="3"/>
  <c r="E767" i="3" s="1"/>
  <c r="D264" i="3"/>
  <c r="D767" i="3" s="1"/>
  <c r="C264" i="3"/>
  <c r="C767" i="3" s="1"/>
  <c r="B264" i="3"/>
  <c r="B767" i="3" s="1"/>
  <c r="A264" i="3"/>
  <c r="A767" i="3" s="1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E263" i="3"/>
  <c r="E766" i="3" s="1"/>
  <c r="D263" i="3"/>
  <c r="D766" i="3" s="1"/>
  <c r="C263" i="3"/>
  <c r="C766" i="3" s="1"/>
  <c r="B263" i="3"/>
  <c r="B766" i="3" s="1"/>
  <c r="A263" i="3"/>
  <c r="A766" i="3" s="1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E262" i="3"/>
  <c r="E765" i="3" s="1"/>
  <c r="D262" i="3"/>
  <c r="D765" i="3" s="1"/>
  <c r="C262" i="3"/>
  <c r="C765" i="3" s="1"/>
  <c r="B262" i="3"/>
  <c r="B765" i="3" s="1"/>
  <c r="A262" i="3"/>
  <c r="A765" i="3" s="1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E261" i="3"/>
  <c r="E764" i="3" s="1"/>
  <c r="D261" i="3"/>
  <c r="D764" i="3" s="1"/>
  <c r="C261" i="3"/>
  <c r="C764" i="3" s="1"/>
  <c r="B261" i="3"/>
  <c r="B764" i="3" s="1"/>
  <c r="A261" i="3"/>
  <c r="A764" i="3" s="1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E260" i="3"/>
  <c r="E763" i="3" s="1"/>
  <c r="D260" i="3"/>
  <c r="D763" i="3" s="1"/>
  <c r="C260" i="3"/>
  <c r="C763" i="3" s="1"/>
  <c r="B260" i="3"/>
  <c r="B763" i="3" s="1"/>
  <c r="A260" i="3"/>
  <c r="A763" i="3" s="1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E259" i="3"/>
  <c r="E762" i="3" s="1"/>
  <c r="D259" i="3"/>
  <c r="D762" i="3" s="1"/>
  <c r="C259" i="3"/>
  <c r="C762" i="3" s="1"/>
  <c r="B259" i="3"/>
  <c r="B762" i="3" s="1"/>
  <c r="A259" i="3"/>
  <c r="A762" i="3" s="1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E258" i="3"/>
  <c r="E761" i="3" s="1"/>
  <c r="D258" i="3"/>
  <c r="D761" i="3" s="1"/>
  <c r="C258" i="3"/>
  <c r="C761" i="3" s="1"/>
  <c r="B258" i="3"/>
  <c r="B761" i="3" s="1"/>
  <c r="A258" i="3"/>
  <c r="A761" i="3" s="1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E257" i="3"/>
  <c r="E760" i="3" s="1"/>
  <c r="D257" i="3"/>
  <c r="D760" i="3" s="1"/>
  <c r="C257" i="3"/>
  <c r="C760" i="3" s="1"/>
  <c r="B257" i="3"/>
  <c r="B760" i="3" s="1"/>
  <c r="A257" i="3"/>
  <c r="A760" i="3" s="1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E256" i="3"/>
  <c r="E759" i="3" s="1"/>
  <c r="D256" i="3"/>
  <c r="D759" i="3" s="1"/>
  <c r="C256" i="3"/>
  <c r="C759" i="3" s="1"/>
  <c r="B256" i="3"/>
  <c r="B759" i="3" s="1"/>
  <c r="A256" i="3"/>
  <c r="A759" i="3" s="1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E255" i="3"/>
  <c r="E758" i="3" s="1"/>
  <c r="D255" i="3"/>
  <c r="D758" i="3" s="1"/>
  <c r="C255" i="3"/>
  <c r="C758" i="3" s="1"/>
  <c r="B255" i="3"/>
  <c r="B758" i="3" s="1"/>
  <c r="A255" i="3"/>
  <c r="A758" i="3" s="1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E254" i="3"/>
  <c r="E757" i="3" s="1"/>
  <c r="D254" i="3"/>
  <c r="D757" i="3" s="1"/>
  <c r="C254" i="3"/>
  <c r="C757" i="3" s="1"/>
  <c r="B254" i="3"/>
  <c r="B757" i="3" s="1"/>
  <c r="A254" i="3"/>
  <c r="A757" i="3" s="1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E253" i="3"/>
  <c r="E756" i="3" s="1"/>
  <c r="D253" i="3"/>
  <c r="D756" i="3" s="1"/>
  <c r="C253" i="3"/>
  <c r="C756" i="3" s="1"/>
  <c r="B253" i="3"/>
  <c r="B756" i="3" s="1"/>
  <c r="A253" i="3"/>
  <c r="A756" i="3" s="1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E252" i="3"/>
  <c r="E755" i="3" s="1"/>
  <c r="D252" i="3"/>
  <c r="D755" i="3" s="1"/>
  <c r="C252" i="3"/>
  <c r="C755" i="3" s="1"/>
  <c r="B252" i="3"/>
  <c r="B755" i="3" s="1"/>
  <c r="A252" i="3"/>
  <c r="A755" i="3" s="1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E251" i="3"/>
  <c r="E754" i="3" s="1"/>
  <c r="D251" i="3"/>
  <c r="D754" i="3" s="1"/>
  <c r="C251" i="3"/>
  <c r="C754" i="3" s="1"/>
  <c r="B251" i="3"/>
  <c r="B754" i="3" s="1"/>
  <c r="A251" i="3"/>
  <c r="A754" i="3" s="1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E250" i="3"/>
  <c r="E753" i="3" s="1"/>
  <c r="D250" i="3"/>
  <c r="D753" i="3" s="1"/>
  <c r="C250" i="3"/>
  <c r="C753" i="3" s="1"/>
  <c r="B250" i="3"/>
  <c r="B753" i="3" s="1"/>
  <c r="A250" i="3"/>
  <c r="A753" i="3" s="1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E249" i="3"/>
  <c r="B249" i="3"/>
  <c r="A249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E248" i="3"/>
  <c r="E752" i="3" s="1"/>
  <c r="D248" i="3"/>
  <c r="D752" i="3" s="1"/>
  <c r="C248" i="3"/>
  <c r="C752" i="3" s="1"/>
  <c r="B248" i="3"/>
  <c r="B752" i="3" s="1"/>
  <c r="A248" i="3"/>
  <c r="A752" i="3" s="1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E247" i="3"/>
  <c r="E751" i="3" s="1"/>
  <c r="D247" i="3"/>
  <c r="D751" i="3" s="1"/>
  <c r="C247" i="3"/>
  <c r="C751" i="3" s="1"/>
  <c r="B247" i="3"/>
  <c r="B751" i="3" s="1"/>
  <c r="A247" i="3"/>
  <c r="A751" i="3" s="1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E246" i="3"/>
  <c r="E750" i="3" s="1"/>
  <c r="D246" i="3"/>
  <c r="D750" i="3" s="1"/>
  <c r="C246" i="3"/>
  <c r="C750" i="3" s="1"/>
  <c r="B246" i="3"/>
  <c r="B750" i="3" s="1"/>
  <c r="A246" i="3"/>
  <c r="A750" i="3" s="1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E245" i="3"/>
  <c r="E749" i="3" s="1"/>
  <c r="D245" i="3"/>
  <c r="D749" i="3" s="1"/>
  <c r="C245" i="3"/>
  <c r="C749" i="3" s="1"/>
  <c r="B245" i="3"/>
  <c r="B749" i="3" s="1"/>
  <c r="A245" i="3"/>
  <c r="A749" i="3" s="1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E244" i="3"/>
  <c r="E748" i="3" s="1"/>
  <c r="D244" i="3"/>
  <c r="D748" i="3" s="1"/>
  <c r="C244" i="3"/>
  <c r="C748" i="3" s="1"/>
  <c r="B244" i="3"/>
  <c r="B748" i="3" s="1"/>
  <c r="A244" i="3"/>
  <c r="A748" i="3" s="1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E243" i="3"/>
  <c r="E747" i="3" s="1"/>
  <c r="D243" i="3"/>
  <c r="D747" i="3" s="1"/>
  <c r="C243" i="3"/>
  <c r="C747" i="3" s="1"/>
  <c r="B243" i="3"/>
  <c r="B747" i="3" s="1"/>
  <c r="A243" i="3"/>
  <c r="A747" i="3" s="1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E242" i="3"/>
  <c r="E746" i="3" s="1"/>
  <c r="D242" i="3"/>
  <c r="D746" i="3" s="1"/>
  <c r="C242" i="3"/>
  <c r="C746" i="3" s="1"/>
  <c r="B242" i="3"/>
  <c r="B746" i="3" s="1"/>
  <c r="A242" i="3"/>
  <c r="A746" i="3" s="1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E241" i="3"/>
  <c r="E745" i="3" s="1"/>
  <c r="D241" i="3"/>
  <c r="D745" i="3" s="1"/>
  <c r="C241" i="3"/>
  <c r="C745" i="3" s="1"/>
  <c r="B241" i="3"/>
  <c r="B745" i="3" s="1"/>
  <c r="A241" i="3"/>
  <c r="A745" i="3" s="1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E240" i="3"/>
  <c r="E744" i="3" s="1"/>
  <c r="D240" i="3"/>
  <c r="D744" i="3" s="1"/>
  <c r="C240" i="3"/>
  <c r="C744" i="3" s="1"/>
  <c r="B240" i="3"/>
  <c r="B744" i="3" s="1"/>
  <c r="A240" i="3"/>
  <c r="A744" i="3" s="1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E239" i="3"/>
  <c r="E743" i="3" s="1"/>
  <c r="D239" i="3"/>
  <c r="D743" i="3" s="1"/>
  <c r="C239" i="3"/>
  <c r="C743" i="3" s="1"/>
  <c r="B239" i="3"/>
  <c r="B743" i="3" s="1"/>
  <c r="A239" i="3"/>
  <c r="A743" i="3" s="1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E238" i="3"/>
  <c r="E742" i="3" s="1"/>
  <c r="D238" i="3"/>
  <c r="D742" i="3" s="1"/>
  <c r="C238" i="3"/>
  <c r="C742" i="3" s="1"/>
  <c r="B238" i="3"/>
  <c r="B742" i="3" s="1"/>
  <c r="A238" i="3"/>
  <c r="A742" i="3" s="1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E237" i="3"/>
  <c r="E741" i="3" s="1"/>
  <c r="D237" i="3"/>
  <c r="D741" i="3" s="1"/>
  <c r="C237" i="3"/>
  <c r="C741" i="3" s="1"/>
  <c r="B237" i="3"/>
  <c r="B741" i="3" s="1"/>
  <c r="A237" i="3"/>
  <c r="A741" i="3" s="1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E236" i="3"/>
  <c r="E740" i="3" s="1"/>
  <c r="D236" i="3"/>
  <c r="D740" i="3" s="1"/>
  <c r="C236" i="3"/>
  <c r="C740" i="3" s="1"/>
  <c r="B236" i="3"/>
  <c r="B740" i="3" s="1"/>
  <c r="A236" i="3"/>
  <c r="A740" i="3" s="1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E235" i="3"/>
  <c r="E739" i="3" s="1"/>
  <c r="D235" i="3"/>
  <c r="D739" i="3" s="1"/>
  <c r="C235" i="3"/>
  <c r="C739" i="3" s="1"/>
  <c r="B235" i="3"/>
  <c r="B739" i="3" s="1"/>
  <c r="A235" i="3"/>
  <c r="A739" i="3" s="1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E234" i="3"/>
  <c r="E738" i="3" s="1"/>
  <c r="D234" i="3"/>
  <c r="D738" i="3" s="1"/>
  <c r="C234" i="3"/>
  <c r="C738" i="3" s="1"/>
  <c r="B234" i="3"/>
  <c r="B738" i="3" s="1"/>
  <c r="A234" i="3"/>
  <c r="A738" i="3" s="1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E233" i="3"/>
  <c r="E737" i="3" s="1"/>
  <c r="D233" i="3"/>
  <c r="D737" i="3" s="1"/>
  <c r="C233" i="3"/>
  <c r="C737" i="3" s="1"/>
  <c r="B233" i="3"/>
  <c r="B737" i="3" s="1"/>
  <c r="A233" i="3"/>
  <c r="A737" i="3" s="1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E232" i="3"/>
  <c r="E736" i="3" s="1"/>
  <c r="D232" i="3"/>
  <c r="D736" i="3" s="1"/>
  <c r="C232" i="3"/>
  <c r="C736" i="3" s="1"/>
  <c r="B232" i="3"/>
  <c r="B736" i="3" s="1"/>
  <c r="A232" i="3"/>
  <c r="A736" i="3" s="1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E231" i="3"/>
  <c r="E735" i="3" s="1"/>
  <c r="D231" i="3"/>
  <c r="D735" i="3" s="1"/>
  <c r="C231" i="3"/>
  <c r="C735" i="3" s="1"/>
  <c r="B231" i="3"/>
  <c r="B735" i="3" s="1"/>
  <c r="A231" i="3"/>
  <c r="A735" i="3" s="1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E230" i="3"/>
  <c r="E734" i="3" s="1"/>
  <c r="D230" i="3"/>
  <c r="D734" i="3" s="1"/>
  <c r="C230" i="3"/>
  <c r="C734" i="3" s="1"/>
  <c r="B230" i="3"/>
  <c r="B734" i="3" s="1"/>
  <c r="A230" i="3"/>
  <c r="A734" i="3" s="1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E229" i="3"/>
  <c r="E733" i="3" s="1"/>
  <c r="D229" i="3"/>
  <c r="D733" i="3" s="1"/>
  <c r="C229" i="3"/>
  <c r="C733" i="3" s="1"/>
  <c r="B229" i="3"/>
  <c r="B733" i="3" s="1"/>
  <c r="A229" i="3"/>
  <c r="A733" i="3" s="1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E228" i="3"/>
  <c r="E732" i="3" s="1"/>
  <c r="D228" i="3"/>
  <c r="D732" i="3" s="1"/>
  <c r="C228" i="3"/>
  <c r="C732" i="3" s="1"/>
  <c r="B228" i="3"/>
  <c r="B732" i="3" s="1"/>
  <c r="A228" i="3"/>
  <c r="A732" i="3" s="1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E227" i="3"/>
  <c r="E731" i="3" s="1"/>
  <c r="D227" i="3"/>
  <c r="D731" i="3" s="1"/>
  <c r="C227" i="3"/>
  <c r="C731" i="3" s="1"/>
  <c r="B227" i="3"/>
  <c r="B731" i="3" s="1"/>
  <c r="A227" i="3"/>
  <c r="A731" i="3" s="1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E226" i="3"/>
  <c r="E730" i="3" s="1"/>
  <c r="D226" i="3"/>
  <c r="D730" i="3" s="1"/>
  <c r="C226" i="3"/>
  <c r="C730" i="3" s="1"/>
  <c r="B226" i="3"/>
  <c r="B730" i="3" s="1"/>
  <c r="A226" i="3"/>
  <c r="A730" i="3" s="1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E225" i="3"/>
  <c r="E729" i="3" s="1"/>
  <c r="D225" i="3"/>
  <c r="D729" i="3" s="1"/>
  <c r="C225" i="3"/>
  <c r="C729" i="3" s="1"/>
  <c r="B225" i="3"/>
  <c r="B729" i="3" s="1"/>
  <c r="A225" i="3"/>
  <c r="A729" i="3" s="1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E224" i="3"/>
  <c r="E728" i="3" s="1"/>
  <c r="D224" i="3"/>
  <c r="D728" i="3" s="1"/>
  <c r="C224" i="3"/>
  <c r="C728" i="3" s="1"/>
  <c r="B224" i="3"/>
  <c r="B728" i="3" s="1"/>
  <c r="A224" i="3"/>
  <c r="A728" i="3" s="1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E223" i="3"/>
  <c r="E727" i="3" s="1"/>
  <c r="D223" i="3"/>
  <c r="D727" i="3" s="1"/>
  <c r="C223" i="3"/>
  <c r="C727" i="3" s="1"/>
  <c r="B223" i="3"/>
  <c r="B727" i="3" s="1"/>
  <c r="A223" i="3"/>
  <c r="A727" i="3" s="1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E222" i="3"/>
  <c r="E726" i="3" s="1"/>
  <c r="D222" i="3"/>
  <c r="D726" i="3" s="1"/>
  <c r="C222" i="3"/>
  <c r="C726" i="3" s="1"/>
  <c r="B222" i="3"/>
  <c r="B726" i="3" s="1"/>
  <c r="A222" i="3"/>
  <c r="A726" i="3" s="1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E221" i="3"/>
  <c r="E725" i="3" s="1"/>
  <c r="D221" i="3"/>
  <c r="D725" i="3" s="1"/>
  <c r="C221" i="3"/>
  <c r="C725" i="3" s="1"/>
  <c r="B221" i="3"/>
  <c r="B725" i="3" s="1"/>
  <c r="A221" i="3"/>
  <c r="A725" i="3" s="1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E220" i="3"/>
  <c r="E724" i="3" s="1"/>
  <c r="D220" i="3"/>
  <c r="D724" i="3" s="1"/>
  <c r="C220" i="3"/>
  <c r="C724" i="3" s="1"/>
  <c r="B220" i="3"/>
  <c r="B724" i="3" s="1"/>
  <c r="A220" i="3"/>
  <c r="A724" i="3" s="1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E219" i="3"/>
  <c r="E723" i="3" s="1"/>
  <c r="D219" i="3"/>
  <c r="D723" i="3" s="1"/>
  <c r="C219" i="3"/>
  <c r="C723" i="3" s="1"/>
  <c r="B219" i="3"/>
  <c r="B723" i="3" s="1"/>
  <c r="A219" i="3"/>
  <c r="A723" i="3" s="1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E218" i="3"/>
  <c r="E722" i="3" s="1"/>
  <c r="D218" i="3"/>
  <c r="D722" i="3" s="1"/>
  <c r="C218" i="3"/>
  <c r="C722" i="3" s="1"/>
  <c r="B218" i="3"/>
  <c r="B722" i="3" s="1"/>
  <c r="A218" i="3"/>
  <c r="A722" i="3" s="1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E217" i="3"/>
  <c r="E721" i="3" s="1"/>
  <c r="D217" i="3"/>
  <c r="D721" i="3" s="1"/>
  <c r="C217" i="3"/>
  <c r="C721" i="3" s="1"/>
  <c r="B217" i="3"/>
  <c r="B721" i="3" s="1"/>
  <c r="A217" i="3"/>
  <c r="A721" i="3" s="1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E216" i="3"/>
  <c r="E720" i="3" s="1"/>
  <c r="D216" i="3"/>
  <c r="D720" i="3" s="1"/>
  <c r="C216" i="3"/>
  <c r="C720" i="3" s="1"/>
  <c r="B216" i="3"/>
  <c r="B720" i="3" s="1"/>
  <c r="A216" i="3"/>
  <c r="A720" i="3" s="1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E215" i="3"/>
  <c r="E719" i="3" s="1"/>
  <c r="D215" i="3"/>
  <c r="D719" i="3" s="1"/>
  <c r="C215" i="3"/>
  <c r="C719" i="3" s="1"/>
  <c r="B215" i="3"/>
  <c r="B719" i="3" s="1"/>
  <c r="A215" i="3"/>
  <c r="A719" i="3" s="1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E214" i="3"/>
  <c r="E718" i="3" s="1"/>
  <c r="D214" i="3"/>
  <c r="D718" i="3" s="1"/>
  <c r="C214" i="3"/>
  <c r="C718" i="3" s="1"/>
  <c r="B214" i="3"/>
  <c r="B718" i="3" s="1"/>
  <c r="A214" i="3"/>
  <c r="A718" i="3" s="1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E213" i="3"/>
  <c r="E717" i="3" s="1"/>
  <c r="D213" i="3"/>
  <c r="D717" i="3" s="1"/>
  <c r="C213" i="3"/>
  <c r="C717" i="3" s="1"/>
  <c r="B213" i="3"/>
  <c r="B717" i="3" s="1"/>
  <c r="A213" i="3"/>
  <c r="A717" i="3" s="1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E212" i="3"/>
  <c r="E716" i="3" s="1"/>
  <c r="D212" i="3"/>
  <c r="D716" i="3" s="1"/>
  <c r="C212" i="3"/>
  <c r="C716" i="3" s="1"/>
  <c r="B212" i="3"/>
  <c r="B716" i="3" s="1"/>
  <c r="A212" i="3"/>
  <c r="A716" i="3" s="1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E211" i="3"/>
  <c r="E715" i="3" s="1"/>
  <c r="D211" i="3"/>
  <c r="D715" i="3" s="1"/>
  <c r="C211" i="3"/>
  <c r="C715" i="3" s="1"/>
  <c r="B211" i="3"/>
  <c r="B715" i="3" s="1"/>
  <c r="A211" i="3"/>
  <c r="A715" i="3" s="1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E210" i="3"/>
  <c r="E714" i="3" s="1"/>
  <c r="D210" i="3"/>
  <c r="D714" i="3" s="1"/>
  <c r="C210" i="3"/>
  <c r="C714" i="3" s="1"/>
  <c r="B210" i="3"/>
  <c r="B714" i="3" s="1"/>
  <c r="A210" i="3"/>
  <c r="A714" i="3" s="1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E209" i="3"/>
  <c r="E713" i="3" s="1"/>
  <c r="D209" i="3"/>
  <c r="D713" i="3" s="1"/>
  <c r="C209" i="3"/>
  <c r="C713" i="3" s="1"/>
  <c r="B209" i="3"/>
  <c r="B713" i="3" s="1"/>
  <c r="A209" i="3"/>
  <c r="A713" i="3" s="1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E208" i="3"/>
  <c r="B208" i="3"/>
  <c r="A208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E207" i="3"/>
  <c r="E712" i="3" s="1"/>
  <c r="D207" i="3"/>
  <c r="D712" i="3" s="1"/>
  <c r="C207" i="3"/>
  <c r="C712" i="3" s="1"/>
  <c r="B207" i="3"/>
  <c r="B712" i="3" s="1"/>
  <c r="A207" i="3"/>
  <c r="A712" i="3" s="1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E206" i="3"/>
  <c r="E711" i="3" s="1"/>
  <c r="D206" i="3"/>
  <c r="D711" i="3" s="1"/>
  <c r="C206" i="3"/>
  <c r="C711" i="3" s="1"/>
  <c r="B206" i="3"/>
  <c r="B711" i="3" s="1"/>
  <c r="A206" i="3"/>
  <c r="A711" i="3" s="1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E205" i="3"/>
  <c r="E710" i="3" s="1"/>
  <c r="D205" i="3"/>
  <c r="D710" i="3" s="1"/>
  <c r="C205" i="3"/>
  <c r="C710" i="3" s="1"/>
  <c r="B205" i="3"/>
  <c r="B710" i="3" s="1"/>
  <c r="A205" i="3"/>
  <c r="A710" i="3" s="1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E204" i="3"/>
  <c r="E709" i="3" s="1"/>
  <c r="D204" i="3"/>
  <c r="D709" i="3" s="1"/>
  <c r="C204" i="3"/>
  <c r="C709" i="3" s="1"/>
  <c r="B204" i="3"/>
  <c r="B709" i="3" s="1"/>
  <c r="A204" i="3"/>
  <c r="A709" i="3" s="1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E203" i="3"/>
  <c r="E708" i="3" s="1"/>
  <c r="D203" i="3"/>
  <c r="D708" i="3" s="1"/>
  <c r="C203" i="3"/>
  <c r="C708" i="3" s="1"/>
  <c r="B203" i="3"/>
  <c r="B708" i="3" s="1"/>
  <c r="A203" i="3"/>
  <c r="A708" i="3" s="1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E202" i="3"/>
  <c r="E707" i="3" s="1"/>
  <c r="D202" i="3"/>
  <c r="D707" i="3" s="1"/>
  <c r="C202" i="3"/>
  <c r="C707" i="3" s="1"/>
  <c r="B202" i="3"/>
  <c r="B707" i="3" s="1"/>
  <c r="A202" i="3"/>
  <c r="A707" i="3" s="1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E201" i="3"/>
  <c r="E706" i="3" s="1"/>
  <c r="D201" i="3"/>
  <c r="D706" i="3" s="1"/>
  <c r="C201" i="3"/>
  <c r="C706" i="3" s="1"/>
  <c r="B201" i="3"/>
  <c r="B706" i="3" s="1"/>
  <c r="A201" i="3"/>
  <c r="A706" i="3" s="1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E200" i="3"/>
  <c r="E705" i="3" s="1"/>
  <c r="D200" i="3"/>
  <c r="D705" i="3" s="1"/>
  <c r="C200" i="3"/>
  <c r="C705" i="3" s="1"/>
  <c r="B200" i="3"/>
  <c r="B705" i="3" s="1"/>
  <c r="A200" i="3"/>
  <c r="A705" i="3" s="1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E199" i="3"/>
  <c r="E704" i="3" s="1"/>
  <c r="D199" i="3"/>
  <c r="D704" i="3" s="1"/>
  <c r="C199" i="3"/>
  <c r="C704" i="3" s="1"/>
  <c r="B199" i="3"/>
  <c r="B704" i="3" s="1"/>
  <c r="A199" i="3"/>
  <c r="A704" i="3" s="1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E198" i="3"/>
  <c r="E703" i="3" s="1"/>
  <c r="D198" i="3"/>
  <c r="D703" i="3" s="1"/>
  <c r="C198" i="3"/>
  <c r="C703" i="3" s="1"/>
  <c r="B198" i="3"/>
  <c r="B703" i="3" s="1"/>
  <c r="A198" i="3"/>
  <c r="A703" i="3" s="1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E197" i="3"/>
  <c r="E702" i="3" s="1"/>
  <c r="D197" i="3"/>
  <c r="D702" i="3" s="1"/>
  <c r="C197" i="3"/>
  <c r="C702" i="3" s="1"/>
  <c r="B197" i="3"/>
  <c r="B702" i="3" s="1"/>
  <c r="A197" i="3"/>
  <c r="A702" i="3" s="1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E196" i="3"/>
  <c r="E701" i="3" s="1"/>
  <c r="D196" i="3"/>
  <c r="D701" i="3" s="1"/>
  <c r="C196" i="3"/>
  <c r="C701" i="3" s="1"/>
  <c r="B196" i="3"/>
  <c r="B701" i="3" s="1"/>
  <c r="A196" i="3"/>
  <c r="A701" i="3" s="1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E195" i="3"/>
  <c r="E700" i="3" s="1"/>
  <c r="D195" i="3"/>
  <c r="D700" i="3" s="1"/>
  <c r="C195" i="3"/>
  <c r="C700" i="3" s="1"/>
  <c r="B195" i="3"/>
  <c r="B700" i="3" s="1"/>
  <c r="A195" i="3"/>
  <c r="A700" i="3" s="1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E194" i="3"/>
  <c r="E699" i="3" s="1"/>
  <c r="D194" i="3"/>
  <c r="D699" i="3" s="1"/>
  <c r="C194" i="3"/>
  <c r="C699" i="3" s="1"/>
  <c r="B194" i="3"/>
  <c r="B699" i="3" s="1"/>
  <c r="A194" i="3"/>
  <c r="A699" i="3" s="1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E193" i="3"/>
  <c r="E698" i="3" s="1"/>
  <c r="D193" i="3"/>
  <c r="D698" i="3" s="1"/>
  <c r="C193" i="3"/>
  <c r="C698" i="3" s="1"/>
  <c r="B193" i="3"/>
  <c r="B698" i="3" s="1"/>
  <c r="A193" i="3"/>
  <c r="A698" i="3" s="1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E192" i="3"/>
  <c r="E697" i="3" s="1"/>
  <c r="D192" i="3"/>
  <c r="D697" i="3" s="1"/>
  <c r="C192" i="3"/>
  <c r="C697" i="3" s="1"/>
  <c r="B192" i="3"/>
  <c r="B697" i="3" s="1"/>
  <c r="A192" i="3"/>
  <c r="A697" i="3" s="1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E191" i="3"/>
  <c r="E696" i="3" s="1"/>
  <c r="D191" i="3"/>
  <c r="D696" i="3" s="1"/>
  <c r="C191" i="3"/>
  <c r="C696" i="3" s="1"/>
  <c r="B191" i="3"/>
  <c r="B696" i="3" s="1"/>
  <c r="A191" i="3"/>
  <c r="A696" i="3" s="1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E190" i="3"/>
  <c r="E695" i="3" s="1"/>
  <c r="D190" i="3"/>
  <c r="D695" i="3" s="1"/>
  <c r="C190" i="3"/>
  <c r="C695" i="3" s="1"/>
  <c r="B190" i="3"/>
  <c r="B695" i="3" s="1"/>
  <c r="A190" i="3"/>
  <c r="A695" i="3" s="1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E189" i="3"/>
  <c r="E694" i="3" s="1"/>
  <c r="D189" i="3"/>
  <c r="D694" i="3" s="1"/>
  <c r="C189" i="3"/>
  <c r="C694" i="3" s="1"/>
  <c r="B189" i="3"/>
  <c r="B694" i="3" s="1"/>
  <c r="A189" i="3"/>
  <c r="A694" i="3" s="1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E188" i="3"/>
  <c r="E693" i="3" s="1"/>
  <c r="D188" i="3"/>
  <c r="D693" i="3" s="1"/>
  <c r="C188" i="3"/>
  <c r="C693" i="3" s="1"/>
  <c r="B188" i="3"/>
  <c r="B693" i="3" s="1"/>
  <c r="A188" i="3"/>
  <c r="A693" i="3" s="1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E187" i="3"/>
  <c r="E692" i="3" s="1"/>
  <c r="D187" i="3"/>
  <c r="D692" i="3" s="1"/>
  <c r="C187" i="3"/>
  <c r="C692" i="3" s="1"/>
  <c r="B187" i="3"/>
  <c r="B692" i="3" s="1"/>
  <c r="A187" i="3"/>
  <c r="A692" i="3" s="1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E186" i="3"/>
  <c r="E691" i="3" s="1"/>
  <c r="D186" i="3"/>
  <c r="D691" i="3" s="1"/>
  <c r="C186" i="3"/>
  <c r="C691" i="3" s="1"/>
  <c r="B186" i="3"/>
  <c r="B691" i="3" s="1"/>
  <c r="A186" i="3"/>
  <c r="A691" i="3" s="1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E185" i="3"/>
  <c r="E690" i="3" s="1"/>
  <c r="D185" i="3"/>
  <c r="D690" i="3" s="1"/>
  <c r="C185" i="3"/>
  <c r="C690" i="3" s="1"/>
  <c r="B185" i="3"/>
  <c r="B690" i="3" s="1"/>
  <c r="A185" i="3"/>
  <c r="A690" i="3" s="1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E184" i="3"/>
  <c r="E689" i="3" s="1"/>
  <c r="D184" i="3"/>
  <c r="D689" i="3" s="1"/>
  <c r="C184" i="3"/>
  <c r="C689" i="3" s="1"/>
  <c r="B184" i="3"/>
  <c r="B689" i="3" s="1"/>
  <c r="A184" i="3"/>
  <c r="A689" i="3" s="1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E183" i="3"/>
  <c r="E688" i="3" s="1"/>
  <c r="D183" i="3"/>
  <c r="D688" i="3" s="1"/>
  <c r="C183" i="3"/>
  <c r="C688" i="3" s="1"/>
  <c r="B183" i="3"/>
  <c r="B688" i="3" s="1"/>
  <c r="A183" i="3"/>
  <c r="A688" i="3" s="1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E182" i="3"/>
  <c r="E687" i="3" s="1"/>
  <c r="D182" i="3"/>
  <c r="D687" i="3" s="1"/>
  <c r="C182" i="3"/>
  <c r="C687" i="3" s="1"/>
  <c r="B182" i="3"/>
  <c r="B687" i="3" s="1"/>
  <c r="A182" i="3"/>
  <c r="A687" i="3" s="1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E181" i="3"/>
  <c r="E686" i="3" s="1"/>
  <c r="D181" i="3"/>
  <c r="D686" i="3" s="1"/>
  <c r="C181" i="3"/>
  <c r="C686" i="3" s="1"/>
  <c r="B181" i="3"/>
  <c r="B686" i="3" s="1"/>
  <c r="A181" i="3"/>
  <c r="A686" i="3" s="1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E180" i="3"/>
  <c r="E685" i="3" s="1"/>
  <c r="D180" i="3"/>
  <c r="D685" i="3" s="1"/>
  <c r="C180" i="3"/>
  <c r="C685" i="3" s="1"/>
  <c r="B180" i="3"/>
  <c r="B685" i="3" s="1"/>
  <c r="A180" i="3"/>
  <c r="A685" i="3" s="1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E179" i="3"/>
  <c r="E684" i="3" s="1"/>
  <c r="D179" i="3"/>
  <c r="D684" i="3" s="1"/>
  <c r="C179" i="3"/>
  <c r="C684" i="3" s="1"/>
  <c r="B179" i="3"/>
  <c r="B684" i="3" s="1"/>
  <c r="A179" i="3"/>
  <c r="A684" i="3" s="1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E178" i="3"/>
  <c r="E683" i="3" s="1"/>
  <c r="D178" i="3"/>
  <c r="D683" i="3" s="1"/>
  <c r="C178" i="3"/>
  <c r="C683" i="3" s="1"/>
  <c r="B178" i="3"/>
  <c r="B683" i="3" s="1"/>
  <c r="A178" i="3"/>
  <c r="A683" i="3" s="1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E177" i="3"/>
  <c r="E682" i="3" s="1"/>
  <c r="D177" i="3"/>
  <c r="D682" i="3" s="1"/>
  <c r="C177" i="3"/>
  <c r="C682" i="3" s="1"/>
  <c r="B177" i="3"/>
  <c r="B682" i="3" s="1"/>
  <c r="A177" i="3"/>
  <c r="A682" i="3" s="1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E176" i="3"/>
  <c r="E681" i="3" s="1"/>
  <c r="D176" i="3"/>
  <c r="D681" i="3" s="1"/>
  <c r="C176" i="3"/>
  <c r="C681" i="3" s="1"/>
  <c r="B176" i="3"/>
  <c r="B681" i="3" s="1"/>
  <c r="A176" i="3"/>
  <c r="A681" i="3" s="1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E175" i="3"/>
  <c r="E680" i="3" s="1"/>
  <c r="D175" i="3"/>
  <c r="D680" i="3" s="1"/>
  <c r="C175" i="3"/>
  <c r="C680" i="3" s="1"/>
  <c r="B175" i="3"/>
  <c r="B680" i="3" s="1"/>
  <c r="A175" i="3"/>
  <c r="A680" i="3" s="1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E174" i="3"/>
  <c r="E679" i="3" s="1"/>
  <c r="D174" i="3"/>
  <c r="D679" i="3" s="1"/>
  <c r="C174" i="3"/>
  <c r="C679" i="3" s="1"/>
  <c r="B174" i="3"/>
  <c r="B679" i="3" s="1"/>
  <c r="A174" i="3"/>
  <c r="A679" i="3" s="1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E173" i="3"/>
  <c r="E678" i="3" s="1"/>
  <c r="D173" i="3"/>
  <c r="D678" i="3" s="1"/>
  <c r="C173" i="3"/>
  <c r="C678" i="3" s="1"/>
  <c r="B173" i="3"/>
  <c r="B678" i="3" s="1"/>
  <c r="A173" i="3"/>
  <c r="A678" i="3" s="1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E172" i="3"/>
  <c r="E677" i="3" s="1"/>
  <c r="D172" i="3"/>
  <c r="D677" i="3" s="1"/>
  <c r="C172" i="3"/>
  <c r="C677" i="3" s="1"/>
  <c r="B172" i="3"/>
  <c r="B677" i="3" s="1"/>
  <c r="A172" i="3"/>
  <c r="A677" i="3" s="1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E171" i="3"/>
  <c r="E676" i="3" s="1"/>
  <c r="D171" i="3"/>
  <c r="D676" i="3" s="1"/>
  <c r="C171" i="3"/>
  <c r="C676" i="3" s="1"/>
  <c r="B171" i="3"/>
  <c r="B676" i="3" s="1"/>
  <c r="A171" i="3"/>
  <c r="A676" i="3" s="1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E170" i="3"/>
  <c r="E675" i="3" s="1"/>
  <c r="D170" i="3"/>
  <c r="D675" i="3" s="1"/>
  <c r="C170" i="3"/>
  <c r="C675" i="3" s="1"/>
  <c r="B170" i="3"/>
  <c r="B675" i="3" s="1"/>
  <c r="A170" i="3"/>
  <c r="A675" i="3" s="1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E169" i="3"/>
  <c r="E674" i="3" s="1"/>
  <c r="D169" i="3"/>
  <c r="D674" i="3" s="1"/>
  <c r="C169" i="3"/>
  <c r="C674" i="3" s="1"/>
  <c r="B169" i="3"/>
  <c r="B674" i="3" s="1"/>
  <c r="A169" i="3"/>
  <c r="A674" i="3" s="1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E168" i="3"/>
  <c r="E673" i="3" s="1"/>
  <c r="D168" i="3"/>
  <c r="D673" i="3" s="1"/>
  <c r="C168" i="3"/>
  <c r="C673" i="3" s="1"/>
  <c r="B168" i="3"/>
  <c r="B673" i="3" s="1"/>
  <c r="A168" i="3"/>
  <c r="A673" i="3" s="1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E167" i="3"/>
  <c r="B167" i="3"/>
  <c r="A167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E166" i="3"/>
  <c r="E672" i="3" s="1"/>
  <c r="D166" i="3"/>
  <c r="D672" i="3" s="1"/>
  <c r="C166" i="3"/>
  <c r="C672" i="3" s="1"/>
  <c r="B166" i="3"/>
  <c r="B672" i="3" s="1"/>
  <c r="A166" i="3"/>
  <c r="A672" i="3" s="1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E165" i="3"/>
  <c r="E671" i="3" s="1"/>
  <c r="D165" i="3"/>
  <c r="D671" i="3" s="1"/>
  <c r="C165" i="3"/>
  <c r="C671" i="3" s="1"/>
  <c r="B165" i="3"/>
  <c r="B671" i="3" s="1"/>
  <c r="A165" i="3"/>
  <c r="A671" i="3" s="1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E164" i="3"/>
  <c r="E670" i="3" s="1"/>
  <c r="D164" i="3"/>
  <c r="D670" i="3" s="1"/>
  <c r="C164" i="3"/>
  <c r="C670" i="3" s="1"/>
  <c r="B164" i="3"/>
  <c r="B670" i="3" s="1"/>
  <c r="A164" i="3"/>
  <c r="A670" i="3" s="1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E163" i="3"/>
  <c r="E669" i="3" s="1"/>
  <c r="D163" i="3"/>
  <c r="D669" i="3" s="1"/>
  <c r="C163" i="3"/>
  <c r="C669" i="3" s="1"/>
  <c r="B163" i="3"/>
  <c r="B669" i="3" s="1"/>
  <c r="A163" i="3"/>
  <c r="A669" i="3" s="1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E162" i="3"/>
  <c r="E668" i="3" s="1"/>
  <c r="D162" i="3"/>
  <c r="D668" i="3" s="1"/>
  <c r="C162" i="3"/>
  <c r="C668" i="3" s="1"/>
  <c r="B162" i="3"/>
  <c r="B668" i="3" s="1"/>
  <c r="A162" i="3"/>
  <c r="A668" i="3" s="1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E161" i="3"/>
  <c r="E667" i="3" s="1"/>
  <c r="D161" i="3"/>
  <c r="D667" i="3" s="1"/>
  <c r="C161" i="3"/>
  <c r="C667" i="3" s="1"/>
  <c r="B161" i="3"/>
  <c r="B667" i="3" s="1"/>
  <c r="A161" i="3"/>
  <c r="A667" i="3" s="1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E160" i="3"/>
  <c r="E666" i="3" s="1"/>
  <c r="D160" i="3"/>
  <c r="D666" i="3" s="1"/>
  <c r="C160" i="3"/>
  <c r="C666" i="3" s="1"/>
  <c r="B160" i="3"/>
  <c r="B666" i="3" s="1"/>
  <c r="A160" i="3"/>
  <c r="A666" i="3" s="1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E159" i="3"/>
  <c r="E665" i="3" s="1"/>
  <c r="D159" i="3"/>
  <c r="D665" i="3" s="1"/>
  <c r="C159" i="3"/>
  <c r="C665" i="3" s="1"/>
  <c r="B159" i="3"/>
  <c r="B665" i="3" s="1"/>
  <c r="A159" i="3"/>
  <c r="A665" i="3" s="1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E158" i="3"/>
  <c r="E664" i="3" s="1"/>
  <c r="D158" i="3"/>
  <c r="D664" i="3" s="1"/>
  <c r="C158" i="3"/>
  <c r="C664" i="3" s="1"/>
  <c r="B158" i="3"/>
  <c r="B664" i="3" s="1"/>
  <c r="A158" i="3"/>
  <c r="A664" i="3" s="1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E157" i="3"/>
  <c r="E663" i="3" s="1"/>
  <c r="D157" i="3"/>
  <c r="D663" i="3" s="1"/>
  <c r="C157" i="3"/>
  <c r="C663" i="3" s="1"/>
  <c r="B157" i="3"/>
  <c r="B663" i="3" s="1"/>
  <c r="A157" i="3"/>
  <c r="A663" i="3" s="1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E156" i="3"/>
  <c r="E662" i="3" s="1"/>
  <c r="D156" i="3"/>
  <c r="D662" i="3" s="1"/>
  <c r="C156" i="3"/>
  <c r="C662" i="3" s="1"/>
  <c r="B156" i="3"/>
  <c r="B662" i="3" s="1"/>
  <c r="A156" i="3"/>
  <c r="A662" i="3" s="1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E155" i="3"/>
  <c r="E661" i="3" s="1"/>
  <c r="D155" i="3"/>
  <c r="D661" i="3" s="1"/>
  <c r="C155" i="3"/>
  <c r="C661" i="3" s="1"/>
  <c r="B155" i="3"/>
  <c r="B661" i="3" s="1"/>
  <c r="A155" i="3"/>
  <c r="A661" i="3" s="1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E154" i="3"/>
  <c r="E660" i="3" s="1"/>
  <c r="D154" i="3"/>
  <c r="D660" i="3" s="1"/>
  <c r="C154" i="3"/>
  <c r="C660" i="3" s="1"/>
  <c r="B154" i="3"/>
  <c r="B660" i="3" s="1"/>
  <c r="A154" i="3"/>
  <c r="A660" i="3" s="1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E153" i="3"/>
  <c r="E659" i="3" s="1"/>
  <c r="D153" i="3"/>
  <c r="D659" i="3" s="1"/>
  <c r="C153" i="3"/>
  <c r="C659" i="3" s="1"/>
  <c r="B153" i="3"/>
  <c r="B659" i="3" s="1"/>
  <c r="A153" i="3"/>
  <c r="A659" i="3" s="1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E152" i="3"/>
  <c r="E658" i="3" s="1"/>
  <c r="D152" i="3"/>
  <c r="D658" i="3" s="1"/>
  <c r="C152" i="3"/>
  <c r="C658" i="3" s="1"/>
  <c r="B152" i="3"/>
  <c r="B658" i="3" s="1"/>
  <c r="A152" i="3"/>
  <c r="A658" i="3" s="1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E151" i="3"/>
  <c r="E657" i="3" s="1"/>
  <c r="D151" i="3"/>
  <c r="D657" i="3" s="1"/>
  <c r="C151" i="3"/>
  <c r="C657" i="3" s="1"/>
  <c r="B151" i="3"/>
  <c r="B657" i="3" s="1"/>
  <c r="A151" i="3"/>
  <c r="A657" i="3" s="1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E150" i="3"/>
  <c r="E656" i="3" s="1"/>
  <c r="D150" i="3"/>
  <c r="D656" i="3" s="1"/>
  <c r="C150" i="3"/>
  <c r="C656" i="3" s="1"/>
  <c r="B150" i="3"/>
  <c r="B656" i="3" s="1"/>
  <c r="A150" i="3"/>
  <c r="A656" i="3" s="1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E149" i="3"/>
  <c r="E655" i="3" s="1"/>
  <c r="D149" i="3"/>
  <c r="D655" i="3" s="1"/>
  <c r="C149" i="3"/>
  <c r="C655" i="3" s="1"/>
  <c r="B149" i="3"/>
  <c r="B655" i="3" s="1"/>
  <c r="A149" i="3"/>
  <c r="A655" i="3" s="1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E148" i="3"/>
  <c r="E654" i="3" s="1"/>
  <c r="D148" i="3"/>
  <c r="D654" i="3" s="1"/>
  <c r="C148" i="3"/>
  <c r="C654" i="3" s="1"/>
  <c r="B148" i="3"/>
  <c r="B654" i="3" s="1"/>
  <c r="A148" i="3"/>
  <c r="A654" i="3" s="1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E147" i="3"/>
  <c r="E653" i="3" s="1"/>
  <c r="D147" i="3"/>
  <c r="D653" i="3" s="1"/>
  <c r="C147" i="3"/>
  <c r="C653" i="3" s="1"/>
  <c r="B147" i="3"/>
  <c r="B653" i="3" s="1"/>
  <c r="A147" i="3"/>
  <c r="A653" i="3" s="1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E146" i="3"/>
  <c r="E652" i="3" s="1"/>
  <c r="D146" i="3"/>
  <c r="D652" i="3" s="1"/>
  <c r="C146" i="3"/>
  <c r="C652" i="3" s="1"/>
  <c r="B146" i="3"/>
  <c r="B652" i="3" s="1"/>
  <c r="A146" i="3"/>
  <c r="A652" i="3" s="1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E145" i="3"/>
  <c r="E651" i="3" s="1"/>
  <c r="D145" i="3"/>
  <c r="D651" i="3" s="1"/>
  <c r="C145" i="3"/>
  <c r="C651" i="3" s="1"/>
  <c r="B145" i="3"/>
  <c r="B651" i="3" s="1"/>
  <c r="A145" i="3"/>
  <c r="A651" i="3" s="1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E144" i="3"/>
  <c r="E650" i="3" s="1"/>
  <c r="D144" i="3"/>
  <c r="D650" i="3" s="1"/>
  <c r="C144" i="3"/>
  <c r="C650" i="3" s="1"/>
  <c r="B144" i="3"/>
  <c r="B650" i="3" s="1"/>
  <c r="A144" i="3"/>
  <c r="A650" i="3" s="1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E143" i="3"/>
  <c r="E649" i="3" s="1"/>
  <c r="D143" i="3"/>
  <c r="D649" i="3" s="1"/>
  <c r="C143" i="3"/>
  <c r="C649" i="3" s="1"/>
  <c r="B143" i="3"/>
  <c r="B649" i="3" s="1"/>
  <c r="A143" i="3"/>
  <c r="A649" i="3" s="1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E142" i="3"/>
  <c r="E648" i="3" s="1"/>
  <c r="D142" i="3"/>
  <c r="D648" i="3" s="1"/>
  <c r="C142" i="3"/>
  <c r="C648" i="3" s="1"/>
  <c r="B142" i="3"/>
  <c r="B648" i="3" s="1"/>
  <c r="A142" i="3"/>
  <c r="A648" i="3" s="1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E141" i="3"/>
  <c r="E647" i="3" s="1"/>
  <c r="D141" i="3"/>
  <c r="D647" i="3" s="1"/>
  <c r="C141" i="3"/>
  <c r="C647" i="3" s="1"/>
  <c r="B141" i="3"/>
  <c r="B647" i="3" s="1"/>
  <c r="A141" i="3"/>
  <c r="A647" i="3" s="1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E140" i="3"/>
  <c r="E646" i="3" s="1"/>
  <c r="D140" i="3"/>
  <c r="D646" i="3" s="1"/>
  <c r="C140" i="3"/>
  <c r="C646" i="3" s="1"/>
  <c r="B140" i="3"/>
  <c r="B646" i="3" s="1"/>
  <c r="A140" i="3"/>
  <c r="A646" i="3" s="1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E139" i="3"/>
  <c r="E645" i="3" s="1"/>
  <c r="D139" i="3"/>
  <c r="D645" i="3" s="1"/>
  <c r="C139" i="3"/>
  <c r="C645" i="3" s="1"/>
  <c r="B139" i="3"/>
  <c r="B645" i="3" s="1"/>
  <c r="A139" i="3"/>
  <c r="A645" i="3" s="1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E138" i="3"/>
  <c r="E644" i="3" s="1"/>
  <c r="D138" i="3"/>
  <c r="D644" i="3" s="1"/>
  <c r="C138" i="3"/>
  <c r="C644" i="3" s="1"/>
  <c r="B138" i="3"/>
  <c r="B644" i="3" s="1"/>
  <c r="A138" i="3"/>
  <c r="A644" i="3" s="1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E137" i="3"/>
  <c r="E643" i="3" s="1"/>
  <c r="D137" i="3"/>
  <c r="D643" i="3" s="1"/>
  <c r="C137" i="3"/>
  <c r="C643" i="3" s="1"/>
  <c r="B137" i="3"/>
  <c r="B643" i="3" s="1"/>
  <c r="A137" i="3"/>
  <c r="A643" i="3" s="1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E136" i="3"/>
  <c r="E642" i="3" s="1"/>
  <c r="D136" i="3"/>
  <c r="D642" i="3" s="1"/>
  <c r="C136" i="3"/>
  <c r="C642" i="3" s="1"/>
  <c r="B136" i="3"/>
  <c r="B642" i="3" s="1"/>
  <c r="A136" i="3"/>
  <c r="A642" i="3" s="1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E135" i="3"/>
  <c r="E641" i="3" s="1"/>
  <c r="D135" i="3"/>
  <c r="D641" i="3" s="1"/>
  <c r="C135" i="3"/>
  <c r="C641" i="3" s="1"/>
  <c r="B135" i="3"/>
  <c r="B641" i="3" s="1"/>
  <c r="A135" i="3"/>
  <c r="A641" i="3" s="1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E134" i="3"/>
  <c r="E640" i="3" s="1"/>
  <c r="D134" i="3"/>
  <c r="D640" i="3" s="1"/>
  <c r="C134" i="3"/>
  <c r="C640" i="3" s="1"/>
  <c r="B134" i="3"/>
  <c r="B640" i="3" s="1"/>
  <c r="A134" i="3"/>
  <c r="A640" i="3" s="1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E133" i="3"/>
  <c r="E639" i="3" s="1"/>
  <c r="D133" i="3"/>
  <c r="D639" i="3" s="1"/>
  <c r="C133" i="3"/>
  <c r="C639" i="3" s="1"/>
  <c r="B133" i="3"/>
  <c r="B639" i="3" s="1"/>
  <c r="A133" i="3"/>
  <c r="A639" i="3" s="1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E132" i="3"/>
  <c r="E638" i="3" s="1"/>
  <c r="D132" i="3"/>
  <c r="D638" i="3" s="1"/>
  <c r="C132" i="3"/>
  <c r="C638" i="3" s="1"/>
  <c r="B132" i="3"/>
  <c r="B638" i="3" s="1"/>
  <c r="A132" i="3"/>
  <c r="A638" i="3" s="1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E131" i="3"/>
  <c r="E637" i="3" s="1"/>
  <c r="D131" i="3"/>
  <c r="D637" i="3" s="1"/>
  <c r="C131" i="3"/>
  <c r="C637" i="3" s="1"/>
  <c r="B131" i="3"/>
  <c r="B637" i="3" s="1"/>
  <c r="A131" i="3"/>
  <c r="A637" i="3" s="1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E130" i="3"/>
  <c r="E636" i="3" s="1"/>
  <c r="D130" i="3"/>
  <c r="D636" i="3" s="1"/>
  <c r="C130" i="3"/>
  <c r="C636" i="3" s="1"/>
  <c r="B130" i="3"/>
  <c r="B636" i="3" s="1"/>
  <c r="A130" i="3"/>
  <c r="A636" i="3" s="1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E129" i="3"/>
  <c r="E635" i="3" s="1"/>
  <c r="D129" i="3"/>
  <c r="D635" i="3" s="1"/>
  <c r="C129" i="3"/>
  <c r="C635" i="3" s="1"/>
  <c r="B129" i="3"/>
  <c r="B635" i="3" s="1"/>
  <c r="A129" i="3"/>
  <c r="A635" i="3" s="1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E128" i="3"/>
  <c r="E634" i="3" s="1"/>
  <c r="D128" i="3"/>
  <c r="D634" i="3" s="1"/>
  <c r="C128" i="3"/>
  <c r="C634" i="3" s="1"/>
  <c r="B128" i="3"/>
  <c r="B634" i="3" s="1"/>
  <c r="A128" i="3"/>
  <c r="A634" i="3" s="1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E127" i="3"/>
  <c r="E633" i="3" s="1"/>
  <c r="D127" i="3"/>
  <c r="D633" i="3" s="1"/>
  <c r="C127" i="3"/>
  <c r="C633" i="3" s="1"/>
  <c r="B127" i="3"/>
  <c r="B633" i="3" s="1"/>
  <c r="A127" i="3"/>
  <c r="A633" i="3" s="1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E126" i="3"/>
  <c r="B126" i="3"/>
  <c r="A126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E125" i="3"/>
  <c r="E632" i="3" s="1"/>
  <c r="D125" i="3"/>
  <c r="D632" i="3" s="1"/>
  <c r="C125" i="3"/>
  <c r="C632" i="3" s="1"/>
  <c r="B125" i="3"/>
  <c r="B632" i="3" s="1"/>
  <c r="A125" i="3"/>
  <c r="A632" i="3" s="1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E124" i="3"/>
  <c r="E631" i="3" s="1"/>
  <c r="D124" i="3"/>
  <c r="D631" i="3" s="1"/>
  <c r="C124" i="3"/>
  <c r="C631" i="3" s="1"/>
  <c r="B124" i="3"/>
  <c r="B631" i="3" s="1"/>
  <c r="A124" i="3"/>
  <c r="A631" i="3" s="1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E123" i="3"/>
  <c r="E630" i="3" s="1"/>
  <c r="D123" i="3"/>
  <c r="D630" i="3" s="1"/>
  <c r="C123" i="3"/>
  <c r="C630" i="3" s="1"/>
  <c r="B123" i="3"/>
  <c r="B630" i="3" s="1"/>
  <c r="A123" i="3"/>
  <c r="A630" i="3" s="1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E122" i="3"/>
  <c r="E629" i="3" s="1"/>
  <c r="D122" i="3"/>
  <c r="D629" i="3" s="1"/>
  <c r="C122" i="3"/>
  <c r="C629" i="3" s="1"/>
  <c r="B122" i="3"/>
  <c r="B629" i="3" s="1"/>
  <c r="A122" i="3"/>
  <c r="A629" i="3" s="1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E121" i="3"/>
  <c r="E628" i="3" s="1"/>
  <c r="D121" i="3"/>
  <c r="D628" i="3" s="1"/>
  <c r="C121" i="3"/>
  <c r="C628" i="3" s="1"/>
  <c r="B121" i="3"/>
  <c r="B628" i="3" s="1"/>
  <c r="A121" i="3"/>
  <c r="A628" i="3" s="1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E120" i="3"/>
  <c r="E627" i="3" s="1"/>
  <c r="D120" i="3"/>
  <c r="D627" i="3" s="1"/>
  <c r="C120" i="3"/>
  <c r="C627" i="3" s="1"/>
  <c r="B120" i="3"/>
  <c r="B627" i="3" s="1"/>
  <c r="A120" i="3"/>
  <c r="A627" i="3" s="1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E119" i="3"/>
  <c r="E626" i="3" s="1"/>
  <c r="D119" i="3"/>
  <c r="D626" i="3" s="1"/>
  <c r="C119" i="3"/>
  <c r="C626" i="3" s="1"/>
  <c r="B119" i="3"/>
  <c r="B626" i="3" s="1"/>
  <c r="A119" i="3"/>
  <c r="A626" i="3" s="1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E118" i="3"/>
  <c r="E625" i="3" s="1"/>
  <c r="D118" i="3"/>
  <c r="D625" i="3" s="1"/>
  <c r="C118" i="3"/>
  <c r="C625" i="3" s="1"/>
  <c r="B118" i="3"/>
  <c r="B625" i="3" s="1"/>
  <c r="A118" i="3"/>
  <c r="A625" i="3" s="1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E117" i="3"/>
  <c r="E624" i="3" s="1"/>
  <c r="D117" i="3"/>
  <c r="D624" i="3" s="1"/>
  <c r="C117" i="3"/>
  <c r="C624" i="3" s="1"/>
  <c r="B117" i="3"/>
  <c r="B624" i="3" s="1"/>
  <c r="A117" i="3"/>
  <c r="A624" i="3" s="1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E116" i="3"/>
  <c r="E623" i="3" s="1"/>
  <c r="D116" i="3"/>
  <c r="D623" i="3" s="1"/>
  <c r="C116" i="3"/>
  <c r="C623" i="3" s="1"/>
  <c r="B116" i="3"/>
  <c r="B623" i="3" s="1"/>
  <c r="A116" i="3"/>
  <c r="A623" i="3" s="1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E115" i="3"/>
  <c r="E622" i="3" s="1"/>
  <c r="D115" i="3"/>
  <c r="D622" i="3" s="1"/>
  <c r="C115" i="3"/>
  <c r="C622" i="3" s="1"/>
  <c r="B115" i="3"/>
  <c r="B622" i="3" s="1"/>
  <c r="A115" i="3"/>
  <c r="A622" i="3" s="1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E114" i="3"/>
  <c r="E621" i="3" s="1"/>
  <c r="D114" i="3"/>
  <c r="D621" i="3" s="1"/>
  <c r="C114" i="3"/>
  <c r="C621" i="3" s="1"/>
  <c r="B114" i="3"/>
  <c r="B621" i="3" s="1"/>
  <c r="A114" i="3"/>
  <c r="A621" i="3" s="1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E113" i="3"/>
  <c r="E620" i="3" s="1"/>
  <c r="D113" i="3"/>
  <c r="D620" i="3" s="1"/>
  <c r="C113" i="3"/>
  <c r="C620" i="3" s="1"/>
  <c r="B113" i="3"/>
  <c r="B620" i="3" s="1"/>
  <c r="A113" i="3"/>
  <c r="A620" i="3" s="1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E112" i="3"/>
  <c r="E619" i="3" s="1"/>
  <c r="D112" i="3"/>
  <c r="D619" i="3" s="1"/>
  <c r="C112" i="3"/>
  <c r="C619" i="3" s="1"/>
  <c r="B112" i="3"/>
  <c r="B619" i="3" s="1"/>
  <c r="A112" i="3"/>
  <c r="A619" i="3" s="1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E111" i="3"/>
  <c r="E618" i="3" s="1"/>
  <c r="D111" i="3"/>
  <c r="D618" i="3" s="1"/>
  <c r="C111" i="3"/>
  <c r="C618" i="3" s="1"/>
  <c r="B111" i="3"/>
  <c r="B618" i="3" s="1"/>
  <c r="A111" i="3"/>
  <c r="A618" i="3" s="1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E110" i="3"/>
  <c r="E617" i="3" s="1"/>
  <c r="D110" i="3"/>
  <c r="D617" i="3" s="1"/>
  <c r="C110" i="3"/>
  <c r="C617" i="3" s="1"/>
  <c r="B110" i="3"/>
  <c r="B617" i="3" s="1"/>
  <c r="A110" i="3"/>
  <c r="A617" i="3" s="1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E109" i="3"/>
  <c r="E616" i="3" s="1"/>
  <c r="D109" i="3"/>
  <c r="D616" i="3" s="1"/>
  <c r="C109" i="3"/>
  <c r="C616" i="3" s="1"/>
  <c r="B109" i="3"/>
  <c r="B616" i="3" s="1"/>
  <c r="A109" i="3"/>
  <c r="A616" i="3" s="1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E108" i="3"/>
  <c r="E615" i="3" s="1"/>
  <c r="D108" i="3"/>
  <c r="D615" i="3" s="1"/>
  <c r="C108" i="3"/>
  <c r="C615" i="3" s="1"/>
  <c r="B108" i="3"/>
  <c r="B615" i="3" s="1"/>
  <c r="A108" i="3"/>
  <c r="A615" i="3" s="1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E107" i="3"/>
  <c r="E614" i="3" s="1"/>
  <c r="D107" i="3"/>
  <c r="D614" i="3" s="1"/>
  <c r="C107" i="3"/>
  <c r="C614" i="3" s="1"/>
  <c r="B107" i="3"/>
  <c r="B614" i="3" s="1"/>
  <c r="A107" i="3"/>
  <c r="A614" i="3" s="1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E106" i="3"/>
  <c r="E613" i="3" s="1"/>
  <c r="D106" i="3"/>
  <c r="D613" i="3" s="1"/>
  <c r="C106" i="3"/>
  <c r="C613" i="3" s="1"/>
  <c r="B106" i="3"/>
  <c r="B613" i="3" s="1"/>
  <c r="A106" i="3"/>
  <c r="A613" i="3" s="1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E105" i="3"/>
  <c r="E612" i="3" s="1"/>
  <c r="D105" i="3"/>
  <c r="D612" i="3" s="1"/>
  <c r="C105" i="3"/>
  <c r="C612" i="3" s="1"/>
  <c r="B105" i="3"/>
  <c r="B612" i="3" s="1"/>
  <c r="A105" i="3"/>
  <c r="A612" i="3" s="1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E104" i="3"/>
  <c r="E611" i="3" s="1"/>
  <c r="D104" i="3"/>
  <c r="D611" i="3" s="1"/>
  <c r="C104" i="3"/>
  <c r="C611" i="3" s="1"/>
  <c r="B104" i="3"/>
  <c r="B611" i="3" s="1"/>
  <c r="A104" i="3"/>
  <c r="A611" i="3" s="1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E103" i="3"/>
  <c r="E610" i="3" s="1"/>
  <c r="D103" i="3"/>
  <c r="D610" i="3" s="1"/>
  <c r="C103" i="3"/>
  <c r="C610" i="3" s="1"/>
  <c r="B103" i="3"/>
  <c r="B610" i="3" s="1"/>
  <c r="A103" i="3"/>
  <c r="A610" i="3" s="1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E102" i="3"/>
  <c r="E609" i="3" s="1"/>
  <c r="D102" i="3"/>
  <c r="D609" i="3" s="1"/>
  <c r="C102" i="3"/>
  <c r="C609" i="3" s="1"/>
  <c r="B102" i="3"/>
  <c r="B609" i="3" s="1"/>
  <c r="A102" i="3"/>
  <c r="A609" i="3" s="1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E101" i="3"/>
  <c r="E608" i="3" s="1"/>
  <c r="D101" i="3"/>
  <c r="D608" i="3" s="1"/>
  <c r="C101" i="3"/>
  <c r="C608" i="3" s="1"/>
  <c r="B101" i="3"/>
  <c r="B608" i="3" s="1"/>
  <c r="A101" i="3"/>
  <c r="A608" i="3" s="1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E100" i="3"/>
  <c r="E607" i="3" s="1"/>
  <c r="D100" i="3"/>
  <c r="D607" i="3" s="1"/>
  <c r="C100" i="3"/>
  <c r="C607" i="3" s="1"/>
  <c r="B100" i="3"/>
  <c r="B607" i="3" s="1"/>
  <c r="A100" i="3"/>
  <c r="A607" i="3" s="1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E99" i="3"/>
  <c r="E606" i="3" s="1"/>
  <c r="D99" i="3"/>
  <c r="D606" i="3" s="1"/>
  <c r="C99" i="3"/>
  <c r="C606" i="3" s="1"/>
  <c r="B99" i="3"/>
  <c r="B606" i="3" s="1"/>
  <c r="A99" i="3"/>
  <c r="A606" i="3" s="1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E98" i="3"/>
  <c r="E605" i="3" s="1"/>
  <c r="D98" i="3"/>
  <c r="D605" i="3" s="1"/>
  <c r="C98" i="3"/>
  <c r="C605" i="3" s="1"/>
  <c r="B98" i="3"/>
  <c r="B605" i="3" s="1"/>
  <c r="A98" i="3"/>
  <c r="A605" i="3" s="1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E97" i="3"/>
  <c r="E604" i="3" s="1"/>
  <c r="D97" i="3"/>
  <c r="D604" i="3" s="1"/>
  <c r="C97" i="3"/>
  <c r="C604" i="3" s="1"/>
  <c r="B97" i="3"/>
  <c r="B604" i="3" s="1"/>
  <c r="A97" i="3"/>
  <c r="A604" i="3" s="1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E96" i="3"/>
  <c r="E603" i="3" s="1"/>
  <c r="D96" i="3"/>
  <c r="D603" i="3" s="1"/>
  <c r="C96" i="3"/>
  <c r="C603" i="3" s="1"/>
  <c r="B96" i="3"/>
  <c r="B603" i="3" s="1"/>
  <c r="A96" i="3"/>
  <c r="A603" i="3" s="1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E95" i="3"/>
  <c r="E602" i="3" s="1"/>
  <c r="D95" i="3"/>
  <c r="D602" i="3" s="1"/>
  <c r="C95" i="3"/>
  <c r="C602" i="3" s="1"/>
  <c r="B95" i="3"/>
  <c r="B602" i="3" s="1"/>
  <c r="A95" i="3"/>
  <c r="A602" i="3" s="1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E94" i="3"/>
  <c r="E601" i="3" s="1"/>
  <c r="D94" i="3"/>
  <c r="D601" i="3" s="1"/>
  <c r="C94" i="3"/>
  <c r="C601" i="3" s="1"/>
  <c r="B94" i="3"/>
  <c r="B601" i="3" s="1"/>
  <c r="A94" i="3"/>
  <c r="A601" i="3" s="1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E93" i="3"/>
  <c r="E600" i="3" s="1"/>
  <c r="D93" i="3"/>
  <c r="D600" i="3" s="1"/>
  <c r="C93" i="3"/>
  <c r="C600" i="3" s="1"/>
  <c r="B93" i="3"/>
  <c r="B600" i="3" s="1"/>
  <c r="A93" i="3"/>
  <c r="A600" i="3" s="1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E92" i="3"/>
  <c r="E599" i="3" s="1"/>
  <c r="D92" i="3"/>
  <c r="D599" i="3" s="1"/>
  <c r="C92" i="3"/>
  <c r="C599" i="3" s="1"/>
  <c r="B92" i="3"/>
  <c r="B599" i="3" s="1"/>
  <c r="A92" i="3"/>
  <c r="A599" i="3" s="1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E91" i="3"/>
  <c r="E598" i="3" s="1"/>
  <c r="D91" i="3"/>
  <c r="D598" i="3" s="1"/>
  <c r="C91" i="3"/>
  <c r="C598" i="3" s="1"/>
  <c r="B91" i="3"/>
  <c r="B598" i="3" s="1"/>
  <c r="A91" i="3"/>
  <c r="A598" i="3" s="1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E90" i="3"/>
  <c r="E597" i="3" s="1"/>
  <c r="D90" i="3"/>
  <c r="D597" i="3" s="1"/>
  <c r="C90" i="3"/>
  <c r="C597" i="3" s="1"/>
  <c r="B90" i="3"/>
  <c r="B597" i="3" s="1"/>
  <c r="A90" i="3"/>
  <c r="A597" i="3" s="1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E89" i="3"/>
  <c r="E596" i="3" s="1"/>
  <c r="D89" i="3"/>
  <c r="D596" i="3" s="1"/>
  <c r="C89" i="3"/>
  <c r="C596" i="3" s="1"/>
  <c r="B89" i="3"/>
  <c r="B596" i="3" s="1"/>
  <c r="A89" i="3"/>
  <c r="A596" i="3" s="1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E88" i="3"/>
  <c r="E595" i="3" s="1"/>
  <c r="D88" i="3"/>
  <c r="D595" i="3" s="1"/>
  <c r="C88" i="3"/>
  <c r="C595" i="3" s="1"/>
  <c r="B88" i="3"/>
  <c r="B595" i="3" s="1"/>
  <c r="A88" i="3"/>
  <c r="A595" i="3" s="1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E87" i="3"/>
  <c r="E594" i="3" s="1"/>
  <c r="D87" i="3"/>
  <c r="D594" i="3" s="1"/>
  <c r="C87" i="3"/>
  <c r="C594" i="3" s="1"/>
  <c r="B87" i="3"/>
  <c r="B594" i="3" s="1"/>
  <c r="A87" i="3"/>
  <c r="A594" i="3" s="1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E86" i="3"/>
  <c r="E593" i="3" s="1"/>
  <c r="D86" i="3"/>
  <c r="D593" i="3" s="1"/>
  <c r="C86" i="3"/>
  <c r="C593" i="3" s="1"/>
  <c r="B86" i="3"/>
  <c r="B593" i="3" s="1"/>
  <c r="A86" i="3"/>
  <c r="A593" i="3" s="1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E85" i="3"/>
  <c r="B85" i="3"/>
  <c r="A85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E84" i="3"/>
  <c r="E592" i="3" s="1"/>
  <c r="D84" i="3"/>
  <c r="D592" i="3" s="1"/>
  <c r="C84" i="3"/>
  <c r="C592" i="3" s="1"/>
  <c r="B84" i="3"/>
  <c r="B592" i="3" s="1"/>
  <c r="A84" i="3"/>
  <c r="A592" i="3" s="1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E83" i="3"/>
  <c r="E591" i="3" s="1"/>
  <c r="D83" i="3"/>
  <c r="D591" i="3" s="1"/>
  <c r="C83" i="3"/>
  <c r="C591" i="3" s="1"/>
  <c r="B83" i="3"/>
  <c r="B591" i="3" s="1"/>
  <c r="A83" i="3"/>
  <c r="A591" i="3" s="1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E82" i="3"/>
  <c r="E590" i="3" s="1"/>
  <c r="D82" i="3"/>
  <c r="D590" i="3" s="1"/>
  <c r="C82" i="3"/>
  <c r="C590" i="3" s="1"/>
  <c r="B82" i="3"/>
  <c r="B590" i="3" s="1"/>
  <c r="A82" i="3"/>
  <c r="A590" i="3" s="1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E81" i="3"/>
  <c r="E589" i="3" s="1"/>
  <c r="D81" i="3"/>
  <c r="D589" i="3" s="1"/>
  <c r="C81" i="3"/>
  <c r="C589" i="3" s="1"/>
  <c r="B81" i="3"/>
  <c r="B589" i="3" s="1"/>
  <c r="A81" i="3"/>
  <c r="A589" i="3" s="1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E80" i="3"/>
  <c r="E588" i="3" s="1"/>
  <c r="D80" i="3"/>
  <c r="D588" i="3" s="1"/>
  <c r="C80" i="3"/>
  <c r="C588" i="3" s="1"/>
  <c r="B80" i="3"/>
  <c r="B588" i="3" s="1"/>
  <c r="A80" i="3"/>
  <c r="A588" i="3" s="1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E79" i="3"/>
  <c r="E587" i="3" s="1"/>
  <c r="D79" i="3"/>
  <c r="D587" i="3" s="1"/>
  <c r="C79" i="3"/>
  <c r="C587" i="3" s="1"/>
  <c r="B79" i="3"/>
  <c r="B587" i="3" s="1"/>
  <c r="A79" i="3"/>
  <c r="A587" i="3" s="1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E78" i="3"/>
  <c r="E586" i="3" s="1"/>
  <c r="D78" i="3"/>
  <c r="D586" i="3" s="1"/>
  <c r="C78" i="3"/>
  <c r="C586" i="3" s="1"/>
  <c r="B78" i="3"/>
  <c r="B586" i="3" s="1"/>
  <c r="A78" i="3"/>
  <c r="A586" i="3" s="1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E77" i="3"/>
  <c r="E585" i="3" s="1"/>
  <c r="D77" i="3"/>
  <c r="D585" i="3" s="1"/>
  <c r="C77" i="3"/>
  <c r="C585" i="3" s="1"/>
  <c r="B77" i="3"/>
  <c r="B585" i="3" s="1"/>
  <c r="A77" i="3"/>
  <c r="A585" i="3" s="1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E76" i="3"/>
  <c r="E584" i="3" s="1"/>
  <c r="D76" i="3"/>
  <c r="D584" i="3" s="1"/>
  <c r="C76" i="3"/>
  <c r="C584" i="3" s="1"/>
  <c r="B76" i="3"/>
  <c r="B584" i="3" s="1"/>
  <c r="A76" i="3"/>
  <c r="A584" i="3" s="1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E75" i="3"/>
  <c r="E583" i="3" s="1"/>
  <c r="D75" i="3"/>
  <c r="D583" i="3" s="1"/>
  <c r="C75" i="3"/>
  <c r="C583" i="3" s="1"/>
  <c r="B75" i="3"/>
  <c r="B583" i="3" s="1"/>
  <c r="A75" i="3"/>
  <c r="A583" i="3" s="1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E74" i="3"/>
  <c r="E582" i="3" s="1"/>
  <c r="D74" i="3"/>
  <c r="D582" i="3" s="1"/>
  <c r="C74" i="3"/>
  <c r="C582" i="3" s="1"/>
  <c r="B74" i="3"/>
  <c r="B582" i="3" s="1"/>
  <c r="A74" i="3"/>
  <c r="A582" i="3" s="1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E73" i="3"/>
  <c r="E581" i="3" s="1"/>
  <c r="D73" i="3"/>
  <c r="D581" i="3" s="1"/>
  <c r="C73" i="3"/>
  <c r="C581" i="3" s="1"/>
  <c r="B73" i="3"/>
  <c r="B581" i="3" s="1"/>
  <c r="A73" i="3"/>
  <c r="A581" i="3" s="1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E72" i="3"/>
  <c r="E580" i="3" s="1"/>
  <c r="D72" i="3"/>
  <c r="D580" i="3" s="1"/>
  <c r="C72" i="3"/>
  <c r="C580" i="3" s="1"/>
  <c r="B72" i="3"/>
  <c r="B580" i="3" s="1"/>
  <c r="A72" i="3"/>
  <c r="A580" i="3" s="1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E71" i="3"/>
  <c r="E579" i="3" s="1"/>
  <c r="D71" i="3"/>
  <c r="D579" i="3" s="1"/>
  <c r="C71" i="3"/>
  <c r="C579" i="3" s="1"/>
  <c r="B71" i="3"/>
  <c r="B579" i="3" s="1"/>
  <c r="A71" i="3"/>
  <c r="A579" i="3" s="1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E70" i="3"/>
  <c r="E578" i="3" s="1"/>
  <c r="D70" i="3"/>
  <c r="D578" i="3" s="1"/>
  <c r="C70" i="3"/>
  <c r="C578" i="3" s="1"/>
  <c r="B70" i="3"/>
  <c r="B578" i="3" s="1"/>
  <c r="A70" i="3"/>
  <c r="A578" i="3" s="1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E69" i="3"/>
  <c r="E577" i="3" s="1"/>
  <c r="D69" i="3"/>
  <c r="D577" i="3" s="1"/>
  <c r="C69" i="3"/>
  <c r="C577" i="3" s="1"/>
  <c r="B69" i="3"/>
  <c r="B577" i="3" s="1"/>
  <c r="A69" i="3"/>
  <c r="A577" i="3" s="1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E68" i="3"/>
  <c r="E576" i="3" s="1"/>
  <c r="D68" i="3"/>
  <c r="D576" i="3" s="1"/>
  <c r="C68" i="3"/>
  <c r="C576" i="3" s="1"/>
  <c r="B68" i="3"/>
  <c r="B576" i="3" s="1"/>
  <c r="A68" i="3"/>
  <c r="A576" i="3" s="1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E67" i="3"/>
  <c r="E575" i="3" s="1"/>
  <c r="D67" i="3"/>
  <c r="D575" i="3" s="1"/>
  <c r="C67" i="3"/>
  <c r="C575" i="3" s="1"/>
  <c r="B67" i="3"/>
  <c r="B575" i="3" s="1"/>
  <c r="A67" i="3"/>
  <c r="A575" i="3" s="1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E66" i="3"/>
  <c r="E574" i="3" s="1"/>
  <c r="D66" i="3"/>
  <c r="D574" i="3" s="1"/>
  <c r="C66" i="3"/>
  <c r="C574" i="3" s="1"/>
  <c r="B66" i="3"/>
  <c r="B574" i="3" s="1"/>
  <c r="A66" i="3"/>
  <c r="A574" i="3" s="1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E65" i="3"/>
  <c r="E573" i="3" s="1"/>
  <c r="D65" i="3"/>
  <c r="D573" i="3" s="1"/>
  <c r="C65" i="3"/>
  <c r="C573" i="3" s="1"/>
  <c r="B65" i="3"/>
  <c r="B573" i="3" s="1"/>
  <c r="A65" i="3"/>
  <c r="A573" i="3" s="1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E64" i="3"/>
  <c r="E572" i="3" s="1"/>
  <c r="D64" i="3"/>
  <c r="D572" i="3" s="1"/>
  <c r="C64" i="3"/>
  <c r="C572" i="3" s="1"/>
  <c r="B64" i="3"/>
  <c r="B572" i="3" s="1"/>
  <c r="A64" i="3"/>
  <c r="A572" i="3" s="1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E63" i="3"/>
  <c r="E571" i="3" s="1"/>
  <c r="D63" i="3"/>
  <c r="D571" i="3" s="1"/>
  <c r="C63" i="3"/>
  <c r="C571" i="3" s="1"/>
  <c r="B63" i="3"/>
  <c r="B571" i="3" s="1"/>
  <c r="A63" i="3"/>
  <c r="A571" i="3" s="1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E62" i="3"/>
  <c r="E570" i="3" s="1"/>
  <c r="D62" i="3"/>
  <c r="D570" i="3" s="1"/>
  <c r="C62" i="3"/>
  <c r="C570" i="3" s="1"/>
  <c r="B62" i="3"/>
  <c r="B570" i="3" s="1"/>
  <c r="A62" i="3"/>
  <c r="A570" i="3" s="1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E61" i="3"/>
  <c r="E569" i="3" s="1"/>
  <c r="D61" i="3"/>
  <c r="D569" i="3" s="1"/>
  <c r="C61" i="3"/>
  <c r="C569" i="3" s="1"/>
  <c r="B61" i="3"/>
  <c r="B569" i="3" s="1"/>
  <c r="A61" i="3"/>
  <c r="A569" i="3" s="1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E60" i="3"/>
  <c r="E568" i="3" s="1"/>
  <c r="D60" i="3"/>
  <c r="D568" i="3" s="1"/>
  <c r="C60" i="3"/>
  <c r="C568" i="3" s="1"/>
  <c r="B60" i="3"/>
  <c r="B568" i="3" s="1"/>
  <c r="A60" i="3"/>
  <c r="A568" i="3" s="1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E59" i="3"/>
  <c r="E567" i="3" s="1"/>
  <c r="D59" i="3"/>
  <c r="D567" i="3" s="1"/>
  <c r="C59" i="3"/>
  <c r="C567" i="3" s="1"/>
  <c r="B59" i="3"/>
  <c r="B567" i="3" s="1"/>
  <c r="A59" i="3"/>
  <c r="A567" i="3" s="1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E58" i="3"/>
  <c r="E566" i="3" s="1"/>
  <c r="D58" i="3"/>
  <c r="D566" i="3" s="1"/>
  <c r="C58" i="3"/>
  <c r="C566" i="3" s="1"/>
  <c r="B58" i="3"/>
  <c r="B566" i="3" s="1"/>
  <c r="A58" i="3"/>
  <c r="A566" i="3" s="1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E57" i="3"/>
  <c r="E565" i="3" s="1"/>
  <c r="D57" i="3"/>
  <c r="D565" i="3" s="1"/>
  <c r="C57" i="3"/>
  <c r="C565" i="3" s="1"/>
  <c r="B57" i="3"/>
  <c r="B565" i="3" s="1"/>
  <c r="A57" i="3"/>
  <c r="A565" i="3" s="1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E56" i="3"/>
  <c r="E564" i="3" s="1"/>
  <c r="D56" i="3"/>
  <c r="D564" i="3" s="1"/>
  <c r="C56" i="3"/>
  <c r="C564" i="3" s="1"/>
  <c r="B56" i="3"/>
  <c r="B564" i="3" s="1"/>
  <c r="A56" i="3"/>
  <c r="A564" i="3" s="1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E55" i="3"/>
  <c r="E563" i="3" s="1"/>
  <c r="D55" i="3"/>
  <c r="D563" i="3" s="1"/>
  <c r="C55" i="3"/>
  <c r="C563" i="3" s="1"/>
  <c r="B55" i="3"/>
  <c r="B563" i="3" s="1"/>
  <c r="A55" i="3"/>
  <c r="A563" i="3" s="1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E54" i="3"/>
  <c r="E562" i="3" s="1"/>
  <c r="D54" i="3"/>
  <c r="D562" i="3" s="1"/>
  <c r="C54" i="3"/>
  <c r="C562" i="3" s="1"/>
  <c r="B54" i="3"/>
  <c r="B562" i="3" s="1"/>
  <c r="A54" i="3"/>
  <c r="A562" i="3" s="1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E53" i="3"/>
  <c r="E561" i="3" s="1"/>
  <c r="D53" i="3"/>
  <c r="D561" i="3" s="1"/>
  <c r="C53" i="3"/>
  <c r="C561" i="3" s="1"/>
  <c r="B53" i="3"/>
  <c r="B561" i="3" s="1"/>
  <c r="A53" i="3"/>
  <c r="A561" i="3" s="1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E52" i="3"/>
  <c r="E560" i="3" s="1"/>
  <c r="D52" i="3"/>
  <c r="D560" i="3" s="1"/>
  <c r="C52" i="3"/>
  <c r="C560" i="3" s="1"/>
  <c r="B52" i="3"/>
  <c r="B560" i="3" s="1"/>
  <c r="A52" i="3"/>
  <c r="A560" i="3" s="1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E51" i="3"/>
  <c r="E559" i="3" s="1"/>
  <c r="D51" i="3"/>
  <c r="D559" i="3" s="1"/>
  <c r="C51" i="3"/>
  <c r="C559" i="3" s="1"/>
  <c r="B51" i="3"/>
  <c r="B559" i="3" s="1"/>
  <c r="A51" i="3"/>
  <c r="A559" i="3" s="1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E50" i="3"/>
  <c r="E558" i="3" s="1"/>
  <c r="D50" i="3"/>
  <c r="D558" i="3" s="1"/>
  <c r="C50" i="3"/>
  <c r="C558" i="3" s="1"/>
  <c r="B50" i="3"/>
  <c r="B558" i="3" s="1"/>
  <c r="A50" i="3"/>
  <c r="A558" i="3" s="1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E49" i="3"/>
  <c r="E557" i="3" s="1"/>
  <c r="D49" i="3"/>
  <c r="D557" i="3" s="1"/>
  <c r="C49" i="3"/>
  <c r="C557" i="3" s="1"/>
  <c r="B49" i="3"/>
  <c r="B557" i="3" s="1"/>
  <c r="A49" i="3"/>
  <c r="A557" i="3" s="1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E48" i="3"/>
  <c r="E556" i="3" s="1"/>
  <c r="D48" i="3"/>
  <c r="D556" i="3" s="1"/>
  <c r="C48" i="3"/>
  <c r="C556" i="3" s="1"/>
  <c r="B48" i="3"/>
  <c r="B556" i="3" s="1"/>
  <c r="A48" i="3"/>
  <c r="A556" i="3" s="1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E47" i="3"/>
  <c r="E555" i="3" s="1"/>
  <c r="D47" i="3"/>
  <c r="D555" i="3" s="1"/>
  <c r="C47" i="3"/>
  <c r="C555" i="3" s="1"/>
  <c r="B47" i="3"/>
  <c r="B555" i="3" s="1"/>
  <c r="A47" i="3"/>
  <c r="A555" i="3" s="1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E46" i="3"/>
  <c r="E554" i="3" s="1"/>
  <c r="D46" i="3"/>
  <c r="D554" i="3" s="1"/>
  <c r="C46" i="3"/>
  <c r="C554" i="3" s="1"/>
  <c r="B46" i="3"/>
  <c r="B554" i="3" s="1"/>
  <c r="A46" i="3"/>
  <c r="A554" i="3" s="1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E45" i="3"/>
  <c r="E553" i="3" s="1"/>
  <c r="D45" i="3"/>
  <c r="D553" i="3" s="1"/>
  <c r="C45" i="3"/>
  <c r="C553" i="3" s="1"/>
  <c r="B45" i="3"/>
  <c r="B553" i="3" s="1"/>
  <c r="A45" i="3"/>
  <c r="A553" i="3" s="1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E44" i="3"/>
  <c r="B44" i="3"/>
  <c r="A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E43" i="3"/>
  <c r="E552" i="3" s="1"/>
  <c r="D43" i="3"/>
  <c r="D552" i="3" s="1"/>
  <c r="C43" i="3"/>
  <c r="C552" i="3" s="1"/>
  <c r="B43" i="3"/>
  <c r="B552" i="3" s="1"/>
  <c r="A43" i="3"/>
  <c r="A552" i="3" s="1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E42" i="3"/>
  <c r="E551" i="3" s="1"/>
  <c r="D42" i="3"/>
  <c r="D551" i="3" s="1"/>
  <c r="C42" i="3"/>
  <c r="C551" i="3" s="1"/>
  <c r="B42" i="3"/>
  <c r="B551" i="3" s="1"/>
  <c r="A42" i="3"/>
  <c r="A551" i="3" s="1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E41" i="3"/>
  <c r="E550" i="3" s="1"/>
  <c r="D41" i="3"/>
  <c r="D550" i="3" s="1"/>
  <c r="C41" i="3"/>
  <c r="C550" i="3" s="1"/>
  <c r="B41" i="3"/>
  <c r="B550" i="3" s="1"/>
  <c r="A41" i="3"/>
  <c r="A550" i="3" s="1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E40" i="3"/>
  <c r="E549" i="3" s="1"/>
  <c r="D40" i="3"/>
  <c r="D549" i="3" s="1"/>
  <c r="C40" i="3"/>
  <c r="C549" i="3" s="1"/>
  <c r="B40" i="3"/>
  <c r="B549" i="3" s="1"/>
  <c r="A40" i="3"/>
  <c r="A549" i="3" s="1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E39" i="3"/>
  <c r="E548" i="3" s="1"/>
  <c r="D39" i="3"/>
  <c r="D548" i="3" s="1"/>
  <c r="C39" i="3"/>
  <c r="C548" i="3" s="1"/>
  <c r="B39" i="3"/>
  <c r="B548" i="3" s="1"/>
  <c r="A39" i="3"/>
  <c r="A548" i="3" s="1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E38" i="3"/>
  <c r="E547" i="3" s="1"/>
  <c r="D38" i="3"/>
  <c r="D547" i="3" s="1"/>
  <c r="C38" i="3"/>
  <c r="C547" i="3" s="1"/>
  <c r="B38" i="3"/>
  <c r="B547" i="3" s="1"/>
  <c r="A38" i="3"/>
  <c r="A547" i="3" s="1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E37" i="3"/>
  <c r="E546" i="3" s="1"/>
  <c r="D37" i="3"/>
  <c r="D546" i="3" s="1"/>
  <c r="C37" i="3"/>
  <c r="C546" i="3" s="1"/>
  <c r="B37" i="3"/>
  <c r="B546" i="3" s="1"/>
  <c r="A37" i="3"/>
  <c r="A546" i="3" s="1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E36" i="3"/>
  <c r="E545" i="3" s="1"/>
  <c r="D36" i="3"/>
  <c r="D545" i="3" s="1"/>
  <c r="C36" i="3"/>
  <c r="C545" i="3" s="1"/>
  <c r="B36" i="3"/>
  <c r="B545" i="3" s="1"/>
  <c r="A36" i="3"/>
  <c r="A545" i="3" s="1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E35" i="3"/>
  <c r="E544" i="3" s="1"/>
  <c r="D35" i="3"/>
  <c r="D544" i="3" s="1"/>
  <c r="C35" i="3"/>
  <c r="C544" i="3" s="1"/>
  <c r="B35" i="3"/>
  <c r="B544" i="3" s="1"/>
  <c r="A35" i="3"/>
  <c r="A544" i="3" s="1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E34" i="3"/>
  <c r="E543" i="3" s="1"/>
  <c r="D34" i="3"/>
  <c r="D543" i="3" s="1"/>
  <c r="C34" i="3"/>
  <c r="C543" i="3" s="1"/>
  <c r="B34" i="3"/>
  <c r="B543" i="3" s="1"/>
  <c r="A34" i="3"/>
  <c r="A543" i="3" s="1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E33" i="3"/>
  <c r="E542" i="3" s="1"/>
  <c r="D33" i="3"/>
  <c r="D542" i="3" s="1"/>
  <c r="C33" i="3"/>
  <c r="C542" i="3" s="1"/>
  <c r="B33" i="3"/>
  <c r="B542" i="3" s="1"/>
  <c r="A33" i="3"/>
  <c r="A542" i="3" s="1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E32" i="3"/>
  <c r="E541" i="3" s="1"/>
  <c r="D32" i="3"/>
  <c r="D541" i="3" s="1"/>
  <c r="C32" i="3"/>
  <c r="C541" i="3" s="1"/>
  <c r="B32" i="3"/>
  <c r="B541" i="3" s="1"/>
  <c r="A32" i="3"/>
  <c r="A541" i="3" s="1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E31" i="3"/>
  <c r="E540" i="3" s="1"/>
  <c r="D31" i="3"/>
  <c r="D540" i="3" s="1"/>
  <c r="C31" i="3"/>
  <c r="C540" i="3" s="1"/>
  <c r="B31" i="3"/>
  <c r="B540" i="3" s="1"/>
  <c r="A31" i="3"/>
  <c r="A540" i="3" s="1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E30" i="3"/>
  <c r="E539" i="3" s="1"/>
  <c r="D30" i="3"/>
  <c r="D539" i="3" s="1"/>
  <c r="C30" i="3"/>
  <c r="C539" i="3" s="1"/>
  <c r="B30" i="3"/>
  <c r="B539" i="3" s="1"/>
  <c r="A30" i="3"/>
  <c r="A539" i="3" s="1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E29" i="3"/>
  <c r="E538" i="3" s="1"/>
  <c r="D29" i="3"/>
  <c r="D538" i="3" s="1"/>
  <c r="C29" i="3"/>
  <c r="C538" i="3" s="1"/>
  <c r="B29" i="3"/>
  <c r="B538" i="3" s="1"/>
  <c r="A29" i="3"/>
  <c r="A538" i="3" s="1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E28" i="3"/>
  <c r="E537" i="3" s="1"/>
  <c r="D28" i="3"/>
  <c r="D537" i="3" s="1"/>
  <c r="C28" i="3"/>
  <c r="C537" i="3" s="1"/>
  <c r="B28" i="3"/>
  <c r="B537" i="3" s="1"/>
  <c r="A28" i="3"/>
  <c r="A537" i="3" s="1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E27" i="3"/>
  <c r="E536" i="3" s="1"/>
  <c r="D27" i="3"/>
  <c r="D536" i="3" s="1"/>
  <c r="C27" i="3"/>
  <c r="C536" i="3" s="1"/>
  <c r="B27" i="3"/>
  <c r="B536" i="3" s="1"/>
  <c r="A27" i="3"/>
  <c r="A536" i="3" s="1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E26" i="3"/>
  <c r="E535" i="3" s="1"/>
  <c r="D26" i="3"/>
  <c r="D535" i="3" s="1"/>
  <c r="C26" i="3"/>
  <c r="C535" i="3" s="1"/>
  <c r="B26" i="3"/>
  <c r="B535" i="3" s="1"/>
  <c r="A26" i="3"/>
  <c r="A535" i="3" s="1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E25" i="3"/>
  <c r="E534" i="3" s="1"/>
  <c r="D25" i="3"/>
  <c r="D534" i="3" s="1"/>
  <c r="C25" i="3"/>
  <c r="C534" i="3" s="1"/>
  <c r="B25" i="3"/>
  <c r="B534" i="3" s="1"/>
  <c r="A25" i="3"/>
  <c r="A534" i="3" s="1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E24" i="3"/>
  <c r="E533" i="3" s="1"/>
  <c r="D24" i="3"/>
  <c r="D533" i="3" s="1"/>
  <c r="C24" i="3"/>
  <c r="C533" i="3" s="1"/>
  <c r="B24" i="3"/>
  <c r="B533" i="3" s="1"/>
  <c r="A24" i="3"/>
  <c r="A533" i="3" s="1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E23" i="3"/>
  <c r="E532" i="3" s="1"/>
  <c r="D23" i="3"/>
  <c r="D532" i="3" s="1"/>
  <c r="C23" i="3"/>
  <c r="C532" i="3" s="1"/>
  <c r="B23" i="3"/>
  <c r="B532" i="3" s="1"/>
  <c r="A23" i="3"/>
  <c r="A532" i="3" s="1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E22" i="3"/>
  <c r="E531" i="3" s="1"/>
  <c r="D22" i="3"/>
  <c r="D531" i="3" s="1"/>
  <c r="C22" i="3"/>
  <c r="C531" i="3" s="1"/>
  <c r="B22" i="3"/>
  <c r="B531" i="3" s="1"/>
  <c r="A22" i="3"/>
  <c r="A531" i="3" s="1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E21" i="3"/>
  <c r="E530" i="3" s="1"/>
  <c r="D21" i="3"/>
  <c r="D530" i="3" s="1"/>
  <c r="C21" i="3"/>
  <c r="C530" i="3" s="1"/>
  <c r="B21" i="3"/>
  <c r="B530" i="3" s="1"/>
  <c r="A21" i="3"/>
  <c r="A530" i="3" s="1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E20" i="3"/>
  <c r="E529" i="3" s="1"/>
  <c r="D20" i="3"/>
  <c r="D529" i="3" s="1"/>
  <c r="C20" i="3"/>
  <c r="C529" i="3" s="1"/>
  <c r="B20" i="3"/>
  <c r="B529" i="3" s="1"/>
  <c r="A20" i="3"/>
  <c r="A529" i="3" s="1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E19" i="3"/>
  <c r="E528" i="3" s="1"/>
  <c r="D19" i="3"/>
  <c r="D528" i="3" s="1"/>
  <c r="C19" i="3"/>
  <c r="C528" i="3" s="1"/>
  <c r="B19" i="3"/>
  <c r="B528" i="3" s="1"/>
  <c r="A19" i="3"/>
  <c r="A528" i="3" s="1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E18" i="3"/>
  <c r="E527" i="3" s="1"/>
  <c r="D18" i="3"/>
  <c r="D527" i="3" s="1"/>
  <c r="C18" i="3"/>
  <c r="C527" i="3" s="1"/>
  <c r="B18" i="3"/>
  <c r="B527" i="3" s="1"/>
  <c r="A18" i="3"/>
  <c r="A527" i="3" s="1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E17" i="3"/>
  <c r="E526" i="3" s="1"/>
  <c r="D17" i="3"/>
  <c r="D526" i="3" s="1"/>
  <c r="C17" i="3"/>
  <c r="C526" i="3" s="1"/>
  <c r="B17" i="3"/>
  <c r="B526" i="3" s="1"/>
  <c r="A17" i="3"/>
  <c r="A526" i="3" s="1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E16" i="3"/>
  <c r="E525" i="3" s="1"/>
  <c r="D16" i="3"/>
  <c r="D525" i="3" s="1"/>
  <c r="C16" i="3"/>
  <c r="C525" i="3" s="1"/>
  <c r="B16" i="3"/>
  <c r="B525" i="3" s="1"/>
  <c r="A16" i="3"/>
  <c r="A525" i="3" s="1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E15" i="3"/>
  <c r="E524" i="3" s="1"/>
  <c r="D15" i="3"/>
  <c r="D524" i="3" s="1"/>
  <c r="C15" i="3"/>
  <c r="C524" i="3" s="1"/>
  <c r="B15" i="3"/>
  <c r="B524" i="3" s="1"/>
  <c r="A15" i="3"/>
  <c r="A524" i="3" s="1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E14" i="3"/>
  <c r="E523" i="3" s="1"/>
  <c r="D14" i="3"/>
  <c r="D523" i="3" s="1"/>
  <c r="C14" i="3"/>
  <c r="C523" i="3" s="1"/>
  <c r="B14" i="3"/>
  <c r="B523" i="3" s="1"/>
  <c r="A14" i="3"/>
  <c r="A523" i="3" s="1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E13" i="3"/>
  <c r="E522" i="3" s="1"/>
  <c r="D13" i="3"/>
  <c r="D522" i="3" s="1"/>
  <c r="C13" i="3"/>
  <c r="C522" i="3" s="1"/>
  <c r="B13" i="3"/>
  <c r="B522" i="3" s="1"/>
  <c r="A13" i="3"/>
  <c r="A522" i="3" s="1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E12" i="3"/>
  <c r="E521" i="3" s="1"/>
  <c r="D12" i="3"/>
  <c r="D521" i="3" s="1"/>
  <c r="C12" i="3"/>
  <c r="C521" i="3" s="1"/>
  <c r="B12" i="3"/>
  <c r="B521" i="3" s="1"/>
  <c r="A12" i="3"/>
  <c r="A521" i="3" s="1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E11" i="3"/>
  <c r="E520" i="3" s="1"/>
  <c r="D11" i="3"/>
  <c r="D520" i="3" s="1"/>
  <c r="C11" i="3"/>
  <c r="C520" i="3" s="1"/>
  <c r="B11" i="3"/>
  <c r="B520" i="3" s="1"/>
  <c r="A11" i="3"/>
  <c r="A520" i="3" s="1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E10" i="3"/>
  <c r="E519" i="3" s="1"/>
  <c r="D10" i="3"/>
  <c r="D519" i="3" s="1"/>
  <c r="C10" i="3"/>
  <c r="C519" i="3" s="1"/>
  <c r="B10" i="3"/>
  <c r="B519" i="3" s="1"/>
  <c r="A10" i="3"/>
  <c r="A519" i="3" s="1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E9" i="3"/>
  <c r="E518" i="3" s="1"/>
  <c r="D9" i="3"/>
  <c r="D518" i="3" s="1"/>
  <c r="C9" i="3"/>
  <c r="C518" i="3" s="1"/>
  <c r="B9" i="3"/>
  <c r="B518" i="3" s="1"/>
  <c r="A9" i="3"/>
  <c r="A518" i="3" s="1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E8" i="3"/>
  <c r="E517" i="3" s="1"/>
  <c r="D8" i="3"/>
  <c r="D517" i="3" s="1"/>
  <c r="C8" i="3"/>
  <c r="C517" i="3" s="1"/>
  <c r="B8" i="3"/>
  <c r="B517" i="3" s="1"/>
  <c r="A8" i="3"/>
  <c r="A517" i="3" s="1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E7" i="3"/>
  <c r="E516" i="3" s="1"/>
  <c r="D7" i="3"/>
  <c r="D516" i="3" s="1"/>
  <c r="C7" i="3"/>
  <c r="C516" i="3" s="1"/>
  <c r="B7" i="3"/>
  <c r="B516" i="3" s="1"/>
  <c r="A7" i="3"/>
  <c r="A516" i="3" s="1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E6" i="3"/>
  <c r="E515" i="3" s="1"/>
  <c r="D6" i="3"/>
  <c r="D515" i="3" s="1"/>
  <c r="C6" i="3"/>
  <c r="C515" i="3" s="1"/>
  <c r="B6" i="3"/>
  <c r="B515" i="3" s="1"/>
  <c r="A6" i="3"/>
  <c r="A515" i="3" s="1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E5" i="3"/>
  <c r="E514" i="3" s="1"/>
  <c r="D5" i="3"/>
  <c r="D514" i="3" s="1"/>
  <c r="C5" i="3"/>
  <c r="C514" i="3" s="1"/>
  <c r="B5" i="3"/>
  <c r="B514" i="3" s="1"/>
  <c r="A5" i="3"/>
  <c r="A514" i="3" s="1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E4" i="3"/>
  <c r="E513" i="3" s="1"/>
  <c r="D4" i="3"/>
  <c r="D513" i="3" s="1"/>
  <c r="C4" i="3"/>
  <c r="C513" i="3" s="1"/>
  <c r="B4" i="3"/>
  <c r="B513" i="3" s="1"/>
  <c r="A4" i="3"/>
  <c r="A513" i="3" s="1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E3" i="3"/>
  <c r="B3" i="3"/>
  <c r="A3" i="3"/>
  <c r="E2" i="3"/>
  <c r="D2" i="3"/>
  <c r="C2" i="3"/>
  <c r="B2" i="3"/>
  <c r="A2" i="3"/>
  <c r="E495" i="2"/>
  <c r="D495" i="2"/>
  <c r="C495" i="2"/>
  <c r="B495" i="2"/>
  <c r="A495" i="2"/>
  <c r="E494" i="2"/>
  <c r="D494" i="2"/>
  <c r="C494" i="2"/>
  <c r="B494" i="2"/>
  <c r="A494" i="2"/>
  <c r="E493" i="2"/>
  <c r="D493" i="2"/>
  <c r="C493" i="2"/>
  <c r="B493" i="2"/>
  <c r="A493" i="2"/>
  <c r="E492" i="2"/>
  <c r="D492" i="2"/>
  <c r="C492" i="2"/>
  <c r="B492" i="2"/>
  <c r="A492" i="2"/>
  <c r="E491" i="2"/>
  <c r="D491" i="2"/>
  <c r="C491" i="2"/>
  <c r="B491" i="2"/>
  <c r="A491" i="2"/>
  <c r="E490" i="2"/>
  <c r="D490" i="2"/>
  <c r="C490" i="2"/>
  <c r="B490" i="2"/>
  <c r="A490" i="2"/>
  <c r="E489" i="2"/>
  <c r="D489" i="2"/>
  <c r="C489" i="2"/>
  <c r="B489" i="2"/>
  <c r="A489" i="2"/>
  <c r="E488" i="2"/>
  <c r="D488" i="2"/>
  <c r="C488" i="2"/>
  <c r="B488" i="2"/>
  <c r="A488" i="2"/>
  <c r="E487" i="2"/>
  <c r="D487" i="2"/>
  <c r="C487" i="2"/>
  <c r="B487" i="2"/>
  <c r="A487" i="2"/>
  <c r="E486" i="2"/>
  <c r="D486" i="2"/>
  <c r="C486" i="2"/>
  <c r="B486" i="2"/>
  <c r="A486" i="2"/>
  <c r="E485" i="2"/>
  <c r="D485" i="2"/>
  <c r="C485" i="2"/>
  <c r="B485" i="2"/>
  <c r="A485" i="2"/>
  <c r="E484" i="2"/>
  <c r="D484" i="2"/>
  <c r="C484" i="2"/>
  <c r="B484" i="2"/>
  <c r="A484" i="2"/>
  <c r="E483" i="2"/>
  <c r="D483" i="2"/>
  <c r="C483" i="2"/>
  <c r="B483" i="2"/>
  <c r="A483" i="2"/>
  <c r="E482" i="2"/>
  <c r="D482" i="2"/>
  <c r="C482" i="2"/>
  <c r="B482" i="2"/>
  <c r="A482" i="2"/>
  <c r="E481" i="2"/>
  <c r="D481" i="2"/>
  <c r="C481" i="2"/>
  <c r="B481" i="2"/>
  <c r="A481" i="2"/>
  <c r="E480" i="2"/>
  <c r="D480" i="2"/>
  <c r="C480" i="2"/>
  <c r="B480" i="2"/>
  <c r="A480" i="2"/>
  <c r="E479" i="2"/>
  <c r="D479" i="2"/>
  <c r="C479" i="2"/>
  <c r="B479" i="2"/>
  <c r="A479" i="2"/>
  <c r="E478" i="2"/>
  <c r="D478" i="2"/>
  <c r="C478" i="2"/>
  <c r="B478" i="2"/>
  <c r="A478" i="2"/>
  <c r="E477" i="2"/>
  <c r="D477" i="2"/>
  <c r="C477" i="2"/>
  <c r="B477" i="2"/>
  <c r="A477" i="2"/>
  <c r="E476" i="2"/>
  <c r="D476" i="2"/>
  <c r="C476" i="2"/>
  <c r="B476" i="2"/>
  <c r="A476" i="2"/>
  <c r="E475" i="2"/>
  <c r="D475" i="2"/>
  <c r="C475" i="2"/>
  <c r="B475" i="2"/>
  <c r="A475" i="2"/>
  <c r="E474" i="2"/>
  <c r="D474" i="2"/>
  <c r="C474" i="2"/>
  <c r="B474" i="2"/>
  <c r="A474" i="2"/>
  <c r="E473" i="2"/>
  <c r="D473" i="2"/>
  <c r="C473" i="2"/>
  <c r="B473" i="2"/>
  <c r="A473" i="2"/>
  <c r="E472" i="2"/>
  <c r="D472" i="2"/>
  <c r="C472" i="2"/>
  <c r="B472" i="2"/>
  <c r="A472" i="2"/>
  <c r="E471" i="2"/>
  <c r="D471" i="2"/>
  <c r="C471" i="2"/>
  <c r="B471" i="2"/>
  <c r="A471" i="2"/>
  <c r="E470" i="2"/>
  <c r="D470" i="2"/>
  <c r="C470" i="2"/>
  <c r="B470" i="2"/>
  <c r="A470" i="2"/>
  <c r="E469" i="2"/>
  <c r="D469" i="2"/>
  <c r="C469" i="2"/>
  <c r="B469" i="2"/>
  <c r="A469" i="2"/>
  <c r="E468" i="2"/>
  <c r="D468" i="2"/>
  <c r="C468" i="2"/>
  <c r="B468" i="2"/>
  <c r="A468" i="2"/>
  <c r="E467" i="2"/>
  <c r="D467" i="2"/>
  <c r="C467" i="2"/>
  <c r="B467" i="2"/>
  <c r="A467" i="2"/>
  <c r="E466" i="2"/>
  <c r="D466" i="2"/>
  <c r="C466" i="2"/>
  <c r="B466" i="2"/>
  <c r="A466" i="2"/>
  <c r="E465" i="2"/>
  <c r="D465" i="2"/>
  <c r="C465" i="2"/>
  <c r="B465" i="2"/>
  <c r="A465" i="2"/>
  <c r="E464" i="2"/>
  <c r="D464" i="2"/>
  <c r="C464" i="2"/>
  <c r="B464" i="2"/>
  <c r="A464" i="2"/>
  <c r="E463" i="2"/>
  <c r="D463" i="2"/>
  <c r="C463" i="2"/>
  <c r="B463" i="2"/>
  <c r="A463" i="2"/>
  <c r="E462" i="2"/>
  <c r="D462" i="2"/>
  <c r="C462" i="2"/>
  <c r="B462" i="2"/>
  <c r="A462" i="2"/>
  <c r="E461" i="2"/>
  <c r="D461" i="2"/>
  <c r="C461" i="2"/>
  <c r="B461" i="2"/>
  <c r="A461" i="2"/>
  <c r="E460" i="2"/>
  <c r="D460" i="2"/>
  <c r="C460" i="2"/>
  <c r="B460" i="2"/>
  <c r="A460" i="2"/>
  <c r="E459" i="2"/>
  <c r="D459" i="2"/>
  <c r="C459" i="2"/>
  <c r="B459" i="2"/>
  <c r="A459" i="2"/>
  <c r="E458" i="2"/>
  <c r="D458" i="2"/>
  <c r="C458" i="2"/>
  <c r="B458" i="2"/>
  <c r="A458" i="2"/>
  <c r="E457" i="2"/>
  <c r="D457" i="2"/>
  <c r="C457" i="2"/>
  <c r="B457" i="2"/>
  <c r="A457" i="2"/>
  <c r="E456" i="2"/>
  <c r="D456" i="2"/>
  <c r="C456" i="2"/>
  <c r="B456" i="2"/>
  <c r="A456" i="2"/>
  <c r="E455" i="2"/>
  <c r="D455" i="2"/>
  <c r="C455" i="2"/>
  <c r="B455" i="2"/>
  <c r="A455" i="2"/>
  <c r="E454" i="2"/>
  <c r="D454" i="2"/>
  <c r="C454" i="2"/>
  <c r="B454" i="2"/>
  <c r="A454" i="2"/>
  <c r="E453" i="2"/>
  <c r="D453" i="2"/>
  <c r="C453" i="2"/>
  <c r="B453" i="2"/>
  <c r="A453" i="2"/>
  <c r="E452" i="2"/>
  <c r="D452" i="2"/>
  <c r="C452" i="2"/>
  <c r="B452" i="2"/>
  <c r="A452" i="2"/>
  <c r="E451" i="2"/>
  <c r="D451" i="2"/>
  <c r="C451" i="2"/>
  <c r="B451" i="2"/>
  <c r="A451" i="2"/>
  <c r="E450" i="2"/>
  <c r="D450" i="2"/>
  <c r="C450" i="2"/>
  <c r="B450" i="2"/>
  <c r="A450" i="2"/>
  <c r="E449" i="2"/>
  <c r="D449" i="2"/>
  <c r="C449" i="2"/>
  <c r="B449" i="2"/>
  <c r="A449" i="2"/>
  <c r="E448" i="2"/>
  <c r="D448" i="2"/>
  <c r="C448" i="2"/>
  <c r="B448" i="2"/>
  <c r="A448" i="2"/>
  <c r="E447" i="2"/>
  <c r="D447" i="2"/>
  <c r="C447" i="2"/>
  <c r="B447" i="2"/>
  <c r="A447" i="2"/>
  <c r="E446" i="2"/>
  <c r="D446" i="2"/>
  <c r="C446" i="2"/>
  <c r="B446" i="2"/>
  <c r="A446" i="2"/>
  <c r="E445" i="2"/>
  <c r="D445" i="2"/>
  <c r="C445" i="2"/>
  <c r="B445" i="2"/>
  <c r="A445" i="2"/>
  <c r="E444" i="2"/>
  <c r="D444" i="2"/>
  <c r="C444" i="2"/>
  <c r="B444" i="2"/>
  <c r="A444" i="2"/>
  <c r="E443" i="2"/>
  <c r="D443" i="2"/>
  <c r="C443" i="2"/>
  <c r="B443" i="2"/>
  <c r="A443" i="2"/>
  <c r="E442" i="2"/>
  <c r="D442" i="2"/>
  <c r="C442" i="2"/>
  <c r="B442" i="2"/>
  <c r="A442" i="2"/>
  <c r="E441" i="2"/>
  <c r="D441" i="2"/>
  <c r="C441" i="2"/>
  <c r="B441" i="2"/>
  <c r="A441" i="2"/>
  <c r="E440" i="2"/>
  <c r="D440" i="2"/>
  <c r="C440" i="2"/>
  <c r="B440" i="2"/>
  <c r="A440" i="2"/>
  <c r="E439" i="2"/>
  <c r="D439" i="2"/>
  <c r="C439" i="2"/>
  <c r="B439" i="2"/>
  <c r="A439" i="2"/>
  <c r="E438" i="2"/>
  <c r="D438" i="2"/>
  <c r="C438" i="2"/>
  <c r="B438" i="2"/>
  <c r="A438" i="2"/>
  <c r="E437" i="2"/>
  <c r="D437" i="2"/>
  <c r="C437" i="2"/>
  <c r="B437" i="2"/>
  <c r="A437" i="2"/>
  <c r="E436" i="2"/>
  <c r="D436" i="2"/>
  <c r="C436" i="2"/>
  <c r="B436" i="2"/>
  <c r="A436" i="2"/>
  <c r="E435" i="2"/>
  <c r="D435" i="2"/>
  <c r="C435" i="2"/>
  <c r="B435" i="2"/>
  <c r="A435" i="2"/>
  <c r="E434" i="2"/>
  <c r="D434" i="2"/>
  <c r="C434" i="2"/>
  <c r="B434" i="2"/>
  <c r="A434" i="2"/>
  <c r="E433" i="2"/>
  <c r="D433" i="2"/>
  <c r="C433" i="2"/>
  <c r="B433" i="2"/>
  <c r="A433" i="2"/>
  <c r="E432" i="2"/>
  <c r="D432" i="2"/>
  <c r="C432" i="2"/>
  <c r="B432" i="2"/>
  <c r="A432" i="2"/>
  <c r="E431" i="2"/>
  <c r="D431" i="2"/>
  <c r="C431" i="2"/>
  <c r="B431" i="2"/>
  <c r="A431" i="2"/>
  <c r="E430" i="2"/>
  <c r="D430" i="2"/>
  <c r="C430" i="2"/>
  <c r="B430" i="2"/>
  <c r="A430" i="2"/>
  <c r="E429" i="2"/>
  <c r="D429" i="2"/>
  <c r="C429" i="2"/>
  <c r="B429" i="2"/>
  <c r="A429" i="2"/>
  <c r="E428" i="2"/>
  <c r="D428" i="2"/>
  <c r="C428" i="2"/>
  <c r="B428" i="2"/>
  <c r="A428" i="2"/>
  <c r="E427" i="2"/>
  <c r="D427" i="2"/>
  <c r="C427" i="2"/>
  <c r="B427" i="2"/>
  <c r="A427" i="2"/>
  <c r="E426" i="2"/>
  <c r="D426" i="2"/>
  <c r="C426" i="2"/>
  <c r="B426" i="2"/>
  <c r="A426" i="2"/>
  <c r="E425" i="2"/>
  <c r="D425" i="2"/>
  <c r="C425" i="2"/>
  <c r="B425" i="2"/>
  <c r="A425" i="2"/>
  <c r="E424" i="2"/>
  <c r="D424" i="2"/>
  <c r="C424" i="2"/>
  <c r="B424" i="2"/>
  <c r="A424" i="2"/>
  <c r="E423" i="2"/>
  <c r="D423" i="2"/>
  <c r="C423" i="2"/>
  <c r="B423" i="2"/>
  <c r="A423" i="2"/>
  <c r="E422" i="2"/>
  <c r="D422" i="2"/>
  <c r="C422" i="2"/>
  <c r="B422" i="2"/>
  <c r="A422" i="2"/>
  <c r="E421" i="2"/>
  <c r="D421" i="2"/>
  <c r="C421" i="2"/>
  <c r="B421" i="2"/>
  <c r="A421" i="2"/>
  <c r="E420" i="2"/>
  <c r="D420" i="2"/>
  <c r="C420" i="2"/>
  <c r="B420" i="2"/>
  <c r="A420" i="2"/>
  <c r="E419" i="2"/>
  <c r="D419" i="2"/>
  <c r="C419" i="2"/>
  <c r="B419" i="2"/>
  <c r="A419" i="2"/>
  <c r="E418" i="2"/>
  <c r="D418" i="2"/>
  <c r="C418" i="2"/>
  <c r="B418" i="2"/>
  <c r="A418" i="2"/>
  <c r="E417" i="2"/>
  <c r="D417" i="2"/>
  <c r="C417" i="2"/>
  <c r="B417" i="2"/>
  <c r="A417" i="2"/>
  <c r="E416" i="2"/>
  <c r="D416" i="2"/>
  <c r="C416" i="2"/>
  <c r="B416" i="2"/>
  <c r="A416" i="2"/>
  <c r="E415" i="2"/>
  <c r="D415" i="2"/>
  <c r="C415" i="2"/>
  <c r="B415" i="2"/>
  <c r="A415" i="2"/>
  <c r="E414" i="2"/>
  <c r="D414" i="2"/>
  <c r="C414" i="2"/>
  <c r="B414" i="2"/>
  <c r="A414" i="2"/>
  <c r="E413" i="2"/>
  <c r="D413" i="2"/>
  <c r="C413" i="2"/>
  <c r="B413" i="2"/>
  <c r="A413" i="2"/>
  <c r="E412" i="2"/>
  <c r="D412" i="2"/>
  <c r="C412" i="2"/>
  <c r="B412" i="2"/>
  <c r="A412" i="2"/>
  <c r="E411" i="2"/>
  <c r="D411" i="2"/>
  <c r="C411" i="2"/>
  <c r="B411" i="2"/>
  <c r="A411" i="2"/>
  <c r="E410" i="2"/>
  <c r="D410" i="2"/>
  <c r="C410" i="2"/>
  <c r="B410" i="2"/>
  <c r="A410" i="2"/>
  <c r="E409" i="2"/>
  <c r="D409" i="2"/>
  <c r="C409" i="2"/>
  <c r="B409" i="2"/>
  <c r="A409" i="2"/>
  <c r="E408" i="2"/>
  <c r="D408" i="2"/>
  <c r="C408" i="2"/>
  <c r="B408" i="2"/>
  <c r="A408" i="2"/>
  <c r="E407" i="2"/>
  <c r="D407" i="2"/>
  <c r="C407" i="2"/>
  <c r="B407" i="2"/>
  <c r="A407" i="2"/>
  <c r="E406" i="2"/>
  <c r="D406" i="2"/>
  <c r="C406" i="2"/>
  <c r="B406" i="2"/>
  <c r="A406" i="2"/>
  <c r="E405" i="2"/>
  <c r="D405" i="2"/>
  <c r="C405" i="2"/>
  <c r="B405" i="2"/>
  <c r="A405" i="2"/>
  <c r="E404" i="2"/>
  <c r="D404" i="2"/>
  <c r="C404" i="2"/>
  <c r="B404" i="2"/>
  <c r="A404" i="2"/>
  <c r="E403" i="2"/>
  <c r="D403" i="2"/>
  <c r="C403" i="2"/>
  <c r="B403" i="2"/>
  <c r="A403" i="2"/>
  <c r="E402" i="2"/>
  <c r="D402" i="2"/>
  <c r="C402" i="2"/>
  <c r="B402" i="2"/>
  <c r="A402" i="2"/>
  <c r="E401" i="2"/>
  <c r="D401" i="2"/>
  <c r="C401" i="2"/>
  <c r="B401" i="2"/>
  <c r="A401" i="2"/>
  <c r="E400" i="2"/>
  <c r="D400" i="2"/>
  <c r="C400" i="2"/>
  <c r="B400" i="2"/>
  <c r="A400" i="2"/>
  <c r="E399" i="2"/>
  <c r="D399" i="2"/>
  <c r="C399" i="2"/>
  <c r="B399" i="2"/>
  <c r="A399" i="2"/>
  <c r="E398" i="2"/>
  <c r="D398" i="2"/>
  <c r="C398" i="2"/>
  <c r="B398" i="2"/>
  <c r="A398" i="2"/>
  <c r="E397" i="2"/>
  <c r="D397" i="2"/>
  <c r="C397" i="2"/>
  <c r="B397" i="2"/>
  <c r="A397" i="2"/>
  <c r="E396" i="2"/>
  <c r="D396" i="2"/>
  <c r="C396" i="2"/>
  <c r="B396" i="2"/>
  <c r="A396" i="2"/>
  <c r="E395" i="2"/>
  <c r="D395" i="2"/>
  <c r="C395" i="2"/>
  <c r="B395" i="2"/>
  <c r="A395" i="2"/>
  <c r="E394" i="2"/>
  <c r="D394" i="2"/>
  <c r="C394" i="2"/>
  <c r="B394" i="2"/>
  <c r="A394" i="2"/>
  <c r="E393" i="2"/>
  <c r="D393" i="2"/>
  <c r="C393" i="2"/>
  <c r="B393" i="2"/>
  <c r="A393" i="2"/>
  <c r="E392" i="2"/>
  <c r="D392" i="2"/>
  <c r="C392" i="2"/>
  <c r="B392" i="2"/>
  <c r="A392" i="2"/>
  <c r="E391" i="2"/>
  <c r="D391" i="2"/>
  <c r="C391" i="2"/>
  <c r="B391" i="2"/>
  <c r="A391" i="2"/>
  <c r="E390" i="2"/>
  <c r="D390" i="2"/>
  <c r="C390" i="2"/>
  <c r="B390" i="2"/>
  <c r="A390" i="2"/>
  <c r="E389" i="2"/>
  <c r="D389" i="2"/>
  <c r="C389" i="2"/>
  <c r="B389" i="2"/>
  <c r="A389" i="2"/>
  <c r="E388" i="2"/>
  <c r="D388" i="2"/>
  <c r="C388" i="2"/>
  <c r="B388" i="2"/>
  <c r="A388" i="2"/>
  <c r="E387" i="2"/>
  <c r="D387" i="2"/>
  <c r="C387" i="2"/>
  <c r="B387" i="2"/>
  <c r="A387" i="2"/>
  <c r="E386" i="2"/>
  <c r="D386" i="2"/>
  <c r="C386" i="2"/>
  <c r="B386" i="2"/>
  <c r="A386" i="2"/>
  <c r="E385" i="2"/>
  <c r="D385" i="2"/>
  <c r="C385" i="2"/>
  <c r="B385" i="2"/>
  <c r="A385" i="2"/>
  <c r="E384" i="2"/>
  <c r="D384" i="2"/>
  <c r="C384" i="2"/>
  <c r="B384" i="2"/>
  <c r="A384" i="2"/>
  <c r="E383" i="2"/>
  <c r="D383" i="2"/>
  <c r="C383" i="2"/>
  <c r="B383" i="2"/>
  <c r="A383" i="2"/>
  <c r="E382" i="2"/>
  <c r="D382" i="2"/>
  <c r="C382" i="2"/>
  <c r="B382" i="2"/>
  <c r="A382" i="2"/>
  <c r="E381" i="2"/>
  <c r="D381" i="2"/>
  <c r="C381" i="2"/>
  <c r="B381" i="2"/>
  <c r="A381" i="2"/>
  <c r="E380" i="2"/>
  <c r="D380" i="2"/>
  <c r="C380" i="2"/>
  <c r="B380" i="2"/>
  <c r="A380" i="2"/>
  <c r="E379" i="2"/>
  <c r="D379" i="2"/>
  <c r="C379" i="2"/>
  <c r="B379" i="2"/>
  <c r="A379" i="2"/>
  <c r="E378" i="2"/>
  <c r="D378" i="2"/>
  <c r="C378" i="2"/>
  <c r="B378" i="2"/>
  <c r="A378" i="2"/>
  <c r="E377" i="2"/>
  <c r="D377" i="2"/>
  <c r="C377" i="2"/>
  <c r="B377" i="2"/>
  <c r="A377" i="2"/>
  <c r="E376" i="2"/>
  <c r="D376" i="2"/>
  <c r="C376" i="2"/>
  <c r="B376" i="2"/>
  <c r="A376" i="2"/>
  <c r="E375" i="2"/>
  <c r="D375" i="2"/>
  <c r="C375" i="2"/>
  <c r="B375" i="2"/>
  <c r="A375" i="2"/>
  <c r="E374" i="2"/>
  <c r="D374" i="2"/>
  <c r="C374" i="2"/>
  <c r="B374" i="2"/>
  <c r="A374" i="2"/>
  <c r="E373" i="2"/>
  <c r="D373" i="2"/>
  <c r="C373" i="2"/>
  <c r="B373" i="2"/>
  <c r="A373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E371" i="2"/>
  <c r="D371" i="2"/>
  <c r="C371" i="2"/>
  <c r="B371" i="2"/>
  <c r="A371" i="2"/>
  <c r="E370" i="2"/>
  <c r="D370" i="2"/>
  <c r="C370" i="2"/>
  <c r="B370" i="2"/>
  <c r="A370" i="2"/>
  <c r="E369" i="2"/>
  <c r="D369" i="2"/>
  <c r="C369" i="2"/>
  <c r="B369" i="2"/>
  <c r="A369" i="2"/>
  <c r="E368" i="2"/>
  <c r="D368" i="2"/>
  <c r="C368" i="2"/>
  <c r="B368" i="2"/>
  <c r="A368" i="2"/>
  <c r="E367" i="2"/>
  <c r="D367" i="2"/>
  <c r="C367" i="2"/>
  <c r="B367" i="2"/>
  <c r="A367" i="2"/>
  <c r="E366" i="2"/>
  <c r="D366" i="2"/>
  <c r="C366" i="2"/>
  <c r="B366" i="2"/>
  <c r="A366" i="2"/>
  <c r="E365" i="2"/>
  <c r="D365" i="2"/>
  <c r="C365" i="2"/>
  <c r="B365" i="2"/>
  <c r="A365" i="2"/>
  <c r="E364" i="2"/>
  <c r="D364" i="2"/>
  <c r="C364" i="2"/>
  <c r="B364" i="2"/>
  <c r="A364" i="2"/>
  <c r="E363" i="2"/>
  <c r="D363" i="2"/>
  <c r="C363" i="2"/>
  <c r="B363" i="2"/>
  <c r="A363" i="2"/>
  <c r="E362" i="2"/>
  <c r="D362" i="2"/>
  <c r="C362" i="2"/>
  <c r="B362" i="2"/>
  <c r="A362" i="2"/>
  <c r="E361" i="2"/>
  <c r="D361" i="2"/>
  <c r="C361" i="2"/>
  <c r="B361" i="2"/>
  <c r="A361" i="2"/>
  <c r="E360" i="2"/>
  <c r="D360" i="2"/>
  <c r="C360" i="2"/>
  <c r="B360" i="2"/>
  <c r="A360" i="2"/>
  <c r="E359" i="2"/>
  <c r="D359" i="2"/>
  <c r="C359" i="2"/>
  <c r="B359" i="2"/>
  <c r="A359" i="2"/>
  <c r="E358" i="2"/>
  <c r="D358" i="2"/>
  <c r="C358" i="2"/>
  <c r="B358" i="2"/>
  <c r="A358" i="2"/>
  <c r="E357" i="2"/>
  <c r="D357" i="2"/>
  <c r="C357" i="2"/>
  <c r="B357" i="2"/>
  <c r="A357" i="2"/>
  <c r="E356" i="2"/>
  <c r="D356" i="2"/>
  <c r="C356" i="2"/>
  <c r="B356" i="2"/>
  <c r="A356" i="2"/>
  <c r="E355" i="2"/>
  <c r="D355" i="2"/>
  <c r="C355" i="2"/>
  <c r="B355" i="2"/>
  <c r="A355" i="2"/>
  <c r="E354" i="2"/>
  <c r="D354" i="2"/>
  <c r="C354" i="2"/>
  <c r="B354" i="2"/>
  <c r="A354" i="2"/>
  <c r="E353" i="2"/>
  <c r="D353" i="2"/>
  <c r="C353" i="2"/>
  <c r="B353" i="2"/>
  <c r="A353" i="2"/>
  <c r="E352" i="2"/>
  <c r="D352" i="2"/>
  <c r="C352" i="2"/>
  <c r="B352" i="2"/>
  <c r="A352" i="2"/>
  <c r="E351" i="2"/>
  <c r="D351" i="2"/>
  <c r="C351" i="2"/>
  <c r="B351" i="2"/>
  <c r="A351" i="2"/>
  <c r="E350" i="2"/>
  <c r="D350" i="2"/>
  <c r="C350" i="2"/>
  <c r="B350" i="2"/>
  <c r="A350" i="2"/>
  <c r="E349" i="2"/>
  <c r="D349" i="2"/>
  <c r="C349" i="2"/>
  <c r="B349" i="2"/>
  <c r="A349" i="2"/>
  <c r="E348" i="2"/>
  <c r="D348" i="2"/>
  <c r="C348" i="2"/>
  <c r="B348" i="2"/>
  <c r="A348" i="2"/>
  <c r="E347" i="2"/>
  <c r="D347" i="2"/>
  <c r="C347" i="2"/>
  <c r="B347" i="2"/>
  <c r="A347" i="2"/>
  <c r="E346" i="2"/>
  <c r="D346" i="2"/>
  <c r="C346" i="2"/>
  <c r="B346" i="2"/>
  <c r="A346" i="2"/>
  <c r="E345" i="2"/>
  <c r="D345" i="2"/>
  <c r="C345" i="2"/>
  <c r="B345" i="2"/>
  <c r="A345" i="2"/>
  <c r="E344" i="2"/>
  <c r="D344" i="2"/>
  <c r="C344" i="2"/>
  <c r="B344" i="2"/>
  <c r="A344" i="2"/>
  <c r="E343" i="2"/>
  <c r="D343" i="2"/>
  <c r="C343" i="2"/>
  <c r="B343" i="2"/>
  <c r="A343" i="2"/>
  <c r="E342" i="2"/>
  <c r="D342" i="2"/>
  <c r="C342" i="2"/>
  <c r="B342" i="2"/>
  <c r="A342" i="2"/>
  <c r="E341" i="2"/>
  <c r="D341" i="2"/>
  <c r="C341" i="2"/>
  <c r="B341" i="2"/>
  <c r="A341" i="2"/>
  <c r="E340" i="2"/>
  <c r="D340" i="2"/>
  <c r="C340" i="2"/>
  <c r="B340" i="2"/>
  <c r="A340" i="2"/>
  <c r="E339" i="2"/>
  <c r="D339" i="2"/>
  <c r="C339" i="2"/>
  <c r="B339" i="2"/>
  <c r="A339" i="2"/>
  <c r="E338" i="2"/>
  <c r="D338" i="2"/>
  <c r="C338" i="2"/>
  <c r="B338" i="2"/>
  <c r="A338" i="2"/>
  <c r="E337" i="2"/>
  <c r="D337" i="2"/>
  <c r="C337" i="2"/>
  <c r="B337" i="2"/>
  <c r="A337" i="2"/>
  <c r="E336" i="2"/>
  <c r="D336" i="2"/>
  <c r="C336" i="2"/>
  <c r="B336" i="2"/>
  <c r="A336" i="2"/>
  <c r="E335" i="2"/>
  <c r="D335" i="2"/>
  <c r="C335" i="2"/>
  <c r="B335" i="2"/>
  <c r="A335" i="2"/>
  <c r="E334" i="2"/>
  <c r="D334" i="2"/>
  <c r="C334" i="2"/>
  <c r="B334" i="2"/>
  <c r="A334" i="2"/>
  <c r="E333" i="2"/>
  <c r="D333" i="2"/>
  <c r="C333" i="2"/>
  <c r="B333" i="2"/>
  <c r="A333" i="2"/>
  <c r="E332" i="2"/>
  <c r="D332" i="2"/>
  <c r="C332" i="2"/>
  <c r="B332" i="2"/>
  <c r="A332" i="2"/>
  <c r="E331" i="2"/>
  <c r="D331" i="2"/>
  <c r="C331" i="2"/>
  <c r="B331" i="2"/>
  <c r="A331" i="2"/>
  <c r="E330" i="2"/>
  <c r="D330" i="2"/>
  <c r="C330" i="2"/>
  <c r="B330" i="2"/>
  <c r="A330" i="2"/>
  <c r="E329" i="2"/>
  <c r="D329" i="2"/>
  <c r="C329" i="2"/>
  <c r="B329" i="2"/>
  <c r="A329" i="2"/>
  <c r="E328" i="2"/>
  <c r="D328" i="2"/>
  <c r="C328" i="2"/>
  <c r="B328" i="2"/>
  <c r="A328" i="2"/>
  <c r="E327" i="2"/>
  <c r="D327" i="2"/>
  <c r="C327" i="2"/>
  <c r="B327" i="2"/>
  <c r="A327" i="2"/>
  <c r="E326" i="2"/>
  <c r="D326" i="2"/>
  <c r="C326" i="2"/>
  <c r="B326" i="2"/>
  <c r="A326" i="2"/>
  <c r="E325" i="2"/>
  <c r="D325" i="2"/>
  <c r="C325" i="2"/>
  <c r="B325" i="2"/>
  <c r="A325" i="2"/>
  <c r="E324" i="2"/>
  <c r="D324" i="2"/>
  <c r="C324" i="2"/>
  <c r="B324" i="2"/>
  <c r="A324" i="2"/>
  <c r="E323" i="2"/>
  <c r="D323" i="2"/>
  <c r="C323" i="2"/>
  <c r="B323" i="2"/>
  <c r="A323" i="2"/>
  <c r="E322" i="2"/>
  <c r="D322" i="2"/>
  <c r="C322" i="2"/>
  <c r="B322" i="2"/>
  <c r="A322" i="2"/>
  <c r="E321" i="2"/>
  <c r="D321" i="2"/>
  <c r="C321" i="2"/>
  <c r="B321" i="2"/>
  <c r="A321" i="2"/>
  <c r="E320" i="2"/>
  <c r="D320" i="2"/>
  <c r="C320" i="2"/>
  <c r="B320" i="2"/>
  <c r="A320" i="2"/>
  <c r="E319" i="2"/>
  <c r="D319" i="2"/>
  <c r="C319" i="2"/>
  <c r="B319" i="2"/>
  <c r="A319" i="2"/>
  <c r="E318" i="2"/>
  <c r="D318" i="2"/>
  <c r="C318" i="2"/>
  <c r="B318" i="2"/>
  <c r="A318" i="2"/>
  <c r="E317" i="2"/>
  <c r="D317" i="2"/>
  <c r="C317" i="2"/>
  <c r="B317" i="2"/>
  <c r="A317" i="2"/>
  <c r="E316" i="2"/>
  <c r="D316" i="2"/>
  <c r="C316" i="2"/>
  <c r="B316" i="2"/>
  <c r="A316" i="2"/>
  <c r="E315" i="2"/>
  <c r="D315" i="2"/>
  <c r="C315" i="2"/>
  <c r="B315" i="2"/>
  <c r="A315" i="2"/>
  <c r="E314" i="2"/>
  <c r="D314" i="2"/>
  <c r="C314" i="2"/>
  <c r="B314" i="2"/>
  <c r="A314" i="2"/>
  <c r="E313" i="2"/>
  <c r="D313" i="2"/>
  <c r="C313" i="2"/>
  <c r="B313" i="2"/>
  <c r="A313" i="2"/>
  <c r="E312" i="2"/>
  <c r="D312" i="2"/>
  <c r="C312" i="2"/>
  <c r="B312" i="2"/>
  <c r="A312" i="2"/>
  <c r="E311" i="2"/>
  <c r="D311" i="2"/>
  <c r="C311" i="2"/>
  <c r="B311" i="2"/>
  <c r="A311" i="2"/>
  <c r="E310" i="2"/>
  <c r="D310" i="2"/>
  <c r="C310" i="2"/>
  <c r="B310" i="2"/>
  <c r="A310" i="2"/>
  <c r="E309" i="2"/>
  <c r="D309" i="2"/>
  <c r="C309" i="2"/>
  <c r="B309" i="2"/>
  <c r="A309" i="2"/>
  <c r="E308" i="2"/>
  <c r="D308" i="2"/>
  <c r="C308" i="2"/>
  <c r="B308" i="2"/>
  <c r="A308" i="2"/>
  <c r="E307" i="2"/>
  <c r="D307" i="2"/>
  <c r="C307" i="2"/>
  <c r="B307" i="2"/>
  <c r="A307" i="2"/>
  <c r="E306" i="2"/>
  <c r="D306" i="2"/>
  <c r="C306" i="2"/>
  <c r="B306" i="2"/>
  <c r="A306" i="2"/>
  <c r="E305" i="2"/>
  <c r="D305" i="2"/>
  <c r="C305" i="2"/>
  <c r="B305" i="2"/>
  <c r="A305" i="2"/>
  <c r="E304" i="2"/>
  <c r="D304" i="2"/>
  <c r="C304" i="2"/>
  <c r="B304" i="2"/>
  <c r="A304" i="2"/>
  <c r="E303" i="2"/>
  <c r="D303" i="2"/>
  <c r="C303" i="2"/>
  <c r="B303" i="2"/>
  <c r="A303" i="2"/>
  <c r="E302" i="2"/>
  <c r="D302" i="2"/>
  <c r="C302" i="2"/>
  <c r="B302" i="2"/>
  <c r="A302" i="2"/>
  <c r="E301" i="2"/>
  <c r="D301" i="2"/>
  <c r="C301" i="2"/>
  <c r="B301" i="2"/>
  <c r="A301" i="2"/>
  <c r="E300" i="2"/>
  <c r="D300" i="2"/>
  <c r="C300" i="2"/>
  <c r="B300" i="2"/>
  <c r="A300" i="2"/>
  <c r="E299" i="2"/>
  <c r="D299" i="2"/>
  <c r="C299" i="2"/>
  <c r="B299" i="2"/>
  <c r="A299" i="2"/>
  <c r="E298" i="2"/>
  <c r="D298" i="2"/>
  <c r="C298" i="2"/>
  <c r="B298" i="2"/>
  <c r="A298" i="2"/>
  <c r="E297" i="2"/>
  <c r="D297" i="2"/>
  <c r="C297" i="2"/>
  <c r="B297" i="2"/>
  <c r="A297" i="2"/>
  <c r="E296" i="2"/>
  <c r="D296" i="2"/>
  <c r="C296" i="2"/>
  <c r="B296" i="2"/>
  <c r="A296" i="2"/>
  <c r="E295" i="2"/>
  <c r="D295" i="2"/>
  <c r="C295" i="2"/>
  <c r="B295" i="2"/>
  <c r="A295" i="2"/>
  <c r="E294" i="2"/>
  <c r="D294" i="2"/>
  <c r="C294" i="2"/>
  <c r="B294" i="2"/>
  <c r="A294" i="2"/>
  <c r="E293" i="2"/>
  <c r="D293" i="2"/>
  <c r="C293" i="2"/>
  <c r="B293" i="2"/>
  <c r="A293" i="2"/>
  <c r="E292" i="2"/>
  <c r="D292" i="2"/>
  <c r="C292" i="2"/>
  <c r="B292" i="2"/>
  <c r="A292" i="2"/>
  <c r="E291" i="2"/>
  <c r="D291" i="2"/>
  <c r="C291" i="2"/>
  <c r="B291" i="2"/>
  <c r="A291" i="2"/>
  <c r="E290" i="2"/>
  <c r="D290" i="2"/>
  <c r="C290" i="2"/>
  <c r="B290" i="2"/>
  <c r="A290" i="2"/>
  <c r="E289" i="2"/>
  <c r="D289" i="2"/>
  <c r="C289" i="2"/>
  <c r="B289" i="2"/>
  <c r="A289" i="2"/>
  <c r="E288" i="2"/>
  <c r="D288" i="2"/>
  <c r="C288" i="2"/>
  <c r="B288" i="2"/>
  <c r="A288" i="2"/>
  <c r="E287" i="2"/>
  <c r="D287" i="2"/>
  <c r="C287" i="2"/>
  <c r="B287" i="2"/>
  <c r="A287" i="2"/>
  <c r="E286" i="2"/>
  <c r="D286" i="2"/>
  <c r="C286" i="2"/>
  <c r="B286" i="2"/>
  <c r="A286" i="2"/>
  <c r="E285" i="2"/>
  <c r="D285" i="2"/>
  <c r="C285" i="2"/>
  <c r="B285" i="2"/>
  <c r="A285" i="2"/>
  <c r="E284" i="2"/>
  <c r="D284" i="2"/>
  <c r="C284" i="2"/>
  <c r="B284" i="2"/>
  <c r="A284" i="2"/>
  <c r="E283" i="2"/>
  <c r="D283" i="2"/>
  <c r="C283" i="2"/>
  <c r="B283" i="2"/>
  <c r="A283" i="2"/>
  <c r="E282" i="2"/>
  <c r="D282" i="2"/>
  <c r="C282" i="2"/>
  <c r="B282" i="2"/>
  <c r="A282" i="2"/>
  <c r="E281" i="2"/>
  <c r="D281" i="2"/>
  <c r="C281" i="2"/>
  <c r="B281" i="2"/>
  <c r="A281" i="2"/>
  <c r="E280" i="2"/>
  <c r="D280" i="2"/>
  <c r="C280" i="2"/>
  <c r="B280" i="2"/>
  <c r="A280" i="2"/>
  <c r="E279" i="2"/>
  <c r="D279" i="2"/>
  <c r="C279" i="2"/>
  <c r="B279" i="2"/>
  <c r="A279" i="2"/>
  <c r="E278" i="2"/>
  <c r="D278" i="2"/>
  <c r="C278" i="2"/>
  <c r="B278" i="2"/>
  <c r="A278" i="2"/>
  <c r="E277" i="2"/>
  <c r="D277" i="2"/>
  <c r="C277" i="2"/>
  <c r="B277" i="2"/>
  <c r="A277" i="2"/>
  <c r="E276" i="2"/>
  <c r="D276" i="2"/>
  <c r="C276" i="2"/>
  <c r="B276" i="2"/>
  <c r="A276" i="2"/>
  <c r="E275" i="2"/>
  <c r="D275" i="2"/>
  <c r="C275" i="2"/>
  <c r="B275" i="2"/>
  <c r="A275" i="2"/>
  <c r="E274" i="2"/>
  <c r="D274" i="2"/>
  <c r="C274" i="2"/>
  <c r="B274" i="2"/>
  <c r="A274" i="2"/>
  <c r="E273" i="2"/>
  <c r="D273" i="2"/>
  <c r="C273" i="2"/>
  <c r="B273" i="2"/>
  <c r="A273" i="2"/>
  <c r="E272" i="2"/>
  <c r="D272" i="2"/>
  <c r="C272" i="2"/>
  <c r="B272" i="2"/>
  <c r="A272" i="2"/>
  <c r="E271" i="2"/>
  <c r="D271" i="2"/>
  <c r="C271" i="2"/>
  <c r="B271" i="2"/>
  <c r="A271" i="2"/>
  <c r="E270" i="2"/>
  <c r="D270" i="2"/>
  <c r="C270" i="2"/>
  <c r="B270" i="2"/>
  <c r="A270" i="2"/>
  <c r="E269" i="2"/>
  <c r="D269" i="2"/>
  <c r="C269" i="2"/>
  <c r="B269" i="2"/>
  <c r="A269" i="2"/>
  <c r="E268" i="2"/>
  <c r="D268" i="2"/>
  <c r="C268" i="2"/>
  <c r="B268" i="2"/>
  <c r="A268" i="2"/>
  <c r="E267" i="2"/>
  <c r="D267" i="2"/>
  <c r="C267" i="2"/>
  <c r="B267" i="2"/>
  <c r="A267" i="2"/>
  <c r="E266" i="2"/>
  <c r="D266" i="2"/>
  <c r="C266" i="2"/>
  <c r="B266" i="2"/>
  <c r="A266" i="2"/>
  <c r="E265" i="2"/>
  <c r="D265" i="2"/>
  <c r="C265" i="2"/>
  <c r="B265" i="2"/>
  <c r="A265" i="2"/>
  <c r="E264" i="2"/>
  <c r="D264" i="2"/>
  <c r="C264" i="2"/>
  <c r="B264" i="2"/>
  <c r="A264" i="2"/>
  <c r="E263" i="2"/>
  <c r="D263" i="2"/>
  <c r="C263" i="2"/>
  <c r="B263" i="2"/>
  <c r="A263" i="2"/>
  <c r="E262" i="2"/>
  <c r="D262" i="2"/>
  <c r="C262" i="2"/>
  <c r="B262" i="2"/>
  <c r="A262" i="2"/>
  <c r="E261" i="2"/>
  <c r="D261" i="2"/>
  <c r="C261" i="2"/>
  <c r="B261" i="2"/>
  <c r="A261" i="2"/>
  <c r="E260" i="2"/>
  <c r="D260" i="2"/>
  <c r="C260" i="2"/>
  <c r="B260" i="2"/>
  <c r="A260" i="2"/>
  <c r="E259" i="2"/>
  <c r="D259" i="2"/>
  <c r="C259" i="2"/>
  <c r="B259" i="2"/>
  <c r="A259" i="2"/>
  <c r="E258" i="2"/>
  <c r="D258" i="2"/>
  <c r="C258" i="2"/>
  <c r="B258" i="2"/>
  <c r="A258" i="2"/>
  <c r="E257" i="2"/>
  <c r="D257" i="2"/>
  <c r="C257" i="2"/>
  <c r="B257" i="2"/>
  <c r="A257" i="2"/>
  <c r="E256" i="2"/>
  <c r="D256" i="2"/>
  <c r="C256" i="2"/>
  <c r="B256" i="2"/>
  <c r="A256" i="2"/>
  <c r="E255" i="2"/>
  <c r="D255" i="2"/>
  <c r="C255" i="2"/>
  <c r="B255" i="2"/>
  <c r="A255" i="2"/>
  <c r="E254" i="2"/>
  <c r="D254" i="2"/>
  <c r="C254" i="2"/>
  <c r="B254" i="2"/>
  <c r="A254" i="2"/>
  <c r="E253" i="2"/>
  <c r="D253" i="2"/>
  <c r="C253" i="2"/>
  <c r="B253" i="2"/>
  <c r="A253" i="2"/>
  <c r="E252" i="2"/>
  <c r="D252" i="2"/>
  <c r="C252" i="2"/>
  <c r="B252" i="2"/>
  <c r="A252" i="2"/>
  <c r="E251" i="2"/>
  <c r="D251" i="2"/>
  <c r="C251" i="2"/>
  <c r="B251" i="2"/>
  <c r="A251" i="2"/>
  <c r="E250" i="2"/>
  <c r="D250" i="2"/>
  <c r="C250" i="2"/>
  <c r="B250" i="2"/>
  <c r="A250" i="2"/>
  <c r="E249" i="2"/>
  <c r="D249" i="2"/>
  <c r="C249" i="2"/>
  <c r="B249" i="2"/>
  <c r="A249" i="2"/>
  <c r="E248" i="2"/>
  <c r="D248" i="2"/>
  <c r="C248" i="2"/>
  <c r="B248" i="2"/>
  <c r="A248" i="2"/>
  <c r="E247" i="2"/>
  <c r="D247" i="2"/>
  <c r="C247" i="2"/>
  <c r="B247" i="2"/>
  <c r="A247" i="2"/>
  <c r="E246" i="2"/>
  <c r="D246" i="2"/>
  <c r="C246" i="2"/>
  <c r="B246" i="2"/>
  <c r="A246" i="2"/>
  <c r="E245" i="2"/>
  <c r="D245" i="2"/>
  <c r="C245" i="2"/>
  <c r="B245" i="2"/>
  <c r="A245" i="2"/>
  <c r="E244" i="2"/>
  <c r="D244" i="2"/>
  <c r="C244" i="2"/>
  <c r="B244" i="2"/>
  <c r="A244" i="2"/>
  <c r="E243" i="2"/>
  <c r="D243" i="2"/>
  <c r="C243" i="2"/>
  <c r="B243" i="2"/>
  <c r="A243" i="2"/>
  <c r="E242" i="2"/>
  <c r="D242" i="2"/>
  <c r="C242" i="2"/>
  <c r="B242" i="2"/>
  <c r="A242" i="2"/>
  <c r="E241" i="2"/>
  <c r="D241" i="2"/>
  <c r="C241" i="2"/>
  <c r="B241" i="2"/>
  <c r="A241" i="2"/>
  <c r="E240" i="2"/>
  <c r="D240" i="2"/>
  <c r="C240" i="2"/>
  <c r="B240" i="2"/>
  <c r="A240" i="2"/>
  <c r="E239" i="2"/>
  <c r="D239" i="2"/>
  <c r="C239" i="2"/>
  <c r="B239" i="2"/>
  <c r="A239" i="2"/>
  <c r="E238" i="2"/>
  <c r="D238" i="2"/>
  <c r="C238" i="2"/>
  <c r="B238" i="2"/>
  <c r="A238" i="2"/>
  <c r="E237" i="2"/>
  <c r="D237" i="2"/>
  <c r="C237" i="2"/>
  <c r="B237" i="2"/>
  <c r="A237" i="2"/>
  <c r="E236" i="2"/>
  <c r="D236" i="2"/>
  <c r="C236" i="2"/>
  <c r="B236" i="2"/>
  <c r="A236" i="2"/>
  <c r="E235" i="2"/>
  <c r="D235" i="2"/>
  <c r="C235" i="2"/>
  <c r="B235" i="2"/>
  <c r="A235" i="2"/>
  <c r="E234" i="2"/>
  <c r="D234" i="2"/>
  <c r="C234" i="2"/>
  <c r="B234" i="2"/>
  <c r="A234" i="2"/>
  <c r="E233" i="2"/>
  <c r="D233" i="2"/>
  <c r="C233" i="2"/>
  <c r="B233" i="2"/>
  <c r="A233" i="2"/>
  <c r="E232" i="2"/>
  <c r="D232" i="2"/>
  <c r="C232" i="2"/>
  <c r="B232" i="2"/>
  <c r="A232" i="2"/>
  <c r="E231" i="2"/>
  <c r="D231" i="2"/>
  <c r="C231" i="2"/>
  <c r="B231" i="2"/>
  <c r="A231" i="2"/>
  <c r="E230" i="2"/>
  <c r="D230" i="2"/>
  <c r="C230" i="2"/>
  <c r="B230" i="2"/>
  <c r="A230" i="2"/>
  <c r="E229" i="2"/>
  <c r="D229" i="2"/>
  <c r="C229" i="2"/>
  <c r="B229" i="2"/>
  <c r="A229" i="2"/>
  <c r="E228" i="2"/>
  <c r="D228" i="2"/>
  <c r="C228" i="2"/>
  <c r="B228" i="2"/>
  <c r="A228" i="2"/>
  <c r="E227" i="2"/>
  <c r="D227" i="2"/>
  <c r="C227" i="2"/>
  <c r="B227" i="2"/>
  <c r="A227" i="2"/>
  <c r="E226" i="2"/>
  <c r="D226" i="2"/>
  <c r="C226" i="2"/>
  <c r="B226" i="2"/>
  <c r="A226" i="2"/>
  <c r="E225" i="2"/>
  <c r="D225" i="2"/>
  <c r="C225" i="2"/>
  <c r="B225" i="2"/>
  <c r="A225" i="2"/>
  <c r="E224" i="2"/>
  <c r="D224" i="2"/>
  <c r="C224" i="2"/>
  <c r="B224" i="2"/>
  <c r="A224" i="2"/>
  <c r="E223" i="2"/>
  <c r="D223" i="2"/>
  <c r="C223" i="2"/>
  <c r="B223" i="2"/>
  <c r="A223" i="2"/>
  <c r="E222" i="2"/>
  <c r="D222" i="2"/>
  <c r="C222" i="2"/>
  <c r="B222" i="2"/>
  <c r="A222" i="2"/>
  <c r="E221" i="2"/>
  <c r="D221" i="2"/>
  <c r="C221" i="2"/>
  <c r="B221" i="2"/>
  <c r="A221" i="2"/>
  <c r="E220" i="2"/>
  <c r="D220" i="2"/>
  <c r="C220" i="2"/>
  <c r="B220" i="2"/>
  <c r="A220" i="2"/>
  <c r="E219" i="2"/>
  <c r="D219" i="2"/>
  <c r="C219" i="2"/>
  <c r="B219" i="2"/>
  <c r="A219" i="2"/>
  <c r="E218" i="2"/>
  <c r="D218" i="2"/>
  <c r="C218" i="2"/>
  <c r="B218" i="2"/>
  <c r="A218" i="2"/>
  <c r="E217" i="2"/>
  <c r="D217" i="2"/>
  <c r="C217" i="2"/>
  <c r="B217" i="2"/>
  <c r="A217" i="2"/>
  <c r="E216" i="2"/>
  <c r="D216" i="2"/>
  <c r="C216" i="2"/>
  <c r="B216" i="2"/>
  <c r="A216" i="2"/>
  <c r="E215" i="2"/>
  <c r="D215" i="2"/>
  <c r="C215" i="2"/>
  <c r="B215" i="2"/>
  <c r="A215" i="2"/>
  <c r="E214" i="2"/>
  <c r="D214" i="2"/>
  <c r="C214" i="2"/>
  <c r="B214" i="2"/>
  <c r="A214" i="2"/>
  <c r="E213" i="2"/>
  <c r="D213" i="2"/>
  <c r="C213" i="2"/>
  <c r="B213" i="2"/>
  <c r="A213" i="2"/>
  <c r="E212" i="2"/>
  <c r="D212" i="2"/>
  <c r="C212" i="2"/>
  <c r="B212" i="2"/>
  <c r="A212" i="2"/>
  <c r="E211" i="2"/>
  <c r="D211" i="2"/>
  <c r="C211" i="2"/>
  <c r="B211" i="2"/>
  <c r="A211" i="2"/>
  <c r="E210" i="2"/>
  <c r="D210" i="2"/>
  <c r="C210" i="2"/>
  <c r="B210" i="2"/>
  <c r="A210" i="2"/>
  <c r="E209" i="2"/>
  <c r="D209" i="2"/>
  <c r="C209" i="2"/>
  <c r="B209" i="2"/>
  <c r="A209" i="2"/>
  <c r="E208" i="2"/>
  <c r="D208" i="2"/>
  <c r="C208" i="2"/>
  <c r="B208" i="2"/>
  <c r="A208" i="2"/>
  <c r="E207" i="2"/>
  <c r="D207" i="2"/>
  <c r="C207" i="2"/>
  <c r="B207" i="2"/>
  <c r="A207" i="2"/>
  <c r="E206" i="2"/>
  <c r="D206" i="2"/>
  <c r="C206" i="2"/>
  <c r="B206" i="2"/>
  <c r="A206" i="2"/>
  <c r="E205" i="2"/>
  <c r="D205" i="2"/>
  <c r="C205" i="2"/>
  <c r="B205" i="2"/>
  <c r="A205" i="2"/>
  <c r="E204" i="2"/>
  <c r="D204" i="2"/>
  <c r="C204" i="2"/>
  <c r="B204" i="2"/>
  <c r="A204" i="2"/>
  <c r="E203" i="2"/>
  <c r="D203" i="2"/>
  <c r="C203" i="2"/>
  <c r="B203" i="2"/>
  <c r="A203" i="2"/>
  <c r="E202" i="2"/>
  <c r="D202" i="2"/>
  <c r="C202" i="2"/>
  <c r="B202" i="2"/>
  <c r="A202" i="2"/>
  <c r="E201" i="2"/>
  <c r="D201" i="2"/>
  <c r="C201" i="2"/>
  <c r="B201" i="2"/>
  <c r="A201" i="2"/>
  <c r="E200" i="2"/>
  <c r="D200" i="2"/>
  <c r="C200" i="2"/>
  <c r="B200" i="2"/>
  <c r="A200" i="2"/>
  <c r="E199" i="2"/>
  <c r="D199" i="2"/>
  <c r="C199" i="2"/>
  <c r="B199" i="2"/>
  <c r="A199" i="2"/>
  <c r="E198" i="2"/>
  <c r="D198" i="2"/>
  <c r="C198" i="2"/>
  <c r="B198" i="2"/>
  <c r="A198" i="2"/>
  <c r="E197" i="2"/>
  <c r="D197" i="2"/>
  <c r="C197" i="2"/>
  <c r="B197" i="2"/>
  <c r="A197" i="2"/>
  <c r="E196" i="2"/>
  <c r="D196" i="2"/>
  <c r="C196" i="2"/>
  <c r="B196" i="2"/>
  <c r="A196" i="2"/>
  <c r="E195" i="2"/>
  <c r="D195" i="2"/>
  <c r="C195" i="2"/>
  <c r="B195" i="2"/>
  <c r="A195" i="2"/>
  <c r="E194" i="2"/>
  <c r="D194" i="2"/>
  <c r="C194" i="2"/>
  <c r="B194" i="2"/>
  <c r="A194" i="2"/>
  <c r="E193" i="2"/>
  <c r="D193" i="2"/>
  <c r="C193" i="2"/>
  <c r="B193" i="2"/>
  <c r="A193" i="2"/>
  <c r="E192" i="2"/>
  <c r="D192" i="2"/>
  <c r="C192" i="2"/>
  <c r="B192" i="2"/>
  <c r="A192" i="2"/>
  <c r="E191" i="2"/>
  <c r="D191" i="2"/>
  <c r="C191" i="2"/>
  <c r="B191" i="2"/>
  <c r="A191" i="2"/>
  <c r="E190" i="2"/>
  <c r="D190" i="2"/>
  <c r="C190" i="2"/>
  <c r="B190" i="2"/>
  <c r="A190" i="2"/>
  <c r="E189" i="2"/>
  <c r="D189" i="2"/>
  <c r="C189" i="2"/>
  <c r="B189" i="2"/>
  <c r="A189" i="2"/>
  <c r="E188" i="2"/>
  <c r="D188" i="2"/>
  <c r="C188" i="2"/>
  <c r="B188" i="2"/>
  <c r="A188" i="2"/>
  <c r="E187" i="2"/>
  <c r="D187" i="2"/>
  <c r="C187" i="2"/>
  <c r="B187" i="2"/>
  <c r="A187" i="2"/>
  <c r="E186" i="2"/>
  <c r="D186" i="2"/>
  <c r="C186" i="2"/>
  <c r="B186" i="2"/>
  <c r="A186" i="2"/>
  <c r="E185" i="2"/>
  <c r="D185" i="2"/>
  <c r="C185" i="2"/>
  <c r="B185" i="2"/>
  <c r="A185" i="2"/>
  <c r="E184" i="2"/>
  <c r="D184" i="2"/>
  <c r="C184" i="2"/>
  <c r="B184" i="2"/>
  <c r="A184" i="2"/>
  <c r="E183" i="2"/>
  <c r="D183" i="2"/>
  <c r="C183" i="2"/>
  <c r="B183" i="2"/>
  <c r="A183" i="2"/>
  <c r="E182" i="2"/>
  <c r="D182" i="2"/>
  <c r="C182" i="2"/>
  <c r="B182" i="2"/>
  <c r="A182" i="2"/>
  <c r="E181" i="2"/>
  <c r="D181" i="2"/>
  <c r="C181" i="2"/>
  <c r="B181" i="2"/>
  <c r="A181" i="2"/>
  <c r="E180" i="2"/>
  <c r="D180" i="2"/>
  <c r="C180" i="2"/>
  <c r="B180" i="2"/>
  <c r="A180" i="2"/>
  <c r="E179" i="2"/>
  <c r="D179" i="2"/>
  <c r="C179" i="2"/>
  <c r="B179" i="2"/>
  <c r="A179" i="2"/>
  <c r="E178" i="2"/>
  <c r="D178" i="2"/>
  <c r="C178" i="2"/>
  <c r="B178" i="2"/>
  <c r="A178" i="2"/>
  <c r="E177" i="2"/>
  <c r="D177" i="2"/>
  <c r="C177" i="2"/>
  <c r="B177" i="2"/>
  <c r="A177" i="2"/>
  <c r="E176" i="2"/>
  <c r="D176" i="2"/>
  <c r="C176" i="2"/>
  <c r="B176" i="2"/>
  <c r="A176" i="2"/>
  <c r="E175" i="2"/>
  <c r="D175" i="2"/>
  <c r="C175" i="2"/>
  <c r="B175" i="2"/>
  <c r="A175" i="2"/>
  <c r="E174" i="2"/>
  <c r="D174" i="2"/>
  <c r="C174" i="2"/>
  <c r="B174" i="2"/>
  <c r="A174" i="2"/>
  <c r="E173" i="2"/>
  <c r="D173" i="2"/>
  <c r="C173" i="2"/>
  <c r="B173" i="2"/>
  <c r="A173" i="2"/>
  <c r="E172" i="2"/>
  <c r="D172" i="2"/>
  <c r="C172" i="2"/>
  <c r="B172" i="2"/>
  <c r="A172" i="2"/>
  <c r="E171" i="2"/>
  <c r="D171" i="2"/>
  <c r="C171" i="2"/>
  <c r="B171" i="2"/>
  <c r="A171" i="2"/>
  <c r="E170" i="2"/>
  <c r="D170" i="2"/>
  <c r="C170" i="2"/>
  <c r="B170" i="2"/>
  <c r="A170" i="2"/>
  <c r="E169" i="2"/>
  <c r="D169" i="2"/>
  <c r="C169" i="2"/>
  <c r="B169" i="2"/>
  <c r="A169" i="2"/>
  <c r="E168" i="2"/>
  <c r="D168" i="2"/>
  <c r="C168" i="2"/>
  <c r="B168" i="2"/>
  <c r="A168" i="2"/>
  <c r="E167" i="2"/>
  <c r="D167" i="2"/>
  <c r="C167" i="2"/>
  <c r="B167" i="2"/>
  <c r="A167" i="2"/>
  <c r="E166" i="2"/>
  <c r="D166" i="2"/>
  <c r="C166" i="2"/>
  <c r="B166" i="2"/>
  <c r="A166" i="2"/>
  <c r="E165" i="2"/>
  <c r="D165" i="2"/>
  <c r="C165" i="2"/>
  <c r="B165" i="2"/>
  <c r="A165" i="2"/>
  <c r="E164" i="2"/>
  <c r="D164" i="2"/>
  <c r="C164" i="2"/>
  <c r="B164" i="2"/>
  <c r="A164" i="2"/>
  <c r="E163" i="2"/>
  <c r="D163" i="2"/>
  <c r="C163" i="2"/>
  <c r="B163" i="2"/>
  <c r="A163" i="2"/>
  <c r="E162" i="2"/>
  <c r="D162" i="2"/>
  <c r="C162" i="2"/>
  <c r="B162" i="2"/>
  <c r="A162" i="2"/>
  <c r="E161" i="2"/>
  <c r="D161" i="2"/>
  <c r="C161" i="2"/>
  <c r="B161" i="2"/>
  <c r="A161" i="2"/>
  <c r="E160" i="2"/>
  <c r="D160" i="2"/>
  <c r="C160" i="2"/>
  <c r="B160" i="2"/>
  <c r="A160" i="2"/>
  <c r="E159" i="2"/>
  <c r="D159" i="2"/>
  <c r="C159" i="2"/>
  <c r="B159" i="2"/>
  <c r="A159" i="2"/>
  <c r="E158" i="2"/>
  <c r="D158" i="2"/>
  <c r="C158" i="2"/>
  <c r="B158" i="2"/>
  <c r="A158" i="2"/>
  <c r="E157" i="2"/>
  <c r="D157" i="2"/>
  <c r="C157" i="2"/>
  <c r="B157" i="2"/>
  <c r="A157" i="2"/>
  <c r="E156" i="2"/>
  <c r="D156" i="2"/>
  <c r="C156" i="2"/>
  <c r="B156" i="2"/>
  <c r="A156" i="2"/>
  <c r="E155" i="2"/>
  <c r="D155" i="2"/>
  <c r="C155" i="2"/>
  <c r="B155" i="2"/>
  <c r="A155" i="2"/>
  <c r="E154" i="2"/>
  <c r="D154" i="2"/>
  <c r="C154" i="2"/>
  <c r="B154" i="2"/>
  <c r="A154" i="2"/>
  <c r="E153" i="2"/>
  <c r="D153" i="2"/>
  <c r="C153" i="2"/>
  <c r="B153" i="2"/>
  <c r="A153" i="2"/>
  <c r="E152" i="2"/>
  <c r="D152" i="2"/>
  <c r="C152" i="2"/>
  <c r="B152" i="2"/>
  <c r="A152" i="2"/>
  <c r="E151" i="2"/>
  <c r="D151" i="2"/>
  <c r="C151" i="2"/>
  <c r="B151" i="2"/>
  <c r="A151" i="2"/>
  <c r="E150" i="2"/>
  <c r="D150" i="2"/>
  <c r="C150" i="2"/>
  <c r="B150" i="2"/>
  <c r="A150" i="2"/>
  <c r="E149" i="2"/>
  <c r="D149" i="2"/>
  <c r="C149" i="2"/>
  <c r="B149" i="2"/>
  <c r="A149" i="2"/>
  <c r="E148" i="2"/>
  <c r="D148" i="2"/>
  <c r="C148" i="2"/>
  <c r="B148" i="2"/>
  <c r="A148" i="2"/>
  <c r="E147" i="2"/>
  <c r="D147" i="2"/>
  <c r="C147" i="2"/>
  <c r="B147" i="2"/>
  <c r="A147" i="2"/>
  <c r="E146" i="2"/>
  <c r="D146" i="2"/>
  <c r="C146" i="2"/>
  <c r="B146" i="2"/>
  <c r="A146" i="2"/>
  <c r="E145" i="2"/>
  <c r="D145" i="2"/>
  <c r="C145" i="2"/>
  <c r="B145" i="2"/>
  <c r="A145" i="2"/>
  <c r="E144" i="2"/>
  <c r="D144" i="2"/>
  <c r="C144" i="2"/>
  <c r="B144" i="2"/>
  <c r="A144" i="2"/>
  <c r="E143" i="2"/>
  <c r="D143" i="2"/>
  <c r="C143" i="2"/>
  <c r="B143" i="2"/>
  <c r="A143" i="2"/>
  <c r="E142" i="2"/>
  <c r="D142" i="2"/>
  <c r="C142" i="2"/>
  <c r="B142" i="2"/>
  <c r="A142" i="2"/>
  <c r="E141" i="2"/>
  <c r="D141" i="2"/>
  <c r="C141" i="2"/>
  <c r="B141" i="2"/>
  <c r="A141" i="2"/>
  <c r="E140" i="2"/>
  <c r="D140" i="2"/>
  <c r="C140" i="2"/>
  <c r="B140" i="2"/>
  <c r="A140" i="2"/>
  <c r="E139" i="2"/>
  <c r="D139" i="2"/>
  <c r="C139" i="2"/>
  <c r="B139" i="2"/>
  <c r="A139" i="2"/>
  <c r="E138" i="2"/>
  <c r="D138" i="2"/>
  <c r="C138" i="2"/>
  <c r="B138" i="2"/>
  <c r="A138" i="2"/>
  <c r="E137" i="2"/>
  <c r="D137" i="2"/>
  <c r="C137" i="2"/>
  <c r="B137" i="2"/>
  <c r="A137" i="2"/>
  <c r="E136" i="2"/>
  <c r="D136" i="2"/>
  <c r="C136" i="2"/>
  <c r="B136" i="2"/>
  <c r="A136" i="2"/>
  <c r="E135" i="2"/>
  <c r="D135" i="2"/>
  <c r="C135" i="2"/>
  <c r="B135" i="2"/>
  <c r="A135" i="2"/>
  <c r="E134" i="2"/>
  <c r="D134" i="2"/>
  <c r="C134" i="2"/>
  <c r="B134" i="2"/>
  <c r="A134" i="2"/>
  <c r="E133" i="2"/>
  <c r="D133" i="2"/>
  <c r="C133" i="2"/>
  <c r="B133" i="2"/>
  <c r="A133" i="2"/>
  <c r="E132" i="2"/>
  <c r="D132" i="2"/>
  <c r="C132" i="2"/>
  <c r="B132" i="2"/>
  <c r="A132" i="2"/>
  <c r="E131" i="2"/>
  <c r="D131" i="2"/>
  <c r="C131" i="2"/>
  <c r="B131" i="2"/>
  <c r="A131" i="2"/>
  <c r="E130" i="2"/>
  <c r="D130" i="2"/>
  <c r="C130" i="2"/>
  <c r="B130" i="2"/>
  <c r="A130" i="2"/>
  <c r="E129" i="2"/>
  <c r="D129" i="2"/>
  <c r="C129" i="2"/>
  <c r="B129" i="2"/>
  <c r="A129" i="2"/>
  <c r="E128" i="2"/>
  <c r="D128" i="2"/>
  <c r="C128" i="2"/>
  <c r="B128" i="2"/>
  <c r="A128" i="2"/>
  <c r="E127" i="2"/>
  <c r="D127" i="2"/>
  <c r="C127" i="2"/>
  <c r="B127" i="2"/>
  <c r="A127" i="2"/>
  <c r="E126" i="2"/>
  <c r="D126" i="2"/>
  <c r="C126" i="2"/>
  <c r="B126" i="2"/>
  <c r="A126" i="2"/>
  <c r="E125" i="2"/>
  <c r="D125" i="2"/>
  <c r="C125" i="2"/>
  <c r="B125" i="2"/>
  <c r="A125" i="2"/>
  <c r="E124" i="2"/>
  <c r="D124" i="2"/>
  <c r="C124" i="2"/>
  <c r="B124" i="2"/>
  <c r="A124" i="2"/>
  <c r="E123" i="2"/>
  <c r="D123" i="2"/>
  <c r="C123" i="2"/>
  <c r="B123" i="2"/>
  <c r="A123" i="2"/>
  <c r="E122" i="2"/>
  <c r="D122" i="2"/>
  <c r="C122" i="2"/>
  <c r="B122" i="2"/>
  <c r="A122" i="2"/>
  <c r="E121" i="2"/>
  <c r="D121" i="2"/>
  <c r="C121" i="2"/>
  <c r="B121" i="2"/>
  <c r="A121" i="2"/>
  <c r="E120" i="2"/>
  <c r="D120" i="2"/>
  <c r="C120" i="2"/>
  <c r="B120" i="2"/>
  <c r="A120" i="2"/>
  <c r="E119" i="2"/>
  <c r="D119" i="2"/>
  <c r="C119" i="2"/>
  <c r="B119" i="2"/>
  <c r="A119" i="2"/>
  <c r="E118" i="2"/>
  <c r="D118" i="2"/>
  <c r="C118" i="2"/>
  <c r="B118" i="2"/>
  <c r="A118" i="2"/>
  <c r="E117" i="2"/>
  <c r="D117" i="2"/>
  <c r="C117" i="2"/>
  <c r="B117" i="2"/>
  <c r="A117" i="2"/>
  <c r="E116" i="2"/>
  <c r="D116" i="2"/>
  <c r="C116" i="2"/>
  <c r="B116" i="2"/>
  <c r="A116" i="2"/>
  <c r="E115" i="2"/>
  <c r="D115" i="2"/>
  <c r="C115" i="2"/>
  <c r="B115" i="2"/>
  <c r="A115" i="2"/>
  <c r="E114" i="2"/>
  <c r="D114" i="2"/>
  <c r="C114" i="2"/>
  <c r="B114" i="2"/>
  <c r="A114" i="2"/>
  <c r="E113" i="2"/>
  <c r="D113" i="2"/>
  <c r="C113" i="2"/>
  <c r="B113" i="2"/>
  <c r="A113" i="2"/>
  <c r="E112" i="2"/>
  <c r="D112" i="2"/>
  <c r="C112" i="2"/>
  <c r="B112" i="2"/>
  <c r="A112" i="2"/>
  <c r="E111" i="2"/>
  <c r="D111" i="2"/>
  <c r="C111" i="2"/>
  <c r="B111" i="2"/>
  <c r="A111" i="2"/>
  <c r="E110" i="2"/>
  <c r="D110" i="2"/>
  <c r="C110" i="2"/>
  <c r="B110" i="2"/>
  <c r="A110" i="2"/>
  <c r="E109" i="2"/>
  <c r="D109" i="2"/>
  <c r="C109" i="2"/>
  <c r="B109" i="2"/>
  <c r="A109" i="2"/>
  <c r="E108" i="2"/>
  <c r="D108" i="2"/>
  <c r="C108" i="2"/>
  <c r="B108" i="2"/>
  <c r="A108" i="2"/>
  <c r="E107" i="2"/>
  <c r="D107" i="2"/>
  <c r="C107" i="2"/>
  <c r="B107" i="2"/>
  <c r="A107" i="2"/>
  <c r="E106" i="2"/>
  <c r="D106" i="2"/>
  <c r="C106" i="2"/>
  <c r="B106" i="2"/>
  <c r="A106" i="2"/>
  <c r="E105" i="2"/>
  <c r="D105" i="2"/>
  <c r="C105" i="2"/>
  <c r="B105" i="2"/>
  <c r="A105" i="2"/>
  <c r="E104" i="2"/>
  <c r="D104" i="2"/>
  <c r="C104" i="2"/>
  <c r="B104" i="2"/>
  <c r="A104" i="2"/>
  <c r="E103" i="2"/>
  <c r="D103" i="2"/>
  <c r="C103" i="2"/>
  <c r="B103" i="2"/>
  <c r="A103" i="2"/>
  <c r="E102" i="2"/>
  <c r="D102" i="2"/>
  <c r="C102" i="2"/>
  <c r="B102" i="2"/>
  <c r="A102" i="2"/>
  <c r="E101" i="2"/>
  <c r="D101" i="2"/>
  <c r="C101" i="2"/>
  <c r="B101" i="2"/>
  <c r="A101" i="2"/>
  <c r="E100" i="2"/>
  <c r="D100" i="2"/>
  <c r="C100" i="2"/>
  <c r="B100" i="2"/>
  <c r="A100" i="2"/>
  <c r="E99" i="2"/>
  <c r="D99" i="2"/>
  <c r="C99" i="2"/>
  <c r="B99" i="2"/>
  <c r="A99" i="2"/>
  <c r="E98" i="2"/>
  <c r="D98" i="2"/>
  <c r="C98" i="2"/>
  <c r="B98" i="2"/>
  <c r="A98" i="2"/>
  <c r="E97" i="2"/>
  <c r="D97" i="2"/>
  <c r="C97" i="2"/>
  <c r="B97" i="2"/>
  <c r="A97" i="2"/>
  <c r="E96" i="2"/>
  <c r="D96" i="2"/>
  <c r="C96" i="2"/>
  <c r="B96" i="2"/>
  <c r="A96" i="2"/>
  <c r="E95" i="2"/>
  <c r="D95" i="2"/>
  <c r="C95" i="2"/>
  <c r="B95" i="2"/>
  <c r="A95" i="2"/>
  <c r="E94" i="2"/>
  <c r="D94" i="2"/>
  <c r="C94" i="2"/>
  <c r="B94" i="2"/>
  <c r="A94" i="2"/>
  <c r="E93" i="2"/>
  <c r="D93" i="2"/>
  <c r="C93" i="2"/>
  <c r="B93" i="2"/>
  <c r="A93" i="2"/>
  <c r="E92" i="2"/>
  <c r="D92" i="2"/>
  <c r="C92" i="2"/>
  <c r="B92" i="2"/>
  <c r="A92" i="2"/>
  <c r="E91" i="2"/>
  <c r="D91" i="2"/>
  <c r="C91" i="2"/>
  <c r="B91" i="2"/>
  <c r="A91" i="2"/>
  <c r="E90" i="2"/>
  <c r="D90" i="2"/>
  <c r="C90" i="2"/>
  <c r="B90" i="2"/>
  <c r="A90" i="2"/>
  <c r="E89" i="2"/>
  <c r="D89" i="2"/>
  <c r="C89" i="2"/>
  <c r="B89" i="2"/>
  <c r="A89" i="2"/>
  <c r="E88" i="2"/>
  <c r="D88" i="2"/>
  <c r="C88" i="2"/>
  <c r="B88" i="2"/>
  <c r="A88" i="2"/>
  <c r="E87" i="2"/>
  <c r="D87" i="2"/>
  <c r="C87" i="2"/>
  <c r="B87" i="2"/>
  <c r="A87" i="2"/>
  <c r="E86" i="2"/>
  <c r="D86" i="2"/>
  <c r="C86" i="2"/>
  <c r="B86" i="2"/>
  <c r="A86" i="2"/>
  <c r="E85" i="2"/>
  <c r="D85" i="2"/>
  <c r="C85" i="2"/>
  <c r="B85" i="2"/>
  <c r="A85" i="2"/>
  <c r="E84" i="2"/>
  <c r="D84" i="2"/>
  <c r="C84" i="2"/>
  <c r="B84" i="2"/>
  <c r="A84" i="2"/>
  <c r="E83" i="2"/>
  <c r="D83" i="2"/>
  <c r="C83" i="2"/>
  <c r="B83" i="2"/>
  <c r="A83" i="2"/>
  <c r="E82" i="2"/>
  <c r="D82" i="2"/>
  <c r="C82" i="2"/>
  <c r="B82" i="2"/>
  <c r="A82" i="2"/>
  <c r="E81" i="2"/>
  <c r="D81" i="2"/>
  <c r="C81" i="2"/>
  <c r="B81" i="2"/>
  <c r="A81" i="2"/>
  <c r="E80" i="2"/>
  <c r="D80" i="2"/>
  <c r="C80" i="2"/>
  <c r="B80" i="2"/>
  <c r="A80" i="2"/>
  <c r="E79" i="2"/>
  <c r="D79" i="2"/>
  <c r="C79" i="2"/>
  <c r="B79" i="2"/>
  <c r="A79" i="2"/>
  <c r="E78" i="2"/>
  <c r="D78" i="2"/>
  <c r="C78" i="2"/>
  <c r="B78" i="2"/>
  <c r="A78" i="2"/>
  <c r="E77" i="2"/>
  <c r="D77" i="2"/>
  <c r="C77" i="2"/>
  <c r="B77" i="2"/>
  <c r="A77" i="2"/>
  <c r="E76" i="2"/>
  <c r="D76" i="2"/>
  <c r="C76" i="2"/>
  <c r="B76" i="2"/>
  <c r="A76" i="2"/>
  <c r="E75" i="2"/>
  <c r="D75" i="2"/>
  <c r="C75" i="2"/>
  <c r="B75" i="2"/>
  <c r="A75" i="2"/>
  <c r="E74" i="2"/>
  <c r="D74" i="2"/>
  <c r="C74" i="2"/>
  <c r="B74" i="2"/>
  <c r="A74" i="2"/>
  <c r="E73" i="2"/>
  <c r="D73" i="2"/>
  <c r="C73" i="2"/>
  <c r="B73" i="2"/>
  <c r="A73" i="2"/>
  <c r="E72" i="2"/>
  <c r="D72" i="2"/>
  <c r="C72" i="2"/>
  <c r="B72" i="2"/>
  <c r="A72" i="2"/>
  <c r="E71" i="2"/>
  <c r="D71" i="2"/>
  <c r="C71" i="2"/>
  <c r="B71" i="2"/>
  <c r="A71" i="2"/>
  <c r="E70" i="2"/>
  <c r="D70" i="2"/>
  <c r="C70" i="2"/>
  <c r="B70" i="2"/>
  <c r="A70" i="2"/>
  <c r="E69" i="2"/>
  <c r="D69" i="2"/>
  <c r="C69" i="2"/>
  <c r="B69" i="2"/>
  <c r="A69" i="2"/>
  <c r="E68" i="2"/>
  <c r="D68" i="2"/>
  <c r="C68" i="2"/>
  <c r="B68" i="2"/>
  <c r="A68" i="2"/>
  <c r="E67" i="2"/>
  <c r="D67" i="2"/>
  <c r="C67" i="2"/>
  <c r="B67" i="2"/>
  <c r="A67" i="2"/>
  <c r="E66" i="2"/>
  <c r="D66" i="2"/>
  <c r="C66" i="2"/>
  <c r="B66" i="2"/>
  <c r="A66" i="2"/>
  <c r="E65" i="2"/>
  <c r="D65" i="2"/>
  <c r="C65" i="2"/>
  <c r="B65" i="2"/>
  <c r="A65" i="2"/>
  <c r="E64" i="2"/>
  <c r="D64" i="2"/>
  <c r="C64" i="2"/>
  <c r="B64" i="2"/>
  <c r="A64" i="2"/>
  <c r="E63" i="2"/>
  <c r="D63" i="2"/>
  <c r="C63" i="2"/>
  <c r="B63" i="2"/>
  <c r="A63" i="2"/>
  <c r="E62" i="2"/>
  <c r="D62" i="2"/>
  <c r="C62" i="2"/>
  <c r="B62" i="2"/>
  <c r="A62" i="2"/>
  <c r="E61" i="2"/>
  <c r="D61" i="2"/>
  <c r="C61" i="2"/>
  <c r="B61" i="2"/>
  <c r="A61" i="2"/>
  <c r="E60" i="2"/>
  <c r="D60" i="2"/>
  <c r="C60" i="2"/>
  <c r="B60" i="2"/>
  <c r="A60" i="2"/>
  <c r="E59" i="2"/>
  <c r="D59" i="2"/>
  <c r="C59" i="2"/>
  <c r="B59" i="2"/>
  <c r="A59" i="2"/>
  <c r="E58" i="2"/>
  <c r="D58" i="2"/>
  <c r="C58" i="2"/>
  <c r="B58" i="2"/>
  <c r="A58" i="2"/>
  <c r="E57" i="2"/>
  <c r="D57" i="2"/>
  <c r="C57" i="2"/>
  <c r="B57" i="2"/>
  <c r="A57" i="2"/>
  <c r="E56" i="2"/>
  <c r="D56" i="2"/>
  <c r="C56" i="2"/>
  <c r="B56" i="2"/>
  <c r="A56" i="2"/>
  <c r="E55" i="2"/>
  <c r="D55" i="2"/>
  <c r="C55" i="2"/>
  <c r="B55" i="2"/>
  <c r="A55" i="2"/>
  <c r="E54" i="2"/>
  <c r="D54" i="2"/>
  <c r="C54" i="2"/>
  <c r="B54" i="2"/>
  <c r="A54" i="2"/>
  <c r="E53" i="2"/>
  <c r="D53" i="2"/>
  <c r="C53" i="2"/>
  <c r="B53" i="2"/>
  <c r="A53" i="2"/>
  <c r="E52" i="2"/>
  <c r="D52" i="2"/>
  <c r="C52" i="2"/>
  <c r="B52" i="2"/>
  <c r="A52" i="2"/>
  <c r="E51" i="2"/>
  <c r="D51" i="2"/>
  <c r="C51" i="2"/>
  <c r="B51" i="2"/>
  <c r="A51" i="2"/>
  <c r="E50" i="2"/>
  <c r="D50" i="2"/>
  <c r="C50" i="2"/>
  <c r="B50" i="2"/>
  <c r="A50" i="2"/>
  <c r="E49" i="2"/>
  <c r="D49" i="2"/>
  <c r="C49" i="2"/>
  <c r="B49" i="2"/>
  <c r="A49" i="2"/>
  <c r="E48" i="2"/>
  <c r="D48" i="2"/>
  <c r="C48" i="2"/>
  <c r="B48" i="2"/>
  <c r="A48" i="2"/>
  <c r="E47" i="2"/>
  <c r="D47" i="2"/>
  <c r="C47" i="2"/>
  <c r="B47" i="2"/>
  <c r="A47" i="2"/>
  <c r="E46" i="2"/>
  <c r="D46" i="2"/>
  <c r="C46" i="2"/>
  <c r="B46" i="2"/>
  <c r="A46" i="2"/>
  <c r="E45" i="2"/>
  <c r="D45" i="2"/>
  <c r="C45" i="2"/>
  <c r="B45" i="2"/>
  <c r="A45" i="2"/>
  <c r="E44" i="2"/>
  <c r="D44" i="2"/>
  <c r="C44" i="2"/>
  <c r="B44" i="2"/>
  <c r="A44" i="2"/>
  <c r="E43" i="2"/>
  <c r="D43" i="2"/>
  <c r="C43" i="2"/>
  <c r="B43" i="2"/>
  <c r="A43" i="2"/>
  <c r="E42" i="2"/>
  <c r="D42" i="2"/>
  <c r="C42" i="2"/>
  <c r="B42" i="2"/>
  <c r="A42" i="2"/>
  <c r="E41" i="2"/>
  <c r="D41" i="2"/>
  <c r="C41" i="2"/>
  <c r="B41" i="2"/>
  <c r="A41" i="2"/>
  <c r="E40" i="2"/>
  <c r="D40" i="2"/>
  <c r="C40" i="2"/>
  <c r="B40" i="2"/>
  <c r="A40" i="2"/>
  <c r="E39" i="2"/>
  <c r="D39" i="2"/>
  <c r="C39" i="2"/>
  <c r="B39" i="2"/>
  <c r="A39" i="2"/>
  <c r="E38" i="2"/>
  <c r="D38" i="2"/>
  <c r="C38" i="2"/>
  <c r="B38" i="2"/>
  <c r="A38" i="2"/>
  <c r="E37" i="2"/>
  <c r="D37" i="2"/>
  <c r="C37" i="2"/>
  <c r="B37" i="2"/>
  <c r="A37" i="2"/>
  <c r="E36" i="2"/>
  <c r="D36" i="2"/>
  <c r="C36" i="2"/>
  <c r="B36" i="2"/>
  <c r="A36" i="2"/>
  <c r="E35" i="2"/>
  <c r="D35" i="2"/>
  <c r="C35" i="2"/>
  <c r="B35" i="2"/>
  <c r="A35" i="2"/>
  <c r="E34" i="2"/>
  <c r="D34" i="2"/>
  <c r="C34" i="2"/>
  <c r="B34" i="2"/>
  <c r="A34" i="2"/>
  <c r="E33" i="2"/>
  <c r="D33" i="2"/>
  <c r="C33" i="2"/>
  <c r="B33" i="2"/>
  <c r="A33" i="2"/>
  <c r="E32" i="2"/>
  <c r="D32" i="2"/>
  <c r="C32" i="2"/>
  <c r="B32" i="2"/>
  <c r="A32" i="2"/>
  <c r="E31" i="2"/>
  <c r="D31" i="2"/>
  <c r="C31" i="2"/>
  <c r="B31" i="2"/>
  <c r="A31" i="2"/>
  <c r="E30" i="2"/>
  <c r="D30" i="2"/>
  <c r="C30" i="2"/>
  <c r="B30" i="2"/>
  <c r="A30" i="2"/>
  <c r="E29" i="2"/>
  <c r="D29" i="2"/>
  <c r="C29" i="2"/>
  <c r="B29" i="2"/>
  <c r="A29" i="2"/>
  <c r="E28" i="2"/>
  <c r="D28" i="2"/>
  <c r="C28" i="2"/>
  <c r="B28" i="2"/>
  <c r="A28" i="2"/>
  <c r="E27" i="2"/>
  <c r="D27" i="2"/>
  <c r="C27" i="2"/>
  <c r="B27" i="2"/>
  <c r="A27" i="2"/>
  <c r="E26" i="2"/>
  <c r="D26" i="2"/>
  <c r="C26" i="2"/>
  <c r="B26" i="2"/>
  <c r="A26" i="2"/>
  <c r="E25" i="2"/>
  <c r="D25" i="2"/>
  <c r="C25" i="2"/>
  <c r="B25" i="2"/>
  <c r="A25" i="2"/>
  <c r="E24" i="2"/>
  <c r="D24" i="2"/>
  <c r="C24" i="2"/>
  <c r="B24" i="2"/>
  <c r="A24" i="2"/>
  <c r="E23" i="2"/>
  <c r="D23" i="2"/>
  <c r="C23" i="2"/>
  <c r="B23" i="2"/>
  <c r="A23" i="2"/>
  <c r="E22" i="2"/>
  <c r="D22" i="2"/>
  <c r="C22" i="2"/>
  <c r="B22" i="2"/>
  <c r="A22" i="2"/>
  <c r="E21" i="2"/>
  <c r="D21" i="2"/>
  <c r="C21" i="2"/>
  <c r="B21" i="2"/>
  <c r="A21" i="2"/>
  <c r="E20" i="2"/>
  <c r="D20" i="2"/>
  <c r="C20" i="2"/>
  <c r="B20" i="2"/>
  <c r="A20" i="2"/>
  <c r="E19" i="2"/>
  <c r="D19" i="2"/>
  <c r="C19" i="2"/>
  <c r="B19" i="2"/>
  <c r="A19" i="2"/>
  <c r="E18" i="2"/>
  <c r="D18" i="2"/>
  <c r="C18" i="2"/>
  <c r="B18" i="2"/>
  <c r="A18" i="2"/>
  <c r="E17" i="2"/>
  <c r="D17" i="2"/>
  <c r="C17" i="2"/>
  <c r="B17" i="2"/>
  <c r="A17" i="2"/>
  <c r="E16" i="2"/>
  <c r="D16" i="2"/>
  <c r="C16" i="2"/>
  <c r="B16" i="2"/>
  <c r="A16" i="2"/>
  <c r="E15" i="2"/>
  <c r="D15" i="2"/>
  <c r="C15" i="2"/>
  <c r="B15" i="2"/>
  <c r="A15" i="2"/>
  <c r="E14" i="2"/>
  <c r="D14" i="2"/>
  <c r="C14" i="2"/>
  <c r="B14" i="2"/>
  <c r="A14" i="2"/>
  <c r="E13" i="2"/>
  <c r="D13" i="2"/>
  <c r="C13" i="2"/>
  <c r="B13" i="2"/>
  <c r="A13" i="2"/>
  <c r="E12" i="2"/>
  <c r="D12" i="2"/>
  <c r="C12" i="2"/>
  <c r="B12" i="2"/>
  <c r="A12" i="2"/>
  <c r="E11" i="2"/>
  <c r="D11" i="2"/>
  <c r="C11" i="2"/>
  <c r="B11" i="2"/>
  <c r="A11" i="2"/>
  <c r="E10" i="2"/>
  <c r="D10" i="2"/>
  <c r="C10" i="2"/>
  <c r="B10" i="2"/>
  <c r="A10" i="2"/>
  <c r="E9" i="2"/>
  <c r="D9" i="2"/>
  <c r="C9" i="2"/>
  <c r="B9" i="2"/>
  <c r="A9" i="2"/>
  <c r="E8" i="2"/>
  <c r="D8" i="2"/>
  <c r="C8" i="2"/>
  <c r="B8" i="2"/>
  <c r="A8" i="2"/>
  <c r="E7" i="2"/>
  <c r="D7" i="2"/>
  <c r="C7" i="2"/>
  <c r="B7" i="2"/>
  <c r="A7" i="2"/>
  <c r="E6" i="2"/>
  <c r="D6" i="2"/>
  <c r="C6" i="2"/>
  <c r="B6" i="2"/>
  <c r="A6" i="2"/>
  <c r="E5" i="2"/>
  <c r="D5" i="2"/>
  <c r="C5" i="2"/>
  <c r="B5" i="2"/>
  <c r="A5" i="2"/>
  <c r="E4" i="2"/>
  <c r="D4" i="2"/>
  <c r="C4" i="2"/>
  <c r="B4" i="2"/>
  <c r="A4" i="2"/>
  <c r="E3" i="2"/>
  <c r="D3" i="2"/>
  <c r="C3" i="2"/>
  <c r="B3" i="2"/>
  <c r="A3" i="2"/>
  <c r="E2" i="2"/>
  <c r="D2" i="2"/>
  <c r="C2" i="2"/>
  <c r="B2" i="2"/>
  <c r="A2" i="2"/>
  <c r="C1017" i="3"/>
  <c r="C1015" i="3"/>
  <c r="C1013" i="3"/>
  <c r="C1009" i="3"/>
  <c r="C1007" i="3"/>
  <c r="C1005" i="3"/>
  <c r="A505" i="3"/>
  <c r="F536" i="3"/>
  <c r="B1005" i="3" l="1"/>
  <c r="B1007" i="3"/>
  <c r="B1009" i="3"/>
  <c r="B1013" i="3"/>
  <c r="B1015" i="3"/>
  <c r="B1017" i="3"/>
  <c r="C509" i="3"/>
  <c r="F514" i="3"/>
  <c r="F522" i="3"/>
  <c r="F530" i="3"/>
  <c r="F991" i="3"/>
  <c r="F983" i="3"/>
  <c r="F992" i="3"/>
  <c r="F984" i="3"/>
  <c r="F972" i="3"/>
  <c r="F964" i="3"/>
  <c r="F956" i="3"/>
  <c r="F948" i="3"/>
  <c r="F940" i="3"/>
  <c r="F965" i="3"/>
  <c r="F949" i="3"/>
  <c r="F936" i="3"/>
  <c r="F928" i="3"/>
  <c r="F920" i="3"/>
  <c r="F912" i="3"/>
  <c r="F975" i="3"/>
  <c r="F959" i="3"/>
  <c r="F943" i="3"/>
  <c r="F933" i="3"/>
  <c r="F925" i="3"/>
  <c r="F901" i="3"/>
  <c r="F893" i="3"/>
  <c r="F885" i="3"/>
  <c r="F877" i="3"/>
  <c r="F869" i="3"/>
  <c r="F861" i="3"/>
  <c r="F853" i="3"/>
  <c r="F923" i="3"/>
  <c r="F900" i="3"/>
  <c r="F892" i="3"/>
  <c r="F884" i="3"/>
  <c r="F876" i="3"/>
  <c r="F868" i="3"/>
  <c r="F860" i="3"/>
  <c r="F909" i="3"/>
  <c r="F850" i="3"/>
  <c r="F842" i="3"/>
  <c r="F834" i="3"/>
  <c r="F826" i="3"/>
  <c r="F818" i="3"/>
  <c r="F810" i="3"/>
  <c r="F802" i="3"/>
  <c r="F794" i="3"/>
  <c r="F786" i="3"/>
  <c r="F778" i="3"/>
  <c r="F770" i="3"/>
  <c r="F762" i="3"/>
  <c r="F754" i="3"/>
  <c r="F746" i="3"/>
  <c r="F854" i="3"/>
  <c r="F845" i="3"/>
  <c r="F837" i="3"/>
  <c r="F829" i="3"/>
  <c r="F821" i="3"/>
  <c r="F813" i="3"/>
  <c r="F805" i="3"/>
  <c r="F797" i="3"/>
  <c r="F789" i="3"/>
  <c r="F781" i="3"/>
  <c r="F773" i="3"/>
  <c r="F741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763" i="3"/>
  <c r="F761" i="3"/>
  <c r="F736" i="3"/>
  <c r="F728" i="3"/>
  <c r="F720" i="3"/>
  <c r="F712" i="3"/>
  <c r="F704" i="3"/>
  <c r="F696" i="3"/>
  <c r="F688" i="3"/>
  <c r="F680" i="3"/>
  <c r="F672" i="3"/>
  <c r="F664" i="3"/>
  <c r="F767" i="3"/>
  <c r="F646" i="3"/>
  <c r="F644" i="3"/>
  <c r="F631" i="3"/>
  <c r="F623" i="3"/>
  <c r="F615" i="3"/>
  <c r="F607" i="3"/>
  <c r="F599" i="3"/>
  <c r="F591" i="3"/>
  <c r="F583" i="3"/>
  <c r="F575" i="3"/>
  <c r="F567" i="3"/>
  <c r="F559" i="3"/>
  <c r="F551" i="3"/>
  <c r="F543" i="3"/>
  <c r="F658" i="3"/>
  <c r="F640" i="3"/>
  <c r="F630" i="3"/>
  <c r="F622" i="3"/>
  <c r="F614" i="3"/>
  <c r="F606" i="3"/>
  <c r="F598" i="3"/>
  <c r="F590" i="3"/>
  <c r="F582" i="3"/>
  <c r="F574" i="3"/>
  <c r="F566" i="3"/>
  <c r="F558" i="3"/>
  <c r="F550" i="3"/>
  <c r="F542" i="3"/>
  <c r="F517" i="3"/>
  <c r="F525" i="3"/>
  <c r="F533" i="3"/>
  <c r="F572" i="3"/>
  <c r="F556" i="3"/>
  <c r="F540" i="3"/>
  <c r="F519" i="3"/>
  <c r="F537" i="3"/>
  <c r="F562" i="3"/>
  <c r="F513" i="3"/>
  <c r="F529" i="3"/>
  <c r="F516" i="3"/>
  <c r="F524" i="3"/>
  <c r="F532" i="3"/>
  <c r="F989" i="3"/>
  <c r="F981" i="3"/>
  <c r="F990" i="3"/>
  <c r="F982" i="3"/>
  <c r="F970" i="3"/>
  <c r="F962" i="3"/>
  <c r="F954" i="3"/>
  <c r="F946" i="3"/>
  <c r="F978" i="3"/>
  <c r="F961" i="3"/>
  <c r="F945" i="3"/>
  <c r="F934" i="3"/>
  <c r="F926" i="3"/>
  <c r="F918" i="3"/>
  <c r="F910" i="3"/>
  <c r="F971" i="3"/>
  <c r="F955" i="3"/>
  <c r="F939" i="3"/>
  <c r="F931" i="3"/>
  <c r="F919" i="3"/>
  <c r="F899" i="3"/>
  <c r="F891" i="3"/>
  <c r="F883" i="3"/>
  <c r="F875" i="3"/>
  <c r="F867" i="3"/>
  <c r="F859" i="3"/>
  <c r="F851" i="3"/>
  <c r="F915" i="3"/>
  <c r="F898" i="3"/>
  <c r="F890" i="3"/>
  <c r="F882" i="3"/>
  <c r="F874" i="3"/>
  <c r="F866" i="3"/>
  <c r="F858" i="3"/>
  <c r="F907" i="3"/>
  <c r="F848" i="3"/>
  <c r="F840" i="3"/>
  <c r="F832" i="3"/>
  <c r="F824" i="3"/>
  <c r="F816" i="3"/>
  <c r="F808" i="3"/>
  <c r="F800" i="3"/>
  <c r="F792" i="3"/>
  <c r="F784" i="3"/>
  <c r="F776" i="3"/>
  <c r="F768" i="3"/>
  <c r="F760" i="3"/>
  <c r="F752" i="3"/>
  <c r="F744" i="3"/>
  <c r="F852" i="3"/>
  <c r="F843" i="3"/>
  <c r="F835" i="3"/>
  <c r="F827" i="3"/>
  <c r="F819" i="3"/>
  <c r="F811" i="3"/>
  <c r="F803" i="3"/>
  <c r="F795" i="3"/>
  <c r="F787" i="3"/>
  <c r="F779" i="3"/>
  <c r="F765" i="3"/>
  <c r="F737" i="3"/>
  <c r="F729" i="3"/>
  <c r="F721" i="3"/>
  <c r="F713" i="3"/>
  <c r="F705" i="3"/>
  <c r="F697" i="3"/>
  <c r="F689" i="3"/>
  <c r="F681" i="3"/>
  <c r="F673" i="3"/>
  <c r="F665" i="3"/>
  <c r="F657" i="3"/>
  <c r="F649" i="3"/>
  <c r="F641" i="3"/>
  <c r="F755" i="3"/>
  <c r="F753" i="3"/>
  <c r="F734" i="3"/>
  <c r="F726" i="3"/>
  <c r="F718" i="3"/>
  <c r="F710" i="3"/>
  <c r="F702" i="3"/>
  <c r="F694" i="3"/>
  <c r="F686" i="3"/>
  <c r="F678" i="3"/>
  <c r="F670" i="3"/>
  <c r="F662" i="3"/>
  <c r="F759" i="3"/>
  <c r="F638" i="3"/>
  <c r="F637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654" i="3"/>
  <c r="F636" i="3"/>
  <c r="F628" i="3"/>
  <c r="F620" i="3"/>
  <c r="F612" i="3"/>
  <c r="F604" i="3"/>
  <c r="F596" i="3"/>
  <c r="F588" i="3"/>
  <c r="F580" i="3"/>
  <c r="F564" i="3"/>
  <c r="F548" i="3"/>
  <c r="F527" i="3"/>
  <c r="F554" i="3"/>
  <c r="F521" i="3"/>
  <c r="F518" i="3"/>
  <c r="F526" i="3"/>
  <c r="F534" i="3"/>
  <c r="F987" i="3"/>
  <c r="F979" i="3"/>
  <c r="F988" i="3"/>
  <c r="F976" i="3"/>
  <c r="F968" i="3"/>
  <c r="F960" i="3"/>
  <c r="F952" i="3"/>
  <c r="F944" i="3"/>
  <c r="F973" i="3"/>
  <c r="F957" i="3"/>
  <c r="F941" i="3"/>
  <c r="F932" i="3"/>
  <c r="F924" i="3"/>
  <c r="F916" i="3"/>
  <c r="F908" i="3"/>
  <c r="F967" i="3"/>
  <c r="F951" i="3"/>
  <c r="F937" i="3"/>
  <c r="F929" i="3"/>
  <c r="F911" i="3"/>
  <c r="F897" i="3"/>
  <c r="F889" i="3"/>
  <c r="F881" i="3"/>
  <c r="F873" i="3"/>
  <c r="F865" i="3"/>
  <c r="F857" i="3"/>
  <c r="F921" i="3"/>
  <c r="F906" i="3"/>
  <c r="F896" i="3"/>
  <c r="F888" i="3"/>
  <c r="F880" i="3"/>
  <c r="F872" i="3"/>
  <c r="F864" i="3"/>
  <c r="F856" i="3"/>
  <c r="F905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849" i="3"/>
  <c r="F841" i="3"/>
  <c r="F833" i="3"/>
  <c r="F825" i="3"/>
  <c r="F817" i="3"/>
  <c r="F809" i="3"/>
  <c r="F801" i="3"/>
  <c r="F793" i="3"/>
  <c r="F785" i="3"/>
  <c r="F777" i="3"/>
  <c r="F757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747" i="3"/>
  <c r="F745" i="3"/>
  <c r="F732" i="3"/>
  <c r="F724" i="3"/>
  <c r="F716" i="3"/>
  <c r="F708" i="3"/>
  <c r="F700" i="3"/>
  <c r="F692" i="3"/>
  <c r="F684" i="3"/>
  <c r="F676" i="3"/>
  <c r="F668" i="3"/>
  <c r="F660" i="3"/>
  <c r="F751" i="3"/>
  <c r="F656" i="3"/>
  <c r="F635" i="3"/>
  <c r="F627" i="3"/>
  <c r="F619" i="3"/>
  <c r="F611" i="3"/>
  <c r="F603" i="3"/>
  <c r="F595" i="3"/>
  <c r="F587" i="3"/>
  <c r="F579" i="3"/>
  <c r="F571" i="3"/>
  <c r="F563" i="3"/>
  <c r="F555" i="3"/>
  <c r="F547" i="3"/>
  <c r="F539" i="3"/>
  <c r="F650" i="3"/>
  <c r="F634" i="3"/>
  <c r="F626" i="3"/>
  <c r="F618" i="3"/>
  <c r="F610" i="3"/>
  <c r="F602" i="3"/>
  <c r="F594" i="3"/>
  <c r="F586" i="3"/>
  <c r="F578" i="3"/>
  <c r="F570" i="3"/>
  <c r="F546" i="3"/>
  <c r="F538" i="3"/>
  <c r="F520" i="3"/>
  <c r="F528" i="3"/>
  <c r="F535" i="3"/>
  <c r="F985" i="3"/>
  <c r="F977" i="3"/>
  <c r="F986" i="3"/>
  <c r="F974" i="3"/>
  <c r="F966" i="3"/>
  <c r="F958" i="3"/>
  <c r="F950" i="3"/>
  <c r="F942" i="3"/>
  <c r="F969" i="3"/>
  <c r="F953" i="3"/>
  <c r="F938" i="3"/>
  <c r="F930" i="3"/>
  <c r="F922" i="3"/>
  <c r="F914" i="3"/>
  <c r="F980" i="3"/>
  <c r="F963" i="3"/>
  <c r="F947" i="3"/>
  <c r="F935" i="3"/>
  <c r="F927" i="3"/>
  <c r="F903" i="3"/>
  <c r="F895" i="3"/>
  <c r="F887" i="3"/>
  <c r="F879" i="3"/>
  <c r="F871" i="3"/>
  <c r="F863" i="3"/>
  <c r="F855" i="3"/>
  <c r="F913" i="3"/>
  <c r="F902" i="3"/>
  <c r="F894" i="3"/>
  <c r="F886" i="3"/>
  <c r="F878" i="3"/>
  <c r="F870" i="3"/>
  <c r="F862" i="3"/>
  <c r="F917" i="3"/>
  <c r="F904" i="3"/>
  <c r="F844" i="3"/>
  <c r="F836" i="3"/>
  <c r="F828" i="3"/>
  <c r="F820" i="3"/>
  <c r="F812" i="3"/>
  <c r="F804" i="3"/>
  <c r="F796" i="3"/>
  <c r="F788" i="3"/>
  <c r="F780" i="3"/>
  <c r="F772" i="3"/>
  <c r="F764" i="3"/>
  <c r="F756" i="3"/>
  <c r="F748" i="3"/>
  <c r="F740" i="3"/>
  <c r="F847" i="3"/>
  <c r="F839" i="3"/>
  <c r="F831" i="3"/>
  <c r="F823" i="3"/>
  <c r="F815" i="3"/>
  <c r="F807" i="3"/>
  <c r="F799" i="3"/>
  <c r="F791" i="3"/>
  <c r="F783" i="3"/>
  <c r="F775" i="3"/>
  <c r="F749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769" i="3"/>
  <c r="F739" i="3"/>
  <c r="F738" i="3"/>
  <c r="F730" i="3"/>
  <c r="F722" i="3"/>
  <c r="F714" i="3"/>
  <c r="F706" i="3"/>
  <c r="F698" i="3"/>
  <c r="F690" i="3"/>
  <c r="F682" i="3"/>
  <c r="F674" i="3"/>
  <c r="F666" i="3"/>
  <c r="F771" i="3"/>
  <c r="F743" i="3"/>
  <c r="F652" i="3"/>
  <c r="F633" i="3"/>
  <c r="F625" i="3"/>
  <c r="F617" i="3"/>
  <c r="F609" i="3"/>
  <c r="F601" i="3"/>
  <c r="F593" i="3"/>
  <c r="F585" i="3"/>
  <c r="F577" i="3"/>
  <c r="F569" i="3"/>
  <c r="F561" i="3"/>
  <c r="F553" i="3"/>
  <c r="F545" i="3"/>
  <c r="F642" i="3"/>
  <c r="F648" i="3"/>
  <c r="F632" i="3"/>
  <c r="F624" i="3"/>
  <c r="F616" i="3"/>
  <c r="F608" i="3"/>
  <c r="F600" i="3"/>
  <c r="F592" i="3"/>
  <c r="F584" i="3"/>
  <c r="F576" i="3"/>
  <c r="F568" i="3"/>
  <c r="F560" i="3"/>
  <c r="F552" i="3"/>
  <c r="F544" i="3"/>
  <c r="F515" i="3"/>
  <c r="F523" i="3"/>
  <c r="F531" i="3"/>
  <c r="BI1011" i="3" l="1"/>
  <c r="BI1012" i="3" s="1"/>
  <c r="BE1011" i="3"/>
  <c r="BE1012" i="3" s="1"/>
  <c r="BA1011" i="3"/>
  <c r="BA1012" i="3" s="1"/>
  <c r="AW1011" i="3"/>
  <c r="AW1012" i="3" s="1"/>
  <c r="AS1011" i="3"/>
  <c r="AS1012" i="3" s="1"/>
  <c r="AO1011" i="3"/>
  <c r="AO1012" i="3" s="1"/>
  <c r="AK1011" i="3"/>
  <c r="AK1012" i="3" s="1"/>
  <c r="AG1011" i="3"/>
  <c r="AG1012" i="3" s="1"/>
  <c r="AC1011" i="3"/>
  <c r="AC1012" i="3" s="1"/>
  <c r="Y1011" i="3"/>
  <c r="Y1012" i="3" s="1"/>
  <c r="U1011" i="3"/>
  <c r="U1012" i="3" s="1"/>
  <c r="Q1011" i="3"/>
  <c r="Q1012" i="3" s="1"/>
  <c r="M1011" i="3"/>
  <c r="M1012" i="3" s="1"/>
  <c r="I1011" i="3"/>
  <c r="I1012" i="3" s="1"/>
  <c r="E1011" i="3"/>
  <c r="E1012" i="3" s="1"/>
  <c r="BH1011" i="3"/>
  <c r="BH1012" i="3" s="1"/>
  <c r="BD1011" i="3"/>
  <c r="BD1012" i="3" s="1"/>
  <c r="AZ1011" i="3"/>
  <c r="AZ1012" i="3" s="1"/>
  <c r="AV1011" i="3"/>
  <c r="AV1012" i="3" s="1"/>
  <c r="AR1011" i="3"/>
  <c r="AR1012" i="3" s="1"/>
  <c r="AN1011" i="3"/>
  <c r="AN1012" i="3" s="1"/>
  <c r="AJ1011" i="3"/>
  <c r="AJ1012" i="3" s="1"/>
  <c r="AF1011" i="3"/>
  <c r="AF1012" i="3" s="1"/>
  <c r="AB1011" i="3"/>
  <c r="AB1012" i="3" s="1"/>
  <c r="X1011" i="3"/>
  <c r="X1012" i="3" s="1"/>
  <c r="T1011" i="3"/>
  <c r="T1012" i="3" s="1"/>
  <c r="P1011" i="3"/>
  <c r="P1012" i="3" s="1"/>
  <c r="L1011" i="3"/>
  <c r="L1012" i="3" s="1"/>
  <c r="H1011" i="3"/>
  <c r="H1012" i="3" s="1"/>
  <c r="D1011" i="3"/>
  <c r="D1012" i="3" s="1"/>
  <c r="BG1011" i="3"/>
  <c r="BG1012" i="3" s="1"/>
  <c r="BC1011" i="3"/>
  <c r="BC1012" i="3" s="1"/>
  <c r="AY1011" i="3"/>
  <c r="AY1012" i="3" s="1"/>
  <c r="AU1011" i="3"/>
  <c r="AU1012" i="3" s="1"/>
  <c r="AQ1011" i="3"/>
  <c r="AQ1012" i="3" s="1"/>
  <c r="AM1011" i="3"/>
  <c r="AM1012" i="3" s="1"/>
  <c r="AI1011" i="3"/>
  <c r="AI1012" i="3" s="1"/>
  <c r="AE1011" i="3"/>
  <c r="AE1012" i="3" s="1"/>
  <c r="AA1011" i="3"/>
  <c r="AA1012" i="3" s="1"/>
  <c r="W1011" i="3"/>
  <c r="W1012" i="3" s="1"/>
  <c r="S1011" i="3"/>
  <c r="S1012" i="3" s="1"/>
  <c r="O1011" i="3"/>
  <c r="O1012" i="3" s="1"/>
  <c r="K1011" i="3"/>
  <c r="K1012" i="3" s="1"/>
  <c r="G1011" i="3"/>
  <c r="G1012" i="3" s="1"/>
  <c r="C1011" i="3"/>
  <c r="C1012" i="3" s="1"/>
  <c r="BF1011" i="3"/>
  <c r="BF1012" i="3" s="1"/>
  <c r="AP1011" i="3"/>
  <c r="AP1012" i="3" s="1"/>
  <c r="Z1011" i="3"/>
  <c r="Z1012" i="3" s="1"/>
  <c r="J1011" i="3"/>
  <c r="J1012" i="3" s="1"/>
  <c r="BB1011" i="3"/>
  <c r="BB1012" i="3" s="1"/>
  <c r="AL1011" i="3"/>
  <c r="AL1012" i="3" s="1"/>
  <c r="V1011" i="3"/>
  <c r="V1012" i="3" s="1"/>
  <c r="F1011" i="3"/>
  <c r="F1012" i="3" s="1"/>
  <c r="AX1011" i="3"/>
  <c r="AX1012" i="3" s="1"/>
  <c r="R1011" i="3"/>
  <c r="R1012" i="3" s="1"/>
  <c r="AT1011" i="3"/>
  <c r="AT1012" i="3" s="1"/>
  <c r="N1011" i="3"/>
  <c r="N1012" i="3" s="1"/>
  <c r="AH1011" i="3"/>
  <c r="AH1012" i="3" s="1"/>
  <c r="B1011" i="3"/>
  <c r="B1012" i="3" s="1"/>
  <c r="BJ1011" i="3"/>
  <c r="BJ1012" i="3" s="1"/>
  <c r="AD1011" i="3"/>
  <c r="AD1012" i="3" s="1"/>
  <c r="BI1019" i="3"/>
  <c r="BI1020" i="3" s="1"/>
  <c r="BE1019" i="3"/>
  <c r="BE1020" i="3" s="1"/>
  <c r="BA1019" i="3"/>
  <c r="BA1020" i="3" s="1"/>
  <c r="AW1019" i="3"/>
  <c r="AW1020" i="3" s="1"/>
  <c r="AS1019" i="3"/>
  <c r="AS1020" i="3" s="1"/>
  <c r="AO1019" i="3"/>
  <c r="AO1020" i="3" s="1"/>
  <c r="AK1019" i="3"/>
  <c r="AK1020" i="3" s="1"/>
  <c r="AG1019" i="3"/>
  <c r="AG1020" i="3" s="1"/>
  <c r="AC1019" i="3"/>
  <c r="AC1020" i="3" s="1"/>
  <c r="Y1019" i="3"/>
  <c r="Y1020" i="3" s="1"/>
  <c r="U1019" i="3"/>
  <c r="U1020" i="3" s="1"/>
  <c r="Q1019" i="3"/>
  <c r="Q1020" i="3" s="1"/>
  <c r="M1019" i="3"/>
  <c r="M1020" i="3" s="1"/>
  <c r="I1019" i="3"/>
  <c r="I1020" i="3" s="1"/>
  <c r="E1019" i="3"/>
  <c r="E1020" i="3" s="1"/>
  <c r="BH1019" i="3"/>
  <c r="BH1020" i="3" s="1"/>
  <c r="BD1019" i="3"/>
  <c r="BD1020" i="3" s="1"/>
  <c r="AZ1019" i="3"/>
  <c r="AZ1020" i="3" s="1"/>
  <c r="AV1019" i="3"/>
  <c r="AV1020" i="3" s="1"/>
  <c r="AR1019" i="3"/>
  <c r="AR1020" i="3" s="1"/>
  <c r="AN1019" i="3"/>
  <c r="AN1020" i="3" s="1"/>
  <c r="AJ1019" i="3"/>
  <c r="AJ1020" i="3" s="1"/>
  <c r="AF1019" i="3"/>
  <c r="AF1020" i="3" s="1"/>
  <c r="AB1019" i="3"/>
  <c r="AB1020" i="3" s="1"/>
  <c r="X1019" i="3"/>
  <c r="X1020" i="3" s="1"/>
  <c r="T1019" i="3"/>
  <c r="T1020" i="3" s="1"/>
  <c r="P1019" i="3"/>
  <c r="P1020" i="3" s="1"/>
  <c r="L1019" i="3"/>
  <c r="L1020" i="3" s="1"/>
  <c r="H1019" i="3"/>
  <c r="H1020" i="3" s="1"/>
  <c r="D1019" i="3"/>
  <c r="D1020" i="3" s="1"/>
  <c r="BG1019" i="3"/>
  <c r="BG1020" i="3" s="1"/>
  <c r="BC1019" i="3"/>
  <c r="BC1020" i="3" s="1"/>
  <c r="AY1019" i="3"/>
  <c r="AY1020" i="3" s="1"/>
  <c r="AU1019" i="3"/>
  <c r="AU1020" i="3" s="1"/>
  <c r="AQ1019" i="3"/>
  <c r="AQ1020" i="3" s="1"/>
  <c r="AM1019" i="3"/>
  <c r="AM1020" i="3" s="1"/>
  <c r="AI1019" i="3"/>
  <c r="AI1020" i="3" s="1"/>
  <c r="AE1019" i="3"/>
  <c r="AE1020" i="3" s="1"/>
  <c r="AA1019" i="3"/>
  <c r="AA1020" i="3" s="1"/>
  <c r="W1019" i="3"/>
  <c r="W1020" i="3" s="1"/>
  <c r="S1019" i="3"/>
  <c r="S1020" i="3" s="1"/>
  <c r="O1019" i="3"/>
  <c r="O1020" i="3" s="1"/>
  <c r="K1019" i="3"/>
  <c r="K1020" i="3" s="1"/>
  <c r="G1019" i="3"/>
  <c r="G1020" i="3" s="1"/>
  <c r="C1019" i="3"/>
  <c r="C1020" i="3" s="1"/>
  <c r="AX1019" i="3"/>
  <c r="AX1020" i="3" s="1"/>
  <c r="AH1019" i="3"/>
  <c r="AH1020" i="3" s="1"/>
  <c r="R1019" i="3"/>
  <c r="R1020" i="3" s="1"/>
  <c r="B1019" i="3"/>
  <c r="B1020" i="3" s="1"/>
  <c r="BJ1019" i="3"/>
  <c r="BJ1020" i="3" s="1"/>
  <c r="AT1019" i="3"/>
  <c r="AT1020" i="3" s="1"/>
  <c r="AD1019" i="3"/>
  <c r="AD1020" i="3" s="1"/>
  <c r="N1019" i="3"/>
  <c r="N1020" i="3" s="1"/>
  <c r="BF1019" i="3"/>
  <c r="BF1020" i="3" s="1"/>
  <c r="AP1019" i="3"/>
  <c r="AP1020" i="3" s="1"/>
  <c r="Z1019" i="3"/>
  <c r="Z1020" i="3" s="1"/>
  <c r="J1019" i="3"/>
  <c r="J1020" i="3" s="1"/>
  <c r="V1019" i="3"/>
  <c r="V1020" i="3" s="1"/>
  <c r="F1019" i="3"/>
  <c r="F1020" i="3" s="1"/>
  <c r="BB1019" i="3"/>
  <c r="BB1020" i="3" s="1"/>
  <c r="AL1019" i="3"/>
  <c r="AL1020" i="3" s="1"/>
  <c r="CO2" i="3" l="1"/>
  <c r="AG2" i="3"/>
  <c r="AG2" i="2" s="1"/>
  <c r="BY2" i="3"/>
  <c r="Q2" i="3"/>
  <c r="Q2" i="2" s="1"/>
  <c r="BQ2" i="3"/>
  <c r="I2" i="3"/>
  <c r="I2" i="2" s="1"/>
  <c r="BU2" i="3"/>
  <c r="M2" i="3"/>
  <c r="M2" i="2" s="1"/>
  <c r="BN2" i="3"/>
  <c r="F2" i="3"/>
  <c r="F2" i="2" s="1"/>
  <c r="CD2" i="3"/>
  <c r="V2" i="3"/>
  <c r="V2" i="2" s="1"/>
  <c r="CT2" i="3"/>
  <c r="AL2" i="3"/>
  <c r="AL2" i="2" s="1"/>
  <c r="DJ2" i="3"/>
  <c r="BB2" i="3"/>
  <c r="BB2" i="2" s="1"/>
  <c r="BS2" i="3"/>
  <c r="K2" i="3"/>
  <c r="K2" i="2" s="1"/>
  <c r="CI2" i="3"/>
  <c r="AA2" i="3"/>
  <c r="AA2" i="2" s="1"/>
  <c r="CY2" i="3"/>
  <c r="AQ2" i="3"/>
  <c r="AQ2" i="2" s="1"/>
  <c r="DO2" i="3"/>
  <c r="BG2" i="3"/>
  <c r="BG2" i="2" s="1"/>
  <c r="BX2" i="3"/>
  <c r="P2" i="3"/>
  <c r="P2" i="2" s="1"/>
  <c r="CN2" i="3"/>
  <c r="AF2" i="3"/>
  <c r="AF2" i="2" s="1"/>
  <c r="DD2" i="3"/>
  <c r="AV2" i="3"/>
  <c r="AV2" i="2" s="1"/>
  <c r="DT2" i="3"/>
  <c r="BL2" i="3"/>
  <c r="BL2" i="2" s="1"/>
  <c r="DU2" i="3"/>
  <c r="BM2" i="3"/>
  <c r="BM2" i="2" s="1"/>
  <c r="DE2" i="3"/>
  <c r="AW2" i="3"/>
  <c r="AW2" i="2" s="1"/>
  <c r="CG2" i="3"/>
  <c r="Y2" i="3"/>
  <c r="Y2" i="2" s="1"/>
  <c r="CK2" i="3"/>
  <c r="AC2" i="3"/>
  <c r="AC2" i="2" s="1"/>
  <c r="BR2" i="3"/>
  <c r="J2" i="3"/>
  <c r="J2" i="2" s="1"/>
  <c r="CH2" i="3"/>
  <c r="Z2" i="3"/>
  <c r="Z2" i="2" s="1"/>
  <c r="CX2" i="3"/>
  <c r="AP2" i="3"/>
  <c r="AP2" i="2" s="1"/>
  <c r="DN2" i="3"/>
  <c r="BF2" i="3"/>
  <c r="BF2" i="2" s="1"/>
  <c r="BW2" i="3"/>
  <c r="O2" i="3"/>
  <c r="O2" i="2" s="1"/>
  <c r="CM2" i="3"/>
  <c r="AE2" i="3"/>
  <c r="AE2" i="2" s="1"/>
  <c r="DC2" i="3"/>
  <c r="AU2" i="3"/>
  <c r="AU2" i="2" s="1"/>
  <c r="DS2" i="3"/>
  <c r="BK2" i="3"/>
  <c r="BK2" i="2" s="1"/>
  <c r="CB2" i="3"/>
  <c r="T2" i="3"/>
  <c r="T2" i="2" s="1"/>
  <c r="CR2" i="3"/>
  <c r="AJ2" i="3"/>
  <c r="AJ2" i="2" s="1"/>
  <c r="DH2" i="3"/>
  <c r="AZ2" i="3"/>
  <c r="AZ2" i="2" s="1"/>
  <c r="B511" i="3"/>
  <c r="CC2" i="3"/>
  <c r="U2" i="3"/>
  <c r="U2" i="2" s="1"/>
  <c r="CW2" i="3"/>
  <c r="AO2" i="3"/>
  <c r="AO2" i="2" s="1"/>
  <c r="DA2" i="3"/>
  <c r="AS2" i="3"/>
  <c r="AS2" i="2" s="1"/>
  <c r="BV2" i="3"/>
  <c r="N2" i="3"/>
  <c r="N2" i="2" s="1"/>
  <c r="CL2" i="3"/>
  <c r="AD2" i="3"/>
  <c r="AD2" i="2" s="1"/>
  <c r="DB2" i="3"/>
  <c r="AT2" i="3"/>
  <c r="AT2" i="2" s="1"/>
  <c r="DR2" i="3"/>
  <c r="BJ2" i="3"/>
  <c r="BJ2" i="2" s="1"/>
  <c r="CA2" i="3"/>
  <c r="S2" i="3"/>
  <c r="S2" i="2" s="1"/>
  <c r="CQ2" i="3"/>
  <c r="AI2" i="3"/>
  <c r="AI2" i="2" s="1"/>
  <c r="DG2" i="3"/>
  <c r="AY2" i="3"/>
  <c r="AY2" i="2" s="1"/>
  <c r="BP2" i="3"/>
  <c r="H2" i="3"/>
  <c r="H2" i="2" s="1"/>
  <c r="CF2" i="3"/>
  <c r="X2" i="3"/>
  <c r="X2" i="2" s="1"/>
  <c r="CV2" i="3"/>
  <c r="AN2" i="3"/>
  <c r="AN2" i="2" s="1"/>
  <c r="DL2" i="3"/>
  <c r="BD2" i="3"/>
  <c r="BD2" i="2" s="1"/>
  <c r="CS2" i="3"/>
  <c r="AK2" i="3"/>
  <c r="AK2" i="2" s="1"/>
  <c r="DI2" i="3"/>
  <c r="BA2" i="3"/>
  <c r="BA2" i="2" s="1"/>
  <c r="DM2" i="3"/>
  <c r="BE2" i="3"/>
  <c r="BE2" i="2" s="1"/>
  <c r="DQ2" i="3"/>
  <c r="BI2" i="3"/>
  <c r="BI2" i="2" s="1"/>
  <c r="BZ2" i="3"/>
  <c r="R2" i="3"/>
  <c r="R2" i="2" s="1"/>
  <c r="CP2" i="3"/>
  <c r="AH2" i="3"/>
  <c r="AH2" i="2" s="1"/>
  <c r="DF2" i="3"/>
  <c r="AX2" i="3"/>
  <c r="AX2" i="2" s="1"/>
  <c r="BO2" i="3"/>
  <c r="G2" i="3"/>
  <c r="G2" i="2" s="1"/>
  <c r="CE2" i="3"/>
  <c r="W2" i="3"/>
  <c r="W2" i="2" s="1"/>
  <c r="CU2" i="3"/>
  <c r="AM2" i="3"/>
  <c r="AM2" i="2" s="1"/>
  <c r="DK2" i="3"/>
  <c r="BC2" i="3"/>
  <c r="BC2" i="2" s="1"/>
  <c r="BT2" i="3"/>
  <c r="L2" i="3"/>
  <c r="L2" i="2" s="1"/>
  <c r="CJ2" i="3"/>
  <c r="AB2" i="3"/>
  <c r="AB2" i="2" s="1"/>
  <c r="CZ2" i="3"/>
  <c r="AR2" i="3"/>
  <c r="AR2" i="2" s="1"/>
  <c r="DP2" i="3"/>
  <c r="BH2" i="3"/>
  <c r="BH2" i="2" s="1"/>
  <c r="BM495" i="3"/>
  <c r="AW495" i="3"/>
  <c r="AG495" i="3"/>
  <c r="Q495" i="3"/>
  <c r="BF494" i="3"/>
  <c r="AP494" i="3"/>
  <c r="Z494" i="3"/>
  <c r="J494" i="3"/>
  <c r="AY493" i="3"/>
  <c r="AI493" i="3"/>
  <c r="S493" i="3"/>
  <c r="BL492" i="3"/>
  <c r="AV492" i="3"/>
  <c r="AF492" i="3"/>
  <c r="P492" i="3"/>
  <c r="BI491" i="3"/>
  <c r="AS491" i="3"/>
  <c r="AC491" i="3"/>
  <c r="M491" i="3"/>
  <c r="BB490" i="3"/>
  <c r="AL490" i="3"/>
  <c r="V490" i="3"/>
  <c r="BK489" i="3"/>
  <c r="AU489" i="3"/>
  <c r="AE489" i="3"/>
  <c r="O489" i="3"/>
  <c r="BH488" i="3"/>
  <c r="AR488" i="3"/>
  <c r="AB488" i="3"/>
  <c r="L488" i="3"/>
  <c r="BE487" i="3"/>
  <c r="AO487" i="3"/>
  <c r="Y487" i="3"/>
  <c r="I487" i="3"/>
  <c r="AX486" i="3"/>
  <c r="AH486" i="3"/>
  <c r="R486" i="3"/>
  <c r="BG485" i="3"/>
  <c r="AQ485" i="3"/>
  <c r="AA485" i="3"/>
  <c r="K485" i="3"/>
  <c r="BD495" i="3"/>
  <c r="AN495" i="3"/>
  <c r="X495" i="3"/>
  <c r="H495" i="3"/>
  <c r="BA494" i="3"/>
  <c r="AK494" i="3"/>
  <c r="U494" i="3"/>
  <c r="BJ493" i="3"/>
  <c r="AT493" i="3"/>
  <c r="AD493" i="3"/>
  <c r="N493" i="3"/>
  <c r="BC492" i="3"/>
  <c r="AM492" i="3"/>
  <c r="W492" i="3"/>
  <c r="G492" i="3"/>
  <c r="AZ491" i="3"/>
  <c r="AJ491" i="3"/>
  <c r="T491" i="3"/>
  <c r="BM490" i="3"/>
  <c r="AW490" i="3"/>
  <c r="AG490" i="3"/>
  <c r="Q490" i="3"/>
  <c r="BF489" i="3"/>
  <c r="AP489" i="3"/>
  <c r="Z489" i="3"/>
  <c r="J489" i="3"/>
  <c r="AY488" i="3"/>
  <c r="AI488" i="3"/>
  <c r="S488" i="3"/>
  <c r="BL487" i="3"/>
  <c r="AV487" i="3"/>
  <c r="AF487" i="3"/>
  <c r="P487" i="3"/>
  <c r="BG495" i="3"/>
  <c r="AQ495" i="3"/>
  <c r="AA495" i="3"/>
  <c r="K495" i="3"/>
  <c r="BD494" i="3"/>
  <c r="AN494" i="3"/>
  <c r="X494" i="3"/>
  <c r="H494" i="3"/>
  <c r="BA493" i="3"/>
  <c r="AK493" i="3"/>
  <c r="U493" i="3"/>
  <c r="BJ492" i="3"/>
  <c r="AT492" i="3"/>
  <c r="AD492" i="3"/>
  <c r="N492" i="3"/>
  <c r="BC491" i="3"/>
  <c r="AM491" i="3"/>
  <c r="W491" i="3"/>
  <c r="G491" i="3"/>
  <c r="AZ490" i="3"/>
  <c r="AJ490" i="3"/>
  <c r="T490" i="3"/>
  <c r="BM489" i="3"/>
  <c r="AW489" i="3"/>
  <c r="AG489" i="3"/>
  <c r="Q489" i="3"/>
  <c r="BF488" i="3"/>
  <c r="AP488" i="3"/>
  <c r="Z488" i="3"/>
  <c r="J488" i="3"/>
  <c r="AY487" i="3"/>
  <c r="AI487" i="3"/>
  <c r="BJ495" i="3"/>
  <c r="AT495" i="3"/>
  <c r="AD495" i="3"/>
  <c r="N495" i="3"/>
  <c r="BC494" i="3"/>
  <c r="AM494" i="3"/>
  <c r="W494" i="3"/>
  <c r="G494" i="3"/>
  <c r="AZ493" i="3"/>
  <c r="AJ493" i="3"/>
  <c r="T493" i="3"/>
  <c r="BM492" i="3"/>
  <c r="AW492" i="3"/>
  <c r="AG492" i="3"/>
  <c r="Q492" i="3"/>
  <c r="BF491" i="3"/>
  <c r="AP491" i="3"/>
  <c r="Z491" i="3"/>
  <c r="J491" i="3"/>
  <c r="AY490" i="3"/>
  <c r="AI490" i="3"/>
  <c r="S490" i="3"/>
  <c r="BL489" i="3"/>
  <c r="AV489" i="3"/>
  <c r="AF489" i="3"/>
  <c r="P489" i="3"/>
  <c r="BI488" i="3"/>
  <c r="AS488" i="3"/>
  <c r="AC488" i="3"/>
  <c r="M488" i="3"/>
  <c r="BB487" i="3"/>
  <c r="AL487" i="3"/>
  <c r="V487" i="3"/>
  <c r="BG486" i="3"/>
  <c r="AK486" i="3"/>
  <c r="P486" i="3"/>
  <c r="AX485" i="3"/>
  <c r="AC485" i="3"/>
  <c r="H485" i="3"/>
  <c r="AZ484" i="3"/>
  <c r="AJ484" i="3"/>
  <c r="T484" i="3"/>
  <c r="BM483" i="3"/>
  <c r="AW483" i="3"/>
  <c r="AG483" i="3"/>
  <c r="Q483" i="3"/>
  <c r="BF482" i="3"/>
  <c r="AP482" i="3"/>
  <c r="Z482" i="3"/>
  <c r="J482" i="3"/>
  <c r="AY481" i="3"/>
  <c r="AI481" i="3"/>
  <c r="S481" i="3"/>
  <c r="BL480" i="3"/>
  <c r="AV480" i="3"/>
  <c r="AF480" i="3"/>
  <c r="P480" i="3"/>
  <c r="BI479" i="3"/>
  <c r="AS479" i="3"/>
  <c r="AC479" i="3"/>
  <c r="M479" i="3"/>
  <c r="BB478" i="3"/>
  <c r="AL478" i="3"/>
  <c r="V478" i="3"/>
  <c r="BK477" i="3"/>
  <c r="AU477" i="3"/>
  <c r="AE477" i="3"/>
  <c r="O477" i="3"/>
  <c r="BH476" i="3"/>
  <c r="AR476" i="3"/>
  <c r="AB476" i="3"/>
  <c r="L476" i="3"/>
  <c r="BE475" i="3"/>
  <c r="AO475" i="3"/>
  <c r="Y475" i="3"/>
  <c r="I475" i="3"/>
  <c r="AX474" i="3"/>
  <c r="AH474" i="3"/>
  <c r="R474" i="3"/>
  <c r="BG473" i="3"/>
  <c r="AQ473" i="3"/>
  <c r="AA473" i="3"/>
  <c r="K473" i="3"/>
  <c r="BD472" i="3"/>
  <c r="AN472" i="3"/>
  <c r="X472" i="3"/>
  <c r="H472" i="3"/>
  <c r="BA471" i="3"/>
  <c r="AK471" i="3"/>
  <c r="U471" i="3"/>
  <c r="BJ470" i="3"/>
  <c r="AT470" i="3"/>
  <c r="AD470" i="3"/>
  <c r="N470" i="3"/>
  <c r="BC469" i="3"/>
  <c r="AM469" i="3"/>
  <c r="W469" i="3"/>
  <c r="G469" i="3"/>
  <c r="AZ468" i="3"/>
  <c r="AJ468" i="3"/>
  <c r="T468" i="3"/>
  <c r="BM467" i="3"/>
  <c r="AW467" i="3"/>
  <c r="AG467" i="3"/>
  <c r="Q467" i="3"/>
  <c r="BF466" i="3"/>
  <c r="AP466" i="3"/>
  <c r="Z466" i="3"/>
  <c r="J466" i="3"/>
  <c r="AY465" i="3"/>
  <c r="AI465" i="3"/>
  <c r="S465" i="3"/>
  <c r="BL464" i="3"/>
  <c r="AV464" i="3"/>
  <c r="AF464" i="3"/>
  <c r="P464" i="3"/>
  <c r="BK486" i="3"/>
  <c r="AO486" i="3"/>
  <c r="T486" i="3"/>
  <c r="BH485" i="3"/>
  <c r="AL485" i="3"/>
  <c r="Q485" i="3"/>
  <c r="BC484" i="3"/>
  <c r="AM484" i="3"/>
  <c r="W484" i="3"/>
  <c r="G484" i="3"/>
  <c r="AZ483" i="3"/>
  <c r="AJ483" i="3"/>
  <c r="T483" i="3"/>
  <c r="BM482" i="3"/>
  <c r="AW482" i="3"/>
  <c r="AG482" i="3"/>
  <c r="Q482" i="3"/>
  <c r="BF481" i="3"/>
  <c r="AP481" i="3"/>
  <c r="Z481" i="3"/>
  <c r="J481" i="3"/>
  <c r="AY480" i="3"/>
  <c r="AI480" i="3"/>
  <c r="S480" i="3"/>
  <c r="BL479" i="3"/>
  <c r="AV479" i="3"/>
  <c r="AF479" i="3"/>
  <c r="P479" i="3"/>
  <c r="BI478" i="3"/>
  <c r="AS478" i="3"/>
  <c r="AC478" i="3"/>
  <c r="M478" i="3"/>
  <c r="BB477" i="3"/>
  <c r="AL477" i="3"/>
  <c r="V477" i="3"/>
  <c r="BK476" i="3"/>
  <c r="AU476" i="3"/>
  <c r="AE476" i="3"/>
  <c r="O476" i="3"/>
  <c r="BH475" i="3"/>
  <c r="AR475" i="3"/>
  <c r="AB475" i="3"/>
  <c r="L475" i="3"/>
  <c r="BE474" i="3"/>
  <c r="AO474" i="3"/>
  <c r="Y474" i="3"/>
  <c r="I474" i="3"/>
  <c r="AX473" i="3"/>
  <c r="AH473" i="3"/>
  <c r="R473" i="3"/>
  <c r="BG472" i="3"/>
  <c r="AQ472" i="3"/>
  <c r="AA472" i="3"/>
  <c r="K472" i="3"/>
  <c r="BD471" i="3"/>
  <c r="AN471" i="3"/>
  <c r="X471" i="3"/>
  <c r="H471" i="3"/>
  <c r="BA470" i="3"/>
  <c r="AK470" i="3"/>
  <c r="U470" i="3"/>
  <c r="BJ469" i="3"/>
  <c r="AT469" i="3"/>
  <c r="AD469" i="3"/>
  <c r="N469" i="3"/>
  <c r="BC468" i="3"/>
  <c r="AM468" i="3"/>
  <c r="W468" i="3"/>
  <c r="G468" i="3"/>
  <c r="AZ467" i="3"/>
  <c r="AJ467" i="3"/>
  <c r="T467" i="3"/>
  <c r="BM466" i="3"/>
  <c r="AW466" i="3"/>
  <c r="AG466" i="3"/>
  <c r="Q466" i="3"/>
  <c r="BF465" i="3"/>
  <c r="AP465" i="3"/>
  <c r="Z465" i="3"/>
  <c r="J465" i="3"/>
  <c r="AY464" i="3"/>
  <c r="AI464" i="3"/>
  <c r="S464" i="3"/>
  <c r="R487" i="3"/>
  <c r="BC486" i="3"/>
  <c r="AG486" i="3"/>
  <c r="L486" i="3"/>
  <c r="AZ485" i="3"/>
  <c r="AD485" i="3"/>
  <c r="I485" i="3"/>
  <c r="BA484" i="3"/>
  <c r="AK484" i="3"/>
  <c r="U484" i="3"/>
  <c r="BJ483" i="3"/>
  <c r="AT483" i="3"/>
  <c r="AD483" i="3"/>
  <c r="N483" i="3"/>
  <c r="BC482" i="3"/>
  <c r="AM482" i="3"/>
  <c r="W482" i="3"/>
  <c r="G482" i="3"/>
  <c r="AZ481" i="3"/>
  <c r="AJ481" i="3"/>
  <c r="T481" i="3"/>
  <c r="BM480" i="3"/>
  <c r="AW480" i="3"/>
  <c r="AG480" i="3"/>
  <c r="Q480" i="3"/>
  <c r="BF479" i="3"/>
  <c r="AP479" i="3"/>
  <c r="Z479" i="3"/>
  <c r="J479" i="3"/>
  <c r="AY478" i="3"/>
  <c r="AI478" i="3"/>
  <c r="S478" i="3"/>
  <c r="BL477" i="3"/>
  <c r="AV477" i="3"/>
  <c r="AF477" i="3"/>
  <c r="P477" i="3"/>
  <c r="BI476" i="3"/>
  <c r="AS476" i="3"/>
  <c r="AC476" i="3"/>
  <c r="M476" i="3"/>
  <c r="BB475" i="3"/>
  <c r="AL475" i="3"/>
  <c r="V475" i="3"/>
  <c r="BK474" i="3"/>
  <c r="AU474" i="3"/>
  <c r="AE474" i="3"/>
  <c r="O474" i="3"/>
  <c r="BH473" i="3"/>
  <c r="AR473" i="3"/>
  <c r="AB473" i="3"/>
  <c r="L473" i="3"/>
  <c r="BE472" i="3"/>
  <c r="AO472" i="3"/>
  <c r="Y472" i="3"/>
  <c r="I472" i="3"/>
  <c r="AX471" i="3"/>
  <c r="AH471" i="3"/>
  <c r="R471" i="3"/>
  <c r="BG470" i="3"/>
  <c r="AQ470" i="3"/>
  <c r="AA470" i="3"/>
  <c r="K470" i="3"/>
  <c r="BD469" i="3"/>
  <c r="AN469" i="3"/>
  <c r="X469" i="3"/>
  <c r="H469" i="3"/>
  <c r="BA468" i="3"/>
  <c r="AK468" i="3"/>
  <c r="U468" i="3"/>
  <c r="BJ467" i="3"/>
  <c r="AT467" i="3"/>
  <c r="AD467" i="3"/>
  <c r="N467" i="3"/>
  <c r="BC466" i="3"/>
  <c r="AM466" i="3"/>
  <c r="W466" i="3"/>
  <c r="G466" i="3"/>
  <c r="AZ465" i="3"/>
  <c r="AJ465" i="3"/>
  <c r="T465" i="3"/>
  <c r="BM464" i="3"/>
  <c r="AW464" i="3"/>
  <c r="AG464" i="3"/>
  <c r="Q464" i="3"/>
  <c r="AS486" i="3"/>
  <c r="AX484" i="3"/>
  <c r="AI483" i="3"/>
  <c r="T482" i="3"/>
  <c r="AX480" i="3"/>
  <c r="AI479" i="3"/>
  <c r="T478" i="3"/>
  <c r="AX476" i="3"/>
  <c r="AI475" i="3"/>
  <c r="T474" i="3"/>
  <c r="AX472" i="3"/>
  <c r="AI471" i="3"/>
  <c r="T470" i="3"/>
  <c r="AX468" i="3"/>
  <c r="AI467" i="3"/>
  <c r="T466" i="3"/>
  <c r="AX464" i="3"/>
  <c r="BE463" i="3"/>
  <c r="AO463" i="3"/>
  <c r="Y463" i="3"/>
  <c r="I463" i="3"/>
  <c r="AX462" i="3"/>
  <c r="AH462" i="3"/>
  <c r="R462" i="3"/>
  <c r="BG461" i="3"/>
  <c r="AQ461" i="3"/>
  <c r="AA461" i="3"/>
  <c r="K461" i="3"/>
  <c r="BD460" i="3"/>
  <c r="AN460" i="3"/>
  <c r="X460" i="3"/>
  <c r="H460" i="3"/>
  <c r="BA459" i="3"/>
  <c r="AK459" i="3"/>
  <c r="U459" i="3"/>
  <c r="BJ458" i="3"/>
  <c r="AT458" i="3"/>
  <c r="AD458" i="3"/>
  <c r="N458" i="3"/>
  <c r="BC457" i="3"/>
  <c r="AM457" i="3"/>
  <c r="W457" i="3"/>
  <c r="G457" i="3"/>
  <c r="AZ456" i="3"/>
  <c r="AJ456" i="3"/>
  <c r="T456" i="3"/>
  <c r="BL454" i="3"/>
  <c r="AV454" i="3"/>
  <c r="AF454" i="3"/>
  <c r="P454" i="3"/>
  <c r="BI453" i="3"/>
  <c r="AS453" i="3"/>
  <c r="AC453" i="3"/>
  <c r="M453" i="3"/>
  <c r="BB452" i="3"/>
  <c r="AL452" i="3"/>
  <c r="V452" i="3"/>
  <c r="BI486" i="3"/>
  <c r="AP485" i="3"/>
  <c r="AD484" i="3"/>
  <c r="AE483" i="3"/>
  <c r="AF482" i="3"/>
  <c r="AG481" i="3"/>
  <c r="AD480" i="3"/>
  <c r="AE479" i="3"/>
  <c r="AF478" i="3"/>
  <c r="AG477" i="3"/>
  <c r="AD476" i="3"/>
  <c r="AE475" i="3"/>
  <c r="AF474" i="3"/>
  <c r="AG473" i="3"/>
  <c r="AD472" i="3"/>
  <c r="AE471" i="3"/>
  <c r="AF470" i="3"/>
  <c r="AG469" i="3"/>
  <c r="AD468" i="3"/>
  <c r="AE467" i="3"/>
  <c r="AF466" i="3"/>
  <c r="AG465" i="3"/>
  <c r="AD464" i="3"/>
  <c r="BD463" i="3"/>
  <c r="AN463" i="3"/>
  <c r="X463" i="3"/>
  <c r="H463" i="3"/>
  <c r="BA462" i="3"/>
  <c r="AK462" i="3"/>
  <c r="U462" i="3"/>
  <c r="BJ461" i="3"/>
  <c r="AT461" i="3"/>
  <c r="AD461" i="3"/>
  <c r="N461" i="3"/>
  <c r="BC460" i="3"/>
  <c r="AM460" i="3"/>
  <c r="W460" i="3"/>
  <c r="G460" i="3"/>
  <c r="AZ459" i="3"/>
  <c r="AJ459" i="3"/>
  <c r="T459" i="3"/>
  <c r="BM458" i="3"/>
  <c r="AW458" i="3"/>
  <c r="AG458" i="3"/>
  <c r="Q458" i="3"/>
  <c r="BF457" i="3"/>
  <c r="AP457" i="3"/>
  <c r="Z457" i="3"/>
  <c r="J457" i="3"/>
  <c r="AY456" i="3"/>
  <c r="AI456" i="3"/>
  <c r="S456" i="3"/>
  <c r="BK454" i="3"/>
  <c r="AU454" i="3"/>
  <c r="AE454" i="3"/>
  <c r="O454" i="3"/>
  <c r="BH453" i="3"/>
  <c r="AR453" i="3"/>
  <c r="AB453" i="3"/>
  <c r="L453" i="3"/>
  <c r="BE452" i="3"/>
  <c r="AO452" i="3"/>
  <c r="Y452" i="3"/>
  <c r="I452" i="3"/>
  <c r="AX451" i="3"/>
  <c r="AH451" i="3"/>
  <c r="R451" i="3"/>
  <c r="BG450" i="3"/>
  <c r="AQ450" i="3"/>
  <c r="AA450" i="3"/>
  <c r="K450" i="3"/>
  <c r="BD449" i="3"/>
  <c r="AN449" i="3"/>
  <c r="X449" i="3"/>
  <c r="H449" i="3"/>
  <c r="BA448" i="3"/>
  <c r="AK448" i="3"/>
  <c r="U448" i="3"/>
  <c r="S487" i="3"/>
  <c r="BF485" i="3"/>
  <c r="AP484" i="3"/>
  <c r="AQ483" i="3"/>
  <c r="AR482" i="3"/>
  <c r="AS481" i="3"/>
  <c r="AP480" i="3"/>
  <c r="AQ479" i="3"/>
  <c r="AR478" i="3"/>
  <c r="AS477" i="3"/>
  <c r="AP476" i="3"/>
  <c r="AQ475" i="3"/>
  <c r="AR474" i="3"/>
  <c r="AS473" i="3"/>
  <c r="AP472" i="3"/>
  <c r="AQ471" i="3"/>
  <c r="AR470" i="3"/>
  <c r="AS469" i="3"/>
  <c r="AP468" i="3"/>
  <c r="AQ467" i="3"/>
  <c r="AR466" i="3"/>
  <c r="AS465" i="3"/>
  <c r="AP464" i="3"/>
  <c r="BG463" i="3"/>
  <c r="AQ463" i="3"/>
  <c r="AA463" i="3"/>
  <c r="K463" i="3"/>
  <c r="BD462" i="3"/>
  <c r="AN462" i="3"/>
  <c r="X462" i="3"/>
  <c r="H462" i="3"/>
  <c r="BA461" i="3"/>
  <c r="AK461" i="3"/>
  <c r="U461" i="3"/>
  <c r="BJ460" i="3"/>
  <c r="AT460" i="3"/>
  <c r="AD460" i="3"/>
  <c r="N460" i="3"/>
  <c r="BC459" i="3"/>
  <c r="AM459" i="3"/>
  <c r="W459" i="3"/>
  <c r="G459" i="3"/>
  <c r="AZ458" i="3"/>
  <c r="AJ458" i="3"/>
  <c r="T458" i="3"/>
  <c r="BM457" i="3"/>
  <c r="AW457" i="3"/>
  <c r="AG457" i="3"/>
  <c r="Q457" i="3"/>
  <c r="BF456" i="3"/>
  <c r="AP456" i="3"/>
  <c r="Z456" i="3"/>
  <c r="J456" i="3"/>
  <c r="AX454" i="3"/>
  <c r="AH454" i="3"/>
  <c r="R454" i="3"/>
  <c r="BG453" i="3"/>
  <c r="AQ453" i="3"/>
  <c r="AA453" i="3"/>
  <c r="K453" i="3"/>
  <c r="BD452" i="3"/>
  <c r="AN452" i="3"/>
  <c r="X452" i="3"/>
  <c r="H452" i="3"/>
  <c r="BA451" i="3"/>
  <c r="AK451" i="3"/>
  <c r="U451" i="3"/>
  <c r="BJ450" i="3"/>
  <c r="AT450" i="3"/>
  <c r="AD450" i="3"/>
  <c r="N450" i="3"/>
  <c r="BC449" i="3"/>
  <c r="AM449" i="3"/>
  <c r="W449" i="3"/>
  <c r="G449" i="3"/>
  <c r="AZ448" i="3"/>
  <c r="AJ448" i="3"/>
  <c r="T448" i="3"/>
  <c r="BM447" i="3"/>
  <c r="AW447" i="3"/>
  <c r="AG447" i="3"/>
  <c r="BB484" i="3"/>
  <c r="BB480" i="3"/>
  <c r="BB476" i="3"/>
  <c r="BB472" i="3"/>
  <c r="BB468" i="3"/>
  <c r="BB464" i="3"/>
  <c r="AY462" i="3"/>
  <c r="AJ461" i="3"/>
  <c r="U460" i="3"/>
  <c r="AY458" i="3"/>
  <c r="AJ457" i="3"/>
  <c r="U456" i="3"/>
  <c r="M454" i="3"/>
  <c r="J453" i="3"/>
  <c r="K452" i="3"/>
  <c r="AN451" i="3"/>
  <c r="H451" i="3"/>
  <c r="AN450" i="3"/>
  <c r="H450" i="3"/>
  <c r="AK449" i="3"/>
  <c r="BF448" i="3"/>
  <c r="Z448" i="3"/>
  <c r="BG447" i="3"/>
  <c r="AL447" i="3"/>
  <c r="S447" i="3"/>
  <c r="BL446" i="3"/>
  <c r="AV446" i="3"/>
  <c r="AF446" i="3"/>
  <c r="P446" i="3"/>
  <c r="BI445" i="3"/>
  <c r="AS445" i="3"/>
  <c r="AC445" i="3"/>
  <c r="M445" i="3"/>
  <c r="BB444" i="3"/>
  <c r="AL444" i="3"/>
  <c r="V444" i="3"/>
  <c r="BK443" i="3"/>
  <c r="AU443" i="3"/>
  <c r="AE443" i="3"/>
  <c r="O443" i="3"/>
  <c r="BH442" i="3"/>
  <c r="AR442" i="3"/>
  <c r="AB442" i="3"/>
  <c r="L442" i="3"/>
  <c r="BE441" i="3"/>
  <c r="AO441" i="3"/>
  <c r="Y441" i="3"/>
  <c r="I441" i="3"/>
  <c r="AX440" i="3"/>
  <c r="AH440" i="3"/>
  <c r="R440" i="3"/>
  <c r="BG439" i="3"/>
  <c r="AQ439" i="3"/>
  <c r="AA439" i="3"/>
  <c r="K439" i="3"/>
  <c r="BD438" i="3"/>
  <c r="AN438" i="3"/>
  <c r="X438" i="3"/>
  <c r="H438" i="3"/>
  <c r="BA437" i="3"/>
  <c r="AK437" i="3"/>
  <c r="U437" i="3"/>
  <c r="BJ436" i="3"/>
  <c r="AT436" i="3"/>
  <c r="AD436" i="3"/>
  <c r="N436" i="3"/>
  <c r="BC435" i="3"/>
  <c r="AM435" i="3"/>
  <c r="W435" i="3"/>
  <c r="G435" i="3"/>
  <c r="AZ434" i="3"/>
  <c r="AJ434" i="3"/>
  <c r="T434" i="3"/>
  <c r="BM433" i="3"/>
  <c r="AW433" i="3"/>
  <c r="AG433" i="3"/>
  <c r="Q433" i="3"/>
  <c r="BF432" i="3"/>
  <c r="AP432" i="3"/>
  <c r="Z432" i="3"/>
  <c r="J432" i="3"/>
  <c r="AY431" i="3"/>
  <c r="AI431" i="3"/>
  <c r="AC486" i="3"/>
  <c r="H482" i="3"/>
  <c r="H478" i="3"/>
  <c r="H474" i="3"/>
  <c r="H470" i="3"/>
  <c r="H466" i="3"/>
  <c r="AT463" i="3"/>
  <c r="AU462" i="3"/>
  <c r="AV461" i="3"/>
  <c r="AW460" i="3"/>
  <c r="AT459" i="3"/>
  <c r="AU458" i="3"/>
  <c r="AV457" i="3"/>
  <c r="AW456" i="3"/>
  <c r="AO454" i="3"/>
  <c r="AL453" i="3"/>
  <c r="W452" i="3"/>
  <c r="AU451" i="3"/>
  <c r="O451" i="3"/>
  <c r="AS450" i="3"/>
  <c r="M450" i="3"/>
  <c r="AH449" i="3"/>
  <c r="BK448" i="3"/>
  <c r="AE448" i="3"/>
  <c r="BK447" i="3"/>
  <c r="AP447" i="3"/>
  <c r="V447" i="3"/>
  <c r="BK446" i="3"/>
  <c r="AU446" i="3"/>
  <c r="AE446" i="3"/>
  <c r="O446" i="3"/>
  <c r="BH445" i="3"/>
  <c r="AR445" i="3"/>
  <c r="AB445" i="3"/>
  <c r="L445" i="3"/>
  <c r="BE444" i="3"/>
  <c r="AO444" i="3"/>
  <c r="Y444" i="3"/>
  <c r="I444" i="3"/>
  <c r="AX443" i="3"/>
  <c r="AH443" i="3"/>
  <c r="R443" i="3"/>
  <c r="BG442" i="3"/>
  <c r="AQ442" i="3"/>
  <c r="AA442" i="3"/>
  <c r="K442" i="3"/>
  <c r="BD441" i="3"/>
  <c r="AN441" i="3"/>
  <c r="X441" i="3"/>
  <c r="H441" i="3"/>
  <c r="BA440" i="3"/>
  <c r="AK440" i="3"/>
  <c r="U440" i="3"/>
  <c r="BJ439" i="3"/>
  <c r="AT439" i="3"/>
  <c r="AD439" i="3"/>
  <c r="N439" i="3"/>
  <c r="BC438" i="3"/>
  <c r="AM438" i="3"/>
  <c r="W438" i="3"/>
  <c r="G438" i="3"/>
  <c r="AZ437" i="3"/>
  <c r="AJ437" i="3"/>
  <c r="T437" i="3"/>
  <c r="BM436" i="3"/>
  <c r="AW436" i="3"/>
  <c r="AG436" i="3"/>
  <c r="Q436" i="3"/>
  <c r="BF435" i="3"/>
  <c r="AP435" i="3"/>
  <c r="Z435" i="3"/>
  <c r="J435" i="3"/>
  <c r="V484" i="3"/>
  <c r="V480" i="3"/>
  <c r="V476" i="3"/>
  <c r="V472" i="3"/>
  <c r="V468" i="3"/>
  <c r="V464" i="3"/>
  <c r="J463" i="3"/>
  <c r="K462" i="3"/>
  <c r="L461" i="3"/>
  <c r="M460" i="3"/>
  <c r="J459" i="3"/>
  <c r="K458" i="3"/>
  <c r="L457" i="3"/>
  <c r="M456" i="3"/>
  <c r="AX453" i="3"/>
  <c r="AI452" i="3"/>
  <c r="AR451" i="3"/>
  <c r="L451" i="3"/>
  <c r="AJ450" i="3"/>
  <c r="BM449" i="3"/>
  <c r="AG449" i="3"/>
  <c r="BJ448" i="3"/>
  <c r="AD448" i="3"/>
  <c r="BD447" i="3"/>
  <c r="AI447" i="3"/>
  <c r="Q447" i="3"/>
  <c r="BF446" i="3"/>
  <c r="AP446" i="3"/>
  <c r="Z446" i="3"/>
  <c r="J446" i="3"/>
  <c r="AY445" i="3"/>
  <c r="AI445" i="3"/>
  <c r="S445" i="3"/>
  <c r="BL444" i="3"/>
  <c r="AV444" i="3"/>
  <c r="AF444" i="3"/>
  <c r="P444" i="3"/>
  <c r="BI443" i="3"/>
  <c r="AS443" i="3"/>
  <c r="AC443" i="3"/>
  <c r="M443" i="3"/>
  <c r="BB442" i="3"/>
  <c r="AL442" i="3"/>
  <c r="V442" i="3"/>
  <c r="BK441" i="3"/>
  <c r="AU441" i="3"/>
  <c r="AE441" i="3"/>
  <c r="O441" i="3"/>
  <c r="BH440" i="3"/>
  <c r="AR440" i="3"/>
  <c r="AB440" i="3"/>
  <c r="L440" i="3"/>
  <c r="BE439" i="3"/>
  <c r="AO439" i="3"/>
  <c r="Y439" i="3"/>
  <c r="I439" i="3"/>
  <c r="AX438" i="3"/>
  <c r="AH438" i="3"/>
  <c r="R438" i="3"/>
  <c r="BG437" i="3"/>
  <c r="AQ437" i="3"/>
  <c r="AA437" i="3"/>
  <c r="K437" i="3"/>
  <c r="BD436" i="3"/>
  <c r="AN436" i="3"/>
  <c r="X436" i="3"/>
  <c r="H436" i="3"/>
  <c r="BA435" i="3"/>
  <c r="AK435" i="3"/>
  <c r="U435" i="3"/>
  <c r="BJ434" i="3"/>
  <c r="AT434" i="3"/>
  <c r="AD434" i="3"/>
  <c r="N434" i="3"/>
  <c r="BC433" i="3"/>
  <c r="AM433" i="3"/>
  <c r="W433" i="3"/>
  <c r="G433" i="3"/>
  <c r="AZ432" i="3"/>
  <c r="AJ432" i="3"/>
  <c r="T432" i="3"/>
  <c r="BM431" i="3"/>
  <c r="AW431" i="3"/>
  <c r="Y460" i="3"/>
  <c r="Y456" i="3"/>
  <c r="AI451" i="3"/>
  <c r="N449" i="3"/>
  <c r="AH447" i="3"/>
  <c r="AG446" i="3"/>
  <c r="AD445" i="3"/>
  <c r="AE444" i="3"/>
  <c r="AF443" i="3"/>
  <c r="AG442" i="3"/>
  <c r="AD441" i="3"/>
  <c r="AE440" i="3"/>
  <c r="AF439" i="3"/>
  <c r="AG438" i="3"/>
  <c r="AD437" i="3"/>
  <c r="AE436" i="3"/>
  <c r="AF435" i="3"/>
  <c r="AW434" i="3"/>
  <c r="Q434" i="3"/>
  <c r="AT433" i="3"/>
  <c r="N433" i="3"/>
  <c r="AK432" i="3"/>
  <c r="BF431" i="3"/>
  <c r="AG431" i="3"/>
  <c r="N431" i="3"/>
  <c r="BC430" i="3"/>
  <c r="AM430" i="3"/>
  <c r="W430" i="3"/>
  <c r="G430" i="3"/>
  <c r="AZ429" i="3"/>
  <c r="AJ429" i="3"/>
  <c r="T429" i="3"/>
  <c r="BM428" i="3"/>
  <c r="AW428" i="3"/>
  <c r="AG428" i="3"/>
  <c r="Q428" i="3"/>
  <c r="BF427" i="3"/>
  <c r="AP427" i="3"/>
  <c r="Z427" i="3"/>
  <c r="J427" i="3"/>
  <c r="AY426" i="3"/>
  <c r="AI426" i="3"/>
  <c r="S426" i="3"/>
  <c r="BL425" i="3"/>
  <c r="AV425" i="3"/>
  <c r="AF425" i="3"/>
  <c r="P425" i="3"/>
  <c r="BI424" i="3"/>
  <c r="AS424" i="3"/>
  <c r="AC424" i="3"/>
  <c r="M424" i="3"/>
  <c r="BB423" i="3"/>
  <c r="AL423" i="3"/>
  <c r="V423" i="3"/>
  <c r="BK422" i="3"/>
  <c r="AU422" i="3"/>
  <c r="AE422" i="3"/>
  <c r="O422" i="3"/>
  <c r="BH421" i="3"/>
  <c r="AR421" i="3"/>
  <c r="AB421" i="3"/>
  <c r="L421" i="3"/>
  <c r="BE420" i="3"/>
  <c r="AO420" i="3"/>
  <c r="Y420" i="3"/>
  <c r="I420" i="3"/>
  <c r="AX419" i="3"/>
  <c r="AH419" i="3"/>
  <c r="R419" i="3"/>
  <c r="BG418" i="3"/>
  <c r="AQ418" i="3"/>
  <c r="AA418" i="3"/>
  <c r="K418" i="3"/>
  <c r="BD417" i="3"/>
  <c r="AN417" i="3"/>
  <c r="X417" i="3"/>
  <c r="H417" i="3"/>
  <c r="BA416" i="3"/>
  <c r="AK416" i="3"/>
  <c r="U416" i="3"/>
  <c r="BJ415" i="3"/>
  <c r="AT415" i="3"/>
  <c r="AN474" i="3"/>
  <c r="AM462" i="3"/>
  <c r="AM458" i="3"/>
  <c r="AD453" i="3"/>
  <c r="BM450" i="3"/>
  <c r="K448" i="3"/>
  <c r="BI446" i="3"/>
  <c r="BF445" i="3"/>
  <c r="BG444" i="3"/>
  <c r="BH443" i="3"/>
  <c r="BI442" i="3"/>
  <c r="BF441" i="3"/>
  <c r="BG440" i="3"/>
  <c r="BH439" i="3"/>
  <c r="BI438" i="3"/>
  <c r="BF437" i="3"/>
  <c r="BG436" i="3"/>
  <c r="BH435" i="3"/>
  <c r="BK434" i="3"/>
  <c r="AE434" i="3"/>
  <c r="BH433" i="3"/>
  <c r="AB433" i="3"/>
  <c r="AY432" i="3"/>
  <c r="S432" i="3"/>
  <c r="AV431" i="3"/>
  <c r="Z431" i="3"/>
  <c r="I431" i="3"/>
  <c r="AX430" i="3"/>
  <c r="AH430" i="3"/>
  <c r="R430" i="3"/>
  <c r="BG429" i="3"/>
  <c r="AQ429" i="3"/>
  <c r="AA429" i="3"/>
  <c r="K429" i="3"/>
  <c r="BD428" i="3"/>
  <c r="AN428" i="3"/>
  <c r="X428" i="3"/>
  <c r="H428" i="3"/>
  <c r="BA427" i="3"/>
  <c r="AK427" i="3"/>
  <c r="U427" i="3"/>
  <c r="BJ426" i="3"/>
  <c r="AT426" i="3"/>
  <c r="AD426" i="3"/>
  <c r="N426" i="3"/>
  <c r="BC425" i="3"/>
  <c r="AM425" i="3"/>
  <c r="W425" i="3"/>
  <c r="G425" i="3"/>
  <c r="AZ424" i="3"/>
  <c r="AJ424" i="3"/>
  <c r="T424" i="3"/>
  <c r="BM423" i="3"/>
  <c r="AW423" i="3"/>
  <c r="AG423" i="3"/>
  <c r="Q423" i="3"/>
  <c r="BF422" i="3"/>
  <c r="AP422" i="3"/>
  <c r="Z422" i="3"/>
  <c r="J422" i="3"/>
  <c r="AY421" i="3"/>
  <c r="AI421" i="3"/>
  <c r="S421" i="3"/>
  <c r="BL420" i="3"/>
  <c r="AV420" i="3"/>
  <c r="AF420" i="3"/>
  <c r="P420" i="3"/>
  <c r="BI419" i="3"/>
  <c r="AS419" i="3"/>
  <c r="AC419" i="3"/>
  <c r="M419" i="3"/>
  <c r="BB418" i="3"/>
  <c r="AL418" i="3"/>
  <c r="V418" i="3"/>
  <c r="BK417" i="3"/>
  <c r="AU417" i="3"/>
  <c r="AE417" i="3"/>
  <c r="O417" i="3"/>
  <c r="BH416" i="3"/>
  <c r="AR416" i="3"/>
  <c r="AB416" i="3"/>
  <c r="L416" i="3"/>
  <c r="AN461" i="3"/>
  <c r="BE456" i="3"/>
  <c r="AY451" i="3"/>
  <c r="BJ449" i="3"/>
  <c r="X447" i="3"/>
  <c r="Y446" i="3"/>
  <c r="V445" i="3"/>
  <c r="G444" i="3"/>
  <c r="H443" i="3"/>
  <c r="I442" i="3"/>
  <c r="BC440" i="3"/>
  <c r="BD439" i="3"/>
  <c r="BE438" i="3"/>
  <c r="BB437" i="3"/>
  <c r="AM436" i="3"/>
  <c r="AN435" i="3"/>
  <c r="BA434" i="3"/>
  <c r="U434" i="3"/>
  <c r="AP433" i="3"/>
  <c r="J433" i="3"/>
  <c r="AO432" i="3"/>
  <c r="I432" i="3"/>
  <c r="AO431" i="3"/>
  <c r="T431" i="3"/>
  <c r="BM430" i="3"/>
  <c r="AW430" i="3"/>
  <c r="AG430" i="3"/>
  <c r="Q430" i="3"/>
  <c r="BF429" i="3"/>
  <c r="AP429" i="3"/>
  <c r="Z429" i="3"/>
  <c r="J429" i="3"/>
  <c r="AY428" i="3"/>
  <c r="AI428" i="3"/>
  <c r="S428" i="3"/>
  <c r="BL427" i="3"/>
  <c r="AV427" i="3"/>
  <c r="AF427" i="3"/>
  <c r="P427" i="3"/>
  <c r="BI426" i="3"/>
  <c r="AS426" i="3"/>
  <c r="AC426" i="3"/>
  <c r="M426" i="3"/>
  <c r="BB425" i="3"/>
  <c r="AL425" i="3"/>
  <c r="V425" i="3"/>
  <c r="BK424" i="3"/>
  <c r="AU424" i="3"/>
  <c r="AE424" i="3"/>
  <c r="O424" i="3"/>
  <c r="BH423" i="3"/>
  <c r="AR423" i="3"/>
  <c r="AB423" i="3"/>
  <c r="L423" i="3"/>
  <c r="BE422" i="3"/>
  <c r="AO422" i="3"/>
  <c r="Y422" i="3"/>
  <c r="I422" i="3"/>
  <c r="AX421" i="3"/>
  <c r="AH421" i="3"/>
  <c r="R421" i="3"/>
  <c r="BG420" i="3"/>
  <c r="AQ420" i="3"/>
  <c r="AA420" i="3"/>
  <c r="K420" i="3"/>
  <c r="BD419" i="3"/>
  <c r="AN419" i="3"/>
  <c r="X419" i="3"/>
  <c r="H419" i="3"/>
  <c r="BA418" i="3"/>
  <c r="AK418" i="3"/>
  <c r="U418" i="3"/>
  <c r="BJ417" i="3"/>
  <c r="AT417" i="3"/>
  <c r="AD417" i="3"/>
  <c r="N417" i="3"/>
  <c r="BC416" i="3"/>
  <c r="AM416" i="3"/>
  <c r="W416" i="3"/>
  <c r="G416" i="3"/>
  <c r="AZ415" i="3"/>
  <c r="X461" i="3"/>
  <c r="O452" i="3"/>
  <c r="U446" i="3"/>
  <c r="U442" i="3"/>
  <c r="U438" i="3"/>
  <c r="AQ434" i="3"/>
  <c r="BC432" i="3"/>
  <c r="O431" i="3"/>
  <c r="P430" i="3"/>
  <c r="Q429" i="3"/>
  <c r="N428" i="3"/>
  <c r="O427" i="3"/>
  <c r="P426" i="3"/>
  <c r="Q425" i="3"/>
  <c r="N424" i="3"/>
  <c r="O423" i="3"/>
  <c r="P422" i="3"/>
  <c r="Q421" i="3"/>
  <c r="N420" i="3"/>
  <c r="O419" i="3"/>
  <c r="P418" i="3"/>
  <c r="Q417" i="3"/>
  <c r="N416" i="3"/>
  <c r="AQ415" i="3"/>
  <c r="Z415" i="3"/>
  <c r="J415" i="3"/>
  <c r="AX413" i="3"/>
  <c r="AH413" i="3"/>
  <c r="R413" i="3"/>
  <c r="BG412" i="3"/>
  <c r="AQ412" i="3"/>
  <c r="AA412" i="3"/>
  <c r="K412" i="3"/>
  <c r="BE465" i="3"/>
  <c r="AN433" i="3"/>
  <c r="AZ431" i="3"/>
  <c r="AR430" i="3"/>
  <c r="AS429" i="3"/>
  <c r="AP428" i="3"/>
  <c r="AQ427" i="3"/>
  <c r="AR426" i="3"/>
  <c r="AS425" i="3"/>
  <c r="AP424" i="3"/>
  <c r="AQ423" i="3"/>
  <c r="AR422" i="3"/>
  <c r="AS421" i="3"/>
  <c r="AP420" i="3"/>
  <c r="AQ419" i="3"/>
  <c r="AR418" i="3"/>
  <c r="AS417" i="3"/>
  <c r="AP416" i="3"/>
  <c r="BA415" i="3"/>
  <c r="AG415" i="3"/>
  <c r="Q415" i="3"/>
  <c r="BI413" i="3"/>
  <c r="AS413" i="3"/>
  <c r="AC413" i="3"/>
  <c r="M413" i="3"/>
  <c r="BB412" i="3"/>
  <c r="AL412" i="3"/>
  <c r="V412" i="3"/>
  <c r="BK411" i="3"/>
  <c r="AU411" i="3"/>
  <c r="AE411" i="3"/>
  <c r="O411" i="3"/>
  <c r="BH410" i="3"/>
  <c r="AR410" i="3"/>
  <c r="AB410" i="3"/>
  <c r="L410" i="3"/>
  <c r="BE409" i="3"/>
  <c r="AO409" i="3"/>
  <c r="Y409" i="3"/>
  <c r="I409" i="3"/>
  <c r="AX408" i="3"/>
  <c r="AH408" i="3"/>
  <c r="R408" i="3"/>
  <c r="BG407" i="3"/>
  <c r="AQ407" i="3"/>
  <c r="AA407" i="3"/>
  <c r="K407" i="3"/>
  <c r="BD406" i="3"/>
  <c r="AN406" i="3"/>
  <c r="X406" i="3"/>
  <c r="H406" i="3"/>
  <c r="BA405" i="3"/>
  <c r="AK405" i="3"/>
  <c r="U405" i="3"/>
  <c r="BJ404" i="3"/>
  <c r="AT404" i="3"/>
  <c r="AD404" i="3"/>
  <c r="N404" i="3"/>
  <c r="BC403" i="3"/>
  <c r="AM403" i="3"/>
  <c r="W403" i="3"/>
  <c r="G403" i="3"/>
  <c r="AZ402" i="3"/>
  <c r="AJ402" i="3"/>
  <c r="T402" i="3"/>
  <c r="BM401" i="3"/>
  <c r="AW401" i="3"/>
  <c r="AG401" i="3"/>
  <c r="Q401" i="3"/>
  <c r="BF400" i="3"/>
  <c r="AP400" i="3"/>
  <c r="Z400" i="3"/>
  <c r="J400" i="3"/>
  <c r="AY399" i="3"/>
  <c r="AI399" i="3"/>
  <c r="S399" i="3"/>
  <c r="BL398" i="3"/>
  <c r="AV398" i="3"/>
  <c r="AF398" i="3"/>
  <c r="P398" i="3"/>
  <c r="BI397" i="3"/>
  <c r="AS397" i="3"/>
  <c r="AC397" i="3"/>
  <c r="M397" i="3"/>
  <c r="BB396" i="3"/>
  <c r="AL396" i="3"/>
  <c r="V396" i="3"/>
  <c r="BK395" i="3"/>
  <c r="AU395" i="3"/>
  <c r="AE395" i="3"/>
  <c r="O395" i="3"/>
  <c r="BH394" i="3"/>
  <c r="AR394" i="3"/>
  <c r="AB394" i="3"/>
  <c r="L394" i="3"/>
  <c r="BE393" i="3"/>
  <c r="AO393" i="3"/>
  <c r="Y393" i="3"/>
  <c r="I393" i="3"/>
  <c r="AX392" i="3"/>
  <c r="AH392" i="3"/>
  <c r="R392" i="3"/>
  <c r="BG391" i="3"/>
  <c r="AQ391" i="3"/>
  <c r="AA391" i="3"/>
  <c r="K391" i="3"/>
  <c r="BD390" i="3"/>
  <c r="AN390" i="3"/>
  <c r="X390" i="3"/>
  <c r="H390" i="3"/>
  <c r="BA389" i="3"/>
  <c r="AK389" i="3"/>
  <c r="U389" i="3"/>
  <c r="BJ388" i="3"/>
  <c r="AT388" i="3"/>
  <c r="AD388" i="3"/>
  <c r="N388" i="3"/>
  <c r="BC387" i="3"/>
  <c r="AM387" i="3"/>
  <c r="W387" i="3"/>
  <c r="G387" i="3"/>
  <c r="AZ386" i="3"/>
  <c r="AJ386" i="3"/>
  <c r="T386" i="3"/>
  <c r="BM385" i="3"/>
  <c r="AW385" i="3"/>
  <c r="AG385" i="3"/>
  <c r="Q385" i="3"/>
  <c r="BF384" i="3"/>
  <c r="AP384" i="3"/>
  <c r="Z384" i="3"/>
  <c r="J384" i="3"/>
  <c r="AY383" i="3"/>
  <c r="AI383" i="3"/>
  <c r="S383" i="3"/>
  <c r="BL382" i="3"/>
  <c r="AV382" i="3"/>
  <c r="AF382" i="3"/>
  <c r="P382" i="3"/>
  <c r="BI381" i="3"/>
  <c r="AS381" i="3"/>
  <c r="AC381" i="3"/>
  <c r="M381" i="3"/>
  <c r="BB380" i="3"/>
  <c r="AL380" i="3"/>
  <c r="V380" i="3"/>
  <c r="BK379" i="3"/>
  <c r="AU379" i="3"/>
  <c r="AE379" i="3"/>
  <c r="O379" i="3"/>
  <c r="BH378" i="3"/>
  <c r="AR378" i="3"/>
  <c r="AB378" i="3"/>
  <c r="L378" i="3"/>
  <c r="BE377" i="3"/>
  <c r="AO377" i="3"/>
  <c r="Y377" i="3"/>
  <c r="I377" i="3"/>
  <c r="AX376" i="3"/>
  <c r="W483" i="3"/>
  <c r="AO460" i="3"/>
  <c r="AQ451" i="3"/>
  <c r="AX445" i="3"/>
  <c r="AX441" i="3"/>
  <c r="AX437" i="3"/>
  <c r="AA434" i="3"/>
  <c r="G432" i="3"/>
  <c r="BD430" i="3"/>
  <c r="BE429" i="3"/>
  <c r="BB428" i="3"/>
  <c r="AM427" i="3"/>
  <c r="AN426" i="3"/>
  <c r="AO425" i="3"/>
  <c r="AL424" i="3"/>
  <c r="W423" i="3"/>
  <c r="X422" i="3"/>
  <c r="Y421" i="3"/>
  <c r="V420" i="3"/>
  <c r="G419" i="3"/>
  <c r="H418" i="3"/>
  <c r="I417" i="3"/>
  <c r="BG415" i="3"/>
  <c r="AJ415" i="3"/>
  <c r="T415" i="3"/>
  <c r="BL413" i="3"/>
  <c r="AV413" i="3"/>
  <c r="AF413" i="3"/>
  <c r="P413" i="3"/>
  <c r="BI412" i="3"/>
  <c r="AS412" i="3"/>
  <c r="AC412" i="3"/>
  <c r="M412" i="3"/>
  <c r="BB411" i="3"/>
  <c r="AL411" i="3"/>
  <c r="V411" i="3"/>
  <c r="BK410" i="3"/>
  <c r="AU410" i="3"/>
  <c r="AE410" i="3"/>
  <c r="O410" i="3"/>
  <c r="BH409" i="3"/>
  <c r="AR409" i="3"/>
  <c r="AB409" i="3"/>
  <c r="L409" i="3"/>
  <c r="BE408" i="3"/>
  <c r="AO408" i="3"/>
  <c r="Y408" i="3"/>
  <c r="I408" i="3"/>
  <c r="AX407" i="3"/>
  <c r="AH407" i="3"/>
  <c r="R407" i="3"/>
  <c r="BG406" i="3"/>
  <c r="AQ406" i="3"/>
  <c r="AA406" i="3"/>
  <c r="K406" i="3"/>
  <c r="BD405" i="3"/>
  <c r="AN405" i="3"/>
  <c r="X405" i="3"/>
  <c r="H405" i="3"/>
  <c r="BA404" i="3"/>
  <c r="AK404" i="3"/>
  <c r="U404" i="3"/>
  <c r="BJ403" i="3"/>
  <c r="AT403" i="3"/>
  <c r="AD403" i="3"/>
  <c r="N403" i="3"/>
  <c r="BC402" i="3"/>
  <c r="AM402" i="3"/>
  <c r="W402" i="3"/>
  <c r="G402" i="3"/>
  <c r="AZ401" i="3"/>
  <c r="AJ401" i="3"/>
  <c r="T401" i="3"/>
  <c r="BM400" i="3"/>
  <c r="AW400" i="3"/>
  <c r="AG400" i="3"/>
  <c r="Q400" i="3"/>
  <c r="BF399" i="3"/>
  <c r="AP399" i="3"/>
  <c r="Z399" i="3"/>
  <c r="J399" i="3"/>
  <c r="AY398" i="3"/>
  <c r="AI398" i="3"/>
  <c r="S398" i="3"/>
  <c r="BL397" i="3"/>
  <c r="AV397" i="3"/>
  <c r="AF397" i="3"/>
  <c r="P397" i="3"/>
  <c r="BI396" i="3"/>
  <c r="AS396" i="3"/>
  <c r="AC396" i="3"/>
  <c r="M396" i="3"/>
  <c r="BB395" i="3"/>
  <c r="AL395" i="3"/>
  <c r="V395" i="3"/>
  <c r="BK394" i="3"/>
  <c r="AU394" i="3"/>
  <c r="AE394" i="3"/>
  <c r="O394" i="3"/>
  <c r="BH393" i="3"/>
  <c r="AR393" i="3"/>
  <c r="AB393" i="3"/>
  <c r="L393" i="3"/>
  <c r="BE392" i="3"/>
  <c r="AO392" i="3"/>
  <c r="Y392" i="3"/>
  <c r="I392" i="3"/>
  <c r="AX391" i="3"/>
  <c r="AH391" i="3"/>
  <c r="R391" i="3"/>
  <c r="BG390" i="3"/>
  <c r="AQ390" i="3"/>
  <c r="AA390" i="3"/>
  <c r="K390" i="3"/>
  <c r="BD389" i="3"/>
  <c r="AN389" i="3"/>
  <c r="X389" i="3"/>
  <c r="H389" i="3"/>
  <c r="BA388" i="3"/>
  <c r="AK388" i="3"/>
  <c r="U388" i="3"/>
  <c r="BJ387" i="3"/>
  <c r="AT387" i="3"/>
  <c r="AD387" i="3"/>
  <c r="N387" i="3"/>
  <c r="BC386" i="3"/>
  <c r="AM386" i="3"/>
  <c r="W386" i="3"/>
  <c r="G386" i="3"/>
  <c r="AZ385" i="3"/>
  <c r="AJ385" i="3"/>
  <c r="T385" i="3"/>
  <c r="BM384" i="3"/>
  <c r="AW384" i="3"/>
  <c r="AG384" i="3"/>
  <c r="Q384" i="3"/>
  <c r="BF383" i="3"/>
  <c r="AP383" i="3"/>
  <c r="Z383" i="3"/>
  <c r="J383" i="3"/>
  <c r="AY382" i="3"/>
  <c r="AI382" i="3"/>
  <c r="S382" i="3"/>
  <c r="BL381" i="3"/>
  <c r="AV381" i="3"/>
  <c r="AF381" i="3"/>
  <c r="P381" i="3"/>
  <c r="BI380" i="3"/>
  <c r="AS380" i="3"/>
  <c r="AC380" i="3"/>
  <c r="M380" i="3"/>
  <c r="BB379" i="3"/>
  <c r="AL379" i="3"/>
  <c r="V379" i="3"/>
  <c r="BK378" i="3"/>
  <c r="AU378" i="3"/>
  <c r="AE378" i="3"/>
  <c r="O378" i="3"/>
  <c r="BH377" i="3"/>
  <c r="AR377" i="3"/>
  <c r="AB377" i="3"/>
  <c r="L377" i="3"/>
  <c r="BE376" i="3"/>
  <c r="AO376" i="3"/>
  <c r="AH445" i="3"/>
  <c r="AH437" i="3"/>
  <c r="T430" i="3"/>
  <c r="T426" i="3"/>
  <c r="T422" i="3"/>
  <c r="T418" i="3"/>
  <c r="AA415" i="3"/>
  <c r="S413" i="3"/>
  <c r="BH411" i="3"/>
  <c r="AB411" i="3"/>
  <c r="BE410" i="3"/>
  <c r="Y410" i="3"/>
  <c r="BB409" i="3"/>
  <c r="V409" i="3"/>
  <c r="AR408" i="3"/>
  <c r="L408" i="3"/>
  <c r="AJ407" i="3"/>
  <c r="BM406" i="3"/>
  <c r="AG406" i="3"/>
  <c r="BJ405" i="3"/>
  <c r="AD405" i="3"/>
  <c r="AZ404" i="3"/>
  <c r="T404" i="3"/>
  <c r="AR403" i="3"/>
  <c r="L403" i="3"/>
  <c r="AO402" i="3"/>
  <c r="I402" i="3"/>
  <c r="AL401" i="3"/>
  <c r="BH400" i="3"/>
  <c r="AB400" i="3"/>
  <c r="AZ399" i="3"/>
  <c r="T399" i="3"/>
  <c r="AW398" i="3"/>
  <c r="Q398" i="3"/>
  <c r="AT397" i="3"/>
  <c r="N397" i="3"/>
  <c r="AJ396" i="3"/>
  <c r="BH395" i="3"/>
  <c r="AB395" i="3"/>
  <c r="BE394" i="3"/>
  <c r="Y394" i="3"/>
  <c r="BB393" i="3"/>
  <c r="V393" i="3"/>
  <c r="AR392" i="3"/>
  <c r="L392" i="3"/>
  <c r="AJ391" i="3"/>
  <c r="BM390" i="3"/>
  <c r="AG390" i="3"/>
  <c r="BJ389" i="3"/>
  <c r="AD389" i="3"/>
  <c r="AZ388" i="3"/>
  <c r="T388" i="3"/>
  <c r="AR387" i="3"/>
  <c r="L387" i="3"/>
  <c r="AO386" i="3"/>
  <c r="I386" i="3"/>
  <c r="AL385" i="3"/>
  <c r="BH384" i="3"/>
  <c r="AB384" i="3"/>
  <c r="AZ383" i="3"/>
  <c r="T383" i="3"/>
  <c r="AW382" i="3"/>
  <c r="Q382" i="3"/>
  <c r="AT381" i="3"/>
  <c r="N381" i="3"/>
  <c r="AJ380" i="3"/>
  <c r="BH379" i="3"/>
  <c r="AB379" i="3"/>
  <c r="BE378" i="3"/>
  <c r="Y378" i="3"/>
  <c r="BB377" i="3"/>
  <c r="V377" i="3"/>
  <c r="AR376" i="3"/>
  <c r="X376" i="3"/>
  <c r="H376" i="3"/>
  <c r="BA375" i="3"/>
  <c r="AK375" i="3"/>
  <c r="U375" i="3"/>
  <c r="BJ374" i="3"/>
  <c r="AT374" i="3"/>
  <c r="AD374" i="3"/>
  <c r="N374" i="3"/>
  <c r="BE371" i="3"/>
  <c r="AO371" i="3"/>
  <c r="Y371" i="3"/>
  <c r="I371" i="3"/>
  <c r="AX370" i="3"/>
  <c r="AH370" i="3"/>
  <c r="R370" i="3"/>
  <c r="BG369" i="3"/>
  <c r="AQ369" i="3"/>
  <c r="AA369" i="3"/>
  <c r="K369" i="3"/>
  <c r="BD368" i="3"/>
  <c r="AN368" i="3"/>
  <c r="X368" i="3"/>
  <c r="H368" i="3"/>
  <c r="BA367" i="3"/>
  <c r="AK367" i="3"/>
  <c r="U367" i="3"/>
  <c r="BJ366" i="3"/>
  <c r="AT366" i="3"/>
  <c r="AD366" i="3"/>
  <c r="N366" i="3"/>
  <c r="BC365" i="3"/>
  <c r="AM365" i="3"/>
  <c r="W365" i="3"/>
  <c r="G365" i="3"/>
  <c r="AZ364" i="3"/>
  <c r="AJ364" i="3"/>
  <c r="T364" i="3"/>
  <c r="BM363" i="3"/>
  <c r="AW363" i="3"/>
  <c r="AG363" i="3"/>
  <c r="Q363" i="3"/>
  <c r="BF362" i="3"/>
  <c r="AP362" i="3"/>
  <c r="Z362" i="3"/>
  <c r="J362" i="3"/>
  <c r="AY361" i="3"/>
  <c r="AI361" i="3"/>
  <c r="S361" i="3"/>
  <c r="BL360" i="3"/>
  <c r="AV360" i="3"/>
  <c r="AF360" i="3"/>
  <c r="P360" i="3"/>
  <c r="BI359" i="3"/>
  <c r="AS359" i="3"/>
  <c r="AC359" i="3"/>
  <c r="M359" i="3"/>
  <c r="BB358" i="3"/>
  <c r="AL358" i="3"/>
  <c r="V358" i="3"/>
  <c r="BK357" i="3"/>
  <c r="AU357" i="3"/>
  <c r="AE357" i="3"/>
  <c r="O357" i="3"/>
  <c r="BH356" i="3"/>
  <c r="AR356" i="3"/>
  <c r="AB356" i="3"/>
  <c r="L356" i="3"/>
  <c r="BE355" i="3"/>
  <c r="AO355" i="3"/>
  <c r="Y355" i="3"/>
  <c r="I355" i="3"/>
  <c r="AX354" i="3"/>
  <c r="AH354" i="3"/>
  <c r="R354" i="3"/>
  <c r="BG353" i="3"/>
  <c r="AQ353" i="3"/>
  <c r="AA353" i="3"/>
  <c r="K353" i="3"/>
  <c r="BD352" i="3"/>
  <c r="AN352" i="3"/>
  <c r="X352" i="3"/>
  <c r="H352" i="3"/>
  <c r="BA351" i="3"/>
  <c r="AK351" i="3"/>
  <c r="U351" i="3"/>
  <c r="BJ350" i="3"/>
  <c r="AT350" i="3"/>
  <c r="AD350" i="3"/>
  <c r="AE432" i="3"/>
  <c r="BK413" i="3"/>
  <c r="BL412" i="3"/>
  <c r="BM411" i="3"/>
  <c r="AG411" i="3"/>
  <c r="BJ410" i="3"/>
  <c r="AD410" i="3"/>
  <c r="AY409" i="3"/>
  <c r="S409" i="3"/>
  <c r="AQ408" i="3"/>
  <c r="K408" i="3"/>
  <c r="AO407" i="3"/>
  <c r="I407" i="3"/>
  <c r="AL406" i="3"/>
  <c r="BG405" i="3"/>
  <c r="AA405" i="3"/>
  <c r="AY404" i="3"/>
  <c r="S404" i="3"/>
  <c r="AW403" i="3"/>
  <c r="Q403" i="3"/>
  <c r="AT402" i="3"/>
  <c r="N402" i="3"/>
  <c r="AI401" i="3"/>
  <c r="BG400" i="3"/>
  <c r="AA400" i="3"/>
  <c r="BE399" i="3"/>
  <c r="Y399" i="3"/>
  <c r="BB398" i="3"/>
  <c r="V398" i="3"/>
  <c r="AQ397" i="3"/>
  <c r="K397" i="3"/>
  <c r="AI396" i="3"/>
  <c r="BM395" i="3"/>
  <c r="AG395" i="3"/>
  <c r="BJ394" i="3"/>
  <c r="AD394" i="3"/>
  <c r="AY393" i="3"/>
  <c r="S393" i="3"/>
  <c r="AQ392" i="3"/>
  <c r="K392" i="3"/>
  <c r="AO391" i="3"/>
  <c r="I391" i="3"/>
  <c r="AL390" i="3"/>
  <c r="BG389" i="3"/>
  <c r="AA389" i="3"/>
  <c r="AY388" i="3"/>
  <c r="S388" i="3"/>
  <c r="AW387" i="3"/>
  <c r="Q387" i="3"/>
  <c r="AT386" i="3"/>
  <c r="N386" i="3"/>
  <c r="AI385" i="3"/>
  <c r="BG384" i="3"/>
  <c r="AA384" i="3"/>
  <c r="BE383" i="3"/>
  <c r="Y383" i="3"/>
  <c r="BB382" i="3"/>
  <c r="V382" i="3"/>
  <c r="AQ381" i="3"/>
  <c r="K381" i="3"/>
  <c r="AI380" i="3"/>
  <c r="BM379" i="3"/>
  <c r="AG379" i="3"/>
  <c r="BJ378" i="3"/>
  <c r="AD378" i="3"/>
  <c r="AY377" i="3"/>
  <c r="S377" i="3"/>
  <c r="AQ376" i="3"/>
  <c r="W376" i="3"/>
  <c r="G376" i="3"/>
  <c r="AZ375" i="3"/>
  <c r="AJ375" i="3"/>
  <c r="T375" i="3"/>
  <c r="BM374" i="3"/>
  <c r="AW374" i="3"/>
  <c r="AG374" i="3"/>
  <c r="Q374" i="3"/>
  <c r="BH371" i="3"/>
  <c r="AR371" i="3"/>
  <c r="AB371" i="3"/>
  <c r="L371" i="3"/>
  <c r="BE370" i="3"/>
  <c r="AO370" i="3"/>
  <c r="Y370" i="3"/>
  <c r="I370" i="3"/>
  <c r="AX369" i="3"/>
  <c r="AH369" i="3"/>
  <c r="R369" i="3"/>
  <c r="BG368" i="3"/>
  <c r="AQ368" i="3"/>
  <c r="AA368" i="3"/>
  <c r="K368" i="3"/>
  <c r="BD367" i="3"/>
  <c r="AN367" i="3"/>
  <c r="X367" i="3"/>
  <c r="H367" i="3"/>
  <c r="BA366" i="3"/>
  <c r="AK366" i="3"/>
  <c r="U366" i="3"/>
  <c r="BJ365" i="3"/>
  <c r="AT365" i="3"/>
  <c r="AD365" i="3"/>
  <c r="N365" i="3"/>
  <c r="BC364" i="3"/>
  <c r="AM364" i="3"/>
  <c r="W364" i="3"/>
  <c r="G364" i="3"/>
  <c r="AZ363" i="3"/>
  <c r="AJ363" i="3"/>
  <c r="T363" i="3"/>
  <c r="BM362" i="3"/>
  <c r="AW362" i="3"/>
  <c r="AG362" i="3"/>
  <c r="Q362" i="3"/>
  <c r="BF361" i="3"/>
  <c r="AP361" i="3"/>
  <c r="Z361" i="3"/>
  <c r="J361" i="3"/>
  <c r="AY360" i="3"/>
  <c r="AI360" i="3"/>
  <c r="S360" i="3"/>
  <c r="BL359" i="3"/>
  <c r="AV359" i="3"/>
  <c r="AF359" i="3"/>
  <c r="P359" i="3"/>
  <c r="BI358" i="3"/>
  <c r="AS358" i="3"/>
  <c r="AC358" i="3"/>
  <c r="M358" i="3"/>
  <c r="BB357" i="3"/>
  <c r="AL357" i="3"/>
  <c r="V357" i="3"/>
  <c r="BK356" i="3"/>
  <c r="AU356" i="3"/>
  <c r="AE356" i="3"/>
  <c r="O356" i="3"/>
  <c r="BH355" i="3"/>
  <c r="AR355" i="3"/>
  <c r="AB355" i="3"/>
  <c r="L355" i="3"/>
  <c r="BE354" i="3"/>
  <c r="AO354" i="3"/>
  <c r="Y354" i="3"/>
  <c r="I354" i="3"/>
  <c r="AX353" i="3"/>
  <c r="AH353" i="3"/>
  <c r="R353" i="3"/>
  <c r="BG352" i="3"/>
  <c r="AQ352" i="3"/>
  <c r="AA352" i="3"/>
  <c r="K352" i="3"/>
  <c r="BD351" i="3"/>
  <c r="AN351" i="3"/>
  <c r="X351" i="3"/>
  <c r="H351" i="3"/>
  <c r="BA350" i="3"/>
  <c r="AK350" i="3"/>
  <c r="U350" i="3"/>
  <c r="AI444" i="3"/>
  <c r="AI436" i="3"/>
  <c r="BA429" i="3"/>
  <c r="BA425" i="3"/>
  <c r="BA421" i="3"/>
  <c r="BA417" i="3"/>
  <c r="S415" i="3"/>
  <c r="AK429" i="3"/>
  <c r="AK425" i="3"/>
  <c r="AK421" i="3"/>
  <c r="AK417" i="3"/>
  <c r="O415" i="3"/>
  <c r="G413" i="3"/>
  <c r="H412" i="3"/>
  <c r="AK411" i="3"/>
  <c r="BF410" i="3"/>
  <c r="Z410" i="3"/>
  <c r="BC409" i="3"/>
  <c r="W409" i="3"/>
  <c r="BC408" i="3"/>
  <c r="W408" i="3"/>
  <c r="BA407" i="3"/>
  <c r="U407" i="3"/>
  <c r="AP406" i="3"/>
  <c r="J406" i="3"/>
  <c r="AM405" i="3"/>
  <c r="G405" i="3"/>
  <c r="AM404" i="3"/>
  <c r="G404" i="3"/>
  <c r="AK403" i="3"/>
  <c r="BF402" i="3"/>
  <c r="Z402" i="3"/>
  <c r="BC401" i="3"/>
  <c r="W401" i="3"/>
  <c r="BC400" i="3"/>
  <c r="W400" i="3"/>
  <c r="BA399" i="3"/>
  <c r="U399" i="3"/>
  <c r="AP398" i="3"/>
  <c r="J398" i="3"/>
  <c r="AM397" i="3"/>
  <c r="G397" i="3"/>
  <c r="AM396" i="3"/>
  <c r="G396" i="3"/>
  <c r="AK395" i="3"/>
  <c r="BF394" i="3"/>
  <c r="Z394" i="3"/>
  <c r="BC393" i="3"/>
  <c r="W393" i="3"/>
  <c r="BC392" i="3"/>
  <c r="W392" i="3"/>
  <c r="BA391" i="3"/>
  <c r="U391" i="3"/>
  <c r="AP390" i="3"/>
  <c r="J390" i="3"/>
  <c r="AM389" i="3"/>
  <c r="G389" i="3"/>
  <c r="AM388" i="3"/>
  <c r="G388" i="3"/>
  <c r="AK387" i="3"/>
  <c r="BF386" i="3"/>
  <c r="Z386" i="3"/>
  <c r="BC385" i="3"/>
  <c r="W385" i="3"/>
  <c r="BC384" i="3"/>
  <c r="W384" i="3"/>
  <c r="BA383" i="3"/>
  <c r="U383" i="3"/>
  <c r="AP382" i="3"/>
  <c r="J382" i="3"/>
  <c r="AM381" i="3"/>
  <c r="G381" i="3"/>
  <c r="AM380" i="3"/>
  <c r="G380" i="3"/>
  <c r="AK379" i="3"/>
  <c r="BF378" i="3"/>
  <c r="Z378" i="3"/>
  <c r="BC377" i="3"/>
  <c r="W377" i="3"/>
  <c r="BC376" i="3"/>
  <c r="AC376" i="3"/>
  <c r="M376" i="3"/>
  <c r="BB375" i="3"/>
  <c r="AL375" i="3"/>
  <c r="V375" i="3"/>
  <c r="BK374" i="3"/>
  <c r="AU374" i="3"/>
  <c r="AE374" i="3"/>
  <c r="O374" i="3"/>
  <c r="BF371" i="3"/>
  <c r="AP371" i="3"/>
  <c r="Z371" i="3"/>
  <c r="J371" i="3"/>
  <c r="AY370" i="3"/>
  <c r="AI370" i="3"/>
  <c r="S370" i="3"/>
  <c r="BL369" i="3"/>
  <c r="AV369" i="3"/>
  <c r="AF369" i="3"/>
  <c r="P369" i="3"/>
  <c r="BI368" i="3"/>
  <c r="AS368" i="3"/>
  <c r="AC368" i="3"/>
  <c r="M368" i="3"/>
  <c r="BB367" i="3"/>
  <c r="AL367" i="3"/>
  <c r="V367" i="3"/>
  <c r="BK366" i="3"/>
  <c r="AU366" i="3"/>
  <c r="AE366" i="3"/>
  <c r="O366" i="3"/>
  <c r="BH365" i="3"/>
  <c r="AR365" i="3"/>
  <c r="AB365" i="3"/>
  <c r="L365" i="3"/>
  <c r="BE364" i="3"/>
  <c r="AO364" i="3"/>
  <c r="Y364" i="3"/>
  <c r="I364" i="3"/>
  <c r="AX363" i="3"/>
  <c r="AH363" i="3"/>
  <c r="R363" i="3"/>
  <c r="BG362" i="3"/>
  <c r="AQ362" i="3"/>
  <c r="AA362" i="3"/>
  <c r="K362" i="3"/>
  <c r="BD361" i="3"/>
  <c r="AN361" i="3"/>
  <c r="X361" i="3"/>
  <c r="H361" i="3"/>
  <c r="BA360" i="3"/>
  <c r="AK360" i="3"/>
  <c r="U360" i="3"/>
  <c r="BJ359" i="3"/>
  <c r="AT359" i="3"/>
  <c r="AD359" i="3"/>
  <c r="N359" i="3"/>
  <c r="BC358" i="3"/>
  <c r="AM358" i="3"/>
  <c r="W358" i="3"/>
  <c r="G358" i="3"/>
  <c r="AZ357" i="3"/>
  <c r="AJ357" i="3"/>
  <c r="T357" i="3"/>
  <c r="BM356" i="3"/>
  <c r="AW356" i="3"/>
  <c r="AG356" i="3"/>
  <c r="Q356" i="3"/>
  <c r="BF355" i="3"/>
  <c r="AP355" i="3"/>
  <c r="Z355" i="3"/>
  <c r="J355" i="3"/>
  <c r="AY354" i="3"/>
  <c r="AI354" i="3"/>
  <c r="S354" i="3"/>
  <c r="BL353" i="3"/>
  <c r="AV353" i="3"/>
  <c r="AF353" i="3"/>
  <c r="P353" i="3"/>
  <c r="BI352" i="3"/>
  <c r="AS352" i="3"/>
  <c r="AC352" i="3"/>
  <c r="M352" i="3"/>
  <c r="BB351" i="3"/>
  <c r="AL351" i="3"/>
  <c r="V351" i="3"/>
  <c r="BK350" i="3"/>
  <c r="AQ413" i="3"/>
  <c r="AS410" i="3"/>
  <c r="AV408" i="3"/>
  <c r="BI406" i="3"/>
  <c r="BL404" i="3"/>
  <c r="AS402" i="3"/>
  <c r="AV400" i="3"/>
  <c r="BI398" i="3"/>
  <c r="BL396" i="3"/>
  <c r="AS394" i="3"/>
  <c r="AV392" i="3"/>
  <c r="BI390" i="3"/>
  <c r="BL388" i="3"/>
  <c r="AS386" i="3"/>
  <c r="AV384" i="3"/>
  <c r="BI382" i="3"/>
  <c r="BL380" i="3"/>
  <c r="AS378" i="3"/>
  <c r="AV376" i="3"/>
  <c r="AQ375" i="3"/>
  <c r="AR374" i="3"/>
  <c r="AU371" i="3"/>
  <c r="AV370" i="3"/>
  <c r="AW369" i="3"/>
  <c r="AT368" i="3"/>
  <c r="AU367" i="3"/>
  <c r="AV366" i="3"/>
  <c r="AW365" i="3"/>
  <c r="AT364" i="3"/>
  <c r="AU363" i="3"/>
  <c r="AV362" i="3"/>
  <c r="AW361" i="3"/>
  <c r="AT360" i="3"/>
  <c r="AU359" i="3"/>
  <c r="AV358" i="3"/>
  <c r="AW357" i="3"/>
  <c r="AT356" i="3"/>
  <c r="AU355" i="3"/>
  <c r="AV354" i="3"/>
  <c r="AW353" i="3"/>
  <c r="AT352" i="3"/>
  <c r="AU351" i="3"/>
  <c r="AV350" i="3"/>
  <c r="S350" i="3"/>
  <c r="BL349" i="3"/>
  <c r="AV349" i="3"/>
  <c r="AF349" i="3"/>
  <c r="P349" i="3"/>
  <c r="BI348" i="3"/>
  <c r="AS348" i="3"/>
  <c r="AC348" i="3"/>
  <c r="M348" i="3"/>
  <c r="BB347" i="3"/>
  <c r="AL347" i="3"/>
  <c r="V347" i="3"/>
  <c r="BK346" i="3"/>
  <c r="AU346" i="3"/>
  <c r="AE346" i="3"/>
  <c r="O346" i="3"/>
  <c r="BH345" i="3"/>
  <c r="AR345" i="3"/>
  <c r="AB345" i="3"/>
  <c r="L345" i="3"/>
  <c r="BE344" i="3"/>
  <c r="AO344" i="3"/>
  <c r="Y344" i="3"/>
  <c r="I344" i="3"/>
  <c r="AX343" i="3"/>
  <c r="AH343" i="3"/>
  <c r="R343" i="3"/>
  <c r="BG342" i="3"/>
  <c r="AQ342" i="3"/>
  <c r="AA342" i="3"/>
  <c r="K342" i="3"/>
  <c r="BD341" i="3"/>
  <c r="AN341" i="3"/>
  <c r="X341" i="3"/>
  <c r="H341" i="3"/>
  <c r="BA340" i="3"/>
  <c r="AK340" i="3"/>
  <c r="U340" i="3"/>
  <c r="BJ339" i="3"/>
  <c r="AT339" i="3"/>
  <c r="AD339" i="3"/>
  <c r="N339" i="3"/>
  <c r="BC338" i="3"/>
  <c r="AM338" i="3"/>
  <c r="W338" i="3"/>
  <c r="G338" i="3"/>
  <c r="AZ337" i="3"/>
  <c r="AJ337" i="3"/>
  <c r="T337" i="3"/>
  <c r="BM336" i="3"/>
  <c r="AW336" i="3"/>
  <c r="AG336" i="3"/>
  <c r="Q336" i="3"/>
  <c r="BF335" i="3"/>
  <c r="AP335" i="3"/>
  <c r="Z335" i="3"/>
  <c r="J335" i="3"/>
  <c r="AY334" i="3"/>
  <c r="AI334" i="3"/>
  <c r="S334" i="3"/>
  <c r="BL333" i="3"/>
  <c r="AV333" i="3"/>
  <c r="AF333" i="3"/>
  <c r="P333" i="3"/>
  <c r="BI332" i="3"/>
  <c r="AS332" i="3"/>
  <c r="AC332" i="3"/>
  <c r="M332" i="3"/>
  <c r="BE330" i="3"/>
  <c r="AO330" i="3"/>
  <c r="Y330" i="3"/>
  <c r="I330" i="3"/>
  <c r="AX329" i="3"/>
  <c r="AH329" i="3"/>
  <c r="R329" i="3"/>
  <c r="BG328" i="3"/>
  <c r="AQ328" i="3"/>
  <c r="AA328" i="3"/>
  <c r="K328" i="3"/>
  <c r="BD327" i="3"/>
  <c r="AN327" i="3"/>
  <c r="X327" i="3"/>
  <c r="H327" i="3"/>
  <c r="BA326" i="3"/>
  <c r="AK326" i="3"/>
  <c r="U326" i="3"/>
  <c r="BJ325" i="3"/>
  <c r="AT325" i="3"/>
  <c r="AD325" i="3"/>
  <c r="N325" i="3"/>
  <c r="BC324" i="3"/>
  <c r="AM324" i="3"/>
  <c r="W324" i="3"/>
  <c r="G324" i="3"/>
  <c r="AZ323" i="3"/>
  <c r="AJ323" i="3"/>
  <c r="T323" i="3"/>
  <c r="BM322" i="3"/>
  <c r="AW322" i="3"/>
  <c r="AG322" i="3"/>
  <c r="Q322" i="3"/>
  <c r="BF321" i="3"/>
  <c r="AP321" i="3"/>
  <c r="Z321" i="3"/>
  <c r="J321" i="3"/>
  <c r="AY320" i="3"/>
  <c r="AI320" i="3"/>
  <c r="S320" i="3"/>
  <c r="BL319" i="3"/>
  <c r="AV319" i="3"/>
  <c r="AF319" i="3"/>
  <c r="P319" i="3"/>
  <c r="BI318" i="3"/>
  <c r="AS318" i="3"/>
  <c r="AC318" i="3"/>
  <c r="M318" i="3"/>
  <c r="BB317" i="3"/>
  <c r="AL317" i="3"/>
  <c r="V317" i="3"/>
  <c r="BK316" i="3"/>
  <c r="AU316" i="3"/>
  <c r="AE316" i="3"/>
  <c r="O316" i="3"/>
  <c r="BH315" i="3"/>
  <c r="BL411" i="3"/>
  <c r="AN408" i="3"/>
  <c r="BA406" i="3"/>
  <c r="BD404" i="3"/>
  <c r="AK402" i="3"/>
  <c r="AV399" i="3"/>
  <c r="AX397" i="3"/>
  <c r="BL395" i="3"/>
  <c r="AN392" i="3"/>
  <c r="BA390" i="3"/>
  <c r="BD388" i="3"/>
  <c r="AK386" i="3"/>
  <c r="AV383" i="3"/>
  <c r="AX381" i="3"/>
  <c r="BL379" i="3"/>
  <c r="AN376" i="3"/>
  <c r="W375" i="3"/>
  <c r="X374" i="3"/>
  <c r="AA371" i="3"/>
  <c r="AB370" i="3"/>
  <c r="AC369" i="3"/>
  <c r="Z368" i="3"/>
  <c r="AA367" i="3"/>
  <c r="AB366" i="3"/>
  <c r="AC365" i="3"/>
  <c r="Z364" i="3"/>
  <c r="AA363" i="3"/>
  <c r="AB362" i="3"/>
  <c r="AC361" i="3"/>
  <c r="Z360" i="3"/>
  <c r="AA359" i="3"/>
  <c r="AB358" i="3"/>
  <c r="AC357" i="3"/>
  <c r="Z356" i="3"/>
  <c r="AA355" i="3"/>
  <c r="AB354" i="3"/>
  <c r="AC353" i="3"/>
  <c r="Z352" i="3"/>
  <c r="AA351" i="3"/>
  <c r="AM350" i="3"/>
  <c r="N350" i="3"/>
  <c r="BC349" i="3"/>
  <c r="AM349" i="3"/>
  <c r="W349" i="3"/>
  <c r="G349" i="3"/>
  <c r="AZ348" i="3"/>
  <c r="AJ348" i="3"/>
  <c r="T348" i="3"/>
  <c r="BM347" i="3"/>
  <c r="AW347" i="3"/>
  <c r="AG347" i="3"/>
  <c r="Q347" i="3"/>
  <c r="BF346" i="3"/>
  <c r="AP346" i="3"/>
  <c r="Z346" i="3"/>
  <c r="J346" i="3"/>
  <c r="AY345" i="3"/>
  <c r="AI345" i="3"/>
  <c r="S345" i="3"/>
  <c r="BL344" i="3"/>
  <c r="AV344" i="3"/>
  <c r="AF344" i="3"/>
  <c r="P344" i="3"/>
  <c r="BI343" i="3"/>
  <c r="AS343" i="3"/>
  <c r="AC343" i="3"/>
  <c r="M343" i="3"/>
  <c r="BB342" i="3"/>
  <c r="AL342" i="3"/>
  <c r="V342" i="3"/>
  <c r="BK341" i="3"/>
  <c r="AU341" i="3"/>
  <c r="AE341" i="3"/>
  <c r="O341" i="3"/>
  <c r="BH340" i="3"/>
  <c r="AR340" i="3"/>
  <c r="AB340" i="3"/>
  <c r="L340" i="3"/>
  <c r="BE339" i="3"/>
  <c r="AO339" i="3"/>
  <c r="Y339" i="3"/>
  <c r="I339" i="3"/>
  <c r="AX338" i="3"/>
  <c r="AH338" i="3"/>
  <c r="R338" i="3"/>
  <c r="BG337" i="3"/>
  <c r="AQ337" i="3"/>
  <c r="AA337" i="3"/>
  <c r="K337" i="3"/>
  <c r="BD336" i="3"/>
  <c r="AN336" i="3"/>
  <c r="X336" i="3"/>
  <c r="H336" i="3"/>
  <c r="BA335" i="3"/>
  <c r="AK335" i="3"/>
  <c r="U335" i="3"/>
  <c r="BJ334" i="3"/>
  <c r="AT334" i="3"/>
  <c r="AD334" i="3"/>
  <c r="N334" i="3"/>
  <c r="BC333" i="3"/>
  <c r="AM333" i="3"/>
  <c r="W333" i="3"/>
  <c r="G333" i="3"/>
  <c r="AZ332" i="3"/>
  <c r="AJ332" i="3"/>
  <c r="T332" i="3"/>
  <c r="BL330" i="3"/>
  <c r="AV330" i="3"/>
  <c r="AF330" i="3"/>
  <c r="P330" i="3"/>
  <c r="BI329" i="3"/>
  <c r="AS329" i="3"/>
  <c r="AC329" i="3"/>
  <c r="M329" i="3"/>
  <c r="BB328" i="3"/>
  <c r="AL328" i="3"/>
  <c r="V328" i="3"/>
  <c r="BK327" i="3"/>
  <c r="AU327" i="3"/>
  <c r="AE327" i="3"/>
  <c r="O327" i="3"/>
  <c r="BH326" i="3"/>
  <c r="AR326" i="3"/>
  <c r="AB326" i="3"/>
  <c r="L326" i="3"/>
  <c r="BE325" i="3"/>
  <c r="AO325" i="3"/>
  <c r="Y325" i="3"/>
  <c r="I325" i="3"/>
  <c r="AX324" i="3"/>
  <c r="AH324" i="3"/>
  <c r="R324" i="3"/>
  <c r="BG323" i="3"/>
  <c r="AQ323" i="3"/>
  <c r="AA323" i="3"/>
  <c r="K323" i="3"/>
  <c r="BD322" i="3"/>
  <c r="AN322" i="3"/>
  <c r="X322" i="3"/>
  <c r="H322" i="3"/>
  <c r="BA321" i="3"/>
  <c r="AK321" i="3"/>
  <c r="U321" i="3"/>
  <c r="BJ320" i="3"/>
  <c r="AT320" i="3"/>
  <c r="AD320" i="3"/>
  <c r="N320" i="3"/>
  <c r="BC319" i="3"/>
  <c r="AM319" i="3"/>
  <c r="W319" i="3"/>
  <c r="G319" i="3"/>
  <c r="AZ318" i="3"/>
  <c r="AJ318" i="3"/>
  <c r="T318" i="3"/>
  <c r="BM317" i="3"/>
  <c r="AW317" i="3"/>
  <c r="AG317" i="3"/>
  <c r="Q317" i="3"/>
  <c r="BF316" i="3"/>
  <c r="AP316" i="3"/>
  <c r="Z316" i="3"/>
  <c r="J316" i="3"/>
  <c r="Z409" i="3"/>
  <c r="X403" i="3"/>
  <c r="AF399" i="3"/>
  <c r="BD395" i="3"/>
  <c r="BL391" i="3"/>
  <c r="BF385" i="3"/>
  <c r="AH381" i="3"/>
  <c r="Z377" i="3"/>
  <c r="O375" i="3"/>
  <c r="S371" i="3"/>
  <c r="U369" i="3"/>
  <c r="S367" i="3"/>
  <c r="U365" i="3"/>
  <c r="S363" i="3"/>
  <c r="U361" i="3"/>
  <c r="S359" i="3"/>
  <c r="U357" i="3"/>
  <c r="S355" i="3"/>
  <c r="U353" i="3"/>
  <c r="S351" i="3"/>
  <c r="L350" i="3"/>
  <c r="AO349" i="3"/>
  <c r="I349" i="3"/>
  <c r="AL348" i="3"/>
  <c r="BH347" i="3"/>
  <c r="AB347" i="3"/>
  <c r="AZ346" i="3"/>
  <c r="T346" i="3"/>
  <c r="AW345" i="3"/>
  <c r="Q345" i="3"/>
  <c r="AT344" i="3"/>
  <c r="N344" i="3"/>
  <c r="AJ343" i="3"/>
  <c r="BH342" i="3"/>
  <c r="AB342" i="3"/>
  <c r="BE341" i="3"/>
  <c r="Y341" i="3"/>
  <c r="BB340" i="3"/>
  <c r="V340" i="3"/>
  <c r="AR339" i="3"/>
  <c r="L339" i="3"/>
  <c r="AJ338" i="3"/>
  <c r="BM337" i="3"/>
  <c r="AG337" i="3"/>
  <c r="BJ336" i="3"/>
  <c r="AD336" i="3"/>
  <c r="AZ335" i="3"/>
  <c r="T335" i="3"/>
  <c r="AR334" i="3"/>
  <c r="L334" i="3"/>
  <c r="AO333" i="3"/>
  <c r="I333" i="3"/>
  <c r="AL332" i="3"/>
  <c r="BJ330" i="3"/>
  <c r="AD330" i="3"/>
  <c r="AZ329" i="3"/>
  <c r="T329" i="3"/>
  <c r="AR328" i="3"/>
  <c r="L328" i="3"/>
  <c r="AO327" i="3"/>
  <c r="I327" i="3"/>
  <c r="AL326" i="3"/>
  <c r="BH325" i="3"/>
  <c r="AB325" i="3"/>
  <c r="AZ324" i="3"/>
  <c r="T324" i="3"/>
  <c r="AW323" i="3"/>
  <c r="Q323" i="3"/>
  <c r="AT322" i="3"/>
  <c r="N322" i="3"/>
  <c r="AJ321" i="3"/>
  <c r="BH320" i="3"/>
  <c r="AB320" i="3"/>
  <c r="BE319" i="3"/>
  <c r="Y319" i="3"/>
  <c r="BB318" i="3"/>
  <c r="V318" i="3"/>
  <c r="AR317" i="3"/>
  <c r="L317" i="3"/>
  <c r="AJ316" i="3"/>
  <c r="BM315" i="3"/>
  <c r="AS315" i="3"/>
  <c r="AC315" i="3"/>
  <c r="M315" i="3"/>
  <c r="BB314" i="3"/>
  <c r="AL314" i="3"/>
  <c r="V314" i="3"/>
  <c r="BK313" i="3"/>
  <c r="AU313" i="3"/>
  <c r="AE313" i="3"/>
  <c r="O313" i="3"/>
  <c r="BH312" i="3"/>
  <c r="AR312" i="3"/>
  <c r="AB312" i="3"/>
  <c r="L312" i="3"/>
  <c r="BE311" i="3"/>
  <c r="AO311" i="3"/>
  <c r="Y311" i="3"/>
  <c r="I311" i="3"/>
  <c r="AX310" i="3"/>
  <c r="AH310" i="3"/>
  <c r="R310" i="3"/>
  <c r="BG309" i="3"/>
  <c r="AQ309" i="3"/>
  <c r="AA309" i="3"/>
  <c r="K309" i="3"/>
  <c r="BD308" i="3"/>
  <c r="AN308" i="3"/>
  <c r="X308" i="3"/>
  <c r="H308" i="3"/>
  <c r="BA307" i="3"/>
  <c r="AK307" i="3"/>
  <c r="U307" i="3"/>
  <c r="BJ306" i="3"/>
  <c r="AT306" i="3"/>
  <c r="AD306" i="3"/>
  <c r="N306" i="3"/>
  <c r="BC305" i="3"/>
  <c r="AM305" i="3"/>
  <c r="W305" i="3"/>
  <c r="G305" i="3"/>
  <c r="AZ304" i="3"/>
  <c r="AJ304" i="3"/>
  <c r="T304" i="3"/>
  <c r="BM303" i="3"/>
  <c r="AW303" i="3"/>
  <c r="AG303" i="3"/>
  <c r="Q303" i="3"/>
  <c r="BF302" i="3"/>
  <c r="AP302" i="3"/>
  <c r="Z302" i="3"/>
  <c r="J302" i="3"/>
  <c r="AY301" i="3"/>
  <c r="AI301" i="3"/>
  <c r="S301" i="3"/>
  <c r="BL300" i="3"/>
  <c r="AV300" i="3"/>
  <c r="AF300" i="3"/>
  <c r="P300" i="3"/>
  <c r="BI299" i="3"/>
  <c r="AS299" i="3"/>
  <c r="AC299" i="3"/>
  <c r="M299" i="3"/>
  <c r="BB298" i="3"/>
  <c r="AL298" i="3"/>
  <c r="V298" i="3"/>
  <c r="BK297" i="3"/>
  <c r="AU297" i="3"/>
  <c r="AE297" i="3"/>
  <c r="O297" i="3"/>
  <c r="BH296" i="3"/>
  <c r="AR296" i="3"/>
  <c r="AB296" i="3"/>
  <c r="L296" i="3"/>
  <c r="BE295" i="3"/>
  <c r="AO295" i="3"/>
  <c r="Y295" i="3"/>
  <c r="I295" i="3"/>
  <c r="AX294" i="3"/>
  <c r="AH294" i="3"/>
  <c r="R294" i="3"/>
  <c r="BG293" i="3"/>
  <c r="AQ293" i="3"/>
  <c r="AA293" i="3"/>
  <c r="K293" i="3"/>
  <c r="BD292" i="3"/>
  <c r="AN292" i="3"/>
  <c r="X292" i="3"/>
  <c r="H292" i="3"/>
  <c r="BA291" i="3"/>
  <c r="AK291" i="3"/>
  <c r="U291" i="3"/>
  <c r="AB412" i="3"/>
  <c r="AF408" i="3"/>
  <c r="AV404" i="3"/>
  <c r="BL400" i="3"/>
  <c r="P396" i="3"/>
  <c r="AF392" i="3"/>
  <c r="AV388" i="3"/>
  <c r="BL384" i="3"/>
  <c r="P380" i="3"/>
  <c r="AH376" i="3"/>
  <c r="G371" i="3"/>
  <c r="I369" i="3"/>
  <c r="AN366" i="3"/>
  <c r="AL364" i="3"/>
  <c r="H362" i="3"/>
  <c r="AM359" i="3"/>
  <c r="AO357" i="3"/>
  <c r="G355" i="3"/>
  <c r="I353" i="3"/>
  <c r="AR350" i="3"/>
  <c r="BJ349" i="3"/>
  <c r="AD349" i="3"/>
  <c r="AY348" i="3"/>
  <c r="S348" i="3"/>
  <c r="AQ347" i="3"/>
  <c r="K347" i="3"/>
  <c r="AO346" i="3"/>
  <c r="I346" i="3"/>
  <c r="AL345" i="3"/>
  <c r="BG344" i="3"/>
  <c r="AA344" i="3"/>
  <c r="AY343" i="3"/>
  <c r="S343" i="3"/>
  <c r="AW342" i="3"/>
  <c r="Q342" i="3"/>
  <c r="AT341" i="3"/>
  <c r="N341" i="3"/>
  <c r="AI340" i="3"/>
  <c r="BG339" i="3"/>
  <c r="AA339" i="3"/>
  <c r="BE338" i="3"/>
  <c r="Y338" i="3"/>
  <c r="BB337" i="3"/>
  <c r="V337" i="3"/>
  <c r="AQ336" i="3"/>
  <c r="K336" i="3"/>
  <c r="AI335" i="3"/>
  <c r="BM334" i="3"/>
  <c r="AG334" i="3"/>
  <c r="BJ333" i="3"/>
  <c r="AD333" i="3"/>
  <c r="AY332" i="3"/>
  <c r="S332" i="3"/>
  <c r="AQ330" i="3"/>
  <c r="K330" i="3"/>
  <c r="AI329" i="3"/>
  <c r="BM328" i="3"/>
  <c r="AG328" i="3"/>
  <c r="BJ327" i="3"/>
  <c r="AD327" i="3"/>
  <c r="AY326" i="3"/>
  <c r="S326" i="3"/>
  <c r="AQ325" i="3"/>
  <c r="K325" i="3"/>
  <c r="AO324" i="3"/>
  <c r="I324" i="3"/>
  <c r="AL323" i="3"/>
  <c r="BG322" i="3"/>
  <c r="AA322" i="3"/>
  <c r="AY321" i="3"/>
  <c r="S321" i="3"/>
  <c r="AW320" i="3"/>
  <c r="Q320" i="3"/>
  <c r="AT319" i="3"/>
  <c r="N319" i="3"/>
  <c r="AI318" i="3"/>
  <c r="BG317" i="3"/>
  <c r="AA317" i="3"/>
  <c r="BE316" i="3"/>
  <c r="Y316" i="3"/>
  <c r="BE315" i="3"/>
  <c r="AN315" i="3"/>
  <c r="X315" i="3"/>
  <c r="H315" i="3"/>
  <c r="BA314" i="3"/>
  <c r="AK314" i="3"/>
  <c r="U314" i="3"/>
  <c r="BJ313" i="3"/>
  <c r="AT313" i="3"/>
  <c r="AD313" i="3"/>
  <c r="N313" i="3"/>
  <c r="BC312" i="3"/>
  <c r="AM312" i="3"/>
  <c r="W312" i="3"/>
  <c r="G312" i="3"/>
  <c r="AZ311" i="3"/>
  <c r="AJ311" i="3"/>
  <c r="T311" i="3"/>
  <c r="BM310" i="3"/>
  <c r="AW310" i="3"/>
  <c r="AG310" i="3"/>
  <c r="Q310" i="3"/>
  <c r="BF309" i="3"/>
  <c r="AP309" i="3"/>
  <c r="Z309" i="3"/>
  <c r="J309" i="3"/>
  <c r="AY308" i="3"/>
  <c r="AI308" i="3"/>
  <c r="S308" i="3"/>
  <c r="BL307" i="3"/>
  <c r="AV307" i="3"/>
  <c r="AF307" i="3"/>
  <c r="P307" i="3"/>
  <c r="BI306" i="3"/>
  <c r="AS306" i="3"/>
  <c r="AC306" i="3"/>
  <c r="M306" i="3"/>
  <c r="BB305" i="3"/>
  <c r="AL305" i="3"/>
  <c r="V305" i="3"/>
  <c r="BK304" i="3"/>
  <c r="AU304" i="3"/>
  <c r="AE304" i="3"/>
  <c r="O304" i="3"/>
  <c r="BH303" i="3"/>
  <c r="AR303" i="3"/>
  <c r="AB303" i="3"/>
  <c r="L303" i="3"/>
  <c r="BE302" i="3"/>
  <c r="AO302" i="3"/>
  <c r="Y302" i="3"/>
  <c r="I302" i="3"/>
  <c r="AX301" i="3"/>
  <c r="AH301" i="3"/>
  <c r="R301" i="3"/>
  <c r="BG300" i="3"/>
  <c r="AQ300" i="3"/>
  <c r="AA300" i="3"/>
  <c r="K300" i="3"/>
  <c r="BD299" i="3"/>
  <c r="AN299" i="3"/>
  <c r="X299" i="3"/>
  <c r="H299" i="3"/>
  <c r="BA298" i="3"/>
  <c r="AK298" i="3"/>
  <c r="U298" i="3"/>
  <c r="BJ297" i="3"/>
  <c r="AT297" i="3"/>
  <c r="AD297" i="3"/>
  <c r="N297" i="3"/>
  <c r="BC296" i="3"/>
  <c r="AM296" i="3"/>
  <c r="W296" i="3"/>
  <c r="G296" i="3"/>
  <c r="AZ295" i="3"/>
  <c r="AJ295" i="3"/>
  <c r="T295" i="3"/>
  <c r="BM294" i="3"/>
  <c r="AW294" i="3"/>
  <c r="AG294" i="3"/>
  <c r="Q294" i="3"/>
  <c r="BF293" i="3"/>
  <c r="AP293" i="3"/>
  <c r="Z293" i="3"/>
  <c r="J293" i="3"/>
  <c r="AY292" i="3"/>
  <c r="AI292" i="3"/>
  <c r="S292" i="3"/>
  <c r="BL291" i="3"/>
  <c r="AV291" i="3"/>
  <c r="AF291" i="3"/>
  <c r="P291" i="3"/>
  <c r="L412" i="3"/>
  <c r="X408" i="3"/>
  <c r="AN404" i="3"/>
  <c r="BD400" i="3"/>
  <c r="BA394" i="3"/>
  <c r="AK390" i="3"/>
  <c r="U386" i="3"/>
  <c r="H380" i="3"/>
  <c r="AD376" i="3"/>
  <c r="AF374" i="3"/>
  <c r="AH368" i="3"/>
  <c r="AH364" i="3"/>
  <c r="AH360" i="3"/>
  <c r="AH356" i="3"/>
  <c r="AH352" i="3"/>
  <c r="P350" i="3"/>
  <c r="AS349" i="3"/>
  <c r="M349" i="3"/>
  <c r="AH348" i="3"/>
  <c r="BL347" i="3"/>
  <c r="AF347" i="3"/>
  <c r="BL346" i="3"/>
  <c r="AF346" i="3"/>
  <c r="BI345" i="3"/>
  <c r="AC345" i="3"/>
  <c r="AX344" i="3"/>
  <c r="R344" i="3"/>
  <c r="AV343" i="3"/>
  <c r="P343" i="3"/>
  <c r="AV342" i="3"/>
  <c r="P342" i="3"/>
  <c r="AS341" i="3"/>
  <c r="M341" i="3"/>
  <c r="AH340" i="3"/>
  <c r="BL339" i="3"/>
  <c r="AF339" i="3"/>
  <c r="BL338" i="3"/>
  <c r="AF338" i="3"/>
  <c r="BI337" i="3"/>
  <c r="AC337" i="3"/>
  <c r="AX336" i="3"/>
  <c r="R336" i="3"/>
  <c r="AV335" i="3"/>
  <c r="P335" i="3"/>
  <c r="AV334" i="3"/>
  <c r="P334" i="3"/>
  <c r="AS333" i="3"/>
  <c r="M333" i="3"/>
  <c r="AH332" i="3"/>
  <c r="BF330" i="3"/>
  <c r="Z330" i="3"/>
  <c r="BD329" i="3"/>
  <c r="X329" i="3"/>
  <c r="BD328" i="3"/>
  <c r="X328" i="3"/>
  <c r="BA327" i="3"/>
  <c r="U327" i="3"/>
  <c r="AP326" i="3"/>
  <c r="J326" i="3"/>
  <c r="AN325" i="3"/>
  <c r="H325" i="3"/>
  <c r="AN324" i="3"/>
  <c r="H324" i="3"/>
  <c r="AK323" i="3"/>
  <c r="BF322" i="3"/>
  <c r="Z322" i="3"/>
  <c r="BD321" i="3"/>
  <c r="X321" i="3"/>
  <c r="BD320" i="3"/>
  <c r="X320" i="3"/>
  <c r="BA319" i="3"/>
  <c r="U319" i="3"/>
  <c r="AP318" i="3"/>
  <c r="J318" i="3"/>
  <c r="AN317" i="3"/>
  <c r="H317" i="3"/>
  <c r="AN316" i="3"/>
  <c r="H316" i="3"/>
  <c r="AU315" i="3"/>
  <c r="AE315" i="3"/>
  <c r="O315" i="3"/>
  <c r="BH314" i="3"/>
  <c r="AR314" i="3"/>
  <c r="AB314" i="3"/>
  <c r="L314" i="3"/>
  <c r="BE313" i="3"/>
  <c r="AO313" i="3"/>
  <c r="Y313" i="3"/>
  <c r="I313" i="3"/>
  <c r="AX312" i="3"/>
  <c r="AH312" i="3"/>
  <c r="R312" i="3"/>
  <c r="BG311" i="3"/>
  <c r="AQ311" i="3"/>
  <c r="AA311" i="3"/>
  <c r="K311" i="3"/>
  <c r="BD310" i="3"/>
  <c r="AN310" i="3"/>
  <c r="X310" i="3"/>
  <c r="H310" i="3"/>
  <c r="BA309" i="3"/>
  <c r="AK309" i="3"/>
  <c r="U309" i="3"/>
  <c r="BJ308" i="3"/>
  <c r="AT308" i="3"/>
  <c r="AD308" i="3"/>
  <c r="N308" i="3"/>
  <c r="BC307" i="3"/>
  <c r="AM307" i="3"/>
  <c r="W307" i="3"/>
  <c r="G307" i="3"/>
  <c r="AZ306" i="3"/>
  <c r="AJ306" i="3"/>
  <c r="T306" i="3"/>
  <c r="BM305" i="3"/>
  <c r="AW305" i="3"/>
  <c r="AG305" i="3"/>
  <c r="Q305" i="3"/>
  <c r="BF304" i="3"/>
  <c r="AP304" i="3"/>
  <c r="Z304" i="3"/>
  <c r="J304" i="3"/>
  <c r="AY303" i="3"/>
  <c r="AI303" i="3"/>
  <c r="S303" i="3"/>
  <c r="BL302" i="3"/>
  <c r="AV302" i="3"/>
  <c r="AF302" i="3"/>
  <c r="P302" i="3"/>
  <c r="BI301" i="3"/>
  <c r="AS301" i="3"/>
  <c r="AC301" i="3"/>
  <c r="M301" i="3"/>
  <c r="BB300" i="3"/>
  <c r="AL300" i="3"/>
  <c r="V300" i="3"/>
  <c r="BK299" i="3"/>
  <c r="AU299" i="3"/>
  <c r="AE299" i="3"/>
  <c r="O299" i="3"/>
  <c r="BH298" i="3"/>
  <c r="AR298" i="3"/>
  <c r="AB298" i="3"/>
  <c r="L298" i="3"/>
  <c r="BE297" i="3"/>
  <c r="AO297" i="3"/>
  <c r="Y297" i="3"/>
  <c r="I297" i="3"/>
  <c r="AX296" i="3"/>
  <c r="AH296" i="3"/>
  <c r="R296" i="3"/>
  <c r="BG295" i="3"/>
  <c r="AQ295" i="3"/>
  <c r="AA295" i="3"/>
  <c r="K295" i="3"/>
  <c r="BD294" i="3"/>
  <c r="AN294" i="3"/>
  <c r="X294" i="3"/>
  <c r="H294" i="3"/>
  <c r="BA293" i="3"/>
  <c r="AK293" i="3"/>
  <c r="U293" i="3"/>
  <c r="BJ292" i="3"/>
  <c r="AT292" i="3"/>
  <c r="AD292" i="3"/>
  <c r="N292" i="3"/>
  <c r="BC291" i="3"/>
  <c r="AM291" i="3"/>
  <c r="W291" i="3"/>
  <c r="G291" i="3"/>
  <c r="AX409" i="3"/>
  <c r="J405" i="3"/>
  <c r="R401" i="3"/>
  <c r="AP397" i="3"/>
  <c r="AX393" i="3"/>
  <c r="J389" i="3"/>
  <c r="R385" i="3"/>
  <c r="AP381" i="3"/>
  <c r="AX377" i="3"/>
  <c r="S375" i="3"/>
  <c r="W371" i="3"/>
  <c r="Y369" i="3"/>
  <c r="W367" i="3"/>
  <c r="Y365" i="3"/>
  <c r="W363" i="3"/>
  <c r="Y361" i="3"/>
  <c r="W359" i="3"/>
  <c r="Y357" i="3"/>
  <c r="W355" i="3"/>
  <c r="Y353" i="3"/>
  <c r="W351" i="3"/>
  <c r="M350" i="3"/>
  <c r="AH349" i="3"/>
  <c r="BK348" i="3"/>
  <c r="AE348" i="3"/>
  <c r="BK347" i="3"/>
  <c r="AE347" i="3"/>
  <c r="BI346" i="3"/>
  <c r="AC346" i="3"/>
  <c r="AX345" i="3"/>
  <c r="R345" i="3"/>
  <c r="AU344" i="3"/>
  <c r="O344" i="3"/>
  <c r="AU343" i="3"/>
  <c r="O343" i="3"/>
  <c r="AS342" i="3"/>
  <c r="M342" i="3"/>
  <c r="AH341" i="3"/>
  <c r="BK340" i="3"/>
  <c r="AE340" i="3"/>
  <c r="BK339" i="3"/>
  <c r="AE339" i="3"/>
  <c r="BI338" i="3"/>
  <c r="AC338" i="3"/>
  <c r="AX337" i="3"/>
  <c r="R337" i="3"/>
  <c r="AU336" i="3"/>
  <c r="O336" i="3"/>
  <c r="AU335" i="3"/>
  <c r="O335" i="3"/>
  <c r="AS334" i="3"/>
  <c r="M334" i="3"/>
  <c r="AH333" i="3"/>
  <c r="BK332" i="3"/>
  <c r="AE332" i="3"/>
  <c r="BK330" i="3"/>
  <c r="AE330" i="3"/>
  <c r="BK329" i="3"/>
  <c r="AE329" i="3"/>
  <c r="BI328" i="3"/>
  <c r="AC328" i="3"/>
  <c r="AX327" i="3"/>
  <c r="R327" i="3"/>
  <c r="AU326" i="3"/>
  <c r="O326" i="3"/>
  <c r="AU325" i="3"/>
  <c r="O325" i="3"/>
  <c r="AS324" i="3"/>
  <c r="M324" i="3"/>
  <c r="AH323" i="3"/>
  <c r="BK322" i="3"/>
  <c r="AE322" i="3"/>
  <c r="BK321" i="3"/>
  <c r="AE321" i="3"/>
  <c r="BI320" i="3"/>
  <c r="AC320" i="3"/>
  <c r="AX319" i="3"/>
  <c r="R319" i="3"/>
  <c r="AU318" i="3"/>
  <c r="O318" i="3"/>
  <c r="AU317" i="3"/>
  <c r="O317" i="3"/>
  <c r="AS316" i="3"/>
  <c r="M316" i="3"/>
  <c r="AT315" i="3"/>
  <c r="AD315" i="3"/>
  <c r="N315" i="3"/>
  <c r="BC314" i="3"/>
  <c r="AM314" i="3"/>
  <c r="W314" i="3"/>
  <c r="G314" i="3"/>
  <c r="AZ313" i="3"/>
  <c r="AJ313" i="3"/>
  <c r="T313" i="3"/>
  <c r="BM312" i="3"/>
  <c r="AW312" i="3"/>
  <c r="AG312" i="3"/>
  <c r="Q312" i="3"/>
  <c r="BF311" i="3"/>
  <c r="AP311" i="3"/>
  <c r="Z311" i="3"/>
  <c r="J311" i="3"/>
  <c r="AY310" i="3"/>
  <c r="AI310" i="3"/>
  <c r="S310" i="3"/>
  <c r="BL309" i="3"/>
  <c r="AV309" i="3"/>
  <c r="AF309" i="3"/>
  <c r="P309" i="3"/>
  <c r="BI308" i="3"/>
  <c r="AS308" i="3"/>
  <c r="AC308" i="3"/>
  <c r="M308" i="3"/>
  <c r="BB307" i="3"/>
  <c r="AL307" i="3"/>
  <c r="V307" i="3"/>
  <c r="BK306" i="3"/>
  <c r="AU306" i="3"/>
  <c r="AE306" i="3"/>
  <c r="O306" i="3"/>
  <c r="BH305" i="3"/>
  <c r="AR305" i="3"/>
  <c r="AB305" i="3"/>
  <c r="L305" i="3"/>
  <c r="BE304" i="3"/>
  <c r="AO304" i="3"/>
  <c r="Y304" i="3"/>
  <c r="I304" i="3"/>
  <c r="AX303" i="3"/>
  <c r="AH303" i="3"/>
  <c r="R303" i="3"/>
  <c r="BG302" i="3"/>
  <c r="AQ302" i="3"/>
  <c r="AA302" i="3"/>
  <c r="K302" i="3"/>
  <c r="BD301" i="3"/>
  <c r="AN301" i="3"/>
  <c r="X301" i="3"/>
  <c r="H301" i="3"/>
  <c r="BA300" i="3"/>
  <c r="AK300" i="3"/>
  <c r="U300" i="3"/>
  <c r="BJ299" i="3"/>
  <c r="AT299" i="3"/>
  <c r="AD299" i="3"/>
  <c r="N299" i="3"/>
  <c r="BC298" i="3"/>
  <c r="AM298" i="3"/>
  <c r="W298" i="3"/>
  <c r="G298" i="3"/>
  <c r="AZ297" i="3"/>
  <c r="AJ297" i="3"/>
  <c r="T297" i="3"/>
  <c r="BM296" i="3"/>
  <c r="AW296" i="3"/>
  <c r="AG296" i="3"/>
  <c r="Q296" i="3"/>
  <c r="BF295" i="3"/>
  <c r="AP295" i="3"/>
  <c r="Z295" i="3"/>
  <c r="J295" i="3"/>
  <c r="AY294" i="3"/>
  <c r="AI294" i="3"/>
  <c r="S294" i="3"/>
  <c r="BL293" i="3"/>
  <c r="AV293" i="3"/>
  <c r="L293" i="3"/>
  <c r="M292" i="3"/>
  <c r="J291" i="3"/>
  <c r="BA289" i="3"/>
  <c r="AK289" i="3"/>
  <c r="U289" i="3"/>
  <c r="BJ288" i="3"/>
  <c r="AT288" i="3"/>
  <c r="AD288" i="3"/>
  <c r="N288" i="3"/>
  <c r="BC287" i="3"/>
  <c r="AM287" i="3"/>
  <c r="W287" i="3"/>
  <c r="G287" i="3"/>
  <c r="AZ286" i="3"/>
  <c r="AJ286" i="3"/>
  <c r="T286" i="3"/>
  <c r="BM285" i="3"/>
  <c r="AW285" i="3"/>
  <c r="AG285" i="3"/>
  <c r="Q285" i="3"/>
  <c r="BF284" i="3"/>
  <c r="AP284" i="3"/>
  <c r="Z284" i="3"/>
  <c r="J284" i="3"/>
  <c r="AY283" i="3"/>
  <c r="AI283" i="3"/>
  <c r="S283" i="3"/>
  <c r="BL282" i="3"/>
  <c r="AV282" i="3"/>
  <c r="AF282" i="3"/>
  <c r="P282" i="3"/>
  <c r="BI281" i="3"/>
  <c r="AS281" i="3"/>
  <c r="AC281" i="3"/>
  <c r="M281" i="3"/>
  <c r="BB280" i="3"/>
  <c r="AL280" i="3"/>
  <c r="V280" i="3"/>
  <c r="BK279" i="3"/>
  <c r="AU279" i="3"/>
  <c r="AE279" i="3"/>
  <c r="O279" i="3"/>
  <c r="BH278" i="3"/>
  <c r="AR278" i="3"/>
  <c r="AB278" i="3"/>
  <c r="L278" i="3"/>
  <c r="BE277" i="3"/>
  <c r="AO277" i="3"/>
  <c r="Y277" i="3"/>
  <c r="I277" i="3"/>
  <c r="AX276" i="3"/>
  <c r="AH276" i="3"/>
  <c r="R276" i="3"/>
  <c r="BG275" i="3"/>
  <c r="AQ275" i="3"/>
  <c r="AA275" i="3"/>
  <c r="K275" i="3"/>
  <c r="BD274" i="3"/>
  <c r="AN274" i="3"/>
  <c r="X274" i="3"/>
  <c r="H274" i="3"/>
  <c r="BA273" i="3"/>
  <c r="AK273" i="3"/>
  <c r="U273" i="3"/>
  <c r="BJ272" i="3"/>
  <c r="AT272" i="3"/>
  <c r="AD272" i="3"/>
  <c r="N272" i="3"/>
  <c r="BC271" i="3"/>
  <c r="AM271" i="3"/>
  <c r="W271" i="3"/>
  <c r="G271" i="3"/>
  <c r="AZ270" i="3"/>
  <c r="AJ270" i="3"/>
  <c r="T270" i="3"/>
  <c r="BM269" i="3"/>
  <c r="AW269" i="3"/>
  <c r="AG269" i="3"/>
  <c r="Q269" i="3"/>
  <c r="BF268" i="3"/>
  <c r="AP268" i="3"/>
  <c r="Z268" i="3"/>
  <c r="J268" i="3"/>
  <c r="AY267" i="3"/>
  <c r="AI267" i="3"/>
  <c r="S267" i="3"/>
  <c r="BL266" i="3"/>
  <c r="AV266" i="3"/>
  <c r="AF266" i="3"/>
  <c r="P266" i="3"/>
  <c r="BI265" i="3"/>
  <c r="AS265" i="3"/>
  <c r="AC265" i="3"/>
  <c r="M265" i="3"/>
  <c r="BB264" i="3"/>
  <c r="AL264" i="3"/>
  <c r="V264" i="3"/>
  <c r="BK263" i="3"/>
  <c r="AU263" i="3"/>
  <c r="AE263" i="3"/>
  <c r="O263" i="3"/>
  <c r="BH262" i="3"/>
  <c r="AR262" i="3"/>
  <c r="AB262" i="3"/>
  <c r="L262" i="3"/>
  <c r="BE261" i="3"/>
  <c r="AO261" i="3"/>
  <c r="Y261" i="3"/>
  <c r="I261" i="3"/>
  <c r="AX260" i="3"/>
  <c r="AH260" i="3"/>
  <c r="R260" i="3"/>
  <c r="BG259" i="3"/>
  <c r="AQ259" i="3"/>
  <c r="AA259" i="3"/>
  <c r="K259" i="3"/>
  <c r="BD258" i="3"/>
  <c r="AN258" i="3"/>
  <c r="X258" i="3"/>
  <c r="H258" i="3"/>
  <c r="BA257" i="3"/>
  <c r="AK257" i="3"/>
  <c r="U257" i="3"/>
  <c r="BJ256" i="3"/>
  <c r="AT256" i="3"/>
  <c r="AD256" i="3"/>
  <c r="N256" i="3"/>
  <c r="BC255" i="3"/>
  <c r="AM255" i="3"/>
  <c r="W255" i="3"/>
  <c r="G255" i="3"/>
  <c r="AZ254" i="3"/>
  <c r="AJ254" i="3"/>
  <c r="T254" i="3"/>
  <c r="BM253" i="3"/>
  <c r="AW253" i="3"/>
  <c r="AG253" i="3"/>
  <c r="Q253" i="3"/>
  <c r="BF252" i="3"/>
  <c r="AP252" i="3"/>
  <c r="Z252" i="3"/>
  <c r="J252" i="3"/>
  <c r="AY251" i="3"/>
  <c r="AI251" i="3"/>
  <c r="S251" i="3"/>
  <c r="BL250" i="3"/>
  <c r="AV250" i="3"/>
  <c r="AF250" i="3"/>
  <c r="P250" i="3"/>
  <c r="BH248" i="3"/>
  <c r="AR248" i="3"/>
  <c r="AB248" i="3"/>
  <c r="L248" i="3"/>
  <c r="BE247" i="3"/>
  <c r="AO247" i="3"/>
  <c r="Y247" i="3"/>
  <c r="I247" i="3"/>
  <c r="AX246" i="3"/>
  <c r="AH246" i="3"/>
  <c r="R246" i="3"/>
  <c r="BG245" i="3"/>
  <c r="AQ245" i="3"/>
  <c r="AA245" i="3"/>
  <c r="K245" i="3"/>
  <c r="BD244" i="3"/>
  <c r="AN244" i="3"/>
  <c r="X244" i="3"/>
  <c r="H244" i="3"/>
  <c r="BA243" i="3"/>
  <c r="AK243" i="3"/>
  <c r="U243" i="3"/>
  <c r="BJ242" i="3"/>
  <c r="AT242" i="3"/>
  <c r="AD242" i="3"/>
  <c r="N242" i="3"/>
  <c r="BC241" i="3"/>
  <c r="AM241" i="3"/>
  <c r="W241" i="3"/>
  <c r="G241" i="3"/>
  <c r="AZ240" i="3"/>
  <c r="AJ240" i="3"/>
  <c r="T240" i="3"/>
  <c r="BM239" i="3"/>
  <c r="AW239" i="3"/>
  <c r="AG239" i="3"/>
  <c r="Q239" i="3"/>
  <c r="BF238" i="3"/>
  <c r="AP238" i="3"/>
  <c r="Z238" i="3"/>
  <c r="J238" i="3"/>
  <c r="AY237" i="3"/>
  <c r="AI237" i="3"/>
  <c r="S237" i="3"/>
  <c r="BL236" i="3"/>
  <c r="AV236" i="3"/>
  <c r="AF236" i="3"/>
  <c r="P236" i="3"/>
  <c r="BI235" i="3"/>
  <c r="AS235" i="3"/>
  <c r="AC235" i="3"/>
  <c r="M235" i="3"/>
  <c r="BB234" i="3"/>
  <c r="AL234" i="3"/>
  <c r="V234" i="3"/>
  <c r="BK233" i="3"/>
  <c r="AU233" i="3"/>
  <c r="AE233" i="3"/>
  <c r="O233" i="3"/>
  <c r="BH232" i="3"/>
  <c r="AR232" i="3"/>
  <c r="AB232" i="3"/>
  <c r="L232" i="3"/>
  <c r="BE231" i="3"/>
  <c r="AO231" i="3"/>
  <c r="Y231" i="3"/>
  <c r="I231" i="3"/>
  <c r="AX230" i="3"/>
  <c r="AH230" i="3"/>
  <c r="R230" i="3"/>
  <c r="BG229" i="3"/>
  <c r="AQ229" i="3"/>
  <c r="AA229" i="3"/>
  <c r="K229" i="3"/>
  <c r="BD228" i="3"/>
  <c r="AN228" i="3"/>
  <c r="X228" i="3"/>
  <c r="H228" i="3"/>
  <c r="BA227" i="3"/>
  <c r="AK227" i="3"/>
  <c r="U227" i="3"/>
  <c r="BJ226" i="3"/>
  <c r="AT226" i="3"/>
  <c r="AD226" i="3"/>
  <c r="N226" i="3"/>
  <c r="BC225" i="3"/>
  <c r="AM225" i="3"/>
  <c r="W225" i="3"/>
  <c r="G225" i="3"/>
  <c r="AZ224" i="3"/>
  <c r="AJ224" i="3"/>
  <c r="T224" i="3"/>
  <c r="BM223" i="3"/>
  <c r="AW223" i="3"/>
  <c r="AG223" i="3"/>
  <c r="Q223" i="3"/>
  <c r="BF222" i="3"/>
  <c r="AP222" i="3"/>
  <c r="Z222" i="3"/>
  <c r="J222" i="3"/>
  <c r="AY221" i="3"/>
  <c r="AI221" i="3"/>
  <c r="S221" i="3"/>
  <c r="BL220" i="3"/>
  <c r="AV220" i="3"/>
  <c r="AF220" i="3"/>
  <c r="P220" i="3"/>
  <c r="BI219" i="3"/>
  <c r="AS219" i="3"/>
  <c r="AC219" i="3"/>
  <c r="M219" i="3"/>
  <c r="BB218" i="3"/>
  <c r="AL218" i="3"/>
  <c r="V218" i="3"/>
  <c r="BK217" i="3"/>
  <c r="AU217" i="3"/>
  <c r="AE217" i="3"/>
  <c r="O217" i="3"/>
  <c r="BH216" i="3"/>
  <c r="AR216" i="3"/>
  <c r="AB216" i="3"/>
  <c r="L216" i="3"/>
  <c r="BE215" i="3"/>
  <c r="AO215" i="3"/>
  <c r="Y215" i="3"/>
  <c r="I215" i="3"/>
  <c r="AX214" i="3"/>
  <c r="AH214" i="3"/>
  <c r="R214" i="3"/>
  <c r="BG213" i="3"/>
  <c r="AQ213" i="3"/>
  <c r="AA213" i="3"/>
  <c r="K213" i="3"/>
  <c r="BD212" i="3"/>
  <c r="AN212" i="3"/>
  <c r="X212" i="3"/>
  <c r="H212" i="3"/>
  <c r="BA211" i="3"/>
  <c r="AK211" i="3"/>
  <c r="U211" i="3"/>
  <c r="BJ210" i="3"/>
  <c r="AT210" i="3"/>
  <c r="AD210" i="3"/>
  <c r="N210" i="3"/>
  <c r="BC209" i="3"/>
  <c r="AM209" i="3"/>
  <c r="W209" i="3"/>
  <c r="G209" i="3"/>
  <c r="AY207" i="3"/>
  <c r="AI207" i="3"/>
  <c r="S207" i="3"/>
  <c r="BL206" i="3"/>
  <c r="AV206" i="3"/>
  <c r="AF206" i="3"/>
  <c r="P206" i="3"/>
  <c r="BI205" i="3"/>
  <c r="AS205" i="3"/>
  <c r="AC205" i="3"/>
  <c r="M205" i="3"/>
  <c r="BB204" i="3"/>
  <c r="AL204" i="3"/>
  <c r="V204" i="3"/>
  <c r="BK203" i="3"/>
  <c r="AU203" i="3"/>
  <c r="AE203" i="3"/>
  <c r="O203" i="3"/>
  <c r="BH202" i="3"/>
  <c r="AR202" i="3"/>
  <c r="AB202" i="3"/>
  <c r="L202" i="3"/>
  <c r="BE201" i="3"/>
  <c r="AO201" i="3"/>
  <c r="Y201" i="3"/>
  <c r="I201" i="3"/>
  <c r="AX200" i="3"/>
  <c r="AH200" i="3"/>
  <c r="R200" i="3"/>
  <c r="AO292" i="3"/>
  <c r="AL291" i="3"/>
  <c r="BD289" i="3"/>
  <c r="AN289" i="3"/>
  <c r="X289" i="3"/>
  <c r="H289" i="3"/>
  <c r="BA288" i="3"/>
  <c r="AK288" i="3"/>
  <c r="U288" i="3"/>
  <c r="BJ287" i="3"/>
  <c r="AT287" i="3"/>
  <c r="AD287" i="3"/>
  <c r="N287" i="3"/>
  <c r="BC286" i="3"/>
  <c r="AM286" i="3"/>
  <c r="W286" i="3"/>
  <c r="G286" i="3"/>
  <c r="AZ285" i="3"/>
  <c r="AJ285" i="3"/>
  <c r="T285" i="3"/>
  <c r="BM284" i="3"/>
  <c r="AW284" i="3"/>
  <c r="AG284" i="3"/>
  <c r="Q284" i="3"/>
  <c r="BF283" i="3"/>
  <c r="AP283" i="3"/>
  <c r="Z283" i="3"/>
  <c r="J283" i="3"/>
  <c r="AY282" i="3"/>
  <c r="AI282" i="3"/>
  <c r="S282" i="3"/>
  <c r="BL281" i="3"/>
  <c r="AV281" i="3"/>
  <c r="AF281" i="3"/>
  <c r="P281" i="3"/>
  <c r="BI280" i="3"/>
  <c r="AS280" i="3"/>
  <c r="AC280" i="3"/>
  <c r="M280" i="3"/>
  <c r="BB279" i="3"/>
  <c r="AL279" i="3"/>
  <c r="V279" i="3"/>
  <c r="BK278" i="3"/>
  <c r="AU278" i="3"/>
  <c r="AE278" i="3"/>
  <c r="O278" i="3"/>
  <c r="BH277" i="3"/>
  <c r="AR277" i="3"/>
  <c r="AB277" i="3"/>
  <c r="L277" i="3"/>
  <c r="BE276" i="3"/>
  <c r="AO276" i="3"/>
  <c r="Y276" i="3"/>
  <c r="I276" i="3"/>
  <c r="AX275" i="3"/>
  <c r="AH275" i="3"/>
  <c r="R275" i="3"/>
  <c r="BG274" i="3"/>
  <c r="AQ274" i="3"/>
  <c r="AA274" i="3"/>
  <c r="K274" i="3"/>
  <c r="BD273" i="3"/>
  <c r="AN273" i="3"/>
  <c r="X273" i="3"/>
  <c r="H273" i="3"/>
  <c r="BA272" i="3"/>
  <c r="AK272" i="3"/>
  <c r="U272" i="3"/>
  <c r="BJ271" i="3"/>
  <c r="AT271" i="3"/>
  <c r="AD271" i="3"/>
  <c r="N271" i="3"/>
  <c r="BC270" i="3"/>
  <c r="AM270" i="3"/>
  <c r="W270" i="3"/>
  <c r="G270" i="3"/>
  <c r="AZ269" i="3"/>
  <c r="AJ269" i="3"/>
  <c r="T269" i="3"/>
  <c r="BM268" i="3"/>
  <c r="AW268" i="3"/>
  <c r="AG268" i="3"/>
  <c r="Q268" i="3"/>
  <c r="BF267" i="3"/>
  <c r="AP267" i="3"/>
  <c r="Z267" i="3"/>
  <c r="J267" i="3"/>
  <c r="AY266" i="3"/>
  <c r="AI266" i="3"/>
  <c r="S266" i="3"/>
  <c r="BL265" i="3"/>
  <c r="AV265" i="3"/>
  <c r="AF265" i="3"/>
  <c r="P265" i="3"/>
  <c r="BI264" i="3"/>
  <c r="AS264" i="3"/>
  <c r="AC264" i="3"/>
  <c r="M264" i="3"/>
  <c r="BB263" i="3"/>
  <c r="AL263" i="3"/>
  <c r="V263" i="3"/>
  <c r="BK262" i="3"/>
  <c r="AU262" i="3"/>
  <c r="AE262" i="3"/>
  <c r="O262" i="3"/>
  <c r="BH261" i="3"/>
  <c r="AR261" i="3"/>
  <c r="AB261" i="3"/>
  <c r="L261" i="3"/>
  <c r="BE260" i="3"/>
  <c r="AO260" i="3"/>
  <c r="Y260" i="3"/>
  <c r="I260" i="3"/>
  <c r="AX259" i="3"/>
  <c r="AH259" i="3"/>
  <c r="R259" i="3"/>
  <c r="BG258" i="3"/>
  <c r="AQ258" i="3"/>
  <c r="AA258" i="3"/>
  <c r="K258" i="3"/>
  <c r="BD257" i="3"/>
  <c r="AN257" i="3"/>
  <c r="X257" i="3"/>
  <c r="H257" i="3"/>
  <c r="BA256" i="3"/>
  <c r="AK256" i="3"/>
  <c r="U256" i="3"/>
  <c r="BJ255" i="3"/>
  <c r="AT255" i="3"/>
  <c r="AD255" i="3"/>
  <c r="N255" i="3"/>
  <c r="BC254" i="3"/>
  <c r="AM254" i="3"/>
  <c r="W254" i="3"/>
  <c r="G254" i="3"/>
  <c r="AZ253" i="3"/>
  <c r="AJ253" i="3"/>
  <c r="T253" i="3"/>
  <c r="BM252" i="3"/>
  <c r="AW252" i="3"/>
  <c r="AG252" i="3"/>
  <c r="Q252" i="3"/>
  <c r="BF251" i="3"/>
  <c r="AP251" i="3"/>
  <c r="Z251" i="3"/>
  <c r="J251" i="3"/>
  <c r="AY250" i="3"/>
  <c r="AI250" i="3"/>
  <c r="S250" i="3"/>
  <c r="BK248" i="3"/>
  <c r="AU248" i="3"/>
  <c r="AE248" i="3"/>
  <c r="O248" i="3"/>
  <c r="BH247" i="3"/>
  <c r="AR247" i="3"/>
  <c r="AB247" i="3"/>
  <c r="L247" i="3"/>
  <c r="BE246" i="3"/>
  <c r="AO246" i="3"/>
  <c r="Y246" i="3"/>
  <c r="I246" i="3"/>
  <c r="AX245" i="3"/>
  <c r="AH245" i="3"/>
  <c r="R245" i="3"/>
  <c r="BG244" i="3"/>
  <c r="AQ244" i="3"/>
  <c r="AA244" i="3"/>
  <c r="K244" i="3"/>
  <c r="BD243" i="3"/>
  <c r="AN243" i="3"/>
  <c r="X243" i="3"/>
  <c r="H243" i="3"/>
  <c r="BA242" i="3"/>
  <c r="AK242" i="3"/>
  <c r="U242" i="3"/>
  <c r="BJ241" i="3"/>
  <c r="AT241" i="3"/>
  <c r="AD241" i="3"/>
  <c r="N241" i="3"/>
  <c r="BC240" i="3"/>
  <c r="AM240" i="3"/>
  <c r="W240" i="3"/>
  <c r="G240" i="3"/>
  <c r="AZ239" i="3"/>
  <c r="AJ239" i="3"/>
  <c r="T239" i="3"/>
  <c r="BM238" i="3"/>
  <c r="AW238" i="3"/>
  <c r="AG238" i="3"/>
  <c r="Q238" i="3"/>
  <c r="BF237" i="3"/>
  <c r="AP237" i="3"/>
  <c r="Z237" i="3"/>
  <c r="J237" i="3"/>
  <c r="AY236" i="3"/>
  <c r="AI236" i="3"/>
  <c r="S236" i="3"/>
  <c r="BL235" i="3"/>
  <c r="AV235" i="3"/>
  <c r="AF235" i="3"/>
  <c r="P235" i="3"/>
  <c r="BI234" i="3"/>
  <c r="AS234" i="3"/>
  <c r="AC234" i="3"/>
  <c r="M234" i="3"/>
  <c r="BB233" i="3"/>
  <c r="AL233" i="3"/>
  <c r="V233" i="3"/>
  <c r="BK232" i="3"/>
  <c r="AU232" i="3"/>
  <c r="AE232" i="3"/>
  <c r="O232" i="3"/>
  <c r="BH231" i="3"/>
  <c r="AR231" i="3"/>
  <c r="AB231" i="3"/>
  <c r="L231" i="3"/>
  <c r="BE230" i="3"/>
  <c r="AO230" i="3"/>
  <c r="Y230" i="3"/>
  <c r="I230" i="3"/>
  <c r="AX229" i="3"/>
  <c r="AH229" i="3"/>
  <c r="R229" i="3"/>
  <c r="BG228" i="3"/>
  <c r="AQ228" i="3"/>
  <c r="AA228" i="3"/>
  <c r="K228" i="3"/>
  <c r="BD227" i="3"/>
  <c r="AN227" i="3"/>
  <c r="X227" i="3"/>
  <c r="H227" i="3"/>
  <c r="BA226" i="3"/>
  <c r="AK226" i="3"/>
  <c r="U226" i="3"/>
  <c r="BJ225" i="3"/>
  <c r="AT225" i="3"/>
  <c r="AD225" i="3"/>
  <c r="N225" i="3"/>
  <c r="BC224" i="3"/>
  <c r="AM224" i="3"/>
  <c r="W224" i="3"/>
  <c r="G224" i="3"/>
  <c r="AZ223" i="3"/>
  <c r="AJ223" i="3"/>
  <c r="T223" i="3"/>
  <c r="BM222" i="3"/>
  <c r="AW222" i="3"/>
  <c r="AG222" i="3"/>
  <c r="Q222" i="3"/>
  <c r="BF221" i="3"/>
  <c r="AP221" i="3"/>
  <c r="Z221" i="3"/>
  <c r="J221" i="3"/>
  <c r="AY220" i="3"/>
  <c r="AI220" i="3"/>
  <c r="S220" i="3"/>
  <c r="BL219" i="3"/>
  <c r="AV219" i="3"/>
  <c r="AF219" i="3"/>
  <c r="P219" i="3"/>
  <c r="BI218" i="3"/>
  <c r="AS218" i="3"/>
  <c r="AC218" i="3"/>
  <c r="M218" i="3"/>
  <c r="BB217" i="3"/>
  <c r="AL217" i="3"/>
  <c r="V217" i="3"/>
  <c r="BK216" i="3"/>
  <c r="AU216" i="3"/>
  <c r="AE216" i="3"/>
  <c r="O216" i="3"/>
  <c r="BH215" i="3"/>
  <c r="AR215" i="3"/>
  <c r="AB215" i="3"/>
  <c r="L215" i="3"/>
  <c r="BE214" i="3"/>
  <c r="AO214" i="3"/>
  <c r="Y214" i="3"/>
  <c r="I214" i="3"/>
  <c r="AX213" i="3"/>
  <c r="AH213" i="3"/>
  <c r="R213" i="3"/>
  <c r="BG212" i="3"/>
  <c r="AQ212" i="3"/>
  <c r="AA212" i="3"/>
  <c r="K212" i="3"/>
  <c r="BD211" i="3"/>
  <c r="AN211" i="3"/>
  <c r="X211" i="3"/>
  <c r="H211" i="3"/>
  <c r="BA210" i="3"/>
  <c r="AK210" i="3"/>
  <c r="U210" i="3"/>
  <c r="BJ209" i="3"/>
  <c r="AT209" i="3"/>
  <c r="AD209" i="3"/>
  <c r="N209" i="3"/>
  <c r="BB207" i="3"/>
  <c r="AL207" i="3"/>
  <c r="V207" i="3"/>
  <c r="AJ293" i="3"/>
  <c r="U292" i="3"/>
  <c r="BK289" i="3"/>
  <c r="AU289" i="3"/>
  <c r="AE289" i="3"/>
  <c r="O289" i="3"/>
  <c r="BH288" i="3"/>
  <c r="AR288" i="3"/>
  <c r="AB288" i="3"/>
  <c r="L288" i="3"/>
  <c r="BE287" i="3"/>
  <c r="AO287" i="3"/>
  <c r="Y287" i="3"/>
  <c r="I287" i="3"/>
  <c r="AX286" i="3"/>
  <c r="AH286" i="3"/>
  <c r="R286" i="3"/>
  <c r="BG285" i="3"/>
  <c r="AQ285" i="3"/>
  <c r="AA285" i="3"/>
  <c r="K285" i="3"/>
  <c r="BD284" i="3"/>
  <c r="AN284" i="3"/>
  <c r="X284" i="3"/>
  <c r="H284" i="3"/>
  <c r="BA283" i="3"/>
  <c r="AK283" i="3"/>
  <c r="U283" i="3"/>
  <c r="BJ282" i="3"/>
  <c r="AT282" i="3"/>
  <c r="AD282" i="3"/>
  <c r="N282" i="3"/>
  <c r="BC281" i="3"/>
  <c r="AM281" i="3"/>
  <c r="W281" i="3"/>
  <c r="G281" i="3"/>
  <c r="AZ280" i="3"/>
  <c r="AJ280" i="3"/>
  <c r="T280" i="3"/>
  <c r="BM279" i="3"/>
  <c r="AW279" i="3"/>
  <c r="AG279" i="3"/>
  <c r="Q279" i="3"/>
  <c r="BF278" i="3"/>
  <c r="AP278" i="3"/>
  <c r="Z278" i="3"/>
  <c r="J278" i="3"/>
  <c r="AY277" i="3"/>
  <c r="AI277" i="3"/>
  <c r="S277" i="3"/>
  <c r="BL276" i="3"/>
  <c r="AV276" i="3"/>
  <c r="AF276" i="3"/>
  <c r="P276" i="3"/>
  <c r="BI275" i="3"/>
  <c r="AS275" i="3"/>
  <c r="AC275" i="3"/>
  <c r="M275" i="3"/>
  <c r="BB274" i="3"/>
  <c r="AL274" i="3"/>
  <c r="V274" i="3"/>
  <c r="BK273" i="3"/>
  <c r="AU273" i="3"/>
  <c r="AE273" i="3"/>
  <c r="O273" i="3"/>
  <c r="BH272" i="3"/>
  <c r="AR272" i="3"/>
  <c r="AB272" i="3"/>
  <c r="L272" i="3"/>
  <c r="BE271" i="3"/>
  <c r="AO271" i="3"/>
  <c r="Y271" i="3"/>
  <c r="I271" i="3"/>
  <c r="AX270" i="3"/>
  <c r="AH270" i="3"/>
  <c r="R270" i="3"/>
  <c r="BG269" i="3"/>
  <c r="AQ269" i="3"/>
  <c r="AA269" i="3"/>
  <c r="K269" i="3"/>
  <c r="BD268" i="3"/>
  <c r="AN268" i="3"/>
  <c r="X268" i="3"/>
  <c r="H268" i="3"/>
  <c r="BA267" i="3"/>
  <c r="AK267" i="3"/>
  <c r="U267" i="3"/>
  <c r="BJ266" i="3"/>
  <c r="AT266" i="3"/>
  <c r="AD266" i="3"/>
  <c r="N266" i="3"/>
  <c r="BC265" i="3"/>
  <c r="AM265" i="3"/>
  <c r="W265" i="3"/>
  <c r="G265" i="3"/>
  <c r="AZ264" i="3"/>
  <c r="AJ264" i="3"/>
  <c r="T264" i="3"/>
  <c r="BM263" i="3"/>
  <c r="AW263" i="3"/>
  <c r="AG263" i="3"/>
  <c r="Q263" i="3"/>
  <c r="BF262" i="3"/>
  <c r="AP262" i="3"/>
  <c r="Z262" i="3"/>
  <c r="J262" i="3"/>
  <c r="AY261" i="3"/>
  <c r="AI261" i="3"/>
  <c r="S261" i="3"/>
  <c r="BL260" i="3"/>
  <c r="AV260" i="3"/>
  <c r="AF260" i="3"/>
  <c r="P260" i="3"/>
  <c r="BI259" i="3"/>
  <c r="AS259" i="3"/>
  <c r="AC259" i="3"/>
  <c r="M259" i="3"/>
  <c r="BB258" i="3"/>
  <c r="AL258" i="3"/>
  <c r="V258" i="3"/>
  <c r="BK257" i="3"/>
  <c r="AU257" i="3"/>
  <c r="AE257" i="3"/>
  <c r="O257" i="3"/>
  <c r="BH256" i="3"/>
  <c r="AR256" i="3"/>
  <c r="AB256" i="3"/>
  <c r="L256" i="3"/>
  <c r="BE255" i="3"/>
  <c r="AO255" i="3"/>
  <c r="Y255" i="3"/>
  <c r="I255" i="3"/>
  <c r="AX254" i="3"/>
  <c r="AH254" i="3"/>
  <c r="R254" i="3"/>
  <c r="BG253" i="3"/>
  <c r="AQ253" i="3"/>
  <c r="AA253" i="3"/>
  <c r="K253" i="3"/>
  <c r="BD252" i="3"/>
  <c r="AN252" i="3"/>
  <c r="X252" i="3"/>
  <c r="H252" i="3"/>
  <c r="BA251" i="3"/>
  <c r="AK251" i="3"/>
  <c r="U251" i="3"/>
  <c r="BJ250" i="3"/>
  <c r="AT250" i="3"/>
  <c r="AD250" i="3"/>
  <c r="N250" i="3"/>
  <c r="BB248" i="3"/>
  <c r="AL248" i="3"/>
  <c r="V248" i="3"/>
  <c r="BK247" i="3"/>
  <c r="AU247" i="3"/>
  <c r="AE247" i="3"/>
  <c r="O247" i="3"/>
  <c r="BH246" i="3"/>
  <c r="AR246" i="3"/>
  <c r="AB246" i="3"/>
  <c r="L246" i="3"/>
  <c r="BE245" i="3"/>
  <c r="AO245" i="3"/>
  <c r="Y245" i="3"/>
  <c r="I245" i="3"/>
  <c r="AX244" i="3"/>
  <c r="AH244" i="3"/>
  <c r="R244" i="3"/>
  <c r="BG243" i="3"/>
  <c r="AQ243" i="3"/>
  <c r="AA243" i="3"/>
  <c r="K243" i="3"/>
  <c r="BD242" i="3"/>
  <c r="AN242" i="3"/>
  <c r="X242" i="3"/>
  <c r="H242" i="3"/>
  <c r="BA241" i="3"/>
  <c r="AK241" i="3"/>
  <c r="U241" i="3"/>
  <c r="BJ240" i="3"/>
  <c r="AT240" i="3"/>
  <c r="AD240" i="3"/>
  <c r="N240" i="3"/>
  <c r="BC239" i="3"/>
  <c r="AM239" i="3"/>
  <c r="W239" i="3"/>
  <c r="G239" i="3"/>
  <c r="AZ238" i="3"/>
  <c r="AJ238" i="3"/>
  <c r="T238" i="3"/>
  <c r="BM237" i="3"/>
  <c r="AW237" i="3"/>
  <c r="AG237" i="3"/>
  <c r="Q237" i="3"/>
  <c r="BF236" i="3"/>
  <c r="AP236" i="3"/>
  <c r="Z236" i="3"/>
  <c r="J236" i="3"/>
  <c r="AY235" i="3"/>
  <c r="AI235" i="3"/>
  <c r="S235" i="3"/>
  <c r="BL234" i="3"/>
  <c r="AV234" i="3"/>
  <c r="AF234" i="3"/>
  <c r="P234" i="3"/>
  <c r="BI233" i="3"/>
  <c r="AS233" i="3"/>
  <c r="AC233" i="3"/>
  <c r="M233" i="3"/>
  <c r="BB232" i="3"/>
  <c r="AL232" i="3"/>
  <c r="V232" i="3"/>
  <c r="BK231" i="3"/>
  <c r="AU231" i="3"/>
  <c r="AE231" i="3"/>
  <c r="O231" i="3"/>
  <c r="BH230" i="3"/>
  <c r="AR230" i="3"/>
  <c r="AB230" i="3"/>
  <c r="L230" i="3"/>
  <c r="BE229" i="3"/>
  <c r="AO229" i="3"/>
  <c r="Y229" i="3"/>
  <c r="I229" i="3"/>
  <c r="AX228" i="3"/>
  <c r="AH228" i="3"/>
  <c r="R228" i="3"/>
  <c r="BG227" i="3"/>
  <c r="AQ227" i="3"/>
  <c r="AA227" i="3"/>
  <c r="K227" i="3"/>
  <c r="BD226" i="3"/>
  <c r="AN226" i="3"/>
  <c r="X226" i="3"/>
  <c r="H226" i="3"/>
  <c r="BA225" i="3"/>
  <c r="AK225" i="3"/>
  <c r="U225" i="3"/>
  <c r="BJ224" i="3"/>
  <c r="AT224" i="3"/>
  <c r="AD224" i="3"/>
  <c r="N224" i="3"/>
  <c r="BC223" i="3"/>
  <c r="AM223" i="3"/>
  <c r="W223" i="3"/>
  <c r="G223" i="3"/>
  <c r="AZ222" i="3"/>
  <c r="AJ222" i="3"/>
  <c r="T222" i="3"/>
  <c r="BM221" i="3"/>
  <c r="AW221" i="3"/>
  <c r="AG221" i="3"/>
  <c r="Q221" i="3"/>
  <c r="BF220" i="3"/>
  <c r="AP220" i="3"/>
  <c r="Z220" i="3"/>
  <c r="J220" i="3"/>
  <c r="AY219" i="3"/>
  <c r="AI219" i="3"/>
  <c r="S219" i="3"/>
  <c r="BL218" i="3"/>
  <c r="AV218" i="3"/>
  <c r="AF218" i="3"/>
  <c r="P218" i="3"/>
  <c r="BI217" i="3"/>
  <c r="AS217" i="3"/>
  <c r="AC217" i="3"/>
  <c r="M217" i="3"/>
  <c r="BB216" i="3"/>
  <c r="AL216" i="3"/>
  <c r="V216" i="3"/>
  <c r="BK215" i="3"/>
  <c r="AU215" i="3"/>
  <c r="AE215" i="3"/>
  <c r="O215" i="3"/>
  <c r="BH214" i="3"/>
  <c r="AR214" i="3"/>
  <c r="AB214" i="3"/>
  <c r="L214" i="3"/>
  <c r="BE213" i="3"/>
  <c r="AO213" i="3"/>
  <c r="Y213" i="3"/>
  <c r="I213" i="3"/>
  <c r="AX212" i="3"/>
  <c r="AH212" i="3"/>
  <c r="R212" i="3"/>
  <c r="BG211" i="3"/>
  <c r="AQ211" i="3"/>
  <c r="AA211" i="3"/>
  <c r="K211" i="3"/>
  <c r="BD210" i="3"/>
  <c r="AN210" i="3"/>
  <c r="X210" i="3"/>
  <c r="H210" i="3"/>
  <c r="BA209" i="3"/>
  <c r="AK209" i="3"/>
  <c r="U209" i="3"/>
  <c r="BM207" i="3"/>
  <c r="AW207" i="3"/>
  <c r="AG207" i="3"/>
  <c r="Q207" i="3"/>
  <c r="P293" i="3"/>
  <c r="Q292" i="3"/>
  <c r="N291" i="3"/>
  <c r="AX289" i="3"/>
  <c r="AH289" i="3"/>
  <c r="R289" i="3"/>
  <c r="BG288" i="3"/>
  <c r="AQ288" i="3"/>
  <c r="AA288" i="3"/>
  <c r="K288" i="3"/>
  <c r="BD287" i="3"/>
  <c r="AN287" i="3"/>
  <c r="X287" i="3"/>
  <c r="H287" i="3"/>
  <c r="BA286" i="3"/>
  <c r="AK286" i="3"/>
  <c r="U286" i="3"/>
  <c r="BJ285" i="3"/>
  <c r="AT285" i="3"/>
  <c r="AD285" i="3"/>
  <c r="N285" i="3"/>
  <c r="BC284" i="3"/>
  <c r="AM284" i="3"/>
  <c r="W284" i="3"/>
  <c r="G284" i="3"/>
  <c r="AZ283" i="3"/>
  <c r="AJ283" i="3"/>
  <c r="T283" i="3"/>
  <c r="BM282" i="3"/>
  <c r="AW282" i="3"/>
  <c r="AG282" i="3"/>
  <c r="Q282" i="3"/>
  <c r="BF281" i="3"/>
  <c r="AP281" i="3"/>
  <c r="Z281" i="3"/>
  <c r="J281" i="3"/>
  <c r="AY280" i="3"/>
  <c r="AI280" i="3"/>
  <c r="S280" i="3"/>
  <c r="BL279" i="3"/>
  <c r="AV279" i="3"/>
  <c r="AF279" i="3"/>
  <c r="P279" i="3"/>
  <c r="BI278" i="3"/>
  <c r="AS278" i="3"/>
  <c r="AC278" i="3"/>
  <c r="M278" i="3"/>
  <c r="BB277" i="3"/>
  <c r="AL277" i="3"/>
  <c r="V277" i="3"/>
  <c r="BK276" i="3"/>
  <c r="AU276" i="3"/>
  <c r="AE276" i="3"/>
  <c r="O276" i="3"/>
  <c r="BH275" i="3"/>
  <c r="AR275" i="3"/>
  <c r="AB275" i="3"/>
  <c r="L275" i="3"/>
  <c r="BE274" i="3"/>
  <c r="AO274" i="3"/>
  <c r="Y274" i="3"/>
  <c r="I274" i="3"/>
  <c r="AX273" i="3"/>
  <c r="AH273" i="3"/>
  <c r="R273" i="3"/>
  <c r="BG272" i="3"/>
  <c r="AQ272" i="3"/>
  <c r="AA272" i="3"/>
  <c r="K272" i="3"/>
  <c r="BD271" i="3"/>
  <c r="AN271" i="3"/>
  <c r="X271" i="3"/>
  <c r="H271" i="3"/>
  <c r="BA270" i="3"/>
  <c r="AK270" i="3"/>
  <c r="U270" i="3"/>
  <c r="BJ269" i="3"/>
  <c r="AT269" i="3"/>
  <c r="AD269" i="3"/>
  <c r="N269" i="3"/>
  <c r="BC268" i="3"/>
  <c r="AM268" i="3"/>
  <c r="W268" i="3"/>
  <c r="G268" i="3"/>
  <c r="AZ267" i="3"/>
  <c r="AJ267" i="3"/>
  <c r="T267" i="3"/>
  <c r="BM266" i="3"/>
  <c r="AW266" i="3"/>
  <c r="AG266" i="3"/>
  <c r="Q266" i="3"/>
  <c r="BF265" i="3"/>
  <c r="AP265" i="3"/>
  <c r="Z265" i="3"/>
  <c r="J265" i="3"/>
  <c r="AY264" i="3"/>
  <c r="AI264" i="3"/>
  <c r="S264" i="3"/>
  <c r="BL263" i="3"/>
  <c r="AV263" i="3"/>
  <c r="AF263" i="3"/>
  <c r="P263" i="3"/>
  <c r="BI262" i="3"/>
  <c r="AS262" i="3"/>
  <c r="AC262" i="3"/>
  <c r="M262" i="3"/>
  <c r="BB261" i="3"/>
  <c r="AL261" i="3"/>
  <c r="V261" i="3"/>
  <c r="BK260" i="3"/>
  <c r="AU260" i="3"/>
  <c r="AE260" i="3"/>
  <c r="O260" i="3"/>
  <c r="BH259" i="3"/>
  <c r="AR259" i="3"/>
  <c r="AB259" i="3"/>
  <c r="L259" i="3"/>
  <c r="BE258" i="3"/>
  <c r="AO258" i="3"/>
  <c r="Y258" i="3"/>
  <c r="I258" i="3"/>
  <c r="AX257" i="3"/>
  <c r="AH257" i="3"/>
  <c r="R257" i="3"/>
  <c r="BG256" i="3"/>
  <c r="AQ256" i="3"/>
  <c r="AA256" i="3"/>
  <c r="K256" i="3"/>
  <c r="BD255" i="3"/>
  <c r="AN255" i="3"/>
  <c r="X255" i="3"/>
  <c r="H255" i="3"/>
  <c r="BA254" i="3"/>
  <c r="AK254" i="3"/>
  <c r="U254" i="3"/>
  <c r="BJ253" i="3"/>
  <c r="AT253" i="3"/>
  <c r="AD253" i="3"/>
  <c r="N253" i="3"/>
  <c r="BC252" i="3"/>
  <c r="AM252" i="3"/>
  <c r="W252" i="3"/>
  <c r="G252" i="3"/>
  <c r="AZ251" i="3"/>
  <c r="AJ251" i="3"/>
  <c r="T251" i="3"/>
  <c r="BM250" i="3"/>
  <c r="AW250" i="3"/>
  <c r="AG250" i="3"/>
  <c r="Q250" i="3"/>
  <c r="BI248" i="3"/>
  <c r="AS248" i="3"/>
  <c r="AC248" i="3"/>
  <c r="M248" i="3"/>
  <c r="BB247" i="3"/>
  <c r="AL247" i="3"/>
  <c r="V247" i="3"/>
  <c r="BK246" i="3"/>
  <c r="AU246" i="3"/>
  <c r="AE246" i="3"/>
  <c r="O246" i="3"/>
  <c r="BH245" i="3"/>
  <c r="AR245" i="3"/>
  <c r="AB245" i="3"/>
  <c r="L245" i="3"/>
  <c r="BE244" i="3"/>
  <c r="AO244" i="3"/>
  <c r="Y244" i="3"/>
  <c r="I244" i="3"/>
  <c r="AX243" i="3"/>
  <c r="AH243" i="3"/>
  <c r="R243" i="3"/>
  <c r="BG242" i="3"/>
  <c r="AQ242" i="3"/>
  <c r="AA242" i="3"/>
  <c r="K242" i="3"/>
  <c r="BD241" i="3"/>
  <c r="AN241" i="3"/>
  <c r="X241" i="3"/>
  <c r="H241" i="3"/>
  <c r="BA240" i="3"/>
  <c r="AK240" i="3"/>
  <c r="U240" i="3"/>
  <c r="BJ239" i="3"/>
  <c r="AT239" i="3"/>
  <c r="AD239" i="3"/>
  <c r="N239" i="3"/>
  <c r="BC238" i="3"/>
  <c r="AM238" i="3"/>
  <c r="W238" i="3"/>
  <c r="G238" i="3"/>
  <c r="AZ237" i="3"/>
  <c r="AJ237" i="3"/>
  <c r="T237" i="3"/>
  <c r="BM236" i="3"/>
  <c r="AW236" i="3"/>
  <c r="AG236" i="3"/>
  <c r="Q236" i="3"/>
  <c r="BF235" i="3"/>
  <c r="AP235" i="3"/>
  <c r="Z235" i="3"/>
  <c r="J235" i="3"/>
  <c r="AY234" i="3"/>
  <c r="AI234" i="3"/>
  <c r="S234" i="3"/>
  <c r="BL233" i="3"/>
  <c r="AV233" i="3"/>
  <c r="AF233" i="3"/>
  <c r="P233" i="3"/>
  <c r="BI232" i="3"/>
  <c r="AS232" i="3"/>
  <c r="AC232" i="3"/>
  <c r="M232" i="3"/>
  <c r="BB231" i="3"/>
  <c r="AL231" i="3"/>
  <c r="V231" i="3"/>
  <c r="BK230" i="3"/>
  <c r="AU230" i="3"/>
  <c r="AE230" i="3"/>
  <c r="O230" i="3"/>
  <c r="BH229" i="3"/>
  <c r="AR229" i="3"/>
  <c r="AB229" i="3"/>
  <c r="L229" i="3"/>
  <c r="BE228" i="3"/>
  <c r="AO228" i="3"/>
  <c r="Y228" i="3"/>
  <c r="I228" i="3"/>
  <c r="AX227" i="3"/>
  <c r="AH227" i="3"/>
  <c r="R227" i="3"/>
  <c r="BG226" i="3"/>
  <c r="AQ226" i="3"/>
  <c r="AA226" i="3"/>
  <c r="K226" i="3"/>
  <c r="BD225" i="3"/>
  <c r="AN225" i="3"/>
  <c r="X225" i="3"/>
  <c r="H225" i="3"/>
  <c r="BA224" i="3"/>
  <c r="AK224" i="3"/>
  <c r="U224" i="3"/>
  <c r="BJ223" i="3"/>
  <c r="AT223" i="3"/>
  <c r="AD223" i="3"/>
  <c r="N223" i="3"/>
  <c r="BC222" i="3"/>
  <c r="AM222" i="3"/>
  <c r="W222" i="3"/>
  <c r="G222" i="3"/>
  <c r="AZ221" i="3"/>
  <c r="AJ221" i="3"/>
  <c r="T221" i="3"/>
  <c r="BM220" i="3"/>
  <c r="AW220" i="3"/>
  <c r="AG220" i="3"/>
  <c r="Q220" i="3"/>
  <c r="BF219" i="3"/>
  <c r="AP219" i="3"/>
  <c r="Z219" i="3"/>
  <c r="J219" i="3"/>
  <c r="AY218" i="3"/>
  <c r="AI218" i="3"/>
  <c r="S218" i="3"/>
  <c r="BL217" i="3"/>
  <c r="AV217" i="3"/>
  <c r="AF217" i="3"/>
  <c r="P217" i="3"/>
  <c r="BI216" i="3"/>
  <c r="AS216" i="3"/>
  <c r="AC216" i="3"/>
  <c r="M216" i="3"/>
  <c r="BB215" i="3"/>
  <c r="AL215" i="3"/>
  <c r="V215" i="3"/>
  <c r="BK214" i="3"/>
  <c r="AU214" i="3"/>
  <c r="AE214" i="3"/>
  <c r="O214" i="3"/>
  <c r="BH213" i="3"/>
  <c r="AR213" i="3"/>
  <c r="AB213" i="3"/>
  <c r="L213" i="3"/>
  <c r="BE212" i="3"/>
  <c r="AO212" i="3"/>
  <c r="Y212" i="3"/>
  <c r="I212" i="3"/>
  <c r="AX211" i="3"/>
  <c r="AH211" i="3"/>
  <c r="R211" i="3"/>
  <c r="BG210" i="3"/>
  <c r="AQ210" i="3"/>
  <c r="AA210" i="3"/>
  <c r="K210" i="3"/>
  <c r="BD209" i="3"/>
  <c r="AN209" i="3"/>
  <c r="X209" i="3"/>
  <c r="H209" i="3"/>
  <c r="AZ207" i="3"/>
  <c r="AJ207" i="3"/>
  <c r="T207" i="3"/>
  <c r="BK206" i="3"/>
  <c r="AP206" i="3"/>
  <c r="U206" i="3"/>
  <c r="BC205" i="3"/>
  <c r="AH205" i="3"/>
  <c r="L205" i="3"/>
  <c r="BA204" i="3"/>
  <c r="AF204" i="3"/>
  <c r="K204" i="3"/>
  <c r="AS203" i="3"/>
  <c r="X203" i="3"/>
  <c r="BK202" i="3"/>
  <c r="AP202" i="3"/>
  <c r="U202" i="3"/>
  <c r="BC201" i="3"/>
  <c r="AH201" i="3"/>
  <c r="L201" i="3"/>
  <c r="BA200" i="3"/>
  <c r="AF200" i="3"/>
  <c r="L200" i="3"/>
  <c r="BE199" i="3"/>
  <c r="AO199" i="3"/>
  <c r="Y199" i="3"/>
  <c r="I199" i="3"/>
  <c r="AX198" i="3"/>
  <c r="AH198" i="3"/>
  <c r="R198" i="3"/>
  <c r="BG197" i="3"/>
  <c r="AQ197" i="3"/>
  <c r="AA197" i="3"/>
  <c r="K197" i="3"/>
  <c r="BD196" i="3"/>
  <c r="AN196" i="3"/>
  <c r="BI495" i="3"/>
  <c r="AS495" i="3"/>
  <c r="AC495" i="3"/>
  <c r="M495" i="3"/>
  <c r="BB494" i="3"/>
  <c r="AL494" i="3"/>
  <c r="V494" i="3"/>
  <c r="BK493" i="3"/>
  <c r="AU493" i="3"/>
  <c r="AE493" i="3"/>
  <c r="O493" i="3"/>
  <c r="BH492" i="3"/>
  <c r="AR492" i="3"/>
  <c r="AB492" i="3"/>
  <c r="L492" i="3"/>
  <c r="BE491" i="3"/>
  <c r="AO491" i="3"/>
  <c r="Y491" i="3"/>
  <c r="I491" i="3"/>
  <c r="AX490" i="3"/>
  <c r="AH490" i="3"/>
  <c r="R490" i="3"/>
  <c r="BG489" i="3"/>
  <c r="AQ489" i="3"/>
  <c r="AA489" i="3"/>
  <c r="K489" i="3"/>
  <c r="BD488" i="3"/>
  <c r="AN488" i="3"/>
  <c r="X488" i="3"/>
  <c r="H488" i="3"/>
  <c r="BA487" i="3"/>
  <c r="AK487" i="3"/>
  <c r="U487" i="3"/>
  <c r="BJ486" i="3"/>
  <c r="AT486" i="3"/>
  <c r="AD486" i="3"/>
  <c r="N486" i="3"/>
  <c r="BC485" i="3"/>
  <c r="AM485" i="3"/>
  <c r="W485" i="3"/>
  <c r="G485" i="3"/>
  <c r="AZ495" i="3"/>
  <c r="AJ495" i="3"/>
  <c r="T495" i="3"/>
  <c r="BM494" i="3"/>
  <c r="AW494" i="3"/>
  <c r="AG494" i="3"/>
  <c r="Q494" i="3"/>
  <c r="BF493" i="3"/>
  <c r="AP493" i="3"/>
  <c r="Z493" i="3"/>
  <c r="J493" i="3"/>
  <c r="AY492" i="3"/>
  <c r="AI492" i="3"/>
  <c r="S492" i="3"/>
  <c r="BL491" i="3"/>
  <c r="AV491" i="3"/>
  <c r="AF491" i="3"/>
  <c r="P491" i="3"/>
  <c r="BI490" i="3"/>
  <c r="AS490" i="3"/>
  <c r="AC490" i="3"/>
  <c r="M490" i="3"/>
  <c r="BB489" i="3"/>
  <c r="AL489" i="3"/>
  <c r="V489" i="3"/>
  <c r="BK488" i="3"/>
  <c r="AU488" i="3"/>
  <c r="AE488" i="3"/>
  <c r="O488" i="3"/>
  <c r="BH487" i="3"/>
  <c r="AR487" i="3"/>
  <c r="AB487" i="3"/>
  <c r="L487" i="3"/>
  <c r="BC495" i="3"/>
  <c r="AM495" i="3"/>
  <c r="W495" i="3"/>
  <c r="G495" i="3"/>
  <c r="AZ494" i="3"/>
  <c r="AJ494" i="3"/>
  <c r="T494" i="3"/>
  <c r="BM493" i="3"/>
  <c r="AW493" i="3"/>
  <c r="AG493" i="3"/>
  <c r="Q493" i="3"/>
  <c r="BF492" i="3"/>
  <c r="AP492" i="3"/>
  <c r="Z492" i="3"/>
  <c r="J492" i="3"/>
  <c r="AY491" i="3"/>
  <c r="AI491" i="3"/>
  <c r="S491" i="3"/>
  <c r="BL490" i="3"/>
  <c r="AV490" i="3"/>
  <c r="AF490" i="3"/>
  <c r="P490" i="3"/>
  <c r="BI489" i="3"/>
  <c r="AS489" i="3"/>
  <c r="AC489" i="3"/>
  <c r="M489" i="3"/>
  <c r="BB488" i="3"/>
  <c r="AL488" i="3"/>
  <c r="V488" i="3"/>
  <c r="BK487" i="3"/>
  <c r="AU487" i="3"/>
  <c r="AE487" i="3"/>
  <c r="BF495" i="3"/>
  <c r="AP495" i="3"/>
  <c r="Z495" i="3"/>
  <c r="J495" i="3"/>
  <c r="AY494" i="3"/>
  <c r="AI494" i="3"/>
  <c r="S494" i="3"/>
  <c r="BL493" i="3"/>
  <c r="AV493" i="3"/>
  <c r="AF493" i="3"/>
  <c r="P493" i="3"/>
  <c r="BI492" i="3"/>
  <c r="AS492" i="3"/>
  <c r="AC492" i="3"/>
  <c r="M492" i="3"/>
  <c r="BB491" i="3"/>
  <c r="AL491" i="3"/>
  <c r="V491" i="3"/>
  <c r="BK490" i="3"/>
  <c r="AU490" i="3"/>
  <c r="AE490" i="3"/>
  <c r="O490" i="3"/>
  <c r="BH489" i="3"/>
  <c r="AR489" i="3"/>
  <c r="AB489" i="3"/>
  <c r="L489" i="3"/>
  <c r="BE488" i="3"/>
  <c r="AO488" i="3"/>
  <c r="Y488" i="3"/>
  <c r="I488" i="3"/>
  <c r="AX487" i="3"/>
  <c r="AH487" i="3"/>
  <c r="O487" i="3"/>
  <c r="BA486" i="3"/>
  <c r="AF486" i="3"/>
  <c r="K486" i="3"/>
  <c r="AS485" i="3"/>
  <c r="X485" i="3"/>
  <c r="BL484" i="3"/>
  <c r="AV484" i="3"/>
  <c r="AF484" i="3"/>
  <c r="P484" i="3"/>
  <c r="BI483" i="3"/>
  <c r="AS483" i="3"/>
  <c r="AC483" i="3"/>
  <c r="M483" i="3"/>
  <c r="BB482" i="3"/>
  <c r="AL482" i="3"/>
  <c r="V482" i="3"/>
  <c r="BK481" i="3"/>
  <c r="AU481" i="3"/>
  <c r="AE481" i="3"/>
  <c r="O481" i="3"/>
  <c r="BH480" i="3"/>
  <c r="AR480" i="3"/>
  <c r="AB480" i="3"/>
  <c r="L480" i="3"/>
  <c r="BE479" i="3"/>
  <c r="AO479" i="3"/>
  <c r="Y479" i="3"/>
  <c r="I479" i="3"/>
  <c r="AX478" i="3"/>
  <c r="AH478" i="3"/>
  <c r="R478" i="3"/>
  <c r="BG477" i="3"/>
  <c r="AQ477" i="3"/>
  <c r="AA477" i="3"/>
  <c r="K477" i="3"/>
  <c r="BD476" i="3"/>
  <c r="AN476" i="3"/>
  <c r="X476" i="3"/>
  <c r="H476" i="3"/>
  <c r="BA475" i="3"/>
  <c r="AK475" i="3"/>
  <c r="U475" i="3"/>
  <c r="BJ474" i="3"/>
  <c r="AT474" i="3"/>
  <c r="AD474" i="3"/>
  <c r="N474" i="3"/>
  <c r="BC473" i="3"/>
  <c r="AM473" i="3"/>
  <c r="W473" i="3"/>
  <c r="G473" i="3"/>
  <c r="AZ472" i="3"/>
  <c r="AJ472" i="3"/>
  <c r="T472" i="3"/>
  <c r="BM471" i="3"/>
  <c r="AW471" i="3"/>
  <c r="AG471" i="3"/>
  <c r="Q471" i="3"/>
  <c r="BF470" i="3"/>
  <c r="AP470" i="3"/>
  <c r="Z470" i="3"/>
  <c r="J470" i="3"/>
  <c r="AY469" i="3"/>
  <c r="AI469" i="3"/>
  <c r="S469" i="3"/>
  <c r="BL468" i="3"/>
  <c r="AV468" i="3"/>
  <c r="AF468" i="3"/>
  <c r="P468" i="3"/>
  <c r="BI467" i="3"/>
  <c r="AS467" i="3"/>
  <c r="AC467" i="3"/>
  <c r="M467" i="3"/>
  <c r="BB466" i="3"/>
  <c r="AL466" i="3"/>
  <c r="V466" i="3"/>
  <c r="BK465" i="3"/>
  <c r="AU465" i="3"/>
  <c r="AE465" i="3"/>
  <c r="O465" i="3"/>
  <c r="BH464" i="3"/>
  <c r="AR464" i="3"/>
  <c r="AB464" i="3"/>
  <c r="L464" i="3"/>
  <c r="BE486" i="3"/>
  <c r="AJ486" i="3"/>
  <c r="O486" i="3"/>
  <c r="BB485" i="3"/>
  <c r="AG485" i="3"/>
  <c r="L485" i="3"/>
  <c r="AY484" i="3"/>
  <c r="AI484" i="3"/>
  <c r="S484" i="3"/>
  <c r="BL483" i="3"/>
  <c r="AV483" i="3"/>
  <c r="AF483" i="3"/>
  <c r="P483" i="3"/>
  <c r="BI482" i="3"/>
  <c r="AS482" i="3"/>
  <c r="AC482" i="3"/>
  <c r="M482" i="3"/>
  <c r="BB481" i="3"/>
  <c r="AL481" i="3"/>
  <c r="V481" i="3"/>
  <c r="BK480" i="3"/>
  <c r="AU480" i="3"/>
  <c r="AE480" i="3"/>
  <c r="O480" i="3"/>
  <c r="BH479" i="3"/>
  <c r="AR479" i="3"/>
  <c r="AB479" i="3"/>
  <c r="L479" i="3"/>
  <c r="BE478" i="3"/>
  <c r="AO478" i="3"/>
  <c r="Y478" i="3"/>
  <c r="I478" i="3"/>
  <c r="AX477" i="3"/>
  <c r="AH477" i="3"/>
  <c r="R477" i="3"/>
  <c r="BG476" i="3"/>
  <c r="AQ476" i="3"/>
  <c r="AA476" i="3"/>
  <c r="K476" i="3"/>
  <c r="BD475" i="3"/>
  <c r="AN475" i="3"/>
  <c r="X475" i="3"/>
  <c r="H475" i="3"/>
  <c r="BA474" i="3"/>
  <c r="AK474" i="3"/>
  <c r="U474" i="3"/>
  <c r="BJ473" i="3"/>
  <c r="AT473" i="3"/>
  <c r="AD473" i="3"/>
  <c r="N473" i="3"/>
  <c r="BC472" i="3"/>
  <c r="AM472" i="3"/>
  <c r="W472" i="3"/>
  <c r="G472" i="3"/>
  <c r="AZ471" i="3"/>
  <c r="AJ471" i="3"/>
  <c r="T471" i="3"/>
  <c r="BM470" i="3"/>
  <c r="AW470" i="3"/>
  <c r="AG470" i="3"/>
  <c r="Q470" i="3"/>
  <c r="BF469" i="3"/>
  <c r="AP469" i="3"/>
  <c r="Z469" i="3"/>
  <c r="J469" i="3"/>
  <c r="AY468" i="3"/>
  <c r="AI468" i="3"/>
  <c r="S468" i="3"/>
  <c r="BL467" i="3"/>
  <c r="AV467" i="3"/>
  <c r="AF467" i="3"/>
  <c r="P467" i="3"/>
  <c r="BI466" i="3"/>
  <c r="AS466" i="3"/>
  <c r="AC466" i="3"/>
  <c r="M466" i="3"/>
  <c r="BB465" i="3"/>
  <c r="AL465" i="3"/>
  <c r="V465" i="3"/>
  <c r="BK464" i="3"/>
  <c r="AU464" i="3"/>
  <c r="AE464" i="3"/>
  <c r="O464" i="3"/>
  <c r="J487" i="3"/>
  <c r="AW486" i="3"/>
  <c r="AB486" i="3"/>
  <c r="G486" i="3"/>
  <c r="AT485" i="3"/>
  <c r="Y485" i="3"/>
  <c r="BM484" i="3"/>
  <c r="AW484" i="3"/>
  <c r="AG484" i="3"/>
  <c r="Q484" i="3"/>
  <c r="BF483" i="3"/>
  <c r="AP483" i="3"/>
  <c r="Z483" i="3"/>
  <c r="J483" i="3"/>
  <c r="AY482" i="3"/>
  <c r="AI482" i="3"/>
  <c r="S482" i="3"/>
  <c r="BL481" i="3"/>
  <c r="AV481" i="3"/>
  <c r="AF481" i="3"/>
  <c r="P481" i="3"/>
  <c r="BI480" i="3"/>
  <c r="AS480" i="3"/>
  <c r="AC480" i="3"/>
  <c r="M480" i="3"/>
  <c r="BB479" i="3"/>
  <c r="AL479" i="3"/>
  <c r="V479" i="3"/>
  <c r="BK478" i="3"/>
  <c r="AU478" i="3"/>
  <c r="AE478" i="3"/>
  <c r="O478" i="3"/>
  <c r="BH477" i="3"/>
  <c r="AR477" i="3"/>
  <c r="AB477" i="3"/>
  <c r="L477" i="3"/>
  <c r="BE476" i="3"/>
  <c r="AO476" i="3"/>
  <c r="Y476" i="3"/>
  <c r="I476" i="3"/>
  <c r="AX475" i="3"/>
  <c r="AH475" i="3"/>
  <c r="R475" i="3"/>
  <c r="BG474" i="3"/>
  <c r="AQ474" i="3"/>
  <c r="AA474" i="3"/>
  <c r="K474" i="3"/>
  <c r="BD473" i="3"/>
  <c r="AN473" i="3"/>
  <c r="X473" i="3"/>
  <c r="H473" i="3"/>
  <c r="BA472" i="3"/>
  <c r="AK472" i="3"/>
  <c r="U472" i="3"/>
  <c r="BJ471" i="3"/>
  <c r="AT471" i="3"/>
  <c r="AD471" i="3"/>
  <c r="N471" i="3"/>
  <c r="BC470" i="3"/>
  <c r="AM470" i="3"/>
  <c r="W470" i="3"/>
  <c r="G470" i="3"/>
  <c r="AZ469" i="3"/>
  <c r="AJ469" i="3"/>
  <c r="T469" i="3"/>
  <c r="BM468" i="3"/>
  <c r="AW468" i="3"/>
  <c r="AG468" i="3"/>
  <c r="Q468" i="3"/>
  <c r="BF467" i="3"/>
  <c r="AP467" i="3"/>
  <c r="Z467" i="3"/>
  <c r="J467" i="3"/>
  <c r="AY466" i="3"/>
  <c r="AI466" i="3"/>
  <c r="S466" i="3"/>
  <c r="BL465" i="3"/>
  <c r="AV465" i="3"/>
  <c r="AF465" i="3"/>
  <c r="P465" i="3"/>
  <c r="BI464" i="3"/>
  <c r="AS464" i="3"/>
  <c r="AC464" i="3"/>
  <c r="M464" i="3"/>
  <c r="X486" i="3"/>
  <c r="AH484" i="3"/>
  <c r="S483" i="3"/>
  <c r="BA481" i="3"/>
  <c r="AH480" i="3"/>
  <c r="S479" i="3"/>
  <c r="BA477" i="3"/>
  <c r="AH476" i="3"/>
  <c r="S475" i="3"/>
  <c r="BA473" i="3"/>
  <c r="AH472" i="3"/>
  <c r="S471" i="3"/>
  <c r="BA469" i="3"/>
  <c r="AH468" i="3"/>
  <c r="S467" i="3"/>
  <c r="BA465" i="3"/>
  <c r="AH464" i="3"/>
  <c r="BA463" i="3"/>
  <c r="AK463" i="3"/>
  <c r="U463" i="3"/>
  <c r="BJ462" i="3"/>
  <c r="AT462" i="3"/>
  <c r="AD462" i="3"/>
  <c r="N462" i="3"/>
  <c r="BC461" i="3"/>
  <c r="AM461" i="3"/>
  <c r="W461" i="3"/>
  <c r="G461" i="3"/>
  <c r="AZ460" i="3"/>
  <c r="AJ460" i="3"/>
  <c r="T460" i="3"/>
  <c r="BM459" i="3"/>
  <c r="AW459" i="3"/>
  <c r="AG459" i="3"/>
  <c r="Q459" i="3"/>
  <c r="BF458" i="3"/>
  <c r="AP458" i="3"/>
  <c r="Z458" i="3"/>
  <c r="J458" i="3"/>
  <c r="AY457" i="3"/>
  <c r="AI457" i="3"/>
  <c r="S457" i="3"/>
  <c r="BL456" i="3"/>
  <c r="AV456" i="3"/>
  <c r="AF456" i="3"/>
  <c r="P456" i="3"/>
  <c r="BH454" i="3"/>
  <c r="AR454" i="3"/>
  <c r="AB454" i="3"/>
  <c r="L454" i="3"/>
  <c r="BE453" i="3"/>
  <c r="AO453" i="3"/>
  <c r="Y453" i="3"/>
  <c r="I453" i="3"/>
  <c r="AX452" i="3"/>
  <c r="AH452" i="3"/>
  <c r="R452" i="3"/>
  <c r="AN486" i="3"/>
  <c r="U485" i="3"/>
  <c r="N484" i="3"/>
  <c r="O483" i="3"/>
  <c r="P482" i="3"/>
  <c r="Q481" i="3"/>
  <c r="N480" i="3"/>
  <c r="O479" i="3"/>
  <c r="P478" i="3"/>
  <c r="Q477" i="3"/>
  <c r="N476" i="3"/>
  <c r="O475" i="3"/>
  <c r="P474" i="3"/>
  <c r="Q473" i="3"/>
  <c r="N472" i="3"/>
  <c r="O471" i="3"/>
  <c r="P470" i="3"/>
  <c r="Q469" i="3"/>
  <c r="N468" i="3"/>
  <c r="O467" i="3"/>
  <c r="P466" i="3"/>
  <c r="Q465" i="3"/>
  <c r="N464" i="3"/>
  <c r="AZ463" i="3"/>
  <c r="AJ463" i="3"/>
  <c r="T463" i="3"/>
  <c r="BM462" i="3"/>
  <c r="AW462" i="3"/>
  <c r="AG462" i="3"/>
  <c r="Q462" i="3"/>
  <c r="BF461" i="3"/>
  <c r="AP461" i="3"/>
  <c r="Z461" i="3"/>
  <c r="J461" i="3"/>
  <c r="AY460" i="3"/>
  <c r="AI460" i="3"/>
  <c r="S460" i="3"/>
  <c r="BL459" i="3"/>
  <c r="AV459" i="3"/>
  <c r="AF459" i="3"/>
  <c r="P459" i="3"/>
  <c r="BI458" i="3"/>
  <c r="AS458" i="3"/>
  <c r="AC458" i="3"/>
  <c r="M458" i="3"/>
  <c r="BB457" i="3"/>
  <c r="AL457" i="3"/>
  <c r="V457" i="3"/>
  <c r="BK456" i="3"/>
  <c r="AU456" i="3"/>
  <c r="AE456" i="3"/>
  <c r="O456" i="3"/>
  <c r="BG454" i="3"/>
  <c r="AQ454" i="3"/>
  <c r="AA454" i="3"/>
  <c r="K454" i="3"/>
  <c r="BD453" i="3"/>
  <c r="AN453" i="3"/>
  <c r="X453" i="3"/>
  <c r="H453" i="3"/>
  <c r="BA452" i="3"/>
  <c r="AK452" i="3"/>
  <c r="U452" i="3"/>
  <c r="BJ451" i="3"/>
  <c r="AT451" i="3"/>
  <c r="AD451" i="3"/>
  <c r="N451" i="3"/>
  <c r="BC450" i="3"/>
  <c r="AM450" i="3"/>
  <c r="W450" i="3"/>
  <c r="G450" i="3"/>
  <c r="AZ449" i="3"/>
  <c r="AJ449" i="3"/>
  <c r="T449" i="3"/>
  <c r="BM448" i="3"/>
  <c r="AW448" i="3"/>
  <c r="AG448" i="3"/>
  <c r="Q448" i="3"/>
  <c r="BD486" i="3"/>
  <c r="AK485" i="3"/>
  <c r="Z484" i="3"/>
  <c r="AA483" i="3"/>
  <c r="AB482" i="3"/>
  <c r="AC481" i="3"/>
  <c r="Z480" i="3"/>
  <c r="AA479" i="3"/>
  <c r="AB478" i="3"/>
  <c r="AC477" i="3"/>
  <c r="Z476" i="3"/>
  <c r="AA475" i="3"/>
  <c r="AB474" i="3"/>
  <c r="AC473" i="3"/>
  <c r="Z472" i="3"/>
  <c r="AA471" i="3"/>
  <c r="AB470" i="3"/>
  <c r="AC469" i="3"/>
  <c r="Z468" i="3"/>
  <c r="AA467" i="3"/>
  <c r="AB466" i="3"/>
  <c r="AC465" i="3"/>
  <c r="Z464" i="3"/>
  <c r="BC463" i="3"/>
  <c r="AM463" i="3"/>
  <c r="W463" i="3"/>
  <c r="G463" i="3"/>
  <c r="AZ462" i="3"/>
  <c r="AJ462" i="3"/>
  <c r="T462" i="3"/>
  <c r="BM461" i="3"/>
  <c r="AW461" i="3"/>
  <c r="AG461" i="3"/>
  <c r="Q461" i="3"/>
  <c r="BF460" i="3"/>
  <c r="AP460" i="3"/>
  <c r="Z460" i="3"/>
  <c r="J460" i="3"/>
  <c r="AY459" i="3"/>
  <c r="AI459" i="3"/>
  <c r="S459" i="3"/>
  <c r="BL458" i="3"/>
  <c r="AV458" i="3"/>
  <c r="AF458" i="3"/>
  <c r="P458" i="3"/>
  <c r="BI457" i="3"/>
  <c r="AS457" i="3"/>
  <c r="AC457" i="3"/>
  <c r="M457" i="3"/>
  <c r="BB456" i="3"/>
  <c r="AL456" i="3"/>
  <c r="V456" i="3"/>
  <c r="BJ454" i="3"/>
  <c r="AT454" i="3"/>
  <c r="AD454" i="3"/>
  <c r="N454" i="3"/>
  <c r="BC453" i="3"/>
  <c r="AM453" i="3"/>
  <c r="W453" i="3"/>
  <c r="G453" i="3"/>
  <c r="AZ452" i="3"/>
  <c r="AJ452" i="3"/>
  <c r="T452" i="3"/>
  <c r="BM451" i="3"/>
  <c r="AW451" i="3"/>
  <c r="AG451" i="3"/>
  <c r="Q451" i="3"/>
  <c r="BF450" i="3"/>
  <c r="AP450" i="3"/>
  <c r="Z450" i="3"/>
  <c r="J450" i="3"/>
  <c r="AY449" i="3"/>
  <c r="AI449" i="3"/>
  <c r="S449" i="3"/>
  <c r="BL448" i="3"/>
  <c r="AV448" i="3"/>
  <c r="AF448" i="3"/>
  <c r="P448" i="3"/>
  <c r="BI447" i="3"/>
  <c r="AS447" i="3"/>
  <c r="AC447" i="3"/>
  <c r="G483" i="3"/>
  <c r="G479" i="3"/>
  <c r="G475" i="3"/>
  <c r="G471" i="3"/>
  <c r="G467" i="3"/>
  <c r="AX463" i="3"/>
  <c r="AI462" i="3"/>
  <c r="T461" i="3"/>
  <c r="AX459" i="3"/>
  <c r="AI458" i="3"/>
  <c r="T457" i="3"/>
  <c r="BI454" i="3"/>
  <c r="BF453" i="3"/>
  <c r="BG452" i="3"/>
  <c r="BL451" i="3"/>
  <c r="AF451" i="3"/>
  <c r="BL450" i="3"/>
  <c r="AF450" i="3"/>
  <c r="BI449" i="3"/>
  <c r="AC449" i="3"/>
  <c r="AX448" i="3"/>
  <c r="R448" i="3"/>
  <c r="BB447" i="3"/>
  <c r="AF447" i="3"/>
  <c r="O447" i="3"/>
  <c r="BH446" i="3"/>
  <c r="AR446" i="3"/>
  <c r="AB446" i="3"/>
  <c r="L446" i="3"/>
  <c r="BE445" i="3"/>
  <c r="AO445" i="3"/>
  <c r="Y445" i="3"/>
  <c r="I445" i="3"/>
  <c r="AX444" i="3"/>
  <c r="AH444" i="3"/>
  <c r="R444" i="3"/>
  <c r="BG443" i="3"/>
  <c r="AQ443" i="3"/>
  <c r="AA443" i="3"/>
  <c r="K443" i="3"/>
  <c r="BD442" i="3"/>
  <c r="AN442" i="3"/>
  <c r="X442" i="3"/>
  <c r="H442" i="3"/>
  <c r="BA441" i="3"/>
  <c r="AK441" i="3"/>
  <c r="U441" i="3"/>
  <c r="BJ440" i="3"/>
  <c r="AT440" i="3"/>
  <c r="AD440" i="3"/>
  <c r="N440" i="3"/>
  <c r="BC439" i="3"/>
  <c r="AM439" i="3"/>
  <c r="W439" i="3"/>
  <c r="G439" i="3"/>
  <c r="AZ438" i="3"/>
  <c r="AJ438" i="3"/>
  <c r="T438" i="3"/>
  <c r="BM437" i="3"/>
  <c r="AW437" i="3"/>
  <c r="AG437" i="3"/>
  <c r="Q437" i="3"/>
  <c r="BF436" i="3"/>
  <c r="AP436" i="3"/>
  <c r="Z436" i="3"/>
  <c r="J436" i="3"/>
  <c r="AY435" i="3"/>
  <c r="AI435" i="3"/>
  <c r="S435" i="3"/>
  <c r="BL434" i="3"/>
  <c r="AV434" i="3"/>
  <c r="AF434" i="3"/>
  <c r="P434" i="3"/>
  <c r="BI433" i="3"/>
  <c r="AS433" i="3"/>
  <c r="AC433" i="3"/>
  <c r="M433" i="3"/>
  <c r="BB432" i="3"/>
  <c r="AL432" i="3"/>
  <c r="V432" i="3"/>
  <c r="BK431" i="3"/>
  <c r="AU431" i="3"/>
  <c r="AE431" i="3"/>
  <c r="AF485" i="3"/>
  <c r="Y481" i="3"/>
  <c r="Y477" i="3"/>
  <c r="Y473" i="3"/>
  <c r="Y469" i="3"/>
  <c r="Y465" i="3"/>
  <c r="AD463" i="3"/>
  <c r="AE462" i="3"/>
  <c r="AF461" i="3"/>
  <c r="AG460" i="3"/>
  <c r="AD459" i="3"/>
  <c r="AE458" i="3"/>
  <c r="AF457" i="3"/>
  <c r="AG456" i="3"/>
  <c r="Y454" i="3"/>
  <c r="V453" i="3"/>
  <c r="G452" i="3"/>
  <c r="AM451" i="3"/>
  <c r="G451" i="3"/>
  <c r="AK450" i="3"/>
  <c r="BF449" i="3"/>
  <c r="Z449" i="3"/>
  <c r="BC448" i="3"/>
  <c r="W448" i="3"/>
  <c r="BF447" i="3"/>
  <c r="AJ447" i="3"/>
  <c r="R447" i="3"/>
  <c r="BG446" i="3"/>
  <c r="AQ446" i="3"/>
  <c r="AA446" i="3"/>
  <c r="K446" i="3"/>
  <c r="BD445" i="3"/>
  <c r="AN445" i="3"/>
  <c r="X445" i="3"/>
  <c r="H445" i="3"/>
  <c r="BA444" i="3"/>
  <c r="AK444" i="3"/>
  <c r="U444" i="3"/>
  <c r="BJ443" i="3"/>
  <c r="AT443" i="3"/>
  <c r="AD443" i="3"/>
  <c r="N443" i="3"/>
  <c r="BC442" i="3"/>
  <c r="AM442" i="3"/>
  <c r="W442" i="3"/>
  <c r="G442" i="3"/>
  <c r="AZ441" i="3"/>
  <c r="AJ441" i="3"/>
  <c r="T441" i="3"/>
  <c r="BM440" i="3"/>
  <c r="AW440" i="3"/>
  <c r="AG440" i="3"/>
  <c r="Q440" i="3"/>
  <c r="BF439" i="3"/>
  <c r="AP439" i="3"/>
  <c r="Z439" i="3"/>
  <c r="J439" i="3"/>
  <c r="AY438" i="3"/>
  <c r="AI438" i="3"/>
  <c r="S438" i="3"/>
  <c r="BL437" i="3"/>
  <c r="AV437" i="3"/>
  <c r="AF437" i="3"/>
  <c r="P437" i="3"/>
  <c r="BI436" i="3"/>
  <c r="AS436" i="3"/>
  <c r="AC436" i="3"/>
  <c r="M436" i="3"/>
  <c r="BB435" i="3"/>
  <c r="AL435" i="3"/>
  <c r="V435" i="3"/>
  <c r="K487" i="3"/>
  <c r="AM483" i="3"/>
  <c r="AM479" i="3"/>
  <c r="AM475" i="3"/>
  <c r="AM471" i="3"/>
  <c r="AM467" i="3"/>
  <c r="BF463" i="3"/>
  <c r="BG462" i="3"/>
  <c r="BH461" i="3"/>
  <c r="BI460" i="3"/>
  <c r="BF459" i="3"/>
  <c r="BG458" i="3"/>
  <c r="BH457" i="3"/>
  <c r="BI456" i="3"/>
  <c r="BA454" i="3"/>
  <c r="AH453" i="3"/>
  <c r="S452" i="3"/>
  <c r="AJ451" i="3"/>
  <c r="BH450" i="3"/>
  <c r="AB450" i="3"/>
  <c r="BE449" i="3"/>
  <c r="Y449" i="3"/>
  <c r="BB448" i="3"/>
  <c r="V448" i="3"/>
  <c r="AY447" i="3"/>
  <c r="AD447" i="3"/>
  <c r="M447" i="3"/>
  <c r="BB446" i="3"/>
  <c r="AL446" i="3"/>
  <c r="V446" i="3"/>
  <c r="BK445" i="3"/>
  <c r="AU445" i="3"/>
  <c r="AE445" i="3"/>
  <c r="O445" i="3"/>
  <c r="BH444" i="3"/>
  <c r="AR444" i="3"/>
  <c r="AB444" i="3"/>
  <c r="L444" i="3"/>
  <c r="BE443" i="3"/>
  <c r="AO443" i="3"/>
  <c r="Y443" i="3"/>
  <c r="I443" i="3"/>
  <c r="AX442" i="3"/>
  <c r="AH442" i="3"/>
  <c r="R442" i="3"/>
  <c r="BG441" i="3"/>
  <c r="AQ441" i="3"/>
  <c r="AA441" i="3"/>
  <c r="K441" i="3"/>
  <c r="BD440" i="3"/>
  <c r="AN440" i="3"/>
  <c r="X440" i="3"/>
  <c r="H440" i="3"/>
  <c r="BA439" i="3"/>
  <c r="AK439" i="3"/>
  <c r="U439" i="3"/>
  <c r="BJ438" i="3"/>
  <c r="AT438" i="3"/>
  <c r="AD438" i="3"/>
  <c r="N438" i="3"/>
  <c r="BC437" i="3"/>
  <c r="AM437" i="3"/>
  <c r="W437" i="3"/>
  <c r="G437" i="3"/>
  <c r="AZ436" i="3"/>
  <c r="AJ436" i="3"/>
  <c r="T436" i="3"/>
  <c r="BM435" i="3"/>
  <c r="AW435" i="3"/>
  <c r="AG435" i="3"/>
  <c r="Q435" i="3"/>
  <c r="BF434" i="3"/>
  <c r="AP434" i="3"/>
  <c r="Z434" i="3"/>
  <c r="J434" i="3"/>
  <c r="AY433" i="3"/>
  <c r="AI433" i="3"/>
  <c r="S433" i="3"/>
  <c r="BL432" i="3"/>
  <c r="AV432" i="3"/>
  <c r="AF432" i="3"/>
  <c r="P432" i="3"/>
  <c r="BI431" i="3"/>
  <c r="AL463" i="3"/>
  <c r="AL459" i="3"/>
  <c r="AG454" i="3"/>
  <c r="AO450" i="3"/>
  <c r="AY448" i="3"/>
  <c r="P447" i="3"/>
  <c r="Q446" i="3"/>
  <c r="N445" i="3"/>
  <c r="O444" i="3"/>
  <c r="P443" i="3"/>
  <c r="Q442" i="3"/>
  <c r="N441" i="3"/>
  <c r="O440" i="3"/>
  <c r="P439" i="3"/>
  <c r="Q438" i="3"/>
  <c r="N437" i="3"/>
  <c r="O436" i="3"/>
  <c r="P435" i="3"/>
  <c r="AO434" i="3"/>
  <c r="I434" i="3"/>
  <c r="AL433" i="3"/>
  <c r="BI432" i="3"/>
  <c r="AC432" i="3"/>
  <c r="AX431" i="3"/>
  <c r="AB431" i="3"/>
  <c r="J431" i="3"/>
  <c r="AY430" i="3"/>
  <c r="AI430" i="3"/>
  <c r="S430" i="3"/>
  <c r="BL429" i="3"/>
  <c r="AV429" i="3"/>
  <c r="AF429" i="3"/>
  <c r="P429" i="3"/>
  <c r="BI428" i="3"/>
  <c r="AS428" i="3"/>
  <c r="AC428" i="3"/>
  <c r="M428" i="3"/>
  <c r="BB427" i="3"/>
  <c r="AL427" i="3"/>
  <c r="V427" i="3"/>
  <c r="BK426" i="3"/>
  <c r="AU426" i="3"/>
  <c r="AE426" i="3"/>
  <c r="O426" i="3"/>
  <c r="BH425" i="3"/>
  <c r="AR425" i="3"/>
  <c r="AB425" i="3"/>
  <c r="L425" i="3"/>
  <c r="BE424" i="3"/>
  <c r="AO424" i="3"/>
  <c r="Y424" i="3"/>
  <c r="I424" i="3"/>
  <c r="AX423" i="3"/>
  <c r="AH423" i="3"/>
  <c r="R423" i="3"/>
  <c r="BG422" i="3"/>
  <c r="AQ422" i="3"/>
  <c r="AA422" i="3"/>
  <c r="K422" i="3"/>
  <c r="BD421" i="3"/>
  <c r="AN421" i="3"/>
  <c r="X421" i="3"/>
  <c r="H421" i="3"/>
  <c r="BA420" i="3"/>
  <c r="AK420" i="3"/>
  <c r="U420" i="3"/>
  <c r="BJ419" i="3"/>
  <c r="AT419" i="3"/>
  <c r="AD419" i="3"/>
  <c r="N419" i="3"/>
  <c r="BC418" i="3"/>
  <c r="AM418" i="3"/>
  <c r="W418" i="3"/>
  <c r="G418" i="3"/>
  <c r="AZ417" i="3"/>
  <c r="AJ417" i="3"/>
  <c r="T417" i="3"/>
  <c r="BM416" i="3"/>
  <c r="AW416" i="3"/>
  <c r="AG416" i="3"/>
  <c r="Q416" i="3"/>
  <c r="BF415" i="3"/>
  <c r="AP415" i="3"/>
  <c r="AN470" i="3"/>
  <c r="BD461" i="3"/>
  <c r="BD457" i="3"/>
  <c r="AU452" i="3"/>
  <c r="AG450" i="3"/>
  <c r="AX447" i="3"/>
  <c r="AS446" i="3"/>
  <c r="AP445" i="3"/>
  <c r="AQ444" i="3"/>
  <c r="AR443" i="3"/>
  <c r="AS442" i="3"/>
  <c r="AP441" i="3"/>
  <c r="AQ440" i="3"/>
  <c r="AR439" i="3"/>
  <c r="AS438" i="3"/>
  <c r="AP437" i="3"/>
  <c r="AQ436" i="3"/>
  <c r="AR435" i="3"/>
  <c r="BC434" i="3"/>
  <c r="W434" i="3"/>
  <c r="AZ433" i="3"/>
  <c r="T433" i="3"/>
  <c r="AQ432" i="3"/>
  <c r="K432" i="3"/>
  <c r="AP431" i="3"/>
  <c r="U431" i="3"/>
  <c r="BJ430" i="3"/>
  <c r="AT430" i="3"/>
  <c r="AD430" i="3"/>
  <c r="N430" i="3"/>
  <c r="BC429" i="3"/>
  <c r="AM429" i="3"/>
  <c r="W429" i="3"/>
  <c r="G429" i="3"/>
  <c r="AZ428" i="3"/>
  <c r="AJ428" i="3"/>
  <c r="T428" i="3"/>
  <c r="BM427" i="3"/>
  <c r="AW427" i="3"/>
  <c r="AG427" i="3"/>
  <c r="Q427" i="3"/>
  <c r="BF426" i="3"/>
  <c r="AP426" i="3"/>
  <c r="Z426" i="3"/>
  <c r="J426" i="3"/>
  <c r="AY425" i="3"/>
  <c r="AI425" i="3"/>
  <c r="S425" i="3"/>
  <c r="BL424" i="3"/>
  <c r="AV424" i="3"/>
  <c r="AF424" i="3"/>
  <c r="P424" i="3"/>
  <c r="BI423" i="3"/>
  <c r="AS423" i="3"/>
  <c r="AC423" i="3"/>
  <c r="M423" i="3"/>
  <c r="BB422" i="3"/>
  <c r="AL422" i="3"/>
  <c r="V422" i="3"/>
  <c r="BK421" i="3"/>
  <c r="AU421" i="3"/>
  <c r="AE421" i="3"/>
  <c r="O421" i="3"/>
  <c r="BH420" i="3"/>
  <c r="AR420" i="3"/>
  <c r="AB420" i="3"/>
  <c r="L420" i="3"/>
  <c r="BE419" i="3"/>
  <c r="AO419" i="3"/>
  <c r="Y419" i="3"/>
  <c r="I419" i="3"/>
  <c r="AX418" i="3"/>
  <c r="AH418" i="3"/>
  <c r="R418" i="3"/>
  <c r="BG417" i="3"/>
  <c r="AQ417" i="3"/>
  <c r="AA417" i="3"/>
  <c r="K417" i="3"/>
  <c r="BD416" i="3"/>
  <c r="AN416" i="3"/>
  <c r="X416" i="3"/>
  <c r="H416" i="3"/>
  <c r="BE460" i="3"/>
  <c r="BM454" i="3"/>
  <c r="S451" i="3"/>
  <c r="AD449" i="3"/>
  <c r="H447" i="3"/>
  <c r="I446" i="3"/>
  <c r="BC444" i="3"/>
  <c r="BD443" i="3"/>
  <c r="BE442" i="3"/>
  <c r="BB441" i="3"/>
  <c r="AM440" i="3"/>
  <c r="AN439" i="3"/>
  <c r="AO438" i="3"/>
  <c r="AL437" i="3"/>
  <c r="W436" i="3"/>
  <c r="X435" i="3"/>
  <c r="AS434" i="3"/>
  <c r="M434" i="3"/>
  <c r="AH433" i="3"/>
  <c r="BM432" i="3"/>
  <c r="AG432" i="3"/>
  <c r="BJ431" i="3"/>
  <c r="AJ431" i="3"/>
  <c r="P431" i="3"/>
  <c r="BI430" i="3"/>
  <c r="AS430" i="3"/>
  <c r="AC430" i="3"/>
  <c r="M430" i="3"/>
  <c r="BB429" i="3"/>
  <c r="AL429" i="3"/>
  <c r="V429" i="3"/>
  <c r="BK428" i="3"/>
  <c r="AU428" i="3"/>
  <c r="AE428" i="3"/>
  <c r="O428" i="3"/>
  <c r="BH427" i="3"/>
  <c r="AR427" i="3"/>
  <c r="AB427" i="3"/>
  <c r="L427" i="3"/>
  <c r="BE426" i="3"/>
  <c r="AO426" i="3"/>
  <c r="Y426" i="3"/>
  <c r="I426" i="3"/>
  <c r="AX425" i="3"/>
  <c r="AH425" i="3"/>
  <c r="R425" i="3"/>
  <c r="BG424" i="3"/>
  <c r="AQ424" i="3"/>
  <c r="AA424" i="3"/>
  <c r="K424" i="3"/>
  <c r="BD423" i="3"/>
  <c r="AN423" i="3"/>
  <c r="X423" i="3"/>
  <c r="H423" i="3"/>
  <c r="BA422" i="3"/>
  <c r="AK422" i="3"/>
  <c r="U422" i="3"/>
  <c r="BJ421" i="3"/>
  <c r="AT421" i="3"/>
  <c r="AD421" i="3"/>
  <c r="N421" i="3"/>
  <c r="BC420" i="3"/>
  <c r="AM420" i="3"/>
  <c r="W420" i="3"/>
  <c r="G420" i="3"/>
  <c r="AZ419" i="3"/>
  <c r="AJ419" i="3"/>
  <c r="T419" i="3"/>
  <c r="BM418" i="3"/>
  <c r="AW418" i="3"/>
  <c r="AG418" i="3"/>
  <c r="Q418" i="3"/>
  <c r="BF417" i="3"/>
  <c r="AP417" i="3"/>
  <c r="Z417" i="3"/>
  <c r="J417" i="3"/>
  <c r="AY416" i="3"/>
  <c r="AI416" i="3"/>
  <c r="S416" i="3"/>
  <c r="BL415" i="3"/>
  <c r="W479" i="3"/>
  <c r="BB459" i="3"/>
  <c r="BB449" i="3"/>
  <c r="R445" i="3"/>
  <c r="R441" i="3"/>
  <c r="R437" i="3"/>
  <c r="K434" i="3"/>
  <c r="W432" i="3"/>
  <c r="BL430" i="3"/>
  <c r="BM429" i="3"/>
  <c r="BJ428" i="3"/>
  <c r="BK427" i="3"/>
  <c r="BL426" i="3"/>
  <c r="BM425" i="3"/>
  <c r="BJ424" i="3"/>
  <c r="BK423" i="3"/>
  <c r="BL422" i="3"/>
  <c r="BM421" i="3"/>
  <c r="BJ420" i="3"/>
  <c r="BK419" i="3"/>
  <c r="BL418" i="3"/>
  <c r="BM417" i="3"/>
  <c r="BJ416" i="3"/>
  <c r="BK415" i="3"/>
  <c r="AL415" i="3"/>
  <c r="V415" i="3"/>
  <c r="BJ413" i="3"/>
  <c r="AT413" i="3"/>
  <c r="AD413" i="3"/>
  <c r="N413" i="3"/>
  <c r="BC412" i="3"/>
  <c r="AM412" i="3"/>
  <c r="W412" i="3"/>
  <c r="G412" i="3"/>
  <c r="AW450" i="3"/>
  <c r="H433" i="3"/>
  <c r="AC431" i="3"/>
  <c r="AB430" i="3"/>
  <c r="AC429" i="3"/>
  <c r="Z428" i="3"/>
  <c r="AA427" i="3"/>
  <c r="AB426" i="3"/>
  <c r="AC425" i="3"/>
  <c r="Z424" i="3"/>
  <c r="AA423" i="3"/>
  <c r="AB422" i="3"/>
  <c r="AC421" i="3"/>
  <c r="Z420" i="3"/>
  <c r="AA419" i="3"/>
  <c r="AB418" i="3"/>
  <c r="AC417" i="3"/>
  <c r="Z416" i="3"/>
  <c r="AU415" i="3"/>
  <c r="AC415" i="3"/>
  <c r="M415" i="3"/>
  <c r="BE413" i="3"/>
  <c r="AO413" i="3"/>
  <c r="Y413" i="3"/>
  <c r="I413" i="3"/>
  <c r="AX412" i="3"/>
  <c r="AH412" i="3"/>
  <c r="R412" i="3"/>
  <c r="BG411" i="3"/>
  <c r="AQ411" i="3"/>
  <c r="AA411" i="3"/>
  <c r="K411" i="3"/>
  <c r="BD410" i="3"/>
  <c r="AN410" i="3"/>
  <c r="X410" i="3"/>
  <c r="H410" i="3"/>
  <c r="BA409" i="3"/>
  <c r="AK409" i="3"/>
  <c r="U409" i="3"/>
  <c r="BJ408" i="3"/>
  <c r="AT408" i="3"/>
  <c r="AD408" i="3"/>
  <c r="N408" i="3"/>
  <c r="BC407" i="3"/>
  <c r="AM407" i="3"/>
  <c r="W407" i="3"/>
  <c r="G407" i="3"/>
  <c r="AZ406" i="3"/>
  <c r="AJ406" i="3"/>
  <c r="T406" i="3"/>
  <c r="BM405" i="3"/>
  <c r="AW405" i="3"/>
  <c r="AG405" i="3"/>
  <c r="Q405" i="3"/>
  <c r="BF404" i="3"/>
  <c r="AP404" i="3"/>
  <c r="Z404" i="3"/>
  <c r="J404" i="3"/>
  <c r="AY403" i="3"/>
  <c r="AI403" i="3"/>
  <c r="S403" i="3"/>
  <c r="BL402" i="3"/>
  <c r="AV402" i="3"/>
  <c r="AF402" i="3"/>
  <c r="P402" i="3"/>
  <c r="BI401" i="3"/>
  <c r="AS401" i="3"/>
  <c r="AC401" i="3"/>
  <c r="M401" i="3"/>
  <c r="BB400" i="3"/>
  <c r="AL400" i="3"/>
  <c r="V400" i="3"/>
  <c r="BK399" i="3"/>
  <c r="AU399" i="3"/>
  <c r="AE399" i="3"/>
  <c r="O399" i="3"/>
  <c r="BH398" i="3"/>
  <c r="AR398" i="3"/>
  <c r="AB398" i="3"/>
  <c r="L398" i="3"/>
  <c r="BE397" i="3"/>
  <c r="AO397" i="3"/>
  <c r="Y397" i="3"/>
  <c r="I397" i="3"/>
  <c r="AX396" i="3"/>
  <c r="AH396" i="3"/>
  <c r="R396" i="3"/>
  <c r="BG395" i="3"/>
  <c r="AQ395" i="3"/>
  <c r="AA395" i="3"/>
  <c r="K395" i="3"/>
  <c r="BD394" i="3"/>
  <c r="AN394" i="3"/>
  <c r="X394" i="3"/>
  <c r="H394" i="3"/>
  <c r="BA393" i="3"/>
  <c r="AK393" i="3"/>
  <c r="U393" i="3"/>
  <c r="BJ392" i="3"/>
  <c r="AT392" i="3"/>
  <c r="AD392" i="3"/>
  <c r="N392" i="3"/>
  <c r="BC391" i="3"/>
  <c r="AM391" i="3"/>
  <c r="W391" i="3"/>
  <c r="G391" i="3"/>
  <c r="AZ390" i="3"/>
  <c r="AJ390" i="3"/>
  <c r="T390" i="3"/>
  <c r="BM389" i="3"/>
  <c r="AW389" i="3"/>
  <c r="AG389" i="3"/>
  <c r="Q389" i="3"/>
  <c r="BF388" i="3"/>
  <c r="AP388" i="3"/>
  <c r="Z388" i="3"/>
  <c r="J388" i="3"/>
  <c r="AY387" i="3"/>
  <c r="AI387" i="3"/>
  <c r="S387" i="3"/>
  <c r="BL386" i="3"/>
  <c r="AV386" i="3"/>
  <c r="AF386" i="3"/>
  <c r="P386" i="3"/>
  <c r="BI385" i="3"/>
  <c r="AS385" i="3"/>
  <c r="AC385" i="3"/>
  <c r="M385" i="3"/>
  <c r="BB384" i="3"/>
  <c r="AL384" i="3"/>
  <c r="V384" i="3"/>
  <c r="BK383" i="3"/>
  <c r="AU383" i="3"/>
  <c r="AE383" i="3"/>
  <c r="O383" i="3"/>
  <c r="BH382" i="3"/>
  <c r="AR382" i="3"/>
  <c r="AB382" i="3"/>
  <c r="L382" i="3"/>
  <c r="BE381" i="3"/>
  <c r="AO381" i="3"/>
  <c r="Y381" i="3"/>
  <c r="I381" i="3"/>
  <c r="AX380" i="3"/>
  <c r="AH380" i="3"/>
  <c r="R380" i="3"/>
  <c r="BG379" i="3"/>
  <c r="AQ379" i="3"/>
  <c r="AA379" i="3"/>
  <c r="K379" i="3"/>
  <c r="BD378" i="3"/>
  <c r="AN378" i="3"/>
  <c r="X378" i="3"/>
  <c r="H378" i="3"/>
  <c r="BA377" i="3"/>
  <c r="AK377" i="3"/>
  <c r="U377" i="3"/>
  <c r="BJ376" i="3"/>
  <c r="AT376" i="3"/>
  <c r="W475" i="3"/>
  <c r="G458" i="3"/>
  <c r="Q450" i="3"/>
  <c r="AY444" i="3"/>
  <c r="AY440" i="3"/>
  <c r="AY436" i="3"/>
  <c r="BL433" i="3"/>
  <c r="AS431" i="3"/>
  <c r="AN430" i="3"/>
  <c r="AO429" i="3"/>
  <c r="AL428" i="3"/>
  <c r="W427" i="3"/>
  <c r="X426" i="3"/>
  <c r="Y425" i="3"/>
  <c r="V424" i="3"/>
  <c r="G423" i="3"/>
  <c r="H422" i="3"/>
  <c r="I421" i="3"/>
  <c r="BC419" i="3"/>
  <c r="BD418" i="3"/>
  <c r="BE417" i="3"/>
  <c r="BB416" i="3"/>
  <c r="AY415" i="3"/>
  <c r="AF415" i="3"/>
  <c r="P415" i="3"/>
  <c r="BH413" i="3"/>
  <c r="AR413" i="3"/>
  <c r="AB413" i="3"/>
  <c r="L413" i="3"/>
  <c r="BE412" i="3"/>
  <c r="AO412" i="3"/>
  <c r="Y412" i="3"/>
  <c r="I412" i="3"/>
  <c r="AX411" i="3"/>
  <c r="AH411" i="3"/>
  <c r="R411" i="3"/>
  <c r="BG410" i="3"/>
  <c r="AQ410" i="3"/>
  <c r="AA410" i="3"/>
  <c r="K410" i="3"/>
  <c r="BD409" i="3"/>
  <c r="AN409" i="3"/>
  <c r="X409" i="3"/>
  <c r="H409" i="3"/>
  <c r="BA408" i="3"/>
  <c r="AK408" i="3"/>
  <c r="U408" i="3"/>
  <c r="BJ407" i="3"/>
  <c r="AT407" i="3"/>
  <c r="AD407" i="3"/>
  <c r="N407" i="3"/>
  <c r="BC406" i="3"/>
  <c r="AM406" i="3"/>
  <c r="W406" i="3"/>
  <c r="G406" i="3"/>
  <c r="AZ405" i="3"/>
  <c r="AJ405" i="3"/>
  <c r="T405" i="3"/>
  <c r="BM404" i="3"/>
  <c r="AW404" i="3"/>
  <c r="AG404" i="3"/>
  <c r="Q404" i="3"/>
  <c r="BF403" i="3"/>
  <c r="AP403" i="3"/>
  <c r="Z403" i="3"/>
  <c r="J403" i="3"/>
  <c r="AY402" i="3"/>
  <c r="AI402" i="3"/>
  <c r="S402" i="3"/>
  <c r="BL401" i="3"/>
  <c r="AV401" i="3"/>
  <c r="AF401" i="3"/>
  <c r="P401" i="3"/>
  <c r="BI400" i="3"/>
  <c r="AS400" i="3"/>
  <c r="AC400" i="3"/>
  <c r="M400" i="3"/>
  <c r="BB399" i="3"/>
  <c r="AL399" i="3"/>
  <c r="V399" i="3"/>
  <c r="BK398" i="3"/>
  <c r="AU398" i="3"/>
  <c r="AE398" i="3"/>
  <c r="O398" i="3"/>
  <c r="BH397" i="3"/>
  <c r="AR397" i="3"/>
  <c r="AB397" i="3"/>
  <c r="L397" i="3"/>
  <c r="BE396" i="3"/>
  <c r="AO396" i="3"/>
  <c r="Y396" i="3"/>
  <c r="I396" i="3"/>
  <c r="AX395" i="3"/>
  <c r="AH395" i="3"/>
  <c r="R395" i="3"/>
  <c r="BG394" i="3"/>
  <c r="AQ394" i="3"/>
  <c r="AA394" i="3"/>
  <c r="K394" i="3"/>
  <c r="BD393" i="3"/>
  <c r="AN393" i="3"/>
  <c r="X393" i="3"/>
  <c r="H393" i="3"/>
  <c r="BA392" i="3"/>
  <c r="AK392" i="3"/>
  <c r="U392" i="3"/>
  <c r="BJ391" i="3"/>
  <c r="AT391" i="3"/>
  <c r="AD391" i="3"/>
  <c r="N391" i="3"/>
  <c r="BC390" i="3"/>
  <c r="AM390" i="3"/>
  <c r="W390" i="3"/>
  <c r="G390" i="3"/>
  <c r="AZ389" i="3"/>
  <c r="AJ389" i="3"/>
  <c r="T389" i="3"/>
  <c r="BM388" i="3"/>
  <c r="AW388" i="3"/>
  <c r="AG388" i="3"/>
  <c r="Q388" i="3"/>
  <c r="BF387" i="3"/>
  <c r="AP387" i="3"/>
  <c r="Z387" i="3"/>
  <c r="J387" i="3"/>
  <c r="AY386" i="3"/>
  <c r="AI386" i="3"/>
  <c r="S386" i="3"/>
  <c r="BL385" i="3"/>
  <c r="AV385" i="3"/>
  <c r="AF385" i="3"/>
  <c r="P385" i="3"/>
  <c r="BI384" i="3"/>
  <c r="AS384" i="3"/>
  <c r="AC384" i="3"/>
  <c r="M384" i="3"/>
  <c r="BB383" i="3"/>
  <c r="AL383" i="3"/>
  <c r="V383" i="3"/>
  <c r="BK382" i="3"/>
  <c r="AU382" i="3"/>
  <c r="AE382" i="3"/>
  <c r="O382" i="3"/>
  <c r="BH381" i="3"/>
  <c r="AR381" i="3"/>
  <c r="AB381" i="3"/>
  <c r="L381" i="3"/>
  <c r="BE380" i="3"/>
  <c r="AO380" i="3"/>
  <c r="Y380" i="3"/>
  <c r="I380" i="3"/>
  <c r="AX379" i="3"/>
  <c r="AH379" i="3"/>
  <c r="R379" i="3"/>
  <c r="BG378" i="3"/>
  <c r="AQ378" i="3"/>
  <c r="AA378" i="3"/>
  <c r="K378" i="3"/>
  <c r="BD377" i="3"/>
  <c r="AN377" i="3"/>
  <c r="X377" i="3"/>
  <c r="H377" i="3"/>
  <c r="BA376" i="3"/>
  <c r="AK376" i="3"/>
  <c r="AJ443" i="3"/>
  <c r="AJ435" i="3"/>
  <c r="U429" i="3"/>
  <c r="U425" i="3"/>
  <c r="U421" i="3"/>
  <c r="U417" i="3"/>
  <c r="K415" i="3"/>
  <c r="AZ412" i="3"/>
  <c r="AZ411" i="3"/>
  <c r="T411" i="3"/>
  <c r="AW410" i="3"/>
  <c r="Q410" i="3"/>
  <c r="AT409" i="3"/>
  <c r="N409" i="3"/>
  <c r="AJ408" i="3"/>
  <c r="BH407" i="3"/>
  <c r="AB407" i="3"/>
  <c r="BE406" i="3"/>
  <c r="Y406" i="3"/>
  <c r="BB405" i="3"/>
  <c r="V405" i="3"/>
  <c r="AR404" i="3"/>
  <c r="L404" i="3"/>
  <c r="AJ403" i="3"/>
  <c r="BM402" i="3"/>
  <c r="AG402" i="3"/>
  <c r="BJ401" i="3"/>
  <c r="AD401" i="3"/>
  <c r="AZ400" i="3"/>
  <c r="T400" i="3"/>
  <c r="AR399" i="3"/>
  <c r="L399" i="3"/>
  <c r="AO398" i="3"/>
  <c r="I398" i="3"/>
  <c r="AL397" i="3"/>
  <c r="BH396" i="3"/>
  <c r="AB396" i="3"/>
  <c r="AZ395" i="3"/>
  <c r="T395" i="3"/>
  <c r="AW394" i="3"/>
  <c r="Q394" i="3"/>
  <c r="AT393" i="3"/>
  <c r="N393" i="3"/>
  <c r="AJ392" i="3"/>
  <c r="BH391" i="3"/>
  <c r="AB391" i="3"/>
  <c r="BE390" i="3"/>
  <c r="Y390" i="3"/>
  <c r="BB389" i="3"/>
  <c r="V389" i="3"/>
  <c r="AR388" i="3"/>
  <c r="L388" i="3"/>
  <c r="AJ387" i="3"/>
  <c r="BM386" i="3"/>
  <c r="AG386" i="3"/>
  <c r="BJ385" i="3"/>
  <c r="AD385" i="3"/>
  <c r="AZ384" i="3"/>
  <c r="T384" i="3"/>
  <c r="AR383" i="3"/>
  <c r="L383" i="3"/>
  <c r="AO382" i="3"/>
  <c r="I382" i="3"/>
  <c r="AL381" i="3"/>
  <c r="BH380" i="3"/>
  <c r="AB380" i="3"/>
  <c r="AZ379" i="3"/>
  <c r="T379" i="3"/>
  <c r="AW378" i="3"/>
  <c r="Q378" i="3"/>
  <c r="AT377" i="3"/>
  <c r="N377" i="3"/>
  <c r="AJ376" i="3"/>
  <c r="T376" i="3"/>
  <c r="BM375" i="3"/>
  <c r="AW375" i="3"/>
  <c r="AG375" i="3"/>
  <c r="Q375" i="3"/>
  <c r="BF374" i="3"/>
  <c r="AP374" i="3"/>
  <c r="Z374" i="3"/>
  <c r="J374" i="3"/>
  <c r="BA371" i="3"/>
  <c r="AK371" i="3"/>
  <c r="U371" i="3"/>
  <c r="BJ370" i="3"/>
  <c r="AT370" i="3"/>
  <c r="AD370" i="3"/>
  <c r="N370" i="3"/>
  <c r="BC369" i="3"/>
  <c r="AM369" i="3"/>
  <c r="W369" i="3"/>
  <c r="G369" i="3"/>
  <c r="AZ368" i="3"/>
  <c r="AJ368" i="3"/>
  <c r="T368" i="3"/>
  <c r="BM367" i="3"/>
  <c r="AW367" i="3"/>
  <c r="AG367" i="3"/>
  <c r="Q367" i="3"/>
  <c r="BF366" i="3"/>
  <c r="AP366" i="3"/>
  <c r="Z366" i="3"/>
  <c r="J366" i="3"/>
  <c r="AY365" i="3"/>
  <c r="AI365" i="3"/>
  <c r="S365" i="3"/>
  <c r="BL364" i="3"/>
  <c r="AV364" i="3"/>
  <c r="AF364" i="3"/>
  <c r="P364" i="3"/>
  <c r="BI363" i="3"/>
  <c r="AS363" i="3"/>
  <c r="AC363" i="3"/>
  <c r="M363" i="3"/>
  <c r="BB362" i="3"/>
  <c r="AL362" i="3"/>
  <c r="V362" i="3"/>
  <c r="BK361" i="3"/>
  <c r="AU361" i="3"/>
  <c r="AE361" i="3"/>
  <c r="O361" i="3"/>
  <c r="BH360" i="3"/>
  <c r="AR360" i="3"/>
  <c r="AB360" i="3"/>
  <c r="L360" i="3"/>
  <c r="BE359" i="3"/>
  <c r="AO359" i="3"/>
  <c r="Y359" i="3"/>
  <c r="I359" i="3"/>
  <c r="AX358" i="3"/>
  <c r="AH358" i="3"/>
  <c r="R358" i="3"/>
  <c r="BG357" i="3"/>
  <c r="AQ357" i="3"/>
  <c r="AA357" i="3"/>
  <c r="K357" i="3"/>
  <c r="BD356" i="3"/>
  <c r="AN356" i="3"/>
  <c r="X356" i="3"/>
  <c r="H356" i="3"/>
  <c r="BA355" i="3"/>
  <c r="AK355" i="3"/>
  <c r="U355" i="3"/>
  <c r="BJ354" i="3"/>
  <c r="AT354" i="3"/>
  <c r="AD354" i="3"/>
  <c r="N354" i="3"/>
  <c r="BC353" i="3"/>
  <c r="AM353" i="3"/>
  <c r="W353" i="3"/>
  <c r="G353" i="3"/>
  <c r="AZ352" i="3"/>
  <c r="AJ352" i="3"/>
  <c r="T352" i="3"/>
  <c r="BM351" i="3"/>
  <c r="AW351" i="3"/>
  <c r="AG351" i="3"/>
  <c r="Q351" i="3"/>
  <c r="BF350" i="3"/>
  <c r="AP350" i="3"/>
  <c r="Z350" i="3"/>
  <c r="AM415" i="3"/>
  <c r="AU413" i="3"/>
  <c r="AV412" i="3"/>
  <c r="BE411" i="3"/>
  <c r="Y411" i="3"/>
  <c r="BB410" i="3"/>
  <c r="V410" i="3"/>
  <c r="AQ409" i="3"/>
  <c r="K409" i="3"/>
  <c r="AI408" i="3"/>
  <c r="BM407" i="3"/>
  <c r="AG407" i="3"/>
  <c r="BJ406" i="3"/>
  <c r="AD406" i="3"/>
  <c r="AY405" i="3"/>
  <c r="S405" i="3"/>
  <c r="AQ404" i="3"/>
  <c r="K404" i="3"/>
  <c r="AO403" i="3"/>
  <c r="I403" i="3"/>
  <c r="AL402" i="3"/>
  <c r="BG401" i="3"/>
  <c r="AA401" i="3"/>
  <c r="AY400" i="3"/>
  <c r="S400" i="3"/>
  <c r="AW399" i="3"/>
  <c r="Q399" i="3"/>
  <c r="AT398" i="3"/>
  <c r="N398" i="3"/>
  <c r="AI397" i="3"/>
  <c r="BG396" i="3"/>
  <c r="AA396" i="3"/>
  <c r="BE395" i="3"/>
  <c r="Y395" i="3"/>
  <c r="BB394" i="3"/>
  <c r="V394" i="3"/>
  <c r="AQ393" i="3"/>
  <c r="K393" i="3"/>
  <c r="AI392" i="3"/>
  <c r="BM391" i="3"/>
  <c r="AG391" i="3"/>
  <c r="BJ390" i="3"/>
  <c r="AD390" i="3"/>
  <c r="AY389" i="3"/>
  <c r="S389" i="3"/>
  <c r="AQ388" i="3"/>
  <c r="K388" i="3"/>
  <c r="AO387" i="3"/>
  <c r="I387" i="3"/>
  <c r="AL386" i="3"/>
  <c r="BG385" i="3"/>
  <c r="AA385" i="3"/>
  <c r="AY384" i="3"/>
  <c r="S384" i="3"/>
  <c r="AW383" i="3"/>
  <c r="Q383" i="3"/>
  <c r="AT382" i="3"/>
  <c r="N382" i="3"/>
  <c r="AI381" i="3"/>
  <c r="BG380" i="3"/>
  <c r="AA380" i="3"/>
  <c r="BE379" i="3"/>
  <c r="Y379" i="3"/>
  <c r="BB378" i="3"/>
  <c r="V378" i="3"/>
  <c r="AQ377" i="3"/>
  <c r="K377" i="3"/>
  <c r="AI376" i="3"/>
  <c r="S376" i="3"/>
  <c r="BL375" i="3"/>
  <c r="AV375" i="3"/>
  <c r="AF375" i="3"/>
  <c r="P375" i="3"/>
  <c r="BI374" i="3"/>
  <c r="AS374" i="3"/>
  <c r="AC374" i="3"/>
  <c r="M374" i="3"/>
  <c r="BD371" i="3"/>
  <c r="AN371" i="3"/>
  <c r="X371" i="3"/>
  <c r="H371" i="3"/>
  <c r="BA370" i="3"/>
  <c r="AK370" i="3"/>
  <c r="U370" i="3"/>
  <c r="BJ369" i="3"/>
  <c r="AT369" i="3"/>
  <c r="AD369" i="3"/>
  <c r="N369" i="3"/>
  <c r="BC368" i="3"/>
  <c r="AM368" i="3"/>
  <c r="W368" i="3"/>
  <c r="G368" i="3"/>
  <c r="AZ367" i="3"/>
  <c r="AJ367" i="3"/>
  <c r="T367" i="3"/>
  <c r="BM366" i="3"/>
  <c r="AW366" i="3"/>
  <c r="AG366" i="3"/>
  <c r="Q366" i="3"/>
  <c r="BF365" i="3"/>
  <c r="AP365" i="3"/>
  <c r="Z365" i="3"/>
  <c r="J365" i="3"/>
  <c r="AY364" i="3"/>
  <c r="AI364" i="3"/>
  <c r="S364" i="3"/>
  <c r="BL363" i="3"/>
  <c r="AV363" i="3"/>
  <c r="AF363" i="3"/>
  <c r="P363" i="3"/>
  <c r="BI362" i="3"/>
  <c r="AS362" i="3"/>
  <c r="AC362" i="3"/>
  <c r="M362" i="3"/>
  <c r="BB361" i="3"/>
  <c r="AL361" i="3"/>
  <c r="V361" i="3"/>
  <c r="BK360" i="3"/>
  <c r="AU360" i="3"/>
  <c r="AE360" i="3"/>
  <c r="O360" i="3"/>
  <c r="BH359" i="3"/>
  <c r="AR359" i="3"/>
  <c r="AB359" i="3"/>
  <c r="L359" i="3"/>
  <c r="BE358" i="3"/>
  <c r="AO358" i="3"/>
  <c r="Y358" i="3"/>
  <c r="I358" i="3"/>
  <c r="AX357" i="3"/>
  <c r="AH357" i="3"/>
  <c r="R357" i="3"/>
  <c r="BG356" i="3"/>
  <c r="AQ356" i="3"/>
  <c r="AA356" i="3"/>
  <c r="K356" i="3"/>
  <c r="BD355" i="3"/>
  <c r="AN355" i="3"/>
  <c r="X355" i="3"/>
  <c r="H355" i="3"/>
  <c r="BA354" i="3"/>
  <c r="AK354" i="3"/>
  <c r="U354" i="3"/>
  <c r="BJ353" i="3"/>
  <c r="AT353" i="3"/>
  <c r="AD353" i="3"/>
  <c r="N353" i="3"/>
  <c r="BC352" i="3"/>
  <c r="AM352" i="3"/>
  <c r="W352" i="3"/>
  <c r="G352" i="3"/>
  <c r="AZ351" i="3"/>
  <c r="AJ351" i="3"/>
  <c r="T351" i="3"/>
  <c r="BM350" i="3"/>
  <c r="AW350" i="3"/>
  <c r="AG350" i="3"/>
  <c r="K451" i="3"/>
  <c r="AK442" i="3"/>
  <c r="AY434" i="3"/>
  <c r="AX428" i="3"/>
  <c r="AX424" i="3"/>
  <c r="AX420" i="3"/>
  <c r="AX416" i="3"/>
  <c r="S434" i="3"/>
  <c r="AH428" i="3"/>
  <c r="AH424" i="3"/>
  <c r="AH420" i="3"/>
  <c r="AH416" i="3"/>
  <c r="BC413" i="3"/>
  <c r="BD412" i="3"/>
  <c r="BI411" i="3"/>
  <c r="AC411" i="3"/>
  <c r="AX410" i="3"/>
  <c r="R410" i="3"/>
  <c r="AU409" i="3"/>
  <c r="O409" i="3"/>
  <c r="AU408" i="3"/>
  <c r="O408" i="3"/>
  <c r="AS407" i="3"/>
  <c r="M407" i="3"/>
  <c r="AH406" i="3"/>
  <c r="BK405" i="3"/>
  <c r="AE405" i="3"/>
  <c r="BK404" i="3"/>
  <c r="AE404" i="3"/>
  <c r="BI403" i="3"/>
  <c r="AC403" i="3"/>
  <c r="AX402" i="3"/>
  <c r="R402" i="3"/>
  <c r="AU401" i="3"/>
  <c r="O401" i="3"/>
  <c r="AU400" i="3"/>
  <c r="O400" i="3"/>
  <c r="AS399" i="3"/>
  <c r="M399" i="3"/>
  <c r="AH398" i="3"/>
  <c r="BK397" i="3"/>
  <c r="AE397" i="3"/>
  <c r="BK396" i="3"/>
  <c r="AE396" i="3"/>
  <c r="BI395" i="3"/>
  <c r="AC395" i="3"/>
  <c r="AX394" i="3"/>
  <c r="R394" i="3"/>
  <c r="AU393" i="3"/>
  <c r="O393" i="3"/>
  <c r="AU392" i="3"/>
  <c r="O392" i="3"/>
  <c r="AS391" i="3"/>
  <c r="M391" i="3"/>
  <c r="AH390" i="3"/>
  <c r="BK389" i="3"/>
  <c r="AE389" i="3"/>
  <c r="BK388" i="3"/>
  <c r="AE388" i="3"/>
  <c r="BI387" i="3"/>
  <c r="AC387" i="3"/>
  <c r="AX386" i="3"/>
  <c r="R386" i="3"/>
  <c r="AU385" i="3"/>
  <c r="O385" i="3"/>
  <c r="AU384" i="3"/>
  <c r="O384" i="3"/>
  <c r="AS383" i="3"/>
  <c r="M383" i="3"/>
  <c r="AH382" i="3"/>
  <c r="BK381" i="3"/>
  <c r="AE381" i="3"/>
  <c r="BK380" i="3"/>
  <c r="AE380" i="3"/>
  <c r="BI379" i="3"/>
  <c r="AC379" i="3"/>
  <c r="AX378" i="3"/>
  <c r="R378" i="3"/>
  <c r="AU377" i="3"/>
  <c r="O377" i="3"/>
  <c r="AU376" i="3"/>
  <c r="Y376" i="3"/>
  <c r="I376" i="3"/>
  <c r="AX375" i="3"/>
  <c r="AH375" i="3"/>
  <c r="R375" i="3"/>
  <c r="BG374" i="3"/>
  <c r="AQ374" i="3"/>
  <c r="AA374" i="3"/>
  <c r="K374" i="3"/>
  <c r="BB371" i="3"/>
  <c r="AL371" i="3"/>
  <c r="V371" i="3"/>
  <c r="BK370" i="3"/>
  <c r="AU370" i="3"/>
  <c r="AE370" i="3"/>
  <c r="O370" i="3"/>
  <c r="BH369" i="3"/>
  <c r="AR369" i="3"/>
  <c r="AB369" i="3"/>
  <c r="L369" i="3"/>
  <c r="BE368" i="3"/>
  <c r="AO368" i="3"/>
  <c r="Y368" i="3"/>
  <c r="I368" i="3"/>
  <c r="AX367" i="3"/>
  <c r="AH367" i="3"/>
  <c r="R367" i="3"/>
  <c r="BG366" i="3"/>
  <c r="AQ366" i="3"/>
  <c r="AA366" i="3"/>
  <c r="K366" i="3"/>
  <c r="BD365" i="3"/>
  <c r="AN365" i="3"/>
  <c r="X365" i="3"/>
  <c r="H365" i="3"/>
  <c r="BA364" i="3"/>
  <c r="AK364" i="3"/>
  <c r="U364" i="3"/>
  <c r="BJ363" i="3"/>
  <c r="AT363" i="3"/>
  <c r="AD363" i="3"/>
  <c r="N363" i="3"/>
  <c r="BC362" i="3"/>
  <c r="AM362" i="3"/>
  <c r="W362" i="3"/>
  <c r="G362" i="3"/>
  <c r="AZ361" i="3"/>
  <c r="AJ361" i="3"/>
  <c r="T361" i="3"/>
  <c r="BM360" i="3"/>
  <c r="AW360" i="3"/>
  <c r="AG360" i="3"/>
  <c r="Q360" i="3"/>
  <c r="BF359" i="3"/>
  <c r="AP359" i="3"/>
  <c r="Z359" i="3"/>
  <c r="J359" i="3"/>
  <c r="AY358" i="3"/>
  <c r="AI358" i="3"/>
  <c r="S358" i="3"/>
  <c r="BL357" i="3"/>
  <c r="AV357" i="3"/>
  <c r="AF357" i="3"/>
  <c r="P357" i="3"/>
  <c r="BI356" i="3"/>
  <c r="AS356" i="3"/>
  <c r="AC356" i="3"/>
  <c r="M356" i="3"/>
  <c r="BB355" i="3"/>
  <c r="AL355" i="3"/>
  <c r="V355" i="3"/>
  <c r="BK354" i="3"/>
  <c r="AU354" i="3"/>
  <c r="AE354" i="3"/>
  <c r="O354" i="3"/>
  <c r="BH353" i="3"/>
  <c r="AR353" i="3"/>
  <c r="AB353" i="3"/>
  <c r="L353" i="3"/>
  <c r="BE352" i="3"/>
  <c r="AO352" i="3"/>
  <c r="Y352" i="3"/>
  <c r="I352" i="3"/>
  <c r="AX351" i="3"/>
  <c r="AH351" i="3"/>
  <c r="R351" i="3"/>
  <c r="BG350" i="3"/>
  <c r="BH412" i="3"/>
  <c r="M410" i="3"/>
  <c r="P408" i="3"/>
  <c r="AC406" i="3"/>
  <c r="AF404" i="3"/>
  <c r="M402" i="3"/>
  <c r="P400" i="3"/>
  <c r="AC398" i="3"/>
  <c r="AF396" i="3"/>
  <c r="M394" i="3"/>
  <c r="P392" i="3"/>
  <c r="AC390" i="3"/>
  <c r="AF388" i="3"/>
  <c r="M386" i="3"/>
  <c r="P384" i="3"/>
  <c r="AC382" i="3"/>
  <c r="AF380" i="3"/>
  <c r="M378" i="3"/>
  <c r="Z376" i="3"/>
  <c r="AA375" i="3"/>
  <c r="AB374" i="3"/>
  <c r="AE371" i="3"/>
  <c r="AF370" i="3"/>
  <c r="AG369" i="3"/>
  <c r="AD368" i="3"/>
  <c r="AE367" i="3"/>
  <c r="AF366" i="3"/>
  <c r="AG365" i="3"/>
  <c r="AD364" i="3"/>
  <c r="AE363" i="3"/>
  <c r="AF362" i="3"/>
  <c r="AG361" i="3"/>
  <c r="AD360" i="3"/>
  <c r="AE359" i="3"/>
  <c r="AF358" i="3"/>
  <c r="AG357" i="3"/>
  <c r="AD356" i="3"/>
  <c r="AE355" i="3"/>
  <c r="AF354" i="3"/>
  <c r="AG353" i="3"/>
  <c r="AD352" i="3"/>
  <c r="AE351" i="3"/>
  <c r="AN350" i="3"/>
  <c r="O350" i="3"/>
  <c r="BH349" i="3"/>
  <c r="AR349" i="3"/>
  <c r="AB349" i="3"/>
  <c r="L349" i="3"/>
  <c r="BE348" i="3"/>
  <c r="AO348" i="3"/>
  <c r="Y348" i="3"/>
  <c r="I348" i="3"/>
  <c r="AX347" i="3"/>
  <c r="AH347" i="3"/>
  <c r="R347" i="3"/>
  <c r="BG346" i="3"/>
  <c r="AQ346" i="3"/>
  <c r="AA346" i="3"/>
  <c r="K346" i="3"/>
  <c r="BD345" i="3"/>
  <c r="AN345" i="3"/>
  <c r="X345" i="3"/>
  <c r="H345" i="3"/>
  <c r="BA344" i="3"/>
  <c r="AK344" i="3"/>
  <c r="U344" i="3"/>
  <c r="BJ343" i="3"/>
  <c r="AT343" i="3"/>
  <c r="AD343" i="3"/>
  <c r="N343" i="3"/>
  <c r="BC342" i="3"/>
  <c r="AM342" i="3"/>
  <c r="W342" i="3"/>
  <c r="G342" i="3"/>
  <c r="AZ341" i="3"/>
  <c r="AJ341" i="3"/>
  <c r="T341" i="3"/>
  <c r="BM340" i="3"/>
  <c r="AW340" i="3"/>
  <c r="AG340" i="3"/>
  <c r="Q340" i="3"/>
  <c r="BF339" i="3"/>
  <c r="AP339" i="3"/>
  <c r="Z339" i="3"/>
  <c r="J339" i="3"/>
  <c r="AY338" i="3"/>
  <c r="AI338" i="3"/>
  <c r="S338" i="3"/>
  <c r="BL337" i="3"/>
  <c r="AV337" i="3"/>
  <c r="AF337" i="3"/>
  <c r="P337" i="3"/>
  <c r="BI336" i="3"/>
  <c r="AS336" i="3"/>
  <c r="AC336" i="3"/>
  <c r="M336" i="3"/>
  <c r="BB335" i="3"/>
  <c r="AL335" i="3"/>
  <c r="V335" i="3"/>
  <c r="BK334" i="3"/>
  <c r="AU334" i="3"/>
  <c r="AE334" i="3"/>
  <c r="O334" i="3"/>
  <c r="BH333" i="3"/>
  <c r="AR333" i="3"/>
  <c r="AB333" i="3"/>
  <c r="L333" i="3"/>
  <c r="BE332" i="3"/>
  <c r="AO332" i="3"/>
  <c r="Y332" i="3"/>
  <c r="I332" i="3"/>
  <c r="BA330" i="3"/>
  <c r="AK330" i="3"/>
  <c r="U330" i="3"/>
  <c r="BJ329" i="3"/>
  <c r="AT329" i="3"/>
  <c r="AD329" i="3"/>
  <c r="N329" i="3"/>
  <c r="BC328" i="3"/>
  <c r="AM328" i="3"/>
  <c r="W328" i="3"/>
  <c r="G328" i="3"/>
  <c r="AZ327" i="3"/>
  <c r="AJ327" i="3"/>
  <c r="T327" i="3"/>
  <c r="BM326" i="3"/>
  <c r="AW326" i="3"/>
  <c r="AG326" i="3"/>
  <c r="Q326" i="3"/>
  <c r="BF325" i="3"/>
  <c r="AP325" i="3"/>
  <c r="Z325" i="3"/>
  <c r="J325" i="3"/>
  <c r="AY324" i="3"/>
  <c r="AI324" i="3"/>
  <c r="S324" i="3"/>
  <c r="BL323" i="3"/>
  <c r="AV323" i="3"/>
  <c r="AF323" i="3"/>
  <c r="P323" i="3"/>
  <c r="BI322" i="3"/>
  <c r="AS322" i="3"/>
  <c r="AC322" i="3"/>
  <c r="M322" i="3"/>
  <c r="BB321" i="3"/>
  <c r="AL321" i="3"/>
  <c r="V321" i="3"/>
  <c r="BK320" i="3"/>
  <c r="AU320" i="3"/>
  <c r="AE320" i="3"/>
  <c r="O320" i="3"/>
  <c r="BH319" i="3"/>
  <c r="AR319" i="3"/>
  <c r="AB319" i="3"/>
  <c r="L319" i="3"/>
  <c r="BE318" i="3"/>
  <c r="AO318" i="3"/>
  <c r="Y318" i="3"/>
  <c r="I318" i="3"/>
  <c r="AX317" i="3"/>
  <c r="AH317" i="3"/>
  <c r="R317" i="3"/>
  <c r="BG316" i="3"/>
  <c r="AQ316" i="3"/>
  <c r="AA316" i="3"/>
  <c r="K316" i="3"/>
  <c r="BD315" i="3"/>
  <c r="AF411" i="3"/>
  <c r="H408" i="3"/>
  <c r="U406" i="3"/>
  <c r="X404" i="3"/>
  <c r="AH401" i="3"/>
  <c r="P399" i="3"/>
  <c r="R397" i="3"/>
  <c r="AF395" i="3"/>
  <c r="H392" i="3"/>
  <c r="U390" i="3"/>
  <c r="X388" i="3"/>
  <c r="AH385" i="3"/>
  <c r="P383" i="3"/>
  <c r="R381" i="3"/>
  <c r="AF379" i="3"/>
  <c r="V376" i="3"/>
  <c r="G375" i="3"/>
  <c r="H374" i="3"/>
  <c r="K371" i="3"/>
  <c r="L370" i="3"/>
  <c r="M369" i="3"/>
  <c r="J368" i="3"/>
  <c r="K367" i="3"/>
  <c r="L366" i="3"/>
  <c r="M365" i="3"/>
  <c r="J364" i="3"/>
  <c r="K363" i="3"/>
  <c r="L362" i="3"/>
  <c r="M361" i="3"/>
  <c r="J360" i="3"/>
  <c r="K359" i="3"/>
  <c r="L358" i="3"/>
  <c r="M357" i="3"/>
  <c r="J356" i="3"/>
  <c r="K355" i="3"/>
  <c r="L354" i="3"/>
  <c r="M353" i="3"/>
  <c r="J352" i="3"/>
  <c r="K351" i="3"/>
  <c r="AE350" i="3"/>
  <c r="J350" i="3"/>
  <c r="AY349" i="3"/>
  <c r="AI349" i="3"/>
  <c r="S349" i="3"/>
  <c r="BL348" i="3"/>
  <c r="AV348" i="3"/>
  <c r="AF348" i="3"/>
  <c r="P348" i="3"/>
  <c r="BI347" i="3"/>
  <c r="AS347" i="3"/>
  <c r="AC347" i="3"/>
  <c r="M347" i="3"/>
  <c r="BB346" i="3"/>
  <c r="AL346" i="3"/>
  <c r="V346" i="3"/>
  <c r="BK345" i="3"/>
  <c r="AU345" i="3"/>
  <c r="AE345" i="3"/>
  <c r="O345" i="3"/>
  <c r="BH344" i="3"/>
  <c r="AR344" i="3"/>
  <c r="AB344" i="3"/>
  <c r="L344" i="3"/>
  <c r="BE343" i="3"/>
  <c r="AO343" i="3"/>
  <c r="Y343" i="3"/>
  <c r="I343" i="3"/>
  <c r="AX342" i="3"/>
  <c r="AH342" i="3"/>
  <c r="R342" i="3"/>
  <c r="BG341" i="3"/>
  <c r="AQ341" i="3"/>
  <c r="AA341" i="3"/>
  <c r="K341" i="3"/>
  <c r="BD340" i="3"/>
  <c r="AN340" i="3"/>
  <c r="X340" i="3"/>
  <c r="H340" i="3"/>
  <c r="BA339" i="3"/>
  <c r="AK339" i="3"/>
  <c r="U339" i="3"/>
  <c r="BJ338" i="3"/>
  <c r="AT338" i="3"/>
  <c r="AD338" i="3"/>
  <c r="N338" i="3"/>
  <c r="BC337" i="3"/>
  <c r="AM337" i="3"/>
  <c r="W337" i="3"/>
  <c r="G337" i="3"/>
  <c r="AZ336" i="3"/>
  <c r="AJ336" i="3"/>
  <c r="T336" i="3"/>
  <c r="BM335" i="3"/>
  <c r="AW335" i="3"/>
  <c r="AG335" i="3"/>
  <c r="Q335" i="3"/>
  <c r="BF334" i="3"/>
  <c r="AP334" i="3"/>
  <c r="Z334" i="3"/>
  <c r="J334" i="3"/>
  <c r="AY333" i="3"/>
  <c r="AI333" i="3"/>
  <c r="S333" i="3"/>
  <c r="BL332" i="3"/>
  <c r="AV332" i="3"/>
  <c r="AF332" i="3"/>
  <c r="P332" i="3"/>
  <c r="BH330" i="3"/>
  <c r="AR330" i="3"/>
  <c r="AB330" i="3"/>
  <c r="L330" i="3"/>
  <c r="BE329" i="3"/>
  <c r="AO329" i="3"/>
  <c r="Y329" i="3"/>
  <c r="I329" i="3"/>
  <c r="AX328" i="3"/>
  <c r="AH328" i="3"/>
  <c r="R328" i="3"/>
  <c r="BG327" i="3"/>
  <c r="AQ327" i="3"/>
  <c r="AA327" i="3"/>
  <c r="K327" i="3"/>
  <c r="BD326" i="3"/>
  <c r="AN326" i="3"/>
  <c r="X326" i="3"/>
  <c r="H326" i="3"/>
  <c r="BA325" i="3"/>
  <c r="AK325" i="3"/>
  <c r="U325" i="3"/>
  <c r="BJ324" i="3"/>
  <c r="AT324" i="3"/>
  <c r="AD324" i="3"/>
  <c r="N324" i="3"/>
  <c r="BC323" i="3"/>
  <c r="AM323" i="3"/>
  <c r="W323" i="3"/>
  <c r="G323" i="3"/>
  <c r="AZ322" i="3"/>
  <c r="AJ322" i="3"/>
  <c r="T322" i="3"/>
  <c r="BM321" i="3"/>
  <c r="AW321" i="3"/>
  <c r="AG321" i="3"/>
  <c r="Q321" i="3"/>
  <c r="BF320" i="3"/>
  <c r="AP320" i="3"/>
  <c r="Z320" i="3"/>
  <c r="J320" i="3"/>
  <c r="AY319" i="3"/>
  <c r="AI319" i="3"/>
  <c r="S319" i="3"/>
  <c r="BL318" i="3"/>
  <c r="AV318" i="3"/>
  <c r="AF318" i="3"/>
  <c r="P318" i="3"/>
  <c r="BI317" i="3"/>
  <c r="AS317" i="3"/>
  <c r="AC317" i="3"/>
  <c r="M317" i="3"/>
  <c r="BB316" i="3"/>
  <c r="AL316" i="3"/>
  <c r="V316" i="3"/>
  <c r="BK315" i="3"/>
  <c r="BD408" i="3"/>
  <c r="BA402" i="3"/>
  <c r="AK398" i="3"/>
  <c r="U394" i="3"/>
  <c r="H388" i="3"/>
  <c r="X384" i="3"/>
  <c r="AN380" i="3"/>
  <c r="BD376" i="3"/>
  <c r="AV374" i="3"/>
  <c r="AZ370" i="3"/>
  <c r="AX368" i="3"/>
  <c r="AZ366" i="3"/>
  <c r="AX364" i="3"/>
  <c r="AZ362" i="3"/>
  <c r="AX360" i="3"/>
  <c r="AZ358" i="3"/>
  <c r="AX356" i="3"/>
  <c r="AZ354" i="3"/>
  <c r="AX352" i="3"/>
  <c r="AZ350" i="3"/>
  <c r="BM349" i="3"/>
  <c r="AG349" i="3"/>
  <c r="BJ348" i="3"/>
  <c r="AD348" i="3"/>
  <c r="AZ347" i="3"/>
  <c r="T347" i="3"/>
  <c r="AR346" i="3"/>
  <c r="L346" i="3"/>
  <c r="AO345" i="3"/>
  <c r="I345" i="3"/>
  <c r="AL344" i="3"/>
  <c r="BH343" i="3"/>
  <c r="AB343" i="3"/>
  <c r="AZ342" i="3"/>
  <c r="T342" i="3"/>
  <c r="AW341" i="3"/>
  <c r="Q341" i="3"/>
  <c r="AT340" i="3"/>
  <c r="N340" i="3"/>
  <c r="AJ339" i="3"/>
  <c r="BH338" i="3"/>
  <c r="AB338" i="3"/>
  <c r="BE337" i="3"/>
  <c r="Y337" i="3"/>
  <c r="BB336" i="3"/>
  <c r="V336" i="3"/>
  <c r="AR335" i="3"/>
  <c r="L335" i="3"/>
  <c r="AJ334" i="3"/>
  <c r="BM333" i="3"/>
  <c r="AG333" i="3"/>
  <c r="BJ332" i="3"/>
  <c r="AD332" i="3"/>
  <c r="BB330" i="3"/>
  <c r="V330" i="3"/>
  <c r="AR329" i="3"/>
  <c r="L329" i="3"/>
  <c r="AJ328" i="3"/>
  <c r="BM327" i="3"/>
  <c r="AG327" i="3"/>
  <c r="BJ326" i="3"/>
  <c r="AD326" i="3"/>
  <c r="AZ325" i="3"/>
  <c r="T325" i="3"/>
  <c r="AR324" i="3"/>
  <c r="L324" i="3"/>
  <c r="AO323" i="3"/>
  <c r="I323" i="3"/>
  <c r="AL322" i="3"/>
  <c r="BH321" i="3"/>
  <c r="AB321" i="3"/>
  <c r="AZ320" i="3"/>
  <c r="T320" i="3"/>
  <c r="AW319" i="3"/>
  <c r="Q319" i="3"/>
  <c r="AT318" i="3"/>
  <c r="N318" i="3"/>
  <c r="AJ317" i="3"/>
  <c r="BH316" i="3"/>
  <c r="AB316" i="3"/>
  <c r="BF315" i="3"/>
  <c r="AO315" i="3"/>
  <c r="Y315" i="3"/>
  <c r="I315" i="3"/>
  <c r="AX314" i="3"/>
  <c r="AH314" i="3"/>
  <c r="R314" i="3"/>
  <c r="BG313" i="3"/>
  <c r="AQ313" i="3"/>
  <c r="AA313" i="3"/>
  <c r="K313" i="3"/>
  <c r="BD312" i="3"/>
  <c r="AN312" i="3"/>
  <c r="X312" i="3"/>
  <c r="H312" i="3"/>
  <c r="BA311" i="3"/>
  <c r="AK311" i="3"/>
  <c r="U311" i="3"/>
  <c r="BJ310" i="3"/>
  <c r="AT310" i="3"/>
  <c r="AD310" i="3"/>
  <c r="N310" i="3"/>
  <c r="BC309" i="3"/>
  <c r="AM309" i="3"/>
  <c r="W309" i="3"/>
  <c r="G309" i="3"/>
  <c r="AZ308" i="3"/>
  <c r="AJ308" i="3"/>
  <c r="T308" i="3"/>
  <c r="BM307" i="3"/>
  <c r="AW307" i="3"/>
  <c r="AG307" i="3"/>
  <c r="Q307" i="3"/>
  <c r="BF306" i="3"/>
  <c r="AP306" i="3"/>
  <c r="Z306" i="3"/>
  <c r="J306" i="3"/>
  <c r="AY305" i="3"/>
  <c r="AI305" i="3"/>
  <c r="S305" i="3"/>
  <c r="BL304" i="3"/>
  <c r="AV304" i="3"/>
  <c r="AF304" i="3"/>
  <c r="P304" i="3"/>
  <c r="BI303" i="3"/>
  <c r="AS303" i="3"/>
  <c r="AC303" i="3"/>
  <c r="M303" i="3"/>
  <c r="BB302" i="3"/>
  <c r="AL302" i="3"/>
  <c r="V302" i="3"/>
  <c r="BK301" i="3"/>
  <c r="AU301" i="3"/>
  <c r="AE301" i="3"/>
  <c r="O301" i="3"/>
  <c r="BH300" i="3"/>
  <c r="AR300" i="3"/>
  <c r="AB300" i="3"/>
  <c r="L300" i="3"/>
  <c r="BE299" i="3"/>
  <c r="AO299" i="3"/>
  <c r="Y299" i="3"/>
  <c r="I299" i="3"/>
  <c r="AX298" i="3"/>
  <c r="AH298" i="3"/>
  <c r="R298" i="3"/>
  <c r="BG297" i="3"/>
  <c r="AQ297" i="3"/>
  <c r="AA297" i="3"/>
  <c r="K297" i="3"/>
  <c r="BD296" i="3"/>
  <c r="AN296" i="3"/>
  <c r="X296" i="3"/>
  <c r="H296" i="3"/>
  <c r="BA295" i="3"/>
  <c r="AK295" i="3"/>
  <c r="U295" i="3"/>
  <c r="BJ294" i="3"/>
  <c r="AT294" i="3"/>
  <c r="AD294" i="3"/>
  <c r="N294" i="3"/>
  <c r="BC293" i="3"/>
  <c r="AM293" i="3"/>
  <c r="W293" i="3"/>
  <c r="G293" i="3"/>
  <c r="AZ292" i="3"/>
  <c r="AJ292" i="3"/>
  <c r="T292" i="3"/>
  <c r="BM291" i="3"/>
  <c r="AW291" i="3"/>
  <c r="AG291" i="3"/>
  <c r="Q291" i="3"/>
  <c r="AV411" i="3"/>
  <c r="AN407" i="3"/>
  <c r="P403" i="3"/>
  <c r="H399" i="3"/>
  <c r="AV395" i="3"/>
  <c r="AN391" i="3"/>
  <c r="P387" i="3"/>
  <c r="H383" i="3"/>
  <c r="AV379" i="3"/>
  <c r="AI375" i="3"/>
  <c r="AN370" i="3"/>
  <c r="AL368" i="3"/>
  <c r="H366" i="3"/>
  <c r="AM363" i="3"/>
  <c r="AO361" i="3"/>
  <c r="G359" i="3"/>
  <c r="I357" i="3"/>
  <c r="AN354" i="3"/>
  <c r="AL352" i="3"/>
  <c r="AB350" i="3"/>
  <c r="BB349" i="3"/>
  <c r="V349" i="3"/>
  <c r="AQ348" i="3"/>
  <c r="K348" i="3"/>
  <c r="AI347" i="3"/>
  <c r="BM346" i="3"/>
  <c r="AG346" i="3"/>
  <c r="BJ345" i="3"/>
  <c r="AD345" i="3"/>
  <c r="AY344" i="3"/>
  <c r="S344" i="3"/>
  <c r="AQ343" i="3"/>
  <c r="K343" i="3"/>
  <c r="AO342" i="3"/>
  <c r="I342" i="3"/>
  <c r="AL341" i="3"/>
  <c r="BG340" i="3"/>
  <c r="AA340" i="3"/>
  <c r="AY339" i="3"/>
  <c r="S339" i="3"/>
  <c r="AW338" i="3"/>
  <c r="Q338" i="3"/>
  <c r="AT337" i="3"/>
  <c r="N337" i="3"/>
  <c r="AI336" i="3"/>
  <c r="BG335" i="3"/>
  <c r="AA335" i="3"/>
  <c r="BE334" i="3"/>
  <c r="Y334" i="3"/>
  <c r="BB333" i="3"/>
  <c r="V333" i="3"/>
  <c r="AQ332" i="3"/>
  <c r="K332" i="3"/>
  <c r="AI330" i="3"/>
  <c r="BG329" i="3"/>
  <c r="AA329" i="3"/>
  <c r="BE328" i="3"/>
  <c r="Y328" i="3"/>
  <c r="BB327" i="3"/>
  <c r="V327" i="3"/>
  <c r="AQ326" i="3"/>
  <c r="K326" i="3"/>
  <c r="AI325" i="3"/>
  <c r="BM324" i="3"/>
  <c r="AG324" i="3"/>
  <c r="BJ323" i="3"/>
  <c r="AD323" i="3"/>
  <c r="AY322" i="3"/>
  <c r="S322" i="3"/>
  <c r="AQ321" i="3"/>
  <c r="K321" i="3"/>
  <c r="AO320" i="3"/>
  <c r="I320" i="3"/>
  <c r="AL319" i="3"/>
  <c r="BG318" i="3"/>
  <c r="AA318" i="3"/>
  <c r="AY317" i="3"/>
  <c r="S317" i="3"/>
  <c r="AW316" i="3"/>
  <c r="Q316" i="3"/>
  <c r="AZ315" i="3"/>
  <c r="AJ315" i="3"/>
  <c r="T315" i="3"/>
  <c r="BM314" i="3"/>
  <c r="AW314" i="3"/>
  <c r="AG314" i="3"/>
  <c r="Q314" i="3"/>
  <c r="BF313" i="3"/>
  <c r="AP313" i="3"/>
  <c r="Z313" i="3"/>
  <c r="J313" i="3"/>
  <c r="AY312" i="3"/>
  <c r="AI312" i="3"/>
  <c r="S312" i="3"/>
  <c r="BL311" i="3"/>
  <c r="AV311" i="3"/>
  <c r="AF311" i="3"/>
  <c r="P311" i="3"/>
  <c r="BI310" i="3"/>
  <c r="AS310" i="3"/>
  <c r="AC310" i="3"/>
  <c r="M310" i="3"/>
  <c r="BB309" i="3"/>
  <c r="AL309" i="3"/>
  <c r="V309" i="3"/>
  <c r="BK308" i="3"/>
  <c r="AU308" i="3"/>
  <c r="AE308" i="3"/>
  <c r="O308" i="3"/>
  <c r="BH307" i="3"/>
  <c r="AR307" i="3"/>
  <c r="AB307" i="3"/>
  <c r="L307" i="3"/>
  <c r="BE306" i="3"/>
  <c r="AO306" i="3"/>
  <c r="Y306" i="3"/>
  <c r="I306" i="3"/>
  <c r="AX305" i="3"/>
  <c r="AH305" i="3"/>
  <c r="R305" i="3"/>
  <c r="BG304" i="3"/>
  <c r="AQ304" i="3"/>
  <c r="AA304" i="3"/>
  <c r="K304" i="3"/>
  <c r="BD303" i="3"/>
  <c r="AN303" i="3"/>
  <c r="X303" i="3"/>
  <c r="H303" i="3"/>
  <c r="BA302" i="3"/>
  <c r="AK302" i="3"/>
  <c r="U302" i="3"/>
  <c r="BJ301" i="3"/>
  <c r="AT301" i="3"/>
  <c r="AD301" i="3"/>
  <c r="N301" i="3"/>
  <c r="BC300" i="3"/>
  <c r="AM300" i="3"/>
  <c r="W300" i="3"/>
  <c r="G300" i="3"/>
  <c r="AZ299" i="3"/>
  <c r="AJ299" i="3"/>
  <c r="T299" i="3"/>
  <c r="BM298" i="3"/>
  <c r="AW298" i="3"/>
  <c r="AG298" i="3"/>
  <c r="Q298" i="3"/>
  <c r="BF297" i="3"/>
  <c r="AP297" i="3"/>
  <c r="Z297" i="3"/>
  <c r="J297" i="3"/>
  <c r="AY296" i="3"/>
  <c r="AI296" i="3"/>
  <c r="S296" i="3"/>
  <c r="BL295" i="3"/>
  <c r="AV295" i="3"/>
  <c r="AF295" i="3"/>
  <c r="P295" i="3"/>
  <c r="BI294" i="3"/>
  <c r="AS294" i="3"/>
  <c r="AC294" i="3"/>
  <c r="M294" i="3"/>
  <c r="BB293" i="3"/>
  <c r="AL293" i="3"/>
  <c r="V293" i="3"/>
  <c r="BK292" i="3"/>
  <c r="AU292" i="3"/>
  <c r="AE292" i="3"/>
  <c r="O292" i="3"/>
  <c r="BH291" i="3"/>
  <c r="AR291" i="3"/>
  <c r="AB291" i="3"/>
  <c r="L291" i="3"/>
  <c r="X411" i="3"/>
  <c r="AF407" i="3"/>
  <c r="BD403" i="3"/>
  <c r="BL399" i="3"/>
  <c r="BF393" i="3"/>
  <c r="AH389" i="3"/>
  <c r="Z385" i="3"/>
  <c r="X379" i="3"/>
  <c r="BK375" i="3"/>
  <c r="AI371" i="3"/>
  <c r="AI367" i="3"/>
  <c r="AI363" i="3"/>
  <c r="AI359" i="3"/>
  <c r="AI355" i="3"/>
  <c r="AI351" i="3"/>
  <c r="H350" i="3"/>
  <c r="AK349" i="3"/>
  <c r="BF348" i="3"/>
  <c r="Z348" i="3"/>
  <c r="BD347" i="3"/>
  <c r="X347" i="3"/>
  <c r="BD346" i="3"/>
  <c r="X346" i="3"/>
  <c r="BA345" i="3"/>
  <c r="U345" i="3"/>
  <c r="AP344" i="3"/>
  <c r="J344" i="3"/>
  <c r="AN343" i="3"/>
  <c r="H343" i="3"/>
  <c r="AN342" i="3"/>
  <c r="H342" i="3"/>
  <c r="AK341" i="3"/>
  <c r="BF340" i="3"/>
  <c r="Z340" i="3"/>
  <c r="BD339" i="3"/>
  <c r="X339" i="3"/>
  <c r="BD338" i="3"/>
  <c r="X338" i="3"/>
  <c r="BA337" i="3"/>
  <c r="U337" i="3"/>
  <c r="AP336" i="3"/>
  <c r="J336" i="3"/>
  <c r="AN335" i="3"/>
  <c r="H335" i="3"/>
  <c r="AN334" i="3"/>
  <c r="H334" i="3"/>
  <c r="AK333" i="3"/>
  <c r="BF332" i="3"/>
  <c r="Z332" i="3"/>
  <c r="AX330" i="3"/>
  <c r="R330" i="3"/>
  <c r="AV329" i="3"/>
  <c r="P329" i="3"/>
  <c r="AV328" i="3"/>
  <c r="P328" i="3"/>
  <c r="AS327" i="3"/>
  <c r="M327" i="3"/>
  <c r="AH326" i="3"/>
  <c r="BL325" i="3"/>
  <c r="AF325" i="3"/>
  <c r="BL324" i="3"/>
  <c r="AF324" i="3"/>
  <c r="BI323" i="3"/>
  <c r="AC323" i="3"/>
  <c r="AX322" i="3"/>
  <c r="R322" i="3"/>
  <c r="AV321" i="3"/>
  <c r="P321" i="3"/>
  <c r="AV320" i="3"/>
  <c r="P320" i="3"/>
  <c r="AS319" i="3"/>
  <c r="M319" i="3"/>
  <c r="AH318" i="3"/>
  <c r="BL317" i="3"/>
  <c r="AF317" i="3"/>
  <c r="BL316" i="3"/>
  <c r="AF316" i="3"/>
  <c r="BI315" i="3"/>
  <c r="AQ315" i="3"/>
  <c r="AA315" i="3"/>
  <c r="K315" i="3"/>
  <c r="BD314" i="3"/>
  <c r="AN314" i="3"/>
  <c r="X314" i="3"/>
  <c r="H314" i="3"/>
  <c r="BA313" i="3"/>
  <c r="AK313" i="3"/>
  <c r="U313" i="3"/>
  <c r="BJ312" i="3"/>
  <c r="AT312" i="3"/>
  <c r="AD312" i="3"/>
  <c r="N312" i="3"/>
  <c r="BC311" i="3"/>
  <c r="AM311" i="3"/>
  <c r="W311" i="3"/>
  <c r="G311" i="3"/>
  <c r="AZ310" i="3"/>
  <c r="AJ310" i="3"/>
  <c r="T310" i="3"/>
  <c r="BM309" i="3"/>
  <c r="AW309" i="3"/>
  <c r="AG309" i="3"/>
  <c r="Q309" i="3"/>
  <c r="BF308" i="3"/>
  <c r="AP308" i="3"/>
  <c r="Z308" i="3"/>
  <c r="J308" i="3"/>
  <c r="AY307" i="3"/>
  <c r="AI307" i="3"/>
  <c r="S307" i="3"/>
  <c r="BL306" i="3"/>
  <c r="AV306" i="3"/>
  <c r="AF306" i="3"/>
  <c r="P306" i="3"/>
  <c r="BI305" i="3"/>
  <c r="AS305" i="3"/>
  <c r="AC305" i="3"/>
  <c r="M305" i="3"/>
  <c r="BB304" i="3"/>
  <c r="AL304" i="3"/>
  <c r="V304" i="3"/>
  <c r="BK303" i="3"/>
  <c r="AU303" i="3"/>
  <c r="AE303" i="3"/>
  <c r="O303" i="3"/>
  <c r="BH302" i="3"/>
  <c r="AR302" i="3"/>
  <c r="AB302" i="3"/>
  <c r="L302" i="3"/>
  <c r="BE301" i="3"/>
  <c r="AO301" i="3"/>
  <c r="Y301" i="3"/>
  <c r="I301" i="3"/>
  <c r="AX300" i="3"/>
  <c r="AH300" i="3"/>
  <c r="R300" i="3"/>
  <c r="BG299" i="3"/>
  <c r="AQ299" i="3"/>
  <c r="AA299" i="3"/>
  <c r="K299" i="3"/>
  <c r="BD298" i="3"/>
  <c r="AN298" i="3"/>
  <c r="X298" i="3"/>
  <c r="H298" i="3"/>
  <c r="BA297" i="3"/>
  <c r="AK297" i="3"/>
  <c r="U297" i="3"/>
  <c r="BJ296" i="3"/>
  <c r="AT296" i="3"/>
  <c r="AD296" i="3"/>
  <c r="N296" i="3"/>
  <c r="BC295" i="3"/>
  <c r="AM295" i="3"/>
  <c r="W295" i="3"/>
  <c r="G295" i="3"/>
  <c r="AZ294" i="3"/>
  <c r="AJ294" i="3"/>
  <c r="T294" i="3"/>
  <c r="BM293" i="3"/>
  <c r="AW293" i="3"/>
  <c r="AG293" i="3"/>
  <c r="Q293" i="3"/>
  <c r="BF292" i="3"/>
  <c r="AP292" i="3"/>
  <c r="Z292" i="3"/>
  <c r="J292" i="3"/>
  <c r="AY291" i="3"/>
  <c r="AI291" i="3"/>
  <c r="S291" i="3"/>
  <c r="K413" i="3"/>
  <c r="BL408" i="3"/>
  <c r="P404" i="3"/>
  <c r="AF400" i="3"/>
  <c r="AV396" i="3"/>
  <c r="BL392" i="3"/>
  <c r="P388" i="3"/>
  <c r="AF384" i="3"/>
  <c r="AV380" i="3"/>
  <c r="BL376" i="3"/>
  <c r="AZ374" i="3"/>
  <c r="BD370" i="3"/>
  <c r="BB368" i="3"/>
  <c r="BD366" i="3"/>
  <c r="BB364" i="3"/>
  <c r="BD362" i="3"/>
  <c r="BB360" i="3"/>
  <c r="BD358" i="3"/>
  <c r="BB356" i="3"/>
  <c r="BD354" i="3"/>
  <c r="BB352" i="3"/>
  <c r="BD350" i="3"/>
  <c r="BF349" i="3"/>
  <c r="Z349" i="3"/>
  <c r="BC348" i="3"/>
  <c r="W348" i="3"/>
  <c r="BC347" i="3"/>
  <c r="W347" i="3"/>
  <c r="BA346" i="3"/>
  <c r="U346" i="3"/>
  <c r="AP345" i="3"/>
  <c r="J345" i="3"/>
  <c r="AM344" i="3"/>
  <c r="G344" i="3"/>
  <c r="AM343" i="3"/>
  <c r="G343" i="3"/>
  <c r="AK342" i="3"/>
  <c r="BF341" i="3"/>
  <c r="Z341" i="3"/>
  <c r="BC340" i="3"/>
  <c r="W340" i="3"/>
  <c r="BC339" i="3"/>
  <c r="W339" i="3"/>
  <c r="BA338" i="3"/>
  <c r="U338" i="3"/>
  <c r="AP337" i="3"/>
  <c r="J337" i="3"/>
  <c r="AM336" i="3"/>
  <c r="G336" i="3"/>
  <c r="AM335" i="3"/>
  <c r="G335" i="3"/>
  <c r="AK334" i="3"/>
  <c r="BF333" i="3"/>
  <c r="Z333" i="3"/>
  <c r="BC332" i="3"/>
  <c r="W332" i="3"/>
  <c r="BC330" i="3"/>
  <c r="W330" i="3"/>
  <c r="BC329" i="3"/>
  <c r="W329" i="3"/>
  <c r="BA328" i="3"/>
  <c r="U328" i="3"/>
  <c r="AP327" i="3"/>
  <c r="J327" i="3"/>
  <c r="AM326" i="3"/>
  <c r="G326" i="3"/>
  <c r="AM325" i="3"/>
  <c r="G325" i="3"/>
  <c r="AK324" i="3"/>
  <c r="BF323" i="3"/>
  <c r="Z323" i="3"/>
  <c r="BC322" i="3"/>
  <c r="W322" i="3"/>
  <c r="BC321" i="3"/>
  <c r="W321" i="3"/>
  <c r="BA320" i="3"/>
  <c r="U320" i="3"/>
  <c r="AP319" i="3"/>
  <c r="J319" i="3"/>
  <c r="AM318" i="3"/>
  <c r="G318" i="3"/>
  <c r="AM317" i="3"/>
  <c r="G317" i="3"/>
  <c r="AK316" i="3"/>
  <c r="BG315" i="3"/>
  <c r="AP315" i="3"/>
  <c r="Z315" i="3"/>
  <c r="J315" i="3"/>
  <c r="AY314" i="3"/>
  <c r="AI314" i="3"/>
  <c r="S314" i="3"/>
  <c r="BL313" i="3"/>
  <c r="AV313" i="3"/>
  <c r="AF313" i="3"/>
  <c r="P313" i="3"/>
  <c r="BI312" i="3"/>
  <c r="AS312" i="3"/>
  <c r="AC312" i="3"/>
  <c r="M312" i="3"/>
  <c r="BB311" i="3"/>
  <c r="AL311" i="3"/>
  <c r="V311" i="3"/>
  <c r="BK310" i="3"/>
  <c r="AU310" i="3"/>
  <c r="AE310" i="3"/>
  <c r="O310" i="3"/>
  <c r="BH309" i="3"/>
  <c r="AR309" i="3"/>
  <c r="AB309" i="3"/>
  <c r="L309" i="3"/>
  <c r="BE308" i="3"/>
  <c r="AO308" i="3"/>
  <c r="Y308" i="3"/>
  <c r="I308" i="3"/>
  <c r="AX307" i="3"/>
  <c r="AH307" i="3"/>
  <c r="R307" i="3"/>
  <c r="BG306" i="3"/>
  <c r="AQ306" i="3"/>
  <c r="AA306" i="3"/>
  <c r="K306" i="3"/>
  <c r="BD305" i="3"/>
  <c r="AN305" i="3"/>
  <c r="X305" i="3"/>
  <c r="H305" i="3"/>
  <c r="BA304" i="3"/>
  <c r="AK304" i="3"/>
  <c r="U304" i="3"/>
  <c r="BJ303" i="3"/>
  <c r="AT303" i="3"/>
  <c r="AD303" i="3"/>
  <c r="N303" i="3"/>
  <c r="BC302" i="3"/>
  <c r="AM302" i="3"/>
  <c r="W302" i="3"/>
  <c r="G302" i="3"/>
  <c r="AZ301" i="3"/>
  <c r="AJ301" i="3"/>
  <c r="T301" i="3"/>
  <c r="BM300" i="3"/>
  <c r="AW300" i="3"/>
  <c r="AG300" i="3"/>
  <c r="Q300" i="3"/>
  <c r="BF299" i="3"/>
  <c r="AP299" i="3"/>
  <c r="Z299" i="3"/>
  <c r="J299" i="3"/>
  <c r="AY298" i="3"/>
  <c r="AI298" i="3"/>
  <c r="S298" i="3"/>
  <c r="BL297" i="3"/>
  <c r="AV297" i="3"/>
  <c r="AF297" i="3"/>
  <c r="P297" i="3"/>
  <c r="BI296" i="3"/>
  <c r="AS296" i="3"/>
  <c r="AC296" i="3"/>
  <c r="M296" i="3"/>
  <c r="BB295" i="3"/>
  <c r="AL295" i="3"/>
  <c r="V295" i="3"/>
  <c r="BK294" i="3"/>
  <c r="AU294" i="3"/>
  <c r="AE294" i="3"/>
  <c r="O294" i="3"/>
  <c r="BH293" i="3"/>
  <c r="AR293" i="3"/>
  <c r="BI292" i="3"/>
  <c r="BF291" i="3"/>
  <c r="BM289" i="3"/>
  <c r="AW289" i="3"/>
  <c r="AG289" i="3"/>
  <c r="Q289" i="3"/>
  <c r="BF288" i="3"/>
  <c r="AP288" i="3"/>
  <c r="Z288" i="3"/>
  <c r="J288" i="3"/>
  <c r="AY287" i="3"/>
  <c r="AI287" i="3"/>
  <c r="S287" i="3"/>
  <c r="BL286" i="3"/>
  <c r="AV286" i="3"/>
  <c r="AF286" i="3"/>
  <c r="P286" i="3"/>
  <c r="BI285" i="3"/>
  <c r="AS285" i="3"/>
  <c r="AC285" i="3"/>
  <c r="M285" i="3"/>
  <c r="BB284" i="3"/>
  <c r="AL284" i="3"/>
  <c r="V284" i="3"/>
  <c r="BK283" i="3"/>
  <c r="AU283" i="3"/>
  <c r="AE283" i="3"/>
  <c r="O283" i="3"/>
  <c r="BH282" i="3"/>
  <c r="AR282" i="3"/>
  <c r="AB282" i="3"/>
  <c r="L282" i="3"/>
  <c r="BE281" i="3"/>
  <c r="AO281" i="3"/>
  <c r="Y281" i="3"/>
  <c r="I281" i="3"/>
  <c r="AX280" i="3"/>
  <c r="AH280" i="3"/>
  <c r="R280" i="3"/>
  <c r="BG279" i="3"/>
  <c r="AQ279" i="3"/>
  <c r="AA279" i="3"/>
  <c r="K279" i="3"/>
  <c r="BD278" i="3"/>
  <c r="AN278" i="3"/>
  <c r="X278" i="3"/>
  <c r="H278" i="3"/>
  <c r="BA277" i="3"/>
  <c r="AK277" i="3"/>
  <c r="U277" i="3"/>
  <c r="BJ276" i="3"/>
  <c r="AT276" i="3"/>
  <c r="AD276" i="3"/>
  <c r="N276" i="3"/>
  <c r="BC275" i="3"/>
  <c r="AM275" i="3"/>
  <c r="W275" i="3"/>
  <c r="G275" i="3"/>
  <c r="AZ274" i="3"/>
  <c r="AJ274" i="3"/>
  <c r="T274" i="3"/>
  <c r="BM273" i="3"/>
  <c r="AW273" i="3"/>
  <c r="AG273" i="3"/>
  <c r="Q273" i="3"/>
  <c r="BF272" i="3"/>
  <c r="AP272" i="3"/>
  <c r="Z272" i="3"/>
  <c r="J272" i="3"/>
  <c r="AY271" i="3"/>
  <c r="AI271" i="3"/>
  <c r="S271" i="3"/>
  <c r="BL270" i="3"/>
  <c r="AV270" i="3"/>
  <c r="AF270" i="3"/>
  <c r="P270" i="3"/>
  <c r="BI269" i="3"/>
  <c r="AS269" i="3"/>
  <c r="AC269" i="3"/>
  <c r="M269" i="3"/>
  <c r="BB268" i="3"/>
  <c r="AL268" i="3"/>
  <c r="V268" i="3"/>
  <c r="BK267" i="3"/>
  <c r="AU267" i="3"/>
  <c r="AE267" i="3"/>
  <c r="O267" i="3"/>
  <c r="BH266" i="3"/>
  <c r="AR266" i="3"/>
  <c r="AB266" i="3"/>
  <c r="L266" i="3"/>
  <c r="BE265" i="3"/>
  <c r="AO265" i="3"/>
  <c r="Y265" i="3"/>
  <c r="I265" i="3"/>
  <c r="AX264" i="3"/>
  <c r="AH264" i="3"/>
  <c r="R264" i="3"/>
  <c r="BG263" i="3"/>
  <c r="AQ263" i="3"/>
  <c r="AA263" i="3"/>
  <c r="K263" i="3"/>
  <c r="BD262" i="3"/>
  <c r="AN262" i="3"/>
  <c r="X262" i="3"/>
  <c r="H262" i="3"/>
  <c r="BA261" i="3"/>
  <c r="AK261" i="3"/>
  <c r="U261" i="3"/>
  <c r="BJ260" i="3"/>
  <c r="AT260" i="3"/>
  <c r="AD260" i="3"/>
  <c r="N260" i="3"/>
  <c r="BC259" i="3"/>
  <c r="AM259" i="3"/>
  <c r="W259" i="3"/>
  <c r="G259" i="3"/>
  <c r="AZ258" i="3"/>
  <c r="AJ258" i="3"/>
  <c r="T258" i="3"/>
  <c r="BM257" i="3"/>
  <c r="AW257" i="3"/>
  <c r="AG257" i="3"/>
  <c r="Q257" i="3"/>
  <c r="BF256" i="3"/>
  <c r="AP256" i="3"/>
  <c r="Z256" i="3"/>
  <c r="J256" i="3"/>
  <c r="AY255" i="3"/>
  <c r="AI255" i="3"/>
  <c r="S255" i="3"/>
  <c r="BL254" i="3"/>
  <c r="AV254" i="3"/>
  <c r="AF254" i="3"/>
  <c r="P254" i="3"/>
  <c r="BI253" i="3"/>
  <c r="AS253" i="3"/>
  <c r="AC253" i="3"/>
  <c r="M253" i="3"/>
  <c r="BB252" i="3"/>
  <c r="AL252" i="3"/>
  <c r="V252" i="3"/>
  <c r="BK251" i="3"/>
  <c r="AU251" i="3"/>
  <c r="AE251" i="3"/>
  <c r="O251" i="3"/>
  <c r="BH250" i="3"/>
  <c r="AR250" i="3"/>
  <c r="AB250" i="3"/>
  <c r="L250" i="3"/>
  <c r="BD248" i="3"/>
  <c r="AN248" i="3"/>
  <c r="X248" i="3"/>
  <c r="H248" i="3"/>
  <c r="BA247" i="3"/>
  <c r="AK247" i="3"/>
  <c r="U247" i="3"/>
  <c r="BJ246" i="3"/>
  <c r="AT246" i="3"/>
  <c r="AD246" i="3"/>
  <c r="N246" i="3"/>
  <c r="BC245" i="3"/>
  <c r="AM245" i="3"/>
  <c r="W245" i="3"/>
  <c r="G245" i="3"/>
  <c r="AZ244" i="3"/>
  <c r="AJ244" i="3"/>
  <c r="T244" i="3"/>
  <c r="BM243" i="3"/>
  <c r="AW243" i="3"/>
  <c r="AG243" i="3"/>
  <c r="Q243" i="3"/>
  <c r="BF242" i="3"/>
  <c r="AP242" i="3"/>
  <c r="Z242" i="3"/>
  <c r="J242" i="3"/>
  <c r="AY241" i="3"/>
  <c r="AI241" i="3"/>
  <c r="S241" i="3"/>
  <c r="BL240" i="3"/>
  <c r="AV240" i="3"/>
  <c r="AF240" i="3"/>
  <c r="P240" i="3"/>
  <c r="BI239" i="3"/>
  <c r="AS239" i="3"/>
  <c r="AC239" i="3"/>
  <c r="M239" i="3"/>
  <c r="BB238" i="3"/>
  <c r="AL238" i="3"/>
  <c r="V238" i="3"/>
  <c r="BK237" i="3"/>
  <c r="AU237" i="3"/>
  <c r="AE237" i="3"/>
  <c r="O237" i="3"/>
  <c r="BH236" i="3"/>
  <c r="AR236" i="3"/>
  <c r="AB236" i="3"/>
  <c r="L236" i="3"/>
  <c r="BE235" i="3"/>
  <c r="AO235" i="3"/>
  <c r="Y235" i="3"/>
  <c r="I235" i="3"/>
  <c r="AX234" i="3"/>
  <c r="AH234" i="3"/>
  <c r="R234" i="3"/>
  <c r="BG233" i="3"/>
  <c r="AQ233" i="3"/>
  <c r="AA233" i="3"/>
  <c r="K233" i="3"/>
  <c r="BD232" i="3"/>
  <c r="AN232" i="3"/>
  <c r="X232" i="3"/>
  <c r="H232" i="3"/>
  <c r="BA231" i="3"/>
  <c r="AK231" i="3"/>
  <c r="U231" i="3"/>
  <c r="BJ230" i="3"/>
  <c r="AT230" i="3"/>
  <c r="AD230" i="3"/>
  <c r="N230" i="3"/>
  <c r="BC229" i="3"/>
  <c r="AM229" i="3"/>
  <c r="W229" i="3"/>
  <c r="G229" i="3"/>
  <c r="AZ228" i="3"/>
  <c r="AJ228" i="3"/>
  <c r="T228" i="3"/>
  <c r="BM227" i="3"/>
  <c r="AW227" i="3"/>
  <c r="AG227" i="3"/>
  <c r="Q227" i="3"/>
  <c r="BF226" i="3"/>
  <c r="AP226" i="3"/>
  <c r="Z226" i="3"/>
  <c r="J226" i="3"/>
  <c r="AY225" i="3"/>
  <c r="AI225" i="3"/>
  <c r="S225" i="3"/>
  <c r="BL224" i="3"/>
  <c r="AV224" i="3"/>
  <c r="AF224" i="3"/>
  <c r="P224" i="3"/>
  <c r="BI223" i="3"/>
  <c r="AS223" i="3"/>
  <c r="AC223" i="3"/>
  <c r="M223" i="3"/>
  <c r="BB222" i="3"/>
  <c r="AL222" i="3"/>
  <c r="V222" i="3"/>
  <c r="BK221" i="3"/>
  <c r="AU221" i="3"/>
  <c r="AE221" i="3"/>
  <c r="O221" i="3"/>
  <c r="BH220" i="3"/>
  <c r="AR220" i="3"/>
  <c r="AB220" i="3"/>
  <c r="L220" i="3"/>
  <c r="BE219" i="3"/>
  <c r="AO219" i="3"/>
  <c r="Y219" i="3"/>
  <c r="I219" i="3"/>
  <c r="AX218" i="3"/>
  <c r="AH218" i="3"/>
  <c r="R218" i="3"/>
  <c r="BG217" i="3"/>
  <c r="AQ217" i="3"/>
  <c r="AA217" i="3"/>
  <c r="K217" i="3"/>
  <c r="BD216" i="3"/>
  <c r="AN216" i="3"/>
  <c r="X216" i="3"/>
  <c r="H216" i="3"/>
  <c r="BA215" i="3"/>
  <c r="AK215" i="3"/>
  <c r="U215" i="3"/>
  <c r="BJ214" i="3"/>
  <c r="AT214" i="3"/>
  <c r="AD214" i="3"/>
  <c r="N214" i="3"/>
  <c r="BC213" i="3"/>
  <c r="AM213" i="3"/>
  <c r="W213" i="3"/>
  <c r="G213" i="3"/>
  <c r="AZ212" i="3"/>
  <c r="AJ212" i="3"/>
  <c r="T212" i="3"/>
  <c r="BM211" i="3"/>
  <c r="AW211" i="3"/>
  <c r="AG211" i="3"/>
  <c r="Q211" i="3"/>
  <c r="BF210" i="3"/>
  <c r="AP210" i="3"/>
  <c r="Z210" i="3"/>
  <c r="J210" i="3"/>
  <c r="AY209" i="3"/>
  <c r="AI209" i="3"/>
  <c r="S209" i="3"/>
  <c r="BK207" i="3"/>
  <c r="AU207" i="3"/>
  <c r="AE207" i="3"/>
  <c r="O207" i="3"/>
  <c r="BH206" i="3"/>
  <c r="AR206" i="3"/>
  <c r="AB206" i="3"/>
  <c r="L206" i="3"/>
  <c r="BE205" i="3"/>
  <c r="AO205" i="3"/>
  <c r="Y205" i="3"/>
  <c r="I205" i="3"/>
  <c r="AX204" i="3"/>
  <c r="AH204" i="3"/>
  <c r="R204" i="3"/>
  <c r="BG203" i="3"/>
  <c r="AQ203" i="3"/>
  <c r="AA203" i="3"/>
  <c r="K203" i="3"/>
  <c r="BD202" i="3"/>
  <c r="AN202" i="3"/>
  <c r="X202" i="3"/>
  <c r="H202" i="3"/>
  <c r="BA201" i="3"/>
  <c r="AK201" i="3"/>
  <c r="U201" i="3"/>
  <c r="BJ200" i="3"/>
  <c r="AT200" i="3"/>
  <c r="AD200" i="3"/>
  <c r="X293" i="3"/>
  <c r="Y292" i="3"/>
  <c r="V291" i="3"/>
  <c r="AZ289" i="3"/>
  <c r="AJ289" i="3"/>
  <c r="T289" i="3"/>
  <c r="BM288" i="3"/>
  <c r="AW288" i="3"/>
  <c r="AG288" i="3"/>
  <c r="Q288" i="3"/>
  <c r="BF287" i="3"/>
  <c r="AP287" i="3"/>
  <c r="Z287" i="3"/>
  <c r="J287" i="3"/>
  <c r="AY286" i="3"/>
  <c r="AI286" i="3"/>
  <c r="S286" i="3"/>
  <c r="BL285" i="3"/>
  <c r="AV285" i="3"/>
  <c r="AF285" i="3"/>
  <c r="P285" i="3"/>
  <c r="BI284" i="3"/>
  <c r="AS284" i="3"/>
  <c r="AC284" i="3"/>
  <c r="M284" i="3"/>
  <c r="BB283" i="3"/>
  <c r="AL283" i="3"/>
  <c r="V283" i="3"/>
  <c r="BK282" i="3"/>
  <c r="AU282" i="3"/>
  <c r="AE282" i="3"/>
  <c r="O282" i="3"/>
  <c r="BH281" i="3"/>
  <c r="AR281" i="3"/>
  <c r="AB281" i="3"/>
  <c r="L281" i="3"/>
  <c r="BE280" i="3"/>
  <c r="AO280" i="3"/>
  <c r="Y280" i="3"/>
  <c r="I280" i="3"/>
  <c r="AX279" i="3"/>
  <c r="AH279" i="3"/>
  <c r="R279" i="3"/>
  <c r="BG278" i="3"/>
  <c r="AQ278" i="3"/>
  <c r="AA278" i="3"/>
  <c r="K278" i="3"/>
  <c r="BD277" i="3"/>
  <c r="AN277" i="3"/>
  <c r="X277" i="3"/>
  <c r="H277" i="3"/>
  <c r="BA276" i="3"/>
  <c r="AK276" i="3"/>
  <c r="U276" i="3"/>
  <c r="BJ275" i="3"/>
  <c r="AT275" i="3"/>
  <c r="AD275" i="3"/>
  <c r="N275" i="3"/>
  <c r="BC274" i="3"/>
  <c r="AM274" i="3"/>
  <c r="W274" i="3"/>
  <c r="G274" i="3"/>
  <c r="AZ273" i="3"/>
  <c r="AJ273" i="3"/>
  <c r="T273" i="3"/>
  <c r="BM272" i="3"/>
  <c r="AW272" i="3"/>
  <c r="AG272" i="3"/>
  <c r="Q272" i="3"/>
  <c r="BF271" i="3"/>
  <c r="AP271" i="3"/>
  <c r="Z271" i="3"/>
  <c r="J271" i="3"/>
  <c r="AY270" i="3"/>
  <c r="AI270" i="3"/>
  <c r="S270" i="3"/>
  <c r="BL269" i="3"/>
  <c r="AV269" i="3"/>
  <c r="AF269" i="3"/>
  <c r="P269" i="3"/>
  <c r="BI268" i="3"/>
  <c r="AS268" i="3"/>
  <c r="AC268" i="3"/>
  <c r="M268" i="3"/>
  <c r="BB267" i="3"/>
  <c r="AL267" i="3"/>
  <c r="V267" i="3"/>
  <c r="BK266" i="3"/>
  <c r="AU266" i="3"/>
  <c r="AE266" i="3"/>
  <c r="O266" i="3"/>
  <c r="BH265" i="3"/>
  <c r="AR265" i="3"/>
  <c r="AB265" i="3"/>
  <c r="L265" i="3"/>
  <c r="BE264" i="3"/>
  <c r="AO264" i="3"/>
  <c r="Y264" i="3"/>
  <c r="I264" i="3"/>
  <c r="AX263" i="3"/>
  <c r="AH263" i="3"/>
  <c r="R263" i="3"/>
  <c r="BG262" i="3"/>
  <c r="AQ262" i="3"/>
  <c r="AA262" i="3"/>
  <c r="K262" i="3"/>
  <c r="BD261" i="3"/>
  <c r="AN261" i="3"/>
  <c r="X261" i="3"/>
  <c r="H261" i="3"/>
  <c r="BA260" i="3"/>
  <c r="AK260" i="3"/>
  <c r="U260" i="3"/>
  <c r="BJ259" i="3"/>
  <c r="AT259" i="3"/>
  <c r="AD259" i="3"/>
  <c r="N259" i="3"/>
  <c r="BC258" i="3"/>
  <c r="AM258" i="3"/>
  <c r="W258" i="3"/>
  <c r="G258" i="3"/>
  <c r="AZ257" i="3"/>
  <c r="AJ257" i="3"/>
  <c r="T257" i="3"/>
  <c r="BM256" i="3"/>
  <c r="AW256" i="3"/>
  <c r="AG256" i="3"/>
  <c r="Q256" i="3"/>
  <c r="BF255" i="3"/>
  <c r="AP255" i="3"/>
  <c r="Z255" i="3"/>
  <c r="J255" i="3"/>
  <c r="AY254" i="3"/>
  <c r="AI254" i="3"/>
  <c r="S254" i="3"/>
  <c r="BL253" i="3"/>
  <c r="AV253" i="3"/>
  <c r="AF253" i="3"/>
  <c r="P253" i="3"/>
  <c r="BI252" i="3"/>
  <c r="AS252" i="3"/>
  <c r="AC252" i="3"/>
  <c r="M252" i="3"/>
  <c r="BB251" i="3"/>
  <c r="AL251" i="3"/>
  <c r="V251" i="3"/>
  <c r="BK250" i="3"/>
  <c r="AU250" i="3"/>
  <c r="AE250" i="3"/>
  <c r="O250" i="3"/>
  <c r="BG248" i="3"/>
  <c r="AQ248" i="3"/>
  <c r="AA248" i="3"/>
  <c r="K248" i="3"/>
  <c r="BD247" i="3"/>
  <c r="AN247" i="3"/>
  <c r="X247" i="3"/>
  <c r="H247" i="3"/>
  <c r="BA246" i="3"/>
  <c r="AK246" i="3"/>
  <c r="U246" i="3"/>
  <c r="BJ245" i="3"/>
  <c r="AT245" i="3"/>
  <c r="AD245" i="3"/>
  <c r="N245" i="3"/>
  <c r="BC244" i="3"/>
  <c r="AM244" i="3"/>
  <c r="W244" i="3"/>
  <c r="G244" i="3"/>
  <c r="AZ243" i="3"/>
  <c r="AJ243" i="3"/>
  <c r="T243" i="3"/>
  <c r="BM242" i="3"/>
  <c r="AW242" i="3"/>
  <c r="AG242" i="3"/>
  <c r="Q242" i="3"/>
  <c r="BF241" i="3"/>
  <c r="AP241" i="3"/>
  <c r="Z241" i="3"/>
  <c r="J241" i="3"/>
  <c r="AY240" i="3"/>
  <c r="AI240" i="3"/>
  <c r="S240" i="3"/>
  <c r="BL239" i="3"/>
  <c r="AV239" i="3"/>
  <c r="AF239" i="3"/>
  <c r="P239" i="3"/>
  <c r="BI238" i="3"/>
  <c r="AS238" i="3"/>
  <c r="AC238" i="3"/>
  <c r="M238" i="3"/>
  <c r="BB237" i="3"/>
  <c r="AL237" i="3"/>
  <c r="V237" i="3"/>
  <c r="BK236" i="3"/>
  <c r="AU236" i="3"/>
  <c r="AE236" i="3"/>
  <c r="O236" i="3"/>
  <c r="BH235" i="3"/>
  <c r="AR235" i="3"/>
  <c r="AB235" i="3"/>
  <c r="L235" i="3"/>
  <c r="BE234" i="3"/>
  <c r="AO234" i="3"/>
  <c r="Y234" i="3"/>
  <c r="I234" i="3"/>
  <c r="AX233" i="3"/>
  <c r="AH233" i="3"/>
  <c r="R233" i="3"/>
  <c r="BG232" i="3"/>
  <c r="AQ232" i="3"/>
  <c r="AA232" i="3"/>
  <c r="K232" i="3"/>
  <c r="BD231" i="3"/>
  <c r="AN231" i="3"/>
  <c r="X231" i="3"/>
  <c r="H231" i="3"/>
  <c r="BA230" i="3"/>
  <c r="AK230" i="3"/>
  <c r="U230" i="3"/>
  <c r="BJ229" i="3"/>
  <c r="AT229" i="3"/>
  <c r="AD229" i="3"/>
  <c r="N229" i="3"/>
  <c r="BC228" i="3"/>
  <c r="AM228" i="3"/>
  <c r="W228" i="3"/>
  <c r="G228" i="3"/>
  <c r="AZ227" i="3"/>
  <c r="AJ227" i="3"/>
  <c r="T227" i="3"/>
  <c r="BM226" i="3"/>
  <c r="AW226" i="3"/>
  <c r="AG226" i="3"/>
  <c r="Q226" i="3"/>
  <c r="BF225" i="3"/>
  <c r="AP225" i="3"/>
  <c r="Z225" i="3"/>
  <c r="J225" i="3"/>
  <c r="AY224" i="3"/>
  <c r="AI224" i="3"/>
  <c r="S224" i="3"/>
  <c r="BL223" i="3"/>
  <c r="AV223" i="3"/>
  <c r="AF223" i="3"/>
  <c r="P223" i="3"/>
  <c r="BI222" i="3"/>
  <c r="AS222" i="3"/>
  <c r="AC222" i="3"/>
  <c r="M222" i="3"/>
  <c r="BB221" i="3"/>
  <c r="AL221" i="3"/>
  <c r="V221" i="3"/>
  <c r="BK220" i="3"/>
  <c r="AU220" i="3"/>
  <c r="AE220" i="3"/>
  <c r="O220" i="3"/>
  <c r="BH219" i="3"/>
  <c r="AR219" i="3"/>
  <c r="AB219" i="3"/>
  <c r="L219" i="3"/>
  <c r="BE218" i="3"/>
  <c r="AO218" i="3"/>
  <c r="Y218" i="3"/>
  <c r="I218" i="3"/>
  <c r="AX217" i="3"/>
  <c r="AH217" i="3"/>
  <c r="R217" i="3"/>
  <c r="BG216" i="3"/>
  <c r="AQ216" i="3"/>
  <c r="AA216" i="3"/>
  <c r="K216" i="3"/>
  <c r="BD215" i="3"/>
  <c r="AN215" i="3"/>
  <c r="X215" i="3"/>
  <c r="H215" i="3"/>
  <c r="BA214" i="3"/>
  <c r="AK214" i="3"/>
  <c r="U214" i="3"/>
  <c r="BJ213" i="3"/>
  <c r="AT213" i="3"/>
  <c r="AD213" i="3"/>
  <c r="N213" i="3"/>
  <c r="BC212" i="3"/>
  <c r="AM212" i="3"/>
  <c r="W212" i="3"/>
  <c r="G212" i="3"/>
  <c r="AZ211" i="3"/>
  <c r="AJ211" i="3"/>
  <c r="T211" i="3"/>
  <c r="BM210" i="3"/>
  <c r="AW210" i="3"/>
  <c r="AG210" i="3"/>
  <c r="Q210" i="3"/>
  <c r="BF209" i="3"/>
  <c r="AP209" i="3"/>
  <c r="Z209" i="3"/>
  <c r="J209" i="3"/>
  <c r="AX207" i="3"/>
  <c r="AH207" i="3"/>
  <c r="R207" i="3"/>
  <c r="T293" i="3"/>
  <c r="AX291" i="3"/>
  <c r="BG289" i="3"/>
  <c r="AQ289" i="3"/>
  <c r="AA289" i="3"/>
  <c r="K289" i="3"/>
  <c r="BD288" i="3"/>
  <c r="AN288" i="3"/>
  <c r="X288" i="3"/>
  <c r="H288" i="3"/>
  <c r="BA287" i="3"/>
  <c r="AK287" i="3"/>
  <c r="U287" i="3"/>
  <c r="BJ286" i="3"/>
  <c r="AT286" i="3"/>
  <c r="AD286" i="3"/>
  <c r="N286" i="3"/>
  <c r="BC285" i="3"/>
  <c r="AM285" i="3"/>
  <c r="W285" i="3"/>
  <c r="G285" i="3"/>
  <c r="AZ284" i="3"/>
  <c r="AJ284" i="3"/>
  <c r="T284" i="3"/>
  <c r="BM283" i="3"/>
  <c r="AW283" i="3"/>
  <c r="AG283" i="3"/>
  <c r="Q283" i="3"/>
  <c r="BF282" i="3"/>
  <c r="AP282" i="3"/>
  <c r="Z282" i="3"/>
  <c r="J282" i="3"/>
  <c r="AY281" i="3"/>
  <c r="AI281" i="3"/>
  <c r="S281" i="3"/>
  <c r="BL280" i="3"/>
  <c r="AV280" i="3"/>
  <c r="AF280" i="3"/>
  <c r="P280" i="3"/>
  <c r="BI279" i="3"/>
  <c r="AS279" i="3"/>
  <c r="AC279" i="3"/>
  <c r="M279" i="3"/>
  <c r="BB278" i="3"/>
  <c r="AL278" i="3"/>
  <c r="V278" i="3"/>
  <c r="BK277" i="3"/>
  <c r="AU277" i="3"/>
  <c r="AE277" i="3"/>
  <c r="O277" i="3"/>
  <c r="BH276" i="3"/>
  <c r="AR276" i="3"/>
  <c r="AB276" i="3"/>
  <c r="L276" i="3"/>
  <c r="BE275" i="3"/>
  <c r="AO275" i="3"/>
  <c r="Y275" i="3"/>
  <c r="I275" i="3"/>
  <c r="AX274" i="3"/>
  <c r="AH274" i="3"/>
  <c r="R274" i="3"/>
  <c r="BG273" i="3"/>
  <c r="AQ273" i="3"/>
  <c r="AA273" i="3"/>
  <c r="K273" i="3"/>
  <c r="BD272" i="3"/>
  <c r="AN272" i="3"/>
  <c r="X272" i="3"/>
  <c r="H272" i="3"/>
  <c r="BA271" i="3"/>
  <c r="AK271" i="3"/>
  <c r="U271" i="3"/>
  <c r="BJ270" i="3"/>
  <c r="AT270" i="3"/>
  <c r="AD270" i="3"/>
  <c r="N270" i="3"/>
  <c r="BC269" i="3"/>
  <c r="AM269" i="3"/>
  <c r="W269" i="3"/>
  <c r="G269" i="3"/>
  <c r="AZ268" i="3"/>
  <c r="AJ268" i="3"/>
  <c r="T268" i="3"/>
  <c r="BM267" i="3"/>
  <c r="AW267" i="3"/>
  <c r="AG267" i="3"/>
  <c r="Q267" i="3"/>
  <c r="BF266" i="3"/>
  <c r="AP266" i="3"/>
  <c r="Z266" i="3"/>
  <c r="J266" i="3"/>
  <c r="AY265" i="3"/>
  <c r="AI265" i="3"/>
  <c r="S265" i="3"/>
  <c r="BL264" i="3"/>
  <c r="AV264" i="3"/>
  <c r="AF264" i="3"/>
  <c r="P264" i="3"/>
  <c r="BI263" i="3"/>
  <c r="AS263" i="3"/>
  <c r="AC263" i="3"/>
  <c r="M263" i="3"/>
  <c r="BB262" i="3"/>
  <c r="AL262" i="3"/>
  <c r="V262" i="3"/>
  <c r="BK261" i="3"/>
  <c r="AU261" i="3"/>
  <c r="AE261" i="3"/>
  <c r="O261" i="3"/>
  <c r="BH260" i="3"/>
  <c r="AR260" i="3"/>
  <c r="AB260" i="3"/>
  <c r="L260" i="3"/>
  <c r="BE259" i="3"/>
  <c r="AO259" i="3"/>
  <c r="Y259" i="3"/>
  <c r="I259" i="3"/>
  <c r="AX258" i="3"/>
  <c r="AH258" i="3"/>
  <c r="R258" i="3"/>
  <c r="BG257" i="3"/>
  <c r="AQ257" i="3"/>
  <c r="AA257" i="3"/>
  <c r="K257" i="3"/>
  <c r="BD256" i="3"/>
  <c r="AN256" i="3"/>
  <c r="X256" i="3"/>
  <c r="H256" i="3"/>
  <c r="BA255" i="3"/>
  <c r="AK255" i="3"/>
  <c r="U255" i="3"/>
  <c r="BJ254" i="3"/>
  <c r="AT254" i="3"/>
  <c r="AD254" i="3"/>
  <c r="N254" i="3"/>
  <c r="BC253" i="3"/>
  <c r="AM253" i="3"/>
  <c r="W253" i="3"/>
  <c r="G253" i="3"/>
  <c r="AZ252" i="3"/>
  <c r="AJ252" i="3"/>
  <c r="T252" i="3"/>
  <c r="BM251" i="3"/>
  <c r="AW251" i="3"/>
  <c r="AG251" i="3"/>
  <c r="Q251" i="3"/>
  <c r="BF250" i="3"/>
  <c r="AP250" i="3"/>
  <c r="Z250" i="3"/>
  <c r="J250" i="3"/>
  <c r="AX248" i="3"/>
  <c r="AH248" i="3"/>
  <c r="R248" i="3"/>
  <c r="BG247" i="3"/>
  <c r="AQ247" i="3"/>
  <c r="AA247" i="3"/>
  <c r="K247" i="3"/>
  <c r="BD246" i="3"/>
  <c r="AN246" i="3"/>
  <c r="X246" i="3"/>
  <c r="H246" i="3"/>
  <c r="BA245" i="3"/>
  <c r="AK245" i="3"/>
  <c r="U245" i="3"/>
  <c r="BJ244" i="3"/>
  <c r="AT244" i="3"/>
  <c r="AD244" i="3"/>
  <c r="N244" i="3"/>
  <c r="BC243" i="3"/>
  <c r="AM243" i="3"/>
  <c r="W243" i="3"/>
  <c r="G243" i="3"/>
  <c r="AZ242" i="3"/>
  <c r="AJ242" i="3"/>
  <c r="T242" i="3"/>
  <c r="BM241" i="3"/>
  <c r="AW241" i="3"/>
  <c r="AG241" i="3"/>
  <c r="Q241" i="3"/>
  <c r="BF240" i="3"/>
  <c r="AP240" i="3"/>
  <c r="Z240" i="3"/>
  <c r="J240" i="3"/>
  <c r="AY239" i="3"/>
  <c r="AI239" i="3"/>
  <c r="S239" i="3"/>
  <c r="BL238" i="3"/>
  <c r="AV238" i="3"/>
  <c r="AF238" i="3"/>
  <c r="P238" i="3"/>
  <c r="BI237" i="3"/>
  <c r="AS237" i="3"/>
  <c r="AC237" i="3"/>
  <c r="M237" i="3"/>
  <c r="BB236" i="3"/>
  <c r="AL236" i="3"/>
  <c r="V236" i="3"/>
  <c r="BK235" i="3"/>
  <c r="AU235" i="3"/>
  <c r="AE235" i="3"/>
  <c r="O235" i="3"/>
  <c r="BH234" i="3"/>
  <c r="AR234" i="3"/>
  <c r="AB234" i="3"/>
  <c r="L234" i="3"/>
  <c r="BE233" i="3"/>
  <c r="AO233" i="3"/>
  <c r="Y233" i="3"/>
  <c r="I233" i="3"/>
  <c r="AX232" i="3"/>
  <c r="AH232" i="3"/>
  <c r="R232" i="3"/>
  <c r="BG231" i="3"/>
  <c r="AQ231" i="3"/>
  <c r="AA231" i="3"/>
  <c r="K231" i="3"/>
  <c r="BD230" i="3"/>
  <c r="AN230" i="3"/>
  <c r="X230" i="3"/>
  <c r="H230" i="3"/>
  <c r="BA229" i="3"/>
  <c r="AK229" i="3"/>
  <c r="U229" i="3"/>
  <c r="BJ228" i="3"/>
  <c r="AT228" i="3"/>
  <c r="AD228" i="3"/>
  <c r="N228" i="3"/>
  <c r="BC227" i="3"/>
  <c r="AM227" i="3"/>
  <c r="W227" i="3"/>
  <c r="G227" i="3"/>
  <c r="AZ226" i="3"/>
  <c r="AJ226" i="3"/>
  <c r="T226" i="3"/>
  <c r="BM225" i="3"/>
  <c r="AW225" i="3"/>
  <c r="AG225" i="3"/>
  <c r="Q225" i="3"/>
  <c r="BF224" i="3"/>
  <c r="AP224" i="3"/>
  <c r="Z224" i="3"/>
  <c r="J224" i="3"/>
  <c r="AY223" i="3"/>
  <c r="AI223" i="3"/>
  <c r="S223" i="3"/>
  <c r="BL222" i="3"/>
  <c r="AV222" i="3"/>
  <c r="AF222" i="3"/>
  <c r="P222" i="3"/>
  <c r="BI221" i="3"/>
  <c r="AS221" i="3"/>
  <c r="AC221" i="3"/>
  <c r="M221" i="3"/>
  <c r="BB220" i="3"/>
  <c r="AL220" i="3"/>
  <c r="V220" i="3"/>
  <c r="BK219" i="3"/>
  <c r="AU219" i="3"/>
  <c r="AE219" i="3"/>
  <c r="O219" i="3"/>
  <c r="BH218" i="3"/>
  <c r="AR218" i="3"/>
  <c r="AB218" i="3"/>
  <c r="L218" i="3"/>
  <c r="BE217" i="3"/>
  <c r="AO217" i="3"/>
  <c r="Y217" i="3"/>
  <c r="I217" i="3"/>
  <c r="AX216" i="3"/>
  <c r="AH216" i="3"/>
  <c r="R216" i="3"/>
  <c r="BG215" i="3"/>
  <c r="AQ215" i="3"/>
  <c r="AA215" i="3"/>
  <c r="K215" i="3"/>
  <c r="BD214" i="3"/>
  <c r="AN214" i="3"/>
  <c r="X214" i="3"/>
  <c r="H214" i="3"/>
  <c r="BA213" i="3"/>
  <c r="AK213" i="3"/>
  <c r="U213" i="3"/>
  <c r="BJ212" i="3"/>
  <c r="AT212" i="3"/>
  <c r="AD212" i="3"/>
  <c r="N212" i="3"/>
  <c r="BC211" i="3"/>
  <c r="AM211" i="3"/>
  <c r="W211" i="3"/>
  <c r="G211" i="3"/>
  <c r="AZ210" i="3"/>
  <c r="AJ210" i="3"/>
  <c r="T210" i="3"/>
  <c r="BM209" i="3"/>
  <c r="AW209" i="3"/>
  <c r="AG209" i="3"/>
  <c r="Q209" i="3"/>
  <c r="BI207" i="3"/>
  <c r="AS207" i="3"/>
  <c r="AC207" i="3"/>
  <c r="M207" i="3"/>
  <c r="BM292" i="3"/>
  <c r="BJ291" i="3"/>
  <c r="BJ289" i="3"/>
  <c r="AT289" i="3"/>
  <c r="AD289" i="3"/>
  <c r="N289" i="3"/>
  <c r="BC288" i="3"/>
  <c r="AM288" i="3"/>
  <c r="W288" i="3"/>
  <c r="G288" i="3"/>
  <c r="AZ287" i="3"/>
  <c r="AJ287" i="3"/>
  <c r="T287" i="3"/>
  <c r="BM286" i="3"/>
  <c r="AW286" i="3"/>
  <c r="AG286" i="3"/>
  <c r="Q286" i="3"/>
  <c r="BF285" i="3"/>
  <c r="AP285" i="3"/>
  <c r="Z285" i="3"/>
  <c r="J285" i="3"/>
  <c r="AY284" i="3"/>
  <c r="AI284" i="3"/>
  <c r="S284" i="3"/>
  <c r="BL283" i="3"/>
  <c r="AV283" i="3"/>
  <c r="AF283" i="3"/>
  <c r="P283" i="3"/>
  <c r="BI282" i="3"/>
  <c r="AS282" i="3"/>
  <c r="AC282" i="3"/>
  <c r="M282" i="3"/>
  <c r="BB281" i="3"/>
  <c r="AL281" i="3"/>
  <c r="V281" i="3"/>
  <c r="BK280" i="3"/>
  <c r="AU280" i="3"/>
  <c r="AE280" i="3"/>
  <c r="O280" i="3"/>
  <c r="BH279" i="3"/>
  <c r="AR279" i="3"/>
  <c r="AB279" i="3"/>
  <c r="L279" i="3"/>
  <c r="BE278" i="3"/>
  <c r="AO278" i="3"/>
  <c r="Y278" i="3"/>
  <c r="I278" i="3"/>
  <c r="AX277" i="3"/>
  <c r="AH277" i="3"/>
  <c r="R277" i="3"/>
  <c r="BG276" i="3"/>
  <c r="AQ276" i="3"/>
  <c r="AA276" i="3"/>
  <c r="K276" i="3"/>
  <c r="BD275" i="3"/>
  <c r="AN275" i="3"/>
  <c r="X275" i="3"/>
  <c r="H275" i="3"/>
  <c r="BA274" i="3"/>
  <c r="AK274" i="3"/>
  <c r="U274" i="3"/>
  <c r="BJ273" i="3"/>
  <c r="AT273" i="3"/>
  <c r="AD273" i="3"/>
  <c r="N273" i="3"/>
  <c r="BC272" i="3"/>
  <c r="AM272" i="3"/>
  <c r="W272" i="3"/>
  <c r="G272" i="3"/>
  <c r="AZ271" i="3"/>
  <c r="AJ271" i="3"/>
  <c r="T271" i="3"/>
  <c r="BM270" i="3"/>
  <c r="AW270" i="3"/>
  <c r="AG270" i="3"/>
  <c r="Q270" i="3"/>
  <c r="BF269" i="3"/>
  <c r="AP269" i="3"/>
  <c r="Z269" i="3"/>
  <c r="J269" i="3"/>
  <c r="AY268" i="3"/>
  <c r="AI268" i="3"/>
  <c r="S268" i="3"/>
  <c r="BL267" i="3"/>
  <c r="AV267" i="3"/>
  <c r="AF267" i="3"/>
  <c r="P267" i="3"/>
  <c r="BI266" i="3"/>
  <c r="AS266" i="3"/>
  <c r="AC266" i="3"/>
  <c r="M266" i="3"/>
  <c r="BB265" i="3"/>
  <c r="AL265" i="3"/>
  <c r="V265" i="3"/>
  <c r="BK264" i="3"/>
  <c r="AU264" i="3"/>
  <c r="AE264" i="3"/>
  <c r="O264" i="3"/>
  <c r="BH263" i="3"/>
  <c r="AR263" i="3"/>
  <c r="AB263" i="3"/>
  <c r="L263" i="3"/>
  <c r="BE262" i="3"/>
  <c r="AO262" i="3"/>
  <c r="Y262" i="3"/>
  <c r="I262" i="3"/>
  <c r="AX261" i="3"/>
  <c r="AH261" i="3"/>
  <c r="R261" i="3"/>
  <c r="BG260" i="3"/>
  <c r="AQ260" i="3"/>
  <c r="AA260" i="3"/>
  <c r="K260" i="3"/>
  <c r="BD259" i="3"/>
  <c r="AN259" i="3"/>
  <c r="X259" i="3"/>
  <c r="H259" i="3"/>
  <c r="BA258" i="3"/>
  <c r="AK258" i="3"/>
  <c r="U258" i="3"/>
  <c r="BJ257" i="3"/>
  <c r="AT257" i="3"/>
  <c r="AD257" i="3"/>
  <c r="N257" i="3"/>
  <c r="BC256" i="3"/>
  <c r="AM256" i="3"/>
  <c r="W256" i="3"/>
  <c r="G256" i="3"/>
  <c r="AZ255" i="3"/>
  <c r="AJ255" i="3"/>
  <c r="T255" i="3"/>
  <c r="BM254" i="3"/>
  <c r="AW254" i="3"/>
  <c r="AG254" i="3"/>
  <c r="Q254" i="3"/>
  <c r="BF253" i="3"/>
  <c r="AP253" i="3"/>
  <c r="Z253" i="3"/>
  <c r="J253" i="3"/>
  <c r="AY252" i="3"/>
  <c r="AI252" i="3"/>
  <c r="S252" i="3"/>
  <c r="BL251" i="3"/>
  <c r="AV251" i="3"/>
  <c r="AF251" i="3"/>
  <c r="P251" i="3"/>
  <c r="BI250" i="3"/>
  <c r="AS250" i="3"/>
  <c r="AC250" i="3"/>
  <c r="M250" i="3"/>
  <c r="BE248" i="3"/>
  <c r="AO248" i="3"/>
  <c r="Y248" i="3"/>
  <c r="I248" i="3"/>
  <c r="AX247" i="3"/>
  <c r="AH247" i="3"/>
  <c r="R247" i="3"/>
  <c r="BG246" i="3"/>
  <c r="AQ246" i="3"/>
  <c r="AA246" i="3"/>
  <c r="K246" i="3"/>
  <c r="BD245" i="3"/>
  <c r="AN245" i="3"/>
  <c r="X245" i="3"/>
  <c r="H245" i="3"/>
  <c r="BA244" i="3"/>
  <c r="AK244" i="3"/>
  <c r="U244" i="3"/>
  <c r="BJ243" i="3"/>
  <c r="AT243" i="3"/>
  <c r="AD243" i="3"/>
  <c r="N243" i="3"/>
  <c r="BC242" i="3"/>
  <c r="AM242" i="3"/>
  <c r="W242" i="3"/>
  <c r="G242" i="3"/>
  <c r="AZ241" i="3"/>
  <c r="AJ241" i="3"/>
  <c r="T241" i="3"/>
  <c r="BM240" i="3"/>
  <c r="AW240" i="3"/>
  <c r="AG240" i="3"/>
  <c r="Q240" i="3"/>
  <c r="BF239" i="3"/>
  <c r="AP239" i="3"/>
  <c r="Z239" i="3"/>
  <c r="J239" i="3"/>
  <c r="AY238" i="3"/>
  <c r="AI238" i="3"/>
  <c r="S238" i="3"/>
  <c r="BL237" i="3"/>
  <c r="AV237" i="3"/>
  <c r="AF237" i="3"/>
  <c r="P237" i="3"/>
  <c r="BI236" i="3"/>
  <c r="AS236" i="3"/>
  <c r="AC236" i="3"/>
  <c r="M236" i="3"/>
  <c r="BB235" i="3"/>
  <c r="AL235" i="3"/>
  <c r="V235" i="3"/>
  <c r="BK234" i="3"/>
  <c r="AU234" i="3"/>
  <c r="AE234" i="3"/>
  <c r="O234" i="3"/>
  <c r="BH233" i="3"/>
  <c r="AR233" i="3"/>
  <c r="AB233" i="3"/>
  <c r="L233" i="3"/>
  <c r="BE232" i="3"/>
  <c r="AO232" i="3"/>
  <c r="Y232" i="3"/>
  <c r="I232" i="3"/>
  <c r="AX231" i="3"/>
  <c r="AH231" i="3"/>
  <c r="R231" i="3"/>
  <c r="BG230" i="3"/>
  <c r="AQ230" i="3"/>
  <c r="AA230" i="3"/>
  <c r="K230" i="3"/>
  <c r="BD229" i="3"/>
  <c r="AN229" i="3"/>
  <c r="X229" i="3"/>
  <c r="H229" i="3"/>
  <c r="BA228" i="3"/>
  <c r="AK228" i="3"/>
  <c r="U228" i="3"/>
  <c r="BJ227" i="3"/>
  <c r="AT227" i="3"/>
  <c r="AD227" i="3"/>
  <c r="N227" i="3"/>
  <c r="BC226" i="3"/>
  <c r="AM226" i="3"/>
  <c r="W226" i="3"/>
  <c r="G226" i="3"/>
  <c r="AZ225" i="3"/>
  <c r="AJ225" i="3"/>
  <c r="T225" i="3"/>
  <c r="BM224" i="3"/>
  <c r="AW224" i="3"/>
  <c r="AG224" i="3"/>
  <c r="Q224" i="3"/>
  <c r="BF223" i="3"/>
  <c r="AP223" i="3"/>
  <c r="Z223" i="3"/>
  <c r="J223" i="3"/>
  <c r="AY222" i="3"/>
  <c r="AI222" i="3"/>
  <c r="S222" i="3"/>
  <c r="BL221" i="3"/>
  <c r="AV221" i="3"/>
  <c r="AF221" i="3"/>
  <c r="P221" i="3"/>
  <c r="BI220" i="3"/>
  <c r="AS220" i="3"/>
  <c r="AC220" i="3"/>
  <c r="M220" i="3"/>
  <c r="BB219" i="3"/>
  <c r="AL219" i="3"/>
  <c r="V219" i="3"/>
  <c r="BK218" i="3"/>
  <c r="AU218" i="3"/>
  <c r="AE218" i="3"/>
  <c r="O218" i="3"/>
  <c r="BH217" i="3"/>
  <c r="AR217" i="3"/>
  <c r="AB217" i="3"/>
  <c r="L217" i="3"/>
  <c r="BE216" i="3"/>
  <c r="AO216" i="3"/>
  <c r="Y216" i="3"/>
  <c r="I216" i="3"/>
  <c r="AX215" i="3"/>
  <c r="AH215" i="3"/>
  <c r="R215" i="3"/>
  <c r="BG214" i="3"/>
  <c r="AQ214" i="3"/>
  <c r="AA214" i="3"/>
  <c r="K214" i="3"/>
  <c r="BD213" i="3"/>
  <c r="AN213" i="3"/>
  <c r="X213" i="3"/>
  <c r="H213" i="3"/>
  <c r="BA212" i="3"/>
  <c r="AK212" i="3"/>
  <c r="BE495" i="3"/>
  <c r="AO495" i="3"/>
  <c r="Y495" i="3"/>
  <c r="I495" i="3"/>
  <c r="AX494" i="3"/>
  <c r="AH494" i="3"/>
  <c r="R494" i="3"/>
  <c r="BG493" i="3"/>
  <c r="AQ493" i="3"/>
  <c r="AA493" i="3"/>
  <c r="K493" i="3"/>
  <c r="BD492" i="3"/>
  <c r="AN492" i="3"/>
  <c r="X492" i="3"/>
  <c r="H492" i="3"/>
  <c r="BA491" i="3"/>
  <c r="AK491" i="3"/>
  <c r="U491" i="3"/>
  <c r="BJ490" i="3"/>
  <c r="AT490" i="3"/>
  <c r="AD490" i="3"/>
  <c r="N490" i="3"/>
  <c r="BC489" i="3"/>
  <c r="AM489" i="3"/>
  <c r="W489" i="3"/>
  <c r="G489" i="3"/>
  <c r="AZ488" i="3"/>
  <c r="AJ488" i="3"/>
  <c r="T488" i="3"/>
  <c r="BM487" i="3"/>
  <c r="AW487" i="3"/>
  <c r="AG487" i="3"/>
  <c r="Q487" i="3"/>
  <c r="BF486" i="3"/>
  <c r="AP486" i="3"/>
  <c r="Z486" i="3"/>
  <c r="J486" i="3"/>
  <c r="AY485" i="3"/>
  <c r="AI485" i="3"/>
  <c r="S485" i="3"/>
  <c r="BL495" i="3"/>
  <c r="AV495" i="3"/>
  <c r="AF495" i="3"/>
  <c r="P495" i="3"/>
  <c r="BI494" i="3"/>
  <c r="AS494" i="3"/>
  <c r="AC494" i="3"/>
  <c r="M494" i="3"/>
  <c r="BB493" i="3"/>
  <c r="AL493" i="3"/>
  <c r="V493" i="3"/>
  <c r="BK492" i="3"/>
  <c r="AU492" i="3"/>
  <c r="AE492" i="3"/>
  <c r="O492" i="3"/>
  <c r="BH491" i="3"/>
  <c r="AR491" i="3"/>
  <c r="AB491" i="3"/>
  <c r="L491" i="3"/>
  <c r="BE490" i="3"/>
  <c r="AO490" i="3"/>
  <c r="Y490" i="3"/>
  <c r="I490" i="3"/>
  <c r="AX489" i="3"/>
  <c r="AH489" i="3"/>
  <c r="R489" i="3"/>
  <c r="BG488" i="3"/>
  <c r="AQ488" i="3"/>
  <c r="AA488" i="3"/>
  <c r="K488" i="3"/>
  <c r="BD487" i="3"/>
  <c r="AN487" i="3"/>
  <c r="X487" i="3"/>
  <c r="H487" i="3"/>
  <c r="AY495" i="3"/>
  <c r="AI495" i="3"/>
  <c r="S495" i="3"/>
  <c r="BL494" i="3"/>
  <c r="AV494" i="3"/>
  <c r="AF494" i="3"/>
  <c r="P494" i="3"/>
  <c r="BI493" i="3"/>
  <c r="AS493" i="3"/>
  <c r="AC493" i="3"/>
  <c r="M493" i="3"/>
  <c r="BB492" i="3"/>
  <c r="AL492" i="3"/>
  <c r="V492" i="3"/>
  <c r="BK491" i="3"/>
  <c r="AU491" i="3"/>
  <c r="AE491" i="3"/>
  <c r="O491" i="3"/>
  <c r="BH490" i="3"/>
  <c r="AR490" i="3"/>
  <c r="AB490" i="3"/>
  <c r="L490" i="3"/>
  <c r="BE489" i="3"/>
  <c r="AO489" i="3"/>
  <c r="Y489" i="3"/>
  <c r="I489" i="3"/>
  <c r="AX488" i="3"/>
  <c r="AH488" i="3"/>
  <c r="R488" i="3"/>
  <c r="BG487" i="3"/>
  <c r="AQ487" i="3"/>
  <c r="AA487" i="3"/>
  <c r="BB495" i="3"/>
  <c r="AL495" i="3"/>
  <c r="V495" i="3"/>
  <c r="BK494" i="3"/>
  <c r="AU494" i="3"/>
  <c r="AE494" i="3"/>
  <c r="O494" i="3"/>
  <c r="BH493" i="3"/>
  <c r="AR493" i="3"/>
  <c r="AB493" i="3"/>
  <c r="L493" i="3"/>
  <c r="BE492" i="3"/>
  <c r="AO492" i="3"/>
  <c r="Y492" i="3"/>
  <c r="I492" i="3"/>
  <c r="AX491" i="3"/>
  <c r="AH491" i="3"/>
  <c r="R491" i="3"/>
  <c r="BG490" i="3"/>
  <c r="AQ490" i="3"/>
  <c r="AA490" i="3"/>
  <c r="K490" i="3"/>
  <c r="BD489" i="3"/>
  <c r="AN489" i="3"/>
  <c r="X489" i="3"/>
  <c r="H489" i="3"/>
  <c r="BA488" i="3"/>
  <c r="AK488" i="3"/>
  <c r="U488" i="3"/>
  <c r="BJ487" i="3"/>
  <c r="AT487" i="3"/>
  <c r="AD487" i="3"/>
  <c r="G487" i="3"/>
  <c r="AV486" i="3"/>
  <c r="AA486" i="3"/>
  <c r="BI485" i="3"/>
  <c r="AN485" i="3"/>
  <c r="R485" i="3"/>
  <c r="BH484" i="3"/>
  <c r="AR484" i="3"/>
  <c r="AB484" i="3"/>
  <c r="L484" i="3"/>
  <c r="BE483" i="3"/>
  <c r="AO483" i="3"/>
  <c r="Y483" i="3"/>
  <c r="I483" i="3"/>
  <c r="AX482" i="3"/>
  <c r="AH482" i="3"/>
  <c r="R482" i="3"/>
  <c r="BG481" i="3"/>
  <c r="AQ481" i="3"/>
  <c r="AA481" i="3"/>
  <c r="K481" i="3"/>
  <c r="BD480" i="3"/>
  <c r="AN480" i="3"/>
  <c r="X480" i="3"/>
  <c r="H480" i="3"/>
  <c r="BA479" i="3"/>
  <c r="AK479" i="3"/>
  <c r="U479" i="3"/>
  <c r="BJ478" i="3"/>
  <c r="AT478" i="3"/>
  <c r="AD478" i="3"/>
  <c r="N478" i="3"/>
  <c r="BC477" i="3"/>
  <c r="AM477" i="3"/>
  <c r="W477" i="3"/>
  <c r="G477" i="3"/>
  <c r="AZ476" i="3"/>
  <c r="AJ476" i="3"/>
  <c r="T476" i="3"/>
  <c r="BM475" i="3"/>
  <c r="AW475" i="3"/>
  <c r="AG475" i="3"/>
  <c r="Q475" i="3"/>
  <c r="BF474" i="3"/>
  <c r="AP474" i="3"/>
  <c r="Z474" i="3"/>
  <c r="J474" i="3"/>
  <c r="AY473" i="3"/>
  <c r="AI473" i="3"/>
  <c r="S473" i="3"/>
  <c r="BL472" i="3"/>
  <c r="AV472" i="3"/>
  <c r="AF472" i="3"/>
  <c r="P472" i="3"/>
  <c r="BI471" i="3"/>
  <c r="AS471" i="3"/>
  <c r="AC471" i="3"/>
  <c r="M471" i="3"/>
  <c r="BB470" i="3"/>
  <c r="AL470" i="3"/>
  <c r="V470" i="3"/>
  <c r="BK469" i="3"/>
  <c r="AU469" i="3"/>
  <c r="AE469" i="3"/>
  <c r="O469" i="3"/>
  <c r="BH468" i="3"/>
  <c r="AR468" i="3"/>
  <c r="AB468" i="3"/>
  <c r="L468" i="3"/>
  <c r="BE467" i="3"/>
  <c r="AO467" i="3"/>
  <c r="Y467" i="3"/>
  <c r="I467" i="3"/>
  <c r="AX466" i="3"/>
  <c r="AH466" i="3"/>
  <c r="R466" i="3"/>
  <c r="BG465" i="3"/>
  <c r="AQ465" i="3"/>
  <c r="AA465" i="3"/>
  <c r="K465" i="3"/>
  <c r="BD464" i="3"/>
  <c r="AN464" i="3"/>
  <c r="X464" i="3"/>
  <c r="H464" i="3"/>
  <c r="AZ486" i="3"/>
  <c r="AE486" i="3"/>
  <c r="I486" i="3"/>
  <c r="AW485" i="3"/>
  <c r="AB485" i="3"/>
  <c r="BK484" i="3"/>
  <c r="AU484" i="3"/>
  <c r="AE484" i="3"/>
  <c r="O484" i="3"/>
  <c r="BH483" i="3"/>
  <c r="AR483" i="3"/>
  <c r="AB483" i="3"/>
  <c r="L483" i="3"/>
  <c r="BE482" i="3"/>
  <c r="AO482" i="3"/>
  <c r="Y482" i="3"/>
  <c r="I482" i="3"/>
  <c r="AX481" i="3"/>
  <c r="AH481" i="3"/>
  <c r="R481" i="3"/>
  <c r="BG480" i="3"/>
  <c r="AQ480" i="3"/>
  <c r="AA480" i="3"/>
  <c r="K480" i="3"/>
  <c r="BD479" i="3"/>
  <c r="AN479" i="3"/>
  <c r="X479" i="3"/>
  <c r="H479" i="3"/>
  <c r="BA478" i="3"/>
  <c r="AK478" i="3"/>
  <c r="U478" i="3"/>
  <c r="BJ477" i="3"/>
  <c r="AT477" i="3"/>
  <c r="AD477" i="3"/>
  <c r="N477" i="3"/>
  <c r="BC476" i="3"/>
  <c r="AM476" i="3"/>
  <c r="W476" i="3"/>
  <c r="G476" i="3"/>
  <c r="AZ475" i="3"/>
  <c r="AJ475" i="3"/>
  <c r="T475" i="3"/>
  <c r="BM474" i="3"/>
  <c r="AW474" i="3"/>
  <c r="AG474" i="3"/>
  <c r="Q474" i="3"/>
  <c r="BF473" i="3"/>
  <c r="AP473" i="3"/>
  <c r="Z473" i="3"/>
  <c r="J473" i="3"/>
  <c r="AY472" i="3"/>
  <c r="AI472" i="3"/>
  <c r="S472" i="3"/>
  <c r="BL471" i="3"/>
  <c r="AV471" i="3"/>
  <c r="AF471" i="3"/>
  <c r="P471" i="3"/>
  <c r="BI470" i="3"/>
  <c r="AS470" i="3"/>
  <c r="AC470" i="3"/>
  <c r="M470" i="3"/>
  <c r="BB469" i="3"/>
  <c r="AL469" i="3"/>
  <c r="V469" i="3"/>
  <c r="BK468" i="3"/>
  <c r="AU468" i="3"/>
  <c r="AE468" i="3"/>
  <c r="O468" i="3"/>
  <c r="BH467" i="3"/>
  <c r="AR467" i="3"/>
  <c r="AB467" i="3"/>
  <c r="L467" i="3"/>
  <c r="BE466" i="3"/>
  <c r="AO466" i="3"/>
  <c r="Y466" i="3"/>
  <c r="I466" i="3"/>
  <c r="AX465" i="3"/>
  <c r="AH465" i="3"/>
  <c r="R465" i="3"/>
  <c r="BG464" i="3"/>
  <c r="AQ464" i="3"/>
  <c r="AA464" i="3"/>
  <c r="K464" i="3"/>
  <c r="BM486" i="3"/>
  <c r="AR486" i="3"/>
  <c r="W486" i="3"/>
  <c r="BJ485" i="3"/>
  <c r="AO485" i="3"/>
  <c r="T485" i="3"/>
  <c r="BI484" i="3"/>
  <c r="AS484" i="3"/>
  <c r="AC484" i="3"/>
  <c r="M484" i="3"/>
  <c r="BB483" i="3"/>
  <c r="AL483" i="3"/>
  <c r="V483" i="3"/>
  <c r="BK482" i="3"/>
  <c r="AU482" i="3"/>
  <c r="AE482" i="3"/>
  <c r="O482" i="3"/>
  <c r="BH481" i="3"/>
  <c r="AR481" i="3"/>
  <c r="AB481" i="3"/>
  <c r="L481" i="3"/>
  <c r="BE480" i="3"/>
  <c r="AO480" i="3"/>
  <c r="Y480" i="3"/>
  <c r="I480" i="3"/>
  <c r="AX479" i="3"/>
  <c r="AH479" i="3"/>
  <c r="R479" i="3"/>
  <c r="BG478" i="3"/>
  <c r="AQ478" i="3"/>
  <c r="AA478" i="3"/>
  <c r="K478" i="3"/>
  <c r="BD477" i="3"/>
  <c r="AN477" i="3"/>
  <c r="X477" i="3"/>
  <c r="H477" i="3"/>
  <c r="BA476" i="3"/>
  <c r="AK476" i="3"/>
  <c r="U476" i="3"/>
  <c r="BJ475" i="3"/>
  <c r="AT475" i="3"/>
  <c r="AD475" i="3"/>
  <c r="N475" i="3"/>
  <c r="BC474" i="3"/>
  <c r="AM474" i="3"/>
  <c r="W474" i="3"/>
  <c r="G474" i="3"/>
  <c r="AZ473" i="3"/>
  <c r="AJ473" i="3"/>
  <c r="T473" i="3"/>
  <c r="BM472" i="3"/>
  <c r="AW472" i="3"/>
  <c r="AG472" i="3"/>
  <c r="Q472" i="3"/>
  <c r="BF471" i="3"/>
  <c r="AP471" i="3"/>
  <c r="Z471" i="3"/>
  <c r="J471" i="3"/>
  <c r="AY470" i="3"/>
  <c r="AI470" i="3"/>
  <c r="S470" i="3"/>
  <c r="BL469" i="3"/>
  <c r="AV469" i="3"/>
  <c r="AF469" i="3"/>
  <c r="P469" i="3"/>
  <c r="BI468" i="3"/>
  <c r="AS468" i="3"/>
  <c r="AC468" i="3"/>
  <c r="M468" i="3"/>
  <c r="BB467" i="3"/>
  <c r="AL467" i="3"/>
  <c r="V467" i="3"/>
  <c r="BK466" i="3"/>
  <c r="AU466" i="3"/>
  <c r="AE466" i="3"/>
  <c r="O466" i="3"/>
  <c r="BH465" i="3"/>
  <c r="AR465" i="3"/>
  <c r="AB465" i="3"/>
  <c r="L465" i="3"/>
  <c r="BE464" i="3"/>
  <c r="AO464" i="3"/>
  <c r="Y464" i="3"/>
  <c r="I464" i="3"/>
  <c r="AV485" i="3"/>
  <c r="R484" i="3"/>
  <c r="AZ482" i="3"/>
  <c r="AK481" i="3"/>
  <c r="R480" i="3"/>
  <c r="AZ478" i="3"/>
  <c r="AK477" i="3"/>
  <c r="R476" i="3"/>
  <c r="AZ474" i="3"/>
  <c r="AK473" i="3"/>
  <c r="R472" i="3"/>
  <c r="AZ470" i="3"/>
  <c r="AK469" i="3"/>
  <c r="R468" i="3"/>
  <c r="AZ466" i="3"/>
  <c r="AK465" i="3"/>
  <c r="R464" i="3"/>
  <c r="AW463" i="3"/>
  <c r="AG463" i="3"/>
  <c r="Q463" i="3"/>
  <c r="BF462" i="3"/>
  <c r="AP462" i="3"/>
  <c r="Z462" i="3"/>
  <c r="J462" i="3"/>
  <c r="AY461" i="3"/>
  <c r="AI461" i="3"/>
  <c r="S461" i="3"/>
  <c r="BL460" i="3"/>
  <c r="AV460" i="3"/>
  <c r="AF460" i="3"/>
  <c r="P460" i="3"/>
  <c r="BI459" i="3"/>
  <c r="AS459" i="3"/>
  <c r="AC459" i="3"/>
  <c r="M459" i="3"/>
  <c r="BB458" i="3"/>
  <c r="AL458" i="3"/>
  <c r="V458" i="3"/>
  <c r="BK457" i="3"/>
  <c r="AU457" i="3"/>
  <c r="AE457" i="3"/>
  <c r="O457" i="3"/>
  <c r="BH456" i="3"/>
  <c r="AR456" i="3"/>
  <c r="AB456" i="3"/>
  <c r="L456" i="3"/>
  <c r="BD454" i="3"/>
  <c r="AN454" i="3"/>
  <c r="X454" i="3"/>
  <c r="H454" i="3"/>
  <c r="BA453" i="3"/>
  <c r="AK453" i="3"/>
  <c r="U453" i="3"/>
  <c r="BJ452" i="3"/>
  <c r="AT452" i="3"/>
  <c r="AD452" i="3"/>
  <c r="N452" i="3"/>
  <c r="S486" i="3"/>
  <c r="BJ484" i="3"/>
  <c r="BK483" i="3"/>
  <c r="BL482" i="3"/>
  <c r="BM481" i="3"/>
  <c r="BJ480" i="3"/>
  <c r="BK479" i="3"/>
  <c r="BL478" i="3"/>
  <c r="BM477" i="3"/>
  <c r="BJ476" i="3"/>
  <c r="BK475" i="3"/>
  <c r="BL474" i="3"/>
  <c r="BM473" i="3"/>
  <c r="BJ472" i="3"/>
  <c r="BK471" i="3"/>
  <c r="BL470" i="3"/>
  <c r="BM469" i="3"/>
  <c r="BJ468" i="3"/>
  <c r="BK467" i="3"/>
  <c r="BL466" i="3"/>
  <c r="BM465" i="3"/>
  <c r="BJ464" i="3"/>
  <c r="BM463" i="3"/>
  <c r="AV463" i="3"/>
  <c r="AF463" i="3"/>
  <c r="P463" i="3"/>
  <c r="BI462" i="3"/>
  <c r="AS462" i="3"/>
  <c r="AC462" i="3"/>
  <c r="M462" i="3"/>
  <c r="BB461" i="3"/>
  <c r="AL461" i="3"/>
  <c r="V461" i="3"/>
  <c r="BK460" i="3"/>
  <c r="AU460" i="3"/>
  <c r="AE460" i="3"/>
  <c r="O460" i="3"/>
  <c r="BH459" i="3"/>
  <c r="AR459" i="3"/>
  <c r="AB459" i="3"/>
  <c r="L459" i="3"/>
  <c r="BE458" i="3"/>
  <c r="AO458" i="3"/>
  <c r="Y458" i="3"/>
  <c r="I458" i="3"/>
  <c r="AX457" i="3"/>
  <c r="AH457" i="3"/>
  <c r="R457" i="3"/>
  <c r="BG456" i="3"/>
  <c r="AQ456" i="3"/>
  <c r="AA456" i="3"/>
  <c r="K456" i="3"/>
  <c r="BC454" i="3"/>
  <c r="AM454" i="3"/>
  <c r="W454" i="3"/>
  <c r="G454" i="3"/>
  <c r="AZ453" i="3"/>
  <c r="AJ453" i="3"/>
  <c r="T453" i="3"/>
  <c r="BM452" i="3"/>
  <c r="AW452" i="3"/>
  <c r="AG452" i="3"/>
  <c r="Q452" i="3"/>
  <c r="BF451" i="3"/>
  <c r="AP451" i="3"/>
  <c r="Z451" i="3"/>
  <c r="J451" i="3"/>
  <c r="AY450" i="3"/>
  <c r="AI450" i="3"/>
  <c r="S450" i="3"/>
  <c r="BL449" i="3"/>
  <c r="AV449" i="3"/>
  <c r="AF449" i="3"/>
  <c r="P449" i="3"/>
  <c r="BI448" i="3"/>
  <c r="AS448" i="3"/>
  <c r="AC448" i="3"/>
  <c r="M448" i="3"/>
  <c r="AI486" i="3"/>
  <c r="P485" i="3"/>
  <c r="J484" i="3"/>
  <c r="K483" i="3"/>
  <c r="L482" i="3"/>
  <c r="M481" i="3"/>
  <c r="J480" i="3"/>
  <c r="K479" i="3"/>
  <c r="L478" i="3"/>
  <c r="M477" i="3"/>
  <c r="J476" i="3"/>
  <c r="K475" i="3"/>
  <c r="L474" i="3"/>
  <c r="M473" i="3"/>
  <c r="J472" i="3"/>
  <c r="K471" i="3"/>
  <c r="L470" i="3"/>
  <c r="M469" i="3"/>
  <c r="J468" i="3"/>
  <c r="K467" i="3"/>
  <c r="L466" i="3"/>
  <c r="M465" i="3"/>
  <c r="J464" i="3"/>
  <c r="AY463" i="3"/>
  <c r="AI463" i="3"/>
  <c r="S463" i="3"/>
  <c r="BL462" i="3"/>
  <c r="AV462" i="3"/>
  <c r="AF462" i="3"/>
  <c r="P462" i="3"/>
  <c r="BI461" i="3"/>
  <c r="AS461" i="3"/>
  <c r="AC461" i="3"/>
  <c r="M461" i="3"/>
  <c r="BB460" i="3"/>
  <c r="AL460" i="3"/>
  <c r="V460" i="3"/>
  <c r="BK459" i="3"/>
  <c r="AU459" i="3"/>
  <c r="AE459" i="3"/>
  <c r="O459" i="3"/>
  <c r="BH458" i="3"/>
  <c r="AR458" i="3"/>
  <c r="AB458" i="3"/>
  <c r="L458" i="3"/>
  <c r="BE457" i="3"/>
  <c r="AO457" i="3"/>
  <c r="Y457" i="3"/>
  <c r="I457" i="3"/>
  <c r="AX456" i="3"/>
  <c r="AH456" i="3"/>
  <c r="R456" i="3"/>
  <c r="BF454" i="3"/>
  <c r="AP454" i="3"/>
  <c r="Z454" i="3"/>
  <c r="J454" i="3"/>
  <c r="AY453" i="3"/>
  <c r="AI453" i="3"/>
  <c r="S453" i="3"/>
  <c r="BL452" i="3"/>
  <c r="AV452" i="3"/>
  <c r="AF452" i="3"/>
  <c r="P452" i="3"/>
  <c r="BI451" i="3"/>
  <c r="AS451" i="3"/>
  <c r="AC451" i="3"/>
  <c r="M451" i="3"/>
  <c r="BB450" i="3"/>
  <c r="AL450" i="3"/>
  <c r="V450" i="3"/>
  <c r="BK449" i="3"/>
  <c r="AU449" i="3"/>
  <c r="AE449" i="3"/>
  <c r="O449" i="3"/>
  <c r="BH448" i="3"/>
  <c r="AR448" i="3"/>
  <c r="AB448" i="3"/>
  <c r="L448" i="3"/>
  <c r="BE447" i="3"/>
  <c r="AO447" i="3"/>
  <c r="AY486" i="3"/>
  <c r="X482" i="3"/>
  <c r="X478" i="3"/>
  <c r="X474" i="3"/>
  <c r="X470" i="3"/>
  <c r="X466" i="3"/>
  <c r="AH463" i="3"/>
  <c r="S462" i="3"/>
  <c r="BA460" i="3"/>
  <c r="AH459" i="3"/>
  <c r="S458" i="3"/>
  <c r="BA456" i="3"/>
  <c r="AS454" i="3"/>
  <c r="AP453" i="3"/>
  <c r="AQ452" i="3"/>
  <c r="BD451" i="3"/>
  <c r="X451" i="3"/>
  <c r="BD450" i="3"/>
  <c r="X450" i="3"/>
  <c r="BA449" i="3"/>
  <c r="U449" i="3"/>
  <c r="AP448" i="3"/>
  <c r="J448" i="3"/>
  <c r="AV447" i="3"/>
  <c r="AA447" i="3"/>
  <c r="K447" i="3"/>
  <c r="BD446" i="3"/>
  <c r="AN446" i="3"/>
  <c r="X446" i="3"/>
  <c r="H446" i="3"/>
  <c r="BA445" i="3"/>
  <c r="AK445" i="3"/>
  <c r="U445" i="3"/>
  <c r="BJ444" i="3"/>
  <c r="AT444" i="3"/>
  <c r="AD444" i="3"/>
  <c r="N444" i="3"/>
  <c r="BC443" i="3"/>
  <c r="AM443" i="3"/>
  <c r="W443" i="3"/>
  <c r="G443" i="3"/>
  <c r="AZ442" i="3"/>
  <c r="AJ442" i="3"/>
  <c r="T442" i="3"/>
  <c r="BM441" i="3"/>
  <c r="AW441" i="3"/>
  <c r="AG441" i="3"/>
  <c r="Q441" i="3"/>
  <c r="BF440" i="3"/>
  <c r="AP440" i="3"/>
  <c r="Z440" i="3"/>
  <c r="J440" i="3"/>
  <c r="AY439" i="3"/>
  <c r="AI439" i="3"/>
  <c r="S439" i="3"/>
  <c r="BL438" i="3"/>
  <c r="AV438" i="3"/>
  <c r="AF438" i="3"/>
  <c r="P438" i="3"/>
  <c r="BI437" i="3"/>
  <c r="AS437" i="3"/>
  <c r="AC437" i="3"/>
  <c r="M437" i="3"/>
  <c r="BB436" i="3"/>
  <c r="AL436" i="3"/>
  <c r="V436" i="3"/>
  <c r="BK435" i="3"/>
  <c r="AU435" i="3"/>
  <c r="AE435" i="3"/>
  <c r="O435" i="3"/>
  <c r="BH434" i="3"/>
  <c r="AR434" i="3"/>
  <c r="AB434" i="3"/>
  <c r="L434" i="3"/>
  <c r="BE433" i="3"/>
  <c r="AO433" i="3"/>
  <c r="Y433" i="3"/>
  <c r="I433" i="3"/>
  <c r="AX432" i="3"/>
  <c r="AH432" i="3"/>
  <c r="R432" i="3"/>
  <c r="BG431" i="3"/>
  <c r="AQ431" i="3"/>
  <c r="AA431" i="3"/>
  <c r="AL484" i="3"/>
  <c r="AL480" i="3"/>
  <c r="AL476" i="3"/>
  <c r="AL472" i="3"/>
  <c r="AL468" i="3"/>
  <c r="AL464" i="3"/>
  <c r="N463" i="3"/>
  <c r="O462" i="3"/>
  <c r="P461" i="3"/>
  <c r="Q460" i="3"/>
  <c r="N459" i="3"/>
  <c r="O458" i="3"/>
  <c r="P457" i="3"/>
  <c r="Q456" i="3"/>
  <c r="I454" i="3"/>
  <c r="BC452" i="3"/>
  <c r="BK451" i="3"/>
  <c r="AE451" i="3"/>
  <c r="BI450" i="3"/>
  <c r="AC450" i="3"/>
  <c r="AX449" i="3"/>
  <c r="R449" i="3"/>
  <c r="AU448" i="3"/>
  <c r="O448" i="3"/>
  <c r="AZ447" i="3"/>
  <c r="AE447" i="3"/>
  <c r="N447" i="3"/>
  <c r="BC446" i="3"/>
  <c r="AM446" i="3"/>
  <c r="W446" i="3"/>
  <c r="G446" i="3"/>
  <c r="AZ445" i="3"/>
  <c r="AJ445" i="3"/>
  <c r="T445" i="3"/>
  <c r="BM444" i="3"/>
  <c r="AW444" i="3"/>
  <c r="AG444" i="3"/>
  <c r="Q444" i="3"/>
  <c r="BF443" i="3"/>
  <c r="AP443" i="3"/>
  <c r="Z443" i="3"/>
  <c r="J443" i="3"/>
  <c r="AY442" i="3"/>
  <c r="AI442" i="3"/>
  <c r="S442" i="3"/>
  <c r="BL441" i="3"/>
  <c r="AV441" i="3"/>
  <c r="AF441" i="3"/>
  <c r="P441" i="3"/>
  <c r="BI440" i="3"/>
  <c r="AS440" i="3"/>
  <c r="AC440" i="3"/>
  <c r="M440" i="3"/>
  <c r="BB439" i="3"/>
  <c r="AL439" i="3"/>
  <c r="V439" i="3"/>
  <c r="BK438" i="3"/>
  <c r="AU438" i="3"/>
  <c r="AE438" i="3"/>
  <c r="O438" i="3"/>
  <c r="BH437" i="3"/>
  <c r="AR437" i="3"/>
  <c r="AB437" i="3"/>
  <c r="L437" i="3"/>
  <c r="BE436" i="3"/>
  <c r="AO436" i="3"/>
  <c r="Y436" i="3"/>
  <c r="I436" i="3"/>
  <c r="AX435" i="3"/>
  <c r="AH435" i="3"/>
  <c r="R435" i="3"/>
  <c r="H486" i="3"/>
  <c r="BD482" i="3"/>
  <c r="BD478" i="3"/>
  <c r="BD474" i="3"/>
  <c r="BD470" i="3"/>
  <c r="BD466" i="3"/>
  <c r="AP463" i="3"/>
  <c r="AQ462" i="3"/>
  <c r="AR461" i="3"/>
  <c r="AS460" i="3"/>
  <c r="AP459" i="3"/>
  <c r="AQ458" i="3"/>
  <c r="AR457" i="3"/>
  <c r="AS456" i="3"/>
  <c r="AK454" i="3"/>
  <c r="R453" i="3"/>
  <c r="BH451" i="3"/>
  <c r="AB451" i="3"/>
  <c r="AZ450" i="3"/>
  <c r="T450" i="3"/>
  <c r="AW449" i="3"/>
  <c r="Q449" i="3"/>
  <c r="AT448" i="3"/>
  <c r="N448" i="3"/>
  <c r="AT447" i="3"/>
  <c r="Y447" i="3"/>
  <c r="I447" i="3"/>
  <c r="AX446" i="3"/>
  <c r="AH446" i="3"/>
  <c r="R446" i="3"/>
  <c r="BG445" i="3"/>
  <c r="AQ445" i="3"/>
  <c r="AA445" i="3"/>
  <c r="K445" i="3"/>
  <c r="BD444" i="3"/>
  <c r="AN444" i="3"/>
  <c r="X444" i="3"/>
  <c r="H444" i="3"/>
  <c r="BA443" i="3"/>
  <c r="AK443" i="3"/>
  <c r="U443" i="3"/>
  <c r="BJ442" i="3"/>
  <c r="AT442" i="3"/>
  <c r="AD442" i="3"/>
  <c r="N442" i="3"/>
  <c r="BC441" i="3"/>
  <c r="AM441" i="3"/>
  <c r="W441" i="3"/>
  <c r="G441" i="3"/>
  <c r="AZ440" i="3"/>
  <c r="AJ440" i="3"/>
  <c r="T440" i="3"/>
  <c r="BM439" i="3"/>
  <c r="AW439" i="3"/>
  <c r="AG439" i="3"/>
  <c r="Q439" i="3"/>
  <c r="BF438" i="3"/>
  <c r="AP438" i="3"/>
  <c r="Z438" i="3"/>
  <c r="J438" i="3"/>
  <c r="AY437" i="3"/>
  <c r="AI437" i="3"/>
  <c r="S437" i="3"/>
  <c r="BL436" i="3"/>
  <c r="AV436" i="3"/>
  <c r="AF436" i="3"/>
  <c r="P436" i="3"/>
  <c r="BI435" i="3"/>
  <c r="AS435" i="3"/>
  <c r="AC435" i="3"/>
  <c r="M435" i="3"/>
  <c r="BB434" i="3"/>
  <c r="AL434" i="3"/>
  <c r="V434" i="3"/>
  <c r="BK433" i="3"/>
  <c r="AU433" i="3"/>
  <c r="AE433" i="3"/>
  <c r="O433" i="3"/>
  <c r="BH432" i="3"/>
  <c r="AR432" i="3"/>
  <c r="AB432" i="3"/>
  <c r="L432" i="3"/>
  <c r="BE431" i="3"/>
  <c r="BC462" i="3"/>
  <c r="BC458" i="3"/>
  <c r="AT453" i="3"/>
  <c r="I450" i="3"/>
  <c r="S448" i="3"/>
  <c r="BM446" i="3"/>
  <c r="BJ445" i="3"/>
  <c r="BK444" i="3"/>
  <c r="BL443" i="3"/>
  <c r="BM442" i="3"/>
  <c r="BJ441" i="3"/>
  <c r="BK440" i="3"/>
  <c r="BL439" i="3"/>
  <c r="BM438" i="3"/>
  <c r="BJ437" i="3"/>
  <c r="BK436" i="3"/>
  <c r="BL435" i="3"/>
  <c r="BM434" i="3"/>
  <c r="AG434" i="3"/>
  <c r="BJ433" i="3"/>
  <c r="AD433" i="3"/>
  <c r="BA432" i="3"/>
  <c r="U432" i="3"/>
  <c r="AR431" i="3"/>
  <c r="V431" i="3"/>
  <c r="BK430" i="3"/>
  <c r="AU430" i="3"/>
  <c r="AE430" i="3"/>
  <c r="O430" i="3"/>
  <c r="BH429" i="3"/>
  <c r="AR429" i="3"/>
  <c r="AB429" i="3"/>
  <c r="L429" i="3"/>
  <c r="BE428" i="3"/>
  <c r="AO428" i="3"/>
  <c r="Y428" i="3"/>
  <c r="I428" i="3"/>
  <c r="AX427" i="3"/>
  <c r="AH427" i="3"/>
  <c r="R427" i="3"/>
  <c r="BG426" i="3"/>
  <c r="AQ426" i="3"/>
  <c r="AA426" i="3"/>
  <c r="K426" i="3"/>
  <c r="BD425" i="3"/>
  <c r="AN425" i="3"/>
  <c r="X425" i="3"/>
  <c r="H425" i="3"/>
  <c r="BA424" i="3"/>
  <c r="AK424" i="3"/>
  <c r="U424" i="3"/>
  <c r="BJ423" i="3"/>
  <c r="AT423" i="3"/>
  <c r="AD423" i="3"/>
  <c r="N423" i="3"/>
  <c r="BC422" i="3"/>
  <c r="AM422" i="3"/>
  <c r="W422" i="3"/>
  <c r="G422" i="3"/>
  <c r="AZ421" i="3"/>
  <c r="AJ421" i="3"/>
  <c r="T421" i="3"/>
  <c r="BM420" i="3"/>
  <c r="AW420" i="3"/>
  <c r="AG420" i="3"/>
  <c r="Q420" i="3"/>
  <c r="BF419" i="3"/>
  <c r="AP419" i="3"/>
  <c r="Z419" i="3"/>
  <c r="J419" i="3"/>
  <c r="AY418" i="3"/>
  <c r="AI418" i="3"/>
  <c r="S418" i="3"/>
  <c r="BL417" i="3"/>
  <c r="AV417" i="3"/>
  <c r="AF417" i="3"/>
  <c r="P417" i="3"/>
  <c r="BI416" i="3"/>
  <c r="AS416" i="3"/>
  <c r="AC416" i="3"/>
  <c r="M416" i="3"/>
  <c r="BB415" i="3"/>
  <c r="AN482" i="3"/>
  <c r="AN466" i="3"/>
  <c r="I460" i="3"/>
  <c r="I456" i="3"/>
  <c r="BG451" i="3"/>
  <c r="AL449" i="3"/>
  <c r="AB447" i="3"/>
  <c r="AC446" i="3"/>
  <c r="Z445" i="3"/>
  <c r="AA444" i="3"/>
  <c r="AB443" i="3"/>
  <c r="AC442" i="3"/>
  <c r="Z441" i="3"/>
  <c r="AA440" i="3"/>
  <c r="AB439" i="3"/>
  <c r="AC438" i="3"/>
  <c r="Z437" i="3"/>
  <c r="AA436" i="3"/>
  <c r="AB435" i="3"/>
  <c r="AU434" i="3"/>
  <c r="O434" i="3"/>
  <c r="AR433" i="3"/>
  <c r="L433" i="3"/>
  <c r="AI432" i="3"/>
  <c r="BL431" i="3"/>
  <c r="AK431" i="3"/>
  <c r="Q431" i="3"/>
  <c r="BF430" i="3"/>
  <c r="AP430" i="3"/>
  <c r="Z430" i="3"/>
  <c r="J430" i="3"/>
  <c r="AY429" i="3"/>
  <c r="AI429" i="3"/>
  <c r="S429" i="3"/>
  <c r="BL428" i="3"/>
  <c r="AV428" i="3"/>
  <c r="AF428" i="3"/>
  <c r="P428" i="3"/>
  <c r="BI427" i="3"/>
  <c r="AS427" i="3"/>
  <c r="AC427" i="3"/>
  <c r="M427" i="3"/>
  <c r="BB426" i="3"/>
  <c r="AL426" i="3"/>
  <c r="V426" i="3"/>
  <c r="BK425" i="3"/>
  <c r="AU425" i="3"/>
  <c r="AE425" i="3"/>
  <c r="O425" i="3"/>
  <c r="BH424" i="3"/>
  <c r="AR424" i="3"/>
  <c r="AB424" i="3"/>
  <c r="L424" i="3"/>
  <c r="BE423" i="3"/>
  <c r="AO423" i="3"/>
  <c r="Y423" i="3"/>
  <c r="I423" i="3"/>
  <c r="AX422" i="3"/>
  <c r="AH422" i="3"/>
  <c r="R422" i="3"/>
  <c r="BG421" i="3"/>
  <c r="AQ421" i="3"/>
  <c r="AA421" i="3"/>
  <c r="K421" i="3"/>
  <c r="BD420" i="3"/>
  <c r="AN420" i="3"/>
  <c r="X420" i="3"/>
  <c r="H420" i="3"/>
  <c r="BA419" i="3"/>
  <c r="AK419" i="3"/>
  <c r="U419" i="3"/>
  <c r="BJ418" i="3"/>
  <c r="AT418" i="3"/>
  <c r="AD418" i="3"/>
  <c r="N418" i="3"/>
  <c r="BC417" i="3"/>
  <c r="AM417" i="3"/>
  <c r="W417" i="3"/>
  <c r="G417" i="3"/>
  <c r="AZ416" i="3"/>
  <c r="AJ416" i="3"/>
  <c r="T416" i="3"/>
  <c r="BM415" i="3"/>
  <c r="W458" i="3"/>
  <c r="N453" i="3"/>
  <c r="BE450" i="3"/>
  <c r="AI448" i="3"/>
  <c r="BE446" i="3"/>
  <c r="BB445" i="3"/>
  <c r="AM444" i="3"/>
  <c r="AN443" i="3"/>
  <c r="AO442" i="3"/>
  <c r="AL441" i="3"/>
  <c r="W440" i="3"/>
  <c r="X439" i="3"/>
  <c r="Y438" i="3"/>
  <c r="V437" i="3"/>
  <c r="G436" i="3"/>
  <c r="H435" i="3"/>
  <c r="AK434" i="3"/>
  <c r="BF433" i="3"/>
  <c r="Z433" i="3"/>
  <c r="BE432" i="3"/>
  <c r="Y432" i="3"/>
  <c r="BB431" i="3"/>
  <c r="AD431" i="3"/>
  <c r="L431" i="3"/>
  <c r="BE430" i="3"/>
  <c r="AO430" i="3"/>
  <c r="Y430" i="3"/>
  <c r="I430" i="3"/>
  <c r="AX429" i="3"/>
  <c r="AH429" i="3"/>
  <c r="R429" i="3"/>
  <c r="BG428" i="3"/>
  <c r="AQ428" i="3"/>
  <c r="AA428" i="3"/>
  <c r="K428" i="3"/>
  <c r="BD427" i="3"/>
  <c r="AN427" i="3"/>
  <c r="X427" i="3"/>
  <c r="H427" i="3"/>
  <c r="BA426" i="3"/>
  <c r="AK426" i="3"/>
  <c r="U426" i="3"/>
  <c r="BJ425" i="3"/>
  <c r="AT425" i="3"/>
  <c r="AD425" i="3"/>
  <c r="N425" i="3"/>
  <c r="BC424" i="3"/>
  <c r="AM424" i="3"/>
  <c r="W424" i="3"/>
  <c r="G424" i="3"/>
  <c r="AZ423" i="3"/>
  <c r="AJ423" i="3"/>
  <c r="T423" i="3"/>
  <c r="BM422" i="3"/>
  <c r="AW422" i="3"/>
  <c r="AG422" i="3"/>
  <c r="Q422" i="3"/>
  <c r="BF421" i="3"/>
  <c r="AP421" i="3"/>
  <c r="Z421" i="3"/>
  <c r="J421" i="3"/>
  <c r="AY420" i="3"/>
  <c r="AI420" i="3"/>
  <c r="S420" i="3"/>
  <c r="BL419" i="3"/>
  <c r="AV419" i="3"/>
  <c r="AF419" i="3"/>
  <c r="P419" i="3"/>
  <c r="BI418" i="3"/>
  <c r="AS418" i="3"/>
  <c r="AC418" i="3"/>
  <c r="M418" i="3"/>
  <c r="BB417" i="3"/>
  <c r="AL417" i="3"/>
  <c r="V417" i="3"/>
  <c r="BK416" i="3"/>
  <c r="AU416" i="3"/>
  <c r="AE416" i="3"/>
  <c r="O416" i="3"/>
  <c r="BH415" i="3"/>
  <c r="W471" i="3"/>
  <c r="X457" i="3"/>
  <c r="AA448" i="3"/>
  <c r="S444" i="3"/>
  <c r="S440" i="3"/>
  <c r="S436" i="3"/>
  <c r="AV433" i="3"/>
  <c r="BH431" i="3"/>
  <c r="AV430" i="3"/>
  <c r="AW429" i="3"/>
  <c r="AT428" i="3"/>
  <c r="AU427" i="3"/>
  <c r="AV426" i="3"/>
  <c r="AW425" i="3"/>
  <c r="AT424" i="3"/>
  <c r="AU423" i="3"/>
  <c r="AV422" i="3"/>
  <c r="AW421" i="3"/>
  <c r="AT420" i="3"/>
  <c r="AU419" i="3"/>
  <c r="AV418" i="3"/>
  <c r="AW417" i="3"/>
  <c r="AT416" i="3"/>
  <c r="BC415" i="3"/>
  <c r="AH415" i="3"/>
  <c r="R415" i="3"/>
  <c r="BF413" i="3"/>
  <c r="AP413" i="3"/>
  <c r="Z413" i="3"/>
  <c r="J413" i="3"/>
  <c r="AY412" i="3"/>
  <c r="AI412" i="3"/>
  <c r="S412" i="3"/>
  <c r="BE481" i="3"/>
  <c r="V449" i="3"/>
  <c r="AU432" i="3"/>
  <c r="K431" i="3"/>
  <c r="L430" i="3"/>
  <c r="M429" i="3"/>
  <c r="J428" i="3"/>
  <c r="K427" i="3"/>
  <c r="L426" i="3"/>
  <c r="M425" i="3"/>
  <c r="J424" i="3"/>
  <c r="K423" i="3"/>
  <c r="L422" i="3"/>
  <c r="M421" i="3"/>
  <c r="J420" i="3"/>
  <c r="K419" i="3"/>
  <c r="L418" i="3"/>
  <c r="M417" i="3"/>
  <c r="J416" i="3"/>
  <c r="AO415" i="3"/>
  <c r="Y415" i="3"/>
  <c r="I415" i="3"/>
  <c r="BA413" i="3"/>
  <c r="AK413" i="3"/>
  <c r="U413" i="3"/>
  <c r="BJ412" i="3"/>
  <c r="AT412" i="3"/>
  <c r="AD412" i="3"/>
  <c r="N412" i="3"/>
  <c r="BC411" i="3"/>
  <c r="AM411" i="3"/>
  <c r="W411" i="3"/>
  <c r="G411" i="3"/>
  <c r="AZ410" i="3"/>
  <c r="AJ410" i="3"/>
  <c r="T410" i="3"/>
  <c r="BM409" i="3"/>
  <c r="AW409" i="3"/>
  <c r="AG409" i="3"/>
  <c r="Q409" i="3"/>
  <c r="BF408" i="3"/>
  <c r="AP408" i="3"/>
  <c r="Z408" i="3"/>
  <c r="J408" i="3"/>
  <c r="AY407" i="3"/>
  <c r="AI407" i="3"/>
  <c r="S407" i="3"/>
  <c r="BL406" i="3"/>
  <c r="AV406" i="3"/>
  <c r="AF406" i="3"/>
  <c r="P406" i="3"/>
  <c r="BI405" i="3"/>
  <c r="AS405" i="3"/>
  <c r="AC405" i="3"/>
  <c r="M405" i="3"/>
  <c r="BB404" i="3"/>
  <c r="AL404" i="3"/>
  <c r="V404" i="3"/>
  <c r="BK403" i="3"/>
  <c r="AU403" i="3"/>
  <c r="AE403" i="3"/>
  <c r="O403" i="3"/>
  <c r="BH402" i="3"/>
  <c r="AR402" i="3"/>
  <c r="AB402" i="3"/>
  <c r="L402" i="3"/>
  <c r="BE401" i="3"/>
  <c r="AO401" i="3"/>
  <c r="Y401" i="3"/>
  <c r="I401" i="3"/>
  <c r="AX400" i="3"/>
  <c r="AH400" i="3"/>
  <c r="R400" i="3"/>
  <c r="BG399" i="3"/>
  <c r="AQ399" i="3"/>
  <c r="AA399" i="3"/>
  <c r="K399" i="3"/>
  <c r="BD398" i="3"/>
  <c r="AN398" i="3"/>
  <c r="X398" i="3"/>
  <c r="H398" i="3"/>
  <c r="BA397" i="3"/>
  <c r="AK397" i="3"/>
  <c r="U397" i="3"/>
  <c r="BJ396" i="3"/>
  <c r="AT396" i="3"/>
  <c r="AD396" i="3"/>
  <c r="N396" i="3"/>
  <c r="BC395" i="3"/>
  <c r="AM395" i="3"/>
  <c r="W395" i="3"/>
  <c r="G395" i="3"/>
  <c r="AZ394" i="3"/>
  <c r="AJ394" i="3"/>
  <c r="T394" i="3"/>
  <c r="BM393" i="3"/>
  <c r="AW393" i="3"/>
  <c r="AG393" i="3"/>
  <c r="Q393" i="3"/>
  <c r="BF392" i="3"/>
  <c r="AP392" i="3"/>
  <c r="Z392" i="3"/>
  <c r="J392" i="3"/>
  <c r="AY391" i="3"/>
  <c r="AI391" i="3"/>
  <c r="S391" i="3"/>
  <c r="BL390" i="3"/>
  <c r="AV390" i="3"/>
  <c r="AF390" i="3"/>
  <c r="P390" i="3"/>
  <c r="BI389" i="3"/>
  <c r="AS389" i="3"/>
  <c r="AC389" i="3"/>
  <c r="M389" i="3"/>
  <c r="BB388" i="3"/>
  <c r="AL388" i="3"/>
  <c r="V388" i="3"/>
  <c r="BK387" i="3"/>
  <c r="AU387" i="3"/>
  <c r="AE387" i="3"/>
  <c r="O387" i="3"/>
  <c r="BH386" i="3"/>
  <c r="AR386" i="3"/>
  <c r="AB386" i="3"/>
  <c r="L386" i="3"/>
  <c r="BE385" i="3"/>
  <c r="AO385" i="3"/>
  <c r="Y385" i="3"/>
  <c r="I385" i="3"/>
  <c r="AX384" i="3"/>
  <c r="AH384" i="3"/>
  <c r="R384" i="3"/>
  <c r="BG383" i="3"/>
  <c r="AQ383" i="3"/>
  <c r="AA383" i="3"/>
  <c r="K383" i="3"/>
  <c r="BD382" i="3"/>
  <c r="AN382" i="3"/>
  <c r="X382" i="3"/>
  <c r="H382" i="3"/>
  <c r="BA381" i="3"/>
  <c r="AK381" i="3"/>
  <c r="U381" i="3"/>
  <c r="BJ380" i="3"/>
  <c r="AT380" i="3"/>
  <c r="AD380" i="3"/>
  <c r="N380" i="3"/>
  <c r="BC379" i="3"/>
  <c r="AM379" i="3"/>
  <c r="W379" i="3"/>
  <c r="G379" i="3"/>
  <c r="AZ378" i="3"/>
  <c r="AJ378" i="3"/>
  <c r="T378" i="3"/>
  <c r="BM377" i="3"/>
  <c r="AW377" i="3"/>
  <c r="AG377" i="3"/>
  <c r="Q377" i="3"/>
  <c r="BF376" i="3"/>
  <c r="AP376" i="3"/>
  <c r="W467" i="3"/>
  <c r="AO456" i="3"/>
  <c r="BH447" i="3"/>
  <c r="AZ443" i="3"/>
  <c r="AZ439" i="3"/>
  <c r="AZ435" i="3"/>
  <c r="AF433" i="3"/>
  <c r="X431" i="3"/>
  <c r="X430" i="3"/>
  <c r="Y429" i="3"/>
  <c r="V428" i="3"/>
  <c r="G427" i="3"/>
  <c r="H426" i="3"/>
  <c r="I425" i="3"/>
  <c r="BC423" i="3"/>
  <c r="BD422" i="3"/>
  <c r="BE421" i="3"/>
  <c r="BB420" i="3"/>
  <c r="AM419" i="3"/>
  <c r="AN418" i="3"/>
  <c r="AO417" i="3"/>
  <c r="AL416" i="3"/>
  <c r="AS415" i="3"/>
  <c r="AB415" i="3"/>
  <c r="L415" i="3"/>
  <c r="BD413" i="3"/>
  <c r="AN413" i="3"/>
  <c r="X413" i="3"/>
  <c r="H413" i="3"/>
  <c r="BA412" i="3"/>
  <c r="AK412" i="3"/>
  <c r="U412" i="3"/>
  <c r="BJ411" i="3"/>
  <c r="AT411" i="3"/>
  <c r="AD411" i="3"/>
  <c r="N411" i="3"/>
  <c r="BC410" i="3"/>
  <c r="AM410" i="3"/>
  <c r="W410" i="3"/>
  <c r="G410" i="3"/>
  <c r="AZ409" i="3"/>
  <c r="AJ409" i="3"/>
  <c r="T409" i="3"/>
  <c r="BM408" i="3"/>
  <c r="AW408" i="3"/>
  <c r="AG408" i="3"/>
  <c r="Q408" i="3"/>
  <c r="BF407" i="3"/>
  <c r="AP407" i="3"/>
  <c r="Z407" i="3"/>
  <c r="J407" i="3"/>
  <c r="AY406" i="3"/>
  <c r="AI406" i="3"/>
  <c r="S406" i="3"/>
  <c r="BL405" i="3"/>
  <c r="AV405" i="3"/>
  <c r="AF405" i="3"/>
  <c r="P405" i="3"/>
  <c r="BI404" i="3"/>
  <c r="AS404" i="3"/>
  <c r="AC404" i="3"/>
  <c r="M404" i="3"/>
  <c r="BB403" i="3"/>
  <c r="AL403" i="3"/>
  <c r="V403" i="3"/>
  <c r="BK402" i="3"/>
  <c r="AU402" i="3"/>
  <c r="AE402" i="3"/>
  <c r="O402" i="3"/>
  <c r="BH401" i="3"/>
  <c r="AR401" i="3"/>
  <c r="AB401" i="3"/>
  <c r="L401" i="3"/>
  <c r="BE400" i="3"/>
  <c r="AO400" i="3"/>
  <c r="Y400" i="3"/>
  <c r="I400" i="3"/>
  <c r="AX399" i="3"/>
  <c r="AH399" i="3"/>
  <c r="R399" i="3"/>
  <c r="BG398" i="3"/>
  <c r="AQ398" i="3"/>
  <c r="AA398" i="3"/>
  <c r="K398" i="3"/>
  <c r="BD397" i="3"/>
  <c r="AN397" i="3"/>
  <c r="X397" i="3"/>
  <c r="H397" i="3"/>
  <c r="BA396" i="3"/>
  <c r="AK396" i="3"/>
  <c r="U396" i="3"/>
  <c r="BJ395" i="3"/>
  <c r="AT395" i="3"/>
  <c r="AD395" i="3"/>
  <c r="N395" i="3"/>
  <c r="BC394" i="3"/>
  <c r="AM394" i="3"/>
  <c r="W394" i="3"/>
  <c r="G394" i="3"/>
  <c r="AZ393" i="3"/>
  <c r="AJ393" i="3"/>
  <c r="T393" i="3"/>
  <c r="BM392" i="3"/>
  <c r="AW392" i="3"/>
  <c r="AG392" i="3"/>
  <c r="Q392" i="3"/>
  <c r="BF391" i="3"/>
  <c r="AP391" i="3"/>
  <c r="Z391" i="3"/>
  <c r="J391" i="3"/>
  <c r="AY390" i="3"/>
  <c r="AI390" i="3"/>
  <c r="S390" i="3"/>
  <c r="BL389" i="3"/>
  <c r="AV389" i="3"/>
  <c r="AF389" i="3"/>
  <c r="P389" i="3"/>
  <c r="BI388" i="3"/>
  <c r="AS388" i="3"/>
  <c r="AC388" i="3"/>
  <c r="M388" i="3"/>
  <c r="BB387" i="3"/>
  <c r="AL387" i="3"/>
  <c r="V387" i="3"/>
  <c r="BK386" i="3"/>
  <c r="AU386" i="3"/>
  <c r="AE386" i="3"/>
  <c r="O386" i="3"/>
  <c r="BH385" i="3"/>
  <c r="AR385" i="3"/>
  <c r="AB385" i="3"/>
  <c r="L385" i="3"/>
  <c r="BE384" i="3"/>
  <c r="AO384" i="3"/>
  <c r="Y384" i="3"/>
  <c r="I384" i="3"/>
  <c r="AX383" i="3"/>
  <c r="AH383" i="3"/>
  <c r="R383" i="3"/>
  <c r="BG382" i="3"/>
  <c r="AQ382" i="3"/>
  <c r="AA382" i="3"/>
  <c r="K382" i="3"/>
  <c r="BD381" i="3"/>
  <c r="AN381" i="3"/>
  <c r="X381" i="3"/>
  <c r="H381" i="3"/>
  <c r="BA380" i="3"/>
  <c r="AK380" i="3"/>
  <c r="U380" i="3"/>
  <c r="BJ379" i="3"/>
  <c r="AT379" i="3"/>
  <c r="AD379" i="3"/>
  <c r="N379" i="3"/>
  <c r="BC378" i="3"/>
  <c r="AM378" i="3"/>
  <c r="W378" i="3"/>
  <c r="G378" i="3"/>
  <c r="AZ377" i="3"/>
  <c r="AJ377" i="3"/>
  <c r="T377" i="3"/>
  <c r="BM376" i="3"/>
  <c r="AW376" i="3"/>
  <c r="BE477" i="3"/>
  <c r="AH441" i="3"/>
  <c r="BK432" i="3"/>
  <c r="R428" i="3"/>
  <c r="R424" i="3"/>
  <c r="R420" i="3"/>
  <c r="R416" i="3"/>
  <c r="AY413" i="3"/>
  <c r="AJ412" i="3"/>
  <c r="AR411" i="3"/>
  <c r="L411" i="3"/>
  <c r="AO410" i="3"/>
  <c r="I410" i="3"/>
  <c r="AL409" i="3"/>
  <c r="BH408" i="3"/>
  <c r="AB408" i="3"/>
  <c r="AZ407" i="3"/>
  <c r="T407" i="3"/>
  <c r="AW406" i="3"/>
  <c r="Q406" i="3"/>
  <c r="AT405" i="3"/>
  <c r="N405" i="3"/>
  <c r="AJ404" i="3"/>
  <c r="BH403" i="3"/>
  <c r="AB403" i="3"/>
  <c r="BE402" i="3"/>
  <c r="Y402" i="3"/>
  <c r="BB401" i="3"/>
  <c r="V401" i="3"/>
  <c r="AR400" i="3"/>
  <c r="L400" i="3"/>
  <c r="AJ399" i="3"/>
  <c r="BM398" i="3"/>
  <c r="AG398" i="3"/>
  <c r="BJ397" i="3"/>
  <c r="AD397" i="3"/>
  <c r="AZ396" i="3"/>
  <c r="T396" i="3"/>
  <c r="AR395" i="3"/>
  <c r="L395" i="3"/>
  <c r="AO394" i="3"/>
  <c r="I394" i="3"/>
  <c r="AL393" i="3"/>
  <c r="BH392" i="3"/>
  <c r="AB392" i="3"/>
  <c r="AZ391" i="3"/>
  <c r="T391" i="3"/>
  <c r="AW390" i="3"/>
  <c r="Q390" i="3"/>
  <c r="AT389" i="3"/>
  <c r="N389" i="3"/>
  <c r="AJ388" i="3"/>
  <c r="BH387" i="3"/>
  <c r="AB387" i="3"/>
  <c r="BE386" i="3"/>
  <c r="Y386" i="3"/>
  <c r="BB385" i="3"/>
  <c r="V385" i="3"/>
  <c r="AR384" i="3"/>
  <c r="L384" i="3"/>
  <c r="AJ383" i="3"/>
  <c r="BM382" i="3"/>
  <c r="AG382" i="3"/>
  <c r="BJ381" i="3"/>
  <c r="AD381" i="3"/>
  <c r="AZ380" i="3"/>
  <c r="T380" i="3"/>
  <c r="AR379" i="3"/>
  <c r="L379" i="3"/>
  <c r="AO378" i="3"/>
  <c r="I378" i="3"/>
  <c r="AL377" i="3"/>
  <c r="BH376" i="3"/>
  <c r="AF376" i="3"/>
  <c r="P376" i="3"/>
  <c r="BI375" i="3"/>
  <c r="AS375" i="3"/>
  <c r="AC375" i="3"/>
  <c r="M375" i="3"/>
  <c r="BB374" i="3"/>
  <c r="AL374" i="3"/>
  <c r="V374" i="3"/>
  <c r="BM371" i="3"/>
  <c r="AW371" i="3"/>
  <c r="AG371" i="3"/>
  <c r="Q371" i="3"/>
  <c r="BF370" i="3"/>
  <c r="AP370" i="3"/>
  <c r="Z370" i="3"/>
  <c r="J370" i="3"/>
  <c r="AY369" i="3"/>
  <c r="AI369" i="3"/>
  <c r="S369" i="3"/>
  <c r="BL368" i="3"/>
  <c r="AV368" i="3"/>
  <c r="AF368" i="3"/>
  <c r="P368" i="3"/>
  <c r="BI367" i="3"/>
  <c r="AS367" i="3"/>
  <c r="AC367" i="3"/>
  <c r="M367" i="3"/>
  <c r="BB366" i="3"/>
  <c r="AL366" i="3"/>
  <c r="V366" i="3"/>
  <c r="BK365" i="3"/>
  <c r="AU365" i="3"/>
  <c r="AE365" i="3"/>
  <c r="O365" i="3"/>
  <c r="BH364" i="3"/>
  <c r="AR364" i="3"/>
  <c r="AB364" i="3"/>
  <c r="L364" i="3"/>
  <c r="BE363" i="3"/>
  <c r="AO363" i="3"/>
  <c r="Y363" i="3"/>
  <c r="I363" i="3"/>
  <c r="AX362" i="3"/>
  <c r="AH362" i="3"/>
  <c r="R362" i="3"/>
  <c r="BG361" i="3"/>
  <c r="AQ361" i="3"/>
  <c r="AA361" i="3"/>
  <c r="K361" i="3"/>
  <c r="BD360" i="3"/>
  <c r="AN360" i="3"/>
  <c r="X360" i="3"/>
  <c r="H360" i="3"/>
  <c r="BA359" i="3"/>
  <c r="AK359" i="3"/>
  <c r="U359" i="3"/>
  <c r="BJ358" i="3"/>
  <c r="AT358" i="3"/>
  <c r="AD358" i="3"/>
  <c r="N358" i="3"/>
  <c r="BC357" i="3"/>
  <c r="AM357" i="3"/>
  <c r="W357" i="3"/>
  <c r="G357" i="3"/>
  <c r="AZ356" i="3"/>
  <c r="AJ356" i="3"/>
  <c r="T356" i="3"/>
  <c r="BM355" i="3"/>
  <c r="AW355" i="3"/>
  <c r="AG355" i="3"/>
  <c r="Q355" i="3"/>
  <c r="BF354" i="3"/>
  <c r="AP354" i="3"/>
  <c r="Z354" i="3"/>
  <c r="J354" i="3"/>
  <c r="AY353" i="3"/>
  <c r="AI353" i="3"/>
  <c r="S353" i="3"/>
  <c r="BL352" i="3"/>
  <c r="AV352" i="3"/>
  <c r="AF352" i="3"/>
  <c r="P352" i="3"/>
  <c r="BI351" i="3"/>
  <c r="AS351" i="3"/>
  <c r="AC351" i="3"/>
  <c r="M351" i="3"/>
  <c r="BB350" i="3"/>
  <c r="AL350" i="3"/>
  <c r="BE469" i="3"/>
  <c r="W415" i="3"/>
  <c r="AE413" i="3"/>
  <c r="AF412" i="3"/>
  <c r="AW411" i="3"/>
  <c r="Q411" i="3"/>
  <c r="AT410" i="3"/>
  <c r="N410" i="3"/>
  <c r="AI409" i="3"/>
  <c r="BG408" i="3"/>
  <c r="AA408" i="3"/>
  <c r="BE407" i="3"/>
  <c r="Y407" i="3"/>
  <c r="BB406" i="3"/>
  <c r="V406" i="3"/>
  <c r="AQ405" i="3"/>
  <c r="K405" i="3"/>
  <c r="AI404" i="3"/>
  <c r="BM403" i="3"/>
  <c r="AG403" i="3"/>
  <c r="BJ402" i="3"/>
  <c r="AD402" i="3"/>
  <c r="AY401" i="3"/>
  <c r="S401" i="3"/>
  <c r="AQ400" i="3"/>
  <c r="K400" i="3"/>
  <c r="AO399" i="3"/>
  <c r="I399" i="3"/>
  <c r="AL398" i="3"/>
  <c r="BG397" i="3"/>
  <c r="AA397" i="3"/>
  <c r="AY396" i="3"/>
  <c r="S396" i="3"/>
  <c r="AW395" i="3"/>
  <c r="Q395" i="3"/>
  <c r="AT394" i="3"/>
  <c r="N394" i="3"/>
  <c r="AI393" i="3"/>
  <c r="BG392" i="3"/>
  <c r="AA392" i="3"/>
  <c r="BE391" i="3"/>
  <c r="Y391" i="3"/>
  <c r="BB390" i="3"/>
  <c r="V390" i="3"/>
  <c r="AQ389" i="3"/>
  <c r="K389" i="3"/>
  <c r="AI388" i="3"/>
  <c r="BM387" i="3"/>
  <c r="AG387" i="3"/>
  <c r="BJ386" i="3"/>
  <c r="AD386" i="3"/>
  <c r="AY385" i="3"/>
  <c r="S385" i="3"/>
  <c r="AQ384" i="3"/>
  <c r="K384" i="3"/>
  <c r="AO383" i="3"/>
  <c r="I383" i="3"/>
  <c r="AL382" i="3"/>
  <c r="BG381" i="3"/>
  <c r="AA381" i="3"/>
  <c r="AY380" i="3"/>
  <c r="S380" i="3"/>
  <c r="AW379" i="3"/>
  <c r="Q379" i="3"/>
  <c r="AT378" i="3"/>
  <c r="N378" i="3"/>
  <c r="AI377" i="3"/>
  <c r="BG376" i="3"/>
  <c r="AE376" i="3"/>
  <c r="O376" i="3"/>
  <c r="BH375" i="3"/>
  <c r="AR375" i="3"/>
  <c r="AB375" i="3"/>
  <c r="L375" i="3"/>
  <c r="BE374" i="3"/>
  <c r="AO374" i="3"/>
  <c r="Y374" i="3"/>
  <c r="I374" i="3"/>
  <c r="AZ371" i="3"/>
  <c r="AJ371" i="3"/>
  <c r="T371" i="3"/>
  <c r="BM370" i="3"/>
  <c r="AW370" i="3"/>
  <c r="AG370" i="3"/>
  <c r="Q370" i="3"/>
  <c r="BF369" i="3"/>
  <c r="AP369" i="3"/>
  <c r="Z369" i="3"/>
  <c r="J369" i="3"/>
  <c r="AY368" i="3"/>
  <c r="AI368" i="3"/>
  <c r="S368" i="3"/>
  <c r="BL367" i="3"/>
  <c r="AV367" i="3"/>
  <c r="AF367" i="3"/>
  <c r="P367" i="3"/>
  <c r="BI366" i="3"/>
  <c r="AS366" i="3"/>
  <c r="AC366" i="3"/>
  <c r="M366" i="3"/>
  <c r="BB365" i="3"/>
  <c r="AL365" i="3"/>
  <c r="V365" i="3"/>
  <c r="BK364" i="3"/>
  <c r="AU364" i="3"/>
  <c r="AE364" i="3"/>
  <c r="O364" i="3"/>
  <c r="BH363" i="3"/>
  <c r="AR363" i="3"/>
  <c r="AB363" i="3"/>
  <c r="L363" i="3"/>
  <c r="BE362" i="3"/>
  <c r="AO362" i="3"/>
  <c r="Y362" i="3"/>
  <c r="I362" i="3"/>
  <c r="AX361" i="3"/>
  <c r="AH361" i="3"/>
  <c r="R361" i="3"/>
  <c r="BG360" i="3"/>
  <c r="AQ360" i="3"/>
  <c r="AA360" i="3"/>
  <c r="K360" i="3"/>
  <c r="BD359" i="3"/>
  <c r="AN359" i="3"/>
  <c r="X359" i="3"/>
  <c r="H359" i="3"/>
  <c r="BA358" i="3"/>
  <c r="AK358" i="3"/>
  <c r="U358" i="3"/>
  <c r="BJ357" i="3"/>
  <c r="AT357" i="3"/>
  <c r="AD357" i="3"/>
  <c r="N357" i="3"/>
  <c r="BC356" i="3"/>
  <c r="AM356" i="3"/>
  <c r="W356" i="3"/>
  <c r="G356" i="3"/>
  <c r="AZ355" i="3"/>
  <c r="AJ355" i="3"/>
  <c r="T355" i="3"/>
  <c r="BM354" i="3"/>
  <c r="AW354" i="3"/>
  <c r="AG354" i="3"/>
  <c r="Q354" i="3"/>
  <c r="BF353" i="3"/>
  <c r="AP353" i="3"/>
  <c r="Z353" i="3"/>
  <c r="J353" i="3"/>
  <c r="AY352" i="3"/>
  <c r="AI352" i="3"/>
  <c r="S352" i="3"/>
  <c r="BL351" i="3"/>
  <c r="AV351" i="3"/>
  <c r="AF351" i="3"/>
  <c r="P351" i="3"/>
  <c r="BI350" i="3"/>
  <c r="AS350" i="3"/>
  <c r="AC350" i="3"/>
  <c r="BG448" i="3"/>
  <c r="AI440" i="3"/>
  <c r="X433" i="3"/>
  <c r="AY427" i="3"/>
  <c r="AY423" i="3"/>
  <c r="AY419" i="3"/>
  <c r="BE415" i="3"/>
  <c r="AN431" i="3"/>
  <c r="AI427" i="3"/>
  <c r="AI423" i="3"/>
  <c r="AI419" i="3"/>
  <c r="AW415" i="3"/>
  <c r="AM413" i="3"/>
  <c r="AN412" i="3"/>
  <c r="BA411" i="3"/>
  <c r="U411" i="3"/>
  <c r="AP410" i="3"/>
  <c r="J410" i="3"/>
  <c r="AM409" i="3"/>
  <c r="G409" i="3"/>
  <c r="AM408" i="3"/>
  <c r="G408" i="3"/>
  <c r="AK407" i="3"/>
  <c r="BF406" i="3"/>
  <c r="Z406" i="3"/>
  <c r="BC405" i="3"/>
  <c r="W405" i="3"/>
  <c r="BC404" i="3"/>
  <c r="W404" i="3"/>
  <c r="BA403" i="3"/>
  <c r="U403" i="3"/>
  <c r="AP402" i="3"/>
  <c r="J402" i="3"/>
  <c r="AM401" i="3"/>
  <c r="G401" i="3"/>
  <c r="AM400" i="3"/>
  <c r="G400" i="3"/>
  <c r="AK399" i="3"/>
  <c r="BF398" i="3"/>
  <c r="Z398" i="3"/>
  <c r="BC397" i="3"/>
  <c r="W397" i="3"/>
  <c r="BC396" i="3"/>
  <c r="W396" i="3"/>
  <c r="BA395" i="3"/>
  <c r="U395" i="3"/>
  <c r="AP394" i="3"/>
  <c r="J394" i="3"/>
  <c r="AM393" i="3"/>
  <c r="G393" i="3"/>
  <c r="AM392" i="3"/>
  <c r="G392" i="3"/>
  <c r="AK391" i="3"/>
  <c r="BF390" i="3"/>
  <c r="Z390" i="3"/>
  <c r="BC389" i="3"/>
  <c r="W389" i="3"/>
  <c r="BC388" i="3"/>
  <c r="W388" i="3"/>
  <c r="BA387" i="3"/>
  <c r="U387" i="3"/>
  <c r="AP386" i="3"/>
  <c r="J386" i="3"/>
  <c r="AM385" i="3"/>
  <c r="G385" i="3"/>
  <c r="AM384" i="3"/>
  <c r="G384" i="3"/>
  <c r="AK383" i="3"/>
  <c r="BF382" i="3"/>
  <c r="Z382" i="3"/>
  <c r="BC381" i="3"/>
  <c r="W381" i="3"/>
  <c r="BC380" i="3"/>
  <c r="W380" i="3"/>
  <c r="BA379" i="3"/>
  <c r="U379" i="3"/>
  <c r="AP378" i="3"/>
  <c r="J378" i="3"/>
  <c r="AM377" i="3"/>
  <c r="G377" i="3"/>
  <c r="AM376" i="3"/>
  <c r="U376" i="3"/>
  <c r="BJ375" i="3"/>
  <c r="AT375" i="3"/>
  <c r="AD375" i="3"/>
  <c r="N375" i="3"/>
  <c r="BC374" i="3"/>
  <c r="AM374" i="3"/>
  <c r="W374" i="3"/>
  <c r="G374" i="3"/>
  <c r="AX371" i="3"/>
  <c r="AH371" i="3"/>
  <c r="R371" i="3"/>
  <c r="BG370" i="3"/>
  <c r="AQ370" i="3"/>
  <c r="AA370" i="3"/>
  <c r="K370" i="3"/>
  <c r="BD369" i="3"/>
  <c r="AN369" i="3"/>
  <c r="X369" i="3"/>
  <c r="H369" i="3"/>
  <c r="BA368" i="3"/>
  <c r="AK368" i="3"/>
  <c r="U368" i="3"/>
  <c r="BJ367" i="3"/>
  <c r="AT367" i="3"/>
  <c r="AD367" i="3"/>
  <c r="N367" i="3"/>
  <c r="BC366" i="3"/>
  <c r="AM366" i="3"/>
  <c r="W366" i="3"/>
  <c r="G366" i="3"/>
  <c r="AZ365" i="3"/>
  <c r="AJ365" i="3"/>
  <c r="T365" i="3"/>
  <c r="BM364" i="3"/>
  <c r="AW364" i="3"/>
  <c r="AG364" i="3"/>
  <c r="Q364" i="3"/>
  <c r="BF363" i="3"/>
  <c r="AP363" i="3"/>
  <c r="Z363" i="3"/>
  <c r="J363" i="3"/>
  <c r="AY362" i="3"/>
  <c r="AI362" i="3"/>
  <c r="S362" i="3"/>
  <c r="BL361" i="3"/>
  <c r="AV361" i="3"/>
  <c r="AF361" i="3"/>
  <c r="P361" i="3"/>
  <c r="BI360" i="3"/>
  <c r="AS360" i="3"/>
  <c r="AC360" i="3"/>
  <c r="M360" i="3"/>
  <c r="BB359" i="3"/>
  <c r="AL359" i="3"/>
  <c r="V359" i="3"/>
  <c r="BK358" i="3"/>
  <c r="AU358" i="3"/>
  <c r="AE358" i="3"/>
  <c r="O358" i="3"/>
  <c r="BH357" i="3"/>
  <c r="AR357" i="3"/>
  <c r="AB357" i="3"/>
  <c r="L357" i="3"/>
  <c r="BE356" i="3"/>
  <c r="AO356" i="3"/>
  <c r="Y356" i="3"/>
  <c r="I356" i="3"/>
  <c r="AX355" i="3"/>
  <c r="AH355" i="3"/>
  <c r="R355" i="3"/>
  <c r="BG354" i="3"/>
  <c r="AQ354" i="3"/>
  <c r="AA354" i="3"/>
  <c r="K354" i="3"/>
  <c r="BD353" i="3"/>
  <c r="AN353" i="3"/>
  <c r="X353" i="3"/>
  <c r="H353" i="3"/>
  <c r="BA352" i="3"/>
  <c r="AK352" i="3"/>
  <c r="U352" i="3"/>
  <c r="BJ351" i="3"/>
  <c r="AT351" i="3"/>
  <c r="AD351" i="3"/>
  <c r="N351" i="3"/>
  <c r="BC350" i="3"/>
  <c r="AN411" i="3"/>
  <c r="AP409" i="3"/>
  <c r="BD407" i="3"/>
  <c r="BF405" i="3"/>
  <c r="AN403" i="3"/>
  <c r="AP401" i="3"/>
  <c r="BD399" i="3"/>
  <c r="BF397" i="3"/>
  <c r="AN395" i="3"/>
  <c r="AP393" i="3"/>
  <c r="BD391" i="3"/>
  <c r="BF389" i="3"/>
  <c r="AN387" i="3"/>
  <c r="AP385" i="3"/>
  <c r="BD383" i="3"/>
  <c r="BF381" i="3"/>
  <c r="AN379" i="3"/>
  <c r="AP377" i="3"/>
  <c r="J376" i="3"/>
  <c r="K375" i="3"/>
  <c r="L374" i="3"/>
  <c r="O371" i="3"/>
  <c r="P370" i="3"/>
  <c r="Q369" i="3"/>
  <c r="N368" i="3"/>
  <c r="O367" i="3"/>
  <c r="P366" i="3"/>
  <c r="Q365" i="3"/>
  <c r="N364" i="3"/>
  <c r="O363" i="3"/>
  <c r="P362" i="3"/>
  <c r="Q361" i="3"/>
  <c r="N360" i="3"/>
  <c r="O359" i="3"/>
  <c r="P358" i="3"/>
  <c r="Q357" i="3"/>
  <c r="N356" i="3"/>
  <c r="O355" i="3"/>
  <c r="P354" i="3"/>
  <c r="Q353" i="3"/>
  <c r="N352" i="3"/>
  <c r="O351" i="3"/>
  <c r="AF350" i="3"/>
  <c r="K350" i="3"/>
  <c r="BD349" i="3"/>
  <c r="AN349" i="3"/>
  <c r="X349" i="3"/>
  <c r="H349" i="3"/>
  <c r="BA348" i="3"/>
  <c r="AK348" i="3"/>
  <c r="U348" i="3"/>
  <c r="BJ347" i="3"/>
  <c r="AT347" i="3"/>
  <c r="AD347" i="3"/>
  <c r="N347" i="3"/>
  <c r="BC346" i="3"/>
  <c r="AM346" i="3"/>
  <c r="W346" i="3"/>
  <c r="G346" i="3"/>
  <c r="AZ345" i="3"/>
  <c r="AJ345" i="3"/>
  <c r="T345" i="3"/>
  <c r="BM344" i="3"/>
  <c r="AW344" i="3"/>
  <c r="AG344" i="3"/>
  <c r="Q344" i="3"/>
  <c r="BF343" i="3"/>
  <c r="AP343" i="3"/>
  <c r="Z343" i="3"/>
  <c r="J343" i="3"/>
  <c r="AY342" i="3"/>
  <c r="AI342" i="3"/>
  <c r="S342" i="3"/>
  <c r="BL341" i="3"/>
  <c r="AV341" i="3"/>
  <c r="AF341" i="3"/>
  <c r="P341" i="3"/>
  <c r="BI340" i="3"/>
  <c r="AS340" i="3"/>
  <c r="AC340" i="3"/>
  <c r="M340" i="3"/>
  <c r="BB339" i="3"/>
  <c r="AL339" i="3"/>
  <c r="V339" i="3"/>
  <c r="BK338" i="3"/>
  <c r="AU338" i="3"/>
  <c r="AE338" i="3"/>
  <c r="O338" i="3"/>
  <c r="BH337" i="3"/>
  <c r="AR337" i="3"/>
  <c r="AB337" i="3"/>
  <c r="L337" i="3"/>
  <c r="BE336" i="3"/>
  <c r="AO336" i="3"/>
  <c r="Y336" i="3"/>
  <c r="I336" i="3"/>
  <c r="AX335" i="3"/>
  <c r="AH335" i="3"/>
  <c r="R335" i="3"/>
  <c r="BG334" i="3"/>
  <c r="AQ334" i="3"/>
  <c r="AA334" i="3"/>
  <c r="K334" i="3"/>
  <c r="BD333" i="3"/>
  <c r="AN333" i="3"/>
  <c r="X333" i="3"/>
  <c r="H333" i="3"/>
  <c r="BA332" i="3"/>
  <c r="AK332" i="3"/>
  <c r="U332" i="3"/>
  <c r="BM330" i="3"/>
  <c r="AW330" i="3"/>
  <c r="AG330" i="3"/>
  <c r="Q330" i="3"/>
  <c r="BF329" i="3"/>
  <c r="AP329" i="3"/>
  <c r="Z329" i="3"/>
  <c r="J329" i="3"/>
  <c r="AY328" i="3"/>
  <c r="AI328" i="3"/>
  <c r="S328" i="3"/>
  <c r="BL327" i="3"/>
  <c r="AV327" i="3"/>
  <c r="AF327" i="3"/>
  <c r="P327" i="3"/>
  <c r="BI326" i="3"/>
  <c r="AS326" i="3"/>
  <c r="AC326" i="3"/>
  <c r="M326" i="3"/>
  <c r="BB325" i="3"/>
  <c r="AL325" i="3"/>
  <c r="V325" i="3"/>
  <c r="BK324" i="3"/>
  <c r="AU324" i="3"/>
  <c r="AE324" i="3"/>
  <c r="O324" i="3"/>
  <c r="BH323" i="3"/>
  <c r="AR323" i="3"/>
  <c r="AB323" i="3"/>
  <c r="L323" i="3"/>
  <c r="BE322" i="3"/>
  <c r="AO322" i="3"/>
  <c r="Y322" i="3"/>
  <c r="I322" i="3"/>
  <c r="AX321" i="3"/>
  <c r="AH321" i="3"/>
  <c r="R321" i="3"/>
  <c r="BG320" i="3"/>
  <c r="AQ320" i="3"/>
  <c r="AA320" i="3"/>
  <c r="K320" i="3"/>
  <c r="BD319" i="3"/>
  <c r="AN319" i="3"/>
  <c r="X319" i="3"/>
  <c r="H319" i="3"/>
  <c r="BA318" i="3"/>
  <c r="AK318" i="3"/>
  <c r="U318" i="3"/>
  <c r="BJ317" i="3"/>
  <c r="AT317" i="3"/>
  <c r="AD317" i="3"/>
  <c r="N317" i="3"/>
  <c r="BC316" i="3"/>
  <c r="AM316" i="3"/>
  <c r="W316" i="3"/>
  <c r="G316" i="3"/>
  <c r="AA413" i="3"/>
  <c r="AK410" i="3"/>
  <c r="AV407" i="3"/>
  <c r="AX405" i="3"/>
  <c r="BL403" i="3"/>
  <c r="AN400" i="3"/>
  <c r="BA398" i="3"/>
  <c r="BD396" i="3"/>
  <c r="AK394" i="3"/>
  <c r="AV391" i="3"/>
  <c r="AX389" i="3"/>
  <c r="BL387" i="3"/>
  <c r="AN384" i="3"/>
  <c r="BA382" i="3"/>
  <c r="BD380" i="3"/>
  <c r="AK378" i="3"/>
  <c r="BC375" i="3"/>
  <c r="BD374" i="3"/>
  <c r="BG371" i="3"/>
  <c r="BH370" i="3"/>
  <c r="BI369" i="3"/>
  <c r="BF368" i="3"/>
  <c r="BG367" i="3"/>
  <c r="BH366" i="3"/>
  <c r="BI365" i="3"/>
  <c r="BF364" i="3"/>
  <c r="BG363" i="3"/>
  <c r="BH362" i="3"/>
  <c r="BI361" i="3"/>
  <c r="BF360" i="3"/>
  <c r="BG359" i="3"/>
  <c r="BH358" i="3"/>
  <c r="BI357" i="3"/>
  <c r="BF356" i="3"/>
  <c r="BG355" i="3"/>
  <c r="BH354" i="3"/>
  <c r="BI353" i="3"/>
  <c r="BF352" i="3"/>
  <c r="BG351" i="3"/>
  <c r="BH350" i="3"/>
  <c r="W350" i="3"/>
  <c r="BK349" i="3"/>
  <c r="AU349" i="3"/>
  <c r="AE349" i="3"/>
  <c r="O349" i="3"/>
  <c r="BH348" i="3"/>
  <c r="AR348" i="3"/>
  <c r="AB348" i="3"/>
  <c r="L348" i="3"/>
  <c r="BE347" i="3"/>
  <c r="AO347" i="3"/>
  <c r="Y347" i="3"/>
  <c r="I347" i="3"/>
  <c r="AX346" i="3"/>
  <c r="AH346" i="3"/>
  <c r="R346" i="3"/>
  <c r="BG345" i="3"/>
  <c r="AQ345" i="3"/>
  <c r="AA345" i="3"/>
  <c r="K345" i="3"/>
  <c r="BD344" i="3"/>
  <c r="AN344" i="3"/>
  <c r="X344" i="3"/>
  <c r="H344" i="3"/>
  <c r="BA343" i="3"/>
  <c r="AK343" i="3"/>
  <c r="U343" i="3"/>
  <c r="BJ342" i="3"/>
  <c r="AT342" i="3"/>
  <c r="AD342" i="3"/>
  <c r="N342" i="3"/>
  <c r="BC341" i="3"/>
  <c r="AM341" i="3"/>
  <c r="W341" i="3"/>
  <c r="G341" i="3"/>
  <c r="AZ340" i="3"/>
  <c r="AJ340" i="3"/>
  <c r="T340" i="3"/>
  <c r="BM339" i="3"/>
  <c r="AW339" i="3"/>
  <c r="AG339" i="3"/>
  <c r="Q339" i="3"/>
  <c r="BF338" i="3"/>
  <c r="AP338" i="3"/>
  <c r="Z338" i="3"/>
  <c r="J338" i="3"/>
  <c r="AY337" i="3"/>
  <c r="AI337" i="3"/>
  <c r="S337" i="3"/>
  <c r="BL336" i="3"/>
  <c r="AV336" i="3"/>
  <c r="AF336" i="3"/>
  <c r="P336" i="3"/>
  <c r="BI335" i="3"/>
  <c r="AS335" i="3"/>
  <c r="AC335" i="3"/>
  <c r="M335" i="3"/>
  <c r="BB334" i="3"/>
  <c r="AL334" i="3"/>
  <c r="V334" i="3"/>
  <c r="BK333" i="3"/>
  <c r="AU333" i="3"/>
  <c r="AE333" i="3"/>
  <c r="O333" i="3"/>
  <c r="BH332" i="3"/>
  <c r="AR332" i="3"/>
  <c r="AB332" i="3"/>
  <c r="L332" i="3"/>
  <c r="BD330" i="3"/>
  <c r="AN330" i="3"/>
  <c r="X330" i="3"/>
  <c r="H330" i="3"/>
  <c r="BA329" i="3"/>
  <c r="AK329" i="3"/>
  <c r="U329" i="3"/>
  <c r="BJ328" i="3"/>
  <c r="AT328" i="3"/>
  <c r="AD328" i="3"/>
  <c r="N328" i="3"/>
  <c r="BC327" i="3"/>
  <c r="AM327" i="3"/>
  <c r="W327" i="3"/>
  <c r="G327" i="3"/>
  <c r="AZ326" i="3"/>
  <c r="AJ326" i="3"/>
  <c r="T326" i="3"/>
  <c r="BM325" i="3"/>
  <c r="AW325" i="3"/>
  <c r="AG325" i="3"/>
  <c r="Q325" i="3"/>
  <c r="BF324" i="3"/>
  <c r="AP324" i="3"/>
  <c r="Z324" i="3"/>
  <c r="J324" i="3"/>
  <c r="AY323" i="3"/>
  <c r="AI323" i="3"/>
  <c r="S323" i="3"/>
  <c r="BL322" i="3"/>
  <c r="AV322" i="3"/>
  <c r="AF322" i="3"/>
  <c r="P322" i="3"/>
  <c r="BI321" i="3"/>
  <c r="AS321" i="3"/>
  <c r="AC321" i="3"/>
  <c r="M321" i="3"/>
  <c r="BB320" i="3"/>
  <c r="AL320" i="3"/>
  <c r="V320" i="3"/>
  <c r="BK319" i="3"/>
  <c r="AU319" i="3"/>
  <c r="AE319" i="3"/>
  <c r="O319" i="3"/>
  <c r="BH318" i="3"/>
  <c r="AR318" i="3"/>
  <c r="AB318" i="3"/>
  <c r="L318" i="3"/>
  <c r="BE317" i="3"/>
  <c r="AO317" i="3"/>
  <c r="Y317" i="3"/>
  <c r="I317" i="3"/>
  <c r="AX316" i="3"/>
  <c r="AH316" i="3"/>
  <c r="R316" i="3"/>
  <c r="BD411" i="3"/>
  <c r="BL407" i="3"/>
  <c r="BF401" i="3"/>
  <c r="AH397" i="3"/>
  <c r="Z393" i="3"/>
  <c r="X387" i="3"/>
  <c r="AF383" i="3"/>
  <c r="BD379" i="3"/>
  <c r="N376" i="3"/>
  <c r="P374" i="3"/>
  <c r="T370" i="3"/>
  <c r="R368" i="3"/>
  <c r="T366" i="3"/>
  <c r="R364" i="3"/>
  <c r="T362" i="3"/>
  <c r="R360" i="3"/>
  <c r="T358" i="3"/>
  <c r="R356" i="3"/>
  <c r="T354" i="3"/>
  <c r="R352" i="3"/>
  <c r="AI350" i="3"/>
  <c r="BE349" i="3"/>
  <c r="Y349" i="3"/>
  <c r="BB348" i="3"/>
  <c r="V348" i="3"/>
  <c r="AR347" i="3"/>
  <c r="L347" i="3"/>
  <c r="AJ346" i="3"/>
  <c r="BM345" i="3"/>
  <c r="AG345" i="3"/>
  <c r="BJ344" i="3"/>
  <c r="AD344" i="3"/>
  <c r="AZ343" i="3"/>
  <c r="T343" i="3"/>
  <c r="AR342" i="3"/>
  <c r="L342" i="3"/>
  <c r="AO341" i="3"/>
  <c r="I341" i="3"/>
  <c r="AL340" i="3"/>
  <c r="BH339" i="3"/>
  <c r="AB339" i="3"/>
  <c r="AZ338" i="3"/>
  <c r="T338" i="3"/>
  <c r="AW337" i="3"/>
  <c r="Q337" i="3"/>
  <c r="AT336" i="3"/>
  <c r="N336" i="3"/>
  <c r="AJ335" i="3"/>
  <c r="BH334" i="3"/>
  <c r="AB334" i="3"/>
  <c r="BE333" i="3"/>
  <c r="Y333" i="3"/>
  <c r="BB332" i="3"/>
  <c r="V332" i="3"/>
  <c r="AT330" i="3"/>
  <c r="N330" i="3"/>
  <c r="AJ329" i="3"/>
  <c r="BH328" i="3"/>
  <c r="AB328" i="3"/>
  <c r="BE327" i="3"/>
  <c r="Y327" i="3"/>
  <c r="BB326" i="3"/>
  <c r="V326" i="3"/>
  <c r="AR325" i="3"/>
  <c r="L325" i="3"/>
  <c r="AJ324" i="3"/>
  <c r="BM323" i="3"/>
  <c r="AG323" i="3"/>
  <c r="BJ322" i="3"/>
  <c r="AD322" i="3"/>
  <c r="AZ321" i="3"/>
  <c r="T321" i="3"/>
  <c r="AR320" i="3"/>
  <c r="L320" i="3"/>
  <c r="AO319" i="3"/>
  <c r="I319" i="3"/>
  <c r="AL318" i="3"/>
  <c r="BH317" i="3"/>
  <c r="AB317" i="3"/>
  <c r="AZ316" i="3"/>
  <c r="T316" i="3"/>
  <c r="BA315" i="3"/>
  <c r="AK315" i="3"/>
  <c r="U315" i="3"/>
  <c r="BJ314" i="3"/>
  <c r="AT314" i="3"/>
  <c r="AD314" i="3"/>
  <c r="N314" i="3"/>
  <c r="BC313" i="3"/>
  <c r="AM313" i="3"/>
  <c r="W313" i="3"/>
  <c r="G313" i="3"/>
  <c r="AZ312" i="3"/>
  <c r="AJ312" i="3"/>
  <c r="T312" i="3"/>
  <c r="BM311" i="3"/>
  <c r="AW311" i="3"/>
  <c r="AG311" i="3"/>
  <c r="Q311" i="3"/>
  <c r="BF310" i="3"/>
  <c r="AP310" i="3"/>
  <c r="Z310" i="3"/>
  <c r="J310" i="3"/>
  <c r="AY309" i="3"/>
  <c r="AI309" i="3"/>
  <c r="S309" i="3"/>
  <c r="BL308" i="3"/>
  <c r="AV308" i="3"/>
  <c r="AF308" i="3"/>
  <c r="P308" i="3"/>
  <c r="BI307" i="3"/>
  <c r="AS307" i="3"/>
  <c r="AC307" i="3"/>
  <c r="M307" i="3"/>
  <c r="BB306" i="3"/>
  <c r="AL306" i="3"/>
  <c r="V306" i="3"/>
  <c r="BK305" i="3"/>
  <c r="AU305" i="3"/>
  <c r="AE305" i="3"/>
  <c r="O305" i="3"/>
  <c r="BH304" i="3"/>
  <c r="AR304" i="3"/>
  <c r="AB304" i="3"/>
  <c r="L304" i="3"/>
  <c r="BE303" i="3"/>
  <c r="AO303" i="3"/>
  <c r="Y303" i="3"/>
  <c r="I303" i="3"/>
  <c r="AX302" i="3"/>
  <c r="AH302" i="3"/>
  <c r="R302" i="3"/>
  <c r="BG301" i="3"/>
  <c r="AQ301" i="3"/>
  <c r="AA301" i="3"/>
  <c r="K301" i="3"/>
  <c r="BD300" i="3"/>
  <c r="AN300" i="3"/>
  <c r="X300" i="3"/>
  <c r="H300" i="3"/>
  <c r="BA299" i="3"/>
  <c r="AK299" i="3"/>
  <c r="U299" i="3"/>
  <c r="BJ298" i="3"/>
  <c r="AT298" i="3"/>
  <c r="AD298" i="3"/>
  <c r="N298" i="3"/>
  <c r="BC297" i="3"/>
  <c r="AM297" i="3"/>
  <c r="W297" i="3"/>
  <c r="G297" i="3"/>
  <c r="AZ296" i="3"/>
  <c r="AJ296" i="3"/>
  <c r="T296" i="3"/>
  <c r="BM295" i="3"/>
  <c r="AW295" i="3"/>
  <c r="AG295" i="3"/>
  <c r="Q295" i="3"/>
  <c r="BF294" i="3"/>
  <c r="AP294" i="3"/>
  <c r="Z294" i="3"/>
  <c r="J294" i="3"/>
  <c r="AY293" i="3"/>
  <c r="AI293" i="3"/>
  <c r="S293" i="3"/>
  <c r="BL292" i="3"/>
  <c r="AV292" i="3"/>
  <c r="AF292" i="3"/>
  <c r="P292" i="3"/>
  <c r="BI291" i="3"/>
  <c r="AS291" i="3"/>
  <c r="AC291" i="3"/>
  <c r="M291" i="3"/>
  <c r="BI410" i="3"/>
  <c r="AS406" i="3"/>
  <c r="AC402" i="3"/>
  <c r="M398" i="3"/>
  <c r="BI394" i="3"/>
  <c r="AS390" i="3"/>
  <c r="AC386" i="3"/>
  <c r="M382" i="3"/>
  <c r="BI378" i="3"/>
  <c r="AJ374" i="3"/>
  <c r="H370" i="3"/>
  <c r="AM367" i="3"/>
  <c r="AO365" i="3"/>
  <c r="G363" i="3"/>
  <c r="I361" i="3"/>
  <c r="AN358" i="3"/>
  <c r="AL356" i="3"/>
  <c r="H354" i="3"/>
  <c r="AM351" i="3"/>
  <c r="Q350" i="3"/>
  <c r="AT349" i="3"/>
  <c r="N349" i="3"/>
  <c r="AI348" i="3"/>
  <c r="BG347" i="3"/>
  <c r="AA347" i="3"/>
  <c r="BE346" i="3"/>
  <c r="Y346" i="3"/>
  <c r="BB345" i="3"/>
  <c r="V345" i="3"/>
  <c r="AQ344" i="3"/>
  <c r="K344" i="3"/>
  <c r="AI343" i="3"/>
  <c r="BM342" i="3"/>
  <c r="AG342" i="3"/>
  <c r="BJ341" i="3"/>
  <c r="AD341" i="3"/>
  <c r="AY340" i="3"/>
  <c r="S340" i="3"/>
  <c r="AQ339" i="3"/>
  <c r="K339" i="3"/>
  <c r="AO338" i="3"/>
  <c r="I338" i="3"/>
  <c r="AL337" i="3"/>
  <c r="BG336" i="3"/>
  <c r="AA336" i="3"/>
  <c r="AY335" i="3"/>
  <c r="S335" i="3"/>
  <c r="AW334" i="3"/>
  <c r="Q334" i="3"/>
  <c r="AT333" i="3"/>
  <c r="N333" i="3"/>
  <c r="AI332" i="3"/>
  <c r="BG330" i="3"/>
  <c r="AA330" i="3"/>
  <c r="AY329" i="3"/>
  <c r="S329" i="3"/>
  <c r="AW328" i="3"/>
  <c r="Q328" i="3"/>
  <c r="AT327" i="3"/>
  <c r="N327" i="3"/>
  <c r="AI326" i="3"/>
  <c r="BG325" i="3"/>
  <c r="AA325" i="3"/>
  <c r="BE324" i="3"/>
  <c r="Y324" i="3"/>
  <c r="BB323" i="3"/>
  <c r="V323" i="3"/>
  <c r="AQ322" i="3"/>
  <c r="K322" i="3"/>
  <c r="AI321" i="3"/>
  <c r="BM320" i="3"/>
  <c r="AG320" i="3"/>
  <c r="BJ319" i="3"/>
  <c r="AD319" i="3"/>
  <c r="AY318" i="3"/>
  <c r="S318" i="3"/>
  <c r="AQ317" i="3"/>
  <c r="K317" i="3"/>
  <c r="AO316" i="3"/>
  <c r="I316" i="3"/>
  <c r="AV315" i="3"/>
  <c r="AF315" i="3"/>
  <c r="P315" i="3"/>
  <c r="BI314" i="3"/>
  <c r="AS314" i="3"/>
  <c r="AC314" i="3"/>
  <c r="M314" i="3"/>
  <c r="BB313" i="3"/>
  <c r="AL313" i="3"/>
  <c r="V313" i="3"/>
  <c r="BK312" i="3"/>
  <c r="AU312" i="3"/>
  <c r="AE312" i="3"/>
  <c r="O312" i="3"/>
  <c r="BH311" i="3"/>
  <c r="AR311" i="3"/>
  <c r="AB311" i="3"/>
  <c r="L311" i="3"/>
  <c r="BE310" i="3"/>
  <c r="AO310" i="3"/>
  <c r="Y310" i="3"/>
  <c r="I310" i="3"/>
  <c r="AX309" i="3"/>
  <c r="AH309" i="3"/>
  <c r="R309" i="3"/>
  <c r="BG308" i="3"/>
  <c r="AQ308" i="3"/>
  <c r="AA308" i="3"/>
  <c r="K308" i="3"/>
  <c r="BD307" i="3"/>
  <c r="AN307" i="3"/>
  <c r="X307" i="3"/>
  <c r="H307" i="3"/>
  <c r="BA306" i="3"/>
  <c r="AK306" i="3"/>
  <c r="U306" i="3"/>
  <c r="BJ305" i="3"/>
  <c r="AT305" i="3"/>
  <c r="AD305" i="3"/>
  <c r="N305" i="3"/>
  <c r="BC304" i="3"/>
  <c r="AM304" i="3"/>
  <c r="W304" i="3"/>
  <c r="G304" i="3"/>
  <c r="AZ303" i="3"/>
  <c r="AJ303" i="3"/>
  <c r="T303" i="3"/>
  <c r="BM302" i="3"/>
  <c r="AW302" i="3"/>
  <c r="AG302" i="3"/>
  <c r="Q302" i="3"/>
  <c r="BF301" i="3"/>
  <c r="AP301" i="3"/>
  <c r="Z301" i="3"/>
  <c r="J301" i="3"/>
  <c r="AY300" i="3"/>
  <c r="AI300" i="3"/>
  <c r="S300" i="3"/>
  <c r="BL299" i="3"/>
  <c r="AV299" i="3"/>
  <c r="AF299" i="3"/>
  <c r="P299" i="3"/>
  <c r="BI298" i="3"/>
  <c r="AS298" i="3"/>
  <c r="AC298" i="3"/>
  <c r="M298" i="3"/>
  <c r="BB297" i="3"/>
  <c r="AL297" i="3"/>
  <c r="V297" i="3"/>
  <c r="BK296" i="3"/>
  <c r="AU296" i="3"/>
  <c r="AE296" i="3"/>
  <c r="O296" i="3"/>
  <c r="BH295" i="3"/>
  <c r="AR295" i="3"/>
  <c r="AB295" i="3"/>
  <c r="L295" i="3"/>
  <c r="BE294" i="3"/>
  <c r="AO294" i="3"/>
  <c r="Y294" i="3"/>
  <c r="I294" i="3"/>
  <c r="AX293" i="3"/>
  <c r="AH293" i="3"/>
  <c r="R293" i="3"/>
  <c r="BG292" i="3"/>
  <c r="AQ292" i="3"/>
  <c r="AA292" i="3"/>
  <c r="K292" i="3"/>
  <c r="BD291" i="3"/>
  <c r="AN291" i="3"/>
  <c r="X291" i="3"/>
  <c r="H291" i="3"/>
  <c r="BA410" i="3"/>
  <c r="AK406" i="3"/>
  <c r="U402" i="3"/>
  <c r="H396" i="3"/>
  <c r="X392" i="3"/>
  <c r="AN388" i="3"/>
  <c r="BD384" i="3"/>
  <c r="BA378" i="3"/>
  <c r="AE375" i="3"/>
  <c r="AJ370" i="3"/>
  <c r="AJ366" i="3"/>
  <c r="AJ362" i="3"/>
  <c r="AJ358" i="3"/>
  <c r="AJ354" i="3"/>
  <c r="AQ350" i="3"/>
  <c r="BI349" i="3"/>
  <c r="AC349" i="3"/>
  <c r="AX348" i="3"/>
  <c r="R348" i="3"/>
  <c r="AV347" i="3"/>
  <c r="P347" i="3"/>
  <c r="AV346" i="3"/>
  <c r="P346" i="3"/>
  <c r="AS345" i="3"/>
  <c r="M345" i="3"/>
  <c r="AH344" i="3"/>
  <c r="BL343" i="3"/>
  <c r="AF343" i="3"/>
  <c r="BL342" i="3"/>
  <c r="AF342" i="3"/>
  <c r="BI341" i="3"/>
  <c r="AC341" i="3"/>
  <c r="AX340" i="3"/>
  <c r="R340" i="3"/>
  <c r="AV339" i="3"/>
  <c r="P339" i="3"/>
  <c r="AV338" i="3"/>
  <c r="P338" i="3"/>
  <c r="AS337" i="3"/>
  <c r="M337" i="3"/>
  <c r="AH336" i="3"/>
  <c r="BL335" i="3"/>
  <c r="AF335" i="3"/>
  <c r="BL334" i="3"/>
  <c r="AF334" i="3"/>
  <c r="BI333" i="3"/>
  <c r="AC333" i="3"/>
  <c r="AX332" i="3"/>
  <c r="R332" i="3"/>
  <c r="AP330" i="3"/>
  <c r="J330" i="3"/>
  <c r="AN329" i="3"/>
  <c r="H329" i="3"/>
  <c r="AN328" i="3"/>
  <c r="H328" i="3"/>
  <c r="AK327" i="3"/>
  <c r="BF326" i="3"/>
  <c r="Z326" i="3"/>
  <c r="BD325" i="3"/>
  <c r="X325" i="3"/>
  <c r="BD324" i="3"/>
  <c r="X324" i="3"/>
  <c r="BA323" i="3"/>
  <c r="U323" i="3"/>
  <c r="AP322" i="3"/>
  <c r="J322" i="3"/>
  <c r="AN321" i="3"/>
  <c r="H321" i="3"/>
  <c r="AN320" i="3"/>
  <c r="H320" i="3"/>
  <c r="AK319" i="3"/>
  <c r="BF318" i="3"/>
  <c r="Z318" i="3"/>
  <c r="BD317" i="3"/>
  <c r="X317" i="3"/>
  <c r="BD316" i="3"/>
  <c r="X316" i="3"/>
  <c r="BC315" i="3"/>
  <c r="AM315" i="3"/>
  <c r="W315" i="3"/>
  <c r="G315" i="3"/>
  <c r="AZ314" i="3"/>
  <c r="AJ314" i="3"/>
  <c r="T314" i="3"/>
  <c r="BM313" i="3"/>
  <c r="AW313" i="3"/>
  <c r="AG313" i="3"/>
  <c r="Q313" i="3"/>
  <c r="BF312" i="3"/>
  <c r="AP312" i="3"/>
  <c r="Z312" i="3"/>
  <c r="J312" i="3"/>
  <c r="AY311" i="3"/>
  <c r="AI311" i="3"/>
  <c r="S311" i="3"/>
  <c r="BL310" i="3"/>
  <c r="AV310" i="3"/>
  <c r="AF310" i="3"/>
  <c r="P310" i="3"/>
  <c r="BI309" i="3"/>
  <c r="AS309" i="3"/>
  <c r="AC309" i="3"/>
  <c r="M309" i="3"/>
  <c r="BB308" i="3"/>
  <c r="AL308" i="3"/>
  <c r="V308" i="3"/>
  <c r="BK307" i="3"/>
  <c r="AU307" i="3"/>
  <c r="AE307" i="3"/>
  <c r="O307" i="3"/>
  <c r="BH306" i="3"/>
  <c r="AR306" i="3"/>
  <c r="AB306" i="3"/>
  <c r="L306" i="3"/>
  <c r="BE305" i="3"/>
  <c r="AO305" i="3"/>
  <c r="Y305" i="3"/>
  <c r="I305" i="3"/>
  <c r="AX304" i="3"/>
  <c r="AH304" i="3"/>
  <c r="R304" i="3"/>
  <c r="BG303" i="3"/>
  <c r="AQ303" i="3"/>
  <c r="AA303" i="3"/>
  <c r="K303" i="3"/>
  <c r="BD302" i="3"/>
  <c r="AN302" i="3"/>
  <c r="X302" i="3"/>
  <c r="H302" i="3"/>
  <c r="BA301" i="3"/>
  <c r="AK301" i="3"/>
  <c r="U301" i="3"/>
  <c r="BJ300" i="3"/>
  <c r="AT300" i="3"/>
  <c r="AD300" i="3"/>
  <c r="N300" i="3"/>
  <c r="BC299" i="3"/>
  <c r="AM299" i="3"/>
  <c r="W299" i="3"/>
  <c r="G299" i="3"/>
  <c r="AZ298" i="3"/>
  <c r="AJ298" i="3"/>
  <c r="T298" i="3"/>
  <c r="BM297" i="3"/>
  <c r="AW297" i="3"/>
  <c r="AG297" i="3"/>
  <c r="Q297" i="3"/>
  <c r="BF296" i="3"/>
  <c r="AP296" i="3"/>
  <c r="Z296" i="3"/>
  <c r="J296" i="3"/>
  <c r="AY295" i="3"/>
  <c r="AI295" i="3"/>
  <c r="S295" i="3"/>
  <c r="BL294" i="3"/>
  <c r="AV294" i="3"/>
  <c r="AF294" i="3"/>
  <c r="P294" i="3"/>
  <c r="BI293" i="3"/>
  <c r="AS293" i="3"/>
  <c r="AC293" i="3"/>
  <c r="M293" i="3"/>
  <c r="BB292" i="3"/>
  <c r="AL292" i="3"/>
  <c r="V292" i="3"/>
  <c r="BK291" i="3"/>
  <c r="AU291" i="3"/>
  <c r="AE291" i="3"/>
  <c r="O291" i="3"/>
  <c r="P411" i="3"/>
  <c r="H407" i="3"/>
  <c r="AV403" i="3"/>
  <c r="AN399" i="3"/>
  <c r="P395" i="3"/>
  <c r="H391" i="3"/>
  <c r="AV387" i="3"/>
  <c r="AN383" i="3"/>
  <c r="P379" i="3"/>
  <c r="R376" i="3"/>
  <c r="T374" i="3"/>
  <c r="X370" i="3"/>
  <c r="V368" i="3"/>
  <c r="X366" i="3"/>
  <c r="V364" i="3"/>
  <c r="X362" i="3"/>
  <c r="V360" i="3"/>
  <c r="X358" i="3"/>
  <c r="V356" i="3"/>
  <c r="X354" i="3"/>
  <c r="V352" i="3"/>
  <c r="AJ350" i="3"/>
  <c r="AX349" i="3"/>
  <c r="R349" i="3"/>
  <c r="AU348" i="3"/>
  <c r="O348" i="3"/>
  <c r="AU347" i="3"/>
  <c r="O347" i="3"/>
  <c r="AS346" i="3"/>
  <c r="M346" i="3"/>
  <c r="AH345" i="3"/>
  <c r="BK344" i="3"/>
  <c r="AE344" i="3"/>
  <c r="BK343" i="3"/>
  <c r="AE343" i="3"/>
  <c r="BI342" i="3"/>
  <c r="AC342" i="3"/>
  <c r="AX341" i="3"/>
  <c r="R341" i="3"/>
  <c r="AU340" i="3"/>
  <c r="O340" i="3"/>
  <c r="AU339" i="3"/>
  <c r="O339" i="3"/>
  <c r="AS338" i="3"/>
  <c r="M338" i="3"/>
  <c r="AH337" i="3"/>
  <c r="BK336" i="3"/>
  <c r="AE336" i="3"/>
  <c r="BK335" i="3"/>
  <c r="AE335" i="3"/>
  <c r="BI334" i="3"/>
  <c r="AC334" i="3"/>
  <c r="AX333" i="3"/>
  <c r="R333" i="3"/>
  <c r="AU332" i="3"/>
  <c r="O332" i="3"/>
  <c r="AU330" i="3"/>
  <c r="O330" i="3"/>
  <c r="AU329" i="3"/>
  <c r="O329" i="3"/>
  <c r="AS328" i="3"/>
  <c r="M328" i="3"/>
  <c r="AH327" i="3"/>
  <c r="BK326" i="3"/>
  <c r="AE326" i="3"/>
  <c r="BK325" i="3"/>
  <c r="AE325" i="3"/>
  <c r="BI324" i="3"/>
  <c r="AC324" i="3"/>
  <c r="AX323" i="3"/>
  <c r="R323" i="3"/>
  <c r="AU322" i="3"/>
  <c r="O322" i="3"/>
  <c r="AU321" i="3"/>
  <c r="O321" i="3"/>
  <c r="AS320" i="3"/>
  <c r="M320" i="3"/>
  <c r="AH319" i="3"/>
  <c r="BK318" i="3"/>
  <c r="AE318" i="3"/>
  <c r="BK317" i="3"/>
  <c r="AE317" i="3"/>
  <c r="BI316" i="3"/>
  <c r="AC316" i="3"/>
  <c r="BB315" i="3"/>
  <c r="AL315" i="3"/>
  <c r="V315" i="3"/>
  <c r="BK314" i="3"/>
  <c r="AU314" i="3"/>
  <c r="AE314" i="3"/>
  <c r="O314" i="3"/>
  <c r="BH313" i="3"/>
  <c r="AR313" i="3"/>
  <c r="AB313" i="3"/>
  <c r="L313" i="3"/>
  <c r="BE312" i="3"/>
  <c r="AO312" i="3"/>
  <c r="Y312" i="3"/>
  <c r="I312" i="3"/>
  <c r="AX311" i="3"/>
  <c r="AH311" i="3"/>
  <c r="R311" i="3"/>
  <c r="BG310" i="3"/>
  <c r="AQ310" i="3"/>
  <c r="AA310" i="3"/>
  <c r="K310" i="3"/>
  <c r="BD309" i="3"/>
  <c r="AN309" i="3"/>
  <c r="X309" i="3"/>
  <c r="H309" i="3"/>
  <c r="BA308" i="3"/>
  <c r="AK308" i="3"/>
  <c r="U308" i="3"/>
  <c r="BJ307" i="3"/>
  <c r="AT307" i="3"/>
  <c r="AD307" i="3"/>
  <c r="N307" i="3"/>
  <c r="BC306" i="3"/>
  <c r="AM306" i="3"/>
  <c r="W306" i="3"/>
  <c r="G306" i="3"/>
  <c r="AZ305" i="3"/>
  <c r="AJ305" i="3"/>
  <c r="T305" i="3"/>
  <c r="BM304" i="3"/>
  <c r="AW304" i="3"/>
  <c r="AG304" i="3"/>
  <c r="Q304" i="3"/>
  <c r="BF303" i="3"/>
  <c r="AP303" i="3"/>
  <c r="Z303" i="3"/>
  <c r="J303" i="3"/>
  <c r="AY302" i="3"/>
  <c r="AI302" i="3"/>
  <c r="S302" i="3"/>
  <c r="BL301" i="3"/>
  <c r="AV301" i="3"/>
  <c r="AF301" i="3"/>
  <c r="P301" i="3"/>
  <c r="BI300" i="3"/>
  <c r="AS300" i="3"/>
  <c r="AC300" i="3"/>
  <c r="M300" i="3"/>
  <c r="BB299" i="3"/>
  <c r="AL299" i="3"/>
  <c r="V299" i="3"/>
  <c r="BK298" i="3"/>
  <c r="AU298" i="3"/>
  <c r="AE298" i="3"/>
  <c r="O298" i="3"/>
  <c r="BH297" i="3"/>
  <c r="AR297" i="3"/>
  <c r="AB297" i="3"/>
  <c r="L297" i="3"/>
  <c r="BE296" i="3"/>
  <c r="AO296" i="3"/>
  <c r="Y296" i="3"/>
  <c r="I296" i="3"/>
  <c r="AX295" i="3"/>
  <c r="AH295" i="3"/>
  <c r="R295" i="3"/>
  <c r="BG294" i="3"/>
  <c r="AQ294" i="3"/>
  <c r="AA294" i="3"/>
  <c r="K294" i="3"/>
  <c r="BD293" i="3"/>
  <c r="AN293" i="3"/>
  <c r="AS292" i="3"/>
  <c r="AP291" i="3"/>
  <c r="BI289" i="3"/>
  <c r="AS289" i="3"/>
  <c r="AC289" i="3"/>
  <c r="M289" i="3"/>
  <c r="BB288" i="3"/>
  <c r="AL288" i="3"/>
  <c r="V288" i="3"/>
  <c r="BK287" i="3"/>
  <c r="AU287" i="3"/>
  <c r="AE287" i="3"/>
  <c r="O287" i="3"/>
  <c r="BH286" i="3"/>
  <c r="AR286" i="3"/>
  <c r="AB286" i="3"/>
  <c r="L286" i="3"/>
  <c r="BE285" i="3"/>
  <c r="AO285" i="3"/>
  <c r="Y285" i="3"/>
  <c r="I285" i="3"/>
  <c r="AX284" i="3"/>
  <c r="AH284" i="3"/>
  <c r="R284" i="3"/>
  <c r="BG283" i="3"/>
  <c r="AQ283" i="3"/>
  <c r="AA283" i="3"/>
  <c r="K283" i="3"/>
  <c r="BD282" i="3"/>
  <c r="AN282" i="3"/>
  <c r="X282" i="3"/>
  <c r="H282" i="3"/>
  <c r="BA281" i="3"/>
  <c r="AK281" i="3"/>
  <c r="U281" i="3"/>
  <c r="BJ280" i="3"/>
  <c r="AT280" i="3"/>
  <c r="AD280" i="3"/>
  <c r="N280" i="3"/>
  <c r="BC279" i="3"/>
  <c r="AM279" i="3"/>
  <c r="W279" i="3"/>
  <c r="G279" i="3"/>
  <c r="AZ278" i="3"/>
  <c r="AJ278" i="3"/>
  <c r="T278" i="3"/>
  <c r="BM277" i="3"/>
  <c r="AW277" i="3"/>
  <c r="AG277" i="3"/>
  <c r="Q277" i="3"/>
  <c r="BF276" i="3"/>
  <c r="AP276" i="3"/>
  <c r="Z276" i="3"/>
  <c r="J276" i="3"/>
  <c r="AY275" i="3"/>
  <c r="AI275" i="3"/>
  <c r="S275" i="3"/>
  <c r="BL274" i="3"/>
  <c r="AV274" i="3"/>
  <c r="AF274" i="3"/>
  <c r="P274" i="3"/>
  <c r="BI273" i="3"/>
  <c r="AS273" i="3"/>
  <c r="AC273" i="3"/>
  <c r="M273" i="3"/>
  <c r="BB272" i="3"/>
  <c r="AL272" i="3"/>
  <c r="V272" i="3"/>
  <c r="BK271" i="3"/>
  <c r="AU271" i="3"/>
  <c r="AE271" i="3"/>
  <c r="O271" i="3"/>
  <c r="BH270" i="3"/>
  <c r="AR270" i="3"/>
  <c r="AB270" i="3"/>
  <c r="L270" i="3"/>
  <c r="BE269" i="3"/>
  <c r="AO269" i="3"/>
  <c r="Y269" i="3"/>
  <c r="I269" i="3"/>
  <c r="AX268" i="3"/>
  <c r="AH268" i="3"/>
  <c r="R268" i="3"/>
  <c r="BG267" i="3"/>
  <c r="AQ267" i="3"/>
  <c r="AA267" i="3"/>
  <c r="K267" i="3"/>
  <c r="BD266" i="3"/>
  <c r="AN266" i="3"/>
  <c r="X266" i="3"/>
  <c r="H266" i="3"/>
  <c r="BA265" i="3"/>
  <c r="AK265" i="3"/>
  <c r="U265" i="3"/>
  <c r="BJ264" i="3"/>
  <c r="AT264" i="3"/>
  <c r="AD264" i="3"/>
  <c r="N264" i="3"/>
  <c r="BC263" i="3"/>
  <c r="AM263" i="3"/>
  <c r="W263" i="3"/>
  <c r="G263" i="3"/>
  <c r="AZ262" i="3"/>
  <c r="AJ262" i="3"/>
  <c r="T262" i="3"/>
  <c r="BM261" i="3"/>
  <c r="AW261" i="3"/>
  <c r="AG261" i="3"/>
  <c r="Q261" i="3"/>
  <c r="BF260" i="3"/>
  <c r="AP260" i="3"/>
  <c r="Z260" i="3"/>
  <c r="J260" i="3"/>
  <c r="AY259" i="3"/>
  <c r="AI259" i="3"/>
  <c r="S259" i="3"/>
  <c r="BL258" i="3"/>
  <c r="AV258" i="3"/>
  <c r="AF258" i="3"/>
  <c r="P258" i="3"/>
  <c r="BI257" i="3"/>
  <c r="AS257" i="3"/>
  <c r="AC257" i="3"/>
  <c r="M257" i="3"/>
  <c r="BB256" i="3"/>
  <c r="AL256" i="3"/>
  <c r="V256" i="3"/>
  <c r="BK255" i="3"/>
  <c r="AU255" i="3"/>
  <c r="AE255" i="3"/>
  <c r="O255" i="3"/>
  <c r="BH254" i="3"/>
  <c r="AR254" i="3"/>
  <c r="AB254" i="3"/>
  <c r="L254" i="3"/>
  <c r="BE253" i="3"/>
  <c r="AO253" i="3"/>
  <c r="Y253" i="3"/>
  <c r="I253" i="3"/>
  <c r="AX252" i="3"/>
  <c r="AH252" i="3"/>
  <c r="R252" i="3"/>
  <c r="BG251" i="3"/>
  <c r="AQ251" i="3"/>
  <c r="AA251" i="3"/>
  <c r="K251" i="3"/>
  <c r="BD250" i="3"/>
  <c r="AN250" i="3"/>
  <c r="X250" i="3"/>
  <c r="H250" i="3"/>
  <c r="AZ248" i="3"/>
  <c r="AJ248" i="3"/>
  <c r="T248" i="3"/>
  <c r="BM247" i="3"/>
  <c r="AW247" i="3"/>
  <c r="AG247" i="3"/>
  <c r="Q247" i="3"/>
  <c r="BF246" i="3"/>
  <c r="AP246" i="3"/>
  <c r="Z246" i="3"/>
  <c r="J246" i="3"/>
  <c r="AY245" i="3"/>
  <c r="AI245" i="3"/>
  <c r="S245" i="3"/>
  <c r="BL244" i="3"/>
  <c r="AV244" i="3"/>
  <c r="AF244" i="3"/>
  <c r="P244" i="3"/>
  <c r="BI243" i="3"/>
  <c r="AS243" i="3"/>
  <c r="AC243" i="3"/>
  <c r="M243" i="3"/>
  <c r="BB242" i="3"/>
  <c r="AL242" i="3"/>
  <c r="V242" i="3"/>
  <c r="BK241" i="3"/>
  <c r="AU241" i="3"/>
  <c r="AE241" i="3"/>
  <c r="O241" i="3"/>
  <c r="BH240" i="3"/>
  <c r="AR240" i="3"/>
  <c r="AB240" i="3"/>
  <c r="L240" i="3"/>
  <c r="BE239" i="3"/>
  <c r="AO239" i="3"/>
  <c r="Y239" i="3"/>
  <c r="I239" i="3"/>
  <c r="AX238" i="3"/>
  <c r="AH238" i="3"/>
  <c r="R238" i="3"/>
  <c r="BG237" i="3"/>
  <c r="AQ237" i="3"/>
  <c r="AA237" i="3"/>
  <c r="K237" i="3"/>
  <c r="BD236" i="3"/>
  <c r="AN236" i="3"/>
  <c r="X236" i="3"/>
  <c r="H236" i="3"/>
  <c r="BA235" i="3"/>
  <c r="AK235" i="3"/>
  <c r="U235" i="3"/>
  <c r="BJ234" i="3"/>
  <c r="AT234" i="3"/>
  <c r="AD234" i="3"/>
  <c r="N234" i="3"/>
  <c r="BC233" i="3"/>
  <c r="AM233" i="3"/>
  <c r="W233" i="3"/>
  <c r="G233" i="3"/>
  <c r="AZ232" i="3"/>
  <c r="AJ232" i="3"/>
  <c r="T232" i="3"/>
  <c r="BM231" i="3"/>
  <c r="AW231" i="3"/>
  <c r="AG231" i="3"/>
  <c r="Q231" i="3"/>
  <c r="BF230" i="3"/>
  <c r="AP230" i="3"/>
  <c r="Z230" i="3"/>
  <c r="J230" i="3"/>
  <c r="AY229" i="3"/>
  <c r="AI229" i="3"/>
  <c r="S229" i="3"/>
  <c r="BL228" i="3"/>
  <c r="AV228" i="3"/>
  <c r="AF228" i="3"/>
  <c r="P228" i="3"/>
  <c r="BI227" i="3"/>
  <c r="AS227" i="3"/>
  <c r="AC227" i="3"/>
  <c r="M227" i="3"/>
  <c r="BB226" i="3"/>
  <c r="AL226" i="3"/>
  <c r="V226" i="3"/>
  <c r="BK225" i="3"/>
  <c r="AU225" i="3"/>
  <c r="AE225" i="3"/>
  <c r="O225" i="3"/>
  <c r="BH224" i="3"/>
  <c r="AR224" i="3"/>
  <c r="AB224" i="3"/>
  <c r="L224" i="3"/>
  <c r="BE223" i="3"/>
  <c r="AO223" i="3"/>
  <c r="Y223" i="3"/>
  <c r="I223" i="3"/>
  <c r="AX222" i="3"/>
  <c r="AH222" i="3"/>
  <c r="R222" i="3"/>
  <c r="BG221" i="3"/>
  <c r="AQ221" i="3"/>
  <c r="AA221" i="3"/>
  <c r="K221" i="3"/>
  <c r="BD220" i="3"/>
  <c r="AN220" i="3"/>
  <c r="X220" i="3"/>
  <c r="H220" i="3"/>
  <c r="BA219" i="3"/>
  <c r="AK219" i="3"/>
  <c r="U219" i="3"/>
  <c r="BJ218" i="3"/>
  <c r="AT218" i="3"/>
  <c r="AD218" i="3"/>
  <c r="N218" i="3"/>
  <c r="BC217" i="3"/>
  <c r="AM217" i="3"/>
  <c r="W217" i="3"/>
  <c r="G217" i="3"/>
  <c r="AZ216" i="3"/>
  <c r="AJ216" i="3"/>
  <c r="T216" i="3"/>
  <c r="BM215" i="3"/>
  <c r="AW215" i="3"/>
  <c r="AG215" i="3"/>
  <c r="Q215" i="3"/>
  <c r="BF214" i="3"/>
  <c r="AP214" i="3"/>
  <c r="Z214" i="3"/>
  <c r="J214" i="3"/>
  <c r="AY213" i="3"/>
  <c r="AI213" i="3"/>
  <c r="S213" i="3"/>
  <c r="BL212" i="3"/>
  <c r="AV212" i="3"/>
  <c r="AF212" i="3"/>
  <c r="P212" i="3"/>
  <c r="BI211" i="3"/>
  <c r="AS211" i="3"/>
  <c r="AC211" i="3"/>
  <c r="M211" i="3"/>
  <c r="BB210" i="3"/>
  <c r="AL210" i="3"/>
  <c r="V210" i="3"/>
  <c r="BK209" i="3"/>
  <c r="AU209" i="3"/>
  <c r="AE209" i="3"/>
  <c r="O209" i="3"/>
  <c r="BG207" i="3"/>
  <c r="AQ207" i="3"/>
  <c r="AA207" i="3"/>
  <c r="K207" i="3"/>
  <c r="BD206" i="3"/>
  <c r="AN206" i="3"/>
  <c r="X206" i="3"/>
  <c r="H206" i="3"/>
  <c r="BA205" i="3"/>
  <c r="AK205" i="3"/>
  <c r="U205" i="3"/>
  <c r="BJ204" i="3"/>
  <c r="AT204" i="3"/>
  <c r="AD204" i="3"/>
  <c r="N204" i="3"/>
  <c r="BC203" i="3"/>
  <c r="AM203" i="3"/>
  <c r="W203" i="3"/>
  <c r="G203" i="3"/>
  <c r="AZ202" i="3"/>
  <c r="AJ202" i="3"/>
  <c r="T202" i="3"/>
  <c r="BM201" i="3"/>
  <c r="AW201" i="3"/>
  <c r="AG201" i="3"/>
  <c r="Q201" i="3"/>
  <c r="BF200" i="3"/>
  <c r="AP200" i="3"/>
  <c r="Z200" i="3"/>
  <c r="H293" i="3"/>
  <c r="I292" i="3"/>
  <c r="BL289" i="3"/>
  <c r="AV289" i="3"/>
  <c r="AF289" i="3"/>
  <c r="P289" i="3"/>
  <c r="BI288" i="3"/>
  <c r="AS288" i="3"/>
  <c r="AC288" i="3"/>
  <c r="M288" i="3"/>
  <c r="BB287" i="3"/>
  <c r="AL287" i="3"/>
  <c r="V287" i="3"/>
  <c r="BK286" i="3"/>
  <c r="AU286" i="3"/>
  <c r="AE286" i="3"/>
  <c r="O286" i="3"/>
  <c r="BH285" i="3"/>
  <c r="AR285" i="3"/>
  <c r="AB285" i="3"/>
  <c r="L285" i="3"/>
  <c r="BE284" i="3"/>
  <c r="AO284" i="3"/>
  <c r="Y284" i="3"/>
  <c r="I284" i="3"/>
  <c r="AX283" i="3"/>
  <c r="AH283" i="3"/>
  <c r="R283" i="3"/>
  <c r="BG282" i="3"/>
  <c r="AQ282" i="3"/>
  <c r="AA282" i="3"/>
  <c r="K282" i="3"/>
  <c r="BD281" i="3"/>
  <c r="AN281" i="3"/>
  <c r="X281" i="3"/>
  <c r="H281" i="3"/>
  <c r="BA280" i="3"/>
  <c r="AK280" i="3"/>
  <c r="U280" i="3"/>
  <c r="BJ279" i="3"/>
  <c r="AT279" i="3"/>
  <c r="AD279" i="3"/>
  <c r="N279" i="3"/>
  <c r="BC278" i="3"/>
  <c r="AM278" i="3"/>
  <c r="W278" i="3"/>
  <c r="G278" i="3"/>
  <c r="AZ277" i="3"/>
  <c r="AJ277" i="3"/>
  <c r="T277" i="3"/>
  <c r="BM276" i="3"/>
  <c r="AW276" i="3"/>
  <c r="AG276" i="3"/>
  <c r="Q276" i="3"/>
  <c r="BF275" i="3"/>
  <c r="AP275" i="3"/>
  <c r="Z275" i="3"/>
  <c r="J275" i="3"/>
  <c r="AY274" i="3"/>
  <c r="AI274" i="3"/>
  <c r="S274" i="3"/>
  <c r="BL273" i="3"/>
  <c r="AV273" i="3"/>
  <c r="AF273" i="3"/>
  <c r="P273" i="3"/>
  <c r="BI272" i="3"/>
  <c r="AS272" i="3"/>
  <c r="AC272" i="3"/>
  <c r="M272" i="3"/>
  <c r="BB271" i="3"/>
  <c r="AL271" i="3"/>
  <c r="V271" i="3"/>
  <c r="BK270" i="3"/>
  <c r="AU270" i="3"/>
  <c r="AE270" i="3"/>
  <c r="O270" i="3"/>
  <c r="BH269" i="3"/>
  <c r="AR269" i="3"/>
  <c r="AB269" i="3"/>
  <c r="L269" i="3"/>
  <c r="BE268" i="3"/>
  <c r="AO268" i="3"/>
  <c r="Y268" i="3"/>
  <c r="I268" i="3"/>
  <c r="AX267" i="3"/>
  <c r="AH267" i="3"/>
  <c r="R267" i="3"/>
  <c r="BG266" i="3"/>
  <c r="AQ266" i="3"/>
  <c r="AA266" i="3"/>
  <c r="K266" i="3"/>
  <c r="BD265" i="3"/>
  <c r="AN265" i="3"/>
  <c r="X265" i="3"/>
  <c r="H265" i="3"/>
  <c r="BA264" i="3"/>
  <c r="AK264" i="3"/>
  <c r="U264" i="3"/>
  <c r="BJ263" i="3"/>
  <c r="AT263" i="3"/>
  <c r="AD263" i="3"/>
  <c r="N263" i="3"/>
  <c r="BC262" i="3"/>
  <c r="AM262" i="3"/>
  <c r="W262" i="3"/>
  <c r="G262" i="3"/>
  <c r="AZ261" i="3"/>
  <c r="AJ261" i="3"/>
  <c r="T261" i="3"/>
  <c r="BM260" i="3"/>
  <c r="AW260" i="3"/>
  <c r="AG260" i="3"/>
  <c r="Q260" i="3"/>
  <c r="BF259" i="3"/>
  <c r="AP259" i="3"/>
  <c r="Z259" i="3"/>
  <c r="J259" i="3"/>
  <c r="AY258" i="3"/>
  <c r="AI258" i="3"/>
  <c r="S258" i="3"/>
  <c r="BL257" i="3"/>
  <c r="AV257" i="3"/>
  <c r="AF257" i="3"/>
  <c r="P257" i="3"/>
  <c r="BI256" i="3"/>
  <c r="AS256" i="3"/>
  <c r="AC256" i="3"/>
  <c r="M256" i="3"/>
  <c r="BB255" i="3"/>
  <c r="AL255" i="3"/>
  <c r="V255" i="3"/>
  <c r="BK254" i="3"/>
  <c r="AU254" i="3"/>
  <c r="AE254" i="3"/>
  <c r="O254" i="3"/>
  <c r="BH253" i="3"/>
  <c r="BA495" i="3"/>
  <c r="AK495" i="3"/>
  <c r="U495" i="3"/>
  <c r="BJ494" i="3"/>
  <c r="AT494" i="3"/>
  <c r="AD494" i="3"/>
  <c r="N494" i="3"/>
  <c r="BC493" i="3"/>
  <c r="AM493" i="3"/>
  <c r="W493" i="3"/>
  <c r="G493" i="3"/>
  <c r="AZ492" i="3"/>
  <c r="AJ492" i="3"/>
  <c r="T492" i="3"/>
  <c r="BM491" i="3"/>
  <c r="AW491" i="3"/>
  <c r="AG491" i="3"/>
  <c r="Q491" i="3"/>
  <c r="BF490" i="3"/>
  <c r="AP490" i="3"/>
  <c r="Z490" i="3"/>
  <c r="J490" i="3"/>
  <c r="AY489" i="3"/>
  <c r="AI489" i="3"/>
  <c r="S489" i="3"/>
  <c r="BL488" i="3"/>
  <c r="AV488" i="3"/>
  <c r="AF488" i="3"/>
  <c r="P488" i="3"/>
  <c r="BI487" i="3"/>
  <c r="AS487" i="3"/>
  <c r="AC487" i="3"/>
  <c r="M487" i="3"/>
  <c r="BB486" i="3"/>
  <c r="AL486" i="3"/>
  <c r="V486" i="3"/>
  <c r="BK485" i="3"/>
  <c r="AU485" i="3"/>
  <c r="AE485" i="3"/>
  <c r="O485" i="3"/>
  <c r="BH495" i="3"/>
  <c r="AR495" i="3"/>
  <c r="AB495" i="3"/>
  <c r="L495" i="3"/>
  <c r="BE494" i="3"/>
  <c r="AO494" i="3"/>
  <c r="Y494" i="3"/>
  <c r="I494" i="3"/>
  <c r="AX493" i="3"/>
  <c r="AH493" i="3"/>
  <c r="R493" i="3"/>
  <c r="BG492" i="3"/>
  <c r="AQ492" i="3"/>
  <c r="AA492" i="3"/>
  <c r="K492" i="3"/>
  <c r="BD491" i="3"/>
  <c r="AN491" i="3"/>
  <c r="X491" i="3"/>
  <c r="H491" i="3"/>
  <c r="BA490" i="3"/>
  <c r="AK490" i="3"/>
  <c r="U490" i="3"/>
  <c r="BJ489" i="3"/>
  <c r="AT489" i="3"/>
  <c r="AD489" i="3"/>
  <c r="N489" i="3"/>
  <c r="BC488" i="3"/>
  <c r="AM488" i="3"/>
  <c r="W488" i="3"/>
  <c r="G488" i="3"/>
  <c r="AZ487" i="3"/>
  <c r="AJ487" i="3"/>
  <c r="T487" i="3"/>
  <c r="BK495" i="3"/>
  <c r="AU495" i="3"/>
  <c r="AE495" i="3"/>
  <c r="O495" i="3"/>
  <c r="BH494" i="3"/>
  <c r="AR494" i="3"/>
  <c r="AB494" i="3"/>
  <c r="L494" i="3"/>
  <c r="BE493" i="3"/>
  <c r="AO493" i="3"/>
  <c r="Y493" i="3"/>
  <c r="I493" i="3"/>
  <c r="AX492" i="3"/>
  <c r="AH492" i="3"/>
  <c r="R492" i="3"/>
  <c r="BG491" i="3"/>
  <c r="AQ491" i="3"/>
  <c r="AA491" i="3"/>
  <c r="K491" i="3"/>
  <c r="BD490" i="3"/>
  <c r="AN490" i="3"/>
  <c r="X490" i="3"/>
  <c r="H490" i="3"/>
  <c r="BA489" i="3"/>
  <c r="AK489" i="3"/>
  <c r="U489" i="3"/>
  <c r="BJ488" i="3"/>
  <c r="AT488" i="3"/>
  <c r="AD488" i="3"/>
  <c r="N488" i="3"/>
  <c r="BC487" i="3"/>
  <c r="AM487" i="3"/>
  <c r="W487" i="3"/>
  <c r="AX495" i="3"/>
  <c r="AH495" i="3"/>
  <c r="R495" i="3"/>
  <c r="BG494" i="3"/>
  <c r="AQ494" i="3"/>
  <c r="AA494" i="3"/>
  <c r="K494" i="3"/>
  <c r="BD493" i="3"/>
  <c r="AN493" i="3"/>
  <c r="X493" i="3"/>
  <c r="H493" i="3"/>
  <c r="BA492" i="3"/>
  <c r="AK492" i="3"/>
  <c r="U492" i="3"/>
  <c r="BJ491" i="3"/>
  <c r="AT491" i="3"/>
  <c r="AD491" i="3"/>
  <c r="N491" i="3"/>
  <c r="BC490" i="3"/>
  <c r="AM490" i="3"/>
  <c r="W490" i="3"/>
  <c r="G490" i="3"/>
  <c r="AZ489" i="3"/>
  <c r="AJ489" i="3"/>
  <c r="T489" i="3"/>
  <c r="BM488" i="3"/>
  <c r="AW488" i="3"/>
  <c r="AG488" i="3"/>
  <c r="Q488" i="3"/>
  <c r="BF487" i="3"/>
  <c r="AP487" i="3"/>
  <c r="Z487" i="3"/>
  <c r="BL486" i="3"/>
  <c r="AQ486" i="3"/>
  <c r="U486" i="3"/>
  <c r="BD485" i="3"/>
  <c r="AH485" i="3"/>
  <c r="M485" i="3"/>
  <c r="BD484" i="3"/>
  <c r="AN484" i="3"/>
  <c r="X484" i="3"/>
  <c r="H484" i="3"/>
  <c r="BA483" i="3"/>
  <c r="AK483" i="3"/>
  <c r="U483" i="3"/>
  <c r="BJ482" i="3"/>
  <c r="AT482" i="3"/>
  <c r="AD482" i="3"/>
  <c r="N482" i="3"/>
  <c r="BC481" i="3"/>
  <c r="AM481" i="3"/>
  <c r="W481" i="3"/>
  <c r="G481" i="3"/>
  <c r="AZ480" i="3"/>
  <c r="AJ480" i="3"/>
  <c r="T480" i="3"/>
  <c r="BM479" i="3"/>
  <c r="AW479" i="3"/>
  <c r="AG479" i="3"/>
  <c r="Q479" i="3"/>
  <c r="BF478" i="3"/>
  <c r="AP478" i="3"/>
  <c r="Z478" i="3"/>
  <c r="J478" i="3"/>
  <c r="AY477" i="3"/>
  <c r="AI477" i="3"/>
  <c r="S477" i="3"/>
  <c r="BL476" i="3"/>
  <c r="AV476" i="3"/>
  <c r="AF476" i="3"/>
  <c r="P476" i="3"/>
  <c r="BI475" i="3"/>
  <c r="AS475" i="3"/>
  <c r="AC475" i="3"/>
  <c r="M475" i="3"/>
  <c r="BB474" i="3"/>
  <c r="AL474" i="3"/>
  <c r="V474" i="3"/>
  <c r="BK473" i="3"/>
  <c r="AU473" i="3"/>
  <c r="AE473" i="3"/>
  <c r="O473" i="3"/>
  <c r="BH472" i="3"/>
  <c r="AR472" i="3"/>
  <c r="AB472" i="3"/>
  <c r="L472" i="3"/>
  <c r="BE471" i="3"/>
  <c r="AO471" i="3"/>
  <c r="Y471" i="3"/>
  <c r="I471" i="3"/>
  <c r="AX470" i="3"/>
  <c r="AH470" i="3"/>
  <c r="R470" i="3"/>
  <c r="BG469" i="3"/>
  <c r="AQ469" i="3"/>
  <c r="AA469" i="3"/>
  <c r="K469" i="3"/>
  <c r="BD468" i="3"/>
  <c r="AN468" i="3"/>
  <c r="X468" i="3"/>
  <c r="H468" i="3"/>
  <c r="BA467" i="3"/>
  <c r="AK467" i="3"/>
  <c r="U467" i="3"/>
  <c r="BJ466" i="3"/>
  <c r="AT466" i="3"/>
  <c r="AD466" i="3"/>
  <c r="N466" i="3"/>
  <c r="BC465" i="3"/>
  <c r="AM465" i="3"/>
  <c r="W465" i="3"/>
  <c r="G465" i="3"/>
  <c r="AZ464" i="3"/>
  <c r="AJ464" i="3"/>
  <c r="T464" i="3"/>
  <c r="N487" i="3"/>
  <c r="AU486" i="3"/>
  <c r="Y486" i="3"/>
  <c r="BM485" i="3"/>
  <c r="AR485" i="3"/>
  <c r="V485" i="3"/>
  <c r="BG484" i="3"/>
  <c r="AQ484" i="3"/>
  <c r="AA484" i="3"/>
  <c r="K484" i="3"/>
  <c r="BD483" i="3"/>
  <c r="AN483" i="3"/>
  <c r="X483" i="3"/>
  <c r="H483" i="3"/>
  <c r="BA482" i="3"/>
  <c r="AK482" i="3"/>
  <c r="U482" i="3"/>
  <c r="BJ481" i="3"/>
  <c r="AT481" i="3"/>
  <c r="AD481" i="3"/>
  <c r="N481" i="3"/>
  <c r="BC480" i="3"/>
  <c r="AM480" i="3"/>
  <c r="W480" i="3"/>
  <c r="G480" i="3"/>
  <c r="AZ479" i="3"/>
  <c r="AJ479" i="3"/>
  <c r="T479" i="3"/>
  <c r="BM478" i="3"/>
  <c r="AW478" i="3"/>
  <c r="AG478" i="3"/>
  <c r="Q478" i="3"/>
  <c r="BF477" i="3"/>
  <c r="AP477" i="3"/>
  <c r="Z477" i="3"/>
  <c r="J477" i="3"/>
  <c r="AY476" i="3"/>
  <c r="AI476" i="3"/>
  <c r="S476" i="3"/>
  <c r="BL475" i="3"/>
  <c r="AV475" i="3"/>
  <c r="AF475" i="3"/>
  <c r="P475" i="3"/>
  <c r="BI474" i="3"/>
  <c r="AS474" i="3"/>
  <c r="AC474" i="3"/>
  <c r="M474" i="3"/>
  <c r="BB473" i="3"/>
  <c r="AL473" i="3"/>
  <c r="V473" i="3"/>
  <c r="BK472" i="3"/>
  <c r="AU472" i="3"/>
  <c r="AE472" i="3"/>
  <c r="O472" i="3"/>
  <c r="BH471" i="3"/>
  <c r="AR471" i="3"/>
  <c r="AB471" i="3"/>
  <c r="L471" i="3"/>
  <c r="BE470" i="3"/>
  <c r="AO470" i="3"/>
  <c r="Y470" i="3"/>
  <c r="I470" i="3"/>
  <c r="AX469" i="3"/>
  <c r="AH469" i="3"/>
  <c r="R469" i="3"/>
  <c r="BG468" i="3"/>
  <c r="AQ468" i="3"/>
  <c r="AA468" i="3"/>
  <c r="K468" i="3"/>
  <c r="BD467" i="3"/>
  <c r="AN467" i="3"/>
  <c r="X467" i="3"/>
  <c r="H467" i="3"/>
  <c r="BA466" i="3"/>
  <c r="AK466" i="3"/>
  <c r="U466" i="3"/>
  <c r="BJ465" i="3"/>
  <c r="AT465" i="3"/>
  <c r="AD465" i="3"/>
  <c r="N465" i="3"/>
  <c r="BC464" i="3"/>
  <c r="AM464" i="3"/>
  <c r="W464" i="3"/>
  <c r="G464" i="3"/>
  <c r="BH486" i="3"/>
  <c r="AM486" i="3"/>
  <c r="Q486" i="3"/>
  <c r="BE485" i="3"/>
  <c r="AJ485" i="3"/>
  <c r="N485" i="3"/>
  <c r="BE484" i="3"/>
  <c r="AO484" i="3"/>
  <c r="Y484" i="3"/>
  <c r="I484" i="3"/>
  <c r="AX483" i="3"/>
  <c r="AH483" i="3"/>
  <c r="R483" i="3"/>
  <c r="BG482" i="3"/>
  <c r="AQ482" i="3"/>
  <c r="AA482" i="3"/>
  <c r="K482" i="3"/>
  <c r="BD481" i="3"/>
  <c r="AN481" i="3"/>
  <c r="X481" i="3"/>
  <c r="H481" i="3"/>
  <c r="BA480" i="3"/>
  <c r="AK480" i="3"/>
  <c r="U480" i="3"/>
  <c r="BJ479" i="3"/>
  <c r="AT479" i="3"/>
  <c r="AD479" i="3"/>
  <c r="N479" i="3"/>
  <c r="BC478" i="3"/>
  <c r="AM478" i="3"/>
  <c r="W478" i="3"/>
  <c r="G478" i="3"/>
  <c r="AZ477" i="3"/>
  <c r="AJ477" i="3"/>
  <c r="T477" i="3"/>
  <c r="BM476" i="3"/>
  <c r="AW476" i="3"/>
  <c r="AG476" i="3"/>
  <c r="Q476" i="3"/>
  <c r="BF475" i="3"/>
  <c r="AP475" i="3"/>
  <c r="Z475" i="3"/>
  <c r="J475" i="3"/>
  <c r="AY474" i="3"/>
  <c r="AI474" i="3"/>
  <c r="S474" i="3"/>
  <c r="BL473" i="3"/>
  <c r="AV473" i="3"/>
  <c r="AF473" i="3"/>
  <c r="P473" i="3"/>
  <c r="BI472" i="3"/>
  <c r="AS472" i="3"/>
  <c r="AC472" i="3"/>
  <c r="M472" i="3"/>
  <c r="BB471" i="3"/>
  <c r="AL471" i="3"/>
  <c r="V471" i="3"/>
  <c r="BK470" i="3"/>
  <c r="AU470" i="3"/>
  <c r="AE470" i="3"/>
  <c r="O470" i="3"/>
  <c r="BH469" i="3"/>
  <c r="AR469" i="3"/>
  <c r="AB469" i="3"/>
  <c r="L469" i="3"/>
  <c r="BE468" i="3"/>
  <c r="AO468" i="3"/>
  <c r="Y468" i="3"/>
  <c r="I468" i="3"/>
  <c r="AX467" i="3"/>
  <c r="AH467" i="3"/>
  <c r="R467" i="3"/>
  <c r="BG466" i="3"/>
  <c r="AQ466" i="3"/>
  <c r="AA466" i="3"/>
  <c r="K466" i="3"/>
  <c r="BD465" i="3"/>
  <c r="AN465" i="3"/>
  <c r="X465" i="3"/>
  <c r="H465" i="3"/>
  <c r="BA464" i="3"/>
  <c r="AK464" i="3"/>
  <c r="U464" i="3"/>
  <c r="BJ463" i="3"/>
  <c r="Z485" i="3"/>
  <c r="AY483" i="3"/>
  <c r="AJ482" i="3"/>
  <c r="U481" i="3"/>
  <c r="AY479" i="3"/>
  <c r="AJ478" i="3"/>
  <c r="U477" i="3"/>
  <c r="AY475" i="3"/>
  <c r="AJ474" i="3"/>
  <c r="U473" i="3"/>
  <c r="AY471" i="3"/>
  <c r="AJ470" i="3"/>
  <c r="U469" i="3"/>
  <c r="AY467" i="3"/>
  <c r="AJ466" i="3"/>
  <c r="U465" i="3"/>
  <c r="BI463" i="3"/>
  <c r="AS463" i="3"/>
  <c r="AC463" i="3"/>
  <c r="M463" i="3"/>
  <c r="BB462" i="3"/>
  <c r="AL462" i="3"/>
  <c r="V462" i="3"/>
  <c r="BK461" i="3"/>
  <c r="AU461" i="3"/>
  <c r="AE461" i="3"/>
  <c r="O461" i="3"/>
  <c r="BH460" i="3"/>
  <c r="AR460" i="3"/>
  <c r="AB460" i="3"/>
  <c r="L460" i="3"/>
  <c r="BE459" i="3"/>
  <c r="AO459" i="3"/>
  <c r="Y459" i="3"/>
  <c r="I459" i="3"/>
  <c r="AX458" i="3"/>
  <c r="AH458" i="3"/>
  <c r="R458" i="3"/>
  <c r="BG457" i="3"/>
  <c r="AQ457" i="3"/>
  <c r="AA457" i="3"/>
  <c r="K457" i="3"/>
  <c r="BD456" i="3"/>
  <c r="AN456" i="3"/>
  <c r="X456" i="3"/>
  <c r="H456" i="3"/>
  <c r="AZ454" i="3"/>
  <c r="AJ454" i="3"/>
  <c r="T454" i="3"/>
  <c r="BM453" i="3"/>
  <c r="AW453" i="3"/>
  <c r="AG453" i="3"/>
  <c r="Q453" i="3"/>
  <c r="BF452" i="3"/>
  <c r="AP452" i="3"/>
  <c r="Z452" i="3"/>
  <c r="J452" i="3"/>
  <c r="BL485" i="3"/>
  <c r="AT484" i="3"/>
  <c r="AU483" i="3"/>
  <c r="AV482" i="3"/>
  <c r="AW481" i="3"/>
  <c r="AT480" i="3"/>
  <c r="AU479" i="3"/>
  <c r="AV478" i="3"/>
  <c r="AW477" i="3"/>
  <c r="AT476" i="3"/>
  <c r="AU475" i="3"/>
  <c r="AV474" i="3"/>
  <c r="AW473" i="3"/>
  <c r="AT472" i="3"/>
  <c r="AU471" i="3"/>
  <c r="AV470" i="3"/>
  <c r="AW469" i="3"/>
  <c r="AT468" i="3"/>
  <c r="AU467" i="3"/>
  <c r="AV466" i="3"/>
  <c r="AW465" i="3"/>
  <c r="AT464" i="3"/>
  <c r="BH463" i="3"/>
  <c r="AR463" i="3"/>
  <c r="AB463" i="3"/>
  <c r="L463" i="3"/>
  <c r="BE462" i="3"/>
  <c r="AO462" i="3"/>
  <c r="Y462" i="3"/>
  <c r="I462" i="3"/>
  <c r="AX461" i="3"/>
  <c r="AH461" i="3"/>
  <c r="R461" i="3"/>
  <c r="BG460" i="3"/>
  <c r="AQ460" i="3"/>
  <c r="AA460" i="3"/>
  <c r="K460" i="3"/>
  <c r="BD459" i="3"/>
  <c r="AN459" i="3"/>
  <c r="X459" i="3"/>
  <c r="H459" i="3"/>
  <c r="BA458" i="3"/>
  <c r="AK458" i="3"/>
  <c r="U458" i="3"/>
  <c r="BJ457" i="3"/>
  <c r="AT457" i="3"/>
  <c r="AD457" i="3"/>
  <c r="N457" i="3"/>
  <c r="BC456" i="3"/>
  <c r="AM456" i="3"/>
  <c r="W456" i="3"/>
  <c r="G456" i="3"/>
  <c r="AY454" i="3"/>
  <c r="AI454" i="3"/>
  <c r="S454" i="3"/>
  <c r="BL453" i="3"/>
  <c r="AV453" i="3"/>
  <c r="AF453" i="3"/>
  <c r="P453" i="3"/>
  <c r="BI452" i="3"/>
  <c r="AS452" i="3"/>
  <c r="AC452" i="3"/>
  <c r="M452" i="3"/>
  <c r="BB451" i="3"/>
  <c r="AL451" i="3"/>
  <c r="V451" i="3"/>
  <c r="BK450" i="3"/>
  <c r="AU450" i="3"/>
  <c r="AE450" i="3"/>
  <c r="O450" i="3"/>
  <c r="BH449" i="3"/>
  <c r="AR449" i="3"/>
  <c r="AB449" i="3"/>
  <c r="L449" i="3"/>
  <c r="BE448" i="3"/>
  <c r="AO448" i="3"/>
  <c r="Y448" i="3"/>
  <c r="I448" i="3"/>
  <c r="M486" i="3"/>
  <c r="BF484" i="3"/>
  <c r="BG483" i="3"/>
  <c r="BH482" i="3"/>
  <c r="BI481" i="3"/>
  <c r="BF480" i="3"/>
  <c r="BG479" i="3"/>
  <c r="BH478" i="3"/>
  <c r="BI477" i="3"/>
  <c r="BF476" i="3"/>
  <c r="BG475" i="3"/>
  <c r="BH474" i="3"/>
  <c r="BI473" i="3"/>
  <c r="BF472" i="3"/>
  <c r="BG471" i="3"/>
  <c r="BH470" i="3"/>
  <c r="BI469" i="3"/>
  <c r="BF468" i="3"/>
  <c r="BG467" i="3"/>
  <c r="BH466" i="3"/>
  <c r="BI465" i="3"/>
  <c r="BF464" i="3"/>
  <c r="BL463" i="3"/>
  <c r="AU463" i="3"/>
  <c r="AE463" i="3"/>
  <c r="O463" i="3"/>
  <c r="BH462" i="3"/>
  <c r="AR462" i="3"/>
  <c r="AB462" i="3"/>
  <c r="L462" i="3"/>
  <c r="BE461" i="3"/>
  <c r="AO461" i="3"/>
  <c r="Y461" i="3"/>
  <c r="I461" i="3"/>
  <c r="AX460" i="3"/>
  <c r="AH460" i="3"/>
  <c r="R460" i="3"/>
  <c r="BG459" i="3"/>
  <c r="AQ459" i="3"/>
  <c r="AA459" i="3"/>
  <c r="K459" i="3"/>
  <c r="BD458" i="3"/>
  <c r="AN458" i="3"/>
  <c r="X458" i="3"/>
  <c r="H458" i="3"/>
  <c r="BA457" i="3"/>
  <c r="AK457" i="3"/>
  <c r="U457" i="3"/>
  <c r="BJ456" i="3"/>
  <c r="AT456" i="3"/>
  <c r="AD456" i="3"/>
  <c r="N456" i="3"/>
  <c r="BB454" i="3"/>
  <c r="AL454" i="3"/>
  <c r="V454" i="3"/>
  <c r="BK453" i="3"/>
  <c r="AU453" i="3"/>
  <c r="AE453" i="3"/>
  <c r="O453" i="3"/>
  <c r="BH452" i="3"/>
  <c r="AR452" i="3"/>
  <c r="AB452" i="3"/>
  <c r="L452" i="3"/>
  <c r="BE451" i="3"/>
  <c r="AO451" i="3"/>
  <c r="Y451" i="3"/>
  <c r="I451" i="3"/>
  <c r="AX450" i="3"/>
  <c r="AH450" i="3"/>
  <c r="R450" i="3"/>
  <c r="BG449" i="3"/>
  <c r="AQ449" i="3"/>
  <c r="AA449" i="3"/>
  <c r="K449" i="3"/>
  <c r="BD448" i="3"/>
  <c r="AN448" i="3"/>
  <c r="X448" i="3"/>
  <c r="H448" i="3"/>
  <c r="BA447" i="3"/>
  <c r="AK447" i="3"/>
  <c r="BA485" i="3"/>
  <c r="AO481" i="3"/>
  <c r="AO477" i="3"/>
  <c r="AO473" i="3"/>
  <c r="AO469" i="3"/>
  <c r="AO465" i="3"/>
  <c r="R463" i="3"/>
  <c r="AZ461" i="3"/>
  <c r="AK460" i="3"/>
  <c r="R459" i="3"/>
  <c r="AZ457" i="3"/>
  <c r="AK456" i="3"/>
  <c r="AC454" i="3"/>
  <c r="Z453" i="3"/>
  <c r="AA452" i="3"/>
  <c r="AV451" i="3"/>
  <c r="P451" i="3"/>
  <c r="AV450" i="3"/>
  <c r="P450" i="3"/>
  <c r="AS449" i="3"/>
  <c r="M449" i="3"/>
  <c r="AH448" i="3"/>
  <c r="BL447" i="3"/>
  <c r="AQ447" i="3"/>
  <c r="W447" i="3"/>
  <c r="G447" i="3"/>
  <c r="AZ446" i="3"/>
  <c r="AJ446" i="3"/>
  <c r="T446" i="3"/>
  <c r="BM445" i="3"/>
  <c r="AW445" i="3"/>
  <c r="AG445" i="3"/>
  <c r="Q445" i="3"/>
  <c r="BF444" i="3"/>
  <c r="AP444" i="3"/>
  <c r="Z444" i="3"/>
  <c r="J444" i="3"/>
  <c r="AY443" i="3"/>
  <c r="AI443" i="3"/>
  <c r="S443" i="3"/>
  <c r="BL442" i="3"/>
  <c r="AV442" i="3"/>
  <c r="AF442" i="3"/>
  <c r="P442" i="3"/>
  <c r="BI441" i="3"/>
  <c r="AS441" i="3"/>
  <c r="AC441" i="3"/>
  <c r="M441" i="3"/>
  <c r="BB440" i="3"/>
  <c r="AL440" i="3"/>
  <c r="V440" i="3"/>
  <c r="BK439" i="3"/>
  <c r="AU439" i="3"/>
  <c r="AE439" i="3"/>
  <c r="O439" i="3"/>
  <c r="BH438" i="3"/>
  <c r="AR438" i="3"/>
  <c r="AB438" i="3"/>
  <c r="L438" i="3"/>
  <c r="BE437" i="3"/>
  <c r="AO437" i="3"/>
  <c r="Y437" i="3"/>
  <c r="I437" i="3"/>
  <c r="AX436" i="3"/>
  <c r="AH436" i="3"/>
  <c r="R436" i="3"/>
  <c r="BG435" i="3"/>
  <c r="AQ435" i="3"/>
  <c r="AA435" i="3"/>
  <c r="K435" i="3"/>
  <c r="BD434" i="3"/>
  <c r="AN434" i="3"/>
  <c r="X434" i="3"/>
  <c r="H434" i="3"/>
  <c r="BA433" i="3"/>
  <c r="AK433" i="3"/>
  <c r="U433" i="3"/>
  <c r="BJ432" i="3"/>
  <c r="AT432" i="3"/>
  <c r="AD432" i="3"/>
  <c r="N432" i="3"/>
  <c r="BC431" i="3"/>
  <c r="AM431" i="3"/>
  <c r="W431" i="3"/>
  <c r="BC483" i="3"/>
  <c r="BC479" i="3"/>
  <c r="BC475" i="3"/>
  <c r="BC471" i="3"/>
  <c r="BC467" i="3"/>
  <c r="BK463" i="3"/>
  <c r="BK462" i="3"/>
  <c r="BL461" i="3"/>
  <c r="BM460" i="3"/>
  <c r="BJ459" i="3"/>
  <c r="BK458" i="3"/>
  <c r="BL457" i="3"/>
  <c r="BM456" i="3"/>
  <c r="BE454" i="3"/>
  <c r="BB453" i="3"/>
  <c r="AM452" i="3"/>
  <c r="BC451" i="3"/>
  <c r="W451" i="3"/>
  <c r="BA450" i="3"/>
  <c r="U450" i="3"/>
  <c r="AP449" i="3"/>
  <c r="J449" i="3"/>
  <c r="AM448" i="3"/>
  <c r="G448" i="3"/>
  <c r="AU447" i="3"/>
  <c r="Z447" i="3"/>
  <c r="J447" i="3"/>
  <c r="AY446" i="3"/>
  <c r="AI446" i="3"/>
  <c r="S446" i="3"/>
  <c r="BL445" i="3"/>
  <c r="AV445" i="3"/>
  <c r="AF445" i="3"/>
  <c r="P445" i="3"/>
  <c r="BI444" i="3"/>
  <c r="AS444" i="3"/>
  <c r="AC444" i="3"/>
  <c r="M444" i="3"/>
  <c r="BB443" i="3"/>
  <c r="AL443" i="3"/>
  <c r="V443" i="3"/>
  <c r="BK442" i="3"/>
  <c r="AU442" i="3"/>
  <c r="AE442" i="3"/>
  <c r="O442" i="3"/>
  <c r="BH441" i="3"/>
  <c r="AR441" i="3"/>
  <c r="AB441" i="3"/>
  <c r="L441" i="3"/>
  <c r="BE440" i="3"/>
  <c r="AO440" i="3"/>
  <c r="Y440" i="3"/>
  <c r="I440" i="3"/>
  <c r="AX439" i="3"/>
  <c r="AH439" i="3"/>
  <c r="R439" i="3"/>
  <c r="BG438" i="3"/>
  <c r="AQ438" i="3"/>
  <c r="AA438" i="3"/>
  <c r="K438" i="3"/>
  <c r="BD437" i="3"/>
  <c r="AN437" i="3"/>
  <c r="X437" i="3"/>
  <c r="H437" i="3"/>
  <c r="BA436" i="3"/>
  <c r="AK436" i="3"/>
  <c r="U436" i="3"/>
  <c r="BJ435" i="3"/>
  <c r="AT435" i="3"/>
  <c r="AD435" i="3"/>
  <c r="N435" i="3"/>
  <c r="J485" i="3"/>
  <c r="I481" i="3"/>
  <c r="I477" i="3"/>
  <c r="I473" i="3"/>
  <c r="I469" i="3"/>
  <c r="I465" i="3"/>
  <c r="Z463" i="3"/>
  <c r="AA462" i="3"/>
  <c r="AB461" i="3"/>
  <c r="AC460" i="3"/>
  <c r="Z459" i="3"/>
  <c r="AA458" i="3"/>
  <c r="AB457" i="3"/>
  <c r="AC456" i="3"/>
  <c r="U454" i="3"/>
  <c r="AY452" i="3"/>
  <c r="AZ451" i="3"/>
  <c r="T451" i="3"/>
  <c r="AR450" i="3"/>
  <c r="L450" i="3"/>
  <c r="AO449" i="3"/>
  <c r="I449" i="3"/>
  <c r="AL448" i="3"/>
  <c r="BJ447" i="3"/>
  <c r="AN447" i="3"/>
  <c r="U447" i="3"/>
  <c r="BJ446" i="3"/>
  <c r="AT446" i="3"/>
  <c r="AD446" i="3"/>
  <c r="N446" i="3"/>
  <c r="BC445" i="3"/>
  <c r="AM445" i="3"/>
  <c r="W445" i="3"/>
  <c r="G445" i="3"/>
  <c r="AZ444" i="3"/>
  <c r="AJ444" i="3"/>
  <c r="T444" i="3"/>
  <c r="BM443" i="3"/>
  <c r="AW443" i="3"/>
  <c r="AG443" i="3"/>
  <c r="Q443" i="3"/>
  <c r="BF442" i="3"/>
  <c r="AP442" i="3"/>
  <c r="Z442" i="3"/>
  <c r="J442" i="3"/>
  <c r="AY441" i="3"/>
  <c r="AI441" i="3"/>
  <c r="S441" i="3"/>
  <c r="BL440" i="3"/>
  <c r="AV440" i="3"/>
  <c r="AF440" i="3"/>
  <c r="P440" i="3"/>
  <c r="BI439" i="3"/>
  <c r="AS439" i="3"/>
  <c r="AC439" i="3"/>
  <c r="M439" i="3"/>
  <c r="BB438" i="3"/>
  <c r="AL438" i="3"/>
  <c r="V438" i="3"/>
  <c r="BK437" i="3"/>
  <c r="AU437" i="3"/>
  <c r="AE437" i="3"/>
  <c r="O437" i="3"/>
  <c r="BH436" i="3"/>
  <c r="AR436" i="3"/>
  <c r="AB436" i="3"/>
  <c r="L436" i="3"/>
  <c r="BE435" i="3"/>
  <c r="AO435" i="3"/>
  <c r="Y435" i="3"/>
  <c r="I435" i="3"/>
  <c r="AX434" i="3"/>
  <c r="AH434" i="3"/>
  <c r="R434" i="3"/>
  <c r="BG433" i="3"/>
  <c r="AQ433" i="3"/>
  <c r="AA433" i="3"/>
  <c r="K433" i="3"/>
  <c r="BD432" i="3"/>
  <c r="AN432" i="3"/>
  <c r="X432" i="3"/>
  <c r="H432" i="3"/>
  <c r="BA431" i="3"/>
  <c r="H461" i="3"/>
  <c r="H457" i="3"/>
  <c r="BK452" i="3"/>
  <c r="AT449" i="3"/>
  <c r="BC447" i="3"/>
  <c r="AW446" i="3"/>
  <c r="AT445" i="3"/>
  <c r="AU444" i="3"/>
  <c r="AV443" i="3"/>
  <c r="AW442" i="3"/>
  <c r="AT441" i="3"/>
  <c r="AU440" i="3"/>
  <c r="AV439" i="3"/>
  <c r="AW438" i="3"/>
  <c r="AT437" i="3"/>
  <c r="AU436" i="3"/>
  <c r="AV435" i="3"/>
  <c r="BE434" i="3"/>
  <c r="Y434" i="3"/>
  <c r="BB433" i="3"/>
  <c r="V433" i="3"/>
  <c r="AS432" i="3"/>
  <c r="M432" i="3"/>
  <c r="AL431" i="3"/>
  <c r="R431" i="3"/>
  <c r="BG430" i="3"/>
  <c r="AQ430" i="3"/>
  <c r="AA430" i="3"/>
  <c r="K430" i="3"/>
  <c r="BD429" i="3"/>
  <c r="AN429" i="3"/>
  <c r="X429" i="3"/>
  <c r="H429" i="3"/>
  <c r="BA428" i="3"/>
  <c r="AK428" i="3"/>
  <c r="U428" i="3"/>
  <c r="BJ427" i="3"/>
  <c r="AT427" i="3"/>
  <c r="AD427" i="3"/>
  <c r="N427" i="3"/>
  <c r="BC426" i="3"/>
  <c r="AM426" i="3"/>
  <c r="W426" i="3"/>
  <c r="G426" i="3"/>
  <c r="AZ425" i="3"/>
  <c r="AJ425" i="3"/>
  <c r="T425" i="3"/>
  <c r="BM424" i="3"/>
  <c r="AW424" i="3"/>
  <c r="AG424" i="3"/>
  <c r="Q424" i="3"/>
  <c r="BF423" i="3"/>
  <c r="AP423" i="3"/>
  <c r="Z423" i="3"/>
  <c r="J423" i="3"/>
  <c r="AY422" i="3"/>
  <c r="AI422" i="3"/>
  <c r="S422" i="3"/>
  <c r="BL421" i="3"/>
  <c r="AV421" i="3"/>
  <c r="AF421" i="3"/>
  <c r="P421" i="3"/>
  <c r="BI420" i="3"/>
  <c r="AS420" i="3"/>
  <c r="AC420" i="3"/>
  <c r="M420" i="3"/>
  <c r="BB419" i="3"/>
  <c r="AL419" i="3"/>
  <c r="V419" i="3"/>
  <c r="BK418" i="3"/>
  <c r="AU418" i="3"/>
  <c r="AE418" i="3"/>
  <c r="O418" i="3"/>
  <c r="BH417" i="3"/>
  <c r="AR417" i="3"/>
  <c r="AB417" i="3"/>
  <c r="L417" i="3"/>
  <c r="BE416" i="3"/>
  <c r="AO416" i="3"/>
  <c r="Y416" i="3"/>
  <c r="I416" i="3"/>
  <c r="AX415" i="3"/>
  <c r="AN478" i="3"/>
  <c r="V463" i="3"/>
  <c r="V459" i="3"/>
  <c r="Q454" i="3"/>
  <c r="AA451" i="3"/>
  <c r="AQ448" i="3"/>
  <c r="L447" i="3"/>
  <c r="M446" i="3"/>
  <c r="J445" i="3"/>
  <c r="K444" i="3"/>
  <c r="L443" i="3"/>
  <c r="M442" i="3"/>
  <c r="J441" i="3"/>
  <c r="K440" i="3"/>
  <c r="L439" i="3"/>
  <c r="M438" i="3"/>
  <c r="J437" i="3"/>
  <c r="K436" i="3"/>
  <c r="L435" i="3"/>
  <c r="AM434" i="3"/>
  <c r="G434" i="3"/>
  <c r="AJ433" i="3"/>
  <c r="BG432" i="3"/>
  <c r="AA432" i="3"/>
  <c r="BD431" i="3"/>
  <c r="AF431" i="3"/>
  <c r="M431" i="3"/>
  <c r="BB430" i="3"/>
  <c r="AL430" i="3"/>
  <c r="V430" i="3"/>
  <c r="BK429" i="3"/>
  <c r="AU429" i="3"/>
  <c r="AE429" i="3"/>
  <c r="O429" i="3"/>
  <c r="BH428" i="3"/>
  <c r="AR428" i="3"/>
  <c r="AB428" i="3"/>
  <c r="L428" i="3"/>
  <c r="BE427" i="3"/>
  <c r="AO427" i="3"/>
  <c r="Y427" i="3"/>
  <c r="I427" i="3"/>
  <c r="AX426" i="3"/>
  <c r="AH426" i="3"/>
  <c r="R426" i="3"/>
  <c r="BG425" i="3"/>
  <c r="AQ425" i="3"/>
  <c r="AA425" i="3"/>
  <c r="K425" i="3"/>
  <c r="BD424" i="3"/>
  <c r="AN424" i="3"/>
  <c r="X424" i="3"/>
  <c r="H424" i="3"/>
  <c r="BA423" i="3"/>
  <c r="AK423" i="3"/>
  <c r="U423" i="3"/>
  <c r="BJ422" i="3"/>
  <c r="AT422" i="3"/>
  <c r="AD422" i="3"/>
  <c r="N422" i="3"/>
  <c r="BC421" i="3"/>
  <c r="AM421" i="3"/>
  <c r="W421" i="3"/>
  <c r="G421" i="3"/>
  <c r="AZ420" i="3"/>
  <c r="AJ420" i="3"/>
  <c r="T420" i="3"/>
  <c r="BM419" i="3"/>
  <c r="AW419" i="3"/>
  <c r="AG419" i="3"/>
  <c r="Q419" i="3"/>
  <c r="BF418" i="3"/>
  <c r="AP418" i="3"/>
  <c r="Z418" i="3"/>
  <c r="J418" i="3"/>
  <c r="AY417" i="3"/>
  <c r="AI417" i="3"/>
  <c r="S417" i="3"/>
  <c r="BL416" i="3"/>
  <c r="AV416" i="3"/>
  <c r="AF416" i="3"/>
  <c r="P416" i="3"/>
  <c r="W462" i="3"/>
  <c r="AN457" i="3"/>
  <c r="AE452" i="3"/>
  <c r="Y450" i="3"/>
  <c r="AR447" i="3"/>
  <c r="AO446" i="3"/>
  <c r="AL445" i="3"/>
  <c r="W444" i="3"/>
  <c r="X443" i="3"/>
  <c r="Y442" i="3"/>
  <c r="V441" i="3"/>
  <c r="G440" i="3"/>
  <c r="H439" i="3"/>
  <c r="I438" i="3"/>
  <c r="BC436" i="3"/>
  <c r="BD435" i="3"/>
  <c r="BI434" i="3"/>
  <c r="AC434" i="3"/>
  <c r="AX433" i="3"/>
  <c r="R433" i="3"/>
  <c r="AW432" i="3"/>
  <c r="Q432" i="3"/>
  <c r="AT431" i="3"/>
  <c r="Y431" i="3"/>
  <c r="H431" i="3"/>
  <c r="BA430" i="3"/>
  <c r="AK430" i="3"/>
  <c r="U430" i="3"/>
  <c r="BJ429" i="3"/>
  <c r="AT429" i="3"/>
  <c r="AD429" i="3"/>
  <c r="N429" i="3"/>
  <c r="BC428" i="3"/>
  <c r="AM428" i="3"/>
  <c r="W428" i="3"/>
  <c r="G428" i="3"/>
  <c r="AZ427" i="3"/>
  <c r="AJ427" i="3"/>
  <c r="T427" i="3"/>
  <c r="BM426" i="3"/>
  <c r="AW426" i="3"/>
  <c r="AG426" i="3"/>
  <c r="Q426" i="3"/>
  <c r="BF425" i="3"/>
  <c r="AP425" i="3"/>
  <c r="Z425" i="3"/>
  <c r="J425" i="3"/>
  <c r="AY424" i="3"/>
  <c r="AI424" i="3"/>
  <c r="S424" i="3"/>
  <c r="BL423" i="3"/>
  <c r="AV423" i="3"/>
  <c r="AF423" i="3"/>
  <c r="P423" i="3"/>
  <c r="BI422" i="3"/>
  <c r="AS422" i="3"/>
  <c r="AC422" i="3"/>
  <c r="M422" i="3"/>
  <c r="BB421" i="3"/>
  <c r="AL421" i="3"/>
  <c r="V421" i="3"/>
  <c r="BK420" i="3"/>
  <c r="AU420" i="3"/>
  <c r="AE420" i="3"/>
  <c r="O420" i="3"/>
  <c r="BH419" i="3"/>
  <c r="AR419" i="3"/>
  <c r="AB419" i="3"/>
  <c r="L419" i="3"/>
  <c r="BE418" i="3"/>
  <c r="AO418" i="3"/>
  <c r="Y418" i="3"/>
  <c r="I418" i="3"/>
  <c r="AX417" i="3"/>
  <c r="AH417" i="3"/>
  <c r="R417" i="3"/>
  <c r="BG416" i="3"/>
  <c r="AQ416" i="3"/>
  <c r="AA416" i="3"/>
  <c r="K416" i="3"/>
  <c r="BD415" i="3"/>
  <c r="BB463" i="3"/>
  <c r="AW454" i="3"/>
  <c r="T447" i="3"/>
  <c r="T443" i="3"/>
  <c r="T439" i="3"/>
  <c r="T435" i="3"/>
  <c r="P433" i="3"/>
  <c r="AH431" i="3"/>
  <c r="AF430" i="3"/>
  <c r="AG429" i="3"/>
  <c r="AD428" i="3"/>
  <c r="AE427" i="3"/>
  <c r="AF426" i="3"/>
  <c r="AG425" i="3"/>
  <c r="AD424" i="3"/>
  <c r="AE423" i="3"/>
  <c r="AF422" i="3"/>
  <c r="AG421" i="3"/>
  <c r="AD420" i="3"/>
  <c r="AE419" i="3"/>
  <c r="AF418" i="3"/>
  <c r="AG417" i="3"/>
  <c r="AD416" i="3"/>
  <c r="AV415" i="3"/>
  <c r="AD415" i="3"/>
  <c r="N415" i="3"/>
  <c r="BB413" i="3"/>
  <c r="AL413" i="3"/>
  <c r="V413" i="3"/>
  <c r="BK412" i="3"/>
  <c r="AU412" i="3"/>
  <c r="AE412" i="3"/>
  <c r="O412" i="3"/>
  <c r="BE473" i="3"/>
  <c r="AI434" i="3"/>
  <c r="O432" i="3"/>
  <c r="BH430" i="3"/>
  <c r="BI429" i="3"/>
  <c r="BF428" i="3"/>
  <c r="BG427" i="3"/>
  <c r="BH426" i="3"/>
  <c r="BI425" i="3"/>
  <c r="BF424" i="3"/>
  <c r="BG423" i="3"/>
  <c r="BH422" i="3"/>
  <c r="BI421" i="3"/>
  <c r="BF420" i="3"/>
  <c r="BG419" i="3"/>
  <c r="BH418" i="3"/>
  <c r="BI417" i="3"/>
  <c r="BF416" i="3"/>
  <c r="BI415" i="3"/>
  <c r="AK415" i="3"/>
  <c r="U415" i="3"/>
  <c r="BM413" i="3"/>
  <c r="AW413" i="3"/>
  <c r="AG413" i="3"/>
  <c r="Q413" i="3"/>
  <c r="BF412" i="3"/>
  <c r="AP412" i="3"/>
  <c r="Z412" i="3"/>
  <c r="J412" i="3"/>
  <c r="AY411" i="3"/>
  <c r="AI411" i="3"/>
  <c r="S411" i="3"/>
  <c r="BL410" i="3"/>
  <c r="AV410" i="3"/>
  <c r="AF410" i="3"/>
  <c r="P410" i="3"/>
  <c r="BI409" i="3"/>
  <c r="AS409" i="3"/>
  <c r="AC409" i="3"/>
  <c r="M409" i="3"/>
  <c r="BB408" i="3"/>
  <c r="AL408" i="3"/>
  <c r="V408" i="3"/>
  <c r="BK407" i="3"/>
  <c r="AU407" i="3"/>
  <c r="AE407" i="3"/>
  <c r="O407" i="3"/>
  <c r="BH406" i="3"/>
  <c r="AR406" i="3"/>
  <c r="AB406" i="3"/>
  <c r="L406" i="3"/>
  <c r="BE405" i="3"/>
  <c r="AO405" i="3"/>
  <c r="Y405" i="3"/>
  <c r="I405" i="3"/>
  <c r="AX404" i="3"/>
  <c r="AH404" i="3"/>
  <c r="R404" i="3"/>
  <c r="BG403" i="3"/>
  <c r="AQ403" i="3"/>
  <c r="AA403" i="3"/>
  <c r="K403" i="3"/>
  <c r="BD402" i="3"/>
  <c r="AN402" i="3"/>
  <c r="X402" i="3"/>
  <c r="H402" i="3"/>
  <c r="BA401" i="3"/>
  <c r="AK401" i="3"/>
  <c r="U401" i="3"/>
  <c r="BJ400" i="3"/>
  <c r="AT400" i="3"/>
  <c r="AD400" i="3"/>
  <c r="N400" i="3"/>
  <c r="BC399" i="3"/>
  <c r="AM399" i="3"/>
  <c r="W399" i="3"/>
  <c r="G399" i="3"/>
  <c r="AZ398" i="3"/>
  <c r="AJ398" i="3"/>
  <c r="T398" i="3"/>
  <c r="BM397" i="3"/>
  <c r="AW397" i="3"/>
  <c r="AG397" i="3"/>
  <c r="Q397" i="3"/>
  <c r="BF396" i="3"/>
  <c r="AP396" i="3"/>
  <c r="Z396" i="3"/>
  <c r="J396" i="3"/>
  <c r="AY395" i="3"/>
  <c r="AI395" i="3"/>
  <c r="S395" i="3"/>
  <c r="BL394" i="3"/>
  <c r="AV394" i="3"/>
  <c r="AF394" i="3"/>
  <c r="P394" i="3"/>
  <c r="BI393" i="3"/>
  <c r="AS393" i="3"/>
  <c r="AC393" i="3"/>
  <c r="M393" i="3"/>
  <c r="BB392" i="3"/>
  <c r="AL392" i="3"/>
  <c r="V392" i="3"/>
  <c r="BK391" i="3"/>
  <c r="AU391" i="3"/>
  <c r="AE391" i="3"/>
  <c r="O391" i="3"/>
  <c r="BH390" i="3"/>
  <c r="AR390" i="3"/>
  <c r="AB390" i="3"/>
  <c r="L390" i="3"/>
  <c r="BE389" i="3"/>
  <c r="AO389" i="3"/>
  <c r="Y389" i="3"/>
  <c r="I389" i="3"/>
  <c r="AX388" i="3"/>
  <c r="AH388" i="3"/>
  <c r="R388" i="3"/>
  <c r="BG387" i="3"/>
  <c r="AQ387" i="3"/>
  <c r="AA387" i="3"/>
  <c r="K387" i="3"/>
  <c r="BD386" i="3"/>
  <c r="AN386" i="3"/>
  <c r="X386" i="3"/>
  <c r="H386" i="3"/>
  <c r="BA385" i="3"/>
  <c r="AK385" i="3"/>
  <c r="U385" i="3"/>
  <c r="BJ384" i="3"/>
  <c r="AT384" i="3"/>
  <c r="AD384" i="3"/>
  <c r="N384" i="3"/>
  <c r="BC383" i="3"/>
  <c r="AM383" i="3"/>
  <c r="W383" i="3"/>
  <c r="G383" i="3"/>
  <c r="AZ382" i="3"/>
  <c r="AJ382" i="3"/>
  <c r="T382" i="3"/>
  <c r="BM381" i="3"/>
  <c r="AW381" i="3"/>
  <c r="AG381" i="3"/>
  <c r="Q381" i="3"/>
  <c r="BF380" i="3"/>
  <c r="AP380" i="3"/>
  <c r="Z380" i="3"/>
  <c r="J380" i="3"/>
  <c r="AY379" i="3"/>
  <c r="AI379" i="3"/>
  <c r="S379" i="3"/>
  <c r="BL378" i="3"/>
  <c r="AV378" i="3"/>
  <c r="AF378" i="3"/>
  <c r="P378" i="3"/>
  <c r="BI377" i="3"/>
  <c r="AS377" i="3"/>
  <c r="AC377" i="3"/>
  <c r="M377" i="3"/>
  <c r="BB376" i="3"/>
  <c r="AL376" i="3"/>
  <c r="G462" i="3"/>
  <c r="BJ453" i="3"/>
  <c r="BA446" i="3"/>
  <c r="BA442" i="3"/>
  <c r="BA438" i="3"/>
  <c r="BG434" i="3"/>
  <c r="AM432" i="3"/>
  <c r="G431" i="3"/>
  <c r="H430" i="3"/>
  <c r="I429" i="3"/>
  <c r="BC427" i="3"/>
  <c r="BD426" i="3"/>
  <c r="BE425" i="3"/>
  <c r="BB424" i="3"/>
  <c r="AM423" i="3"/>
  <c r="AN422" i="3"/>
  <c r="AO421" i="3"/>
  <c r="AL420" i="3"/>
  <c r="W419" i="3"/>
  <c r="X418" i="3"/>
  <c r="Y417" i="3"/>
  <c r="V416" i="3"/>
  <c r="AN415" i="3"/>
  <c r="X415" i="3"/>
  <c r="H415" i="3"/>
  <c r="AZ413" i="3"/>
  <c r="AJ413" i="3"/>
  <c r="T413" i="3"/>
  <c r="BM412" i="3"/>
  <c r="AW412" i="3"/>
  <c r="AG412" i="3"/>
  <c r="Q412" i="3"/>
  <c r="BF411" i="3"/>
  <c r="AP411" i="3"/>
  <c r="Z411" i="3"/>
  <c r="J411" i="3"/>
  <c r="AY410" i="3"/>
  <c r="AI410" i="3"/>
  <c r="S410" i="3"/>
  <c r="BL409" i="3"/>
  <c r="AV409" i="3"/>
  <c r="AF409" i="3"/>
  <c r="P409" i="3"/>
  <c r="BI408" i="3"/>
  <c r="AS408" i="3"/>
  <c r="AC408" i="3"/>
  <c r="M408" i="3"/>
  <c r="BB407" i="3"/>
  <c r="AL407" i="3"/>
  <c r="V407" i="3"/>
  <c r="BK406" i="3"/>
  <c r="AU406" i="3"/>
  <c r="AE406" i="3"/>
  <c r="O406" i="3"/>
  <c r="BH405" i="3"/>
  <c r="AR405" i="3"/>
  <c r="AB405" i="3"/>
  <c r="L405" i="3"/>
  <c r="BE404" i="3"/>
  <c r="AO404" i="3"/>
  <c r="Y404" i="3"/>
  <c r="I404" i="3"/>
  <c r="AX403" i="3"/>
  <c r="AH403" i="3"/>
  <c r="R403" i="3"/>
  <c r="BG402" i="3"/>
  <c r="AQ402" i="3"/>
  <c r="AA402" i="3"/>
  <c r="K402" i="3"/>
  <c r="BD401" i="3"/>
  <c r="AN401" i="3"/>
  <c r="X401" i="3"/>
  <c r="H401" i="3"/>
  <c r="BA400" i="3"/>
  <c r="AK400" i="3"/>
  <c r="U400" i="3"/>
  <c r="BJ399" i="3"/>
  <c r="AT399" i="3"/>
  <c r="AD399" i="3"/>
  <c r="N399" i="3"/>
  <c r="BC398" i="3"/>
  <c r="AM398" i="3"/>
  <c r="W398" i="3"/>
  <c r="G398" i="3"/>
  <c r="AZ397" i="3"/>
  <c r="AJ397" i="3"/>
  <c r="T397" i="3"/>
  <c r="BM396" i="3"/>
  <c r="AW396" i="3"/>
  <c r="AG396" i="3"/>
  <c r="Q396" i="3"/>
  <c r="BF395" i="3"/>
  <c r="AP395" i="3"/>
  <c r="Z395" i="3"/>
  <c r="J395" i="3"/>
  <c r="AY394" i="3"/>
  <c r="AI394" i="3"/>
  <c r="S394" i="3"/>
  <c r="BL393" i="3"/>
  <c r="AV393" i="3"/>
  <c r="AF393" i="3"/>
  <c r="P393" i="3"/>
  <c r="BI392" i="3"/>
  <c r="AS392" i="3"/>
  <c r="AC392" i="3"/>
  <c r="M392" i="3"/>
  <c r="BB391" i="3"/>
  <c r="AL391" i="3"/>
  <c r="V391" i="3"/>
  <c r="BK390" i="3"/>
  <c r="AU390" i="3"/>
  <c r="AE390" i="3"/>
  <c r="O390" i="3"/>
  <c r="BH389" i="3"/>
  <c r="AR389" i="3"/>
  <c r="AB389" i="3"/>
  <c r="L389" i="3"/>
  <c r="BE388" i="3"/>
  <c r="AO388" i="3"/>
  <c r="Y388" i="3"/>
  <c r="I388" i="3"/>
  <c r="AX387" i="3"/>
  <c r="AH387" i="3"/>
  <c r="R387" i="3"/>
  <c r="BG386" i="3"/>
  <c r="AQ386" i="3"/>
  <c r="AA386" i="3"/>
  <c r="K386" i="3"/>
  <c r="BD385" i="3"/>
  <c r="AN385" i="3"/>
  <c r="X385" i="3"/>
  <c r="H385" i="3"/>
  <c r="BA384" i="3"/>
  <c r="AK384" i="3"/>
  <c r="U384" i="3"/>
  <c r="BJ383" i="3"/>
  <c r="AT383" i="3"/>
  <c r="AD383" i="3"/>
  <c r="N383" i="3"/>
  <c r="BC382" i="3"/>
  <c r="AM382" i="3"/>
  <c r="W382" i="3"/>
  <c r="G382" i="3"/>
  <c r="AZ381" i="3"/>
  <c r="AJ381" i="3"/>
  <c r="T381" i="3"/>
  <c r="BM380" i="3"/>
  <c r="AW380" i="3"/>
  <c r="AG380" i="3"/>
  <c r="Q380" i="3"/>
  <c r="BF379" i="3"/>
  <c r="AP379" i="3"/>
  <c r="Z379" i="3"/>
  <c r="J379" i="3"/>
  <c r="AY378" i="3"/>
  <c r="AI378" i="3"/>
  <c r="S378" i="3"/>
  <c r="BL377" i="3"/>
  <c r="AV377" i="3"/>
  <c r="AF377" i="3"/>
  <c r="P377" i="3"/>
  <c r="BI376" i="3"/>
  <c r="AS376" i="3"/>
  <c r="AM447" i="3"/>
  <c r="AJ439" i="3"/>
  <c r="S431" i="3"/>
  <c r="S427" i="3"/>
  <c r="S423" i="3"/>
  <c r="S419" i="3"/>
  <c r="AR415" i="3"/>
  <c r="AI413" i="3"/>
  <c r="T412" i="3"/>
  <c r="AJ411" i="3"/>
  <c r="BM410" i="3"/>
  <c r="AG410" i="3"/>
  <c r="BJ409" i="3"/>
  <c r="AD409" i="3"/>
  <c r="AZ408" i="3"/>
  <c r="T408" i="3"/>
  <c r="AR407" i="3"/>
  <c r="L407" i="3"/>
  <c r="AO406" i="3"/>
  <c r="I406" i="3"/>
  <c r="AL405" i="3"/>
  <c r="BH404" i="3"/>
  <c r="AB404" i="3"/>
  <c r="AZ403" i="3"/>
  <c r="T403" i="3"/>
  <c r="AW402" i="3"/>
  <c r="Q402" i="3"/>
  <c r="AT401" i="3"/>
  <c r="N401" i="3"/>
  <c r="AJ400" i="3"/>
  <c r="BH399" i="3"/>
  <c r="AB399" i="3"/>
  <c r="BE398" i="3"/>
  <c r="Y398" i="3"/>
  <c r="BB397" i="3"/>
  <c r="V397" i="3"/>
  <c r="AR396" i="3"/>
  <c r="L396" i="3"/>
  <c r="AJ395" i="3"/>
  <c r="BM394" i="3"/>
  <c r="AG394" i="3"/>
  <c r="BJ393" i="3"/>
  <c r="AD393" i="3"/>
  <c r="AZ392" i="3"/>
  <c r="T392" i="3"/>
  <c r="AR391" i="3"/>
  <c r="L391" i="3"/>
  <c r="AO390" i="3"/>
  <c r="I390" i="3"/>
  <c r="AL389" i="3"/>
  <c r="BH388" i="3"/>
  <c r="AB388" i="3"/>
  <c r="AZ387" i="3"/>
  <c r="T387" i="3"/>
  <c r="AW386" i="3"/>
  <c r="Q386" i="3"/>
  <c r="AT385" i="3"/>
  <c r="N385" i="3"/>
  <c r="AJ384" i="3"/>
  <c r="BH383" i="3"/>
  <c r="AB383" i="3"/>
  <c r="BE382" i="3"/>
  <c r="Y382" i="3"/>
  <c r="BB381" i="3"/>
  <c r="V381" i="3"/>
  <c r="AR380" i="3"/>
  <c r="L380" i="3"/>
  <c r="AJ379" i="3"/>
  <c r="BM378" i="3"/>
  <c r="AG378" i="3"/>
  <c r="BJ377" i="3"/>
  <c r="AD377" i="3"/>
  <c r="AZ376" i="3"/>
  <c r="AB376" i="3"/>
  <c r="L376" i="3"/>
  <c r="BE375" i="3"/>
  <c r="AO375" i="3"/>
  <c r="Y375" i="3"/>
  <c r="I375" i="3"/>
  <c r="AX374" i="3"/>
  <c r="AH374" i="3"/>
  <c r="R374" i="3"/>
  <c r="BI371" i="3"/>
  <c r="AS371" i="3"/>
  <c r="AC371" i="3"/>
  <c r="M371" i="3"/>
  <c r="BB370" i="3"/>
  <c r="AL370" i="3"/>
  <c r="V370" i="3"/>
  <c r="BK369" i="3"/>
  <c r="AU369" i="3"/>
  <c r="AE369" i="3"/>
  <c r="O369" i="3"/>
  <c r="BH368" i="3"/>
  <c r="AR368" i="3"/>
  <c r="AB368" i="3"/>
  <c r="L368" i="3"/>
  <c r="BE367" i="3"/>
  <c r="AO367" i="3"/>
  <c r="Y367" i="3"/>
  <c r="I367" i="3"/>
  <c r="AX366" i="3"/>
  <c r="AH366" i="3"/>
  <c r="R366" i="3"/>
  <c r="BG365" i="3"/>
  <c r="AQ365" i="3"/>
  <c r="AA365" i="3"/>
  <c r="K365" i="3"/>
  <c r="BD364" i="3"/>
  <c r="AN364" i="3"/>
  <c r="X364" i="3"/>
  <c r="H364" i="3"/>
  <c r="BA363" i="3"/>
  <c r="AK363" i="3"/>
  <c r="U363" i="3"/>
  <c r="BJ362" i="3"/>
  <c r="AT362" i="3"/>
  <c r="AD362" i="3"/>
  <c r="N362" i="3"/>
  <c r="BC361" i="3"/>
  <c r="AM361" i="3"/>
  <c r="W361" i="3"/>
  <c r="G361" i="3"/>
  <c r="AZ360" i="3"/>
  <c r="AJ360" i="3"/>
  <c r="T360" i="3"/>
  <c r="BM359" i="3"/>
  <c r="AW359" i="3"/>
  <c r="AG359" i="3"/>
  <c r="Q359" i="3"/>
  <c r="BF358" i="3"/>
  <c r="AP358" i="3"/>
  <c r="Z358" i="3"/>
  <c r="J358" i="3"/>
  <c r="AY357" i="3"/>
  <c r="AI357" i="3"/>
  <c r="S357" i="3"/>
  <c r="BL356" i="3"/>
  <c r="AV356" i="3"/>
  <c r="AF356" i="3"/>
  <c r="P356" i="3"/>
  <c r="BI355" i="3"/>
  <c r="AS355" i="3"/>
  <c r="AC355" i="3"/>
  <c r="M355" i="3"/>
  <c r="BB354" i="3"/>
  <c r="AL354" i="3"/>
  <c r="V354" i="3"/>
  <c r="BK353" i="3"/>
  <c r="AU353" i="3"/>
  <c r="AE353" i="3"/>
  <c r="O353" i="3"/>
  <c r="BH352" i="3"/>
  <c r="AR352" i="3"/>
  <c r="AB352" i="3"/>
  <c r="L352" i="3"/>
  <c r="BE351" i="3"/>
  <c r="AO351" i="3"/>
  <c r="Y351" i="3"/>
  <c r="I351" i="3"/>
  <c r="AX350" i="3"/>
  <c r="AH350" i="3"/>
  <c r="BD433" i="3"/>
  <c r="G415" i="3"/>
  <c r="O413" i="3"/>
  <c r="P412" i="3"/>
  <c r="AO411" i="3"/>
  <c r="I411" i="3"/>
  <c r="AL410" i="3"/>
  <c r="BG409" i="3"/>
  <c r="AA409" i="3"/>
  <c r="AY408" i="3"/>
  <c r="S408" i="3"/>
  <c r="AW407" i="3"/>
  <c r="Q407" i="3"/>
  <c r="AT406" i="3"/>
  <c r="N406" i="3"/>
  <c r="AI405" i="3"/>
  <c r="BG404" i="3"/>
  <c r="AA404" i="3"/>
  <c r="BE403" i="3"/>
  <c r="Y403" i="3"/>
  <c r="BB402" i="3"/>
  <c r="V402" i="3"/>
  <c r="AQ401" i="3"/>
  <c r="K401" i="3"/>
  <c r="AI400" i="3"/>
  <c r="BM399" i="3"/>
  <c r="AG399" i="3"/>
  <c r="BJ398" i="3"/>
  <c r="AD398" i="3"/>
  <c r="AY397" i="3"/>
  <c r="S397" i="3"/>
  <c r="AQ396" i="3"/>
  <c r="K396" i="3"/>
  <c r="AO395" i="3"/>
  <c r="I395" i="3"/>
  <c r="AL394" i="3"/>
  <c r="BG393" i="3"/>
  <c r="AA393" i="3"/>
  <c r="AY392" i="3"/>
  <c r="S392" i="3"/>
  <c r="AW391" i="3"/>
  <c r="Q391" i="3"/>
  <c r="AT390" i="3"/>
  <c r="N390" i="3"/>
  <c r="AI389" i="3"/>
  <c r="BG388" i="3"/>
  <c r="AA388" i="3"/>
  <c r="BE387" i="3"/>
  <c r="Y387" i="3"/>
  <c r="BB386" i="3"/>
  <c r="V386" i="3"/>
  <c r="AQ385" i="3"/>
  <c r="K385" i="3"/>
  <c r="AI384" i="3"/>
  <c r="BM383" i="3"/>
  <c r="AG383" i="3"/>
  <c r="BJ382" i="3"/>
  <c r="AD382" i="3"/>
  <c r="AY381" i="3"/>
  <c r="S381" i="3"/>
  <c r="AQ380" i="3"/>
  <c r="K380" i="3"/>
  <c r="AO379" i="3"/>
  <c r="I379" i="3"/>
  <c r="AL378" i="3"/>
  <c r="BG377" i="3"/>
  <c r="AA377" i="3"/>
  <c r="AY376" i="3"/>
  <c r="AA376" i="3"/>
  <c r="K376" i="3"/>
  <c r="BD375" i="3"/>
  <c r="AN375" i="3"/>
  <c r="X375" i="3"/>
  <c r="H375" i="3"/>
  <c r="BA374" i="3"/>
  <c r="AK374" i="3"/>
  <c r="U374" i="3"/>
  <c r="BL371" i="3"/>
  <c r="AV371" i="3"/>
  <c r="AF371" i="3"/>
  <c r="P371" i="3"/>
  <c r="BI370" i="3"/>
  <c r="AS370" i="3"/>
  <c r="AC370" i="3"/>
  <c r="M370" i="3"/>
  <c r="BB369" i="3"/>
  <c r="AL369" i="3"/>
  <c r="V369" i="3"/>
  <c r="BK368" i="3"/>
  <c r="AU368" i="3"/>
  <c r="AE368" i="3"/>
  <c r="O368" i="3"/>
  <c r="BH367" i="3"/>
  <c r="AR367" i="3"/>
  <c r="AB367" i="3"/>
  <c r="L367" i="3"/>
  <c r="BE366" i="3"/>
  <c r="AO366" i="3"/>
  <c r="Y366" i="3"/>
  <c r="I366" i="3"/>
  <c r="AX365" i="3"/>
  <c r="AH365" i="3"/>
  <c r="R365" i="3"/>
  <c r="BG364" i="3"/>
  <c r="AQ364" i="3"/>
  <c r="AA364" i="3"/>
  <c r="K364" i="3"/>
  <c r="BD363" i="3"/>
  <c r="AN363" i="3"/>
  <c r="X363" i="3"/>
  <c r="H363" i="3"/>
  <c r="BA362" i="3"/>
  <c r="AK362" i="3"/>
  <c r="U362" i="3"/>
  <c r="BJ361" i="3"/>
  <c r="AT361" i="3"/>
  <c r="AD361" i="3"/>
  <c r="N361" i="3"/>
  <c r="BC360" i="3"/>
  <c r="AM360" i="3"/>
  <c r="W360" i="3"/>
  <c r="G360" i="3"/>
  <c r="AZ359" i="3"/>
  <c r="AJ359" i="3"/>
  <c r="T359" i="3"/>
  <c r="BM358" i="3"/>
  <c r="AW358" i="3"/>
  <c r="AG358" i="3"/>
  <c r="Q358" i="3"/>
  <c r="BF357" i="3"/>
  <c r="AP357" i="3"/>
  <c r="Z357" i="3"/>
  <c r="J357" i="3"/>
  <c r="AY356" i="3"/>
  <c r="AI356" i="3"/>
  <c r="S356" i="3"/>
  <c r="BL355" i="3"/>
  <c r="AV355" i="3"/>
  <c r="AF355" i="3"/>
  <c r="P355" i="3"/>
  <c r="BI354" i="3"/>
  <c r="AS354" i="3"/>
  <c r="AC354" i="3"/>
  <c r="M354" i="3"/>
  <c r="BB353" i="3"/>
  <c r="AL353" i="3"/>
  <c r="V353" i="3"/>
  <c r="BK352" i="3"/>
  <c r="AU352" i="3"/>
  <c r="AE352" i="3"/>
  <c r="O352" i="3"/>
  <c r="BH351" i="3"/>
  <c r="AR351" i="3"/>
  <c r="AB351" i="3"/>
  <c r="L351" i="3"/>
  <c r="BE350" i="3"/>
  <c r="AO350" i="3"/>
  <c r="Y350" i="3"/>
  <c r="AK446" i="3"/>
  <c r="AK438" i="3"/>
  <c r="AZ430" i="3"/>
  <c r="AZ426" i="3"/>
  <c r="AZ422" i="3"/>
  <c r="AZ418" i="3"/>
  <c r="AI415" i="3"/>
  <c r="AJ430" i="3"/>
  <c r="AJ426" i="3"/>
  <c r="AJ422" i="3"/>
  <c r="AJ418" i="3"/>
  <c r="AE415" i="3"/>
  <c r="W413" i="3"/>
  <c r="X412" i="3"/>
  <c r="AS411" i="3"/>
  <c r="M411" i="3"/>
  <c r="AH410" i="3"/>
  <c r="BK409" i="3"/>
  <c r="AE409" i="3"/>
  <c r="BK408" i="3"/>
  <c r="AE408" i="3"/>
  <c r="BI407" i="3"/>
  <c r="AC407" i="3"/>
  <c r="AX406" i="3"/>
  <c r="R406" i="3"/>
  <c r="AU405" i="3"/>
  <c r="O405" i="3"/>
  <c r="AU404" i="3"/>
  <c r="O404" i="3"/>
  <c r="AS403" i="3"/>
  <c r="M403" i="3"/>
  <c r="AH402" i="3"/>
  <c r="BK401" i="3"/>
  <c r="AE401" i="3"/>
  <c r="BK400" i="3"/>
  <c r="AE400" i="3"/>
  <c r="BI399" i="3"/>
  <c r="AC399" i="3"/>
  <c r="AX398" i="3"/>
  <c r="R398" i="3"/>
  <c r="AU397" i="3"/>
  <c r="O397" i="3"/>
  <c r="AU396" i="3"/>
  <c r="O396" i="3"/>
  <c r="AS395" i="3"/>
  <c r="M395" i="3"/>
  <c r="AH394" i="3"/>
  <c r="BK393" i="3"/>
  <c r="AE393" i="3"/>
  <c r="BK392" i="3"/>
  <c r="AE392" i="3"/>
  <c r="BI391" i="3"/>
  <c r="AC391" i="3"/>
  <c r="AX390" i="3"/>
  <c r="R390" i="3"/>
  <c r="AU389" i="3"/>
  <c r="O389" i="3"/>
  <c r="AU388" i="3"/>
  <c r="O388" i="3"/>
  <c r="AS387" i="3"/>
  <c r="M387" i="3"/>
  <c r="AH386" i="3"/>
  <c r="BK385" i="3"/>
  <c r="AE385" i="3"/>
  <c r="BK384" i="3"/>
  <c r="AE384" i="3"/>
  <c r="BI383" i="3"/>
  <c r="AC383" i="3"/>
  <c r="AX382" i="3"/>
  <c r="R382" i="3"/>
  <c r="AU381" i="3"/>
  <c r="O381" i="3"/>
  <c r="AU380" i="3"/>
  <c r="O380" i="3"/>
  <c r="AS379" i="3"/>
  <c r="M379" i="3"/>
  <c r="AH378" i="3"/>
  <c r="BK377" i="3"/>
  <c r="AE377" i="3"/>
  <c r="BK376" i="3"/>
  <c r="AG376" i="3"/>
  <c r="Q376" i="3"/>
  <c r="BF375" i="3"/>
  <c r="AP375" i="3"/>
  <c r="Z375" i="3"/>
  <c r="J375" i="3"/>
  <c r="AY374" i="3"/>
  <c r="AI374" i="3"/>
  <c r="S374" i="3"/>
  <c r="BJ371" i="3"/>
  <c r="AT371" i="3"/>
  <c r="AD371" i="3"/>
  <c r="N371" i="3"/>
  <c r="BC370" i="3"/>
  <c r="AM370" i="3"/>
  <c r="W370" i="3"/>
  <c r="G370" i="3"/>
  <c r="AZ369" i="3"/>
  <c r="AJ369" i="3"/>
  <c r="T369" i="3"/>
  <c r="BM368" i="3"/>
  <c r="AW368" i="3"/>
  <c r="AG368" i="3"/>
  <c r="Q368" i="3"/>
  <c r="BF367" i="3"/>
  <c r="AP367" i="3"/>
  <c r="Z367" i="3"/>
  <c r="J367" i="3"/>
  <c r="AY366" i="3"/>
  <c r="AI366" i="3"/>
  <c r="S366" i="3"/>
  <c r="BL365" i="3"/>
  <c r="AV365" i="3"/>
  <c r="AF365" i="3"/>
  <c r="P365" i="3"/>
  <c r="BI364" i="3"/>
  <c r="AS364" i="3"/>
  <c r="AC364" i="3"/>
  <c r="M364" i="3"/>
  <c r="BB363" i="3"/>
  <c r="AL363" i="3"/>
  <c r="V363" i="3"/>
  <c r="BK362" i="3"/>
  <c r="AU362" i="3"/>
  <c r="AE362" i="3"/>
  <c r="O362" i="3"/>
  <c r="BH361" i="3"/>
  <c r="AR361" i="3"/>
  <c r="AB361" i="3"/>
  <c r="L361" i="3"/>
  <c r="BE360" i="3"/>
  <c r="AO360" i="3"/>
  <c r="Y360" i="3"/>
  <c r="I360" i="3"/>
  <c r="AX359" i="3"/>
  <c r="AH359" i="3"/>
  <c r="R359" i="3"/>
  <c r="BG358" i="3"/>
  <c r="AQ358" i="3"/>
  <c r="AA358" i="3"/>
  <c r="K358" i="3"/>
  <c r="BD357" i="3"/>
  <c r="AN357" i="3"/>
  <c r="X357" i="3"/>
  <c r="H357" i="3"/>
  <c r="BA356" i="3"/>
  <c r="AK356" i="3"/>
  <c r="U356" i="3"/>
  <c r="BJ355" i="3"/>
  <c r="AT355" i="3"/>
  <c r="AD355" i="3"/>
  <c r="N355" i="3"/>
  <c r="BC354" i="3"/>
  <c r="AM354" i="3"/>
  <c r="W354" i="3"/>
  <c r="G354" i="3"/>
  <c r="AZ353" i="3"/>
  <c r="AJ353" i="3"/>
  <c r="T353" i="3"/>
  <c r="BM352" i="3"/>
  <c r="AW352" i="3"/>
  <c r="AG352" i="3"/>
  <c r="Q352" i="3"/>
  <c r="BF351" i="3"/>
  <c r="AP351" i="3"/>
  <c r="Z351" i="3"/>
  <c r="J351" i="3"/>
  <c r="AY350" i="3"/>
  <c r="H411" i="3"/>
  <c r="J409" i="3"/>
  <c r="X407" i="3"/>
  <c r="Z405" i="3"/>
  <c r="H403" i="3"/>
  <c r="J401" i="3"/>
  <c r="X399" i="3"/>
  <c r="Z397" i="3"/>
  <c r="H395" i="3"/>
  <c r="J393" i="3"/>
  <c r="X391" i="3"/>
  <c r="Z389" i="3"/>
  <c r="H387" i="3"/>
  <c r="J385" i="3"/>
  <c r="X383" i="3"/>
  <c r="Z381" i="3"/>
  <c r="H379" i="3"/>
  <c r="J377" i="3"/>
  <c r="BG375" i="3"/>
  <c r="BH374" i="3"/>
  <c r="BK371" i="3"/>
  <c r="BL370" i="3"/>
  <c r="BM369" i="3"/>
  <c r="BJ368" i="3"/>
  <c r="BK367" i="3"/>
  <c r="BL366" i="3"/>
  <c r="BM365" i="3"/>
  <c r="BJ364" i="3"/>
  <c r="BK363" i="3"/>
  <c r="BL362" i="3"/>
  <c r="BM361" i="3"/>
  <c r="BJ360" i="3"/>
  <c r="BK359" i="3"/>
  <c r="BL358" i="3"/>
  <c r="BM357" i="3"/>
  <c r="BJ356" i="3"/>
  <c r="BK355" i="3"/>
  <c r="BL354" i="3"/>
  <c r="BM353" i="3"/>
  <c r="BJ352" i="3"/>
  <c r="BK351" i="3"/>
  <c r="BL350" i="3"/>
  <c r="X350" i="3"/>
  <c r="G350" i="3"/>
  <c r="AZ349" i="3"/>
  <c r="AJ349" i="3"/>
  <c r="T349" i="3"/>
  <c r="BM348" i="3"/>
  <c r="AW348" i="3"/>
  <c r="AG348" i="3"/>
  <c r="Q348" i="3"/>
  <c r="BF347" i="3"/>
  <c r="AP347" i="3"/>
  <c r="Z347" i="3"/>
  <c r="J347" i="3"/>
  <c r="AY346" i="3"/>
  <c r="AI346" i="3"/>
  <c r="S346" i="3"/>
  <c r="BL345" i="3"/>
  <c r="AV345" i="3"/>
  <c r="AF345" i="3"/>
  <c r="P345" i="3"/>
  <c r="BI344" i="3"/>
  <c r="AS344" i="3"/>
  <c r="AC344" i="3"/>
  <c r="M344" i="3"/>
  <c r="BB343" i="3"/>
  <c r="AL343" i="3"/>
  <c r="V343" i="3"/>
  <c r="BK342" i="3"/>
  <c r="AU342" i="3"/>
  <c r="AE342" i="3"/>
  <c r="O342" i="3"/>
  <c r="BH341" i="3"/>
  <c r="AR341" i="3"/>
  <c r="AB341" i="3"/>
  <c r="L341" i="3"/>
  <c r="BE340" i="3"/>
  <c r="AO340" i="3"/>
  <c r="Y340" i="3"/>
  <c r="I340" i="3"/>
  <c r="AX339" i="3"/>
  <c r="AH339" i="3"/>
  <c r="R339" i="3"/>
  <c r="BG338" i="3"/>
  <c r="AQ338" i="3"/>
  <c r="AA338" i="3"/>
  <c r="K338" i="3"/>
  <c r="BD337" i="3"/>
  <c r="AN337" i="3"/>
  <c r="X337" i="3"/>
  <c r="H337" i="3"/>
  <c r="BA336" i="3"/>
  <c r="AK336" i="3"/>
  <c r="U336" i="3"/>
  <c r="BJ335" i="3"/>
  <c r="AT335" i="3"/>
  <c r="AD335" i="3"/>
  <c r="N335" i="3"/>
  <c r="BC334" i="3"/>
  <c r="AM334" i="3"/>
  <c r="W334" i="3"/>
  <c r="G334" i="3"/>
  <c r="AZ333" i="3"/>
  <c r="AJ333" i="3"/>
  <c r="T333" i="3"/>
  <c r="BM332" i="3"/>
  <c r="AW332" i="3"/>
  <c r="AG332" i="3"/>
  <c r="Q332" i="3"/>
  <c r="BI330" i="3"/>
  <c r="AS330" i="3"/>
  <c r="AC330" i="3"/>
  <c r="M330" i="3"/>
  <c r="BB329" i="3"/>
  <c r="AL329" i="3"/>
  <c r="V329" i="3"/>
  <c r="BK328" i="3"/>
  <c r="AU328" i="3"/>
  <c r="AE328" i="3"/>
  <c r="O328" i="3"/>
  <c r="BH327" i="3"/>
  <c r="AR327" i="3"/>
  <c r="AB327" i="3"/>
  <c r="L327" i="3"/>
  <c r="BE326" i="3"/>
  <c r="AO326" i="3"/>
  <c r="Y326" i="3"/>
  <c r="I326" i="3"/>
  <c r="AX325" i="3"/>
  <c r="AH325" i="3"/>
  <c r="R325" i="3"/>
  <c r="BG324" i="3"/>
  <c r="AQ324" i="3"/>
  <c r="AA324" i="3"/>
  <c r="K324" i="3"/>
  <c r="BD323" i="3"/>
  <c r="AN323" i="3"/>
  <c r="X323" i="3"/>
  <c r="H323" i="3"/>
  <c r="BA322" i="3"/>
  <c r="AK322" i="3"/>
  <c r="U322" i="3"/>
  <c r="BJ321" i="3"/>
  <c r="AT321" i="3"/>
  <c r="AD321" i="3"/>
  <c r="N321" i="3"/>
  <c r="BC320" i="3"/>
  <c r="AM320" i="3"/>
  <c r="W320" i="3"/>
  <c r="G320" i="3"/>
  <c r="AZ319" i="3"/>
  <c r="AJ319" i="3"/>
  <c r="T319" i="3"/>
  <c r="BM318" i="3"/>
  <c r="AW318" i="3"/>
  <c r="AG318" i="3"/>
  <c r="Q318" i="3"/>
  <c r="BF317" i="3"/>
  <c r="AP317" i="3"/>
  <c r="Z317" i="3"/>
  <c r="J317" i="3"/>
  <c r="AY316" i="3"/>
  <c r="AI316" i="3"/>
  <c r="S316" i="3"/>
  <c r="BL315" i="3"/>
  <c r="AR412" i="3"/>
  <c r="AH409" i="3"/>
  <c r="P407" i="3"/>
  <c r="R405" i="3"/>
  <c r="AF403" i="3"/>
  <c r="H400" i="3"/>
  <c r="U398" i="3"/>
  <c r="X396" i="3"/>
  <c r="AH393" i="3"/>
  <c r="P391" i="3"/>
  <c r="R389" i="3"/>
  <c r="AF387" i="3"/>
  <c r="H384" i="3"/>
  <c r="U382" i="3"/>
  <c r="X380" i="3"/>
  <c r="AH377" i="3"/>
  <c r="AM375" i="3"/>
  <c r="AN374" i="3"/>
  <c r="AQ371" i="3"/>
  <c r="AR370" i="3"/>
  <c r="AS369" i="3"/>
  <c r="AP368" i="3"/>
  <c r="AQ367" i="3"/>
  <c r="AR366" i="3"/>
  <c r="AS365" i="3"/>
  <c r="AP364" i="3"/>
  <c r="AQ363" i="3"/>
  <c r="AR362" i="3"/>
  <c r="AS361" i="3"/>
  <c r="AP360" i="3"/>
  <c r="AQ359" i="3"/>
  <c r="AR358" i="3"/>
  <c r="AS357" i="3"/>
  <c r="AP356" i="3"/>
  <c r="AQ355" i="3"/>
  <c r="AR354" i="3"/>
  <c r="AS353" i="3"/>
  <c r="AP352" i="3"/>
  <c r="AQ351" i="3"/>
  <c r="AU350" i="3"/>
  <c r="R350" i="3"/>
  <c r="BG349" i="3"/>
  <c r="AQ349" i="3"/>
  <c r="AA349" i="3"/>
  <c r="K349" i="3"/>
  <c r="BD348" i="3"/>
  <c r="AN348" i="3"/>
  <c r="X348" i="3"/>
  <c r="H348" i="3"/>
  <c r="BA347" i="3"/>
  <c r="AK347" i="3"/>
  <c r="U347" i="3"/>
  <c r="BJ346" i="3"/>
  <c r="AT346" i="3"/>
  <c r="AD346" i="3"/>
  <c r="N346" i="3"/>
  <c r="BC345" i="3"/>
  <c r="AM345" i="3"/>
  <c r="W345" i="3"/>
  <c r="G345" i="3"/>
  <c r="AZ344" i="3"/>
  <c r="AJ344" i="3"/>
  <c r="T344" i="3"/>
  <c r="BM343" i="3"/>
  <c r="AW343" i="3"/>
  <c r="AG343" i="3"/>
  <c r="Q343" i="3"/>
  <c r="BF342" i="3"/>
  <c r="AP342" i="3"/>
  <c r="Z342" i="3"/>
  <c r="J342" i="3"/>
  <c r="AY341" i="3"/>
  <c r="AI341" i="3"/>
  <c r="S341" i="3"/>
  <c r="BL340" i="3"/>
  <c r="AV340" i="3"/>
  <c r="AF340" i="3"/>
  <c r="P340" i="3"/>
  <c r="BI339" i="3"/>
  <c r="AS339" i="3"/>
  <c r="AC339" i="3"/>
  <c r="M339" i="3"/>
  <c r="BB338" i="3"/>
  <c r="AL338" i="3"/>
  <c r="V338" i="3"/>
  <c r="BK337" i="3"/>
  <c r="AU337" i="3"/>
  <c r="AE337" i="3"/>
  <c r="O337" i="3"/>
  <c r="BH336" i="3"/>
  <c r="AR336" i="3"/>
  <c r="AB336" i="3"/>
  <c r="L336" i="3"/>
  <c r="BE335" i="3"/>
  <c r="AO335" i="3"/>
  <c r="Y335" i="3"/>
  <c r="I335" i="3"/>
  <c r="AX334" i="3"/>
  <c r="AH334" i="3"/>
  <c r="R334" i="3"/>
  <c r="BG333" i="3"/>
  <c r="AQ333" i="3"/>
  <c r="AA333" i="3"/>
  <c r="K333" i="3"/>
  <c r="BD332" i="3"/>
  <c r="AN332" i="3"/>
  <c r="X332" i="3"/>
  <c r="H332" i="3"/>
  <c r="AZ330" i="3"/>
  <c r="AJ330" i="3"/>
  <c r="T330" i="3"/>
  <c r="BM329" i="3"/>
  <c r="AW329" i="3"/>
  <c r="AG329" i="3"/>
  <c r="Q329" i="3"/>
  <c r="BF328" i="3"/>
  <c r="AP328" i="3"/>
  <c r="Z328" i="3"/>
  <c r="J328" i="3"/>
  <c r="AY327" i="3"/>
  <c r="AI327" i="3"/>
  <c r="S327" i="3"/>
  <c r="BL326" i="3"/>
  <c r="AV326" i="3"/>
  <c r="AF326" i="3"/>
  <c r="P326" i="3"/>
  <c r="BI325" i="3"/>
  <c r="AS325" i="3"/>
  <c r="AC325" i="3"/>
  <c r="M325" i="3"/>
  <c r="BB324" i="3"/>
  <c r="AL324" i="3"/>
  <c r="V324" i="3"/>
  <c r="BK323" i="3"/>
  <c r="AU323" i="3"/>
  <c r="AE323" i="3"/>
  <c r="O323" i="3"/>
  <c r="BH322" i="3"/>
  <c r="AR322" i="3"/>
  <c r="AB322" i="3"/>
  <c r="L322" i="3"/>
  <c r="BE321" i="3"/>
  <c r="AO321" i="3"/>
  <c r="Y321" i="3"/>
  <c r="I321" i="3"/>
  <c r="AX320" i="3"/>
  <c r="AH320" i="3"/>
  <c r="R320" i="3"/>
  <c r="BG319" i="3"/>
  <c r="AQ319" i="3"/>
  <c r="AA319" i="3"/>
  <c r="K319" i="3"/>
  <c r="BD318" i="3"/>
  <c r="AN318" i="3"/>
  <c r="X318" i="3"/>
  <c r="H318" i="3"/>
  <c r="BA317" i="3"/>
  <c r="AK317" i="3"/>
  <c r="U317" i="3"/>
  <c r="BJ316" i="3"/>
  <c r="AT316" i="3"/>
  <c r="AD316" i="3"/>
  <c r="N316" i="3"/>
  <c r="U410" i="3"/>
  <c r="H404" i="3"/>
  <c r="X400" i="3"/>
  <c r="AN396" i="3"/>
  <c r="BD392" i="3"/>
  <c r="BA386" i="3"/>
  <c r="AK382" i="3"/>
  <c r="U378" i="3"/>
  <c r="AU375" i="3"/>
  <c r="AY371" i="3"/>
  <c r="BA369" i="3"/>
  <c r="AY367" i="3"/>
  <c r="BA365" i="3"/>
  <c r="AY363" i="3"/>
  <c r="BA361" i="3"/>
  <c r="AY359" i="3"/>
  <c r="BA357" i="3"/>
  <c r="AY355" i="3"/>
  <c r="BA353" i="3"/>
  <c r="AY351" i="3"/>
  <c r="T350" i="3"/>
  <c r="AW349" i="3"/>
  <c r="Q349" i="3"/>
  <c r="AT348" i="3"/>
  <c r="N348" i="3"/>
  <c r="AJ347" i="3"/>
  <c r="BH346" i="3"/>
  <c r="AB346" i="3"/>
  <c r="BE345" i="3"/>
  <c r="Y345" i="3"/>
  <c r="BB344" i="3"/>
  <c r="V344" i="3"/>
  <c r="AR343" i="3"/>
  <c r="L343" i="3"/>
  <c r="AJ342" i="3"/>
  <c r="BM341" i="3"/>
  <c r="AG341" i="3"/>
  <c r="BJ340" i="3"/>
  <c r="AD340" i="3"/>
  <c r="AZ339" i="3"/>
  <c r="T339" i="3"/>
  <c r="AR338" i="3"/>
  <c r="L338" i="3"/>
  <c r="AO337" i="3"/>
  <c r="I337" i="3"/>
  <c r="AL336" i="3"/>
  <c r="BH335" i="3"/>
  <c r="AB335" i="3"/>
  <c r="AZ334" i="3"/>
  <c r="T334" i="3"/>
  <c r="AW333" i="3"/>
  <c r="Q333" i="3"/>
  <c r="AT332" i="3"/>
  <c r="N332" i="3"/>
  <c r="AL330" i="3"/>
  <c r="BH329" i="3"/>
  <c r="AB329" i="3"/>
  <c r="AZ328" i="3"/>
  <c r="T328" i="3"/>
  <c r="AW327" i="3"/>
  <c r="Q327" i="3"/>
  <c r="AT326" i="3"/>
  <c r="N326" i="3"/>
  <c r="AJ325" i="3"/>
  <c r="BH324" i="3"/>
  <c r="AB324" i="3"/>
  <c r="BE323" i="3"/>
  <c r="Y323" i="3"/>
  <c r="BB322" i="3"/>
  <c r="V322" i="3"/>
  <c r="AR321" i="3"/>
  <c r="L321" i="3"/>
  <c r="AJ320" i="3"/>
  <c r="BM319" i="3"/>
  <c r="AG319" i="3"/>
  <c r="BJ318" i="3"/>
  <c r="AD318" i="3"/>
  <c r="AZ317" i="3"/>
  <c r="T317" i="3"/>
  <c r="AR316" i="3"/>
  <c r="L316" i="3"/>
  <c r="AW315" i="3"/>
  <c r="AG315" i="3"/>
  <c r="Q315" i="3"/>
  <c r="BF314" i="3"/>
  <c r="AP314" i="3"/>
  <c r="Z314" i="3"/>
  <c r="J314" i="3"/>
  <c r="AY313" i="3"/>
  <c r="AI313" i="3"/>
  <c r="S313" i="3"/>
  <c r="BL312" i="3"/>
  <c r="AV312" i="3"/>
  <c r="AF312" i="3"/>
  <c r="P312" i="3"/>
  <c r="BI311" i="3"/>
  <c r="AS311" i="3"/>
  <c r="AC311" i="3"/>
  <c r="M311" i="3"/>
  <c r="BB310" i="3"/>
  <c r="AL310" i="3"/>
  <c r="V310" i="3"/>
  <c r="BK309" i="3"/>
  <c r="AU309" i="3"/>
  <c r="AE309" i="3"/>
  <c r="O309" i="3"/>
  <c r="BH308" i="3"/>
  <c r="AR308" i="3"/>
  <c r="AB308" i="3"/>
  <c r="L308" i="3"/>
  <c r="BE307" i="3"/>
  <c r="AO307" i="3"/>
  <c r="Y307" i="3"/>
  <c r="I307" i="3"/>
  <c r="AX306" i="3"/>
  <c r="AH306" i="3"/>
  <c r="R306" i="3"/>
  <c r="BG305" i="3"/>
  <c r="AQ305" i="3"/>
  <c r="AA305" i="3"/>
  <c r="K305" i="3"/>
  <c r="BD304" i="3"/>
  <c r="AN304" i="3"/>
  <c r="X304" i="3"/>
  <c r="H304" i="3"/>
  <c r="BA303" i="3"/>
  <c r="AK303" i="3"/>
  <c r="U303" i="3"/>
  <c r="BJ302" i="3"/>
  <c r="AT302" i="3"/>
  <c r="AD302" i="3"/>
  <c r="N302" i="3"/>
  <c r="BC301" i="3"/>
  <c r="AM301" i="3"/>
  <c r="W301" i="3"/>
  <c r="G301" i="3"/>
  <c r="AZ300" i="3"/>
  <c r="AJ300" i="3"/>
  <c r="T300" i="3"/>
  <c r="BM299" i="3"/>
  <c r="AW299" i="3"/>
  <c r="AG299" i="3"/>
  <c r="Q299" i="3"/>
  <c r="BF298" i="3"/>
  <c r="AP298" i="3"/>
  <c r="Z298" i="3"/>
  <c r="J298" i="3"/>
  <c r="AY297" i="3"/>
  <c r="AI297" i="3"/>
  <c r="S297" i="3"/>
  <c r="BL296" i="3"/>
  <c r="AV296" i="3"/>
  <c r="AF296" i="3"/>
  <c r="P296" i="3"/>
  <c r="BI295" i="3"/>
  <c r="AS295" i="3"/>
  <c r="AC295" i="3"/>
  <c r="M295" i="3"/>
  <c r="BB294" i="3"/>
  <c r="AL294" i="3"/>
  <c r="V294" i="3"/>
  <c r="BK293" i="3"/>
  <c r="AU293" i="3"/>
  <c r="AE293" i="3"/>
  <c r="O293" i="3"/>
  <c r="BH292" i="3"/>
  <c r="AR292" i="3"/>
  <c r="AB292" i="3"/>
  <c r="L292" i="3"/>
  <c r="BE291" i="3"/>
  <c r="AO291" i="3"/>
  <c r="Y291" i="3"/>
  <c r="I291" i="3"/>
  <c r="R409" i="3"/>
  <c r="AP405" i="3"/>
  <c r="AX401" i="3"/>
  <c r="J397" i="3"/>
  <c r="R393" i="3"/>
  <c r="AP389" i="3"/>
  <c r="AX385" i="3"/>
  <c r="J381" i="3"/>
  <c r="R377" i="3"/>
  <c r="AM371" i="3"/>
  <c r="AO369" i="3"/>
  <c r="G367" i="3"/>
  <c r="I365" i="3"/>
  <c r="AN362" i="3"/>
  <c r="AL360" i="3"/>
  <c r="H358" i="3"/>
  <c r="AM355" i="3"/>
  <c r="AO353" i="3"/>
  <c r="G351" i="3"/>
  <c r="I350" i="3"/>
  <c r="AL349" i="3"/>
  <c r="BG348" i="3"/>
  <c r="AA348" i="3"/>
  <c r="AY347" i="3"/>
  <c r="S347" i="3"/>
  <c r="AW346" i="3"/>
  <c r="Q346" i="3"/>
  <c r="AT345" i="3"/>
  <c r="N345" i="3"/>
  <c r="AI344" i="3"/>
  <c r="BG343" i="3"/>
  <c r="AA343" i="3"/>
  <c r="BE342" i="3"/>
  <c r="Y342" i="3"/>
  <c r="BB341" i="3"/>
  <c r="V341" i="3"/>
  <c r="AQ340" i="3"/>
  <c r="K340" i="3"/>
  <c r="AI339" i="3"/>
  <c r="BM338" i="3"/>
  <c r="AG338" i="3"/>
  <c r="BJ337" i="3"/>
  <c r="AD337" i="3"/>
  <c r="AY336" i="3"/>
  <c r="S336" i="3"/>
  <c r="AQ335" i="3"/>
  <c r="K335" i="3"/>
  <c r="AO334" i="3"/>
  <c r="I334" i="3"/>
  <c r="AL333" i="3"/>
  <c r="BG332" i="3"/>
  <c r="AA332" i="3"/>
  <c r="AY330" i="3"/>
  <c r="S330" i="3"/>
  <c r="AQ329" i="3"/>
  <c r="K329" i="3"/>
  <c r="AO328" i="3"/>
  <c r="I328" i="3"/>
  <c r="AL327" i="3"/>
  <c r="BG326" i="3"/>
  <c r="AA326" i="3"/>
  <c r="AY325" i="3"/>
  <c r="S325" i="3"/>
  <c r="AW324" i="3"/>
  <c r="Q324" i="3"/>
  <c r="AT323" i="3"/>
  <c r="N323" i="3"/>
  <c r="AI322" i="3"/>
  <c r="BG321" i="3"/>
  <c r="AA321" i="3"/>
  <c r="BE320" i="3"/>
  <c r="Y320" i="3"/>
  <c r="BB319" i="3"/>
  <c r="V319" i="3"/>
  <c r="AQ318" i="3"/>
  <c r="K318" i="3"/>
  <c r="AI317" i="3"/>
  <c r="BM316" i="3"/>
  <c r="AG316" i="3"/>
  <c r="BJ315" i="3"/>
  <c r="AR315" i="3"/>
  <c r="AB315" i="3"/>
  <c r="L315" i="3"/>
  <c r="BE314" i="3"/>
  <c r="AO314" i="3"/>
  <c r="Y314" i="3"/>
  <c r="I314" i="3"/>
  <c r="AX313" i="3"/>
  <c r="AH313" i="3"/>
  <c r="R313" i="3"/>
  <c r="BG312" i="3"/>
  <c r="AQ312" i="3"/>
  <c r="AA312" i="3"/>
  <c r="K312" i="3"/>
  <c r="BD311" i="3"/>
  <c r="AN311" i="3"/>
  <c r="X311" i="3"/>
  <c r="H311" i="3"/>
  <c r="BA310" i="3"/>
  <c r="AK310" i="3"/>
  <c r="U310" i="3"/>
  <c r="BJ309" i="3"/>
  <c r="AT309" i="3"/>
  <c r="AD309" i="3"/>
  <c r="N309" i="3"/>
  <c r="BC308" i="3"/>
  <c r="AM308" i="3"/>
  <c r="W308" i="3"/>
  <c r="G308" i="3"/>
  <c r="AZ307" i="3"/>
  <c r="AJ307" i="3"/>
  <c r="T307" i="3"/>
  <c r="BM306" i="3"/>
  <c r="AW306" i="3"/>
  <c r="AG306" i="3"/>
  <c r="Q306" i="3"/>
  <c r="BF305" i="3"/>
  <c r="AP305" i="3"/>
  <c r="Z305" i="3"/>
  <c r="J305" i="3"/>
  <c r="AY304" i="3"/>
  <c r="AI304" i="3"/>
  <c r="S304" i="3"/>
  <c r="BL303" i="3"/>
  <c r="AV303" i="3"/>
  <c r="AF303" i="3"/>
  <c r="P303" i="3"/>
  <c r="BI302" i="3"/>
  <c r="AS302" i="3"/>
  <c r="AC302" i="3"/>
  <c r="M302" i="3"/>
  <c r="BB301" i="3"/>
  <c r="AL301" i="3"/>
  <c r="V301" i="3"/>
  <c r="BK300" i="3"/>
  <c r="AU300" i="3"/>
  <c r="AE300" i="3"/>
  <c r="O300" i="3"/>
  <c r="BH299" i="3"/>
  <c r="AR299" i="3"/>
  <c r="AB299" i="3"/>
  <c r="L299" i="3"/>
  <c r="BE298" i="3"/>
  <c r="AO298" i="3"/>
  <c r="Y298" i="3"/>
  <c r="I298" i="3"/>
  <c r="AX297" i="3"/>
  <c r="AH297" i="3"/>
  <c r="R297" i="3"/>
  <c r="BG296" i="3"/>
  <c r="AQ296" i="3"/>
  <c r="AA296" i="3"/>
  <c r="K296" i="3"/>
  <c r="BD295" i="3"/>
  <c r="AN295" i="3"/>
  <c r="X295" i="3"/>
  <c r="H295" i="3"/>
  <c r="BA294" i="3"/>
  <c r="AK294" i="3"/>
  <c r="U294" i="3"/>
  <c r="BJ293" i="3"/>
  <c r="AT293" i="3"/>
  <c r="AD293" i="3"/>
  <c r="N293" i="3"/>
  <c r="BC292" i="3"/>
  <c r="AM292" i="3"/>
  <c r="W292" i="3"/>
  <c r="G292" i="3"/>
  <c r="AZ291" i="3"/>
  <c r="AJ291" i="3"/>
  <c r="T291" i="3"/>
  <c r="BG413" i="3"/>
  <c r="BF409" i="3"/>
  <c r="AH405" i="3"/>
  <c r="Z401" i="3"/>
  <c r="X395" i="3"/>
  <c r="AF391" i="3"/>
  <c r="BD387" i="3"/>
  <c r="BL383" i="3"/>
  <c r="BF377" i="3"/>
  <c r="BL374" i="3"/>
  <c r="AK369" i="3"/>
  <c r="AK365" i="3"/>
  <c r="AK361" i="3"/>
  <c r="AK357" i="3"/>
  <c r="AK353" i="3"/>
  <c r="AA350" i="3"/>
  <c r="BA349" i="3"/>
  <c r="U349" i="3"/>
  <c r="AP348" i="3"/>
  <c r="J348" i="3"/>
  <c r="AN347" i="3"/>
  <c r="H347" i="3"/>
  <c r="AN346" i="3"/>
  <c r="H346" i="3"/>
  <c r="AK345" i="3"/>
  <c r="BF344" i="3"/>
  <c r="Z344" i="3"/>
  <c r="BD343" i="3"/>
  <c r="X343" i="3"/>
  <c r="BD342" i="3"/>
  <c r="X342" i="3"/>
  <c r="BA341" i="3"/>
  <c r="U341" i="3"/>
  <c r="AP340" i="3"/>
  <c r="J340" i="3"/>
  <c r="AN339" i="3"/>
  <c r="H339" i="3"/>
  <c r="AN338" i="3"/>
  <c r="H338" i="3"/>
  <c r="AK337" i="3"/>
  <c r="BF336" i="3"/>
  <c r="Z336" i="3"/>
  <c r="BD335" i="3"/>
  <c r="X335" i="3"/>
  <c r="BD334" i="3"/>
  <c r="X334" i="3"/>
  <c r="BA333" i="3"/>
  <c r="U333" i="3"/>
  <c r="AP332" i="3"/>
  <c r="J332" i="3"/>
  <c r="AH330" i="3"/>
  <c r="BL329" i="3"/>
  <c r="AF329" i="3"/>
  <c r="BL328" i="3"/>
  <c r="AF328" i="3"/>
  <c r="BI327" i="3"/>
  <c r="AC327" i="3"/>
  <c r="AX326" i="3"/>
  <c r="R326" i="3"/>
  <c r="AV325" i="3"/>
  <c r="P325" i="3"/>
  <c r="AV324" i="3"/>
  <c r="P324" i="3"/>
  <c r="AS323" i="3"/>
  <c r="M323" i="3"/>
  <c r="AH322" i="3"/>
  <c r="BL321" i="3"/>
  <c r="AF321" i="3"/>
  <c r="BL320" i="3"/>
  <c r="AF320" i="3"/>
  <c r="BI319" i="3"/>
  <c r="AC319" i="3"/>
  <c r="AX318" i="3"/>
  <c r="R318" i="3"/>
  <c r="AV317" i="3"/>
  <c r="P317" i="3"/>
  <c r="AV316" i="3"/>
  <c r="P316" i="3"/>
  <c r="AY315" i="3"/>
  <c r="AI315" i="3"/>
  <c r="S315" i="3"/>
  <c r="BL314" i="3"/>
  <c r="AV314" i="3"/>
  <c r="AF314" i="3"/>
  <c r="P314" i="3"/>
  <c r="BI313" i="3"/>
  <c r="AS313" i="3"/>
  <c r="AC313" i="3"/>
  <c r="M313" i="3"/>
  <c r="BB312" i="3"/>
  <c r="AL312" i="3"/>
  <c r="V312" i="3"/>
  <c r="BK311" i="3"/>
  <c r="AU311" i="3"/>
  <c r="AE311" i="3"/>
  <c r="O311" i="3"/>
  <c r="BH310" i="3"/>
  <c r="AR310" i="3"/>
  <c r="AB310" i="3"/>
  <c r="L310" i="3"/>
  <c r="BE309" i="3"/>
  <c r="AO309" i="3"/>
  <c r="Y309" i="3"/>
  <c r="I309" i="3"/>
  <c r="AX308" i="3"/>
  <c r="AH308" i="3"/>
  <c r="R308" i="3"/>
  <c r="BG307" i="3"/>
  <c r="AQ307" i="3"/>
  <c r="AA307" i="3"/>
  <c r="K307" i="3"/>
  <c r="BD306" i="3"/>
  <c r="AN306" i="3"/>
  <c r="X306" i="3"/>
  <c r="H306" i="3"/>
  <c r="BA305" i="3"/>
  <c r="AK305" i="3"/>
  <c r="U305" i="3"/>
  <c r="BJ304" i="3"/>
  <c r="AT304" i="3"/>
  <c r="AD304" i="3"/>
  <c r="N304" i="3"/>
  <c r="BC303" i="3"/>
  <c r="AM303" i="3"/>
  <c r="W303" i="3"/>
  <c r="G303" i="3"/>
  <c r="AZ302" i="3"/>
  <c r="AJ302" i="3"/>
  <c r="T302" i="3"/>
  <c r="BM301" i="3"/>
  <c r="AW301" i="3"/>
  <c r="AG301" i="3"/>
  <c r="Q301" i="3"/>
  <c r="BF300" i="3"/>
  <c r="AP300" i="3"/>
  <c r="Z300" i="3"/>
  <c r="J300" i="3"/>
  <c r="AY299" i="3"/>
  <c r="AI299" i="3"/>
  <c r="S299" i="3"/>
  <c r="BL298" i="3"/>
  <c r="AV298" i="3"/>
  <c r="AF298" i="3"/>
  <c r="P298" i="3"/>
  <c r="BI297" i="3"/>
  <c r="AS297" i="3"/>
  <c r="AC297" i="3"/>
  <c r="M297" i="3"/>
  <c r="BB296" i="3"/>
  <c r="AL296" i="3"/>
  <c r="V296" i="3"/>
  <c r="BK295" i="3"/>
  <c r="AU295" i="3"/>
  <c r="AE295" i="3"/>
  <c r="O295" i="3"/>
  <c r="BH294" i="3"/>
  <c r="AR294" i="3"/>
  <c r="AB294" i="3"/>
  <c r="L294" i="3"/>
  <c r="BE293" i="3"/>
  <c r="AO293" i="3"/>
  <c r="Y293" i="3"/>
  <c r="I293" i="3"/>
  <c r="AX292" i="3"/>
  <c r="AH292" i="3"/>
  <c r="R292" i="3"/>
  <c r="BG291" i="3"/>
  <c r="AQ291" i="3"/>
  <c r="AA291" i="3"/>
  <c r="K291" i="3"/>
  <c r="AC410" i="3"/>
  <c r="M406" i="3"/>
  <c r="BI402" i="3"/>
  <c r="AS398" i="3"/>
  <c r="AC394" i="3"/>
  <c r="M390" i="3"/>
  <c r="BI386" i="3"/>
  <c r="AS382" i="3"/>
  <c r="AC378" i="3"/>
  <c r="AY375" i="3"/>
  <c r="BC371" i="3"/>
  <c r="BE369" i="3"/>
  <c r="BC367" i="3"/>
  <c r="BE365" i="3"/>
  <c r="BC363" i="3"/>
  <c r="BE361" i="3"/>
  <c r="BC359" i="3"/>
  <c r="BE357" i="3"/>
  <c r="BC355" i="3"/>
  <c r="BE353" i="3"/>
  <c r="BC351" i="3"/>
  <c r="V350" i="3"/>
  <c r="AP349" i="3"/>
  <c r="J349" i="3"/>
  <c r="AM348" i="3"/>
  <c r="G348" i="3"/>
  <c r="AM347" i="3"/>
  <c r="G347" i="3"/>
  <c r="AK346" i="3"/>
  <c r="BF345" i="3"/>
  <c r="Z345" i="3"/>
  <c r="BC344" i="3"/>
  <c r="W344" i="3"/>
  <c r="BC343" i="3"/>
  <c r="W343" i="3"/>
  <c r="BA342" i="3"/>
  <c r="U342" i="3"/>
  <c r="AP341" i="3"/>
  <c r="J341" i="3"/>
  <c r="AM340" i="3"/>
  <c r="G340" i="3"/>
  <c r="AM339" i="3"/>
  <c r="G339" i="3"/>
  <c r="AK338" i="3"/>
  <c r="BF337" i="3"/>
  <c r="Z337" i="3"/>
  <c r="BC336" i="3"/>
  <c r="W336" i="3"/>
  <c r="BC335" i="3"/>
  <c r="W335" i="3"/>
  <c r="BA334" i="3"/>
  <c r="U334" i="3"/>
  <c r="AP333" i="3"/>
  <c r="J333" i="3"/>
  <c r="AM332" i="3"/>
  <c r="G332" i="3"/>
  <c r="AM330" i="3"/>
  <c r="G330" i="3"/>
  <c r="AM329" i="3"/>
  <c r="G329" i="3"/>
  <c r="AK328" i="3"/>
  <c r="BF327" i="3"/>
  <c r="Z327" i="3"/>
  <c r="BC326" i="3"/>
  <c r="W326" i="3"/>
  <c r="BC325" i="3"/>
  <c r="W325" i="3"/>
  <c r="BA324" i="3"/>
  <c r="U324" i="3"/>
  <c r="AP323" i="3"/>
  <c r="J323" i="3"/>
  <c r="AM322" i="3"/>
  <c r="G322" i="3"/>
  <c r="AM321" i="3"/>
  <c r="G321" i="3"/>
  <c r="AK320" i="3"/>
  <c r="BF319" i="3"/>
  <c r="Z319" i="3"/>
  <c r="BC318" i="3"/>
  <c r="W318" i="3"/>
  <c r="BC317" i="3"/>
  <c r="W317" i="3"/>
  <c r="BA316" i="3"/>
  <c r="U316" i="3"/>
  <c r="AX315" i="3"/>
  <c r="AH315" i="3"/>
  <c r="R315" i="3"/>
  <c r="BG314" i="3"/>
  <c r="AQ314" i="3"/>
  <c r="AA314" i="3"/>
  <c r="K314" i="3"/>
  <c r="BD313" i="3"/>
  <c r="AN313" i="3"/>
  <c r="X313" i="3"/>
  <c r="H313" i="3"/>
  <c r="BA312" i="3"/>
  <c r="AK312" i="3"/>
  <c r="U312" i="3"/>
  <c r="BJ311" i="3"/>
  <c r="AT311" i="3"/>
  <c r="AD311" i="3"/>
  <c r="N311" i="3"/>
  <c r="BC310" i="3"/>
  <c r="AM310" i="3"/>
  <c r="W310" i="3"/>
  <c r="G310" i="3"/>
  <c r="AZ309" i="3"/>
  <c r="AJ309" i="3"/>
  <c r="T309" i="3"/>
  <c r="BM308" i="3"/>
  <c r="AW308" i="3"/>
  <c r="AG308" i="3"/>
  <c r="Q308" i="3"/>
  <c r="BF307" i="3"/>
  <c r="AP307" i="3"/>
  <c r="Z307" i="3"/>
  <c r="J307" i="3"/>
  <c r="AY306" i="3"/>
  <c r="AI306" i="3"/>
  <c r="S306" i="3"/>
  <c r="BL305" i="3"/>
  <c r="AV305" i="3"/>
  <c r="AF305" i="3"/>
  <c r="P305" i="3"/>
  <c r="BI304" i="3"/>
  <c r="AS304" i="3"/>
  <c r="AC304" i="3"/>
  <c r="M304" i="3"/>
  <c r="BB303" i="3"/>
  <c r="AL303" i="3"/>
  <c r="V303" i="3"/>
  <c r="BK302" i="3"/>
  <c r="AU302" i="3"/>
  <c r="AE302" i="3"/>
  <c r="O302" i="3"/>
  <c r="BH301" i="3"/>
  <c r="AR301" i="3"/>
  <c r="AB301" i="3"/>
  <c r="L301" i="3"/>
  <c r="BE300" i="3"/>
  <c r="AO300" i="3"/>
  <c r="Y300" i="3"/>
  <c r="I300" i="3"/>
  <c r="AX299" i="3"/>
  <c r="AH299" i="3"/>
  <c r="R299" i="3"/>
  <c r="BG298" i="3"/>
  <c r="AQ298" i="3"/>
  <c r="AA298" i="3"/>
  <c r="K298" i="3"/>
  <c r="BD297" i="3"/>
  <c r="AN297" i="3"/>
  <c r="X297" i="3"/>
  <c r="H297" i="3"/>
  <c r="BA296" i="3"/>
  <c r="AK296" i="3"/>
  <c r="U296" i="3"/>
  <c r="BJ295" i="3"/>
  <c r="AT295" i="3"/>
  <c r="AD295" i="3"/>
  <c r="N295" i="3"/>
  <c r="BC294" i="3"/>
  <c r="AM294" i="3"/>
  <c r="W294" i="3"/>
  <c r="G294" i="3"/>
  <c r="AZ293" i="3"/>
  <c r="AB293" i="3"/>
  <c r="AC292" i="3"/>
  <c r="Z291" i="3"/>
  <c r="BE289" i="3"/>
  <c r="AO289" i="3"/>
  <c r="Y289" i="3"/>
  <c r="I289" i="3"/>
  <c r="AX288" i="3"/>
  <c r="AH288" i="3"/>
  <c r="R288" i="3"/>
  <c r="BG287" i="3"/>
  <c r="AQ287" i="3"/>
  <c r="AA287" i="3"/>
  <c r="K287" i="3"/>
  <c r="BD286" i="3"/>
  <c r="AN286" i="3"/>
  <c r="X286" i="3"/>
  <c r="H286" i="3"/>
  <c r="BA285" i="3"/>
  <c r="AK285" i="3"/>
  <c r="U285" i="3"/>
  <c r="BJ284" i="3"/>
  <c r="AT284" i="3"/>
  <c r="AD284" i="3"/>
  <c r="N284" i="3"/>
  <c r="BC283" i="3"/>
  <c r="AM283" i="3"/>
  <c r="W283" i="3"/>
  <c r="G283" i="3"/>
  <c r="AZ282" i="3"/>
  <c r="AJ282" i="3"/>
  <c r="T282" i="3"/>
  <c r="BM281" i="3"/>
  <c r="AW281" i="3"/>
  <c r="AG281" i="3"/>
  <c r="Q281" i="3"/>
  <c r="BF280" i="3"/>
  <c r="AP280" i="3"/>
  <c r="Z280" i="3"/>
  <c r="J280" i="3"/>
  <c r="AY279" i="3"/>
  <c r="AI279" i="3"/>
  <c r="S279" i="3"/>
  <c r="BL278" i="3"/>
  <c r="AV278" i="3"/>
  <c r="AF278" i="3"/>
  <c r="P278" i="3"/>
  <c r="BI277" i="3"/>
  <c r="AS277" i="3"/>
  <c r="AC277" i="3"/>
  <c r="M277" i="3"/>
  <c r="BB276" i="3"/>
  <c r="AL276" i="3"/>
  <c r="V276" i="3"/>
  <c r="BK275" i="3"/>
  <c r="AU275" i="3"/>
  <c r="AE275" i="3"/>
  <c r="O275" i="3"/>
  <c r="BH274" i="3"/>
  <c r="AR274" i="3"/>
  <c r="AB274" i="3"/>
  <c r="L274" i="3"/>
  <c r="BE273" i="3"/>
  <c r="AO273" i="3"/>
  <c r="Y273" i="3"/>
  <c r="I273" i="3"/>
  <c r="AX272" i="3"/>
  <c r="AH272" i="3"/>
  <c r="R272" i="3"/>
  <c r="BG271" i="3"/>
  <c r="AQ271" i="3"/>
  <c r="AA271" i="3"/>
  <c r="K271" i="3"/>
  <c r="BD270" i="3"/>
  <c r="AN270" i="3"/>
  <c r="X270" i="3"/>
  <c r="H270" i="3"/>
  <c r="BA269" i="3"/>
  <c r="AK269" i="3"/>
  <c r="U269" i="3"/>
  <c r="BJ268" i="3"/>
  <c r="AT268" i="3"/>
  <c r="AD268" i="3"/>
  <c r="N268" i="3"/>
  <c r="BC267" i="3"/>
  <c r="AM267" i="3"/>
  <c r="W267" i="3"/>
  <c r="G267" i="3"/>
  <c r="AZ266" i="3"/>
  <c r="AJ266" i="3"/>
  <c r="T266" i="3"/>
  <c r="BM265" i="3"/>
  <c r="AW265" i="3"/>
  <c r="AG265" i="3"/>
  <c r="Q265" i="3"/>
  <c r="BF264" i="3"/>
  <c r="AP264" i="3"/>
  <c r="Z264" i="3"/>
  <c r="J264" i="3"/>
  <c r="AY263" i="3"/>
  <c r="AI263" i="3"/>
  <c r="S263" i="3"/>
  <c r="BL262" i="3"/>
  <c r="AV262" i="3"/>
  <c r="AF262" i="3"/>
  <c r="P262" i="3"/>
  <c r="BI261" i="3"/>
  <c r="AS261" i="3"/>
  <c r="AC261" i="3"/>
  <c r="M261" i="3"/>
  <c r="BB260" i="3"/>
  <c r="AL260" i="3"/>
  <c r="V260" i="3"/>
  <c r="BK259" i="3"/>
  <c r="AU259" i="3"/>
  <c r="AE259" i="3"/>
  <c r="O259" i="3"/>
  <c r="BH258" i="3"/>
  <c r="AR258" i="3"/>
  <c r="AB258" i="3"/>
  <c r="L258" i="3"/>
  <c r="BE257" i="3"/>
  <c r="AO257" i="3"/>
  <c r="Y257" i="3"/>
  <c r="I257" i="3"/>
  <c r="AX256" i="3"/>
  <c r="AH256" i="3"/>
  <c r="R256" i="3"/>
  <c r="BG255" i="3"/>
  <c r="AQ255" i="3"/>
  <c r="AA255" i="3"/>
  <c r="K255" i="3"/>
  <c r="BD254" i="3"/>
  <c r="AN254" i="3"/>
  <c r="X254" i="3"/>
  <c r="H254" i="3"/>
  <c r="BA253" i="3"/>
  <c r="AK253" i="3"/>
  <c r="U253" i="3"/>
  <c r="BJ252" i="3"/>
  <c r="AT252" i="3"/>
  <c r="AD252" i="3"/>
  <c r="N252" i="3"/>
  <c r="BC251" i="3"/>
  <c r="AM251" i="3"/>
  <c r="W251" i="3"/>
  <c r="G251" i="3"/>
  <c r="AZ250" i="3"/>
  <c r="AJ250" i="3"/>
  <c r="T250" i="3"/>
  <c r="BL248" i="3"/>
  <c r="AV248" i="3"/>
  <c r="AF248" i="3"/>
  <c r="P248" i="3"/>
  <c r="BI247" i="3"/>
  <c r="AS247" i="3"/>
  <c r="AC247" i="3"/>
  <c r="M247" i="3"/>
  <c r="BB246" i="3"/>
  <c r="AL246" i="3"/>
  <c r="V246" i="3"/>
  <c r="BK245" i="3"/>
  <c r="AU245" i="3"/>
  <c r="AE245" i="3"/>
  <c r="O245" i="3"/>
  <c r="BH244" i="3"/>
  <c r="AR244" i="3"/>
  <c r="AB244" i="3"/>
  <c r="L244" i="3"/>
  <c r="BE243" i="3"/>
  <c r="AO243" i="3"/>
  <c r="Y243" i="3"/>
  <c r="I243" i="3"/>
  <c r="AX242" i="3"/>
  <c r="AH242" i="3"/>
  <c r="R242" i="3"/>
  <c r="BG241" i="3"/>
  <c r="AQ241" i="3"/>
  <c r="AA241" i="3"/>
  <c r="K241" i="3"/>
  <c r="BD240" i="3"/>
  <c r="AN240" i="3"/>
  <c r="X240" i="3"/>
  <c r="H240" i="3"/>
  <c r="BA239" i="3"/>
  <c r="AK239" i="3"/>
  <c r="U239" i="3"/>
  <c r="BJ238" i="3"/>
  <c r="AT238" i="3"/>
  <c r="AD238" i="3"/>
  <c r="N238" i="3"/>
  <c r="BC237" i="3"/>
  <c r="AM237" i="3"/>
  <c r="W237" i="3"/>
  <c r="G237" i="3"/>
  <c r="AZ236" i="3"/>
  <c r="AJ236" i="3"/>
  <c r="T236" i="3"/>
  <c r="BM235" i="3"/>
  <c r="AW235" i="3"/>
  <c r="AG235" i="3"/>
  <c r="Q235" i="3"/>
  <c r="BF234" i="3"/>
  <c r="AP234" i="3"/>
  <c r="Z234" i="3"/>
  <c r="J234" i="3"/>
  <c r="AY233" i="3"/>
  <c r="AI233" i="3"/>
  <c r="S233" i="3"/>
  <c r="BL232" i="3"/>
  <c r="AV232" i="3"/>
  <c r="AF232" i="3"/>
  <c r="P232" i="3"/>
  <c r="BI231" i="3"/>
  <c r="AS231" i="3"/>
  <c r="AC231" i="3"/>
  <c r="M231" i="3"/>
  <c r="BB230" i="3"/>
  <c r="AL230" i="3"/>
  <c r="V230" i="3"/>
  <c r="BK229" i="3"/>
  <c r="AU229" i="3"/>
  <c r="AE229" i="3"/>
  <c r="O229" i="3"/>
  <c r="BH228" i="3"/>
  <c r="AR228" i="3"/>
  <c r="AB228" i="3"/>
  <c r="L228" i="3"/>
  <c r="BE227" i="3"/>
  <c r="AO227" i="3"/>
  <c r="Y227" i="3"/>
  <c r="I227" i="3"/>
  <c r="AX226" i="3"/>
  <c r="AH226" i="3"/>
  <c r="R226" i="3"/>
  <c r="BG225" i="3"/>
  <c r="AQ225" i="3"/>
  <c r="AA225" i="3"/>
  <c r="K225" i="3"/>
  <c r="BD224" i="3"/>
  <c r="AN224" i="3"/>
  <c r="X224" i="3"/>
  <c r="H224" i="3"/>
  <c r="BA223" i="3"/>
  <c r="AK223" i="3"/>
  <c r="U223" i="3"/>
  <c r="BJ222" i="3"/>
  <c r="AT222" i="3"/>
  <c r="AD222" i="3"/>
  <c r="N222" i="3"/>
  <c r="BC221" i="3"/>
  <c r="AM221" i="3"/>
  <c r="W221" i="3"/>
  <c r="G221" i="3"/>
  <c r="AZ220" i="3"/>
  <c r="AJ220" i="3"/>
  <c r="T220" i="3"/>
  <c r="BM219" i="3"/>
  <c r="AW219" i="3"/>
  <c r="AG219" i="3"/>
  <c r="Q219" i="3"/>
  <c r="BF218" i="3"/>
  <c r="AP218" i="3"/>
  <c r="Z218" i="3"/>
  <c r="J218" i="3"/>
  <c r="AY217" i="3"/>
  <c r="AI217" i="3"/>
  <c r="S217" i="3"/>
  <c r="BL216" i="3"/>
  <c r="AV216" i="3"/>
  <c r="AF216" i="3"/>
  <c r="P216" i="3"/>
  <c r="BI215" i="3"/>
  <c r="AS215" i="3"/>
  <c r="AC215" i="3"/>
  <c r="M215" i="3"/>
  <c r="BB214" i="3"/>
  <c r="AL214" i="3"/>
  <c r="V214" i="3"/>
  <c r="BK213" i="3"/>
  <c r="AU213" i="3"/>
  <c r="AE213" i="3"/>
  <c r="O213" i="3"/>
  <c r="BH212" i="3"/>
  <c r="AR212" i="3"/>
  <c r="AB212" i="3"/>
  <c r="L212" i="3"/>
  <c r="BE211" i="3"/>
  <c r="AO211" i="3"/>
  <c r="Y211" i="3"/>
  <c r="I211" i="3"/>
  <c r="AX210" i="3"/>
  <c r="AH210" i="3"/>
  <c r="R210" i="3"/>
  <c r="BG209" i="3"/>
  <c r="AQ209" i="3"/>
  <c r="AA209" i="3"/>
  <c r="K209" i="3"/>
  <c r="BC207" i="3"/>
  <c r="AM207" i="3"/>
  <c r="W207" i="3"/>
  <c r="G207" i="3"/>
  <c r="AZ206" i="3"/>
  <c r="AJ206" i="3"/>
  <c r="T206" i="3"/>
  <c r="BM205" i="3"/>
  <c r="AW205" i="3"/>
  <c r="AG205" i="3"/>
  <c r="Q205" i="3"/>
  <c r="BF204" i="3"/>
  <c r="AP204" i="3"/>
  <c r="Z204" i="3"/>
  <c r="J204" i="3"/>
  <c r="AY203" i="3"/>
  <c r="AI203" i="3"/>
  <c r="S203" i="3"/>
  <c r="BL202" i="3"/>
  <c r="AV202" i="3"/>
  <c r="AF202" i="3"/>
  <c r="P202" i="3"/>
  <c r="BI201" i="3"/>
  <c r="AS201" i="3"/>
  <c r="AC201" i="3"/>
  <c r="M201" i="3"/>
  <c r="BB200" i="3"/>
  <c r="AL200" i="3"/>
  <c r="V200" i="3"/>
  <c r="BE292" i="3"/>
  <c r="BB291" i="3"/>
  <c r="BH289" i="3"/>
  <c r="AR289" i="3"/>
  <c r="AB289" i="3"/>
  <c r="L289" i="3"/>
  <c r="BE288" i="3"/>
  <c r="AO288" i="3"/>
  <c r="Y288" i="3"/>
  <c r="I288" i="3"/>
  <c r="AX287" i="3"/>
  <c r="AH287" i="3"/>
  <c r="R287" i="3"/>
  <c r="BG286" i="3"/>
  <c r="AQ286" i="3"/>
  <c r="AA286" i="3"/>
  <c r="K286" i="3"/>
  <c r="BD285" i="3"/>
  <c r="AN285" i="3"/>
  <c r="X285" i="3"/>
  <c r="H285" i="3"/>
  <c r="BA284" i="3"/>
  <c r="AK284" i="3"/>
  <c r="U284" i="3"/>
  <c r="BJ283" i="3"/>
  <c r="AT283" i="3"/>
  <c r="AD283" i="3"/>
  <c r="N283" i="3"/>
  <c r="BC282" i="3"/>
  <c r="AM282" i="3"/>
  <c r="W282" i="3"/>
  <c r="G282" i="3"/>
  <c r="AZ281" i="3"/>
  <c r="AJ281" i="3"/>
  <c r="T281" i="3"/>
  <c r="BM280" i="3"/>
  <c r="AW280" i="3"/>
  <c r="AG280" i="3"/>
  <c r="Q280" i="3"/>
  <c r="BF279" i="3"/>
  <c r="AP279" i="3"/>
  <c r="Z279" i="3"/>
  <c r="J279" i="3"/>
  <c r="AY278" i="3"/>
  <c r="AI278" i="3"/>
  <c r="S278" i="3"/>
  <c r="BL277" i="3"/>
  <c r="AV277" i="3"/>
  <c r="AF277" i="3"/>
  <c r="P277" i="3"/>
  <c r="BI276" i="3"/>
  <c r="AS276" i="3"/>
  <c r="AC276" i="3"/>
  <c r="M276" i="3"/>
  <c r="BB275" i="3"/>
  <c r="AL275" i="3"/>
  <c r="V275" i="3"/>
  <c r="BK274" i="3"/>
  <c r="AU274" i="3"/>
  <c r="AE274" i="3"/>
  <c r="O274" i="3"/>
  <c r="BH273" i="3"/>
  <c r="AR273" i="3"/>
  <c r="AB273" i="3"/>
  <c r="L273" i="3"/>
  <c r="BE272" i="3"/>
  <c r="AO272" i="3"/>
  <c r="Y272" i="3"/>
  <c r="I272" i="3"/>
  <c r="AX271" i="3"/>
  <c r="AH271" i="3"/>
  <c r="R271" i="3"/>
  <c r="BG270" i="3"/>
  <c r="AQ270" i="3"/>
  <c r="AA270" i="3"/>
  <c r="K270" i="3"/>
  <c r="BD269" i="3"/>
  <c r="AN269" i="3"/>
  <c r="X269" i="3"/>
  <c r="H269" i="3"/>
  <c r="BA268" i="3"/>
  <c r="AK268" i="3"/>
  <c r="U268" i="3"/>
  <c r="BJ267" i="3"/>
  <c r="AT267" i="3"/>
  <c r="AD267" i="3"/>
  <c r="N267" i="3"/>
  <c r="BC266" i="3"/>
  <c r="AM266" i="3"/>
  <c r="W266" i="3"/>
  <c r="G266" i="3"/>
  <c r="AZ265" i="3"/>
  <c r="AJ265" i="3"/>
  <c r="T265" i="3"/>
  <c r="BM264" i="3"/>
  <c r="AW264" i="3"/>
  <c r="AG264" i="3"/>
  <c r="Q264" i="3"/>
  <c r="BF263" i="3"/>
  <c r="AP263" i="3"/>
  <c r="Z263" i="3"/>
  <c r="J263" i="3"/>
  <c r="AY262" i="3"/>
  <c r="AI262" i="3"/>
  <c r="S262" i="3"/>
  <c r="BL261" i="3"/>
  <c r="AV261" i="3"/>
  <c r="AF261" i="3"/>
  <c r="P261" i="3"/>
  <c r="BI260" i="3"/>
  <c r="AS260" i="3"/>
  <c r="AC260" i="3"/>
  <c r="M260" i="3"/>
  <c r="BB259" i="3"/>
  <c r="AL259" i="3"/>
  <c r="V259" i="3"/>
  <c r="BK258" i="3"/>
  <c r="AU258" i="3"/>
  <c r="AE258" i="3"/>
  <c r="O258" i="3"/>
  <c r="BH257" i="3"/>
  <c r="AR257" i="3"/>
  <c r="AB257" i="3"/>
  <c r="L257" i="3"/>
  <c r="BE256" i="3"/>
  <c r="AO256" i="3"/>
  <c r="Y256" i="3"/>
  <c r="I256" i="3"/>
  <c r="AX255" i="3"/>
  <c r="AH255" i="3"/>
  <c r="R255" i="3"/>
  <c r="BG254" i="3"/>
  <c r="AQ254" i="3"/>
  <c r="AA254" i="3"/>
  <c r="K254" i="3"/>
  <c r="BD253" i="3"/>
  <c r="AN253" i="3"/>
  <c r="X253" i="3"/>
  <c r="H253" i="3"/>
  <c r="BA252" i="3"/>
  <c r="AK252" i="3"/>
  <c r="U252" i="3"/>
  <c r="BJ251" i="3"/>
  <c r="AT251" i="3"/>
  <c r="AD251" i="3"/>
  <c r="N251" i="3"/>
  <c r="BC250" i="3"/>
  <c r="AM250" i="3"/>
  <c r="W250" i="3"/>
  <c r="G250" i="3"/>
  <c r="AY248" i="3"/>
  <c r="AI248" i="3"/>
  <c r="S248" i="3"/>
  <c r="BL247" i="3"/>
  <c r="AV247" i="3"/>
  <c r="AF247" i="3"/>
  <c r="P247" i="3"/>
  <c r="BI246" i="3"/>
  <c r="AS246" i="3"/>
  <c r="AC246" i="3"/>
  <c r="M246" i="3"/>
  <c r="BB245" i="3"/>
  <c r="AL245" i="3"/>
  <c r="V245" i="3"/>
  <c r="BK244" i="3"/>
  <c r="AU244" i="3"/>
  <c r="AE244" i="3"/>
  <c r="O244" i="3"/>
  <c r="BH243" i="3"/>
  <c r="AR243" i="3"/>
  <c r="AB243" i="3"/>
  <c r="L243" i="3"/>
  <c r="BE242" i="3"/>
  <c r="AO242" i="3"/>
  <c r="Y242" i="3"/>
  <c r="I242" i="3"/>
  <c r="AX241" i="3"/>
  <c r="AH241" i="3"/>
  <c r="R241" i="3"/>
  <c r="BG240" i="3"/>
  <c r="AQ240" i="3"/>
  <c r="AA240" i="3"/>
  <c r="K240" i="3"/>
  <c r="BD239" i="3"/>
  <c r="AN239" i="3"/>
  <c r="X239" i="3"/>
  <c r="H239" i="3"/>
  <c r="BA238" i="3"/>
  <c r="AK238" i="3"/>
  <c r="U238" i="3"/>
  <c r="BJ237" i="3"/>
  <c r="AT237" i="3"/>
  <c r="AD237" i="3"/>
  <c r="N237" i="3"/>
  <c r="BC236" i="3"/>
  <c r="AM236" i="3"/>
  <c r="W236" i="3"/>
  <c r="G236" i="3"/>
  <c r="AZ235" i="3"/>
  <c r="AJ235" i="3"/>
  <c r="T235" i="3"/>
  <c r="BM234" i="3"/>
  <c r="AW234" i="3"/>
  <c r="AG234" i="3"/>
  <c r="Q234" i="3"/>
  <c r="BF233" i="3"/>
  <c r="AP233" i="3"/>
  <c r="Z233" i="3"/>
  <c r="J233" i="3"/>
  <c r="AY232" i="3"/>
  <c r="AI232" i="3"/>
  <c r="S232" i="3"/>
  <c r="BL231" i="3"/>
  <c r="AV231" i="3"/>
  <c r="AF231" i="3"/>
  <c r="P231" i="3"/>
  <c r="BI230" i="3"/>
  <c r="AS230" i="3"/>
  <c r="AC230" i="3"/>
  <c r="M230" i="3"/>
  <c r="BB229" i="3"/>
  <c r="AL229" i="3"/>
  <c r="V229" i="3"/>
  <c r="BK228" i="3"/>
  <c r="AU228" i="3"/>
  <c r="AE228" i="3"/>
  <c r="O228" i="3"/>
  <c r="BH227" i="3"/>
  <c r="AR227" i="3"/>
  <c r="AB227" i="3"/>
  <c r="L227" i="3"/>
  <c r="BE226" i="3"/>
  <c r="AO226" i="3"/>
  <c r="Y226" i="3"/>
  <c r="I226" i="3"/>
  <c r="AX225" i="3"/>
  <c r="AH225" i="3"/>
  <c r="R225" i="3"/>
  <c r="BG224" i="3"/>
  <c r="AQ224" i="3"/>
  <c r="AA224" i="3"/>
  <c r="K224" i="3"/>
  <c r="BD223" i="3"/>
  <c r="AN223" i="3"/>
  <c r="X223" i="3"/>
  <c r="H223" i="3"/>
  <c r="BA222" i="3"/>
  <c r="AK222" i="3"/>
  <c r="U222" i="3"/>
  <c r="BJ221" i="3"/>
  <c r="AT221" i="3"/>
  <c r="AD221" i="3"/>
  <c r="N221" i="3"/>
  <c r="BC220" i="3"/>
  <c r="AM220" i="3"/>
  <c r="W220" i="3"/>
  <c r="G220" i="3"/>
  <c r="AZ219" i="3"/>
  <c r="AJ219" i="3"/>
  <c r="T219" i="3"/>
  <c r="BM218" i="3"/>
  <c r="AW218" i="3"/>
  <c r="AG218" i="3"/>
  <c r="Q218" i="3"/>
  <c r="BF217" i="3"/>
  <c r="AP217" i="3"/>
  <c r="Z217" i="3"/>
  <c r="J217" i="3"/>
  <c r="AY216" i="3"/>
  <c r="AI216" i="3"/>
  <c r="S216" i="3"/>
  <c r="BL215" i="3"/>
  <c r="AV215" i="3"/>
  <c r="AF215" i="3"/>
  <c r="P215" i="3"/>
  <c r="BI214" i="3"/>
  <c r="AS214" i="3"/>
  <c r="AC214" i="3"/>
  <c r="M214" i="3"/>
  <c r="BB213" i="3"/>
  <c r="AL213" i="3"/>
  <c r="V213" i="3"/>
  <c r="BK212" i="3"/>
  <c r="AU212" i="3"/>
  <c r="AE212" i="3"/>
  <c r="O212" i="3"/>
  <c r="BH211" i="3"/>
  <c r="AR211" i="3"/>
  <c r="AB211" i="3"/>
  <c r="L211" i="3"/>
  <c r="BE210" i="3"/>
  <c r="AO210" i="3"/>
  <c r="Y210" i="3"/>
  <c r="I210" i="3"/>
  <c r="AX209" i="3"/>
  <c r="AH209" i="3"/>
  <c r="R209" i="3"/>
  <c r="BF207" i="3"/>
  <c r="AP207" i="3"/>
  <c r="Z207" i="3"/>
  <c r="J207" i="3"/>
  <c r="AK292" i="3"/>
  <c r="R291" i="3"/>
  <c r="AY289" i="3"/>
  <c r="AI289" i="3"/>
  <c r="S289" i="3"/>
  <c r="BL288" i="3"/>
  <c r="AV288" i="3"/>
  <c r="AF288" i="3"/>
  <c r="P288" i="3"/>
  <c r="BI287" i="3"/>
  <c r="AS287" i="3"/>
  <c r="AC287" i="3"/>
  <c r="M287" i="3"/>
  <c r="BB286" i="3"/>
  <c r="AL286" i="3"/>
  <c r="V286" i="3"/>
  <c r="BK285" i="3"/>
  <c r="AU285" i="3"/>
  <c r="AE285" i="3"/>
  <c r="O285" i="3"/>
  <c r="BH284" i="3"/>
  <c r="AR284" i="3"/>
  <c r="AB284" i="3"/>
  <c r="L284" i="3"/>
  <c r="BE283" i="3"/>
  <c r="AO283" i="3"/>
  <c r="Y283" i="3"/>
  <c r="I283" i="3"/>
  <c r="AX282" i="3"/>
  <c r="AH282" i="3"/>
  <c r="R282" i="3"/>
  <c r="BG281" i="3"/>
  <c r="AQ281" i="3"/>
  <c r="AA281" i="3"/>
  <c r="K281" i="3"/>
  <c r="BD280" i="3"/>
  <c r="AN280" i="3"/>
  <c r="X280" i="3"/>
  <c r="H280" i="3"/>
  <c r="BA279" i="3"/>
  <c r="AK279" i="3"/>
  <c r="U279" i="3"/>
  <c r="BJ278" i="3"/>
  <c r="AT278" i="3"/>
  <c r="AD278" i="3"/>
  <c r="N278" i="3"/>
  <c r="BC277" i="3"/>
  <c r="AM277" i="3"/>
  <c r="W277" i="3"/>
  <c r="G277" i="3"/>
  <c r="AZ276" i="3"/>
  <c r="AJ276" i="3"/>
  <c r="T276" i="3"/>
  <c r="BM275" i="3"/>
  <c r="AW275" i="3"/>
  <c r="AG275" i="3"/>
  <c r="Q275" i="3"/>
  <c r="BF274" i="3"/>
  <c r="AP274" i="3"/>
  <c r="Z274" i="3"/>
  <c r="J274" i="3"/>
  <c r="AY273" i="3"/>
  <c r="AI273" i="3"/>
  <c r="S273" i="3"/>
  <c r="BL272" i="3"/>
  <c r="AV272" i="3"/>
  <c r="AF272" i="3"/>
  <c r="P272" i="3"/>
  <c r="BI271" i="3"/>
  <c r="AS271" i="3"/>
  <c r="AC271" i="3"/>
  <c r="M271" i="3"/>
  <c r="BB270" i="3"/>
  <c r="AL270" i="3"/>
  <c r="V270" i="3"/>
  <c r="BK269" i="3"/>
  <c r="AU269" i="3"/>
  <c r="AE269" i="3"/>
  <c r="O269" i="3"/>
  <c r="BH268" i="3"/>
  <c r="AR268" i="3"/>
  <c r="AB268" i="3"/>
  <c r="L268" i="3"/>
  <c r="BE267" i="3"/>
  <c r="AO267" i="3"/>
  <c r="Y267" i="3"/>
  <c r="I267" i="3"/>
  <c r="AX266" i="3"/>
  <c r="AH266" i="3"/>
  <c r="R266" i="3"/>
  <c r="BG265" i="3"/>
  <c r="AQ265" i="3"/>
  <c r="AA265" i="3"/>
  <c r="K265" i="3"/>
  <c r="BD264" i="3"/>
  <c r="AN264" i="3"/>
  <c r="X264" i="3"/>
  <c r="H264" i="3"/>
  <c r="BA263" i="3"/>
  <c r="AK263" i="3"/>
  <c r="U263" i="3"/>
  <c r="BJ262" i="3"/>
  <c r="AT262" i="3"/>
  <c r="AD262" i="3"/>
  <c r="N262" i="3"/>
  <c r="BC261" i="3"/>
  <c r="AM261" i="3"/>
  <c r="W261" i="3"/>
  <c r="G261" i="3"/>
  <c r="AZ260" i="3"/>
  <c r="AJ260" i="3"/>
  <c r="T260" i="3"/>
  <c r="BM259" i="3"/>
  <c r="AW259" i="3"/>
  <c r="AG259" i="3"/>
  <c r="Q259" i="3"/>
  <c r="BF258" i="3"/>
  <c r="AP258" i="3"/>
  <c r="Z258" i="3"/>
  <c r="J258" i="3"/>
  <c r="AY257" i="3"/>
  <c r="AI257" i="3"/>
  <c r="S257" i="3"/>
  <c r="BL256" i="3"/>
  <c r="AV256" i="3"/>
  <c r="AF256" i="3"/>
  <c r="P256" i="3"/>
  <c r="BI255" i="3"/>
  <c r="AS255" i="3"/>
  <c r="AC255" i="3"/>
  <c r="M255" i="3"/>
  <c r="BB254" i="3"/>
  <c r="AL254" i="3"/>
  <c r="V254" i="3"/>
  <c r="BK253" i="3"/>
  <c r="AU253" i="3"/>
  <c r="AE253" i="3"/>
  <c r="O253" i="3"/>
  <c r="BH252" i="3"/>
  <c r="AR252" i="3"/>
  <c r="AB252" i="3"/>
  <c r="L252" i="3"/>
  <c r="BE251" i="3"/>
  <c r="AO251" i="3"/>
  <c r="Y251" i="3"/>
  <c r="I251" i="3"/>
  <c r="AX250" i="3"/>
  <c r="AH250" i="3"/>
  <c r="R250" i="3"/>
  <c r="BF248" i="3"/>
  <c r="AP248" i="3"/>
  <c r="Z248" i="3"/>
  <c r="J248" i="3"/>
  <c r="AY247" i="3"/>
  <c r="AI247" i="3"/>
  <c r="S247" i="3"/>
  <c r="BL246" i="3"/>
  <c r="AV246" i="3"/>
  <c r="AF246" i="3"/>
  <c r="P246" i="3"/>
  <c r="BI245" i="3"/>
  <c r="AS245" i="3"/>
  <c r="AC245" i="3"/>
  <c r="M245" i="3"/>
  <c r="BB244" i="3"/>
  <c r="AL244" i="3"/>
  <c r="V244" i="3"/>
  <c r="BK243" i="3"/>
  <c r="AU243" i="3"/>
  <c r="AE243" i="3"/>
  <c r="O243" i="3"/>
  <c r="BH242" i="3"/>
  <c r="AR242" i="3"/>
  <c r="AB242" i="3"/>
  <c r="L242" i="3"/>
  <c r="BE241" i="3"/>
  <c r="AO241" i="3"/>
  <c r="Y241" i="3"/>
  <c r="I241" i="3"/>
  <c r="AX240" i="3"/>
  <c r="AH240" i="3"/>
  <c r="R240" i="3"/>
  <c r="BG239" i="3"/>
  <c r="AQ239" i="3"/>
  <c r="AA239" i="3"/>
  <c r="K239" i="3"/>
  <c r="BD238" i="3"/>
  <c r="AN238" i="3"/>
  <c r="X238" i="3"/>
  <c r="H238" i="3"/>
  <c r="BA237" i="3"/>
  <c r="AK237" i="3"/>
  <c r="U237" i="3"/>
  <c r="BJ236" i="3"/>
  <c r="AT236" i="3"/>
  <c r="AD236" i="3"/>
  <c r="N236" i="3"/>
  <c r="BC235" i="3"/>
  <c r="AM235" i="3"/>
  <c r="W235" i="3"/>
  <c r="G235" i="3"/>
  <c r="AZ234" i="3"/>
  <c r="AJ234" i="3"/>
  <c r="T234" i="3"/>
  <c r="BM233" i="3"/>
  <c r="AW233" i="3"/>
  <c r="AG233" i="3"/>
  <c r="Q233" i="3"/>
  <c r="BF232" i="3"/>
  <c r="AP232" i="3"/>
  <c r="Z232" i="3"/>
  <c r="J232" i="3"/>
  <c r="AY231" i="3"/>
  <c r="AI231" i="3"/>
  <c r="S231" i="3"/>
  <c r="BL230" i="3"/>
  <c r="AV230" i="3"/>
  <c r="AF230" i="3"/>
  <c r="P230" i="3"/>
  <c r="BI229" i="3"/>
  <c r="AS229" i="3"/>
  <c r="AC229" i="3"/>
  <c r="M229" i="3"/>
  <c r="BB228" i="3"/>
  <c r="AL228" i="3"/>
  <c r="V228" i="3"/>
  <c r="BK227" i="3"/>
  <c r="AU227" i="3"/>
  <c r="AE227" i="3"/>
  <c r="O227" i="3"/>
  <c r="BH226" i="3"/>
  <c r="AR226" i="3"/>
  <c r="AB226" i="3"/>
  <c r="L226" i="3"/>
  <c r="BE225" i="3"/>
  <c r="AO225" i="3"/>
  <c r="Y225" i="3"/>
  <c r="I225" i="3"/>
  <c r="AX224" i="3"/>
  <c r="AH224" i="3"/>
  <c r="R224" i="3"/>
  <c r="BG223" i="3"/>
  <c r="AQ223" i="3"/>
  <c r="AA223" i="3"/>
  <c r="K223" i="3"/>
  <c r="BD222" i="3"/>
  <c r="AN222" i="3"/>
  <c r="X222" i="3"/>
  <c r="H222" i="3"/>
  <c r="BA221" i="3"/>
  <c r="AK221" i="3"/>
  <c r="U221" i="3"/>
  <c r="BJ220" i="3"/>
  <c r="AT220" i="3"/>
  <c r="AD220" i="3"/>
  <c r="N220" i="3"/>
  <c r="BC219" i="3"/>
  <c r="AM219" i="3"/>
  <c r="W219" i="3"/>
  <c r="G219" i="3"/>
  <c r="AZ218" i="3"/>
  <c r="AJ218" i="3"/>
  <c r="T218" i="3"/>
  <c r="BM217" i="3"/>
  <c r="AW217" i="3"/>
  <c r="AG217" i="3"/>
  <c r="Q217" i="3"/>
  <c r="BF216" i="3"/>
  <c r="AP216" i="3"/>
  <c r="Z216" i="3"/>
  <c r="J216" i="3"/>
  <c r="AY215" i="3"/>
  <c r="AI215" i="3"/>
  <c r="S215" i="3"/>
  <c r="BL214" i="3"/>
  <c r="AV214" i="3"/>
  <c r="AF214" i="3"/>
  <c r="P214" i="3"/>
  <c r="BI213" i="3"/>
  <c r="AS213" i="3"/>
  <c r="AC213" i="3"/>
  <c r="M213" i="3"/>
  <c r="BB212" i="3"/>
  <c r="AL212" i="3"/>
  <c r="V212" i="3"/>
  <c r="BK211" i="3"/>
  <c r="AU211" i="3"/>
  <c r="AE211" i="3"/>
  <c r="O211" i="3"/>
  <c r="BH210" i="3"/>
  <c r="AR210" i="3"/>
  <c r="AB210" i="3"/>
  <c r="L210" i="3"/>
  <c r="BE209" i="3"/>
  <c r="AO209" i="3"/>
  <c r="Y209" i="3"/>
  <c r="I209" i="3"/>
  <c r="BA207" i="3"/>
  <c r="AK207" i="3"/>
  <c r="U207" i="3"/>
  <c r="AF293" i="3"/>
  <c r="AG292" i="3"/>
  <c r="AD291" i="3"/>
  <c r="BB289" i="3"/>
  <c r="AL289" i="3"/>
  <c r="V289" i="3"/>
  <c r="BK288" i="3"/>
  <c r="AU288" i="3"/>
  <c r="AE288" i="3"/>
  <c r="O288" i="3"/>
  <c r="BH287" i="3"/>
  <c r="AR287" i="3"/>
  <c r="AB287" i="3"/>
  <c r="L287" i="3"/>
  <c r="BE286" i="3"/>
  <c r="AO286" i="3"/>
  <c r="Y286" i="3"/>
  <c r="I286" i="3"/>
  <c r="AX285" i="3"/>
  <c r="AH285" i="3"/>
  <c r="R285" i="3"/>
  <c r="BG284" i="3"/>
  <c r="AQ284" i="3"/>
  <c r="AA284" i="3"/>
  <c r="K284" i="3"/>
  <c r="BD283" i="3"/>
  <c r="AN283" i="3"/>
  <c r="X283" i="3"/>
  <c r="H283" i="3"/>
  <c r="BA282" i="3"/>
  <c r="AK282" i="3"/>
  <c r="U282" i="3"/>
  <c r="BJ281" i="3"/>
  <c r="AT281" i="3"/>
  <c r="AD281" i="3"/>
  <c r="N281" i="3"/>
  <c r="BC280" i="3"/>
  <c r="AM280" i="3"/>
  <c r="W280" i="3"/>
  <c r="G280" i="3"/>
  <c r="AZ279" i="3"/>
  <c r="AJ279" i="3"/>
  <c r="T279" i="3"/>
  <c r="BM278" i="3"/>
  <c r="AW278" i="3"/>
  <c r="AG278" i="3"/>
  <c r="Q278" i="3"/>
  <c r="BF277" i="3"/>
  <c r="AP277" i="3"/>
  <c r="Z277" i="3"/>
  <c r="J277" i="3"/>
  <c r="AY276" i="3"/>
  <c r="AI276" i="3"/>
  <c r="S276" i="3"/>
  <c r="BL275" i="3"/>
  <c r="AV275" i="3"/>
  <c r="AF275" i="3"/>
  <c r="P275" i="3"/>
  <c r="BI274" i="3"/>
  <c r="AS274" i="3"/>
  <c r="AC274" i="3"/>
  <c r="M274" i="3"/>
  <c r="BB273" i="3"/>
  <c r="AL273" i="3"/>
  <c r="V273" i="3"/>
  <c r="BK272" i="3"/>
  <c r="AU272" i="3"/>
  <c r="AE272" i="3"/>
  <c r="O272" i="3"/>
  <c r="BH271" i="3"/>
  <c r="AR271" i="3"/>
  <c r="AB271" i="3"/>
  <c r="L271" i="3"/>
  <c r="BE270" i="3"/>
  <c r="AO270" i="3"/>
  <c r="Y270" i="3"/>
  <c r="I270" i="3"/>
  <c r="AX269" i="3"/>
  <c r="AH269" i="3"/>
  <c r="R269" i="3"/>
  <c r="BG268" i="3"/>
  <c r="AQ268" i="3"/>
  <c r="AA268" i="3"/>
  <c r="K268" i="3"/>
  <c r="BD267" i="3"/>
  <c r="AN267" i="3"/>
  <c r="X267" i="3"/>
  <c r="H267" i="3"/>
  <c r="BA266" i="3"/>
  <c r="AK266" i="3"/>
  <c r="U266" i="3"/>
  <c r="BJ265" i="3"/>
  <c r="AT265" i="3"/>
  <c r="AD265" i="3"/>
  <c r="N265" i="3"/>
  <c r="BC264" i="3"/>
  <c r="AM264" i="3"/>
  <c r="W264" i="3"/>
  <c r="G264" i="3"/>
  <c r="AZ263" i="3"/>
  <c r="AJ263" i="3"/>
  <c r="T263" i="3"/>
  <c r="BM262" i="3"/>
  <c r="AW262" i="3"/>
  <c r="AG262" i="3"/>
  <c r="Q262" i="3"/>
  <c r="BF261" i="3"/>
  <c r="AP261" i="3"/>
  <c r="Z261" i="3"/>
  <c r="J261" i="3"/>
  <c r="AY260" i="3"/>
  <c r="AI260" i="3"/>
  <c r="S260" i="3"/>
  <c r="BL259" i="3"/>
  <c r="AV259" i="3"/>
  <c r="AF259" i="3"/>
  <c r="P259" i="3"/>
  <c r="BI258" i="3"/>
  <c r="AS258" i="3"/>
  <c r="AC258" i="3"/>
  <c r="M258" i="3"/>
  <c r="BB257" i="3"/>
  <c r="AL257" i="3"/>
  <c r="V257" i="3"/>
  <c r="BK256" i="3"/>
  <c r="AU256" i="3"/>
  <c r="AE256" i="3"/>
  <c r="O256" i="3"/>
  <c r="BH255" i="3"/>
  <c r="AR255" i="3"/>
  <c r="AB255" i="3"/>
  <c r="L255" i="3"/>
  <c r="BE254" i="3"/>
  <c r="AO254" i="3"/>
  <c r="Y254" i="3"/>
  <c r="I254" i="3"/>
  <c r="AX253" i="3"/>
  <c r="AH253" i="3"/>
  <c r="R253" i="3"/>
  <c r="BG252" i="3"/>
  <c r="AQ252" i="3"/>
  <c r="AA252" i="3"/>
  <c r="K252" i="3"/>
  <c r="BD251" i="3"/>
  <c r="AN251" i="3"/>
  <c r="X251" i="3"/>
  <c r="H251" i="3"/>
  <c r="BA250" i="3"/>
  <c r="AK250" i="3"/>
  <c r="U250" i="3"/>
  <c r="BM248" i="3"/>
  <c r="AW248" i="3"/>
  <c r="AG248" i="3"/>
  <c r="Q248" i="3"/>
  <c r="BF247" i="3"/>
  <c r="AP247" i="3"/>
  <c r="Z247" i="3"/>
  <c r="J247" i="3"/>
  <c r="AY246" i="3"/>
  <c r="AI246" i="3"/>
  <c r="S246" i="3"/>
  <c r="BL245" i="3"/>
  <c r="AV245" i="3"/>
  <c r="AF245" i="3"/>
  <c r="P245" i="3"/>
  <c r="BI244" i="3"/>
  <c r="AS244" i="3"/>
  <c r="AC244" i="3"/>
  <c r="M244" i="3"/>
  <c r="BB243" i="3"/>
  <c r="AL243" i="3"/>
  <c r="V243" i="3"/>
  <c r="BK242" i="3"/>
  <c r="AU242" i="3"/>
  <c r="AE242" i="3"/>
  <c r="O242" i="3"/>
  <c r="BH241" i="3"/>
  <c r="AR241" i="3"/>
  <c r="AB241" i="3"/>
  <c r="L241" i="3"/>
  <c r="BE240" i="3"/>
  <c r="AO240" i="3"/>
  <c r="Y240" i="3"/>
  <c r="I240" i="3"/>
  <c r="AX239" i="3"/>
  <c r="AH239" i="3"/>
  <c r="R239" i="3"/>
  <c r="BG238" i="3"/>
  <c r="AQ238" i="3"/>
  <c r="AA238" i="3"/>
  <c r="K238" i="3"/>
  <c r="BD237" i="3"/>
  <c r="AN237" i="3"/>
  <c r="X237" i="3"/>
  <c r="H237" i="3"/>
  <c r="BA236" i="3"/>
  <c r="AK236" i="3"/>
  <c r="U236" i="3"/>
  <c r="BJ235" i="3"/>
  <c r="AT235" i="3"/>
  <c r="AD235" i="3"/>
  <c r="N235" i="3"/>
  <c r="BC234" i="3"/>
  <c r="AM234" i="3"/>
  <c r="W234" i="3"/>
  <c r="G234" i="3"/>
  <c r="AZ233" i="3"/>
  <c r="AJ233" i="3"/>
  <c r="T233" i="3"/>
  <c r="BM232" i="3"/>
  <c r="AW232" i="3"/>
  <c r="AG232" i="3"/>
  <c r="Q232" i="3"/>
  <c r="BF231" i="3"/>
  <c r="AP231" i="3"/>
  <c r="Z231" i="3"/>
  <c r="J231" i="3"/>
  <c r="AY230" i="3"/>
  <c r="AI230" i="3"/>
  <c r="S230" i="3"/>
  <c r="BL229" i="3"/>
  <c r="AV229" i="3"/>
  <c r="AF229" i="3"/>
  <c r="P229" i="3"/>
  <c r="BI228" i="3"/>
  <c r="AS228" i="3"/>
  <c r="AC228" i="3"/>
  <c r="AR253" i="3"/>
  <c r="AO252" i="3"/>
  <c r="AH251" i="3"/>
  <c r="AA250" i="3"/>
  <c r="W248" i="3"/>
  <c r="T247" i="3"/>
  <c r="Q246" i="3"/>
  <c r="J245" i="3"/>
  <c r="BL243" i="3"/>
  <c r="BI242" i="3"/>
  <c r="BB241" i="3"/>
  <c r="AU240" i="3"/>
  <c r="AR239" i="3"/>
  <c r="AO238" i="3"/>
  <c r="AH237" i="3"/>
  <c r="AA236" i="3"/>
  <c r="X235" i="3"/>
  <c r="U234" i="3"/>
  <c r="N233" i="3"/>
  <c r="G232" i="3"/>
  <c r="BM230" i="3"/>
  <c r="BF229" i="3"/>
  <c r="AY228" i="3"/>
  <c r="AV227" i="3"/>
  <c r="AS226" i="3"/>
  <c r="AL225" i="3"/>
  <c r="AE224" i="3"/>
  <c r="AB223" i="3"/>
  <c r="Y222" i="3"/>
  <c r="R221" i="3"/>
  <c r="K220" i="3"/>
  <c r="H219" i="3"/>
  <c r="BJ217" i="3"/>
  <c r="BC216" i="3"/>
  <c r="AZ215" i="3"/>
  <c r="AW214" i="3"/>
  <c r="AP213" i="3"/>
  <c r="AI212" i="3"/>
  <c r="AF211" i="3"/>
  <c r="AC210" i="3"/>
  <c r="V209" i="3"/>
  <c r="N207" i="3"/>
  <c r="AM289" i="3"/>
  <c r="AJ288" i="3"/>
  <c r="AG287" i="3"/>
  <c r="Z286" i="3"/>
  <c r="S285" i="3"/>
  <c r="P284" i="3"/>
  <c r="M283" i="3"/>
  <c r="BK281" i="3"/>
  <c r="BH280" i="3"/>
  <c r="BE279" i="3"/>
  <c r="AX278" i="3"/>
  <c r="AQ277" i="3"/>
  <c r="AN276" i="3"/>
  <c r="AK275" i="3"/>
  <c r="AD274" i="3"/>
  <c r="W273" i="3"/>
  <c r="T272" i="3"/>
  <c r="Q271" i="3"/>
  <c r="J270" i="3"/>
  <c r="BL268" i="3"/>
  <c r="BI267" i="3"/>
  <c r="BB266" i="3"/>
  <c r="AU265" i="3"/>
  <c r="AR264" i="3"/>
  <c r="AO263" i="3"/>
  <c r="AH262" i="3"/>
  <c r="AA261" i="3"/>
  <c r="X260" i="3"/>
  <c r="U259" i="3"/>
  <c r="N258" i="3"/>
  <c r="G257" i="3"/>
  <c r="BM255" i="3"/>
  <c r="BF254" i="3"/>
  <c r="AY253" i="3"/>
  <c r="AV252" i="3"/>
  <c r="AS251" i="3"/>
  <c r="AL250" i="3"/>
  <c r="AD248" i="3"/>
  <c r="W247" i="3"/>
  <c r="T246" i="3"/>
  <c r="Q245" i="3"/>
  <c r="J244" i="3"/>
  <c r="BL242" i="3"/>
  <c r="BI241" i="3"/>
  <c r="BB240" i="3"/>
  <c r="AU239" i="3"/>
  <c r="AR238" i="3"/>
  <c r="AO237" i="3"/>
  <c r="AH236" i="3"/>
  <c r="AA235" i="3"/>
  <c r="X234" i="3"/>
  <c r="U233" i="3"/>
  <c r="N232" i="3"/>
  <c r="G231" i="3"/>
  <c r="BM229" i="3"/>
  <c r="BF228" i="3"/>
  <c r="AY227" i="3"/>
  <c r="AV226" i="3"/>
  <c r="AS225" i="3"/>
  <c r="AL224" i="3"/>
  <c r="AE223" i="3"/>
  <c r="AB222" i="3"/>
  <c r="Y221" i="3"/>
  <c r="R220" i="3"/>
  <c r="K219" i="3"/>
  <c r="H218" i="3"/>
  <c r="BJ216" i="3"/>
  <c r="BC215" i="3"/>
  <c r="AZ214" i="3"/>
  <c r="AW213" i="3"/>
  <c r="AP212" i="3"/>
  <c r="AI211" i="3"/>
  <c r="AF210" i="3"/>
  <c r="AC209" i="3"/>
  <c r="Y207" i="3"/>
  <c r="BF289" i="3"/>
  <c r="AY288" i="3"/>
  <c r="AV287" i="3"/>
  <c r="AS286" i="3"/>
  <c r="AL285" i="3"/>
  <c r="AE284" i="3"/>
  <c r="AB283" i="3"/>
  <c r="Y282" i="3"/>
  <c r="R281" i="3"/>
  <c r="K280" i="3"/>
  <c r="H279" i="3"/>
  <c r="BJ277" i="3"/>
  <c r="BC276" i="3"/>
  <c r="AZ275" i="3"/>
  <c r="AW274" i="3"/>
  <c r="AP273" i="3"/>
  <c r="AI272" i="3"/>
  <c r="AF271" i="3"/>
  <c r="AC270" i="3"/>
  <c r="V269" i="3"/>
  <c r="O268" i="3"/>
  <c r="L267" i="3"/>
  <c r="I266" i="3"/>
  <c r="BG264" i="3"/>
  <c r="BD263" i="3"/>
  <c r="BA262" i="3"/>
  <c r="AT261" i="3"/>
  <c r="AM260" i="3"/>
  <c r="AJ259" i="3"/>
  <c r="AG258" i="3"/>
  <c r="Z257" i="3"/>
  <c r="S256" i="3"/>
  <c r="P255" i="3"/>
  <c r="M254" i="3"/>
  <c r="BK252" i="3"/>
  <c r="BH251" i="3"/>
  <c r="BE250" i="3"/>
  <c r="BA248" i="3"/>
  <c r="AT247" i="3"/>
  <c r="AM246" i="3"/>
  <c r="AJ245" i="3"/>
  <c r="AG244" i="3"/>
  <c r="Z243" i="3"/>
  <c r="S242" i="3"/>
  <c r="P241" i="3"/>
  <c r="M240" i="3"/>
  <c r="BK238" i="3"/>
  <c r="BH237" i="3"/>
  <c r="BE236" i="3"/>
  <c r="AX235" i="3"/>
  <c r="AQ234" i="3"/>
  <c r="AN233" i="3"/>
  <c r="AK232" i="3"/>
  <c r="AD231" i="3"/>
  <c r="W230" i="3"/>
  <c r="T229" i="3"/>
  <c r="Q228" i="3"/>
  <c r="AP227" i="3"/>
  <c r="J227" i="3"/>
  <c r="AI226" i="3"/>
  <c r="BL225" i="3"/>
  <c r="AF225" i="3"/>
  <c r="BI224" i="3"/>
  <c r="AC224" i="3"/>
  <c r="BB223" i="3"/>
  <c r="V223" i="3"/>
  <c r="AU222" i="3"/>
  <c r="O222" i="3"/>
  <c r="AR221" i="3"/>
  <c r="L221" i="3"/>
  <c r="AO220" i="3"/>
  <c r="I220" i="3"/>
  <c r="AH219" i="3"/>
  <c r="BG218" i="3"/>
  <c r="AA218" i="3"/>
  <c r="BD217" i="3"/>
  <c r="X217" i="3"/>
  <c r="BA216" i="3"/>
  <c r="U216" i="3"/>
  <c r="AT215" i="3"/>
  <c r="N215" i="3"/>
  <c r="AM214" i="3"/>
  <c r="G214" i="3"/>
  <c r="AJ213" i="3"/>
  <c r="BM212" i="3"/>
  <c r="AG212" i="3"/>
  <c r="M212" i="3"/>
  <c r="AT211" i="3"/>
  <c r="Z211" i="3"/>
  <c r="BK210" i="3"/>
  <c r="AM210" i="3"/>
  <c r="S210" i="3"/>
  <c r="BH209" i="3"/>
  <c r="AJ209" i="3"/>
  <c r="P209" i="3"/>
  <c r="BD207" i="3"/>
  <c r="AF207" i="3"/>
  <c r="L207" i="3"/>
  <c r="AU206" i="3"/>
  <c r="O206" i="3"/>
  <c r="AR205" i="3"/>
  <c r="R205" i="3"/>
  <c r="AV204" i="3"/>
  <c r="U204" i="3"/>
  <c r="AX203" i="3"/>
  <c r="R203" i="3"/>
  <c r="BA202" i="3"/>
  <c r="Z202" i="3"/>
  <c r="AX201" i="3"/>
  <c r="W201" i="3"/>
  <c r="BG200" i="3"/>
  <c r="AA200" i="3"/>
  <c r="BM199" i="3"/>
  <c r="AS199" i="3"/>
  <c r="U199" i="3"/>
  <c r="BF198" i="3"/>
  <c r="AL198" i="3"/>
  <c r="N198" i="3"/>
  <c r="AY197" i="3"/>
  <c r="AE197" i="3"/>
  <c r="G197" i="3"/>
  <c r="AV196" i="3"/>
  <c r="AB196" i="3"/>
  <c r="L196" i="3"/>
  <c r="BE195" i="3"/>
  <c r="AO195" i="3"/>
  <c r="Y195" i="3"/>
  <c r="I195" i="3"/>
  <c r="AX194" i="3"/>
  <c r="AH194" i="3"/>
  <c r="R194" i="3"/>
  <c r="BG193" i="3"/>
  <c r="AQ193" i="3"/>
  <c r="AA193" i="3"/>
  <c r="K193" i="3"/>
  <c r="BD192" i="3"/>
  <c r="AN192" i="3"/>
  <c r="X192" i="3"/>
  <c r="H192" i="3"/>
  <c r="BA191" i="3"/>
  <c r="AK191" i="3"/>
  <c r="U191" i="3"/>
  <c r="BJ190" i="3"/>
  <c r="AT190" i="3"/>
  <c r="AD190" i="3"/>
  <c r="N190" i="3"/>
  <c r="BC189" i="3"/>
  <c r="AM189" i="3"/>
  <c r="W189" i="3"/>
  <c r="G189" i="3"/>
  <c r="AZ188" i="3"/>
  <c r="AJ188" i="3"/>
  <c r="T188" i="3"/>
  <c r="BM187" i="3"/>
  <c r="AW187" i="3"/>
  <c r="AG187" i="3"/>
  <c r="Q187" i="3"/>
  <c r="BF186" i="3"/>
  <c r="AP186" i="3"/>
  <c r="Z186" i="3"/>
  <c r="J186" i="3"/>
  <c r="AY185" i="3"/>
  <c r="AI185" i="3"/>
  <c r="S185" i="3"/>
  <c r="BL184" i="3"/>
  <c r="AV184" i="3"/>
  <c r="AF184" i="3"/>
  <c r="P184" i="3"/>
  <c r="BI183" i="3"/>
  <c r="AS183" i="3"/>
  <c r="AC183" i="3"/>
  <c r="M183" i="3"/>
  <c r="BB182" i="3"/>
  <c r="AL182" i="3"/>
  <c r="V182" i="3"/>
  <c r="BK181" i="3"/>
  <c r="AU181" i="3"/>
  <c r="AE181" i="3"/>
  <c r="O181" i="3"/>
  <c r="BH180" i="3"/>
  <c r="AR180" i="3"/>
  <c r="AB180" i="3"/>
  <c r="L180" i="3"/>
  <c r="BE179" i="3"/>
  <c r="AO179" i="3"/>
  <c r="Y179" i="3"/>
  <c r="I179" i="3"/>
  <c r="AX178" i="3"/>
  <c r="AH178" i="3"/>
  <c r="R178" i="3"/>
  <c r="BG177" i="3"/>
  <c r="AQ177" i="3"/>
  <c r="AA177" i="3"/>
  <c r="K177" i="3"/>
  <c r="BD176" i="3"/>
  <c r="AN176" i="3"/>
  <c r="X176" i="3"/>
  <c r="H176" i="3"/>
  <c r="BA175" i="3"/>
  <c r="AK175" i="3"/>
  <c r="U175" i="3"/>
  <c r="BJ174" i="3"/>
  <c r="AT174" i="3"/>
  <c r="AD174" i="3"/>
  <c r="N174" i="3"/>
  <c r="BC173" i="3"/>
  <c r="AM173" i="3"/>
  <c r="W173" i="3"/>
  <c r="G173" i="3"/>
  <c r="AZ172" i="3"/>
  <c r="AJ172" i="3"/>
  <c r="T172" i="3"/>
  <c r="BM171" i="3"/>
  <c r="AW171" i="3"/>
  <c r="AG171" i="3"/>
  <c r="Q171" i="3"/>
  <c r="BF170" i="3"/>
  <c r="AP170" i="3"/>
  <c r="Z170" i="3"/>
  <c r="J170" i="3"/>
  <c r="AY169" i="3"/>
  <c r="AI169" i="3"/>
  <c r="S169" i="3"/>
  <c r="BL168" i="3"/>
  <c r="AV168" i="3"/>
  <c r="AF168" i="3"/>
  <c r="P168" i="3"/>
  <c r="BH166" i="3"/>
  <c r="AR166" i="3"/>
  <c r="AB166" i="3"/>
  <c r="L166" i="3"/>
  <c r="BE165" i="3"/>
  <c r="AO165" i="3"/>
  <c r="Y165" i="3"/>
  <c r="I165" i="3"/>
  <c r="AX164" i="3"/>
  <c r="AH164" i="3"/>
  <c r="R164" i="3"/>
  <c r="BG163" i="3"/>
  <c r="AQ163" i="3"/>
  <c r="AA163" i="3"/>
  <c r="K163" i="3"/>
  <c r="BD162" i="3"/>
  <c r="AN162" i="3"/>
  <c r="X162" i="3"/>
  <c r="H162" i="3"/>
  <c r="BA161" i="3"/>
  <c r="AK161" i="3"/>
  <c r="U161" i="3"/>
  <c r="BJ160" i="3"/>
  <c r="AT160" i="3"/>
  <c r="AD160" i="3"/>
  <c r="N160" i="3"/>
  <c r="BC159" i="3"/>
  <c r="AM159" i="3"/>
  <c r="W159" i="3"/>
  <c r="G159" i="3"/>
  <c r="AZ158" i="3"/>
  <c r="AJ158" i="3"/>
  <c r="T158" i="3"/>
  <c r="BM157" i="3"/>
  <c r="AW157" i="3"/>
  <c r="AG157" i="3"/>
  <c r="Q157" i="3"/>
  <c r="BF156" i="3"/>
  <c r="AP156" i="3"/>
  <c r="Z156" i="3"/>
  <c r="J156" i="3"/>
  <c r="AY155" i="3"/>
  <c r="AI155" i="3"/>
  <c r="S155" i="3"/>
  <c r="BL154" i="3"/>
  <c r="AV154" i="3"/>
  <c r="AF154" i="3"/>
  <c r="P154" i="3"/>
  <c r="BI153" i="3"/>
  <c r="AS153" i="3"/>
  <c r="AC153" i="3"/>
  <c r="M153" i="3"/>
  <c r="BB152" i="3"/>
  <c r="AL152" i="3"/>
  <c r="V152" i="3"/>
  <c r="BK151" i="3"/>
  <c r="AU151" i="3"/>
  <c r="AE151" i="3"/>
  <c r="O151" i="3"/>
  <c r="BH150" i="3"/>
  <c r="AR150" i="3"/>
  <c r="AB150" i="3"/>
  <c r="L150" i="3"/>
  <c r="BE149" i="3"/>
  <c r="AO149" i="3"/>
  <c r="Y149" i="3"/>
  <c r="I149" i="3"/>
  <c r="AX148" i="3"/>
  <c r="AH148" i="3"/>
  <c r="R148" i="3"/>
  <c r="BG147" i="3"/>
  <c r="AQ147" i="3"/>
  <c r="AA147" i="3"/>
  <c r="K147" i="3"/>
  <c r="BD146" i="3"/>
  <c r="AN146" i="3"/>
  <c r="X146" i="3"/>
  <c r="H146" i="3"/>
  <c r="BA145" i="3"/>
  <c r="AK145" i="3"/>
  <c r="U145" i="3"/>
  <c r="BJ144" i="3"/>
  <c r="AT144" i="3"/>
  <c r="AD144" i="3"/>
  <c r="N144" i="3"/>
  <c r="BC143" i="3"/>
  <c r="AM143" i="3"/>
  <c r="W143" i="3"/>
  <c r="G143" i="3"/>
  <c r="AZ142" i="3"/>
  <c r="AJ142" i="3"/>
  <c r="T142" i="3"/>
  <c r="BM141" i="3"/>
  <c r="AW141" i="3"/>
  <c r="AG141" i="3"/>
  <c r="Q141" i="3"/>
  <c r="BF140" i="3"/>
  <c r="AP140" i="3"/>
  <c r="Z140" i="3"/>
  <c r="J140" i="3"/>
  <c r="AY139" i="3"/>
  <c r="AI139" i="3"/>
  <c r="S139" i="3"/>
  <c r="BL138" i="3"/>
  <c r="AV138" i="3"/>
  <c r="AF138" i="3"/>
  <c r="P138" i="3"/>
  <c r="BI137" i="3"/>
  <c r="AS137" i="3"/>
  <c r="AC137" i="3"/>
  <c r="M137" i="3"/>
  <c r="BB136" i="3"/>
  <c r="AL136" i="3"/>
  <c r="V136" i="3"/>
  <c r="BK135" i="3"/>
  <c r="AU135" i="3"/>
  <c r="AE135" i="3"/>
  <c r="O135" i="3"/>
  <c r="BH134" i="3"/>
  <c r="AR134" i="3"/>
  <c r="AB134" i="3"/>
  <c r="L134" i="3"/>
  <c r="BE133" i="3"/>
  <c r="AO133" i="3"/>
  <c r="Y133" i="3"/>
  <c r="I133" i="3"/>
  <c r="AX132" i="3"/>
  <c r="AH132" i="3"/>
  <c r="R132" i="3"/>
  <c r="BG131" i="3"/>
  <c r="AQ131" i="3"/>
  <c r="AA131" i="3"/>
  <c r="K131" i="3"/>
  <c r="BD130" i="3"/>
  <c r="AN130" i="3"/>
  <c r="X130" i="3"/>
  <c r="H130" i="3"/>
  <c r="BA129" i="3"/>
  <c r="AK129" i="3"/>
  <c r="U129" i="3"/>
  <c r="BJ128" i="3"/>
  <c r="AT128" i="3"/>
  <c r="AD128" i="3"/>
  <c r="N128" i="3"/>
  <c r="BC127" i="3"/>
  <c r="AM127" i="3"/>
  <c r="W127" i="3"/>
  <c r="G127" i="3"/>
  <c r="AY125" i="3"/>
  <c r="AI125" i="3"/>
  <c r="S125" i="3"/>
  <c r="BL124" i="3"/>
  <c r="AV124" i="3"/>
  <c r="AF124" i="3"/>
  <c r="P124" i="3"/>
  <c r="BI123" i="3"/>
  <c r="AS123" i="3"/>
  <c r="AC123" i="3"/>
  <c r="M123" i="3"/>
  <c r="BB122" i="3"/>
  <c r="AL122" i="3"/>
  <c r="V122" i="3"/>
  <c r="BK121" i="3"/>
  <c r="AU121" i="3"/>
  <c r="AE121" i="3"/>
  <c r="O121" i="3"/>
  <c r="BH120" i="3"/>
  <c r="AR120" i="3"/>
  <c r="AB120" i="3"/>
  <c r="L120" i="3"/>
  <c r="BE119" i="3"/>
  <c r="AO119" i="3"/>
  <c r="Y119" i="3"/>
  <c r="I119" i="3"/>
  <c r="AX118" i="3"/>
  <c r="AH118" i="3"/>
  <c r="R118" i="3"/>
  <c r="BG117" i="3"/>
  <c r="AQ117" i="3"/>
  <c r="AA117" i="3"/>
  <c r="K117" i="3"/>
  <c r="BD116" i="3"/>
  <c r="AN116" i="3"/>
  <c r="X116" i="3"/>
  <c r="H116" i="3"/>
  <c r="BA115" i="3"/>
  <c r="AK115" i="3"/>
  <c r="U115" i="3"/>
  <c r="BJ114" i="3"/>
  <c r="AT114" i="3"/>
  <c r="AD114" i="3"/>
  <c r="N114" i="3"/>
  <c r="AY206" i="3"/>
  <c r="AD206" i="3"/>
  <c r="I206" i="3"/>
  <c r="AV205" i="3"/>
  <c r="AA205" i="3"/>
  <c r="BK204" i="3"/>
  <c r="AO204" i="3"/>
  <c r="T204" i="3"/>
  <c r="BH203" i="3"/>
  <c r="AL203" i="3"/>
  <c r="Q203" i="3"/>
  <c r="AY202" i="3"/>
  <c r="AD202" i="3"/>
  <c r="I202" i="3"/>
  <c r="AV201" i="3"/>
  <c r="AA201" i="3"/>
  <c r="BK200" i="3"/>
  <c r="AO200" i="3"/>
  <c r="T200" i="3"/>
  <c r="BL199" i="3"/>
  <c r="AV199" i="3"/>
  <c r="AF199" i="3"/>
  <c r="P199" i="3"/>
  <c r="BI198" i="3"/>
  <c r="AS198" i="3"/>
  <c r="AC198" i="3"/>
  <c r="M198" i="3"/>
  <c r="BB197" i="3"/>
  <c r="AL197" i="3"/>
  <c r="V197" i="3"/>
  <c r="BK196" i="3"/>
  <c r="AU196" i="3"/>
  <c r="AE196" i="3"/>
  <c r="O196" i="3"/>
  <c r="BH195" i="3"/>
  <c r="AR195" i="3"/>
  <c r="AB195" i="3"/>
  <c r="L195" i="3"/>
  <c r="BE194" i="3"/>
  <c r="AO194" i="3"/>
  <c r="Y194" i="3"/>
  <c r="I194" i="3"/>
  <c r="AX193" i="3"/>
  <c r="AH193" i="3"/>
  <c r="R193" i="3"/>
  <c r="BG192" i="3"/>
  <c r="AQ192" i="3"/>
  <c r="AA192" i="3"/>
  <c r="K192" i="3"/>
  <c r="BD191" i="3"/>
  <c r="AN191" i="3"/>
  <c r="X191" i="3"/>
  <c r="H191" i="3"/>
  <c r="BA190" i="3"/>
  <c r="AK190" i="3"/>
  <c r="U190" i="3"/>
  <c r="BJ189" i="3"/>
  <c r="AT189" i="3"/>
  <c r="AD189" i="3"/>
  <c r="N189" i="3"/>
  <c r="BC188" i="3"/>
  <c r="AM188" i="3"/>
  <c r="W188" i="3"/>
  <c r="G188" i="3"/>
  <c r="AZ187" i="3"/>
  <c r="AJ187" i="3"/>
  <c r="T187" i="3"/>
  <c r="BM186" i="3"/>
  <c r="AW186" i="3"/>
  <c r="AG186" i="3"/>
  <c r="Q186" i="3"/>
  <c r="BF185" i="3"/>
  <c r="AP185" i="3"/>
  <c r="Z185" i="3"/>
  <c r="J185" i="3"/>
  <c r="AY184" i="3"/>
  <c r="AI184" i="3"/>
  <c r="S184" i="3"/>
  <c r="BL183" i="3"/>
  <c r="AV183" i="3"/>
  <c r="AF183" i="3"/>
  <c r="P183" i="3"/>
  <c r="BI182" i="3"/>
  <c r="AS182" i="3"/>
  <c r="AC182" i="3"/>
  <c r="M182" i="3"/>
  <c r="BB181" i="3"/>
  <c r="AL181" i="3"/>
  <c r="V181" i="3"/>
  <c r="BK180" i="3"/>
  <c r="AU180" i="3"/>
  <c r="AE180" i="3"/>
  <c r="O180" i="3"/>
  <c r="BH179" i="3"/>
  <c r="AR179" i="3"/>
  <c r="AB179" i="3"/>
  <c r="L179" i="3"/>
  <c r="BE178" i="3"/>
  <c r="AO178" i="3"/>
  <c r="Y178" i="3"/>
  <c r="I178" i="3"/>
  <c r="AX177" i="3"/>
  <c r="AH177" i="3"/>
  <c r="R177" i="3"/>
  <c r="BG176" i="3"/>
  <c r="AQ176" i="3"/>
  <c r="AA176" i="3"/>
  <c r="K176" i="3"/>
  <c r="BD175" i="3"/>
  <c r="AN175" i="3"/>
  <c r="X175" i="3"/>
  <c r="H175" i="3"/>
  <c r="BA174" i="3"/>
  <c r="AK174" i="3"/>
  <c r="U174" i="3"/>
  <c r="BJ173" i="3"/>
  <c r="AT173" i="3"/>
  <c r="AD173" i="3"/>
  <c r="N173" i="3"/>
  <c r="BC172" i="3"/>
  <c r="AM172" i="3"/>
  <c r="W172" i="3"/>
  <c r="G172" i="3"/>
  <c r="AZ171" i="3"/>
  <c r="AJ171" i="3"/>
  <c r="T171" i="3"/>
  <c r="BM170" i="3"/>
  <c r="AW170" i="3"/>
  <c r="AG170" i="3"/>
  <c r="Q170" i="3"/>
  <c r="BF169" i="3"/>
  <c r="AP169" i="3"/>
  <c r="Z169" i="3"/>
  <c r="J169" i="3"/>
  <c r="AY168" i="3"/>
  <c r="AI168" i="3"/>
  <c r="S168" i="3"/>
  <c r="BK166" i="3"/>
  <c r="AU166" i="3"/>
  <c r="AE166" i="3"/>
  <c r="O166" i="3"/>
  <c r="BH165" i="3"/>
  <c r="AR165" i="3"/>
  <c r="AB165" i="3"/>
  <c r="L165" i="3"/>
  <c r="BE164" i="3"/>
  <c r="AO164" i="3"/>
  <c r="Y164" i="3"/>
  <c r="I164" i="3"/>
  <c r="AX163" i="3"/>
  <c r="AH163" i="3"/>
  <c r="R163" i="3"/>
  <c r="BG162" i="3"/>
  <c r="AQ162" i="3"/>
  <c r="AA162" i="3"/>
  <c r="K162" i="3"/>
  <c r="BD161" i="3"/>
  <c r="AN161" i="3"/>
  <c r="X161" i="3"/>
  <c r="H161" i="3"/>
  <c r="BA160" i="3"/>
  <c r="AK160" i="3"/>
  <c r="U160" i="3"/>
  <c r="BJ159" i="3"/>
  <c r="AT159" i="3"/>
  <c r="AD159" i="3"/>
  <c r="N159" i="3"/>
  <c r="BC158" i="3"/>
  <c r="AM158" i="3"/>
  <c r="W158" i="3"/>
  <c r="G158" i="3"/>
  <c r="AZ157" i="3"/>
  <c r="AJ157" i="3"/>
  <c r="T157" i="3"/>
  <c r="BM156" i="3"/>
  <c r="AW156" i="3"/>
  <c r="AG156" i="3"/>
  <c r="Q156" i="3"/>
  <c r="BF155" i="3"/>
  <c r="AP155" i="3"/>
  <c r="Z155" i="3"/>
  <c r="J155" i="3"/>
  <c r="AY154" i="3"/>
  <c r="AI154" i="3"/>
  <c r="S154" i="3"/>
  <c r="BL153" i="3"/>
  <c r="AV153" i="3"/>
  <c r="AF153" i="3"/>
  <c r="P153" i="3"/>
  <c r="BI152" i="3"/>
  <c r="AS152" i="3"/>
  <c r="AC152" i="3"/>
  <c r="M152" i="3"/>
  <c r="BB151" i="3"/>
  <c r="AL151" i="3"/>
  <c r="V151" i="3"/>
  <c r="BK150" i="3"/>
  <c r="AU150" i="3"/>
  <c r="AE150" i="3"/>
  <c r="O150" i="3"/>
  <c r="BH149" i="3"/>
  <c r="AR149" i="3"/>
  <c r="AB149" i="3"/>
  <c r="L149" i="3"/>
  <c r="BE148" i="3"/>
  <c r="AO148" i="3"/>
  <c r="Y148" i="3"/>
  <c r="I148" i="3"/>
  <c r="AX147" i="3"/>
  <c r="AH147" i="3"/>
  <c r="R147" i="3"/>
  <c r="BG146" i="3"/>
  <c r="AQ146" i="3"/>
  <c r="AA146" i="3"/>
  <c r="K146" i="3"/>
  <c r="BD145" i="3"/>
  <c r="AN145" i="3"/>
  <c r="X145" i="3"/>
  <c r="H145" i="3"/>
  <c r="BA144" i="3"/>
  <c r="AK144" i="3"/>
  <c r="U144" i="3"/>
  <c r="BJ143" i="3"/>
  <c r="AT143" i="3"/>
  <c r="AD143" i="3"/>
  <c r="N143" i="3"/>
  <c r="BC142" i="3"/>
  <c r="AM142" i="3"/>
  <c r="W142" i="3"/>
  <c r="G142" i="3"/>
  <c r="AZ141" i="3"/>
  <c r="AJ141" i="3"/>
  <c r="T141" i="3"/>
  <c r="BM140" i="3"/>
  <c r="AW140" i="3"/>
  <c r="AG140" i="3"/>
  <c r="Q140" i="3"/>
  <c r="BF139" i="3"/>
  <c r="AP139" i="3"/>
  <c r="Z139" i="3"/>
  <c r="J139" i="3"/>
  <c r="AY138" i="3"/>
  <c r="AI138" i="3"/>
  <c r="S138" i="3"/>
  <c r="BL137" i="3"/>
  <c r="AV137" i="3"/>
  <c r="AF137" i="3"/>
  <c r="P137" i="3"/>
  <c r="BI136" i="3"/>
  <c r="AS136" i="3"/>
  <c r="AC136" i="3"/>
  <c r="M136" i="3"/>
  <c r="BB135" i="3"/>
  <c r="AL135" i="3"/>
  <c r="V135" i="3"/>
  <c r="BK134" i="3"/>
  <c r="AU134" i="3"/>
  <c r="AE134" i="3"/>
  <c r="O134" i="3"/>
  <c r="BH133" i="3"/>
  <c r="AR133" i="3"/>
  <c r="AB133" i="3"/>
  <c r="L133" i="3"/>
  <c r="BE132" i="3"/>
  <c r="AO132" i="3"/>
  <c r="Y132" i="3"/>
  <c r="I132" i="3"/>
  <c r="AX131" i="3"/>
  <c r="AH131" i="3"/>
  <c r="R131" i="3"/>
  <c r="BG130" i="3"/>
  <c r="AQ130" i="3"/>
  <c r="AA130" i="3"/>
  <c r="K130" i="3"/>
  <c r="BD129" i="3"/>
  <c r="AN129" i="3"/>
  <c r="X129" i="3"/>
  <c r="H129" i="3"/>
  <c r="BA128" i="3"/>
  <c r="AK128" i="3"/>
  <c r="U128" i="3"/>
  <c r="BJ127" i="3"/>
  <c r="AT127" i="3"/>
  <c r="AD127" i="3"/>
  <c r="N127" i="3"/>
  <c r="BB125" i="3"/>
  <c r="AL125" i="3"/>
  <c r="V125" i="3"/>
  <c r="BK124" i="3"/>
  <c r="AU124" i="3"/>
  <c r="AE124" i="3"/>
  <c r="O124" i="3"/>
  <c r="BH123" i="3"/>
  <c r="AR123" i="3"/>
  <c r="AB123" i="3"/>
  <c r="L123" i="3"/>
  <c r="BE122" i="3"/>
  <c r="AO122" i="3"/>
  <c r="Y122" i="3"/>
  <c r="I122" i="3"/>
  <c r="AX121" i="3"/>
  <c r="AH121" i="3"/>
  <c r="R121" i="3"/>
  <c r="BG120" i="3"/>
  <c r="AQ120" i="3"/>
  <c r="AA120" i="3"/>
  <c r="K120" i="3"/>
  <c r="BD119" i="3"/>
  <c r="AN119" i="3"/>
  <c r="X119" i="3"/>
  <c r="H119" i="3"/>
  <c r="BA118" i="3"/>
  <c r="AK118" i="3"/>
  <c r="U118" i="3"/>
  <c r="BJ117" i="3"/>
  <c r="AT117" i="3"/>
  <c r="AD117" i="3"/>
  <c r="N117" i="3"/>
  <c r="BC116" i="3"/>
  <c r="AM116" i="3"/>
  <c r="W116" i="3"/>
  <c r="G116" i="3"/>
  <c r="AZ115" i="3"/>
  <c r="AJ115" i="3"/>
  <c r="T115" i="3"/>
  <c r="BM114" i="3"/>
  <c r="AW114" i="3"/>
  <c r="AG114" i="3"/>
  <c r="AS206" i="3"/>
  <c r="W206" i="3"/>
  <c r="BK205" i="3"/>
  <c r="AP205" i="3"/>
  <c r="T205" i="3"/>
  <c r="BD204" i="3"/>
  <c r="AI204" i="3"/>
  <c r="M204" i="3"/>
  <c r="BA203" i="3"/>
  <c r="AF203" i="3"/>
  <c r="J203" i="3"/>
  <c r="AS202" i="3"/>
  <c r="W202" i="3"/>
  <c r="BK201" i="3"/>
  <c r="AP201" i="3"/>
  <c r="T201" i="3"/>
  <c r="BD200" i="3"/>
  <c r="AI200" i="3"/>
  <c r="N200" i="3"/>
  <c r="BC199" i="3"/>
  <c r="AM199" i="3"/>
  <c r="W199" i="3"/>
  <c r="G199" i="3"/>
  <c r="AZ198" i="3"/>
  <c r="AJ198" i="3"/>
  <c r="T198" i="3"/>
  <c r="BM197" i="3"/>
  <c r="AW197" i="3"/>
  <c r="AG197" i="3"/>
  <c r="Q197" i="3"/>
  <c r="BF196" i="3"/>
  <c r="AP196" i="3"/>
  <c r="Z196" i="3"/>
  <c r="J196" i="3"/>
  <c r="AY195" i="3"/>
  <c r="AI195" i="3"/>
  <c r="S195" i="3"/>
  <c r="BL194" i="3"/>
  <c r="AV194" i="3"/>
  <c r="AF194" i="3"/>
  <c r="P194" i="3"/>
  <c r="BI193" i="3"/>
  <c r="AS193" i="3"/>
  <c r="AC193" i="3"/>
  <c r="M193" i="3"/>
  <c r="BB192" i="3"/>
  <c r="AL192" i="3"/>
  <c r="V192" i="3"/>
  <c r="BK191" i="3"/>
  <c r="AU191" i="3"/>
  <c r="AE191" i="3"/>
  <c r="O191" i="3"/>
  <c r="BH190" i="3"/>
  <c r="AR190" i="3"/>
  <c r="AB190" i="3"/>
  <c r="L190" i="3"/>
  <c r="BE189" i="3"/>
  <c r="AO189" i="3"/>
  <c r="Y189" i="3"/>
  <c r="I189" i="3"/>
  <c r="AX188" i="3"/>
  <c r="AH188" i="3"/>
  <c r="R188" i="3"/>
  <c r="BG187" i="3"/>
  <c r="AQ187" i="3"/>
  <c r="AA187" i="3"/>
  <c r="K187" i="3"/>
  <c r="BD186" i="3"/>
  <c r="AN186" i="3"/>
  <c r="X186" i="3"/>
  <c r="H186" i="3"/>
  <c r="BA185" i="3"/>
  <c r="AK185" i="3"/>
  <c r="U185" i="3"/>
  <c r="BJ184" i="3"/>
  <c r="AT184" i="3"/>
  <c r="AD184" i="3"/>
  <c r="N184" i="3"/>
  <c r="BC183" i="3"/>
  <c r="AM183" i="3"/>
  <c r="W183" i="3"/>
  <c r="G183" i="3"/>
  <c r="AZ182" i="3"/>
  <c r="AJ182" i="3"/>
  <c r="T182" i="3"/>
  <c r="BM181" i="3"/>
  <c r="AW181" i="3"/>
  <c r="AG181" i="3"/>
  <c r="Q181" i="3"/>
  <c r="BF180" i="3"/>
  <c r="AP180" i="3"/>
  <c r="Z180" i="3"/>
  <c r="J180" i="3"/>
  <c r="AY179" i="3"/>
  <c r="AI179" i="3"/>
  <c r="S179" i="3"/>
  <c r="BL178" i="3"/>
  <c r="AV178" i="3"/>
  <c r="AF178" i="3"/>
  <c r="P178" i="3"/>
  <c r="BI177" i="3"/>
  <c r="AS177" i="3"/>
  <c r="AC177" i="3"/>
  <c r="M177" i="3"/>
  <c r="BB176" i="3"/>
  <c r="AL176" i="3"/>
  <c r="V176" i="3"/>
  <c r="BK175" i="3"/>
  <c r="AU175" i="3"/>
  <c r="AE175" i="3"/>
  <c r="O175" i="3"/>
  <c r="BH174" i="3"/>
  <c r="AR174" i="3"/>
  <c r="AB174" i="3"/>
  <c r="L174" i="3"/>
  <c r="BE173" i="3"/>
  <c r="AO173" i="3"/>
  <c r="Y173" i="3"/>
  <c r="I173" i="3"/>
  <c r="AX172" i="3"/>
  <c r="AH172" i="3"/>
  <c r="R172" i="3"/>
  <c r="BG171" i="3"/>
  <c r="AQ171" i="3"/>
  <c r="AA171" i="3"/>
  <c r="K171" i="3"/>
  <c r="BD170" i="3"/>
  <c r="AN170" i="3"/>
  <c r="X170" i="3"/>
  <c r="H170" i="3"/>
  <c r="BA169" i="3"/>
  <c r="AK169" i="3"/>
  <c r="U169" i="3"/>
  <c r="BJ168" i="3"/>
  <c r="AT168" i="3"/>
  <c r="AD168" i="3"/>
  <c r="N168" i="3"/>
  <c r="BB166" i="3"/>
  <c r="AL166" i="3"/>
  <c r="V166" i="3"/>
  <c r="BK165" i="3"/>
  <c r="AU165" i="3"/>
  <c r="AE165" i="3"/>
  <c r="O165" i="3"/>
  <c r="BH164" i="3"/>
  <c r="AR164" i="3"/>
  <c r="AB164" i="3"/>
  <c r="L164" i="3"/>
  <c r="BE163" i="3"/>
  <c r="AO163" i="3"/>
  <c r="Y163" i="3"/>
  <c r="I163" i="3"/>
  <c r="AX162" i="3"/>
  <c r="AH162" i="3"/>
  <c r="R162" i="3"/>
  <c r="BG161" i="3"/>
  <c r="AQ161" i="3"/>
  <c r="AA161" i="3"/>
  <c r="K161" i="3"/>
  <c r="BD160" i="3"/>
  <c r="AN160" i="3"/>
  <c r="X160" i="3"/>
  <c r="H160" i="3"/>
  <c r="BA159" i="3"/>
  <c r="AK159" i="3"/>
  <c r="U159" i="3"/>
  <c r="BJ158" i="3"/>
  <c r="AT158" i="3"/>
  <c r="AD158" i="3"/>
  <c r="N158" i="3"/>
  <c r="BC157" i="3"/>
  <c r="AM157" i="3"/>
  <c r="W157" i="3"/>
  <c r="G157" i="3"/>
  <c r="AZ156" i="3"/>
  <c r="AJ156" i="3"/>
  <c r="T156" i="3"/>
  <c r="BM155" i="3"/>
  <c r="AW155" i="3"/>
  <c r="AG155" i="3"/>
  <c r="Q155" i="3"/>
  <c r="BF154" i="3"/>
  <c r="AP154" i="3"/>
  <c r="Z154" i="3"/>
  <c r="J154" i="3"/>
  <c r="AY153" i="3"/>
  <c r="AI153" i="3"/>
  <c r="S153" i="3"/>
  <c r="BL152" i="3"/>
  <c r="AV152" i="3"/>
  <c r="AF152" i="3"/>
  <c r="P152" i="3"/>
  <c r="BI151" i="3"/>
  <c r="AS151" i="3"/>
  <c r="AC151" i="3"/>
  <c r="M151" i="3"/>
  <c r="BB150" i="3"/>
  <c r="AL150" i="3"/>
  <c r="V150" i="3"/>
  <c r="BK149" i="3"/>
  <c r="AU149" i="3"/>
  <c r="AE149" i="3"/>
  <c r="O149" i="3"/>
  <c r="BH148" i="3"/>
  <c r="AR148" i="3"/>
  <c r="AB148" i="3"/>
  <c r="L148" i="3"/>
  <c r="BE147" i="3"/>
  <c r="AO147" i="3"/>
  <c r="Y147" i="3"/>
  <c r="I147" i="3"/>
  <c r="AX146" i="3"/>
  <c r="AH146" i="3"/>
  <c r="R146" i="3"/>
  <c r="BG145" i="3"/>
  <c r="AQ145" i="3"/>
  <c r="AA145" i="3"/>
  <c r="K145" i="3"/>
  <c r="BD144" i="3"/>
  <c r="AN144" i="3"/>
  <c r="X144" i="3"/>
  <c r="H144" i="3"/>
  <c r="BA143" i="3"/>
  <c r="AK143" i="3"/>
  <c r="U143" i="3"/>
  <c r="BJ142" i="3"/>
  <c r="AT142" i="3"/>
  <c r="AD142" i="3"/>
  <c r="N142" i="3"/>
  <c r="BC141" i="3"/>
  <c r="AM141" i="3"/>
  <c r="W141" i="3"/>
  <c r="G141" i="3"/>
  <c r="AZ140" i="3"/>
  <c r="AJ140" i="3"/>
  <c r="T140" i="3"/>
  <c r="BM139" i="3"/>
  <c r="AW139" i="3"/>
  <c r="AG139" i="3"/>
  <c r="Q139" i="3"/>
  <c r="BF138" i="3"/>
  <c r="AP138" i="3"/>
  <c r="Z138" i="3"/>
  <c r="J138" i="3"/>
  <c r="AY137" i="3"/>
  <c r="AI137" i="3"/>
  <c r="S137" i="3"/>
  <c r="BL136" i="3"/>
  <c r="AV136" i="3"/>
  <c r="AF136" i="3"/>
  <c r="P136" i="3"/>
  <c r="BI135" i="3"/>
  <c r="AS135" i="3"/>
  <c r="AC135" i="3"/>
  <c r="M135" i="3"/>
  <c r="BB134" i="3"/>
  <c r="AL134" i="3"/>
  <c r="V134" i="3"/>
  <c r="BK133" i="3"/>
  <c r="AU133" i="3"/>
  <c r="AE133" i="3"/>
  <c r="O133" i="3"/>
  <c r="BH132" i="3"/>
  <c r="AR132" i="3"/>
  <c r="AB132" i="3"/>
  <c r="L132" i="3"/>
  <c r="BE131" i="3"/>
  <c r="AO131" i="3"/>
  <c r="Y131" i="3"/>
  <c r="I131" i="3"/>
  <c r="AX130" i="3"/>
  <c r="AH130" i="3"/>
  <c r="R130" i="3"/>
  <c r="BG129" i="3"/>
  <c r="AQ129" i="3"/>
  <c r="AA129" i="3"/>
  <c r="K129" i="3"/>
  <c r="BD128" i="3"/>
  <c r="AN128" i="3"/>
  <c r="X128" i="3"/>
  <c r="H128" i="3"/>
  <c r="BA127" i="3"/>
  <c r="AK127" i="3"/>
  <c r="U127" i="3"/>
  <c r="BM125" i="3"/>
  <c r="AW125" i="3"/>
  <c r="AG125" i="3"/>
  <c r="Q125" i="3"/>
  <c r="BF124" i="3"/>
  <c r="AP124" i="3"/>
  <c r="Z124" i="3"/>
  <c r="J124" i="3"/>
  <c r="AY123" i="3"/>
  <c r="AI123" i="3"/>
  <c r="S123" i="3"/>
  <c r="BL122" i="3"/>
  <c r="AV122" i="3"/>
  <c r="AF122" i="3"/>
  <c r="P122" i="3"/>
  <c r="BI121" i="3"/>
  <c r="AS121" i="3"/>
  <c r="AC121" i="3"/>
  <c r="M121" i="3"/>
  <c r="BB120" i="3"/>
  <c r="AL120" i="3"/>
  <c r="V120" i="3"/>
  <c r="BK119" i="3"/>
  <c r="AU119" i="3"/>
  <c r="AE119" i="3"/>
  <c r="O119" i="3"/>
  <c r="BH118" i="3"/>
  <c r="AR118" i="3"/>
  <c r="AB118" i="3"/>
  <c r="L118" i="3"/>
  <c r="BE117" i="3"/>
  <c r="AO117" i="3"/>
  <c r="Y117" i="3"/>
  <c r="I117" i="3"/>
  <c r="AX116" i="3"/>
  <c r="AH116" i="3"/>
  <c r="R116" i="3"/>
  <c r="BG115" i="3"/>
  <c r="AQ115" i="3"/>
  <c r="AA115" i="3"/>
  <c r="K115" i="3"/>
  <c r="BB206" i="3"/>
  <c r="AG206" i="3"/>
  <c r="K206" i="3"/>
  <c r="AT205" i="3"/>
  <c r="X205" i="3"/>
  <c r="BM204" i="3"/>
  <c r="AR204" i="3"/>
  <c r="W204" i="3"/>
  <c r="BJ203" i="3"/>
  <c r="AO203" i="3"/>
  <c r="T203" i="3"/>
  <c r="BG202" i="3"/>
  <c r="AL202" i="3"/>
  <c r="Q202" i="3"/>
  <c r="AY201" i="3"/>
  <c r="AD201" i="3"/>
  <c r="H201" i="3"/>
  <c r="AW200" i="3"/>
  <c r="AB200" i="3"/>
  <c r="I200" i="3"/>
  <c r="AX199" i="3"/>
  <c r="AH199" i="3"/>
  <c r="R199" i="3"/>
  <c r="BG198" i="3"/>
  <c r="AQ198" i="3"/>
  <c r="AA198" i="3"/>
  <c r="K198" i="3"/>
  <c r="BD197" i="3"/>
  <c r="AN197" i="3"/>
  <c r="X197" i="3"/>
  <c r="H197" i="3"/>
  <c r="BA196" i="3"/>
  <c r="AK196" i="3"/>
  <c r="U196" i="3"/>
  <c r="BJ195" i="3"/>
  <c r="AT195" i="3"/>
  <c r="AD195" i="3"/>
  <c r="N195" i="3"/>
  <c r="BC194" i="3"/>
  <c r="AM194" i="3"/>
  <c r="W194" i="3"/>
  <c r="G194" i="3"/>
  <c r="AZ193" i="3"/>
  <c r="AJ193" i="3"/>
  <c r="T193" i="3"/>
  <c r="BM192" i="3"/>
  <c r="AW192" i="3"/>
  <c r="AG192" i="3"/>
  <c r="Q192" i="3"/>
  <c r="BF191" i="3"/>
  <c r="AP191" i="3"/>
  <c r="Z191" i="3"/>
  <c r="J191" i="3"/>
  <c r="AY190" i="3"/>
  <c r="AI190" i="3"/>
  <c r="S190" i="3"/>
  <c r="BL189" i="3"/>
  <c r="AV189" i="3"/>
  <c r="AF189" i="3"/>
  <c r="P189" i="3"/>
  <c r="BI188" i="3"/>
  <c r="AS188" i="3"/>
  <c r="AC188" i="3"/>
  <c r="M188" i="3"/>
  <c r="BB187" i="3"/>
  <c r="AL187" i="3"/>
  <c r="V187" i="3"/>
  <c r="BK186" i="3"/>
  <c r="AU186" i="3"/>
  <c r="AE186" i="3"/>
  <c r="O186" i="3"/>
  <c r="BH185" i="3"/>
  <c r="AR185" i="3"/>
  <c r="AB185" i="3"/>
  <c r="L185" i="3"/>
  <c r="BE184" i="3"/>
  <c r="AO184" i="3"/>
  <c r="Y184" i="3"/>
  <c r="I184" i="3"/>
  <c r="AX183" i="3"/>
  <c r="AH183" i="3"/>
  <c r="R183" i="3"/>
  <c r="BG182" i="3"/>
  <c r="AQ182" i="3"/>
  <c r="AA182" i="3"/>
  <c r="K182" i="3"/>
  <c r="BD181" i="3"/>
  <c r="AN181" i="3"/>
  <c r="X181" i="3"/>
  <c r="H181" i="3"/>
  <c r="BA180" i="3"/>
  <c r="AK180" i="3"/>
  <c r="U180" i="3"/>
  <c r="BJ179" i="3"/>
  <c r="AT179" i="3"/>
  <c r="AD179" i="3"/>
  <c r="N179" i="3"/>
  <c r="BC178" i="3"/>
  <c r="AM178" i="3"/>
  <c r="W178" i="3"/>
  <c r="G178" i="3"/>
  <c r="AZ177" i="3"/>
  <c r="AJ177" i="3"/>
  <c r="T177" i="3"/>
  <c r="BM176" i="3"/>
  <c r="AW176" i="3"/>
  <c r="AG176" i="3"/>
  <c r="Q176" i="3"/>
  <c r="BF175" i="3"/>
  <c r="AP175" i="3"/>
  <c r="Z175" i="3"/>
  <c r="J175" i="3"/>
  <c r="AY174" i="3"/>
  <c r="AI174" i="3"/>
  <c r="S174" i="3"/>
  <c r="BL173" i="3"/>
  <c r="AV173" i="3"/>
  <c r="AF173" i="3"/>
  <c r="P173" i="3"/>
  <c r="BI172" i="3"/>
  <c r="AS172" i="3"/>
  <c r="AC172" i="3"/>
  <c r="M172" i="3"/>
  <c r="BB171" i="3"/>
  <c r="AL171" i="3"/>
  <c r="V171" i="3"/>
  <c r="BK170" i="3"/>
  <c r="AU170" i="3"/>
  <c r="AE170" i="3"/>
  <c r="O170" i="3"/>
  <c r="BH169" i="3"/>
  <c r="AR169" i="3"/>
  <c r="AB169" i="3"/>
  <c r="L169" i="3"/>
  <c r="BE168" i="3"/>
  <c r="AO168" i="3"/>
  <c r="Y168" i="3"/>
  <c r="I168" i="3"/>
  <c r="BA166" i="3"/>
  <c r="AK166" i="3"/>
  <c r="U166" i="3"/>
  <c r="BJ165" i="3"/>
  <c r="AT165" i="3"/>
  <c r="AD165" i="3"/>
  <c r="N165" i="3"/>
  <c r="BC164" i="3"/>
  <c r="AM164" i="3"/>
  <c r="W164" i="3"/>
  <c r="G164" i="3"/>
  <c r="AZ163" i="3"/>
  <c r="AJ163" i="3"/>
  <c r="T163" i="3"/>
  <c r="BM162" i="3"/>
  <c r="AW162" i="3"/>
  <c r="AG162" i="3"/>
  <c r="Q162" i="3"/>
  <c r="BF161" i="3"/>
  <c r="AP161" i="3"/>
  <c r="Z161" i="3"/>
  <c r="J161" i="3"/>
  <c r="AY160" i="3"/>
  <c r="AI160" i="3"/>
  <c r="S160" i="3"/>
  <c r="BL159" i="3"/>
  <c r="AV159" i="3"/>
  <c r="AF159" i="3"/>
  <c r="P159" i="3"/>
  <c r="BI158" i="3"/>
  <c r="AS158" i="3"/>
  <c r="AC158" i="3"/>
  <c r="M158" i="3"/>
  <c r="BB157" i="3"/>
  <c r="AL157" i="3"/>
  <c r="V157" i="3"/>
  <c r="BK156" i="3"/>
  <c r="AU156" i="3"/>
  <c r="AE156" i="3"/>
  <c r="O156" i="3"/>
  <c r="BH155" i="3"/>
  <c r="AR155" i="3"/>
  <c r="AB155" i="3"/>
  <c r="L155" i="3"/>
  <c r="BE154" i="3"/>
  <c r="AO154" i="3"/>
  <c r="Y154" i="3"/>
  <c r="I154" i="3"/>
  <c r="AX153" i="3"/>
  <c r="AH153" i="3"/>
  <c r="R153" i="3"/>
  <c r="BG152" i="3"/>
  <c r="AQ152" i="3"/>
  <c r="AA152" i="3"/>
  <c r="K152" i="3"/>
  <c r="BD151" i="3"/>
  <c r="AN151" i="3"/>
  <c r="X151" i="3"/>
  <c r="H151" i="3"/>
  <c r="BA150" i="3"/>
  <c r="AK150" i="3"/>
  <c r="U150" i="3"/>
  <c r="BJ149" i="3"/>
  <c r="AT149" i="3"/>
  <c r="AD149" i="3"/>
  <c r="N149" i="3"/>
  <c r="BC148" i="3"/>
  <c r="AM148" i="3"/>
  <c r="W148" i="3"/>
  <c r="G148" i="3"/>
  <c r="AZ147" i="3"/>
  <c r="AJ147" i="3"/>
  <c r="T147" i="3"/>
  <c r="BM146" i="3"/>
  <c r="AW146" i="3"/>
  <c r="AG146" i="3"/>
  <c r="Q146" i="3"/>
  <c r="BF145" i="3"/>
  <c r="AP145" i="3"/>
  <c r="Z145" i="3"/>
  <c r="J145" i="3"/>
  <c r="AY144" i="3"/>
  <c r="AI144" i="3"/>
  <c r="S144" i="3"/>
  <c r="BL143" i="3"/>
  <c r="AV143" i="3"/>
  <c r="AF143" i="3"/>
  <c r="P143" i="3"/>
  <c r="BI142" i="3"/>
  <c r="AS142" i="3"/>
  <c r="AC142" i="3"/>
  <c r="M142" i="3"/>
  <c r="BB141" i="3"/>
  <c r="AL141" i="3"/>
  <c r="V141" i="3"/>
  <c r="BK140" i="3"/>
  <c r="AU140" i="3"/>
  <c r="AE140" i="3"/>
  <c r="O140" i="3"/>
  <c r="BH139" i="3"/>
  <c r="AR139" i="3"/>
  <c r="AB139" i="3"/>
  <c r="L139" i="3"/>
  <c r="BE138" i="3"/>
  <c r="AO138" i="3"/>
  <c r="Y138" i="3"/>
  <c r="I138" i="3"/>
  <c r="AX137" i="3"/>
  <c r="AH137" i="3"/>
  <c r="R137" i="3"/>
  <c r="BG136" i="3"/>
  <c r="AQ136" i="3"/>
  <c r="AA136" i="3"/>
  <c r="K136" i="3"/>
  <c r="BD135" i="3"/>
  <c r="AN135" i="3"/>
  <c r="X135" i="3"/>
  <c r="H135" i="3"/>
  <c r="BA134" i="3"/>
  <c r="AK134" i="3"/>
  <c r="U134" i="3"/>
  <c r="BJ133" i="3"/>
  <c r="AT133" i="3"/>
  <c r="AD133" i="3"/>
  <c r="N133" i="3"/>
  <c r="BC132" i="3"/>
  <c r="AM132" i="3"/>
  <c r="W132" i="3"/>
  <c r="G132" i="3"/>
  <c r="AZ131" i="3"/>
  <c r="AJ131" i="3"/>
  <c r="T131" i="3"/>
  <c r="BM130" i="3"/>
  <c r="AW130" i="3"/>
  <c r="AG130" i="3"/>
  <c r="Q130" i="3"/>
  <c r="BF129" i="3"/>
  <c r="AP129" i="3"/>
  <c r="Z129" i="3"/>
  <c r="J129" i="3"/>
  <c r="AY128" i="3"/>
  <c r="AI128" i="3"/>
  <c r="S128" i="3"/>
  <c r="BL127" i="3"/>
  <c r="AV127" i="3"/>
  <c r="AF127" i="3"/>
  <c r="P127" i="3"/>
  <c r="BH125" i="3"/>
  <c r="AR125" i="3"/>
  <c r="AB125" i="3"/>
  <c r="L125" i="3"/>
  <c r="BE124" i="3"/>
  <c r="AO124" i="3"/>
  <c r="Y124" i="3"/>
  <c r="I124" i="3"/>
  <c r="AX123" i="3"/>
  <c r="AH123" i="3"/>
  <c r="R123" i="3"/>
  <c r="BG122" i="3"/>
  <c r="AQ122" i="3"/>
  <c r="AA122" i="3"/>
  <c r="K122" i="3"/>
  <c r="BD121" i="3"/>
  <c r="AN121" i="3"/>
  <c r="X121" i="3"/>
  <c r="H121" i="3"/>
  <c r="BA120" i="3"/>
  <c r="AK120" i="3"/>
  <c r="U120" i="3"/>
  <c r="BJ119" i="3"/>
  <c r="AT119" i="3"/>
  <c r="AD119" i="3"/>
  <c r="N119" i="3"/>
  <c r="BC118" i="3"/>
  <c r="AM118" i="3"/>
  <c r="W118" i="3"/>
  <c r="G118" i="3"/>
  <c r="AZ117" i="3"/>
  <c r="AJ117" i="3"/>
  <c r="T117" i="3"/>
  <c r="BM116" i="3"/>
  <c r="AW116" i="3"/>
  <c r="AG116" i="3"/>
  <c r="Q116" i="3"/>
  <c r="BF115" i="3"/>
  <c r="AP115" i="3"/>
  <c r="Z115" i="3"/>
  <c r="J115" i="3"/>
  <c r="AM114" i="3"/>
  <c r="O114" i="3"/>
  <c r="BE113" i="3"/>
  <c r="AO113" i="3"/>
  <c r="Y113" i="3"/>
  <c r="I113" i="3"/>
  <c r="AX112" i="3"/>
  <c r="AH112" i="3"/>
  <c r="R112" i="3"/>
  <c r="BG111" i="3"/>
  <c r="AQ111" i="3"/>
  <c r="AA111" i="3"/>
  <c r="K111" i="3"/>
  <c r="BD110" i="3"/>
  <c r="AN110" i="3"/>
  <c r="X110" i="3"/>
  <c r="H110" i="3"/>
  <c r="BA109" i="3"/>
  <c r="AK109" i="3"/>
  <c r="U109" i="3"/>
  <c r="BJ108" i="3"/>
  <c r="AT108" i="3"/>
  <c r="AD108" i="3"/>
  <c r="N108" i="3"/>
  <c r="BC107" i="3"/>
  <c r="AM107" i="3"/>
  <c r="W107" i="3"/>
  <c r="G107" i="3"/>
  <c r="AZ106" i="3"/>
  <c r="AJ106" i="3"/>
  <c r="T106" i="3"/>
  <c r="BM105" i="3"/>
  <c r="AW105" i="3"/>
  <c r="AG105" i="3"/>
  <c r="Q105" i="3"/>
  <c r="BF104" i="3"/>
  <c r="AP104" i="3"/>
  <c r="Z104" i="3"/>
  <c r="J104" i="3"/>
  <c r="AY103" i="3"/>
  <c r="AI103" i="3"/>
  <c r="S103" i="3"/>
  <c r="BL102" i="3"/>
  <c r="AV102" i="3"/>
  <c r="AF102" i="3"/>
  <c r="P102" i="3"/>
  <c r="BI101" i="3"/>
  <c r="AS101" i="3"/>
  <c r="AC101" i="3"/>
  <c r="M101" i="3"/>
  <c r="BB100" i="3"/>
  <c r="AL100" i="3"/>
  <c r="V100" i="3"/>
  <c r="BK99" i="3"/>
  <c r="AU99" i="3"/>
  <c r="AE99" i="3"/>
  <c r="O99" i="3"/>
  <c r="BH98" i="3"/>
  <c r="AR98" i="3"/>
  <c r="AB98" i="3"/>
  <c r="L98" i="3"/>
  <c r="BE97" i="3"/>
  <c r="AO97" i="3"/>
  <c r="Y97" i="3"/>
  <c r="I97" i="3"/>
  <c r="AX96" i="3"/>
  <c r="AH96" i="3"/>
  <c r="R96" i="3"/>
  <c r="BG95" i="3"/>
  <c r="AQ95" i="3"/>
  <c r="AA95" i="3"/>
  <c r="K95" i="3"/>
  <c r="BD94" i="3"/>
  <c r="AN94" i="3"/>
  <c r="X94" i="3"/>
  <c r="H94" i="3"/>
  <c r="BA93" i="3"/>
  <c r="AK93" i="3"/>
  <c r="U93" i="3"/>
  <c r="BJ92" i="3"/>
  <c r="AT92" i="3"/>
  <c r="AD92" i="3"/>
  <c r="N92" i="3"/>
  <c r="BC91" i="3"/>
  <c r="AM91" i="3"/>
  <c r="W91" i="3"/>
  <c r="G91" i="3"/>
  <c r="AZ90" i="3"/>
  <c r="AJ90" i="3"/>
  <c r="T90" i="3"/>
  <c r="BM89" i="3"/>
  <c r="AW89" i="3"/>
  <c r="AG89" i="3"/>
  <c r="Q89" i="3"/>
  <c r="BF88" i="3"/>
  <c r="AP88" i="3"/>
  <c r="Z88" i="3"/>
  <c r="J88" i="3"/>
  <c r="AY87" i="3"/>
  <c r="AI87" i="3"/>
  <c r="S87" i="3"/>
  <c r="BL86" i="3"/>
  <c r="AV86" i="3"/>
  <c r="AF86" i="3"/>
  <c r="P86" i="3"/>
  <c r="BH84" i="3"/>
  <c r="AR84" i="3"/>
  <c r="AB84" i="3"/>
  <c r="L84" i="3"/>
  <c r="BE83" i="3"/>
  <c r="AO83" i="3"/>
  <c r="Y83" i="3"/>
  <c r="I83" i="3"/>
  <c r="AX82" i="3"/>
  <c r="AH82" i="3"/>
  <c r="R82" i="3"/>
  <c r="BG81" i="3"/>
  <c r="AQ81" i="3"/>
  <c r="AA81" i="3"/>
  <c r="K81" i="3"/>
  <c r="BD80" i="3"/>
  <c r="AN80" i="3"/>
  <c r="X80" i="3"/>
  <c r="H80" i="3"/>
  <c r="BA79" i="3"/>
  <c r="AK79" i="3"/>
  <c r="U79" i="3"/>
  <c r="BJ78" i="3"/>
  <c r="AT78" i="3"/>
  <c r="AD78" i="3"/>
  <c r="N78" i="3"/>
  <c r="BC77" i="3"/>
  <c r="AM77" i="3"/>
  <c r="W77" i="3"/>
  <c r="G77" i="3"/>
  <c r="AZ76" i="3"/>
  <c r="AJ76" i="3"/>
  <c r="T76" i="3"/>
  <c r="BM75" i="3"/>
  <c r="AW75" i="3"/>
  <c r="AG75" i="3"/>
  <c r="Q75" i="3"/>
  <c r="BF74" i="3"/>
  <c r="AP74" i="3"/>
  <c r="Z74" i="3"/>
  <c r="J74" i="3"/>
  <c r="AY73" i="3"/>
  <c r="AI73" i="3"/>
  <c r="S73" i="3"/>
  <c r="BL72" i="3"/>
  <c r="AV72" i="3"/>
  <c r="AF72" i="3"/>
  <c r="P72" i="3"/>
  <c r="BI71" i="3"/>
  <c r="AS71" i="3"/>
  <c r="AC71" i="3"/>
  <c r="M71" i="3"/>
  <c r="BB70" i="3"/>
  <c r="AL70" i="3"/>
  <c r="V70" i="3"/>
  <c r="BK69" i="3"/>
  <c r="AU69" i="3"/>
  <c r="AE69" i="3"/>
  <c r="O69" i="3"/>
  <c r="BH68" i="3"/>
  <c r="AR68" i="3"/>
  <c r="AB68" i="3"/>
  <c r="L68" i="3"/>
  <c r="BE67" i="3"/>
  <c r="AO67" i="3"/>
  <c r="Y67" i="3"/>
  <c r="I67" i="3"/>
  <c r="AX66" i="3"/>
  <c r="AH66" i="3"/>
  <c r="R66" i="3"/>
  <c r="BG65" i="3"/>
  <c r="AQ65" i="3"/>
  <c r="AA65" i="3"/>
  <c r="K65" i="3"/>
  <c r="BD64" i="3"/>
  <c r="AN64" i="3"/>
  <c r="X64" i="3"/>
  <c r="H64" i="3"/>
  <c r="BA63" i="3"/>
  <c r="AK63" i="3"/>
  <c r="U63" i="3"/>
  <c r="BJ62" i="3"/>
  <c r="AT62" i="3"/>
  <c r="AD62" i="3"/>
  <c r="N62" i="3"/>
  <c r="BC61" i="3"/>
  <c r="AM61" i="3"/>
  <c r="W61" i="3"/>
  <c r="G61" i="3"/>
  <c r="AZ60" i="3"/>
  <c r="AJ60" i="3"/>
  <c r="T60" i="3"/>
  <c r="BM59" i="3"/>
  <c r="AW59" i="3"/>
  <c r="AG59" i="3"/>
  <c r="Q59" i="3"/>
  <c r="BF58" i="3"/>
  <c r="AP58" i="3"/>
  <c r="Z58" i="3"/>
  <c r="J58" i="3"/>
  <c r="AY57" i="3"/>
  <c r="AI57" i="3"/>
  <c r="S57" i="3"/>
  <c r="BL56" i="3"/>
  <c r="AV56" i="3"/>
  <c r="AF56" i="3"/>
  <c r="P56" i="3"/>
  <c r="BI55" i="3"/>
  <c r="AS55" i="3"/>
  <c r="AC55" i="3"/>
  <c r="M55" i="3"/>
  <c r="BB54" i="3"/>
  <c r="AL54" i="3"/>
  <c r="V54" i="3"/>
  <c r="BK53" i="3"/>
  <c r="AU53" i="3"/>
  <c r="AE53" i="3"/>
  <c r="O53" i="3"/>
  <c r="BH52" i="3"/>
  <c r="AR52" i="3"/>
  <c r="AB52" i="3"/>
  <c r="L52" i="3"/>
  <c r="BE51" i="3"/>
  <c r="AO51" i="3"/>
  <c r="Y51" i="3"/>
  <c r="I51" i="3"/>
  <c r="AX50" i="3"/>
  <c r="AH50" i="3"/>
  <c r="R50" i="3"/>
  <c r="BG49" i="3"/>
  <c r="AQ49" i="3"/>
  <c r="AA49" i="3"/>
  <c r="K49" i="3"/>
  <c r="BD48" i="3"/>
  <c r="AN48" i="3"/>
  <c r="X48" i="3"/>
  <c r="H48" i="3"/>
  <c r="BA47" i="3"/>
  <c r="AK47" i="3"/>
  <c r="U47" i="3"/>
  <c r="BJ46" i="3"/>
  <c r="AT46" i="3"/>
  <c r="AD46" i="3"/>
  <c r="N46" i="3"/>
  <c r="BC45" i="3"/>
  <c r="AM45" i="3"/>
  <c r="W45" i="3"/>
  <c r="G45" i="3"/>
  <c r="AY43" i="3"/>
  <c r="AI43" i="3"/>
  <c r="S43" i="3"/>
  <c r="BL42" i="3"/>
  <c r="AV42" i="3"/>
  <c r="AF42" i="3"/>
  <c r="P42" i="3"/>
  <c r="BI41" i="3"/>
  <c r="AS41" i="3"/>
  <c r="AC41" i="3"/>
  <c r="M41" i="3"/>
  <c r="BB40" i="3"/>
  <c r="AL40" i="3"/>
  <c r="V40" i="3"/>
  <c r="BK39" i="3"/>
  <c r="AU39" i="3"/>
  <c r="AE39" i="3"/>
  <c r="O39" i="3"/>
  <c r="BH38" i="3"/>
  <c r="AR38" i="3"/>
  <c r="AB38" i="3"/>
  <c r="L38" i="3"/>
  <c r="BE37" i="3"/>
  <c r="AO37" i="3"/>
  <c r="Y37" i="3"/>
  <c r="I37" i="3"/>
  <c r="AX36" i="3"/>
  <c r="AH36" i="3"/>
  <c r="R36" i="3"/>
  <c r="BG35" i="3"/>
  <c r="AQ35" i="3"/>
  <c r="AA35" i="3"/>
  <c r="K35" i="3"/>
  <c r="BD34" i="3"/>
  <c r="AN34" i="3"/>
  <c r="X34" i="3"/>
  <c r="H34" i="3"/>
  <c r="BA33" i="3"/>
  <c r="AK33" i="3"/>
  <c r="U33" i="3"/>
  <c r="BJ32" i="3"/>
  <c r="AT32" i="3"/>
  <c r="AD32" i="3"/>
  <c r="N32" i="3"/>
  <c r="BC31" i="3"/>
  <c r="AM31" i="3"/>
  <c r="W31" i="3"/>
  <c r="G31" i="3"/>
  <c r="AZ30" i="3"/>
  <c r="AJ30" i="3"/>
  <c r="T30" i="3"/>
  <c r="BM29" i="3"/>
  <c r="AW29" i="3"/>
  <c r="AG29" i="3"/>
  <c r="Q29" i="3"/>
  <c r="BF28" i="3"/>
  <c r="AP28" i="3"/>
  <c r="Z28" i="3"/>
  <c r="J28" i="3"/>
  <c r="AY27" i="3"/>
  <c r="AI27" i="3"/>
  <c r="S27" i="3"/>
  <c r="BL26" i="3"/>
  <c r="AV26" i="3"/>
  <c r="AF26" i="3"/>
  <c r="P26" i="3"/>
  <c r="BI25" i="3"/>
  <c r="AS25" i="3"/>
  <c r="AC25" i="3"/>
  <c r="M25" i="3"/>
  <c r="BB24" i="3"/>
  <c r="AL24" i="3"/>
  <c r="V24" i="3"/>
  <c r="BK23" i="3"/>
  <c r="AU23" i="3"/>
  <c r="AE23" i="3"/>
  <c r="O23" i="3"/>
  <c r="AZ114" i="3"/>
  <c r="X114" i="3"/>
  <c r="BL113" i="3"/>
  <c r="AV113" i="3"/>
  <c r="AF113" i="3"/>
  <c r="P113" i="3"/>
  <c r="BI112" i="3"/>
  <c r="AS112" i="3"/>
  <c r="AC112" i="3"/>
  <c r="M112" i="3"/>
  <c r="BB111" i="3"/>
  <c r="AL111" i="3"/>
  <c r="V111" i="3"/>
  <c r="BK110" i="3"/>
  <c r="AU110" i="3"/>
  <c r="AE110" i="3"/>
  <c r="O110" i="3"/>
  <c r="BH109" i="3"/>
  <c r="AR109" i="3"/>
  <c r="AB109" i="3"/>
  <c r="L109" i="3"/>
  <c r="BE108" i="3"/>
  <c r="AO108" i="3"/>
  <c r="Y108" i="3"/>
  <c r="I108" i="3"/>
  <c r="AX107" i="3"/>
  <c r="AH107" i="3"/>
  <c r="R107" i="3"/>
  <c r="BG106" i="3"/>
  <c r="AQ106" i="3"/>
  <c r="AA106" i="3"/>
  <c r="K106" i="3"/>
  <c r="BD105" i="3"/>
  <c r="AN105" i="3"/>
  <c r="X105" i="3"/>
  <c r="H105" i="3"/>
  <c r="BA104" i="3"/>
  <c r="AK104" i="3"/>
  <c r="U104" i="3"/>
  <c r="BJ103" i="3"/>
  <c r="AT103" i="3"/>
  <c r="AD103" i="3"/>
  <c r="N103" i="3"/>
  <c r="BC102" i="3"/>
  <c r="AM102" i="3"/>
  <c r="W102" i="3"/>
  <c r="G102" i="3"/>
  <c r="AZ101" i="3"/>
  <c r="AJ101" i="3"/>
  <c r="T101" i="3"/>
  <c r="BM100" i="3"/>
  <c r="AW100" i="3"/>
  <c r="AG100" i="3"/>
  <c r="Q100" i="3"/>
  <c r="BF99" i="3"/>
  <c r="AP99" i="3"/>
  <c r="Z99" i="3"/>
  <c r="J99" i="3"/>
  <c r="AY98" i="3"/>
  <c r="AI98" i="3"/>
  <c r="S98" i="3"/>
  <c r="BL97" i="3"/>
  <c r="AV97" i="3"/>
  <c r="AF97" i="3"/>
  <c r="P97" i="3"/>
  <c r="BI96" i="3"/>
  <c r="AS96" i="3"/>
  <c r="AC96" i="3"/>
  <c r="M96" i="3"/>
  <c r="BB95" i="3"/>
  <c r="AL95" i="3"/>
  <c r="V95" i="3"/>
  <c r="BK94" i="3"/>
  <c r="AU94" i="3"/>
  <c r="AE94" i="3"/>
  <c r="O94" i="3"/>
  <c r="BH93" i="3"/>
  <c r="AR93" i="3"/>
  <c r="AB93" i="3"/>
  <c r="L93" i="3"/>
  <c r="BE92" i="3"/>
  <c r="AO92" i="3"/>
  <c r="Y92" i="3"/>
  <c r="I92" i="3"/>
  <c r="AX91" i="3"/>
  <c r="AH91" i="3"/>
  <c r="R91" i="3"/>
  <c r="BG90" i="3"/>
  <c r="AQ90" i="3"/>
  <c r="AA90" i="3"/>
  <c r="K90" i="3"/>
  <c r="BD89" i="3"/>
  <c r="AN89" i="3"/>
  <c r="X89" i="3"/>
  <c r="H89" i="3"/>
  <c r="BA88" i="3"/>
  <c r="AK88" i="3"/>
  <c r="U88" i="3"/>
  <c r="BJ87" i="3"/>
  <c r="AT87" i="3"/>
  <c r="AD87" i="3"/>
  <c r="N87" i="3"/>
  <c r="BC86" i="3"/>
  <c r="AM86" i="3"/>
  <c r="W86" i="3"/>
  <c r="G86" i="3"/>
  <c r="AY84" i="3"/>
  <c r="AI84" i="3"/>
  <c r="S84" i="3"/>
  <c r="BL83" i="3"/>
  <c r="AV83" i="3"/>
  <c r="AF83" i="3"/>
  <c r="P83" i="3"/>
  <c r="BI82" i="3"/>
  <c r="AS82" i="3"/>
  <c r="AC82" i="3"/>
  <c r="M82" i="3"/>
  <c r="BB81" i="3"/>
  <c r="AL81" i="3"/>
  <c r="V81" i="3"/>
  <c r="BK80" i="3"/>
  <c r="AU80" i="3"/>
  <c r="AE80" i="3"/>
  <c r="O80" i="3"/>
  <c r="BH79" i="3"/>
  <c r="AR79" i="3"/>
  <c r="AB79" i="3"/>
  <c r="L79" i="3"/>
  <c r="BE78" i="3"/>
  <c r="AO78" i="3"/>
  <c r="Y78" i="3"/>
  <c r="I78" i="3"/>
  <c r="AX77" i="3"/>
  <c r="AH77" i="3"/>
  <c r="R77" i="3"/>
  <c r="BG76" i="3"/>
  <c r="AQ76" i="3"/>
  <c r="AA76" i="3"/>
  <c r="K76" i="3"/>
  <c r="BD75" i="3"/>
  <c r="AN75" i="3"/>
  <c r="X75" i="3"/>
  <c r="H75" i="3"/>
  <c r="BA74" i="3"/>
  <c r="AK74" i="3"/>
  <c r="U74" i="3"/>
  <c r="BJ73" i="3"/>
  <c r="AT73" i="3"/>
  <c r="AD73" i="3"/>
  <c r="N73" i="3"/>
  <c r="BC72" i="3"/>
  <c r="AM72" i="3"/>
  <c r="W72" i="3"/>
  <c r="G72" i="3"/>
  <c r="AZ71" i="3"/>
  <c r="AJ71" i="3"/>
  <c r="T71" i="3"/>
  <c r="BM70" i="3"/>
  <c r="AW70" i="3"/>
  <c r="AG70" i="3"/>
  <c r="Q70" i="3"/>
  <c r="BF69" i="3"/>
  <c r="AP69" i="3"/>
  <c r="Z69" i="3"/>
  <c r="J69" i="3"/>
  <c r="AY68" i="3"/>
  <c r="AI68" i="3"/>
  <c r="S68" i="3"/>
  <c r="BL67" i="3"/>
  <c r="AV67" i="3"/>
  <c r="AF67" i="3"/>
  <c r="P67" i="3"/>
  <c r="BI66" i="3"/>
  <c r="AS66" i="3"/>
  <c r="AC66" i="3"/>
  <c r="M66" i="3"/>
  <c r="BB65" i="3"/>
  <c r="AL65" i="3"/>
  <c r="V65" i="3"/>
  <c r="BK64" i="3"/>
  <c r="AU64" i="3"/>
  <c r="AE64" i="3"/>
  <c r="O64" i="3"/>
  <c r="BH63" i="3"/>
  <c r="AR63" i="3"/>
  <c r="AB63" i="3"/>
  <c r="L63" i="3"/>
  <c r="BE62" i="3"/>
  <c r="AO62" i="3"/>
  <c r="Y62" i="3"/>
  <c r="I62" i="3"/>
  <c r="AX61" i="3"/>
  <c r="AH61" i="3"/>
  <c r="R61" i="3"/>
  <c r="BG60" i="3"/>
  <c r="AQ60" i="3"/>
  <c r="AA60" i="3"/>
  <c r="K60" i="3"/>
  <c r="BD59" i="3"/>
  <c r="AN59" i="3"/>
  <c r="X59" i="3"/>
  <c r="H59" i="3"/>
  <c r="BA58" i="3"/>
  <c r="AK58" i="3"/>
  <c r="U58" i="3"/>
  <c r="BJ57" i="3"/>
  <c r="AT57" i="3"/>
  <c r="AD57" i="3"/>
  <c r="N57" i="3"/>
  <c r="BC56" i="3"/>
  <c r="AM56" i="3"/>
  <c r="W56" i="3"/>
  <c r="G56" i="3"/>
  <c r="AZ55" i="3"/>
  <c r="AJ55" i="3"/>
  <c r="T55" i="3"/>
  <c r="BM54" i="3"/>
  <c r="AW54" i="3"/>
  <c r="AG54" i="3"/>
  <c r="Q54" i="3"/>
  <c r="BF53" i="3"/>
  <c r="AP53" i="3"/>
  <c r="Z53" i="3"/>
  <c r="J53" i="3"/>
  <c r="AY52" i="3"/>
  <c r="AI52" i="3"/>
  <c r="S52" i="3"/>
  <c r="BL51" i="3"/>
  <c r="AV51" i="3"/>
  <c r="AF51" i="3"/>
  <c r="P51" i="3"/>
  <c r="BI50" i="3"/>
  <c r="AS50" i="3"/>
  <c r="AC50" i="3"/>
  <c r="M50" i="3"/>
  <c r="BB49" i="3"/>
  <c r="AL49" i="3"/>
  <c r="V49" i="3"/>
  <c r="BK48" i="3"/>
  <c r="AU48" i="3"/>
  <c r="AE48" i="3"/>
  <c r="O48" i="3"/>
  <c r="BH47" i="3"/>
  <c r="AR47" i="3"/>
  <c r="AB47" i="3"/>
  <c r="L47" i="3"/>
  <c r="BE46" i="3"/>
  <c r="AO46" i="3"/>
  <c r="Y46" i="3"/>
  <c r="I46" i="3"/>
  <c r="AX45" i="3"/>
  <c r="AH45" i="3"/>
  <c r="R45" i="3"/>
  <c r="BF43" i="3"/>
  <c r="AP43" i="3"/>
  <c r="Z43" i="3"/>
  <c r="J43" i="3"/>
  <c r="AY42" i="3"/>
  <c r="AI42" i="3"/>
  <c r="S42" i="3"/>
  <c r="BL41" i="3"/>
  <c r="AV41" i="3"/>
  <c r="AF41" i="3"/>
  <c r="P41" i="3"/>
  <c r="BI40" i="3"/>
  <c r="AS40" i="3"/>
  <c r="AC40" i="3"/>
  <c r="M40" i="3"/>
  <c r="BB39" i="3"/>
  <c r="AL39" i="3"/>
  <c r="V39" i="3"/>
  <c r="BK38" i="3"/>
  <c r="AU38" i="3"/>
  <c r="AE38" i="3"/>
  <c r="O38" i="3"/>
  <c r="BH37" i="3"/>
  <c r="AR37" i="3"/>
  <c r="AB37" i="3"/>
  <c r="L37" i="3"/>
  <c r="BE36" i="3"/>
  <c r="AO36" i="3"/>
  <c r="Y36" i="3"/>
  <c r="I36" i="3"/>
  <c r="AX35" i="3"/>
  <c r="AH35" i="3"/>
  <c r="R35" i="3"/>
  <c r="BG34" i="3"/>
  <c r="AQ34" i="3"/>
  <c r="AA34" i="3"/>
  <c r="K34" i="3"/>
  <c r="BD33" i="3"/>
  <c r="AN33" i="3"/>
  <c r="X33" i="3"/>
  <c r="H33" i="3"/>
  <c r="BA32" i="3"/>
  <c r="AK32" i="3"/>
  <c r="U32" i="3"/>
  <c r="BJ31" i="3"/>
  <c r="AT31" i="3"/>
  <c r="AD31" i="3"/>
  <c r="N31" i="3"/>
  <c r="BC30" i="3"/>
  <c r="AM30" i="3"/>
  <c r="W30" i="3"/>
  <c r="G30" i="3"/>
  <c r="AZ29" i="3"/>
  <c r="AJ29" i="3"/>
  <c r="T29" i="3"/>
  <c r="BM28" i="3"/>
  <c r="AW28" i="3"/>
  <c r="AG28" i="3"/>
  <c r="Q28" i="3"/>
  <c r="BF27" i="3"/>
  <c r="AP27" i="3"/>
  <c r="Z27" i="3"/>
  <c r="J27" i="3"/>
  <c r="AY26" i="3"/>
  <c r="AI26" i="3"/>
  <c r="S26" i="3"/>
  <c r="BL25" i="3"/>
  <c r="AV25" i="3"/>
  <c r="AF25" i="3"/>
  <c r="P25" i="3"/>
  <c r="BI24" i="3"/>
  <c r="AS24" i="3"/>
  <c r="AC24" i="3"/>
  <c r="M24" i="3"/>
  <c r="BB23" i="3"/>
  <c r="AL23" i="3"/>
  <c r="AQ114" i="3"/>
  <c r="Q114" i="3"/>
  <c r="BG113" i="3"/>
  <c r="AQ113" i="3"/>
  <c r="AA113" i="3"/>
  <c r="K113" i="3"/>
  <c r="BD112" i="3"/>
  <c r="AN112" i="3"/>
  <c r="X112" i="3"/>
  <c r="H112" i="3"/>
  <c r="BA111" i="3"/>
  <c r="AK111" i="3"/>
  <c r="U111" i="3"/>
  <c r="BJ110" i="3"/>
  <c r="AT110" i="3"/>
  <c r="AD110" i="3"/>
  <c r="N110" i="3"/>
  <c r="BC109" i="3"/>
  <c r="AM109" i="3"/>
  <c r="W109" i="3"/>
  <c r="G109" i="3"/>
  <c r="AZ108" i="3"/>
  <c r="AJ108" i="3"/>
  <c r="T108" i="3"/>
  <c r="BM107" i="3"/>
  <c r="AW107" i="3"/>
  <c r="AG107" i="3"/>
  <c r="Q107" i="3"/>
  <c r="BF106" i="3"/>
  <c r="AP106" i="3"/>
  <c r="Z106" i="3"/>
  <c r="J106" i="3"/>
  <c r="AY105" i="3"/>
  <c r="AI105" i="3"/>
  <c r="S105" i="3"/>
  <c r="BL104" i="3"/>
  <c r="AV104" i="3"/>
  <c r="AF104" i="3"/>
  <c r="P104" i="3"/>
  <c r="BI103" i="3"/>
  <c r="AS103" i="3"/>
  <c r="AC103" i="3"/>
  <c r="M103" i="3"/>
  <c r="BB102" i="3"/>
  <c r="AL102" i="3"/>
  <c r="V102" i="3"/>
  <c r="BK101" i="3"/>
  <c r="AU101" i="3"/>
  <c r="AE101" i="3"/>
  <c r="O101" i="3"/>
  <c r="BH100" i="3"/>
  <c r="AR100" i="3"/>
  <c r="AB100" i="3"/>
  <c r="L100" i="3"/>
  <c r="BE99" i="3"/>
  <c r="AO99" i="3"/>
  <c r="Y99" i="3"/>
  <c r="I99" i="3"/>
  <c r="AX98" i="3"/>
  <c r="AH98" i="3"/>
  <c r="R98" i="3"/>
  <c r="BG97" i="3"/>
  <c r="AQ97" i="3"/>
  <c r="AA97" i="3"/>
  <c r="K97" i="3"/>
  <c r="BD96" i="3"/>
  <c r="AN96" i="3"/>
  <c r="X96" i="3"/>
  <c r="H96" i="3"/>
  <c r="BA95" i="3"/>
  <c r="AK95" i="3"/>
  <c r="U95" i="3"/>
  <c r="BJ94" i="3"/>
  <c r="AT94" i="3"/>
  <c r="AD94" i="3"/>
  <c r="N94" i="3"/>
  <c r="BC93" i="3"/>
  <c r="AM93" i="3"/>
  <c r="W93" i="3"/>
  <c r="G93" i="3"/>
  <c r="AZ92" i="3"/>
  <c r="AJ92" i="3"/>
  <c r="T92" i="3"/>
  <c r="BM91" i="3"/>
  <c r="AW91" i="3"/>
  <c r="AG91" i="3"/>
  <c r="Q91" i="3"/>
  <c r="BF90" i="3"/>
  <c r="AP90" i="3"/>
  <c r="Z90" i="3"/>
  <c r="J90" i="3"/>
  <c r="AY89" i="3"/>
  <c r="AI89" i="3"/>
  <c r="S89" i="3"/>
  <c r="BL88" i="3"/>
  <c r="AV88" i="3"/>
  <c r="AF88" i="3"/>
  <c r="P88" i="3"/>
  <c r="BI87" i="3"/>
  <c r="AS87" i="3"/>
  <c r="AC87" i="3"/>
  <c r="M87" i="3"/>
  <c r="BB86" i="3"/>
  <c r="AL86" i="3"/>
  <c r="V86" i="3"/>
  <c r="BJ84" i="3"/>
  <c r="AT84" i="3"/>
  <c r="AD84" i="3"/>
  <c r="N84" i="3"/>
  <c r="BC83" i="3"/>
  <c r="AM83" i="3"/>
  <c r="W83" i="3"/>
  <c r="G83" i="3"/>
  <c r="AZ82" i="3"/>
  <c r="AJ82" i="3"/>
  <c r="T82" i="3"/>
  <c r="BM81" i="3"/>
  <c r="AW81" i="3"/>
  <c r="AG81" i="3"/>
  <c r="Q81" i="3"/>
  <c r="BF80" i="3"/>
  <c r="AP80" i="3"/>
  <c r="Z80" i="3"/>
  <c r="J80" i="3"/>
  <c r="AY79" i="3"/>
  <c r="AI79" i="3"/>
  <c r="S79" i="3"/>
  <c r="BL78" i="3"/>
  <c r="AV78" i="3"/>
  <c r="AF78" i="3"/>
  <c r="P78" i="3"/>
  <c r="BI77" i="3"/>
  <c r="AS77" i="3"/>
  <c r="AC77" i="3"/>
  <c r="M77" i="3"/>
  <c r="BB76" i="3"/>
  <c r="AL76" i="3"/>
  <c r="V76" i="3"/>
  <c r="BK75" i="3"/>
  <c r="AU75" i="3"/>
  <c r="AE75" i="3"/>
  <c r="O75" i="3"/>
  <c r="BH74" i="3"/>
  <c r="AR74" i="3"/>
  <c r="AB74" i="3"/>
  <c r="L74" i="3"/>
  <c r="BE73" i="3"/>
  <c r="AO73" i="3"/>
  <c r="Y73" i="3"/>
  <c r="I73" i="3"/>
  <c r="AX72" i="3"/>
  <c r="AH72" i="3"/>
  <c r="R72" i="3"/>
  <c r="BG71" i="3"/>
  <c r="AQ71" i="3"/>
  <c r="AA71" i="3"/>
  <c r="K71" i="3"/>
  <c r="BD70" i="3"/>
  <c r="AN70" i="3"/>
  <c r="X70" i="3"/>
  <c r="H70" i="3"/>
  <c r="BA69" i="3"/>
  <c r="AK69" i="3"/>
  <c r="U69" i="3"/>
  <c r="BJ68" i="3"/>
  <c r="AT68" i="3"/>
  <c r="AD68" i="3"/>
  <c r="N68" i="3"/>
  <c r="BC67" i="3"/>
  <c r="AM67" i="3"/>
  <c r="W67" i="3"/>
  <c r="G67" i="3"/>
  <c r="AZ66" i="3"/>
  <c r="AJ66" i="3"/>
  <c r="T66" i="3"/>
  <c r="BM65" i="3"/>
  <c r="AW65" i="3"/>
  <c r="AG65" i="3"/>
  <c r="Q65" i="3"/>
  <c r="BF64" i="3"/>
  <c r="AP64" i="3"/>
  <c r="Z64" i="3"/>
  <c r="J64" i="3"/>
  <c r="AY63" i="3"/>
  <c r="AI63" i="3"/>
  <c r="S63" i="3"/>
  <c r="BL62" i="3"/>
  <c r="AV62" i="3"/>
  <c r="AF62" i="3"/>
  <c r="P62" i="3"/>
  <c r="BI61" i="3"/>
  <c r="AS61" i="3"/>
  <c r="AC61" i="3"/>
  <c r="M61" i="3"/>
  <c r="BB60" i="3"/>
  <c r="AL60" i="3"/>
  <c r="V60" i="3"/>
  <c r="BK59" i="3"/>
  <c r="AU59" i="3"/>
  <c r="AE59" i="3"/>
  <c r="O59" i="3"/>
  <c r="BH58" i="3"/>
  <c r="AR58" i="3"/>
  <c r="AB58" i="3"/>
  <c r="L58" i="3"/>
  <c r="BE57" i="3"/>
  <c r="AO57" i="3"/>
  <c r="Y57" i="3"/>
  <c r="I57" i="3"/>
  <c r="AX56" i="3"/>
  <c r="AH56" i="3"/>
  <c r="R56" i="3"/>
  <c r="BG55" i="3"/>
  <c r="AQ55" i="3"/>
  <c r="AA55" i="3"/>
  <c r="K55" i="3"/>
  <c r="BD54" i="3"/>
  <c r="AN54" i="3"/>
  <c r="X54" i="3"/>
  <c r="H54" i="3"/>
  <c r="BA53" i="3"/>
  <c r="AK53" i="3"/>
  <c r="U53" i="3"/>
  <c r="BJ52" i="3"/>
  <c r="AT52" i="3"/>
  <c r="AD52" i="3"/>
  <c r="N52" i="3"/>
  <c r="BC51" i="3"/>
  <c r="AM51" i="3"/>
  <c r="W51" i="3"/>
  <c r="G51" i="3"/>
  <c r="AZ50" i="3"/>
  <c r="AJ50" i="3"/>
  <c r="T50" i="3"/>
  <c r="BM49" i="3"/>
  <c r="AW49" i="3"/>
  <c r="AG49" i="3"/>
  <c r="Q49" i="3"/>
  <c r="BF48" i="3"/>
  <c r="AP48" i="3"/>
  <c r="Z48" i="3"/>
  <c r="J48" i="3"/>
  <c r="AY47" i="3"/>
  <c r="AI47" i="3"/>
  <c r="S47" i="3"/>
  <c r="BL46" i="3"/>
  <c r="AV46" i="3"/>
  <c r="AF46" i="3"/>
  <c r="P46" i="3"/>
  <c r="BI45" i="3"/>
  <c r="AS45" i="3"/>
  <c r="AC45" i="3"/>
  <c r="M45" i="3"/>
  <c r="BE43" i="3"/>
  <c r="AO43" i="3"/>
  <c r="Y43" i="3"/>
  <c r="I43" i="3"/>
  <c r="AX42" i="3"/>
  <c r="AH42" i="3"/>
  <c r="R42" i="3"/>
  <c r="BG41" i="3"/>
  <c r="AQ41" i="3"/>
  <c r="AA41" i="3"/>
  <c r="K41" i="3"/>
  <c r="BD40" i="3"/>
  <c r="AN40" i="3"/>
  <c r="X40" i="3"/>
  <c r="H40" i="3"/>
  <c r="BA39" i="3"/>
  <c r="AK39" i="3"/>
  <c r="U39" i="3"/>
  <c r="BJ38" i="3"/>
  <c r="AT38" i="3"/>
  <c r="AD38" i="3"/>
  <c r="N38" i="3"/>
  <c r="BC37" i="3"/>
  <c r="AM37" i="3"/>
  <c r="W37" i="3"/>
  <c r="G37" i="3"/>
  <c r="AZ36" i="3"/>
  <c r="AJ36" i="3"/>
  <c r="T36" i="3"/>
  <c r="BM35" i="3"/>
  <c r="AW35" i="3"/>
  <c r="AG35" i="3"/>
  <c r="Q35" i="3"/>
  <c r="BF34" i="3"/>
  <c r="AP34" i="3"/>
  <c r="Z34" i="3"/>
  <c r="J34" i="3"/>
  <c r="AY33" i="3"/>
  <c r="AI33" i="3"/>
  <c r="S33" i="3"/>
  <c r="BL32" i="3"/>
  <c r="AV32" i="3"/>
  <c r="AF32" i="3"/>
  <c r="P32" i="3"/>
  <c r="BI31" i="3"/>
  <c r="AS31" i="3"/>
  <c r="AC31" i="3"/>
  <c r="M31" i="3"/>
  <c r="BB30" i="3"/>
  <c r="AL30" i="3"/>
  <c r="V30" i="3"/>
  <c r="BK29" i="3"/>
  <c r="AU29" i="3"/>
  <c r="AE29" i="3"/>
  <c r="O29" i="3"/>
  <c r="BH28" i="3"/>
  <c r="AR28" i="3"/>
  <c r="AB28" i="3"/>
  <c r="L28" i="3"/>
  <c r="BE27" i="3"/>
  <c r="AO27" i="3"/>
  <c r="Y27" i="3"/>
  <c r="I27" i="3"/>
  <c r="AX26" i="3"/>
  <c r="AH26" i="3"/>
  <c r="R26" i="3"/>
  <c r="BG25" i="3"/>
  <c r="AQ25" i="3"/>
  <c r="AA25" i="3"/>
  <c r="K25" i="3"/>
  <c r="BD24" i="3"/>
  <c r="AN24" i="3"/>
  <c r="X24" i="3"/>
  <c r="H24" i="3"/>
  <c r="BA23" i="3"/>
  <c r="BD114" i="3"/>
  <c r="AA114" i="3"/>
  <c r="BJ113" i="3"/>
  <c r="AT113" i="3"/>
  <c r="AD113" i="3"/>
  <c r="N113" i="3"/>
  <c r="BC112" i="3"/>
  <c r="AM112" i="3"/>
  <c r="W112" i="3"/>
  <c r="G112" i="3"/>
  <c r="AZ111" i="3"/>
  <c r="AJ111" i="3"/>
  <c r="T111" i="3"/>
  <c r="BM110" i="3"/>
  <c r="AW110" i="3"/>
  <c r="AG110" i="3"/>
  <c r="Q110" i="3"/>
  <c r="BF109" i="3"/>
  <c r="AP109" i="3"/>
  <c r="Z109" i="3"/>
  <c r="J109" i="3"/>
  <c r="AY108" i="3"/>
  <c r="AI108" i="3"/>
  <c r="S108" i="3"/>
  <c r="BL107" i="3"/>
  <c r="AV107" i="3"/>
  <c r="AF107" i="3"/>
  <c r="P107" i="3"/>
  <c r="BI106" i="3"/>
  <c r="AS106" i="3"/>
  <c r="AC106" i="3"/>
  <c r="M106" i="3"/>
  <c r="BB105" i="3"/>
  <c r="AL105" i="3"/>
  <c r="V105" i="3"/>
  <c r="BK104" i="3"/>
  <c r="AU104" i="3"/>
  <c r="AE104" i="3"/>
  <c r="O104" i="3"/>
  <c r="BH103" i="3"/>
  <c r="AR103" i="3"/>
  <c r="AB103" i="3"/>
  <c r="L103" i="3"/>
  <c r="BE102" i="3"/>
  <c r="AO102" i="3"/>
  <c r="Y102" i="3"/>
  <c r="I102" i="3"/>
  <c r="AX101" i="3"/>
  <c r="AH101" i="3"/>
  <c r="R101" i="3"/>
  <c r="BG100" i="3"/>
  <c r="AQ100" i="3"/>
  <c r="AA100" i="3"/>
  <c r="K100" i="3"/>
  <c r="BD99" i="3"/>
  <c r="AN99" i="3"/>
  <c r="X99" i="3"/>
  <c r="H99" i="3"/>
  <c r="BA98" i="3"/>
  <c r="AK98" i="3"/>
  <c r="U98" i="3"/>
  <c r="BJ97" i="3"/>
  <c r="AT97" i="3"/>
  <c r="AD97" i="3"/>
  <c r="N97" i="3"/>
  <c r="BC96" i="3"/>
  <c r="AM96" i="3"/>
  <c r="W96" i="3"/>
  <c r="G96" i="3"/>
  <c r="AZ95" i="3"/>
  <c r="AJ95" i="3"/>
  <c r="T95" i="3"/>
  <c r="BM94" i="3"/>
  <c r="AW94" i="3"/>
  <c r="AG94" i="3"/>
  <c r="Q94" i="3"/>
  <c r="BF93" i="3"/>
  <c r="AP93" i="3"/>
  <c r="Z93" i="3"/>
  <c r="J93" i="3"/>
  <c r="AY92" i="3"/>
  <c r="AI92" i="3"/>
  <c r="S92" i="3"/>
  <c r="BL91" i="3"/>
  <c r="AV91" i="3"/>
  <c r="AF91" i="3"/>
  <c r="P91" i="3"/>
  <c r="BI90" i="3"/>
  <c r="AS90" i="3"/>
  <c r="AC90" i="3"/>
  <c r="M90" i="3"/>
  <c r="BB89" i="3"/>
  <c r="AL89" i="3"/>
  <c r="V89" i="3"/>
  <c r="BK88" i="3"/>
  <c r="AU88" i="3"/>
  <c r="AE88" i="3"/>
  <c r="O88" i="3"/>
  <c r="AN87" i="3"/>
  <c r="AO86" i="3"/>
  <c r="AW84" i="3"/>
  <c r="AT83" i="3"/>
  <c r="AU82" i="3"/>
  <c r="AV81" i="3"/>
  <c r="AW80" i="3"/>
  <c r="AT79" i="3"/>
  <c r="AU78" i="3"/>
  <c r="AV77" i="3"/>
  <c r="AW76" i="3"/>
  <c r="AT75" i="3"/>
  <c r="AU74" i="3"/>
  <c r="AV73" i="3"/>
  <c r="AW72" i="3"/>
  <c r="AT71" i="3"/>
  <c r="AU70" i="3"/>
  <c r="AV69" i="3"/>
  <c r="AW68" i="3"/>
  <c r="AT67" i="3"/>
  <c r="AU66" i="3"/>
  <c r="AV65" i="3"/>
  <c r="AW64" i="3"/>
  <c r="AT63" i="3"/>
  <c r="AU62" i="3"/>
  <c r="AV61" i="3"/>
  <c r="AW60" i="3"/>
  <c r="AT59" i="3"/>
  <c r="AU58" i="3"/>
  <c r="AV57" i="3"/>
  <c r="AW56" i="3"/>
  <c r="AT55" i="3"/>
  <c r="AU54" i="3"/>
  <c r="AV53" i="3"/>
  <c r="AW52" i="3"/>
  <c r="AT51" i="3"/>
  <c r="AU50" i="3"/>
  <c r="AV49" i="3"/>
  <c r="AW48" i="3"/>
  <c r="AT47" i="3"/>
  <c r="AU46" i="3"/>
  <c r="AV45" i="3"/>
  <c r="AN43" i="3"/>
  <c r="AO42" i="3"/>
  <c r="AL41" i="3"/>
  <c r="W40" i="3"/>
  <c r="X39" i="3"/>
  <c r="Y38" i="3"/>
  <c r="V37" i="3"/>
  <c r="G36" i="3"/>
  <c r="H35" i="3"/>
  <c r="I34" i="3"/>
  <c r="BC32" i="3"/>
  <c r="BD31" i="3"/>
  <c r="BE30" i="3"/>
  <c r="BB29" i="3"/>
  <c r="AM28" i="3"/>
  <c r="AN27" i="3"/>
  <c r="AO26" i="3"/>
  <c r="AL25" i="3"/>
  <c r="W24" i="3"/>
  <c r="AG23" i="3"/>
  <c r="L23" i="3"/>
  <c r="AY22" i="3"/>
  <c r="AI22" i="3"/>
  <c r="S22" i="3"/>
  <c r="BL21" i="3"/>
  <c r="AV21" i="3"/>
  <c r="AF21" i="3"/>
  <c r="P21" i="3"/>
  <c r="BI20" i="3"/>
  <c r="AS20" i="3"/>
  <c r="AC20" i="3"/>
  <c r="M20" i="3"/>
  <c r="BB19" i="3"/>
  <c r="AL19" i="3"/>
  <c r="V19" i="3"/>
  <c r="BK18" i="3"/>
  <c r="AU18" i="3"/>
  <c r="AE18" i="3"/>
  <c r="O18" i="3"/>
  <c r="BH17" i="3"/>
  <c r="AR17" i="3"/>
  <c r="AB17" i="3"/>
  <c r="L17" i="3"/>
  <c r="BE16" i="3"/>
  <c r="AO16" i="3"/>
  <c r="Y16" i="3"/>
  <c r="I16" i="3"/>
  <c r="AX15" i="3"/>
  <c r="AH15" i="3"/>
  <c r="R15" i="3"/>
  <c r="BG14" i="3"/>
  <c r="AQ14" i="3"/>
  <c r="AA14" i="3"/>
  <c r="K14" i="3"/>
  <c r="BD13" i="3"/>
  <c r="AN13" i="3"/>
  <c r="X13" i="3"/>
  <c r="H13" i="3"/>
  <c r="BA12" i="3"/>
  <c r="AK12" i="3"/>
  <c r="U12" i="3"/>
  <c r="BJ11" i="3"/>
  <c r="AT11" i="3"/>
  <c r="AD11" i="3"/>
  <c r="N11" i="3"/>
  <c r="BC10" i="3"/>
  <c r="AM10" i="3"/>
  <c r="W10" i="3"/>
  <c r="G10" i="3"/>
  <c r="AZ9" i="3"/>
  <c r="AJ9" i="3"/>
  <c r="T9" i="3"/>
  <c r="BM8" i="3"/>
  <c r="AW8" i="3"/>
  <c r="AG8" i="3"/>
  <c r="Q8" i="3"/>
  <c r="BF7" i="3"/>
  <c r="AP7" i="3"/>
  <c r="Z7" i="3"/>
  <c r="J7" i="3"/>
  <c r="AY6" i="3"/>
  <c r="AI6" i="3"/>
  <c r="S6" i="3"/>
  <c r="BL5" i="3"/>
  <c r="AV5" i="3"/>
  <c r="AF5" i="3"/>
  <c r="P5" i="3"/>
  <c r="BI4" i="3"/>
  <c r="AS4" i="3"/>
  <c r="AC4" i="3"/>
  <c r="M4" i="3"/>
  <c r="T87" i="3"/>
  <c r="BI84" i="3"/>
  <c r="BF83" i="3"/>
  <c r="BG82" i="3"/>
  <c r="BH81" i="3"/>
  <c r="BI80" i="3"/>
  <c r="BF79" i="3"/>
  <c r="BG78" i="3"/>
  <c r="BH77" i="3"/>
  <c r="BI76" i="3"/>
  <c r="BF75" i="3"/>
  <c r="BG74" i="3"/>
  <c r="BH73" i="3"/>
  <c r="BI72" i="3"/>
  <c r="BF71" i="3"/>
  <c r="BG70" i="3"/>
  <c r="BH69" i="3"/>
  <c r="BI68" i="3"/>
  <c r="BF67" i="3"/>
  <c r="BG66" i="3"/>
  <c r="BH65" i="3"/>
  <c r="BI64" i="3"/>
  <c r="BF63" i="3"/>
  <c r="BG62" i="3"/>
  <c r="BH61" i="3"/>
  <c r="BI60" i="3"/>
  <c r="BF59" i="3"/>
  <c r="BG58" i="3"/>
  <c r="BH57" i="3"/>
  <c r="BI56" i="3"/>
  <c r="BF55" i="3"/>
  <c r="BG54" i="3"/>
  <c r="BH53" i="3"/>
  <c r="BI52" i="3"/>
  <c r="BF51" i="3"/>
  <c r="BG50" i="3"/>
  <c r="BH49" i="3"/>
  <c r="BI48" i="3"/>
  <c r="BF47" i="3"/>
  <c r="BG46" i="3"/>
  <c r="BH45" i="3"/>
  <c r="AZ43" i="3"/>
  <c r="AK42" i="3"/>
  <c r="R41" i="3"/>
  <c r="AZ39" i="3"/>
  <c r="AK38" i="3"/>
  <c r="R37" i="3"/>
  <c r="AZ35" i="3"/>
  <c r="AK34" i="3"/>
  <c r="R33" i="3"/>
  <c r="AZ31" i="3"/>
  <c r="AK30" i="3"/>
  <c r="R29" i="3"/>
  <c r="AZ27" i="3"/>
  <c r="AK26" i="3"/>
  <c r="R25" i="3"/>
  <c r="AZ23" i="3"/>
  <c r="U23" i="3"/>
  <c r="BF22" i="3"/>
  <c r="AP22" i="3"/>
  <c r="Z22" i="3"/>
  <c r="J22" i="3"/>
  <c r="AY21" i="3"/>
  <c r="AI21" i="3"/>
  <c r="S21" i="3"/>
  <c r="BL20" i="3"/>
  <c r="AV20" i="3"/>
  <c r="AF20" i="3"/>
  <c r="P20" i="3"/>
  <c r="BI19" i="3"/>
  <c r="AS19" i="3"/>
  <c r="AC19" i="3"/>
  <c r="M19" i="3"/>
  <c r="BB18" i="3"/>
  <c r="AL18" i="3"/>
  <c r="V18" i="3"/>
  <c r="BK17" i="3"/>
  <c r="AU17" i="3"/>
  <c r="AE17" i="3"/>
  <c r="O17" i="3"/>
  <c r="BH16" i="3"/>
  <c r="AR16" i="3"/>
  <c r="AB16" i="3"/>
  <c r="L16" i="3"/>
  <c r="BE15" i="3"/>
  <c r="AO15" i="3"/>
  <c r="Y15" i="3"/>
  <c r="I15" i="3"/>
  <c r="AX14" i="3"/>
  <c r="AH14" i="3"/>
  <c r="R14" i="3"/>
  <c r="BG13" i="3"/>
  <c r="AQ13" i="3"/>
  <c r="AA13" i="3"/>
  <c r="K13" i="3"/>
  <c r="BD12" i="3"/>
  <c r="AN12" i="3"/>
  <c r="X12" i="3"/>
  <c r="H12" i="3"/>
  <c r="BA11" i="3"/>
  <c r="AK11" i="3"/>
  <c r="U11" i="3"/>
  <c r="BJ10" i="3"/>
  <c r="AT10" i="3"/>
  <c r="AD10" i="3"/>
  <c r="N10" i="3"/>
  <c r="BC9" i="3"/>
  <c r="AM9" i="3"/>
  <c r="W9" i="3"/>
  <c r="G9" i="3"/>
  <c r="AZ8" i="3"/>
  <c r="AJ8" i="3"/>
  <c r="T8" i="3"/>
  <c r="BM7" i="3"/>
  <c r="AW7" i="3"/>
  <c r="AG7" i="3"/>
  <c r="Q7" i="3"/>
  <c r="BF6" i="3"/>
  <c r="AP6" i="3"/>
  <c r="Z6" i="3"/>
  <c r="J6" i="3"/>
  <c r="AY5" i="3"/>
  <c r="AI5" i="3"/>
  <c r="S5" i="3"/>
  <c r="BL4" i="3"/>
  <c r="AV4" i="3"/>
  <c r="AF4" i="3"/>
  <c r="P4" i="3"/>
  <c r="AV87" i="3"/>
  <c r="AW86" i="3"/>
  <c r="AO84" i="3"/>
  <c r="AL83" i="3"/>
  <c r="W82" i="3"/>
  <c r="X81" i="3"/>
  <c r="Y80" i="3"/>
  <c r="V79" i="3"/>
  <c r="G78" i="3"/>
  <c r="H77" i="3"/>
  <c r="I76" i="3"/>
  <c r="BC74" i="3"/>
  <c r="BD73" i="3"/>
  <c r="BE72" i="3"/>
  <c r="BB71" i="3"/>
  <c r="AM70" i="3"/>
  <c r="AN69" i="3"/>
  <c r="AO68" i="3"/>
  <c r="AL67" i="3"/>
  <c r="W66" i="3"/>
  <c r="X65" i="3"/>
  <c r="Y64" i="3"/>
  <c r="V63" i="3"/>
  <c r="G62" i="3"/>
  <c r="H61" i="3"/>
  <c r="I60" i="3"/>
  <c r="BC58" i="3"/>
  <c r="BD57" i="3"/>
  <c r="BE56" i="3"/>
  <c r="BB55" i="3"/>
  <c r="AM54" i="3"/>
  <c r="AN53" i="3"/>
  <c r="AO52" i="3"/>
  <c r="AL51" i="3"/>
  <c r="W50" i="3"/>
  <c r="X49" i="3"/>
  <c r="Y48" i="3"/>
  <c r="V47" i="3"/>
  <c r="G46" i="3"/>
  <c r="H45" i="3"/>
  <c r="P43" i="3"/>
  <c r="Q42" i="3"/>
  <c r="N41" i="3"/>
  <c r="O40" i="3"/>
  <c r="P39" i="3"/>
  <c r="Q38" i="3"/>
  <c r="N37" i="3"/>
  <c r="O36" i="3"/>
  <c r="P35" i="3"/>
  <c r="Q34" i="3"/>
  <c r="N33" i="3"/>
  <c r="O32" i="3"/>
  <c r="P31" i="3"/>
  <c r="Q30" i="3"/>
  <c r="N29" i="3"/>
  <c r="O28" i="3"/>
  <c r="P27" i="3"/>
  <c r="Q26" i="3"/>
  <c r="N25" i="3"/>
  <c r="O24" i="3"/>
  <c r="AD23" i="3"/>
  <c r="I23" i="3"/>
  <c r="BA22" i="3"/>
  <c r="AK22" i="3"/>
  <c r="U22" i="3"/>
  <c r="BJ21" i="3"/>
  <c r="AT21" i="3"/>
  <c r="AD21" i="3"/>
  <c r="N21" i="3"/>
  <c r="BC20" i="3"/>
  <c r="AM20" i="3"/>
  <c r="W20" i="3"/>
  <c r="G20" i="3"/>
  <c r="AZ19" i="3"/>
  <c r="AJ19" i="3"/>
  <c r="T19" i="3"/>
  <c r="BM18" i="3"/>
  <c r="AW18" i="3"/>
  <c r="AG18" i="3"/>
  <c r="Q18" i="3"/>
  <c r="BF17" i="3"/>
  <c r="AP17" i="3"/>
  <c r="Z17" i="3"/>
  <c r="J17" i="3"/>
  <c r="AY16" i="3"/>
  <c r="AI16" i="3"/>
  <c r="S16" i="3"/>
  <c r="BL15" i="3"/>
  <c r="AV15" i="3"/>
  <c r="AF15" i="3"/>
  <c r="P15" i="3"/>
  <c r="BI14" i="3"/>
  <c r="AS14" i="3"/>
  <c r="AC14" i="3"/>
  <c r="M14" i="3"/>
  <c r="BB13" i="3"/>
  <c r="AL13" i="3"/>
  <c r="V13" i="3"/>
  <c r="BK12" i="3"/>
  <c r="AU12" i="3"/>
  <c r="AE12" i="3"/>
  <c r="O12" i="3"/>
  <c r="BH11" i="3"/>
  <c r="AR11" i="3"/>
  <c r="AB11" i="3"/>
  <c r="L11" i="3"/>
  <c r="BE10" i="3"/>
  <c r="AO10" i="3"/>
  <c r="Y10" i="3"/>
  <c r="I10" i="3"/>
  <c r="AX9" i="3"/>
  <c r="AH9" i="3"/>
  <c r="R9" i="3"/>
  <c r="BG8" i="3"/>
  <c r="AQ8" i="3"/>
  <c r="AA8" i="3"/>
  <c r="K8" i="3"/>
  <c r="BD7" i="3"/>
  <c r="AN7" i="3"/>
  <c r="X7" i="3"/>
  <c r="H7" i="3"/>
  <c r="BA6" i="3"/>
  <c r="AK6" i="3"/>
  <c r="U6" i="3"/>
  <c r="BJ5" i="3"/>
  <c r="AT5" i="3"/>
  <c r="AD5" i="3"/>
  <c r="N5" i="3"/>
  <c r="BC4" i="3"/>
  <c r="AM4" i="3"/>
  <c r="W4" i="3"/>
  <c r="G4" i="3"/>
  <c r="L87" i="3"/>
  <c r="M86" i="3"/>
  <c r="AX83" i="3"/>
  <c r="AI82" i="3"/>
  <c r="T81" i="3"/>
  <c r="AX79" i="3"/>
  <c r="AI78" i="3"/>
  <c r="T77" i="3"/>
  <c r="AX75" i="3"/>
  <c r="AI74" i="3"/>
  <c r="T73" i="3"/>
  <c r="AX71" i="3"/>
  <c r="AI70" i="3"/>
  <c r="T69" i="3"/>
  <c r="AX67" i="3"/>
  <c r="AI66" i="3"/>
  <c r="T65" i="3"/>
  <c r="AX63" i="3"/>
  <c r="AI62" i="3"/>
  <c r="T61" i="3"/>
  <c r="AX59" i="3"/>
  <c r="AI58" i="3"/>
  <c r="T57" i="3"/>
  <c r="AX55" i="3"/>
  <c r="AI54" i="3"/>
  <c r="T53" i="3"/>
  <c r="AX51" i="3"/>
  <c r="AI50" i="3"/>
  <c r="T49" i="3"/>
  <c r="AX47" i="3"/>
  <c r="AI46" i="3"/>
  <c r="T45" i="3"/>
  <c r="L43" i="3"/>
  <c r="M42" i="3"/>
  <c r="J41" i="3"/>
  <c r="K40" i="3"/>
  <c r="L39" i="3"/>
  <c r="M38" i="3"/>
  <c r="J37" i="3"/>
  <c r="K36" i="3"/>
  <c r="L35" i="3"/>
  <c r="M34" i="3"/>
  <c r="J33" i="3"/>
  <c r="K32" i="3"/>
  <c r="L31" i="3"/>
  <c r="M30" i="3"/>
  <c r="J29" i="3"/>
  <c r="K28" i="3"/>
  <c r="L27" i="3"/>
  <c r="M26" i="3"/>
  <c r="J25" i="3"/>
  <c r="K24" i="3"/>
  <c r="AC23" i="3"/>
  <c r="H23" i="3"/>
  <c r="AZ22" i="3"/>
  <c r="AJ22" i="3"/>
  <c r="T22" i="3"/>
  <c r="BM21" i="3"/>
  <c r="AW21" i="3"/>
  <c r="AG21" i="3"/>
  <c r="Q21" i="3"/>
  <c r="BF20" i="3"/>
  <c r="AP20" i="3"/>
  <c r="Z20" i="3"/>
  <c r="J20" i="3"/>
  <c r="AY19" i="3"/>
  <c r="AI19" i="3"/>
  <c r="S19" i="3"/>
  <c r="BL18" i="3"/>
  <c r="AV18" i="3"/>
  <c r="AF18" i="3"/>
  <c r="P18" i="3"/>
  <c r="BI17" i="3"/>
  <c r="AS17" i="3"/>
  <c r="AC17" i="3"/>
  <c r="M17" i="3"/>
  <c r="BB16" i="3"/>
  <c r="AL16" i="3"/>
  <c r="V16" i="3"/>
  <c r="BK15" i="3"/>
  <c r="AU15" i="3"/>
  <c r="AE15" i="3"/>
  <c r="O15" i="3"/>
  <c r="BH14" i="3"/>
  <c r="AR14" i="3"/>
  <c r="AB14" i="3"/>
  <c r="L14" i="3"/>
  <c r="BE13" i="3"/>
  <c r="AO13" i="3"/>
  <c r="Y13" i="3"/>
  <c r="I13" i="3"/>
  <c r="AX12" i="3"/>
  <c r="AH12" i="3"/>
  <c r="R12" i="3"/>
  <c r="BG11" i="3"/>
  <c r="AQ11" i="3"/>
  <c r="AA11" i="3"/>
  <c r="K11" i="3"/>
  <c r="BD10" i="3"/>
  <c r="AN10" i="3"/>
  <c r="X10" i="3"/>
  <c r="H10" i="3"/>
  <c r="BA9" i="3"/>
  <c r="AK9" i="3"/>
  <c r="U9" i="3"/>
  <c r="BJ8" i="3"/>
  <c r="AT8" i="3"/>
  <c r="AD8" i="3"/>
  <c r="N8" i="3"/>
  <c r="BC7" i="3"/>
  <c r="AM7" i="3"/>
  <c r="W7" i="3"/>
  <c r="G7" i="3"/>
  <c r="AZ6" i="3"/>
  <c r="AJ6" i="3"/>
  <c r="T6" i="3"/>
  <c r="BM5" i="3"/>
  <c r="AW5" i="3"/>
  <c r="AG5" i="3"/>
  <c r="Q5" i="3"/>
  <c r="BF4" i="3"/>
  <c r="AP4" i="3"/>
  <c r="Z4" i="3"/>
  <c r="J4" i="3"/>
  <c r="F76" i="3"/>
  <c r="F94" i="3"/>
  <c r="F226" i="3"/>
  <c r="F245" i="3"/>
  <c r="F277" i="3"/>
  <c r="F403" i="3"/>
  <c r="F432" i="3"/>
  <c r="F37" i="3"/>
  <c r="F71" i="3"/>
  <c r="F203" i="3"/>
  <c r="F215" i="3"/>
  <c r="F255" i="3"/>
  <c r="F381" i="3"/>
  <c r="F409" i="3"/>
  <c r="F17" i="3"/>
  <c r="F32" i="3"/>
  <c r="F164" i="3"/>
  <c r="F176" i="3"/>
  <c r="F334" i="3"/>
  <c r="F347" i="3"/>
  <c r="F421" i="3"/>
  <c r="F485" i="3"/>
  <c r="F16" i="3"/>
  <c r="F34" i="3"/>
  <c r="F166" i="3"/>
  <c r="F178" i="3"/>
  <c r="F336" i="3"/>
  <c r="F349" i="3"/>
  <c r="F427" i="3"/>
  <c r="F487" i="3"/>
  <c r="F84" i="3"/>
  <c r="F102" i="3"/>
  <c r="F234" i="3"/>
  <c r="F272" i="3"/>
  <c r="F285" i="3"/>
  <c r="F415" i="3"/>
  <c r="F440" i="3"/>
  <c r="F62" i="3"/>
  <c r="F79" i="3"/>
  <c r="F212" i="3"/>
  <c r="F223" i="3"/>
  <c r="F263" i="3"/>
  <c r="F389" i="3"/>
  <c r="F418" i="3"/>
  <c r="F9" i="3"/>
  <c r="F40" i="3"/>
  <c r="F173" i="3"/>
  <c r="F184" i="3"/>
  <c r="F342" i="3"/>
  <c r="F408" i="3"/>
  <c r="F433" i="3"/>
  <c r="F493" i="3"/>
  <c r="F8" i="3"/>
  <c r="F42" i="3"/>
  <c r="F175" i="3"/>
  <c r="F186" i="3"/>
  <c r="F344" i="3"/>
  <c r="F410" i="3"/>
  <c r="F435" i="3"/>
  <c r="F495" i="3"/>
  <c r="F93" i="3"/>
  <c r="F110" i="3"/>
  <c r="F235" i="3"/>
  <c r="F280" i="3"/>
  <c r="F294" i="3"/>
  <c r="F354" i="3"/>
  <c r="F456" i="3"/>
  <c r="F70" i="3"/>
  <c r="F88" i="3"/>
  <c r="F220" i="3"/>
  <c r="F231" i="3"/>
  <c r="F271" i="3"/>
  <c r="F397" i="3"/>
  <c r="F426" i="3"/>
  <c r="F12" i="3"/>
  <c r="F49" i="3"/>
  <c r="F181" i="3"/>
  <c r="F192" i="3"/>
  <c r="F351" i="3"/>
  <c r="F357" i="3"/>
  <c r="F441" i="3"/>
  <c r="F484" i="3"/>
  <c r="F33" i="3"/>
  <c r="F51" i="3"/>
  <c r="F183" i="3"/>
  <c r="F194" i="3"/>
  <c r="F353" i="3"/>
  <c r="F359" i="3"/>
  <c r="F445" i="3"/>
  <c r="F486" i="3"/>
  <c r="F101" i="3"/>
  <c r="F118" i="3"/>
  <c r="F266" i="3"/>
  <c r="F288" i="3"/>
  <c r="F302" i="3"/>
  <c r="F362" i="3"/>
  <c r="F472" i="3"/>
  <c r="F78" i="3"/>
  <c r="F96" i="3"/>
  <c r="F228" i="3"/>
  <c r="F254" i="3"/>
  <c r="F279" i="3"/>
  <c r="F407" i="3"/>
  <c r="F434" i="3"/>
  <c r="F46" i="3"/>
  <c r="F57" i="3"/>
  <c r="F189" i="3"/>
  <c r="F200" i="3"/>
  <c r="F240" i="3"/>
  <c r="F365" i="3"/>
  <c r="F458" i="3"/>
  <c r="F492" i="3"/>
  <c r="F41" i="3"/>
  <c r="F59" i="3"/>
  <c r="F191" i="3"/>
  <c r="F202" i="3"/>
  <c r="F242" i="3"/>
  <c r="F367" i="3"/>
  <c r="F462" i="3"/>
  <c r="F494" i="3"/>
  <c r="F225" i="3"/>
  <c r="F420" i="3"/>
  <c r="F66" i="3"/>
  <c r="F216" i="3"/>
  <c r="F267" i="3"/>
  <c r="F393" i="3"/>
  <c r="F5" i="3"/>
  <c r="F268" i="3"/>
  <c r="F321" i="3"/>
  <c r="F335" i="3"/>
  <c r="F469" i="3"/>
  <c r="F129" i="3"/>
  <c r="F299" i="3"/>
  <c r="F374" i="3"/>
  <c r="F446" i="3"/>
  <c r="F90" i="3"/>
  <c r="F233" i="3"/>
  <c r="F273" i="3"/>
  <c r="F428" i="3"/>
  <c r="F74" i="3"/>
  <c r="F92" i="3"/>
  <c r="F237" i="3"/>
  <c r="F275" i="3"/>
  <c r="F430" i="3"/>
  <c r="F412" i="3"/>
  <c r="F122" i="3"/>
  <c r="F293" i="3"/>
  <c r="F481" i="3"/>
  <c r="F107" i="3"/>
  <c r="F137" i="3"/>
  <c r="F368" i="3"/>
  <c r="F24" i="3"/>
  <c r="F327" i="3"/>
  <c r="F475" i="3"/>
  <c r="AB253" i="3"/>
  <c r="Y252" i="3"/>
  <c r="R251" i="3"/>
  <c r="K250" i="3"/>
  <c r="G248" i="3"/>
  <c r="BM246" i="3"/>
  <c r="BF245" i="3"/>
  <c r="AY244" i="3"/>
  <c r="AV243" i="3"/>
  <c r="AS242" i="3"/>
  <c r="AL241" i="3"/>
  <c r="AE240" i="3"/>
  <c r="AB239" i="3"/>
  <c r="Y238" i="3"/>
  <c r="R237" i="3"/>
  <c r="K236" i="3"/>
  <c r="H235" i="3"/>
  <c r="BJ233" i="3"/>
  <c r="BC232" i="3"/>
  <c r="AZ231" i="3"/>
  <c r="AW230" i="3"/>
  <c r="AP229" i="3"/>
  <c r="AI228" i="3"/>
  <c r="AF227" i="3"/>
  <c r="AC226" i="3"/>
  <c r="V225" i="3"/>
  <c r="O224" i="3"/>
  <c r="L223" i="3"/>
  <c r="I222" i="3"/>
  <c r="BG220" i="3"/>
  <c r="BD219" i="3"/>
  <c r="BA218" i="3"/>
  <c r="AT217" i="3"/>
  <c r="AM216" i="3"/>
  <c r="AJ215" i="3"/>
  <c r="AG214" i="3"/>
  <c r="Z213" i="3"/>
  <c r="S212" i="3"/>
  <c r="P211" i="3"/>
  <c r="M210" i="3"/>
  <c r="BJ207" i="3"/>
  <c r="BA292" i="3"/>
  <c r="W289" i="3"/>
  <c r="T288" i="3"/>
  <c r="Q287" i="3"/>
  <c r="J286" i="3"/>
  <c r="BL284" i="3"/>
  <c r="BI283" i="3"/>
  <c r="BB282" i="3"/>
  <c r="AU281" i="3"/>
  <c r="AR280" i="3"/>
  <c r="AO279" i="3"/>
  <c r="AH278" i="3"/>
  <c r="AA277" i="3"/>
  <c r="X276" i="3"/>
  <c r="U275" i="3"/>
  <c r="N274" i="3"/>
  <c r="G273" i="3"/>
  <c r="BM271" i="3"/>
  <c r="BF270" i="3"/>
  <c r="AY269" i="3"/>
  <c r="AV268" i="3"/>
  <c r="AS267" i="3"/>
  <c r="AL266" i="3"/>
  <c r="AE265" i="3"/>
  <c r="AB264" i="3"/>
  <c r="Y263" i="3"/>
  <c r="R262" i="3"/>
  <c r="K261" i="3"/>
  <c r="H260" i="3"/>
  <c r="BJ258" i="3"/>
  <c r="BC257" i="3"/>
  <c r="AZ256" i="3"/>
  <c r="AW255" i="3"/>
  <c r="AP254" i="3"/>
  <c r="AI253" i="3"/>
  <c r="AF252" i="3"/>
  <c r="AC251" i="3"/>
  <c r="V250" i="3"/>
  <c r="N248" i="3"/>
  <c r="G247" i="3"/>
  <c r="BM245" i="3"/>
  <c r="BF244" i="3"/>
  <c r="AY243" i="3"/>
  <c r="AV242" i="3"/>
  <c r="AS241" i="3"/>
  <c r="AL240" i="3"/>
  <c r="AE239" i="3"/>
  <c r="AB238" i="3"/>
  <c r="Y237" i="3"/>
  <c r="R236" i="3"/>
  <c r="K235" i="3"/>
  <c r="H234" i="3"/>
  <c r="BJ232" i="3"/>
  <c r="BC231" i="3"/>
  <c r="AZ230" i="3"/>
  <c r="AW229" i="3"/>
  <c r="AP228" i="3"/>
  <c r="AI227" i="3"/>
  <c r="AF226" i="3"/>
  <c r="AC225" i="3"/>
  <c r="V224" i="3"/>
  <c r="O223" i="3"/>
  <c r="L222" i="3"/>
  <c r="I221" i="3"/>
  <c r="BG219" i="3"/>
  <c r="BD218" i="3"/>
  <c r="BA217" i="3"/>
  <c r="AT216" i="3"/>
  <c r="AM215" i="3"/>
  <c r="AJ214" i="3"/>
  <c r="AG213" i="3"/>
  <c r="Z212" i="3"/>
  <c r="S211" i="3"/>
  <c r="P210" i="3"/>
  <c r="M209" i="3"/>
  <c r="I207" i="3"/>
  <c r="AP289" i="3"/>
  <c r="AI288" i="3"/>
  <c r="AF287" i="3"/>
  <c r="AC286" i="3"/>
  <c r="V285" i="3"/>
  <c r="O284" i="3"/>
  <c r="L283" i="3"/>
  <c r="I282" i="3"/>
  <c r="BG280" i="3"/>
  <c r="BD279" i="3"/>
  <c r="BA278" i="3"/>
  <c r="AT277" i="3"/>
  <c r="AM276" i="3"/>
  <c r="AJ275" i="3"/>
  <c r="AG274" i="3"/>
  <c r="Z273" i="3"/>
  <c r="S272" i="3"/>
  <c r="P271" i="3"/>
  <c r="M270" i="3"/>
  <c r="BK268" i="3"/>
  <c r="BH267" i="3"/>
  <c r="BE266" i="3"/>
  <c r="AX265" i="3"/>
  <c r="AQ264" i="3"/>
  <c r="AN263" i="3"/>
  <c r="AK262" i="3"/>
  <c r="AD261" i="3"/>
  <c r="W260" i="3"/>
  <c r="T259" i="3"/>
  <c r="Q258" i="3"/>
  <c r="J257" i="3"/>
  <c r="BL255" i="3"/>
  <c r="BI254" i="3"/>
  <c r="BB253" i="3"/>
  <c r="AU252" i="3"/>
  <c r="AR251" i="3"/>
  <c r="AO250" i="3"/>
  <c r="AK248" i="3"/>
  <c r="AD247" i="3"/>
  <c r="W246" i="3"/>
  <c r="T245" i="3"/>
  <c r="Q244" i="3"/>
  <c r="J243" i="3"/>
  <c r="BL241" i="3"/>
  <c r="BI240" i="3"/>
  <c r="BB239" i="3"/>
  <c r="AU238" i="3"/>
  <c r="AR237" i="3"/>
  <c r="AO236" i="3"/>
  <c r="AH235" i="3"/>
  <c r="AA234" i="3"/>
  <c r="X233" i="3"/>
  <c r="U232" i="3"/>
  <c r="N231" i="3"/>
  <c r="G230" i="3"/>
  <c r="BM228" i="3"/>
  <c r="M228" i="3"/>
  <c r="AL227" i="3"/>
  <c r="BK226" i="3"/>
  <c r="AE226" i="3"/>
  <c r="BH225" i="3"/>
  <c r="AB225" i="3"/>
  <c r="BE224" i="3"/>
  <c r="Y224" i="3"/>
  <c r="AX223" i="3"/>
  <c r="R223" i="3"/>
  <c r="AQ222" i="3"/>
  <c r="K222" i="3"/>
  <c r="AN221" i="3"/>
  <c r="H221" i="3"/>
  <c r="AK220" i="3"/>
  <c r="BJ219" i="3"/>
  <c r="AD219" i="3"/>
  <c r="BC218" i="3"/>
  <c r="W218" i="3"/>
  <c r="AZ217" i="3"/>
  <c r="T217" i="3"/>
  <c r="AW216" i="3"/>
  <c r="Q216" i="3"/>
  <c r="AP215" i="3"/>
  <c r="J215" i="3"/>
  <c r="AI214" i="3"/>
  <c r="BL213" i="3"/>
  <c r="AF213" i="3"/>
  <c r="BI212" i="3"/>
  <c r="AC212" i="3"/>
  <c r="BJ211" i="3"/>
  <c r="AP211" i="3"/>
  <c r="V211" i="3"/>
  <c r="BC210" i="3"/>
  <c r="AI210" i="3"/>
  <c r="O210" i="3"/>
  <c r="AZ209" i="3"/>
  <c r="AF209" i="3"/>
  <c r="L209" i="3"/>
  <c r="AV207" i="3"/>
  <c r="AB207" i="3"/>
  <c r="H207" i="3"/>
  <c r="AK206" i="3"/>
  <c r="J206" i="3"/>
  <c r="AM205" i="3"/>
  <c r="G205" i="3"/>
  <c r="AQ204" i="3"/>
  <c r="P204" i="3"/>
  <c r="AN203" i="3"/>
  <c r="M203" i="3"/>
  <c r="AU202" i="3"/>
  <c r="O202" i="3"/>
  <c r="AR201" i="3"/>
  <c r="R201" i="3"/>
  <c r="AV200" i="3"/>
  <c r="U200" i="3"/>
  <c r="BI199" i="3"/>
  <c r="AK199" i="3"/>
  <c r="Q199" i="3"/>
  <c r="BB198" i="3"/>
  <c r="AD198" i="3"/>
  <c r="J198" i="3"/>
  <c r="AU197" i="3"/>
  <c r="W197" i="3"/>
  <c r="BL196" i="3"/>
  <c r="AR196" i="3"/>
  <c r="X196" i="3"/>
  <c r="H196" i="3"/>
  <c r="BA195" i="3"/>
  <c r="AK195" i="3"/>
  <c r="U195" i="3"/>
  <c r="BJ194" i="3"/>
  <c r="AT194" i="3"/>
  <c r="AD194" i="3"/>
  <c r="N194" i="3"/>
  <c r="BC193" i="3"/>
  <c r="AM193" i="3"/>
  <c r="W193" i="3"/>
  <c r="G193" i="3"/>
  <c r="AZ192" i="3"/>
  <c r="AJ192" i="3"/>
  <c r="T192" i="3"/>
  <c r="BM191" i="3"/>
  <c r="AW191" i="3"/>
  <c r="AG191" i="3"/>
  <c r="Q191" i="3"/>
  <c r="BF190" i="3"/>
  <c r="AP190" i="3"/>
  <c r="Z190" i="3"/>
  <c r="J190" i="3"/>
  <c r="AY189" i="3"/>
  <c r="AI189" i="3"/>
  <c r="S189" i="3"/>
  <c r="BL188" i="3"/>
  <c r="AV188" i="3"/>
  <c r="AF188" i="3"/>
  <c r="P188" i="3"/>
  <c r="BI187" i="3"/>
  <c r="AS187" i="3"/>
  <c r="AC187" i="3"/>
  <c r="M187" i="3"/>
  <c r="BB186" i="3"/>
  <c r="AL186" i="3"/>
  <c r="V186" i="3"/>
  <c r="BK185" i="3"/>
  <c r="AU185" i="3"/>
  <c r="AE185" i="3"/>
  <c r="O185" i="3"/>
  <c r="BH184" i="3"/>
  <c r="AR184" i="3"/>
  <c r="AB184" i="3"/>
  <c r="L184" i="3"/>
  <c r="BE183" i="3"/>
  <c r="AO183" i="3"/>
  <c r="Y183" i="3"/>
  <c r="I183" i="3"/>
  <c r="AX182" i="3"/>
  <c r="AH182" i="3"/>
  <c r="R182" i="3"/>
  <c r="BG181" i="3"/>
  <c r="AQ181" i="3"/>
  <c r="AA181" i="3"/>
  <c r="K181" i="3"/>
  <c r="BD180" i="3"/>
  <c r="AN180" i="3"/>
  <c r="X180" i="3"/>
  <c r="H180" i="3"/>
  <c r="BA179" i="3"/>
  <c r="AK179" i="3"/>
  <c r="U179" i="3"/>
  <c r="BJ178" i="3"/>
  <c r="AT178" i="3"/>
  <c r="AD178" i="3"/>
  <c r="N178" i="3"/>
  <c r="BC177" i="3"/>
  <c r="AM177" i="3"/>
  <c r="W177" i="3"/>
  <c r="G177" i="3"/>
  <c r="AZ176" i="3"/>
  <c r="AJ176" i="3"/>
  <c r="T176" i="3"/>
  <c r="BM175" i="3"/>
  <c r="AW175" i="3"/>
  <c r="AG175" i="3"/>
  <c r="Q175" i="3"/>
  <c r="BF174" i="3"/>
  <c r="AP174" i="3"/>
  <c r="Z174" i="3"/>
  <c r="J174" i="3"/>
  <c r="AY173" i="3"/>
  <c r="AI173" i="3"/>
  <c r="S173" i="3"/>
  <c r="BL172" i="3"/>
  <c r="AV172" i="3"/>
  <c r="AF172" i="3"/>
  <c r="P172" i="3"/>
  <c r="BI171" i="3"/>
  <c r="AS171" i="3"/>
  <c r="AC171" i="3"/>
  <c r="M171" i="3"/>
  <c r="BB170" i="3"/>
  <c r="AL170" i="3"/>
  <c r="V170" i="3"/>
  <c r="BK169" i="3"/>
  <c r="AU169" i="3"/>
  <c r="AE169" i="3"/>
  <c r="O169" i="3"/>
  <c r="BH168" i="3"/>
  <c r="AR168" i="3"/>
  <c r="AB168" i="3"/>
  <c r="L168" i="3"/>
  <c r="BD166" i="3"/>
  <c r="AN166" i="3"/>
  <c r="X166" i="3"/>
  <c r="H166" i="3"/>
  <c r="BA165" i="3"/>
  <c r="AK165" i="3"/>
  <c r="U165" i="3"/>
  <c r="BJ164" i="3"/>
  <c r="AT164" i="3"/>
  <c r="AD164" i="3"/>
  <c r="N164" i="3"/>
  <c r="BC163" i="3"/>
  <c r="AM163" i="3"/>
  <c r="W163" i="3"/>
  <c r="G163" i="3"/>
  <c r="AZ162" i="3"/>
  <c r="AJ162" i="3"/>
  <c r="T162" i="3"/>
  <c r="BM161" i="3"/>
  <c r="AW161" i="3"/>
  <c r="AG161" i="3"/>
  <c r="Q161" i="3"/>
  <c r="BF160" i="3"/>
  <c r="AP160" i="3"/>
  <c r="Z160" i="3"/>
  <c r="J160" i="3"/>
  <c r="AY159" i="3"/>
  <c r="AI159" i="3"/>
  <c r="S159" i="3"/>
  <c r="BL158" i="3"/>
  <c r="AV158" i="3"/>
  <c r="AF158" i="3"/>
  <c r="P158" i="3"/>
  <c r="BI157" i="3"/>
  <c r="AS157" i="3"/>
  <c r="AC157" i="3"/>
  <c r="M157" i="3"/>
  <c r="BB156" i="3"/>
  <c r="AL156" i="3"/>
  <c r="V156" i="3"/>
  <c r="BK155" i="3"/>
  <c r="AU155" i="3"/>
  <c r="AE155" i="3"/>
  <c r="O155" i="3"/>
  <c r="BH154" i="3"/>
  <c r="AR154" i="3"/>
  <c r="AB154" i="3"/>
  <c r="L154" i="3"/>
  <c r="BE153" i="3"/>
  <c r="AO153" i="3"/>
  <c r="Y153" i="3"/>
  <c r="I153" i="3"/>
  <c r="AX152" i="3"/>
  <c r="AH152" i="3"/>
  <c r="R152" i="3"/>
  <c r="BG151" i="3"/>
  <c r="AQ151" i="3"/>
  <c r="AA151" i="3"/>
  <c r="K151" i="3"/>
  <c r="BD150" i="3"/>
  <c r="AN150" i="3"/>
  <c r="X150" i="3"/>
  <c r="H150" i="3"/>
  <c r="BA149" i="3"/>
  <c r="AK149" i="3"/>
  <c r="U149" i="3"/>
  <c r="BJ148" i="3"/>
  <c r="AT148" i="3"/>
  <c r="AD148" i="3"/>
  <c r="N148" i="3"/>
  <c r="BC147" i="3"/>
  <c r="AM147" i="3"/>
  <c r="W147" i="3"/>
  <c r="G147" i="3"/>
  <c r="AZ146" i="3"/>
  <c r="AJ146" i="3"/>
  <c r="T146" i="3"/>
  <c r="BM145" i="3"/>
  <c r="AW145" i="3"/>
  <c r="AG145" i="3"/>
  <c r="Q145" i="3"/>
  <c r="BF144" i="3"/>
  <c r="AP144" i="3"/>
  <c r="Z144" i="3"/>
  <c r="J144" i="3"/>
  <c r="AY143" i="3"/>
  <c r="AI143" i="3"/>
  <c r="S143" i="3"/>
  <c r="BL142" i="3"/>
  <c r="AV142" i="3"/>
  <c r="AF142" i="3"/>
  <c r="P142" i="3"/>
  <c r="BI141" i="3"/>
  <c r="AS141" i="3"/>
  <c r="AC141" i="3"/>
  <c r="M141" i="3"/>
  <c r="BB140" i="3"/>
  <c r="AL140" i="3"/>
  <c r="V140" i="3"/>
  <c r="BK139" i="3"/>
  <c r="AU139" i="3"/>
  <c r="AE139" i="3"/>
  <c r="O139" i="3"/>
  <c r="BH138" i="3"/>
  <c r="AR138" i="3"/>
  <c r="AB138" i="3"/>
  <c r="L138" i="3"/>
  <c r="BE137" i="3"/>
  <c r="AO137" i="3"/>
  <c r="Y137" i="3"/>
  <c r="I137" i="3"/>
  <c r="AX136" i="3"/>
  <c r="AH136" i="3"/>
  <c r="R136" i="3"/>
  <c r="BG135" i="3"/>
  <c r="AQ135" i="3"/>
  <c r="AA135" i="3"/>
  <c r="K135" i="3"/>
  <c r="BD134" i="3"/>
  <c r="AN134" i="3"/>
  <c r="X134" i="3"/>
  <c r="H134" i="3"/>
  <c r="BA133" i="3"/>
  <c r="AK133" i="3"/>
  <c r="U133" i="3"/>
  <c r="BJ132" i="3"/>
  <c r="AT132" i="3"/>
  <c r="AD132" i="3"/>
  <c r="N132" i="3"/>
  <c r="BC131" i="3"/>
  <c r="AM131" i="3"/>
  <c r="W131" i="3"/>
  <c r="G131" i="3"/>
  <c r="AZ130" i="3"/>
  <c r="AJ130" i="3"/>
  <c r="T130" i="3"/>
  <c r="BM129" i="3"/>
  <c r="AW129" i="3"/>
  <c r="AG129" i="3"/>
  <c r="Q129" i="3"/>
  <c r="BF128" i="3"/>
  <c r="AP128" i="3"/>
  <c r="Z128" i="3"/>
  <c r="J128" i="3"/>
  <c r="AY127" i="3"/>
  <c r="AI127" i="3"/>
  <c r="S127" i="3"/>
  <c r="BK125" i="3"/>
  <c r="AU125" i="3"/>
  <c r="AE125" i="3"/>
  <c r="O125" i="3"/>
  <c r="BH124" i="3"/>
  <c r="AR124" i="3"/>
  <c r="AB124" i="3"/>
  <c r="L124" i="3"/>
  <c r="BE123" i="3"/>
  <c r="AO123" i="3"/>
  <c r="Y123" i="3"/>
  <c r="I123" i="3"/>
  <c r="AX122" i="3"/>
  <c r="AH122" i="3"/>
  <c r="R122" i="3"/>
  <c r="BG121" i="3"/>
  <c r="AQ121" i="3"/>
  <c r="AA121" i="3"/>
  <c r="K121" i="3"/>
  <c r="BD120" i="3"/>
  <c r="AN120" i="3"/>
  <c r="X120" i="3"/>
  <c r="H120" i="3"/>
  <c r="BA119" i="3"/>
  <c r="AK119" i="3"/>
  <c r="U119" i="3"/>
  <c r="BJ118" i="3"/>
  <c r="AT118" i="3"/>
  <c r="AD118" i="3"/>
  <c r="N118" i="3"/>
  <c r="BC117" i="3"/>
  <c r="AM117" i="3"/>
  <c r="W117" i="3"/>
  <c r="G117" i="3"/>
  <c r="AZ116" i="3"/>
  <c r="AJ116" i="3"/>
  <c r="T116" i="3"/>
  <c r="BM115" i="3"/>
  <c r="AW115" i="3"/>
  <c r="AG115" i="3"/>
  <c r="Q115" i="3"/>
  <c r="BF114" i="3"/>
  <c r="AP114" i="3"/>
  <c r="Z114" i="3"/>
  <c r="J114" i="3"/>
  <c r="AT206" i="3"/>
  <c r="Y206" i="3"/>
  <c r="BL205" i="3"/>
  <c r="AQ205" i="3"/>
  <c r="V205" i="3"/>
  <c r="BE204" i="3"/>
  <c r="AJ204" i="3"/>
  <c r="O204" i="3"/>
  <c r="BB203" i="3"/>
  <c r="AG203" i="3"/>
  <c r="L203" i="3"/>
  <c r="AT202" i="3"/>
  <c r="Y202" i="3"/>
  <c r="BL201" i="3"/>
  <c r="AQ201" i="3"/>
  <c r="V201" i="3"/>
  <c r="BE200" i="3"/>
  <c r="AJ200" i="3"/>
  <c r="O200" i="3"/>
  <c r="BH199" i="3"/>
  <c r="AR199" i="3"/>
  <c r="AB199" i="3"/>
  <c r="L199" i="3"/>
  <c r="BE198" i="3"/>
  <c r="AO198" i="3"/>
  <c r="Y198" i="3"/>
  <c r="I198" i="3"/>
  <c r="AX197" i="3"/>
  <c r="AH197" i="3"/>
  <c r="R197" i="3"/>
  <c r="BG196" i="3"/>
  <c r="AQ196" i="3"/>
  <c r="AA196" i="3"/>
  <c r="K196" i="3"/>
  <c r="BD195" i="3"/>
  <c r="AN195" i="3"/>
  <c r="X195" i="3"/>
  <c r="H195" i="3"/>
  <c r="BA194" i="3"/>
  <c r="AK194" i="3"/>
  <c r="U194" i="3"/>
  <c r="BJ193" i="3"/>
  <c r="AT193" i="3"/>
  <c r="AD193" i="3"/>
  <c r="N193" i="3"/>
  <c r="BC192" i="3"/>
  <c r="AM192" i="3"/>
  <c r="W192" i="3"/>
  <c r="G192" i="3"/>
  <c r="AZ191" i="3"/>
  <c r="AJ191" i="3"/>
  <c r="T191" i="3"/>
  <c r="BM190" i="3"/>
  <c r="AW190" i="3"/>
  <c r="AG190" i="3"/>
  <c r="Q190" i="3"/>
  <c r="BF189" i="3"/>
  <c r="AP189" i="3"/>
  <c r="Z189" i="3"/>
  <c r="J189" i="3"/>
  <c r="AY188" i="3"/>
  <c r="AI188" i="3"/>
  <c r="S188" i="3"/>
  <c r="BL187" i="3"/>
  <c r="AV187" i="3"/>
  <c r="AF187" i="3"/>
  <c r="P187" i="3"/>
  <c r="BI186" i="3"/>
  <c r="AS186" i="3"/>
  <c r="AC186" i="3"/>
  <c r="M186" i="3"/>
  <c r="BB185" i="3"/>
  <c r="AL185" i="3"/>
  <c r="V185" i="3"/>
  <c r="BK184" i="3"/>
  <c r="AU184" i="3"/>
  <c r="AE184" i="3"/>
  <c r="O184" i="3"/>
  <c r="BH183" i="3"/>
  <c r="AR183" i="3"/>
  <c r="AB183" i="3"/>
  <c r="L183" i="3"/>
  <c r="BE182" i="3"/>
  <c r="AO182" i="3"/>
  <c r="Y182" i="3"/>
  <c r="I182" i="3"/>
  <c r="AX181" i="3"/>
  <c r="AH181" i="3"/>
  <c r="R181" i="3"/>
  <c r="BG180" i="3"/>
  <c r="AQ180" i="3"/>
  <c r="AA180" i="3"/>
  <c r="K180" i="3"/>
  <c r="BD179" i="3"/>
  <c r="AN179" i="3"/>
  <c r="X179" i="3"/>
  <c r="H179" i="3"/>
  <c r="BA178" i="3"/>
  <c r="AK178" i="3"/>
  <c r="U178" i="3"/>
  <c r="BJ177" i="3"/>
  <c r="AT177" i="3"/>
  <c r="AD177" i="3"/>
  <c r="N177" i="3"/>
  <c r="BC176" i="3"/>
  <c r="AM176" i="3"/>
  <c r="W176" i="3"/>
  <c r="G176" i="3"/>
  <c r="AZ175" i="3"/>
  <c r="AJ175" i="3"/>
  <c r="T175" i="3"/>
  <c r="BM174" i="3"/>
  <c r="AW174" i="3"/>
  <c r="AG174" i="3"/>
  <c r="Q174" i="3"/>
  <c r="BF173" i="3"/>
  <c r="AP173" i="3"/>
  <c r="Z173" i="3"/>
  <c r="J173" i="3"/>
  <c r="AY172" i="3"/>
  <c r="AI172" i="3"/>
  <c r="S172" i="3"/>
  <c r="BL171" i="3"/>
  <c r="AV171" i="3"/>
  <c r="AF171" i="3"/>
  <c r="P171" i="3"/>
  <c r="BI170" i="3"/>
  <c r="AS170" i="3"/>
  <c r="AC170" i="3"/>
  <c r="M170" i="3"/>
  <c r="BB169" i="3"/>
  <c r="AL169" i="3"/>
  <c r="V169" i="3"/>
  <c r="BK168" i="3"/>
  <c r="AU168" i="3"/>
  <c r="AE168" i="3"/>
  <c r="O168" i="3"/>
  <c r="BG166" i="3"/>
  <c r="AQ166" i="3"/>
  <c r="AA166" i="3"/>
  <c r="K166" i="3"/>
  <c r="BD165" i="3"/>
  <c r="AN165" i="3"/>
  <c r="X165" i="3"/>
  <c r="H165" i="3"/>
  <c r="BA164" i="3"/>
  <c r="AK164" i="3"/>
  <c r="U164" i="3"/>
  <c r="BJ163" i="3"/>
  <c r="AT163" i="3"/>
  <c r="AD163" i="3"/>
  <c r="N163" i="3"/>
  <c r="BC162" i="3"/>
  <c r="AM162" i="3"/>
  <c r="W162" i="3"/>
  <c r="G162" i="3"/>
  <c r="AZ161" i="3"/>
  <c r="AJ161" i="3"/>
  <c r="T161" i="3"/>
  <c r="BM160" i="3"/>
  <c r="AW160" i="3"/>
  <c r="AG160" i="3"/>
  <c r="Q160" i="3"/>
  <c r="BF159" i="3"/>
  <c r="AP159" i="3"/>
  <c r="Z159" i="3"/>
  <c r="J159" i="3"/>
  <c r="AY158" i="3"/>
  <c r="AI158" i="3"/>
  <c r="S158" i="3"/>
  <c r="BL157" i="3"/>
  <c r="AV157" i="3"/>
  <c r="AF157" i="3"/>
  <c r="P157" i="3"/>
  <c r="BI156" i="3"/>
  <c r="AS156" i="3"/>
  <c r="AC156" i="3"/>
  <c r="M156" i="3"/>
  <c r="BB155" i="3"/>
  <c r="AL155" i="3"/>
  <c r="V155" i="3"/>
  <c r="BK154" i="3"/>
  <c r="AU154" i="3"/>
  <c r="AE154" i="3"/>
  <c r="O154" i="3"/>
  <c r="BH153" i="3"/>
  <c r="AR153" i="3"/>
  <c r="AB153" i="3"/>
  <c r="L153" i="3"/>
  <c r="BE152" i="3"/>
  <c r="AO152" i="3"/>
  <c r="Y152" i="3"/>
  <c r="I152" i="3"/>
  <c r="AX151" i="3"/>
  <c r="AH151" i="3"/>
  <c r="R151" i="3"/>
  <c r="BG150" i="3"/>
  <c r="AQ150" i="3"/>
  <c r="AA150" i="3"/>
  <c r="K150" i="3"/>
  <c r="BD149" i="3"/>
  <c r="AN149" i="3"/>
  <c r="X149" i="3"/>
  <c r="H149" i="3"/>
  <c r="BA148" i="3"/>
  <c r="AK148" i="3"/>
  <c r="U148" i="3"/>
  <c r="BJ147" i="3"/>
  <c r="AT147" i="3"/>
  <c r="AD147" i="3"/>
  <c r="N147" i="3"/>
  <c r="BC146" i="3"/>
  <c r="AM146" i="3"/>
  <c r="W146" i="3"/>
  <c r="G146" i="3"/>
  <c r="AZ145" i="3"/>
  <c r="AJ145" i="3"/>
  <c r="T145" i="3"/>
  <c r="BM144" i="3"/>
  <c r="AW144" i="3"/>
  <c r="AG144" i="3"/>
  <c r="Q144" i="3"/>
  <c r="BF143" i="3"/>
  <c r="AP143" i="3"/>
  <c r="Z143" i="3"/>
  <c r="J143" i="3"/>
  <c r="AY142" i="3"/>
  <c r="AI142" i="3"/>
  <c r="S142" i="3"/>
  <c r="BL141" i="3"/>
  <c r="AV141" i="3"/>
  <c r="AF141" i="3"/>
  <c r="P141" i="3"/>
  <c r="BI140" i="3"/>
  <c r="AS140" i="3"/>
  <c r="AC140" i="3"/>
  <c r="M140" i="3"/>
  <c r="BB139" i="3"/>
  <c r="AL139" i="3"/>
  <c r="V139" i="3"/>
  <c r="BK138" i="3"/>
  <c r="AU138" i="3"/>
  <c r="AE138" i="3"/>
  <c r="O138" i="3"/>
  <c r="BH137" i="3"/>
  <c r="AR137" i="3"/>
  <c r="AB137" i="3"/>
  <c r="L137" i="3"/>
  <c r="BE136" i="3"/>
  <c r="AO136" i="3"/>
  <c r="Y136" i="3"/>
  <c r="I136" i="3"/>
  <c r="AX135" i="3"/>
  <c r="AH135" i="3"/>
  <c r="R135" i="3"/>
  <c r="BG134" i="3"/>
  <c r="AQ134" i="3"/>
  <c r="AA134" i="3"/>
  <c r="K134" i="3"/>
  <c r="BD133" i="3"/>
  <c r="AN133" i="3"/>
  <c r="X133" i="3"/>
  <c r="H133" i="3"/>
  <c r="BA132" i="3"/>
  <c r="AK132" i="3"/>
  <c r="U132" i="3"/>
  <c r="BJ131" i="3"/>
  <c r="AT131" i="3"/>
  <c r="AD131" i="3"/>
  <c r="N131" i="3"/>
  <c r="BC130" i="3"/>
  <c r="AM130" i="3"/>
  <c r="W130" i="3"/>
  <c r="G130" i="3"/>
  <c r="AZ129" i="3"/>
  <c r="AJ129" i="3"/>
  <c r="T129" i="3"/>
  <c r="BM128" i="3"/>
  <c r="AW128" i="3"/>
  <c r="AG128" i="3"/>
  <c r="Q128" i="3"/>
  <c r="BF127" i="3"/>
  <c r="AP127" i="3"/>
  <c r="Z127" i="3"/>
  <c r="J127" i="3"/>
  <c r="AX125" i="3"/>
  <c r="AH125" i="3"/>
  <c r="R125" i="3"/>
  <c r="BG124" i="3"/>
  <c r="AQ124" i="3"/>
  <c r="AA124" i="3"/>
  <c r="K124" i="3"/>
  <c r="BD123" i="3"/>
  <c r="AN123" i="3"/>
  <c r="X123" i="3"/>
  <c r="H123" i="3"/>
  <c r="BA122" i="3"/>
  <c r="AK122" i="3"/>
  <c r="U122" i="3"/>
  <c r="BJ121" i="3"/>
  <c r="AT121" i="3"/>
  <c r="AD121" i="3"/>
  <c r="N121" i="3"/>
  <c r="BC120" i="3"/>
  <c r="AM120" i="3"/>
  <c r="W120" i="3"/>
  <c r="G120" i="3"/>
  <c r="AZ119" i="3"/>
  <c r="AJ119" i="3"/>
  <c r="T119" i="3"/>
  <c r="BM118" i="3"/>
  <c r="AW118" i="3"/>
  <c r="AG118" i="3"/>
  <c r="Q118" i="3"/>
  <c r="BF117" i="3"/>
  <c r="AP117" i="3"/>
  <c r="Z117" i="3"/>
  <c r="J117" i="3"/>
  <c r="AY116" i="3"/>
  <c r="AI116" i="3"/>
  <c r="S116" i="3"/>
  <c r="BL115" i="3"/>
  <c r="AV115" i="3"/>
  <c r="AF115" i="3"/>
  <c r="P115" i="3"/>
  <c r="BI114" i="3"/>
  <c r="AS114" i="3"/>
  <c r="BI206" i="3"/>
  <c r="AM206" i="3"/>
  <c r="R206" i="3"/>
  <c r="BF205" i="3"/>
  <c r="AJ205" i="3"/>
  <c r="O205" i="3"/>
  <c r="AY204" i="3"/>
  <c r="AC204" i="3"/>
  <c r="H204" i="3"/>
  <c r="AV203" i="3"/>
  <c r="Z203" i="3"/>
  <c r="BI202" i="3"/>
  <c r="AM202" i="3"/>
  <c r="R202" i="3"/>
  <c r="BF201" i="3"/>
  <c r="AJ201" i="3"/>
  <c r="O201" i="3"/>
  <c r="AY200" i="3"/>
  <c r="AC200" i="3"/>
  <c r="J200" i="3"/>
  <c r="AY199" i="3"/>
  <c r="AI199" i="3"/>
  <c r="S199" i="3"/>
  <c r="BL198" i="3"/>
  <c r="AV198" i="3"/>
  <c r="AF198" i="3"/>
  <c r="P198" i="3"/>
  <c r="BI197" i="3"/>
  <c r="AS197" i="3"/>
  <c r="AC197" i="3"/>
  <c r="M197" i="3"/>
  <c r="BB196" i="3"/>
  <c r="AL196" i="3"/>
  <c r="V196" i="3"/>
  <c r="BK195" i="3"/>
  <c r="AU195" i="3"/>
  <c r="AE195" i="3"/>
  <c r="O195" i="3"/>
  <c r="BH194" i="3"/>
  <c r="AR194" i="3"/>
  <c r="AB194" i="3"/>
  <c r="L194" i="3"/>
  <c r="BE193" i="3"/>
  <c r="AO193" i="3"/>
  <c r="Y193" i="3"/>
  <c r="I193" i="3"/>
  <c r="AX192" i="3"/>
  <c r="AH192" i="3"/>
  <c r="R192" i="3"/>
  <c r="BG191" i="3"/>
  <c r="AQ191" i="3"/>
  <c r="AA191" i="3"/>
  <c r="K191" i="3"/>
  <c r="BD190" i="3"/>
  <c r="AN190" i="3"/>
  <c r="X190" i="3"/>
  <c r="H190" i="3"/>
  <c r="BA189" i="3"/>
  <c r="AK189" i="3"/>
  <c r="U189" i="3"/>
  <c r="BJ188" i="3"/>
  <c r="AT188" i="3"/>
  <c r="AD188" i="3"/>
  <c r="N188" i="3"/>
  <c r="BC187" i="3"/>
  <c r="AM187" i="3"/>
  <c r="W187" i="3"/>
  <c r="G187" i="3"/>
  <c r="AZ186" i="3"/>
  <c r="AJ186" i="3"/>
  <c r="T186" i="3"/>
  <c r="BM185" i="3"/>
  <c r="AW185" i="3"/>
  <c r="AG185" i="3"/>
  <c r="Q185" i="3"/>
  <c r="BF184" i="3"/>
  <c r="AP184" i="3"/>
  <c r="Z184" i="3"/>
  <c r="J184" i="3"/>
  <c r="AY183" i="3"/>
  <c r="AI183" i="3"/>
  <c r="S183" i="3"/>
  <c r="BL182" i="3"/>
  <c r="AV182" i="3"/>
  <c r="AF182" i="3"/>
  <c r="P182" i="3"/>
  <c r="BI181" i="3"/>
  <c r="AS181" i="3"/>
  <c r="AC181" i="3"/>
  <c r="M181" i="3"/>
  <c r="BB180" i="3"/>
  <c r="AL180" i="3"/>
  <c r="V180" i="3"/>
  <c r="BK179" i="3"/>
  <c r="AU179" i="3"/>
  <c r="AE179" i="3"/>
  <c r="O179" i="3"/>
  <c r="BH178" i="3"/>
  <c r="AR178" i="3"/>
  <c r="AB178" i="3"/>
  <c r="L178" i="3"/>
  <c r="BE177" i="3"/>
  <c r="AO177" i="3"/>
  <c r="Y177" i="3"/>
  <c r="I177" i="3"/>
  <c r="AX176" i="3"/>
  <c r="AH176" i="3"/>
  <c r="R176" i="3"/>
  <c r="BG175" i="3"/>
  <c r="AQ175" i="3"/>
  <c r="AA175" i="3"/>
  <c r="K175" i="3"/>
  <c r="BD174" i="3"/>
  <c r="AN174" i="3"/>
  <c r="X174" i="3"/>
  <c r="H174" i="3"/>
  <c r="BA173" i="3"/>
  <c r="AK173" i="3"/>
  <c r="U173" i="3"/>
  <c r="BJ172" i="3"/>
  <c r="AT172" i="3"/>
  <c r="AD172" i="3"/>
  <c r="N172" i="3"/>
  <c r="BC171" i="3"/>
  <c r="AM171" i="3"/>
  <c r="W171" i="3"/>
  <c r="G171" i="3"/>
  <c r="AZ170" i="3"/>
  <c r="AJ170" i="3"/>
  <c r="T170" i="3"/>
  <c r="BM169" i="3"/>
  <c r="AW169" i="3"/>
  <c r="AG169" i="3"/>
  <c r="Q169" i="3"/>
  <c r="BF168" i="3"/>
  <c r="AP168" i="3"/>
  <c r="Z168" i="3"/>
  <c r="J168" i="3"/>
  <c r="AX166" i="3"/>
  <c r="AH166" i="3"/>
  <c r="R166" i="3"/>
  <c r="BG165" i="3"/>
  <c r="AQ165" i="3"/>
  <c r="AA165" i="3"/>
  <c r="K165" i="3"/>
  <c r="BD164" i="3"/>
  <c r="AN164" i="3"/>
  <c r="X164" i="3"/>
  <c r="H164" i="3"/>
  <c r="BA163" i="3"/>
  <c r="AK163" i="3"/>
  <c r="U163" i="3"/>
  <c r="BJ162" i="3"/>
  <c r="AT162" i="3"/>
  <c r="AD162" i="3"/>
  <c r="N162" i="3"/>
  <c r="BC161" i="3"/>
  <c r="AM161" i="3"/>
  <c r="W161" i="3"/>
  <c r="G161" i="3"/>
  <c r="AZ160" i="3"/>
  <c r="AJ160" i="3"/>
  <c r="T160" i="3"/>
  <c r="BM159" i="3"/>
  <c r="AW159" i="3"/>
  <c r="AG159" i="3"/>
  <c r="Q159" i="3"/>
  <c r="BF158" i="3"/>
  <c r="AP158" i="3"/>
  <c r="Z158" i="3"/>
  <c r="J158" i="3"/>
  <c r="AY157" i="3"/>
  <c r="AI157" i="3"/>
  <c r="S157" i="3"/>
  <c r="BL156" i="3"/>
  <c r="AV156" i="3"/>
  <c r="AF156" i="3"/>
  <c r="P156" i="3"/>
  <c r="BI155" i="3"/>
  <c r="AS155" i="3"/>
  <c r="AC155" i="3"/>
  <c r="M155" i="3"/>
  <c r="BB154" i="3"/>
  <c r="AL154" i="3"/>
  <c r="V154" i="3"/>
  <c r="BK153" i="3"/>
  <c r="AU153" i="3"/>
  <c r="AE153" i="3"/>
  <c r="O153" i="3"/>
  <c r="BH152" i="3"/>
  <c r="AR152" i="3"/>
  <c r="AB152" i="3"/>
  <c r="L152" i="3"/>
  <c r="BE151" i="3"/>
  <c r="AO151" i="3"/>
  <c r="Y151" i="3"/>
  <c r="I151" i="3"/>
  <c r="AX150" i="3"/>
  <c r="AH150" i="3"/>
  <c r="R150" i="3"/>
  <c r="BG149" i="3"/>
  <c r="AQ149" i="3"/>
  <c r="AA149" i="3"/>
  <c r="K149" i="3"/>
  <c r="BD148" i="3"/>
  <c r="AN148" i="3"/>
  <c r="X148" i="3"/>
  <c r="H148" i="3"/>
  <c r="BA147" i="3"/>
  <c r="AK147" i="3"/>
  <c r="U147" i="3"/>
  <c r="BJ146" i="3"/>
  <c r="AT146" i="3"/>
  <c r="AD146" i="3"/>
  <c r="N146" i="3"/>
  <c r="BC145" i="3"/>
  <c r="AM145" i="3"/>
  <c r="W145" i="3"/>
  <c r="G145" i="3"/>
  <c r="AZ144" i="3"/>
  <c r="AJ144" i="3"/>
  <c r="T144" i="3"/>
  <c r="BM143" i="3"/>
  <c r="AW143" i="3"/>
  <c r="AG143" i="3"/>
  <c r="Q143" i="3"/>
  <c r="BF142" i="3"/>
  <c r="AP142" i="3"/>
  <c r="Z142" i="3"/>
  <c r="J142" i="3"/>
  <c r="AY141" i="3"/>
  <c r="AI141" i="3"/>
  <c r="S141" i="3"/>
  <c r="BL140" i="3"/>
  <c r="AV140" i="3"/>
  <c r="AF140" i="3"/>
  <c r="P140" i="3"/>
  <c r="BI139" i="3"/>
  <c r="AS139" i="3"/>
  <c r="AC139" i="3"/>
  <c r="M139" i="3"/>
  <c r="BB138" i="3"/>
  <c r="AL138" i="3"/>
  <c r="V138" i="3"/>
  <c r="BK137" i="3"/>
  <c r="AU137" i="3"/>
  <c r="AE137" i="3"/>
  <c r="O137" i="3"/>
  <c r="BH136" i="3"/>
  <c r="AR136" i="3"/>
  <c r="AB136" i="3"/>
  <c r="L136" i="3"/>
  <c r="BE135" i="3"/>
  <c r="AO135" i="3"/>
  <c r="Y135" i="3"/>
  <c r="I135" i="3"/>
  <c r="AX134" i="3"/>
  <c r="AH134" i="3"/>
  <c r="R134" i="3"/>
  <c r="BG133" i="3"/>
  <c r="AQ133" i="3"/>
  <c r="AA133" i="3"/>
  <c r="K133" i="3"/>
  <c r="BD132" i="3"/>
  <c r="AN132" i="3"/>
  <c r="X132" i="3"/>
  <c r="H132" i="3"/>
  <c r="BA131" i="3"/>
  <c r="AK131" i="3"/>
  <c r="U131" i="3"/>
  <c r="BJ130" i="3"/>
  <c r="AT130" i="3"/>
  <c r="AD130" i="3"/>
  <c r="N130" i="3"/>
  <c r="BC129" i="3"/>
  <c r="AM129" i="3"/>
  <c r="W129" i="3"/>
  <c r="G129" i="3"/>
  <c r="AZ128" i="3"/>
  <c r="AJ128" i="3"/>
  <c r="T128" i="3"/>
  <c r="BM127" i="3"/>
  <c r="AW127" i="3"/>
  <c r="AG127" i="3"/>
  <c r="Q127" i="3"/>
  <c r="BI125" i="3"/>
  <c r="AS125" i="3"/>
  <c r="AC125" i="3"/>
  <c r="M125" i="3"/>
  <c r="BB124" i="3"/>
  <c r="AL124" i="3"/>
  <c r="V124" i="3"/>
  <c r="BK123" i="3"/>
  <c r="AU123" i="3"/>
  <c r="AE123" i="3"/>
  <c r="O123" i="3"/>
  <c r="BH122" i="3"/>
  <c r="AR122" i="3"/>
  <c r="AB122" i="3"/>
  <c r="L122" i="3"/>
  <c r="BE121" i="3"/>
  <c r="AO121" i="3"/>
  <c r="Y121" i="3"/>
  <c r="I121" i="3"/>
  <c r="AX120" i="3"/>
  <c r="AH120" i="3"/>
  <c r="R120" i="3"/>
  <c r="BG119" i="3"/>
  <c r="AQ119" i="3"/>
  <c r="AA119" i="3"/>
  <c r="K119" i="3"/>
  <c r="BD118" i="3"/>
  <c r="AN118" i="3"/>
  <c r="X118" i="3"/>
  <c r="H118" i="3"/>
  <c r="BA117" i="3"/>
  <c r="AK117" i="3"/>
  <c r="U117" i="3"/>
  <c r="BJ116" i="3"/>
  <c r="AT116" i="3"/>
  <c r="AD116" i="3"/>
  <c r="N116" i="3"/>
  <c r="BC115" i="3"/>
  <c r="AM115" i="3"/>
  <c r="W115" i="3"/>
  <c r="G115" i="3"/>
  <c r="AW206" i="3"/>
  <c r="AA206" i="3"/>
  <c r="BJ205" i="3"/>
  <c r="AN205" i="3"/>
  <c r="S205" i="3"/>
  <c r="BH204" i="3"/>
  <c r="AM204" i="3"/>
  <c r="Q204" i="3"/>
  <c r="BE203" i="3"/>
  <c r="AJ203" i="3"/>
  <c r="N203" i="3"/>
  <c r="BB202" i="3"/>
  <c r="AG202" i="3"/>
  <c r="K202" i="3"/>
  <c r="AT201" i="3"/>
  <c r="X201" i="3"/>
  <c r="BM200" i="3"/>
  <c r="AR200" i="3"/>
  <c r="W200" i="3"/>
  <c r="BJ199" i="3"/>
  <c r="AT199" i="3"/>
  <c r="AD199" i="3"/>
  <c r="N199" i="3"/>
  <c r="BC198" i="3"/>
  <c r="AM198" i="3"/>
  <c r="W198" i="3"/>
  <c r="G198" i="3"/>
  <c r="AZ197" i="3"/>
  <c r="AJ197" i="3"/>
  <c r="T197" i="3"/>
  <c r="BM196" i="3"/>
  <c r="AW196" i="3"/>
  <c r="AG196" i="3"/>
  <c r="Q196" i="3"/>
  <c r="BF195" i="3"/>
  <c r="AP195" i="3"/>
  <c r="Z195" i="3"/>
  <c r="J195" i="3"/>
  <c r="AY194" i="3"/>
  <c r="AI194" i="3"/>
  <c r="S194" i="3"/>
  <c r="BL193" i="3"/>
  <c r="AV193" i="3"/>
  <c r="AF193" i="3"/>
  <c r="P193" i="3"/>
  <c r="BI192" i="3"/>
  <c r="AS192" i="3"/>
  <c r="AC192" i="3"/>
  <c r="M192" i="3"/>
  <c r="BB191" i="3"/>
  <c r="AL191" i="3"/>
  <c r="V191" i="3"/>
  <c r="BK190" i="3"/>
  <c r="AU190" i="3"/>
  <c r="AE190" i="3"/>
  <c r="O190" i="3"/>
  <c r="BH189" i="3"/>
  <c r="AR189" i="3"/>
  <c r="AB189" i="3"/>
  <c r="L189" i="3"/>
  <c r="BE188" i="3"/>
  <c r="AO188" i="3"/>
  <c r="Y188" i="3"/>
  <c r="I188" i="3"/>
  <c r="AX187" i="3"/>
  <c r="AH187" i="3"/>
  <c r="R187" i="3"/>
  <c r="BG186" i="3"/>
  <c r="AQ186" i="3"/>
  <c r="AA186" i="3"/>
  <c r="K186" i="3"/>
  <c r="BD185" i="3"/>
  <c r="AN185" i="3"/>
  <c r="X185" i="3"/>
  <c r="H185" i="3"/>
  <c r="BA184" i="3"/>
  <c r="AK184" i="3"/>
  <c r="U184" i="3"/>
  <c r="BJ183" i="3"/>
  <c r="AT183" i="3"/>
  <c r="AD183" i="3"/>
  <c r="N183" i="3"/>
  <c r="BC182" i="3"/>
  <c r="AM182" i="3"/>
  <c r="W182" i="3"/>
  <c r="G182" i="3"/>
  <c r="AZ181" i="3"/>
  <c r="AJ181" i="3"/>
  <c r="T181" i="3"/>
  <c r="BM180" i="3"/>
  <c r="AW180" i="3"/>
  <c r="AG180" i="3"/>
  <c r="Q180" i="3"/>
  <c r="BF179" i="3"/>
  <c r="AP179" i="3"/>
  <c r="Z179" i="3"/>
  <c r="J179" i="3"/>
  <c r="AY178" i="3"/>
  <c r="AI178" i="3"/>
  <c r="S178" i="3"/>
  <c r="BL177" i="3"/>
  <c r="AV177" i="3"/>
  <c r="AF177" i="3"/>
  <c r="P177" i="3"/>
  <c r="BI176" i="3"/>
  <c r="AS176" i="3"/>
  <c r="AC176" i="3"/>
  <c r="M176" i="3"/>
  <c r="BB175" i="3"/>
  <c r="AL175" i="3"/>
  <c r="V175" i="3"/>
  <c r="BK174" i="3"/>
  <c r="AU174" i="3"/>
  <c r="AE174" i="3"/>
  <c r="O174" i="3"/>
  <c r="BH173" i="3"/>
  <c r="AR173" i="3"/>
  <c r="AB173" i="3"/>
  <c r="L173" i="3"/>
  <c r="BE172" i="3"/>
  <c r="AO172" i="3"/>
  <c r="Y172" i="3"/>
  <c r="I172" i="3"/>
  <c r="AX171" i="3"/>
  <c r="AH171" i="3"/>
  <c r="R171" i="3"/>
  <c r="BG170" i="3"/>
  <c r="AQ170" i="3"/>
  <c r="AA170" i="3"/>
  <c r="K170" i="3"/>
  <c r="BD169" i="3"/>
  <c r="AN169" i="3"/>
  <c r="X169" i="3"/>
  <c r="H169" i="3"/>
  <c r="BA168" i="3"/>
  <c r="AK168" i="3"/>
  <c r="U168" i="3"/>
  <c r="BM166" i="3"/>
  <c r="AW166" i="3"/>
  <c r="AG166" i="3"/>
  <c r="Q166" i="3"/>
  <c r="BF165" i="3"/>
  <c r="AP165" i="3"/>
  <c r="Z165" i="3"/>
  <c r="J165" i="3"/>
  <c r="AY164" i="3"/>
  <c r="AI164" i="3"/>
  <c r="S164" i="3"/>
  <c r="BL163" i="3"/>
  <c r="AV163" i="3"/>
  <c r="AF163" i="3"/>
  <c r="P163" i="3"/>
  <c r="BI162" i="3"/>
  <c r="AS162" i="3"/>
  <c r="AC162" i="3"/>
  <c r="M162" i="3"/>
  <c r="BB161" i="3"/>
  <c r="AL161" i="3"/>
  <c r="V161" i="3"/>
  <c r="BK160" i="3"/>
  <c r="AU160" i="3"/>
  <c r="AE160" i="3"/>
  <c r="O160" i="3"/>
  <c r="BH159" i="3"/>
  <c r="AR159" i="3"/>
  <c r="AB159" i="3"/>
  <c r="L159" i="3"/>
  <c r="BE158" i="3"/>
  <c r="AO158" i="3"/>
  <c r="Y158" i="3"/>
  <c r="I158" i="3"/>
  <c r="AX157" i="3"/>
  <c r="AH157" i="3"/>
  <c r="R157" i="3"/>
  <c r="BG156" i="3"/>
  <c r="AQ156" i="3"/>
  <c r="AA156" i="3"/>
  <c r="K156" i="3"/>
  <c r="BD155" i="3"/>
  <c r="AN155" i="3"/>
  <c r="X155" i="3"/>
  <c r="H155" i="3"/>
  <c r="BA154" i="3"/>
  <c r="AK154" i="3"/>
  <c r="U154" i="3"/>
  <c r="BJ153" i="3"/>
  <c r="AT153" i="3"/>
  <c r="AD153" i="3"/>
  <c r="N153" i="3"/>
  <c r="BC152" i="3"/>
  <c r="AM152" i="3"/>
  <c r="W152" i="3"/>
  <c r="G152" i="3"/>
  <c r="AZ151" i="3"/>
  <c r="AJ151" i="3"/>
  <c r="T151" i="3"/>
  <c r="BM150" i="3"/>
  <c r="AW150" i="3"/>
  <c r="AG150" i="3"/>
  <c r="Q150" i="3"/>
  <c r="BF149" i="3"/>
  <c r="AP149" i="3"/>
  <c r="Z149" i="3"/>
  <c r="J149" i="3"/>
  <c r="AY148" i="3"/>
  <c r="AI148" i="3"/>
  <c r="S148" i="3"/>
  <c r="BL147" i="3"/>
  <c r="AV147" i="3"/>
  <c r="AF147" i="3"/>
  <c r="P147" i="3"/>
  <c r="BI146" i="3"/>
  <c r="AS146" i="3"/>
  <c r="AC146" i="3"/>
  <c r="M146" i="3"/>
  <c r="BB145" i="3"/>
  <c r="AL145" i="3"/>
  <c r="V145" i="3"/>
  <c r="BK144" i="3"/>
  <c r="AU144" i="3"/>
  <c r="AE144" i="3"/>
  <c r="O144" i="3"/>
  <c r="BH143" i="3"/>
  <c r="AR143" i="3"/>
  <c r="AB143" i="3"/>
  <c r="L143" i="3"/>
  <c r="BE142" i="3"/>
  <c r="AO142" i="3"/>
  <c r="Y142" i="3"/>
  <c r="I142" i="3"/>
  <c r="AX141" i="3"/>
  <c r="AH141" i="3"/>
  <c r="R141" i="3"/>
  <c r="BG140" i="3"/>
  <c r="AQ140" i="3"/>
  <c r="AA140" i="3"/>
  <c r="K140" i="3"/>
  <c r="BD139" i="3"/>
  <c r="AN139" i="3"/>
  <c r="X139" i="3"/>
  <c r="H139" i="3"/>
  <c r="BA138" i="3"/>
  <c r="AK138" i="3"/>
  <c r="U138" i="3"/>
  <c r="BJ137" i="3"/>
  <c r="AT137" i="3"/>
  <c r="AD137" i="3"/>
  <c r="N137" i="3"/>
  <c r="BC136" i="3"/>
  <c r="AM136" i="3"/>
  <c r="W136" i="3"/>
  <c r="G136" i="3"/>
  <c r="AZ135" i="3"/>
  <c r="AJ135" i="3"/>
  <c r="T135" i="3"/>
  <c r="BM134" i="3"/>
  <c r="AW134" i="3"/>
  <c r="AG134" i="3"/>
  <c r="Q134" i="3"/>
  <c r="BF133" i="3"/>
  <c r="AP133" i="3"/>
  <c r="Z133" i="3"/>
  <c r="J133" i="3"/>
  <c r="AY132" i="3"/>
  <c r="AI132" i="3"/>
  <c r="S132" i="3"/>
  <c r="BL131" i="3"/>
  <c r="AV131" i="3"/>
  <c r="AF131" i="3"/>
  <c r="P131" i="3"/>
  <c r="BI130" i="3"/>
  <c r="AS130" i="3"/>
  <c r="AC130" i="3"/>
  <c r="M130" i="3"/>
  <c r="BB129" i="3"/>
  <c r="AL129" i="3"/>
  <c r="V129" i="3"/>
  <c r="BK128" i="3"/>
  <c r="AU128" i="3"/>
  <c r="AE128" i="3"/>
  <c r="O128" i="3"/>
  <c r="BH127" i="3"/>
  <c r="AR127" i="3"/>
  <c r="AB127" i="3"/>
  <c r="L127" i="3"/>
  <c r="BD125" i="3"/>
  <c r="AN125" i="3"/>
  <c r="X125" i="3"/>
  <c r="H125" i="3"/>
  <c r="BA124" i="3"/>
  <c r="AK124" i="3"/>
  <c r="U124" i="3"/>
  <c r="BJ123" i="3"/>
  <c r="AT123" i="3"/>
  <c r="AD123" i="3"/>
  <c r="N123" i="3"/>
  <c r="BC122" i="3"/>
  <c r="AM122" i="3"/>
  <c r="W122" i="3"/>
  <c r="G122" i="3"/>
  <c r="AZ121" i="3"/>
  <c r="AJ121" i="3"/>
  <c r="T121" i="3"/>
  <c r="BM120" i="3"/>
  <c r="AW120" i="3"/>
  <c r="AG120" i="3"/>
  <c r="Q120" i="3"/>
  <c r="BF119" i="3"/>
  <c r="AP119" i="3"/>
  <c r="Z119" i="3"/>
  <c r="J119" i="3"/>
  <c r="AY118" i="3"/>
  <c r="AI118" i="3"/>
  <c r="S118" i="3"/>
  <c r="BL117" i="3"/>
  <c r="AV117" i="3"/>
  <c r="AF117" i="3"/>
  <c r="P117" i="3"/>
  <c r="BI116" i="3"/>
  <c r="AS116" i="3"/>
  <c r="AC116" i="3"/>
  <c r="M116" i="3"/>
  <c r="BB115" i="3"/>
  <c r="AL115" i="3"/>
  <c r="V115" i="3"/>
  <c r="BK114" i="3"/>
  <c r="AE114" i="3"/>
  <c r="I114" i="3"/>
  <c r="BA113" i="3"/>
  <c r="AK113" i="3"/>
  <c r="U113" i="3"/>
  <c r="BJ112" i="3"/>
  <c r="AT112" i="3"/>
  <c r="AD112" i="3"/>
  <c r="N112" i="3"/>
  <c r="BC111" i="3"/>
  <c r="AM111" i="3"/>
  <c r="W111" i="3"/>
  <c r="G111" i="3"/>
  <c r="AZ110" i="3"/>
  <c r="AJ110" i="3"/>
  <c r="T110" i="3"/>
  <c r="BM109" i="3"/>
  <c r="AW109" i="3"/>
  <c r="AG109" i="3"/>
  <c r="Q109" i="3"/>
  <c r="BF108" i="3"/>
  <c r="AP108" i="3"/>
  <c r="Z108" i="3"/>
  <c r="J108" i="3"/>
  <c r="AY107" i="3"/>
  <c r="AI107" i="3"/>
  <c r="S107" i="3"/>
  <c r="BL106" i="3"/>
  <c r="AV106" i="3"/>
  <c r="AF106" i="3"/>
  <c r="P106" i="3"/>
  <c r="BI105" i="3"/>
  <c r="AS105" i="3"/>
  <c r="AC105" i="3"/>
  <c r="M105" i="3"/>
  <c r="BB104" i="3"/>
  <c r="AL104" i="3"/>
  <c r="V104" i="3"/>
  <c r="BK103" i="3"/>
  <c r="AU103" i="3"/>
  <c r="AE103" i="3"/>
  <c r="O103" i="3"/>
  <c r="BH102" i="3"/>
  <c r="AR102" i="3"/>
  <c r="AB102" i="3"/>
  <c r="L102" i="3"/>
  <c r="BE101" i="3"/>
  <c r="AO101" i="3"/>
  <c r="Y101" i="3"/>
  <c r="I101" i="3"/>
  <c r="AX100" i="3"/>
  <c r="AH100" i="3"/>
  <c r="R100" i="3"/>
  <c r="BG99" i="3"/>
  <c r="AQ99" i="3"/>
  <c r="AA99" i="3"/>
  <c r="K99" i="3"/>
  <c r="BD98" i="3"/>
  <c r="AN98" i="3"/>
  <c r="X98" i="3"/>
  <c r="H98" i="3"/>
  <c r="BA97" i="3"/>
  <c r="AK97" i="3"/>
  <c r="U97" i="3"/>
  <c r="BJ96" i="3"/>
  <c r="AT96" i="3"/>
  <c r="AD96" i="3"/>
  <c r="N96" i="3"/>
  <c r="BC95" i="3"/>
  <c r="AM95" i="3"/>
  <c r="W95" i="3"/>
  <c r="G95" i="3"/>
  <c r="AZ94" i="3"/>
  <c r="AJ94" i="3"/>
  <c r="T94" i="3"/>
  <c r="BM93" i="3"/>
  <c r="AW93" i="3"/>
  <c r="AG93" i="3"/>
  <c r="Q93" i="3"/>
  <c r="BF92" i="3"/>
  <c r="AP92" i="3"/>
  <c r="Z92" i="3"/>
  <c r="J92" i="3"/>
  <c r="AY91" i="3"/>
  <c r="AI91" i="3"/>
  <c r="S91" i="3"/>
  <c r="BL90" i="3"/>
  <c r="AV90" i="3"/>
  <c r="AF90" i="3"/>
  <c r="P90" i="3"/>
  <c r="BI89" i="3"/>
  <c r="AS89" i="3"/>
  <c r="AC89" i="3"/>
  <c r="M89" i="3"/>
  <c r="BB88" i="3"/>
  <c r="AL88" i="3"/>
  <c r="V88" i="3"/>
  <c r="BK87" i="3"/>
  <c r="AU87" i="3"/>
  <c r="AE87" i="3"/>
  <c r="O87" i="3"/>
  <c r="BH86" i="3"/>
  <c r="AR86" i="3"/>
  <c r="AB86" i="3"/>
  <c r="L86" i="3"/>
  <c r="BD84" i="3"/>
  <c r="AN84" i="3"/>
  <c r="X84" i="3"/>
  <c r="H84" i="3"/>
  <c r="BA83" i="3"/>
  <c r="AK83" i="3"/>
  <c r="U83" i="3"/>
  <c r="BJ82" i="3"/>
  <c r="AT82" i="3"/>
  <c r="AD82" i="3"/>
  <c r="N82" i="3"/>
  <c r="BC81" i="3"/>
  <c r="AM81" i="3"/>
  <c r="W81" i="3"/>
  <c r="G81" i="3"/>
  <c r="AZ80" i="3"/>
  <c r="AJ80" i="3"/>
  <c r="T80" i="3"/>
  <c r="BM79" i="3"/>
  <c r="AW79" i="3"/>
  <c r="AG79" i="3"/>
  <c r="Q79" i="3"/>
  <c r="BF78" i="3"/>
  <c r="AP78" i="3"/>
  <c r="Z78" i="3"/>
  <c r="J78" i="3"/>
  <c r="AY77" i="3"/>
  <c r="AI77" i="3"/>
  <c r="S77" i="3"/>
  <c r="BL76" i="3"/>
  <c r="AV76" i="3"/>
  <c r="AF76" i="3"/>
  <c r="P76" i="3"/>
  <c r="BI75" i="3"/>
  <c r="AS75" i="3"/>
  <c r="AC75" i="3"/>
  <c r="M75" i="3"/>
  <c r="BB74" i="3"/>
  <c r="AL74" i="3"/>
  <c r="V74" i="3"/>
  <c r="BK73" i="3"/>
  <c r="AU73" i="3"/>
  <c r="AE73" i="3"/>
  <c r="O73" i="3"/>
  <c r="BH72" i="3"/>
  <c r="AR72" i="3"/>
  <c r="AB72" i="3"/>
  <c r="L72" i="3"/>
  <c r="BE71" i="3"/>
  <c r="AO71" i="3"/>
  <c r="Y71" i="3"/>
  <c r="I71" i="3"/>
  <c r="AX70" i="3"/>
  <c r="AH70" i="3"/>
  <c r="R70" i="3"/>
  <c r="BG69" i="3"/>
  <c r="AQ69" i="3"/>
  <c r="AA69" i="3"/>
  <c r="K69" i="3"/>
  <c r="BD68" i="3"/>
  <c r="AN68" i="3"/>
  <c r="X68" i="3"/>
  <c r="H68" i="3"/>
  <c r="BA67" i="3"/>
  <c r="AK67" i="3"/>
  <c r="U67" i="3"/>
  <c r="BJ66" i="3"/>
  <c r="AT66" i="3"/>
  <c r="AD66" i="3"/>
  <c r="N66" i="3"/>
  <c r="BC65" i="3"/>
  <c r="AM65" i="3"/>
  <c r="W65" i="3"/>
  <c r="G65" i="3"/>
  <c r="AZ64" i="3"/>
  <c r="AJ64" i="3"/>
  <c r="T64" i="3"/>
  <c r="BM63" i="3"/>
  <c r="AW63" i="3"/>
  <c r="AG63" i="3"/>
  <c r="Q63" i="3"/>
  <c r="BF62" i="3"/>
  <c r="AP62" i="3"/>
  <c r="Z62" i="3"/>
  <c r="J62" i="3"/>
  <c r="AY61" i="3"/>
  <c r="AI61" i="3"/>
  <c r="S61" i="3"/>
  <c r="BL60" i="3"/>
  <c r="AV60" i="3"/>
  <c r="AF60" i="3"/>
  <c r="P60" i="3"/>
  <c r="BI59" i="3"/>
  <c r="AS59" i="3"/>
  <c r="AC59" i="3"/>
  <c r="M59" i="3"/>
  <c r="BB58" i="3"/>
  <c r="AL58" i="3"/>
  <c r="V58" i="3"/>
  <c r="BK57" i="3"/>
  <c r="AU57" i="3"/>
  <c r="AE57" i="3"/>
  <c r="O57" i="3"/>
  <c r="BH56" i="3"/>
  <c r="AR56" i="3"/>
  <c r="AB56" i="3"/>
  <c r="L56" i="3"/>
  <c r="BE55" i="3"/>
  <c r="AO55" i="3"/>
  <c r="Y55" i="3"/>
  <c r="I55" i="3"/>
  <c r="AX54" i="3"/>
  <c r="AH54" i="3"/>
  <c r="R54" i="3"/>
  <c r="BG53" i="3"/>
  <c r="AQ53" i="3"/>
  <c r="AA53" i="3"/>
  <c r="K53" i="3"/>
  <c r="BD52" i="3"/>
  <c r="AN52" i="3"/>
  <c r="X52" i="3"/>
  <c r="H52" i="3"/>
  <c r="BA51" i="3"/>
  <c r="AK51" i="3"/>
  <c r="U51" i="3"/>
  <c r="BJ50" i="3"/>
  <c r="AT50" i="3"/>
  <c r="AD50" i="3"/>
  <c r="N50" i="3"/>
  <c r="BC49" i="3"/>
  <c r="AM49" i="3"/>
  <c r="W49" i="3"/>
  <c r="G49" i="3"/>
  <c r="AZ48" i="3"/>
  <c r="AJ48" i="3"/>
  <c r="T48" i="3"/>
  <c r="BM47" i="3"/>
  <c r="AW47" i="3"/>
  <c r="AG47" i="3"/>
  <c r="Q47" i="3"/>
  <c r="BF46" i="3"/>
  <c r="AP46" i="3"/>
  <c r="Z46" i="3"/>
  <c r="J46" i="3"/>
  <c r="AY45" i="3"/>
  <c r="AI45" i="3"/>
  <c r="S45" i="3"/>
  <c r="BK43" i="3"/>
  <c r="AU43" i="3"/>
  <c r="AE43" i="3"/>
  <c r="O43" i="3"/>
  <c r="BH42" i="3"/>
  <c r="AR42" i="3"/>
  <c r="AB42" i="3"/>
  <c r="L42" i="3"/>
  <c r="BE41" i="3"/>
  <c r="AO41" i="3"/>
  <c r="Y41" i="3"/>
  <c r="I41" i="3"/>
  <c r="AX40" i="3"/>
  <c r="AH40" i="3"/>
  <c r="R40" i="3"/>
  <c r="BG39" i="3"/>
  <c r="AQ39" i="3"/>
  <c r="AA39" i="3"/>
  <c r="K39" i="3"/>
  <c r="BD38" i="3"/>
  <c r="AN38" i="3"/>
  <c r="X38" i="3"/>
  <c r="H38" i="3"/>
  <c r="BA37" i="3"/>
  <c r="AK37" i="3"/>
  <c r="U37" i="3"/>
  <c r="BJ36" i="3"/>
  <c r="AT36" i="3"/>
  <c r="AD36" i="3"/>
  <c r="N36" i="3"/>
  <c r="BC35" i="3"/>
  <c r="AM35" i="3"/>
  <c r="W35" i="3"/>
  <c r="G35" i="3"/>
  <c r="AZ34" i="3"/>
  <c r="AJ34" i="3"/>
  <c r="T34" i="3"/>
  <c r="BM33" i="3"/>
  <c r="AW33" i="3"/>
  <c r="AG33" i="3"/>
  <c r="Q33" i="3"/>
  <c r="BF32" i="3"/>
  <c r="AP32" i="3"/>
  <c r="Z32" i="3"/>
  <c r="J32" i="3"/>
  <c r="AY31" i="3"/>
  <c r="AI31" i="3"/>
  <c r="S31" i="3"/>
  <c r="BL30" i="3"/>
  <c r="AV30" i="3"/>
  <c r="AF30" i="3"/>
  <c r="P30" i="3"/>
  <c r="BI29" i="3"/>
  <c r="AS29" i="3"/>
  <c r="AC29" i="3"/>
  <c r="M29" i="3"/>
  <c r="BB28" i="3"/>
  <c r="AL28" i="3"/>
  <c r="V28" i="3"/>
  <c r="BK27" i="3"/>
  <c r="AU27" i="3"/>
  <c r="AE27" i="3"/>
  <c r="O27" i="3"/>
  <c r="BH26" i="3"/>
  <c r="AR26" i="3"/>
  <c r="AB26" i="3"/>
  <c r="L26" i="3"/>
  <c r="BE25" i="3"/>
  <c r="AO25" i="3"/>
  <c r="Y25" i="3"/>
  <c r="I25" i="3"/>
  <c r="AX24" i="3"/>
  <c r="AH24" i="3"/>
  <c r="R24" i="3"/>
  <c r="BG23" i="3"/>
  <c r="AQ23" i="3"/>
  <c r="AA23" i="3"/>
  <c r="K23" i="3"/>
  <c r="AR114" i="3"/>
  <c r="S114" i="3"/>
  <c r="BH113" i="3"/>
  <c r="AR113" i="3"/>
  <c r="AB113" i="3"/>
  <c r="L113" i="3"/>
  <c r="BE112" i="3"/>
  <c r="AO112" i="3"/>
  <c r="Y112" i="3"/>
  <c r="I112" i="3"/>
  <c r="AX111" i="3"/>
  <c r="AH111" i="3"/>
  <c r="R111" i="3"/>
  <c r="BG110" i="3"/>
  <c r="AQ110" i="3"/>
  <c r="AA110" i="3"/>
  <c r="K110" i="3"/>
  <c r="BD109" i="3"/>
  <c r="AN109" i="3"/>
  <c r="X109" i="3"/>
  <c r="H109" i="3"/>
  <c r="BA108" i="3"/>
  <c r="AK108" i="3"/>
  <c r="U108" i="3"/>
  <c r="BJ107" i="3"/>
  <c r="AT107" i="3"/>
  <c r="AD107" i="3"/>
  <c r="N107" i="3"/>
  <c r="BC106" i="3"/>
  <c r="AM106" i="3"/>
  <c r="W106" i="3"/>
  <c r="G106" i="3"/>
  <c r="AZ105" i="3"/>
  <c r="AJ105" i="3"/>
  <c r="T105" i="3"/>
  <c r="BM104" i="3"/>
  <c r="AW104" i="3"/>
  <c r="AG104" i="3"/>
  <c r="Q104" i="3"/>
  <c r="BF103" i="3"/>
  <c r="AP103" i="3"/>
  <c r="Z103" i="3"/>
  <c r="J103" i="3"/>
  <c r="AY102" i="3"/>
  <c r="AI102" i="3"/>
  <c r="S102" i="3"/>
  <c r="BL101" i="3"/>
  <c r="AV101" i="3"/>
  <c r="AF101" i="3"/>
  <c r="P101" i="3"/>
  <c r="BI100" i="3"/>
  <c r="AS100" i="3"/>
  <c r="AC100" i="3"/>
  <c r="M100" i="3"/>
  <c r="BB99" i="3"/>
  <c r="AL99" i="3"/>
  <c r="V99" i="3"/>
  <c r="BK98" i="3"/>
  <c r="AU98" i="3"/>
  <c r="AE98" i="3"/>
  <c r="O98" i="3"/>
  <c r="BH97" i="3"/>
  <c r="AR97" i="3"/>
  <c r="AB97" i="3"/>
  <c r="L97" i="3"/>
  <c r="BE96" i="3"/>
  <c r="AO96" i="3"/>
  <c r="Y96" i="3"/>
  <c r="I96" i="3"/>
  <c r="AX95" i="3"/>
  <c r="AH95" i="3"/>
  <c r="R95" i="3"/>
  <c r="BG94" i="3"/>
  <c r="AQ94" i="3"/>
  <c r="AA94" i="3"/>
  <c r="K94" i="3"/>
  <c r="BD93" i="3"/>
  <c r="AN93" i="3"/>
  <c r="X93" i="3"/>
  <c r="H93" i="3"/>
  <c r="BA92" i="3"/>
  <c r="AK92" i="3"/>
  <c r="U92" i="3"/>
  <c r="BJ91" i="3"/>
  <c r="AT91" i="3"/>
  <c r="AD91" i="3"/>
  <c r="N91" i="3"/>
  <c r="BC90" i="3"/>
  <c r="AM90" i="3"/>
  <c r="W90" i="3"/>
  <c r="G90" i="3"/>
  <c r="AZ89" i="3"/>
  <c r="AJ89" i="3"/>
  <c r="T89" i="3"/>
  <c r="BM88" i="3"/>
  <c r="AW88" i="3"/>
  <c r="AG88" i="3"/>
  <c r="Q88" i="3"/>
  <c r="BF87" i="3"/>
  <c r="AP87" i="3"/>
  <c r="Z87" i="3"/>
  <c r="J87" i="3"/>
  <c r="AY86" i="3"/>
  <c r="AI86" i="3"/>
  <c r="S86" i="3"/>
  <c r="BK84" i="3"/>
  <c r="AU84" i="3"/>
  <c r="AE84" i="3"/>
  <c r="O84" i="3"/>
  <c r="BH83" i="3"/>
  <c r="AR83" i="3"/>
  <c r="AB83" i="3"/>
  <c r="L83" i="3"/>
  <c r="BE82" i="3"/>
  <c r="AO82" i="3"/>
  <c r="Y82" i="3"/>
  <c r="I82" i="3"/>
  <c r="AX81" i="3"/>
  <c r="AH81" i="3"/>
  <c r="R81" i="3"/>
  <c r="BG80" i="3"/>
  <c r="AQ80" i="3"/>
  <c r="AA80" i="3"/>
  <c r="K80" i="3"/>
  <c r="BD79" i="3"/>
  <c r="AN79" i="3"/>
  <c r="X79" i="3"/>
  <c r="H79" i="3"/>
  <c r="BA78" i="3"/>
  <c r="AK78" i="3"/>
  <c r="U78" i="3"/>
  <c r="BJ77" i="3"/>
  <c r="AT77" i="3"/>
  <c r="AD77" i="3"/>
  <c r="N77" i="3"/>
  <c r="BC76" i="3"/>
  <c r="AM76" i="3"/>
  <c r="W76" i="3"/>
  <c r="G76" i="3"/>
  <c r="AZ75" i="3"/>
  <c r="AJ75" i="3"/>
  <c r="T75" i="3"/>
  <c r="BM74" i="3"/>
  <c r="AW74" i="3"/>
  <c r="AG74" i="3"/>
  <c r="Q74" i="3"/>
  <c r="BF73" i="3"/>
  <c r="AP73" i="3"/>
  <c r="Z73" i="3"/>
  <c r="J73" i="3"/>
  <c r="AY72" i="3"/>
  <c r="AI72" i="3"/>
  <c r="S72" i="3"/>
  <c r="BL71" i="3"/>
  <c r="AV71" i="3"/>
  <c r="AF71" i="3"/>
  <c r="P71" i="3"/>
  <c r="BI70" i="3"/>
  <c r="AS70" i="3"/>
  <c r="AC70" i="3"/>
  <c r="M70" i="3"/>
  <c r="BB69" i="3"/>
  <c r="AL69" i="3"/>
  <c r="V69" i="3"/>
  <c r="BK68" i="3"/>
  <c r="AU68" i="3"/>
  <c r="AE68" i="3"/>
  <c r="O68" i="3"/>
  <c r="BH67" i="3"/>
  <c r="AR67" i="3"/>
  <c r="AB67" i="3"/>
  <c r="L67" i="3"/>
  <c r="BE66" i="3"/>
  <c r="AO66" i="3"/>
  <c r="Y66" i="3"/>
  <c r="I66" i="3"/>
  <c r="AX65" i="3"/>
  <c r="AH65" i="3"/>
  <c r="R65" i="3"/>
  <c r="BG64" i="3"/>
  <c r="AQ64" i="3"/>
  <c r="AA64" i="3"/>
  <c r="K64" i="3"/>
  <c r="BD63" i="3"/>
  <c r="AN63" i="3"/>
  <c r="X63" i="3"/>
  <c r="H63" i="3"/>
  <c r="BA62" i="3"/>
  <c r="AK62" i="3"/>
  <c r="U62" i="3"/>
  <c r="BJ61" i="3"/>
  <c r="AT61" i="3"/>
  <c r="AD61" i="3"/>
  <c r="N61" i="3"/>
  <c r="BC60" i="3"/>
  <c r="AM60" i="3"/>
  <c r="W60" i="3"/>
  <c r="G60" i="3"/>
  <c r="AZ59" i="3"/>
  <c r="AJ59" i="3"/>
  <c r="T59" i="3"/>
  <c r="BM58" i="3"/>
  <c r="AW58" i="3"/>
  <c r="AG58" i="3"/>
  <c r="Q58" i="3"/>
  <c r="BF57" i="3"/>
  <c r="AP57" i="3"/>
  <c r="Z57" i="3"/>
  <c r="J57" i="3"/>
  <c r="AY56" i="3"/>
  <c r="AI56" i="3"/>
  <c r="S56" i="3"/>
  <c r="BL55" i="3"/>
  <c r="AV55" i="3"/>
  <c r="AF55" i="3"/>
  <c r="P55" i="3"/>
  <c r="BI54" i="3"/>
  <c r="AS54" i="3"/>
  <c r="AC54" i="3"/>
  <c r="M54" i="3"/>
  <c r="BB53" i="3"/>
  <c r="AL53" i="3"/>
  <c r="V53" i="3"/>
  <c r="BK52" i="3"/>
  <c r="AU52" i="3"/>
  <c r="AE52" i="3"/>
  <c r="O52" i="3"/>
  <c r="BH51" i="3"/>
  <c r="AR51" i="3"/>
  <c r="AB51" i="3"/>
  <c r="L51" i="3"/>
  <c r="BE50" i="3"/>
  <c r="AO50" i="3"/>
  <c r="Y50" i="3"/>
  <c r="I50" i="3"/>
  <c r="AX49" i="3"/>
  <c r="AH49" i="3"/>
  <c r="R49" i="3"/>
  <c r="BG48" i="3"/>
  <c r="AQ48" i="3"/>
  <c r="AA48" i="3"/>
  <c r="K48" i="3"/>
  <c r="BD47" i="3"/>
  <c r="AN47" i="3"/>
  <c r="X47" i="3"/>
  <c r="H47" i="3"/>
  <c r="BA46" i="3"/>
  <c r="AK46" i="3"/>
  <c r="U46" i="3"/>
  <c r="BJ45" i="3"/>
  <c r="AT45" i="3"/>
  <c r="AD45" i="3"/>
  <c r="N45" i="3"/>
  <c r="BB43" i="3"/>
  <c r="AL43" i="3"/>
  <c r="V43" i="3"/>
  <c r="BK42" i="3"/>
  <c r="AU42" i="3"/>
  <c r="AE42" i="3"/>
  <c r="O42" i="3"/>
  <c r="BH41" i="3"/>
  <c r="AR41" i="3"/>
  <c r="AB41" i="3"/>
  <c r="L41" i="3"/>
  <c r="BE40" i="3"/>
  <c r="AO40" i="3"/>
  <c r="Y40" i="3"/>
  <c r="I40" i="3"/>
  <c r="AX39" i="3"/>
  <c r="AH39" i="3"/>
  <c r="R39" i="3"/>
  <c r="BG38" i="3"/>
  <c r="AQ38" i="3"/>
  <c r="AA38" i="3"/>
  <c r="K38" i="3"/>
  <c r="BD37" i="3"/>
  <c r="AN37" i="3"/>
  <c r="X37" i="3"/>
  <c r="H37" i="3"/>
  <c r="BA36" i="3"/>
  <c r="AK36" i="3"/>
  <c r="U36" i="3"/>
  <c r="BJ35" i="3"/>
  <c r="AT35" i="3"/>
  <c r="AD35" i="3"/>
  <c r="N35" i="3"/>
  <c r="BC34" i="3"/>
  <c r="AM34" i="3"/>
  <c r="W34" i="3"/>
  <c r="G34" i="3"/>
  <c r="AZ33" i="3"/>
  <c r="AJ33" i="3"/>
  <c r="T33" i="3"/>
  <c r="BM32" i="3"/>
  <c r="AW32" i="3"/>
  <c r="AG32" i="3"/>
  <c r="Q32" i="3"/>
  <c r="BF31" i="3"/>
  <c r="AP31" i="3"/>
  <c r="Z31" i="3"/>
  <c r="J31" i="3"/>
  <c r="AY30" i="3"/>
  <c r="AI30" i="3"/>
  <c r="S30" i="3"/>
  <c r="BL29" i="3"/>
  <c r="AV29" i="3"/>
  <c r="AF29" i="3"/>
  <c r="P29" i="3"/>
  <c r="BI28" i="3"/>
  <c r="AS28" i="3"/>
  <c r="AC28" i="3"/>
  <c r="M28" i="3"/>
  <c r="BB27" i="3"/>
  <c r="AL27" i="3"/>
  <c r="V27" i="3"/>
  <c r="BK26" i="3"/>
  <c r="AU26" i="3"/>
  <c r="AE26" i="3"/>
  <c r="O26" i="3"/>
  <c r="BH25" i="3"/>
  <c r="AR25" i="3"/>
  <c r="AB25" i="3"/>
  <c r="L25" i="3"/>
  <c r="BE24" i="3"/>
  <c r="AO24" i="3"/>
  <c r="Y24" i="3"/>
  <c r="I24" i="3"/>
  <c r="AX23" i="3"/>
  <c r="AH23" i="3"/>
  <c r="AI114" i="3"/>
  <c r="L114" i="3"/>
  <c r="BC113" i="3"/>
  <c r="AM113" i="3"/>
  <c r="W113" i="3"/>
  <c r="G113" i="3"/>
  <c r="AZ112" i="3"/>
  <c r="AJ112" i="3"/>
  <c r="T112" i="3"/>
  <c r="BM111" i="3"/>
  <c r="AW111" i="3"/>
  <c r="AG111" i="3"/>
  <c r="Q111" i="3"/>
  <c r="BF110" i="3"/>
  <c r="AP110" i="3"/>
  <c r="Z110" i="3"/>
  <c r="J110" i="3"/>
  <c r="AY109" i="3"/>
  <c r="AI109" i="3"/>
  <c r="S109" i="3"/>
  <c r="BL108" i="3"/>
  <c r="AV108" i="3"/>
  <c r="AF108" i="3"/>
  <c r="P108" i="3"/>
  <c r="BI107" i="3"/>
  <c r="AS107" i="3"/>
  <c r="AC107" i="3"/>
  <c r="M107" i="3"/>
  <c r="BB106" i="3"/>
  <c r="AL106" i="3"/>
  <c r="V106" i="3"/>
  <c r="BK105" i="3"/>
  <c r="AU105" i="3"/>
  <c r="AE105" i="3"/>
  <c r="O105" i="3"/>
  <c r="BH104" i="3"/>
  <c r="AR104" i="3"/>
  <c r="AB104" i="3"/>
  <c r="L104" i="3"/>
  <c r="BE103" i="3"/>
  <c r="AO103" i="3"/>
  <c r="Y103" i="3"/>
  <c r="I103" i="3"/>
  <c r="AX102" i="3"/>
  <c r="AH102" i="3"/>
  <c r="R102" i="3"/>
  <c r="BG101" i="3"/>
  <c r="AQ101" i="3"/>
  <c r="AA101" i="3"/>
  <c r="K101" i="3"/>
  <c r="BD100" i="3"/>
  <c r="AN100" i="3"/>
  <c r="X100" i="3"/>
  <c r="H100" i="3"/>
  <c r="BA99" i="3"/>
  <c r="AK99" i="3"/>
  <c r="U99" i="3"/>
  <c r="BJ98" i="3"/>
  <c r="AT98" i="3"/>
  <c r="AD98" i="3"/>
  <c r="N98" i="3"/>
  <c r="BC97" i="3"/>
  <c r="AM97" i="3"/>
  <c r="W97" i="3"/>
  <c r="G97" i="3"/>
  <c r="AZ96" i="3"/>
  <c r="AJ96" i="3"/>
  <c r="T96" i="3"/>
  <c r="BM95" i="3"/>
  <c r="AW95" i="3"/>
  <c r="AG95" i="3"/>
  <c r="Q95" i="3"/>
  <c r="BF94" i="3"/>
  <c r="AP94" i="3"/>
  <c r="Z94" i="3"/>
  <c r="J94" i="3"/>
  <c r="AY93" i="3"/>
  <c r="AI93" i="3"/>
  <c r="S93" i="3"/>
  <c r="BL92" i="3"/>
  <c r="AV92" i="3"/>
  <c r="AF92" i="3"/>
  <c r="P92" i="3"/>
  <c r="BI91" i="3"/>
  <c r="AS91" i="3"/>
  <c r="AC91" i="3"/>
  <c r="M91" i="3"/>
  <c r="BB90" i="3"/>
  <c r="AL90" i="3"/>
  <c r="V90" i="3"/>
  <c r="BK89" i="3"/>
  <c r="AU89" i="3"/>
  <c r="AE89" i="3"/>
  <c r="O89" i="3"/>
  <c r="BH88" i="3"/>
  <c r="AR88" i="3"/>
  <c r="AB88" i="3"/>
  <c r="L88" i="3"/>
  <c r="BE87" i="3"/>
  <c r="AO87" i="3"/>
  <c r="Y87" i="3"/>
  <c r="I87" i="3"/>
  <c r="AX86" i="3"/>
  <c r="AH86" i="3"/>
  <c r="R86" i="3"/>
  <c r="BF84" i="3"/>
  <c r="AP84" i="3"/>
  <c r="Z84" i="3"/>
  <c r="J84" i="3"/>
  <c r="AY83" i="3"/>
  <c r="AI83" i="3"/>
  <c r="S83" i="3"/>
  <c r="BL82" i="3"/>
  <c r="AV82" i="3"/>
  <c r="AF82" i="3"/>
  <c r="P82" i="3"/>
  <c r="BI81" i="3"/>
  <c r="AS81" i="3"/>
  <c r="AC81" i="3"/>
  <c r="M81" i="3"/>
  <c r="BB80" i="3"/>
  <c r="AL80" i="3"/>
  <c r="V80" i="3"/>
  <c r="BK79" i="3"/>
  <c r="AU79" i="3"/>
  <c r="AE79" i="3"/>
  <c r="O79" i="3"/>
  <c r="BH78" i="3"/>
  <c r="AR78" i="3"/>
  <c r="AB78" i="3"/>
  <c r="L78" i="3"/>
  <c r="BE77" i="3"/>
  <c r="AO77" i="3"/>
  <c r="Y77" i="3"/>
  <c r="I77" i="3"/>
  <c r="AX76" i="3"/>
  <c r="AH76" i="3"/>
  <c r="R76" i="3"/>
  <c r="BG75" i="3"/>
  <c r="AQ75" i="3"/>
  <c r="AA75" i="3"/>
  <c r="K75" i="3"/>
  <c r="BD74" i="3"/>
  <c r="AN74" i="3"/>
  <c r="X74" i="3"/>
  <c r="H74" i="3"/>
  <c r="BA73" i="3"/>
  <c r="AK73" i="3"/>
  <c r="U73" i="3"/>
  <c r="BJ72" i="3"/>
  <c r="AT72" i="3"/>
  <c r="AD72" i="3"/>
  <c r="N72" i="3"/>
  <c r="BC71" i="3"/>
  <c r="AM71" i="3"/>
  <c r="W71" i="3"/>
  <c r="G71" i="3"/>
  <c r="AZ70" i="3"/>
  <c r="AJ70" i="3"/>
  <c r="T70" i="3"/>
  <c r="BM69" i="3"/>
  <c r="AW69" i="3"/>
  <c r="AG69" i="3"/>
  <c r="Q69" i="3"/>
  <c r="BF68" i="3"/>
  <c r="AP68" i="3"/>
  <c r="Z68" i="3"/>
  <c r="J68" i="3"/>
  <c r="AY67" i="3"/>
  <c r="AI67" i="3"/>
  <c r="S67" i="3"/>
  <c r="BL66" i="3"/>
  <c r="AV66" i="3"/>
  <c r="AF66" i="3"/>
  <c r="P66" i="3"/>
  <c r="BI65" i="3"/>
  <c r="AS65" i="3"/>
  <c r="AC65" i="3"/>
  <c r="M65" i="3"/>
  <c r="BB64" i="3"/>
  <c r="AL64" i="3"/>
  <c r="V64" i="3"/>
  <c r="BK63" i="3"/>
  <c r="AU63" i="3"/>
  <c r="AE63" i="3"/>
  <c r="O63" i="3"/>
  <c r="BH62" i="3"/>
  <c r="AR62" i="3"/>
  <c r="AB62" i="3"/>
  <c r="L62" i="3"/>
  <c r="BE61" i="3"/>
  <c r="AO61" i="3"/>
  <c r="Y61" i="3"/>
  <c r="I61" i="3"/>
  <c r="AX60" i="3"/>
  <c r="AH60" i="3"/>
  <c r="R60" i="3"/>
  <c r="BG59" i="3"/>
  <c r="AQ59" i="3"/>
  <c r="AA59" i="3"/>
  <c r="K59" i="3"/>
  <c r="BD58" i="3"/>
  <c r="AN58" i="3"/>
  <c r="X58" i="3"/>
  <c r="H58" i="3"/>
  <c r="BA57" i="3"/>
  <c r="AK57" i="3"/>
  <c r="U57" i="3"/>
  <c r="BJ56" i="3"/>
  <c r="AT56" i="3"/>
  <c r="AD56" i="3"/>
  <c r="N56" i="3"/>
  <c r="BC55" i="3"/>
  <c r="AM55" i="3"/>
  <c r="W55" i="3"/>
  <c r="G55" i="3"/>
  <c r="AZ54" i="3"/>
  <c r="AJ54" i="3"/>
  <c r="T54" i="3"/>
  <c r="BM53" i="3"/>
  <c r="AW53" i="3"/>
  <c r="AG53" i="3"/>
  <c r="Q53" i="3"/>
  <c r="BF52" i="3"/>
  <c r="AP52" i="3"/>
  <c r="Z52" i="3"/>
  <c r="J52" i="3"/>
  <c r="AY51" i="3"/>
  <c r="AI51" i="3"/>
  <c r="S51" i="3"/>
  <c r="BL50" i="3"/>
  <c r="AV50" i="3"/>
  <c r="AF50" i="3"/>
  <c r="P50" i="3"/>
  <c r="BI49" i="3"/>
  <c r="AS49" i="3"/>
  <c r="AC49" i="3"/>
  <c r="M49" i="3"/>
  <c r="BB48" i="3"/>
  <c r="AL48" i="3"/>
  <c r="V48" i="3"/>
  <c r="BK47" i="3"/>
  <c r="AU47" i="3"/>
  <c r="AE47" i="3"/>
  <c r="O47" i="3"/>
  <c r="BH46" i="3"/>
  <c r="AR46" i="3"/>
  <c r="AB46" i="3"/>
  <c r="L46" i="3"/>
  <c r="BE45" i="3"/>
  <c r="AO45" i="3"/>
  <c r="Y45" i="3"/>
  <c r="I45" i="3"/>
  <c r="BA43" i="3"/>
  <c r="AK43" i="3"/>
  <c r="U43" i="3"/>
  <c r="BJ42" i="3"/>
  <c r="AT42" i="3"/>
  <c r="AD42" i="3"/>
  <c r="N42" i="3"/>
  <c r="BC41" i="3"/>
  <c r="AM41" i="3"/>
  <c r="W41" i="3"/>
  <c r="G41" i="3"/>
  <c r="AZ40" i="3"/>
  <c r="AJ40" i="3"/>
  <c r="T40" i="3"/>
  <c r="BM39" i="3"/>
  <c r="AW39" i="3"/>
  <c r="AG39" i="3"/>
  <c r="Q39" i="3"/>
  <c r="BF38" i="3"/>
  <c r="AP38" i="3"/>
  <c r="Z38" i="3"/>
  <c r="J38" i="3"/>
  <c r="AY37" i="3"/>
  <c r="AI37" i="3"/>
  <c r="S37" i="3"/>
  <c r="BL36" i="3"/>
  <c r="AV36" i="3"/>
  <c r="AF36" i="3"/>
  <c r="P36" i="3"/>
  <c r="BI35" i="3"/>
  <c r="AS35" i="3"/>
  <c r="AC35" i="3"/>
  <c r="M35" i="3"/>
  <c r="BB34" i="3"/>
  <c r="AL34" i="3"/>
  <c r="V34" i="3"/>
  <c r="BK33" i="3"/>
  <c r="AU33" i="3"/>
  <c r="AE33" i="3"/>
  <c r="O33" i="3"/>
  <c r="BH32" i="3"/>
  <c r="AR32" i="3"/>
  <c r="AB32" i="3"/>
  <c r="L32" i="3"/>
  <c r="BE31" i="3"/>
  <c r="AO31" i="3"/>
  <c r="Y31" i="3"/>
  <c r="I31" i="3"/>
  <c r="AX30" i="3"/>
  <c r="AH30" i="3"/>
  <c r="R30" i="3"/>
  <c r="BG29" i="3"/>
  <c r="AQ29" i="3"/>
  <c r="AA29" i="3"/>
  <c r="K29" i="3"/>
  <c r="BD28" i="3"/>
  <c r="AN28" i="3"/>
  <c r="X28" i="3"/>
  <c r="H28" i="3"/>
  <c r="BA27" i="3"/>
  <c r="AK27" i="3"/>
  <c r="U27" i="3"/>
  <c r="BJ26" i="3"/>
  <c r="AT26" i="3"/>
  <c r="AD26" i="3"/>
  <c r="N26" i="3"/>
  <c r="BC25" i="3"/>
  <c r="AM25" i="3"/>
  <c r="W25" i="3"/>
  <c r="G25" i="3"/>
  <c r="AZ24" i="3"/>
  <c r="AJ24" i="3"/>
  <c r="T24" i="3"/>
  <c r="BM23" i="3"/>
  <c r="AW23" i="3"/>
  <c r="AV114" i="3"/>
  <c r="U114" i="3"/>
  <c r="BF113" i="3"/>
  <c r="AP113" i="3"/>
  <c r="Z113" i="3"/>
  <c r="J113" i="3"/>
  <c r="AY112" i="3"/>
  <c r="AI112" i="3"/>
  <c r="S112" i="3"/>
  <c r="BL111" i="3"/>
  <c r="AV111" i="3"/>
  <c r="AF111" i="3"/>
  <c r="P111" i="3"/>
  <c r="BI110" i="3"/>
  <c r="AS110" i="3"/>
  <c r="AC110" i="3"/>
  <c r="M110" i="3"/>
  <c r="BB109" i="3"/>
  <c r="AL109" i="3"/>
  <c r="V109" i="3"/>
  <c r="BK108" i="3"/>
  <c r="AU108" i="3"/>
  <c r="AE108" i="3"/>
  <c r="O108" i="3"/>
  <c r="BH107" i="3"/>
  <c r="AR107" i="3"/>
  <c r="AB107" i="3"/>
  <c r="L107" i="3"/>
  <c r="BE106" i="3"/>
  <c r="AO106" i="3"/>
  <c r="Y106" i="3"/>
  <c r="I106" i="3"/>
  <c r="AX105" i="3"/>
  <c r="AH105" i="3"/>
  <c r="R105" i="3"/>
  <c r="BG104" i="3"/>
  <c r="AQ104" i="3"/>
  <c r="AA104" i="3"/>
  <c r="K104" i="3"/>
  <c r="BD103" i="3"/>
  <c r="AN103" i="3"/>
  <c r="X103" i="3"/>
  <c r="H103" i="3"/>
  <c r="BA102" i="3"/>
  <c r="AK102" i="3"/>
  <c r="U102" i="3"/>
  <c r="BJ101" i="3"/>
  <c r="AT101" i="3"/>
  <c r="AD101" i="3"/>
  <c r="N101" i="3"/>
  <c r="BC100" i="3"/>
  <c r="AM100" i="3"/>
  <c r="W100" i="3"/>
  <c r="G100" i="3"/>
  <c r="AZ99" i="3"/>
  <c r="AJ99" i="3"/>
  <c r="T99" i="3"/>
  <c r="BM98" i="3"/>
  <c r="AW98" i="3"/>
  <c r="AG98" i="3"/>
  <c r="Q98" i="3"/>
  <c r="BF97" i="3"/>
  <c r="AP97" i="3"/>
  <c r="Z97" i="3"/>
  <c r="J97" i="3"/>
  <c r="AY96" i="3"/>
  <c r="AI96" i="3"/>
  <c r="S96" i="3"/>
  <c r="BL95" i="3"/>
  <c r="AV95" i="3"/>
  <c r="AF95" i="3"/>
  <c r="P95" i="3"/>
  <c r="BI94" i="3"/>
  <c r="AS94" i="3"/>
  <c r="AC94" i="3"/>
  <c r="M94" i="3"/>
  <c r="BB93" i="3"/>
  <c r="AL93" i="3"/>
  <c r="V93" i="3"/>
  <c r="BK92" i="3"/>
  <c r="AU92" i="3"/>
  <c r="AE92" i="3"/>
  <c r="O92" i="3"/>
  <c r="BH91" i="3"/>
  <c r="AR91" i="3"/>
  <c r="AB91" i="3"/>
  <c r="L91" i="3"/>
  <c r="BE90" i="3"/>
  <c r="AO90" i="3"/>
  <c r="Y90" i="3"/>
  <c r="I90" i="3"/>
  <c r="AX89" i="3"/>
  <c r="AH89" i="3"/>
  <c r="R89" i="3"/>
  <c r="BG88" i="3"/>
  <c r="AQ88" i="3"/>
  <c r="AA88" i="3"/>
  <c r="K88" i="3"/>
  <c r="X87" i="3"/>
  <c r="Y86" i="3"/>
  <c r="AG84" i="3"/>
  <c r="AD83" i="3"/>
  <c r="AE82" i="3"/>
  <c r="AF81" i="3"/>
  <c r="AG80" i="3"/>
  <c r="AD79" i="3"/>
  <c r="AE78" i="3"/>
  <c r="AF77" i="3"/>
  <c r="AG76" i="3"/>
  <c r="AD75" i="3"/>
  <c r="AE74" i="3"/>
  <c r="AF73" i="3"/>
  <c r="AG72" i="3"/>
  <c r="AD71" i="3"/>
  <c r="AE70" i="3"/>
  <c r="AF69" i="3"/>
  <c r="AG68" i="3"/>
  <c r="AD67" i="3"/>
  <c r="AE66" i="3"/>
  <c r="AF65" i="3"/>
  <c r="AG64" i="3"/>
  <c r="AD63" i="3"/>
  <c r="AE62" i="3"/>
  <c r="AF61" i="3"/>
  <c r="AG60" i="3"/>
  <c r="AD59" i="3"/>
  <c r="AE58" i="3"/>
  <c r="AF57" i="3"/>
  <c r="AG56" i="3"/>
  <c r="AD55" i="3"/>
  <c r="AE54" i="3"/>
  <c r="AF53" i="3"/>
  <c r="AG52" i="3"/>
  <c r="AD51" i="3"/>
  <c r="AE50" i="3"/>
  <c r="AF49" i="3"/>
  <c r="AG48" i="3"/>
  <c r="AD47" i="3"/>
  <c r="AE46" i="3"/>
  <c r="AF45" i="3"/>
  <c r="X43" i="3"/>
  <c r="Y42" i="3"/>
  <c r="V41" i="3"/>
  <c r="G40" i="3"/>
  <c r="H39" i="3"/>
  <c r="I38" i="3"/>
  <c r="BC36" i="3"/>
  <c r="BD35" i="3"/>
  <c r="BE34" i="3"/>
  <c r="BB33" i="3"/>
  <c r="AM32" i="3"/>
  <c r="AN31" i="3"/>
  <c r="AO30" i="3"/>
  <c r="AL29" i="3"/>
  <c r="W28" i="3"/>
  <c r="X27" i="3"/>
  <c r="Y26" i="3"/>
  <c r="V25" i="3"/>
  <c r="G24" i="3"/>
  <c r="AB23" i="3"/>
  <c r="BK22" i="3"/>
  <c r="AU22" i="3"/>
  <c r="AE22" i="3"/>
  <c r="O22" i="3"/>
  <c r="BH21" i="3"/>
  <c r="AR21" i="3"/>
  <c r="AB21" i="3"/>
  <c r="L21" i="3"/>
  <c r="BE20" i="3"/>
  <c r="AO20" i="3"/>
  <c r="Y20" i="3"/>
  <c r="I20" i="3"/>
  <c r="AX19" i="3"/>
  <c r="AH19" i="3"/>
  <c r="R19" i="3"/>
  <c r="BG18" i="3"/>
  <c r="AQ18" i="3"/>
  <c r="AA18" i="3"/>
  <c r="K18" i="3"/>
  <c r="BD17" i="3"/>
  <c r="AN17" i="3"/>
  <c r="X17" i="3"/>
  <c r="H17" i="3"/>
  <c r="BA16" i="3"/>
  <c r="AK16" i="3"/>
  <c r="U16" i="3"/>
  <c r="BJ15" i="3"/>
  <c r="AT15" i="3"/>
  <c r="AD15" i="3"/>
  <c r="N15" i="3"/>
  <c r="BC14" i="3"/>
  <c r="AM14" i="3"/>
  <c r="W14" i="3"/>
  <c r="G14" i="3"/>
  <c r="AZ13" i="3"/>
  <c r="AJ13" i="3"/>
  <c r="T13" i="3"/>
  <c r="BM12" i="3"/>
  <c r="AW12" i="3"/>
  <c r="AG12" i="3"/>
  <c r="Q12" i="3"/>
  <c r="BF11" i="3"/>
  <c r="AP11" i="3"/>
  <c r="Z11" i="3"/>
  <c r="J11" i="3"/>
  <c r="AY10" i="3"/>
  <c r="AI10" i="3"/>
  <c r="S10" i="3"/>
  <c r="BL9" i="3"/>
  <c r="AV9" i="3"/>
  <c r="AF9" i="3"/>
  <c r="P9" i="3"/>
  <c r="BI8" i="3"/>
  <c r="AS8" i="3"/>
  <c r="AC8" i="3"/>
  <c r="M8" i="3"/>
  <c r="BB7" i="3"/>
  <c r="AL7" i="3"/>
  <c r="V7" i="3"/>
  <c r="BK6" i="3"/>
  <c r="AU6" i="3"/>
  <c r="AE6" i="3"/>
  <c r="O6" i="3"/>
  <c r="BH5" i="3"/>
  <c r="AR5" i="3"/>
  <c r="AB5" i="3"/>
  <c r="L5" i="3"/>
  <c r="BE4" i="3"/>
  <c r="AO4" i="3"/>
  <c r="Y4" i="3"/>
  <c r="I4" i="3"/>
  <c r="BA86" i="3"/>
  <c r="AS84" i="3"/>
  <c r="AP83" i="3"/>
  <c r="AQ82" i="3"/>
  <c r="AR81" i="3"/>
  <c r="AS80" i="3"/>
  <c r="AP79" i="3"/>
  <c r="AQ78" i="3"/>
  <c r="AR77" i="3"/>
  <c r="AS76" i="3"/>
  <c r="AP75" i="3"/>
  <c r="AQ74" i="3"/>
  <c r="AR73" i="3"/>
  <c r="AS72" i="3"/>
  <c r="AP71" i="3"/>
  <c r="AQ70" i="3"/>
  <c r="AR69" i="3"/>
  <c r="AS68" i="3"/>
  <c r="AP67" i="3"/>
  <c r="AQ66" i="3"/>
  <c r="AR65" i="3"/>
  <c r="AS64" i="3"/>
  <c r="AP63" i="3"/>
  <c r="AQ62" i="3"/>
  <c r="AR61" i="3"/>
  <c r="AS60" i="3"/>
  <c r="AP59" i="3"/>
  <c r="AQ58" i="3"/>
  <c r="AR57" i="3"/>
  <c r="AS56" i="3"/>
  <c r="AP55" i="3"/>
  <c r="AQ54" i="3"/>
  <c r="AR53" i="3"/>
  <c r="AS52" i="3"/>
  <c r="AP51" i="3"/>
  <c r="AQ50" i="3"/>
  <c r="AR49" i="3"/>
  <c r="AS48" i="3"/>
  <c r="AP47" i="3"/>
  <c r="AQ46" i="3"/>
  <c r="AR45" i="3"/>
  <c r="AJ43" i="3"/>
  <c r="U42" i="3"/>
  <c r="AY40" i="3"/>
  <c r="AJ39" i="3"/>
  <c r="U38" i="3"/>
  <c r="AY36" i="3"/>
  <c r="AJ35" i="3"/>
  <c r="U34" i="3"/>
  <c r="AY32" i="3"/>
  <c r="AJ31" i="3"/>
  <c r="U30" i="3"/>
  <c r="AY28" i="3"/>
  <c r="AJ27" i="3"/>
  <c r="U26" i="3"/>
  <c r="AY24" i="3"/>
  <c r="AN23" i="3"/>
  <c r="P23" i="3"/>
  <c r="BB22" i="3"/>
  <c r="AL22" i="3"/>
  <c r="V22" i="3"/>
  <c r="BK21" i="3"/>
  <c r="AU21" i="3"/>
  <c r="AE21" i="3"/>
  <c r="O21" i="3"/>
  <c r="BH20" i="3"/>
  <c r="AR20" i="3"/>
  <c r="AB20" i="3"/>
  <c r="L20" i="3"/>
  <c r="BE19" i="3"/>
  <c r="AO19" i="3"/>
  <c r="Y19" i="3"/>
  <c r="I19" i="3"/>
  <c r="AX18" i="3"/>
  <c r="AH18" i="3"/>
  <c r="R18" i="3"/>
  <c r="BG17" i="3"/>
  <c r="AQ17" i="3"/>
  <c r="AA17" i="3"/>
  <c r="K17" i="3"/>
  <c r="BD16" i="3"/>
  <c r="AN16" i="3"/>
  <c r="X16" i="3"/>
  <c r="H16" i="3"/>
  <c r="BA15" i="3"/>
  <c r="AK15" i="3"/>
  <c r="U15" i="3"/>
  <c r="BJ14" i="3"/>
  <c r="AT14" i="3"/>
  <c r="AD14" i="3"/>
  <c r="N14" i="3"/>
  <c r="BC13" i="3"/>
  <c r="AM13" i="3"/>
  <c r="W13" i="3"/>
  <c r="G13" i="3"/>
  <c r="AZ12" i="3"/>
  <c r="AJ12" i="3"/>
  <c r="T12" i="3"/>
  <c r="BM11" i="3"/>
  <c r="AW11" i="3"/>
  <c r="AG11" i="3"/>
  <c r="Q11" i="3"/>
  <c r="BF10" i="3"/>
  <c r="AP10" i="3"/>
  <c r="Z10" i="3"/>
  <c r="J10" i="3"/>
  <c r="AY9" i="3"/>
  <c r="AI9" i="3"/>
  <c r="S9" i="3"/>
  <c r="BL8" i="3"/>
  <c r="AV8" i="3"/>
  <c r="AF8" i="3"/>
  <c r="P8" i="3"/>
  <c r="BI7" i="3"/>
  <c r="AS7" i="3"/>
  <c r="AC7" i="3"/>
  <c r="M7" i="3"/>
  <c r="BB6" i="3"/>
  <c r="AL6" i="3"/>
  <c r="V6" i="3"/>
  <c r="BK5" i="3"/>
  <c r="AU5" i="3"/>
  <c r="AE5" i="3"/>
  <c r="O5" i="3"/>
  <c r="BH4" i="3"/>
  <c r="AR4" i="3"/>
  <c r="AB4" i="3"/>
  <c r="L4" i="3"/>
  <c r="AF87" i="3"/>
  <c r="AG86" i="3"/>
  <c r="Y84" i="3"/>
  <c r="V83" i="3"/>
  <c r="G82" i="3"/>
  <c r="H81" i="3"/>
  <c r="I80" i="3"/>
  <c r="BC78" i="3"/>
  <c r="BD77" i="3"/>
  <c r="BE76" i="3"/>
  <c r="BB75" i="3"/>
  <c r="AM74" i="3"/>
  <c r="AN73" i="3"/>
  <c r="AO72" i="3"/>
  <c r="AL71" i="3"/>
  <c r="W70" i="3"/>
  <c r="X69" i="3"/>
  <c r="Y68" i="3"/>
  <c r="V67" i="3"/>
  <c r="G66" i="3"/>
  <c r="H65" i="3"/>
  <c r="I64" i="3"/>
  <c r="BC62" i="3"/>
  <c r="BD61" i="3"/>
  <c r="BE60" i="3"/>
  <c r="BB59" i="3"/>
  <c r="AM58" i="3"/>
  <c r="AN57" i="3"/>
  <c r="AO56" i="3"/>
  <c r="AL55" i="3"/>
  <c r="W54" i="3"/>
  <c r="X53" i="3"/>
  <c r="Y52" i="3"/>
  <c r="V51" i="3"/>
  <c r="G50" i="3"/>
  <c r="H49" i="3"/>
  <c r="I48" i="3"/>
  <c r="BC46" i="3"/>
  <c r="BD45" i="3"/>
  <c r="BL43" i="3"/>
  <c r="BM42" i="3"/>
  <c r="BJ41" i="3"/>
  <c r="BK40" i="3"/>
  <c r="BL39" i="3"/>
  <c r="BM38" i="3"/>
  <c r="BJ37" i="3"/>
  <c r="BK36" i="3"/>
  <c r="BL35" i="3"/>
  <c r="BM34" i="3"/>
  <c r="BJ33" i="3"/>
  <c r="BK32" i="3"/>
  <c r="BL31" i="3"/>
  <c r="BM30" i="3"/>
  <c r="BJ29" i="3"/>
  <c r="BK28" i="3"/>
  <c r="BL27" i="3"/>
  <c r="BM26" i="3"/>
  <c r="BJ25" i="3"/>
  <c r="BK24" i="3"/>
  <c r="BL23" i="3"/>
  <c r="Y23" i="3"/>
  <c r="BM22" i="3"/>
  <c r="AW22" i="3"/>
  <c r="AG22" i="3"/>
  <c r="Q22" i="3"/>
  <c r="BF21" i="3"/>
  <c r="AP21" i="3"/>
  <c r="Z21" i="3"/>
  <c r="J21" i="3"/>
  <c r="AY20" i="3"/>
  <c r="AI20" i="3"/>
  <c r="S20" i="3"/>
  <c r="BL19" i="3"/>
  <c r="AV19" i="3"/>
  <c r="AF19" i="3"/>
  <c r="P19" i="3"/>
  <c r="BI18" i="3"/>
  <c r="AS18" i="3"/>
  <c r="AC18" i="3"/>
  <c r="M18" i="3"/>
  <c r="BB17" i="3"/>
  <c r="AL17" i="3"/>
  <c r="V17" i="3"/>
  <c r="BK16" i="3"/>
  <c r="AU16" i="3"/>
  <c r="AE16" i="3"/>
  <c r="O16" i="3"/>
  <c r="BH15" i="3"/>
  <c r="AR15" i="3"/>
  <c r="AB15" i="3"/>
  <c r="L15" i="3"/>
  <c r="BE14" i="3"/>
  <c r="AO14" i="3"/>
  <c r="Y14" i="3"/>
  <c r="I14" i="3"/>
  <c r="AX13" i="3"/>
  <c r="AH13" i="3"/>
  <c r="R13" i="3"/>
  <c r="BG12" i="3"/>
  <c r="AQ12" i="3"/>
  <c r="AA12" i="3"/>
  <c r="K12" i="3"/>
  <c r="BD11" i="3"/>
  <c r="AN11" i="3"/>
  <c r="X11" i="3"/>
  <c r="H11" i="3"/>
  <c r="BA10" i="3"/>
  <c r="AK10" i="3"/>
  <c r="U10" i="3"/>
  <c r="BJ9" i="3"/>
  <c r="AT9" i="3"/>
  <c r="AD9" i="3"/>
  <c r="N9" i="3"/>
  <c r="BC8" i="3"/>
  <c r="AM8" i="3"/>
  <c r="W8" i="3"/>
  <c r="G8" i="3"/>
  <c r="AZ7" i="3"/>
  <c r="AJ7" i="3"/>
  <c r="T7" i="3"/>
  <c r="BM6" i="3"/>
  <c r="AW6" i="3"/>
  <c r="AG6" i="3"/>
  <c r="Q6" i="3"/>
  <c r="BF5" i="3"/>
  <c r="AP5" i="3"/>
  <c r="Z5" i="3"/>
  <c r="J5" i="3"/>
  <c r="AY4" i="3"/>
  <c r="AI4" i="3"/>
  <c r="S4" i="3"/>
  <c r="BH87" i="3"/>
  <c r="BI86" i="3"/>
  <c r="BA84" i="3"/>
  <c r="AH83" i="3"/>
  <c r="S82" i="3"/>
  <c r="BA80" i="3"/>
  <c r="AH79" i="3"/>
  <c r="S78" i="3"/>
  <c r="BA76" i="3"/>
  <c r="AH75" i="3"/>
  <c r="S74" i="3"/>
  <c r="BA72" i="3"/>
  <c r="AH71" i="3"/>
  <c r="S70" i="3"/>
  <c r="BA68" i="3"/>
  <c r="AH67" i="3"/>
  <c r="S66" i="3"/>
  <c r="BA64" i="3"/>
  <c r="AH63" i="3"/>
  <c r="S62" i="3"/>
  <c r="BA60" i="3"/>
  <c r="AH59" i="3"/>
  <c r="S58" i="3"/>
  <c r="BA56" i="3"/>
  <c r="AH55" i="3"/>
  <c r="S54" i="3"/>
  <c r="BA52" i="3"/>
  <c r="AH51" i="3"/>
  <c r="S50" i="3"/>
  <c r="BA48" i="3"/>
  <c r="AH47" i="3"/>
  <c r="S46" i="3"/>
  <c r="BH43" i="3"/>
  <c r="BI42" i="3"/>
  <c r="BF41" i="3"/>
  <c r="BG40" i="3"/>
  <c r="BH39" i="3"/>
  <c r="BI38" i="3"/>
  <c r="BF37" i="3"/>
  <c r="BG36" i="3"/>
  <c r="BH35" i="3"/>
  <c r="BI34" i="3"/>
  <c r="BF33" i="3"/>
  <c r="BG32" i="3"/>
  <c r="BH31" i="3"/>
  <c r="BI30" i="3"/>
  <c r="BF29" i="3"/>
  <c r="BG28" i="3"/>
  <c r="BH27" i="3"/>
  <c r="BI26" i="3"/>
  <c r="BF25" i="3"/>
  <c r="BG24" i="3"/>
  <c r="BH23" i="3"/>
  <c r="X23" i="3"/>
  <c r="BL22" i="3"/>
  <c r="AV22" i="3"/>
  <c r="AF22" i="3"/>
  <c r="P22" i="3"/>
  <c r="BI21" i="3"/>
  <c r="AS21" i="3"/>
  <c r="AC21" i="3"/>
  <c r="M21" i="3"/>
  <c r="BB20" i="3"/>
  <c r="AL20" i="3"/>
  <c r="V20" i="3"/>
  <c r="BK19" i="3"/>
  <c r="AU19" i="3"/>
  <c r="AE19" i="3"/>
  <c r="O19" i="3"/>
  <c r="BH18" i="3"/>
  <c r="AR18" i="3"/>
  <c r="AB18" i="3"/>
  <c r="L18" i="3"/>
  <c r="BE17" i="3"/>
  <c r="AO17" i="3"/>
  <c r="Y17" i="3"/>
  <c r="I17" i="3"/>
  <c r="AX16" i="3"/>
  <c r="AH16" i="3"/>
  <c r="R16" i="3"/>
  <c r="BG15" i="3"/>
  <c r="AQ15" i="3"/>
  <c r="AA15" i="3"/>
  <c r="K15" i="3"/>
  <c r="BD14" i="3"/>
  <c r="AN14" i="3"/>
  <c r="X14" i="3"/>
  <c r="H14" i="3"/>
  <c r="BA13" i="3"/>
  <c r="AK13" i="3"/>
  <c r="U13" i="3"/>
  <c r="BJ12" i="3"/>
  <c r="AT12" i="3"/>
  <c r="AD12" i="3"/>
  <c r="N12" i="3"/>
  <c r="BC11" i="3"/>
  <c r="AM11" i="3"/>
  <c r="W11" i="3"/>
  <c r="G11" i="3"/>
  <c r="AZ10" i="3"/>
  <c r="AJ10" i="3"/>
  <c r="T10" i="3"/>
  <c r="BM9" i="3"/>
  <c r="AW9" i="3"/>
  <c r="AG9" i="3"/>
  <c r="Q9" i="3"/>
  <c r="BF8" i="3"/>
  <c r="AP8" i="3"/>
  <c r="Z8" i="3"/>
  <c r="J8" i="3"/>
  <c r="AY7" i="3"/>
  <c r="AI7" i="3"/>
  <c r="S7" i="3"/>
  <c r="BL6" i="3"/>
  <c r="AV6" i="3"/>
  <c r="AF6" i="3"/>
  <c r="P6" i="3"/>
  <c r="BI5" i="3"/>
  <c r="AS5" i="3"/>
  <c r="AC5" i="3"/>
  <c r="M5" i="3"/>
  <c r="BB4" i="3"/>
  <c r="AL4" i="3"/>
  <c r="V4" i="3"/>
  <c r="F27" i="3"/>
  <c r="F109" i="3"/>
  <c r="F127" i="3"/>
  <c r="F139" i="3"/>
  <c r="F297" i="3"/>
  <c r="F310" i="3"/>
  <c r="F370" i="3"/>
  <c r="F444" i="3"/>
  <c r="F87" i="3"/>
  <c r="F104" i="3"/>
  <c r="F241" i="3"/>
  <c r="F274" i="3"/>
  <c r="F287" i="3"/>
  <c r="F423" i="3"/>
  <c r="F443" i="3"/>
  <c r="F18" i="3"/>
  <c r="F65" i="3"/>
  <c r="F197" i="3"/>
  <c r="F209" i="3"/>
  <c r="F248" i="3"/>
  <c r="F375" i="3"/>
  <c r="F474" i="3"/>
  <c r="F23" i="3"/>
  <c r="F50" i="3"/>
  <c r="F67" i="3"/>
  <c r="F199" i="3"/>
  <c r="F211" i="3"/>
  <c r="F251" i="3"/>
  <c r="F377" i="3"/>
  <c r="F478" i="3"/>
  <c r="F21" i="3"/>
  <c r="F117" i="3"/>
  <c r="F146" i="3"/>
  <c r="F147" i="3"/>
  <c r="F305" i="3"/>
  <c r="F318" i="3"/>
  <c r="F380" i="3"/>
  <c r="F452" i="3"/>
  <c r="F95" i="3"/>
  <c r="F112" i="3"/>
  <c r="F243" i="3"/>
  <c r="F282" i="3"/>
  <c r="F296" i="3"/>
  <c r="F356" i="3"/>
  <c r="F460" i="3"/>
  <c r="F39" i="3"/>
  <c r="F73" i="3"/>
  <c r="F205" i="3"/>
  <c r="F217" i="3"/>
  <c r="F257" i="3"/>
  <c r="F383" i="3"/>
  <c r="F411" i="3"/>
  <c r="F15" i="3"/>
  <c r="F58" i="3"/>
  <c r="F75" i="3"/>
  <c r="F207" i="3"/>
  <c r="F219" i="3"/>
  <c r="F259" i="3"/>
  <c r="F385" i="3"/>
  <c r="F413" i="3"/>
  <c r="F13" i="3"/>
  <c r="F125" i="3"/>
  <c r="F239" i="3"/>
  <c r="F155" i="3"/>
  <c r="F313" i="3"/>
  <c r="F326" i="3"/>
  <c r="F388" i="3"/>
  <c r="F461" i="3"/>
  <c r="F103" i="3"/>
  <c r="F120" i="3"/>
  <c r="F133" i="3"/>
  <c r="F291" i="3"/>
  <c r="F304" i="3"/>
  <c r="F364" i="3"/>
  <c r="F476" i="3"/>
  <c r="F56" i="3"/>
  <c r="F81" i="3"/>
  <c r="F214" i="3"/>
  <c r="F265" i="3"/>
  <c r="F391" i="3"/>
  <c r="F7" i="3"/>
  <c r="F83" i="3"/>
  <c r="F227" i="3"/>
  <c r="F422" i="3"/>
  <c r="F142" i="3"/>
  <c r="F163" i="3"/>
  <c r="F396" i="3"/>
  <c r="F111" i="3"/>
  <c r="F141" i="3"/>
  <c r="F312" i="3"/>
  <c r="F72" i="3"/>
  <c r="F222" i="3"/>
  <c r="F399" i="3"/>
  <c r="F20" i="3"/>
  <c r="F224" i="3"/>
  <c r="F401" i="3"/>
  <c r="F332" i="3"/>
  <c r="F105" i="3"/>
  <c r="F135" i="3"/>
  <c r="F366" i="3"/>
  <c r="F124" i="3"/>
  <c r="F295" i="3"/>
  <c r="F442" i="3"/>
  <c r="F158" i="3"/>
  <c r="F402" i="3"/>
  <c r="L253" i="3"/>
  <c r="I252" i="3"/>
  <c r="BG250" i="3"/>
  <c r="BC248" i="3"/>
  <c r="AZ247" i="3"/>
  <c r="AW246" i="3"/>
  <c r="AP245" i="3"/>
  <c r="AI244" i="3"/>
  <c r="AF243" i="3"/>
  <c r="AC242" i="3"/>
  <c r="V241" i="3"/>
  <c r="O240" i="3"/>
  <c r="L239" i="3"/>
  <c r="I238" i="3"/>
  <c r="BG236" i="3"/>
  <c r="BD235" i="3"/>
  <c r="BA234" i="3"/>
  <c r="AT233" i="3"/>
  <c r="AM232" i="3"/>
  <c r="AJ231" i="3"/>
  <c r="AG230" i="3"/>
  <c r="Z229" i="3"/>
  <c r="S228" i="3"/>
  <c r="P227" i="3"/>
  <c r="M226" i="3"/>
  <c r="BK224" i="3"/>
  <c r="BH223" i="3"/>
  <c r="BE222" i="3"/>
  <c r="AX221" i="3"/>
  <c r="AQ220" i="3"/>
  <c r="AN219" i="3"/>
  <c r="AK218" i="3"/>
  <c r="AD217" i="3"/>
  <c r="W216" i="3"/>
  <c r="T215" i="3"/>
  <c r="Q214" i="3"/>
  <c r="J213" i="3"/>
  <c r="BL211" i="3"/>
  <c r="BI210" i="3"/>
  <c r="BB209" i="3"/>
  <c r="AT207" i="3"/>
  <c r="AH291" i="3"/>
  <c r="G289" i="3"/>
  <c r="BM287" i="3"/>
  <c r="BF286" i="3"/>
  <c r="AY285" i="3"/>
  <c r="AV284" i="3"/>
  <c r="AS283" i="3"/>
  <c r="AL282" i="3"/>
  <c r="AE281" i="3"/>
  <c r="AB280" i="3"/>
  <c r="Y279" i="3"/>
  <c r="R278" i="3"/>
  <c r="K277" i="3"/>
  <c r="H276" i="3"/>
  <c r="BJ274" i="3"/>
  <c r="BC273" i="3"/>
  <c r="AZ272" i="3"/>
  <c r="AW271" i="3"/>
  <c r="AP270" i="3"/>
  <c r="AI269" i="3"/>
  <c r="AF268" i="3"/>
  <c r="AC267" i="3"/>
  <c r="V266" i="3"/>
  <c r="O265" i="3"/>
  <c r="L264" i="3"/>
  <c r="I263" i="3"/>
  <c r="BG261" i="3"/>
  <c r="BD260" i="3"/>
  <c r="BA259" i="3"/>
  <c r="AT258" i="3"/>
  <c r="AM257" i="3"/>
  <c r="AJ256" i="3"/>
  <c r="AG255" i="3"/>
  <c r="Z254" i="3"/>
  <c r="S253" i="3"/>
  <c r="P252" i="3"/>
  <c r="M251" i="3"/>
  <c r="BJ248" i="3"/>
  <c r="BC247" i="3"/>
  <c r="AZ246" i="3"/>
  <c r="AW245" i="3"/>
  <c r="AP244" i="3"/>
  <c r="AI243" i="3"/>
  <c r="AF242" i="3"/>
  <c r="AC241" i="3"/>
  <c r="V240" i="3"/>
  <c r="O239" i="3"/>
  <c r="L238" i="3"/>
  <c r="I237" i="3"/>
  <c r="BG235" i="3"/>
  <c r="BD234" i="3"/>
  <c r="BA233" i="3"/>
  <c r="AT232" i="3"/>
  <c r="AM231" i="3"/>
  <c r="AJ230" i="3"/>
  <c r="AG229" i="3"/>
  <c r="Z228" i="3"/>
  <c r="S227" i="3"/>
  <c r="P226" i="3"/>
  <c r="M225" i="3"/>
  <c r="BK223" i="3"/>
  <c r="BH222" i="3"/>
  <c r="BE221" i="3"/>
  <c r="AX220" i="3"/>
  <c r="AQ219" i="3"/>
  <c r="AN218" i="3"/>
  <c r="AK217" i="3"/>
  <c r="AD216" i="3"/>
  <c r="W215" i="3"/>
  <c r="T214" i="3"/>
  <c r="Q213" i="3"/>
  <c r="J212" i="3"/>
  <c r="BL210" i="3"/>
  <c r="BI209" i="3"/>
  <c r="BE207" i="3"/>
  <c r="AW292" i="3"/>
  <c r="Z289" i="3"/>
  <c r="S288" i="3"/>
  <c r="P287" i="3"/>
  <c r="M286" i="3"/>
  <c r="BK284" i="3"/>
  <c r="BH283" i="3"/>
  <c r="BE282" i="3"/>
  <c r="AX281" i="3"/>
  <c r="AQ280" i="3"/>
  <c r="AN279" i="3"/>
  <c r="AK278" i="3"/>
  <c r="AD277" i="3"/>
  <c r="W276" i="3"/>
  <c r="T275" i="3"/>
  <c r="Q274" i="3"/>
  <c r="J273" i="3"/>
  <c r="BL271" i="3"/>
  <c r="BI270" i="3"/>
  <c r="BB269" i="3"/>
  <c r="AU268" i="3"/>
  <c r="AR267" i="3"/>
  <c r="AO266" i="3"/>
  <c r="AH265" i="3"/>
  <c r="AA264" i="3"/>
  <c r="X263" i="3"/>
  <c r="U262" i="3"/>
  <c r="N261" i="3"/>
  <c r="G260" i="3"/>
  <c r="BM258" i="3"/>
  <c r="BF257" i="3"/>
  <c r="AY256" i="3"/>
  <c r="AV255" i="3"/>
  <c r="AS254" i="3"/>
  <c r="AL253" i="3"/>
  <c r="AE252" i="3"/>
  <c r="AB251" i="3"/>
  <c r="Y250" i="3"/>
  <c r="U248" i="3"/>
  <c r="N247" i="3"/>
  <c r="G246" i="3"/>
  <c r="BM244" i="3"/>
  <c r="BF243" i="3"/>
  <c r="AY242" i="3"/>
  <c r="AV241" i="3"/>
  <c r="AS240" i="3"/>
  <c r="AL239" i="3"/>
  <c r="AE238" i="3"/>
  <c r="AB237" i="3"/>
  <c r="Y236" i="3"/>
  <c r="R235" i="3"/>
  <c r="K234" i="3"/>
  <c r="H233" i="3"/>
  <c r="BJ231" i="3"/>
  <c r="BC230" i="3"/>
  <c r="AZ229" i="3"/>
  <c r="AW228" i="3"/>
  <c r="BF227" i="3"/>
  <c r="Z227" i="3"/>
  <c r="AY226" i="3"/>
  <c r="S226" i="3"/>
  <c r="AV225" i="3"/>
  <c r="P225" i="3"/>
  <c r="AS224" i="3"/>
  <c r="M224" i="3"/>
  <c r="AL223" i="3"/>
  <c r="BK222" i="3"/>
  <c r="AE222" i="3"/>
  <c r="BH221" i="3"/>
  <c r="AB221" i="3"/>
  <c r="BE220" i="3"/>
  <c r="Y220" i="3"/>
  <c r="AX219" i="3"/>
  <c r="R219" i="3"/>
  <c r="AQ218" i="3"/>
  <c r="K218" i="3"/>
  <c r="AN217" i="3"/>
  <c r="H217" i="3"/>
  <c r="AK216" i="3"/>
  <c r="BJ215" i="3"/>
  <c r="AD215" i="3"/>
  <c r="BC214" i="3"/>
  <c r="W214" i="3"/>
  <c r="AZ213" i="3"/>
  <c r="T213" i="3"/>
  <c r="AW212" i="3"/>
  <c r="U212" i="3"/>
  <c r="BF211" i="3"/>
  <c r="AL211" i="3"/>
  <c r="N211" i="3"/>
  <c r="AY210" i="3"/>
  <c r="AE210" i="3"/>
  <c r="G210" i="3"/>
  <c r="AV209" i="3"/>
  <c r="AB209" i="3"/>
  <c r="BL207" i="3"/>
  <c r="AR207" i="3"/>
  <c r="X207" i="3"/>
  <c r="BF206" i="3"/>
  <c r="AE206" i="3"/>
  <c r="BH205" i="3"/>
  <c r="AB205" i="3"/>
  <c r="BL204" i="3"/>
  <c r="AK204" i="3"/>
  <c r="BI203" i="3"/>
  <c r="AH203" i="3"/>
  <c r="H203" i="3"/>
  <c r="AK202" i="3"/>
  <c r="J202" i="3"/>
  <c r="AM201" i="3"/>
  <c r="G201" i="3"/>
  <c r="AQ200" i="3"/>
  <c r="P200" i="3"/>
  <c r="BA199" i="3"/>
  <c r="AG199" i="3"/>
  <c r="M199" i="3"/>
  <c r="AT198" i="3"/>
  <c r="Z198" i="3"/>
  <c r="BK197" i="3"/>
  <c r="AM197" i="3"/>
  <c r="S197" i="3"/>
  <c r="BH196" i="3"/>
  <c r="AJ196" i="3"/>
  <c r="T196" i="3"/>
  <c r="BM195" i="3"/>
  <c r="AW195" i="3"/>
  <c r="AG195" i="3"/>
  <c r="Q195" i="3"/>
  <c r="BF194" i="3"/>
  <c r="AP194" i="3"/>
  <c r="Z194" i="3"/>
  <c r="J194" i="3"/>
  <c r="AY193" i="3"/>
  <c r="AI193" i="3"/>
  <c r="S193" i="3"/>
  <c r="BL192" i="3"/>
  <c r="AV192" i="3"/>
  <c r="AF192" i="3"/>
  <c r="P192" i="3"/>
  <c r="BI191" i="3"/>
  <c r="AS191" i="3"/>
  <c r="AC191" i="3"/>
  <c r="M191" i="3"/>
  <c r="BB190" i="3"/>
  <c r="AL190" i="3"/>
  <c r="V190" i="3"/>
  <c r="BK189" i="3"/>
  <c r="AU189" i="3"/>
  <c r="AE189" i="3"/>
  <c r="O189" i="3"/>
  <c r="BH188" i="3"/>
  <c r="AR188" i="3"/>
  <c r="AB188" i="3"/>
  <c r="L188" i="3"/>
  <c r="BE187" i="3"/>
  <c r="AO187" i="3"/>
  <c r="Y187" i="3"/>
  <c r="I187" i="3"/>
  <c r="AX186" i="3"/>
  <c r="AH186" i="3"/>
  <c r="R186" i="3"/>
  <c r="BG185" i="3"/>
  <c r="AQ185" i="3"/>
  <c r="AA185" i="3"/>
  <c r="K185" i="3"/>
  <c r="BD184" i="3"/>
  <c r="AN184" i="3"/>
  <c r="X184" i="3"/>
  <c r="H184" i="3"/>
  <c r="BA183" i="3"/>
  <c r="AK183" i="3"/>
  <c r="U183" i="3"/>
  <c r="BJ182" i="3"/>
  <c r="AT182" i="3"/>
  <c r="AD182" i="3"/>
  <c r="N182" i="3"/>
  <c r="BC181" i="3"/>
  <c r="AM181" i="3"/>
  <c r="W181" i="3"/>
  <c r="G181" i="3"/>
  <c r="AZ180" i="3"/>
  <c r="AJ180" i="3"/>
  <c r="T180" i="3"/>
  <c r="BM179" i="3"/>
  <c r="AW179" i="3"/>
  <c r="AG179" i="3"/>
  <c r="Q179" i="3"/>
  <c r="BF178" i="3"/>
  <c r="AP178" i="3"/>
  <c r="Z178" i="3"/>
  <c r="J178" i="3"/>
  <c r="AY177" i="3"/>
  <c r="AI177" i="3"/>
  <c r="S177" i="3"/>
  <c r="BL176" i="3"/>
  <c r="AV176" i="3"/>
  <c r="AF176" i="3"/>
  <c r="P176" i="3"/>
  <c r="BI175" i="3"/>
  <c r="AS175" i="3"/>
  <c r="AC175" i="3"/>
  <c r="M175" i="3"/>
  <c r="BB174" i="3"/>
  <c r="AL174" i="3"/>
  <c r="V174" i="3"/>
  <c r="BK173" i="3"/>
  <c r="AU173" i="3"/>
  <c r="AE173" i="3"/>
  <c r="O173" i="3"/>
  <c r="BH172" i="3"/>
  <c r="AR172" i="3"/>
  <c r="AB172" i="3"/>
  <c r="L172" i="3"/>
  <c r="BE171" i="3"/>
  <c r="AO171" i="3"/>
  <c r="Y171" i="3"/>
  <c r="I171" i="3"/>
  <c r="AX170" i="3"/>
  <c r="AH170" i="3"/>
  <c r="R170" i="3"/>
  <c r="BG169" i="3"/>
  <c r="AQ169" i="3"/>
  <c r="AA169" i="3"/>
  <c r="K169" i="3"/>
  <c r="BD168" i="3"/>
  <c r="AN168" i="3"/>
  <c r="X168" i="3"/>
  <c r="H168" i="3"/>
  <c r="AZ166" i="3"/>
  <c r="AJ166" i="3"/>
  <c r="T166" i="3"/>
  <c r="BM165" i="3"/>
  <c r="AW165" i="3"/>
  <c r="AG165" i="3"/>
  <c r="Q165" i="3"/>
  <c r="BF164" i="3"/>
  <c r="AP164" i="3"/>
  <c r="Z164" i="3"/>
  <c r="J164" i="3"/>
  <c r="AY163" i="3"/>
  <c r="AI163" i="3"/>
  <c r="S163" i="3"/>
  <c r="BL162" i="3"/>
  <c r="AV162" i="3"/>
  <c r="AF162" i="3"/>
  <c r="P162" i="3"/>
  <c r="BI161" i="3"/>
  <c r="AS161" i="3"/>
  <c r="AC161" i="3"/>
  <c r="M161" i="3"/>
  <c r="BB160" i="3"/>
  <c r="AL160" i="3"/>
  <c r="V160" i="3"/>
  <c r="BK159" i="3"/>
  <c r="AU159" i="3"/>
  <c r="AE159" i="3"/>
  <c r="O159" i="3"/>
  <c r="BH158" i="3"/>
  <c r="AR158" i="3"/>
  <c r="AB158" i="3"/>
  <c r="L158" i="3"/>
  <c r="BE157" i="3"/>
  <c r="AO157" i="3"/>
  <c r="Y157" i="3"/>
  <c r="I157" i="3"/>
  <c r="AX156" i="3"/>
  <c r="AH156" i="3"/>
  <c r="R156" i="3"/>
  <c r="BG155" i="3"/>
  <c r="AQ155" i="3"/>
  <c r="AA155" i="3"/>
  <c r="K155" i="3"/>
  <c r="BD154" i="3"/>
  <c r="AN154" i="3"/>
  <c r="X154" i="3"/>
  <c r="H154" i="3"/>
  <c r="BA153" i="3"/>
  <c r="AK153" i="3"/>
  <c r="U153" i="3"/>
  <c r="BJ152" i="3"/>
  <c r="AT152" i="3"/>
  <c r="AD152" i="3"/>
  <c r="N152" i="3"/>
  <c r="BC151" i="3"/>
  <c r="AM151" i="3"/>
  <c r="W151" i="3"/>
  <c r="G151" i="3"/>
  <c r="AZ150" i="3"/>
  <c r="AJ150" i="3"/>
  <c r="T150" i="3"/>
  <c r="BM149" i="3"/>
  <c r="AW149" i="3"/>
  <c r="AG149" i="3"/>
  <c r="Q149" i="3"/>
  <c r="BF148" i="3"/>
  <c r="AP148" i="3"/>
  <c r="Z148" i="3"/>
  <c r="J148" i="3"/>
  <c r="AY147" i="3"/>
  <c r="AI147" i="3"/>
  <c r="S147" i="3"/>
  <c r="BL146" i="3"/>
  <c r="AV146" i="3"/>
  <c r="AF146" i="3"/>
  <c r="P146" i="3"/>
  <c r="BI145" i="3"/>
  <c r="AS145" i="3"/>
  <c r="AC145" i="3"/>
  <c r="M145" i="3"/>
  <c r="BB144" i="3"/>
  <c r="AL144" i="3"/>
  <c r="V144" i="3"/>
  <c r="BK143" i="3"/>
  <c r="AU143" i="3"/>
  <c r="AE143" i="3"/>
  <c r="O143" i="3"/>
  <c r="BH142" i="3"/>
  <c r="AR142" i="3"/>
  <c r="AB142" i="3"/>
  <c r="L142" i="3"/>
  <c r="BE141" i="3"/>
  <c r="AO141" i="3"/>
  <c r="Y141" i="3"/>
  <c r="I141" i="3"/>
  <c r="AX140" i="3"/>
  <c r="AH140" i="3"/>
  <c r="R140" i="3"/>
  <c r="BG139" i="3"/>
  <c r="AQ139" i="3"/>
  <c r="AA139" i="3"/>
  <c r="K139" i="3"/>
  <c r="BD138" i="3"/>
  <c r="AN138" i="3"/>
  <c r="X138" i="3"/>
  <c r="H138" i="3"/>
  <c r="BA137" i="3"/>
  <c r="AK137" i="3"/>
  <c r="U137" i="3"/>
  <c r="BJ136" i="3"/>
  <c r="AT136" i="3"/>
  <c r="AD136" i="3"/>
  <c r="N136" i="3"/>
  <c r="BC135" i="3"/>
  <c r="AM135" i="3"/>
  <c r="W135" i="3"/>
  <c r="G135" i="3"/>
  <c r="AZ134" i="3"/>
  <c r="AJ134" i="3"/>
  <c r="T134" i="3"/>
  <c r="BM133" i="3"/>
  <c r="AW133" i="3"/>
  <c r="AG133" i="3"/>
  <c r="Q133" i="3"/>
  <c r="BF132" i="3"/>
  <c r="AP132" i="3"/>
  <c r="Z132" i="3"/>
  <c r="J132" i="3"/>
  <c r="AY131" i="3"/>
  <c r="AI131" i="3"/>
  <c r="S131" i="3"/>
  <c r="BL130" i="3"/>
  <c r="AV130" i="3"/>
  <c r="AF130" i="3"/>
  <c r="P130" i="3"/>
  <c r="BI129" i="3"/>
  <c r="AS129" i="3"/>
  <c r="AC129" i="3"/>
  <c r="M129" i="3"/>
  <c r="BB128" i="3"/>
  <c r="AL128" i="3"/>
  <c r="V128" i="3"/>
  <c r="BK127" i="3"/>
  <c r="AU127" i="3"/>
  <c r="AE127" i="3"/>
  <c r="O127" i="3"/>
  <c r="BG125" i="3"/>
  <c r="AQ125" i="3"/>
  <c r="AA125" i="3"/>
  <c r="K125" i="3"/>
  <c r="BD124" i="3"/>
  <c r="AN124" i="3"/>
  <c r="X124" i="3"/>
  <c r="H124" i="3"/>
  <c r="BA123" i="3"/>
  <c r="AK123" i="3"/>
  <c r="U123" i="3"/>
  <c r="BJ122" i="3"/>
  <c r="AT122" i="3"/>
  <c r="AD122" i="3"/>
  <c r="N122" i="3"/>
  <c r="BC121" i="3"/>
  <c r="AM121" i="3"/>
  <c r="W121" i="3"/>
  <c r="G121" i="3"/>
  <c r="AZ120" i="3"/>
  <c r="AJ120" i="3"/>
  <c r="T120" i="3"/>
  <c r="BM119" i="3"/>
  <c r="AW119" i="3"/>
  <c r="AG119" i="3"/>
  <c r="Q119" i="3"/>
  <c r="BF118" i="3"/>
  <c r="AP118" i="3"/>
  <c r="Z118" i="3"/>
  <c r="J118" i="3"/>
  <c r="AY117" i="3"/>
  <c r="AI117" i="3"/>
  <c r="S117" i="3"/>
  <c r="BL116" i="3"/>
  <c r="AV116" i="3"/>
  <c r="AF116" i="3"/>
  <c r="P116" i="3"/>
  <c r="BI115" i="3"/>
  <c r="AS115" i="3"/>
  <c r="AC115" i="3"/>
  <c r="M115" i="3"/>
  <c r="BB114" i="3"/>
  <c r="AL114" i="3"/>
  <c r="V114" i="3"/>
  <c r="BJ206" i="3"/>
  <c r="AO206" i="3"/>
  <c r="S206" i="3"/>
  <c r="BG205" i="3"/>
  <c r="AL205" i="3"/>
  <c r="P205" i="3"/>
  <c r="AZ204" i="3"/>
  <c r="AE204" i="3"/>
  <c r="I204" i="3"/>
  <c r="AW203" i="3"/>
  <c r="AB203" i="3"/>
  <c r="BJ202" i="3"/>
  <c r="AO202" i="3"/>
  <c r="S202" i="3"/>
  <c r="BG201" i="3"/>
  <c r="AL201" i="3"/>
  <c r="P201" i="3"/>
  <c r="AZ200" i="3"/>
  <c r="AE200" i="3"/>
  <c r="K200" i="3"/>
  <c r="BD199" i="3"/>
  <c r="AN199" i="3"/>
  <c r="X199" i="3"/>
  <c r="H199" i="3"/>
  <c r="BA198" i="3"/>
  <c r="AK198" i="3"/>
  <c r="U198" i="3"/>
  <c r="BJ197" i="3"/>
  <c r="AT197" i="3"/>
  <c r="AD197" i="3"/>
  <c r="N197" i="3"/>
  <c r="BC196" i="3"/>
  <c r="AM196" i="3"/>
  <c r="W196" i="3"/>
  <c r="G196" i="3"/>
  <c r="AZ195" i="3"/>
  <c r="AJ195" i="3"/>
  <c r="T195" i="3"/>
  <c r="BM194" i="3"/>
  <c r="AW194" i="3"/>
  <c r="AG194" i="3"/>
  <c r="Q194" i="3"/>
  <c r="BF193" i="3"/>
  <c r="AP193" i="3"/>
  <c r="Z193" i="3"/>
  <c r="J193" i="3"/>
  <c r="AY192" i="3"/>
  <c r="AI192" i="3"/>
  <c r="S192" i="3"/>
  <c r="BL191" i="3"/>
  <c r="AV191" i="3"/>
  <c r="AF191" i="3"/>
  <c r="P191" i="3"/>
  <c r="BI190" i="3"/>
  <c r="AS190" i="3"/>
  <c r="AC190" i="3"/>
  <c r="M190" i="3"/>
  <c r="BB189" i="3"/>
  <c r="AL189" i="3"/>
  <c r="V189" i="3"/>
  <c r="BK188" i="3"/>
  <c r="AU188" i="3"/>
  <c r="AE188" i="3"/>
  <c r="O188" i="3"/>
  <c r="BH187" i="3"/>
  <c r="AR187" i="3"/>
  <c r="AB187" i="3"/>
  <c r="L187" i="3"/>
  <c r="BE186" i="3"/>
  <c r="AO186" i="3"/>
  <c r="Y186" i="3"/>
  <c r="I186" i="3"/>
  <c r="AX185" i="3"/>
  <c r="AH185" i="3"/>
  <c r="R185" i="3"/>
  <c r="BG184" i="3"/>
  <c r="AQ184" i="3"/>
  <c r="AA184" i="3"/>
  <c r="K184" i="3"/>
  <c r="BD183" i="3"/>
  <c r="AN183" i="3"/>
  <c r="X183" i="3"/>
  <c r="H183" i="3"/>
  <c r="BA182" i="3"/>
  <c r="AK182" i="3"/>
  <c r="U182" i="3"/>
  <c r="BJ181" i="3"/>
  <c r="AT181" i="3"/>
  <c r="AD181" i="3"/>
  <c r="N181" i="3"/>
  <c r="BC180" i="3"/>
  <c r="AM180" i="3"/>
  <c r="W180" i="3"/>
  <c r="G180" i="3"/>
  <c r="AZ179" i="3"/>
  <c r="AJ179" i="3"/>
  <c r="T179" i="3"/>
  <c r="BM178" i="3"/>
  <c r="AW178" i="3"/>
  <c r="AG178" i="3"/>
  <c r="Q178" i="3"/>
  <c r="BF177" i="3"/>
  <c r="AP177" i="3"/>
  <c r="Z177" i="3"/>
  <c r="J177" i="3"/>
  <c r="AY176" i="3"/>
  <c r="AI176" i="3"/>
  <c r="S176" i="3"/>
  <c r="BL175" i="3"/>
  <c r="AV175" i="3"/>
  <c r="AF175" i="3"/>
  <c r="P175" i="3"/>
  <c r="BI174" i="3"/>
  <c r="AS174" i="3"/>
  <c r="AC174" i="3"/>
  <c r="M174" i="3"/>
  <c r="BB173" i="3"/>
  <c r="AL173" i="3"/>
  <c r="V173" i="3"/>
  <c r="BK172" i="3"/>
  <c r="AU172" i="3"/>
  <c r="AE172" i="3"/>
  <c r="O172" i="3"/>
  <c r="BH171" i="3"/>
  <c r="AR171" i="3"/>
  <c r="AB171" i="3"/>
  <c r="L171" i="3"/>
  <c r="BE170" i="3"/>
  <c r="AO170" i="3"/>
  <c r="Y170" i="3"/>
  <c r="I170" i="3"/>
  <c r="AX169" i="3"/>
  <c r="AH169" i="3"/>
  <c r="R169" i="3"/>
  <c r="BG168" i="3"/>
  <c r="AQ168" i="3"/>
  <c r="AA168" i="3"/>
  <c r="K168" i="3"/>
  <c r="BC166" i="3"/>
  <c r="AM166" i="3"/>
  <c r="W166" i="3"/>
  <c r="G166" i="3"/>
  <c r="AZ165" i="3"/>
  <c r="AJ165" i="3"/>
  <c r="T165" i="3"/>
  <c r="BM164" i="3"/>
  <c r="AW164" i="3"/>
  <c r="AG164" i="3"/>
  <c r="Q164" i="3"/>
  <c r="BF163" i="3"/>
  <c r="AP163" i="3"/>
  <c r="Z163" i="3"/>
  <c r="J163" i="3"/>
  <c r="AY162" i="3"/>
  <c r="AI162" i="3"/>
  <c r="S162" i="3"/>
  <c r="BL161" i="3"/>
  <c r="AV161" i="3"/>
  <c r="AF161" i="3"/>
  <c r="P161" i="3"/>
  <c r="BI160" i="3"/>
  <c r="AS160" i="3"/>
  <c r="AC160" i="3"/>
  <c r="M160" i="3"/>
  <c r="BB159" i="3"/>
  <c r="AL159" i="3"/>
  <c r="V159" i="3"/>
  <c r="BK158" i="3"/>
  <c r="AU158" i="3"/>
  <c r="AE158" i="3"/>
  <c r="O158" i="3"/>
  <c r="BH157" i="3"/>
  <c r="AR157" i="3"/>
  <c r="AB157" i="3"/>
  <c r="L157" i="3"/>
  <c r="BE156" i="3"/>
  <c r="AO156" i="3"/>
  <c r="Y156" i="3"/>
  <c r="I156" i="3"/>
  <c r="AX155" i="3"/>
  <c r="AH155" i="3"/>
  <c r="R155" i="3"/>
  <c r="BG154" i="3"/>
  <c r="AQ154" i="3"/>
  <c r="AA154" i="3"/>
  <c r="K154" i="3"/>
  <c r="BD153" i="3"/>
  <c r="AN153" i="3"/>
  <c r="X153" i="3"/>
  <c r="H153" i="3"/>
  <c r="BA152" i="3"/>
  <c r="AK152" i="3"/>
  <c r="U152" i="3"/>
  <c r="BJ151" i="3"/>
  <c r="AT151" i="3"/>
  <c r="AD151" i="3"/>
  <c r="N151" i="3"/>
  <c r="BC150" i="3"/>
  <c r="AM150" i="3"/>
  <c r="W150" i="3"/>
  <c r="G150" i="3"/>
  <c r="AZ149" i="3"/>
  <c r="AJ149" i="3"/>
  <c r="T149" i="3"/>
  <c r="BM148" i="3"/>
  <c r="AW148" i="3"/>
  <c r="AG148" i="3"/>
  <c r="Q148" i="3"/>
  <c r="BF147" i="3"/>
  <c r="AP147" i="3"/>
  <c r="Z147" i="3"/>
  <c r="J147" i="3"/>
  <c r="AY146" i="3"/>
  <c r="AI146" i="3"/>
  <c r="S146" i="3"/>
  <c r="BL145" i="3"/>
  <c r="AV145" i="3"/>
  <c r="AF145" i="3"/>
  <c r="P145" i="3"/>
  <c r="BI144" i="3"/>
  <c r="AS144" i="3"/>
  <c r="AC144" i="3"/>
  <c r="M144" i="3"/>
  <c r="BB143" i="3"/>
  <c r="AL143" i="3"/>
  <c r="V143" i="3"/>
  <c r="BK142" i="3"/>
  <c r="AU142" i="3"/>
  <c r="AE142" i="3"/>
  <c r="O142" i="3"/>
  <c r="BH141" i="3"/>
  <c r="AR141" i="3"/>
  <c r="AB141" i="3"/>
  <c r="L141" i="3"/>
  <c r="BE140" i="3"/>
  <c r="AO140" i="3"/>
  <c r="Y140" i="3"/>
  <c r="I140" i="3"/>
  <c r="AX139" i="3"/>
  <c r="AH139" i="3"/>
  <c r="R139" i="3"/>
  <c r="BG138" i="3"/>
  <c r="AQ138" i="3"/>
  <c r="AA138" i="3"/>
  <c r="K138" i="3"/>
  <c r="BD137" i="3"/>
  <c r="AN137" i="3"/>
  <c r="X137" i="3"/>
  <c r="H137" i="3"/>
  <c r="BA136" i="3"/>
  <c r="AK136" i="3"/>
  <c r="U136" i="3"/>
  <c r="BJ135" i="3"/>
  <c r="AT135" i="3"/>
  <c r="AD135" i="3"/>
  <c r="N135" i="3"/>
  <c r="BC134" i="3"/>
  <c r="AM134" i="3"/>
  <c r="W134" i="3"/>
  <c r="G134" i="3"/>
  <c r="AZ133" i="3"/>
  <c r="AJ133" i="3"/>
  <c r="T133" i="3"/>
  <c r="BM132" i="3"/>
  <c r="AW132" i="3"/>
  <c r="AG132" i="3"/>
  <c r="Q132" i="3"/>
  <c r="BF131" i="3"/>
  <c r="AP131" i="3"/>
  <c r="Z131" i="3"/>
  <c r="J131" i="3"/>
  <c r="AY130" i="3"/>
  <c r="AI130" i="3"/>
  <c r="S130" i="3"/>
  <c r="BL129" i="3"/>
  <c r="AV129" i="3"/>
  <c r="AF129" i="3"/>
  <c r="P129" i="3"/>
  <c r="BI128" i="3"/>
  <c r="AS128" i="3"/>
  <c r="AC128" i="3"/>
  <c r="M128" i="3"/>
  <c r="BB127" i="3"/>
  <c r="AL127" i="3"/>
  <c r="V127" i="3"/>
  <c r="BJ125" i="3"/>
  <c r="AT125" i="3"/>
  <c r="AD125" i="3"/>
  <c r="N125" i="3"/>
  <c r="BC124" i="3"/>
  <c r="AM124" i="3"/>
  <c r="W124" i="3"/>
  <c r="G124" i="3"/>
  <c r="AZ123" i="3"/>
  <c r="AJ123" i="3"/>
  <c r="T123" i="3"/>
  <c r="BM122" i="3"/>
  <c r="AW122" i="3"/>
  <c r="AG122" i="3"/>
  <c r="Q122" i="3"/>
  <c r="BF121" i="3"/>
  <c r="AP121" i="3"/>
  <c r="Z121" i="3"/>
  <c r="J121" i="3"/>
  <c r="AY120" i="3"/>
  <c r="AI120" i="3"/>
  <c r="S120" i="3"/>
  <c r="BL119" i="3"/>
  <c r="AV119" i="3"/>
  <c r="AF119" i="3"/>
  <c r="P119" i="3"/>
  <c r="BI118" i="3"/>
  <c r="AS118" i="3"/>
  <c r="AC118" i="3"/>
  <c r="M118" i="3"/>
  <c r="BB117" i="3"/>
  <c r="AL117" i="3"/>
  <c r="V117" i="3"/>
  <c r="BK116" i="3"/>
  <c r="AU116" i="3"/>
  <c r="AE116" i="3"/>
  <c r="O116" i="3"/>
  <c r="BH115" i="3"/>
  <c r="AR115" i="3"/>
  <c r="AB115" i="3"/>
  <c r="L115" i="3"/>
  <c r="BE114" i="3"/>
  <c r="AO114" i="3"/>
  <c r="BC206" i="3"/>
  <c r="AH206" i="3"/>
  <c r="M206" i="3"/>
  <c r="AZ205" i="3"/>
  <c r="AE205" i="3"/>
  <c r="J205" i="3"/>
  <c r="AS204" i="3"/>
  <c r="X204" i="3"/>
  <c r="BL203" i="3"/>
  <c r="AP203" i="3"/>
  <c r="U203" i="3"/>
  <c r="BC202" i="3"/>
  <c r="AH202" i="3"/>
  <c r="M202" i="3"/>
  <c r="AZ201" i="3"/>
  <c r="AE201" i="3"/>
  <c r="J201" i="3"/>
  <c r="AS200" i="3"/>
  <c r="X200" i="3"/>
  <c r="BK199" i="3"/>
  <c r="AU199" i="3"/>
  <c r="AE199" i="3"/>
  <c r="O199" i="3"/>
  <c r="BH198" i="3"/>
  <c r="AR198" i="3"/>
  <c r="AB198" i="3"/>
  <c r="L198" i="3"/>
  <c r="BE197" i="3"/>
  <c r="AO197" i="3"/>
  <c r="Y197" i="3"/>
  <c r="I197" i="3"/>
  <c r="AX196" i="3"/>
  <c r="AH196" i="3"/>
  <c r="R196" i="3"/>
  <c r="BG195" i="3"/>
  <c r="AQ195" i="3"/>
  <c r="AA195" i="3"/>
  <c r="K195" i="3"/>
  <c r="BD194" i="3"/>
  <c r="AN194" i="3"/>
  <c r="X194" i="3"/>
  <c r="H194" i="3"/>
  <c r="BA193" i="3"/>
  <c r="AK193" i="3"/>
  <c r="U193" i="3"/>
  <c r="BJ192" i="3"/>
  <c r="AT192" i="3"/>
  <c r="AD192" i="3"/>
  <c r="N192" i="3"/>
  <c r="BC191" i="3"/>
  <c r="AM191" i="3"/>
  <c r="W191" i="3"/>
  <c r="G191" i="3"/>
  <c r="AZ190" i="3"/>
  <c r="AJ190" i="3"/>
  <c r="T190" i="3"/>
  <c r="BM189" i="3"/>
  <c r="AW189" i="3"/>
  <c r="AG189" i="3"/>
  <c r="Q189" i="3"/>
  <c r="BF188" i="3"/>
  <c r="AP188" i="3"/>
  <c r="Z188" i="3"/>
  <c r="J188" i="3"/>
  <c r="AY187" i="3"/>
  <c r="AI187" i="3"/>
  <c r="S187" i="3"/>
  <c r="BL186" i="3"/>
  <c r="AV186" i="3"/>
  <c r="AF186" i="3"/>
  <c r="P186" i="3"/>
  <c r="BI185" i="3"/>
  <c r="AS185" i="3"/>
  <c r="AC185" i="3"/>
  <c r="M185" i="3"/>
  <c r="BB184" i="3"/>
  <c r="AL184" i="3"/>
  <c r="V184" i="3"/>
  <c r="BK183" i="3"/>
  <c r="AU183" i="3"/>
  <c r="AE183" i="3"/>
  <c r="O183" i="3"/>
  <c r="BH182" i="3"/>
  <c r="AR182" i="3"/>
  <c r="AB182" i="3"/>
  <c r="L182" i="3"/>
  <c r="BE181" i="3"/>
  <c r="AO181" i="3"/>
  <c r="Y181" i="3"/>
  <c r="I181" i="3"/>
  <c r="AX180" i="3"/>
  <c r="AH180" i="3"/>
  <c r="R180" i="3"/>
  <c r="BG179" i="3"/>
  <c r="AQ179" i="3"/>
  <c r="AA179" i="3"/>
  <c r="K179" i="3"/>
  <c r="BD178" i="3"/>
  <c r="AN178" i="3"/>
  <c r="X178" i="3"/>
  <c r="H178" i="3"/>
  <c r="BA177" i="3"/>
  <c r="AK177" i="3"/>
  <c r="U177" i="3"/>
  <c r="BJ176" i="3"/>
  <c r="AT176" i="3"/>
  <c r="AD176" i="3"/>
  <c r="N176" i="3"/>
  <c r="BC175" i="3"/>
  <c r="AM175" i="3"/>
  <c r="W175" i="3"/>
  <c r="G175" i="3"/>
  <c r="AZ174" i="3"/>
  <c r="AJ174" i="3"/>
  <c r="T174" i="3"/>
  <c r="BM173" i="3"/>
  <c r="AW173" i="3"/>
  <c r="AG173" i="3"/>
  <c r="Q173" i="3"/>
  <c r="BF172" i="3"/>
  <c r="AP172" i="3"/>
  <c r="Z172" i="3"/>
  <c r="J172" i="3"/>
  <c r="AY171" i="3"/>
  <c r="AI171" i="3"/>
  <c r="S171" i="3"/>
  <c r="BL170" i="3"/>
  <c r="AV170" i="3"/>
  <c r="AF170" i="3"/>
  <c r="P170" i="3"/>
  <c r="BI169" i="3"/>
  <c r="AS169" i="3"/>
  <c r="AC169" i="3"/>
  <c r="M169" i="3"/>
  <c r="BB168" i="3"/>
  <c r="AL168" i="3"/>
  <c r="V168" i="3"/>
  <c r="BJ166" i="3"/>
  <c r="AT166" i="3"/>
  <c r="AD166" i="3"/>
  <c r="N166" i="3"/>
  <c r="BC165" i="3"/>
  <c r="AM165" i="3"/>
  <c r="W165" i="3"/>
  <c r="G165" i="3"/>
  <c r="AZ164" i="3"/>
  <c r="AJ164" i="3"/>
  <c r="T164" i="3"/>
  <c r="BM163" i="3"/>
  <c r="AW163" i="3"/>
  <c r="AG163" i="3"/>
  <c r="Q163" i="3"/>
  <c r="BF162" i="3"/>
  <c r="AP162" i="3"/>
  <c r="Z162" i="3"/>
  <c r="J162" i="3"/>
  <c r="AY161" i="3"/>
  <c r="AI161" i="3"/>
  <c r="S161" i="3"/>
  <c r="BL160" i="3"/>
  <c r="AV160" i="3"/>
  <c r="AF160" i="3"/>
  <c r="P160" i="3"/>
  <c r="BI159" i="3"/>
  <c r="AS159" i="3"/>
  <c r="AC159" i="3"/>
  <c r="M159" i="3"/>
  <c r="BB158" i="3"/>
  <c r="AL158" i="3"/>
  <c r="V158" i="3"/>
  <c r="BK157" i="3"/>
  <c r="AU157" i="3"/>
  <c r="AE157" i="3"/>
  <c r="O157" i="3"/>
  <c r="BH156" i="3"/>
  <c r="AR156" i="3"/>
  <c r="AB156" i="3"/>
  <c r="L156" i="3"/>
  <c r="BE155" i="3"/>
  <c r="AO155" i="3"/>
  <c r="Y155" i="3"/>
  <c r="I155" i="3"/>
  <c r="AX154" i="3"/>
  <c r="AH154" i="3"/>
  <c r="R154" i="3"/>
  <c r="BG153" i="3"/>
  <c r="AQ153" i="3"/>
  <c r="AA153" i="3"/>
  <c r="K153" i="3"/>
  <c r="BD152" i="3"/>
  <c r="AN152" i="3"/>
  <c r="X152" i="3"/>
  <c r="H152" i="3"/>
  <c r="BA151" i="3"/>
  <c r="AK151" i="3"/>
  <c r="U151" i="3"/>
  <c r="BJ150" i="3"/>
  <c r="AT150" i="3"/>
  <c r="AD150" i="3"/>
  <c r="N150" i="3"/>
  <c r="BC149" i="3"/>
  <c r="AM149" i="3"/>
  <c r="W149" i="3"/>
  <c r="G149" i="3"/>
  <c r="AZ148" i="3"/>
  <c r="AJ148" i="3"/>
  <c r="T148" i="3"/>
  <c r="BM147" i="3"/>
  <c r="AW147" i="3"/>
  <c r="AG147" i="3"/>
  <c r="Q147" i="3"/>
  <c r="BF146" i="3"/>
  <c r="AP146" i="3"/>
  <c r="Z146" i="3"/>
  <c r="J146" i="3"/>
  <c r="AY145" i="3"/>
  <c r="AI145" i="3"/>
  <c r="S145" i="3"/>
  <c r="BL144" i="3"/>
  <c r="AV144" i="3"/>
  <c r="AF144" i="3"/>
  <c r="P144" i="3"/>
  <c r="BI143" i="3"/>
  <c r="AS143" i="3"/>
  <c r="AC143" i="3"/>
  <c r="M143" i="3"/>
  <c r="BB142" i="3"/>
  <c r="AL142" i="3"/>
  <c r="V142" i="3"/>
  <c r="BK141" i="3"/>
  <c r="AU141" i="3"/>
  <c r="AE141" i="3"/>
  <c r="O141" i="3"/>
  <c r="BH140" i="3"/>
  <c r="AR140" i="3"/>
  <c r="AB140" i="3"/>
  <c r="L140" i="3"/>
  <c r="BE139" i="3"/>
  <c r="AO139" i="3"/>
  <c r="Y139" i="3"/>
  <c r="I139" i="3"/>
  <c r="AX138" i="3"/>
  <c r="AH138" i="3"/>
  <c r="R138" i="3"/>
  <c r="BG137" i="3"/>
  <c r="AQ137" i="3"/>
  <c r="AA137" i="3"/>
  <c r="K137" i="3"/>
  <c r="BD136" i="3"/>
  <c r="AN136" i="3"/>
  <c r="X136" i="3"/>
  <c r="H136" i="3"/>
  <c r="BA135" i="3"/>
  <c r="AK135" i="3"/>
  <c r="U135" i="3"/>
  <c r="BJ134" i="3"/>
  <c r="AT134" i="3"/>
  <c r="AD134" i="3"/>
  <c r="N134" i="3"/>
  <c r="BC133" i="3"/>
  <c r="AM133" i="3"/>
  <c r="W133" i="3"/>
  <c r="G133" i="3"/>
  <c r="AZ132" i="3"/>
  <c r="AJ132" i="3"/>
  <c r="T132" i="3"/>
  <c r="BM131" i="3"/>
  <c r="AW131" i="3"/>
  <c r="AG131" i="3"/>
  <c r="Q131" i="3"/>
  <c r="BF130" i="3"/>
  <c r="AP130" i="3"/>
  <c r="Z130" i="3"/>
  <c r="J130" i="3"/>
  <c r="AY129" i="3"/>
  <c r="AI129" i="3"/>
  <c r="S129" i="3"/>
  <c r="BL128" i="3"/>
  <c r="AV128" i="3"/>
  <c r="AF128" i="3"/>
  <c r="P128" i="3"/>
  <c r="BI127" i="3"/>
  <c r="AS127" i="3"/>
  <c r="AC127" i="3"/>
  <c r="M127" i="3"/>
  <c r="BE125" i="3"/>
  <c r="AO125" i="3"/>
  <c r="Y125" i="3"/>
  <c r="I125" i="3"/>
  <c r="AX124" i="3"/>
  <c r="AH124" i="3"/>
  <c r="R124" i="3"/>
  <c r="BG123" i="3"/>
  <c r="AQ123" i="3"/>
  <c r="AA123" i="3"/>
  <c r="K123" i="3"/>
  <c r="BD122" i="3"/>
  <c r="AN122" i="3"/>
  <c r="X122" i="3"/>
  <c r="H122" i="3"/>
  <c r="BA121" i="3"/>
  <c r="AK121" i="3"/>
  <c r="U121" i="3"/>
  <c r="BJ120" i="3"/>
  <c r="AT120" i="3"/>
  <c r="AD120" i="3"/>
  <c r="N120" i="3"/>
  <c r="BC119" i="3"/>
  <c r="AM119" i="3"/>
  <c r="W119" i="3"/>
  <c r="G119" i="3"/>
  <c r="AZ118" i="3"/>
  <c r="AJ118" i="3"/>
  <c r="T118" i="3"/>
  <c r="BM117" i="3"/>
  <c r="AW117" i="3"/>
  <c r="AG117" i="3"/>
  <c r="Q117" i="3"/>
  <c r="BF116" i="3"/>
  <c r="AP116" i="3"/>
  <c r="Z116" i="3"/>
  <c r="J116" i="3"/>
  <c r="AY115" i="3"/>
  <c r="AI115" i="3"/>
  <c r="S115" i="3"/>
  <c r="BM206" i="3"/>
  <c r="AQ206" i="3"/>
  <c r="V206" i="3"/>
  <c r="BD205" i="3"/>
  <c r="AI205" i="3"/>
  <c r="N205" i="3"/>
  <c r="BC204" i="3"/>
  <c r="AG204" i="3"/>
  <c r="L204" i="3"/>
  <c r="AZ203" i="3"/>
  <c r="AD203" i="3"/>
  <c r="I203" i="3"/>
  <c r="AW202" i="3"/>
  <c r="AA202" i="3"/>
  <c r="BJ201" i="3"/>
  <c r="AN201" i="3"/>
  <c r="S201" i="3"/>
  <c r="BH200" i="3"/>
  <c r="AM200" i="3"/>
  <c r="Q200" i="3"/>
  <c r="BF199" i="3"/>
  <c r="AP199" i="3"/>
  <c r="Z199" i="3"/>
  <c r="J199" i="3"/>
  <c r="AY198" i="3"/>
  <c r="AI198" i="3"/>
  <c r="S198" i="3"/>
  <c r="BL197" i="3"/>
  <c r="AV197" i="3"/>
  <c r="AF197" i="3"/>
  <c r="P197" i="3"/>
  <c r="BI196" i="3"/>
  <c r="AS196" i="3"/>
  <c r="AC196" i="3"/>
  <c r="M196" i="3"/>
  <c r="BB195" i="3"/>
  <c r="AL195" i="3"/>
  <c r="V195" i="3"/>
  <c r="BK194" i="3"/>
  <c r="AU194" i="3"/>
  <c r="AE194" i="3"/>
  <c r="O194" i="3"/>
  <c r="BH193" i="3"/>
  <c r="AR193" i="3"/>
  <c r="AB193" i="3"/>
  <c r="L193" i="3"/>
  <c r="BE192" i="3"/>
  <c r="AO192" i="3"/>
  <c r="Y192" i="3"/>
  <c r="I192" i="3"/>
  <c r="AX191" i="3"/>
  <c r="AH191" i="3"/>
  <c r="R191" i="3"/>
  <c r="BG190" i="3"/>
  <c r="AQ190" i="3"/>
  <c r="AA190" i="3"/>
  <c r="K190" i="3"/>
  <c r="BD189" i="3"/>
  <c r="AN189" i="3"/>
  <c r="X189" i="3"/>
  <c r="H189" i="3"/>
  <c r="BA188" i="3"/>
  <c r="AK188" i="3"/>
  <c r="U188" i="3"/>
  <c r="BJ187" i="3"/>
  <c r="AT187" i="3"/>
  <c r="AD187" i="3"/>
  <c r="N187" i="3"/>
  <c r="BC186" i="3"/>
  <c r="AM186" i="3"/>
  <c r="W186" i="3"/>
  <c r="G186" i="3"/>
  <c r="AZ185" i="3"/>
  <c r="AJ185" i="3"/>
  <c r="T185" i="3"/>
  <c r="BM184" i="3"/>
  <c r="AW184" i="3"/>
  <c r="AG184" i="3"/>
  <c r="Q184" i="3"/>
  <c r="BF183" i="3"/>
  <c r="AP183" i="3"/>
  <c r="Z183" i="3"/>
  <c r="J183" i="3"/>
  <c r="AY182" i="3"/>
  <c r="AI182" i="3"/>
  <c r="S182" i="3"/>
  <c r="BL181" i="3"/>
  <c r="AV181" i="3"/>
  <c r="AF181" i="3"/>
  <c r="P181" i="3"/>
  <c r="BI180" i="3"/>
  <c r="AS180" i="3"/>
  <c r="AC180" i="3"/>
  <c r="M180" i="3"/>
  <c r="BB179" i="3"/>
  <c r="AL179" i="3"/>
  <c r="V179" i="3"/>
  <c r="BK178" i="3"/>
  <c r="AU178" i="3"/>
  <c r="AE178" i="3"/>
  <c r="O178" i="3"/>
  <c r="BH177" i="3"/>
  <c r="AR177" i="3"/>
  <c r="AB177" i="3"/>
  <c r="L177" i="3"/>
  <c r="BE176" i="3"/>
  <c r="AO176" i="3"/>
  <c r="Y176" i="3"/>
  <c r="I176" i="3"/>
  <c r="AX175" i="3"/>
  <c r="AH175" i="3"/>
  <c r="R175" i="3"/>
  <c r="BG174" i="3"/>
  <c r="AQ174" i="3"/>
  <c r="AA174" i="3"/>
  <c r="K174" i="3"/>
  <c r="BD173" i="3"/>
  <c r="AN173" i="3"/>
  <c r="X173" i="3"/>
  <c r="H173" i="3"/>
  <c r="BA172" i="3"/>
  <c r="AK172" i="3"/>
  <c r="U172" i="3"/>
  <c r="BJ171" i="3"/>
  <c r="AT171" i="3"/>
  <c r="AD171" i="3"/>
  <c r="N171" i="3"/>
  <c r="BC170" i="3"/>
  <c r="AM170" i="3"/>
  <c r="W170" i="3"/>
  <c r="G170" i="3"/>
  <c r="AZ169" i="3"/>
  <c r="AJ169" i="3"/>
  <c r="T169" i="3"/>
  <c r="BM168" i="3"/>
  <c r="AW168" i="3"/>
  <c r="AG168" i="3"/>
  <c r="Q168" i="3"/>
  <c r="BI166" i="3"/>
  <c r="AS166" i="3"/>
  <c r="AC166" i="3"/>
  <c r="M166" i="3"/>
  <c r="BB165" i="3"/>
  <c r="AL165" i="3"/>
  <c r="V165" i="3"/>
  <c r="BK164" i="3"/>
  <c r="AU164" i="3"/>
  <c r="AE164" i="3"/>
  <c r="O164" i="3"/>
  <c r="BH163" i="3"/>
  <c r="AR163" i="3"/>
  <c r="AB163" i="3"/>
  <c r="L163" i="3"/>
  <c r="BE162" i="3"/>
  <c r="AO162" i="3"/>
  <c r="Y162" i="3"/>
  <c r="I162" i="3"/>
  <c r="AX161" i="3"/>
  <c r="AH161" i="3"/>
  <c r="R161" i="3"/>
  <c r="BG160" i="3"/>
  <c r="AQ160" i="3"/>
  <c r="AA160" i="3"/>
  <c r="K160" i="3"/>
  <c r="BD159" i="3"/>
  <c r="AN159" i="3"/>
  <c r="X159" i="3"/>
  <c r="H159" i="3"/>
  <c r="BA158" i="3"/>
  <c r="AK158" i="3"/>
  <c r="U158" i="3"/>
  <c r="BJ157" i="3"/>
  <c r="AT157" i="3"/>
  <c r="AD157" i="3"/>
  <c r="N157" i="3"/>
  <c r="BC156" i="3"/>
  <c r="AM156" i="3"/>
  <c r="W156" i="3"/>
  <c r="G156" i="3"/>
  <c r="AZ155" i="3"/>
  <c r="AJ155" i="3"/>
  <c r="T155" i="3"/>
  <c r="BM154" i="3"/>
  <c r="AW154" i="3"/>
  <c r="AG154" i="3"/>
  <c r="Q154" i="3"/>
  <c r="BF153" i="3"/>
  <c r="AP153" i="3"/>
  <c r="Z153" i="3"/>
  <c r="J153" i="3"/>
  <c r="AY152" i="3"/>
  <c r="AI152" i="3"/>
  <c r="S152" i="3"/>
  <c r="BL151" i="3"/>
  <c r="AV151" i="3"/>
  <c r="AF151" i="3"/>
  <c r="P151" i="3"/>
  <c r="BI150" i="3"/>
  <c r="AS150" i="3"/>
  <c r="AC150" i="3"/>
  <c r="M150" i="3"/>
  <c r="BB149" i="3"/>
  <c r="AL149" i="3"/>
  <c r="V149" i="3"/>
  <c r="BK148" i="3"/>
  <c r="AU148" i="3"/>
  <c r="AE148" i="3"/>
  <c r="O148" i="3"/>
  <c r="BH147" i="3"/>
  <c r="AR147" i="3"/>
  <c r="AB147" i="3"/>
  <c r="L147" i="3"/>
  <c r="BE146" i="3"/>
  <c r="AO146" i="3"/>
  <c r="Y146" i="3"/>
  <c r="I146" i="3"/>
  <c r="AX145" i="3"/>
  <c r="AH145" i="3"/>
  <c r="R145" i="3"/>
  <c r="BG144" i="3"/>
  <c r="AQ144" i="3"/>
  <c r="AA144" i="3"/>
  <c r="K144" i="3"/>
  <c r="BD143" i="3"/>
  <c r="AN143" i="3"/>
  <c r="X143" i="3"/>
  <c r="H143" i="3"/>
  <c r="BA142" i="3"/>
  <c r="AK142" i="3"/>
  <c r="U142" i="3"/>
  <c r="BJ141" i="3"/>
  <c r="AT141" i="3"/>
  <c r="AD141" i="3"/>
  <c r="N141" i="3"/>
  <c r="BC140" i="3"/>
  <c r="AM140" i="3"/>
  <c r="W140" i="3"/>
  <c r="G140" i="3"/>
  <c r="AZ139" i="3"/>
  <c r="AJ139" i="3"/>
  <c r="T139" i="3"/>
  <c r="BM138" i="3"/>
  <c r="AW138" i="3"/>
  <c r="AG138" i="3"/>
  <c r="Q138" i="3"/>
  <c r="BF137" i="3"/>
  <c r="AP137" i="3"/>
  <c r="Z137" i="3"/>
  <c r="J137" i="3"/>
  <c r="AY136" i="3"/>
  <c r="AI136" i="3"/>
  <c r="S136" i="3"/>
  <c r="BL135" i="3"/>
  <c r="AV135" i="3"/>
  <c r="AF135" i="3"/>
  <c r="P135" i="3"/>
  <c r="BI134" i="3"/>
  <c r="AS134" i="3"/>
  <c r="AC134" i="3"/>
  <c r="M134" i="3"/>
  <c r="BB133" i="3"/>
  <c r="AL133" i="3"/>
  <c r="V133" i="3"/>
  <c r="BK132" i="3"/>
  <c r="AU132" i="3"/>
  <c r="AE132" i="3"/>
  <c r="O132" i="3"/>
  <c r="BH131" i="3"/>
  <c r="AR131" i="3"/>
  <c r="AB131" i="3"/>
  <c r="L131" i="3"/>
  <c r="BE130" i="3"/>
  <c r="AO130" i="3"/>
  <c r="Y130" i="3"/>
  <c r="I130" i="3"/>
  <c r="AX129" i="3"/>
  <c r="AH129" i="3"/>
  <c r="R129" i="3"/>
  <c r="BG128" i="3"/>
  <c r="AQ128" i="3"/>
  <c r="AA128" i="3"/>
  <c r="K128" i="3"/>
  <c r="BD127" i="3"/>
  <c r="AN127" i="3"/>
  <c r="X127" i="3"/>
  <c r="H127" i="3"/>
  <c r="AZ125" i="3"/>
  <c r="AJ125" i="3"/>
  <c r="T125" i="3"/>
  <c r="BM124" i="3"/>
  <c r="AW124" i="3"/>
  <c r="AG124" i="3"/>
  <c r="Q124" i="3"/>
  <c r="BF123" i="3"/>
  <c r="AP123" i="3"/>
  <c r="Z123" i="3"/>
  <c r="J123" i="3"/>
  <c r="AY122" i="3"/>
  <c r="AI122" i="3"/>
  <c r="S122" i="3"/>
  <c r="BL121" i="3"/>
  <c r="AV121" i="3"/>
  <c r="AF121" i="3"/>
  <c r="P121" i="3"/>
  <c r="BI120" i="3"/>
  <c r="AS120" i="3"/>
  <c r="AC120" i="3"/>
  <c r="M120" i="3"/>
  <c r="BB119" i="3"/>
  <c r="AL119" i="3"/>
  <c r="V119" i="3"/>
  <c r="BK118" i="3"/>
  <c r="AU118" i="3"/>
  <c r="AE118" i="3"/>
  <c r="O118" i="3"/>
  <c r="BH117" i="3"/>
  <c r="AR117" i="3"/>
  <c r="AB117" i="3"/>
  <c r="L117" i="3"/>
  <c r="BE116" i="3"/>
  <c r="AO116" i="3"/>
  <c r="Y116" i="3"/>
  <c r="I116" i="3"/>
  <c r="AX115" i="3"/>
  <c r="AH115" i="3"/>
  <c r="R115" i="3"/>
  <c r="BC114" i="3"/>
  <c r="Y114" i="3"/>
  <c r="BM113" i="3"/>
  <c r="AW113" i="3"/>
  <c r="AG113" i="3"/>
  <c r="Q113" i="3"/>
  <c r="BF112" i="3"/>
  <c r="AP112" i="3"/>
  <c r="Z112" i="3"/>
  <c r="J112" i="3"/>
  <c r="AY111" i="3"/>
  <c r="AI111" i="3"/>
  <c r="S111" i="3"/>
  <c r="BL110" i="3"/>
  <c r="AV110" i="3"/>
  <c r="AF110" i="3"/>
  <c r="P110" i="3"/>
  <c r="BI109" i="3"/>
  <c r="AS109" i="3"/>
  <c r="AC109" i="3"/>
  <c r="M109" i="3"/>
  <c r="BB108" i="3"/>
  <c r="AL108" i="3"/>
  <c r="V108" i="3"/>
  <c r="BK107" i="3"/>
  <c r="AU107" i="3"/>
  <c r="AE107" i="3"/>
  <c r="O107" i="3"/>
  <c r="BH106" i="3"/>
  <c r="AR106" i="3"/>
  <c r="AB106" i="3"/>
  <c r="L106" i="3"/>
  <c r="BE105" i="3"/>
  <c r="AO105" i="3"/>
  <c r="Y105" i="3"/>
  <c r="I105" i="3"/>
  <c r="AX104" i="3"/>
  <c r="AH104" i="3"/>
  <c r="R104" i="3"/>
  <c r="BG103" i="3"/>
  <c r="AQ103" i="3"/>
  <c r="AA103" i="3"/>
  <c r="K103" i="3"/>
  <c r="BD102" i="3"/>
  <c r="AN102" i="3"/>
  <c r="X102" i="3"/>
  <c r="H102" i="3"/>
  <c r="BA101" i="3"/>
  <c r="AK101" i="3"/>
  <c r="U101" i="3"/>
  <c r="BJ100" i="3"/>
  <c r="AT100" i="3"/>
  <c r="AD100" i="3"/>
  <c r="N100" i="3"/>
  <c r="BC99" i="3"/>
  <c r="AM99" i="3"/>
  <c r="W99" i="3"/>
  <c r="G99" i="3"/>
  <c r="AZ98" i="3"/>
  <c r="AJ98" i="3"/>
  <c r="T98" i="3"/>
  <c r="BM97" i="3"/>
  <c r="AW97" i="3"/>
  <c r="AG97" i="3"/>
  <c r="Q97" i="3"/>
  <c r="BF96" i="3"/>
  <c r="AP96" i="3"/>
  <c r="Z96" i="3"/>
  <c r="J96" i="3"/>
  <c r="AY95" i="3"/>
  <c r="AI95" i="3"/>
  <c r="S95" i="3"/>
  <c r="BL94" i="3"/>
  <c r="AV94" i="3"/>
  <c r="AF94" i="3"/>
  <c r="P94" i="3"/>
  <c r="BI93" i="3"/>
  <c r="AS93" i="3"/>
  <c r="AC93" i="3"/>
  <c r="M93" i="3"/>
  <c r="BB92" i="3"/>
  <c r="AL92" i="3"/>
  <c r="V92" i="3"/>
  <c r="BK91" i="3"/>
  <c r="AU91" i="3"/>
  <c r="AE91" i="3"/>
  <c r="O91" i="3"/>
  <c r="BH90" i="3"/>
  <c r="AR90" i="3"/>
  <c r="AB90" i="3"/>
  <c r="L90" i="3"/>
  <c r="BE89" i="3"/>
  <c r="AO89" i="3"/>
  <c r="Y89" i="3"/>
  <c r="I89" i="3"/>
  <c r="AX88" i="3"/>
  <c r="AH88" i="3"/>
  <c r="R88" i="3"/>
  <c r="BG87" i="3"/>
  <c r="AQ87" i="3"/>
  <c r="AA87" i="3"/>
  <c r="K87" i="3"/>
  <c r="BD86" i="3"/>
  <c r="AN86" i="3"/>
  <c r="X86" i="3"/>
  <c r="H86" i="3"/>
  <c r="AZ84" i="3"/>
  <c r="AJ84" i="3"/>
  <c r="T84" i="3"/>
  <c r="BM83" i="3"/>
  <c r="AW83" i="3"/>
  <c r="AG83" i="3"/>
  <c r="Q83" i="3"/>
  <c r="BF82" i="3"/>
  <c r="AP82" i="3"/>
  <c r="Z82" i="3"/>
  <c r="J82" i="3"/>
  <c r="AY81" i="3"/>
  <c r="AI81" i="3"/>
  <c r="S81" i="3"/>
  <c r="BL80" i="3"/>
  <c r="AV80" i="3"/>
  <c r="AF80" i="3"/>
  <c r="P80" i="3"/>
  <c r="BI79" i="3"/>
  <c r="AS79" i="3"/>
  <c r="AC79" i="3"/>
  <c r="M79" i="3"/>
  <c r="BB78" i="3"/>
  <c r="AL78" i="3"/>
  <c r="V78" i="3"/>
  <c r="BK77" i="3"/>
  <c r="AU77" i="3"/>
  <c r="AE77" i="3"/>
  <c r="O77" i="3"/>
  <c r="BH76" i="3"/>
  <c r="AR76" i="3"/>
  <c r="AB76" i="3"/>
  <c r="L76" i="3"/>
  <c r="BE75" i="3"/>
  <c r="AO75" i="3"/>
  <c r="Y75" i="3"/>
  <c r="I75" i="3"/>
  <c r="AX74" i="3"/>
  <c r="AH74" i="3"/>
  <c r="R74" i="3"/>
  <c r="BG73" i="3"/>
  <c r="AQ73" i="3"/>
  <c r="AA73" i="3"/>
  <c r="K73" i="3"/>
  <c r="BD72" i="3"/>
  <c r="AN72" i="3"/>
  <c r="X72" i="3"/>
  <c r="H72" i="3"/>
  <c r="BA71" i="3"/>
  <c r="AK71" i="3"/>
  <c r="U71" i="3"/>
  <c r="BJ70" i="3"/>
  <c r="AT70" i="3"/>
  <c r="AD70" i="3"/>
  <c r="N70" i="3"/>
  <c r="BC69" i="3"/>
  <c r="AM69" i="3"/>
  <c r="W69" i="3"/>
  <c r="G69" i="3"/>
  <c r="AZ68" i="3"/>
  <c r="AJ68" i="3"/>
  <c r="T68" i="3"/>
  <c r="BM67" i="3"/>
  <c r="AW67" i="3"/>
  <c r="AG67" i="3"/>
  <c r="Q67" i="3"/>
  <c r="BF66" i="3"/>
  <c r="AP66" i="3"/>
  <c r="Z66" i="3"/>
  <c r="J66" i="3"/>
  <c r="AY65" i="3"/>
  <c r="AI65" i="3"/>
  <c r="S65" i="3"/>
  <c r="BL64" i="3"/>
  <c r="AV64" i="3"/>
  <c r="AF64" i="3"/>
  <c r="P64" i="3"/>
  <c r="BI63" i="3"/>
  <c r="AS63" i="3"/>
  <c r="AC63" i="3"/>
  <c r="M63" i="3"/>
  <c r="BB62" i="3"/>
  <c r="AL62" i="3"/>
  <c r="V62" i="3"/>
  <c r="BK61" i="3"/>
  <c r="AU61" i="3"/>
  <c r="AE61" i="3"/>
  <c r="O61" i="3"/>
  <c r="BH60" i="3"/>
  <c r="AR60" i="3"/>
  <c r="AB60" i="3"/>
  <c r="L60" i="3"/>
  <c r="BE59" i="3"/>
  <c r="AO59" i="3"/>
  <c r="Y59" i="3"/>
  <c r="I59" i="3"/>
  <c r="AX58" i="3"/>
  <c r="AH58" i="3"/>
  <c r="R58" i="3"/>
  <c r="BG57" i="3"/>
  <c r="AQ57" i="3"/>
  <c r="AA57" i="3"/>
  <c r="K57" i="3"/>
  <c r="BD56" i="3"/>
  <c r="AN56" i="3"/>
  <c r="X56" i="3"/>
  <c r="H56" i="3"/>
  <c r="BA55" i="3"/>
  <c r="AK55" i="3"/>
  <c r="U55" i="3"/>
  <c r="BJ54" i="3"/>
  <c r="AT54" i="3"/>
  <c r="AD54" i="3"/>
  <c r="N54" i="3"/>
  <c r="BC53" i="3"/>
  <c r="AM53" i="3"/>
  <c r="W53" i="3"/>
  <c r="G53" i="3"/>
  <c r="AZ52" i="3"/>
  <c r="AJ52" i="3"/>
  <c r="T52" i="3"/>
  <c r="BM51" i="3"/>
  <c r="AW51" i="3"/>
  <c r="AG51" i="3"/>
  <c r="Q51" i="3"/>
  <c r="BF50" i="3"/>
  <c r="AP50" i="3"/>
  <c r="Z50" i="3"/>
  <c r="J50" i="3"/>
  <c r="AY49" i="3"/>
  <c r="AI49" i="3"/>
  <c r="S49" i="3"/>
  <c r="BL48" i="3"/>
  <c r="AV48" i="3"/>
  <c r="AF48" i="3"/>
  <c r="P48" i="3"/>
  <c r="BI47" i="3"/>
  <c r="AS47" i="3"/>
  <c r="AC47" i="3"/>
  <c r="M47" i="3"/>
  <c r="BB46" i="3"/>
  <c r="AL46" i="3"/>
  <c r="V46" i="3"/>
  <c r="BK45" i="3"/>
  <c r="AU45" i="3"/>
  <c r="AE45" i="3"/>
  <c r="O45" i="3"/>
  <c r="BG43" i="3"/>
  <c r="AQ43" i="3"/>
  <c r="AA43" i="3"/>
  <c r="K43" i="3"/>
  <c r="BD42" i="3"/>
  <c r="AN42" i="3"/>
  <c r="X42" i="3"/>
  <c r="H42" i="3"/>
  <c r="BA41" i="3"/>
  <c r="AK41" i="3"/>
  <c r="U41" i="3"/>
  <c r="BJ40" i="3"/>
  <c r="AT40" i="3"/>
  <c r="AD40" i="3"/>
  <c r="N40" i="3"/>
  <c r="BC39" i="3"/>
  <c r="AM39" i="3"/>
  <c r="W39" i="3"/>
  <c r="G39" i="3"/>
  <c r="AZ38" i="3"/>
  <c r="AJ38" i="3"/>
  <c r="T38" i="3"/>
  <c r="BM37" i="3"/>
  <c r="AW37" i="3"/>
  <c r="AG37" i="3"/>
  <c r="Q37" i="3"/>
  <c r="BF36" i="3"/>
  <c r="AP36" i="3"/>
  <c r="Z36" i="3"/>
  <c r="J36" i="3"/>
  <c r="AY35" i="3"/>
  <c r="AI35" i="3"/>
  <c r="S35" i="3"/>
  <c r="BL34" i="3"/>
  <c r="AV34" i="3"/>
  <c r="AF34" i="3"/>
  <c r="P34" i="3"/>
  <c r="BI33" i="3"/>
  <c r="AS33" i="3"/>
  <c r="AC33" i="3"/>
  <c r="M33" i="3"/>
  <c r="BB32" i="3"/>
  <c r="AL32" i="3"/>
  <c r="V32" i="3"/>
  <c r="BK31" i="3"/>
  <c r="AU31" i="3"/>
  <c r="AE31" i="3"/>
  <c r="O31" i="3"/>
  <c r="BH30" i="3"/>
  <c r="AR30" i="3"/>
  <c r="AB30" i="3"/>
  <c r="L30" i="3"/>
  <c r="BE29" i="3"/>
  <c r="AO29" i="3"/>
  <c r="Y29" i="3"/>
  <c r="I29" i="3"/>
  <c r="AX28" i="3"/>
  <c r="AH28" i="3"/>
  <c r="R28" i="3"/>
  <c r="BG27" i="3"/>
  <c r="AQ27" i="3"/>
  <c r="AA27" i="3"/>
  <c r="K27" i="3"/>
  <c r="BD26" i="3"/>
  <c r="AN26" i="3"/>
  <c r="X26" i="3"/>
  <c r="H26" i="3"/>
  <c r="BA25" i="3"/>
  <c r="AK25" i="3"/>
  <c r="U25" i="3"/>
  <c r="BJ24" i="3"/>
  <c r="AT24" i="3"/>
  <c r="AD24" i="3"/>
  <c r="N24" i="3"/>
  <c r="BC23" i="3"/>
  <c r="AM23" i="3"/>
  <c r="W23" i="3"/>
  <c r="G23" i="3"/>
  <c r="AJ114" i="3"/>
  <c r="M114" i="3"/>
  <c r="BD113" i="3"/>
  <c r="AN113" i="3"/>
  <c r="X113" i="3"/>
  <c r="H113" i="3"/>
  <c r="BA112" i="3"/>
  <c r="AK112" i="3"/>
  <c r="U112" i="3"/>
  <c r="BJ111" i="3"/>
  <c r="AT111" i="3"/>
  <c r="AD111" i="3"/>
  <c r="N111" i="3"/>
  <c r="BC110" i="3"/>
  <c r="AM110" i="3"/>
  <c r="W110" i="3"/>
  <c r="G110" i="3"/>
  <c r="AZ109" i="3"/>
  <c r="AJ109" i="3"/>
  <c r="T109" i="3"/>
  <c r="BM108" i="3"/>
  <c r="AW108" i="3"/>
  <c r="AG108" i="3"/>
  <c r="Q108" i="3"/>
  <c r="BF107" i="3"/>
  <c r="AP107" i="3"/>
  <c r="Z107" i="3"/>
  <c r="J107" i="3"/>
  <c r="AY106" i="3"/>
  <c r="AI106" i="3"/>
  <c r="S106" i="3"/>
  <c r="BL105" i="3"/>
  <c r="AV105" i="3"/>
  <c r="AF105" i="3"/>
  <c r="P105" i="3"/>
  <c r="BI104" i="3"/>
  <c r="AS104" i="3"/>
  <c r="AC104" i="3"/>
  <c r="M104" i="3"/>
  <c r="BB103" i="3"/>
  <c r="AL103" i="3"/>
  <c r="V103" i="3"/>
  <c r="BK102" i="3"/>
  <c r="AU102" i="3"/>
  <c r="AE102" i="3"/>
  <c r="O102" i="3"/>
  <c r="BH101" i="3"/>
  <c r="AR101" i="3"/>
  <c r="AB101" i="3"/>
  <c r="L101" i="3"/>
  <c r="BE100" i="3"/>
  <c r="AO100" i="3"/>
  <c r="Y100" i="3"/>
  <c r="I100" i="3"/>
  <c r="AX99" i="3"/>
  <c r="AH99" i="3"/>
  <c r="R99" i="3"/>
  <c r="BG98" i="3"/>
  <c r="AQ98" i="3"/>
  <c r="AA98" i="3"/>
  <c r="K98" i="3"/>
  <c r="BD97" i="3"/>
  <c r="AN97" i="3"/>
  <c r="X97" i="3"/>
  <c r="H97" i="3"/>
  <c r="BA96" i="3"/>
  <c r="AK96" i="3"/>
  <c r="U96" i="3"/>
  <c r="BJ95" i="3"/>
  <c r="AT95" i="3"/>
  <c r="AD95" i="3"/>
  <c r="N95" i="3"/>
  <c r="BC94" i="3"/>
  <c r="AM94" i="3"/>
  <c r="W94" i="3"/>
  <c r="G94" i="3"/>
  <c r="AZ93" i="3"/>
  <c r="AJ93" i="3"/>
  <c r="T93" i="3"/>
  <c r="BM92" i="3"/>
  <c r="AW92" i="3"/>
  <c r="AG92" i="3"/>
  <c r="Q92" i="3"/>
  <c r="BF91" i="3"/>
  <c r="AP91" i="3"/>
  <c r="Z91" i="3"/>
  <c r="J91" i="3"/>
  <c r="AY90" i="3"/>
  <c r="AI90" i="3"/>
  <c r="S90" i="3"/>
  <c r="BL89" i="3"/>
  <c r="AV89" i="3"/>
  <c r="AF89" i="3"/>
  <c r="P89" i="3"/>
  <c r="BI88" i="3"/>
  <c r="AS88" i="3"/>
  <c r="AC88" i="3"/>
  <c r="M88" i="3"/>
  <c r="BB87" i="3"/>
  <c r="AL87" i="3"/>
  <c r="V87" i="3"/>
  <c r="BK86" i="3"/>
  <c r="AU86" i="3"/>
  <c r="AE86" i="3"/>
  <c r="O86" i="3"/>
  <c r="BG84" i="3"/>
  <c r="AQ84" i="3"/>
  <c r="AA84" i="3"/>
  <c r="K84" i="3"/>
  <c r="BD83" i="3"/>
  <c r="AN83" i="3"/>
  <c r="X83" i="3"/>
  <c r="H83" i="3"/>
  <c r="BA82" i="3"/>
  <c r="AK82" i="3"/>
  <c r="U82" i="3"/>
  <c r="BJ81" i="3"/>
  <c r="AT81" i="3"/>
  <c r="AD81" i="3"/>
  <c r="N81" i="3"/>
  <c r="BC80" i="3"/>
  <c r="AM80" i="3"/>
  <c r="W80" i="3"/>
  <c r="G80" i="3"/>
  <c r="AZ79" i="3"/>
  <c r="AJ79" i="3"/>
  <c r="T79" i="3"/>
  <c r="BM78" i="3"/>
  <c r="AW78" i="3"/>
  <c r="AG78" i="3"/>
  <c r="Q78" i="3"/>
  <c r="BF77" i="3"/>
  <c r="AP77" i="3"/>
  <c r="Z77" i="3"/>
  <c r="J77" i="3"/>
  <c r="AY76" i="3"/>
  <c r="AI76" i="3"/>
  <c r="S76" i="3"/>
  <c r="BL75" i="3"/>
  <c r="AV75" i="3"/>
  <c r="AF75" i="3"/>
  <c r="P75" i="3"/>
  <c r="BI74" i="3"/>
  <c r="AS74" i="3"/>
  <c r="AC74" i="3"/>
  <c r="M74" i="3"/>
  <c r="BB73" i="3"/>
  <c r="AL73" i="3"/>
  <c r="V73" i="3"/>
  <c r="BK72" i="3"/>
  <c r="AU72" i="3"/>
  <c r="AE72" i="3"/>
  <c r="O72" i="3"/>
  <c r="BH71" i="3"/>
  <c r="AR71" i="3"/>
  <c r="AB71" i="3"/>
  <c r="L71" i="3"/>
  <c r="BE70" i="3"/>
  <c r="AO70" i="3"/>
  <c r="Y70" i="3"/>
  <c r="I70" i="3"/>
  <c r="AX69" i="3"/>
  <c r="AH69" i="3"/>
  <c r="R69" i="3"/>
  <c r="BG68" i="3"/>
  <c r="AQ68" i="3"/>
  <c r="AA68" i="3"/>
  <c r="K68" i="3"/>
  <c r="BD67" i="3"/>
  <c r="AN67" i="3"/>
  <c r="X67" i="3"/>
  <c r="H67" i="3"/>
  <c r="BA66" i="3"/>
  <c r="AK66" i="3"/>
  <c r="U66" i="3"/>
  <c r="BJ65" i="3"/>
  <c r="AT65" i="3"/>
  <c r="AD65" i="3"/>
  <c r="N65" i="3"/>
  <c r="BC64" i="3"/>
  <c r="AM64" i="3"/>
  <c r="W64" i="3"/>
  <c r="G64" i="3"/>
  <c r="AZ63" i="3"/>
  <c r="AJ63" i="3"/>
  <c r="T63" i="3"/>
  <c r="BM62" i="3"/>
  <c r="AW62" i="3"/>
  <c r="AG62" i="3"/>
  <c r="Q62" i="3"/>
  <c r="BF61" i="3"/>
  <c r="AP61" i="3"/>
  <c r="Z61" i="3"/>
  <c r="J61" i="3"/>
  <c r="AY60" i="3"/>
  <c r="AI60" i="3"/>
  <c r="S60" i="3"/>
  <c r="BL59" i="3"/>
  <c r="AV59" i="3"/>
  <c r="AF59" i="3"/>
  <c r="P59" i="3"/>
  <c r="BI58" i="3"/>
  <c r="AS58" i="3"/>
  <c r="AC58" i="3"/>
  <c r="M58" i="3"/>
  <c r="BB57" i="3"/>
  <c r="AL57" i="3"/>
  <c r="V57" i="3"/>
  <c r="BK56" i="3"/>
  <c r="AU56" i="3"/>
  <c r="AE56" i="3"/>
  <c r="O56" i="3"/>
  <c r="BH55" i="3"/>
  <c r="AR55" i="3"/>
  <c r="AB55" i="3"/>
  <c r="L55" i="3"/>
  <c r="BE54" i="3"/>
  <c r="AO54" i="3"/>
  <c r="Y54" i="3"/>
  <c r="I54" i="3"/>
  <c r="AX53" i="3"/>
  <c r="AH53" i="3"/>
  <c r="R53" i="3"/>
  <c r="BG52" i="3"/>
  <c r="AQ52" i="3"/>
  <c r="AA52" i="3"/>
  <c r="K52" i="3"/>
  <c r="BD51" i="3"/>
  <c r="AN51" i="3"/>
  <c r="X51" i="3"/>
  <c r="H51" i="3"/>
  <c r="BA50" i="3"/>
  <c r="AK50" i="3"/>
  <c r="U50" i="3"/>
  <c r="BJ49" i="3"/>
  <c r="AT49" i="3"/>
  <c r="AD49" i="3"/>
  <c r="N49" i="3"/>
  <c r="BC48" i="3"/>
  <c r="AM48" i="3"/>
  <c r="W48" i="3"/>
  <c r="G48" i="3"/>
  <c r="AZ47" i="3"/>
  <c r="AJ47" i="3"/>
  <c r="T47" i="3"/>
  <c r="BM46" i="3"/>
  <c r="AW46" i="3"/>
  <c r="AG46" i="3"/>
  <c r="Q46" i="3"/>
  <c r="BF45" i="3"/>
  <c r="AP45" i="3"/>
  <c r="Z45" i="3"/>
  <c r="J45" i="3"/>
  <c r="AX43" i="3"/>
  <c r="AH43" i="3"/>
  <c r="R43" i="3"/>
  <c r="BG42" i="3"/>
  <c r="AQ42" i="3"/>
  <c r="AA42" i="3"/>
  <c r="K42" i="3"/>
  <c r="BD41" i="3"/>
  <c r="AN41" i="3"/>
  <c r="X41" i="3"/>
  <c r="H41" i="3"/>
  <c r="BA40" i="3"/>
  <c r="AK40" i="3"/>
  <c r="U40" i="3"/>
  <c r="BJ39" i="3"/>
  <c r="AT39" i="3"/>
  <c r="AD39" i="3"/>
  <c r="N39" i="3"/>
  <c r="BC38" i="3"/>
  <c r="AM38" i="3"/>
  <c r="W38" i="3"/>
  <c r="G38" i="3"/>
  <c r="AZ37" i="3"/>
  <c r="AJ37" i="3"/>
  <c r="T37" i="3"/>
  <c r="BM36" i="3"/>
  <c r="AW36" i="3"/>
  <c r="AG36" i="3"/>
  <c r="Q36" i="3"/>
  <c r="BF35" i="3"/>
  <c r="AP35" i="3"/>
  <c r="Z35" i="3"/>
  <c r="J35" i="3"/>
  <c r="AY34" i="3"/>
  <c r="AI34" i="3"/>
  <c r="S34" i="3"/>
  <c r="BL33" i="3"/>
  <c r="AV33" i="3"/>
  <c r="AF33" i="3"/>
  <c r="P33" i="3"/>
  <c r="BI32" i="3"/>
  <c r="AS32" i="3"/>
  <c r="AC32" i="3"/>
  <c r="M32" i="3"/>
  <c r="BB31" i="3"/>
  <c r="AL31" i="3"/>
  <c r="V31" i="3"/>
  <c r="BK30" i="3"/>
  <c r="AU30" i="3"/>
  <c r="AE30" i="3"/>
  <c r="O30" i="3"/>
  <c r="BH29" i="3"/>
  <c r="AR29" i="3"/>
  <c r="AB29" i="3"/>
  <c r="L29" i="3"/>
  <c r="BE28" i="3"/>
  <c r="AO28" i="3"/>
  <c r="Y28" i="3"/>
  <c r="I28" i="3"/>
  <c r="AX27" i="3"/>
  <c r="AH27" i="3"/>
  <c r="R27" i="3"/>
  <c r="BG26" i="3"/>
  <c r="AQ26" i="3"/>
  <c r="AA26" i="3"/>
  <c r="K26" i="3"/>
  <c r="BD25" i="3"/>
  <c r="AN25" i="3"/>
  <c r="X25" i="3"/>
  <c r="H25" i="3"/>
  <c r="BA24" i="3"/>
  <c r="AK24" i="3"/>
  <c r="U24" i="3"/>
  <c r="BJ23" i="3"/>
  <c r="AT23" i="3"/>
  <c r="BG114" i="3"/>
  <c r="AB114" i="3"/>
  <c r="G114" i="3"/>
  <c r="AY113" i="3"/>
  <c r="AI113" i="3"/>
  <c r="S113" i="3"/>
  <c r="BL112" i="3"/>
  <c r="AV112" i="3"/>
  <c r="AF112" i="3"/>
  <c r="P112" i="3"/>
  <c r="BI111" i="3"/>
  <c r="AS111" i="3"/>
  <c r="AC111" i="3"/>
  <c r="M111" i="3"/>
  <c r="BB110" i="3"/>
  <c r="AL110" i="3"/>
  <c r="V110" i="3"/>
  <c r="BK109" i="3"/>
  <c r="AU109" i="3"/>
  <c r="AE109" i="3"/>
  <c r="O109" i="3"/>
  <c r="BH108" i="3"/>
  <c r="AR108" i="3"/>
  <c r="AB108" i="3"/>
  <c r="L108" i="3"/>
  <c r="BE107" i="3"/>
  <c r="AO107" i="3"/>
  <c r="Y107" i="3"/>
  <c r="I107" i="3"/>
  <c r="AX106" i="3"/>
  <c r="AH106" i="3"/>
  <c r="R106" i="3"/>
  <c r="BG105" i="3"/>
  <c r="AQ105" i="3"/>
  <c r="AA105" i="3"/>
  <c r="K105" i="3"/>
  <c r="BD104" i="3"/>
  <c r="AN104" i="3"/>
  <c r="X104" i="3"/>
  <c r="H104" i="3"/>
  <c r="BA103" i="3"/>
  <c r="AK103" i="3"/>
  <c r="U103" i="3"/>
  <c r="BJ102" i="3"/>
  <c r="AT102" i="3"/>
  <c r="AD102" i="3"/>
  <c r="N102" i="3"/>
  <c r="BC101" i="3"/>
  <c r="AM101" i="3"/>
  <c r="W101" i="3"/>
  <c r="G101" i="3"/>
  <c r="AZ100" i="3"/>
  <c r="AJ100" i="3"/>
  <c r="T100" i="3"/>
  <c r="BM99" i="3"/>
  <c r="AW99" i="3"/>
  <c r="AG99" i="3"/>
  <c r="Q99" i="3"/>
  <c r="BF98" i="3"/>
  <c r="AP98" i="3"/>
  <c r="Z98" i="3"/>
  <c r="J98" i="3"/>
  <c r="AY97" i="3"/>
  <c r="AI97" i="3"/>
  <c r="S97" i="3"/>
  <c r="BL96" i="3"/>
  <c r="AV96" i="3"/>
  <c r="AF96" i="3"/>
  <c r="P96" i="3"/>
  <c r="BI95" i="3"/>
  <c r="AS95" i="3"/>
  <c r="AC95" i="3"/>
  <c r="M95" i="3"/>
  <c r="BB94" i="3"/>
  <c r="AL94" i="3"/>
  <c r="V94" i="3"/>
  <c r="BK93" i="3"/>
  <c r="AU93" i="3"/>
  <c r="AE93" i="3"/>
  <c r="O93" i="3"/>
  <c r="BH92" i="3"/>
  <c r="AR92" i="3"/>
  <c r="AB92" i="3"/>
  <c r="L92" i="3"/>
  <c r="BE91" i="3"/>
  <c r="AO91" i="3"/>
  <c r="Y91" i="3"/>
  <c r="I91" i="3"/>
  <c r="AX90" i="3"/>
  <c r="AH90" i="3"/>
  <c r="R90" i="3"/>
  <c r="BG89" i="3"/>
  <c r="AQ89" i="3"/>
  <c r="AA89" i="3"/>
  <c r="K89" i="3"/>
  <c r="BD88" i="3"/>
  <c r="AN88" i="3"/>
  <c r="X88" i="3"/>
  <c r="H88" i="3"/>
  <c r="BA87" i="3"/>
  <c r="AK87" i="3"/>
  <c r="U87" i="3"/>
  <c r="BJ86" i="3"/>
  <c r="AT86" i="3"/>
  <c r="AD86" i="3"/>
  <c r="N86" i="3"/>
  <c r="BB84" i="3"/>
  <c r="AL84" i="3"/>
  <c r="V84" i="3"/>
  <c r="BK83" i="3"/>
  <c r="AU83" i="3"/>
  <c r="AE83" i="3"/>
  <c r="O83" i="3"/>
  <c r="BH82" i="3"/>
  <c r="AR82" i="3"/>
  <c r="AB82" i="3"/>
  <c r="L82" i="3"/>
  <c r="BE81" i="3"/>
  <c r="AO81" i="3"/>
  <c r="Y81" i="3"/>
  <c r="I81" i="3"/>
  <c r="AX80" i="3"/>
  <c r="AH80" i="3"/>
  <c r="R80" i="3"/>
  <c r="BG79" i="3"/>
  <c r="AQ79" i="3"/>
  <c r="AA79" i="3"/>
  <c r="K79" i="3"/>
  <c r="BD78" i="3"/>
  <c r="AN78" i="3"/>
  <c r="X78" i="3"/>
  <c r="H78" i="3"/>
  <c r="BA77" i="3"/>
  <c r="AK77" i="3"/>
  <c r="U77" i="3"/>
  <c r="BJ76" i="3"/>
  <c r="AT76" i="3"/>
  <c r="AD76" i="3"/>
  <c r="N76" i="3"/>
  <c r="BC75" i="3"/>
  <c r="AM75" i="3"/>
  <c r="W75" i="3"/>
  <c r="G75" i="3"/>
  <c r="AZ74" i="3"/>
  <c r="AJ74" i="3"/>
  <c r="T74" i="3"/>
  <c r="BM73" i="3"/>
  <c r="AW73" i="3"/>
  <c r="AG73" i="3"/>
  <c r="Q73" i="3"/>
  <c r="BF72" i="3"/>
  <c r="AP72" i="3"/>
  <c r="Z72" i="3"/>
  <c r="J72" i="3"/>
  <c r="AY71" i="3"/>
  <c r="AI71" i="3"/>
  <c r="S71" i="3"/>
  <c r="BL70" i="3"/>
  <c r="AV70" i="3"/>
  <c r="AF70" i="3"/>
  <c r="P70" i="3"/>
  <c r="BI69" i="3"/>
  <c r="AS69" i="3"/>
  <c r="AC69" i="3"/>
  <c r="M69" i="3"/>
  <c r="BB68" i="3"/>
  <c r="AL68" i="3"/>
  <c r="V68" i="3"/>
  <c r="BK67" i="3"/>
  <c r="AU67" i="3"/>
  <c r="AE67" i="3"/>
  <c r="O67" i="3"/>
  <c r="BH66" i="3"/>
  <c r="AR66" i="3"/>
  <c r="AB66" i="3"/>
  <c r="L66" i="3"/>
  <c r="BE65" i="3"/>
  <c r="AO65" i="3"/>
  <c r="Y65" i="3"/>
  <c r="I65" i="3"/>
  <c r="AX64" i="3"/>
  <c r="AH64" i="3"/>
  <c r="R64" i="3"/>
  <c r="BG63" i="3"/>
  <c r="AQ63" i="3"/>
  <c r="AA63" i="3"/>
  <c r="K63" i="3"/>
  <c r="BD62" i="3"/>
  <c r="AN62" i="3"/>
  <c r="X62" i="3"/>
  <c r="H62" i="3"/>
  <c r="BA61" i="3"/>
  <c r="AK61" i="3"/>
  <c r="U61" i="3"/>
  <c r="BJ60" i="3"/>
  <c r="AT60" i="3"/>
  <c r="AD60" i="3"/>
  <c r="N60" i="3"/>
  <c r="BC59" i="3"/>
  <c r="AM59" i="3"/>
  <c r="W59" i="3"/>
  <c r="G59" i="3"/>
  <c r="AZ58" i="3"/>
  <c r="AJ58" i="3"/>
  <c r="T58" i="3"/>
  <c r="BM57" i="3"/>
  <c r="AW57" i="3"/>
  <c r="AG57" i="3"/>
  <c r="Q57" i="3"/>
  <c r="BF56" i="3"/>
  <c r="AP56" i="3"/>
  <c r="Z56" i="3"/>
  <c r="J56" i="3"/>
  <c r="AY55" i="3"/>
  <c r="AI55" i="3"/>
  <c r="S55" i="3"/>
  <c r="BL54" i="3"/>
  <c r="AV54" i="3"/>
  <c r="AF54" i="3"/>
  <c r="P54" i="3"/>
  <c r="BI53" i="3"/>
  <c r="AS53" i="3"/>
  <c r="AC53" i="3"/>
  <c r="M53" i="3"/>
  <c r="BB52" i="3"/>
  <c r="AL52" i="3"/>
  <c r="V52" i="3"/>
  <c r="BK51" i="3"/>
  <c r="AU51" i="3"/>
  <c r="AE51" i="3"/>
  <c r="O51" i="3"/>
  <c r="BH50" i="3"/>
  <c r="AR50" i="3"/>
  <c r="AB50" i="3"/>
  <c r="L50" i="3"/>
  <c r="BE49" i="3"/>
  <c r="AO49" i="3"/>
  <c r="Y49" i="3"/>
  <c r="I49" i="3"/>
  <c r="AX48" i="3"/>
  <c r="AH48" i="3"/>
  <c r="R48" i="3"/>
  <c r="BG47" i="3"/>
  <c r="AQ47" i="3"/>
  <c r="AA47" i="3"/>
  <c r="K47" i="3"/>
  <c r="BD46" i="3"/>
  <c r="AN46" i="3"/>
  <c r="X46" i="3"/>
  <c r="H46" i="3"/>
  <c r="BA45" i="3"/>
  <c r="AK45" i="3"/>
  <c r="U45" i="3"/>
  <c r="BM43" i="3"/>
  <c r="AW43" i="3"/>
  <c r="AG43" i="3"/>
  <c r="Q43" i="3"/>
  <c r="BF42" i="3"/>
  <c r="AP42" i="3"/>
  <c r="Z42" i="3"/>
  <c r="J42" i="3"/>
  <c r="AY41" i="3"/>
  <c r="AI41" i="3"/>
  <c r="S41" i="3"/>
  <c r="BL40" i="3"/>
  <c r="AV40" i="3"/>
  <c r="AF40" i="3"/>
  <c r="P40" i="3"/>
  <c r="BI39" i="3"/>
  <c r="AS39" i="3"/>
  <c r="AC39" i="3"/>
  <c r="M39" i="3"/>
  <c r="BB38" i="3"/>
  <c r="AL38" i="3"/>
  <c r="V38" i="3"/>
  <c r="BK37" i="3"/>
  <c r="AU37" i="3"/>
  <c r="AE37" i="3"/>
  <c r="O37" i="3"/>
  <c r="BH36" i="3"/>
  <c r="AR36" i="3"/>
  <c r="AB36" i="3"/>
  <c r="L36" i="3"/>
  <c r="BE35" i="3"/>
  <c r="AO35" i="3"/>
  <c r="Y35" i="3"/>
  <c r="I35" i="3"/>
  <c r="AX34" i="3"/>
  <c r="AH34" i="3"/>
  <c r="R34" i="3"/>
  <c r="BG33" i="3"/>
  <c r="AQ33" i="3"/>
  <c r="AA33" i="3"/>
  <c r="K33" i="3"/>
  <c r="BD32" i="3"/>
  <c r="AN32" i="3"/>
  <c r="X32" i="3"/>
  <c r="H32" i="3"/>
  <c r="BA31" i="3"/>
  <c r="AK31" i="3"/>
  <c r="U31" i="3"/>
  <c r="BJ30" i="3"/>
  <c r="AT30" i="3"/>
  <c r="AD30" i="3"/>
  <c r="N30" i="3"/>
  <c r="BC29" i="3"/>
  <c r="AM29" i="3"/>
  <c r="W29" i="3"/>
  <c r="G29" i="3"/>
  <c r="AZ28" i="3"/>
  <c r="AJ28" i="3"/>
  <c r="T28" i="3"/>
  <c r="BM27" i="3"/>
  <c r="AW27" i="3"/>
  <c r="AG27" i="3"/>
  <c r="Q27" i="3"/>
  <c r="BF26" i="3"/>
  <c r="AP26" i="3"/>
  <c r="Z26" i="3"/>
  <c r="J26" i="3"/>
  <c r="AY25" i="3"/>
  <c r="AI25" i="3"/>
  <c r="S25" i="3"/>
  <c r="BL24" i="3"/>
  <c r="AV24" i="3"/>
  <c r="AF24" i="3"/>
  <c r="P24" i="3"/>
  <c r="BI23" i="3"/>
  <c r="AS23" i="3"/>
  <c r="AN114" i="3"/>
  <c r="P114" i="3"/>
  <c r="BB113" i="3"/>
  <c r="AL113" i="3"/>
  <c r="V113" i="3"/>
  <c r="BK112" i="3"/>
  <c r="AU112" i="3"/>
  <c r="AE112" i="3"/>
  <c r="O112" i="3"/>
  <c r="BH111" i="3"/>
  <c r="AR111" i="3"/>
  <c r="AB111" i="3"/>
  <c r="L111" i="3"/>
  <c r="BE110" i="3"/>
  <c r="AO110" i="3"/>
  <c r="Y110" i="3"/>
  <c r="I110" i="3"/>
  <c r="AX109" i="3"/>
  <c r="AH109" i="3"/>
  <c r="R109" i="3"/>
  <c r="BG108" i="3"/>
  <c r="AQ108" i="3"/>
  <c r="AA108" i="3"/>
  <c r="K108" i="3"/>
  <c r="BD107" i="3"/>
  <c r="AN107" i="3"/>
  <c r="X107" i="3"/>
  <c r="H107" i="3"/>
  <c r="BA106" i="3"/>
  <c r="AK106" i="3"/>
  <c r="U106" i="3"/>
  <c r="BJ105" i="3"/>
  <c r="AT105" i="3"/>
  <c r="AD105" i="3"/>
  <c r="N105" i="3"/>
  <c r="BC104" i="3"/>
  <c r="AM104" i="3"/>
  <c r="W104" i="3"/>
  <c r="G104" i="3"/>
  <c r="AZ103" i="3"/>
  <c r="AJ103" i="3"/>
  <c r="T103" i="3"/>
  <c r="BM102" i="3"/>
  <c r="AW102" i="3"/>
  <c r="AG102" i="3"/>
  <c r="Q102" i="3"/>
  <c r="BF101" i="3"/>
  <c r="AP101" i="3"/>
  <c r="Z101" i="3"/>
  <c r="J101" i="3"/>
  <c r="AY100" i="3"/>
  <c r="AI100" i="3"/>
  <c r="S100" i="3"/>
  <c r="BL99" i="3"/>
  <c r="AV99" i="3"/>
  <c r="AF99" i="3"/>
  <c r="P99" i="3"/>
  <c r="BI98" i="3"/>
  <c r="AS98" i="3"/>
  <c r="AC98" i="3"/>
  <c r="M98" i="3"/>
  <c r="BB97" i="3"/>
  <c r="AL97" i="3"/>
  <c r="V97" i="3"/>
  <c r="BK96" i="3"/>
  <c r="AU96" i="3"/>
  <c r="AE96" i="3"/>
  <c r="O96" i="3"/>
  <c r="BH95" i="3"/>
  <c r="AR95" i="3"/>
  <c r="AB95" i="3"/>
  <c r="L95" i="3"/>
  <c r="BE94" i="3"/>
  <c r="AO94" i="3"/>
  <c r="Y94" i="3"/>
  <c r="I94" i="3"/>
  <c r="AX93" i="3"/>
  <c r="AH93" i="3"/>
  <c r="R93" i="3"/>
  <c r="BG92" i="3"/>
  <c r="AQ92" i="3"/>
  <c r="AA92" i="3"/>
  <c r="K92" i="3"/>
  <c r="BD91" i="3"/>
  <c r="AN91" i="3"/>
  <c r="X91" i="3"/>
  <c r="H91" i="3"/>
  <c r="BA90" i="3"/>
  <c r="AK90" i="3"/>
  <c r="U90" i="3"/>
  <c r="BJ89" i="3"/>
  <c r="AT89" i="3"/>
  <c r="AD89" i="3"/>
  <c r="N89" i="3"/>
  <c r="BC88" i="3"/>
  <c r="AM88" i="3"/>
  <c r="W88" i="3"/>
  <c r="G88" i="3"/>
  <c r="H87" i="3"/>
  <c r="I86" i="3"/>
  <c r="Q84" i="3"/>
  <c r="N83" i="3"/>
  <c r="O82" i="3"/>
  <c r="P81" i="3"/>
  <c r="Q80" i="3"/>
  <c r="N79" i="3"/>
  <c r="O78" i="3"/>
  <c r="P77" i="3"/>
  <c r="Q76" i="3"/>
  <c r="N75" i="3"/>
  <c r="O74" i="3"/>
  <c r="P73" i="3"/>
  <c r="Q72" i="3"/>
  <c r="N71" i="3"/>
  <c r="O70" i="3"/>
  <c r="P69" i="3"/>
  <c r="Q68" i="3"/>
  <c r="N67" i="3"/>
  <c r="O66" i="3"/>
  <c r="P65" i="3"/>
  <c r="Q64" i="3"/>
  <c r="N63" i="3"/>
  <c r="O62" i="3"/>
  <c r="P61" i="3"/>
  <c r="Q60" i="3"/>
  <c r="N59" i="3"/>
  <c r="O58" i="3"/>
  <c r="P57" i="3"/>
  <c r="Q56" i="3"/>
  <c r="N55" i="3"/>
  <c r="O54" i="3"/>
  <c r="P53" i="3"/>
  <c r="Q52" i="3"/>
  <c r="N51" i="3"/>
  <c r="O50" i="3"/>
  <c r="P49" i="3"/>
  <c r="Q48" i="3"/>
  <c r="N47" i="3"/>
  <c r="O46" i="3"/>
  <c r="P45" i="3"/>
  <c r="H43" i="3"/>
  <c r="I42" i="3"/>
  <c r="BC40" i="3"/>
  <c r="BD39" i="3"/>
  <c r="BE38" i="3"/>
  <c r="BB37" i="3"/>
  <c r="AM36" i="3"/>
  <c r="AN35" i="3"/>
  <c r="AO34" i="3"/>
  <c r="AL33" i="3"/>
  <c r="W32" i="3"/>
  <c r="X31" i="3"/>
  <c r="Y30" i="3"/>
  <c r="V29" i="3"/>
  <c r="G28" i="3"/>
  <c r="H27" i="3"/>
  <c r="I26" i="3"/>
  <c r="BC24" i="3"/>
  <c r="BD23" i="3"/>
  <c r="V23" i="3"/>
  <c r="BG22" i="3"/>
  <c r="AQ22" i="3"/>
  <c r="AA22" i="3"/>
  <c r="K22" i="3"/>
  <c r="BD21" i="3"/>
  <c r="AN21" i="3"/>
  <c r="X21" i="3"/>
  <c r="H21" i="3"/>
  <c r="BA20" i="3"/>
  <c r="AK20" i="3"/>
  <c r="U20" i="3"/>
  <c r="BJ19" i="3"/>
  <c r="AT19" i="3"/>
  <c r="AD19" i="3"/>
  <c r="N19" i="3"/>
  <c r="BC18" i="3"/>
  <c r="AM18" i="3"/>
  <c r="W18" i="3"/>
  <c r="G18" i="3"/>
  <c r="AZ17" i="3"/>
  <c r="AJ17" i="3"/>
  <c r="T17" i="3"/>
  <c r="BM16" i="3"/>
  <c r="AW16" i="3"/>
  <c r="AG16" i="3"/>
  <c r="Q16" i="3"/>
  <c r="BF15" i="3"/>
  <c r="AP15" i="3"/>
  <c r="Z15" i="3"/>
  <c r="J15" i="3"/>
  <c r="AY14" i="3"/>
  <c r="AI14" i="3"/>
  <c r="S14" i="3"/>
  <c r="BL13" i="3"/>
  <c r="AV13" i="3"/>
  <c r="AF13" i="3"/>
  <c r="P13" i="3"/>
  <c r="BI12" i="3"/>
  <c r="AS12" i="3"/>
  <c r="AC12" i="3"/>
  <c r="M12" i="3"/>
  <c r="BB11" i="3"/>
  <c r="AL11" i="3"/>
  <c r="V11" i="3"/>
  <c r="BK10" i="3"/>
  <c r="AU10" i="3"/>
  <c r="AE10" i="3"/>
  <c r="O10" i="3"/>
  <c r="BH9" i="3"/>
  <c r="AR9" i="3"/>
  <c r="AB9" i="3"/>
  <c r="L9" i="3"/>
  <c r="BE8" i="3"/>
  <c r="AO8" i="3"/>
  <c r="Y8" i="3"/>
  <c r="I8" i="3"/>
  <c r="AX7" i="3"/>
  <c r="AH7" i="3"/>
  <c r="R7" i="3"/>
  <c r="BG6" i="3"/>
  <c r="AQ6" i="3"/>
  <c r="AA6" i="3"/>
  <c r="K6" i="3"/>
  <c r="BD5" i="3"/>
  <c r="AN5" i="3"/>
  <c r="X5" i="3"/>
  <c r="H5" i="3"/>
  <c r="BA4" i="3"/>
  <c r="AK4" i="3"/>
  <c r="U4" i="3"/>
  <c r="AZ87" i="3"/>
  <c r="AK86" i="3"/>
  <c r="AC84" i="3"/>
  <c r="Z83" i="3"/>
  <c r="AA82" i="3"/>
  <c r="AB81" i="3"/>
  <c r="AC80" i="3"/>
  <c r="Z79" i="3"/>
  <c r="AA78" i="3"/>
  <c r="AB77" i="3"/>
  <c r="AC76" i="3"/>
  <c r="Z75" i="3"/>
  <c r="AA74" i="3"/>
  <c r="AB73" i="3"/>
  <c r="AC72" i="3"/>
  <c r="Z71" i="3"/>
  <c r="AA70" i="3"/>
  <c r="AB69" i="3"/>
  <c r="AC68" i="3"/>
  <c r="Z67" i="3"/>
  <c r="AA66" i="3"/>
  <c r="AB65" i="3"/>
  <c r="AC64" i="3"/>
  <c r="Z63" i="3"/>
  <c r="AA62" i="3"/>
  <c r="AB61" i="3"/>
  <c r="AC60" i="3"/>
  <c r="Z59" i="3"/>
  <c r="AA58" i="3"/>
  <c r="AB57" i="3"/>
  <c r="AC56" i="3"/>
  <c r="Z55" i="3"/>
  <c r="AA54" i="3"/>
  <c r="AB53" i="3"/>
  <c r="AC52" i="3"/>
  <c r="Z51" i="3"/>
  <c r="AA50" i="3"/>
  <c r="AB49" i="3"/>
  <c r="AC48" i="3"/>
  <c r="Z47" i="3"/>
  <c r="AA46" i="3"/>
  <c r="AB45" i="3"/>
  <c r="T43" i="3"/>
  <c r="AX41" i="3"/>
  <c r="AI40" i="3"/>
  <c r="T39" i="3"/>
  <c r="AX37" i="3"/>
  <c r="AI36" i="3"/>
  <c r="T35" i="3"/>
  <c r="AX33" i="3"/>
  <c r="AI32" i="3"/>
  <c r="T31" i="3"/>
  <c r="AX29" i="3"/>
  <c r="AI28" i="3"/>
  <c r="T27" i="3"/>
  <c r="AX25" i="3"/>
  <c r="AI24" i="3"/>
  <c r="AF23" i="3"/>
  <c r="J23" i="3"/>
  <c r="AX22" i="3"/>
  <c r="AH22" i="3"/>
  <c r="R22" i="3"/>
  <c r="BG21" i="3"/>
  <c r="AQ21" i="3"/>
  <c r="AA21" i="3"/>
  <c r="K21" i="3"/>
  <c r="BD20" i="3"/>
  <c r="AN20" i="3"/>
  <c r="X20" i="3"/>
  <c r="H20" i="3"/>
  <c r="BA19" i="3"/>
  <c r="AK19" i="3"/>
  <c r="U19" i="3"/>
  <c r="BJ18" i="3"/>
  <c r="AT18" i="3"/>
  <c r="AD18" i="3"/>
  <c r="N18" i="3"/>
  <c r="BC17" i="3"/>
  <c r="AM17" i="3"/>
  <c r="W17" i="3"/>
  <c r="G17" i="3"/>
  <c r="AZ16" i="3"/>
  <c r="AJ16" i="3"/>
  <c r="T16" i="3"/>
  <c r="BM15" i="3"/>
  <c r="AW15" i="3"/>
  <c r="AG15" i="3"/>
  <c r="Q15" i="3"/>
  <c r="BF14" i="3"/>
  <c r="AP14" i="3"/>
  <c r="Z14" i="3"/>
  <c r="J14" i="3"/>
  <c r="AY13" i="3"/>
  <c r="AI13" i="3"/>
  <c r="S13" i="3"/>
  <c r="BL12" i="3"/>
  <c r="AV12" i="3"/>
  <c r="AF12" i="3"/>
  <c r="P12" i="3"/>
  <c r="BI11" i="3"/>
  <c r="AS11" i="3"/>
  <c r="AC11" i="3"/>
  <c r="M11" i="3"/>
  <c r="BB10" i="3"/>
  <c r="AL10" i="3"/>
  <c r="V10" i="3"/>
  <c r="BK9" i="3"/>
  <c r="AU9" i="3"/>
  <c r="AE9" i="3"/>
  <c r="O9" i="3"/>
  <c r="BH8" i="3"/>
  <c r="AR8" i="3"/>
  <c r="AB8" i="3"/>
  <c r="L8" i="3"/>
  <c r="BE7" i="3"/>
  <c r="AO7" i="3"/>
  <c r="Y7" i="3"/>
  <c r="I7" i="3"/>
  <c r="AX6" i="3"/>
  <c r="AH6" i="3"/>
  <c r="R6" i="3"/>
  <c r="BG5" i="3"/>
  <c r="AQ5" i="3"/>
  <c r="AA5" i="3"/>
  <c r="K5" i="3"/>
  <c r="BD4" i="3"/>
  <c r="AN4" i="3"/>
  <c r="X4" i="3"/>
  <c r="H4" i="3"/>
  <c r="P87" i="3"/>
  <c r="Q86" i="3"/>
  <c r="I84" i="3"/>
  <c r="BC82" i="3"/>
  <c r="BD81" i="3"/>
  <c r="BE80" i="3"/>
  <c r="BB79" i="3"/>
  <c r="AM78" i="3"/>
  <c r="AN77" i="3"/>
  <c r="AO76" i="3"/>
  <c r="AL75" i="3"/>
  <c r="W74" i="3"/>
  <c r="X73" i="3"/>
  <c r="Y72" i="3"/>
  <c r="V71" i="3"/>
  <c r="G70" i="3"/>
  <c r="H69" i="3"/>
  <c r="I68" i="3"/>
  <c r="BC66" i="3"/>
  <c r="BD65" i="3"/>
  <c r="BE64" i="3"/>
  <c r="BB63" i="3"/>
  <c r="AM62" i="3"/>
  <c r="AN61" i="3"/>
  <c r="AO60" i="3"/>
  <c r="AL59" i="3"/>
  <c r="W58" i="3"/>
  <c r="X57" i="3"/>
  <c r="Y56" i="3"/>
  <c r="V55" i="3"/>
  <c r="G54" i="3"/>
  <c r="H53" i="3"/>
  <c r="I52" i="3"/>
  <c r="BC50" i="3"/>
  <c r="BD49" i="3"/>
  <c r="BE48" i="3"/>
  <c r="BB47" i="3"/>
  <c r="AM46" i="3"/>
  <c r="AN45" i="3"/>
  <c r="AV43" i="3"/>
  <c r="AW42" i="3"/>
  <c r="AT41" i="3"/>
  <c r="AU40" i="3"/>
  <c r="AV39" i="3"/>
  <c r="AW38" i="3"/>
  <c r="AT37" i="3"/>
  <c r="AU36" i="3"/>
  <c r="AV35" i="3"/>
  <c r="AW34" i="3"/>
  <c r="AT33" i="3"/>
  <c r="AU32" i="3"/>
  <c r="AV31" i="3"/>
  <c r="AW30" i="3"/>
  <c r="AT29" i="3"/>
  <c r="AU28" i="3"/>
  <c r="AV27" i="3"/>
  <c r="AW26" i="3"/>
  <c r="AT25" i="3"/>
  <c r="AU24" i="3"/>
  <c r="AV23" i="3"/>
  <c r="T23" i="3"/>
  <c r="BI22" i="3"/>
  <c r="AS22" i="3"/>
  <c r="AC22" i="3"/>
  <c r="M22" i="3"/>
  <c r="BB21" i="3"/>
  <c r="AL21" i="3"/>
  <c r="V21" i="3"/>
  <c r="BK20" i="3"/>
  <c r="AU20" i="3"/>
  <c r="AE20" i="3"/>
  <c r="O20" i="3"/>
  <c r="BH19" i="3"/>
  <c r="AR19" i="3"/>
  <c r="AB19" i="3"/>
  <c r="L19" i="3"/>
  <c r="BE18" i="3"/>
  <c r="AO18" i="3"/>
  <c r="Y18" i="3"/>
  <c r="I18" i="3"/>
  <c r="AX17" i="3"/>
  <c r="AH17" i="3"/>
  <c r="R17" i="3"/>
  <c r="BG16" i="3"/>
  <c r="AQ16" i="3"/>
  <c r="AA16" i="3"/>
  <c r="K16" i="3"/>
  <c r="BD15" i="3"/>
  <c r="AN15" i="3"/>
  <c r="X15" i="3"/>
  <c r="H15" i="3"/>
  <c r="BA14" i="3"/>
  <c r="AK14" i="3"/>
  <c r="U14" i="3"/>
  <c r="BJ13" i="3"/>
  <c r="AT13" i="3"/>
  <c r="AD13" i="3"/>
  <c r="N13" i="3"/>
  <c r="BC12" i="3"/>
  <c r="AM12" i="3"/>
  <c r="W12" i="3"/>
  <c r="G12" i="3"/>
  <c r="AZ11" i="3"/>
  <c r="AJ11" i="3"/>
  <c r="T11" i="3"/>
  <c r="BM10" i="3"/>
  <c r="AW10" i="3"/>
  <c r="AG10" i="3"/>
  <c r="Q10" i="3"/>
  <c r="BF9" i="3"/>
  <c r="AP9" i="3"/>
  <c r="Z9" i="3"/>
  <c r="J9" i="3"/>
  <c r="AY8" i="3"/>
  <c r="AI8" i="3"/>
  <c r="S8" i="3"/>
  <c r="BL7" i="3"/>
  <c r="AV7" i="3"/>
  <c r="AF7" i="3"/>
  <c r="P7" i="3"/>
  <c r="BI6" i="3"/>
  <c r="AS6" i="3"/>
  <c r="AC6" i="3"/>
  <c r="M6" i="3"/>
  <c r="BB5" i="3"/>
  <c r="AL5" i="3"/>
  <c r="V5" i="3"/>
  <c r="BK4" i="3"/>
  <c r="AU4" i="3"/>
  <c r="AE4" i="3"/>
  <c r="O4" i="3"/>
  <c r="AR87" i="3"/>
  <c r="AS86" i="3"/>
  <c r="AK84" i="3"/>
  <c r="R83" i="3"/>
  <c r="AZ81" i="3"/>
  <c r="AK80" i="3"/>
  <c r="R79" i="3"/>
  <c r="AZ77" i="3"/>
  <c r="AK76" i="3"/>
  <c r="R75" i="3"/>
  <c r="AZ73" i="3"/>
  <c r="AK72" i="3"/>
  <c r="R71" i="3"/>
  <c r="AZ69" i="3"/>
  <c r="AK68" i="3"/>
  <c r="R67" i="3"/>
  <c r="AZ65" i="3"/>
  <c r="AK64" i="3"/>
  <c r="R63" i="3"/>
  <c r="AZ61" i="3"/>
  <c r="AK60" i="3"/>
  <c r="R59" i="3"/>
  <c r="AZ57" i="3"/>
  <c r="AK56" i="3"/>
  <c r="R55" i="3"/>
  <c r="AZ53" i="3"/>
  <c r="AK52" i="3"/>
  <c r="R51" i="3"/>
  <c r="AZ49" i="3"/>
  <c r="AK48" i="3"/>
  <c r="R47" i="3"/>
  <c r="AZ45" i="3"/>
  <c r="AR43" i="3"/>
  <c r="AS42" i="3"/>
  <c r="AP41" i="3"/>
  <c r="AQ40" i="3"/>
  <c r="AR39" i="3"/>
  <c r="AS38" i="3"/>
  <c r="AP37" i="3"/>
  <c r="AQ36" i="3"/>
  <c r="AR35" i="3"/>
  <c r="AS34" i="3"/>
  <c r="AP33" i="3"/>
  <c r="AQ32" i="3"/>
  <c r="AR31" i="3"/>
  <c r="AS30" i="3"/>
  <c r="AP29" i="3"/>
  <c r="AQ28" i="3"/>
  <c r="AR27" i="3"/>
  <c r="AS26" i="3"/>
  <c r="AP25" i="3"/>
  <c r="AQ24" i="3"/>
  <c r="AR23" i="3"/>
  <c r="R23" i="3"/>
  <c r="BH22" i="3"/>
  <c r="AR22" i="3"/>
  <c r="AB22" i="3"/>
  <c r="L22" i="3"/>
  <c r="BE21" i="3"/>
  <c r="AO21" i="3"/>
  <c r="Y21" i="3"/>
  <c r="I21" i="3"/>
  <c r="AX20" i="3"/>
  <c r="AH20" i="3"/>
  <c r="R20" i="3"/>
  <c r="BG19" i="3"/>
  <c r="AQ19" i="3"/>
  <c r="AA19" i="3"/>
  <c r="K19" i="3"/>
  <c r="BD18" i="3"/>
  <c r="AN18" i="3"/>
  <c r="X18" i="3"/>
  <c r="H18" i="3"/>
  <c r="BA17" i="3"/>
  <c r="AK17" i="3"/>
  <c r="U17" i="3"/>
  <c r="BJ16" i="3"/>
  <c r="AT16" i="3"/>
  <c r="AD16" i="3"/>
  <c r="N16" i="3"/>
  <c r="BC15" i="3"/>
  <c r="AM15" i="3"/>
  <c r="W15" i="3"/>
  <c r="G15" i="3"/>
  <c r="AZ14" i="3"/>
  <c r="AJ14" i="3"/>
  <c r="T14" i="3"/>
  <c r="BM13" i="3"/>
  <c r="AW13" i="3"/>
  <c r="AG13" i="3"/>
  <c r="Q13" i="3"/>
  <c r="BF12" i="3"/>
  <c r="AP12" i="3"/>
  <c r="Z12" i="3"/>
  <c r="J12" i="3"/>
  <c r="AY11" i="3"/>
  <c r="AI11" i="3"/>
  <c r="S11" i="3"/>
  <c r="BL10" i="3"/>
  <c r="AV10" i="3"/>
  <c r="AF10" i="3"/>
  <c r="P10" i="3"/>
  <c r="BI9" i="3"/>
  <c r="AS9" i="3"/>
  <c r="AC9" i="3"/>
  <c r="M9" i="3"/>
  <c r="BB8" i="3"/>
  <c r="AL8" i="3"/>
  <c r="V8" i="3"/>
  <c r="BK7" i="3"/>
  <c r="AU7" i="3"/>
  <c r="AE7" i="3"/>
  <c r="O7" i="3"/>
  <c r="BH6" i="3"/>
  <c r="AR6" i="3"/>
  <c r="AB6" i="3"/>
  <c r="L6" i="3"/>
  <c r="BE5" i="3"/>
  <c r="AO5" i="3"/>
  <c r="Y5" i="3"/>
  <c r="I5" i="3"/>
  <c r="AX4" i="3"/>
  <c r="AH4" i="3"/>
  <c r="R4" i="3"/>
  <c r="F22" i="3"/>
  <c r="F136" i="3"/>
  <c r="F160" i="3"/>
  <c r="F172" i="3"/>
  <c r="F329" i="3"/>
  <c r="F343" i="3"/>
  <c r="F404" i="3"/>
  <c r="F477" i="3"/>
  <c r="F119" i="3"/>
  <c r="F150" i="3"/>
  <c r="F149" i="3"/>
  <c r="F307" i="3"/>
  <c r="F320" i="3"/>
  <c r="F382" i="3"/>
  <c r="F454" i="3"/>
  <c r="F80" i="3"/>
  <c r="F98" i="3"/>
  <c r="F230" i="3"/>
  <c r="F262" i="3"/>
  <c r="F281" i="3"/>
  <c r="F417" i="3"/>
  <c r="F436" i="3"/>
  <c r="F4" i="3"/>
  <c r="F82" i="3"/>
  <c r="F100" i="3"/>
  <c r="F232" i="3"/>
  <c r="F270" i="3"/>
  <c r="F283" i="3"/>
  <c r="F425" i="3"/>
  <c r="F438" i="3"/>
  <c r="F14" i="3"/>
  <c r="F36" i="3"/>
  <c r="F169" i="3"/>
  <c r="F180" i="3"/>
  <c r="F338" i="3"/>
  <c r="F405" i="3"/>
  <c r="F429" i="3"/>
  <c r="F489" i="3"/>
  <c r="F128" i="3"/>
  <c r="F247" i="3"/>
  <c r="F157" i="3"/>
  <c r="F315" i="3"/>
  <c r="F328" i="3"/>
  <c r="F390" i="3"/>
  <c r="F463" i="3"/>
  <c r="F89" i="3"/>
  <c r="F106" i="3"/>
  <c r="F250" i="3"/>
  <c r="F276" i="3"/>
  <c r="F289" i="3"/>
  <c r="F350" i="3"/>
  <c r="F447" i="3"/>
  <c r="F54" i="3"/>
  <c r="F91" i="3"/>
  <c r="F108" i="3"/>
  <c r="F258" i="3"/>
  <c r="F278" i="3"/>
  <c r="F292" i="3"/>
  <c r="F352" i="3"/>
  <c r="F451" i="3"/>
  <c r="F6" i="3"/>
  <c r="F45" i="3"/>
  <c r="F177" i="3"/>
  <c r="F188" i="3"/>
  <c r="F346" i="3"/>
  <c r="F419" i="3"/>
  <c r="F437" i="3"/>
  <c r="F480" i="3"/>
  <c r="F144" i="3"/>
  <c r="F154" i="3"/>
  <c r="F165" i="3"/>
  <c r="F323" i="3"/>
  <c r="F337" i="3"/>
  <c r="F398" i="3"/>
  <c r="F471" i="3"/>
  <c r="F97" i="3"/>
  <c r="F114" i="3"/>
  <c r="F252" i="3"/>
  <c r="F284" i="3"/>
  <c r="F298" i="3"/>
  <c r="F358" i="3"/>
  <c r="F464" i="3"/>
  <c r="F28" i="3"/>
  <c r="F99" i="3"/>
  <c r="F116" i="3"/>
  <c r="F260" i="3"/>
  <c r="F286" i="3"/>
  <c r="F300" i="3"/>
  <c r="F360" i="3"/>
  <c r="F468" i="3"/>
  <c r="F35" i="3"/>
  <c r="F53" i="3"/>
  <c r="F185" i="3"/>
  <c r="F196" i="3"/>
  <c r="F236" i="3"/>
  <c r="F361" i="3"/>
  <c r="F449" i="3"/>
  <c r="F488" i="3"/>
  <c r="F30" i="3"/>
  <c r="F162" i="3"/>
  <c r="F174" i="3"/>
  <c r="F345" i="3"/>
  <c r="F479" i="3"/>
  <c r="F306" i="3"/>
  <c r="F10" i="3"/>
  <c r="F308" i="3"/>
  <c r="F152" i="3"/>
  <c r="F341" i="3"/>
  <c r="BE252" i="3"/>
  <c r="AX251" i="3"/>
  <c r="AQ250" i="3"/>
  <c r="AM248" i="3"/>
  <c r="AJ247" i="3"/>
  <c r="AG246" i="3"/>
  <c r="Z245" i="3"/>
  <c r="S244" i="3"/>
  <c r="P243" i="3"/>
  <c r="M242" i="3"/>
  <c r="BK240" i="3"/>
  <c r="BH239" i="3"/>
  <c r="BE238" i="3"/>
  <c r="AX237" i="3"/>
  <c r="AQ236" i="3"/>
  <c r="AN235" i="3"/>
  <c r="AK234" i="3"/>
  <c r="AD233" i="3"/>
  <c r="W232" i="3"/>
  <c r="T231" i="3"/>
  <c r="Q230" i="3"/>
  <c r="J229" i="3"/>
  <c r="BL227" i="3"/>
  <c r="BI226" i="3"/>
  <c r="BB225" i="3"/>
  <c r="AU224" i="3"/>
  <c r="AR223" i="3"/>
  <c r="AO222" i="3"/>
  <c r="AH221" i="3"/>
  <c r="AA220" i="3"/>
  <c r="X219" i="3"/>
  <c r="U218" i="3"/>
  <c r="N217" i="3"/>
  <c r="G216" i="3"/>
  <c r="BM214" i="3"/>
  <c r="BF213" i="3"/>
  <c r="AY212" i="3"/>
  <c r="AV211" i="3"/>
  <c r="AS210" i="3"/>
  <c r="AL209" i="3"/>
  <c r="AD207" i="3"/>
  <c r="BC289" i="3"/>
  <c r="AZ288" i="3"/>
  <c r="AW287" i="3"/>
  <c r="AP286" i="3"/>
  <c r="AI285" i="3"/>
  <c r="AF284" i="3"/>
  <c r="AC283" i="3"/>
  <c r="V282" i="3"/>
  <c r="O281" i="3"/>
  <c r="L280" i="3"/>
  <c r="I279" i="3"/>
  <c r="BG277" i="3"/>
  <c r="BD276" i="3"/>
  <c r="BA275" i="3"/>
  <c r="AT274" i="3"/>
  <c r="AM273" i="3"/>
  <c r="AJ272" i="3"/>
  <c r="AG271" i="3"/>
  <c r="Z270" i="3"/>
  <c r="S269" i="3"/>
  <c r="P268" i="3"/>
  <c r="M267" i="3"/>
  <c r="BK265" i="3"/>
  <c r="BH264" i="3"/>
  <c r="BE263" i="3"/>
  <c r="AX262" i="3"/>
  <c r="AQ261" i="3"/>
  <c r="AN260" i="3"/>
  <c r="AK259" i="3"/>
  <c r="AD258" i="3"/>
  <c r="W257" i="3"/>
  <c r="T256" i="3"/>
  <c r="Q255" i="3"/>
  <c r="J254" i="3"/>
  <c r="BL252" i="3"/>
  <c r="BI251" i="3"/>
  <c r="BB250" i="3"/>
  <c r="AT248" i="3"/>
  <c r="AM247" i="3"/>
  <c r="AJ246" i="3"/>
  <c r="AG245" i="3"/>
  <c r="Z244" i="3"/>
  <c r="S243" i="3"/>
  <c r="P242" i="3"/>
  <c r="M241" i="3"/>
  <c r="BK239" i="3"/>
  <c r="BH238" i="3"/>
  <c r="BE237" i="3"/>
  <c r="AX236" i="3"/>
  <c r="AQ235" i="3"/>
  <c r="AN234" i="3"/>
  <c r="AK233" i="3"/>
  <c r="AD232" i="3"/>
  <c r="W231" i="3"/>
  <c r="T230" i="3"/>
  <c r="Q229" i="3"/>
  <c r="J228" i="3"/>
  <c r="BL226" i="3"/>
  <c r="BI225" i="3"/>
  <c r="BB224" i="3"/>
  <c r="AU223" i="3"/>
  <c r="AR222" i="3"/>
  <c r="AO221" i="3"/>
  <c r="AH220" i="3"/>
  <c r="AA219" i="3"/>
  <c r="X218" i="3"/>
  <c r="U217" i="3"/>
  <c r="N216" i="3"/>
  <c r="G215" i="3"/>
  <c r="BM213" i="3"/>
  <c r="BF212" i="3"/>
  <c r="AY211" i="3"/>
  <c r="AV210" i="3"/>
  <c r="AS209" i="3"/>
  <c r="AO207" i="3"/>
  <c r="AT291" i="3"/>
  <c r="J289" i="3"/>
  <c r="BL287" i="3"/>
  <c r="BI286" i="3"/>
  <c r="BB285" i="3"/>
  <c r="AU284" i="3"/>
  <c r="AR283" i="3"/>
  <c r="AO282" i="3"/>
  <c r="AH281" i="3"/>
  <c r="AA280" i="3"/>
  <c r="X279" i="3"/>
  <c r="U278" i="3"/>
  <c r="N277" i="3"/>
  <c r="G276" i="3"/>
  <c r="BM274" i="3"/>
  <c r="BF273" i="3"/>
  <c r="AY272" i="3"/>
  <c r="AV271" i="3"/>
  <c r="AS270" i="3"/>
  <c r="AL269" i="3"/>
  <c r="AE268" i="3"/>
  <c r="AB267" i="3"/>
  <c r="Y266" i="3"/>
  <c r="R265" i="3"/>
  <c r="K264" i="3"/>
  <c r="H263" i="3"/>
  <c r="BJ261" i="3"/>
  <c r="BC260" i="3"/>
  <c r="AZ259" i="3"/>
  <c r="AW258" i="3"/>
  <c r="AP257" i="3"/>
  <c r="AI256" i="3"/>
  <c r="AF255" i="3"/>
  <c r="AC254" i="3"/>
  <c r="V253" i="3"/>
  <c r="O252" i="3"/>
  <c r="L251" i="3"/>
  <c r="I250" i="3"/>
  <c r="BJ247" i="3"/>
  <c r="BC246" i="3"/>
  <c r="AZ245" i="3"/>
  <c r="AW244" i="3"/>
  <c r="AP243" i="3"/>
  <c r="AI242" i="3"/>
  <c r="AF241" i="3"/>
  <c r="AC240" i="3"/>
  <c r="V239" i="3"/>
  <c r="O238" i="3"/>
  <c r="L237" i="3"/>
  <c r="I236" i="3"/>
  <c r="BG234" i="3"/>
  <c r="BD233" i="3"/>
  <c r="BA232" i="3"/>
  <c r="AT231" i="3"/>
  <c r="AM230" i="3"/>
  <c r="AJ229" i="3"/>
  <c r="AG228" i="3"/>
  <c r="BB227" i="3"/>
  <c r="V227" i="3"/>
  <c r="AU226" i="3"/>
  <c r="O226" i="3"/>
  <c r="AR225" i="3"/>
  <c r="L225" i="3"/>
  <c r="AO224" i="3"/>
  <c r="I224" i="3"/>
  <c r="AH223" i="3"/>
  <c r="BG222" i="3"/>
  <c r="AA222" i="3"/>
  <c r="BD221" i="3"/>
  <c r="X221" i="3"/>
  <c r="BA220" i="3"/>
  <c r="U220" i="3"/>
  <c r="AT219" i="3"/>
  <c r="N219" i="3"/>
  <c r="AM218" i="3"/>
  <c r="G218" i="3"/>
  <c r="AJ217" i="3"/>
  <c r="BM216" i="3"/>
  <c r="AG216" i="3"/>
  <c r="BF215" i="3"/>
  <c r="Z215" i="3"/>
  <c r="AY214" i="3"/>
  <c r="S214" i="3"/>
  <c r="AV213" i="3"/>
  <c r="P213" i="3"/>
  <c r="AS212" i="3"/>
  <c r="Q212" i="3"/>
  <c r="BB211" i="3"/>
  <c r="AD211" i="3"/>
  <c r="J211" i="3"/>
  <c r="AU210" i="3"/>
  <c r="W210" i="3"/>
  <c r="BL209" i="3"/>
  <c r="AR209" i="3"/>
  <c r="T209" i="3"/>
  <c r="BH207" i="3"/>
  <c r="AN207" i="3"/>
  <c r="P207" i="3"/>
  <c r="BA206" i="3"/>
  <c r="Z206" i="3"/>
  <c r="AX205" i="3"/>
  <c r="W205" i="3"/>
  <c r="BG204" i="3"/>
  <c r="AA204" i="3"/>
  <c r="BD203" i="3"/>
  <c r="AC203" i="3"/>
  <c r="BF202" i="3"/>
  <c r="AE202" i="3"/>
  <c r="BH201" i="3"/>
  <c r="AB201" i="3"/>
  <c r="BL200" i="3"/>
  <c r="AK200" i="3"/>
  <c r="H200" i="3"/>
  <c r="AW199" i="3"/>
  <c r="AC199" i="3"/>
  <c r="BJ198" i="3"/>
  <c r="AP198" i="3"/>
  <c r="V198" i="3"/>
  <c r="BC197" i="3"/>
  <c r="AI197" i="3"/>
  <c r="O197" i="3"/>
  <c r="AZ196" i="3"/>
  <c r="AF196" i="3"/>
  <c r="P196" i="3"/>
  <c r="BI195" i="3"/>
  <c r="AS195" i="3"/>
  <c r="AC195" i="3"/>
  <c r="M195" i="3"/>
  <c r="BB194" i="3"/>
  <c r="AL194" i="3"/>
  <c r="V194" i="3"/>
  <c r="BK193" i="3"/>
  <c r="AU193" i="3"/>
  <c r="AE193" i="3"/>
  <c r="O193" i="3"/>
  <c r="BH192" i="3"/>
  <c r="AR192" i="3"/>
  <c r="AB192" i="3"/>
  <c r="L192" i="3"/>
  <c r="BE191" i="3"/>
  <c r="AO191" i="3"/>
  <c r="Y191" i="3"/>
  <c r="I191" i="3"/>
  <c r="AX190" i="3"/>
  <c r="AH190" i="3"/>
  <c r="R190" i="3"/>
  <c r="BG189" i="3"/>
  <c r="AQ189" i="3"/>
  <c r="AA189" i="3"/>
  <c r="K189" i="3"/>
  <c r="BD188" i="3"/>
  <c r="AN188" i="3"/>
  <c r="X188" i="3"/>
  <c r="H188" i="3"/>
  <c r="BA187" i="3"/>
  <c r="AK187" i="3"/>
  <c r="U187" i="3"/>
  <c r="BJ186" i="3"/>
  <c r="AT186" i="3"/>
  <c r="AD186" i="3"/>
  <c r="N186" i="3"/>
  <c r="BC185" i="3"/>
  <c r="AM185" i="3"/>
  <c r="W185" i="3"/>
  <c r="G185" i="3"/>
  <c r="AZ184" i="3"/>
  <c r="AJ184" i="3"/>
  <c r="T184" i="3"/>
  <c r="BM183" i="3"/>
  <c r="AW183" i="3"/>
  <c r="AG183" i="3"/>
  <c r="Q183" i="3"/>
  <c r="BF182" i="3"/>
  <c r="AP182" i="3"/>
  <c r="Z182" i="3"/>
  <c r="J182" i="3"/>
  <c r="AY181" i="3"/>
  <c r="AI181" i="3"/>
  <c r="S181" i="3"/>
  <c r="BL180" i="3"/>
  <c r="AV180" i="3"/>
  <c r="AF180" i="3"/>
  <c r="P180" i="3"/>
  <c r="BI179" i="3"/>
  <c r="AS179" i="3"/>
  <c r="AC179" i="3"/>
  <c r="M179" i="3"/>
  <c r="BB178" i="3"/>
  <c r="AL178" i="3"/>
  <c r="V178" i="3"/>
  <c r="BK177" i="3"/>
  <c r="AU177" i="3"/>
  <c r="AE177" i="3"/>
  <c r="O177" i="3"/>
  <c r="BH176" i="3"/>
  <c r="AR176" i="3"/>
  <c r="AB176" i="3"/>
  <c r="L176" i="3"/>
  <c r="BE175" i="3"/>
  <c r="AO175" i="3"/>
  <c r="Y175" i="3"/>
  <c r="I175" i="3"/>
  <c r="AX174" i="3"/>
  <c r="AH174" i="3"/>
  <c r="R174" i="3"/>
  <c r="BG173" i="3"/>
  <c r="AQ173" i="3"/>
  <c r="AA173" i="3"/>
  <c r="K173" i="3"/>
  <c r="BD172" i="3"/>
  <c r="AN172" i="3"/>
  <c r="X172" i="3"/>
  <c r="H172" i="3"/>
  <c r="BA171" i="3"/>
  <c r="AK171" i="3"/>
  <c r="U171" i="3"/>
  <c r="BJ170" i="3"/>
  <c r="AT170" i="3"/>
  <c r="AD170" i="3"/>
  <c r="N170" i="3"/>
  <c r="BC169" i="3"/>
  <c r="AM169" i="3"/>
  <c r="W169" i="3"/>
  <c r="G169" i="3"/>
  <c r="AZ168" i="3"/>
  <c r="AJ168" i="3"/>
  <c r="T168" i="3"/>
  <c r="BL166" i="3"/>
  <c r="AV166" i="3"/>
  <c r="AF166" i="3"/>
  <c r="P166" i="3"/>
  <c r="BI165" i="3"/>
  <c r="AS165" i="3"/>
  <c r="AC165" i="3"/>
  <c r="M165" i="3"/>
  <c r="BB164" i="3"/>
  <c r="AL164" i="3"/>
  <c r="V164" i="3"/>
  <c r="BK163" i="3"/>
  <c r="AU163" i="3"/>
  <c r="AE163" i="3"/>
  <c r="O163" i="3"/>
  <c r="BH162" i="3"/>
  <c r="AR162" i="3"/>
  <c r="AB162" i="3"/>
  <c r="L162" i="3"/>
  <c r="BE161" i="3"/>
  <c r="AO161" i="3"/>
  <c r="Y161" i="3"/>
  <c r="I161" i="3"/>
  <c r="AX160" i="3"/>
  <c r="AH160" i="3"/>
  <c r="R160" i="3"/>
  <c r="BG159" i="3"/>
  <c r="AQ159" i="3"/>
  <c r="AA159" i="3"/>
  <c r="K159" i="3"/>
  <c r="BD158" i="3"/>
  <c r="AN158" i="3"/>
  <c r="X158" i="3"/>
  <c r="H158" i="3"/>
  <c r="BA157" i="3"/>
  <c r="AK157" i="3"/>
  <c r="U157" i="3"/>
  <c r="BJ156" i="3"/>
  <c r="AT156" i="3"/>
  <c r="AD156" i="3"/>
  <c r="N156" i="3"/>
  <c r="BC155" i="3"/>
  <c r="AM155" i="3"/>
  <c r="W155" i="3"/>
  <c r="G155" i="3"/>
  <c r="AZ154" i="3"/>
  <c r="AJ154" i="3"/>
  <c r="T154" i="3"/>
  <c r="BM153" i="3"/>
  <c r="AW153" i="3"/>
  <c r="AG153" i="3"/>
  <c r="Q153" i="3"/>
  <c r="BF152" i="3"/>
  <c r="AP152" i="3"/>
  <c r="Z152" i="3"/>
  <c r="J152" i="3"/>
  <c r="AY151" i="3"/>
  <c r="AI151" i="3"/>
  <c r="S151" i="3"/>
  <c r="BL150" i="3"/>
  <c r="AV150" i="3"/>
  <c r="AF150" i="3"/>
  <c r="P150" i="3"/>
  <c r="BI149" i="3"/>
  <c r="AS149" i="3"/>
  <c r="AC149" i="3"/>
  <c r="M149" i="3"/>
  <c r="BB148" i="3"/>
  <c r="AL148" i="3"/>
  <c r="V148" i="3"/>
  <c r="BK147" i="3"/>
  <c r="AU147" i="3"/>
  <c r="AE147" i="3"/>
  <c r="O147" i="3"/>
  <c r="BH146" i="3"/>
  <c r="AR146" i="3"/>
  <c r="AB146" i="3"/>
  <c r="L146" i="3"/>
  <c r="BE145" i="3"/>
  <c r="AO145" i="3"/>
  <c r="Y145" i="3"/>
  <c r="I145" i="3"/>
  <c r="AX144" i="3"/>
  <c r="AH144" i="3"/>
  <c r="R144" i="3"/>
  <c r="BG143" i="3"/>
  <c r="AQ143" i="3"/>
  <c r="AA143" i="3"/>
  <c r="K143" i="3"/>
  <c r="BD142" i="3"/>
  <c r="AN142" i="3"/>
  <c r="X142" i="3"/>
  <c r="H142" i="3"/>
  <c r="BA141" i="3"/>
  <c r="AK141" i="3"/>
  <c r="U141" i="3"/>
  <c r="BJ140" i="3"/>
  <c r="AT140" i="3"/>
  <c r="AD140" i="3"/>
  <c r="N140" i="3"/>
  <c r="BC139" i="3"/>
  <c r="AM139" i="3"/>
  <c r="W139" i="3"/>
  <c r="G139" i="3"/>
  <c r="AZ138" i="3"/>
  <c r="AJ138" i="3"/>
  <c r="T138" i="3"/>
  <c r="BM137" i="3"/>
  <c r="AW137" i="3"/>
  <c r="AG137" i="3"/>
  <c r="Q137" i="3"/>
  <c r="BF136" i="3"/>
  <c r="AP136" i="3"/>
  <c r="Z136" i="3"/>
  <c r="J136" i="3"/>
  <c r="AY135" i="3"/>
  <c r="AI135" i="3"/>
  <c r="S135" i="3"/>
  <c r="BL134" i="3"/>
  <c r="AV134" i="3"/>
  <c r="AF134" i="3"/>
  <c r="P134" i="3"/>
  <c r="BI133" i="3"/>
  <c r="AS133" i="3"/>
  <c r="AC133" i="3"/>
  <c r="M133" i="3"/>
  <c r="BB132" i="3"/>
  <c r="AL132" i="3"/>
  <c r="V132" i="3"/>
  <c r="BK131" i="3"/>
  <c r="AU131" i="3"/>
  <c r="AE131" i="3"/>
  <c r="O131" i="3"/>
  <c r="BH130" i="3"/>
  <c r="AR130" i="3"/>
  <c r="AB130" i="3"/>
  <c r="L130" i="3"/>
  <c r="BE129" i="3"/>
  <c r="AO129" i="3"/>
  <c r="Y129" i="3"/>
  <c r="I129" i="3"/>
  <c r="AX128" i="3"/>
  <c r="AH128" i="3"/>
  <c r="R128" i="3"/>
  <c r="BG127" i="3"/>
  <c r="AQ127" i="3"/>
  <c r="AA127" i="3"/>
  <c r="K127" i="3"/>
  <c r="BC125" i="3"/>
  <c r="AM125" i="3"/>
  <c r="W125" i="3"/>
  <c r="G125" i="3"/>
  <c r="AZ124" i="3"/>
  <c r="AJ124" i="3"/>
  <c r="T124" i="3"/>
  <c r="BM123" i="3"/>
  <c r="AW123" i="3"/>
  <c r="AG123" i="3"/>
  <c r="Q123" i="3"/>
  <c r="BF122" i="3"/>
  <c r="AP122" i="3"/>
  <c r="Z122" i="3"/>
  <c r="J122" i="3"/>
  <c r="AY121" i="3"/>
  <c r="AI121" i="3"/>
  <c r="S121" i="3"/>
  <c r="BL120" i="3"/>
  <c r="AV120" i="3"/>
  <c r="AF120" i="3"/>
  <c r="P120" i="3"/>
  <c r="BI119" i="3"/>
  <c r="AS119" i="3"/>
  <c r="AC119" i="3"/>
  <c r="M119" i="3"/>
  <c r="BB118" i="3"/>
  <c r="AL118" i="3"/>
  <c r="V118" i="3"/>
  <c r="BK117" i="3"/>
  <c r="AU117" i="3"/>
  <c r="AE117" i="3"/>
  <c r="O117" i="3"/>
  <c r="BH116" i="3"/>
  <c r="AR116" i="3"/>
  <c r="AB116" i="3"/>
  <c r="L116" i="3"/>
  <c r="BE115" i="3"/>
  <c r="AO115" i="3"/>
  <c r="Y115" i="3"/>
  <c r="I115" i="3"/>
  <c r="AX114" i="3"/>
  <c r="AH114" i="3"/>
  <c r="R114" i="3"/>
  <c r="BE206" i="3"/>
  <c r="AI206" i="3"/>
  <c r="N206" i="3"/>
  <c r="BB205" i="3"/>
  <c r="AF205" i="3"/>
  <c r="K205" i="3"/>
  <c r="AU204" i="3"/>
  <c r="Y204" i="3"/>
  <c r="BM203" i="3"/>
  <c r="AR203" i="3"/>
  <c r="V203" i="3"/>
  <c r="BE202" i="3"/>
  <c r="AI202" i="3"/>
  <c r="N202" i="3"/>
  <c r="BB201" i="3"/>
  <c r="AF201" i="3"/>
  <c r="K201" i="3"/>
  <c r="AU200" i="3"/>
  <c r="Y200" i="3"/>
  <c r="G200" i="3"/>
  <c r="AZ199" i="3"/>
  <c r="AJ199" i="3"/>
  <c r="T199" i="3"/>
  <c r="BM198" i="3"/>
  <c r="AW198" i="3"/>
  <c r="AG198" i="3"/>
  <c r="Q198" i="3"/>
  <c r="BF197" i="3"/>
  <c r="AP197" i="3"/>
  <c r="Z197" i="3"/>
  <c r="J197" i="3"/>
  <c r="AY196" i="3"/>
  <c r="AI196" i="3"/>
  <c r="S196" i="3"/>
  <c r="BL195" i="3"/>
  <c r="AV195" i="3"/>
  <c r="AF195" i="3"/>
  <c r="P195" i="3"/>
  <c r="BI194" i="3"/>
  <c r="AS194" i="3"/>
  <c r="AC194" i="3"/>
  <c r="M194" i="3"/>
  <c r="BB193" i="3"/>
  <c r="AL193" i="3"/>
  <c r="V193" i="3"/>
  <c r="BK192" i="3"/>
  <c r="AU192" i="3"/>
  <c r="AE192" i="3"/>
  <c r="O192" i="3"/>
  <c r="BH191" i="3"/>
  <c r="AR191" i="3"/>
  <c r="AB191" i="3"/>
  <c r="L191" i="3"/>
  <c r="BE190" i="3"/>
  <c r="AO190" i="3"/>
  <c r="Y190" i="3"/>
  <c r="I190" i="3"/>
  <c r="AX189" i="3"/>
  <c r="AH189" i="3"/>
  <c r="R189" i="3"/>
  <c r="BG188" i="3"/>
  <c r="AQ188" i="3"/>
  <c r="AA188" i="3"/>
  <c r="K188" i="3"/>
  <c r="BD187" i="3"/>
  <c r="AN187" i="3"/>
  <c r="X187" i="3"/>
  <c r="H187" i="3"/>
  <c r="BA186" i="3"/>
  <c r="AK186" i="3"/>
  <c r="U186" i="3"/>
  <c r="BJ185" i="3"/>
  <c r="AT185" i="3"/>
  <c r="AD185" i="3"/>
  <c r="N185" i="3"/>
  <c r="BC184" i="3"/>
  <c r="AM184" i="3"/>
  <c r="W184" i="3"/>
  <c r="G184" i="3"/>
  <c r="AZ183" i="3"/>
  <c r="AJ183" i="3"/>
  <c r="T183" i="3"/>
  <c r="BM182" i="3"/>
  <c r="AW182" i="3"/>
  <c r="AG182" i="3"/>
  <c r="Q182" i="3"/>
  <c r="BF181" i="3"/>
  <c r="AP181" i="3"/>
  <c r="Z181" i="3"/>
  <c r="J181" i="3"/>
  <c r="AY180" i="3"/>
  <c r="AI180" i="3"/>
  <c r="S180" i="3"/>
  <c r="BL179" i="3"/>
  <c r="AV179" i="3"/>
  <c r="AF179" i="3"/>
  <c r="P179" i="3"/>
  <c r="BI178" i="3"/>
  <c r="AS178" i="3"/>
  <c r="AC178" i="3"/>
  <c r="M178" i="3"/>
  <c r="BB177" i="3"/>
  <c r="AL177" i="3"/>
  <c r="V177" i="3"/>
  <c r="BK176" i="3"/>
  <c r="AU176" i="3"/>
  <c r="AE176" i="3"/>
  <c r="O176" i="3"/>
  <c r="BH175" i="3"/>
  <c r="AR175" i="3"/>
  <c r="AB175" i="3"/>
  <c r="L175" i="3"/>
  <c r="BE174" i="3"/>
  <c r="AO174" i="3"/>
  <c r="Y174" i="3"/>
  <c r="I174" i="3"/>
  <c r="AX173" i="3"/>
  <c r="AH173" i="3"/>
  <c r="R173" i="3"/>
  <c r="BG172" i="3"/>
  <c r="AQ172" i="3"/>
  <c r="AA172" i="3"/>
  <c r="K172" i="3"/>
  <c r="BD171" i="3"/>
  <c r="AN171" i="3"/>
  <c r="X171" i="3"/>
  <c r="H171" i="3"/>
  <c r="BA170" i="3"/>
  <c r="AK170" i="3"/>
  <c r="U170" i="3"/>
  <c r="BJ169" i="3"/>
  <c r="AT169" i="3"/>
  <c r="AD169" i="3"/>
  <c r="N169" i="3"/>
  <c r="BC168" i="3"/>
  <c r="AM168" i="3"/>
  <c r="W168" i="3"/>
  <c r="G168" i="3"/>
  <c r="AY166" i="3"/>
  <c r="AI166" i="3"/>
  <c r="S166" i="3"/>
  <c r="BL165" i="3"/>
  <c r="AV165" i="3"/>
  <c r="AF165" i="3"/>
  <c r="P165" i="3"/>
  <c r="BI164" i="3"/>
  <c r="AS164" i="3"/>
  <c r="AC164" i="3"/>
  <c r="M164" i="3"/>
  <c r="BB163" i="3"/>
  <c r="AL163" i="3"/>
  <c r="V163" i="3"/>
  <c r="BK162" i="3"/>
  <c r="AU162" i="3"/>
  <c r="AE162" i="3"/>
  <c r="O162" i="3"/>
  <c r="BH161" i="3"/>
  <c r="AR161" i="3"/>
  <c r="AB161" i="3"/>
  <c r="L161" i="3"/>
  <c r="BE160" i="3"/>
  <c r="AO160" i="3"/>
  <c r="Y160" i="3"/>
  <c r="I160" i="3"/>
  <c r="AX159" i="3"/>
  <c r="AH159" i="3"/>
  <c r="R159" i="3"/>
  <c r="BG158" i="3"/>
  <c r="AQ158" i="3"/>
  <c r="AA158" i="3"/>
  <c r="K158" i="3"/>
  <c r="BD157" i="3"/>
  <c r="AN157" i="3"/>
  <c r="X157" i="3"/>
  <c r="H157" i="3"/>
  <c r="BA156" i="3"/>
  <c r="AK156" i="3"/>
  <c r="U156" i="3"/>
  <c r="BJ155" i="3"/>
  <c r="AT155" i="3"/>
  <c r="AD155" i="3"/>
  <c r="N155" i="3"/>
  <c r="BC154" i="3"/>
  <c r="AM154" i="3"/>
  <c r="W154" i="3"/>
  <c r="G154" i="3"/>
  <c r="AZ153" i="3"/>
  <c r="AJ153" i="3"/>
  <c r="T153" i="3"/>
  <c r="BM152" i="3"/>
  <c r="AW152" i="3"/>
  <c r="AG152" i="3"/>
  <c r="Q152" i="3"/>
  <c r="BF151" i="3"/>
  <c r="AP151" i="3"/>
  <c r="Z151" i="3"/>
  <c r="J151" i="3"/>
  <c r="AY150" i="3"/>
  <c r="AI150" i="3"/>
  <c r="S150" i="3"/>
  <c r="BL149" i="3"/>
  <c r="AV149" i="3"/>
  <c r="AF149" i="3"/>
  <c r="P149" i="3"/>
  <c r="BI148" i="3"/>
  <c r="AS148" i="3"/>
  <c r="AC148" i="3"/>
  <c r="M148" i="3"/>
  <c r="BB147" i="3"/>
  <c r="AL147" i="3"/>
  <c r="V147" i="3"/>
  <c r="BK146" i="3"/>
  <c r="AU146" i="3"/>
  <c r="AE146" i="3"/>
  <c r="O146" i="3"/>
  <c r="BH145" i="3"/>
  <c r="AR145" i="3"/>
  <c r="AB145" i="3"/>
  <c r="L145" i="3"/>
  <c r="BE144" i="3"/>
  <c r="AO144" i="3"/>
  <c r="Y144" i="3"/>
  <c r="I144" i="3"/>
  <c r="AX143" i="3"/>
  <c r="AH143" i="3"/>
  <c r="R143" i="3"/>
  <c r="BG142" i="3"/>
  <c r="AQ142" i="3"/>
  <c r="AA142" i="3"/>
  <c r="K142" i="3"/>
  <c r="BD141" i="3"/>
  <c r="AN141" i="3"/>
  <c r="X141" i="3"/>
  <c r="H141" i="3"/>
  <c r="BA140" i="3"/>
  <c r="AK140" i="3"/>
  <c r="U140" i="3"/>
  <c r="BJ139" i="3"/>
  <c r="AT139" i="3"/>
  <c r="AD139" i="3"/>
  <c r="N139" i="3"/>
  <c r="BC138" i="3"/>
  <c r="AM138" i="3"/>
  <c r="W138" i="3"/>
  <c r="G138" i="3"/>
  <c r="AZ137" i="3"/>
  <c r="AJ137" i="3"/>
  <c r="T137" i="3"/>
  <c r="BM136" i="3"/>
  <c r="AW136" i="3"/>
  <c r="AG136" i="3"/>
  <c r="Q136" i="3"/>
  <c r="BF135" i="3"/>
  <c r="AP135" i="3"/>
  <c r="Z135" i="3"/>
  <c r="J135" i="3"/>
  <c r="AY134" i="3"/>
  <c r="AI134" i="3"/>
  <c r="S134" i="3"/>
  <c r="BL133" i="3"/>
  <c r="AV133" i="3"/>
  <c r="AF133" i="3"/>
  <c r="P133" i="3"/>
  <c r="BI132" i="3"/>
  <c r="AS132" i="3"/>
  <c r="AC132" i="3"/>
  <c r="M132" i="3"/>
  <c r="BB131" i="3"/>
  <c r="AL131" i="3"/>
  <c r="V131" i="3"/>
  <c r="BK130" i="3"/>
  <c r="AU130" i="3"/>
  <c r="AE130" i="3"/>
  <c r="O130" i="3"/>
  <c r="BH129" i="3"/>
  <c r="AR129" i="3"/>
  <c r="AB129" i="3"/>
  <c r="L129" i="3"/>
  <c r="BE128" i="3"/>
  <c r="AO128" i="3"/>
  <c r="Y128" i="3"/>
  <c r="I128" i="3"/>
  <c r="AX127" i="3"/>
  <c r="AH127" i="3"/>
  <c r="R127" i="3"/>
  <c r="BF125" i="3"/>
  <c r="AP125" i="3"/>
  <c r="Z125" i="3"/>
  <c r="J125" i="3"/>
  <c r="AY124" i="3"/>
  <c r="AI124" i="3"/>
  <c r="S124" i="3"/>
  <c r="BL123" i="3"/>
  <c r="AV123" i="3"/>
  <c r="AF123" i="3"/>
  <c r="P123" i="3"/>
  <c r="BI122" i="3"/>
  <c r="AS122" i="3"/>
  <c r="AC122" i="3"/>
  <c r="M122" i="3"/>
  <c r="BB121" i="3"/>
  <c r="AL121" i="3"/>
  <c r="V121" i="3"/>
  <c r="BK120" i="3"/>
  <c r="AU120" i="3"/>
  <c r="AE120" i="3"/>
  <c r="O120" i="3"/>
  <c r="BH119" i="3"/>
  <c r="AR119" i="3"/>
  <c r="AB119" i="3"/>
  <c r="L119" i="3"/>
  <c r="BE118" i="3"/>
  <c r="AO118" i="3"/>
  <c r="Y118" i="3"/>
  <c r="I118" i="3"/>
  <c r="AX117" i="3"/>
  <c r="AH117" i="3"/>
  <c r="R117" i="3"/>
  <c r="BG116" i="3"/>
  <c r="AQ116" i="3"/>
  <c r="AA116" i="3"/>
  <c r="K116" i="3"/>
  <c r="BD115" i="3"/>
  <c r="AN115" i="3"/>
  <c r="X115" i="3"/>
  <c r="H115" i="3"/>
  <c r="BA114" i="3"/>
  <c r="AK114" i="3"/>
  <c r="AX206" i="3"/>
  <c r="AC206" i="3"/>
  <c r="G206" i="3"/>
  <c r="AU205" i="3"/>
  <c r="Z205" i="3"/>
  <c r="BI204" i="3"/>
  <c r="AN204" i="3"/>
  <c r="S204" i="3"/>
  <c r="BF203" i="3"/>
  <c r="AK203" i="3"/>
  <c r="P203" i="3"/>
  <c r="AX202" i="3"/>
  <c r="AC202" i="3"/>
  <c r="G202" i="3"/>
  <c r="AU201" i="3"/>
  <c r="Z201" i="3"/>
  <c r="BI200" i="3"/>
  <c r="AN200" i="3"/>
  <c r="S200" i="3"/>
  <c r="BG199" i="3"/>
  <c r="AQ199" i="3"/>
  <c r="AA199" i="3"/>
  <c r="K199" i="3"/>
  <c r="BD198" i="3"/>
  <c r="AN198" i="3"/>
  <c r="X198" i="3"/>
  <c r="H198" i="3"/>
  <c r="BA197" i="3"/>
  <c r="AK197" i="3"/>
  <c r="U197" i="3"/>
  <c r="BJ196" i="3"/>
  <c r="AT196" i="3"/>
  <c r="AD196" i="3"/>
  <c r="N196" i="3"/>
  <c r="BC195" i="3"/>
  <c r="AM195" i="3"/>
  <c r="W195" i="3"/>
  <c r="G195" i="3"/>
  <c r="AZ194" i="3"/>
  <c r="AJ194" i="3"/>
  <c r="T194" i="3"/>
  <c r="BM193" i="3"/>
  <c r="AW193" i="3"/>
  <c r="AG193" i="3"/>
  <c r="Q193" i="3"/>
  <c r="BF192" i="3"/>
  <c r="AP192" i="3"/>
  <c r="Z192" i="3"/>
  <c r="J192" i="3"/>
  <c r="AY191" i="3"/>
  <c r="AI191" i="3"/>
  <c r="S191" i="3"/>
  <c r="BL190" i="3"/>
  <c r="AV190" i="3"/>
  <c r="AF190" i="3"/>
  <c r="P190" i="3"/>
  <c r="BI189" i="3"/>
  <c r="AS189" i="3"/>
  <c r="AC189" i="3"/>
  <c r="M189" i="3"/>
  <c r="BB188" i="3"/>
  <c r="AL188" i="3"/>
  <c r="V188" i="3"/>
  <c r="BK187" i="3"/>
  <c r="AU187" i="3"/>
  <c r="AE187" i="3"/>
  <c r="O187" i="3"/>
  <c r="BH186" i="3"/>
  <c r="AR186" i="3"/>
  <c r="AB186" i="3"/>
  <c r="L186" i="3"/>
  <c r="BE185" i="3"/>
  <c r="AO185" i="3"/>
  <c r="Y185" i="3"/>
  <c r="I185" i="3"/>
  <c r="AX184" i="3"/>
  <c r="AH184" i="3"/>
  <c r="R184" i="3"/>
  <c r="BG183" i="3"/>
  <c r="AQ183" i="3"/>
  <c r="AA183" i="3"/>
  <c r="K183" i="3"/>
  <c r="BD182" i="3"/>
  <c r="AN182" i="3"/>
  <c r="X182" i="3"/>
  <c r="H182" i="3"/>
  <c r="BA181" i="3"/>
  <c r="AK181" i="3"/>
  <c r="U181" i="3"/>
  <c r="BJ180" i="3"/>
  <c r="AT180" i="3"/>
  <c r="AD180" i="3"/>
  <c r="N180" i="3"/>
  <c r="BC179" i="3"/>
  <c r="AM179" i="3"/>
  <c r="W179" i="3"/>
  <c r="G179" i="3"/>
  <c r="AZ178" i="3"/>
  <c r="AJ178" i="3"/>
  <c r="T178" i="3"/>
  <c r="BM177" i="3"/>
  <c r="AW177" i="3"/>
  <c r="AG177" i="3"/>
  <c r="Q177" i="3"/>
  <c r="BF176" i="3"/>
  <c r="AP176" i="3"/>
  <c r="Z176" i="3"/>
  <c r="J176" i="3"/>
  <c r="AY175" i="3"/>
  <c r="AI175" i="3"/>
  <c r="S175" i="3"/>
  <c r="BL174" i="3"/>
  <c r="AV174" i="3"/>
  <c r="AF174" i="3"/>
  <c r="P174" i="3"/>
  <c r="BI173" i="3"/>
  <c r="AS173" i="3"/>
  <c r="AC173" i="3"/>
  <c r="M173" i="3"/>
  <c r="BB172" i="3"/>
  <c r="AL172" i="3"/>
  <c r="V172" i="3"/>
  <c r="BK171" i="3"/>
  <c r="AU171" i="3"/>
  <c r="AE171" i="3"/>
  <c r="O171" i="3"/>
  <c r="BH170" i="3"/>
  <c r="AR170" i="3"/>
  <c r="AB170" i="3"/>
  <c r="L170" i="3"/>
  <c r="BE169" i="3"/>
  <c r="AO169" i="3"/>
  <c r="Y169" i="3"/>
  <c r="I169" i="3"/>
  <c r="AX168" i="3"/>
  <c r="AH168" i="3"/>
  <c r="R168" i="3"/>
  <c r="BF166" i="3"/>
  <c r="AP166" i="3"/>
  <c r="Z166" i="3"/>
  <c r="J166" i="3"/>
  <c r="AY165" i="3"/>
  <c r="AI165" i="3"/>
  <c r="S165" i="3"/>
  <c r="BL164" i="3"/>
  <c r="AV164" i="3"/>
  <c r="AF164" i="3"/>
  <c r="P164" i="3"/>
  <c r="BI163" i="3"/>
  <c r="AS163" i="3"/>
  <c r="AC163" i="3"/>
  <c r="M163" i="3"/>
  <c r="BB162" i="3"/>
  <c r="AL162" i="3"/>
  <c r="V162" i="3"/>
  <c r="BK161" i="3"/>
  <c r="AU161" i="3"/>
  <c r="AE161" i="3"/>
  <c r="O161" i="3"/>
  <c r="BH160" i="3"/>
  <c r="AR160" i="3"/>
  <c r="AB160" i="3"/>
  <c r="L160" i="3"/>
  <c r="BE159" i="3"/>
  <c r="AO159" i="3"/>
  <c r="Y159" i="3"/>
  <c r="I159" i="3"/>
  <c r="AX158" i="3"/>
  <c r="AH158" i="3"/>
  <c r="R158" i="3"/>
  <c r="BG157" i="3"/>
  <c r="AQ157" i="3"/>
  <c r="AA157" i="3"/>
  <c r="K157" i="3"/>
  <c r="BD156" i="3"/>
  <c r="AN156" i="3"/>
  <c r="X156" i="3"/>
  <c r="H156" i="3"/>
  <c r="BA155" i="3"/>
  <c r="AK155" i="3"/>
  <c r="U155" i="3"/>
  <c r="BJ154" i="3"/>
  <c r="AT154" i="3"/>
  <c r="AD154" i="3"/>
  <c r="N154" i="3"/>
  <c r="BC153" i="3"/>
  <c r="AM153" i="3"/>
  <c r="W153" i="3"/>
  <c r="G153" i="3"/>
  <c r="AZ152" i="3"/>
  <c r="AJ152" i="3"/>
  <c r="T152" i="3"/>
  <c r="BM151" i="3"/>
  <c r="AW151" i="3"/>
  <c r="AG151" i="3"/>
  <c r="Q151" i="3"/>
  <c r="BF150" i="3"/>
  <c r="AP150" i="3"/>
  <c r="Z150" i="3"/>
  <c r="J150" i="3"/>
  <c r="AY149" i="3"/>
  <c r="AI149" i="3"/>
  <c r="S149" i="3"/>
  <c r="BL148" i="3"/>
  <c r="AV148" i="3"/>
  <c r="AF148" i="3"/>
  <c r="P148" i="3"/>
  <c r="BI147" i="3"/>
  <c r="AS147" i="3"/>
  <c r="AC147" i="3"/>
  <c r="M147" i="3"/>
  <c r="BB146" i="3"/>
  <c r="AL146" i="3"/>
  <c r="V146" i="3"/>
  <c r="BK145" i="3"/>
  <c r="AU145" i="3"/>
  <c r="AE145" i="3"/>
  <c r="O145" i="3"/>
  <c r="BH144" i="3"/>
  <c r="AR144" i="3"/>
  <c r="AB144" i="3"/>
  <c r="L144" i="3"/>
  <c r="BE143" i="3"/>
  <c r="AO143" i="3"/>
  <c r="Y143" i="3"/>
  <c r="I143" i="3"/>
  <c r="AX142" i="3"/>
  <c r="AH142" i="3"/>
  <c r="R142" i="3"/>
  <c r="BG141" i="3"/>
  <c r="AQ141" i="3"/>
  <c r="AA141" i="3"/>
  <c r="K141" i="3"/>
  <c r="BD140" i="3"/>
  <c r="AN140" i="3"/>
  <c r="X140" i="3"/>
  <c r="H140" i="3"/>
  <c r="BA139" i="3"/>
  <c r="AK139" i="3"/>
  <c r="U139" i="3"/>
  <c r="BJ138" i="3"/>
  <c r="AT138" i="3"/>
  <c r="AD138" i="3"/>
  <c r="N138" i="3"/>
  <c r="BC137" i="3"/>
  <c r="AM137" i="3"/>
  <c r="W137" i="3"/>
  <c r="G137" i="3"/>
  <c r="AZ136" i="3"/>
  <c r="AJ136" i="3"/>
  <c r="T136" i="3"/>
  <c r="BM135" i="3"/>
  <c r="AW135" i="3"/>
  <c r="AG135" i="3"/>
  <c r="Q135" i="3"/>
  <c r="BF134" i="3"/>
  <c r="AP134" i="3"/>
  <c r="Z134" i="3"/>
  <c r="J134" i="3"/>
  <c r="AY133" i="3"/>
  <c r="AI133" i="3"/>
  <c r="S133" i="3"/>
  <c r="BL132" i="3"/>
  <c r="AV132" i="3"/>
  <c r="AF132" i="3"/>
  <c r="P132" i="3"/>
  <c r="BI131" i="3"/>
  <c r="AS131" i="3"/>
  <c r="AC131" i="3"/>
  <c r="M131" i="3"/>
  <c r="BB130" i="3"/>
  <c r="AL130" i="3"/>
  <c r="V130" i="3"/>
  <c r="BK129" i="3"/>
  <c r="AU129" i="3"/>
  <c r="AE129" i="3"/>
  <c r="O129" i="3"/>
  <c r="BH128" i="3"/>
  <c r="AR128" i="3"/>
  <c r="AB128" i="3"/>
  <c r="L128" i="3"/>
  <c r="BE127" i="3"/>
  <c r="AO127" i="3"/>
  <c r="Y127" i="3"/>
  <c r="I127" i="3"/>
  <c r="BA125" i="3"/>
  <c r="AK125" i="3"/>
  <c r="U125" i="3"/>
  <c r="BJ124" i="3"/>
  <c r="AT124" i="3"/>
  <c r="AD124" i="3"/>
  <c r="N124" i="3"/>
  <c r="BC123" i="3"/>
  <c r="AM123" i="3"/>
  <c r="W123" i="3"/>
  <c r="G123" i="3"/>
  <c r="AZ122" i="3"/>
  <c r="AJ122" i="3"/>
  <c r="T122" i="3"/>
  <c r="BM121" i="3"/>
  <c r="AW121" i="3"/>
  <c r="AG121" i="3"/>
  <c r="Q121" i="3"/>
  <c r="BF120" i="3"/>
  <c r="AP120" i="3"/>
  <c r="Z120" i="3"/>
  <c r="J120" i="3"/>
  <c r="AY119" i="3"/>
  <c r="AI119" i="3"/>
  <c r="S119" i="3"/>
  <c r="BL118" i="3"/>
  <c r="AV118" i="3"/>
  <c r="AF118" i="3"/>
  <c r="P118" i="3"/>
  <c r="BI117" i="3"/>
  <c r="AS117" i="3"/>
  <c r="AC117" i="3"/>
  <c r="M117" i="3"/>
  <c r="BB116" i="3"/>
  <c r="AL116" i="3"/>
  <c r="V116" i="3"/>
  <c r="BK115" i="3"/>
  <c r="AU115" i="3"/>
  <c r="AE115" i="3"/>
  <c r="O115" i="3"/>
  <c r="BG206" i="3"/>
  <c r="AL206" i="3"/>
  <c r="Q206" i="3"/>
  <c r="AY205" i="3"/>
  <c r="AD205" i="3"/>
  <c r="H205" i="3"/>
  <c r="AW204" i="3"/>
  <c r="AB204" i="3"/>
  <c r="G204" i="3"/>
  <c r="AT203" i="3"/>
  <c r="Y203" i="3"/>
  <c r="BM202" i="3"/>
  <c r="AQ202" i="3"/>
  <c r="V202" i="3"/>
  <c r="BD201" i="3"/>
  <c r="AI201" i="3"/>
  <c r="N201" i="3"/>
  <c r="BC200" i="3"/>
  <c r="AG200" i="3"/>
  <c r="M200" i="3"/>
  <c r="BB199" i="3"/>
  <c r="AL199" i="3"/>
  <c r="V199" i="3"/>
  <c r="BK198" i="3"/>
  <c r="AU198" i="3"/>
  <c r="AE198" i="3"/>
  <c r="O198" i="3"/>
  <c r="BH197" i="3"/>
  <c r="AR197" i="3"/>
  <c r="AB197" i="3"/>
  <c r="L197" i="3"/>
  <c r="BE196" i="3"/>
  <c r="AO196" i="3"/>
  <c r="Y196" i="3"/>
  <c r="I196" i="3"/>
  <c r="AX195" i="3"/>
  <c r="AH195" i="3"/>
  <c r="R195" i="3"/>
  <c r="BG194" i="3"/>
  <c r="AQ194" i="3"/>
  <c r="AA194" i="3"/>
  <c r="K194" i="3"/>
  <c r="BD193" i="3"/>
  <c r="AN193" i="3"/>
  <c r="X193" i="3"/>
  <c r="H193" i="3"/>
  <c r="BA192" i="3"/>
  <c r="AK192" i="3"/>
  <c r="U192" i="3"/>
  <c r="BJ191" i="3"/>
  <c r="AT191" i="3"/>
  <c r="AD191" i="3"/>
  <c r="N191" i="3"/>
  <c r="BC190" i="3"/>
  <c r="AM190" i="3"/>
  <c r="W190" i="3"/>
  <c r="G190" i="3"/>
  <c r="AZ189" i="3"/>
  <c r="AJ189" i="3"/>
  <c r="T189" i="3"/>
  <c r="BM188" i="3"/>
  <c r="AW188" i="3"/>
  <c r="AG188" i="3"/>
  <c r="Q188" i="3"/>
  <c r="BF187" i="3"/>
  <c r="AP187" i="3"/>
  <c r="Z187" i="3"/>
  <c r="J187" i="3"/>
  <c r="AY186" i="3"/>
  <c r="AI186" i="3"/>
  <c r="S186" i="3"/>
  <c r="BL185" i="3"/>
  <c r="AV185" i="3"/>
  <c r="AF185" i="3"/>
  <c r="P185" i="3"/>
  <c r="BI184" i="3"/>
  <c r="AS184" i="3"/>
  <c r="AC184" i="3"/>
  <c r="M184" i="3"/>
  <c r="BB183" i="3"/>
  <c r="AL183" i="3"/>
  <c r="V183" i="3"/>
  <c r="BK182" i="3"/>
  <c r="AU182" i="3"/>
  <c r="AE182" i="3"/>
  <c r="O182" i="3"/>
  <c r="BH181" i="3"/>
  <c r="AR181" i="3"/>
  <c r="AB181" i="3"/>
  <c r="L181" i="3"/>
  <c r="BE180" i="3"/>
  <c r="AO180" i="3"/>
  <c r="Y180" i="3"/>
  <c r="I180" i="3"/>
  <c r="AX179" i="3"/>
  <c r="AH179" i="3"/>
  <c r="R179" i="3"/>
  <c r="BG178" i="3"/>
  <c r="AQ178" i="3"/>
  <c r="AA178" i="3"/>
  <c r="K178" i="3"/>
  <c r="BD177" i="3"/>
  <c r="AN177" i="3"/>
  <c r="X177" i="3"/>
  <c r="H177" i="3"/>
  <c r="BA176" i="3"/>
  <c r="AK176" i="3"/>
  <c r="U176" i="3"/>
  <c r="BJ175" i="3"/>
  <c r="AT175" i="3"/>
  <c r="AD175" i="3"/>
  <c r="N175" i="3"/>
  <c r="BC174" i="3"/>
  <c r="AM174" i="3"/>
  <c r="W174" i="3"/>
  <c r="G174" i="3"/>
  <c r="AZ173" i="3"/>
  <c r="AJ173" i="3"/>
  <c r="T173" i="3"/>
  <c r="BM172" i="3"/>
  <c r="AW172" i="3"/>
  <c r="AG172" i="3"/>
  <c r="Q172" i="3"/>
  <c r="BF171" i="3"/>
  <c r="AP171" i="3"/>
  <c r="Z171" i="3"/>
  <c r="J171" i="3"/>
  <c r="AY170" i="3"/>
  <c r="AI170" i="3"/>
  <c r="S170" i="3"/>
  <c r="BL169" i="3"/>
  <c r="AV169" i="3"/>
  <c r="AF169" i="3"/>
  <c r="P169" i="3"/>
  <c r="BI168" i="3"/>
  <c r="AS168" i="3"/>
  <c r="AC168" i="3"/>
  <c r="M168" i="3"/>
  <c r="BE166" i="3"/>
  <c r="AO166" i="3"/>
  <c r="Y166" i="3"/>
  <c r="I166" i="3"/>
  <c r="AX165" i="3"/>
  <c r="AH165" i="3"/>
  <c r="R165" i="3"/>
  <c r="BG164" i="3"/>
  <c r="AQ164" i="3"/>
  <c r="AA164" i="3"/>
  <c r="K164" i="3"/>
  <c r="BD163" i="3"/>
  <c r="AN163" i="3"/>
  <c r="X163" i="3"/>
  <c r="H163" i="3"/>
  <c r="BA162" i="3"/>
  <c r="AK162" i="3"/>
  <c r="U162" i="3"/>
  <c r="BJ161" i="3"/>
  <c r="AT161" i="3"/>
  <c r="AD161" i="3"/>
  <c r="N161" i="3"/>
  <c r="BC160" i="3"/>
  <c r="AM160" i="3"/>
  <c r="W160" i="3"/>
  <c r="G160" i="3"/>
  <c r="AZ159" i="3"/>
  <c r="AJ159" i="3"/>
  <c r="T159" i="3"/>
  <c r="BM158" i="3"/>
  <c r="AW158" i="3"/>
  <c r="AG158" i="3"/>
  <c r="Q158" i="3"/>
  <c r="BF157" i="3"/>
  <c r="AP157" i="3"/>
  <c r="Z157" i="3"/>
  <c r="J157" i="3"/>
  <c r="AY156" i="3"/>
  <c r="AI156" i="3"/>
  <c r="S156" i="3"/>
  <c r="BL155" i="3"/>
  <c r="AV155" i="3"/>
  <c r="AF155" i="3"/>
  <c r="P155" i="3"/>
  <c r="BI154" i="3"/>
  <c r="AS154" i="3"/>
  <c r="AC154" i="3"/>
  <c r="M154" i="3"/>
  <c r="BB153" i="3"/>
  <c r="AL153" i="3"/>
  <c r="V153" i="3"/>
  <c r="BK152" i="3"/>
  <c r="AU152" i="3"/>
  <c r="AE152" i="3"/>
  <c r="O152" i="3"/>
  <c r="BH151" i="3"/>
  <c r="AR151" i="3"/>
  <c r="AB151" i="3"/>
  <c r="L151" i="3"/>
  <c r="BE150" i="3"/>
  <c r="AO150" i="3"/>
  <c r="Y150" i="3"/>
  <c r="I150" i="3"/>
  <c r="AX149" i="3"/>
  <c r="AH149" i="3"/>
  <c r="R149" i="3"/>
  <c r="BG148" i="3"/>
  <c r="AQ148" i="3"/>
  <c r="AA148" i="3"/>
  <c r="K148" i="3"/>
  <c r="BD147" i="3"/>
  <c r="AN147" i="3"/>
  <c r="X147" i="3"/>
  <c r="H147" i="3"/>
  <c r="BA146" i="3"/>
  <c r="AK146" i="3"/>
  <c r="U146" i="3"/>
  <c r="BJ145" i="3"/>
  <c r="AT145" i="3"/>
  <c r="AD145" i="3"/>
  <c r="N145" i="3"/>
  <c r="BC144" i="3"/>
  <c r="AM144" i="3"/>
  <c r="W144" i="3"/>
  <c r="G144" i="3"/>
  <c r="AZ143" i="3"/>
  <c r="AJ143" i="3"/>
  <c r="T143" i="3"/>
  <c r="BM142" i="3"/>
  <c r="AW142" i="3"/>
  <c r="AG142" i="3"/>
  <c r="Q142" i="3"/>
  <c r="BF141" i="3"/>
  <c r="AP141" i="3"/>
  <c r="Z141" i="3"/>
  <c r="J141" i="3"/>
  <c r="AY140" i="3"/>
  <c r="AI140" i="3"/>
  <c r="S140" i="3"/>
  <c r="BL139" i="3"/>
  <c r="AV139" i="3"/>
  <c r="AF139" i="3"/>
  <c r="P139" i="3"/>
  <c r="BI138" i="3"/>
  <c r="AS138" i="3"/>
  <c r="AC138" i="3"/>
  <c r="M138" i="3"/>
  <c r="BB137" i="3"/>
  <c r="AL137" i="3"/>
  <c r="V137" i="3"/>
  <c r="BK136" i="3"/>
  <c r="AU136" i="3"/>
  <c r="AE136" i="3"/>
  <c r="O136" i="3"/>
  <c r="BH135" i="3"/>
  <c r="AR135" i="3"/>
  <c r="AB135" i="3"/>
  <c r="L135" i="3"/>
  <c r="BE134" i="3"/>
  <c r="AO134" i="3"/>
  <c r="Y134" i="3"/>
  <c r="I134" i="3"/>
  <c r="AX133" i="3"/>
  <c r="AH133" i="3"/>
  <c r="R133" i="3"/>
  <c r="BG132" i="3"/>
  <c r="AQ132" i="3"/>
  <c r="AA132" i="3"/>
  <c r="K132" i="3"/>
  <c r="BD131" i="3"/>
  <c r="AN131" i="3"/>
  <c r="X131" i="3"/>
  <c r="H131" i="3"/>
  <c r="BA130" i="3"/>
  <c r="AK130" i="3"/>
  <c r="U130" i="3"/>
  <c r="BJ129" i="3"/>
  <c r="AT129" i="3"/>
  <c r="AD129" i="3"/>
  <c r="N129" i="3"/>
  <c r="BC128" i="3"/>
  <c r="AM128" i="3"/>
  <c r="W128" i="3"/>
  <c r="G128" i="3"/>
  <c r="AZ127" i="3"/>
  <c r="AJ127" i="3"/>
  <c r="T127" i="3"/>
  <c r="BL125" i="3"/>
  <c r="AV125" i="3"/>
  <c r="AF125" i="3"/>
  <c r="P125" i="3"/>
  <c r="BI124" i="3"/>
  <c r="AS124" i="3"/>
  <c r="AC124" i="3"/>
  <c r="M124" i="3"/>
  <c r="BB123" i="3"/>
  <c r="AL123" i="3"/>
  <c r="V123" i="3"/>
  <c r="BK122" i="3"/>
  <c r="AU122" i="3"/>
  <c r="AE122" i="3"/>
  <c r="O122" i="3"/>
  <c r="BH121" i="3"/>
  <c r="AR121" i="3"/>
  <c r="AB121" i="3"/>
  <c r="L121" i="3"/>
  <c r="BE120" i="3"/>
  <c r="AO120" i="3"/>
  <c r="Y120" i="3"/>
  <c r="I120" i="3"/>
  <c r="AX119" i="3"/>
  <c r="AH119" i="3"/>
  <c r="R119" i="3"/>
  <c r="BG118" i="3"/>
  <c r="AQ118" i="3"/>
  <c r="AA118" i="3"/>
  <c r="K118" i="3"/>
  <c r="BD117" i="3"/>
  <c r="AN117" i="3"/>
  <c r="X117" i="3"/>
  <c r="H117" i="3"/>
  <c r="BA116" i="3"/>
  <c r="AK116" i="3"/>
  <c r="U116" i="3"/>
  <c r="BJ115" i="3"/>
  <c r="AT115" i="3"/>
  <c r="AD115" i="3"/>
  <c r="N115" i="3"/>
  <c r="AU114" i="3"/>
  <c r="T114" i="3"/>
  <c r="BI113" i="3"/>
  <c r="AS113" i="3"/>
  <c r="AC113" i="3"/>
  <c r="M113" i="3"/>
  <c r="BB112" i="3"/>
  <c r="AL112" i="3"/>
  <c r="V112" i="3"/>
  <c r="BK111" i="3"/>
  <c r="AU111" i="3"/>
  <c r="AE111" i="3"/>
  <c r="O111" i="3"/>
  <c r="BH110" i="3"/>
  <c r="AR110" i="3"/>
  <c r="AB110" i="3"/>
  <c r="L110" i="3"/>
  <c r="BE109" i="3"/>
  <c r="AO109" i="3"/>
  <c r="Y109" i="3"/>
  <c r="I109" i="3"/>
  <c r="AX108" i="3"/>
  <c r="AH108" i="3"/>
  <c r="R108" i="3"/>
  <c r="BG107" i="3"/>
  <c r="AQ107" i="3"/>
  <c r="AA107" i="3"/>
  <c r="K107" i="3"/>
  <c r="BD106" i="3"/>
  <c r="AN106" i="3"/>
  <c r="X106" i="3"/>
  <c r="H106" i="3"/>
  <c r="BA105" i="3"/>
  <c r="AK105" i="3"/>
  <c r="U105" i="3"/>
  <c r="BJ104" i="3"/>
  <c r="AT104" i="3"/>
  <c r="AD104" i="3"/>
  <c r="N104" i="3"/>
  <c r="BC103" i="3"/>
  <c r="AM103" i="3"/>
  <c r="W103" i="3"/>
  <c r="G103" i="3"/>
  <c r="AZ102" i="3"/>
  <c r="AJ102" i="3"/>
  <c r="T102" i="3"/>
  <c r="BM101" i="3"/>
  <c r="AW101" i="3"/>
  <c r="AG101" i="3"/>
  <c r="Q101" i="3"/>
  <c r="BF100" i="3"/>
  <c r="AP100" i="3"/>
  <c r="Z100" i="3"/>
  <c r="J100" i="3"/>
  <c r="AY99" i="3"/>
  <c r="AI99" i="3"/>
  <c r="S99" i="3"/>
  <c r="BL98" i="3"/>
  <c r="AV98" i="3"/>
  <c r="AF98" i="3"/>
  <c r="P98" i="3"/>
  <c r="BI97" i="3"/>
  <c r="AS97" i="3"/>
  <c r="AC97" i="3"/>
  <c r="M97" i="3"/>
  <c r="BB96" i="3"/>
  <c r="AL96" i="3"/>
  <c r="V96" i="3"/>
  <c r="BK95" i="3"/>
  <c r="AU95" i="3"/>
  <c r="AE95" i="3"/>
  <c r="O95" i="3"/>
  <c r="BH94" i="3"/>
  <c r="AR94" i="3"/>
  <c r="AB94" i="3"/>
  <c r="L94" i="3"/>
  <c r="BE93" i="3"/>
  <c r="AO93" i="3"/>
  <c r="Y93" i="3"/>
  <c r="I93" i="3"/>
  <c r="AX92" i="3"/>
  <c r="AH92" i="3"/>
  <c r="R92" i="3"/>
  <c r="BG91" i="3"/>
  <c r="AQ91" i="3"/>
  <c r="AA91" i="3"/>
  <c r="K91" i="3"/>
  <c r="BD90" i="3"/>
  <c r="AN90" i="3"/>
  <c r="X90" i="3"/>
  <c r="H90" i="3"/>
  <c r="BA89" i="3"/>
  <c r="AK89" i="3"/>
  <c r="U89" i="3"/>
  <c r="BJ88" i="3"/>
  <c r="AT88" i="3"/>
  <c r="AD88" i="3"/>
  <c r="N88" i="3"/>
  <c r="BC87" i="3"/>
  <c r="AM87" i="3"/>
  <c r="W87" i="3"/>
  <c r="G87" i="3"/>
  <c r="AZ86" i="3"/>
  <c r="AJ86" i="3"/>
  <c r="T86" i="3"/>
  <c r="BL84" i="3"/>
  <c r="AV84" i="3"/>
  <c r="AF84" i="3"/>
  <c r="P84" i="3"/>
  <c r="BI83" i="3"/>
  <c r="AS83" i="3"/>
  <c r="AC83" i="3"/>
  <c r="M83" i="3"/>
  <c r="BB82" i="3"/>
  <c r="AL82" i="3"/>
  <c r="V82" i="3"/>
  <c r="BK81" i="3"/>
  <c r="AU81" i="3"/>
  <c r="AE81" i="3"/>
  <c r="O81" i="3"/>
  <c r="BH80" i="3"/>
  <c r="AR80" i="3"/>
  <c r="AB80" i="3"/>
  <c r="L80" i="3"/>
  <c r="BE79" i="3"/>
  <c r="AO79" i="3"/>
  <c r="Y79" i="3"/>
  <c r="I79" i="3"/>
  <c r="AX78" i="3"/>
  <c r="AH78" i="3"/>
  <c r="R78" i="3"/>
  <c r="BG77" i="3"/>
  <c r="AQ77" i="3"/>
  <c r="AA77" i="3"/>
  <c r="K77" i="3"/>
  <c r="BD76" i="3"/>
  <c r="AN76" i="3"/>
  <c r="X76" i="3"/>
  <c r="H76" i="3"/>
  <c r="BA75" i="3"/>
  <c r="AK75" i="3"/>
  <c r="U75" i="3"/>
  <c r="BJ74" i="3"/>
  <c r="AT74" i="3"/>
  <c r="AD74" i="3"/>
  <c r="N74" i="3"/>
  <c r="BC73" i="3"/>
  <c r="AM73" i="3"/>
  <c r="W73" i="3"/>
  <c r="G73" i="3"/>
  <c r="AZ72" i="3"/>
  <c r="AJ72" i="3"/>
  <c r="T72" i="3"/>
  <c r="BM71" i="3"/>
  <c r="AW71" i="3"/>
  <c r="AG71" i="3"/>
  <c r="Q71" i="3"/>
  <c r="BF70" i="3"/>
  <c r="AP70" i="3"/>
  <c r="Z70" i="3"/>
  <c r="J70" i="3"/>
  <c r="AY69" i="3"/>
  <c r="AI69" i="3"/>
  <c r="S69" i="3"/>
  <c r="BL68" i="3"/>
  <c r="AV68" i="3"/>
  <c r="AF68" i="3"/>
  <c r="P68" i="3"/>
  <c r="BI67" i="3"/>
  <c r="AS67" i="3"/>
  <c r="AC67" i="3"/>
  <c r="M67" i="3"/>
  <c r="BB66" i="3"/>
  <c r="AL66" i="3"/>
  <c r="V66" i="3"/>
  <c r="BK65" i="3"/>
  <c r="AU65" i="3"/>
  <c r="AE65" i="3"/>
  <c r="O65" i="3"/>
  <c r="BH64" i="3"/>
  <c r="AR64" i="3"/>
  <c r="AB64" i="3"/>
  <c r="L64" i="3"/>
  <c r="BE63" i="3"/>
  <c r="AO63" i="3"/>
  <c r="Y63" i="3"/>
  <c r="I63" i="3"/>
  <c r="AX62" i="3"/>
  <c r="AH62" i="3"/>
  <c r="R62" i="3"/>
  <c r="BG61" i="3"/>
  <c r="AQ61" i="3"/>
  <c r="AA61" i="3"/>
  <c r="K61" i="3"/>
  <c r="BD60" i="3"/>
  <c r="AN60" i="3"/>
  <c r="X60" i="3"/>
  <c r="H60" i="3"/>
  <c r="BA59" i="3"/>
  <c r="AK59" i="3"/>
  <c r="U59" i="3"/>
  <c r="BJ58" i="3"/>
  <c r="AT58" i="3"/>
  <c r="AD58" i="3"/>
  <c r="N58" i="3"/>
  <c r="BC57" i="3"/>
  <c r="AM57" i="3"/>
  <c r="W57" i="3"/>
  <c r="G57" i="3"/>
  <c r="AZ56" i="3"/>
  <c r="AJ56" i="3"/>
  <c r="T56" i="3"/>
  <c r="BM55" i="3"/>
  <c r="AW55" i="3"/>
  <c r="AG55" i="3"/>
  <c r="Q55" i="3"/>
  <c r="BF54" i="3"/>
  <c r="AP54" i="3"/>
  <c r="Z54" i="3"/>
  <c r="J54" i="3"/>
  <c r="AY53" i="3"/>
  <c r="AI53" i="3"/>
  <c r="S53" i="3"/>
  <c r="BL52" i="3"/>
  <c r="AV52" i="3"/>
  <c r="AF52" i="3"/>
  <c r="P52" i="3"/>
  <c r="BI51" i="3"/>
  <c r="AS51" i="3"/>
  <c r="AC51" i="3"/>
  <c r="M51" i="3"/>
  <c r="BB50" i="3"/>
  <c r="AL50" i="3"/>
  <c r="V50" i="3"/>
  <c r="BK49" i="3"/>
  <c r="AU49" i="3"/>
  <c r="AE49" i="3"/>
  <c r="O49" i="3"/>
  <c r="BH48" i="3"/>
  <c r="AR48" i="3"/>
  <c r="AB48" i="3"/>
  <c r="L48" i="3"/>
  <c r="BE47" i="3"/>
  <c r="AO47" i="3"/>
  <c r="Y47" i="3"/>
  <c r="I47" i="3"/>
  <c r="AX46" i="3"/>
  <c r="AH46" i="3"/>
  <c r="R46" i="3"/>
  <c r="BG45" i="3"/>
  <c r="AQ45" i="3"/>
  <c r="AA45" i="3"/>
  <c r="K45" i="3"/>
  <c r="BC43" i="3"/>
  <c r="AM43" i="3"/>
  <c r="W43" i="3"/>
  <c r="G43" i="3"/>
  <c r="AZ42" i="3"/>
  <c r="AJ42" i="3"/>
  <c r="T42" i="3"/>
  <c r="BM41" i="3"/>
  <c r="AW41" i="3"/>
  <c r="AG41" i="3"/>
  <c r="Q41" i="3"/>
  <c r="BF40" i="3"/>
  <c r="AP40" i="3"/>
  <c r="Z40" i="3"/>
  <c r="J40" i="3"/>
  <c r="AY39" i="3"/>
  <c r="AI39" i="3"/>
  <c r="S39" i="3"/>
  <c r="BL38" i="3"/>
  <c r="AV38" i="3"/>
  <c r="AF38" i="3"/>
  <c r="P38" i="3"/>
  <c r="BI37" i="3"/>
  <c r="AS37" i="3"/>
  <c r="AC37" i="3"/>
  <c r="M37" i="3"/>
  <c r="BB36" i="3"/>
  <c r="AL36" i="3"/>
  <c r="V36" i="3"/>
  <c r="BK35" i="3"/>
  <c r="AU35" i="3"/>
  <c r="AE35" i="3"/>
  <c r="O35" i="3"/>
  <c r="BH34" i="3"/>
  <c r="AR34" i="3"/>
  <c r="AB34" i="3"/>
  <c r="L34" i="3"/>
  <c r="BE33" i="3"/>
  <c r="AO33" i="3"/>
  <c r="Y33" i="3"/>
  <c r="I33" i="3"/>
  <c r="AX32" i="3"/>
  <c r="AH32" i="3"/>
  <c r="R32" i="3"/>
  <c r="BG31" i="3"/>
  <c r="AQ31" i="3"/>
  <c r="AA31" i="3"/>
  <c r="K31" i="3"/>
  <c r="BD30" i="3"/>
  <c r="AN30" i="3"/>
  <c r="X30" i="3"/>
  <c r="H30" i="3"/>
  <c r="BA29" i="3"/>
  <c r="AK29" i="3"/>
  <c r="U29" i="3"/>
  <c r="BJ28" i="3"/>
  <c r="AT28" i="3"/>
  <c r="AD28" i="3"/>
  <c r="N28" i="3"/>
  <c r="BC27" i="3"/>
  <c r="AM27" i="3"/>
  <c r="W27" i="3"/>
  <c r="G27" i="3"/>
  <c r="AZ26" i="3"/>
  <c r="AJ26" i="3"/>
  <c r="T26" i="3"/>
  <c r="BM25" i="3"/>
  <c r="AW25" i="3"/>
  <c r="AG25" i="3"/>
  <c r="Q25" i="3"/>
  <c r="BF24" i="3"/>
  <c r="AP24" i="3"/>
  <c r="Z24" i="3"/>
  <c r="J24" i="3"/>
  <c r="AY23" i="3"/>
  <c r="AI23" i="3"/>
  <c r="S23" i="3"/>
  <c r="BH114" i="3"/>
  <c r="AC114" i="3"/>
  <c r="H114" i="3"/>
  <c r="AZ113" i="3"/>
  <c r="AJ113" i="3"/>
  <c r="T113" i="3"/>
  <c r="BM112" i="3"/>
  <c r="AW112" i="3"/>
  <c r="AG112" i="3"/>
  <c r="Q112" i="3"/>
  <c r="BF111" i="3"/>
  <c r="AP111" i="3"/>
  <c r="Z111" i="3"/>
  <c r="J111" i="3"/>
  <c r="AY110" i="3"/>
  <c r="AI110" i="3"/>
  <c r="S110" i="3"/>
  <c r="BL109" i="3"/>
  <c r="AV109" i="3"/>
  <c r="AF109" i="3"/>
  <c r="P109" i="3"/>
  <c r="BI108" i="3"/>
  <c r="AS108" i="3"/>
  <c r="AC108" i="3"/>
  <c r="M108" i="3"/>
  <c r="BB107" i="3"/>
  <c r="AL107" i="3"/>
  <c r="V107" i="3"/>
  <c r="BK106" i="3"/>
  <c r="AU106" i="3"/>
  <c r="AE106" i="3"/>
  <c r="O106" i="3"/>
  <c r="BH105" i="3"/>
  <c r="AR105" i="3"/>
  <c r="AB105" i="3"/>
  <c r="L105" i="3"/>
  <c r="BE104" i="3"/>
  <c r="AO104" i="3"/>
  <c r="Y104" i="3"/>
  <c r="I104" i="3"/>
  <c r="AX103" i="3"/>
  <c r="AH103" i="3"/>
  <c r="R103" i="3"/>
  <c r="BG102" i="3"/>
  <c r="AQ102" i="3"/>
  <c r="AA102" i="3"/>
  <c r="K102" i="3"/>
  <c r="BD101" i="3"/>
  <c r="AN101" i="3"/>
  <c r="X101" i="3"/>
  <c r="H101" i="3"/>
  <c r="BA100" i="3"/>
  <c r="AK100" i="3"/>
  <c r="U100" i="3"/>
  <c r="BJ99" i="3"/>
  <c r="AT99" i="3"/>
  <c r="AD99" i="3"/>
  <c r="N99" i="3"/>
  <c r="BC98" i="3"/>
  <c r="AM98" i="3"/>
  <c r="W98" i="3"/>
  <c r="G98" i="3"/>
  <c r="AZ97" i="3"/>
  <c r="AJ97" i="3"/>
  <c r="T97" i="3"/>
  <c r="BM96" i="3"/>
  <c r="AW96" i="3"/>
  <c r="AG96" i="3"/>
  <c r="Q96" i="3"/>
  <c r="BF95" i="3"/>
  <c r="AP95" i="3"/>
  <c r="Z95" i="3"/>
  <c r="J95" i="3"/>
  <c r="AY94" i="3"/>
  <c r="AI94" i="3"/>
  <c r="S94" i="3"/>
  <c r="BL93" i="3"/>
  <c r="AV93" i="3"/>
  <c r="AF93" i="3"/>
  <c r="P93" i="3"/>
  <c r="BI92" i="3"/>
  <c r="AS92" i="3"/>
  <c r="AC92" i="3"/>
  <c r="M92" i="3"/>
  <c r="BB91" i="3"/>
  <c r="AL91" i="3"/>
  <c r="V91" i="3"/>
  <c r="BK90" i="3"/>
  <c r="AU90" i="3"/>
  <c r="AE90" i="3"/>
  <c r="O90" i="3"/>
  <c r="BH89" i="3"/>
  <c r="AR89" i="3"/>
  <c r="AB89" i="3"/>
  <c r="L89" i="3"/>
  <c r="BE88" i="3"/>
  <c r="AO88" i="3"/>
  <c r="Y88" i="3"/>
  <c r="I88" i="3"/>
  <c r="AX87" i="3"/>
  <c r="AH87" i="3"/>
  <c r="R87" i="3"/>
  <c r="BG86" i="3"/>
  <c r="AQ86" i="3"/>
  <c r="AA86" i="3"/>
  <c r="K86" i="3"/>
  <c r="BC84" i="3"/>
  <c r="AM84" i="3"/>
  <c r="W84" i="3"/>
  <c r="G84" i="3"/>
  <c r="AZ83" i="3"/>
  <c r="AJ83" i="3"/>
  <c r="T83" i="3"/>
  <c r="BM82" i="3"/>
  <c r="AW82" i="3"/>
  <c r="AG82" i="3"/>
  <c r="Q82" i="3"/>
  <c r="BF81" i="3"/>
  <c r="AP81" i="3"/>
  <c r="Z81" i="3"/>
  <c r="J81" i="3"/>
  <c r="AY80" i="3"/>
  <c r="AI80" i="3"/>
  <c r="S80" i="3"/>
  <c r="BL79" i="3"/>
  <c r="AV79" i="3"/>
  <c r="AF79" i="3"/>
  <c r="P79" i="3"/>
  <c r="BI78" i="3"/>
  <c r="AS78" i="3"/>
  <c r="AC78" i="3"/>
  <c r="M78" i="3"/>
  <c r="BB77" i="3"/>
  <c r="AL77" i="3"/>
  <c r="V77" i="3"/>
  <c r="BK76" i="3"/>
  <c r="AU76" i="3"/>
  <c r="AE76" i="3"/>
  <c r="O76" i="3"/>
  <c r="BH75" i="3"/>
  <c r="AR75" i="3"/>
  <c r="AB75" i="3"/>
  <c r="L75" i="3"/>
  <c r="BE74" i="3"/>
  <c r="AO74" i="3"/>
  <c r="Y74" i="3"/>
  <c r="I74" i="3"/>
  <c r="AX73" i="3"/>
  <c r="AH73" i="3"/>
  <c r="R73" i="3"/>
  <c r="BG72" i="3"/>
  <c r="AQ72" i="3"/>
  <c r="AA72" i="3"/>
  <c r="K72" i="3"/>
  <c r="BD71" i="3"/>
  <c r="AN71" i="3"/>
  <c r="X71" i="3"/>
  <c r="H71" i="3"/>
  <c r="BA70" i="3"/>
  <c r="AK70" i="3"/>
  <c r="U70" i="3"/>
  <c r="BJ69" i="3"/>
  <c r="AT69" i="3"/>
  <c r="AD69" i="3"/>
  <c r="N69" i="3"/>
  <c r="BC68" i="3"/>
  <c r="AM68" i="3"/>
  <c r="W68" i="3"/>
  <c r="G68" i="3"/>
  <c r="AZ67" i="3"/>
  <c r="AJ67" i="3"/>
  <c r="T67" i="3"/>
  <c r="BM66" i="3"/>
  <c r="AW66" i="3"/>
  <c r="AG66" i="3"/>
  <c r="Q66" i="3"/>
  <c r="BF65" i="3"/>
  <c r="AP65" i="3"/>
  <c r="Z65" i="3"/>
  <c r="J65" i="3"/>
  <c r="AY64" i="3"/>
  <c r="AI64" i="3"/>
  <c r="S64" i="3"/>
  <c r="BL63" i="3"/>
  <c r="AV63" i="3"/>
  <c r="AF63" i="3"/>
  <c r="P63" i="3"/>
  <c r="BI62" i="3"/>
  <c r="AS62" i="3"/>
  <c r="AC62" i="3"/>
  <c r="M62" i="3"/>
  <c r="BB61" i="3"/>
  <c r="AL61" i="3"/>
  <c r="V61" i="3"/>
  <c r="BK60" i="3"/>
  <c r="AU60" i="3"/>
  <c r="AE60" i="3"/>
  <c r="O60" i="3"/>
  <c r="BH59" i="3"/>
  <c r="AR59" i="3"/>
  <c r="AB59" i="3"/>
  <c r="L59" i="3"/>
  <c r="BE58" i="3"/>
  <c r="AO58" i="3"/>
  <c r="Y58" i="3"/>
  <c r="I58" i="3"/>
  <c r="AX57" i="3"/>
  <c r="AH57" i="3"/>
  <c r="R57" i="3"/>
  <c r="BG56" i="3"/>
  <c r="AQ56" i="3"/>
  <c r="AA56" i="3"/>
  <c r="K56" i="3"/>
  <c r="BD55" i="3"/>
  <c r="AN55" i="3"/>
  <c r="X55" i="3"/>
  <c r="H55" i="3"/>
  <c r="BA54" i="3"/>
  <c r="AK54" i="3"/>
  <c r="U54" i="3"/>
  <c r="BJ53" i="3"/>
  <c r="AT53" i="3"/>
  <c r="AD53" i="3"/>
  <c r="N53" i="3"/>
  <c r="BC52" i="3"/>
  <c r="AM52" i="3"/>
  <c r="W52" i="3"/>
  <c r="G52" i="3"/>
  <c r="AZ51" i="3"/>
  <c r="AJ51" i="3"/>
  <c r="T51" i="3"/>
  <c r="BM50" i="3"/>
  <c r="AW50" i="3"/>
  <c r="AG50" i="3"/>
  <c r="Q50" i="3"/>
  <c r="BF49" i="3"/>
  <c r="AP49" i="3"/>
  <c r="Z49" i="3"/>
  <c r="J49" i="3"/>
  <c r="AY48" i="3"/>
  <c r="AI48" i="3"/>
  <c r="S48" i="3"/>
  <c r="BL47" i="3"/>
  <c r="AV47" i="3"/>
  <c r="AF47" i="3"/>
  <c r="P47" i="3"/>
  <c r="BI46" i="3"/>
  <c r="AS46" i="3"/>
  <c r="AC46" i="3"/>
  <c r="M46" i="3"/>
  <c r="BB45" i="3"/>
  <c r="AL45" i="3"/>
  <c r="V45" i="3"/>
  <c r="BJ43" i="3"/>
  <c r="AT43" i="3"/>
  <c r="AD43" i="3"/>
  <c r="N43" i="3"/>
  <c r="BC42" i="3"/>
  <c r="AM42" i="3"/>
  <c r="W42" i="3"/>
  <c r="G42" i="3"/>
  <c r="AZ41" i="3"/>
  <c r="AJ41" i="3"/>
  <c r="T41" i="3"/>
  <c r="BM40" i="3"/>
  <c r="AW40" i="3"/>
  <c r="AG40" i="3"/>
  <c r="Q40" i="3"/>
  <c r="BF39" i="3"/>
  <c r="AP39" i="3"/>
  <c r="Z39" i="3"/>
  <c r="J39" i="3"/>
  <c r="AY38" i="3"/>
  <c r="AI38" i="3"/>
  <c r="S38" i="3"/>
  <c r="BL37" i="3"/>
  <c r="AV37" i="3"/>
  <c r="AF37" i="3"/>
  <c r="P37" i="3"/>
  <c r="BI36" i="3"/>
  <c r="AS36" i="3"/>
  <c r="AC36" i="3"/>
  <c r="M36" i="3"/>
  <c r="BB35" i="3"/>
  <c r="AL35" i="3"/>
  <c r="V35" i="3"/>
  <c r="BK34" i="3"/>
  <c r="AU34" i="3"/>
  <c r="AE34" i="3"/>
  <c r="O34" i="3"/>
  <c r="BH33" i="3"/>
  <c r="AR33" i="3"/>
  <c r="AB33" i="3"/>
  <c r="L33" i="3"/>
  <c r="BE32" i="3"/>
  <c r="AO32" i="3"/>
  <c r="Y32" i="3"/>
  <c r="I32" i="3"/>
  <c r="AX31" i="3"/>
  <c r="AH31" i="3"/>
  <c r="R31" i="3"/>
  <c r="BG30" i="3"/>
  <c r="AQ30" i="3"/>
  <c r="AA30" i="3"/>
  <c r="K30" i="3"/>
  <c r="BD29" i="3"/>
  <c r="AN29" i="3"/>
  <c r="X29" i="3"/>
  <c r="H29" i="3"/>
  <c r="BA28" i="3"/>
  <c r="AK28" i="3"/>
  <c r="U28" i="3"/>
  <c r="BJ27" i="3"/>
  <c r="AT27" i="3"/>
  <c r="AD27" i="3"/>
  <c r="N27" i="3"/>
  <c r="BC26" i="3"/>
  <c r="AM26" i="3"/>
  <c r="W26" i="3"/>
  <c r="G26" i="3"/>
  <c r="AZ25" i="3"/>
  <c r="AJ25" i="3"/>
  <c r="T25" i="3"/>
  <c r="BM24" i="3"/>
  <c r="AW24" i="3"/>
  <c r="AG24" i="3"/>
  <c r="Q24" i="3"/>
  <c r="BF23" i="3"/>
  <c r="AP23" i="3"/>
  <c r="AY114" i="3"/>
  <c r="W114" i="3"/>
  <c r="BK113" i="3"/>
  <c r="AU113" i="3"/>
  <c r="AE113" i="3"/>
  <c r="O113" i="3"/>
  <c r="BH112" i="3"/>
  <c r="AR112" i="3"/>
  <c r="AB112" i="3"/>
  <c r="L112" i="3"/>
  <c r="BE111" i="3"/>
  <c r="AO111" i="3"/>
  <c r="Y111" i="3"/>
  <c r="I111" i="3"/>
  <c r="AX110" i="3"/>
  <c r="AH110" i="3"/>
  <c r="R110" i="3"/>
  <c r="BG109" i="3"/>
  <c r="AQ109" i="3"/>
  <c r="AA109" i="3"/>
  <c r="K109" i="3"/>
  <c r="BD108" i="3"/>
  <c r="AN108" i="3"/>
  <c r="X108" i="3"/>
  <c r="H108" i="3"/>
  <c r="BA107" i="3"/>
  <c r="AK107" i="3"/>
  <c r="U107" i="3"/>
  <c r="BJ106" i="3"/>
  <c r="AT106" i="3"/>
  <c r="AD106" i="3"/>
  <c r="N106" i="3"/>
  <c r="BC105" i="3"/>
  <c r="AM105" i="3"/>
  <c r="W105" i="3"/>
  <c r="G105" i="3"/>
  <c r="AZ104" i="3"/>
  <c r="AJ104" i="3"/>
  <c r="T104" i="3"/>
  <c r="BM103" i="3"/>
  <c r="AW103" i="3"/>
  <c r="AG103" i="3"/>
  <c r="Q103" i="3"/>
  <c r="BF102" i="3"/>
  <c r="AP102" i="3"/>
  <c r="Z102" i="3"/>
  <c r="J102" i="3"/>
  <c r="AY101" i="3"/>
  <c r="AI101" i="3"/>
  <c r="S101" i="3"/>
  <c r="BL100" i="3"/>
  <c r="AV100" i="3"/>
  <c r="AF100" i="3"/>
  <c r="P100" i="3"/>
  <c r="BI99" i="3"/>
  <c r="AS99" i="3"/>
  <c r="AC99" i="3"/>
  <c r="M99" i="3"/>
  <c r="BB98" i="3"/>
  <c r="AL98" i="3"/>
  <c r="V98" i="3"/>
  <c r="BK97" i="3"/>
  <c r="AU97" i="3"/>
  <c r="AE97" i="3"/>
  <c r="O97" i="3"/>
  <c r="BH96" i="3"/>
  <c r="AR96" i="3"/>
  <c r="AB96" i="3"/>
  <c r="L96" i="3"/>
  <c r="BE95" i="3"/>
  <c r="AO95" i="3"/>
  <c r="Y95" i="3"/>
  <c r="I95" i="3"/>
  <c r="AX94" i="3"/>
  <c r="AH94" i="3"/>
  <c r="R94" i="3"/>
  <c r="BG93" i="3"/>
  <c r="AQ93" i="3"/>
  <c r="AA93" i="3"/>
  <c r="K93" i="3"/>
  <c r="BD92" i="3"/>
  <c r="AN92" i="3"/>
  <c r="X92" i="3"/>
  <c r="H92" i="3"/>
  <c r="BA91" i="3"/>
  <c r="AK91" i="3"/>
  <c r="U91" i="3"/>
  <c r="BJ90" i="3"/>
  <c r="AT90" i="3"/>
  <c r="AD90" i="3"/>
  <c r="N90" i="3"/>
  <c r="BC89" i="3"/>
  <c r="AM89" i="3"/>
  <c r="W89" i="3"/>
  <c r="G89" i="3"/>
  <c r="AZ88" i="3"/>
  <c r="AJ88" i="3"/>
  <c r="T88" i="3"/>
  <c r="BM87" i="3"/>
  <c r="AW87" i="3"/>
  <c r="AG87" i="3"/>
  <c r="Q87" i="3"/>
  <c r="BF86" i="3"/>
  <c r="AP86" i="3"/>
  <c r="Z86" i="3"/>
  <c r="J86" i="3"/>
  <c r="AX84" i="3"/>
  <c r="AH84" i="3"/>
  <c r="R84" i="3"/>
  <c r="BG83" i="3"/>
  <c r="AQ83" i="3"/>
  <c r="AA83" i="3"/>
  <c r="K83" i="3"/>
  <c r="BD82" i="3"/>
  <c r="AN82" i="3"/>
  <c r="X82" i="3"/>
  <c r="H82" i="3"/>
  <c r="BA81" i="3"/>
  <c r="AK81" i="3"/>
  <c r="U81" i="3"/>
  <c r="BJ80" i="3"/>
  <c r="AT80" i="3"/>
  <c r="AD80" i="3"/>
  <c r="N80" i="3"/>
  <c r="BC79" i="3"/>
  <c r="AM79" i="3"/>
  <c r="W79" i="3"/>
  <c r="G79" i="3"/>
  <c r="AZ78" i="3"/>
  <c r="AJ78" i="3"/>
  <c r="T78" i="3"/>
  <c r="BM77" i="3"/>
  <c r="AW77" i="3"/>
  <c r="AG77" i="3"/>
  <c r="Q77" i="3"/>
  <c r="BF76" i="3"/>
  <c r="AP76" i="3"/>
  <c r="Z76" i="3"/>
  <c r="J76" i="3"/>
  <c r="AY75" i="3"/>
  <c r="AI75" i="3"/>
  <c r="S75" i="3"/>
  <c r="BL74" i="3"/>
  <c r="AV74" i="3"/>
  <c r="AF74" i="3"/>
  <c r="P74" i="3"/>
  <c r="BI73" i="3"/>
  <c r="AS73" i="3"/>
  <c r="AC73" i="3"/>
  <c r="M73" i="3"/>
  <c r="BB72" i="3"/>
  <c r="AL72" i="3"/>
  <c r="V72" i="3"/>
  <c r="BK71" i="3"/>
  <c r="AU71" i="3"/>
  <c r="AE71" i="3"/>
  <c r="O71" i="3"/>
  <c r="BH70" i="3"/>
  <c r="AR70" i="3"/>
  <c r="AB70" i="3"/>
  <c r="L70" i="3"/>
  <c r="BE69" i="3"/>
  <c r="AO69" i="3"/>
  <c r="Y69" i="3"/>
  <c r="I69" i="3"/>
  <c r="AX68" i="3"/>
  <c r="AH68" i="3"/>
  <c r="R68" i="3"/>
  <c r="BG67" i="3"/>
  <c r="AQ67" i="3"/>
  <c r="AA67" i="3"/>
  <c r="K67" i="3"/>
  <c r="BD66" i="3"/>
  <c r="AN66" i="3"/>
  <c r="X66" i="3"/>
  <c r="H66" i="3"/>
  <c r="BA65" i="3"/>
  <c r="AK65" i="3"/>
  <c r="U65" i="3"/>
  <c r="BJ64" i="3"/>
  <c r="AT64" i="3"/>
  <c r="AD64" i="3"/>
  <c r="N64" i="3"/>
  <c r="BC63" i="3"/>
  <c r="AM63" i="3"/>
  <c r="W63" i="3"/>
  <c r="G63" i="3"/>
  <c r="AZ62" i="3"/>
  <c r="AJ62" i="3"/>
  <c r="T62" i="3"/>
  <c r="BM61" i="3"/>
  <c r="AW61" i="3"/>
  <c r="AG61" i="3"/>
  <c r="Q61" i="3"/>
  <c r="BF60" i="3"/>
  <c r="AP60" i="3"/>
  <c r="Z60" i="3"/>
  <c r="J60" i="3"/>
  <c r="AY59" i="3"/>
  <c r="AI59" i="3"/>
  <c r="S59" i="3"/>
  <c r="BL58" i="3"/>
  <c r="AV58" i="3"/>
  <c r="AF58" i="3"/>
  <c r="P58" i="3"/>
  <c r="BI57" i="3"/>
  <c r="AS57" i="3"/>
  <c r="AC57" i="3"/>
  <c r="M57" i="3"/>
  <c r="BB56" i="3"/>
  <c r="AL56" i="3"/>
  <c r="V56" i="3"/>
  <c r="BK55" i="3"/>
  <c r="AU55" i="3"/>
  <c r="AE55" i="3"/>
  <c r="O55" i="3"/>
  <c r="BH54" i="3"/>
  <c r="AR54" i="3"/>
  <c r="AB54" i="3"/>
  <c r="L54" i="3"/>
  <c r="BE53" i="3"/>
  <c r="AO53" i="3"/>
  <c r="Y53" i="3"/>
  <c r="I53" i="3"/>
  <c r="AX52" i="3"/>
  <c r="AH52" i="3"/>
  <c r="R52" i="3"/>
  <c r="BG51" i="3"/>
  <c r="AQ51" i="3"/>
  <c r="AA51" i="3"/>
  <c r="K51" i="3"/>
  <c r="BD50" i="3"/>
  <c r="AN50" i="3"/>
  <c r="X50" i="3"/>
  <c r="H50" i="3"/>
  <c r="BA49" i="3"/>
  <c r="AK49" i="3"/>
  <c r="U49" i="3"/>
  <c r="BJ48" i="3"/>
  <c r="AT48" i="3"/>
  <c r="AD48" i="3"/>
  <c r="N48" i="3"/>
  <c r="BC47" i="3"/>
  <c r="AM47" i="3"/>
  <c r="W47" i="3"/>
  <c r="G47" i="3"/>
  <c r="AZ46" i="3"/>
  <c r="AJ46" i="3"/>
  <c r="T46" i="3"/>
  <c r="BM45" i="3"/>
  <c r="AW45" i="3"/>
  <c r="AG45" i="3"/>
  <c r="Q45" i="3"/>
  <c r="BI43" i="3"/>
  <c r="AS43" i="3"/>
  <c r="AC43" i="3"/>
  <c r="M43" i="3"/>
  <c r="BB42" i="3"/>
  <c r="AL42" i="3"/>
  <c r="V42" i="3"/>
  <c r="BK41" i="3"/>
  <c r="AU41" i="3"/>
  <c r="AE41" i="3"/>
  <c r="O41" i="3"/>
  <c r="BH40" i="3"/>
  <c r="AR40" i="3"/>
  <c r="AB40" i="3"/>
  <c r="L40" i="3"/>
  <c r="BE39" i="3"/>
  <c r="AO39" i="3"/>
  <c r="Y39" i="3"/>
  <c r="I39" i="3"/>
  <c r="AX38" i="3"/>
  <c r="AH38" i="3"/>
  <c r="R38" i="3"/>
  <c r="BG37" i="3"/>
  <c r="AQ37" i="3"/>
  <c r="AA37" i="3"/>
  <c r="K37" i="3"/>
  <c r="BD36" i="3"/>
  <c r="AN36" i="3"/>
  <c r="X36" i="3"/>
  <c r="H36" i="3"/>
  <c r="BA35" i="3"/>
  <c r="AK35" i="3"/>
  <c r="U35" i="3"/>
  <c r="BJ34" i="3"/>
  <c r="AT34" i="3"/>
  <c r="AD34" i="3"/>
  <c r="N34" i="3"/>
  <c r="BC33" i="3"/>
  <c r="AM33" i="3"/>
  <c r="W33" i="3"/>
  <c r="G33" i="3"/>
  <c r="AZ32" i="3"/>
  <c r="AJ32" i="3"/>
  <c r="T32" i="3"/>
  <c r="BM31" i="3"/>
  <c r="AW31" i="3"/>
  <c r="AG31" i="3"/>
  <c r="Q31" i="3"/>
  <c r="BF30" i="3"/>
  <c r="AP30" i="3"/>
  <c r="Z30" i="3"/>
  <c r="J30" i="3"/>
  <c r="AY29" i="3"/>
  <c r="AI29" i="3"/>
  <c r="S29" i="3"/>
  <c r="BL28" i="3"/>
  <c r="AV28" i="3"/>
  <c r="AF28" i="3"/>
  <c r="P28" i="3"/>
  <c r="BI27" i="3"/>
  <c r="AS27" i="3"/>
  <c r="AC27" i="3"/>
  <c r="M27" i="3"/>
  <c r="BB26" i="3"/>
  <c r="AL26" i="3"/>
  <c r="V26" i="3"/>
  <c r="BK25" i="3"/>
  <c r="AU25" i="3"/>
  <c r="AE25" i="3"/>
  <c r="O25" i="3"/>
  <c r="BH24" i="3"/>
  <c r="AR24" i="3"/>
  <c r="AB24" i="3"/>
  <c r="L24" i="3"/>
  <c r="BE23" i="3"/>
  <c r="BL114" i="3"/>
  <c r="AF114" i="3"/>
  <c r="K114" i="3"/>
  <c r="AX113" i="3"/>
  <c r="AH113" i="3"/>
  <c r="R113" i="3"/>
  <c r="BG112" i="3"/>
  <c r="AQ112" i="3"/>
  <c r="AA112" i="3"/>
  <c r="K112" i="3"/>
  <c r="BD111" i="3"/>
  <c r="AN111" i="3"/>
  <c r="X111" i="3"/>
  <c r="H111" i="3"/>
  <c r="BA110" i="3"/>
  <c r="AK110" i="3"/>
  <c r="U110" i="3"/>
  <c r="BJ109" i="3"/>
  <c r="AT109" i="3"/>
  <c r="AD109" i="3"/>
  <c r="N109" i="3"/>
  <c r="BC108" i="3"/>
  <c r="AM108" i="3"/>
  <c r="W108" i="3"/>
  <c r="G108" i="3"/>
  <c r="AZ107" i="3"/>
  <c r="AJ107" i="3"/>
  <c r="T107" i="3"/>
  <c r="BM106" i="3"/>
  <c r="AW106" i="3"/>
  <c r="AG106" i="3"/>
  <c r="Q106" i="3"/>
  <c r="BF105" i="3"/>
  <c r="AP105" i="3"/>
  <c r="Z105" i="3"/>
  <c r="J105" i="3"/>
  <c r="AY104" i="3"/>
  <c r="AI104" i="3"/>
  <c r="S104" i="3"/>
  <c r="BL103" i="3"/>
  <c r="AV103" i="3"/>
  <c r="AF103" i="3"/>
  <c r="P103" i="3"/>
  <c r="BI102" i="3"/>
  <c r="AS102" i="3"/>
  <c r="AC102" i="3"/>
  <c r="M102" i="3"/>
  <c r="BB101" i="3"/>
  <c r="AL101" i="3"/>
  <c r="V101" i="3"/>
  <c r="BK100" i="3"/>
  <c r="AU100" i="3"/>
  <c r="AE100" i="3"/>
  <c r="O100" i="3"/>
  <c r="BH99" i="3"/>
  <c r="AR99" i="3"/>
  <c r="AB99" i="3"/>
  <c r="L99" i="3"/>
  <c r="BE98" i="3"/>
  <c r="AO98" i="3"/>
  <c r="Y98" i="3"/>
  <c r="I98" i="3"/>
  <c r="AX97" i="3"/>
  <c r="AH97" i="3"/>
  <c r="R97" i="3"/>
  <c r="BG96" i="3"/>
  <c r="AQ96" i="3"/>
  <c r="AA96" i="3"/>
  <c r="K96" i="3"/>
  <c r="BD95" i="3"/>
  <c r="AN95" i="3"/>
  <c r="X95" i="3"/>
  <c r="H95" i="3"/>
  <c r="BA94" i="3"/>
  <c r="AK94" i="3"/>
  <c r="U94" i="3"/>
  <c r="BJ93" i="3"/>
  <c r="AT93" i="3"/>
  <c r="AD93" i="3"/>
  <c r="N93" i="3"/>
  <c r="BC92" i="3"/>
  <c r="AM92" i="3"/>
  <c r="W92" i="3"/>
  <c r="G92" i="3"/>
  <c r="AZ91" i="3"/>
  <c r="AJ91" i="3"/>
  <c r="T91" i="3"/>
  <c r="BM90" i="3"/>
  <c r="AW90" i="3"/>
  <c r="AG90" i="3"/>
  <c r="Q90" i="3"/>
  <c r="BF89" i="3"/>
  <c r="AP89" i="3"/>
  <c r="Z89" i="3"/>
  <c r="J89" i="3"/>
  <c r="AY88" i="3"/>
  <c r="AI88" i="3"/>
  <c r="S88" i="3"/>
  <c r="BD87" i="3"/>
  <c r="BE86" i="3"/>
  <c r="BM84" i="3"/>
  <c r="BJ83" i="3"/>
  <c r="BK82" i="3"/>
  <c r="BL81" i="3"/>
  <c r="BM80" i="3"/>
  <c r="BJ79" i="3"/>
  <c r="BK78" i="3"/>
  <c r="BL77" i="3"/>
  <c r="BM76" i="3"/>
  <c r="BJ75" i="3"/>
  <c r="BK74" i="3"/>
  <c r="BL73" i="3"/>
  <c r="BM72" i="3"/>
  <c r="BJ71" i="3"/>
  <c r="BK70" i="3"/>
  <c r="BL69" i="3"/>
  <c r="BM68" i="3"/>
  <c r="BJ67" i="3"/>
  <c r="BK66" i="3"/>
  <c r="BL65" i="3"/>
  <c r="BM64" i="3"/>
  <c r="BJ63" i="3"/>
  <c r="BK62" i="3"/>
  <c r="BL61" i="3"/>
  <c r="BM60" i="3"/>
  <c r="BJ59" i="3"/>
  <c r="BK58" i="3"/>
  <c r="BL57" i="3"/>
  <c r="BM56" i="3"/>
  <c r="BJ55" i="3"/>
  <c r="BK54" i="3"/>
  <c r="BL53" i="3"/>
  <c r="BM52" i="3"/>
  <c r="BJ51" i="3"/>
  <c r="BK50" i="3"/>
  <c r="BL49" i="3"/>
  <c r="BM48" i="3"/>
  <c r="BJ47" i="3"/>
  <c r="BK46" i="3"/>
  <c r="BL45" i="3"/>
  <c r="BD43" i="3"/>
  <c r="BE42" i="3"/>
  <c r="BB41" i="3"/>
  <c r="AM40" i="3"/>
  <c r="AN39" i="3"/>
  <c r="AO38" i="3"/>
  <c r="AL37" i="3"/>
  <c r="W36" i="3"/>
  <c r="X35" i="3"/>
  <c r="Y34" i="3"/>
  <c r="V33" i="3"/>
  <c r="G32" i="3"/>
  <c r="H31" i="3"/>
  <c r="I30" i="3"/>
  <c r="BC28" i="3"/>
  <c r="BD27" i="3"/>
  <c r="BE26" i="3"/>
  <c r="BB25" i="3"/>
  <c r="AM24" i="3"/>
  <c r="AO23" i="3"/>
  <c r="Q23" i="3"/>
  <c r="BC22" i="3"/>
  <c r="AM22" i="3"/>
  <c r="W22" i="3"/>
  <c r="G22" i="3"/>
  <c r="AZ21" i="3"/>
  <c r="AJ21" i="3"/>
  <c r="T21" i="3"/>
  <c r="BM20" i="3"/>
  <c r="AW20" i="3"/>
  <c r="AG20" i="3"/>
  <c r="Q20" i="3"/>
  <c r="BF19" i="3"/>
  <c r="AP19" i="3"/>
  <c r="Z19" i="3"/>
  <c r="J19" i="3"/>
  <c r="AY18" i="3"/>
  <c r="AI18" i="3"/>
  <c r="S18" i="3"/>
  <c r="BL17" i="3"/>
  <c r="AV17" i="3"/>
  <c r="AF17" i="3"/>
  <c r="P17" i="3"/>
  <c r="BI16" i="3"/>
  <c r="AS16" i="3"/>
  <c r="AC16" i="3"/>
  <c r="M16" i="3"/>
  <c r="BB15" i="3"/>
  <c r="AL15" i="3"/>
  <c r="V15" i="3"/>
  <c r="BK14" i="3"/>
  <c r="AU14" i="3"/>
  <c r="AE14" i="3"/>
  <c r="O14" i="3"/>
  <c r="BH13" i="3"/>
  <c r="AR13" i="3"/>
  <c r="AB13" i="3"/>
  <c r="L13" i="3"/>
  <c r="BE12" i="3"/>
  <c r="AO12" i="3"/>
  <c r="Y12" i="3"/>
  <c r="I12" i="3"/>
  <c r="AX11" i="3"/>
  <c r="AH11" i="3"/>
  <c r="R11" i="3"/>
  <c r="BG10" i="3"/>
  <c r="AQ10" i="3"/>
  <c r="AA10" i="3"/>
  <c r="K10" i="3"/>
  <c r="BD9" i="3"/>
  <c r="AN9" i="3"/>
  <c r="X9" i="3"/>
  <c r="H9" i="3"/>
  <c r="BA8" i="3"/>
  <c r="AK8" i="3"/>
  <c r="U8" i="3"/>
  <c r="BJ7" i="3"/>
  <c r="AT7" i="3"/>
  <c r="AD7" i="3"/>
  <c r="N7" i="3"/>
  <c r="BC6" i="3"/>
  <c r="AM6" i="3"/>
  <c r="W6" i="3"/>
  <c r="G6" i="3"/>
  <c r="AZ5" i="3"/>
  <c r="AJ5" i="3"/>
  <c r="T5" i="3"/>
  <c r="BM4" i="3"/>
  <c r="AW4" i="3"/>
  <c r="AG4" i="3"/>
  <c r="Q4" i="3"/>
  <c r="AJ87" i="3"/>
  <c r="U86" i="3"/>
  <c r="M84" i="3"/>
  <c r="J83" i="3"/>
  <c r="K82" i="3"/>
  <c r="L81" i="3"/>
  <c r="M80" i="3"/>
  <c r="J79" i="3"/>
  <c r="K78" i="3"/>
  <c r="L77" i="3"/>
  <c r="M76" i="3"/>
  <c r="J75" i="3"/>
  <c r="K74" i="3"/>
  <c r="L73" i="3"/>
  <c r="M72" i="3"/>
  <c r="J71" i="3"/>
  <c r="K70" i="3"/>
  <c r="L69" i="3"/>
  <c r="M68" i="3"/>
  <c r="J67" i="3"/>
  <c r="K66" i="3"/>
  <c r="L65" i="3"/>
  <c r="M64" i="3"/>
  <c r="J63" i="3"/>
  <c r="K62" i="3"/>
  <c r="L61" i="3"/>
  <c r="M60" i="3"/>
  <c r="J59" i="3"/>
  <c r="K58" i="3"/>
  <c r="L57" i="3"/>
  <c r="M56" i="3"/>
  <c r="J55" i="3"/>
  <c r="K54" i="3"/>
  <c r="L53" i="3"/>
  <c r="M52" i="3"/>
  <c r="J51" i="3"/>
  <c r="K50" i="3"/>
  <c r="L49" i="3"/>
  <c r="M48" i="3"/>
  <c r="J47" i="3"/>
  <c r="K46" i="3"/>
  <c r="L45" i="3"/>
  <c r="BA42" i="3"/>
  <c r="AH41" i="3"/>
  <c r="S40" i="3"/>
  <c r="BA38" i="3"/>
  <c r="AH37" i="3"/>
  <c r="S36" i="3"/>
  <c r="BA34" i="3"/>
  <c r="AH33" i="3"/>
  <c r="S32" i="3"/>
  <c r="BA30" i="3"/>
  <c r="AH29" i="3"/>
  <c r="S28" i="3"/>
  <c r="BA26" i="3"/>
  <c r="AH25" i="3"/>
  <c r="S24" i="3"/>
  <c r="Z23" i="3"/>
  <c r="BJ22" i="3"/>
  <c r="AT22" i="3"/>
  <c r="AD22" i="3"/>
  <c r="N22" i="3"/>
  <c r="BC21" i="3"/>
  <c r="AM21" i="3"/>
  <c r="W21" i="3"/>
  <c r="G21" i="3"/>
  <c r="AZ20" i="3"/>
  <c r="AJ20" i="3"/>
  <c r="T20" i="3"/>
  <c r="BM19" i="3"/>
  <c r="AW19" i="3"/>
  <c r="AG19" i="3"/>
  <c r="Q19" i="3"/>
  <c r="BF18" i="3"/>
  <c r="AP18" i="3"/>
  <c r="Z18" i="3"/>
  <c r="J18" i="3"/>
  <c r="AY17" i="3"/>
  <c r="AI17" i="3"/>
  <c r="S17" i="3"/>
  <c r="BL16" i="3"/>
  <c r="AV16" i="3"/>
  <c r="AF16" i="3"/>
  <c r="P16" i="3"/>
  <c r="BI15" i="3"/>
  <c r="AS15" i="3"/>
  <c r="AC15" i="3"/>
  <c r="M15" i="3"/>
  <c r="BB14" i="3"/>
  <c r="AL14" i="3"/>
  <c r="V14" i="3"/>
  <c r="BK13" i="3"/>
  <c r="AU13" i="3"/>
  <c r="AE13" i="3"/>
  <c r="O13" i="3"/>
  <c r="BH12" i="3"/>
  <c r="AR12" i="3"/>
  <c r="AB12" i="3"/>
  <c r="L12" i="3"/>
  <c r="BE11" i="3"/>
  <c r="AO11" i="3"/>
  <c r="Y11" i="3"/>
  <c r="I11" i="3"/>
  <c r="AX10" i="3"/>
  <c r="AH10" i="3"/>
  <c r="R10" i="3"/>
  <c r="BG9" i="3"/>
  <c r="AQ9" i="3"/>
  <c r="AA9" i="3"/>
  <c r="K9" i="3"/>
  <c r="BD8" i="3"/>
  <c r="AN8" i="3"/>
  <c r="X8" i="3"/>
  <c r="H8" i="3"/>
  <c r="BA7" i="3"/>
  <c r="AK7" i="3"/>
  <c r="U7" i="3"/>
  <c r="BJ6" i="3"/>
  <c r="AT6" i="3"/>
  <c r="AD6" i="3"/>
  <c r="N6" i="3"/>
  <c r="BC5" i="3"/>
  <c r="AM5" i="3"/>
  <c r="W5" i="3"/>
  <c r="G5" i="3"/>
  <c r="AZ4" i="3"/>
  <c r="AJ4" i="3"/>
  <c r="T4" i="3"/>
  <c r="BL87" i="3"/>
  <c r="BM86" i="3"/>
  <c r="BE84" i="3"/>
  <c r="BB83" i="3"/>
  <c r="AM82" i="3"/>
  <c r="AN81" i="3"/>
  <c r="AO80" i="3"/>
  <c r="AL79" i="3"/>
  <c r="W78" i="3"/>
  <c r="X77" i="3"/>
  <c r="Y76" i="3"/>
  <c r="V75" i="3"/>
  <c r="G74" i="3"/>
  <c r="H73" i="3"/>
  <c r="I72" i="3"/>
  <c r="BC70" i="3"/>
  <c r="BD69" i="3"/>
  <c r="BE68" i="3"/>
  <c r="BB67" i="3"/>
  <c r="AM66" i="3"/>
  <c r="AN65" i="3"/>
  <c r="AO64" i="3"/>
  <c r="AL63" i="3"/>
  <c r="W62" i="3"/>
  <c r="X61" i="3"/>
  <c r="Y60" i="3"/>
  <c r="V59" i="3"/>
  <c r="G58" i="3"/>
  <c r="H57" i="3"/>
  <c r="I56" i="3"/>
  <c r="BC54" i="3"/>
  <c r="BD53" i="3"/>
  <c r="BE52" i="3"/>
  <c r="BB51" i="3"/>
  <c r="AM50" i="3"/>
  <c r="AN49" i="3"/>
  <c r="AO48" i="3"/>
  <c r="AL47" i="3"/>
  <c r="W46" i="3"/>
  <c r="X45" i="3"/>
  <c r="AF43" i="3"/>
  <c r="AG42" i="3"/>
  <c r="AD41" i="3"/>
  <c r="AE40" i="3"/>
  <c r="AF39" i="3"/>
  <c r="AG38" i="3"/>
  <c r="AD37" i="3"/>
  <c r="AE36" i="3"/>
  <c r="AF35" i="3"/>
  <c r="AG34" i="3"/>
  <c r="AD33" i="3"/>
  <c r="AE32" i="3"/>
  <c r="AF31" i="3"/>
  <c r="AG30" i="3"/>
  <c r="AD29" i="3"/>
  <c r="AE28" i="3"/>
  <c r="AF27" i="3"/>
  <c r="AG26" i="3"/>
  <c r="AD25" i="3"/>
  <c r="AE24" i="3"/>
  <c r="AK23" i="3"/>
  <c r="N23" i="3"/>
  <c r="BE22" i="3"/>
  <c r="AO22" i="3"/>
  <c r="Y22" i="3"/>
  <c r="I22" i="3"/>
  <c r="AX21" i="3"/>
  <c r="AH21" i="3"/>
  <c r="R21" i="3"/>
  <c r="BG20" i="3"/>
  <c r="AQ20" i="3"/>
  <c r="AA20" i="3"/>
  <c r="K20" i="3"/>
  <c r="BD19" i="3"/>
  <c r="AN19" i="3"/>
  <c r="X19" i="3"/>
  <c r="H19" i="3"/>
  <c r="BA18" i="3"/>
  <c r="AK18" i="3"/>
  <c r="U18" i="3"/>
  <c r="BJ17" i="3"/>
  <c r="AT17" i="3"/>
  <c r="AD17" i="3"/>
  <c r="N17" i="3"/>
  <c r="BC16" i="3"/>
  <c r="AM16" i="3"/>
  <c r="W16" i="3"/>
  <c r="G16" i="3"/>
  <c r="AZ15" i="3"/>
  <c r="AJ15" i="3"/>
  <c r="T15" i="3"/>
  <c r="BM14" i="3"/>
  <c r="AW14" i="3"/>
  <c r="AG14" i="3"/>
  <c r="Q14" i="3"/>
  <c r="BF13" i="3"/>
  <c r="AP13" i="3"/>
  <c r="Z13" i="3"/>
  <c r="J13" i="3"/>
  <c r="AY12" i="3"/>
  <c r="AI12" i="3"/>
  <c r="S12" i="3"/>
  <c r="BL11" i="3"/>
  <c r="AV11" i="3"/>
  <c r="AF11" i="3"/>
  <c r="P11" i="3"/>
  <c r="BI10" i="3"/>
  <c r="AS10" i="3"/>
  <c r="AC10" i="3"/>
  <c r="M10" i="3"/>
  <c r="BB9" i="3"/>
  <c r="AL9" i="3"/>
  <c r="V9" i="3"/>
  <c r="BK8" i="3"/>
  <c r="AU8" i="3"/>
  <c r="AE8" i="3"/>
  <c r="O8" i="3"/>
  <c r="BH7" i="3"/>
  <c r="AR7" i="3"/>
  <c r="AB7" i="3"/>
  <c r="L7" i="3"/>
  <c r="BE6" i="3"/>
  <c r="AO6" i="3"/>
  <c r="Y6" i="3"/>
  <c r="I6" i="3"/>
  <c r="AX5" i="3"/>
  <c r="AH5" i="3"/>
  <c r="R5" i="3"/>
  <c r="BG4" i="3"/>
  <c r="AQ4" i="3"/>
  <c r="AA4" i="3"/>
  <c r="K4" i="3"/>
  <c r="AB87" i="3"/>
  <c r="AC86" i="3"/>
  <c r="U84" i="3"/>
  <c r="AY82" i="3"/>
  <c r="AJ81" i="3"/>
  <c r="U80" i="3"/>
  <c r="AY78" i="3"/>
  <c r="AJ77" i="3"/>
  <c r="U76" i="3"/>
  <c r="AY74" i="3"/>
  <c r="AJ73" i="3"/>
  <c r="U72" i="3"/>
  <c r="AY70" i="3"/>
  <c r="AJ69" i="3"/>
  <c r="U68" i="3"/>
  <c r="AY66" i="3"/>
  <c r="AJ65" i="3"/>
  <c r="U64" i="3"/>
  <c r="AY62" i="3"/>
  <c r="AJ61" i="3"/>
  <c r="U60" i="3"/>
  <c r="AY58" i="3"/>
  <c r="AJ57" i="3"/>
  <c r="U56" i="3"/>
  <c r="AY54" i="3"/>
  <c r="AJ53" i="3"/>
  <c r="U52" i="3"/>
  <c r="AY50" i="3"/>
  <c r="AJ49" i="3"/>
  <c r="U48" i="3"/>
  <c r="AY46" i="3"/>
  <c r="AJ45" i="3"/>
  <c r="AB43" i="3"/>
  <c r="AC42" i="3"/>
  <c r="Z41" i="3"/>
  <c r="AA40" i="3"/>
  <c r="AB39" i="3"/>
  <c r="AC38" i="3"/>
  <c r="Z37" i="3"/>
  <c r="AA36" i="3"/>
  <c r="AB35" i="3"/>
  <c r="AC34" i="3"/>
  <c r="Z33" i="3"/>
  <c r="AA32" i="3"/>
  <c r="AB31" i="3"/>
  <c r="AC30" i="3"/>
  <c r="Z29" i="3"/>
  <c r="AA28" i="3"/>
  <c r="AB27" i="3"/>
  <c r="AC26" i="3"/>
  <c r="Z25" i="3"/>
  <c r="AA24" i="3"/>
  <c r="AJ23" i="3"/>
  <c r="M23" i="3"/>
  <c r="BD22" i="3"/>
  <c r="AN22" i="3"/>
  <c r="X22" i="3"/>
  <c r="H22" i="3"/>
  <c r="BA21" i="3"/>
  <c r="AK21" i="3"/>
  <c r="U21" i="3"/>
  <c r="BJ20" i="3"/>
  <c r="AT20" i="3"/>
  <c r="AD20" i="3"/>
  <c r="N20" i="3"/>
  <c r="BC19" i="3"/>
  <c r="AM19" i="3"/>
  <c r="W19" i="3"/>
  <c r="G19" i="3"/>
  <c r="AZ18" i="3"/>
  <c r="AJ18" i="3"/>
  <c r="T18" i="3"/>
  <c r="BM17" i="3"/>
  <c r="AW17" i="3"/>
  <c r="AG17" i="3"/>
  <c r="Q17" i="3"/>
  <c r="BF16" i="3"/>
  <c r="AP16" i="3"/>
  <c r="Z16" i="3"/>
  <c r="J16" i="3"/>
  <c r="AY15" i="3"/>
  <c r="AI15" i="3"/>
  <c r="S15" i="3"/>
  <c r="BL14" i="3"/>
  <c r="AV14" i="3"/>
  <c r="AF14" i="3"/>
  <c r="P14" i="3"/>
  <c r="BI13" i="3"/>
  <c r="AS13" i="3"/>
  <c r="AC13" i="3"/>
  <c r="M13" i="3"/>
  <c r="BB12" i="3"/>
  <c r="AL12" i="3"/>
  <c r="V12" i="3"/>
  <c r="BK11" i="3"/>
  <c r="AU11" i="3"/>
  <c r="AE11" i="3"/>
  <c r="O11" i="3"/>
  <c r="BH10" i="3"/>
  <c r="AR10" i="3"/>
  <c r="AB10" i="3"/>
  <c r="L10" i="3"/>
  <c r="BE9" i="3"/>
  <c r="AO9" i="3"/>
  <c r="Y9" i="3"/>
  <c r="I9" i="3"/>
  <c r="AX8" i="3"/>
  <c r="AH8" i="3"/>
  <c r="R8" i="3"/>
  <c r="BG7" i="3"/>
  <c r="AQ7" i="3"/>
  <c r="AA7" i="3"/>
  <c r="K7" i="3"/>
  <c r="BD6" i="3"/>
  <c r="AN6" i="3"/>
  <c r="X6" i="3"/>
  <c r="H6" i="3"/>
  <c r="BA5" i="3"/>
  <c r="AK5" i="3"/>
  <c r="U5" i="3"/>
  <c r="BJ4" i="3"/>
  <c r="AT4" i="3"/>
  <c r="AD4" i="3"/>
  <c r="N4" i="3"/>
  <c r="F43" i="3"/>
  <c r="F61" i="3"/>
  <c r="F193" i="3"/>
  <c r="F204" i="3"/>
  <c r="F244" i="3"/>
  <c r="F369" i="3"/>
  <c r="F466" i="3"/>
  <c r="F26" i="3"/>
  <c r="F38" i="3"/>
  <c r="F171" i="3"/>
  <c r="F182" i="3"/>
  <c r="F340" i="3"/>
  <c r="F406" i="3"/>
  <c r="F431" i="3"/>
  <c r="F491" i="3"/>
  <c r="F113" i="3"/>
  <c r="F131" i="3"/>
  <c r="F143" i="3"/>
  <c r="F301" i="3"/>
  <c r="F314" i="3"/>
  <c r="F376" i="3"/>
  <c r="F448" i="3"/>
  <c r="F31" i="3"/>
  <c r="F115" i="3"/>
  <c r="F138" i="3"/>
  <c r="F145" i="3"/>
  <c r="F303" i="3"/>
  <c r="F316" i="3"/>
  <c r="F378" i="3"/>
  <c r="F450" i="3"/>
  <c r="F52" i="3"/>
  <c r="F69" i="3"/>
  <c r="F201" i="3"/>
  <c r="F213" i="3"/>
  <c r="F253" i="3"/>
  <c r="F379" i="3"/>
  <c r="F483" i="3"/>
  <c r="F19" i="3"/>
  <c r="F47" i="3"/>
  <c r="F179" i="3"/>
  <c r="F190" i="3"/>
  <c r="F348" i="3"/>
  <c r="F355" i="3"/>
  <c r="F439" i="3"/>
  <c r="F482" i="3"/>
  <c r="F121" i="3"/>
  <c r="F132" i="3"/>
  <c r="F151" i="3"/>
  <c r="F309" i="3"/>
  <c r="F322" i="3"/>
  <c r="F384" i="3"/>
  <c r="F457" i="3"/>
  <c r="F48" i="3"/>
  <c r="F123" i="3"/>
  <c r="F140" i="3"/>
  <c r="F153" i="3"/>
  <c r="F311" i="3"/>
  <c r="F324" i="3"/>
  <c r="F386" i="3"/>
  <c r="F459" i="3"/>
  <c r="F60" i="3"/>
  <c r="F77" i="3"/>
  <c r="F210" i="3"/>
  <c r="F221" i="3"/>
  <c r="F261" i="3"/>
  <c r="F387" i="3"/>
  <c r="F416" i="3"/>
  <c r="F11" i="3"/>
  <c r="F55" i="3"/>
  <c r="F187" i="3"/>
  <c r="F198" i="3"/>
  <c r="F238" i="3"/>
  <c r="F363" i="3"/>
  <c r="F453" i="3"/>
  <c r="F490" i="3"/>
  <c r="F130" i="3"/>
  <c r="F256" i="3"/>
  <c r="F159" i="3"/>
  <c r="F317" i="3"/>
  <c r="F330" i="3"/>
  <c r="F392" i="3"/>
  <c r="F465" i="3"/>
  <c r="F64" i="3"/>
  <c r="F134" i="3"/>
  <c r="F264" i="3"/>
  <c r="F161" i="3"/>
  <c r="F319" i="3"/>
  <c r="F333" i="3"/>
  <c r="F394" i="3"/>
  <c r="F467" i="3"/>
  <c r="F68" i="3"/>
  <c r="F86" i="3"/>
  <c r="F218" i="3"/>
  <c r="F229" i="3"/>
  <c r="F269" i="3"/>
  <c r="F395" i="3"/>
  <c r="F424" i="3"/>
  <c r="F29" i="3"/>
  <c r="F63" i="3"/>
  <c r="F195" i="3"/>
  <c r="F206" i="3"/>
  <c r="F246" i="3"/>
  <c r="F371" i="3"/>
  <c r="F470" i="3"/>
  <c r="F25" i="3"/>
  <c r="F148" i="3"/>
  <c r="F156" i="3"/>
  <c r="F168" i="3"/>
  <c r="F325" i="3"/>
  <c r="F339" i="3"/>
  <c r="F400" i="3"/>
  <c r="F473" i="3"/>
  <c r="F170" i="3"/>
  <c r="F170" i="2" l="1"/>
  <c r="F473" i="2"/>
  <c r="F400" i="2"/>
  <c r="F339" i="2"/>
  <c r="F325" i="2"/>
  <c r="F167" i="3"/>
  <c r="F167" i="2" s="1"/>
  <c r="F168" i="2"/>
  <c r="F156" i="2"/>
  <c r="F148" i="2"/>
  <c r="F25" i="2"/>
  <c r="F470" i="2"/>
  <c r="F371" i="2"/>
  <c r="F246" i="2"/>
  <c r="F206" i="2"/>
  <c r="F195" i="2"/>
  <c r="F63" i="2"/>
  <c r="F29" i="2"/>
  <c r="F424" i="2"/>
  <c r="F395" i="2"/>
  <c r="F269" i="2"/>
  <c r="F229" i="2"/>
  <c r="F218" i="2"/>
  <c r="F85" i="3"/>
  <c r="F85" i="2" s="1"/>
  <c r="F86" i="2"/>
  <c r="F68" i="2"/>
  <c r="F467" i="2"/>
  <c r="F394" i="2"/>
  <c r="F333" i="2"/>
  <c r="F319" i="2"/>
  <c r="F161" i="2"/>
  <c r="F264" i="2"/>
  <c r="F134" i="2"/>
  <c r="F64" i="2"/>
  <c r="F465" i="2"/>
  <c r="F392" i="2"/>
  <c r="F330" i="2"/>
  <c r="F317" i="2"/>
  <c r="F159" i="2"/>
  <c r="F256" i="2"/>
  <c r="F130" i="2"/>
  <c r="F490" i="2"/>
  <c r="F453" i="2"/>
  <c r="F363" i="2"/>
  <c r="F238" i="2"/>
  <c r="F198" i="2"/>
  <c r="F187" i="2"/>
  <c r="F55" i="2"/>
  <c r="F11" i="2"/>
  <c r="F416" i="2"/>
  <c r="F387" i="2"/>
  <c r="F261" i="2"/>
  <c r="F221" i="2"/>
  <c r="F210" i="2"/>
  <c r="F77" i="2"/>
  <c r="F60" i="2"/>
  <c r="F459" i="2"/>
  <c r="F386" i="2"/>
  <c r="F324" i="2"/>
  <c r="F311" i="2"/>
  <c r="F153" i="2"/>
  <c r="F140" i="2"/>
  <c r="F123" i="2"/>
  <c r="F48" i="2"/>
  <c r="F457" i="2"/>
  <c r="F384" i="2"/>
  <c r="F322" i="2"/>
  <c r="F309" i="2"/>
  <c r="F151" i="2"/>
  <c r="F132" i="2"/>
  <c r="F121" i="2"/>
  <c r="F482" i="2"/>
  <c r="F439" i="2"/>
  <c r="F355" i="2"/>
  <c r="F348" i="2"/>
  <c r="F190" i="2"/>
  <c r="F179" i="2"/>
  <c r="F47" i="2"/>
  <c r="F19" i="2"/>
  <c r="F483" i="2"/>
  <c r="F379" i="2"/>
  <c r="F253" i="2"/>
  <c r="F213" i="2"/>
  <c r="F201" i="2"/>
  <c r="F69" i="2"/>
  <c r="F52" i="2"/>
  <c r="F450" i="2"/>
  <c r="F378" i="2"/>
  <c r="F316" i="2"/>
  <c r="F303" i="2"/>
  <c r="F145" i="2"/>
  <c r="F138" i="2"/>
  <c r="F115" i="2"/>
  <c r="F31" i="2"/>
  <c r="F448" i="2"/>
  <c r="F376" i="2"/>
  <c r="F314" i="2"/>
  <c r="F301" i="2"/>
  <c r="F143" i="2"/>
  <c r="F131" i="2"/>
  <c r="F113" i="2"/>
  <c r="F491" i="2"/>
  <c r="F431" i="2"/>
  <c r="F406" i="2"/>
  <c r="F340" i="2"/>
  <c r="F182" i="2"/>
  <c r="F171" i="2"/>
  <c r="F38" i="2"/>
  <c r="F26" i="2"/>
  <c r="F466" i="2"/>
  <c r="F369" i="2"/>
  <c r="F244" i="2"/>
  <c r="F204" i="2"/>
  <c r="F193" i="2"/>
  <c r="F61" i="2"/>
  <c r="F43" i="2"/>
  <c r="N3" i="3"/>
  <c r="N3" i="2" s="1"/>
  <c r="N4" i="2"/>
  <c r="AD3" i="3"/>
  <c r="AD3" i="2" s="1"/>
  <c r="AD4" i="2"/>
  <c r="AT3" i="3"/>
  <c r="AT3" i="2" s="1"/>
  <c r="AT4" i="2"/>
  <c r="BJ3" i="3"/>
  <c r="BJ3" i="2" s="1"/>
  <c r="BJ4" i="2"/>
  <c r="U5" i="2"/>
  <c r="AK5" i="2"/>
  <c r="BA5" i="2"/>
  <c r="H6" i="2"/>
  <c r="X6" i="2"/>
  <c r="AN6" i="2"/>
  <c r="BD6" i="2"/>
  <c r="K7" i="2"/>
  <c r="AA7" i="2"/>
  <c r="AQ7" i="2"/>
  <c r="BG7" i="2"/>
  <c r="R8" i="2"/>
  <c r="AH8" i="2"/>
  <c r="AX8" i="2"/>
  <c r="I9" i="2"/>
  <c r="Y9" i="2"/>
  <c r="AO9" i="2"/>
  <c r="BE9" i="2"/>
  <c r="L10" i="2"/>
  <c r="AB10" i="2"/>
  <c r="AR10" i="2"/>
  <c r="BH10" i="2"/>
  <c r="O11" i="2"/>
  <c r="AE11" i="2"/>
  <c r="AU11" i="2"/>
  <c r="BK11" i="2"/>
  <c r="V12" i="2"/>
  <c r="AL12" i="2"/>
  <c r="BB12" i="2"/>
  <c r="M13" i="2"/>
  <c r="AC13" i="2"/>
  <c r="AS13" i="2"/>
  <c r="BI13" i="2"/>
  <c r="P14" i="2"/>
  <c r="AF14" i="2"/>
  <c r="AV14" i="2"/>
  <c r="BL14" i="2"/>
  <c r="S15" i="2"/>
  <c r="AI15" i="2"/>
  <c r="AY15" i="2"/>
  <c r="J16" i="2"/>
  <c r="Z16" i="2"/>
  <c r="AP16" i="2"/>
  <c r="BF16" i="2"/>
  <c r="Q17" i="2"/>
  <c r="AG17" i="2"/>
  <c r="AW17" i="2"/>
  <c r="BM17" i="2"/>
  <c r="T18" i="2"/>
  <c r="AJ18" i="2"/>
  <c r="AZ18" i="2"/>
  <c r="G19" i="2"/>
  <c r="W19" i="2"/>
  <c r="AM19" i="2"/>
  <c r="BC19" i="2"/>
  <c r="N20" i="2"/>
  <c r="AD20" i="2"/>
  <c r="AT20" i="2"/>
  <c r="BJ20" i="2"/>
  <c r="U21" i="2"/>
  <c r="AK21" i="2"/>
  <c r="BA21" i="2"/>
  <c r="H22" i="2"/>
  <c r="X22" i="2"/>
  <c r="AN22" i="2"/>
  <c r="BD22" i="2"/>
  <c r="M23" i="2"/>
  <c r="AJ23" i="2"/>
  <c r="AA24" i="2"/>
  <c r="Z25" i="2"/>
  <c r="AC26" i="2"/>
  <c r="AB27" i="2"/>
  <c r="AA28" i="2"/>
  <c r="Z29" i="2"/>
  <c r="AC30" i="2"/>
  <c r="AB31" i="2"/>
  <c r="AA32" i="2"/>
  <c r="Z33" i="2"/>
  <c r="AC34" i="2"/>
  <c r="AB35" i="2"/>
  <c r="AA36" i="2"/>
  <c r="Z37" i="2"/>
  <c r="AC38" i="2"/>
  <c r="AB39" i="2"/>
  <c r="AA40" i="2"/>
  <c r="Z41" i="2"/>
  <c r="AC42" i="2"/>
  <c r="AB43" i="2"/>
  <c r="AJ44" i="3"/>
  <c r="AJ44" i="2" s="1"/>
  <c r="AJ45" i="2"/>
  <c r="AY46" i="2"/>
  <c r="U48" i="2"/>
  <c r="AJ49" i="2"/>
  <c r="AY50" i="2"/>
  <c r="U52" i="2"/>
  <c r="AJ53" i="2"/>
  <c r="AY54" i="2"/>
  <c r="U56" i="2"/>
  <c r="AJ57" i="2"/>
  <c r="AY58" i="2"/>
  <c r="U60" i="2"/>
  <c r="AJ61" i="2"/>
  <c r="AY62" i="2"/>
  <c r="U64" i="2"/>
  <c r="AJ65" i="2"/>
  <c r="AY66" i="2"/>
  <c r="U68" i="2"/>
  <c r="AJ69" i="2"/>
  <c r="AY70" i="2"/>
  <c r="U72" i="2"/>
  <c r="AJ73" i="2"/>
  <c r="AY74" i="2"/>
  <c r="U76" i="2"/>
  <c r="AJ77" i="2"/>
  <c r="AY78" i="2"/>
  <c r="U80" i="2"/>
  <c r="AJ81" i="2"/>
  <c r="AY82" i="2"/>
  <c r="U84" i="2"/>
  <c r="AC85" i="3"/>
  <c r="AC85" i="2" s="1"/>
  <c r="AC86" i="2"/>
  <c r="AB87" i="2"/>
  <c r="K3" i="3"/>
  <c r="K3" i="2" s="1"/>
  <c r="K4" i="2"/>
  <c r="AA3" i="3"/>
  <c r="AA3" i="2" s="1"/>
  <c r="AA4" i="2"/>
  <c r="AQ3" i="3"/>
  <c r="AQ3" i="2" s="1"/>
  <c r="AQ4" i="2"/>
  <c r="BG3" i="3"/>
  <c r="BG3" i="2" s="1"/>
  <c r="BG4" i="2"/>
  <c r="R5" i="2"/>
  <c r="AH5" i="2"/>
  <c r="AX5" i="2"/>
  <c r="I6" i="2"/>
  <c r="Y6" i="2"/>
  <c r="AO6" i="2"/>
  <c r="BE6" i="2"/>
  <c r="L7" i="2"/>
  <c r="AB7" i="2"/>
  <c r="AR7" i="2"/>
  <c r="BH7" i="2"/>
  <c r="O8" i="2"/>
  <c r="AE8" i="2"/>
  <c r="AU8" i="2"/>
  <c r="BK8" i="2"/>
  <c r="V9" i="2"/>
  <c r="AL9" i="2"/>
  <c r="BB9" i="2"/>
  <c r="M10" i="2"/>
  <c r="AC10" i="2"/>
  <c r="AS10" i="2"/>
  <c r="BI10" i="2"/>
  <c r="P11" i="2"/>
  <c r="AF11" i="2"/>
  <c r="AV11" i="2"/>
  <c r="BL11" i="2"/>
  <c r="S12" i="2"/>
  <c r="AI12" i="2"/>
  <c r="AY12" i="2"/>
  <c r="J13" i="2"/>
  <c r="Z13" i="2"/>
  <c r="AP13" i="2"/>
  <c r="BF13" i="2"/>
  <c r="Q14" i="2"/>
  <c r="AG14" i="2"/>
  <c r="AW14" i="2"/>
  <c r="BM14" i="2"/>
  <c r="T15" i="2"/>
  <c r="AJ15" i="2"/>
  <c r="AZ15" i="2"/>
  <c r="G16" i="2"/>
  <c r="W16" i="2"/>
  <c r="AM16" i="2"/>
  <c r="BC16" i="2"/>
  <c r="N17" i="2"/>
  <c r="AD17" i="2"/>
  <c r="AT17" i="2"/>
  <c r="BJ17" i="2"/>
  <c r="U18" i="2"/>
  <c r="AK18" i="2"/>
  <c r="BA18" i="2"/>
  <c r="H19" i="2"/>
  <c r="X19" i="2"/>
  <c r="AN19" i="2"/>
  <c r="BD19" i="2"/>
  <c r="K20" i="2"/>
  <c r="AA20" i="2"/>
  <c r="AQ20" i="2"/>
  <c r="BG20" i="2"/>
  <c r="R21" i="2"/>
  <c r="AH21" i="2"/>
  <c r="AX21" i="2"/>
  <c r="I22" i="2"/>
  <c r="Y22" i="2"/>
  <c r="AO22" i="2"/>
  <c r="BE22" i="2"/>
  <c r="N23" i="2"/>
  <c r="AK23" i="2"/>
  <c r="AE24" i="2"/>
  <c r="AD25" i="2"/>
  <c r="AG26" i="2"/>
  <c r="AF27" i="2"/>
  <c r="AE28" i="2"/>
  <c r="AD29" i="2"/>
  <c r="AG30" i="2"/>
  <c r="AF31" i="2"/>
  <c r="AE32" i="2"/>
  <c r="AD33" i="2"/>
  <c r="AG34" i="2"/>
  <c r="AF35" i="2"/>
  <c r="AE36" i="2"/>
  <c r="AD37" i="2"/>
  <c r="AG38" i="2"/>
  <c r="AF39" i="2"/>
  <c r="AE40" i="2"/>
  <c r="AD41" i="2"/>
  <c r="AG42" i="2"/>
  <c r="AF43" i="2"/>
  <c r="X44" i="3"/>
  <c r="X44" i="2" s="1"/>
  <c r="X45" i="2"/>
  <c r="W46" i="2"/>
  <c r="AL47" i="2"/>
  <c r="AO48" i="2"/>
  <c r="AN49" i="2"/>
  <c r="AM50" i="2"/>
  <c r="BB51" i="2"/>
  <c r="BE52" i="2"/>
  <c r="BD53" i="2"/>
  <c r="BC54" i="2"/>
  <c r="I56" i="2"/>
  <c r="H57" i="2"/>
  <c r="G58" i="2"/>
  <c r="V59" i="2"/>
  <c r="Y60" i="2"/>
  <c r="X61" i="2"/>
  <c r="W62" i="2"/>
  <c r="AL63" i="2"/>
  <c r="AO64" i="2"/>
  <c r="AN65" i="2"/>
  <c r="AM66" i="2"/>
  <c r="BB67" i="2"/>
  <c r="BE68" i="2"/>
  <c r="BD69" i="2"/>
  <c r="BC70" i="2"/>
  <c r="I72" i="2"/>
  <c r="H73" i="2"/>
  <c r="G74" i="2"/>
  <c r="V75" i="2"/>
  <c r="Y76" i="2"/>
  <c r="X77" i="2"/>
  <c r="W78" i="2"/>
  <c r="AL79" i="2"/>
  <c r="AO80" i="2"/>
  <c r="AN81" i="2"/>
  <c r="AM82" i="2"/>
  <c r="BB83" i="2"/>
  <c r="BE84" i="2"/>
  <c r="BM85" i="3"/>
  <c r="BM85" i="2" s="1"/>
  <c r="BM86" i="2"/>
  <c r="BL87" i="2"/>
  <c r="T3" i="3"/>
  <c r="T3" i="2" s="1"/>
  <c r="T4" i="2"/>
  <c r="AJ3" i="3"/>
  <c r="AJ3" i="2" s="1"/>
  <c r="AJ4" i="2"/>
  <c r="AZ3" i="3"/>
  <c r="AZ3" i="2" s="1"/>
  <c r="AZ4" i="2"/>
  <c r="G5" i="2"/>
  <c r="W5" i="2"/>
  <c r="AM5" i="2"/>
  <c r="BC5" i="2"/>
  <c r="N6" i="2"/>
  <c r="AD6" i="2"/>
  <c r="AT6" i="2"/>
  <c r="BJ6" i="2"/>
  <c r="U7" i="2"/>
  <c r="AK7" i="2"/>
  <c r="BA7" i="2"/>
  <c r="H8" i="2"/>
  <c r="X8" i="2"/>
  <c r="AN8" i="2"/>
  <c r="BD8" i="2"/>
  <c r="K9" i="2"/>
  <c r="AA9" i="2"/>
  <c r="AQ9" i="2"/>
  <c r="BG9" i="2"/>
  <c r="R10" i="2"/>
  <c r="AH10" i="2"/>
  <c r="AX10" i="2"/>
  <c r="I11" i="2"/>
  <c r="Y11" i="2"/>
  <c r="AO11" i="2"/>
  <c r="BE11" i="2"/>
  <c r="L12" i="2"/>
  <c r="AB12" i="2"/>
  <c r="AR12" i="2"/>
  <c r="BH12" i="2"/>
  <c r="O13" i="2"/>
  <c r="AE13" i="2"/>
  <c r="AU13" i="2"/>
  <c r="BK13" i="2"/>
  <c r="V14" i="2"/>
  <c r="AL14" i="2"/>
  <c r="BB14" i="2"/>
  <c r="M15" i="2"/>
  <c r="AC15" i="2"/>
  <c r="AS15" i="2"/>
  <c r="BI15" i="2"/>
  <c r="P16" i="2"/>
  <c r="AF16" i="2"/>
  <c r="AV16" i="2"/>
  <c r="BL16" i="2"/>
  <c r="S17" i="2"/>
  <c r="AI17" i="2"/>
  <c r="AY17" i="2"/>
  <c r="J18" i="2"/>
  <c r="Z18" i="2"/>
  <c r="AP18" i="2"/>
  <c r="BF18" i="2"/>
  <c r="Q19" i="2"/>
  <c r="AG19" i="2"/>
  <c r="AW19" i="2"/>
  <c r="BM19" i="2"/>
  <c r="T20" i="2"/>
  <c r="AJ20" i="2"/>
  <c r="AZ20" i="2"/>
  <c r="G21" i="2"/>
  <c r="W21" i="2"/>
  <c r="AM21" i="2"/>
  <c r="BC21" i="2"/>
  <c r="N22" i="2"/>
  <c r="AD22" i="2"/>
  <c r="AT22" i="2"/>
  <c r="BJ22" i="2"/>
  <c r="Z23" i="2"/>
  <c r="S24" i="2"/>
  <c r="AH25" i="2"/>
  <c r="BA26" i="2"/>
  <c r="S28" i="2"/>
  <c r="AH29" i="2"/>
  <c r="BA30" i="2"/>
  <c r="S32" i="2"/>
  <c r="AH33" i="2"/>
  <c r="BA34" i="2"/>
  <c r="S36" i="2"/>
  <c r="AH37" i="2"/>
  <c r="BA38" i="2"/>
  <c r="S40" i="2"/>
  <c r="AH41" i="2"/>
  <c r="BA42" i="2"/>
  <c r="L44" i="3"/>
  <c r="L44" i="2" s="1"/>
  <c r="L45" i="2"/>
  <c r="K46" i="2"/>
  <c r="J47" i="2"/>
  <c r="M48" i="2"/>
  <c r="L49" i="2"/>
  <c r="K50" i="2"/>
  <c r="J51" i="2"/>
  <c r="M52" i="2"/>
  <c r="L53" i="2"/>
  <c r="K54" i="2"/>
  <c r="J55" i="2"/>
  <c r="M56" i="2"/>
  <c r="L57" i="2"/>
  <c r="K58" i="2"/>
  <c r="J59" i="2"/>
  <c r="M60" i="2"/>
  <c r="L61" i="2"/>
  <c r="K62" i="2"/>
  <c r="J63" i="2"/>
  <c r="M64" i="2"/>
  <c r="L65" i="2"/>
  <c r="K66" i="2"/>
  <c r="J67" i="2"/>
  <c r="M68" i="2"/>
  <c r="L69" i="2"/>
  <c r="K70" i="2"/>
  <c r="J71" i="2"/>
  <c r="M72" i="2"/>
  <c r="L73" i="2"/>
  <c r="K74" i="2"/>
  <c r="J75" i="2"/>
  <c r="M76" i="2"/>
  <c r="L77" i="2"/>
  <c r="K78" i="2"/>
  <c r="J79" i="2"/>
  <c r="M80" i="2"/>
  <c r="L81" i="2"/>
  <c r="K82" i="2"/>
  <c r="J83" i="2"/>
  <c r="M84" i="2"/>
  <c r="U85" i="3"/>
  <c r="U85" i="2" s="1"/>
  <c r="U86" i="2"/>
  <c r="AJ87" i="2"/>
  <c r="Q3" i="3"/>
  <c r="Q3" i="2" s="1"/>
  <c r="Q4" i="2"/>
  <c r="AG3" i="3"/>
  <c r="AG3" i="2" s="1"/>
  <c r="AG4" i="2"/>
  <c r="AW3" i="3"/>
  <c r="AW3" i="2" s="1"/>
  <c r="AW4" i="2"/>
  <c r="BM3" i="3"/>
  <c r="BM3" i="2" s="1"/>
  <c r="BM4" i="2"/>
  <c r="T5" i="2"/>
  <c r="AJ5" i="2"/>
  <c r="AZ5" i="2"/>
  <c r="G6" i="2"/>
  <c r="W6" i="2"/>
  <c r="AM6" i="2"/>
  <c r="BC6" i="2"/>
  <c r="N7" i="2"/>
  <c r="AD7" i="2"/>
  <c r="AT7" i="2"/>
  <c r="BJ7" i="2"/>
  <c r="U8" i="2"/>
  <c r="AK8" i="2"/>
  <c r="BA8" i="2"/>
  <c r="H9" i="2"/>
  <c r="X9" i="2"/>
  <c r="AN9" i="2"/>
  <c r="BD9" i="2"/>
  <c r="K10" i="2"/>
  <c r="AA10" i="2"/>
  <c r="AQ10" i="2"/>
  <c r="BG10" i="2"/>
  <c r="R11" i="2"/>
  <c r="AH11" i="2"/>
  <c r="AX11" i="2"/>
  <c r="I12" i="2"/>
  <c r="Y12" i="2"/>
  <c r="AO12" i="2"/>
  <c r="BE12" i="2"/>
  <c r="L13" i="2"/>
  <c r="AB13" i="2"/>
  <c r="AR13" i="2"/>
  <c r="BH13" i="2"/>
  <c r="O14" i="2"/>
  <c r="AE14" i="2"/>
  <c r="AU14" i="2"/>
  <c r="BK14" i="2"/>
  <c r="V15" i="2"/>
  <c r="AL15" i="2"/>
  <c r="BB15" i="2"/>
  <c r="M16" i="2"/>
  <c r="AC16" i="2"/>
  <c r="AS16" i="2"/>
  <c r="BI16" i="2"/>
  <c r="P17" i="2"/>
  <c r="AF17" i="2"/>
  <c r="AV17" i="2"/>
  <c r="BL17" i="2"/>
  <c r="S18" i="2"/>
  <c r="AI18" i="2"/>
  <c r="AY18" i="2"/>
  <c r="J19" i="2"/>
  <c r="Z19" i="2"/>
  <c r="AP19" i="2"/>
  <c r="BF19" i="2"/>
  <c r="Q20" i="2"/>
  <c r="AG20" i="2"/>
  <c r="AW20" i="2"/>
  <c r="BM20" i="2"/>
  <c r="T21" i="2"/>
  <c r="AJ21" i="2"/>
  <c r="AZ21" i="2"/>
  <c r="G22" i="2"/>
  <c r="W22" i="2"/>
  <c r="AM22" i="2"/>
  <c r="BC22" i="2"/>
  <c r="Q23" i="2"/>
  <c r="AO23" i="2"/>
  <c r="AM24" i="2"/>
  <c r="BB25" i="2"/>
  <c r="BE26" i="2"/>
  <c r="BD27" i="2"/>
  <c r="BC28" i="2"/>
  <c r="I30" i="2"/>
  <c r="H31" i="2"/>
  <c r="G32" i="2"/>
  <c r="V33" i="2"/>
  <c r="Y34" i="2"/>
  <c r="X35" i="2"/>
  <c r="W36" i="2"/>
  <c r="AL37" i="2"/>
  <c r="AO38" i="2"/>
  <c r="AN39" i="2"/>
  <c r="AM40" i="2"/>
  <c r="BB41" i="2"/>
  <c r="BE42" i="2"/>
  <c r="BD43" i="2"/>
  <c r="BL44" i="3"/>
  <c r="BL44" i="2" s="1"/>
  <c r="BL45" i="2"/>
  <c r="BK46" i="2"/>
  <c r="BJ47" i="2"/>
  <c r="BM48" i="2"/>
  <c r="BL49" i="2"/>
  <c r="BK50" i="2"/>
  <c r="BJ51" i="2"/>
  <c r="BM52" i="2"/>
  <c r="BL53" i="2"/>
  <c r="BK54" i="2"/>
  <c r="BJ55" i="2"/>
  <c r="BM56" i="2"/>
  <c r="BL57" i="2"/>
  <c r="BK58" i="2"/>
  <c r="BJ59" i="2"/>
  <c r="BM60" i="2"/>
  <c r="BL61" i="2"/>
  <c r="BK62" i="2"/>
  <c r="BJ63" i="2"/>
  <c r="BM64" i="2"/>
  <c r="BL65" i="2"/>
  <c r="BK66" i="2"/>
  <c r="BJ67" i="2"/>
  <c r="BM68" i="2"/>
  <c r="BL69" i="2"/>
  <c r="BK70" i="2"/>
  <c r="BJ71" i="2"/>
  <c r="BM72" i="2"/>
  <c r="BL73" i="2"/>
  <c r="BK74" i="2"/>
  <c r="BJ75" i="2"/>
  <c r="BM76" i="2"/>
  <c r="BL77" i="2"/>
  <c r="BK78" i="2"/>
  <c r="BJ79" i="2"/>
  <c r="BM80" i="2"/>
  <c r="BL81" i="2"/>
  <c r="BK82" i="2"/>
  <c r="BJ83" i="2"/>
  <c r="BM84" i="2"/>
  <c r="BE85" i="3"/>
  <c r="BE85" i="2" s="1"/>
  <c r="BE86" i="2"/>
  <c r="BD87" i="2"/>
  <c r="S88" i="2"/>
  <c r="AI88" i="2"/>
  <c r="AY88" i="2"/>
  <c r="J89" i="2"/>
  <c r="Z89" i="2"/>
  <c r="AP89" i="2"/>
  <c r="BF89" i="2"/>
  <c r="Q90" i="2"/>
  <c r="AG90" i="2"/>
  <c r="AW90" i="2"/>
  <c r="BM90" i="2"/>
  <c r="T91" i="2"/>
  <c r="AJ91" i="2"/>
  <c r="AZ91" i="2"/>
  <c r="G92" i="2"/>
  <c r="W92" i="2"/>
  <c r="AM92" i="2"/>
  <c r="BC92" i="2"/>
  <c r="N93" i="2"/>
  <c r="AD93" i="2"/>
  <c r="AT93" i="2"/>
  <c r="BJ93" i="2"/>
  <c r="U94" i="2"/>
  <c r="AK94" i="2"/>
  <c r="BA94" i="2"/>
  <c r="H95" i="2"/>
  <c r="X95" i="2"/>
  <c r="AN95" i="2"/>
  <c r="BD95" i="2"/>
  <c r="K96" i="2"/>
  <c r="AA96" i="2"/>
  <c r="AQ96" i="2"/>
  <c r="BG96" i="2"/>
  <c r="R97" i="2"/>
  <c r="AH97" i="2"/>
  <c r="AX97" i="2"/>
  <c r="I98" i="2"/>
  <c r="Y98" i="2"/>
  <c r="AO98" i="2"/>
  <c r="BE98" i="2"/>
  <c r="L99" i="2"/>
  <c r="AB99" i="2"/>
  <c r="AR99" i="2"/>
  <c r="BH99" i="2"/>
  <c r="O100" i="2"/>
  <c r="AE100" i="2"/>
  <c r="AU100" i="2"/>
  <c r="BK100" i="2"/>
  <c r="V101" i="2"/>
  <c r="AL101" i="2"/>
  <c r="BB101" i="2"/>
  <c r="M102" i="2"/>
  <c r="AC102" i="2"/>
  <c r="AS102" i="2"/>
  <c r="BI102" i="2"/>
  <c r="P103" i="2"/>
  <c r="AF103" i="2"/>
  <c r="AV103" i="2"/>
  <c r="BL103" i="2"/>
  <c r="S104" i="2"/>
  <c r="AI104" i="2"/>
  <c r="AY104" i="2"/>
  <c r="J105" i="2"/>
  <c r="Z105" i="2"/>
  <c r="AP105" i="2"/>
  <c r="BF105" i="2"/>
  <c r="Q106" i="2"/>
  <c r="AG106" i="2"/>
  <c r="AW106" i="2"/>
  <c r="BM106" i="2"/>
  <c r="T107" i="2"/>
  <c r="AJ107" i="2"/>
  <c r="AZ107" i="2"/>
  <c r="G108" i="2"/>
  <c r="W108" i="2"/>
  <c r="AM108" i="2"/>
  <c r="BC108" i="2"/>
  <c r="N109" i="2"/>
  <c r="AD109" i="2"/>
  <c r="AT109" i="2"/>
  <c r="BJ109" i="2"/>
  <c r="U110" i="2"/>
  <c r="AK110" i="2"/>
  <c r="BA110" i="2"/>
  <c r="H111" i="2"/>
  <c r="X111" i="2"/>
  <c r="AN111" i="2"/>
  <c r="BD111" i="2"/>
  <c r="K112" i="2"/>
  <c r="AA112" i="2"/>
  <c r="AQ112" i="2"/>
  <c r="BG112" i="2"/>
  <c r="R113" i="2"/>
  <c r="AH113" i="2"/>
  <c r="AX113" i="2"/>
  <c r="K114" i="2"/>
  <c r="AF114" i="2"/>
  <c r="BL114" i="2"/>
  <c r="BE23" i="2"/>
  <c r="L24" i="2"/>
  <c r="AB24" i="2"/>
  <c r="AR24" i="2"/>
  <c r="BH24" i="2"/>
  <c r="O25" i="2"/>
  <c r="AE25" i="2"/>
  <c r="AU25" i="2"/>
  <c r="BK25" i="2"/>
  <c r="V26" i="2"/>
  <c r="AL26" i="2"/>
  <c r="BB26" i="2"/>
  <c r="M27" i="2"/>
  <c r="AC27" i="2"/>
  <c r="AS27" i="2"/>
  <c r="BI27" i="2"/>
  <c r="P28" i="2"/>
  <c r="AF28" i="2"/>
  <c r="AV28" i="2"/>
  <c r="BL28" i="2"/>
  <c r="S29" i="2"/>
  <c r="AI29" i="2"/>
  <c r="AY29" i="2"/>
  <c r="J30" i="2"/>
  <c r="Z30" i="2"/>
  <c r="AP30" i="2"/>
  <c r="BF30" i="2"/>
  <c r="Q31" i="2"/>
  <c r="AG31" i="2"/>
  <c r="AW31" i="2"/>
  <c r="BM31" i="2"/>
  <c r="T32" i="2"/>
  <c r="AJ32" i="2"/>
  <c r="AZ32" i="2"/>
  <c r="G33" i="2"/>
  <c r="W33" i="2"/>
  <c r="AM33" i="2"/>
  <c r="BC33" i="2"/>
  <c r="N34" i="2"/>
  <c r="AD34" i="2"/>
  <c r="AT34" i="2"/>
  <c r="BJ34" i="2"/>
  <c r="U35" i="2"/>
  <c r="AK35" i="2"/>
  <c r="BA35" i="2"/>
  <c r="H36" i="2"/>
  <c r="X36" i="2"/>
  <c r="AN36" i="2"/>
  <c r="BD36" i="2"/>
  <c r="K37" i="2"/>
  <c r="AA37" i="2"/>
  <c r="AQ37" i="2"/>
  <c r="BG37" i="2"/>
  <c r="R38" i="2"/>
  <c r="AH38" i="2"/>
  <c r="AX38" i="2"/>
  <c r="I39" i="2"/>
  <c r="Y39" i="2"/>
  <c r="AO39" i="2"/>
  <c r="BE39" i="2"/>
  <c r="L40" i="2"/>
  <c r="AB40" i="2"/>
  <c r="AR40" i="2"/>
  <c r="BH40" i="2"/>
  <c r="O41" i="2"/>
  <c r="AE41" i="2"/>
  <c r="AU41" i="2"/>
  <c r="BK41" i="2"/>
  <c r="V42" i="2"/>
  <c r="AL42" i="2"/>
  <c r="BB42" i="2"/>
  <c r="M43" i="2"/>
  <c r="AC43" i="2"/>
  <c r="AS43" i="2"/>
  <c r="BI43" i="2"/>
  <c r="Q44" i="3"/>
  <c r="Q44" i="2" s="1"/>
  <c r="Q45" i="2"/>
  <c r="AG44" i="3"/>
  <c r="AG44" i="2" s="1"/>
  <c r="AG45" i="2"/>
  <c r="AW44" i="3"/>
  <c r="AW44" i="2" s="1"/>
  <c r="AW45" i="2"/>
  <c r="BM44" i="3"/>
  <c r="BM44" i="2" s="1"/>
  <c r="BM45" i="2"/>
  <c r="T46" i="2"/>
  <c r="AJ46" i="2"/>
  <c r="AZ46" i="2"/>
  <c r="G47" i="2"/>
  <c r="W47" i="2"/>
  <c r="AM47" i="2"/>
  <c r="BC47" i="2"/>
  <c r="N48" i="2"/>
  <c r="AD48" i="2"/>
  <c r="AT48" i="2"/>
  <c r="BJ48" i="2"/>
  <c r="U49" i="2"/>
  <c r="AK49" i="2"/>
  <c r="BA49" i="2"/>
  <c r="H50" i="2"/>
  <c r="X50" i="2"/>
  <c r="AN50" i="2"/>
  <c r="BD50" i="2"/>
  <c r="K51" i="2"/>
  <c r="AA51" i="2"/>
  <c r="AQ51" i="2"/>
  <c r="BG51" i="2"/>
  <c r="R52" i="2"/>
  <c r="AH52" i="2"/>
  <c r="AX52" i="2"/>
  <c r="I53" i="2"/>
  <c r="Y53" i="2"/>
  <c r="AO53" i="2"/>
  <c r="BE53" i="2"/>
  <c r="L54" i="2"/>
  <c r="AB54" i="2"/>
  <c r="AR54" i="2"/>
  <c r="BH54" i="2"/>
  <c r="O55" i="2"/>
  <c r="AE55" i="2"/>
  <c r="AU55" i="2"/>
  <c r="BK55" i="2"/>
  <c r="V56" i="2"/>
  <c r="AL56" i="2"/>
  <c r="BB56" i="2"/>
  <c r="M57" i="2"/>
  <c r="AC57" i="2"/>
  <c r="AS57" i="2"/>
  <c r="BI57" i="2"/>
  <c r="P58" i="2"/>
  <c r="AF58" i="2"/>
  <c r="AV58" i="2"/>
  <c r="BL58" i="2"/>
  <c r="S59" i="2"/>
  <c r="AI59" i="2"/>
  <c r="AY59" i="2"/>
  <c r="J60" i="2"/>
  <c r="Z60" i="2"/>
  <c r="AP60" i="2"/>
  <c r="BF60" i="2"/>
  <c r="Q61" i="2"/>
  <c r="AG61" i="2"/>
  <c r="AW61" i="2"/>
  <c r="BM61" i="2"/>
  <c r="T62" i="2"/>
  <c r="AJ62" i="2"/>
  <c r="AZ62" i="2"/>
  <c r="G63" i="2"/>
  <c r="W63" i="2"/>
  <c r="AM63" i="2"/>
  <c r="BC63" i="2"/>
  <c r="N64" i="2"/>
  <c r="AD64" i="2"/>
  <c r="AT64" i="2"/>
  <c r="BJ64" i="2"/>
  <c r="U65" i="2"/>
  <c r="AK65" i="2"/>
  <c r="BA65" i="2"/>
  <c r="H66" i="2"/>
  <c r="X66" i="2"/>
  <c r="AN66" i="2"/>
  <c r="BD66" i="2"/>
  <c r="K67" i="2"/>
  <c r="AA67" i="2"/>
  <c r="AQ67" i="2"/>
  <c r="BG67" i="2"/>
  <c r="R68" i="2"/>
  <c r="AH68" i="2"/>
  <c r="AX68" i="2"/>
  <c r="I69" i="2"/>
  <c r="Y69" i="2"/>
  <c r="AO69" i="2"/>
  <c r="BE69" i="2"/>
  <c r="L70" i="2"/>
  <c r="AB70" i="2"/>
  <c r="AR70" i="2"/>
  <c r="BH70" i="2"/>
  <c r="O71" i="2"/>
  <c r="AE71" i="2"/>
  <c r="AU71" i="2"/>
  <c r="BK71" i="2"/>
  <c r="V72" i="2"/>
  <c r="AL72" i="2"/>
  <c r="BB72" i="2"/>
  <c r="M73" i="2"/>
  <c r="AC73" i="2"/>
  <c r="AS73" i="2"/>
  <c r="BI73" i="2"/>
  <c r="P74" i="2"/>
  <c r="AF74" i="2"/>
  <c r="AV74" i="2"/>
  <c r="BL74" i="2"/>
  <c r="S75" i="2"/>
  <c r="AI75" i="2"/>
  <c r="AY75" i="2"/>
  <c r="J76" i="2"/>
  <c r="Z76" i="2"/>
  <c r="AP76" i="2"/>
  <c r="BF76" i="2"/>
  <c r="Q77" i="2"/>
  <c r="AG77" i="2"/>
  <c r="AW77" i="2"/>
  <c r="BM77" i="2"/>
  <c r="T78" i="2"/>
  <c r="AJ78" i="2"/>
  <c r="AZ78" i="2"/>
  <c r="G79" i="2"/>
  <c r="W79" i="2"/>
  <c r="AM79" i="2"/>
  <c r="BC79" i="2"/>
  <c r="N80" i="2"/>
  <c r="AD80" i="2"/>
  <c r="AT80" i="2"/>
  <c r="BJ80" i="2"/>
  <c r="U81" i="2"/>
  <c r="AK81" i="2"/>
  <c r="BA81" i="2"/>
  <c r="H82" i="2"/>
  <c r="X82" i="2"/>
  <c r="AN82" i="2"/>
  <c r="BD82" i="2"/>
  <c r="K83" i="2"/>
  <c r="AA83" i="2"/>
  <c r="AQ83" i="2"/>
  <c r="BG83" i="2"/>
  <c r="R84" i="2"/>
  <c r="AH84" i="2"/>
  <c r="AX84" i="2"/>
  <c r="J85" i="3"/>
  <c r="J85" i="2" s="1"/>
  <c r="J86" i="2"/>
  <c r="Z85" i="3"/>
  <c r="Z85" i="2" s="1"/>
  <c r="Z86" i="2"/>
  <c r="AP85" i="3"/>
  <c r="AP85" i="2" s="1"/>
  <c r="AP86" i="2"/>
  <c r="BF85" i="3"/>
  <c r="BF85" i="2" s="1"/>
  <c r="BF86" i="2"/>
  <c r="Q87" i="2"/>
  <c r="AG87" i="2"/>
  <c r="AW87" i="2"/>
  <c r="BM87" i="2"/>
  <c r="T88" i="2"/>
  <c r="AJ88" i="2"/>
  <c r="AZ88" i="2"/>
  <c r="G89" i="2"/>
  <c r="W89" i="2"/>
  <c r="AM89" i="2"/>
  <c r="BC89" i="2"/>
  <c r="N90" i="2"/>
  <c r="AD90" i="2"/>
  <c r="AT90" i="2"/>
  <c r="BJ90" i="2"/>
  <c r="U91" i="2"/>
  <c r="AK91" i="2"/>
  <c r="BA91" i="2"/>
  <c r="H92" i="2"/>
  <c r="X92" i="2"/>
  <c r="AN92" i="2"/>
  <c r="BD92" i="2"/>
  <c r="K93" i="2"/>
  <c r="AA93" i="2"/>
  <c r="AQ93" i="2"/>
  <c r="BG93" i="2"/>
  <c r="R94" i="2"/>
  <c r="AH94" i="2"/>
  <c r="AX94" i="2"/>
  <c r="I95" i="2"/>
  <c r="Y95" i="2"/>
  <c r="AO95" i="2"/>
  <c r="BE95" i="2"/>
  <c r="L96" i="2"/>
  <c r="AB96" i="2"/>
  <c r="AR96" i="2"/>
  <c r="BH96" i="2"/>
  <c r="O97" i="2"/>
  <c r="AE97" i="2"/>
  <c r="AU97" i="2"/>
  <c r="BK97" i="2"/>
  <c r="V98" i="2"/>
  <c r="AL98" i="2"/>
  <c r="BB98" i="2"/>
  <c r="M99" i="2"/>
  <c r="AC99" i="2"/>
  <c r="AS99" i="2"/>
  <c r="BI99" i="2"/>
  <c r="P100" i="2"/>
  <c r="AF100" i="2"/>
  <c r="AV100" i="2"/>
  <c r="BL100" i="2"/>
  <c r="S101" i="2"/>
  <c r="AI101" i="2"/>
  <c r="AY101" i="2"/>
  <c r="J102" i="2"/>
  <c r="Z102" i="2"/>
  <c r="AP102" i="2"/>
  <c r="BF102" i="2"/>
  <c r="Q103" i="2"/>
  <c r="AG103" i="2"/>
  <c r="AW103" i="2"/>
  <c r="BM103" i="2"/>
  <c r="T104" i="2"/>
  <c r="AJ104" i="2"/>
  <c r="AZ104" i="2"/>
  <c r="G105" i="2"/>
  <c r="W105" i="2"/>
  <c r="AM105" i="2"/>
  <c r="BC105" i="2"/>
  <c r="N106" i="2"/>
  <c r="AD106" i="2"/>
  <c r="AT106" i="2"/>
  <c r="BJ106" i="2"/>
  <c r="U107" i="2"/>
  <c r="AK107" i="2"/>
  <c r="BA107" i="2"/>
  <c r="H108" i="2"/>
  <c r="X108" i="2"/>
  <c r="AN108" i="2"/>
  <c r="BD108" i="2"/>
  <c r="K109" i="2"/>
  <c r="AA109" i="2"/>
  <c r="AQ109" i="2"/>
  <c r="BG109" i="2"/>
  <c r="R110" i="2"/>
  <c r="AH110" i="2"/>
  <c r="AX110" i="2"/>
  <c r="I111" i="2"/>
  <c r="Y111" i="2"/>
  <c r="AO111" i="2"/>
  <c r="BE111" i="2"/>
  <c r="L112" i="2"/>
  <c r="AB112" i="2"/>
  <c r="AR112" i="2"/>
  <c r="BH112" i="2"/>
  <c r="O113" i="2"/>
  <c r="AE113" i="2"/>
  <c r="AU113" i="2"/>
  <c r="BK113" i="2"/>
  <c r="W114" i="2"/>
  <c r="AY114" i="2"/>
  <c r="AP23" i="2"/>
  <c r="BF23" i="2"/>
  <c r="Q24" i="2"/>
  <c r="AG24" i="2"/>
  <c r="AW24" i="2"/>
  <c r="BM24" i="2"/>
  <c r="T25" i="2"/>
  <c r="AJ25" i="2"/>
  <c r="AZ25" i="2"/>
  <c r="G26" i="2"/>
  <c r="W26" i="2"/>
  <c r="AM26" i="2"/>
  <c r="BC26" i="2"/>
  <c r="N27" i="2"/>
  <c r="AD27" i="2"/>
  <c r="AT27" i="2"/>
  <c r="BJ27" i="2"/>
  <c r="U28" i="2"/>
  <c r="AK28" i="2"/>
  <c r="BA28" i="2"/>
  <c r="H29" i="2"/>
  <c r="X29" i="2"/>
  <c r="AN29" i="2"/>
  <c r="BD29" i="2"/>
  <c r="K30" i="2"/>
  <c r="AA30" i="2"/>
  <c r="AQ30" i="2"/>
  <c r="BG30" i="2"/>
  <c r="R31" i="2"/>
  <c r="AH31" i="2"/>
  <c r="AX31" i="2"/>
  <c r="I32" i="2"/>
  <c r="Y32" i="2"/>
  <c r="AO32" i="2"/>
  <c r="BE32" i="2"/>
  <c r="L33" i="2"/>
  <c r="AB33" i="2"/>
  <c r="AR33" i="2"/>
  <c r="BH33" i="2"/>
  <c r="O34" i="2"/>
  <c r="AE34" i="2"/>
  <c r="AU34" i="2"/>
  <c r="BK34" i="2"/>
  <c r="V35" i="2"/>
  <c r="AL35" i="2"/>
  <c r="BB35" i="2"/>
  <c r="M36" i="2"/>
  <c r="AC36" i="2"/>
  <c r="AS36" i="2"/>
  <c r="BI36" i="2"/>
  <c r="P37" i="2"/>
  <c r="AF37" i="2"/>
  <c r="AV37" i="2"/>
  <c r="BL37" i="2"/>
  <c r="S38" i="2"/>
  <c r="AI38" i="2"/>
  <c r="AY38" i="2"/>
  <c r="J39" i="2"/>
  <c r="Z39" i="2"/>
  <c r="AP39" i="2"/>
  <c r="BF39" i="2"/>
  <c r="Q40" i="2"/>
  <c r="AG40" i="2"/>
  <c r="AW40" i="2"/>
  <c r="BM40" i="2"/>
  <c r="T41" i="2"/>
  <c r="AJ41" i="2"/>
  <c r="AZ41" i="2"/>
  <c r="G42" i="2"/>
  <c r="W42" i="2"/>
  <c r="AM42" i="2"/>
  <c r="BC42" i="2"/>
  <c r="N43" i="2"/>
  <c r="AD43" i="2"/>
  <c r="AT43" i="2"/>
  <c r="BJ43" i="2"/>
  <c r="V44" i="3"/>
  <c r="V44" i="2" s="1"/>
  <c r="V45" i="2"/>
  <c r="AL44" i="3"/>
  <c r="AL44" i="2" s="1"/>
  <c r="AL45" i="2"/>
  <c r="BB44" i="3"/>
  <c r="BB44" i="2" s="1"/>
  <c r="BB45" i="2"/>
  <c r="M46" i="2"/>
  <c r="AC46" i="2"/>
  <c r="AS46" i="2"/>
  <c r="BI46" i="2"/>
  <c r="P47" i="2"/>
  <c r="AF47" i="2"/>
  <c r="AV47" i="2"/>
  <c r="BL47" i="2"/>
  <c r="S48" i="2"/>
  <c r="AI48" i="2"/>
  <c r="AY48" i="2"/>
  <c r="J49" i="2"/>
  <c r="Z49" i="2"/>
  <c r="AP49" i="2"/>
  <c r="BF49" i="2"/>
  <c r="Q50" i="2"/>
  <c r="AG50" i="2"/>
  <c r="AW50" i="2"/>
  <c r="BM50" i="2"/>
  <c r="T51" i="2"/>
  <c r="AJ51" i="2"/>
  <c r="AZ51" i="2"/>
  <c r="G52" i="2"/>
  <c r="W52" i="2"/>
  <c r="AM52" i="2"/>
  <c r="BC52" i="2"/>
  <c r="N53" i="2"/>
  <c r="AD53" i="2"/>
  <c r="AT53" i="2"/>
  <c r="BJ53" i="2"/>
  <c r="U54" i="2"/>
  <c r="AK54" i="2"/>
  <c r="BA54" i="2"/>
  <c r="H55" i="2"/>
  <c r="X55" i="2"/>
  <c r="AN55" i="2"/>
  <c r="BD55" i="2"/>
  <c r="K56" i="2"/>
  <c r="AA56" i="2"/>
  <c r="AQ56" i="2"/>
  <c r="BG56" i="2"/>
  <c r="R57" i="2"/>
  <c r="AH57" i="2"/>
  <c r="AX57" i="2"/>
  <c r="I58" i="2"/>
  <c r="Y58" i="2"/>
  <c r="AO58" i="2"/>
  <c r="BE58" i="2"/>
  <c r="L59" i="2"/>
  <c r="AB59" i="2"/>
  <c r="AR59" i="2"/>
  <c r="BH59" i="2"/>
  <c r="O60" i="2"/>
  <c r="AE60" i="2"/>
  <c r="AU60" i="2"/>
  <c r="BK60" i="2"/>
  <c r="V61" i="2"/>
  <c r="AL61" i="2"/>
  <c r="BB61" i="2"/>
  <c r="M62" i="2"/>
  <c r="AC62" i="2"/>
  <c r="AS62" i="2"/>
  <c r="BI62" i="2"/>
  <c r="P63" i="2"/>
  <c r="AF63" i="2"/>
  <c r="AV63" i="2"/>
  <c r="BL63" i="2"/>
  <c r="S64" i="2"/>
  <c r="AI64" i="2"/>
  <c r="AY64" i="2"/>
  <c r="J65" i="2"/>
  <c r="Z65" i="2"/>
  <c r="AP65" i="2"/>
  <c r="BF65" i="2"/>
  <c r="Q66" i="2"/>
  <c r="AG66" i="2"/>
  <c r="AW66" i="2"/>
  <c r="BM66" i="2"/>
  <c r="T67" i="2"/>
  <c r="AJ67" i="2"/>
  <c r="AZ67" i="2"/>
  <c r="G68" i="2"/>
  <c r="W68" i="2"/>
  <c r="AM68" i="2"/>
  <c r="BC68" i="2"/>
  <c r="N69" i="2"/>
  <c r="AD69" i="2"/>
  <c r="AT69" i="2"/>
  <c r="BJ69" i="2"/>
  <c r="U70" i="2"/>
  <c r="AK70" i="2"/>
  <c r="BA70" i="2"/>
  <c r="H71" i="2"/>
  <c r="X71" i="2"/>
  <c r="AN71" i="2"/>
  <c r="BD71" i="2"/>
  <c r="K72" i="2"/>
  <c r="AA72" i="2"/>
  <c r="AQ72" i="2"/>
  <c r="BG72" i="2"/>
  <c r="R73" i="2"/>
  <c r="AH73" i="2"/>
  <c r="AX73" i="2"/>
  <c r="I74" i="2"/>
  <c r="Y74" i="2"/>
  <c r="AO74" i="2"/>
  <c r="BE74" i="2"/>
  <c r="L75" i="2"/>
  <c r="AB75" i="2"/>
  <c r="AR75" i="2"/>
  <c r="BH75" i="2"/>
  <c r="O76" i="2"/>
  <c r="AE76" i="2"/>
  <c r="AU76" i="2"/>
  <c r="BK76" i="2"/>
  <c r="V77" i="2"/>
  <c r="AL77" i="2"/>
  <c r="BB77" i="2"/>
  <c r="M78" i="2"/>
  <c r="AC78" i="2"/>
  <c r="AS78" i="2"/>
  <c r="BI78" i="2"/>
  <c r="P79" i="2"/>
  <c r="AF79" i="2"/>
  <c r="AV79" i="2"/>
  <c r="BL79" i="2"/>
  <c r="S80" i="2"/>
  <c r="AI80" i="2"/>
  <c r="AY80" i="2"/>
  <c r="J81" i="2"/>
  <c r="Z81" i="2"/>
  <c r="AP81" i="2"/>
  <c r="BF81" i="2"/>
  <c r="Q82" i="2"/>
  <c r="AG82" i="2"/>
  <c r="AW82" i="2"/>
  <c r="BM82" i="2"/>
  <c r="T83" i="2"/>
  <c r="AJ83" i="2"/>
  <c r="AZ83" i="2"/>
  <c r="G84" i="2"/>
  <c r="W84" i="2"/>
  <c r="AM84" i="2"/>
  <c r="BC84" i="2"/>
  <c r="K85" i="3"/>
  <c r="K85" i="2" s="1"/>
  <c r="K86" i="2"/>
  <c r="AA85" i="3"/>
  <c r="AA85" i="2" s="1"/>
  <c r="AA86" i="2"/>
  <c r="AQ85" i="3"/>
  <c r="AQ85" i="2" s="1"/>
  <c r="AQ86" i="2"/>
  <c r="BG85" i="3"/>
  <c r="BG85" i="2" s="1"/>
  <c r="BG86" i="2"/>
  <c r="R87" i="2"/>
  <c r="AH87" i="2"/>
  <c r="AX87" i="2"/>
  <c r="I88" i="2"/>
  <c r="Y88" i="2"/>
  <c r="AO88" i="2"/>
  <c r="BE88" i="2"/>
  <c r="L89" i="2"/>
  <c r="AB89" i="2"/>
  <c r="AR89" i="2"/>
  <c r="BH89" i="2"/>
  <c r="O90" i="2"/>
  <c r="AE90" i="2"/>
  <c r="AU90" i="2"/>
  <c r="BK90" i="2"/>
  <c r="V91" i="2"/>
  <c r="AL91" i="2"/>
  <c r="BB91" i="2"/>
  <c r="M92" i="2"/>
  <c r="AC92" i="2"/>
  <c r="AS92" i="2"/>
  <c r="BI92" i="2"/>
  <c r="P93" i="2"/>
  <c r="AF93" i="2"/>
  <c r="AV93" i="2"/>
  <c r="BL93" i="2"/>
  <c r="S94" i="2"/>
  <c r="AI94" i="2"/>
  <c r="AY94" i="2"/>
  <c r="J95" i="2"/>
  <c r="Z95" i="2"/>
  <c r="AP95" i="2"/>
  <c r="BF95" i="2"/>
  <c r="Q96" i="2"/>
  <c r="AG96" i="2"/>
  <c r="AW96" i="2"/>
  <c r="BM96" i="2"/>
  <c r="T97" i="2"/>
  <c r="AJ97" i="2"/>
  <c r="AZ97" i="2"/>
  <c r="G98" i="2"/>
  <c r="W98" i="2"/>
  <c r="AM98" i="2"/>
  <c r="BC98" i="2"/>
  <c r="N99" i="2"/>
  <c r="AD99" i="2"/>
  <c r="AT99" i="2"/>
  <c r="BJ99" i="2"/>
  <c r="U100" i="2"/>
  <c r="AK100" i="2"/>
  <c r="BA100" i="2"/>
  <c r="H101" i="2"/>
  <c r="X101" i="2"/>
  <c r="AN101" i="2"/>
  <c r="BD101" i="2"/>
  <c r="K102" i="2"/>
  <c r="AA102" i="2"/>
  <c r="AQ102" i="2"/>
  <c r="BG102" i="2"/>
  <c r="R103" i="2"/>
  <c r="AH103" i="2"/>
  <c r="AX103" i="2"/>
  <c r="I104" i="2"/>
  <c r="Y104" i="2"/>
  <c r="AO104" i="2"/>
  <c r="BE104" i="2"/>
  <c r="L105" i="2"/>
  <c r="AB105" i="2"/>
  <c r="AR105" i="2"/>
  <c r="BH105" i="2"/>
  <c r="O106" i="2"/>
  <c r="AE106" i="2"/>
  <c r="AU106" i="2"/>
  <c r="BK106" i="2"/>
  <c r="V107" i="2"/>
  <c r="AL107" i="2"/>
  <c r="BB107" i="2"/>
  <c r="M108" i="2"/>
  <c r="AC108" i="2"/>
  <c r="AS108" i="2"/>
  <c r="BI108" i="2"/>
  <c r="P109" i="2"/>
  <c r="AF109" i="2"/>
  <c r="AV109" i="2"/>
  <c r="BL109" i="2"/>
  <c r="S110" i="2"/>
  <c r="AI110" i="2"/>
  <c r="AY110" i="2"/>
  <c r="J111" i="2"/>
  <c r="Z111" i="2"/>
  <c r="AP111" i="2"/>
  <c r="BF111" i="2"/>
  <c r="Q112" i="2"/>
  <c r="AG112" i="2"/>
  <c r="AW112" i="2"/>
  <c r="BM112" i="2"/>
  <c r="T113" i="2"/>
  <c r="AJ113" i="2"/>
  <c r="AZ113" i="2"/>
  <c r="H114" i="2"/>
  <c r="AC114" i="2"/>
  <c r="BH114" i="2"/>
  <c r="S23" i="2"/>
  <c r="AI23" i="2"/>
  <c r="AY23" i="2"/>
  <c r="J24" i="2"/>
  <c r="Z24" i="2"/>
  <c r="AP24" i="2"/>
  <c r="BF24" i="2"/>
  <c r="Q25" i="2"/>
  <c r="AG25" i="2"/>
  <c r="AW25" i="2"/>
  <c r="BM25" i="2"/>
  <c r="T26" i="2"/>
  <c r="AJ26" i="2"/>
  <c r="AZ26" i="2"/>
  <c r="G27" i="2"/>
  <c r="W27" i="2"/>
  <c r="AM27" i="2"/>
  <c r="BC27" i="2"/>
  <c r="N28" i="2"/>
  <c r="AD28" i="2"/>
  <c r="AT28" i="2"/>
  <c r="BJ28" i="2"/>
  <c r="U29" i="2"/>
  <c r="AK29" i="2"/>
  <c r="BA29" i="2"/>
  <c r="H30" i="2"/>
  <c r="X30" i="2"/>
  <c r="AN30" i="2"/>
  <c r="BD30" i="2"/>
  <c r="K31" i="2"/>
  <c r="AA31" i="2"/>
  <c r="AQ31" i="2"/>
  <c r="BG31" i="2"/>
  <c r="R32" i="2"/>
  <c r="AH32" i="2"/>
  <c r="AX32" i="2"/>
  <c r="I33" i="2"/>
  <c r="Y33" i="2"/>
  <c r="AO33" i="2"/>
  <c r="BE33" i="2"/>
  <c r="L34" i="2"/>
  <c r="AB34" i="2"/>
  <c r="AR34" i="2"/>
  <c r="BH34" i="2"/>
  <c r="O35" i="2"/>
  <c r="AE35" i="2"/>
  <c r="AU35" i="2"/>
  <c r="BK35" i="2"/>
  <c r="V36" i="2"/>
  <c r="AL36" i="2"/>
  <c r="BB36" i="2"/>
  <c r="M37" i="2"/>
  <c r="AC37" i="2"/>
  <c r="AS37" i="2"/>
  <c r="BI37" i="2"/>
  <c r="P38" i="2"/>
  <c r="AF38" i="2"/>
  <c r="AV38" i="2"/>
  <c r="BL38" i="2"/>
  <c r="S39" i="2"/>
  <c r="AI39" i="2"/>
  <c r="AY39" i="2"/>
  <c r="J40" i="2"/>
  <c r="Z40" i="2"/>
  <c r="AP40" i="2"/>
  <c r="BF40" i="2"/>
  <c r="Q41" i="2"/>
  <c r="AG41" i="2"/>
  <c r="AW41" i="2"/>
  <c r="BM41" i="2"/>
  <c r="T42" i="2"/>
  <c r="AJ42" i="2"/>
  <c r="AZ42" i="2"/>
  <c r="G43" i="2"/>
  <c r="W43" i="2"/>
  <c r="AM43" i="2"/>
  <c r="BC43" i="2"/>
  <c r="K44" i="3"/>
  <c r="K44" i="2" s="1"/>
  <c r="K45" i="2"/>
  <c r="AA44" i="3"/>
  <c r="AA44" i="2" s="1"/>
  <c r="AA45" i="2"/>
  <c r="AQ44" i="3"/>
  <c r="AQ44" i="2" s="1"/>
  <c r="AQ45" i="2"/>
  <c r="BG44" i="3"/>
  <c r="BG44" i="2" s="1"/>
  <c r="BG45" i="2"/>
  <c r="R46" i="2"/>
  <c r="AH46" i="2"/>
  <c r="AX46" i="2"/>
  <c r="I47" i="2"/>
  <c r="Y47" i="2"/>
  <c r="AO47" i="2"/>
  <c r="BE47" i="2"/>
  <c r="L48" i="2"/>
  <c r="AB48" i="2"/>
  <c r="AR48" i="2"/>
  <c r="BH48" i="2"/>
  <c r="O49" i="2"/>
  <c r="AE49" i="2"/>
  <c r="AU49" i="2"/>
  <c r="BK49" i="2"/>
  <c r="V50" i="2"/>
  <c r="AL50" i="2"/>
  <c r="BB50" i="2"/>
  <c r="M51" i="2"/>
  <c r="AC51" i="2"/>
  <c r="AS51" i="2"/>
  <c r="BI51" i="2"/>
  <c r="P52" i="2"/>
  <c r="AF52" i="2"/>
  <c r="AV52" i="2"/>
  <c r="BL52" i="2"/>
  <c r="S53" i="2"/>
  <c r="AI53" i="2"/>
  <c r="AY53" i="2"/>
  <c r="J54" i="2"/>
  <c r="Z54" i="2"/>
  <c r="AP54" i="2"/>
  <c r="BF54" i="2"/>
  <c r="Q55" i="2"/>
  <c r="AG55" i="2"/>
  <c r="AW55" i="2"/>
  <c r="BM55" i="2"/>
  <c r="T56" i="2"/>
  <c r="AJ56" i="2"/>
  <c r="AZ56" i="2"/>
  <c r="G57" i="2"/>
  <c r="W57" i="2"/>
  <c r="AM57" i="2"/>
  <c r="BC57" i="2"/>
  <c r="N58" i="2"/>
  <c r="AD58" i="2"/>
  <c r="AT58" i="2"/>
  <c r="BJ58" i="2"/>
  <c r="U59" i="2"/>
  <c r="AK59" i="2"/>
  <c r="BA59" i="2"/>
  <c r="H60" i="2"/>
  <c r="X60" i="2"/>
  <c r="AN60" i="2"/>
  <c r="BD60" i="2"/>
  <c r="K61" i="2"/>
  <c r="AA61" i="2"/>
  <c r="AQ61" i="2"/>
  <c r="BG61" i="2"/>
  <c r="R62" i="2"/>
  <c r="AH62" i="2"/>
  <c r="AX62" i="2"/>
  <c r="I63" i="2"/>
  <c r="Y63" i="2"/>
  <c r="AO63" i="2"/>
  <c r="BE63" i="2"/>
  <c r="L64" i="2"/>
  <c r="AB64" i="2"/>
  <c r="AR64" i="2"/>
  <c r="BH64" i="2"/>
  <c r="O65" i="2"/>
  <c r="AE65" i="2"/>
  <c r="AU65" i="2"/>
  <c r="BK65" i="2"/>
  <c r="V66" i="2"/>
  <c r="AL66" i="2"/>
  <c r="BB66" i="2"/>
  <c r="M67" i="2"/>
  <c r="AC67" i="2"/>
  <c r="AS67" i="2"/>
  <c r="BI67" i="2"/>
  <c r="P68" i="2"/>
  <c r="AF68" i="2"/>
  <c r="AV68" i="2"/>
  <c r="BL68" i="2"/>
  <c r="S69" i="2"/>
  <c r="AI69" i="2"/>
  <c r="AY69" i="2"/>
  <c r="J70" i="2"/>
  <c r="Z70" i="2"/>
  <c r="AP70" i="2"/>
  <c r="BF70" i="2"/>
  <c r="Q71" i="2"/>
  <c r="AG71" i="2"/>
  <c r="AW71" i="2"/>
  <c r="BM71" i="2"/>
  <c r="T72" i="2"/>
  <c r="AJ72" i="2"/>
  <c r="AZ72" i="2"/>
  <c r="G73" i="2"/>
  <c r="W73" i="2"/>
  <c r="AM73" i="2"/>
  <c r="BC73" i="2"/>
  <c r="N74" i="2"/>
  <c r="AD74" i="2"/>
  <c r="AT74" i="2"/>
  <c r="BJ74" i="2"/>
  <c r="U75" i="2"/>
  <c r="AK75" i="2"/>
  <c r="BA75" i="2"/>
  <c r="H76" i="2"/>
  <c r="X76" i="2"/>
  <c r="AN76" i="2"/>
  <c r="BD76" i="2"/>
  <c r="K77" i="2"/>
  <c r="AA77" i="2"/>
  <c r="AQ77" i="2"/>
  <c r="BG77" i="2"/>
  <c r="R78" i="2"/>
  <c r="AH78" i="2"/>
  <c r="AX78" i="2"/>
  <c r="I79" i="2"/>
  <c r="Y79" i="2"/>
  <c r="AO79" i="2"/>
  <c r="BE79" i="2"/>
  <c r="L80" i="2"/>
  <c r="AB80" i="2"/>
  <c r="AR80" i="2"/>
  <c r="BH80" i="2"/>
  <c r="O81" i="2"/>
  <c r="AE81" i="2"/>
  <c r="AU81" i="2"/>
  <c r="BK81" i="2"/>
  <c r="V82" i="2"/>
  <c r="AL82" i="2"/>
  <c r="BB82" i="2"/>
  <c r="M83" i="2"/>
  <c r="AC83" i="2"/>
  <c r="AS83" i="2"/>
  <c r="BI83" i="2"/>
  <c r="P84" i="2"/>
  <c r="AF84" i="2"/>
  <c r="AV84" i="2"/>
  <c r="BL84" i="2"/>
  <c r="T85" i="3"/>
  <c r="T85" i="2" s="1"/>
  <c r="T86" i="2"/>
  <c r="AJ85" i="3"/>
  <c r="AJ85" i="2" s="1"/>
  <c r="AJ86" i="2"/>
  <c r="AZ85" i="3"/>
  <c r="AZ85" i="2" s="1"/>
  <c r="AZ86" i="2"/>
  <c r="G87" i="2"/>
  <c r="W87" i="2"/>
  <c r="AM87" i="2"/>
  <c r="BC87" i="2"/>
  <c r="N88" i="2"/>
  <c r="AD88" i="2"/>
  <c r="AT88" i="2"/>
  <c r="BJ88" i="2"/>
  <c r="U89" i="2"/>
  <c r="AK89" i="2"/>
  <c r="BA89" i="2"/>
  <c r="H90" i="2"/>
  <c r="X90" i="2"/>
  <c r="AN90" i="2"/>
  <c r="BD90" i="2"/>
  <c r="K91" i="2"/>
  <c r="AA91" i="2"/>
  <c r="AQ91" i="2"/>
  <c r="BG91" i="2"/>
  <c r="R92" i="2"/>
  <c r="AH92" i="2"/>
  <c r="AX92" i="2"/>
  <c r="I93" i="2"/>
  <c r="Y93" i="2"/>
  <c r="AO93" i="2"/>
  <c r="BE93" i="2"/>
  <c r="L94" i="2"/>
  <c r="AB94" i="2"/>
  <c r="AR94" i="2"/>
  <c r="BH94" i="2"/>
  <c r="O95" i="2"/>
  <c r="AE95" i="2"/>
  <c r="AU95" i="2"/>
  <c r="BK95" i="2"/>
  <c r="V96" i="2"/>
  <c r="AL96" i="2"/>
  <c r="BB96" i="2"/>
  <c r="M97" i="2"/>
  <c r="AC97" i="2"/>
  <c r="AS97" i="2"/>
  <c r="BI97" i="2"/>
  <c r="P98" i="2"/>
  <c r="AF98" i="2"/>
  <c r="AV98" i="2"/>
  <c r="BL98" i="2"/>
  <c r="S99" i="2"/>
  <c r="AI99" i="2"/>
  <c r="AY99" i="2"/>
  <c r="J100" i="2"/>
  <c r="Z100" i="2"/>
  <c r="AP100" i="2"/>
  <c r="BF100" i="2"/>
  <c r="Q101" i="2"/>
  <c r="AG101" i="2"/>
  <c r="AW101" i="2"/>
  <c r="BM101" i="2"/>
  <c r="T102" i="2"/>
  <c r="AJ102" i="2"/>
  <c r="AZ102" i="2"/>
  <c r="G103" i="2"/>
  <c r="W103" i="2"/>
  <c r="AM103" i="2"/>
  <c r="BC103" i="2"/>
  <c r="N104" i="2"/>
  <c r="AD104" i="2"/>
  <c r="AT104" i="2"/>
  <c r="BJ104" i="2"/>
  <c r="U105" i="2"/>
  <c r="AK105" i="2"/>
  <c r="BA105" i="2"/>
  <c r="H106" i="2"/>
  <c r="X106" i="2"/>
  <c r="AN106" i="2"/>
  <c r="BD106" i="2"/>
  <c r="K107" i="2"/>
  <c r="AA107" i="2"/>
  <c r="AQ107" i="2"/>
  <c r="BG107" i="2"/>
  <c r="R108" i="2"/>
  <c r="AH108" i="2"/>
  <c r="AX108" i="2"/>
  <c r="I109" i="2"/>
  <c r="Y109" i="2"/>
  <c r="AO109" i="2"/>
  <c r="BE109" i="2"/>
  <c r="L110" i="2"/>
  <c r="AB110" i="2"/>
  <c r="AR110" i="2"/>
  <c r="BH110" i="2"/>
  <c r="O111" i="2"/>
  <c r="AE111" i="2"/>
  <c r="AU111" i="2"/>
  <c r="BK111" i="2"/>
  <c r="V112" i="2"/>
  <c r="AL112" i="2"/>
  <c r="BB112" i="2"/>
  <c r="M113" i="2"/>
  <c r="AC113" i="2"/>
  <c r="AS113" i="2"/>
  <c r="BI113" i="2"/>
  <c r="T114" i="2"/>
  <c r="AU114" i="2"/>
  <c r="N115" i="2"/>
  <c r="AD115" i="2"/>
  <c r="AT115" i="2"/>
  <c r="BJ115" i="2"/>
  <c r="U116" i="2"/>
  <c r="AK116" i="2"/>
  <c r="BA116" i="2"/>
  <c r="H117" i="2"/>
  <c r="X117" i="2"/>
  <c r="AN117" i="2"/>
  <c r="BD117" i="2"/>
  <c r="K118" i="2"/>
  <c r="AA118" i="2"/>
  <c r="AQ118" i="2"/>
  <c r="BG118" i="2"/>
  <c r="R119" i="2"/>
  <c r="AH119" i="2"/>
  <c r="AX119" i="2"/>
  <c r="I120" i="2"/>
  <c r="Y120" i="2"/>
  <c r="AO120" i="2"/>
  <c r="BE120" i="2"/>
  <c r="L121" i="2"/>
  <c r="AB121" i="2"/>
  <c r="AR121" i="2"/>
  <c r="BH121" i="2"/>
  <c r="O122" i="2"/>
  <c r="AE122" i="2"/>
  <c r="AU122" i="2"/>
  <c r="BK122" i="2"/>
  <c r="V123" i="2"/>
  <c r="AL123" i="2"/>
  <c r="BB123" i="2"/>
  <c r="M124" i="2"/>
  <c r="AC124" i="2"/>
  <c r="AS124" i="2"/>
  <c r="BI124" i="2"/>
  <c r="P125" i="2"/>
  <c r="AF125" i="2"/>
  <c r="AV125" i="2"/>
  <c r="BL125" i="2"/>
  <c r="T126" i="3"/>
  <c r="T126" i="2" s="1"/>
  <c r="T127" i="2"/>
  <c r="AJ126" i="3"/>
  <c r="AJ126" i="2" s="1"/>
  <c r="AJ127" i="2"/>
  <c r="AZ126" i="3"/>
  <c r="AZ126" i="2" s="1"/>
  <c r="AZ127" i="2"/>
  <c r="G128" i="2"/>
  <c r="W128" i="2"/>
  <c r="AM128" i="2"/>
  <c r="BC128" i="2"/>
  <c r="N129" i="2"/>
  <c r="AD129" i="2"/>
  <c r="AT129" i="2"/>
  <c r="BJ129" i="2"/>
  <c r="U130" i="2"/>
  <c r="AK130" i="2"/>
  <c r="BA130" i="2"/>
  <c r="H131" i="2"/>
  <c r="X131" i="2"/>
  <c r="AN131" i="2"/>
  <c r="BD131" i="2"/>
  <c r="K132" i="2"/>
  <c r="AA132" i="2"/>
  <c r="AQ132" i="2"/>
  <c r="BG132" i="2"/>
  <c r="R133" i="2"/>
  <c r="AH133" i="2"/>
  <c r="AX133" i="2"/>
  <c r="I134" i="2"/>
  <c r="Y134" i="2"/>
  <c r="AO134" i="2"/>
  <c r="BE134" i="2"/>
  <c r="L135" i="2"/>
  <c r="AB135" i="2"/>
  <c r="AR135" i="2"/>
  <c r="BH135" i="2"/>
  <c r="O136" i="2"/>
  <c r="AE136" i="2"/>
  <c r="AU136" i="2"/>
  <c r="BK136" i="2"/>
  <c r="V137" i="2"/>
  <c r="AL137" i="2"/>
  <c r="BB137" i="2"/>
  <c r="M138" i="2"/>
  <c r="AC138" i="2"/>
  <c r="AS138" i="2"/>
  <c r="BI138" i="2"/>
  <c r="P139" i="2"/>
  <c r="AF139" i="2"/>
  <c r="AV139" i="2"/>
  <c r="BL139" i="2"/>
  <c r="S140" i="2"/>
  <c r="AI140" i="2"/>
  <c r="AY140" i="2"/>
  <c r="J141" i="2"/>
  <c r="Z141" i="2"/>
  <c r="AP141" i="2"/>
  <c r="BF141" i="2"/>
  <c r="Q142" i="2"/>
  <c r="AG142" i="2"/>
  <c r="AW142" i="2"/>
  <c r="BM142" i="2"/>
  <c r="T143" i="2"/>
  <c r="AJ143" i="2"/>
  <c r="AZ143" i="2"/>
  <c r="G144" i="2"/>
  <c r="W144" i="2"/>
  <c r="AM144" i="2"/>
  <c r="BC144" i="2"/>
  <c r="N145" i="2"/>
  <c r="AD145" i="2"/>
  <c r="AT145" i="2"/>
  <c r="BJ145" i="2"/>
  <c r="U146" i="2"/>
  <c r="AK146" i="2"/>
  <c r="BA146" i="2"/>
  <c r="H147" i="2"/>
  <c r="X147" i="2"/>
  <c r="AN147" i="2"/>
  <c r="BD147" i="2"/>
  <c r="K148" i="2"/>
  <c r="AA148" i="2"/>
  <c r="AQ148" i="2"/>
  <c r="BG148" i="2"/>
  <c r="R149" i="2"/>
  <c r="AH149" i="2"/>
  <c r="AX149" i="2"/>
  <c r="I150" i="2"/>
  <c r="Y150" i="2"/>
  <c r="AO150" i="2"/>
  <c r="BE150" i="2"/>
  <c r="L151" i="2"/>
  <c r="AB151" i="2"/>
  <c r="AR151" i="2"/>
  <c r="BH151" i="2"/>
  <c r="O152" i="2"/>
  <c r="AE152" i="2"/>
  <c r="AU152" i="2"/>
  <c r="BK152" i="2"/>
  <c r="V153" i="2"/>
  <c r="AL153" i="2"/>
  <c r="BB153" i="2"/>
  <c r="M154" i="2"/>
  <c r="AC154" i="2"/>
  <c r="AS154" i="2"/>
  <c r="BI154" i="2"/>
  <c r="P155" i="2"/>
  <c r="AF155" i="2"/>
  <c r="AV155" i="2"/>
  <c r="BL155" i="2"/>
  <c r="S156" i="2"/>
  <c r="AI156" i="2"/>
  <c r="AY156" i="2"/>
  <c r="J157" i="2"/>
  <c r="Z157" i="2"/>
  <c r="AP157" i="2"/>
  <c r="BF157" i="2"/>
  <c r="Q158" i="2"/>
  <c r="AG158" i="2"/>
  <c r="AW158" i="2"/>
  <c r="BM158" i="2"/>
  <c r="T159" i="2"/>
  <c r="AJ159" i="2"/>
  <c r="AZ159" i="2"/>
  <c r="G160" i="2"/>
  <c r="W160" i="2"/>
  <c r="AM160" i="2"/>
  <c r="BC160" i="2"/>
  <c r="N161" i="2"/>
  <c r="AD161" i="2"/>
  <c r="AT161" i="2"/>
  <c r="BJ161" i="2"/>
  <c r="U162" i="2"/>
  <c r="AK162" i="2"/>
  <c r="BA162" i="2"/>
  <c r="H163" i="2"/>
  <c r="X163" i="2"/>
  <c r="AN163" i="2"/>
  <c r="BD163" i="2"/>
  <c r="K164" i="2"/>
  <c r="AA164" i="2"/>
  <c r="AQ164" i="2"/>
  <c r="BG164" i="2"/>
  <c r="R165" i="2"/>
  <c r="AH165" i="2"/>
  <c r="AX165" i="2"/>
  <c r="I166" i="2"/>
  <c r="Y166" i="2"/>
  <c r="AO166" i="2"/>
  <c r="BE166" i="2"/>
  <c r="M167" i="3"/>
  <c r="M167" i="2" s="1"/>
  <c r="M168" i="2"/>
  <c r="AC167" i="3"/>
  <c r="AC167" i="2" s="1"/>
  <c r="AC168" i="2"/>
  <c r="AS167" i="3"/>
  <c r="AS167" i="2" s="1"/>
  <c r="AS168" i="2"/>
  <c r="BI167" i="3"/>
  <c r="BI167" i="2" s="1"/>
  <c r="BI168" i="2"/>
  <c r="P169" i="2"/>
  <c r="AF169" i="2"/>
  <c r="AV169" i="2"/>
  <c r="BL169" i="2"/>
  <c r="S170" i="2"/>
  <c r="AI170" i="2"/>
  <c r="AY170" i="2"/>
  <c r="J171" i="2"/>
  <c r="Z171" i="2"/>
  <c r="AP171" i="2"/>
  <c r="BF171" i="2"/>
  <c r="Q172" i="2"/>
  <c r="AG172" i="2"/>
  <c r="AW172" i="2"/>
  <c r="BM172" i="2"/>
  <c r="T173" i="2"/>
  <c r="AJ173" i="2"/>
  <c r="AZ173" i="2"/>
  <c r="G174" i="2"/>
  <c r="W174" i="2"/>
  <c r="AM174" i="2"/>
  <c r="BC174" i="2"/>
  <c r="N175" i="2"/>
  <c r="AD175" i="2"/>
  <c r="AT175" i="2"/>
  <c r="BJ175" i="2"/>
  <c r="U176" i="2"/>
  <c r="AK176" i="2"/>
  <c r="BA176" i="2"/>
  <c r="H177" i="2"/>
  <c r="X177" i="2"/>
  <c r="AN177" i="2"/>
  <c r="BD177" i="2"/>
  <c r="K178" i="2"/>
  <c r="AA178" i="2"/>
  <c r="AQ178" i="2"/>
  <c r="BG178" i="2"/>
  <c r="R179" i="2"/>
  <c r="AH179" i="2"/>
  <c r="AX179" i="2"/>
  <c r="I180" i="2"/>
  <c r="Y180" i="2"/>
  <c r="AO180" i="2"/>
  <c r="BE180" i="2"/>
  <c r="L181" i="2"/>
  <c r="AB181" i="2"/>
  <c r="AR181" i="2"/>
  <c r="BH181" i="2"/>
  <c r="O182" i="2"/>
  <c r="AE182" i="2"/>
  <c r="AU182" i="2"/>
  <c r="BK182" i="2"/>
  <c r="V183" i="2"/>
  <c r="AL183" i="2"/>
  <c r="BB183" i="2"/>
  <c r="M184" i="2"/>
  <c r="AC184" i="2"/>
  <c r="AS184" i="2"/>
  <c r="BI184" i="2"/>
  <c r="P185" i="2"/>
  <c r="AF185" i="2"/>
  <c r="AV185" i="2"/>
  <c r="BL185" i="2"/>
  <c r="S186" i="2"/>
  <c r="AI186" i="2"/>
  <c r="AY186" i="2"/>
  <c r="J187" i="2"/>
  <c r="Z187" i="2"/>
  <c r="AP187" i="2"/>
  <c r="BF187" i="2"/>
  <c r="Q188" i="2"/>
  <c r="AG188" i="2"/>
  <c r="AW188" i="2"/>
  <c r="BM188" i="2"/>
  <c r="T189" i="2"/>
  <c r="AJ189" i="2"/>
  <c r="AZ189" i="2"/>
  <c r="G190" i="2"/>
  <c r="W190" i="2"/>
  <c r="AM190" i="2"/>
  <c r="BC190" i="2"/>
  <c r="N191" i="2"/>
  <c r="AD191" i="2"/>
  <c r="AT191" i="2"/>
  <c r="BJ191" i="2"/>
  <c r="U192" i="2"/>
  <c r="AK192" i="2"/>
  <c r="BA192" i="2"/>
  <c r="H193" i="2"/>
  <c r="X193" i="2"/>
  <c r="AN193" i="2"/>
  <c r="BD193" i="2"/>
  <c r="K194" i="2"/>
  <c r="AA194" i="2"/>
  <c r="AQ194" i="2"/>
  <c r="BG194" i="2"/>
  <c r="R195" i="2"/>
  <c r="AH195" i="2"/>
  <c r="AX195" i="2"/>
  <c r="I196" i="2"/>
  <c r="Y196" i="2"/>
  <c r="AO196" i="2"/>
  <c r="BE196" i="2"/>
  <c r="L197" i="2"/>
  <c r="AB197" i="2"/>
  <c r="AR197" i="2"/>
  <c r="BH197" i="2"/>
  <c r="O198" i="2"/>
  <c r="AE198" i="2"/>
  <c r="AU198" i="2"/>
  <c r="BK198" i="2"/>
  <c r="V199" i="2"/>
  <c r="AL199" i="2"/>
  <c r="BB199" i="2"/>
  <c r="M200" i="2"/>
  <c r="AG200" i="2"/>
  <c r="BC200" i="2"/>
  <c r="N201" i="2"/>
  <c r="AI201" i="2"/>
  <c r="BD201" i="2"/>
  <c r="V202" i="2"/>
  <c r="AQ202" i="2"/>
  <c r="BM202" i="2"/>
  <c r="Y203" i="2"/>
  <c r="AT203" i="2"/>
  <c r="G204" i="2"/>
  <c r="AB204" i="2"/>
  <c r="AW204" i="2"/>
  <c r="H205" i="2"/>
  <c r="AD205" i="2"/>
  <c r="AY205" i="2"/>
  <c r="Q206" i="2"/>
  <c r="AL206" i="2"/>
  <c r="BG206" i="2"/>
  <c r="O115" i="2"/>
  <c r="AE115" i="2"/>
  <c r="AU115" i="2"/>
  <c r="BK115" i="2"/>
  <c r="V116" i="2"/>
  <c r="AL116" i="2"/>
  <c r="BB116" i="2"/>
  <c r="M117" i="2"/>
  <c r="AC117" i="2"/>
  <c r="AS117" i="2"/>
  <c r="BI117" i="2"/>
  <c r="P118" i="2"/>
  <c r="AF118" i="2"/>
  <c r="AV118" i="2"/>
  <c r="BL118" i="2"/>
  <c r="S119" i="2"/>
  <c r="AI119" i="2"/>
  <c r="AY119" i="2"/>
  <c r="J120" i="2"/>
  <c r="Z120" i="2"/>
  <c r="AP120" i="2"/>
  <c r="BF120" i="2"/>
  <c r="Q121" i="2"/>
  <c r="AG121" i="2"/>
  <c r="AW121" i="2"/>
  <c r="BM121" i="2"/>
  <c r="T122" i="2"/>
  <c r="AJ122" i="2"/>
  <c r="AZ122" i="2"/>
  <c r="G123" i="2"/>
  <c r="W123" i="2"/>
  <c r="AM123" i="2"/>
  <c r="BC123" i="2"/>
  <c r="N124" i="2"/>
  <c r="AD124" i="2"/>
  <c r="AT124" i="2"/>
  <c r="BJ124" i="2"/>
  <c r="U125" i="2"/>
  <c r="AK125" i="2"/>
  <c r="BA125" i="2"/>
  <c r="I126" i="3"/>
  <c r="I126" i="2" s="1"/>
  <c r="I127" i="2"/>
  <c r="Y126" i="3"/>
  <c r="Y126" i="2" s="1"/>
  <c r="Y127" i="2"/>
  <c r="AO126" i="3"/>
  <c r="AO126" i="2" s="1"/>
  <c r="AO127" i="2"/>
  <c r="BE126" i="3"/>
  <c r="BE126" i="2" s="1"/>
  <c r="BE127" i="2"/>
  <c r="L128" i="2"/>
  <c r="AB128" i="2"/>
  <c r="AR128" i="2"/>
  <c r="BH128" i="2"/>
  <c r="O129" i="2"/>
  <c r="AE129" i="2"/>
  <c r="AU129" i="2"/>
  <c r="BK129" i="2"/>
  <c r="V130" i="2"/>
  <c r="AL130" i="2"/>
  <c r="BB130" i="2"/>
  <c r="M131" i="2"/>
  <c r="AC131" i="2"/>
  <c r="AS131" i="2"/>
  <c r="BI131" i="2"/>
  <c r="P132" i="2"/>
  <c r="AF132" i="2"/>
  <c r="AV132" i="2"/>
  <c r="BL132" i="2"/>
  <c r="S133" i="2"/>
  <c r="AI133" i="2"/>
  <c r="AY133" i="2"/>
  <c r="J134" i="2"/>
  <c r="Z134" i="2"/>
  <c r="AP134" i="2"/>
  <c r="BF134" i="2"/>
  <c r="Q135" i="2"/>
  <c r="AG135" i="2"/>
  <c r="AW135" i="2"/>
  <c r="BM135" i="2"/>
  <c r="T136" i="2"/>
  <c r="AJ136" i="2"/>
  <c r="AZ136" i="2"/>
  <c r="G137" i="2"/>
  <c r="W137" i="2"/>
  <c r="AM137" i="2"/>
  <c r="BC137" i="2"/>
  <c r="N138" i="2"/>
  <c r="AD138" i="2"/>
  <c r="AT138" i="2"/>
  <c r="BJ138" i="2"/>
  <c r="U139" i="2"/>
  <c r="AK139" i="2"/>
  <c r="BA139" i="2"/>
  <c r="H140" i="2"/>
  <c r="X140" i="2"/>
  <c r="AN140" i="2"/>
  <c r="BD140" i="2"/>
  <c r="K141" i="2"/>
  <c r="AA141" i="2"/>
  <c r="AQ141" i="2"/>
  <c r="BG141" i="2"/>
  <c r="R142" i="2"/>
  <c r="AH142" i="2"/>
  <c r="AX142" i="2"/>
  <c r="I143" i="2"/>
  <c r="Y143" i="2"/>
  <c r="AO143" i="2"/>
  <c r="BE143" i="2"/>
  <c r="L144" i="2"/>
  <c r="AB144" i="2"/>
  <c r="AR144" i="2"/>
  <c r="BH144" i="2"/>
  <c r="O145" i="2"/>
  <c r="AE145" i="2"/>
  <c r="AU145" i="2"/>
  <c r="BK145" i="2"/>
  <c r="V146" i="2"/>
  <c r="AL146" i="2"/>
  <c r="BB146" i="2"/>
  <c r="M147" i="2"/>
  <c r="AC147" i="2"/>
  <c r="AS147" i="2"/>
  <c r="BI147" i="2"/>
  <c r="P148" i="2"/>
  <c r="AF148" i="2"/>
  <c r="AV148" i="2"/>
  <c r="BL148" i="2"/>
  <c r="S149" i="2"/>
  <c r="AI149" i="2"/>
  <c r="AY149" i="2"/>
  <c r="J150" i="2"/>
  <c r="Z150" i="2"/>
  <c r="AP150" i="2"/>
  <c r="BF150" i="2"/>
  <c r="Q151" i="2"/>
  <c r="AG151" i="2"/>
  <c r="AW151" i="2"/>
  <c r="BM151" i="2"/>
  <c r="T152" i="2"/>
  <c r="AJ152" i="2"/>
  <c r="AZ152" i="2"/>
  <c r="G153" i="2"/>
  <c r="W153" i="2"/>
  <c r="AM153" i="2"/>
  <c r="BC153" i="2"/>
  <c r="N154" i="2"/>
  <c r="AD154" i="2"/>
  <c r="AT154" i="2"/>
  <c r="BJ154" i="2"/>
  <c r="U155" i="2"/>
  <c r="AK155" i="2"/>
  <c r="BA155" i="2"/>
  <c r="H156" i="2"/>
  <c r="X156" i="2"/>
  <c r="AN156" i="2"/>
  <c r="BD156" i="2"/>
  <c r="K157" i="2"/>
  <c r="AA157" i="2"/>
  <c r="AQ157" i="2"/>
  <c r="BG157" i="2"/>
  <c r="R158" i="2"/>
  <c r="AH158" i="2"/>
  <c r="AX158" i="2"/>
  <c r="I159" i="2"/>
  <c r="Y159" i="2"/>
  <c r="AO159" i="2"/>
  <c r="BE159" i="2"/>
  <c r="L160" i="2"/>
  <c r="AB160" i="2"/>
  <c r="AR160" i="2"/>
  <c r="BH160" i="2"/>
  <c r="O161" i="2"/>
  <c r="AE161" i="2"/>
  <c r="AU161" i="2"/>
  <c r="BK161" i="2"/>
  <c r="V162" i="2"/>
  <c r="AL162" i="2"/>
  <c r="BB162" i="2"/>
  <c r="M163" i="2"/>
  <c r="AC163" i="2"/>
  <c r="AS163" i="2"/>
  <c r="BI163" i="2"/>
  <c r="P164" i="2"/>
  <c r="AF164" i="2"/>
  <c r="AV164" i="2"/>
  <c r="BL164" i="2"/>
  <c r="S165" i="2"/>
  <c r="AI165" i="2"/>
  <c r="AY165" i="2"/>
  <c r="J166" i="2"/>
  <c r="Z166" i="2"/>
  <c r="AP166" i="2"/>
  <c r="BF166" i="2"/>
  <c r="R167" i="3"/>
  <c r="R167" i="2" s="1"/>
  <c r="R168" i="2"/>
  <c r="AH167" i="3"/>
  <c r="AH167" i="2" s="1"/>
  <c r="AH168" i="2"/>
  <c r="AX167" i="3"/>
  <c r="AX167" i="2" s="1"/>
  <c r="AX168" i="2"/>
  <c r="I169" i="2"/>
  <c r="Y169" i="2"/>
  <c r="AO169" i="2"/>
  <c r="BE169" i="2"/>
  <c r="L170" i="2"/>
  <c r="AB170" i="2"/>
  <c r="AR170" i="2"/>
  <c r="BH170" i="2"/>
  <c r="O171" i="2"/>
  <c r="AE171" i="2"/>
  <c r="AU171" i="2"/>
  <c r="BK171" i="2"/>
  <c r="V172" i="2"/>
  <c r="AL172" i="2"/>
  <c r="BB172" i="2"/>
  <c r="M173" i="2"/>
  <c r="AC173" i="2"/>
  <c r="AS173" i="2"/>
  <c r="BI173" i="2"/>
  <c r="P174" i="2"/>
  <c r="AF174" i="2"/>
  <c r="AV174" i="2"/>
  <c r="BL174" i="2"/>
  <c r="S175" i="2"/>
  <c r="AI175" i="2"/>
  <c r="AY175" i="2"/>
  <c r="J176" i="2"/>
  <c r="Z176" i="2"/>
  <c r="AP176" i="2"/>
  <c r="BF176" i="2"/>
  <c r="Q177" i="2"/>
  <c r="AG177" i="2"/>
  <c r="AW177" i="2"/>
  <c r="BM177" i="2"/>
  <c r="T178" i="2"/>
  <c r="AJ178" i="2"/>
  <c r="AZ178" i="2"/>
  <c r="G179" i="2"/>
  <c r="W179" i="2"/>
  <c r="AM179" i="2"/>
  <c r="BC179" i="2"/>
  <c r="N180" i="2"/>
  <c r="AD180" i="2"/>
  <c r="AT180" i="2"/>
  <c r="BJ180" i="2"/>
  <c r="U181" i="2"/>
  <c r="AK181" i="2"/>
  <c r="BA181" i="2"/>
  <c r="H182" i="2"/>
  <c r="X182" i="2"/>
  <c r="AN182" i="2"/>
  <c r="BD182" i="2"/>
  <c r="K183" i="2"/>
  <c r="AA183" i="2"/>
  <c r="AQ183" i="2"/>
  <c r="BG183" i="2"/>
  <c r="R184" i="2"/>
  <c r="AH184" i="2"/>
  <c r="AX184" i="2"/>
  <c r="I185" i="2"/>
  <c r="Y185" i="2"/>
  <c r="AO185" i="2"/>
  <c r="BE185" i="2"/>
  <c r="L186" i="2"/>
  <c r="AB186" i="2"/>
  <c r="AR186" i="2"/>
  <c r="BH186" i="2"/>
  <c r="O187" i="2"/>
  <c r="AE187" i="2"/>
  <c r="AU187" i="2"/>
  <c r="BK187" i="2"/>
  <c r="V188" i="2"/>
  <c r="AL188" i="2"/>
  <c r="BB188" i="2"/>
  <c r="M189" i="2"/>
  <c r="AC189" i="2"/>
  <c r="AS189" i="2"/>
  <c r="BI189" i="2"/>
  <c r="P190" i="2"/>
  <c r="AF190" i="2"/>
  <c r="AV190" i="2"/>
  <c r="BL190" i="2"/>
  <c r="S191" i="2"/>
  <c r="AI191" i="2"/>
  <c r="AY191" i="2"/>
  <c r="J192" i="2"/>
  <c r="Z192" i="2"/>
  <c r="AP192" i="2"/>
  <c r="BF192" i="2"/>
  <c r="Q193" i="2"/>
  <c r="AG193" i="2"/>
  <c r="AW193" i="2"/>
  <c r="BM193" i="2"/>
  <c r="T194" i="2"/>
  <c r="AJ194" i="2"/>
  <c r="AZ194" i="2"/>
  <c r="G195" i="2"/>
  <c r="W195" i="2"/>
  <c r="AM195" i="2"/>
  <c r="BC195" i="2"/>
  <c r="N196" i="2"/>
  <c r="AD196" i="2"/>
  <c r="AT196" i="2"/>
  <c r="BJ196" i="2"/>
  <c r="U197" i="2"/>
  <c r="AK197" i="2"/>
  <c r="BA197" i="2"/>
  <c r="H198" i="2"/>
  <c r="X198" i="2"/>
  <c r="AN198" i="2"/>
  <c r="BD198" i="2"/>
  <c r="K199" i="2"/>
  <c r="AA199" i="2"/>
  <c r="AQ199" i="2"/>
  <c r="BG199" i="2"/>
  <c r="S200" i="2"/>
  <c r="AN200" i="2"/>
  <c r="BI200" i="2"/>
  <c r="Z201" i="2"/>
  <c r="AU201" i="2"/>
  <c r="G202" i="2"/>
  <c r="AC202" i="2"/>
  <c r="AX202" i="2"/>
  <c r="P203" i="2"/>
  <c r="AK203" i="2"/>
  <c r="BF203" i="2"/>
  <c r="S204" i="2"/>
  <c r="AN204" i="2"/>
  <c r="BI204" i="2"/>
  <c r="Z205" i="2"/>
  <c r="AU205" i="2"/>
  <c r="G206" i="2"/>
  <c r="AC206" i="2"/>
  <c r="AX206" i="2"/>
  <c r="AK114" i="2"/>
  <c r="BA114" i="2"/>
  <c r="H115" i="2"/>
  <c r="X115" i="2"/>
  <c r="AN115" i="2"/>
  <c r="BD115" i="2"/>
  <c r="K116" i="2"/>
  <c r="AA116" i="2"/>
  <c r="AQ116" i="2"/>
  <c r="BG116" i="2"/>
  <c r="R117" i="2"/>
  <c r="AH117" i="2"/>
  <c r="AX117" i="2"/>
  <c r="I118" i="2"/>
  <c r="Y118" i="2"/>
  <c r="AO118" i="2"/>
  <c r="BE118" i="2"/>
  <c r="L119" i="2"/>
  <c r="AB119" i="2"/>
  <c r="AR119" i="2"/>
  <c r="BH119" i="2"/>
  <c r="O120" i="2"/>
  <c r="AE120" i="2"/>
  <c r="AU120" i="2"/>
  <c r="BK120" i="2"/>
  <c r="V121" i="2"/>
  <c r="AL121" i="2"/>
  <c r="BB121" i="2"/>
  <c r="M122" i="2"/>
  <c r="AC122" i="2"/>
  <c r="AS122" i="2"/>
  <c r="BI122" i="2"/>
  <c r="P123" i="2"/>
  <c r="AF123" i="2"/>
  <c r="AV123" i="2"/>
  <c r="BL123" i="2"/>
  <c r="S124" i="2"/>
  <c r="AI124" i="2"/>
  <c r="AY124" i="2"/>
  <c r="J125" i="2"/>
  <c r="Z125" i="2"/>
  <c r="AP125" i="2"/>
  <c r="BF125" i="2"/>
  <c r="R126" i="3"/>
  <c r="R126" i="2" s="1"/>
  <c r="R127" i="2"/>
  <c r="AH126" i="3"/>
  <c r="AH126" i="2" s="1"/>
  <c r="AH127" i="2"/>
  <c r="AX126" i="3"/>
  <c r="AX126" i="2" s="1"/>
  <c r="AX127" i="2"/>
  <c r="I128" i="2"/>
  <c r="Y128" i="2"/>
  <c r="AO128" i="2"/>
  <c r="BE128" i="2"/>
  <c r="L129" i="2"/>
  <c r="AB129" i="2"/>
  <c r="AR129" i="2"/>
  <c r="BH129" i="2"/>
  <c r="O130" i="2"/>
  <c r="AE130" i="2"/>
  <c r="AU130" i="2"/>
  <c r="BK130" i="2"/>
  <c r="V131" i="2"/>
  <c r="AL131" i="2"/>
  <c r="BB131" i="2"/>
  <c r="M132" i="2"/>
  <c r="AC132" i="2"/>
  <c r="AS132" i="2"/>
  <c r="BI132" i="2"/>
  <c r="P133" i="2"/>
  <c r="AF133" i="2"/>
  <c r="AV133" i="2"/>
  <c r="BL133" i="2"/>
  <c r="S134" i="2"/>
  <c r="AI134" i="2"/>
  <c r="AY134" i="2"/>
  <c r="J135" i="2"/>
  <c r="Z135" i="2"/>
  <c r="AP135" i="2"/>
  <c r="BF135" i="2"/>
  <c r="Q136" i="2"/>
  <c r="AG136" i="2"/>
  <c r="AW136" i="2"/>
  <c r="BM136" i="2"/>
  <c r="T137" i="2"/>
  <c r="AJ137" i="2"/>
  <c r="AZ137" i="2"/>
  <c r="G138" i="2"/>
  <c r="W138" i="2"/>
  <c r="AM138" i="2"/>
  <c r="BC138" i="2"/>
  <c r="N139" i="2"/>
  <c r="AD139" i="2"/>
  <c r="AT139" i="2"/>
  <c r="BJ139" i="2"/>
  <c r="U140" i="2"/>
  <c r="AK140" i="2"/>
  <c r="BA140" i="2"/>
  <c r="H141" i="2"/>
  <c r="X141" i="2"/>
  <c r="AN141" i="2"/>
  <c r="BD141" i="2"/>
  <c r="K142" i="2"/>
  <c r="AA142" i="2"/>
  <c r="AQ142" i="2"/>
  <c r="BG142" i="2"/>
  <c r="R143" i="2"/>
  <c r="AH143" i="2"/>
  <c r="AX143" i="2"/>
  <c r="I144" i="2"/>
  <c r="Y144" i="2"/>
  <c r="AO144" i="2"/>
  <c r="BE144" i="2"/>
  <c r="L145" i="2"/>
  <c r="AB145" i="2"/>
  <c r="AR145" i="2"/>
  <c r="BH145" i="2"/>
  <c r="O146" i="2"/>
  <c r="AE146" i="2"/>
  <c r="AU146" i="2"/>
  <c r="BK146" i="2"/>
  <c r="V147" i="2"/>
  <c r="AL147" i="2"/>
  <c r="BB147" i="2"/>
  <c r="M148" i="2"/>
  <c r="AC148" i="2"/>
  <c r="AS148" i="2"/>
  <c r="BI148" i="2"/>
  <c r="P149" i="2"/>
  <c r="AF149" i="2"/>
  <c r="AV149" i="2"/>
  <c r="BL149" i="2"/>
  <c r="S150" i="2"/>
  <c r="AI150" i="2"/>
  <c r="AY150" i="2"/>
  <c r="J151" i="2"/>
  <c r="Z151" i="2"/>
  <c r="AP151" i="2"/>
  <c r="BF151" i="2"/>
  <c r="Q152" i="2"/>
  <c r="AG152" i="2"/>
  <c r="AW152" i="2"/>
  <c r="BM152" i="2"/>
  <c r="T153" i="2"/>
  <c r="AJ153" i="2"/>
  <c r="AZ153" i="2"/>
  <c r="G154" i="2"/>
  <c r="W154" i="2"/>
  <c r="AM154" i="2"/>
  <c r="BC154" i="2"/>
  <c r="N155" i="2"/>
  <c r="AD155" i="2"/>
  <c r="AT155" i="2"/>
  <c r="BJ155" i="2"/>
  <c r="U156" i="2"/>
  <c r="AK156" i="2"/>
  <c r="BA156" i="2"/>
  <c r="H157" i="2"/>
  <c r="X157" i="2"/>
  <c r="AN157" i="2"/>
  <c r="BD157" i="2"/>
  <c r="K158" i="2"/>
  <c r="AA158" i="2"/>
  <c r="AQ158" i="2"/>
  <c r="BG158" i="2"/>
  <c r="R159" i="2"/>
  <c r="AH159" i="2"/>
  <c r="AX159" i="2"/>
  <c r="I160" i="2"/>
  <c r="Y160" i="2"/>
  <c r="AO160" i="2"/>
  <c r="BE160" i="2"/>
  <c r="L161" i="2"/>
  <c r="AB161" i="2"/>
  <c r="AR161" i="2"/>
  <c r="BH161" i="2"/>
  <c r="O162" i="2"/>
  <c r="AE162" i="2"/>
  <c r="AU162" i="2"/>
  <c r="BK162" i="2"/>
  <c r="V163" i="2"/>
  <c r="AL163" i="2"/>
  <c r="BB163" i="2"/>
  <c r="M164" i="2"/>
  <c r="AC164" i="2"/>
  <c r="AS164" i="2"/>
  <c r="BI164" i="2"/>
  <c r="P165" i="2"/>
  <c r="AF165" i="2"/>
  <c r="AV165" i="2"/>
  <c r="BL165" i="2"/>
  <c r="S166" i="2"/>
  <c r="AI166" i="2"/>
  <c r="AY166" i="2"/>
  <c r="G167" i="3"/>
  <c r="G167" i="2" s="1"/>
  <c r="G168" i="2"/>
  <c r="W167" i="3"/>
  <c r="W167" i="2" s="1"/>
  <c r="W168" i="2"/>
  <c r="AM167" i="3"/>
  <c r="AM167" i="2" s="1"/>
  <c r="AM168" i="2"/>
  <c r="BC167" i="3"/>
  <c r="BC167" i="2" s="1"/>
  <c r="BC168" i="2"/>
  <c r="N169" i="2"/>
  <c r="AD169" i="2"/>
  <c r="AT169" i="2"/>
  <c r="BJ169" i="2"/>
  <c r="U170" i="2"/>
  <c r="AK170" i="2"/>
  <c r="BA170" i="2"/>
  <c r="H171" i="2"/>
  <c r="X171" i="2"/>
  <c r="AN171" i="2"/>
  <c r="BD171" i="2"/>
  <c r="K172" i="2"/>
  <c r="AA172" i="2"/>
  <c r="AQ172" i="2"/>
  <c r="BG172" i="2"/>
  <c r="R173" i="2"/>
  <c r="AH173" i="2"/>
  <c r="AX173" i="2"/>
  <c r="I174" i="2"/>
  <c r="Y174" i="2"/>
  <c r="AO174" i="2"/>
  <c r="BE174" i="2"/>
  <c r="L175" i="2"/>
  <c r="AB175" i="2"/>
  <c r="AR175" i="2"/>
  <c r="BH175" i="2"/>
  <c r="O176" i="2"/>
  <c r="AE176" i="2"/>
  <c r="AU176" i="2"/>
  <c r="BK176" i="2"/>
  <c r="V177" i="2"/>
  <c r="AL177" i="2"/>
  <c r="BB177" i="2"/>
  <c r="M178" i="2"/>
  <c r="AC178" i="2"/>
  <c r="AS178" i="2"/>
  <c r="BI178" i="2"/>
  <c r="P179" i="2"/>
  <c r="AF179" i="2"/>
  <c r="AV179" i="2"/>
  <c r="BL179" i="2"/>
  <c r="S180" i="2"/>
  <c r="AI180" i="2"/>
  <c r="AY180" i="2"/>
  <c r="J181" i="2"/>
  <c r="Z181" i="2"/>
  <c r="AP181" i="2"/>
  <c r="BF181" i="2"/>
  <c r="Q182" i="2"/>
  <c r="AG182" i="2"/>
  <c r="AW182" i="2"/>
  <c r="BM182" i="2"/>
  <c r="T183" i="2"/>
  <c r="AJ183" i="2"/>
  <c r="AZ183" i="2"/>
  <c r="G184" i="2"/>
  <c r="W184" i="2"/>
  <c r="AM184" i="2"/>
  <c r="BC184" i="2"/>
  <c r="N185" i="2"/>
  <c r="AD185" i="2"/>
  <c r="AT185" i="2"/>
  <c r="BJ185" i="2"/>
  <c r="U186" i="2"/>
  <c r="AK186" i="2"/>
  <c r="BA186" i="2"/>
  <c r="H187" i="2"/>
  <c r="X187" i="2"/>
  <c r="AN187" i="2"/>
  <c r="BD187" i="2"/>
  <c r="K188" i="2"/>
  <c r="AA188" i="2"/>
  <c r="AQ188" i="2"/>
  <c r="BG188" i="2"/>
  <c r="R189" i="2"/>
  <c r="AH189" i="2"/>
  <c r="AX189" i="2"/>
  <c r="I190" i="2"/>
  <c r="Y190" i="2"/>
  <c r="AO190" i="2"/>
  <c r="BE190" i="2"/>
  <c r="L191" i="2"/>
  <c r="AB191" i="2"/>
  <c r="AR191" i="2"/>
  <c r="BH191" i="2"/>
  <c r="O192" i="2"/>
  <c r="AE192" i="2"/>
  <c r="AU192" i="2"/>
  <c r="BK192" i="2"/>
  <c r="V193" i="2"/>
  <c r="AL193" i="2"/>
  <c r="BB193" i="2"/>
  <c r="M194" i="2"/>
  <c r="AC194" i="2"/>
  <c r="AS194" i="2"/>
  <c r="BI194" i="2"/>
  <c r="P195" i="2"/>
  <c r="AF195" i="2"/>
  <c r="AV195" i="2"/>
  <c r="BL195" i="2"/>
  <c r="S196" i="2"/>
  <c r="AI196" i="2"/>
  <c r="AY196" i="2"/>
  <c r="J197" i="2"/>
  <c r="Z197" i="2"/>
  <c r="AP197" i="2"/>
  <c r="BF197" i="2"/>
  <c r="Q198" i="2"/>
  <c r="AG198" i="2"/>
  <c r="AW198" i="2"/>
  <c r="BM198" i="2"/>
  <c r="T199" i="2"/>
  <c r="AJ199" i="2"/>
  <c r="AZ199" i="2"/>
  <c r="G200" i="2"/>
  <c r="Y200" i="2"/>
  <c r="AU200" i="2"/>
  <c r="K201" i="2"/>
  <c r="AF201" i="2"/>
  <c r="BB201" i="2"/>
  <c r="N202" i="2"/>
  <c r="AI202" i="2"/>
  <c r="BE202" i="2"/>
  <c r="V203" i="2"/>
  <c r="AR203" i="2"/>
  <c r="BM203" i="2"/>
  <c r="Y204" i="2"/>
  <c r="AU204" i="2"/>
  <c r="K205" i="2"/>
  <c r="AF205" i="2"/>
  <c r="BB205" i="2"/>
  <c r="N206" i="2"/>
  <c r="AI206" i="2"/>
  <c r="BE206" i="2"/>
  <c r="R114" i="2"/>
  <c r="AH114" i="2"/>
  <c r="AX114" i="2"/>
  <c r="I115" i="2"/>
  <c r="Y115" i="2"/>
  <c r="AO115" i="2"/>
  <c r="BE115" i="2"/>
  <c r="L116" i="2"/>
  <c r="AB116" i="2"/>
  <c r="AR116" i="2"/>
  <c r="BH116" i="2"/>
  <c r="O117" i="2"/>
  <c r="AE117" i="2"/>
  <c r="AU117" i="2"/>
  <c r="BK117" i="2"/>
  <c r="V118" i="2"/>
  <c r="AL118" i="2"/>
  <c r="BB118" i="2"/>
  <c r="M119" i="2"/>
  <c r="AC119" i="2"/>
  <c r="AS119" i="2"/>
  <c r="BI119" i="2"/>
  <c r="P120" i="2"/>
  <c r="AF120" i="2"/>
  <c r="AV120" i="2"/>
  <c r="BL120" i="2"/>
  <c r="S121" i="2"/>
  <c r="AI121" i="2"/>
  <c r="AY121" i="2"/>
  <c r="J122" i="2"/>
  <c r="Z122" i="2"/>
  <c r="AP122" i="2"/>
  <c r="BF122" i="2"/>
  <c r="Q123" i="2"/>
  <c r="AG123" i="2"/>
  <c r="AW123" i="2"/>
  <c r="BM123" i="2"/>
  <c r="T124" i="2"/>
  <c r="AJ124" i="2"/>
  <c r="AZ124" i="2"/>
  <c r="G125" i="2"/>
  <c r="W125" i="2"/>
  <c r="AM125" i="2"/>
  <c r="BC125" i="2"/>
  <c r="K126" i="3"/>
  <c r="K126" i="2" s="1"/>
  <c r="K127" i="2"/>
  <c r="AA126" i="3"/>
  <c r="AA126" i="2" s="1"/>
  <c r="AA127" i="2"/>
  <c r="AQ126" i="3"/>
  <c r="AQ126" i="2" s="1"/>
  <c r="AQ127" i="2"/>
  <c r="BG126" i="3"/>
  <c r="BG126" i="2" s="1"/>
  <c r="BG127" i="2"/>
  <c r="R128" i="2"/>
  <c r="AH128" i="2"/>
  <c r="AX128" i="2"/>
  <c r="I129" i="2"/>
  <c r="Y129" i="2"/>
  <c r="AO129" i="2"/>
  <c r="BE129" i="2"/>
  <c r="L130" i="2"/>
  <c r="AB130" i="2"/>
  <c r="AR130" i="2"/>
  <c r="BH130" i="2"/>
  <c r="O131" i="2"/>
  <c r="AE131" i="2"/>
  <c r="AU131" i="2"/>
  <c r="BK131" i="2"/>
  <c r="V132" i="2"/>
  <c r="AL132" i="2"/>
  <c r="BB132" i="2"/>
  <c r="M133" i="2"/>
  <c r="AC133" i="2"/>
  <c r="AS133" i="2"/>
  <c r="BI133" i="2"/>
  <c r="P134" i="2"/>
  <c r="AF134" i="2"/>
  <c r="AV134" i="2"/>
  <c r="BL134" i="2"/>
  <c r="S135" i="2"/>
  <c r="AI135" i="2"/>
  <c r="AY135" i="2"/>
  <c r="J136" i="2"/>
  <c r="Z136" i="2"/>
  <c r="AP136" i="2"/>
  <c r="BF136" i="2"/>
  <c r="Q137" i="2"/>
  <c r="AG137" i="2"/>
  <c r="AW137" i="2"/>
  <c r="BM137" i="2"/>
  <c r="T138" i="2"/>
  <c r="AJ138" i="2"/>
  <c r="AZ138" i="2"/>
  <c r="G139" i="2"/>
  <c r="W139" i="2"/>
  <c r="AM139" i="2"/>
  <c r="BC139" i="2"/>
  <c r="N140" i="2"/>
  <c r="AD140" i="2"/>
  <c r="AT140" i="2"/>
  <c r="BJ140" i="2"/>
  <c r="U141" i="2"/>
  <c r="AK141" i="2"/>
  <c r="BA141" i="2"/>
  <c r="H142" i="2"/>
  <c r="X142" i="2"/>
  <c r="AN142" i="2"/>
  <c r="BD142" i="2"/>
  <c r="K143" i="2"/>
  <c r="AA143" i="2"/>
  <c r="AQ143" i="2"/>
  <c r="BG143" i="2"/>
  <c r="R144" i="2"/>
  <c r="AH144" i="2"/>
  <c r="AX144" i="2"/>
  <c r="I145" i="2"/>
  <c r="Y145" i="2"/>
  <c r="AO145" i="2"/>
  <c r="BE145" i="2"/>
  <c r="L146" i="2"/>
  <c r="AB146" i="2"/>
  <c r="AR146" i="2"/>
  <c r="BH146" i="2"/>
  <c r="O147" i="2"/>
  <c r="AE147" i="2"/>
  <c r="AU147" i="2"/>
  <c r="BK147" i="2"/>
  <c r="V148" i="2"/>
  <c r="AL148" i="2"/>
  <c r="BB148" i="2"/>
  <c r="M149" i="2"/>
  <c r="AC149" i="2"/>
  <c r="AS149" i="2"/>
  <c r="BI149" i="2"/>
  <c r="P150" i="2"/>
  <c r="AF150" i="2"/>
  <c r="AV150" i="2"/>
  <c r="BL150" i="2"/>
  <c r="S151" i="2"/>
  <c r="AI151" i="2"/>
  <c r="AY151" i="2"/>
  <c r="J152" i="2"/>
  <c r="Z152" i="2"/>
  <c r="AP152" i="2"/>
  <c r="BF152" i="2"/>
  <c r="Q153" i="2"/>
  <c r="AG153" i="2"/>
  <c r="AW153" i="2"/>
  <c r="BM153" i="2"/>
  <c r="T154" i="2"/>
  <c r="AJ154" i="2"/>
  <c r="AZ154" i="2"/>
  <c r="G155" i="2"/>
  <c r="W155" i="2"/>
  <c r="AM155" i="2"/>
  <c r="BC155" i="2"/>
  <c r="N156" i="2"/>
  <c r="AD156" i="2"/>
  <c r="AT156" i="2"/>
  <c r="BJ156" i="2"/>
  <c r="U157" i="2"/>
  <c r="AK157" i="2"/>
  <c r="BA157" i="2"/>
  <c r="H158" i="2"/>
  <c r="X158" i="2"/>
  <c r="AN158" i="2"/>
  <c r="BD158" i="2"/>
  <c r="K159" i="2"/>
  <c r="AA159" i="2"/>
  <c r="AQ159" i="2"/>
  <c r="BG159" i="2"/>
  <c r="R160" i="2"/>
  <c r="AH160" i="2"/>
  <c r="AX160" i="2"/>
  <c r="I161" i="2"/>
  <c r="Y161" i="2"/>
  <c r="AO161" i="2"/>
  <c r="BE161" i="2"/>
  <c r="L162" i="2"/>
  <c r="AB162" i="2"/>
  <c r="AR162" i="2"/>
  <c r="BH162" i="2"/>
  <c r="O163" i="2"/>
  <c r="AE163" i="2"/>
  <c r="AU163" i="2"/>
  <c r="BK163" i="2"/>
  <c r="V164" i="2"/>
  <c r="AL164" i="2"/>
  <c r="BB164" i="2"/>
  <c r="M165" i="2"/>
  <c r="AC165" i="2"/>
  <c r="AS165" i="2"/>
  <c r="BI165" i="2"/>
  <c r="P166" i="2"/>
  <c r="AF166" i="2"/>
  <c r="AV166" i="2"/>
  <c r="BL166" i="2"/>
  <c r="T167" i="3"/>
  <c r="T167" i="2" s="1"/>
  <c r="T168" i="2"/>
  <c r="AJ167" i="3"/>
  <c r="AJ167" i="2" s="1"/>
  <c r="AJ168" i="2"/>
  <c r="AZ167" i="3"/>
  <c r="AZ167" i="2" s="1"/>
  <c r="AZ168" i="2"/>
  <c r="G169" i="2"/>
  <c r="W169" i="2"/>
  <c r="AM169" i="2"/>
  <c r="BC169" i="2"/>
  <c r="N170" i="2"/>
  <c r="AD170" i="2"/>
  <c r="AT170" i="2"/>
  <c r="BJ170" i="2"/>
  <c r="U171" i="2"/>
  <c r="AK171" i="2"/>
  <c r="BA171" i="2"/>
  <c r="H172" i="2"/>
  <c r="X172" i="2"/>
  <c r="AN172" i="2"/>
  <c r="BD172" i="2"/>
  <c r="K173" i="2"/>
  <c r="AA173" i="2"/>
  <c r="AQ173" i="2"/>
  <c r="BG173" i="2"/>
  <c r="R174" i="2"/>
  <c r="AH174" i="2"/>
  <c r="AX174" i="2"/>
  <c r="I175" i="2"/>
  <c r="Y175" i="2"/>
  <c r="AO175" i="2"/>
  <c r="BE175" i="2"/>
  <c r="L176" i="2"/>
  <c r="AB176" i="2"/>
  <c r="AR176" i="2"/>
  <c r="BH176" i="2"/>
  <c r="O177" i="2"/>
  <c r="AE177" i="2"/>
  <c r="AU177" i="2"/>
  <c r="BK177" i="2"/>
  <c r="V178" i="2"/>
  <c r="AL178" i="2"/>
  <c r="BB178" i="2"/>
  <c r="M179" i="2"/>
  <c r="AC179" i="2"/>
  <c r="AS179" i="2"/>
  <c r="BI179" i="2"/>
  <c r="P180" i="2"/>
  <c r="AF180" i="2"/>
  <c r="AV180" i="2"/>
  <c r="BL180" i="2"/>
  <c r="S181" i="2"/>
  <c r="AI181" i="2"/>
  <c r="AY181" i="2"/>
  <c r="J182" i="2"/>
  <c r="Z182" i="2"/>
  <c r="AP182" i="2"/>
  <c r="BF182" i="2"/>
  <c r="Q183" i="2"/>
  <c r="AG183" i="2"/>
  <c r="AW183" i="2"/>
  <c r="BM183" i="2"/>
  <c r="T184" i="2"/>
  <c r="AJ184" i="2"/>
  <c r="AZ184" i="2"/>
  <c r="G185" i="2"/>
  <c r="W185" i="2"/>
  <c r="AM185" i="2"/>
  <c r="BC185" i="2"/>
  <c r="N186" i="2"/>
  <c r="AD186" i="2"/>
  <c r="AT186" i="2"/>
  <c r="BJ186" i="2"/>
  <c r="U187" i="2"/>
  <c r="AK187" i="2"/>
  <c r="BA187" i="2"/>
  <c r="H188" i="2"/>
  <c r="X188" i="2"/>
  <c r="AN188" i="2"/>
  <c r="BD188" i="2"/>
  <c r="K189" i="2"/>
  <c r="AA189" i="2"/>
  <c r="AQ189" i="2"/>
  <c r="BG189" i="2"/>
  <c r="R190" i="2"/>
  <c r="AH190" i="2"/>
  <c r="AX190" i="2"/>
  <c r="I191" i="2"/>
  <c r="Y191" i="2"/>
  <c r="AO191" i="2"/>
  <c r="BE191" i="2"/>
  <c r="L192" i="2"/>
  <c r="AB192" i="2"/>
  <c r="AR192" i="2"/>
  <c r="BH192" i="2"/>
  <c r="O193" i="2"/>
  <c r="AE193" i="2"/>
  <c r="AU193" i="2"/>
  <c r="BK193" i="2"/>
  <c r="V194" i="2"/>
  <c r="AL194" i="2"/>
  <c r="BB194" i="2"/>
  <c r="M195" i="2"/>
  <c r="AC195" i="2"/>
  <c r="AS195" i="2"/>
  <c r="BI195" i="2"/>
  <c r="P196" i="2"/>
  <c r="AF196" i="2"/>
  <c r="AZ196" i="2"/>
  <c r="O197" i="2"/>
  <c r="AI197" i="2"/>
  <c r="BC197" i="2"/>
  <c r="V198" i="2"/>
  <c r="AP198" i="2"/>
  <c r="BJ198" i="2"/>
  <c r="AC199" i="2"/>
  <c r="AW199" i="2"/>
  <c r="H200" i="2"/>
  <c r="AK200" i="2"/>
  <c r="BL200" i="2"/>
  <c r="AB201" i="2"/>
  <c r="BH201" i="2"/>
  <c r="AE202" i="2"/>
  <c r="BF202" i="2"/>
  <c r="AC203" i="2"/>
  <c r="BD203" i="2"/>
  <c r="AA204" i="2"/>
  <c r="BG204" i="2"/>
  <c r="W205" i="2"/>
  <c r="AX205" i="2"/>
  <c r="Z206" i="2"/>
  <c r="BA206" i="2"/>
  <c r="P207" i="2"/>
  <c r="AN207" i="2"/>
  <c r="BH207" i="2"/>
  <c r="T208" i="3"/>
  <c r="T208" i="2" s="1"/>
  <c r="T209" i="2"/>
  <c r="AR208" i="3"/>
  <c r="AR208" i="2" s="1"/>
  <c r="AR209" i="2"/>
  <c r="BL208" i="3"/>
  <c r="BL208" i="2" s="1"/>
  <c r="BL209" i="2"/>
  <c r="W210" i="2"/>
  <c r="AU210" i="2"/>
  <c r="J211" i="2"/>
  <c r="AD211" i="2"/>
  <c r="BB211" i="2"/>
  <c r="Q212" i="2"/>
  <c r="AS212" i="2"/>
  <c r="P213" i="2"/>
  <c r="AV213" i="2"/>
  <c r="S214" i="2"/>
  <c r="AY214" i="2"/>
  <c r="Z215" i="2"/>
  <c r="BF215" i="2"/>
  <c r="AG216" i="2"/>
  <c r="BM216" i="2"/>
  <c r="AJ217" i="2"/>
  <c r="G218" i="2"/>
  <c r="AM218" i="2"/>
  <c r="N219" i="2"/>
  <c r="AT219" i="2"/>
  <c r="U220" i="2"/>
  <c r="BA220" i="2"/>
  <c r="X221" i="2"/>
  <c r="BD221" i="2"/>
  <c r="AA222" i="2"/>
  <c r="BG222" i="2"/>
  <c r="AH223" i="2"/>
  <c r="I224" i="2"/>
  <c r="AO224" i="2"/>
  <c r="L225" i="2"/>
  <c r="AR225" i="2"/>
  <c r="O226" i="2"/>
  <c r="AU226" i="2"/>
  <c r="V227" i="2"/>
  <c r="BB227" i="2"/>
  <c r="AG228" i="2"/>
  <c r="AJ229" i="2"/>
  <c r="AM230" i="2"/>
  <c r="AT231" i="2"/>
  <c r="BA232" i="2"/>
  <c r="BD233" i="2"/>
  <c r="BG234" i="2"/>
  <c r="I236" i="2"/>
  <c r="L237" i="2"/>
  <c r="O238" i="2"/>
  <c r="V239" i="2"/>
  <c r="AC240" i="2"/>
  <c r="AF241" i="2"/>
  <c r="AI242" i="2"/>
  <c r="AP243" i="2"/>
  <c r="AW244" i="2"/>
  <c r="AZ245" i="2"/>
  <c r="BC246" i="2"/>
  <c r="BJ247" i="2"/>
  <c r="I249" i="3"/>
  <c r="I249" i="2" s="1"/>
  <c r="I250" i="2"/>
  <c r="L251" i="2"/>
  <c r="O252" i="2"/>
  <c r="V253" i="2"/>
  <c r="AC254" i="2"/>
  <c r="AF255" i="2"/>
  <c r="AI256" i="2"/>
  <c r="AP257" i="2"/>
  <c r="AW258" i="2"/>
  <c r="AZ259" i="2"/>
  <c r="BC260" i="2"/>
  <c r="BJ261" i="2"/>
  <c r="H263" i="2"/>
  <c r="K264" i="2"/>
  <c r="R265" i="2"/>
  <c r="Y266" i="2"/>
  <c r="AB267" i="2"/>
  <c r="AE268" i="2"/>
  <c r="AL269" i="2"/>
  <c r="AS270" i="2"/>
  <c r="AV271" i="2"/>
  <c r="AY272" i="2"/>
  <c r="BF273" i="2"/>
  <c r="BM274" i="2"/>
  <c r="G276" i="2"/>
  <c r="N277" i="2"/>
  <c r="U278" i="2"/>
  <c r="X279" i="2"/>
  <c r="AA280" i="2"/>
  <c r="AH281" i="2"/>
  <c r="AO282" i="2"/>
  <c r="AR283" i="2"/>
  <c r="AU284" i="2"/>
  <c r="BB285" i="2"/>
  <c r="BI286" i="2"/>
  <c r="BL287" i="2"/>
  <c r="J289" i="2"/>
  <c r="AT290" i="3"/>
  <c r="AT290" i="2" s="1"/>
  <c r="AT291" i="2"/>
  <c r="AO207" i="2"/>
  <c r="AS208" i="3"/>
  <c r="AS208" i="2" s="1"/>
  <c r="AS209" i="2"/>
  <c r="AV210" i="2"/>
  <c r="AY211" i="2"/>
  <c r="BF212" i="2"/>
  <c r="BM213" i="2"/>
  <c r="G215" i="2"/>
  <c r="N216" i="2"/>
  <c r="U217" i="2"/>
  <c r="X218" i="2"/>
  <c r="AA219" i="2"/>
  <c r="AH220" i="2"/>
  <c r="AO221" i="2"/>
  <c r="AR222" i="2"/>
  <c r="AU223" i="2"/>
  <c r="BB224" i="2"/>
  <c r="BI225" i="2"/>
  <c r="BL226" i="2"/>
  <c r="J228" i="2"/>
  <c r="Q229" i="2"/>
  <c r="T230" i="2"/>
  <c r="W231" i="2"/>
  <c r="AD232" i="2"/>
  <c r="AK233" i="2"/>
  <c r="AN234" i="2"/>
  <c r="AQ235" i="2"/>
  <c r="AX236" i="2"/>
  <c r="BE237" i="2"/>
  <c r="BH238" i="2"/>
  <c r="BK239" i="2"/>
  <c r="M241" i="2"/>
  <c r="P242" i="2"/>
  <c r="S243" i="2"/>
  <c r="Z244" i="2"/>
  <c r="AG245" i="2"/>
  <c r="AJ246" i="2"/>
  <c r="AM247" i="2"/>
  <c r="AT248" i="2"/>
  <c r="BB249" i="3"/>
  <c r="BB249" i="2" s="1"/>
  <c r="BB250" i="2"/>
  <c r="BI251" i="2"/>
  <c r="BL252" i="2"/>
  <c r="J254" i="2"/>
  <c r="Q255" i="2"/>
  <c r="T256" i="2"/>
  <c r="W257" i="2"/>
  <c r="AD258" i="2"/>
  <c r="AK259" i="2"/>
  <c r="AN260" i="2"/>
  <c r="AQ261" i="2"/>
  <c r="AX262" i="2"/>
  <c r="BE263" i="2"/>
  <c r="BH264" i="2"/>
  <c r="BK265" i="2"/>
  <c r="M267" i="2"/>
  <c r="P268" i="2"/>
  <c r="S269" i="2"/>
  <c r="Z270" i="2"/>
  <c r="AG271" i="2"/>
  <c r="AJ272" i="2"/>
  <c r="AM273" i="2"/>
  <c r="AT274" i="2"/>
  <c r="BA275" i="2"/>
  <c r="BD276" i="2"/>
  <c r="BG277" i="2"/>
  <c r="I279" i="2"/>
  <c r="L280" i="2"/>
  <c r="O281" i="2"/>
  <c r="V282" i="2"/>
  <c r="AC283" i="2"/>
  <c r="AF284" i="2"/>
  <c r="AI285" i="2"/>
  <c r="AP286" i="2"/>
  <c r="AW287" i="2"/>
  <c r="AZ288" i="2"/>
  <c r="BC289" i="2"/>
  <c r="AD207" i="2"/>
  <c r="AL208" i="3"/>
  <c r="AL208" i="2" s="1"/>
  <c r="AL209" i="2"/>
  <c r="AS210" i="2"/>
  <c r="AV211" i="2"/>
  <c r="AY212" i="2"/>
  <c r="BF213" i="2"/>
  <c r="BM214" i="2"/>
  <c r="G216" i="2"/>
  <c r="N217" i="2"/>
  <c r="U218" i="2"/>
  <c r="X219" i="2"/>
  <c r="AA220" i="2"/>
  <c r="AH221" i="2"/>
  <c r="AO222" i="2"/>
  <c r="AR223" i="2"/>
  <c r="AU224" i="2"/>
  <c r="BB225" i="2"/>
  <c r="BI226" i="2"/>
  <c r="BL227" i="2"/>
  <c r="J229" i="2"/>
  <c r="Q230" i="2"/>
  <c r="T231" i="2"/>
  <c r="W232" i="2"/>
  <c r="AD233" i="2"/>
  <c r="AK234" i="2"/>
  <c r="AN235" i="2"/>
  <c r="AQ236" i="2"/>
  <c r="AX237" i="2"/>
  <c r="BE238" i="2"/>
  <c r="BH239" i="2"/>
  <c r="BK240" i="2"/>
  <c r="M242" i="2"/>
  <c r="P243" i="2"/>
  <c r="S244" i="2"/>
  <c r="Z245" i="2"/>
  <c r="AG246" i="2"/>
  <c r="AJ247" i="2"/>
  <c r="AM248" i="2"/>
  <c r="AQ249" i="3"/>
  <c r="AQ249" i="2" s="1"/>
  <c r="AQ250" i="2"/>
  <c r="AX251" i="2"/>
  <c r="BE252" i="2"/>
  <c r="F341" i="2"/>
  <c r="F152" i="2"/>
  <c r="F308" i="2"/>
  <c r="F10" i="2"/>
  <c r="F306" i="2"/>
  <c r="F479" i="2"/>
  <c r="F345" i="2"/>
  <c r="F174" i="2"/>
  <c r="F162" i="2"/>
  <c r="F30" i="2"/>
  <c r="F488" i="2"/>
  <c r="F449" i="2"/>
  <c r="F361" i="2"/>
  <c r="F236" i="2"/>
  <c r="F196" i="2"/>
  <c r="F185" i="2"/>
  <c r="F53" i="2"/>
  <c r="F35" i="2"/>
  <c r="F468" i="2"/>
  <c r="F360" i="2"/>
  <c r="F300" i="2"/>
  <c r="F286" i="2"/>
  <c r="F260" i="2"/>
  <c r="F116" i="2"/>
  <c r="F99" i="2"/>
  <c r="F28" i="2"/>
  <c r="F464" i="2"/>
  <c r="F358" i="2"/>
  <c r="F298" i="2"/>
  <c r="F284" i="2"/>
  <c r="F252" i="2"/>
  <c r="F114" i="2"/>
  <c r="F97" i="2"/>
  <c r="F471" i="2"/>
  <c r="F398" i="2"/>
  <c r="F337" i="2"/>
  <c r="F323" i="2"/>
  <c r="F165" i="2"/>
  <c r="F154" i="2"/>
  <c r="F144" i="2"/>
  <c r="F480" i="2"/>
  <c r="F437" i="2"/>
  <c r="F419" i="2"/>
  <c r="F346" i="2"/>
  <c r="F188" i="2"/>
  <c r="F177" i="2"/>
  <c r="F44" i="3"/>
  <c r="F44" i="2" s="1"/>
  <c r="F45" i="2"/>
  <c r="F6" i="2"/>
  <c r="F451" i="2"/>
  <c r="F352" i="2"/>
  <c r="F292" i="2"/>
  <c r="F278" i="2"/>
  <c r="F258" i="2"/>
  <c r="F108" i="2"/>
  <c r="F91" i="2"/>
  <c r="F54" i="2"/>
  <c r="F447" i="2"/>
  <c r="F350" i="2"/>
  <c r="F289" i="2"/>
  <c r="F276" i="2"/>
  <c r="F249" i="3"/>
  <c r="F249" i="2" s="1"/>
  <c r="F250" i="2"/>
  <c r="F106" i="2"/>
  <c r="F89" i="2"/>
  <c r="F463" i="2"/>
  <c r="F390" i="2"/>
  <c r="F328" i="2"/>
  <c r="F315" i="2"/>
  <c r="F157" i="2"/>
  <c r="F247" i="2"/>
  <c r="F128" i="2"/>
  <c r="F489" i="2"/>
  <c r="F429" i="2"/>
  <c r="F405" i="2"/>
  <c r="F338" i="2"/>
  <c r="F180" i="2"/>
  <c r="F169" i="2"/>
  <c r="F36" i="2"/>
  <c r="F14" i="2"/>
  <c r="F438" i="2"/>
  <c r="F425" i="2"/>
  <c r="F283" i="2"/>
  <c r="F270" i="2"/>
  <c r="F232" i="2"/>
  <c r="F100" i="2"/>
  <c r="F82" i="2"/>
  <c r="F3" i="3"/>
  <c r="F3" i="2" s="1"/>
  <c r="F4" i="2"/>
  <c r="F436" i="2"/>
  <c r="F417" i="2"/>
  <c r="F281" i="2"/>
  <c r="F262" i="2"/>
  <c r="F230" i="2"/>
  <c r="F98" i="2"/>
  <c r="F80" i="2"/>
  <c r="F454" i="2"/>
  <c r="F382" i="2"/>
  <c r="F320" i="2"/>
  <c r="F307" i="2"/>
  <c r="F149" i="2"/>
  <c r="F150" i="2"/>
  <c r="F119" i="2"/>
  <c r="F477" i="2"/>
  <c r="F404" i="2"/>
  <c r="F343" i="2"/>
  <c r="F329" i="2"/>
  <c r="F172" i="2"/>
  <c r="F160" i="2"/>
  <c r="F136" i="2"/>
  <c r="F22" i="2"/>
  <c r="R3" i="3"/>
  <c r="R3" i="2" s="1"/>
  <c r="R4" i="2"/>
  <c r="AH3" i="3"/>
  <c r="AH3" i="2" s="1"/>
  <c r="AH4" i="2"/>
  <c r="AX3" i="3"/>
  <c r="AX3" i="2" s="1"/>
  <c r="AX4" i="2"/>
  <c r="I5" i="2"/>
  <c r="Y5" i="2"/>
  <c r="AO5" i="2"/>
  <c r="BE5" i="2"/>
  <c r="L6" i="2"/>
  <c r="AB6" i="2"/>
  <c r="AR6" i="2"/>
  <c r="BH6" i="2"/>
  <c r="O7" i="2"/>
  <c r="AE7" i="2"/>
  <c r="AU7" i="2"/>
  <c r="BK7" i="2"/>
  <c r="V8" i="2"/>
  <c r="AL8" i="2"/>
  <c r="BB8" i="2"/>
  <c r="M9" i="2"/>
  <c r="AC9" i="2"/>
  <c r="AS9" i="2"/>
  <c r="BI9" i="2"/>
  <c r="P10" i="2"/>
  <c r="AF10" i="2"/>
  <c r="AV10" i="2"/>
  <c r="BL10" i="2"/>
  <c r="S11" i="2"/>
  <c r="AI11" i="2"/>
  <c r="AY11" i="2"/>
  <c r="J12" i="2"/>
  <c r="Z12" i="2"/>
  <c r="AP12" i="2"/>
  <c r="BF12" i="2"/>
  <c r="Q13" i="2"/>
  <c r="AG13" i="2"/>
  <c r="AW13" i="2"/>
  <c r="BM13" i="2"/>
  <c r="T14" i="2"/>
  <c r="AJ14" i="2"/>
  <c r="AZ14" i="2"/>
  <c r="G15" i="2"/>
  <c r="W15" i="2"/>
  <c r="AM15" i="2"/>
  <c r="BC15" i="2"/>
  <c r="N16" i="2"/>
  <c r="AD16" i="2"/>
  <c r="AT16" i="2"/>
  <c r="BJ16" i="2"/>
  <c r="U17" i="2"/>
  <c r="AK17" i="2"/>
  <c r="BA17" i="2"/>
  <c r="H18" i="2"/>
  <c r="X18" i="2"/>
  <c r="AN18" i="2"/>
  <c r="BD18" i="2"/>
  <c r="K19" i="2"/>
  <c r="AA19" i="2"/>
  <c r="AQ19" i="2"/>
  <c r="BG19" i="2"/>
  <c r="R20" i="2"/>
  <c r="AH20" i="2"/>
  <c r="AX20" i="2"/>
  <c r="I21" i="2"/>
  <c r="Y21" i="2"/>
  <c r="AO21" i="2"/>
  <c r="BE21" i="2"/>
  <c r="L22" i="2"/>
  <c r="AB22" i="2"/>
  <c r="AR22" i="2"/>
  <c r="BH22" i="2"/>
  <c r="R23" i="2"/>
  <c r="AR23" i="2"/>
  <c r="AQ24" i="2"/>
  <c r="AP25" i="2"/>
  <c r="AS26" i="2"/>
  <c r="AR27" i="2"/>
  <c r="AQ28" i="2"/>
  <c r="AP29" i="2"/>
  <c r="AS30" i="2"/>
  <c r="AR31" i="2"/>
  <c r="AQ32" i="2"/>
  <c r="AP33" i="2"/>
  <c r="AS34" i="2"/>
  <c r="AR35" i="2"/>
  <c r="AQ36" i="2"/>
  <c r="AP37" i="2"/>
  <c r="AS38" i="2"/>
  <c r="AR39" i="2"/>
  <c r="AQ40" i="2"/>
  <c r="AP41" i="2"/>
  <c r="AS42" i="2"/>
  <c r="AR43" i="2"/>
  <c r="AZ44" i="3"/>
  <c r="AZ44" i="2" s="1"/>
  <c r="AZ45" i="2"/>
  <c r="R47" i="2"/>
  <c r="AK48" i="2"/>
  <c r="AZ49" i="2"/>
  <c r="R51" i="2"/>
  <c r="AK52" i="2"/>
  <c r="AZ53" i="2"/>
  <c r="R55" i="2"/>
  <c r="AK56" i="2"/>
  <c r="AZ57" i="2"/>
  <c r="R59" i="2"/>
  <c r="AK60" i="2"/>
  <c r="AZ61" i="2"/>
  <c r="R63" i="2"/>
  <c r="AK64" i="2"/>
  <c r="AZ65" i="2"/>
  <c r="R67" i="2"/>
  <c r="AK68" i="2"/>
  <c r="AZ69" i="2"/>
  <c r="R71" i="2"/>
  <c r="AK72" i="2"/>
  <c r="AZ73" i="2"/>
  <c r="R75" i="2"/>
  <c r="AK76" i="2"/>
  <c r="AZ77" i="2"/>
  <c r="R79" i="2"/>
  <c r="AK80" i="2"/>
  <c r="AZ81" i="2"/>
  <c r="R83" i="2"/>
  <c r="AK84" i="2"/>
  <c r="AS85" i="3"/>
  <c r="AS85" i="2" s="1"/>
  <c r="AS86" i="2"/>
  <c r="AR87" i="2"/>
  <c r="O3" i="3"/>
  <c r="O3" i="2" s="1"/>
  <c r="O4" i="2"/>
  <c r="AE3" i="3"/>
  <c r="AE3" i="2" s="1"/>
  <c r="AE4" i="2"/>
  <c r="AU3" i="3"/>
  <c r="AU3" i="2" s="1"/>
  <c r="AU4" i="2"/>
  <c r="BK3" i="3"/>
  <c r="BK3" i="2" s="1"/>
  <c r="BK4" i="2"/>
  <c r="V5" i="2"/>
  <c r="AL5" i="2"/>
  <c r="BB5" i="2"/>
  <c r="M6" i="2"/>
  <c r="AC6" i="2"/>
  <c r="AS6" i="2"/>
  <c r="BI6" i="2"/>
  <c r="P7" i="2"/>
  <c r="AF7" i="2"/>
  <c r="AV7" i="2"/>
  <c r="BL7" i="2"/>
  <c r="S8" i="2"/>
  <c r="AI8" i="2"/>
  <c r="AY8" i="2"/>
  <c r="J9" i="2"/>
  <c r="Z9" i="2"/>
  <c r="AP9" i="2"/>
  <c r="BF9" i="2"/>
  <c r="Q10" i="2"/>
  <c r="AG10" i="2"/>
  <c r="AW10" i="2"/>
  <c r="BM10" i="2"/>
  <c r="T11" i="2"/>
  <c r="AJ11" i="2"/>
  <c r="AZ11" i="2"/>
  <c r="G12" i="2"/>
  <c r="W12" i="2"/>
  <c r="AM12" i="2"/>
  <c r="BC12" i="2"/>
  <c r="N13" i="2"/>
  <c r="AD13" i="2"/>
  <c r="AT13" i="2"/>
  <c r="BJ13" i="2"/>
  <c r="U14" i="2"/>
  <c r="AK14" i="2"/>
  <c r="BA14" i="2"/>
  <c r="H15" i="2"/>
  <c r="X15" i="2"/>
  <c r="AN15" i="2"/>
  <c r="BD15" i="2"/>
  <c r="K16" i="2"/>
  <c r="AA16" i="2"/>
  <c r="AQ16" i="2"/>
  <c r="BG16" i="2"/>
  <c r="R17" i="2"/>
  <c r="AH17" i="2"/>
  <c r="AX17" i="2"/>
  <c r="I18" i="2"/>
  <c r="Y18" i="2"/>
  <c r="AO18" i="2"/>
  <c r="BE18" i="2"/>
  <c r="L19" i="2"/>
  <c r="AB19" i="2"/>
  <c r="AR19" i="2"/>
  <c r="BH19" i="2"/>
  <c r="O20" i="2"/>
  <c r="AE20" i="2"/>
  <c r="AU20" i="2"/>
  <c r="BK20" i="2"/>
  <c r="V21" i="2"/>
  <c r="AL21" i="2"/>
  <c r="BB21" i="2"/>
  <c r="M22" i="2"/>
  <c r="AC22" i="2"/>
  <c r="AS22" i="2"/>
  <c r="BI22" i="2"/>
  <c r="T23" i="2"/>
  <c r="AV23" i="2"/>
  <c r="AU24" i="2"/>
  <c r="AT25" i="2"/>
  <c r="AW26" i="2"/>
  <c r="AV27" i="2"/>
  <c r="AU28" i="2"/>
  <c r="AT29" i="2"/>
  <c r="AW30" i="2"/>
  <c r="AV31" i="2"/>
  <c r="AU32" i="2"/>
  <c r="AT33" i="2"/>
  <c r="AW34" i="2"/>
  <c r="AV35" i="2"/>
  <c r="AU36" i="2"/>
  <c r="AT37" i="2"/>
  <c r="AW38" i="2"/>
  <c r="AV39" i="2"/>
  <c r="AU40" i="2"/>
  <c r="AT41" i="2"/>
  <c r="AW42" i="2"/>
  <c r="AV43" i="2"/>
  <c r="AN44" i="3"/>
  <c r="AN44" i="2" s="1"/>
  <c r="AN45" i="2"/>
  <c r="AM46" i="2"/>
  <c r="BB47" i="2"/>
  <c r="BE48" i="2"/>
  <c r="BD49" i="2"/>
  <c r="BC50" i="2"/>
  <c r="I52" i="2"/>
  <c r="H53" i="2"/>
  <c r="G54" i="2"/>
  <c r="V55" i="2"/>
  <c r="Y56" i="2"/>
  <c r="X57" i="2"/>
  <c r="W58" i="2"/>
  <c r="AL59" i="2"/>
  <c r="AO60" i="2"/>
  <c r="AN61" i="2"/>
  <c r="AM62" i="2"/>
  <c r="BB63" i="2"/>
  <c r="BE64" i="2"/>
  <c r="BD65" i="2"/>
  <c r="BC66" i="2"/>
  <c r="I68" i="2"/>
  <c r="H69" i="2"/>
  <c r="G70" i="2"/>
  <c r="V71" i="2"/>
  <c r="Y72" i="2"/>
  <c r="X73" i="2"/>
  <c r="W74" i="2"/>
  <c r="AL75" i="2"/>
  <c r="AO76" i="2"/>
  <c r="AN77" i="2"/>
  <c r="AM78" i="2"/>
  <c r="BB79" i="2"/>
  <c r="BE80" i="2"/>
  <c r="BD81" i="2"/>
  <c r="BC82" i="2"/>
  <c r="I84" i="2"/>
  <c r="Q85" i="3"/>
  <c r="Q85" i="2" s="1"/>
  <c r="Q86" i="2"/>
  <c r="P87" i="2"/>
  <c r="H3" i="3"/>
  <c r="H3" i="2" s="1"/>
  <c r="H4" i="2"/>
  <c r="X3" i="3"/>
  <c r="X3" i="2" s="1"/>
  <c r="X4" i="2"/>
  <c r="AN3" i="3"/>
  <c r="AN3" i="2" s="1"/>
  <c r="AN4" i="2"/>
  <c r="BD3" i="3"/>
  <c r="BD3" i="2" s="1"/>
  <c r="BD4" i="2"/>
  <c r="K5" i="2"/>
  <c r="AA5" i="2"/>
  <c r="AQ5" i="2"/>
  <c r="BG5" i="2"/>
  <c r="R6" i="2"/>
  <c r="AH6" i="2"/>
  <c r="AX6" i="2"/>
  <c r="I7" i="2"/>
  <c r="Y7" i="2"/>
  <c r="AO7" i="2"/>
  <c r="BE7" i="2"/>
  <c r="L8" i="2"/>
  <c r="AB8" i="2"/>
  <c r="AR8" i="2"/>
  <c r="BH8" i="2"/>
  <c r="O9" i="2"/>
  <c r="AE9" i="2"/>
  <c r="AU9" i="2"/>
  <c r="BK9" i="2"/>
  <c r="V10" i="2"/>
  <c r="AL10" i="2"/>
  <c r="BB10" i="2"/>
  <c r="M11" i="2"/>
  <c r="AC11" i="2"/>
  <c r="AS11" i="2"/>
  <c r="BI11" i="2"/>
  <c r="P12" i="2"/>
  <c r="AF12" i="2"/>
  <c r="AV12" i="2"/>
  <c r="BL12" i="2"/>
  <c r="S13" i="2"/>
  <c r="AI13" i="2"/>
  <c r="AY13" i="2"/>
  <c r="J14" i="2"/>
  <c r="Z14" i="2"/>
  <c r="AP14" i="2"/>
  <c r="BF14" i="2"/>
  <c r="Q15" i="2"/>
  <c r="AG15" i="2"/>
  <c r="AW15" i="2"/>
  <c r="BM15" i="2"/>
  <c r="T16" i="2"/>
  <c r="AJ16" i="2"/>
  <c r="AZ16" i="2"/>
  <c r="G17" i="2"/>
  <c r="W17" i="2"/>
  <c r="AM17" i="2"/>
  <c r="BC17" i="2"/>
  <c r="N18" i="2"/>
  <c r="AD18" i="2"/>
  <c r="AT18" i="2"/>
  <c r="BJ18" i="2"/>
  <c r="U19" i="2"/>
  <c r="AK19" i="2"/>
  <c r="BA19" i="2"/>
  <c r="H20" i="2"/>
  <c r="X20" i="2"/>
  <c r="AN20" i="2"/>
  <c r="BD20" i="2"/>
  <c r="K21" i="2"/>
  <c r="AA21" i="2"/>
  <c r="AQ21" i="2"/>
  <c r="BG21" i="2"/>
  <c r="R22" i="2"/>
  <c r="AH22" i="2"/>
  <c r="AX22" i="2"/>
  <c r="J23" i="2"/>
  <c r="AF23" i="2"/>
  <c r="AI24" i="2"/>
  <c r="AX25" i="2"/>
  <c r="T27" i="2"/>
  <c r="AI28" i="2"/>
  <c r="AX29" i="2"/>
  <c r="T31" i="2"/>
  <c r="AI32" i="2"/>
  <c r="AX33" i="2"/>
  <c r="T35" i="2"/>
  <c r="AI36" i="2"/>
  <c r="AX37" i="2"/>
  <c r="T39" i="2"/>
  <c r="AI40" i="2"/>
  <c r="AX41" i="2"/>
  <c r="T43" i="2"/>
  <c r="AB44" i="3"/>
  <c r="AB44" i="2" s="1"/>
  <c r="AB45" i="2"/>
  <c r="AA46" i="2"/>
  <c r="Z47" i="2"/>
  <c r="AC48" i="2"/>
  <c r="AB49" i="2"/>
  <c r="AA50" i="2"/>
  <c r="Z51" i="2"/>
  <c r="AC52" i="2"/>
  <c r="AB53" i="2"/>
  <c r="AA54" i="2"/>
  <c r="Z55" i="2"/>
  <c r="AC56" i="2"/>
  <c r="AB57" i="2"/>
  <c r="AA58" i="2"/>
  <c r="Z59" i="2"/>
  <c r="AC60" i="2"/>
  <c r="AB61" i="2"/>
  <c r="AA62" i="2"/>
  <c r="Z63" i="2"/>
  <c r="AC64" i="2"/>
  <c r="AB65" i="2"/>
  <c r="AA66" i="2"/>
  <c r="Z67" i="2"/>
  <c r="AC68" i="2"/>
  <c r="AB69" i="2"/>
  <c r="AA70" i="2"/>
  <c r="Z71" i="2"/>
  <c r="AC72" i="2"/>
  <c r="AB73" i="2"/>
  <c r="AA74" i="2"/>
  <c r="Z75" i="2"/>
  <c r="AC76" i="2"/>
  <c r="AB77" i="2"/>
  <c r="AA78" i="2"/>
  <c r="Z79" i="2"/>
  <c r="AC80" i="2"/>
  <c r="AB81" i="2"/>
  <c r="AA82" i="2"/>
  <c r="Z83" i="2"/>
  <c r="AC84" i="2"/>
  <c r="AK85" i="3"/>
  <c r="AK85" i="2" s="1"/>
  <c r="AK86" i="2"/>
  <c r="AZ87" i="2"/>
  <c r="U3" i="3"/>
  <c r="U3" i="2" s="1"/>
  <c r="U4" i="2"/>
  <c r="AK3" i="3"/>
  <c r="AK3" i="2" s="1"/>
  <c r="AK4" i="2"/>
  <c r="BA3" i="3"/>
  <c r="BA3" i="2" s="1"/>
  <c r="BA4" i="2"/>
  <c r="H5" i="2"/>
  <c r="X5" i="2"/>
  <c r="AN5" i="2"/>
  <c r="BD5" i="2"/>
  <c r="K6" i="2"/>
  <c r="AA6" i="2"/>
  <c r="AQ6" i="2"/>
  <c r="BG6" i="2"/>
  <c r="R7" i="2"/>
  <c r="AH7" i="2"/>
  <c r="AX7" i="2"/>
  <c r="I8" i="2"/>
  <c r="Y8" i="2"/>
  <c r="AO8" i="2"/>
  <c r="BE8" i="2"/>
  <c r="L9" i="2"/>
  <c r="AB9" i="2"/>
  <c r="AR9" i="2"/>
  <c r="BH9" i="2"/>
  <c r="O10" i="2"/>
  <c r="AE10" i="2"/>
  <c r="AU10" i="2"/>
  <c r="BK10" i="2"/>
  <c r="V11" i="2"/>
  <c r="AL11" i="2"/>
  <c r="BB11" i="2"/>
  <c r="M12" i="2"/>
  <c r="AC12" i="2"/>
  <c r="AS12" i="2"/>
  <c r="BI12" i="2"/>
  <c r="P13" i="2"/>
  <c r="AF13" i="2"/>
  <c r="AV13" i="2"/>
  <c r="BL13" i="2"/>
  <c r="S14" i="2"/>
  <c r="AI14" i="2"/>
  <c r="AY14" i="2"/>
  <c r="J15" i="2"/>
  <c r="Z15" i="2"/>
  <c r="AP15" i="2"/>
  <c r="BF15" i="2"/>
  <c r="Q16" i="2"/>
  <c r="AG16" i="2"/>
  <c r="AW16" i="2"/>
  <c r="BM16" i="2"/>
  <c r="T17" i="2"/>
  <c r="AJ17" i="2"/>
  <c r="AZ17" i="2"/>
  <c r="G18" i="2"/>
  <c r="W18" i="2"/>
  <c r="AM18" i="2"/>
  <c r="BC18" i="2"/>
  <c r="N19" i="2"/>
  <c r="AD19" i="2"/>
  <c r="AT19" i="2"/>
  <c r="BJ19" i="2"/>
  <c r="U20" i="2"/>
  <c r="AK20" i="2"/>
  <c r="BA20" i="2"/>
  <c r="H21" i="2"/>
  <c r="X21" i="2"/>
  <c r="AN21" i="2"/>
  <c r="BD21" i="2"/>
  <c r="K22" i="2"/>
  <c r="AA22" i="2"/>
  <c r="AQ22" i="2"/>
  <c r="BG22" i="2"/>
  <c r="V23" i="2"/>
  <c r="BD23" i="2"/>
  <c r="BC24" i="2"/>
  <c r="I26" i="2"/>
  <c r="H27" i="2"/>
  <c r="G28" i="2"/>
  <c r="V29" i="2"/>
  <c r="Y30" i="2"/>
  <c r="X31" i="2"/>
  <c r="W32" i="2"/>
  <c r="AL33" i="2"/>
  <c r="AO34" i="2"/>
  <c r="AN35" i="2"/>
  <c r="AM36" i="2"/>
  <c r="BB37" i="2"/>
  <c r="BE38" i="2"/>
  <c r="BD39" i="2"/>
  <c r="BC40" i="2"/>
  <c r="I42" i="2"/>
  <c r="H43" i="2"/>
  <c r="P44" i="3"/>
  <c r="P44" i="2" s="1"/>
  <c r="P45" i="2"/>
  <c r="O46" i="2"/>
  <c r="N47" i="2"/>
  <c r="Q48" i="2"/>
  <c r="P49" i="2"/>
  <c r="O50" i="2"/>
  <c r="N51" i="2"/>
  <c r="Q52" i="2"/>
  <c r="P53" i="2"/>
  <c r="O54" i="2"/>
  <c r="N55" i="2"/>
  <c r="Q56" i="2"/>
  <c r="P57" i="2"/>
  <c r="O58" i="2"/>
  <c r="N59" i="2"/>
  <c r="Q60" i="2"/>
  <c r="P61" i="2"/>
  <c r="O62" i="2"/>
  <c r="N63" i="2"/>
  <c r="Q64" i="2"/>
  <c r="P65" i="2"/>
  <c r="O66" i="2"/>
  <c r="N67" i="2"/>
  <c r="Q68" i="2"/>
  <c r="P69" i="2"/>
  <c r="O70" i="2"/>
  <c r="N71" i="2"/>
  <c r="Q72" i="2"/>
  <c r="P73" i="2"/>
  <c r="O74" i="2"/>
  <c r="N75" i="2"/>
  <c r="Q76" i="2"/>
  <c r="P77" i="2"/>
  <c r="O78" i="2"/>
  <c r="N79" i="2"/>
  <c r="Q80" i="2"/>
  <c r="P81" i="2"/>
  <c r="O82" i="2"/>
  <c r="N83" i="2"/>
  <c r="Q84" i="2"/>
  <c r="I85" i="3"/>
  <c r="I85" i="2" s="1"/>
  <c r="I86" i="2"/>
  <c r="H87" i="2"/>
  <c r="G88" i="2"/>
  <c r="W88" i="2"/>
  <c r="AM88" i="2"/>
  <c r="BC88" i="2"/>
  <c r="N89" i="2"/>
  <c r="AD89" i="2"/>
  <c r="AT89" i="2"/>
  <c r="BJ89" i="2"/>
  <c r="U90" i="2"/>
  <c r="AK90" i="2"/>
  <c r="BA90" i="2"/>
  <c r="H91" i="2"/>
  <c r="X91" i="2"/>
  <c r="AN91" i="2"/>
  <c r="BD91" i="2"/>
  <c r="K92" i="2"/>
  <c r="AA92" i="2"/>
  <c r="AQ92" i="2"/>
  <c r="BG92" i="2"/>
  <c r="R93" i="2"/>
  <c r="AH93" i="2"/>
  <c r="AX93" i="2"/>
  <c r="I94" i="2"/>
  <c r="Y94" i="2"/>
  <c r="AO94" i="2"/>
  <c r="BE94" i="2"/>
  <c r="L95" i="2"/>
  <c r="AB95" i="2"/>
  <c r="AR95" i="2"/>
  <c r="BH95" i="2"/>
  <c r="O96" i="2"/>
  <c r="AE96" i="2"/>
  <c r="AU96" i="2"/>
  <c r="BK96" i="2"/>
  <c r="V97" i="2"/>
  <c r="AL97" i="2"/>
  <c r="BB97" i="2"/>
  <c r="M98" i="2"/>
  <c r="AC98" i="2"/>
  <c r="AS98" i="2"/>
  <c r="BI98" i="2"/>
  <c r="P99" i="2"/>
  <c r="AF99" i="2"/>
  <c r="AV99" i="2"/>
  <c r="BL99" i="2"/>
  <c r="S100" i="2"/>
  <c r="AI100" i="2"/>
  <c r="AY100" i="2"/>
  <c r="J101" i="2"/>
  <c r="Z101" i="2"/>
  <c r="AP101" i="2"/>
  <c r="BF101" i="2"/>
  <c r="Q102" i="2"/>
  <c r="AG102" i="2"/>
  <c r="AW102" i="2"/>
  <c r="BM102" i="2"/>
  <c r="T103" i="2"/>
  <c r="AJ103" i="2"/>
  <c r="AZ103" i="2"/>
  <c r="G104" i="2"/>
  <c r="W104" i="2"/>
  <c r="AM104" i="2"/>
  <c r="BC104" i="2"/>
  <c r="N105" i="2"/>
  <c r="AD105" i="2"/>
  <c r="AT105" i="2"/>
  <c r="BJ105" i="2"/>
  <c r="U106" i="2"/>
  <c r="AK106" i="2"/>
  <c r="BA106" i="2"/>
  <c r="H107" i="2"/>
  <c r="X107" i="2"/>
  <c r="AN107" i="2"/>
  <c r="BD107" i="2"/>
  <c r="K108" i="2"/>
  <c r="AA108" i="2"/>
  <c r="AQ108" i="2"/>
  <c r="BG108" i="2"/>
  <c r="R109" i="2"/>
  <c r="AH109" i="2"/>
  <c r="AX109" i="2"/>
  <c r="I110" i="2"/>
  <c r="Y110" i="2"/>
  <c r="AO110" i="2"/>
  <c r="BE110" i="2"/>
  <c r="L111" i="2"/>
  <c r="AB111" i="2"/>
  <c r="AR111" i="2"/>
  <c r="BH111" i="2"/>
  <c r="O112" i="2"/>
  <c r="AE112" i="2"/>
  <c r="AU112" i="2"/>
  <c r="BK112" i="2"/>
  <c r="V113" i="2"/>
  <c r="AL113" i="2"/>
  <c r="BB113" i="2"/>
  <c r="P114" i="2"/>
  <c r="AN114" i="2"/>
  <c r="AS23" i="2"/>
  <c r="BI23" i="2"/>
  <c r="P24" i="2"/>
  <c r="AF24" i="2"/>
  <c r="AV24" i="2"/>
  <c r="BL24" i="2"/>
  <c r="S25" i="2"/>
  <c r="AI25" i="2"/>
  <c r="AY25" i="2"/>
  <c r="J26" i="2"/>
  <c r="Z26" i="2"/>
  <c r="AP26" i="2"/>
  <c r="BF26" i="2"/>
  <c r="Q27" i="2"/>
  <c r="AG27" i="2"/>
  <c r="AW27" i="2"/>
  <c r="BM27" i="2"/>
  <c r="T28" i="2"/>
  <c r="AJ28" i="2"/>
  <c r="AZ28" i="2"/>
  <c r="G29" i="2"/>
  <c r="W29" i="2"/>
  <c r="AM29" i="2"/>
  <c r="BC29" i="2"/>
  <c r="N30" i="2"/>
  <c r="AD30" i="2"/>
  <c r="AT30" i="2"/>
  <c r="BJ30" i="2"/>
  <c r="U31" i="2"/>
  <c r="AK31" i="2"/>
  <c r="BA31" i="2"/>
  <c r="H32" i="2"/>
  <c r="X32" i="2"/>
  <c r="AN32" i="2"/>
  <c r="BD32" i="2"/>
  <c r="K33" i="2"/>
  <c r="AA33" i="2"/>
  <c r="AQ33" i="2"/>
  <c r="BG33" i="2"/>
  <c r="R34" i="2"/>
  <c r="AH34" i="2"/>
  <c r="AX34" i="2"/>
  <c r="I35" i="2"/>
  <c r="Y35" i="2"/>
  <c r="AO35" i="2"/>
  <c r="BE35" i="2"/>
  <c r="L36" i="2"/>
  <c r="AB36" i="2"/>
  <c r="AR36" i="2"/>
  <c r="BH36" i="2"/>
  <c r="O37" i="2"/>
  <c r="AE37" i="2"/>
  <c r="AU37" i="2"/>
  <c r="BK37" i="2"/>
  <c r="V38" i="2"/>
  <c r="AL38" i="2"/>
  <c r="BB38" i="2"/>
  <c r="M39" i="2"/>
  <c r="AC39" i="2"/>
  <c r="AS39" i="2"/>
  <c r="BI39" i="2"/>
  <c r="P40" i="2"/>
  <c r="AF40" i="2"/>
  <c r="AV40" i="2"/>
  <c r="BL40" i="2"/>
  <c r="S41" i="2"/>
  <c r="AI41" i="2"/>
  <c r="AY41" i="2"/>
  <c r="J42" i="2"/>
  <c r="Z42" i="2"/>
  <c r="AP42" i="2"/>
  <c r="BF42" i="2"/>
  <c r="Q43" i="2"/>
  <c r="AG43" i="2"/>
  <c r="AW43" i="2"/>
  <c r="BM43" i="2"/>
  <c r="U44" i="3"/>
  <c r="U44" i="2" s="1"/>
  <c r="U45" i="2"/>
  <c r="AK44" i="3"/>
  <c r="AK44" i="2" s="1"/>
  <c r="AK45" i="2"/>
  <c r="BA44" i="3"/>
  <c r="BA44" i="2" s="1"/>
  <c r="BA45" i="2"/>
  <c r="H46" i="2"/>
  <c r="X46" i="2"/>
  <c r="AN46" i="2"/>
  <c r="BD46" i="2"/>
  <c r="K47" i="2"/>
  <c r="AA47" i="2"/>
  <c r="AQ47" i="2"/>
  <c r="BG47" i="2"/>
  <c r="R48" i="2"/>
  <c r="AH48" i="2"/>
  <c r="AX48" i="2"/>
  <c r="I49" i="2"/>
  <c r="Y49" i="2"/>
  <c r="AO49" i="2"/>
  <c r="BE49" i="2"/>
  <c r="L50" i="2"/>
  <c r="AB50" i="2"/>
  <c r="AR50" i="2"/>
  <c r="BH50" i="2"/>
  <c r="O51" i="2"/>
  <c r="AE51" i="2"/>
  <c r="AU51" i="2"/>
  <c r="BK51" i="2"/>
  <c r="V52" i="2"/>
  <c r="AL52" i="2"/>
  <c r="BB52" i="2"/>
  <c r="M53" i="2"/>
  <c r="AC53" i="2"/>
  <c r="AS53" i="2"/>
  <c r="BI53" i="2"/>
  <c r="P54" i="2"/>
  <c r="AF54" i="2"/>
  <c r="AV54" i="2"/>
  <c r="BL54" i="2"/>
  <c r="S55" i="2"/>
  <c r="AI55" i="2"/>
  <c r="AY55" i="2"/>
  <c r="J56" i="2"/>
  <c r="Z56" i="2"/>
  <c r="AP56" i="2"/>
  <c r="BF56" i="2"/>
  <c r="Q57" i="2"/>
  <c r="AG57" i="2"/>
  <c r="AW57" i="2"/>
  <c r="BM57" i="2"/>
  <c r="T58" i="2"/>
  <c r="AJ58" i="2"/>
  <c r="AZ58" i="2"/>
  <c r="G59" i="2"/>
  <c r="W59" i="2"/>
  <c r="AM59" i="2"/>
  <c r="BC59" i="2"/>
  <c r="N60" i="2"/>
  <c r="AD60" i="2"/>
  <c r="AT60" i="2"/>
  <c r="BJ60" i="2"/>
  <c r="U61" i="2"/>
  <c r="AK61" i="2"/>
  <c r="BA61" i="2"/>
  <c r="H62" i="2"/>
  <c r="X62" i="2"/>
  <c r="AN62" i="2"/>
  <c r="BD62" i="2"/>
  <c r="K63" i="2"/>
  <c r="AA63" i="2"/>
  <c r="AQ63" i="2"/>
  <c r="BG63" i="2"/>
  <c r="R64" i="2"/>
  <c r="AH64" i="2"/>
  <c r="AX64" i="2"/>
  <c r="I65" i="2"/>
  <c r="Y65" i="2"/>
  <c r="AO65" i="2"/>
  <c r="BE65" i="2"/>
  <c r="L66" i="2"/>
  <c r="AB66" i="2"/>
  <c r="AR66" i="2"/>
  <c r="BH66" i="2"/>
  <c r="O67" i="2"/>
  <c r="AE67" i="2"/>
  <c r="AU67" i="2"/>
  <c r="BK67" i="2"/>
  <c r="V68" i="2"/>
  <c r="AL68" i="2"/>
  <c r="BB68" i="2"/>
  <c r="M69" i="2"/>
  <c r="AC69" i="2"/>
  <c r="AS69" i="2"/>
  <c r="BI69" i="2"/>
  <c r="P70" i="2"/>
  <c r="AF70" i="2"/>
  <c r="AV70" i="2"/>
  <c r="BL70" i="2"/>
  <c r="S71" i="2"/>
  <c r="AI71" i="2"/>
  <c r="AY71" i="2"/>
  <c r="J72" i="2"/>
  <c r="Z72" i="2"/>
  <c r="AP72" i="2"/>
  <c r="BF72" i="2"/>
  <c r="Q73" i="2"/>
  <c r="AG73" i="2"/>
  <c r="AW73" i="2"/>
  <c r="BM73" i="2"/>
  <c r="T74" i="2"/>
  <c r="AJ74" i="2"/>
  <c r="AZ74" i="2"/>
  <c r="G75" i="2"/>
  <c r="W75" i="2"/>
  <c r="AM75" i="2"/>
  <c r="BC75" i="2"/>
  <c r="N76" i="2"/>
  <c r="AD76" i="2"/>
  <c r="AT76" i="2"/>
  <c r="BJ76" i="2"/>
  <c r="U77" i="2"/>
  <c r="AK77" i="2"/>
  <c r="BA77" i="2"/>
  <c r="H78" i="2"/>
  <c r="X78" i="2"/>
  <c r="AN78" i="2"/>
  <c r="BD78" i="2"/>
  <c r="K79" i="2"/>
  <c r="AA79" i="2"/>
  <c r="AQ79" i="2"/>
  <c r="BG79" i="2"/>
  <c r="R80" i="2"/>
  <c r="AH80" i="2"/>
  <c r="AX80" i="2"/>
  <c r="I81" i="2"/>
  <c r="Y81" i="2"/>
  <c r="AO81" i="2"/>
  <c r="BE81" i="2"/>
  <c r="L82" i="2"/>
  <c r="AB82" i="2"/>
  <c r="AR82" i="2"/>
  <c r="BH82" i="2"/>
  <c r="O83" i="2"/>
  <c r="AE83" i="2"/>
  <c r="AU83" i="2"/>
  <c r="BK83" i="2"/>
  <c r="V84" i="2"/>
  <c r="AL84" i="2"/>
  <c r="BB84" i="2"/>
  <c r="N85" i="3"/>
  <c r="N85" i="2" s="1"/>
  <c r="N86" i="2"/>
  <c r="AD85" i="3"/>
  <c r="AD85" i="2" s="1"/>
  <c r="AD86" i="2"/>
  <c r="AT85" i="3"/>
  <c r="AT85" i="2" s="1"/>
  <c r="AT86" i="2"/>
  <c r="BJ85" i="3"/>
  <c r="BJ85" i="2" s="1"/>
  <c r="BJ86" i="2"/>
  <c r="U87" i="2"/>
  <c r="AK87" i="2"/>
  <c r="BA87" i="2"/>
  <c r="H88" i="2"/>
  <c r="X88" i="2"/>
  <c r="AN88" i="2"/>
  <c r="BD88" i="2"/>
  <c r="K89" i="2"/>
  <c r="AA89" i="2"/>
  <c r="AQ89" i="2"/>
  <c r="BG89" i="2"/>
  <c r="R90" i="2"/>
  <c r="AH90" i="2"/>
  <c r="AX90" i="2"/>
  <c r="I91" i="2"/>
  <c r="Y91" i="2"/>
  <c r="AO91" i="2"/>
  <c r="BE91" i="2"/>
  <c r="L92" i="2"/>
  <c r="AB92" i="2"/>
  <c r="AR92" i="2"/>
  <c r="BH92" i="2"/>
  <c r="O93" i="2"/>
  <c r="AE93" i="2"/>
  <c r="AU93" i="2"/>
  <c r="BK93" i="2"/>
  <c r="V94" i="2"/>
  <c r="AL94" i="2"/>
  <c r="BB94" i="2"/>
  <c r="M95" i="2"/>
  <c r="AC95" i="2"/>
  <c r="AS95" i="2"/>
  <c r="BI95" i="2"/>
  <c r="P96" i="2"/>
  <c r="AF96" i="2"/>
  <c r="AV96" i="2"/>
  <c r="BL96" i="2"/>
  <c r="S97" i="2"/>
  <c r="AI97" i="2"/>
  <c r="AY97" i="2"/>
  <c r="J98" i="2"/>
  <c r="Z98" i="2"/>
  <c r="AP98" i="2"/>
  <c r="BF98" i="2"/>
  <c r="Q99" i="2"/>
  <c r="AG99" i="2"/>
  <c r="AW99" i="2"/>
  <c r="BM99" i="2"/>
  <c r="T100" i="2"/>
  <c r="AJ100" i="2"/>
  <c r="AZ100" i="2"/>
  <c r="G101" i="2"/>
  <c r="W101" i="2"/>
  <c r="AM101" i="2"/>
  <c r="BC101" i="2"/>
  <c r="N102" i="2"/>
  <c r="AD102" i="2"/>
  <c r="AT102" i="2"/>
  <c r="BJ102" i="2"/>
  <c r="U103" i="2"/>
  <c r="AK103" i="2"/>
  <c r="BA103" i="2"/>
  <c r="H104" i="2"/>
  <c r="X104" i="2"/>
  <c r="AN104" i="2"/>
  <c r="BD104" i="2"/>
  <c r="K105" i="2"/>
  <c r="AA105" i="2"/>
  <c r="AQ105" i="2"/>
  <c r="BG105" i="2"/>
  <c r="R106" i="2"/>
  <c r="AH106" i="2"/>
  <c r="AX106" i="2"/>
  <c r="I107" i="2"/>
  <c r="Y107" i="2"/>
  <c r="AO107" i="2"/>
  <c r="BE107" i="2"/>
  <c r="L108" i="2"/>
  <c r="AB108" i="2"/>
  <c r="AR108" i="2"/>
  <c r="BH108" i="2"/>
  <c r="O109" i="2"/>
  <c r="AE109" i="2"/>
  <c r="AU109" i="2"/>
  <c r="BK109" i="2"/>
  <c r="V110" i="2"/>
  <c r="AL110" i="2"/>
  <c r="BB110" i="2"/>
  <c r="M111" i="2"/>
  <c r="AC111" i="2"/>
  <c r="AS111" i="2"/>
  <c r="BI111" i="2"/>
  <c r="P112" i="2"/>
  <c r="AF112" i="2"/>
  <c r="AV112" i="2"/>
  <c r="BL112" i="2"/>
  <c r="S113" i="2"/>
  <c r="AI113" i="2"/>
  <c r="AY113" i="2"/>
  <c r="G114" i="2"/>
  <c r="AB114" i="2"/>
  <c r="BG114" i="2"/>
  <c r="AT23" i="2"/>
  <c r="BJ23" i="2"/>
  <c r="U24" i="2"/>
  <c r="AK24" i="2"/>
  <c r="BA24" i="2"/>
  <c r="H25" i="2"/>
  <c r="X25" i="2"/>
  <c r="AN25" i="2"/>
  <c r="BD25" i="2"/>
  <c r="K26" i="2"/>
  <c r="AA26" i="2"/>
  <c r="AQ26" i="2"/>
  <c r="BG26" i="2"/>
  <c r="R27" i="2"/>
  <c r="AH27" i="2"/>
  <c r="AX27" i="2"/>
  <c r="I28" i="2"/>
  <c r="Y28" i="2"/>
  <c r="AO28" i="2"/>
  <c r="BE28" i="2"/>
  <c r="L29" i="2"/>
  <c r="AB29" i="2"/>
  <c r="AR29" i="2"/>
  <c r="BH29" i="2"/>
  <c r="O30" i="2"/>
  <c r="AE30" i="2"/>
  <c r="AU30" i="2"/>
  <c r="BK30" i="2"/>
  <c r="V31" i="2"/>
  <c r="AL31" i="2"/>
  <c r="BB31" i="2"/>
  <c r="M32" i="2"/>
  <c r="AC32" i="2"/>
  <c r="AS32" i="2"/>
  <c r="BI32" i="2"/>
  <c r="P33" i="2"/>
  <c r="AF33" i="2"/>
  <c r="AV33" i="2"/>
  <c r="BL33" i="2"/>
  <c r="S34" i="2"/>
  <c r="AI34" i="2"/>
  <c r="AY34" i="2"/>
  <c r="J35" i="2"/>
  <c r="Z35" i="2"/>
  <c r="AP35" i="2"/>
  <c r="BF35" i="2"/>
  <c r="Q36" i="2"/>
  <c r="AG36" i="2"/>
  <c r="AW36" i="2"/>
  <c r="BM36" i="2"/>
  <c r="T37" i="2"/>
  <c r="AJ37" i="2"/>
  <c r="AZ37" i="2"/>
  <c r="G38" i="2"/>
  <c r="W38" i="2"/>
  <c r="AM38" i="2"/>
  <c r="BC38" i="2"/>
  <c r="N39" i="2"/>
  <c r="AD39" i="2"/>
  <c r="AT39" i="2"/>
  <c r="BJ39" i="2"/>
  <c r="U40" i="2"/>
  <c r="AK40" i="2"/>
  <c r="BA40" i="2"/>
  <c r="H41" i="2"/>
  <c r="X41" i="2"/>
  <c r="AN41" i="2"/>
  <c r="BD41" i="2"/>
  <c r="K42" i="2"/>
  <c r="AA42" i="2"/>
  <c r="AQ42" i="2"/>
  <c r="BG42" i="2"/>
  <c r="R43" i="2"/>
  <c r="AH43" i="2"/>
  <c r="AX43" i="2"/>
  <c r="J44" i="3"/>
  <c r="J44" i="2" s="1"/>
  <c r="J45" i="2"/>
  <c r="Z44" i="3"/>
  <c r="Z44" i="2" s="1"/>
  <c r="Z45" i="2"/>
  <c r="AP44" i="3"/>
  <c r="AP44" i="2" s="1"/>
  <c r="AP45" i="2"/>
  <c r="BF44" i="3"/>
  <c r="BF44" i="2" s="1"/>
  <c r="BF45" i="2"/>
  <c r="Q46" i="2"/>
  <c r="AG46" i="2"/>
  <c r="AW46" i="2"/>
  <c r="BM46" i="2"/>
  <c r="T47" i="2"/>
  <c r="AJ47" i="2"/>
  <c r="AZ47" i="2"/>
  <c r="G48" i="2"/>
  <c r="W48" i="2"/>
  <c r="AM48" i="2"/>
  <c r="BC48" i="2"/>
  <c r="N49" i="2"/>
  <c r="AD49" i="2"/>
  <c r="AT49" i="2"/>
  <c r="BJ49" i="2"/>
  <c r="U50" i="2"/>
  <c r="AK50" i="2"/>
  <c r="BA50" i="2"/>
  <c r="H51" i="2"/>
  <c r="X51" i="2"/>
  <c r="AN51" i="2"/>
  <c r="BD51" i="2"/>
  <c r="K52" i="2"/>
  <c r="AA52" i="2"/>
  <c r="AQ52" i="2"/>
  <c r="BG52" i="2"/>
  <c r="R53" i="2"/>
  <c r="AH53" i="2"/>
  <c r="AX53" i="2"/>
  <c r="I54" i="2"/>
  <c r="Y54" i="2"/>
  <c r="AO54" i="2"/>
  <c r="BE54" i="2"/>
  <c r="L55" i="2"/>
  <c r="AB55" i="2"/>
  <c r="AR55" i="2"/>
  <c r="BH55" i="2"/>
  <c r="O56" i="2"/>
  <c r="AE56" i="2"/>
  <c r="AU56" i="2"/>
  <c r="BK56" i="2"/>
  <c r="V57" i="2"/>
  <c r="AL57" i="2"/>
  <c r="BB57" i="2"/>
  <c r="M58" i="2"/>
  <c r="AC58" i="2"/>
  <c r="AS58" i="2"/>
  <c r="BI58" i="2"/>
  <c r="P59" i="2"/>
  <c r="AF59" i="2"/>
  <c r="AV59" i="2"/>
  <c r="BL59" i="2"/>
  <c r="S60" i="2"/>
  <c r="AI60" i="2"/>
  <c r="AY60" i="2"/>
  <c r="J61" i="2"/>
  <c r="Z61" i="2"/>
  <c r="AP61" i="2"/>
  <c r="BF61" i="2"/>
  <c r="Q62" i="2"/>
  <c r="AG62" i="2"/>
  <c r="AW62" i="2"/>
  <c r="BM62" i="2"/>
  <c r="T63" i="2"/>
  <c r="AJ63" i="2"/>
  <c r="AZ63" i="2"/>
  <c r="G64" i="2"/>
  <c r="W64" i="2"/>
  <c r="AM64" i="2"/>
  <c r="BC64" i="2"/>
  <c r="N65" i="2"/>
  <c r="AD65" i="2"/>
  <c r="AT65" i="2"/>
  <c r="BJ65" i="2"/>
  <c r="U66" i="2"/>
  <c r="AK66" i="2"/>
  <c r="BA66" i="2"/>
  <c r="H67" i="2"/>
  <c r="X67" i="2"/>
  <c r="AN67" i="2"/>
  <c r="BD67" i="2"/>
  <c r="K68" i="2"/>
  <c r="AA68" i="2"/>
  <c r="AQ68" i="2"/>
  <c r="BG68" i="2"/>
  <c r="R69" i="2"/>
  <c r="AH69" i="2"/>
  <c r="AX69" i="2"/>
  <c r="I70" i="2"/>
  <c r="Y70" i="2"/>
  <c r="AO70" i="2"/>
  <c r="BE70" i="2"/>
  <c r="L71" i="2"/>
  <c r="AB71" i="2"/>
  <c r="AR71" i="2"/>
  <c r="BH71" i="2"/>
  <c r="O72" i="2"/>
  <c r="AE72" i="2"/>
  <c r="AU72" i="2"/>
  <c r="BK72" i="2"/>
  <c r="V73" i="2"/>
  <c r="AL73" i="2"/>
  <c r="BB73" i="2"/>
  <c r="M74" i="2"/>
  <c r="AC74" i="2"/>
  <c r="AS74" i="2"/>
  <c r="BI74" i="2"/>
  <c r="P75" i="2"/>
  <c r="AF75" i="2"/>
  <c r="AV75" i="2"/>
  <c r="BL75" i="2"/>
  <c r="S76" i="2"/>
  <c r="AI76" i="2"/>
  <c r="AY76" i="2"/>
  <c r="J77" i="2"/>
  <c r="Z77" i="2"/>
  <c r="AP77" i="2"/>
  <c r="BF77" i="2"/>
  <c r="Q78" i="2"/>
  <c r="AG78" i="2"/>
  <c r="AW78" i="2"/>
  <c r="BM78" i="2"/>
  <c r="T79" i="2"/>
  <c r="AJ79" i="2"/>
  <c r="AZ79" i="2"/>
  <c r="G80" i="2"/>
  <c r="W80" i="2"/>
  <c r="AM80" i="2"/>
  <c r="BC80" i="2"/>
  <c r="N81" i="2"/>
  <c r="AD81" i="2"/>
  <c r="AT81" i="2"/>
  <c r="BJ81" i="2"/>
  <c r="U82" i="2"/>
  <c r="AK82" i="2"/>
  <c r="BA82" i="2"/>
  <c r="H83" i="2"/>
  <c r="X83" i="2"/>
  <c r="AN83" i="2"/>
  <c r="BD83" i="2"/>
  <c r="K84" i="2"/>
  <c r="AA84" i="2"/>
  <c r="AQ84" i="2"/>
  <c r="BG84" i="2"/>
  <c r="O85" i="3"/>
  <c r="O85" i="2" s="1"/>
  <c r="O86" i="2"/>
  <c r="AE85" i="3"/>
  <c r="AE85" i="2" s="1"/>
  <c r="AE86" i="2"/>
  <c r="AU85" i="3"/>
  <c r="AU85" i="2" s="1"/>
  <c r="AU86" i="2"/>
  <c r="BK85" i="3"/>
  <c r="BK85" i="2" s="1"/>
  <c r="BK86" i="2"/>
  <c r="V87" i="2"/>
  <c r="AL87" i="2"/>
  <c r="BB87" i="2"/>
  <c r="M88" i="2"/>
  <c r="AC88" i="2"/>
  <c r="AS88" i="2"/>
  <c r="BI88" i="2"/>
  <c r="P89" i="2"/>
  <c r="AF89" i="2"/>
  <c r="AV89" i="2"/>
  <c r="BL89" i="2"/>
  <c r="S90" i="2"/>
  <c r="AI90" i="2"/>
  <c r="AY90" i="2"/>
  <c r="J91" i="2"/>
  <c r="Z91" i="2"/>
  <c r="AP91" i="2"/>
  <c r="BF91" i="2"/>
  <c r="Q92" i="2"/>
  <c r="AG92" i="2"/>
  <c r="AW92" i="2"/>
  <c r="BM92" i="2"/>
  <c r="T93" i="2"/>
  <c r="AJ93" i="2"/>
  <c r="AZ93" i="2"/>
  <c r="G94" i="2"/>
  <c r="W94" i="2"/>
  <c r="AM94" i="2"/>
  <c r="BC94" i="2"/>
  <c r="N95" i="2"/>
  <c r="AD95" i="2"/>
  <c r="AT95" i="2"/>
  <c r="BJ95" i="2"/>
  <c r="U96" i="2"/>
  <c r="AK96" i="2"/>
  <c r="BA96" i="2"/>
  <c r="H97" i="2"/>
  <c r="X97" i="2"/>
  <c r="AN97" i="2"/>
  <c r="BD97" i="2"/>
  <c r="K98" i="2"/>
  <c r="AA98" i="2"/>
  <c r="AQ98" i="2"/>
  <c r="BG98" i="2"/>
  <c r="R99" i="2"/>
  <c r="AH99" i="2"/>
  <c r="AX99" i="2"/>
  <c r="I100" i="2"/>
  <c r="Y100" i="2"/>
  <c r="AO100" i="2"/>
  <c r="BE100" i="2"/>
  <c r="L101" i="2"/>
  <c r="AB101" i="2"/>
  <c r="AR101" i="2"/>
  <c r="BH101" i="2"/>
  <c r="O102" i="2"/>
  <c r="AE102" i="2"/>
  <c r="AU102" i="2"/>
  <c r="BK102" i="2"/>
  <c r="V103" i="2"/>
  <c r="AL103" i="2"/>
  <c r="BB103" i="2"/>
  <c r="M104" i="2"/>
  <c r="AC104" i="2"/>
  <c r="AS104" i="2"/>
  <c r="BI104" i="2"/>
  <c r="P105" i="2"/>
  <c r="AF105" i="2"/>
  <c r="AV105" i="2"/>
  <c r="BL105" i="2"/>
  <c r="S106" i="2"/>
  <c r="AI106" i="2"/>
  <c r="AY106" i="2"/>
  <c r="J107" i="2"/>
  <c r="Z107" i="2"/>
  <c r="AP107" i="2"/>
  <c r="BF107" i="2"/>
  <c r="Q108" i="2"/>
  <c r="AG108" i="2"/>
  <c r="AW108" i="2"/>
  <c r="BM108" i="2"/>
  <c r="T109" i="2"/>
  <c r="AJ109" i="2"/>
  <c r="AZ109" i="2"/>
  <c r="G110" i="2"/>
  <c r="W110" i="2"/>
  <c r="AM110" i="2"/>
  <c r="BC110" i="2"/>
  <c r="N111" i="2"/>
  <c r="AD111" i="2"/>
  <c r="AT111" i="2"/>
  <c r="BJ111" i="2"/>
  <c r="U112" i="2"/>
  <c r="AK112" i="2"/>
  <c r="BA112" i="2"/>
  <c r="H113" i="2"/>
  <c r="X113" i="2"/>
  <c r="AN113" i="2"/>
  <c r="BD113" i="2"/>
  <c r="M114" i="2"/>
  <c r="AJ114" i="2"/>
  <c r="G23" i="2"/>
  <c r="W23" i="2"/>
  <c r="AM23" i="2"/>
  <c r="BC23" i="2"/>
  <c r="N24" i="2"/>
  <c r="AD24" i="2"/>
  <c r="AT24" i="2"/>
  <c r="BJ24" i="2"/>
  <c r="U25" i="2"/>
  <c r="AK25" i="2"/>
  <c r="BA25" i="2"/>
  <c r="H26" i="2"/>
  <c r="X26" i="2"/>
  <c r="AN26" i="2"/>
  <c r="BD26" i="2"/>
  <c r="K27" i="2"/>
  <c r="AA27" i="2"/>
  <c r="AQ27" i="2"/>
  <c r="BG27" i="2"/>
  <c r="R28" i="2"/>
  <c r="AH28" i="2"/>
  <c r="AX28" i="2"/>
  <c r="I29" i="2"/>
  <c r="Y29" i="2"/>
  <c r="AO29" i="2"/>
  <c r="BE29" i="2"/>
  <c r="L30" i="2"/>
  <c r="AB30" i="2"/>
  <c r="AR30" i="2"/>
  <c r="BH30" i="2"/>
  <c r="O31" i="2"/>
  <c r="AE31" i="2"/>
  <c r="AU31" i="2"/>
  <c r="BK31" i="2"/>
  <c r="V32" i="2"/>
  <c r="AL32" i="2"/>
  <c r="BB32" i="2"/>
  <c r="M33" i="2"/>
  <c r="AC33" i="2"/>
  <c r="AS33" i="2"/>
  <c r="BI33" i="2"/>
  <c r="P34" i="2"/>
  <c r="AF34" i="2"/>
  <c r="AV34" i="2"/>
  <c r="BL34" i="2"/>
  <c r="S35" i="2"/>
  <c r="AI35" i="2"/>
  <c r="AY35" i="2"/>
  <c r="J36" i="2"/>
  <c r="Z36" i="2"/>
  <c r="AP36" i="2"/>
  <c r="BF36" i="2"/>
  <c r="Q37" i="2"/>
  <c r="AG37" i="2"/>
  <c r="AW37" i="2"/>
  <c r="BM37" i="2"/>
  <c r="T38" i="2"/>
  <c r="AJ38" i="2"/>
  <c r="AZ38" i="2"/>
  <c r="G39" i="2"/>
  <c r="W39" i="2"/>
  <c r="AM39" i="2"/>
  <c r="BC39" i="2"/>
  <c r="N40" i="2"/>
  <c r="AD40" i="2"/>
  <c r="AT40" i="2"/>
  <c r="BJ40" i="2"/>
  <c r="U41" i="2"/>
  <c r="AK41" i="2"/>
  <c r="BA41" i="2"/>
  <c r="H42" i="2"/>
  <c r="X42" i="2"/>
  <c r="AN42" i="2"/>
  <c r="BD42" i="2"/>
  <c r="K43" i="2"/>
  <c r="AA43" i="2"/>
  <c r="AQ43" i="2"/>
  <c r="BG43" i="2"/>
  <c r="O44" i="3"/>
  <c r="O44" i="2" s="1"/>
  <c r="O45" i="2"/>
  <c r="AE44" i="3"/>
  <c r="AE44" i="2" s="1"/>
  <c r="AE45" i="2"/>
  <c r="AU44" i="3"/>
  <c r="AU44" i="2" s="1"/>
  <c r="AU45" i="2"/>
  <c r="BK44" i="3"/>
  <c r="BK44" i="2" s="1"/>
  <c r="BK45" i="2"/>
  <c r="V46" i="2"/>
  <c r="AL46" i="2"/>
  <c r="BB46" i="2"/>
  <c r="M47" i="2"/>
  <c r="AC47" i="2"/>
  <c r="AS47" i="2"/>
  <c r="BI47" i="2"/>
  <c r="P48" i="2"/>
  <c r="AF48" i="2"/>
  <c r="AV48" i="2"/>
  <c r="BL48" i="2"/>
  <c r="S49" i="2"/>
  <c r="AI49" i="2"/>
  <c r="AY49" i="2"/>
  <c r="J50" i="2"/>
  <c r="Z50" i="2"/>
  <c r="AP50" i="2"/>
  <c r="BF50" i="2"/>
  <c r="Q51" i="2"/>
  <c r="AG51" i="2"/>
  <c r="AW51" i="2"/>
  <c r="BM51" i="2"/>
  <c r="T52" i="2"/>
  <c r="AJ52" i="2"/>
  <c r="AZ52" i="2"/>
  <c r="G53" i="2"/>
  <c r="W53" i="2"/>
  <c r="AM53" i="2"/>
  <c r="BC53" i="2"/>
  <c r="N54" i="2"/>
  <c r="AD54" i="2"/>
  <c r="AT54" i="2"/>
  <c r="BJ54" i="2"/>
  <c r="U55" i="2"/>
  <c r="AK55" i="2"/>
  <c r="BA55" i="2"/>
  <c r="H56" i="2"/>
  <c r="X56" i="2"/>
  <c r="AN56" i="2"/>
  <c r="BD56" i="2"/>
  <c r="K57" i="2"/>
  <c r="AA57" i="2"/>
  <c r="AQ57" i="2"/>
  <c r="BG57" i="2"/>
  <c r="R58" i="2"/>
  <c r="AH58" i="2"/>
  <c r="AX58" i="2"/>
  <c r="I59" i="2"/>
  <c r="Y59" i="2"/>
  <c r="AO59" i="2"/>
  <c r="BE59" i="2"/>
  <c r="L60" i="2"/>
  <c r="AB60" i="2"/>
  <c r="AR60" i="2"/>
  <c r="BH60" i="2"/>
  <c r="O61" i="2"/>
  <c r="AE61" i="2"/>
  <c r="AU61" i="2"/>
  <c r="BK61" i="2"/>
  <c r="V62" i="2"/>
  <c r="AL62" i="2"/>
  <c r="BB62" i="2"/>
  <c r="M63" i="2"/>
  <c r="AC63" i="2"/>
  <c r="AS63" i="2"/>
  <c r="BI63" i="2"/>
  <c r="P64" i="2"/>
  <c r="AF64" i="2"/>
  <c r="AV64" i="2"/>
  <c r="BL64" i="2"/>
  <c r="S65" i="2"/>
  <c r="AI65" i="2"/>
  <c r="AY65" i="2"/>
  <c r="J66" i="2"/>
  <c r="Z66" i="2"/>
  <c r="AP66" i="2"/>
  <c r="BF66" i="2"/>
  <c r="Q67" i="2"/>
  <c r="AG67" i="2"/>
  <c r="AW67" i="2"/>
  <c r="BM67" i="2"/>
  <c r="T68" i="2"/>
  <c r="AJ68" i="2"/>
  <c r="AZ68" i="2"/>
  <c r="G69" i="2"/>
  <c r="W69" i="2"/>
  <c r="AM69" i="2"/>
  <c r="BC69" i="2"/>
  <c r="N70" i="2"/>
  <c r="AD70" i="2"/>
  <c r="AT70" i="2"/>
  <c r="BJ70" i="2"/>
  <c r="U71" i="2"/>
  <c r="AK71" i="2"/>
  <c r="BA71" i="2"/>
  <c r="H72" i="2"/>
  <c r="X72" i="2"/>
  <c r="AN72" i="2"/>
  <c r="BD72" i="2"/>
  <c r="K73" i="2"/>
  <c r="AA73" i="2"/>
  <c r="AQ73" i="2"/>
  <c r="BG73" i="2"/>
  <c r="R74" i="2"/>
  <c r="AH74" i="2"/>
  <c r="AX74" i="2"/>
  <c r="I75" i="2"/>
  <c r="Y75" i="2"/>
  <c r="AO75" i="2"/>
  <c r="BE75" i="2"/>
  <c r="L76" i="2"/>
  <c r="AB76" i="2"/>
  <c r="AR76" i="2"/>
  <c r="BH76" i="2"/>
  <c r="O77" i="2"/>
  <c r="AE77" i="2"/>
  <c r="AU77" i="2"/>
  <c r="BK77" i="2"/>
  <c r="V78" i="2"/>
  <c r="AL78" i="2"/>
  <c r="BB78" i="2"/>
  <c r="M79" i="2"/>
  <c r="AC79" i="2"/>
  <c r="AS79" i="2"/>
  <c r="BI79" i="2"/>
  <c r="P80" i="2"/>
  <c r="AF80" i="2"/>
  <c r="AV80" i="2"/>
  <c r="BL80" i="2"/>
  <c r="S81" i="2"/>
  <c r="AI81" i="2"/>
  <c r="AY81" i="2"/>
  <c r="J82" i="2"/>
  <c r="Z82" i="2"/>
  <c r="AP82" i="2"/>
  <c r="BF82" i="2"/>
  <c r="Q83" i="2"/>
  <c r="AG83" i="2"/>
  <c r="AW83" i="2"/>
  <c r="BM83" i="2"/>
  <c r="T84" i="2"/>
  <c r="AJ84" i="2"/>
  <c r="AZ84" i="2"/>
  <c r="H85" i="3"/>
  <c r="H85" i="2" s="1"/>
  <c r="H86" i="2"/>
  <c r="X85" i="3"/>
  <c r="X85" i="2" s="1"/>
  <c r="X86" i="2"/>
  <c r="AN85" i="3"/>
  <c r="AN85" i="2" s="1"/>
  <c r="AN86" i="2"/>
  <c r="BD85" i="3"/>
  <c r="BD85" i="2" s="1"/>
  <c r="BD86" i="2"/>
  <c r="K87" i="2"/>
  <c r="AA87" i="2"/>
  <c r="AQ87" i="2"/>
  <c r="BG87" i="2"/>
  <c r="R88" i="2"/>
  <c r="AH88" i="2"/>
  <c r="AX88" i="2"/>
  <c r="I89" i="2"/>
  <c r="Y89" i="2"/>
  <c r="AO89" i="2"/>
  <c r="BE89" i="2"/>
  <c r="L90" i="2"/>
  <c r="AB90" i="2"/>
  <c r="AR90" i="2"/>
  <c r="BH90" i="2"/>
  <c r="O91" i="2"/>
  <c r="AE91" i="2"/>
  <c r="AU91" i="2"/>
  <c r="BK91" i="2"/>
  <c r="V92" i="2"/>
  <c r="AL92" i="2"/>
  <c r="BB92" i="2"/>
  <c r="M93" i="2"/>
  <c r="AC93" i="2"/>
  <c r="AS93" i="2"/>
  <c r="BI93" i="2"/>
  <c r="P94" i="2"/>
  <c r="AF94" i="2"/>
  <c r="AV94" i="2"/>
  <c r="BL94" i="2"/>
  <c r="S95" i="2"/>
  <c r="AI95" i="2"/>
  <c r="AY95" i="2"/>
  <c r="J96" i="2"/>
  <c r="Z96" i="2"/>
  <c r="AP96" i="2"/>
  <c r="BF96" i="2"/>
  <c r="Q97" i="2"/>
  <c r="AG97" i="2"/>
  <c r="AW97" i="2"/>
  <c r="BM97" i="2"/>
  <c r="T98" i="2"/>
  <c r="AJ98" i="2"/>
  <c r="AZ98" i="2"/>
  <c r="G99" i="2"/>
  <c r="W99" i="2"/>
  <c r="AM99" i="2"/>
  <c r="BC99" i="2"/>
  <c r="N100" i="2"/>
  <c r="AD100" i="2"/>
  <c r="AT100" i="2"/>
  <c r="BJ100" i="2"/>
  <c r="U101" i="2"/>
  <c r="AK101" i="2"/>
  <c r="BA101" i="2"/>
  <c r="H102" i="2"/>
  <c r="X102" i="2"/>
  <c r="AN102" i="2"/>
  <c r="BD102" i="2"/>
  <c r="K103" i="2"/>
  <c r="AA103" i="2"/>
  <c r="AQ103" i="2"/>
  <c r="BG103" i="2"/>
  <c r="R104" i="2"/>
  <c r="AH104" i="2"/>
  <c r="AX104" i="2"/>
  <c r="I105" i="2"/>
  <c r="Y105" i="2"/>
  <c r="AO105" i="2"/>
  <c r="BE105" i="2"/>
  <c r="L106" i="2"/>
  <c r="AB106" i="2"/>
  <c r="AR106" i="2"/>
  <c r="BH106" i="2"/>
  <c r="O107" i="2"/>
  <c r="AE107" i="2"/>
  <c r="AU107" i="2"/>
  <c r="BK107" i="2"/>
  <c r="V108" i="2"/>
  <c r="AL108" i="2"/>
  <c r="BB108" i="2"/>
  <c r="M109" i="2"/>
  <c r="AC109" i="2"/>
  <c r="AS109" i="2"/>
  <c r="BI109" i="2"/>
  <c r="P110" i="2"/>
  <c r="AF110" i="2"/>
  <c r="AV110" i="2"/>
  <c r="BL110" i="2"/>
  <c r="S111" i="2"/>
  <c r="AI111" i="2"/>
  <c r="AY111" i="2"/>
  <c r="J112" i="2"/>
  <c r="Z112" i="2"/>
  <c r="AP112" i="2"/>
  <c r="BF112" i="2"/>
  <c r="Q113" i="2"/>
  <c r="AG113" i="2"/>
  <c r="AW113" i="2"/>
  <c r="BM113" i="2"/>
  <c r="Y114" i="2"/>
  <c r="BC114" i="2"/>
  <c r="R115" i="2"/>
  <c r="AH115" i="2"/>
  <c r="AX115" i="2"/>
  <c r="I116" i="2"/>
  <c r="Y116" i="2"/>
  <c r="AO116" i="2"/>
  <c r="BE116" i="2"/>
  <c r="L117" i="2"/>
  <c r="AB117" i="2"/>
  <c r="AR117" i="2"/>
  <c r="BH117" i="2"/>
  <c r="O118" i="2"/>
  <c r="AE118" i="2"/>
  <c r="AU118" i="2"/>
  <c r="BK118" i="2"/>
  <c r="V119" i="2"/>
  <c r="AL119" i="2"/>
  <c r="BB119" i="2"/>
  <c r="M120" i="2"/>
  <c r="AC120" i="2"/>
  <c r="AS120" i="2"/>
  <c r="BI120" i="2"/>
  <c r="P121" i="2"/>
  <c r="AF121" i="2"/>
  <c r="AV121" i="2"/>
  <c r="BL121" i="2"/>
  <c r="S122" i="2"/>
  <c r="AI122" i="2"/>
  <c r="AY122" i="2"/>
  <c r="J123" i="2"/>
  <c r="Z123" i="2"/>
  <c r="AP123" i="2"/>
  <c r="BF123" i="2"/>
  <c r="Q124" i="2"/>
  <c r="AG124" i="2"/>
  <c r="AW124" i="2"/>
  <c r="BM124" i="2"/>
  <c r="T125" i="2"/>
  <c r="AJ125" i="2"/>
  <c r="AZ125" i="2"/>
  <c r="H126" i="3"/>
  <c r="H126" i="2" s="1"/>
  <c r="H127" i="2"/>
  <c r="X126" i="3"/>
  <c r="X126" i="2" s="1"/>
  <c r="X127" i="2"/>
  <c r="AN126" i="3"/>
  <c r="AN126" i="2" s="1"/>
  <c r="AN127" i="2"/>
  <c r="BD126" i="3"/>
  <c r="BD126" i="2" s="1"/>
  <c r="BD127" i="2"/>
  <c r="K128" i="2"/>
  <c r="AA128" i="2"/>
  <c r="AQ128" i="2"/>
  <c r="BG128" i="2"/>
  <c r="R129" i="2"/>
  <c r="AH129" i="2"/>
  <c r="AX129" i="2"/>
  <c r="I130" i="2"/>
  <c r="Y130" i="2"/>
  <c r="AO130" i="2"/>
  <c r="BE130" i="2"/>
  <c r="L131" i="2"/>
  <c r="AB131" i="2"/>
  <c r="AR131" i="2"/>
  <c r="BH131" i="2"/>
  <c r="O132" i="2"/>
  <c r="AE132" i="2"/>
  <c r="AU132" i="2"/>
  <c r="BK132" i="2"/>
  <c r="V133" i="2"/>
  <c r="AL133" i="2"/>
  <c r="BB133" i="2"/>
  <c r="M134" i="2"/>
  <c r="AC134" i="2"/>
  <c r="AS134" i="2"/>
  <c r="BI134" i="2"/>
  <c r="P135" i="2"/>
  <c r="AF135" i="2"/>
  <c r="AV135" i="2"/>
  <c r="BL135" i="2"/>
  <c r="S136" i="2"/>
  <c r="AI136" i="2"/>
  <c r="AY136" i="2"/>
  <c r="J137" i="2"/>
  <c r="Z137" i="2"/>
  <c r="AP137" i="2"/>
  <c r="BF137" i="2"/>
  <c r="Q138" i="2"/>
  <c r="AG138" i="2"/>
  <c r="AW138" i="2"/>
  <c r="BM138" i="2"/>
  <c r="T139" i="2"/>
  <c r="AJ139" i="2"/>
  <c r="AZ139" i="2"/>
  <c r="G140" i="2"/>
  <c r="W140" i="2"/>
  <c r="AM140" i="2"/>
  <c r="BC140" i="2"/>
  <c r="N141" i="2"/>
  <c r="AD141" i="2"/>
  <c r="AT141" i="2"/>
  <c r="BJ141" i="2"/>
  <c r="U142" i="2"/>
  <c r="AK142" i="2"/>
  <c r="BA142" i="2"/>
  <c r="H143" i="2"/>
  <c r="X143" i="2"/>
  <c r="AN143" i="2"/>
  <c r="BD143" i="2"/>
  <c r="K144" i="2"/>
  <c r="AA144" i="2"/>
  <c r="AQ144" i="2"/>
  <c r="BG144" i="2"/>
  <c r="R145" i="2"/>
  <c r="AH145" i="2"/>
  <c r="AX145" i="2"/>
  <c r="I146" i="2"/>
  <c r="Y146" i="2"/>
  <c r="AO146" i="2"/>
  <c r="BE146" i="2"/>
  <c r="L147" i="2"/>
  <c r="AB147" i="2"/>
  <c r="AR147" i="2"/>
  <c r="BH147" i="2"/>
  <c r="O148" i="2"/>
  <c r="AE148" i="2"/>
  <c r="AU148" i="2"/>
  <c r="BK148" i="2"/>
  <c r="V149" i="2"/>
  <c r="AL149" i="2"/>
  <c r="BB149" i="2"/>
  <c r="M150" i="2"/>
  <c r="AC150" i="2"/>
  <c r="AS150" i="2"/>
  <c r="BI150" i="2"/>
  <c r="P151" i="2"/>
  <c r="AF151" i="2"/>
  <c r="AV151" i="2"/>
  <c r="BL151" i="2"/>
  <c r="S152" i="2"/>
  <c r="AI152" i="2"/>
  <c r="AY152" i="2"/>
  <c r="J153" i="2"/>
  <c r="Z153" i="2"/>
  <c r="AP153" i="2"/>
  <c r="BF153" i="2"/>
  <c r="Q154" i="2"/>
  <c r="AG154" i="2"/>
  <c r="AW154" i="2"/>
  <c r="BM154" i="2"/>
  <c r="T155" i="2"/>
  <c r="AJ155" i="2"/>
  <c r="AZ155" i="2"/>
  <c r="G156" i="2"/>
  <c r="W156" i="2"/>
  <c r="AM156" i="2"/>
  <c r="BC156" i="2"/>
  <c r="N157" i="2"/>
  <c r="AD157" i="2"/>
  <c r="AT157" i="2"/>
  <c r="BJ157" i="2"/>
  <c r="U158" i="2"/>
  <c r="AK158" i="2"/>
  <c r="BA158" i="2"/>
  <c r="H159" i="2"/>
  <c r="X159" i="2"/>
  <c r="AN159" i="2"/>
  <c r="BD159" i="2"/>
  <c r="K160" i="2"/>
  <c r="AA160" i="2"/>
  <c r="AQ160" i="2"/>
  <c r="BG160" i="2"/>
  <c r="R161" i="2"/>
  <c r="AH161" i="2"/>
  <c r="AX161" i="2"/>
  <c r="I162" i="2"/>
  <c r="Y162" i="2"/>
  <c r="AO162" i="2"/>
  <c r="BE162" i="2"/>
  <c r="L163" i="2"/>
  <c r="AB163" i="2"/>
  <c r="AR163" i="2"/>
  <c r="BH163" i="2"/>
  <c r="O164" i="2"/>
  <c r="AE164" i="2"/>
  <c r="AU164" i="2"/>
  <c r="BK164" i="2"/>
  <c r="V165" i="2"/>
  <c r="AL165" i="2"/>
  <c r="BB165" i="2"/>
  <c r="M166" i="2"/>
  <c r="AC166" i="2"/>
  <c r="AS166" i="2"/>
  <c r="BI166" i="2"/>
  <c r="Q167" i="3"/>
  <c r="Q167" i="2" s="1"/>
  <c r="Q168" i="2"/>
  <c r="AG167" i="3"/>
  <c r="AG167" i="2" s="1"/>
  <c r="AG168" i="2"/>
  <c r="AW167" i="3"/>
  <c r="AW167" i="2" s="1"/>
  <c r="AW168" i="2"/>
  <c r="BM167" i="3"/>
  <c r="BM167" i="2" s="1"/>
  <c r="BM168" i="2"/>
  <c r="T169" i="2"/>
  <c r="AJ169" i="2"/>
  <c r="AZ169" i="2"/>
  <c r="G170" i="2"/>
  <c r="W170" i="2"/>
  <c r="AM170" i="2"/>
  <c r="BC170" i="2"/>
  <c r="N171" i="2"/>
  <c r="AD171" i="2"/>
  <c r="AT171" i="2"/>
  <c r="BJ171" i="2"/>
  <c r="U172" i="2"/>
  <c r="AK172" i="2"/>
  <c r="BA172" i="2"/>
  <c r="H173" i="2"/>
  <c r="X173" i="2"/>
  <c r="AN173" i="2"/>
  <c r="BD173" i="2"/>
  <c r="K174" i="2"/>
  <c r="AA174" i="2"/>
  <c r="AQ174" i="2"/>
  <c r="BG174" i="2"/>
  <c r="R175" i="2"/>
  <c r="AH175" i="2"/>
  <c r="AX175" i="2"/>
  <c r="I176" i="2"/>
  <c r="Y176" i="2"/>
  <c r="AO176" i="2"/>
  <c r="BE176" i="2"/>
  <c r="L177" i="2"/>
  <c r="AB177" i="2"/>
  <c r="AR177" i="2"/>
  <c r="BH177" i="2"/>
  <c r="O178" i="2"/>
  <c r="AE178" i="2"/>
  <c r="AU178" i="2"/>
  <c r="BK178" i="2"/>
  <c r="V179" i="2"/>
  <c r="AL179" i="2"/>
  <c r="BB179" i="2"/>
  <c r="M180" i="2"/>
  <c r="AC180" i="2"/>
  <c r="AS180" i="2"/>
  <c r="BI180" i="2"/>
  <c r="P181" i="2"/>
  <c r="AF181" i="2"/>
  <c r="AV181" i="2"/>
  <c r="BL181" i="2"/>
  <c r="S182" i="2"/>
  <c r="AI182" i="2"/>
  <c r="AY182" i="2"/>
  <c r="J183" i="2"/>
  <c r="Z183" i="2"/>
  <c r="AP183" i="2"/>
  <c r="BF183" i="2"/>
  <c r="Q184" i="2"/>
  <c r="AG184" i="2"/>
  <c r="AW184" i="2"/>
  <c r="BM184" i="2"/>
  <c r="T185" i="2"/>
  <c r="AJ185" i="2"/>
  <c r="AZ185" i="2"/>
  <c r="G186" i="2"/>
  <c r="W186" i="2"/>
  <c r="AM186" i="2"/>
  <c r="BC186" i="2"/>
  <c r="N187" i="2"/>
  <c r="AD187" i="2"/>
  <c r="AT187" i="2"/>
  <c r="BJ187" i="2"/>
  <c r="U188" i="2"/>
  <c r="AK188" i="2"/>
  <c r="BA188" i="2"/>
  <c r="H189" i="2"/>
  <c r="X189" i="2"/>
  <c r="AN189" i="2"/>
  <c r="BD189" i="2"/>
  <c r="K190" i="2"/>
  <c r="AA190" i="2"/>
  <c r="AQ190" i="2"/>
  <c r="BG190" i="2"/>
  <c r="R191" i="2"/>
  <c r="AH191" i="2"/>
  <c r="AX191" i="2"/>
  <c r="I192" i="2"/>
  <c r="Y192" i="2"/>
  <c r="AO192" i="2"/>
  <c r="BE192" i="2"/>
  <c r="L193" i="2"/>
  <c r="AB193" i="2"/>
  <c r="AR193" i="2"/>
  <c r="BH193" i="2"/>
  <c r="O194" i="2"/>
  <c r="AE194" i="2"/>
  <c r="AU194" i="2"/>
  <c r="BK194" i="2"/>
  <c r="V195" i="2"/>
  <c r="AL195" i="2"/>
  <c r="BB195" i="2"/>
  <c r="M196" i="2"/>
  <c r="AC196" i="2"/>
  <c r="AS196" i="2"/>
  <c r="BI196" i="2"/>
  <c r="P197" i="2"/>
  <c r="AF197" i="2"/>
  <c r="AV197" i="2"/>
  <c r="BL197" i="2"/>
  <c r="S198" i="2"/>
  <c r="AI198" i="2"/>
  <c r="AY198" i="2"/>
  <c r="J199" i="2"/>
  <c r="Z199" i="2"/>
  <c r="AP199" i="2"/>
  <c r="BF199" i="2"/>
  <c r="Q200" i="2"/>
  <c r="AM200" i="2"/>
  <c r="BH200" i="2"/>
  <c r="S201" i="2"/>
  <c r="AN201" i="2"/>
  <c r="BJ201" i="2"/>
  <c r="AA202" i="2"/>
  <c r="AW202" i="2"/>
  <c r="I203" i="2"/>
  <c r="AD203" i="2"/>
  <c r="AZ203" i="2"/>
  <c r="L204" i="2"/>
  <c r="AG204" i="2"/>
  <c r="BC204" i="2"/>
  <c r="N205" i="2"/>
  <c r="AI205" i="2"/>
  <c r="BD205" i="2"/>
  <c r="V206" i="2"/>
  <c r="AQ206" i="2"/>
  <c r="BM206" i="2"/>
  <c r="S115" i="2"/>
  <c r="AI115" i="2"/>
  <c r="AY115" i="2"/>
  <c r="J116" i="2"/>
  <c r="Z116" i="2"/>
  <c r="AP116" i="2"/>
  <c r="BF116" i="2"/>
  <c r="Q117" i="2"/>
  <c r="AG117" i="2"/>
  <c r="AW117" i="2"/>
  <c r="BM117" i="2"/>
  <c r="T118" i="2"/>
  <c r="AJ118" i="2"/>
  <c r="AZ118" i="2"/>
  <c r="G119" i="2"/>
  <c r="W119" i="2"/>
  <c r="AM119" i="2"/>
  <c r="BC119" i="2"/>
  <c r="N120" i="2"/>
  <c r="AD120" i="2"/>
  <c r="AT120" i="2"/>
  <c r="BJ120" i="2"/>
  <c r="U121" i="2"/>
  <c r="AK121" i="2"/>
  <c r="BA121" i="2"/>
  <c r="H122" i="2"/>
  <c r="X122" i="2"/>
  <c r="AN122" i="2"/>
  <c r="BD122" i="2"/>
  <c r="K123" i="2"/>
  <c r="AA123" i="2"/>
  <c r="AQ123" i="2"/>
  <c r="BG123" i="2"/>
  <c r="R124" i="2"/>
  <c r="AH124" i="2"/>
  <c r="AX124" i="2"/>
  <c r="I125" i="2"/>
  <c r="Y125" i="2"/>
  <c r="AO125" i="2"/>
  <c r="BE125" i="2"/>
  <c r="M126" i="3"/>
  <c r="M126" i="2" s="1"/>
  <c r="M127" i="2"/>
  <c r="AC126" i="3"/>
  <c r="AC126" i="2" s="1"/>
  <c r="AC127" i="2"/>
  <c r="AS126" i="3"/>
  <c r="AS126" i="2" s="1"/>
  <c r="AS127" i="2"/>
  <c r="BI126" i="3"/>
  <c r="BI126" i="2" s="1"/>
  <c r="BI127" i="2"/>
  <c r="P128" i="2"/>
  <c r="AF128" i="2"/>
  <c r="AV128" i="2"/>
  <c r="BL128" i="2"/>
  <c r="S129" i="2"/>
  <c r="AI129" i="2"/>
  <c r="AY129" i="2"/>
  <c r="J130" i="2"/>
  <c r="Z130" i="2"/>
  <c r="AP130" i="2"/>
  <c r="BF130" i="2"/>
  <c r="Q131" i="2"/>
  <c r="AG131" i="2"/>
  <c r="AW131" i="2"/>
  <c r="BM131" i="2"/>
  <c r="T132" i="2"/>
  <c r="AJ132" i="2"/>
  <c r="AZ132" i="2"/>
  <c r="G133" i="2"/>
  <c r="W133" i="2"/>
  <c r="AM133" i="2"/>
  <c r="BC133" i="2"/>
  <c r="N134" i="2"/>
  <c r="AD134" i="2"/>
  <c r="AT134" i="2"/>
  <c r="BJ134" i="2"/>
  <c r="U135" i="2"/>
  <c r="AK135" i="2"/>
  <c r="BA135" i="2"/>
  <c r="H136" i="2"/>
  <c r="X136" i="2"/>
  <c r="AN136" i="2"/>
  <c r="BD136" i="2"/>
  <c r="K137" i="2"/>
  <c r="AA137" i="2"/>
  <c r="AQ137" i="2"/>
  <c r="BG137" i="2"/>
  <c r="R138" i="2"/>
  <c r="AH138" i="2"/>
  <c r="AX138" i="2"/>
  <c r="I139" i="2"/>
  <c r="Y139" i="2"/>
  <c r="AO139" i="2"/>
  <c r="BE139" i="2"/>
  <c r="L140" i="2"/>
  <c r="AB140" i="2"/>
  <c r="AR140" i="2"/>
  <c r="BH140" i="2"/>
  <c r="O141" i="2"/>
  <c r="AE141" i="2"/>
  <c r="AU141" i="2"/>
  <c r="BK141" i="2"/>
  <c r="V142" i="2"/>
  <c r="AL142" i="2"/>
  <c r="BB142" i="2"/>
  <c r="M143" i="2"/>
  <c r="AC143" i="2"/>
  <c r="AS143" i="2"/>
  <c r="BI143" i="2"/>
  <c r="P144" i="2"/>
  <c r="AF144" i="2"/>
  <c r="AV144" i="2"/>
  <c r="BL144" i="2"/>
  <c r="S145" i="2"/>
  <c r="AI145" i="2"/>
  <c r="AY145" i="2"/>
  <c r="J146" i="2"/>
  <c r="Z146" i="2"/>
  <c r="AP146" i="2"/>
  <c r="BF146" i="2"/>
  <c r="Q147" i="2"/>
  <c r="AG147" i="2"/>
  <c r="AW147" i="2"/>
  <c r="BM147" i="2"/>
  <c r="T148" i="2"/>
  <c r="AJ148" i="2"/>
  <c r="AZ148" i="2"/>
  <c r="G149" i="2"/>
  <c r="W149" i="2"/>
  <c r="AM149" i="2"/>
  <c r="BC149" i="2"/>
  <c r="N150" i="2"/>
  <c r="AD150" i="2"/>
  <c r="AT150" i="2"/>
  <c r="BJ150" i="2"/>
  <c r="U151" i="2"/>
  <c r="AK151" i="2"/>
  <c r="BA151" i="2"/>
  <c r="H152" i="2"/>
  <c r="X152" i="2"/>
  <c r="AN152" i="2"/>
  <c r="BD152" i="2"/>
  <c r="K153" i="2"/>
  <c r="AA153" i="2"/>
  <c r="AQ153" i="2"/>
  <c r="BG153" i="2"/>
  <c r="R154" i="2"/>
  <c r="AH154" i="2"/>
  <c r="AX154" i="2"/>
  <c r="I155" i="2"/>
  <c r="Y155" i="2"/>
  <c r="AO155" i="2"/>
  <c r="BE155" i="2"/>
  <c r="L156" i="2"/>
  <c r="AB156" i="2"/>
  <c r="AR156" i="2"/>
  <c r="BH156" i="2"/>
  <c r="O157" i="2"/>
  <c r="AE157" i="2"/>
  <c r="AU157" i="2"/>
  <c r="BK157" i="2"/>
  <c r="V158" i="2"/>
  <c r="AL158" i="2"/>
  <c r="BB158" i="2"/>
  <c r="M159" i="2"/>
  <c r="AC159" i="2"/>
  <c r="AS159" i="2"/>
  <c r="BI159" i="2"/>
  <c r="P160" i="2"/>
  <c r="AF160" i="2"/>
  <c r="AV160" i="2"/>
  <c r="BL160" i="2"/>
  <c r="S161" i="2"/>
  <c r="AI161" i="2"/>
  <c r="AY161" i="2"/>
  <c r="J162" i="2"/>
  <c r="Z162" i="2"/>
  <c r="AP162" i="2"/>
  <c r="BF162" i="2"/>
  <c r="Q163" i="2"/>
  <c r="AG163" i="2"/>
  <c r="AW163" i="2"/>
  <c r="BM163" i="2"/>
  <c r="T164" i="2"/>
  <c r="AJ164" i="2"/>
  <c r="AZ164" i="2"/>
  <c r="G165" i="2"/>
  <c r="W165" i="2"/>
  <c r="AM165" i="2"/>
  <c r="BC165" i="2"/>
  <c r="N166" i="2"/>
  <c r="AD166" i="2"/>
  <c r="AT166" i="2"/>
  <c r="BJ166" i="2"/>
  <c r="V167" i="3"/>
  <c r="V167" i="2" s="1"/>
  <c r="V168" i="2"/>
  <c r="AL167" i="3"/>
  <c r="AL167" i="2" s="1"/>
  <c r="AL168" i="2"/>
  <c r="BB167" i="3"/>
  <c r="BB167" i="2" s="1"/>
  <c r="BB168" i="2"/>
  <c r="M169" i="2"/>
  <c r="AC169" i="2"/>
  <c r="AS169" i="2"/>
  <c r="BI169" i="2"/>
  <c r="P170" i="2"/>
  <c r="AF170" i="2"/>
  <c r="AV170" i="2"/>
  <c r="BL170" i="2"/>
  <c r="S171" i="2"/>
  <c r="AI171" i="2"/>
  <c r="AY171" i="2"/>
  <c r="J172" i="2"/>
  <c r="Z172" i="2"/>
  <c r="AP172" i="2"/>
  <c r="BF172" i="2"/>
  <c r="Q173" i="2"/>
  <c r="AG173" i="2"/>
  <c r="AW173" i="2"/>
  <c r="BM173" i="2"/>
  <c r="T174" i="2"/>
  <c r="AJ174" i="2"/>
  <c r="AZ174" i="2"/>
  <c r="G175" i="2"/>
  <c r="W175" i="2"/>
  <c r="AM175" i="2"/>
  <c r="BC175" i="2"/>
  <c r="N176" i="2"/>
  <c r="AD176" i="2"/>
  <c r="AT176" i="2"/>
  <c r="BJ176" i="2"/>
  <c r="U177" i="2"/>
  <c r="AK177" i="2"/>
  <c r="BA177" i="2"/>
  <c r="H178" i="2"/>
  <c r="X178" i="2"/>
  <c r="AN178" i="2"/>
  <c r="BD178" i="2"/>
  <c r="K179" i="2"/>
  <c r="AA179" i="2"/>
  <c r="AQ179" i="2"/>
  <c r="BG179" i="2"/>
  <c r="R180" i="2"/>
  <c r="AH180" i="2"/>
  <c r="AX180" i="2"/>
  <c r="I181" i="2"/>
  <c r="Y181" i="2"/>
  <c r="AO181" i="2"/>
  <c r="BE181" i="2"/>
  <c r="L182" i="2"/>
  <c r="AB182" i="2"/>
  <c r="AR182" i="2"/>
  <c r="BH182" i="2"/>
  <c r="O183" i="2"/>
  <c r="AE183" i="2"/>
  <c r="AU183" i="2"/>
  <c r="BK183" i="2"/>
  <c r="V184" i="2"/>
  <c r="AL184" i="2"/>
  <c r="BB184" i="2"/>
  <c r="M185" i="2"/>
  <c r="AC185" i="2"/>
  <c r="AS185" i="2"/>
  <c r="BI185" i="2"/>
  <c r="P186" i="2"/>
  <c r="AF186" i="2"/>
  <c r="AV186" i="2"/>
  <c r="BL186" i="2"/>
  <c r="S187" i="2"/>
  <c r="AI187" i="2"/>
  <c r="AY187" i="2"/>
  <c r="J188" i="2"/>
  <c r="Z188" i="2"/>
  <c r="AP188" i="2"/>
  <c r="BF188" i="2"/>
  <c r="Q189" i="2"/>
  <c r="AG189" i="2"/>
  <c r="AW189" i="2"/>
  <c r="BM189" i="2"/>
  <c r="T190" i="2"/>
  <c r="AJ190" i="2"/>
  <c r="AZ190" i="2"/>
  <c r="G191" i="2"/>
  <c r="W191" i="2"/>
  <c r="AM191" i="2"/>
  <c r="BC191" i="2"/>
  <c r="N192" i="2"/>
  <c r="AD192" i="2"/>
  <c r="AT192" i="2"/>
  <c r="BJ192" i="2"/>
  <c r="U193" i="2"/>
  <c r="AK193" i="2"/>
  <c r="BA193" i="2"/>
  <c r="H194" i="2"/>
  <c r="X194" i="2"/>
  <c r="AN194" i="2"/>
  <c r="BD194" i="2"/>
  <c r="K195" i="2"/>
  <c r="AA195" i="2"/>
  <c r="AQ195" i="2"/>
  <c r="BG195" i="2"/>
  <c r="R196" i="2"/>
  <c r="AH196" i="2"/>
  <c r="AX196" i="2"/>
  <c r="I197" i="2"/>
  <c r="Y197" i="2"/>
  <c r="AO197" i="2"/>
  <c r="BE197" i="2"/>
  <c r="L198" i="2"/>
  <c r="AB198" i="2"/>
  <c r="AR198" i="2"/>
  <c r="BH198" i="2"/>
  <c r="O199" i="2"/>
  <c r="AE199" i="2"/>
  <c r="AU199" i="2"/>
  <c r="BK199" i="2"/>
  <c r="X200" i="2"/>
  <c r="AS200" i="2"/>
  <c r="J201" i="2"/>
  <c r="AE201" i="2"/>
  <c r="AZ201" i="2"/>
  <c r="M202" i="2"/>
  <c r="AH202" i="2"/>
  <c r="BC202" i="2"/>
  <c r="U203" i="2"/>
  <c r="AP203" i="2"/>
  <c r="BL203" i="2"/>
  <c r="X204" i="2"/>
  <c r="AS204" i="2"/>
  <c r="J205" i="2"/>
  <c r="AE205" i="2"/>
  <c r="AZ205" i="2"/>
  <c r="M206" i="2"/>
  <c r="AH206" i="2"/>
  <c r="BC206" i="2"/>
  <c r="AO114" i="2"/>
  <c r="BE114" i="2"/>
  <c r="L115" i="2"/>
  <c r="AB115" i="2"/>
  <c r="AR115" i="2"/>
  <c r="BH115" i="2"/>
  <c r="O116" i="2"/>
  <c r="AE116" i="2"/>
  <c r="AU116" i="2"/>
  <c r="BK116" i="2"/>
  <c r="V117" i="2"/>
  <c r="AL117" i="2"/>
  <c r="BB117" i="2"/>
  <c r="M118" i="2"/>
  <c r="AC118" i="2"/>
  <c r="AS118" i="2"/>
  <c r="BI118" i="2"/>
  <c r="P119" i="2"/>
  <c r="AF119" i="2"/>
  <c r="AV119" i="2"/>
  <c r="BL119" i="2"/>
  <c r="S120" i="2"/>
  <c r="AI120" i="2"/>
  <c r="AY120" i="2"/>
  <c r="J121" i="2"/>
  <c r="Z121" i="2"/>
  <c r="AP121" i="2"/>
  <c r="BF121" i="2"/>
  <c r="Q122" i="2"/>
  <c r="AG122" i="2"/>
  <c r="AW122" i="2"/>
  <c r="BM122" i="2"/>
  <c r="T123" i="2"/>
  <c r="AJ123" i="2"/>
  <c r="AZ123" i="2"/>
  <c r="G124" i="2"/>
  <c r="W124" i="2"/>
  <c r="AM124" i="2"/>
  <c r="BC124" i="2"/>
  <c r="N125" i="2"/>
  <c r="AD125" i="2"/>
  <c r="AT125" i="2"/>
  <c r="BJ125" i="2"/>
  <c r="V126" i="3"/>
  <c r="V126" i="2" s="1"/>
  <c r="V127" i="2"/>
  <c r="AL126" i="3"/>
  <c r="AL126" i="2" s="1"/>
  <c r="AL127" i="2"/>
  <c r="BB126" i="3"/>
  <c r="BB126" i="2" s="1"/>
  <c r="BB127" i="2"/>
  <c r="M128" i="2"/>
  <c r="AC128" i="2"/>
  <c r="AS128" i="2"/>
  <c r="BI128" i="2"/>
  <c r="P129" i="2"/>
  <c r="AF129" i="2"/>
  <c r="AV129" i="2"/>
  <c r="BL129" i="2"/>
  <c r="S130" i="2"/>
  <c r="AI130" i="2"/>
  <c r="AY130" i="2"/>
  <c r="J131" i="2"/>
  <c r="Z131" i="2"/>
  <c r="AP131" i="2"/>
  <c r="BF131" i="2"/>
  <c r="Q132" i="2"/>
  <c r="AG132" i="2"/>
  <c r="AW132" i="2"/>
  <c r="BM132" i="2"/>
  <c r="T133" i="2"/>
  <c r="AJ133" i="2"/>
  <c r="AZ133" i="2"/>
  <c r="G134" i="2"/>
  <c r="W134" i="2"/>
  <c r="AM134" i="2"/>
  <c r="BC134" i="2"/>
  <c r="N135" i="2"/>
  <c r="AD135" i="2"/>
  <c r="AT135" i="2"/>
  <c r="BJ135" i="2"/>
  <c r="U136" i="2"/>
  <c r="AK136" i="2"/>
  <c r="BA136" i="2"/>
  <c r="H137" i="2"/>
  <c r="X137" i="2"/>
  <c r="AN137" i="2"/>
  <c r="BD137" i="2"/>
  <c r="K138" i="2"/>
  <c r="AA138" i="2"/>
  <c r="AQ138" i="2"/>
  <c r="BG138" i="2"/>
  <c r="R139" i="2"/>
  <c r="AH139" i="2"/>
  <c r="AX139" i="2"/>
  <c r="I140" i="2"/>
  <c r="Y140" i="2"/>
  <c r="AO140" i="2"/>
  <c r="BE140" i="2"/>
  <c r="L141" i="2"/>
  <c r="AB141" i="2"/>
  <c r="AR141" i="2"/>
  <c r="BH141" i="2"/>
  <c r="O142" i="2"/>
  <c r="AE142" i="2"/>
  <c r="AU142" i="2"/>
  <c r="BK142" i="2"/>
  <c r="V143" i="2"/>
  <c r="AL143" i="2"/>
  <c r="BB143" i="2"/>
  <c r="M144" i="2"/>
  <c r="AC144" i="2"/>
  <c r="AS144" i="2"/>
  <c r="BI144" i="2"/>
  <c r="P145" i="2"/>
  <c r="AF145" i="2"/>
  <c r="AV145" i="2"/>
  <c r="BL145" i="2"/>
  <c r="S146" i="2"/>
  <c r="AI146" i="2"/>
  <c r="AY146" i="2"/>
  <c r="J147" i="2"/>
  <c r="Z147" i="2"/>
  <c r="AP147" i="2"/>
  <c r="BF147" i="2"/>
  <c r="Q148" i="2"/>
  <c r="AG148" i="2"/>
  <c r="AW148" i="2"/>
  <c r="BM148" i="2"/>
  <c r="T149" i="2"/>
  <c r="AJ149" i="2"/>
  <c r="AZ149" i="2"/>
  <c r="G150" i="2"/>
  <c r="W150" i="2"/>
  <c r="AM150" i="2"/>
  <c r="BC150" i="2"/>
  <c r="N151" i="2"/>
  <c r="AD151" i="2"/>
  <c r="AT151" i="2"/>
  <c r="BJ151" i="2"/>
  <c r="U152" i="2"/>
  <c r="AK152" i="2"/>
  <c r="BA152" i="2"/>
  <c r="H153" i="2"/>
  <c r="X153" i="2"/>
  <c r="AN153" i="2"/>
  <c r="BD153" i="2"/>
  <c r="K154" i="2"/>
  <c r="AA154" i="2"/>
  <c r="AQ154" i="2"/>
  <c r="BG154" i="2"/>
  <c r="R155" i="2"/>
  <c r="AH155" i="2"/>
  <c r="AX155" i="2"/>
  <c r="I156" i="2"/>
  <c r="Y156" i="2"/>
  <c r="AO156" i="2"/>
  <c r="BE156" i="2"/>
  <c r="L157" i="2"/>
  <c r="AB157" i="2"/>
  <c r="AR157" i="2"/>
  <c r="BH157" i="2"/>
  <c r="O158" i="2"/>
  <c r="AE158" i="2"/>
  <c r="AU158" i="2"/>
  <c r="BK158" i="2"/>
  <c r="V159" i="2"/>
  <c r="AL159" i="2"/>
  <c r="BB159" i="2"/>
  <c r="M160" i="2"/>
  <c r="AC160" i="2"/>
  <c r="AS160" i="2"/>
  <c r="BI160" i="2"/>
  <c r="P161" i="2"/>
  <c r="AF161" i="2"/>
  <c r="AV161" i="2"/>
  <c r="BL161" i="2"/>
  <c r="S162" i="2"/>
  <c r="AI162" i="2"/>
  <c r="AY162" i="2"/>
  <c r="J163" i="2"/>
  <c r="Z163" i="2"/>
  <c r="AP163" i="2"/>
  <c r="BF163" i="2"/>
  <c r="Q164" i="2"/>
  <c r="AG164" i="2"/>
  <c r="AW164" i="2"/>
  <c r="BM164" i="2"/>
  <c r="T165" i="2"/>
  <c r="AJ165" i="2"/>
  <c r="AZ165" i="2"/>
  <c r="G166" i="2"/>
  <c r="W166" i="2"/>
  <c r="AM166" i="2"/>
  <c r="BC166" i="2"/>
  <c r="K167" i="3"/>
  <c r="K167" i="2" s="1"/>
  <c r="K168" i="2"/>
  <c r="AA167" i="3"/>
  <c r="AA167" i="2" s="1"/>
  <c r="AA168" i="2"/>
  <c r="AQ167" i="3"/>
  <c r="AQ167" i="2" s="1"/>
  <c r="AQ168" i="2"/>
  <c r="BG167" i="3"/>
  <c r="BG167" i="2" s="1"/>
  <c r="BG168" i="2"/>
  <c r="R169" i="2"/>
  <c r="AH169" i="2"/>
  <c r="AX169" i="2"/>
  <c r="I170" i="2"/>
  <c r="Y170" i="2"/>
  <c r="AO170" i="2"/>
  <c r="BE170" i="2"/>
  <c r="L171" i="2"/>
  <c r="AB171" i="2"/>
  <c r="AR171" i="2"/>
  <c r="BH171" i="2"/>
  <c r="O172" i="2"/>
  <c r="AE172" i="2"/>
  <c r="AU172" i="2"/>
  <c r="BK172" i="2"/>
  <c r="V173" i="2"/>
  <c r="AL173" i="2"/>
  <c r="BB173" i="2"/>
  <c r="M174" i="2"/>
  <c r="AC174" i="2"/>
  <c r="AS174" i="2"/>
  <c r="BI174" i="2"/>
  <c r="P175" i="2"/>
  <c r="AF175" i="2"/>
  <c r="AV175" i="2"/>
  <c r="BL175" i="2"/>
  <c r="S176" i="2"/>
  <c r="AI176" i="2"/>
  <c r="AY176" i="2"/>
  <c r="J177" i="2"/>
  <c r="Z177" i="2"/>
  <c r="AP177" i="2"/>
  <c r="BF177" i="2"/>
  <c r="Q178" i="2"/>
  <c r="AG178" i="2"/>
  <c r="AW178" i="2"/>
  <c r="BM178" i="2"/>
  <c r="T179" i="2"/>
  <c r="AJ179" i="2"/>
  <c r="AZ179" i="2"/>
  <c r="G180" i="2"/>
  <c r="W180" i="2"/>
  <c r="AM180" i="2"/>
  <c r="BC180" i="2"/>
  <c r="N181" i="2"/>
  <c r="AD181" i="2"/>
  <c r="AT181" i="2"/>
  <c r="BJ181" i="2"/>
  <c r="U182" i="2"/>
  <c r="AK182" i="2"/>
  <c r="BA182" i="2"/>
  <c r="H183" i="2"/>
  <c r="X183" i="2"/>
  <c r="AN183" i="2"/>
  <c r="BD183" i="2"/>
  <c r="K184" i="2"/>
  <c r="AA184" i="2"/>
  <c r="AQ184" i="2"/>
  <c r="BG184" i="2"/>
  <c r="R185" i="2"/>
  <c r="AH185" i="2"/>
  <c r="AX185" i="2"/>
  <c r="I186" i="2"/>
  <c r="Y186" i="2"/>
  <c r="AO186" i="2"/>
  <c r="BE186" i="2"/>
  <c r="L187" i="2"/>
  <c r="AB187" i="2"/>
  <c r="AR187" i="2"/>
  <c r="BH187" i="2"/>
  <c r="O188" i="2"/>
  <c r="AE188" i="2"/>
  <c r="AU188" i="2"/>
  <c r="BK188" i="2"/>
  <c r="V189" i="2"/>
  <c r="AL189" i="2"/>
  <c r="BB189" i="2"/>
  <c r="M190" i="2"/>
  <c r="AC190" i="2"/>
  <c r="AS190" i="2"/>
  <c r="BI190" i="2"/>
  <c r="P191" i="2"/>
  <c r="AF191" i="2"/>
  <c r="AV191" i="2"/>
  <c r="BL191" i="2"/>
  <c r="S192" i="2"/>
  <c r="AI192" i="2"/>
  <c r="AY192" i="2"/>
  <c r="J193" i="2"/>
  <c r="Z193" i="2"/>
  <c r="AP193" i="2"/>
  <c r="BF193" i="2"/>
  <c r="Q194" i="2"/>
  <c r="AG194" i="2"/>
  <c r="AW194" i="2"/>
  <c r="BM194" i="2"/>
  <c r="T195" i="2"/>
  <c r="AJ195" i="2"/>
  <c r="AZ195" i="2"/>
  <c r="G196" i="2"/>
  <c r="W196" i="2"/>
  <c r="AM196" i="2"/>
  <c r="BC196" i="2"/>
  <c r="N197" i="2"/>
  <c r="AD197" i="2"/>
  <c r="AT197" i="2"/>
  <c r="BJ197" i="2"/>
  <c r="U198" i="2"/>
  <c r="AK198" i="2"/>
  <c r="BA198" i="2"/>
  <c r="H199" i="2"/>
  <c r="X199" i="2"/>
  <c r="AN199" i="2"/>
  <c r="BD199" i="2"/>
  <c r="K200" i="2"/>
  <c r="AE200" i="2"/>
  <c r="AZ200" i="2"/>
  <c r="P201" i="2"/>
  <c r="AL201" i="2"/>
  <c r="BG201" i="2"/>
  <c r="S202" i="2"/>
  <c r="AO202" i="2"/>
  <c r="BJ202" i="2"/>
  <c r="AB203" i="2"/>
  <c r="AW203" i="2"/>
  <c r="I204" i="2"/>
  <c r="AE204" i="2"/>
  <c r="AZ204" i="2"/>
  <c r="P205" i="2"/>
  <c r="AL205" i="2"/>
  <c r="BG205" i="2"/>
  <c r="S206" i="2"/>
  <c r="AO206" i="2"/>
  <c r="BJ206" i="2"/>
  <c r="V114" i="2"/>
  <c r="AL114" i="2"/>
  <c r="BB114" i="2"/>
  <c r="M115" i="2"/>
  <c r="AC115" i="2"/>
  <c r="AS115" i="2"/>
  <c r="BI115" i="2"/>
  <c r="P116" i="2"/>
  <c r="AF116" i="2"/>
  <c r="AV116" i="2"/>
  <c r="BL116" i="2"/>
  <c r="S117" i="2"/>
  <c r="AI117" i="2"/>
  <c r="AY117" i="2"/>
  <c r="J118" i="2"/>
  <c r="Z118" i="2"/>
  <c r="AP118" i="2"/>
  <c r="BF118" i="2"/>
  <c r="Q119" i="2"/>
  <c r="AG119" i="2"/>
  <c r="AW119" i="2"/>
  <c r="BM119" i="2"/>
  <c r="T120" i="2"/>
  <c r="AJ120" i="2"/>
  <c r="AZ120" i="2"/>
  <c r="G121" i="2"/>
  <c r="W121" i="2"/>
  <c r="AM121" i="2"/>
  <c r="BC121" i="2"/>
  <c r="N122" i="2"/>
  <c r="AD122" i="2"/>
  <c r="AT122" i="2"/>
  <c r="BJ122" i="2"/>
  <c r="U123" i="2"/>
  <c r="AK123" i="2"/>
  <c r="BA123" i="2"/>
  <c r="H124" i="2"/>
  <c r="X124" i="2"/>
  <c r="AN124" i="2"/>
  <c r="BD124" i="2"/>
  <c r="K125" i="2"/>
  <c r="AA125" i="2"/>
  <c r="AQ125" i="2"/>
  <c r="BG125" i="2"/>
  <c r="O126" i="3"/>
  <c r="O126" i="2" s="1"/>
  <c r="O127" i="2"/>
  <c r="AE126" i="3"/>
  <c r="AE126" i="2" s="1"/>
  <c r="AE127" i="2"/>
  <c r="AU126" i="3"/>
  <c r="AU126" i="2" s="1"/>
  <c r="AU127" i="2"/>
  <c r="BK126" i="3"/>
  <c r="BK126" i="2" s="1"/>
  <c r="BK127" i="2"/>
  <c r="V128" i="2"/>
  <c r="AL128" i="2"/>
  <c r="BB128" i="2"/>
  <c r="M129" i="2"/>
  <c r="AC129" i="2"/>
  <c r="AS129" i="2"/>
  <c r="BI129" i="2"/>
  <c r="P130" i="2"/>
  <c r="AF130" i="2"/>
  <c r="AV130" i="2"/>
  <c r="BL130" i="2"/>
  <c r="S131" i="2"/>
  <c r="AI131" i="2"/>
  <c r="AY131" i="2"/>
  <c r="J132" i="2"/>
  <c r="Z132" i="2"/>
  <c r="AP132" i="2"/>
  <c r="BF132" i="2"/>
  <c r="Q133" i="2"/>
  <c r="AG133" i="2"/>
  <c r="AW133" i="2"/>
  <c r="BM133" i="2"/>
  <c r="T134" i="2"/>
  <c r="AJ134" i="2"/>
  <c r="AZ134" i="2"/>
  <c r="G135" i="2"/>
  <c r="W135" i="2"/>
  <c r="AM135" i="2"/>
  <c r="BC135" i="2"/>
  <c r="N136" i="2"/>
  <c r="AD136" i="2"/>
  <c r="AT136" i="2"/>
  <c r="BJ136" i="2"/>
  <c r="U137" i="2"/>
  <c r="AK137" i="2"/>
  <c r="BA137" i="2"/>
  <c r="H138" i="2"/>
  <c r="X138" i="2"/>
  <c r="AN138" i="2"/>
  <c r="BD138" i="2"/>
  <c r="K139" i="2"/>
  <c r="AA139" i="2"/>
  <c r="AQ139" i="2"/>
  <c r="BG139" i="2"/>
  <c r="R140" i="2"/>
  <c r="AH140" i="2"/>
  <c r="AX140" i="2"/>
  <c r="I141" i="2"/>
  <c r="Y141" i="2"/>
  <c r="AO141" i="2"/>
  <c r="BE141" i="2"/>
  <c r="L142" i="2"/>
  <c r="AB142" i="2"/>
  <c r="AR142" i="2"/>
  <c r="BH142" i="2"/>
  <c r="O143" i="2"/>
  <c r="AE143" i="2"/>
  <c r="AU143" i="2"/>
  <c r="BK143" i="2"/>
  <c r="V144" i="2"/>
  <c r="AL144" i="2"/>
  <c r="BB144" i="2"/>
  <c r="M145" i="2"/>
  <c r="AC145" i="2"/>
  <c r="AS145" i="2"/>
  <c r="BI145" i="2"/>
  <c r="P146" i="2"/>
  <c r="AF146" i="2"/>
  <c r="AV146" i="2"/>
  <c r="BL146" i="2"/>
  <c r="S147" i="2"/>
  <c r="AI147" i="2"/>
  <c r="AY147" i="2"/>
  <c r="J148" i="2"/>
  <c r="Z148" i="2"/>
  <c r="AP148" i="2"/>
  <c r="BF148" i="2"/>
  <c r="Q149" i="2"/>
  <c r="AG149" i="2"/>
  <c r="AW149" i="2"/>
  <c r="BM149" i="2"/>
  <c r="T150" i="2"/>
  <c r="AJ150" i="2"/>
  <c r="AZ150" i="2"/>
  <c r="G151" i="2"/>
  <c r="W151" i="2"/>
  <c r="AM151" i="2"/>
  <c r="BC151" i="2"/>
  <c r="N152" i="2"/>
  <c r="AD152" i="2"/>
  <c r="AT152" i="2"/>
  <c r="BJ152" i="2"/>
  <c r="U153" i="2"/>
  <c r="AK153" i="2"/>
  <c r="BA153" i="2"/>
  <c r="H154" i="2"/>
  <c r="X154" i="2"/>
  <c r="AN154" i="2"/>
  <c r="BD154" i="2"/>
  <c r="K155" i="2"/>
  <c r="AA155" i="2"/>
  <c r="AQ155" i="2"/>
  <c r="BG155" i="2"/>
  <c r="R156" i="2"/>
  <c r="AH156" i="2"/>
  <c r="AX156" i="2"/>
  <c r="I157" i="2"/>
  <c r="Y157" i="2"/>
  <c r="AO157" i="2"/>
  <c r="BE157" i="2"/>
  <c r="L158" i="2"/>
  <c r="AB158" i="2"/>
  <c r="AR158" i="2"/>
  <c r="BH158" i="2"/>
  <c r="O159" i="2"/>
  <c r="AE159" i="2"/>
  <c r="AU159" i="2"/>
  <c r="BK159" i="2"/>
  <c r="V160" i="2"/>
  <c r="AL160" i="2"/>
  <c r="BB160" i="2"/>
  <c r="M161" i="2"/>
  <c r="AC161" i="2"/>
  <c r="AS161" i="2"/>
  <c r="BI161" i="2"/>
  <c r="P162" i="2"/>
  <c r="AF162" i="2"/>
  <c r="AV162" i="2"/>
  <c r="BL162" i="2"/>
  <c r="S163" i="2"/>
  <c r="AI163" i="2"/>
  <c r="AY163" i="2"/>
  <c r="J164" i="2"/>
  <c r="Z164" i="2"/>
  <c r="AP164" i="2"/>
  <c r="BF164" i="2"/>
  <c r="Q165" i="2"/>
  <c r="AG165" i="2"/>
  <c r="AW165" i="2"/>
  <c r="BM165" i="2"/>
  <c r="T166" i="2"/>
  <c r="AJ166" i="2"/>
  <c r="AZ166" i="2"/>
  <c r="H167" i="3"/>
  <c r="H167" i="2" s="1"/>
  <c r="H168" i="2"/>
  <c r="X167" i="3"/>
  <c r="X167" i="2" s="1"/>
  <c r="X168" i="2"/>
  <c r="AN167" i="3"/>
  <c r="AN167" i="2" s="1"/>
  <c r="AN168" i="2"/>
  <c r="BD167" i="3"/>
  <c r="BD167" i="2" s="1"/>
  <c r="BD168" i="2"/>
  <c r="K169" i="2"/>
  <c r="AA169" i="2"/>
  <c r="AQ169" i="2"/>
  <c r="BG169" i="2"/>
  <c r="R170" i="2"/>
  <c r="AH170" i="2"/>
  <c r="AX170" i="2"/>
  <c r="I171" i="2"/>
  <c r="Y171" i="2"/>
  <c r="AO171" i="2"/>
  <c r="BE171" i="2"/>
  <c r="L172" i="2"/>
  <c r="AB172" i="2"/>
  <c r="AR172" i="2"/>
  <c r="BH172" i="2"/>
  <c r="O173" i="2"/>
  <c r="AE173" i="2"/>
  <c r="AU173" i="2"/>
  <c r="BK173" i="2"/>
  <c r="V174" i="2"/>
  <c r="AL174" i="2"/>
  <c r="BB174" i="2"/>
  <c r="M175" i="2"/>
  <c r="AC175" i="2"/>
  <c r="AS175" i="2"/>
  <c r="BI175" i="2"/>
  <c r="P176" i="2"/>
  <c r="AF176" i="2"/>
  <c r="AV176" i="2"/>
  <c r="BL176" i="2"/>
  <c r="S177" i="2"/>
  <c r="AI177" i="2"/>
  <c r="AY177" i="2"/>
  <c r="J178" i="2"/>
  <c r="Z178" i="2"/>
  <c r="AP178" i="2"/>
  <c r="BF178" i="2"/>
  <c r="Q179" i="2"/>
  <c r="AG179" i="2"/>
  <c r="AW179" i="2"/>
  <c r="BM179" i="2"/>
  <c r="T180" i="2"/>
  <c r="AJ180" i="2"/>
  <c r="AZ180" i="2"/>
  <c r="G181" i="2"/>
  <c r="W181" i="2"/>
  <c r="AM181" i="2"/>
  <c r="BC181" i="2"/>
  <c r="N182" i="2"/>
  <c r="AD182" i="2"/>
  <c r="AT182" i="2"/>
  <c r="BJ182" i="2"/>
  <c r="U183" i="2"/>
  <c r="AK183" i="2"/>
  <c r="BA183" i="2"/>
  <c r="H184" i="2"/>
  <c r="X184" i="2"/>
  <c r="AN184" i="2"/>
  <c r="BD184" i="2"/>
  <c r="K185" i="2"/>
  <c r="AA185" i="2"/>
  <c r="AQ185" i="2"/>
  <c r="BG185" i="2"/>
  <c r="R186" i="2"/>
  <c r="AH186" i="2"/>
  <c r="AX186" i="2"/>
  <c r="I187" i="2"/>
  <c r="Y187" i="2"/>
  <c r="AO187" i="2"/>
  <c r="BE187" i="2"/>
  <c r="L188" i="2"/>
  <c r="AB188" i="2"/>
  <c r="AR188" i="2"/>
  <c r="BH188" i="2"/>
  <c r="O189" i="2"/>
  <c r="AE189" i="2"/>
  <c r="AU189" i="2"/>
  <c r="BK189" i="2"/>
  <c r="V190" i="2"/>
  <c r="AL190" i="2"/>
  <c r="BB190" i="2"/>
  <c r="M191" i="2"/>
  <c r="AC191" i="2"/>
  <c r="AS191" i="2"/>
  <c r="BI191" i="2"/>
  <c r="P192" i="2"/>
  <c r="AF192" i="2"/>
  <c r="AV192" i="2"/>
  <c r="BL192" i="2"/>
  <c r="S193" i="2"/>
  <c r="AI193" i="2"/>
  <c r="AY193" i="2"/>
  <c r="J194" i="2"/>
  <c r="Z194" i="2"/>
  <c r="AP194" i="2"/>
  <c r="BF194" i="2"/>
  <c r="Q195" i="2"/>
  <c r="AG195" i="2"/>
  <c r="AW195" i="2"/>
  <c r="BM195" i="2"/>
  <c r="T196" i="2"/>
  <c r="AJ196" i="2"/>
  <c r="BH196" i="2"/>
  <c r="S197" i="2"/>
  <c r="AM197" i="2"/>
  <c r="BK197" i="2"/>
  <c r="Z198" i="2"/>
  <c r="AT198" i="2"/>
  <c r="M199" i="2"/>
  <c r="AG199" i="2"/>
  <c r="BA199" i="2"/>
  <c r="P200" i="2"/>
  <c r="AQ200" i="2"/>
  <c r="G201" i="2"/>
  <c r="AM201" i="2"/>
  <c r="J202" i="2"/>
  <c r="AK202" i="2"/>
  <c r="H203" i="2"/>
  <c r="AH203" i="2"/>
  <c r="BI203" i="2"/>
  <c r="AK204" i="2"/>
  <c r="BL204" i="2"/>
  <c r="AB205" i="2"/>
  <c r="BH205" i="2"/>
  <c r="AE206" i="2"/>
  <c r="BF206" i="2"/>
  <c r="X207" i="2"/>
  <c r="AR207" i="2"/>
  <c r="BL207" i="2"/>
  <c r="AB208" i="3"/>
  <c r="AB208" i="2" s="1"/>
  <c r="AB209" i="2"/>
  <c r="AV208" i="3"/>
  <c r="AV208" i="2" s="1"/>
  <c r="AV209" i="2"/>
  <c r="G210" i="2"/>
  <c r="AE210" i="2"/>
  <c r="AY210" i="2"/>
  <c r="N211" i="2"/>
  <c r="AL211" i="2"/>
  <c r="BF211" i="2"/>
  <c r="U212" i="2"/>
  <c r="AW212" i="2"/>
  <c r="T213" i="2"/>
  <c r="AZ213" i="2"/>
  <c r="W214" i="2"/>
  <c r="BC214" i="2"/>
  <c r="AD215" i="2"/>
  <c r="BJ215" i="2"/>
  <c r="AK216" i="2"/>
  <c r="H217" i="2"/>
  <c r="AN217" i="2"/>
  <c r="K218" i="2"/>
  <c r="AQ218" i="2"/>
  <c r="R219" i="2"/>
  <c r="AX219" i="2"/>
  <c r="Y220" i="2"/>
  <c r="BE220" i="2"/>
  <c r="AB221" i="2"/>
  <c r="BH221" i="2"/>
  <c r="AE222" i="2"/>
  <c r="BK222" i="2"/>
  <c r="AL223" i="2"/>
  <c r="M224" i="2"/>
  <c r="AS224" i="2"/>
  <c r="P225" i="2"/>
  <c r="AV225" i="2"/>
  <c r="S226" i="2"/>
  <c r="AY226" i="2"/>
  <c r="Z227" i="2"/>
  <c r="BF227" i="2"/>
  <c r="AW228" i="2"/>
  <c r="AZ229" i="2"/>
  <c r="BC230" i="2"/>
  <c r="BJ231" i="2"/>
  <c r="H233" i="2"/>
  <c r="K234" i="2"/>
  <c r="R235" i="2"/>
  <c r="Y236" i="2"/>
  <c r="AB237" i="2"/>
  <c r="AE238" i="2"/>
  <c r="AL239" i="2"/>
  <c r="AS240" i="2"/>
  <c r="AV241" i="2"/>
  <c r="AY242" i="2"/>
  <c r="BF243" i="2"/>
  <c r="BM244" i="2"/>
  <c r="G246" i="2"/>
  <c r="N247" i="2"/>
  <c r="U248" i="2"/>
  <c r="Y249" i="3"/>
  <c r="Y249" i="2" s="1"/>
  <c r="Y250" i="2"/>
  <c r="AB251" i="2"/>
  <c r="AE252" i="2"/>
  <c r="AL253" i="2"/>
  <c r="AS254" i="2"/>
  <c r="AV255" i="2"/>
  <c r="AY256" i="2"/>
  <c r="BF257" i="2"/>
  <c r="BM258" i="2"/>
  <c r="G260" i="2"/>
  <c r="N261" i="2"/>
  <c r="U262" i="2"/>
  <c r="X263" i="2"/>
  <c r="AA264" i="2"/>
  <c r="AH265" i="2"/>
  <c r="AO266" i="2"/>
  <c r="AR267" i="2"/>
  <c r="AU268" i="2"/>
  <c r="BB269" i="2"/>
  <c r="BI270" i="2"/>
  <c r="BL271" i="2"/>
  <c r="J273" i="2"/>
  <c r="Q274" i="2"/>
  <c r="T275" i="2"/>
  <c r="W276" i="2"/>
  <c r="AD277" i="2"/>
  <c r="AK278" i="2"/>
  <c r="AN279" i="2"/>
  <c r="AQ280" i="2"/>
  <c r="AX281" i="2"/>
  <c r="BE282" i="2"/>
  <c r="BH283" i="2"/>
  <c r="BK284" i="2"/>
  <c r="M286" i="2"/>
  <c r="P287" i="2"/>
  <c r="S288" i="2"/>
  <c r="Z289" i="2"/>
  <c r="AW292" i="2"/>
  <c r="BE207" i="2"/>
  <c r="BI208" i="3"/>
  <c r="BI208" i="2" s="1"/>
  <c r="BI209" i="2"/>
  <c r="BL210" i="2"/>
  <c r="J212" i="2"/>
  <c r="Q213" i="2"/>
  <c r="T214" i="2"/>
  <c r="W215" i="2"/>
  <c r="AD216" i="2"/>
  <c r="AK217" i="2"/>
  <c r="AN218" i="2"/>
  <c r="AQ219" i="2"/>
  <c r="AX220" i="2"/>
  <c r="BE221" i="2"/>
  <c r="BH222" i="2"/>
  <c r="BK223" i="2"/>
  <c r="M225" i="2"/>
  <c r="P226" i="2"/>
  <c r="S227" i="2"/>
  <c r="Z228" i="2"/>
  <c r="AG229" i="2"/>
  <c r="AJ230" i="2"/>
  <c r="AM231" i="2"/>
  <c r="AT232" i="2"/>
  <c r="BA233" i="2"/>
  <c r="BD234" i="2"/>
  <c r="BG235" i="2"/>
  <c r="I237" i="2"/>
  <c r="L238" i="2"/>
  <c r="O239" i="2"/>
  <c r="V240" i="2"/>
  <c r="AC241" i="2"/>
  <c r="AF242" i="2"/>
  <c r="AI243" i="2"/>
  <c r="AP244" i="2"/>
  <c r="AW245" i="2"/>
  <c r="AZ246" i="2"/>
  <c r="BC247" i="2"/>
  <c r="BJ248" i="2"/>
  <c r="M251" i="2"/>
  <c r="P252" i="2"/>
  <c r="S253" i="2"/>
  <c r="Z254" i="2"/>
  <c r="AG255" i="2"/>
  <c r="AJ256" i="2"/>
  <c r="AM257" i="2"/>
  <c r="AT258" i="2"/>
  <c r="BA259" i="2"/>
  <c r="BD260" i="2"/>
  <c r="BG261" i="2"/>
  <c r="I263" i="2"/>
  <c r="L264" i="2"/>
  <c r="O265" i="2"/>
  <c r="V266" i="2"/>
  <c r="AC267" i="2"/>
  <c r="AF268" i="2"/>
  <c r="AI269" i="2"/>
  <c r="AP270" i="2"/>
  <c r="AW271" i="2"/>
  <c r="AZ272" i="2"/>
  <c r="BC273" i="2"/>
  <c r="BJ274" i="2"/>
  <c r="H276" i="2"/>
  <c r="K277" i="2"/>
  <c r="R278" i="2"/>
  <c r="Y279" i="2"/>
  <c r="AB280" i="2"/>
  <c r="AE281" i="2"/>
  <c r="AL282" i="2"/>
  <c r="AS283" i="2"/>
  <c r="AV284" i="2"/>
  <c r="AY285" i="2"/>
  <c r="BF286" i="2"/>
  <c r="BM287" i="2"/>
  <c r="G289" i="2"/>
  <c r="AH290" i="3"/>
  <c r="AH290" i="2" s="1"/>
  <c r="AH291" i="2"/>
  <c r="AT207" i="2"/>
  <c r="BB208" i="3"/>
  <c r="BB208" i="2" s="1"/>
  <c r="BB209" i="2"/>
  <c r="BI210" i="2"/>
  <c r="BL211" i="2"/>
  <c r="J213" i="2"/>
  <c r="Q214" i="2"/>
  <c r="T215" i="2"/>
  <c r="W216" i="2"/>
  <c r="AD217" i="2"/>
  <c r="AK218" i="2"/>
  <c r="AN219" i="2"/>
  <c r="AQ220" i="2"/>
  <c r="AX221" i="2"/>
  <c r="BE222" i="2"/>
  <c r="BH223" i="2"/>
  <c r="BK224" i="2"/>
  <c r="M226" i="2"/>
  <c r="P227" i="2"/>
  <c r="S228" i="2"/>
  <c r="Z229" i="2"/>
  <c r="AG230" i="2"/>
  <c r="AJ231" i="2"/>
  <c r="AM232" i="2"/>
  <c r="AT233" i="2"/>
  <c r="BA234" i="2"/>
  <c r="BD235" i="2"/>
  <c r="BG236" i="2"/>
  <c r="I238" i="2"/>
  <c r="L239" i="2"/>
  <c r="O240" i="2"/>
  <c r="V241" i="2"/>
  <c r="AC242" i="2"/>
  <c r="AF243" i="2"/>
  <c r="AI244" i="2"/>
  <c r="AP245" i="2"/>
  <c r="AW246" i="2"/>
  <c r="AZ247" i="2"/>
  <c r="BC248" i="2"/>
  <c r="BG249" i="3"/>
  <c r="BG249" i="2" s="1"/>
  <c r="BG250" i="2"/>
  <c r="I252" i="2"/>
  <c r="L253" i="2"/>
  <c r="F402" i="2"/>
  <c r="F158" i="2"/>
  <c r="F442" i="2"/>
  <c r="F295" i="2"/>
  <c r="F124" i="2"/>
  <c r="F366" i="2"/>
  <c r="F135" i="2"/>
  <c r="F105" i="2"/>
  <c r="F331" i="3"/>
  <c r="F331" i="2" s="1"/>
  <c r="F332" i="2"/>
  <c r="F401" i="2"/>
  <c r="F224" i="2"/>
  <c r="F20" i="2"/>
  <c r="F399" i="2"/>
  <c r="F222" i="2"/>
  <c r="F72" i="2"/>
  <c r="F312" i="2"/>
  <c r="F141" i="2"/>
  <c r="F111" i="2"/>
  <c r="F396" i="2"/>
  <c r="F163" i="2"/>
  <c r="F142" i="2"/>
  <c r="F422" i="2"/>
  <c r="F227" i="2"/>
  <c r="F83" i="2"/>
  <c r="F7" i="2"/>
  <c r="F391" i="2"/>
  <c r="F265" i="2"/>
  <c r="F214" i="2"/>
  <c r="F81" i="2"/>
  <c r="F56" i="2"/>
  <c r="F476" i="2"/>
  <c r="F364" i="2"/>
  <c r="F304" i="2"/>
  <c r="F290" i="3"/>
  <c r="F290" i="2" s="1"/>
  <c r="F291" i="2"/>
  <c r="F133" i="2"/>
  <c r="F120" i="2"/>
  <c r="F103" i="2"/>
  <c r="F461" i="2"/>
  <c r="F388" i="2"/>
  <c r="F326" i="2"/>
  <c r="F313" i="2"/>
  <c r="F155" i="2"/>
  <c r="F239" i="2"/>
  <c r="F125" i="2"/>
  <c r="F13" i="2"/>
  <c r="F413" i="2"/>
  <c r="F385" i="2"/>
  <c r="F259" i="2"/>
  <c r="F219" i="2"/>
  <c r="F207" i="2"/>
  <c r="F75" i="2"/>
  <c r="F58" i="2"/>
  <c r="F15" i="2"/>
  <c r="F411" i="2"/>
  <c r="F383" i="2"/>
  <c r="F257" i="2"/>
  <c r="F217" i="2"/>
  <c r="F205" i="2"/>
  <c r="F73" i="2"/>
  <c r="F39" i="2"/>
  <c r="F460" i="2"/>
  <c r="F356" i="2"/>
  <c r="F296" i="2"/>
  <c r="F282" i="2"/>
  <c r="F243" i="2"/>
  <c r="F112" i="2"/>
  <c r="F95" i="2"/>
  <c r="F452" i="2"/>
  <c r="F380" i="2"/>
  <c r="F318" i="2"/>
  <c r="F305" i="2"/>
  <c r="F147" i="2"/>
  <c r="F146" i="2"/>
  <c r="F117" i="2"/>
  <c r="F21" i="2"/>
  <c r="F478" i="2"/>
  <c r="F377" i="2"/>
  <c r="F251" i="2"/>
  <c r="F211" i="2"/>
  <c r="F199" i="2"/>
  <c r="F67" i="2"/>
  <c r="F50" i="2"/>
  <c r="F23" i="2"/>
  <c r="F474" i="2"/>
  <c r="F375" i="2"/>
  <c r="F248" i="2"/>
  <c r="F208" i="3"/>
  <c r="F208" i="2" s="1"/>
  <c r="F209" i="2"/>
  <c r="F197" i="2"/>
  <c r="F65" i="2"/>
  <c r="F18" i="2"/>
  <c r="F443" i="2"/>
  <c r="F423" i="2"/>
  <c r="F287" i="2"/>
  <c r="F274" i="2"/>
  <c r="F241" i="2"/>
  <c r="F104" i="2"/>
  <c r="F87" i="2"/>
  <c r="F444" i="2"/>
  <c r="F370" i="2"/>
  <c r="F310" i="2"/>
  <c r="F297" i="2"/>
  <c r="F139" i="2"/>
  <c r="F126" i="3"/>
  <c r="F126" i="2" s="1"/>
  <c r="F127" i="2"/>
  <c r="F109" i="2"/>
  <c r="F27" i="2"/>
  <c r="V3" i="3"/>
  <c r="V3" i="2" s="1"/>
  <c r="V4" i="2"/>
  <c r="AL3" i="3"/>
  <c r="AL3" i="2" s="1"/>
  <c r="AL4" i="2"/>
  <c r="BB3" i="3"/>
  <c r="BB3" i="2" s="1"/>
  <c r="BB4" i="2"/>
  <c r="M5" i="2"/>
  <c r="AC5" i="2"/>
  <c r="AS5" i="2"/>
  <c r="BI5" i="2"/>
  <c r="P6" i="2"/>
  <c r="AF6" i="2"/>
  <c r="AV6" i="2"/>
  <c r="BL6" i="2"/>
  <c r="S7" i="2"/>
  <c r="AI7" i="2"/>
  <c r="AY7" i="2"/>
  <c r="J8" i="2"/>
  <c r="Z8" i="2"/>
  <c r="AP8" i="2"/>
  <c r="BF8" i="2"/>
  <c r="Q9" i="2"/>
  <c r="AG9" i="2"/>
  <c r="AW9" i="2"/>
  <c r="BM9" i="2"/>
  <c r="T10" i="2"/>
  <c r="AJ10" i="2"/>
  <c r="AZ10" i="2"/>
  <c r="G11" i="2"/>
  <c r="W11" i="2"/>
  <c r="AM11" i="2"/>
  <c r="BC11" i="2"/>
  <c r="N12" i="2"/>
  <c r="AD12" i="2"/>
  <c r="AT12" i="2"/>
  <c r="BJ12" i="2"/>
  <c r="U13" i="2"/>
  <c r="AK13" i="2"/>
  <c r="BA13" i="2"/>
  <c r="H14" i="2"/>
  <c r="X14" i="2"/>
  <c r="AN14" i="2"/>
  <c r="BD14" i="2"/>
  <c r="K15" i="2"/>
  <c r="AA15" i="2"/>
  <c r="AQ15" i="2"/>
  <c r="BG15" i="2"/>
  <c r="R16" i="2"/>
  <c r="AH16" i="2"/>
  <c r="AX16" i="2"/>
  <c r="I17" i="2"/>
  <c r="Y17" i="2"/>
  <c r="AO17" i="2"/>
  <c r="BE17" i="2"/>
  <c r="L18" i="2"/>
  <c r="AB18" i="2"/>
  <c r="AR18" i="2"/>
  <c r="BH18" i="2"/>
  <c r="O19" i="2"/>
  <c r="AE19" i="2"/>
  <c r="AU19" i="2"/>
  <c r="BK19" i="2"/>
  <c r="V20" i="2"/>
  <c r="AL20" i="2"/>
  <c r="BB20" i="2"/>
  <c r="M21" i="2"/>
  <c r="AC21" i="2"/>
  <c r="AS21" i="2"/>
  <c r="BI21" i="2"/>
  <c r="P22" i="2"/>
  <c r="AF22" i="2"/>
  <c r="AV22" i="2"/>
  <c r="BL22" i="2"/>
  <c r="X23" i="2"/>
  <c r="BH23" i="2"/>
  <c r="BG24" i="2"/>
  <c r="BF25" i="2"/>
  <c r="BI26" i="2"/>
  <c r="BH27" i="2"/>
  <c r="BG28" i="2"/>
  <c r="BF29" i="2"/>
  <c r="BI30" i="2"/>
  <c r="BH31" i="2"/>
  <c r="BG32" i="2"/>
  <c r="BF33" i="2"/>
  <c r="BI34" i="2"/>
  <c r="BH35" i="2"/>
  <c r="BG36" i="2"/>
  <c r="BF37" i="2"/>
  <c r="BI38" i="2"/>
  <c r="BH39" i="2"/>
  <c r="BG40" i="2"/>
  <c r="BF41" i="2"/>
  <c r="BI42" i="2"/>
  <c r="BH43" i="2"/>
  <c r="S46" i="2"/>
  <c r="AH47" i="2"/>
  <c r="BA48" i="2"/>
  <c r="S50" i="2"/>
  <c r="AH51" i="2"/>
  <c r="BA52" i="2"/>
  <c r="S54" i="2"/>
  <c r="AH55" i="2"/>
  <c r="BA56" i="2"/>
  <c r="S58" i="2"/>
  <c r="AH59" i="2"/>
  <c r="BA60" i="2"/>
  <c r="S62" i="2"/>
  <c r="AH63" i="2"/>
  <c r="BA64" i="2"/>
  <c r="S66" i="2"/>
  <c r="AH67" i="2"/>
  <c r="BA68" i="2"/>
  <c r="S70" i="2"/>
  <c r="AH71" i="2"/>
  <c r="BA72" i="2"/>
  <c r="S74" i="2"/>
  <c r="AH75" i="2"/>
  <c r="BA76" i="2"/>
  <c r="S78" i="2"/>
  <c r="AH79" i="2"/>
  <c r="BA80" i="2"/>
  <c r="S82" i="2"/>
  <c r="AH83" i="2"/>
  <c r="BA84" i="2"/>
  <c r="BI85" i="3"/>
  <c r="BI85" i="2" s="1"/>
  <c r="BI86" i="2"/>
  <c r="BH87" i="2"/>
  <c r="S3" i="3"/>
  <c r="S3" i="2" s="1"/>
  <c r="S4" i="2"/>
  <c r="AI3" i="3"/>
  <c r="AI3" i="2" s="1"/>
  <c r="AI4" i="2"/>
  <c r="AY3" i="3"/>
  <c r="AY3" i="2" s="1"/>
  <c r="AY4" i="2"/>
  <c r="J5" i="2"/>
  <c r="Z5" i="2"/>
  <c r="AP5" i="2"/>
  <c r="BF5" i="2"/>
  <c r="Q6" i="2"/>
  <c r="AG6" i="2"/>
  <c r="AW6" i="2"/>
  <c r="BM6" i="2"/>
  <c r="T7" i="2"/>
  <c r="AJ7" i="2"/>
  <c r="AZ7" i="2"/>
  <c r="G8" i="2"/>
  <c r="W8" i="2"/>
  <c r="AM8" i="2"/>
  <c r="BC8" i="2"/>
  <c r="N9" i="2"/>
  <c r="AD9" i="2"/>
  <c r="AT9" i="2"/>
  <c r="BJ9" i="2"/>
  <c r="U10" i="2"/>
  <c r="AK10" i="2"/>
  <c r="BA10" i="2"/>
  <c r="H11" i="2"/>
  <c r="X11" i="2"/>
  <c r="AN11" i="2"/>
  <c r="BD11" i="2"/>
  <c r="K12" i="2"/>
  <c r="AA12" i="2"/>
  <c r="AQ12" i="2"/>
  <c r="BG12" i="2"/>
  <c r="R13" i="2"/>
  <c r="AH13" i="2"/>
  <c r="AX13" i="2"/>
  <c r="I14" i="2"/>
  <c r="Y14" i="2"/>
  <c r="AO14" i="2"/>
  <c r="BE14" i="2"/>
  <c r="L15" i="2"/>
  <c r="AB15" i="2"/>
  <c r="AR15" i="2"/>
  <c r="BH15" i="2"/>
  <c r="O16" i="2"/>
  <c r="AE16" i="2"/>
  <c r="AU16" i="2"/>
  <c r="BK16" i="2"/>
  <c r="V17" i="2"/>
  <c r="AL17" i="2"/>
  <c r="BB17" i="2"/>
  <c r="M18" i="2"/>
  <c r="AC18" i="2"/>
  <c r="AS18" i="2"/>
  <c r="BI18" i="2"/>
  <c r="P19" i="2"/>
  <c r="AF19" i="2"/>
  <c r="AV19" i="2"/>
  <c r="BL19" i="2"/>
  <c r="S20" i="2"/>
  <c r="AI20" i="2"/>
  <c r="AY20" i="2"/>
  <c r="J21" i="2"/>
  <c r="Z21" i="2"/>
  <c r="AP21" i="2"/>
  <c r="BF21" i="2"/>
  <c r="Q22" i="2"/>
  <c r="AG22" i="2"/>
  <c r="AW22" i="2"/>
  <c r="BM22" i="2"/>
  <c r="Y23" i="2"/>
  <c r="BL23" i="2"/>
  <c r="BK24" i="2"/>
  <c r="BJ25" i="2"/>
  <c r="BM26" i="2"/>
  <c r="BL27" i="2"/>
  <c r="BK28" i="2"/>
  <c r="BJ29" i="2"/>
  <c r="BM30" i="2"/>
  <c r="BL31" i="2"/>
  <c r="BK32" i="2"/>
  <c r="BJ33" i="2"/>
  <c r="BM34" i="2"/>
  <c r="BL35" i="2"/>
  <c r="BK36" i="2"/>
  <c r="BJ37" i="2"/>
  <c r="BM38" i="2"/>
  <c r="BL39" i="2"/>
  <c r="BK40" i="2"/>
  <c r="BJ41" i="2"/>
  <c r="BM42" i="2"/>
  <c r="BL43" i="2"/>
  <c r="BD44" i="3"/>
  <c r="BD44" i="2" s="1"/>
  <c r="BD45" i="2"/>
  <c r="BC46" i="2"/>
  <c r="I48" i="2"/>
  <c r="H49" i="2"/>
  <c r="G50" i="2"/>
  <c r="V51" i="2"/>
  <c r="Y52" i="2"/>
  <c r="X53" i="2"/>
  <c r="W54" i="2"/>
  <c r="AL55" i="2"/>
  <c r="AO56" i="2"/>
  <c r="AN57" i="2"/>
  <c r="AM58" i="2"/>
  <c r="BB59" i="2"/>
  <c r="BE60" i="2"/>
  <c r="BD61" i="2"/>
  <c r="BC62" i="2"/>
  <c r="I64" i="2"/>
  <c r="H65" i="2"/>
  <c r="G66" i="2"/>
  <c r="V67" i="2"/>
  <c r="Y68" i="2"/>
  <c r="X69" i="2"/>
  <c r="W70" i="2"/>
  <c r="AL71" i="2"/>
  <c r="AO72" i="2"/>
  <c r="AN73" i="2"/>
  <c r="AM74" i="2"/>
  <c r="BB75" i="2"/>
  <c r="BE76" i="2"/>
  <c r="BD77" i="2"/>
  <c r="BC78" i="2"/>
  <c r="I80" i="2"/>
  <c r="H81" i="2"/>
  <c r="G82" i="2"/>
  <c r="V83" i="2"/>
  <c r="Y84" i="2"/>
  <c r="AG85" i="3"/>
  <c r="AG85" i="2" s="1"/>
  <c r="AG86" i="2"/>
  <c r="AF87" i="2"/>
  <c r="L3" i="3"/>
  <c r="L3" i="2" s="1"/>
  <c r="L4" i="2"/>
  <c r="AB3" i="3"/>
  <c r="AB3" i="2" s="1"/>
  <c r="AB4" i="2"/>
  <c r="AR3" i="3"/>
  <c r="AR3" i="2" s="1"/>
  <c r="AR4" i="2"/>
  <c r="BH3" i="3"/>
  <c r="BH3" i="2" s="1"/>
  <c r="BH4" i="2"/>
  <c r="O5" i="2"/>
  <c r="AE5" i="2"/>
  <c r="AU5" i="2"/>
  <c r="BK5" i="2"/>
  <c r="V6" i="2"/>
  <c r="AL6" i="2"/>
  <c r="BB6" i="2"/>
  <c r="M7" i="2"/>
  <c r="AC7" i="2"/>
  <c r="AS7" i="2"/>
  <c r="BI7" i="2"/>
  <c r="P8" i="2"/>
  <c r="AF8" i="2"/>
  <c r="AV8" i="2"/>
  <c r="BL8" i="2"/>
  <c r="S9" i="2"/>
  <c r="AI9" i="2"/>
  <c r="AY9" i="2"/>
  <c r="J10" i="2"/>
  <c r="Z10" i="2"/>
  <c r="AP10" i="2"/>
  <c r="BF10" i="2"/>
  <c r="Q11" i="2"/>
  <c r="AG11" i="2"/>
  <c r="AW11" i="2"/>
  <c r="BM11" i="2"/>
  <c r="T12" i="2"/>
  <c r="AJ12" i="2"/>
  <c r="AZ12" i="2"/>
  <c r="G13" i="2"/>
  <c r="W13" i="2"/>
  <c r="AM13" i="2"/>
  <c r="BC13" i="2"/>
  <c r="N14" i="2"/>
  <c r="AD14" i="2"/>
  <c r="AT14" i="2"/>
  <c r="BJ14" i="2"/>
  <c r="U15" i="2"/>
  <c r="AK15" i="2"/>
  <c r="BA15" i="2"/>
  <c r="H16" i="2"/>
  <c r="X16" i="2"/>
  <c r="AN16" i="2"/>
  <c r="BD16" i="2"/>
  <c r="K17" i="2"/>
  <c r="AA17" i="2"/>
  <c r="AQ17" i="2"/>
  <c r="BG17" i="2"/>
  <c r="R18" i="2"/>
  <c r="AH18" i="2"/>
  <c r="AX18" i="2"/>
  <c r="I19" i="2"/>
  <c r="Y19" i="2"/>
  <c r="AO19" i="2"/>
  <c r="BE19" i="2"/>
  <c r="L20" i="2"/>
  <c r="AB20" i="2"/>
  <c r="AR20" i="2"/>
  <c r="BH20" i="2"/>
  <c r="O21" i="2"/>
  <c r="AE21" i="2"/>
  <c r="AU21" i="2"/>
  <c r="BK21" i="2"/>
  <c r="V22" i="2"/>
  <c r="AL22" i="2"/>
  <c r="BB22" i="2"/>
  <c r="P23" i="2"/>
  <c r="AN23" i="2"/>
  <c r="AY24" i="2"/>
  <c r="U26" i="2"/>
  <c r="AJ27" i="2"/>
  <c r="AY28" i="2"/>
  <c r="U30" i="2"/>
  <c r="AJ31" i="2"/>
  <c r="AY32" i="2"/>
  <c r="U34" i="2"/>
  <c r="AJ35" i="2"/>
  <c r="AY36" i="2"/>
  <c r="U38" i="2"/>
  <c r="AJ39" i="2"/>
  <c r="AY40" i="2"/>
  <c r="U42" i="2"/>
  <c r="AJ43" i="2"/>
  <c r="AR44" i="3"/>
  <c r="AR44" i="2" s="1"/>
  <c r="AR45" i="2"/>
  <c r="AQ46" i="2"/>
  <c r="AP47" i="2"/>
  <c r="AS48" i="2"/>
  <c r="AR49" i="2"/>
  <c r="AQ50" i="2"/>
  <c r="AP51" i="2"/>
  <c r="AS52" i="2"/>
  <c r="AR53" i="2"/>
  <c r="AQ54" i="2"/>
  <c r="AP55" i="2"/>
  <c r="AS56" i="2"/>
  <c r="AR57" i="2"/>
  <c r="AQ58" i="2"/>
  <c r="AP59" i="2"/>
  <c r="AS60" i="2"/>
  <c r="AR61" i="2"/>
  <c r="AQ62" i="2"/>
  <c r="AP63" i="2"/>
  <c r="AS64" i="2"/>
  <c r="AR65" i="2"/>
  <c r="AQ66" i="2"/>
  <c r="AP67" i="2"/>
  <c r="AS68" i="2"/>
  <c r="AR69" i="2"/>
  <c r="AQ70" i="2"/>
  <c r="AP71" i="2"/>
  <c r="AS72" i="2"/>
  <c r="AR73" i="2"/>
  <c r="AQ74" i="2"/>
  <c r="AP75" i="2"/>
  <c r="AS76" i="2"/>
  <c r="AR77" i="2"/>
  <c r="AQ78" i="2"/>
  <c r="AP79" i="2"/>
  <c r="AS80" i="2"/>
  <c r="AR81" i="2"/>
  <c r="AQ82" i="2"/>
  <c r="AP83" i="2"/>
  <c r="AS84" i="2"/>
  <c r="BA85" i="3"/>
  <c r="BA85" i="2" s="1"/>
  <c r="BA86" i="2"/>
  <c r="I3" i="3"/>
  <c r="I3" i="2" s="1"/>
  <c r="I4" i="2"/>
  <c r="Y3" i="3"/>
  <c r="Y3" i="2" s="1"/>
  <c r="Y4" i="2"/>
  <c r="AO3" i="3"/>
  <c r="AO3" i="2" s="1"/>
  <c r="AO4" i="2"/>
  <c r="BE3" i="3"/>
  <c r="BE3" i="2" s="1"/>
  <c r="BE4" i="2"/>
  <c r="L5" i="2"/>
  <c r="AB5" i="2"/>
  <c r="AR5" i="2"/>
  <c r="BH5" i="2"/>
  <c r="O6" i="2"/>
  <c r="AE6" i="2"/>
  <c r="AU6" i="2"/>
  <c r="BK6" i="2"/>
  <c r="V7" i="2"/>
  <c r="AL7" i="2"/>
  <c r="BB7" i="2"/>
  <c r="M8" i="2"/>
  <c r="AC8" i="2"/>
  <c r="AS8" i="2"/>
  <c r="BI8" i="2"/>
  <c r="P9" i="2"/>
  <c r="AF9" i="2"/>
  <c r="AV9" i="2"/>
  <c r="BL9" i="2"/>
  <c r="S10" i="2"/>
  <c r="AI10" i="2"/>
  <c r="AY10" i="2"/>
  <c r="J11" i="2"/>
  <c r="Z11" i="2"/>
  <c r="AP11" i="2"/>
  <c r="BF11" i="2"/>
  <c r="Q12" i="2"/>
  <c r="AG12" i="2"/>
  <c r="AW12" i="2"/>
  <c r="BM12" i="2"/>
  <c r="T13" i="2"/>
  <c r="AJ13" i="2"/>
  <c r="AZ13" i="2"/>
  <c r="G14" i="2"/>
  <c r="W14" i="2"/>
  <c r="AM14" i="2"/>
  <c r="BC14" i="2"/>
  <c r="N15" i="2"/>
  <c r="AD15" i="2"/>
  <c r="AT15" i="2"/>
  <c r="BJ15" i="2"/>
  <c r="U16" i="2"/>
  <c r="AK16" i="2"/>
  <c r="BA16" i="2"/>
  <c r="H17" i="2"/>
  <c r="X17" i="2"/>
  <c r="AN17" i="2"/>
  <c r="BD17" i="2"/>
  <c r="K18" i="2"/>
  <c r="AA18" i="2"/>
  <c r="AQ18" i="2"/>
  <c r="BG18" i="2"/>
  <c r="R19" i="2"/>
  <c r="AH19" i="2"/>
  <c r="AX19" i="2"/>
  <c r="I20" i="2"/>
  <c r="Y20" i="2"/>
  <c r="AO20" i="2"/>
  <c r="BE20" i="2"/>
  <c r="L21" i="2"/>
  <c r="AB21" i="2"/>
  <c r="AR21" i="2"/>
  <c r="BH21" i="2"/>
  <c r="O22" i="2"/>
  <c r="AE22" i="2"/>
  <c r="AU22" i="2"/>
  <c r="BK22" i="2"/>
  <c r="AB23" i="2"/>
  <c r="G24" i="2"/>
  <c r="V25" i="2"/>
  <c r="Y26" i="2"/>
  <c r="X27" i="2"/>
  <c r="W28" i="2"/>
  <c r="AL29" i="2"/>
  <c r="AO30" i="2"/>
  <c r="AN31" i="2"/>
  <c r="AM32" i="2"/>
  <c r="BB33" i="2"/>
  <c r="BE34" i="2"/>
  <c r="BD35" i="2"/>
  <c r="BC36" i="2"/>
  <c r="I38" i="2"/>
  <c r="H39" i="2"/>
  <c r="G40" i="2"/>
  <c r="V41" i="2"/>
  <c r="Y42" i="2"/>
  <c r="X43" i="2"/>
  <c r="AF44" i="3"/>
  <c r="AF44" i="2" s="1"/>
  <c r="AF45" i="2"/>
  <c r="AE46" i="2"/>
  <c r="AD47" i="2"/>
  <c r="AG48" i="2"/>
  <c r="AF49" i="2"/>
  <c r="AE50" i="2"/>
  <c r="AD51" i="2"/>
  <c r="AG52" i="2"/>
  <c r="AF53" i="2"/>
  <c r="AE54" i="2"/>
  <c r="AD55" i="2"/>
  <c r="AG56" i="2"/>
  <c r="AF57" i="2"/>
  <c r="AE58" i="2"/>
  <c r="AD59" i="2"/>
  <c r="AG60" i="2"/>
  <c r="AF61" i="2"/>
  <c r="AE62" i="2"/>
  <c r="AD63" i="2"/>
  <c r="AG64" i="2"/>
  <c r="AF65" i="2"/>
  <c r="AE66" i="2"/>
  <c r="AD67" i="2"/>
  <c r="AG68" i="2"/>
  <c r="AF69" i="2"/>
  <c r="AE70" i="2"/>
  <c r="AD71" i="2"/>
  <c r="AG72" i="2"/>
  <c r="AF73" i="2"/>
  <c r="AE74" i="2"/>
  <c r="AD75" i="2"/>
  <c r="AG76" i="2"/>
  <c r="AF77" i="2"/>
  <c r="AE78" i="2"/>
  <c r="AD79" i="2"/>
  <c r="AG80" i="2"/>
  <c r="AF81" i="2"/>
  <c r="AE82" i="2"/>
  <c r="AD83" i="2"/>
  <c r="AG84" i="2"/>
  <c r="Y85" i="3"/>
  <c r="Y85" i="2" s="1"/>
  <c r="Y86" i="2"/>
  <c r="X87" i="2"/>
  <c r="K88" i="2"/>
  <c r="AA88" i="2"/>
  <c r="AQ88" i="2"/>
  <c r="BG88" i="2"/>
  <c r="R89" i="2"/>
  <c r="AH89" i="2"/>
  <c r="AX89" i="2"/>
  <c r="I90" i="2"/>
  <c r="Y90" i="2"/>
  <c r="AO90" i="2"/>
  <c r="BE90" i="2"/>
  <c r="L91" i="2"/>
  <c r="AB91" i="2"/>
  <c r="AR91" i="2"/>
  <c r="BH91" i="2"/>
  <c r="O92" i="2"/>
  <c r="AE92" i="2"/>
  <c r="AU92" i="2"/>
  <c r="BK92" i="2"/>
  <c r="V93" i="2"/>
  <c r="AL93" i="2"/>
  <c r="BB93" i="2"/>
  <c r="M94" i="2"/>
  <c r="AC94" i="2"/>
  <c r="AS94" i="2"/>
  <c r="BI94" i="2"/>
  <c r="P95" i="2"/>
  <c r="AF95" i="2"/>
  <c r="AV95" i="2"/>
  <c r="BL95" i="2"/>
  <c r="S96" i="2"/>
  <c r="AI96" i="2"/>
  <c r="AY96" i="2"/>
  <c r="J97" i="2"/>
  <c r="Z97" i="2"/>
  <c r="AP97" i="2"/>
  <c r="BF97" i="2"/>
  <c r="Q98" i="2"/>
  <c r="AG98" i="2"/>
  <c r="AW98" i="2"/>
  <c r="BM98" i="2"/>
  <c r="T99" i="2"/>
  <c r="AJ99" i="2"/>
  <c r="AZ99" i="2"/>
  <c r="G100" i="2"/>
  <c r="W100" i="2"/>
  <c r="AM100" i="2"/>
  <c r="BC100" i="2"/>
  <c r="N101" i="2"/>
  <c r="AD101" i="2"/>
  <c r="AT101" i="2"/>
  <c r="BJ101" i="2"/>
  <c r="U102" i="2"/>
  <c r="AK102" i="2"/>
  <c r="BA102" i="2"/>
  <c r="H103" i="2"/>
  <c r="X103" i="2"/>
  <c r="AN103" i="2"/>
  <c r="BD103" i="2"/>
  <c r="K104" i="2"/>
  <c r="AA104" i="2"/>
  <c r="AQ104" i="2"/>
  <c r="BG104" i="2"/>
  <c r="R105" i="2"/>
  <c r="AH105" i="2"/>
  <c r="AX105" i="2"/>
  <c r="I106" i="2"/>
  <c r="Y106" i="2"/>
  <c r="AO106" i="2"/>
  <c r="BE106" i="2"/>
  <c r="L107" i="2"/>
  <c r="AB107" i="2"/>
  <c r="AR107" i="2"/>
  <c r="BH107" i="2"/>
  <c r="O108" i="2"/>
  <c r="AE108" i="2"/>
  <c r="AU108" i="2"/>
  <c r="BK108" i="2"/>
  <c r="V109" i="2"/>
  <c r="AL109" i="2"/>
  <c r="BB109" i="2"/>
  <c r="M110" i="2"/>
  <c r="AC110" i="2"/>
  <c r="AS110" i="2"/>
  <c r="BI110" i="2"/>
  <c r="P111" i="2"/>
  <c r="AF111" i="2"/>
  <c r="AV111" i="2"/>
  <c r="BL111" i="2"/>
  <c r="S112" i="2"/>
  <c r="AI112" i="2"/>
  <c r="AY112" i="2"/>
  <c r="J113" i="2"/>
  <c r="Z113" i="2"/>
  <c r="AP113" i="2"/>
  <c r="BF113" i="2"/>
  <c r="U114" i="2"/>
  <c r="AV114" i="2"/>
  <c r="AW23" i="2"/>
  <c r="BM23" i="2"/>
  <c r="T24" i="2"/>
  <c r="AJ24" i="2"/>
  <c r="AZ24" i="2"/>
  <c r="G25" i="2"/>
  <c r="W25" i="2"/>
  <c r="AM25" i="2"/>
  <c r="BC25" i="2"/>
  <c r="N26" i="2"/>
  <c r="AD26" i="2"/>
  <c r="AT26" i="2"/>
  <c r="BJ26" i="2"/>
  <c r="U27" i="2"/>
  <c r="AK27" i="2"/>
  <c r="BA27" i="2"/>
  <c r="H28" i="2"/>
  <c r="X28" i="2"/>
  <c r="AN28" i="2"/>
  <c r="BD28" i="2"/>
  <c r="K29" i="2"/>
  <c r="AA29" i="2"/>
  <c r="AQ29" i="2"/>
  <c r="BG29" i="2"/>
  <c r="R30" i="2"/>
  <c r="AH30" i="2"/>
  <c r="AX30" i="2"/>
  <c r="I31" i="2"/>
  <c r="Y31" i="2"/>
  <c r="AO31" i="2"/>
  <c r="BE31" i="2"/>
  <c r="L32" i="2"/>
  <c r="AB32" i="2"/>
  <c r="AR32" i="2"/>
  <c r="BH32" i="2"/>
  <c r="O33" i="2"/>
  <c r="AE33" i="2"/>
  <c r="AU33" i="2"/>
  <c r="BK33" i="2"/>
  <c r="V34" i="2"/>
  <c r="AL34" i="2"/>
  <c r="BB34" i="2"/>
  <c r="M35" i="2"/>
  <c r="AC35" i="2"/>
  <c r="AS35" i="2"/>
  <c r="BI35" i="2"/>
  <c r="P36" i="2"/>
  <c r="AF36" i="2"/>
  <c r="AV36" i="2"/>
  <c r="BL36" i="2"/>
  <c r="S37" i="2"/>
  <c r="AI37" i="2"/>
  <c r="AY37" i="2"/>
  <c r="J38" i="2"/>
  <c r="Z38" i="2"/>
  <c r="AP38" i="2"/>
  <c r="BF38" i="2"/>
  <c r="Q39" i="2"/>
  <c r="AG39" i="2"/>
  <c r="AW39" i="2"/>
  <c r="BM39" i="2"/>
  <c r="T40" i="2"/>
  <c r="AJ40" i="2"/>
  <c r="AZ40" i="2"/>
  <c r="G41" i="2"/>
  <c r="W41" i="2"/>
  <c r="AM41" i="2"/>
  <c r="BC41" i="2"/>
  <c r="N42" i="2"/>
  <c r="AD42" i="2"/>
  <c r="AT42" i="2"/>
  <c r="BJ42" i="2"/>
  <c r="U43" i="2"/>
  <c r="AK43" i="2"/>
  <c r="BA43" i="2"/>
  <c r="I44" i="3"/>
  <c r="I44" i="2" s="1"/>
  <c r="I45" i="2"/>
  <c r="Y44" i="3"/>
  <c r="Y44" i="2" s="1"/>
  <c r="Y45" i="2"/>
  <c r="AO44" i="3"/>
  <c r="AO44" i="2" s="1"/>
  <c r="AO45" i="2"/>
  <c r="BE44" i="3"/>
  <c r="BE44" i="2" s="1"/>
  <c r="BE45" i="2"/>
  <c r="L46" i="2"/>
  <c r="AB46" i="2"/>
  <c r="AR46" i="2"/>
  <c r="BH46" i="2"/>
  <c r="O47" i="2"/>
  <c r="AE47" i="2"/>
  <c r="AU47" i="2"/>
  <c r="BK47" i="2"/>
  <c r="V48" i="2"/>
  <c r="AL48" i="2"/>
  <c r="BB48" i="2"/>
  <c r="M49" i="2"/>
  <c r="AC49" i="2"/>
  <c r="AS49" i="2"/>
  <c r="BI49" i="2"/>
  <c r="P50" i="2"/>
  <c r="AF50" i="2"/>
  <c r="AV50" i="2"/>
  <c r="BL50" i="2"/>
  <c r="S51" i="2"/>
  <c r="AI51" i="2"/>
  <c r="AY51" i="2"/>
  <c r="J52" i="2"/>
  <c r="Z52" i="2"/>
  <c r="AP52" i="2"/>
  <c r="BF52" i="2"/>
  <c r="Q53" i="2"/>
  <c r="AG53" i="2"/>
  <c r="AW53" i="2"/>
  <c r="BM53" i="2"/>
  <c r="T54" i="2"/>
  <c r="AJ54" i="2"/>
  <c r="AZ54" i="2"/>
  <c r="G55" i="2"/>
  <c r="W55" i="2"/>
  <c r="AM55" i="2"/>
  <c r="BC55" i="2"/>
  <c r="N56" i="2"/>
  <c r="AD56" i="2"/>
  <c r="AT56" i="2"/>
  <c r="BJ56" i="2"/>
  <c r="U57" i="2"/>
  <c r="AK57" i="2"/>
  <c r="BA57" i="2"/>
  <c r="H58" i="2"/>
  <c r="X58" i="2"/>
  <c r="AN58" i="2"/>
  <c r="BD58" i="2"/>
  <c r="K59" i="2"/>
  <c r="AA59" i="2"/>
  <c r="AQ59" i="2"/>
  <c r="BG59" i="2"/>
  <c r="R60" i="2"/>
  <c r="AH60" i="2"/>
  <c r="AX60" i="2"/>
  <c r="I61" i="2"/>
  <c r="Y61" i="2"/>
  <c r="AO61" i="2"/>
  <c r="BE61" i="2"/>
  <c r="L62" i="2"/>
  <c r="AB62" i="2"/>
  <c r="AR62" i="2"/>
  <c r="BH62" i="2"/>
  <c r="O63" i="2"/>
  <c r="AE63" i="2"/>
  <c r="AU63" i="2"/>
  <c r="BK63" i="2"/>
  <c r="V64" i="2"/>
  <c r="AL64" i="2"/>
  <c r="BB64" i="2"/>
  <c r="M65" i="2"/>
  <c r="AC65" i="2"/>
  <c r="AS65" i="2"/>
  <c r="BI65" i="2"/>
  <c r="P66" i="2"/>
  <c r="AF66" i="2"/>
  <c r="AV66" i="2"/>
  <c r="BL66" i="2"/>
  <c r="S67" i="2"/>
  <c r="AI67" i="2"/>
  <c r="AY67" i="2"/>
  <c r="J68" i="2"/>
  <c r="Z68" i="2"/>
  <c r="AP68" i="2"/>
  <c r="BF68" i="2"/>
  <c r="Q69" i="2"/>
  <c r="AG69" i="2"/>
  <c r="AW69" i="2"/>
  <c r="BM69" i="2"/>
  <c r="T70" i="2"/>
  <c r="AJ70" i="2"/>
  <c r="AZ70" i="2"/>
  <c r="G71" i="2"/>
  <c r="W71" i="2"/>
  <c r="AM71" i="2"/>
  <c r="BC71" i="2"/>
  <c r="N72" i="2"/>
  <c r="AD72" i="2"/>
  <c r="AT72" i="2"/>
  <c r="BJ72" i="2"/>
  <c r="U73" i="2"/>
  <c r="AK73" i="2"/>
  <c r="BA73" i="2"/>
  <c r="H74" i="2"/>
  <c r="X74" i="2"/>
  <c r="AN74" i="2"/>
  <c r="BD74" i="2"/>
  <c r="K75" i="2"/>
  <c r="AA75" i="2"/>
  <c r="AQ75" i="2"/>
  <c r="BG75" i="2"/>
  <c r="R76" i="2"/>
  <c r="AH76" i="2"/>
  <c r="AX76" i="2"/>
  <c r="I77" i="2"/>
  <c r="Y77" i="2"/>
  <c r="AO77" i="2"/>
  <c r="BE77" i="2"/>
  <c r="L78" i="2"/>
  <c r="AB78" i="2"/>
  <c r="AR78" i="2"/>
  <c r="BH78" i="2"/>
  <c r="O79" i="2"/>
  <c r="AE79" i="2"/>
  <c r="AU79" i="2"/>
  <c r="BK79" i="2"/>
  <c r="V80" i="2"/>
  <c r="AL80" i="2"/>
  <c r="BB80" i="2"/>
  <c r="M81" i="2"/>
  <c r="AC81" i="2"/>
  <c r="AS81" i="2"/>
  <c r="BI81" i="2"/>
  <c r="P82" i="2"/>
  <c r="AF82" i="2"/>
  <c r="AV82" i="2"/>
  <c r="BL82" i="2"/>
  <c r="S83" i="2"/>
  <c r="AI83" i="2"/>
  <c r="AY83" i="2"/>
  <c r="J84" i="2"/>
  <c r="Z84" i="2"/>
  <c r="AP84" i="2"/>
  <c r="BF84" i="2"/>
  <c r="R85" i="3"/>
  <c r="R85" i="2" s="1"/>
  <c r="R86" i="2"/>
  <c r="AH85" i="3"/>
  <c r="AH85" i="2" s="1"/>
  <c r="AH86" i="2"/>
  <c r="AX85" i="3"/>
  <c r="AX85" i="2" s="1"/>
  <c r="AX86" i="2"/>
  <c r="I87" i="2"/>
  <c r="Y87" i="2"/>
  <c r="AO87" i="2"/>
  <c r="BE87" i="2"/>
  <c r="L88" i="2"/>
  <c r="AB88" i="2"/>
  <c r="AR88" i="2"/>
  <c r="BH88" i="2"/>
  <c r="O89" i="2"/>
  <c r="AE89" i="2"/>
  <c r="AU89" i="2"/>
  <c r="BK89" i="2"/>
  <c r="V90" i="2"/>
  <c r="AL90" i="2"/>
  <c r="BB90" i="2"/>
  <c r="M91" i="2"/>
  <c r="AC91" i="2"/>
  <c r="AS91" i="2"/>
  <c r="BI91" i="2"/>
  <c r="P92" i="2"/>
  <c r="AF92" i="2"/>
  <c r="AV92" i="2"/>
  <c r="BL92" i="2"/>
  <c r="S93" i="2"/>
  <c r="AI93" i="2"/>
  <c r="AY93" i="2"/>
  <c r="J94" i="2"/>
  <c r="Z94" i="2"/>
  <c r="AP94" i="2"/>
  <c r="BF94" i="2"/>
  <c r="Q95" i="2"/>
  <c r="AG95" i="2"/>
  <c r="AW95" i="2"/>
  <c r="BM95" i="2"/>
  <c r="T96" i="2"/>
  <c r="AJ96" i="2"/>
  <c r="AZ96" i="2"/>
  <c r="G97" i="2"/>
  <c r="W97" i="2"/>
  <c r="AM97" i="2"/>
  <c r="BC97" i="2"/>
  <c r="N98" i="2"/>
  <c r="AD98" i="2"/>
  <c r="AT98" i="2"/>
  <c r="BJ98" i="2"/>
  <c r="U99" i="2"/>
  <c r="AK99" i="2"/>
  <c r="BA99" i="2"/>
  <c r="H100" i="2"/>
  <c r="X100" i="2"/>
  <c r="AN100" i="2"/>
  <c r="BD100" i="2"/>
  <c r="K101" i="2"/>
  <c r="AA101" i="2"/>
  <c r="AQ101" i="2"/>
  <c r="BG101" i="2"/>
  <c r="R102" i="2"/>
  <c r="AH102" i="2"/>
  <c r="AX102" i="2"/>
  <c r="I103" i="2"/>
  <c r="Y103" i="2"/>
  <c r="AO103" i="2"/>
  <c r="BE103" i="2"/>
  <c r="L104" i="2"/>
  <c r="AB104" i="2"/>
  <c r="AR104" i="2"/>
  <c r="BH104" i="2"/>
  <c r="O105" i="2"/>
  <c r="AE105" i="2"/>
  <c r="AU105" i="2"/>
  <c r="BK105" i="2"/>
  <c r="V106" i="2"/>
  <c r="AL106" i="2"/>
  <c r="BB106" i="2"/>
  <c r="M107" i="2"/>
  <c r="AC107" i="2"/>
  <c r="AS107" i="2"/>
  <c r="BI107" i="2"/>
  <c r="P108" i="2"/>
  <c r="AF108" i="2"/>
  <c r="AV108" i="2"/>
  <c r="BL108" i="2"/>
  <c r="S109" i="2"/>
  <c r="AI109" i="2"/>
  <c r="AY109" i="2"/>
  <c r="J110" i="2"/>
  <c r="Z110" i="2"/>
  <c r="AP110" i="2"/>
  <c r="BF110" i="2"/>
  <c r="Q111" i="2"/>
  <c r="AG111" i="2"/>
  <c r="AW111" i="2"/>
  <c r="BM111" i="2"/>
  <c r="T112" i="2"/>
  <c r="AJ112" i="2"/>
  <c r="AZ112" i="2"/>
  <c r="G113" i="2"/>
  <c r="W113" i="2"/>
  <c r="AM113" i="2"/>
  <c r="BC113" i="2"/>
  <c r="L114" i="2"/>
  <c r="AI114" i="2"/>
  <c r="AH23" i="2"/>
  <c r="AX23" i="2"/>
  <c r="I24" i="2"/>
  <c r="Y24" i="2"/>
  <c r="AO24" i="2"/>
  <c r="BE24" i="2"/>
  <c r="L25" i="2"/>
  <c r="AB25" i="2"/>
  <c r="AR25" i="2"/>
  <c r="BH25" i="2"/>
  <c r="O26" i="2"/>
  <c r="AE26" i="2"/>
  <c r="AU26" i="2"/>
  <c r="BK26" i="2"/>
  <c r="V27" i="2"/>
  <c r="AL27" i="2"/>
  <c r="BB27" i="2"/>
  <c r="M28" i="2"/>
  <c r="AC28" i="2"/>
  <c r="AS28" i="2"/>
  <c r="BI28" i="2"/>
  <c r="P29" i="2"/>
  <c r="AF29" i="2"/>
  <c r="AV29" i="2"/>
  <c r="BL29" i="2"/>
  <c r="S30" i="2"/>
  <c r="AI30" i="2"/>
  <c r="AY30" i="2"/>
  <c r="J31" i="2"/>
  <c r="Z31" i="2"/>
  <c r="AP31" i="2"/>
  <c r="BF31" i="2"/>
  <c r="Q32" i="2"/>
  <c r="AG32" i="2"/>
  <c r="AW32" i="2"/>
  <c r="BM32" i="2"/>
  <c r="T33" i="2"/>
  <c r="AJ33" i="2"/>
  <c r="AZ33" i="2"/>
  <c r="G34" i="2"/>
  <c r="W34" i="2"/>
  <c r="AM34" i="2"/>
  <c r="BC34" i="2"/>
  <c r="N35" i="2"/>
  <c r="AD35" i="2"/>
  <c r="AT35" i="2"/>
  <c r="BJ35" i="2"/>
  <c r="U36" i="2"/>
  <c r="AK36" i="2"/>
  <c r="BA36" i="2"/>
  <c r="H37" i="2"/>
  <c r="X37" i="2"/>
  <c r="AN37" i="2"/>
  <c r="BD37" i="2"/>
  <c r="K38" i="2"/>
  <c r="AA38" i="2"/>
  <c r="AQ38" i="2"/>
  <c r="BG38" i="2"/>
  <c r="R39" i="2"/>
  <c r="AH39" i="2"/>
  <c r="AX39" i="2"/>
  <c r="I40" i="2"/>
  <c r="Y40" i="2"/>
  <c r="AO40" i="2"/>
  <c r="BE40" i="2"/>
  <c r="L41" i="2"/>
  <c r="AB41" i="2"/>
  <c r="AR41" i="2"/>
  <c r="BH41" i="2"/>
  <c r="O42" i="2"/>
  <c r="AE42" i="2"/>
  <c r="AU42" i="2"/>
  <c r="BK42" i="2"/>
  <c r="V43" i="2"/>
  <c r="AL43" i="2"/>
  <c r="BB43" i="2"/>
  <c r="N44" i="3"/>
  <c r="N44" i="2" s="1"/>
  <c r="N45" i="2"/>
  <c r="AD44" i="3"/>
  <c r="AD44" i="2" s="1"/>
  <c r="AD45" i="2"/>
  <c r="AT44" i="3"/>
  <c r="AT44" i="2" s="1"/>
  <c r="AT45" i="2"/>
  <c r="BJ44" i="3"/>
  <c r="BJ44" i="2" s="1"/>
  <c r="BJ45" i="2"/>
  <c r="U46" i="2"/>
  <c r="AK46" i="2"/>
  <c r="BA46" i="2"/>
  <c r="H47" i="2"/>
  <c r="X47" i="2"/>
  <c r="AN47" i="2"/>
  <c r="BD47" i="2"/>
  <c r="K48" i="2"/>
  <c r="AA48" i="2"/>
  <c r="AQ48" i="2"/>
  <c r="BG48" i="2"/>
  <c r="R49" i="2"/>
  <c r="AH49" i="2"/>
  <c r="AX49" i="2"/>
  <c r="I50" i="2"/>
  <c r="Y50" i="2"/>
  <c r="AO50" i="2"/>
  <c r="BE50" i="2"/>
  <c r="L51" i="2"/>
  <c r="AB51" i="2"/>
  <c r="AR51" i="2"/>
  <c r="BH51" i="2"/>
  <c r="O52" i="2"/>
  <c r="AE52" i="2"/>
  <c r="AU52" i="2"/>
  <c r="BK52" i="2"/>
  <c r="V53" i="2"/>
  <c r="AL53" i="2"/>
  <c r="BB53" i="2"/>
  <c r="M54" i="2"/>
  <c r="AC54" i="2"/>
  <c r="AS54" i="2"/>
  <c r="BI54" i="2"/>
  <c r="P55" i="2"/>
  <c r="AF55" i="2"/>
  <c r="AV55" i="2"/>
  <c r="BL55" i="2"/>
  <c r="S56" i="2"/>
  <c r="AI56" i="2"/>
  <c r="AY56" i="2"/>
  <c r="J57" i="2"/>
  <c r="Z57" i="2"/>
  <c r="AP57" i="2"/>
  <c r="BF57" i="2"/>
  <c r="Q58" i="2"/>
  <c r="AG58" i="2"/>
  <c r="AW58" i="2"/>
  <c r="BM58" i="2"/>
  <c r="T59" i="2"/>
  <c r="AJ59" i="2"/>
  <c r="AZ59" i="2"/>
  <c r="G60" i="2"/>
  <c r="W60" i="2"/>
  <c r="AM60" i="2"/>
  <c r="BC60" i="2"/>
  <c r="N61" i="2"/>
  <c r="AD61" i="2"/>
  <c r="AT61" i="2"/>
  <c r="BJ61" i="2"/>
  <c r="U62" i="2"/>
  <c r="AK62" i="2"/>
  <c r="BA62" i="2"/>
  <c r="H63" i="2"/>
  <c r="X63" i="2"/>
  <c r="AN63" i="2"/>
  <c r="BD63" i="2"/>
  <c r="K64" i="2"/>
  <c r="AA64" i="2"/>
  <c r="AQ64" i="2"/>
  <c r="BG64" i="2"/>
  <c r="R65" i="2"/>
  <c r="AH65" i="2"/>
  <c r="AX65" i="2"/>
  <c r="I66" i="2"/>
  <c r="Y66" i="2"/>
  <c r="AO66" i="2"/>
  <c r="BE66" i="2"/>
  <c r="L67" i="2"/>
  <c r="AB67" i="2"/>
  <c r="AR67" i="2"/>
  <c r="BH67" i="2"/>
  <c r="O68" i="2"/>
  <c r="AE68" i="2"/>
  <c r="AU68" i="2"/>
  <c r="BK68" i="2"/>
  <c r="V69" i="2"/>
  <c r="AL69" i="2"/>
  <c r="BB69" i="2"/>
  <c r="M70" i="2"/>
  <c r="AC70" i="2"/>
  <c r="AS70" i="2"/>
  <c r="BI70" i="2"/>
  <c r="P71" i="2"/>
  <c r="AF71" i="2"/>
  <c r="AV71" i="2"/>
  <c r="BL71" i="2"/>
  <c r="S72" i="2"/>
  <c r="AI72" i="2"/>
  <c r="AY72" i="2"/>
  <c r="J73" i="2"/>
  <c r="Z73" i="2"/>
  <c r="AP73" i="2"/>
  <c r="BF73" i="2"/>
  <c r="Q74" i="2"/>
  <c r="AG74" i="2"/>
  <c r="AW74" i="2"/>
  <c r="BM74" i="2"/>
  <c r="T75" i="2"/>
  <c r="AJ75" i="2"/>
  <c r="AZ75" i="2"/>
  <c r="G76" i="2"/>
  <c r="W76" i="2"/>
  <c r="AM76" i="2"/>
  <c r="BC76" i="2"/>
  <c r="N77" i="2"/>
  <c r="AD77" i="2"/>
  <c r="AT77" i="2"/>
  <c r="BJ77" i="2"/>
  <c r="U78" i="2"/>
  <c r="AK78" i="2"/>
  <c r="BA78" i="2"/>
  <c r="H79" i="2"/>
  <c r="X79" i="2"/>
  <c r="AN79" i="2"/>
  <c r="BD79" i="2"/>
  <c r="K80" i="2"/>
  <c r="AA80" i="2"/>
  <c r="AQ80" i="2"/>
  <c r="BG80" i="2"/>
  <c r="R81" i="2"/>
  <c r="AH81" i="2"/>
  <c r="AX81" i="2"/>
  <c r="I82" i="2"/>
  <c r="Y82" i="2"/>
  <c r="AO82" i="2"/>
  <c r="BE82" i="2"/>
  <c r="L83" i="2"/>
  <c r="AB83" i="2"/>
  <c r="AR83" i="2"/>
  <c r="BH83" i="2"/>
  <c r="O84" i="2"/>
  <c r="AE84" i="2"/>
  <c r="AU84" i="2"/>
  <c r="BK84" i="2"/>
  <c r="S85" i="3"/>
  <c r="S85" i="2" s="1"/>
  <c r="S86" i="2"/>
  <c r="AI85" i="3"/>
  <c r="AI85" i="2" s="1"/>
  <c r="AI86" i="2"/>
  <c r="AY85" i="3"/>
  <c r="AY85" i="2" s="1"/>
  <c r="AY86" i="2"/>
  <c r="J87" i="2"/>
  <c r="Z87" i="2"/>
  <c r="AP87" i="2"/>
  <c r="BF87" i="2"/>
  <c r="Q88" i="2"/>
  <c r="AG88" i="2"/>
  <c r="AW88" i="2"/>
  <c r="BM88" i="2"/>
  <c r="T89" i="2"/>
  <c r="AJ89" i="2"/>
  <c r="AZ89" i="2"/>
  <c r="G90" i="2"/>
  <c r="W90" i="2"/>
  <c r="AM90" i="2"/>
  <c r="BC90" i="2"/>
  <c r="N91" i="2"/>
  <c r="AD91" i="2"/>
  <c r="AT91" i="2"/>
  <c r="BJ91" i="2"/>
  <c r="U92" i="2"/>
  <c r="AK92" i="2"/>
  <c r="BA92" i="2"/>
  <c r="H93" i="2"/>
  <c r="X93" i="2"/>
  <c r="AN93" i="2"/>
  <c r="BD93" i="2"/>
  <c r="K94" i="2"/>
  <c r="AA94" i="2"/>
  <c r="AQ94" i="2"/>
  <c r="BG94" i="2"/>
  <c r="R95" i="2"/>
  <c r="AH95" i="2"/>
  <c r="AX95" i="2"/>
  <c r="I96" i="2"/>
  <c r="Y96" i="2"/>
  <c r="AO96" i="2"/>
  <c r="BE96" i="2"/>
  <c r="L97" i="2"/>
  <c r="AB97" i="2"/>
  <c r="AR97" i="2"/>
  <c r="BH97" i="2"/>
  <c r="O98" i="2"/>
  <c r="AE98" i="2"/>
  <c r="AU98" i="2"/>
  <c r="BK98" i="2"/>
  <c r="V99" i="2"/>
  <c r="AL99" i="2"/>
  <c r="BB99" i="2"/>
  <c r="M100" i="2"/>
  <c r="AC100" i="2"/>
  <c r="AS100" i="2"/>
  <c r="BI100" i="2"/>
  <c r="P101" i="2"/>
  <c r="AF101" i="2"/>
  <c r="AV101" i="2"/>
  <c r="BL101" i="2"/>
  <c r="S102" i="2"/>
  <c r="AI102" i="2"/>
  <c r="AY102" i="2"/>
  <c r="J103" i="2"/>
  <c r="Z103" i="2"/>
  <c r="AP103" i="2"/>
  <c r="BF103" i="2"/>
  <c r="Q104" i="2"/>
  <c r="AG104" i="2"/>
  <c r="AW104" i="2"/>
  <c r="BM104" i="2"/>
  <c r="T105" i="2"/>
  <c r="AJ105" i="2"/>
  <c r="AZ105" i="2"/>
  <c r="G106" i="2"/>
  <c r="W106" i="2"/>
  <c r="AM106" i="2"/>
  <c r="BC106" i="2"/>
  <c r="N107" i="2"/>
  <c r="AD107" i="2"/>
  <c r="AT107" i="2"/>
  <c r="BJ107" i="2"/>
  <c r="U108" i="2"/>
  <c r="AK108" i="2"/>
  <c r="BA108" i="2"/>
  <c r="H109" i="2"/>
  <c r="X109" i="2"/>
  <c r="AN109" i="2"/>
  <c r="BD109" i="2"/>
  <c r="K110" i="2"/>
  <c r="AA110" i="2"/>
  <c r="AQ110" i="2"/>
  <c r="BG110" i="2"/>
  <c r="R111" i="2"/>
  <c r="AH111" i="2"/>
  <c r="AX111" i="2"/>
  <c r="I112" i="2"/>
  <c r="Y112" i="2"/>
  <c r="AO112" i="2"/>
  <c r="BE112" i="2"/>
  <c r="L113" i="2"/>
  <c r="AB113" i="2"/>
  <c r="AR113" i="2"/>
  <c r="BH113" i="2"/>
  <c r="S114" i="2"/>
  <c r="AR114" i="2"/>
  <c r="K23" i="2"/>
  <c r="AA23" i="2"/>
  <c r="AQ23" i="2"/>
  <c r="BG23" i="2"/>
  <c r="R24" i="2"/>
  <c r="AH24" i="2"/>
  <c r="AX24" i="2"/>
  <c r="I25" i="2"/>
  <c r="Y25" i="2"/>
  <c r="AO25" i="2"/>
  <c r="BE25" i="2"/>
  <c r="L26" i="2"/>
  <c r="AB26" i="2"/>
  <c r="AR26" i="2"/>
  <c r="BH26" i="2"/>
  <c r="O27" i="2"/>
  <c r="AE27" i="2"/>
  <c r="AU27" i="2"/>
  <c r="BK27" i="2"/>
  <c r="V28" i="2"/>
  <c r="AL28" i="2"/>
  <c r="BB28" i="2"/>
  <c r="M29" i="2"/>
  <c r="AC29" i="2"/>
  <c r="AS29" i="2"/>
  <c r="BI29" i="2"/>
  <c r="P30" i="2"/>
  <c r="AF30" i="2"/>
  <c r="AV30" i="2"/>
  <c r="BL30" i="2"/>
  <c r="S31" i="2"/>
  <c r="AI31" i="2"/>
  <c r="AY31" i="2"/>
  <c r="J32" i="2"/>
  <c r="Z32" i="2"/>
  <c r="AP32" i="2"/>
  <c r="BF32" i="2"/>
  <c r="Q33" i="2"/>
  <c r="AG33" i="2"/>
  <c r="AW33" i="2"/>
  <c r="BM33" i="2"/>
  <c r="T34" i="2"/>
  <c r="AJ34" i="2"/>
  <c r="AZ34" i="2"/>
  <c r="G35" i="2"/>
  <c r="W35" i="2"/>
  <c r="AM35" i="2"/>
  <c r="BC35" i="2"/>
  <c r="N36" i="2"/>
  <c r="AD36" i="2"/>
  <c r="AT36" i="2"/>
  <c r="BJ36" i="2"/>
  <c r="U37" i="2"/>
  <c r="AK37" i="2"/>
  <c r="BA37" i="2"/>
  <c r="H38" i="2"/>
  <c r="X38" i="2"/>
  <c r="AN38" i="2"/>
  <c r="BD38" i="2"/>
  <c r="K39" i="2"/>
  <c r="AA39" i="2"/>
  <c r="AQ39" i="2"/>
  <c r="BG39" i="2"/>
  <c r="R40" i="2"/>
  <c r="AH40" i="2"/>
  <c r="AX40" i="2"/>
  <c r="I41" i="2"/>
  <c r="Y41" i="2"/>
  <c r="AO41" i="2"/>
  <c r="BE41" i="2"/>
  <c r="L42" i="2"/>
  <c r="AB42" i="2"/>
  <c r="AR42" i="2"/>
  <c r="BH42" i="2"/>
  <c r="O43" i="2"/>
  <c r="AE43" i="2"/>
  <c r="AU43" i="2"/>
  <c r="BK43" i="2"/>
  <c r="S44" i="3"/>
  <c r="S44" i="2" s="1"/>
  <c r="S45" i="2"/>
  <c r="AI44" i="3"/>
  <c r="AI44" i="2" s="1"/>
  <c r="AI45" i="2"/>
  <c r="AY44" i="3"/>
  <c r="AY44" i="2" s="1"/>
  <c r="AY45" i="2"/>
  <c r="J46" i="2"/>
  <c r="Z46" i="2"/>
  <c r="AP46" i="2"/>
  <c r="BF46" i="2"/>
  <c r="Q47" i="2"/>
  <c r="AG47" i="2"/>
  <c r="AW47" i="2"/>
  <c r="BM47" i="2"/>
  <c r="T48" i="2"/>
  <c r="AJ48" i="2"/>
  <c r="AZ48" i="2"/>
  <c r="G49" i="2"/>
  <c r="W49" i="2"/>
  <c r="AM49" i="2"/>
  <c r="BC49" i="2"/>
  <c r="N50" i="2"/>
  <c r="AD50" i="2"/>
  <c r="AT50" i="2"/>
  <c r="BJ50" i="2"/>
  <c r="U51" i="2"/>
  <c r="AK51" i="2"/>
  <c r="BA51" i="2"/>
  <c r="H52" i="2"/>
  <c r="X52" i="2"/>
  <c r="AN52" i="2"/>
  <c r="BD52" i="2"/>
  <c r="K53" i="2"/>
  <c r="AA53" i="2"/>
  <c r="AQ53" i="2"/>
  <c r="BG53" i="2"/>
  <c r="R54" i="2"/>
  <c r="AH54" i="2"/>
  <c r="AX54" i="2"/>
  <c r="I55" i="2"/>
  <c r="Y55" i="2"/>
  <c r="AO55" i="2"/>
  <c r="BE55" i="2"/>
  <c r="L56" i="2"/>
  <c r="AB56" i="2"/>
  <c r="AR56" i="2"/>
  <c r="BH56" i="2"/>
  <c r="O57" i="2"/>
  <c r="AE57" i="2"/>
  <c r="AU57" i="2"/>
  <c r="BK57" i="2"/>
  <c r="V58" i="2"/>
  <c r="AL58" i="2"/>
  <c r="BB58" i="2"/>
  <c r="M59" i="2"/>
  <c r="AC59" i="2"/>
  <c r="AS59" i="2"/>
  <c r="BI59" i="2"/>
  <c r="P60" i="2"/>
  <c r="AF60" i="2"/>
  <c r="AV60" i="2"/>
  <c r="BL60" i="2"/>
  <c r="S61" i="2"/>
  <c r="AI61" i="2"/>
  <c r="AY61" i="2"/>
  <c r="J62" i="2"/>
  <c r="Z62" i="2"/>
  <c r="AP62" i="2"/>
  <c r="BF62" i="2"/>
  <c r="Q63" i="2"/>
  <c r="AG63" i="2"/>
  <c r="AW63" i="2"/>
  <c r="BM63" i="2"/>
  <c r="T64" i="2"/>
  <c r="AJ64" i="2"/>
  <c r="AZ64" i="2"/>
  <c r="G65" i="2"/>
  <c r="W65" i="2"/>
  <c r="AM65" i="2"/>
  <c r="BC65" i="2"/>
  <c r="N66" i="2"/>
  <c r="AD66" i="2"/>
  <c r="AT66" i="2"/>
  <c r="BJ66" i="2"/>
  <c r="U67" i="2"/>
  <c r="AK67" i="2"/>
  <c r="BA67" i="2"/>
  <c r="H68" i="2"/>
  <c r="X68" i="2"/>
  <c r="AN68" i="2"/>
  <c r="BD68" i="2"/>
  <c r="K69" i="2"/>
  <c r="AA69" i="2"/>
  <c r="AQ69" i="2"/>
  <c r="BG69" i="2"/>
  <c r="R70" i="2"/>
  <c r="AH70" i="2"/>
  <c r="AX70" i="2"/>
  <c r="I71" i="2"/>
  <c r="Y71" i="2"/>
  <c r="AO71" i="2"/>
  <c r="BE71" i="2"/>
  <c r="L72" i="2"/>
  <c r="AB72" i="2"/>
  <c r="AR72" i="2"/>
  <c r="BH72" i="2"/>
  <c r="O73" i="2"/>
  <c r="AE73" i="2"/>
  <c r="AU73" i="2"/>
  <c r="BK73" i="2"/>
  <c r="V74" i="2"/>
  <c r="AL74" i="2"/>
  <c r="BB74" i="2"/>
  <c r="M75" i="2"/>
  <c r="AC75" i="2"/>
  <c r="AS75" i="2"/>
  <c r="BI75" i="2"/>
  <c r="P76" i="2"/>
  <c r="AF76" i="2"/>
  <c r="AV76" i="2"/>
  <c r="BL76" i="2"/>
  <c r="S77" i="2"/>
  <c r="AI77" i="2"/>
  <c r="AY77" i="2"/>
  <c r="J78" i="2"/>
  <c r="Z78" i="2"/>
  <c r="AP78" i="2"/>
  <c r="BF78" i="2"/>
  <c r="Q79" i="2"/>
  <c r="AG79" i="2"/>
  <c r="AW79" i="2"/>
  <c r="BM79" i="2"/>
  <c r="T80" i="2"/>
  <c r="AJ80" i="2"/>
  <c r="AZ80" i="2"/>
  <c r="G81" i="2"/>
  <c r="W81" i="2"/>
  <c r="AM81" i="2"/>
  <c r="BC81" i="2"/>
  <c r="N82" i="2"/>
  <c r="AD82" i="2"/>
  <c r="AT82" i="2"/>
  <c r="BJ82" i="2"/>
  <c r="U83" i="2"/>
  <c r="AK83" i="2"/>
  <c r="BA83" i="2"/>
  <c r="H84" i="2"/>
  <c r="X84" i="2"/>
  <c r="AN84" i="2"/>
  <c r="BD84" i="2"/>
  <c r="L85" i="3"/>
  <c r="L85" i="2" s="1"/>
  <c r="L86" i="2"/>
  <c r="AB85" i="3"/>
  <c r="AB85" i="2" s="1"/>
  <c r="AB86" i="2"/>
  <c r="AR85" i="3"/>
  <c r="AR85" i="2" s="1"/>
  <c r="AR86" i="2"/>
  <c r="BH85" i="3"/>
  <c r="BH85" i="2" s="1"/>
  <c r="BH86" i="2"/>
  <c r="O87" i="2"/>
  <c r="AE87" i="2"/>
  <c r="AU87" i="2"/>
  <c r="BK87" i="2"/>
  <c r="V88" i="2"/>
  <c r="AL88" i="2"/>
  <c r="BB88" i="2"/>
  <c r="M89" i="2"/>
  <c r="AC89" i="2"/>
  <c r="AS89" i="2"/>
  <c r="BI89" i="2"/>
  <c r="P90" i="2"/>
  <c r="AF90" i="2"/>
  <c r="AV90" i="2"/>
  <c r="BL90" i="2"/>
  <c r="S91" i="2"/>
  <c r="AI91" i="2"/>
  <c r="AY91" i="2"/>
  <c r="J92" i="2"/>
  <c r="Z92" i="2"/>
  <c r="AP92" i="2"/>
  <c r="BF92" i="2"/>
  <c r="Q93" i="2"/>
  <c r="AG93" i="2"/>
  <c r="AW93" i="2"/>
  <c r="BM93" i="2"/>
  <c r="T94" i="2"/>
  <c r="AJ94" i="2"/>
  <c r="AZ94" i="2"/>
  <c r="G95" i="2"/>
  <c r="W95" i="2"/>
  <c r="AM95" i="2"/>
  <c r="BC95" i="2"/>
  <c r="N96" i="2"/>
  <c r="AD96" i="2"/>
  <c r="AT96" i="2"/>
  <c r="BJ96" i="2"/>
  <c r="U97" i="2"/>
  <c r="AK97" i="2"/>
  <c r="BA97" i="2"/>
  <c r="H98" i="2"/>
  <c r="X98" i="2"/>
  <c r="AN98" i="2"/>
  <c r="BD98" i="2"/>
  <c r="K99" i="2"/>
  <c r="AA99" i="2"/>
  <c r="AQ99" i="2"/>
  <c r="BG99" i="2"/>
  <c r="R100" i="2"/>
  <c r="AH100" i="2"/>
  <c r="AX100" i="2"/>
  <c r="I101" i="2"/>
  <c r="Y101" i="2"/>
  <c r="AO101" i="2"/>
  <c r="BE101" i="2"/>
  <c r="L102" i="2"/>
  <c r="AB102" i="2"/>
  <c r="AR102" i="2"/>
  <c r="BH102" i="2"/>
  <c r="O103" i="2"/>
  <c r="AE103" i="2"/>
  <c r="AU103" i="2"/>
  <c r="BK103" i="2"/>
  <c r="V104" i="2"/>
  <c r="AL104" i="2"/>
  <c r="BB104" i="2"/>
  <c r="M105" i="2"/>
  <c r="AC105" i="2"/>
  <c r="AS105" i="2"/>
  <c r="BI105" i="2"/>
  <c r="P106" i="2"/>
  <c r="AF106" i="2"/>
  <c r="AV106" i="2"/>
  <c r="BL106" i="2"/>
  <c r="S107" i="2"/>
  <c r="AI107" i="2"/>
  <c r="AY107" i="2"/>
  <c r="J108" i="2"/>
  <c r="Z108" i="2"/>
  <c r="AP108" i="2"/>
  <c r="BF108" i="2"/>
  <c r="Q109" i="2"/>
  <c r="AG109" i="2"/>
  <c r="AW109" i="2"/>
  <c r="BM109" i="2"/>
  <c r="T110" i="2"/>
  <c r="AJ110" i="2"/>
  <c r="AZ110" i="2"/>
  <c r="G111" i="2"/>
  <c r="W111" i="2"/>
  <c r="AM111" i="2"/>
  <c r="BC111" i="2"/>
  <c r="N112" i="2"/>
  <c r="AD112" i="2"/>
  <c r="AT112" i="2"/>
  <c r="BJ112" i="2"/>
  <c r="U113" i="2"/>
  <c r="AK113" i="2"/>
  <c r="BA113" i="2"/>
  <c r="I114" i="2"/>
  <c r="AE114" i="2"/>
  <c r="BK114" i="2"/>
  <c r="V115" i="2"/>
  <c r="AL115" i="2"/>
  <c r="BB115" i="2"/>
  <c r="M116" i="2"/>
  <c r="AC116" i="2"/>
  <c r="AS116" i="2"/>
  <c r="BI116" i="2"/>
  <c r="P117" i="2"/>
  <c r="AF117" i="2"/>
  <c r="AV117" i="2"/>
  <c r="BL117" i="2"/>
  <c r="S118" i="2"/>
  <c r="AI118" i="2"/>
  <c r="AY118" i="2"/>
  <c r="J119" i="2"/>
  <c r="Z119" i="2"/>
  <c r="AP119" i="2"/>
  <c r="BF119" i="2"/>
  <c r="Q120" i="2"/>
  <c r="AG120" i="2"/>
  <c r="AW120" i="2"/>
  <c r="BM120" i="2"/>
  <c r="T121" i="2"/>
  <c r="AJ121" i="2"/>
  <c r="AZ121" i="2"/>
  <c r="G122" i="2"/>
  <c r="W122" i="2"/>
  <c r="AM122" i="2"/>
  <c r="BC122" i="2"/>
  <c r="N123" i="2"/>
  <c r="AD123" i="2"/>
  <c r="AT123" i="2"/>
  <c r="BJ123" i="2"/>
  <c r="U124" i="2"/>
  <c r="AK124" i="2"/>
  <c r="BA124" i="2"/>
  <c r="H125" i="2"/>
  <c r="X125" i="2"/>
  <c r="AN125" i="2"/>
  <c r="BD125" i="2"/>
  <c r="L126" i="3"/>
  <c r="L126" i="2" s="1"/>
  <c r="L127" i="2"/>
  <c r="AB126" i="3"/>
  <c r="AB126" i="2" s="1"/>
  <c r="AB127" i="2"/>
  <c r="AR126" i="3"/>
  <c r="AR126" i="2" s="1"/>
  <c r="AR127" i="2"/>
  <c r="BH126" i="3"/>
  <c r="BH126" i="2" s="1"/>
  <c r="BH127" i="2"/>
  <c r="O128" i="2"/>
  <c r="AE128" i="2"/>
  <c r="AU128" i="2"/>
  <c r="BK128" i="2"/>
  <c r="V129" i="2"/>
  <c r="AL129" i="2"/>
  <c r="BB129" i="2"/>
  <c r="M130" i="2"/>
  <c r="AC130" i="2"/>
  <c r="AS130" i="2"/>
  <c r="BI130" i="2"/>
  <c r="P131" i="2"/>
  <c r="AF131" i="2"/>
  <c r="AV131" i="2"/>
  <c r="BL131" i="2"/>
  <c r="S132" i="2"/>
  <c r="AI132" i="2"/>
  <c r="AY132" i="2"/>
  <c r="J133" i="2"/>
  <c r="Z133" i="2"/>
  <c r="AP133" i="2"/>
  <c r="BF133" i="2"/>
  <c r="Q134" i="2"/>
  <c r="AG134" i="2"/>
  <c r="AW134" i="2"/>
  <c r="BM134" i="2"/>
  <c r="T135" i="2"/>
  <c r="AJ135" i="2"/>
  <c r="AZ135" i="2"/>
  <c r="G136" i="2"/>
  <c r="W136" i="2"/>
  <c r="AM136" i="2"/>
  <c r="BC136" i="2"/>
  <c r="N137" i="2"/>
  <c r="AD137" i="2"/>
  <c r="AT137" i="2"/>
  <c r="BJ137" i="2"/>
  <c r="U138" i="2"/>
  <c r="AK138" i="2"/>
  <c r="BA138" i="2"/>
  <c r="H139" i="2"/>
  <c r="X139" i="2"/>
  <c r="AN139" i="2"/>
  <c r="BD139" i="2"/>
  <c r="K140" i="2"/>
  <c r="AA140" i="2"/>
  <c r="AQ140" i="2"/>
  <c r="BG140" i="2"/>
  <c r="R141" i="2"/>
  <c r="AH141" i="2"/>
  <c r="AX141" i="2"/>
  <c r="I142" i="2"/>
  <c r="Y142" i="2"/>
  <c r="AO142" i="2"/>
  <c r="BE142" i="2"/>
  <c r="L143" i="2"/>
  <c r="AB143" i="2"/>
  <c r="AR143" i="2"/>
  <c r="BH143" i="2"/>
  <c r="O144" i="2"/>
  <c r="AE144" i="2"/>
  <c r="AU144" i="2"/>
  <c r="BK144" i="2"/>
  <c r="V145" i="2"/>
  <c r="AL145" i="2"/>
  <c r="BB145" i="2"/>
  <c r="M146" i="2"/>
  <c r="AC146" i="2"/>
  <c r="AS146" i="2"/>
  <c r="BI146" i="2"/>
  <c r="P147" i="2"/>
  <c r="AF147" i="2"/>
  <c r="AV147" i="2"/>
  <c r="BL147" i="2"/>
  <c r="S148" i="2"/>
  <c r="AI148" i="2"/>
  <c r="AY148" i="2"/>
  <c r="J149" i="2"/>
  <c r="Z149" i="2"/>
  <c r="AP149" i="2"/>
  <c r="BF149" i="2"/>
  <c r="Q150" i="2"/>
  <c r="AG150" i="2"/>
  <c r="AW150" i="2"/>
  <c r="BM150" i="2"/>
  <c r="T151" i="2"/>
  <c r="AJ151" i="2"/>
  <c r="AZ151" i="2"/>
  <c r="G152" i="2"/>
  <c r="W152" i="2"/>
  <c r="AM152" i="2"/>
  <c r="BC152" i="2"/>
  <c r="N153" i="2"/>
  <c r="AD153" i="2"/>
  <c r="AT153" i="2"/>
  <c r="BJ153" i="2"/>
  <c r="U154" i="2"/>
  <c r="AK154" i="2"/>
  <c r="BA154" i="2"/>
  <c r="H155" i="2"/>
  <c r="X155" i="2"/>
  <c r="AN155" i="2"/>
  <c r="BD155" i="2"/>
  <c r="K156" i="2"/>
  <c r="AA156" i="2"/>
  <c r="AQ156" i="2"/>
  <c r="BG156" i="2"/>
  <c r="R157" i="2"/>
  <c r="AH157" i="2"/>
  <c r="AX157" i="2"/>
  <c r="I158" i="2"/>
  <c r="Y158" i="2"/>
  <c r="AO158" i="2"/>
  <c r="BE158" i="2"/>
  <c r="L159" i="2"/>
  <c r="AB159" i="2"/>
  <c r="AR159" i="2"/>
  <c r="BH159" i="2"/>
  <c r="O160" i="2"/>
  <c r="AE160" i="2"/>
  <c r="AU160" i="2"/>
  <c r="BK160" i="2"/>
  <c r="V161" i="2"/>
  <c r="AL161" i="2"/>
  <c r="BB161" i="2"/>
  <c r="M162" i="2"/>
  <c r="AC162" i="2"/>
  <c r="AS162" i="2"/>
  <c r="BI162" i="2"/>
  <c r="P163" i="2"/>
  <c r="AF163" i="2"/>
  <c r="AV163" i="2"/>
  <c r="BL163" i="2"/>
  <c r="S164" i="2"/>
  <c r="AI164" i="2"/>
  <c r="AY164" i="2"/>
  <c r="J165" i="2"/>
  <c r="Z165" i="2"/>
  <c r="AP165" i="2"/>
  <c r="BF165" i="2"/>
  <c r="Q166" i="2"/>
  <c r="AG166" i="2"/>
  <c r="AW166" i="2"/>
  <c r="BM166" i="2"/>
  <c r="U167" i="3"/>
  <c r="U167" i="2" s="1"/>
  <c r="U168" i="2"/>
  <c r="AK167" i="3"/>
  <c r="AK167" i="2" s="1"/>
  <c r="AK168" i="2"/>
  <c r="BA167" i="3"/>
  <c r="BA167" i="2" s="1"/>
  <c r="BA168" i="2"/>
  <c r="H169" i="2"/>
  <c r="X169" i="2"/>
  <c r="AN169" i="2"/>
  <c r="BD169" i="2"/>
  <c r="K170" i="2"/>
  <c r="AA170" i="2"/>
  <c r="AQ170" i="2"/>
  <c r="BG170" i="2"/>
  <c r="R171" i="2"/>
  <c r="AH171" i="2"/>
  <c r="AX171" i="2"/>
  <c r="I172" i="2"/>
  <c r="Y172" i="2"/>
  <c r="AO172" i="2"/>
  <c r="BE172" i="2"/>
  <c r="L173" i="2"/>
  <c r="AB173" i="2"/>
  <c r="AR173" i="2"/>
  <c r="BH173" i="2"/>
  <c r="O174" i="2"/>
  <c r="AE174" i="2"/>
  <c r="AU174" i="2"/>
  <c r="BK174" i="2"/>
  <c r="V175" i="2"/>
  <c r="AL175" i="2"/>
  <c r="BB175" i="2"/>
  <c r="M176" i="2"/>
  <c r="AC176" i="2"/>
  <c r="AS176" i="2"/>
  <c r="BI176" i="2"/>
  <c r="P177" i="2"/>
  <c r="AF177" i="2"/>
  <c r="AV177" i="2"/>
  <c r="BL177" i="2"/>
  <c r="S178" i="2"/>
  <c r="AI178" i="2"/>
  <c r="AY178" i="2"/>
  <c r="J179" i="2"/>
  <c r="Z179" i="2"/>
  <c r="AP179" i="2"/>
  <c r="BF179" i="2"/>
  <c r="Q180" i="2"/>
  <c r="AG180" i="2"/>
  <c r="AW180" i="2"/>
  <c r="BM180" i="2"/>
  <c r="T181" i="2"/>
  <c r="AJ181" i="2"/>
  <c r="AZ181" i="2"/>
  <c r="G182" i="2"/>
  <c r="W182" i="2"/>
  <c r="AM182" i="2"/>
  <c r="BC182" i="2"/>
  <c r="N183" i="2"/>
  <c r="AD183" i="2"/>
  <c r="AT183" i="2"/>
  <c r="BJ183" i="2"/>
  <c r="U184" i="2"/>
  <c r="AK184" i="2"/>
  <c r="BA184" i="2"/>
  <c r="H185" i="2"/>
  <c r="X185" i="2"/>
  <c r="AN185" i="2"/>
  <c r="BD185" i="2"/>
  <c r="K186" i="2"/>
  <c r="AA186" i="2"/>
  <c r="AQ186" i="2"/>
  <c r="BG186" i="2"/>
  <c r="R187" i="2"/>
  <c r="AH187" i="2"/>
  <c r="AX187" i="2"/>
  <c r="I188" i="2"/>
  <c r="Y188" i="2"/>
  <c r="AO188" i="2"/>
  <c r="BE188" i="2"/>
  <c r="L189" i="2"/>
  <c r="AB189" i="2"/>
  <c r="AR189" i="2"/>
  <c r="BH189" i="2"/>
  <c r="O190" i="2"/>
  <c r="AE190" i="2"/>
  <c r="AU190" i="2"/>
  <c r="BK190" i="2"/>
  <c r="V191" i="2"/>
  <c r="AL191" i="2"/>
  <c r="BB191" i="2"/>
  <c r="M192" i="2"/>
  <c r="AC192" i="2"/>
  <c r="AS192" i="2"/>
  <c r="BI192" i="2"/>
  <c r="P193" i="2"/>
  <c r="AF193" i="2"/>
  <c r="AV193" i="2"/>
  <c r="BL193" i="2"/>
  <c r="S194" i="2"/>
  <c r="AI194" i="2"/>
  <c r="AY194" i="2"/>
  <c r="J195" i="2"/>
  <c r="Z195" i="2"/>
  <c r="AP195" i="2"/>
  <c r="BF195" i="2"/>
  <c r="Q196" i="2"/>
  <c r="AG196" i="2"/>
  <c r="AW196" i="2"/>
  <c r="BM196" i="2"/>
  <c r="T197" i="2"/>
  <c r="AJ197" i="2"/>
  <c r="AZ197" i="2"/>
  <c r="G198" i="2"/>
  <c r="W198" i="2"/>
  <c r="AM198" i="2"/>
  <c r="BC198" i="2"/>
  <c r="N199" i="2"/>
  <c r="AD199" i="2"/>
  <c r="AT199" i="2"/>
  <c r="BJ199" i="2"/>
  <c r="W200" i="2"/>
  <c r="AR200" i="2"/>
  <c r="BM200" i="2"/>
  <c r="X201" i="2"/>
  <c r="AT201" i="2"/>
  <c r="K202" i="2"/>
  <c r="AG202" i="2"/>
  <c r="BB202" i="2"/>
  <c r="N203" i="2"/>
  <c r="AJ203" i="2"/>
  <c r="BE203" i="2"/>
  <c r="Q204" i="2"/>
  <c r="AM204" i="2"/>
  <c r="BH204" i="2"/>
  <c r="S205" i="2"/>
  <c r="AN205" i="2"/>
  <c r="BJ205" i="2"/>
  <c r="AA206" i="2"/>
  <c r="AW206" i="2"/>
  <c r="G115" i="2"/>
  <c r="W115" i="2"/>
  <c r="AM115" i="2"/>
  <c r="BC115" i="2"/>
  <c r="N116" i="2"/>
  <c r="AD116" i="2"/>
  <c r="AT116" i="2"/>
  <c r="BJ116" i="2"/>
  <c r="U117" i="2"/>
  <c r="AK117" i="2"/>
  <c r="BA117" i="2"/>
  <c r="H118" i="2"/>
  <c r="X118" i="2"/>
  <c r="AN118" i="2"/>
  <c r="BD118" i="2"/>
  <c r="K119" i="2"/>
  <c r="AA119" i="2"/>
  <c r="AQ119" i="2"/>
  <c r="BG119" i="2"/>
  <c r="R120" i="2"/>
  <c r="AH120" i="2"/>
  <c r="AX120" i="2"/>
  <c r="I121" i="2"/>
  <c r="Y121" i="2"/>
  <c r="AO121" i="2"/>
  <c r="BE121" i="2"/>
  <c r="L122" i="2"/>
  <c r="AB122" i="2"/>
  <c r="AR122" i="2"/>
  <c r="BH122" i="2"/>
  <c r="O123" i="2"/>
  <c r="AE123" i="2"/>
  <c r="AU123" i="2"/>
  <c r="BK123" i="2"/>
  <c r="V124" i="2"/>
  <c r="AL124" i="2"/>
  <c r="BB124" i="2"/>
  <c r="M125" i="2"/>
  <c r="AC125" i="2"/>
  <c r="AS125" i="2"/>
  <c r="BI125" i="2"/>
  <c r="Q126" i="3"/>
  <c r="Q126" i="2" s="1"/>
  <c r="Q127" i="2"/>
  <c r="AG126" i="3"/>
  <c r="AG126" i="2" s="1"/>
  <c r="AG127" i="2"/>
  <c r="AW126" i="3"/>
  <c r="AW126" i="2" s="1"/>
  <c r="AW127" i="2"/>
  <c r="BM126" i="3"/>
  <c r="BM126" i="2" s="1"/>
  <c r="BM127" i="2"/>
  <c r="T128" i="2"/>
  <c r="AJ128" i="2"/>
  <c r="AZ128" i="2"/>
  <c r="G129" i="2"/>
  <c r="W129" i="2"/>
  <c r="AM129" i="2"/>
  <c r="BC129" i="2"/>
  <c r="N130" i="2"/>
  <c r="AD130" i="2"/>
  <c r="AT130" i="2"/>
  <c r="BJ130" i="2"/>
  <c r="U131" i="2"/>
  <c r="AK131" i="2"/>
  <c r="BA131" i="2"/>
  <c r="H132" i="2"/>
  <c r="X132" i="2"/>
  <c r="AN132" i="2"/>
  <c r="BD132" i="2"/>
  <c r="K133" i="2"/>
  <c r="AA133" i="2"/>
  <c r="AQ133" i="2"/>
  <c r="BG133" i="2"/>
  <c r="R134" i="2"/>
  <c r="AH134" i="2"/>
  <c r="AX134" i="2"/>
  <c r="I135" i="2"/>
  <c r="Y135" i="2"/>
  <c r="AO135" i="2"/>
  <c r="BE135" i="2"/>
  <c r="L136" i="2"/>
  <c r="AB136" i="2"/>
  <c r="AR136" i="2"/>
  <c r="BH136" i="2"/>
  <c r="O137" i="2"/>
  <c r="AE137" i="2"/>
  <c r="AU137" i="2"/>
  <c r="BK137" i="2"/>
  <c r="V138" i="2"/>
  <c r="AL138" i="2"/>
  <c r="BB138" i="2"/>
  <c r="M139" i="2"/>
  <c r="AC139" i="2"/>
  <c r="AS139" i="2"/>
  <c r="BI139" i="2"/>
  <c r="P140" i="2"/>
  <c r="AF140" i="2"/>
  <c r="AV140" i="2"/>
  <c r="BL140" i="2"/>
  <c r="S141" i="2"/>
  <c r="AI141" i="2"/>
  <c r="AY141" i="2"/>
  <c r="J142" i="2"/>
  <c r="Z142" i="2"/>
  <c r="AP142" i="2"/>
  <c r="BF142" i="2"/>
  <c r="Q143" i="2"/>
  <c r="AG143" i="2"/>
  <c r="AW143" i="2"/>
  <c r="BM143" i="2"/>
  <c r="T144" i="2"/>
  <c r="AJ144" i="2"/>
  <c r="AZ144" i="2"/>
  <c r="G145" i="2"/>
  <c r="W145" i="2"/>
  <c r="AM145" i="2"/>
  <c r="BC145" i="2"/>
  <c r="N146" i="2"/>
  <c r="AD146" i="2"/>
  <c r="AT146" i="2"/>
  <c r="BJ146" i="2"/>
  <c r="U147" i="2"/>
  <c r="AK147" i="2"/>
  <c r="BA147" i="2"/>
  <c r="H148" i="2"/>
  <c r="X148" i="2"/>
  <c r="AN148" i="2"/>
  <c r="BD148" i="2"/>
  <c r="K149" i="2"/>
  <c r="AA149" i="2"/>
  <c r="AQ149" i="2"/>
  <c r="BG149" i="2"/>
  <c r="R150" i="2"/>
  <c r="AH150" i="2"/>
  <c r="AX150" i="2"/>
  <c r="I151" i="2"/>
  <c r="Y151" i="2"/>
  <c r="AO151" i="2"/>
  <c r="BE151" i="2"/>
  <c r="L152" i="2"/>
  <c r="AB152" i="2"/>
  <c r="AR152" i="2"/>
  <c r="BH152" i="2"/>
  <c r="O153" i="2"/>
  <c r="AE153" i="2"/>
  <c r="AU153" i="2"/>
  <c r="BK153" i="2"/>
  <c r="V154" i="2"/>
  <c r="AL154" i="2"/>
  <c r="BB154" i="2"/>
  <c r="M155" i="2"/>
  <c r="AC155" i="2"/>
  <c r="AS155" i="2"/>
  <c r="BI155" i="2"/>
  <c r="P156" i="2"/>
  <c r="AF156" i="2"/>
  <c r="AV156" i="2"/>
  <c r="BL156" i="2"/>
  <c r="S157" i="2"/>
  <c r="AI157" i="2"/>
  <c r="AY157" i="2"/>
  <c r="J158" i="2"/>
  <c r="Z158" i="2"/>
  <c r="AP158" i="2"/>
  <c r="BF158" i="2"/>
  <c r="Q159" i="2"/>
  <c r="AG159" i="2"/>
  <c r="AW159" i="2"/>
  <c r="BM159" i="2"/>
  <c r="T160" i="2"/>
  <c r="AJ160" i="2"/>
  <c r="AZ160" i="2"/>
  <c r="G161" i="2"/>
  <c r="W161" i="2"/>
  <c r="AM161" i="2"/>
  <c r="BC161" i="2"/>
  <c r="N162" i="2"/>
  <c r="AD162" i="2"/>
  <c r="AT162" i="2"/>
  <c r="BJ162" i="2"/>
  <c r="U163" i="2"/>
  <c r="AK163" i="2"/>
  <c r="BA163" i="2"/>
  <c r="H164" i="2"/>
  <c r="X164" i="2"/>
  <c r="AN164" i="2"/>
  <c r="BD164" i="2"/>
  <c r="K165" i="2"/>
  <c r="AA165" i="2"/>
  <c r="AQ165" i="2"/>
  <c r="BG165" i="2"/>
  <c r="R166" i="2"/>
  <c r="AH166" i="2"/>
  <c r="AX166" i="2"/>
  <c r="J167" i="3"/>
  <c r="J167" i="2" s="1"/>
  <c r="J168" i="2"/>
  <c r="Z167" i="3"/>
  <c r="Z167" i="2" s="1"/>
  <c r="Z168" i="2"/>
  <c r="AP167" i="3"/>
  <c r="AP167" i="2" s="1"/>
  <c r="AP168" i="2"/>
  <c r="BF167" i="3"/>
  <c r="BF167" i="2" s="1"/>
  <c r="BF168" i="2"/>
  <c r="Q169" i="2"/>
  <c r="AG169" i="2"/>
  <c r="AW169" i="2"/>
  <c r="BM169" i="2"/>
  <c r="T170" i="2"/>
  <c r="AJ170" i="2"/>
  <c r="AZ170" i="2"/>
  <c r="G171" i="2"/>
  <c r="W171" i="2"/>
  <c r="AM171" i="2"/>
  <c r="BC171" i="2"/>
  <c r="N172" i="2"/>
  <c r="AD172" i="2"/>
  <c r="AT172" i="2"/>
  <c r="BJ172" i="2"/>
  <c r="U173" i="2"/>
  <c r="AK173" i="2"/>
  <c r="BA173" i="2"/>
  <c r="H174" i="2"/>
  <c r="X174" i="2"/>
  <c r="AN174" i="2"/>
  <c r="BD174" i="2"/>
  <c r="K175" i="2"/>
  <c r="AA175" i="2"/>
  <c r="AQ175" i="2"/>
  <c r="BG175" i="2"/>
  <c r="R176" i="2"/>
  <c r="AH176" i="2"/>
  <c r="AX176" i="2"/>
  <c r="I177" i="2"/>
  <c r="Y177" i="2"/>
  <c r="AO177" i="2"/>
  <c r="BE177" i="2"/>
  <c r="L178" i="2"/>
  <c r="AB178" i="2"/>
  <c r="AR178" i="2"/>
  <c r="BH178" i="2"/>
  <c r="O179" i="2"/>
  <c r="AE179" i="2"/>
  <c r="AU179" i="2"/>
  <c r="BK179" i="2"/>
  <c r="V180" i="2"/>
  <c r="AL180" i="2"/>
  <c r="BB180" i="2"/>
  <c r="M181" i="2"/>
  <c r="AC181" i="2"/>
  <c r="AS181" i="2"/>
  <c r="BI181" i="2"/>
  <c r="P182" i="2"/>
  <c r="AF182" i="2"/>
  <c r="AV182" i="2"/>
  <c r="BL182" i="2"/>
  <c r="S183" i="2"/>
  <c r="AI183" i="2"/>
  <c r="AY183" i="2"/>
  <c r="J184" i="2"/>
  <c r="Z184" i="2"/>
  <c r="AP184" i="2"/>
  <c r="BF184" i="2"/>
  <c r="Q185" i="2"/>
  <c r="AG185" i="2"/>
  <c r="AW185" i="2"/>
  <c r="BM185" i="2"/>
  <c r="T186" i="2"/>
  <c r="AJ186" i="2"/>
  <c r="AZ186" i="2"/>
  <c r="G187" i="2"/>
  <c r="W187" i="2"/>
  <c r="AM187" i="2"/>
  <c r="BC187" i="2"/>
  <c r="N188" i="2"/>
  <c r="AD188" i="2"/>
  <c r="AT188" i="2"/>
  <c r="BJ188" i="2"/>
  <c r="U189" i="2"/>
  <c r="AK189" i="2"/>
  <c r="BA189" i="2"/>
  <c r="H190" i="2"/>
  <c r="X190" i="2"/>
  <c r="AN190" i="2"/>
  <c r="BD190" i="2"/>
  <c r="K191" i="2"/>
  <c r="AA191" i="2"/>
  <c r="AQ191" i="2"/>
  <c r="BG191" i="2"/>
  <c r="R192" i="2"/>
  <c r="AH192" i="2"/>
  <c r="AX192" i="2"/>
  <c r="I193" i="2"/>
  <c r="Y193" i="2"/>
  <c r="AO193" i="2"/>
  <c r="BE193" i="2"/>
  <c r="L194" i="2"/>
  <c r="AB194" i="2"/>
  <c r="AR194" i="2"/>
  <c r="BH194" i="2"/>
  <c r="O195" i="2"/>
  <c r="AE195" i="2"/>
  <c r="AU195" i="2"/>
  <c r="BK195" i="2"/>
  <c r="V196" i="2"/>
  <c r="AL196" i="2"/>
  <c r="BB196" i="2"/>
  <c r="M197" i="2"/>
  <c r="AC197" i="2"/>
  <c r="AS197" i="2"/>
  <c r="BI197" i="2"/>
  <c r="P198" i="2"/>
  <c r="AF198" i="2"/>
  <c r="AV198" i="2"/>
  <c r="BL198" i="2"/>
  <c r="S199" i="2"/>
  <c r="AI199" i="2"/>
  <c r="AY199" i="2"/>
  <c r="J200" i="2"/>
  <c r="AC200" i="2"/>
  <c r="AY200" i="2"/>
  <c r="O201" i="2"/>
  <c r="AJ201" i="2"/>
  <c r="BF201" i="2"/>
  <c r="R202" i="2"/>
  <c r="AM202" i="2"/>
  <c r="BI202" i="2"/>
  <c r="Z203" i="2"/>
  <c r="AV203" i="2"/>
  <c r="H204" i="2"/>
  <c r="AC204" i="2"/>
  <c r="AY204" i="2"/>
  <c r="O205" i="2"/>
  <c r="AJ205" i="2"/>
  <c r="BF205" i="2"/>
  <c r="R206" i="2"/>
  <c r="AM206" i="2"/>
  <c r="BI206" i="2"/>
  <c r="AS114" i="2"/>
  <c r="BI114" i="2"/>
  <c r="P115" i="2"/>
  <c r="AF115" i="2"/>
  <c r="AV115" i="2"/>
  <c r="BL115" i="2"/>
  <c r="S116" i="2"/>
  <c r="AI116" i="2"/>
  <c r="AY116" i="2"/>
  <c r="J117" i="2"/>
  <c r="Z117" i="2"/>
  <c r="AP117" i="2"/>
  <c r="BF117" i="2"/>
  <c r="Q118" i="2"/>
  <c r="AG118" i="2"/>
  <c r="AW118" i="2"/>
  <c r="BM118" i="2"/>
  <c r="T119" i="2"/>
  <c r="AJ119" i="2"/>
  <c r="AZ119" i="2"/>
  <c r="G120" i="2"/>
  <c r="W120" i="2"/>
  <c r="AM120" i="2"/>
  <c r="BC120" i="2"/>
  <c r="N121" i="2"/>
  <c r="AD121" i="2"/>
  <c r="AT121" i="2"/>
  <c r="BJ121" i="2"/>
  <c r="U122" i="2"/>
  <c r="AK122" i="2"/>
  <c r="BA122" i="2"/>
  <c r="H123" i="2"/>
  <c r="X123" i="2"/>
  <c r="AN123" i="2"/>
  <c r="BD123" i="2"/>
  <c r="K124" i="2"/>
  <c r="AA124" i="2"/>
  <c r="AQ124" i="2"/>
  <c r="BG124" i="2"/>
  <c r="R125" i="2"/>
  <c r="AH125" i="2"/>
  <c r="AX125" i="2"/>
  <c r="J126" i="3"/>
  <c r="J126" i="2" s="1"/>
  <c r="J127" i="2"/>
  <c r="Z126" i="3"/>
  <c r="Z126" i="2" s="1"/>
  <c r="Z127" i="2"/>
  <c r="AP126" i="3"/>
  <c r="AP126" i="2" s="1"/>
  <c r="AP127" i="2"/>
  <c r="BF126" i="3"/>
  <c r="BF126" i="2" s="1"/>
  <c r="BF127" i="2"/>
  <c r="Q128" i="2"/>
  <c r="AG128" i="2"/>
  <c r="AW128" i="2"/>
  <c r="BM128" i="2"/>
  <c r="T129" i="2"/>
  <c r="AJ129" i="2"/>
  <c r="AZ129" i="2"/>
  <c r="G130" i="2"/>
  <c r="W130" i="2"/>
  <c r="AM130" i="2"/>
  <c r="BC130" i="2"/>
  <c r="N131" i="2"/>
  <c r="AD131" i="2"/>
  <c r="AT131" i="2"/>
  <c r="BJ131" i="2"/>
  <c r="U132" i="2"/>
  <c r="AK132" i="2"/>
  <c r="BA132" i="2"/>
  <c r="H133" i="2"/>
  <c r="X133" i="2"/>
  <c r="AN133" i="2"/>
  <c r="BD133" i="2"/>
  <c r="K134" i="2"/>
  <c r="AA134" i="2"/>
  <c r="AQ134" i="2"/>
  <c r="BG134" i="2"/>
  <c r="R135" i="2"/>
  <c r="AH135" i="2"/>
  <c r="AX135" i="2"/>
  <c r="I136" i="2"/>
  <c r="Y136" i="2"/>
  <c r="AO136" i="2"/>
  <c r="BE136" i="2"/>
  <c r="L137" i="2"/>
  <c r="AB137" i="2"/>
  <c r="AR137" i="2"/>
  <c r="BH137" i="2"/>
  <c r="O138" i="2"/>
  <c r="AE138" i="2"/>
  <c r="AU138" i="2"/>
  <c r="BK138" i="2"/>
  <c r="V139" i="2"/>
  <c r="AL139" i="2"/>
  <c r="BB139" i="2"/>
  <c r="M140" i="2"/>
  <c r="AC140" i="2"/>
  <c r="AS140" i="2"/>
  <c r="BI140" i="2"/>
  <c r="P141" i="2"/>
  <c r="AF141" i="2"/>
  <c r="AV141" i="2"/>
  <c r="BL141" i="2"/>
  <c r="S142" i="2"/>
  <c r="AI142" i="2"/>
  <c r="AY142" i="2"/>
  <c r="J143" i="2"/>
  <c r="Z143" i="2"/>
  <c r="AP143" i="2"/>
  <c r="BF143" i="2"/>
  <c r="Q144" i="2"/>
  <c r="AG144" i="2"/>
  <c r="AW144" i="2"/>
  <c r="BM144" i="2"/>
  <c r="T145" i="2"/>
  <c r="AJ145" i="2"/>
  <c r="AZ145" i="2"/>
  <c r="G146" i="2"/>
  <c r="W146" i="2"/>
  <c r="AM146" i="2"/>
  <c r="BC146" i="2"/>
  <c r="N147" i="2"/>
  <c r="AD147" i="2"/>
  <c r="AT147" i="2"/>
  <c r="BJ147" i="2"/>
  <c r="U148" i="2"/>
  <c r="AK148" i="2"/>
  <c r="BA148" i="2"/>
  <c r="H149" i="2"/>
  <c r="X149" i="2"/>
  <c r="AN149" i="2"/>
  <c r="BD149" i="2"/>
  <c r="K150" i="2"/>
  <c r="AA150" i="2"/>
  <c r="AQ150" i="2"/>
  <c r="BG150" i="2"/>
  <c r="R151" i="2"/>
  <c r="AH151" i="2"/>
  <c r="AX151" i="2"/>
  <c r="I152" i="2"/>
  <c r="Y152" i="2"/>
  <c r="AO152" i="2"/>
  <c r="BE152" i="2"/>
  <c r="L153" i="2"/>
  <c r="AB153" i="2"/>
  <c r="AR153" i="2"/>
  <c r="BH153" i="2"/>
  <c r="O154" i="2"/>
  <c r="AE154" i="2"/>
  <c r="AU154" i="2"/>
  <c r="BK154" i="2"/>
  <c r="V155" i="2"/>
  <c r="AL155" i="2"/>
  <c r="BB155" i="2"/>
  <c r="M156" i="2"/>
  <c r="AC156" i="2"/>
  <c r="AS156" i="2"/>
  <c r="BI156" i="2"/>
  <c r="P157" i="2"/>
  <c r="AF157" i="2"/>
  <c r="AV157" i="2"/>
  <c r="BL157" i="2"/>
  <c r="S158" i="2"/>
  <c r="AI158" i="2"/>
  <c r="AY158" i="2"/>
  <c r="J159" i="2"/>
  <c r="Z159" i="2"/>
  <c r="AP159" i="2"/>
  <c r="BF159" i="2"/>
  <c r="Q160" i="2"/>
  <c r="AG160" i="2"/>
  <c r="AW160" i="2"/>
  <c r="BM160" i="2"/>
  <c r="T161" i="2"/>
  <c r="AJ161" i="2"/>
  <c r="AZ161" i="2"/>
  <c r="G162" i="2"/>
  <c r="W162" i="2"/>
  <c r="AM162" i="2"/>
  <c r="BC162" i="2"/>
  <c r="N163" i="2"/>
  <c r="AD163" i="2"/>
  <c r="AT163" i="2"/>
  <c r="BJ163" i="2"/>
  <c r="U164" i="2"/>
  <c r="AK164" i="2"/>
  <c r="BA164" i="2"/>
  <c r="H165" i="2"/>
  <c r="X165" i="2"/>
  <c r="AN165" i="2"/>
  <c r="BD165" i="2"/>
  <c r="K166" i="2"/>
  <c r="AA166" i="2"/>
  <c r="AQ166" i="2"/>
  <c r="BG166" i="2"/>
  <c r="O167" i="3"/>
  <c r="O167" i="2" s="1"/>
  <c r="O168" i="2"/>
  <c r="AE167" i="3"/>
  <c r="AE167" i="2" s="1"/>
  <c r="AE168" i="2"/>
  <c r="AU167" i="3"/>
  <c r="AU167" i="2" s="1"/>
  <c r="AU168" i="2"/>
  <c r="BK167" i="3"/>
  <c r="BK167" i="2" s="1"/>
  <c r="BK168" i="2"/>
  <c r="V169" i="2"/>
  <c r="AL169" i="2"/>
  <c r="BB169" i="2"/>
  <c r="M170" i="2"/>
  <c r="AC170" i="2"/>
  <c r="AS170" i="2"/>
  <c r="BI170" i="2"/>
  <c r="P171" i="2"/>
  <c r="AF171" i="2"/>
  <c r="AV171" i="2"/>
  <c r="BL171" i="2"/>
  <c r="S172" i="2"/>
  <c r="AI172" i="2"/>
  <c r="AY172" i="2"/>
  <c r="J173" i="2"/>
  <c r="Z173" i="2"/>
  <c r="AP173" i="2"/>
  <c r="BF173" i="2"/>
  <c r="Q174" i="2"/>
  <c r="AG174" i="2"/>
  <c r="AW174" i="2"/>
  <c r="BM174" i="2"/>
  <c r="T175" i="2"/>
  <c r="AJ175" i="2"/>
  <c r="AZ175" i="2"/>
  <c r="G176" i="2"/>
  <c r="W176" i="2"/>
  <c r="AM176" i="2"/>
  <c r="BC176" i="2"/>
  <c r="N177" i="2"/>
  <c r="AD177" i="2"/>
  <c r="AT177" i="2"/>
  <c r="BJ177" i="2"/>
  <c r="U178" i="2"/>
  <c r="AK178" i="2"/>
  <c r="BA178" i="2"/>
  <c r="H179" i="2"/>
  <c r="X179" i="2"/>
  <c r="AN179" i="2"/>
  <c r="BD179" i="2"/>
  <c r="K180" i="2"/>
  <c r="AA180" i="2"/>
  <c r="AQ180" i="2"/>
  <c r="BG180" i="2"/>
  <c r="R181" i="2"/>
  <c r="AH181" i="2"/>
  <c r="AX181" i="2"/>
  <c r="I182" i="2"/>
  <c r="Y182" i="2"/>
  <c r="AO182" i="2"/>
  <c r="BE182" i="2"/>
  <c r="L183" i="2"/>
  <c r="AB183" i="2"/>
  <c r="AR183" i="2"/>
  <c r="BH183" i="2"/>
  <c r="O184" i="2"/>
  <c r="AE184" i="2"/>
  <c r="AU184" i="2"/>
  <c r="BK184" i="2"/>
  <c r="V185" i="2"/>
  <c r="AL185" i="2"/>
  <c r="BB185" i="2"/>
  <c r="M186" i="2"/>
  <c r="AC186" i="2"/>
  <c r="AS186" i="2"/>
  <c r="BI186" i="2"/>
  <c r="P187" i="2"/>
  <c r="AF187" i="2"/>
  <c r="AV187" i="2"/>
  <c r="BL187" i="2"/>
  <c r="S188" i="2"/>
  <c r="AI188" i="2"/>
  <c r="AY188" i="2"/>
  <c r="J189" i="2"/>
  <c r="Z189" i="2"/>
  <c r="AP189" i="2"/>
  <c r="BF189" i="2"/>
  <c r="Q190" i="2"/>
  <c r="AG190" i="2"/>
  <c r="AW190" i="2"/>
  <c r="BM190" i="2"/>
  <c r="T191" i="2"/>
  <c r="AJ191" i="2"/>
  <c r="AZ191" i="2"/>
  <c r="G192" i="2"/>
  <c r="W192" i="2"/>
  <c r="AM192" i="2"/>
  <c r="BC192" i="2"/>
  <c r="N193" i="2"/>
  <c r="AD193" i="2"/>
  <c r="AT193" i="2"/>
  <c r="BJ193" i="2"/>
  <c r="U194" i="2"/>
  <c r="AK194" i="2"/>
  <c r="BA194" i="2"/>
  <c r="H195" i="2"/>
  <c r="X195" i="2"/>
  <c r="AN195" i="2"/>
  <c r="BD195" i="2"/>
  <c r="K196" i="2"/>
  <c r="AA196" i="2"/>
  <c r="AQ196" i="2"/>
  <c r="BG196" i="2"/>
  <c r="R197" i="2"/>
  <c r="AH197" i="2"/>
  <c r="AX197" i="2"/>
  <c r="I198" i="2"/>
  <c r="Y198" i="2"/>
  <c r="AO198" i="2"/>
  <c r="BE198" i="2"/>
  <c r="L199" i="2"/>
  <c r="AB199" i="2"/>
  <c r="AR199" i="2"/>
  <c r="BH199" i="2"/>
  <c r="O200" i="2"/>
  <c r="AJ200" i="2"/>
  <c r="BE200" i="2"/>
  <c r="V201" i="2"/>
  <c r="AQ201" i="2"/>
  <c r="BL201" i="2"/>
  <c r="Y202" i="2"/>
  <c r="AT202" i="2"/>
  <c r="L203" i="2"/>
  <c r="AG203" i="2"/>
  <c r="BB203" i="2"/>
  <c r="O204" i="2"/>
  <c r="AJ204" i="2"/>
  <c r="BE204" i="2"/>
  <c r="V205" i="2"/>
  <c r="AQ205" i="2"/>
  <c r="BL205" i="2"/>
  <c r="Y206" i="2"/>
  <c r="AT206" i="2"/>
  <c r="J114" i="2"/>
  <c r="Z114" i="2"/>
  <c r="AP114" i="2"/>
  <c r="BF114" i="2"/>
  <c r="Q115" i="2"/>
  <c r="AG115" i="2"/>
  <c r="AW115" i="2"/>
  <c r="BM115" i="2"/>
  <c r="T116" i="2"/>
  <c r="AJ116" i="2"/>
  <c r="AZ116" i="2"/>
  <c r="G117" i="2"/>
  <c r="W117" i="2"/>
  <c r="AM117" i="2"/>
  <c r="BC117" i="2"/>
  <c r="N118" i="2"/>
  <c r="AD118" i="2"/>
  <c r="AT118" i="2"/>
  <c r="BJ118" i="2"/>
  <c r="U119" i="2"/>
  <c r="AK119" i="2"/>
  <c r="BA119" i="2"/>
  <c r="H120" i="2"/>
  <c r="X120" i="2"/>
  <c r="AN120" i="2"/>
  <c r="BD120" i="2"/>
  <c r="K121" i="2"/>
  <c r="AA121" i="2"/>
  <c r="AQ121" i="2"/>
  <c r="BG121" i="2"/>
  <c r="R122" i="2"/>
  <c r="AH122" i="2"/>
  <c r="AX122" i="2"/>
  <c r="I123" i="2"/>
  <c r="Y123" i="2"/>
  <c r="AO123" i="2"/>
  <c r="BE123" i="2"/>
  <c r="L124" i="2"/>
  <c r="AB124" i="2"/>
  <c r="AR124" i="2"/>
  <c r="BH124" i="2"/>
  <c r="O125" i="2"/>
  <c r="AE125" i="2"/>
  <c r="AU125" i="2"/>
  <c r="BK125" i="2"/>
  <c r="S126" i="3"/>
  <c r="S126" i="2" s="1"/>
  <c r="S127" i="2"/>
  <c r="AI126" i="3"/>
  <c r="AI126" i="2" s="1"/>
  <c r="AI127" i="2"/>
  <c r="AY126" i="3"/>
  <c r="AY126" i="2" s="1"/>
  <c r="AY127" i="2"/>
  <c r="J128" i="2"/>
  <c r="Z128" i="2"/>
  <c r="AP128" i="2"/>
  <c r="BF128" i="2"/>
  <c r="Q129" i="2"/>
  <c r="AG129" i="2"/>
  <c r="AW129" i="2"/>
  <c r="BM129" i="2"/>
  <c r="T130" i="2"/>
  <c r="AJ130" i="2"/>
  <c r="AZ130" i="2"/>
  <c r="G131" i="2"/>
  <c r="W131" i="2"/>
  <c r="AM131" i="2"/>
  <c r="BC131" i="2"/>
  <c r="N132" i="2"/>
  <c r="AD132" i="2"/>
  <c r="AT132" i="2"/>
  <c r="BJ132" i="2"/>
  <c r="U133" i="2"/>
  <c r="AK133" i="2"/>
  <c r="BA133" i="2"/>
  <c r="H134" i="2"/>
  <c r="X134" i="2"/>
  <c r="AN134" i="2"/>
  <c r="BD134" i="2"/>
  <c r="K135" i="2"/>
  <c r="AA135" i="2"/>
  <c r="AQ135" i="2"/>
  <c r="BG135" i="2"/>
  <c r="R136" i="2"/>
  <c r="AH136" i="2"/>
  <c r="AX136" i="2"/>
  <c r="I137" i="2"/>
  <c r="Y137" i="2"/>
  <c r="AO137" i="2"/>
  <c r="BE137" i="2"/>
  <c r="L138" i="2"/>
  <c r="AB138" i="2"/>
  <c r="AR138" i="2"/>
  <c r="BH138" i="2"/>
  <c r="O139" i="2"/>
  <c r="AE139" i="2"/>
  <c r="AU139" i="2"/>
  <c r="BK139" i="2"/>
  <c r="V140" i="2"/>
  <c r="AL140" i="2"/>
  <c r="BB140" i="2"/>
  <c r="M141" i="2"/>
  <c r="AC141" i="2"/>
  <c r="AS141" i="2"/>
  <c r="BI141" i="2"/>
  <c r="P142" i="2"/>
  <c r="AF142" i="2"/>
  <c r="AV142" i="2"/>
  <c r="BL142" i="2"/>
  <c r="S143" i="2"/>
  <c r="AI143" i="2"/>
  <c r="AY143" i="2"/>
  <c r="J144" i="2"/>
  <c r="Z144" i="2"/>
  <c r="AP144" i="2"/>
  <c r="BF144" i="2"/>
  <c r="Q145" i="2"/>
  <c r="AG145" i="2"/>
  <c r="AW145" i="2"/>
  <c r="BM145" i="2"/>
  <c r="T146" i="2"/>
  <c r="AJ146" i="2"/>
  <c r="AZ146" i="2"/>
  <c r="G147" i="2"/>
  <c r="W147" i="2"/>
  <c r="AM147" i="2"/>
  <c r="BC147" i="2"/>
  <c r="N148" i="2"/>
  <c r="AD148" i="2"/>
  <c r="AT148" i="2"/>
  <c r="BJ148" i="2"/>
  <c r="U149" i="2"/>
  <c r="AK149" i="2"/>
  <c r="BA149" i="2"/>
  <c r="H150" i="2"/>
  <c r="X150" i="2"/>
  <c r="AN150" i="2"/>
  <c r="BD150" i="2"/>
  <c r="K151" i="2"/>
  <c r="AA151" i="2"/>
  <c r="AQ151" i="2"/>
  <c r="BG151" i="2"/>
  <c r="R152" i="2"/>
  <c r="AH152" i="2"/>
  <c r="AX152" i="2"/>
  <c r="I153" i="2"/>
  <c r="Y153" i="2"/>
  <c r="AO153" i="2"/>
  <c r="BE153" i="2"/>
  <c r="L154" i="2"/>
  <c r="AB154" i="2"/>
  <c r="AR154" i="2"/>
  <c r="BH154" i="2"/>
  <c r="O155" i="2"/>
  <c r="AE155" i="2"/>
  <c r="AU155" i="2"/>
  <c r="BK155" i="2"/>
  <c r="V156" i="2"/>
  <c r="AL156" i="2"/>
  <c r="BB156" i="2"/>
  <c r="M157" i="2"/>
  <c r="AC157" i="2"/>
  <c r="AS157" i="2"/>
  <c r="BI157" i="2"/>
  <c r="P158" i="2"/>
  <c r="AF158" i="2"/>
  <c r="AV158" i="2"/>
  <c r="BL158" i="2"/>
  <c r="S159" i="2"/>
  <c r="AI159" i="2"/>
  <c r="AY159" i="2"/>
  <c r="J160" i="2"/>
  <c r="Z160" i="2"/>
  <c r="AP160" i="2"/>
  <c r="BF160" i="2"/>
  <c r="Q161" i="2"/>
  <c r="AG161" i="2"/>
  <c r="AW161" i="2"/>
  <c r="BM161" i="2"/>
  <c r="T162" i="2"/>
  <c r="AJ162" i="2"/>
  <c r="AZ162" i="2"/>
  <c r="G163" i="2"/>
  <c r="W163" i="2"/>
  <c r="AM163" i="2"/>
  <c r="BC163" i="2"/>
  <c r="N164" i="2"/>
  <c r="AD164" i="2"/>
  <c r="AT164" i="2"/>
  <c r="BJ164" i="2"/>
  <c r="U165" i="2"/>
  <c r="AK165" i="2"/>
  <c r="BA165" i="2"/>
  <c r="H166" i="2"/>
  <c r="X166" i="2"/>
  <c r="AN166" i="2"/>
  <c r="BD166" i="2"/>
  <c r="L167" i="3"/>
  <c r="L167" i="2" s="1"/>
  <c r="L168" i="2"/>
  <c r="AB167" i="3"/>
  <c r="AB167" i="2" s="1"/>
  <c r="AB168" i="2"/>
  <c r="AR167" i="3"/>
  <c r="AR167" i="2" s="1"/>
  <c r="AR168" i="2"/>
  <c r="BH167" i="3"/>
  <c r="BH167" i="2" s="1"/>
  <c r="BH168" i="2"/>
  <c r="O169" i="2"/>
  <c r="AE169" i="2"/>
  <c r="AU169" i="2"/>
  <c r="BK169" i="2"/>
  <c r="V170" i="2"/>
  <c r="AL170" i="2"/>
  <c r="BB170" i="2"/>
  <c r="M171" i="2"/>
  <c r="AC171" i="2"/>
  <c r="AS171" i="2"/>
  <c r="BI171" i="2"/>
  <c r="P172" i="2"/>
  <c r="AF172" i="2"/>
  <c r="AV172" i="2"/>
  <c r="BL172" i="2"/>
  <c r="S173" i="2"/>
  <c r="AI173" i="2"/>
  <c r="AY173" i="2"/>
  <c r="J174" i="2"/>
  <c r="Z174" i="2"/>
  <c r="AP174" i="2"/>
  <c r="BF174" i="2"/>
  <c r="Q175" i="2"/>
  <c r="AG175" i="2"/>
  <c r="AW175" i="2"/>
  <c r="BM175" i="2"/>
  <c r="T176" i="2"/>
  <c r="AJ176" i="2"/>
  <c r="AZ176" i="2"/>
  <c r="G177" i="2"/>
  <c r="W177" i="2"/>
  <c r="AM177" i="2"/>
  <c r="BC177" i="2"/>
  <c r="N178" i="2"/>
  <c r="AD178" i="2"/>
  <c r="AT178" i="2"/>
  <c r="BJ178" i="2"/>
  <c r="U179" i="2"/>
  <c r="AK179" i="2"/>
  <c r="BA179" i="2"/>
  <c r="H180" i="2"/>
  <c r="X180" i="2"/>
  <c r="AN180" i="2"/>
  <c r="BD180" i="2"/>
  <c r="K181" i="2"/>
  <c r="AA181" i="2"/>
  <c r="AQ181" i="2"/>
  <c r="BG181" i="2"/>
  <c r="R182" i="2"/>
  <c r="AH182" i="2"/>
  <c r="AX182" i="2"/>
  <c r="I183" i="2"/>
  <c r="Y183" i="2"/>
  <c r="AO183" i="2"/>
  <c r="BE183" i="2"/>
  <c r="L184" i="2"/>
  <c r="AB184" i="2"/>
  <c r="AR184" i="2"/>
  <c r="BH184" i="2"/>
  <c r="O185" i="2"/>
  <c r="AE185" i="2"/>
  <c r="AU185" i="2"/>
  <c r="BK185" i="2"/>
  <c r="V186" i="2"/>
  <c r="AL186" i="2"/>
  <c r="BB186" i="2"/>
  <c r="M187" i="2"/>
  <c r="AC187" i="2"/>
  <c r="AS187" i="2"/>
  <c r="BI187" i="2"/>
  <c r="P188" i="2"/>
  <c r="AF188" i="2"/>
  <c r="AV188" i="2"/>
  <c r="BL188" i="2"/>
  <c r="S189" i="2"/>
  <c r="AI189" i="2"/>
  <c r="AY189" i="2"/>
  <c r="J190" i="2"/>
  <c r="Z190" i="2"/>
  <c r="AP190" i="2"/>
  <c r="BF190" i="2"/>
  <c r="Q191" i="2"/>
  <c r="AG191" i="2"/>
  <c r="AW191" i="2"/>
  <c r="BM191" i="2"/>
  <c r="T192" i="2"/>
  <c r="AJ192" i="2"/>
  <c r="AZ192" i="2"/>
  <c r="G193" i="2"/>
  <c r="W193" i="2"/>
  <c r="AM193" i="2"/>
  <c r="BC193" i="2"/>
  <c r="N194" i="2"/>
  <c r="AD194" i="2"/>
  <c r="AT194" i="2"/>
  <c r="BJ194" i="2"/>
  <c r="U195" i="2"/>
  <c r="AK195" i="2"/>
  <c r="BA195" i="2"/>
  <c r="H196" i="2"/>
  <c r="X196" i="2"/>
  <c r="AR196" i="2"/>
  <c r="BL196" i="2"/>
  <c r="W197" i="2"/>
  <c r="AU197" i="2"/>
  <c r="J198" i="2"/>
  <c r="AD198" i="2"/>
  <c r="BB198" i="2"/>
  <c r="Q199" i="2"/>
  <c r="AK199" i="2"/>
  <c r="BI199" i="2"/>
  <c r="U200" i="2"/>
  <c r="AV200" i="2"/>
  <c r="R201" i="2"/>
  <c r="AR201" i="2"/>
  <c r="O202" i="2"/>
  <c r="AU202" i="2"/>
  <c r="M203" i="2"/>
  <c r="AN203" i="2"/>
  <c r="P204" i="2"/>
  <c r="AQ204" i="2"/>
  <c r="G205" i="2"/>
  <c r="AM205" i="2"/>
  <c r="J206" i="2"/>
  <c r="AK206" i="2"/>
  <c r="H207" i="2"/>
  <c r="AB207" i="2"/>
  <c r="AV207" i="2"/>
  <c r="L208" i="3"/>
  <c r="L208" i="2" s="1"/>
  <c r="L209" i="2"/>
  <c r="AF208" i="3"/>
  <c r="AF208" i="2" s="1"/>
  <c r="AF209" i="2"/>
  <c r="AZ208" i="3"/>
  <c r="AZ208" i="2" s="1"/>
  <c r="AZ209" i="2"/>
  <c r="O210" i="2"/>
  <c r="AI210" i="2"/>
  <c r="BC210" i="2"/>
  <c r="V211" i="2"/>
  <c r="AP211" i="2"/>
  <c r="BJ211" i="2"/>
  <c r="AC212" i="2"/>
  <c r="BI212" i="2"/>
  <c r="AF213" i="2"/>
  <c r="BL213" i="2"/>
  <c r="AI214" i="2"/>
  <c r="J215" i="2"/>
  <c r="AP215" i="2"/>
  <c r="Q216" i="2"/>
  <c r="AW216" i="2"/>
  <c r="T217" i="2"/>
  <c r="AZ217" i="2"/>
  <c r="W218" i="2"/>
  <c r="BC218" i="2"/>
  <c r="AD219" i="2"/>
  <c r="BJ219" i="2"/>
  <c r="AK220" i="2"/>
  <c r="H221" i="2"/>
  <c r="AN221" i="2"/>
  <c r="K222" i="2"/>
  <c r="AQ222" i="2"/>
  <c r="R223" i="2"/>
  <c r="AX223" i="2"/>
  <c r="Y224" i="2"/>
  <c r="BE224" i="2"/>
  <c r="AB225" i="2"/>
  <c r="BH225" i="2"/>
  <c r="AE226" i="2"/>
  <c r="BK226" i="2"/>
  <c r="AL227" i="2"/>
  <c r="M228" i="2"/>
  <c r="BM228" i="2"/>
  <c r="G230" i="2"/>
  <c r="N231" i="2"/>
  <c r="U232" i="2"/>
  <c r="X233" i="2"/>
  <c r="AA234" i="2"/>
  <c r="AH235" i="2"/>
  <c r="AO236" i="2"/>
  <c r="AR237" i="2"/>
  <c r="AU238" i="2"/>
  <c r="BB239" i="2"/>
  <c r="BI240" i="2"/>
  <c r="BL241" i="2"/>
  <c r="J243" i="2"/>
  <c r="Q244" i="2"/>
  <c r="T245" i="2"/>
  <c r="W246" i="2"/>
  <c r="AD247" i="2"/>
  <c r="AK248" i="2"/>
  <c r="AO249" i="3"/>
  <c r="AO249" i="2" s="1"/>
  <c r="AO250" i="2"/>
  <c r="AR251" i="2"/>
  <c r="AU252" i="2"/>
  <c r="BB253" i="2"/>
  <c r="BI254" i="2"/>
  <c r="BL255" i="2"/>
  <c r="J257" i="2"/>
  <c r="Q258" i="2"/>
  <c r="T259" i="2"/>
  <c r="W260" i="2"/>
  <c r="AD261" i="2"/>
  <c r="AK262" i="2"/>
  <c r="AN263" i="2"/>
  <c r="AQ264" i="2"/>
  <c r="AX265" i="2"/>
  <c r="BE266" i="2"/>
  <c r="BH267" i="2"/>
  <c r="BK268" i="2"/>
  <c r="M270" i="2"/>
  <c r="P271" i="2"/>
  <c r="S272" i="2"/>
  <c r="Z273" i="2"/>
  <c r="AG274" i="2"/>
  <c r="AJ275" i="2"/>
  <c r="AM276" i="2"/>
  <c r="AT277" i="2"/>
  <c r="BA278" i="2"/>
  <c r="BD279" i="2"/>
  <c r="BG280" i="2"/>
  <c r="I282" i="2"/>
  <c r="L283" i="2"/>
  <c r="O284" i="2"/>
  <c r="V285" i="2"/>
  <c r="AC286" i="2"/>
  <c r="AF287" i="2"/>
  <c r="AI288" i="2"/>
  <c r="AP289" i="2"/>
  <c r="I207" i="2"/>
  <c r="M208" i="3"/>
  <c r="M208" i="2" s="1"/>
  <c r="M209" i="2"/>
  <c r="P210" i="2"/>
  <c r="S211" i="2"/>
  <c r="Z212" i="2"/>
  <c r="AG213" i="2"/>
  <c r="AJ214" i="2"/>
  <c r="AM215" i="2"/>
  <c r="AT216" i="2"/>
  <c r="BA217" i="2"/>
  <c r="BD218" i="2"/>
  <c r="BG219" i="2"/>
  <c r="I221" i="2"/>
  <c r="L222" i="2"/>
  <c r="O223" i="2"/>
  <c r="V224" i="2"/>
  <c r="AC225" i="2"/>
  <c r="AF226" i="2"/>
  <c r="AI227" i="2"/>
  <c r="AP228" i="2"/>
  <c r="AW229" i="2"/>
  <c r="AZ230" i="2"/>
  <c r="BC231" i="2"/>
  <c r="BJ232" i="2"/>
  <c r="H234" i="2"/>
  <c r="K235" i="2"/>
  <c r="R236" i="2"/>
  <c r="Y237" i="2"/>
  <c r="AB238" i="2"/>
  <c r="AE239" i="2"/>
  <c r="AL240" i="2"/>
  <c r="AS241" i="2"/>
  <c r="AV242" i="2"/>
  <c r="AY243" i="2"/>
  <c r="BF244" i="2"/>
  <c r="BM245" i="2"/>
  <c r="G247" i="2"/>
  <c r="N248" i="2"/>
  <c r="V249" i="3"/>
  <c r="V249" i="2" s="1"/>
  <c r="V250" i="2"/>
  <c r="AC251" i="2"/>
  <c r="AF252" i="2"/>
  <c r="AI253" i="2"/>
  <c r="AP254" i="2"/>
  <c r="AW255" i="2"/>
  <c r="AZ256" i="2"/>
  <c r="BC257" i="2"/>
  <c r="BJ258" i="2"/>
  <c r="H260" i="2"/>
  <c r="K261" i="2"/>
  <c r="R262" i="2"/>
  <c r="Y263" i="2"/>
  <c r="AB264" i="2"/>
  <c r="AE265" i="2"/>
  <c r="AL266" i="2"/>
  <c r="AS267" i="2"/>
  <c r="AV268" i="2"/>
  <c r="AY269" i="2"/>
  <c r="BF270" i="2"/>
  <c r="BM271" i="2"/>
  <c r="G273" i="2"/>
  <c r="N274" i="2"/>
  <c r="U275" i="2"/>
  <c r="X276" i="2"/>
  <c r="AA277" i="2"/>
  <c r="AH278" i="2"/>
  <c r="AO279" i="2"/>
  <c r="AR280" i="2"/>
  <c r="AU281" i="2"/>
  <c r="BB282" i="2"/>
  <c r="BI283" i="2"/>
  <c r="BL284" i="2"/>
  <c r="J286" i="2"/>
  <c r="Q287" i="2"/>
  <c r="T288" i="2"/>
  <c r="W289" i="2"/>
  <c r="BA292" i="2"/>
  <c r="BJ207" i="2"/>
  <c r="M210" i="2"/>
  <c r="P211" i="2"/>
  <c r="S212" i="2"/>
  <c r="Z213" i="2"/>
  <c r="AG214" i="2"/>
  <c r="AJ215" i="2"/>
  <c r="AM216" i="2"/>
  <c r="AT217" i="2"/>
  <c r="BA218" i="2"/>
  <c r="BD219" i="2"/>
  <c r="BG220" i="2"/>
  <c r="I222" i="2"/>
  <c r="L223" i="2"/>
  <c r="O224" i="2"/>
  <c r="V225" i="2"/>
  <c r="AC226" i="2"/>
  <c r="AF227" i="2"/>
  <c r="AI228" i="2"/>
  <c r="AP229" i="2"/>
  <c r="AW230" i="2"/>
  <c r="AZ231" i="2"/>
  <c r="BC232" i="2"/>
  <c r="BJ233" i="2"/>
  <c r="H235" i="2"/>
  <c r="K236" i="2"/>
  <c r="R237" i="2"/>
  <c r="Y238" i="2"/>
  <c r="AB239" i="2"/>
  <c r="AE240" i="2"/>
  <c r="AL241" i="2"/>
  <c r="AS242" i="2"/>
  <c r="AV243" i="2"/>
  <c r="AY244" i="2"/>
  <c r="BF245" i="2"/>
  <c r="BM246" i="2"/>
  <c r="G248" i="2"/>
  <c r="K249" i="3"/>
  <c r="K249" i="2" s="1"/>
  <c r="K250" i="2"/>
  <c r="R251" i="2"/>
  <c r="Y252" i="2"/>
  <c r="AB253" i="2"/>
  <c r="F475" i="2"/>
  <c r="F327" i="2"/>
  <c r="F24" i="2"/>
  <c r="F368" i="2"/>
  <c r="F137" i="2"/>
  <c r="F107" i="2"/>
  <c r="F481" i="2"/>
  <c r="F293" i="2"/>
  <c r="F122" i="2"/>
  <c r="F412" i="2"/>
  <c r="F430" i="2"/>
  <c r="F275" i="2"/>
  <c r="F237" i="2"/>
  <c r="F92" i="2"/>
  <c r="F74" i="2"/>
  <c r="F428" i="2"/>
  <c r="F273" i="2"/>
  <c r="F233" i="2"/>
  <c r="F90" i="2"/>
  <c r="F446" i="2"/>
  <c r="F373" i="3"/>
  <c r="F373" i="2" s="1"/>
  <c r="F374" i="2"/>
  <c r="F299" i="2"/>
  <c r="F129" i="2"/>
  <c r="F469" i="2"/>
  <c r="F335" i="2"/>
  <c r="F321" i="2"/>
  <c r="F268" i="2"/>
  <c r="F5" i="2"/>
  <c r="F393" i="2"/>
  <c r="F267" i="2"/>
  <c r="F216" i="2"/>
  <c r="F66" i="2"/>
  <c r="F420" i="2"/>
  <c r="F225" i="2"/>
  <c r="F494" i="2"/>
  <c r="F462" i="2"/>
  <c r="F367" i="2"/>
  <c r="F242" i="2"/>
  <c r="F202" i="2"/>
  <c r="F191" i="2"/>
  <c r="F59" i="2"/>
  <c r="F41" i="2"/>
  <c r="F492" i="2"/>
  <c r="F458" i="2"/>
  <c r="F365" i="2"/>
  <c r="F240" i="2"/>
  <c r="F200" i="2"/>
  <c r="F189" i="2"/>
  <c r="F57" i="2"/>
  <c r="F46" i="2"/>
  <c r="F434" i="2"/>
  <c r="F407" i="2"/>
  <c r="F279" i="2"/>
  <c r="F254" i="2"/>
  <c r="F228" i="2"/>
  <c r="F96" i="2"/>
  <c r="F78" i="2"/>
  <c r="F472" i="2"/>
  <c r="F362" i="2"/>
  <c r="F302" i="2"/>
  <c r="F288" i="2"/>
  <c r="F266" i="2"/>
  <c r="F118" i="2"/>
  <c r="F101" i="2"/>
  <c r="F486" i="2"/>
  <c r="F445" i="2"/>
  <c r="F359" i="2"/>
  <c r="F353" i="2"/>
  <c r="F194" i="2"/>
  <c r="F183" i="2"/>
  <c r="F51" i="2"/>
  <c r="F33" i="2"/>
  <c r="F484" i="2"/>
  <c r="F441" i="2"/>
  <c r="F357" i="2"/>
  <c r="F351" i="2"/>
  <c r="F192" i="2"/>
  <c r="F181" i="2"/>
  <c r="F49" i="2"/>
  <c r="F12" i="2"/>
  <c r="F426" i="2"/>
  <c r="F397" i="2"/>
  <c r="F271" i="2"/>
  <c r="F231" i="2"/>
  <c r="F220" i="2"/>
  <c r="F88" i="2"/>
  <c r="F70" i="2"/>
  <c r="F455" i="3"/>
  <c r="F455" i="2" s="1"/>
  <c r="F456" i="2"/>
  <c r="F354" i="2"/>
  <c r="F294" i="2"/>
  <c r="F280" i="2"/>
  <c r="F235" i="2"/>
  <c r="F110" i="2"/>
  <c r="F93" i="2"/>
  <c r="F495" i="2"/>
  <c r="F435" i="2"/>
  <c r="F410" i="2"/>
  <c r="F344" i="2"/>
  <c r="F186" i="2"/>
  <c r="F175" i="2"/>
  <c r="F42" i="2"/>
  <c r="F8" i="2"/>
  <c r="F493" i="2"/>
  <c r="F433" i="2"/>
  <c r="F408" i="2"/>
  <c r="F342" i="2"/>
  <c r="F184" i="2"/>
  <c r="F173" i="2"/>
  <c r="F40" i="2"/>
  <c r="F9" i="2"/>
  <c r="F418" i="2"/>
  <c r="F389" i="2"/>
  <c r="F263" i="2"/>
  <c r="F223" i="2"/>
  <c r="F212" i="2"/>
  <c r="F79" i="2"/>
  <c r="F62" i="2"/>
  <c r="F440" i="2"/>
  <c r="F414" i="3"/>
  <c r="F414" i="2" s="1"/>
  <c r="F415" i="2"/>
  <c r="F285" i="2"/>
  <c r="F272" i="2"/>
  <c r="F234" i="2"/>
  <c r="F102" i="2"/>
  <c r="F84" i="2"/>
  <c r="F487" i="2"/>
  <c r="F427" i="2"/>
  <c r="F349" i="2"/>
  <c r="F336" i="2"/>
  <c r="F178" i="2"/>
  <c r="F166" i="2"/>
  <c r="F34" i="2"/>
  <c r="F16" i="2"/>
  <c r="F485" i="2"/>
  <c r="F421" i="2"/>
  <c r="F347" i="2"/>
  <c r="F334" i="2"/>
  <c r="F176" i="2"/>
  <c r="F164" i="2"/>
  <c r="F32" i="2"/>
  <c r="F17" i="2"/>
  <c r="F409" i="2"/>
  <c r="F381" i="2"/>
  <c r="F255" i="2"/>
  <c r="F215" i="2"/>
  <c r="F203" i="2"/>
  <c r="F71" i="2"/>
  <c r="F37" i="2"/>
  <c r="F432" i="2"/>
  <c r="F403" i="2"/>
  <c r="F277" i="2"/>
  <c r="F245" i="2"/>
  <c r="F226" i="2"/>
  <c r="F94" i="2"/>
  <c r="F76" i="2"/>
  <c r="J3" i="3"/>
  <c r="J3" i="2" s="1"/>
  <c r="J4" i="2"/>
  <c r="Z3" i="3"/>
  <c r="Z3" i="2" s="1"/>
  <c r="Z4" i="2"/>
  <c r="AP3" i="3"/>
  <c r="AP3" i="2" s="1"/>
  <c r="AP4" i="2"/>
  <c r="BF3" i="3"/>
  <c r="BF3" i="2" s="1"/>
  <c r="BF4" i="2"/>
  <c r="Q5" i="2"/>
  <c r="AG5" i="2"/>
  <c r="AW5" i="2"/>
  <c r="BM5" i="2"/>
  <c r="T6" i="2"/>
  <c r="AJ6" i="2"/>
  <c r="AZ6" i="2"/>
  <c r="G7" i="2"/>
  <c r="W7" i="2"/>
  <c r="AM7" i="2"/>
  <c r="BC7" i="2"/>
  <c r="N8" i="2"/>
  <c r="AD8" i="2"/>
  <c r="AT8" i="2"/>
  <c r="BJ8" i="2"/>
  <c r="U9" i="2"/>
  <c r="AK9" i="2"/>
  <c r="BA9" i="2"/>
  <c r="H10" i="2"/>
  <c r="X10" i="2"/>
  <c r="AN10" i="2"/>
  <c r="BD10" i="2"/>
  <c r="K11" i="2"/>
  <c r="AA11" i="2"/>
  <c r="AQ11" i="2"/>
  <c r="BG11" i="2"/>
  <c r="R12" i="2"/>
  <c r="AH12" i="2"/>
  <c r="AX12" i="2"/>
  <c r="I13" i="2"/>
  <c r="Y13" i="2"/>
  <c r="AO13" i="2"/>
  <c r="BE13" i="2"/>
  <c r="L14" i="2"/>
  <c r="AB14" i="2"/>
  <c r="AR14" i="2"/>
  <c r="BH14" i="2"/>
  <c r="O15" i="2"/>
  <c r="AE15" i="2"/>
  <c r="AU15" i="2"/>
  <c r="BK15" i="2"/>
  <c r="V16" i="2"/>
  <c r="AL16" i="2"/>
  <c r="BB16" i="2"/>
  <c r="M17" i="2"/>
  <c r="AC17" i="2"/>
  <c r="AS17" i="2"/>
  <c r="BI17" i="2"/>
  <c r="P18" i="2"/>
  <c r="AF18" i="2"/>
  <c r="AV18" i="2"/>
  <c r="BL18" i="2"/>
  <c r="S19" i="2"/>
  <c r="AI19" i="2"/>
  <c r="AY19" i="2"/>
  <c r="J20" i="2"/>
  <c r="Z20" i="2"/>
  <c r="AP20" i="2"/>
  <c r="BF20" i="2"/>
  <c r="Q21" i="2"/>
  <c r="AG21" i="2"/>
  <c r="AW21" i="2"/>
  <c r="BM21" i="2"/>
  <c r="T22" i="2"/>
  <c r="AJ22" i="2"/>
  <c r="AZ22" i="2"/>
  <c r="H23" i="2"/>
  <c r="AC23" i="2"/>
  <c r="K24" i="2"/>
  <c r="J25" i="2"/>
  <c r="M26" i="2"/>
  <c r="L27" i="2"/>
  <c r="K28" i="2"/>
  <c r="J29" i="2"/>
  <c r="M30" i="2"/>
  <c r="L31" i="2"/>
  <c r="K32" i="2"/>
  <c r="J33" i="2"/>
  <c r="M34" i="2"/>
  <c r="L35" i="2"/>
  <c r="K36" i="2"/>
  <c r="J37" i="2"/>
  <c r="M38" i="2"/>
  <c r="L39" i="2"/>
  <c r="K40" i="2"/>
  <c r="J41" i="2"/>
  <c r="M42" i="2"/>
  <c r="L43" i="2"/>
  <c r="T44" i="3"/>
  <c r="T44" i="2" s="1"/>
  <c r="T45" i="2"/>
  <c r="AI46" i="2"/>
  <c r="AX47" i="2"/>
  <c r="T49" i="2"/>
  <c r="AI50" i="2"/>
  <c r="AX51" i="2"/>
  <c r="T53" i="2"/>
  <c r="AI54" i="2"/>
  <c r="AX55" i="2"/>
  <c r="T57" i="2"/>
  <c r="AI58" i="2"/>
  <c r="AX59" i="2"/>
  <c r="T61" i="2"/>
  <c r="AI62" i="2"/>
  <c r="AX63" i="2"/>
  <c r="T65" i="2"/>
  <c r="AI66" i="2"/>
  <c r="AX67" i="2"/>
  <c r="T69" i="2"/>
  <c r="AI70" i="2"/>
  <c r="AX71" i="2"/>
  <c r="T73" i="2"/>
  <c r="AI74" i="2"/>
  <c r="AX75" i="2"/>
  <c r="T77" i="2"/>
  <c r="AI78" i="2"/>
  <c r="AX79" i="2"/>
  <c r="T81" i="2"/>
  <c r="AI82" i="2"/>
  <c r="AX83" i="2"/>
  <c r="M85" i="3"/>
  <c r="M85" i="2" s="1"/>
  <c r="M86" i="2"/>
  <c r="L87" i="2"/>
  <c r="G3" i="3"/>
  <c r="G3" i="2" s="1"/>
  <c r="G4" i="2"/>
  <c r="W3" i="3"/>
  <c r="W3" i="2" s="1"/>
  <c r="W4" i="2"/>
  <c r="AM3" i="3"/>
  <c r="AM3" i="2" s="1"/>
  <c r="AM4" i="2"/>
  <c r="BC3" i="3"/>
  <c r="BC3" i="2" s="1"/>
  <c r="BC4" i="2"/>
  <c r="N5" i="2"/>
  <c r="AD5" i="2"/>
  <c r="AT5" i="2"/>
  <c r="BJ5" i="2"/>
  <c r="U6" i="2"/>
  <c r="AK6" i="2"/>
  <c r="BA6" i="2"/>
  <c r="H7" i="2"/>
  <c r="X7" i="2"/>
  <c r="AN7" i="2"/>
  <c r="BD7" i="2"/>
  <c r="K8" i="2"/>
  <c r="AA8" i="2"/>
  <c r="AQ8" i="2"/>
  <c r="BG8" i="2"/>
  <c r="R9" i="2"/>
  <c r="AH9" i="2"/>
  <c r="AX9" i="2"/>
  <c r="I10" i="2"/>
  <c r="Y10" i="2"/>
  <c r="AO10" i="2"/>
  <c r="BE10" i="2"/>
  <c r="L11" i="2"/>
  <c r="AB11" i="2"/>
  <c r="AR11" i="2"/>
  <c r="BH11" i="2"/>
  <c r="O12" i="2"/>
  <c r="AE12" i="2"/>
  <c r="AU12" i="2"/>
  <c r="BK12" i="2"/>
  <c r="V13" i="2"/>
  <c r="AL13" i="2"/>
  <c r="BB13" i="2"/>
  <c r="M14" i="2"/>
  <c r="AC14" i="2"/>
  <c r="AS14" i="2"/>
  <c r="BI14" i="2"/>
  <c r="P15" i="2"/>
  <c r="AF15" i="2"/>
  <c r="AV15" i="2"/>
  <c r="BL15" i="2"/>
  <c r="S16" i="2"/>
  <c r="AI16" i="2"/>
  <c r="AY16" i="2"/>
  <c r="J17" i="2"/>
  <c r="Z17" i="2"/>
  <c r="AP17" i="2"/>
  <c r="BF17" i="2"/>
  <c r="Q18" i="2"/>
  <c r="AG18" i="2"/>
  <c r="AW18" i="2"/>
  <c r="BM18" i="2"/>
  <c r="T19" i="2"/>
  <c r="AJ19" i="2"/>
  <c r="AZ19" i="2"/>
  <c r="G20" i="2"/>
  <c r="W20" i="2"/>
  <c r="AM20" i="2"/>
  <c r="BC20" i="2"/>
  <c r="N21" i="2"/>
  <c r="AD21" i="2"/>
  <c r="AT21" i="2"/>
  <c r="BJ21" i="2"/>
  <c r="U22" i="2"/>
  <c r="AK22" i="2"/>
  <c r="BA22" i="2"/>
  <c r="I23" i="2"/>
  <c r="AD23" i="2"/>
  <c r="O24" i="2"/>
  <c r="N25" i="2"/>
  <c r="Q26" i="2"/>
  <c r="P27" i="2"/>
  <c r="O28" i="2"/>
  <c r="N29" i="2"/>
  <c r="Q30" i="2"/>
  <c r="P31" i="2"/>
  <c r="O32" i="2"/>
  <c r="N33" i="2"/>
  <c r="Q34" i="2"/>
  <c r="P35" i="2"/>
  <c r="O36" i="2"/>
  <c r="N37" i="2"/>
  <c r="Q38" i="2"/>
  <c r="P39" i="2"/>
  <c r="O40" i="2"/>
  <c r="N41" i="2"/>
  <c r="Q42" i="2"/>
  <c r="P43" i="2"/>
  <c r="H44" i="3"/>
  <c r="H44" i="2" s="1"/>
  <c r="H45" i="2"/>
  <c r="G46" i="2"/>
  <c r="V47" i="2"/>
  <c r="Y48" i="2"/>
  <c r="X49" i="2"/>
  <c r="W50" i="2"/>
  <c r="AL51" i="2"/>
  <c r="AO52" i="2"/>
  <c r="AN53" i="2"/>
  <c r="AM54" i="2"/>
  <c r="BB55" i="2"/>
  <c r="BE56" i="2"/>
  <c r="BD57" i="2"/>
  <c r="BC58" i="2"/>
  <c r="I60" i="2"/>
  <c r="H61" i="2"/>
  <c r="G62" i="2"/>
  <c r="V63" i="2"/>
  <c r="Y64" i="2"/>
  <c r="X65" i="2"/>
  <c r="W66" i="2"/>
  <c r="AL67" i="2"/>
  <c r="AO68" i="2"/>
  <c r="AN69" i="2"/>
  <c r="AM70" i="2"/>
  <c r="BB71" i="2"/>
  <c r="BE72" i="2"/>
  <c r="BD73" i="2"/>
  <c r="BC74" i="2"/>
  <c r="I76" i="2"/>
  <c r="H77" i="2"/>
  <c r="G78" i="2"/>
  <c r="V79" i="2"/>
  <c r="Y80" i="2"/>
  <c r="X81" i="2"/>
  <c r="W82" i="2"/>
  <c r="AL83" i="2"/>
  <c r="AO84" i="2"/>
  <c r="AW85" i="3"/>
  <c r="AW85" i="2" s="1"/>
  <c r="AW86" i="2"/>
  <c r="AV87" i="2"/>
  <c r="P3" i="3"/>
  <c r="P3" i="2" s="1"/>
  <c r="P4" i="2"/>
  <c r="AF3" i="3"/>
  <c r="AF3" i="2" s="1"/>
  <c r="AF4" i="2"/>
  <c r="AV3" i="3"/>
  <c r="AV3" i="2" s="1"/>
  <c r="AV4" i="2"/>
  <c r="BL3" i="3"/>
  <c r="BL3" i="2" s="1"/>
  <c r="BL4" i="2"/>
  <c r="S5" i="2"/>
  <c r="AI5" i="2"/>
  <c r="AY5" i="2"/>
  <c r="J6" i="2"/>
  <c r="Z6" i="2"/>
  <c r="AP6" i="2"/>
  <c r="BF6" i="2"/>
  <c r="Q7" i="2"/>
  <c r="AG7" i="2"/>
  <c r="AW7" i="2"/>
  <c r="BM7" i="2"/>
  <c r="T8" i="2"/>
  <c r="AJ8" i="2"/>
  <c r="AZ8" i="2"/>
  <c r="G9" i="2"/>
  <c r="W9" i="2"/>
  <c r="AM9" i="2"/>
  <c r="BC9" i="2"/>
  <c r="N10" i="2"/>
  <c r="AD10" i="2"/>
  <c r="AT10" i="2"/>
  <c r="BJ10" i="2"/>
  <c r="U11" i="2"/>
  <c r="AK11" i="2"/>
  <c r="BA11" i="2"/>
  <c r="H12" i="2"/>
  <c r="X12" i="2"/>
  <c r="AN12" i="2"/>
  <c r="BD12" i="2"/>
  <c r="K13" i="2"/>
  <c r="AA13" i="2"/>
  <c r="AQ13" i="2"/>
  <c r="BG13" i="2"/>
  <c r="R14" i="2"/>
  <c r="AH14" i="2"/>
  <c r="AX14" i="2"/>
  <c r="I15" i="2"/>
  <c r="Y15" i="2"/>
  <c r="AO15" i="2"/>
  <c r="BE15" i="2"/>
  <c r="L16" i="2"/>
  <c r="AB16" i="2"/>
  <c r="AR16" i="2"/>
  <c r="BH16" i="2"/>
  <c r="O17" i="2"/>
  <c r="AE17" i="2"/>
  <c r="AU17" i="2"/>
  <c r="BK17" i="2"/>
  <c r="V18" i="2"/>
  <c r="AL18" i="2"/>
  <c r="BB18" i="2"/>
  <c r="M19" i="2"/>
  <c r="AC19" i="2"/>
  <c r="AS19" i="2"/>
  <c r="BI19" i="2"/>
  <c r="P20" i="2"/>
  <c r="AF20" i="2"/>
  <c r="AV20" i="2"/>
  <c r="BL20" i="2"/>
  <c r="S21" i="2"/>
  <c r="AI21" i="2"/>
  <c r="AY21" i="2"/>
  <c r="J22" i="2"/>
  <c r="Z22" i="2"/>
  <c r="AP22" i="2"/>
  <c r="BF22" i="2"/>
  <c r="U23" i="2"/>
  <c r="AZ23" i="2"/>
  <c r="R25" i="2"/>
  <c r="AK26" i="2"/>
  <c r="AZ27" i="2"/>
  <c r="R29" i="2"/>
  <c r="AK30" i="2"/>
  <c r="AZ31" i="2"/>
  <c r="R33" i="2"/>
  <c r="AK34" i="2"/>
  <c r="AZ35" i="2"/>
  <c r="R37" i="2"/>
  <c r="AK38" i="2"/>
  <c r="AZ39" i="2"/>
  <c r="R41" i="2"/>
  <c r="AK42" i="2"/>
  <c r="AZ43" i="2"/>
  <c r="BH44" i="3"/>
  <c r="BH44" i="2" s="1"/>
  <c r="BH45" i="2"/>
  <c r="BG46" i="2"/>
  <c r="BF47" i="2"/>
  <c r="BI48" i="2"/>
  <c r="BH49" i="2"/>
  <c r="BG50" i="2"/>
  <c r="BF51" i="2"/>
  <c r="BI52" i="2"/>
  <c r="BH53" i="2"/>
  <c r="BG54" i="2"/>
  <c r="BF55" i="2"/>
  <c r="BI56" i="2"/>
  <c r="BH57" i="2"/>
  <c r="BG58" i="2"/>
  <c r="BF59" i="2"/>
  <c r="BI60" i="2"/>
  <c r="BH61" i="2"/>
  <c r="BG62" i="2"/>
  <c r="BF63" i="2"/>
  <c r="BI64" i="2"/>
  <c r="BH65" i="2"/>
  <c r="BG66" i="2"/>
  <c r="BF67" i="2"/>
  <c r="BI68" i="2"/>
  <c r="BH69" i="2"/>
  <c r="BG70" i="2"/>
  <c r="BF71" i="2"/>
  <c r="BI72" i="2"/>
  <c r="BH73" i="2"/>
  <c r="BG74" i="2"/>
  <c r="BF75" i="2"/>
  <c r="BI76" i="2"/>
  <c r="BH77" i="2"/>
  <c r="BG78" i="2"/>
  <c r="BF79" i="2"/>
  <c r="BI80" i="2"/>
  <c r="BH81" i="2"/>
  <c r="BG82" i="2"/>
  <c r="BF83" i="2"/>
  <c r="BI84" i="2"/>
  <c r="T87" i="2"/>
  <c r="M3" i="3"/>
  <c r="M3" i="2" s="1"/>
  <c r="M4" i="2"/>
  <c r="AC3" i="3"/>
  <c r="AC3" i="2" s="1"/>
  <c r="AC4" i="2"/>
  <c r="AS3" i="3"/>
  <c r="AS3" i="2" s="1"/>
  <c r="AS4" i="2"/>
  <c r="BI3" i="3"/>
  <c r="BI3" i="2" s="1"/>
  <c r="BI4" i="2"/>
  <c r="P5" i="2"/>
  <c r="AF5" i="2"/>
  <c r="AV5" i="2"/>
  <c r="BL5" i="2"/>
  <c r="S6" i="2"/>
  <c r="AI6" i="2"/>
  <c r="AY6" i="2"/>
  <c r="J7" i="2"/>
  <c r="Z7" i="2"/>
  <c r="AP7" i="2"/>
  <c r="BF7" i="2"/>
  <c r="Q8" i="2"/>
  <c r="AG8" i="2"/>
  <c r="AW8" i="2"/>
  <c r="BM8" i="2"/>
  <c r="T9" i="2"/>
  <c r="AJ9" i="2"/>
  <c r="AZ9" i="2"/>
  <c r="G10" i="2"/>
  <c r="W10" i="2"/>
  <c r="AM10" i="2"/>
  <c r="BC10" i="2"/>
  <c r="N11" i="2"/>
  <c r="AD11" i="2"/>
  <c r="AT11" i="2"/>
  <c r="BJ11" i="2"/>
  <c r="U12" i="2"/>
  <c r="AK12" i="2"/>
  <c r="BA12" i="2"/>
  <c r="H13" i="2"/>
  <c r="X13" i="2"/>
  <c r="AN13" i="2"/>
  <c r="BD13" i="2"/>
  <c r="K14" i="2"/>
  <c r="AA14" i="2"/>
  <c r="AQ14" i="2"/>
  <c r="BG14" i="2"/>
  <c r="R15" i="2"/>
  <c r="AH15" i="2"/>
  <c r="AX15" i="2"/>
  <c r="I16" i="2"/>
  <c r="Y16" i="2"/>
  <c r="AO16" i="2"/>
  <c r="BE16" i="2"/>
  <c r="L17" i="2"/>
  <c r="AB17" i="2"/>
  <c r="AR17" i="2"/>
  <c r="BH17" i="2"/>
  <c r="O18" i="2"/>
  <c r="AE18" i="2"/>
  <c r="AU18" i="2"/>
  <c r="BK18" i="2"/>
  <c r="V19" i="2"/>
  <c r="AL19" i="2"/>
  <c r="BB19" i="2"/>
  <c r="M20" i="2"/>
  <c r="AC20" i="2"/>
  <c r="AS20" i="2"/>
  <c r="BI20" i="2"/>
  <c r="P21" i="2"/>
  <c r="AF21" i="2"/>
  <c r="AV21" i="2"/>
  <c r="BL21" i="2"/>
  <c r="S22" i="2"/>
  <c r="AI22" i="2"/>
  <c r="AY22" i="2"/>
  <c r="L23" i="2"/>
  <c r="AG23" i="2"/>
  <c r="W24" i="2"/>
  <c r="AL25" i="2"/>
  <c r="AO26" i="2"/>
  <c r="AN27" i="2"/>
  <c r="AM28" i="2"/>
  <c r="BB29" i="2"/>
  <c r="BE30" i="2"/>
  <c r="BD31" i="2"/>
  <c r="BC32" i="2"/>
  <c r="I34" i="2"/>
  <c r="H35" i="2"/>
  <c r="G36" i="2"/>
  <c r="V37" i="2"/>
  <c r="Y38" i="2"/>
  <c r="X39" i="2"/>
  <c r="W40" i="2"/>
  <c r="AL41" i="2"/>
  <c r="AO42" i="2"/>
  <c r="AN43" i="2"/>
  <c r="AV44" i="3"/>
  <c r="AV44" i="2" s="1"/>
  <c r="AV45" i="2"/>
  <c r="AU46" i="2"/>
  <c r="AT47" i="2"/>
  <c r="AW48" i="2"/>
  <c r="AV49" i="2"/>
  <c r="AU50" i="2"/>
  <c r="AT51" i="2"/>
  <c r="AW52" i="2"/>
  <c r="AV53" i="2"/>
  <c r="AU54" i="2"/>
  <c r="AT55" i="2"/>
  <c r="AW56" i="2"/>
  <c r="AV57" i="2"/>
  <c r="AU58" i="2"/>
  <c r="AT59" i="2"/>
  <c r="AW60" i="2"/>
  <c r="AV61" i="2"/>
  <c r="AU62" i="2"/>
  <c r="AT63" i="2"/>
  <c r="AW64" i="2"/>
  <c r="AV65" i="2"/>
  <c r="AU66" i="2"/>
  <c r="AT67" i="2"/>
  <c r="AW68" i="2"/>
  <c r="AV69" i="2"/>
  <c r="AU70" i="2"/>
  <c r="AT71" i="2"/>
  <c r="AW72" i="2"/>
  <c r="AV73" i="2"/>
  <c r="AU74" i="2"/>
  <c r="AT75" i="2"/>
  <c r="AW76" i="2"/>
  <c r="AV77" i="2"/>
  <c r="AU78" i="2"/>
  <c r="AT79" i="2"/>
  <c r="AW80" i="2"/>
  <c r="AV81" i="2"/>
  <c r="AU82" i="2"/>
  <c r="AT83" i="2"/>
  <c r="AW84" i="2"/>
  <c r="AO85" i="3"/>
  <c r="AO85" i="2" s="1"/>
  <c r="AO86" i="2"/>
  <c r="AN87" i="2"/>
  <c r="O88" i="2"/>
  <c r="AE88" i="2"/>
  <c r="AU88" i="2"/>
  <c r="BK88" i="2"/>
  <c r="V89" i="2"/>
  <c r="AL89" i="2"/>
  <c r="BB89" i="2"/>
  <c r="M90" i="2"/>
  <c r="AC90" i="2"/>
  <c r="AS90" i="2"/>
  <c r="BI90" i="2"/>
  <c r="P91" i="2"/>
  <c r="AF91" i="2"/>
  <c r="AV91" i="2"/>
  <c r="BL91" i="2"/>
  <c r="S92" i="2"/>
  <c r="AI92" i="2"/>
  <c r="AY92" i="2"/>
  <c r="J93" i="2"/>
  <c r="Z93" i="2"/>
  <c r="AP93" i="2"/>
  <c r="BF93" i="2"/>
  <c r="Q94" i="2"/>
  <c r="AG94" i="2"/>
  <c r="AW94" i="2"/>
  <c r="BM94" i="2"/>
  <c r="T95" i="2"/>
  <c r="AJ95" i="2"/>
  <c r="AZ95" i="2"/>
  <c r="G96" i="2"/>
  <c r="W96" i="2"/>
  <c r="AM96" i="2"/>
  <c r="BC96" i="2"/>
  <c r="N97" i="2"/>
  <c r="AD97" i="2"/>
  <c r="AT97" i="2"/>
  <c r="BJ97" i="2"/>
  <c r="U98" i="2"/>
  <c r="AK98" i="2"/>
  <c r="BA98" i="2"/>
  <c r="H99" i="2"/>
  <c r="X99" i="2"/>
  <c r="AN99" i="2"/>
  <c r="BD99" i="2"/>
  <c r="K100" i="2"/>
  <c r="AA100" i="2"/>
  <c r="AQ100" i="2"/>
  <c r="BG100" i="2"/>
  <c r="R101" i="2"/>
  <c r="AH101" i="2"/>
  <c r="AX101" i="2"/>
  <c r="I102" i="2"/>
  <c r="Y102" i="2"/>
  <c r="AO102" i="2"/>
  <c r="BE102" i="2"/>
  <c r="L103" i="2"/>
  <c r="AB103" i="2"/>
  <c r="AR103" i="2"/>
  <c r="BH103" i="2"/>
  <c r="O104" i="2"/>
  <c r="AE104" i="2"/>
  <c r="AU104" i="2"/>
  <c r="BK104" i="2"/>
  <c r="V105" i="2"/>
  <c r="AL105" i="2"/>
  <c r="BB105" i="2"/>
  <c r="M106" i="2"/>
  <c r="AC106" i="2"/>
  <c r="AS106" i="2"/>
  <c r="BI106" i="2"/>
  <c r="P107" i="2"/>
  <c r="AF107" i="2"/>
  <c r="AV107" i="2"/>
  <c r="BL107" i="2"/>
  <c r="S108" i="2"/>
  <c r="AI108" i="2"/>
  <c r="AY108" i="2"/>
  <c r="J109" i="2"/>
  <c r="Z109" i="2"/>
  <c r="AP109" i="2"/>
  <c r="BF109" i="2"/>
  <c r="Q110" i="2"/>
  <c r="AG110" i="2"/>
  <c r="AW110" i="2"/>
  <c r="BM110" i="2"/>
  <c r="T111" i="2"/>
  <c r="AJ111" i="2"/>
  <c r="AZ111" i="2"/>
  <c r="G112" i="2"/>
  <c r="W112" i="2"/>
  <c r="AM112" i="2"/>
  <c r="BC112" i="2"/>
  <c r="N113" i="2"/>
  <c r="AD113" i="2"/>
  <c r="AT113" i="2"/>
  <c r="BJ113" i="2"/>
  <c r="AA114" i="2"/>
  <c r="BD114" i="2"/>
  <c r="BA23" i="2"/>
  <c r="H24" i="2"/>
  <c r="X24" i="2"/>
  <c r="AN24" i="2"/>
  <c r="BD24" i="2"/>
  <c r="K25" i="2"/>
  <c r="AA25" i="2"/>
  <c r="AQ25" i="2"/>
  <c r="BG25" i="2"/>
  <c r="R26" i="2"/>
  <c r="AH26" i="2"/>
  <c r="AX26" i="2"/>
  <c r="I27" i="2"/>
  <c r="Y27" i="2"/>
  <c r="AO27" i="2"/>
  <c r="BE27" i="2"/>
  <c r="L28" i="2"/>
  <c r="AB28" i="2"/>
  <c r="AR28" i="2"/>
  <c r="BH28" i="2"/>
  <c r="O29" i="2"/>
  <c r="AE29" i="2"/>
  <c r="AU29" i="2"/>
  <c r="BK29" i="2"/>
  <c r="V30" i="2"/>
  <c r="AL30" i="2"/>
  <c r="BB30" i="2"/>
  <c r="M31" i="2"/>
  <c r="AC31" i="2"/>
  <c r="AS31" i="2"/>
  <c r="BI31" i="2"/>
  <c r="P32" i="2"/>
  <c r="AF32" i="2"/>
  <c r="AV32" i="2"/>
  <c r="BL32" i="2"/>
  <c r="S33" i="2"/>
  <c r="AI33" i="2"/>
  <c r="AY33" i="2"/>
  <c r="J34" i="2"/>
  <c r="Z34" i="2"/>
  <c r="AP34" i="2"/>
  <c r="BF34" i="2"/>
  <c r="Q35" i="2"/>
  <c r="AG35" i="2"/>
  <c r="AW35" i="2"/>
  <c r="BM35" i="2"/>
  <c r="T36" i="2"/>
  <c r="AJ36" i="2"/>
  <c r="AZ36" i="2"/>
  <c r="G37" i="2"/>
  <c r="W37" i="2"/>
  <c r="AM37" i="2"/>
  <c r="BC37" i="2"/>
  <c r="N38" i="2"/>
  <c r="AD38" i="2"/>
  <c r="AT38" i="2"/>
  <c r="BJ38" i="2"/>
  <c r="U39" i="2"/>
  <c r="AK39" i="2"/>
  <c r="BA39" i="2"/>
  <c r="H40" i="2"/>
  <c r="X40" i="2"/>
  <c r="AN40" i="2"/>
  <c r="BD40" i="2"/>
  <c r="K41" i="2"/>
  <c r="AA41" i="2"/>
  <c r="AQ41" i="2"/>
  <c r="BG41" i="2"/>
  <c r="R42" i="2"/>
  <c r="AH42" i="2"/>
  <c r="AX42" i="2"/>
  <c r="I43" i="2"/>
  <c r="Y43" i="2"/>
  <c r="AO43" i="2"/>
  <c r="BE43" i="2"/>
  <c r="M44" i="3"/>
  <c r="M44" i="2" s="1"/>
  <c r="M45" i="2"/>
  <c r="AC44" i="3"/>
  <c r="AC44" i="2" s="1"/>
  <c r="AC45" i="2"/>
  <c r="AS44" i="3"/>
  <c r="AS44" i="2" s="1"/>
  <c r="AS45" i="2"/>
  <c r="BI44" i="3"/>
  <c r="BI44" i="2" s="1"/>
  <c r="BI45" i="2"/>
  <c r="P46" i="2"/>
  <c r="AF46" i="2"/>
  <c r="AV46" i="2"/>
  <c r="BL46" i="2"/>
  <c r="S47" i="2"/>
  <c r="AI47" i="2"/>
  <c r="AY47" i="2"/>
  <c r="J48" i="2"/>
  <c r="Z48" i="2"/>
  <c r="AP48" i="2"/>
  <c r="BF48" i="2"/>
  <c r="Q49" i="2"/>
  <c r="AG49" i="2"/>
  <c r="AW49" i="2"/>
  <c r="BM49" i="2"/>
  <c r="T50" i="2"/>
  <c r="AJ50" i="2"/>
  <c r="AZ50" i="2"/>
  <c r="G51" i="2"/>
  <c r="W51" i="2"/>
  <c r="AM51" i="2"/>
  <c r="BC51" i="2"/>
  <c r="N52" i="2"/>
  <c r="AD52" i="2"/>
  <c r="AT52" i="2"/>
  <c r="BJ52" i="2"/>
  <c r="U53" i="2"/>
  <c r="AK53" i="2"/>
  <c r="BA53" i="2"/>
  <c r="H54" i="2"/>
  <c r="X54" i="2"/>
  <c r="AN54" i="2"/>
  <c r="BD54" i="2"/>
  <c r="K55" i="2"/>
  <c r="AA55" i="2"/>
  <c r="AQ55" i="2"/>
  <c r="BG55" i="2"/>
  <c r="R56" i="2"/>
  <c r="AH56" i="2"/>
  <c r="AX56" i="2"/>
  <c r="I57" i="2"/>
  <c r="Y57" i="2"/>
  <c r="AO57" i="2"/>
  <c r="BE57" i="2"/>
  <c r="L58" i="2"/>
  <c r="AB58" i="2"/>
  <c r="AR58" i="2"/>
  <c r="BH58" i="2"/>
  <c r="O59" i="2"/>
  <c r="AE59" i="2"/>
  <c r="AU59" i="2"/>
  <c r="BK59" i="2"/>
  <c r="V60" i="2"/>
  <c r="AL60" i="2"/>
  <c r="BB60" i="2"/>
  <c r="M61" i="2"/>
  <c r="AC61" i="2"/>
  <c r="AS61" i="2"/>
  <c r="BI61" i="2"/>
  <c r="P62" i="2"/>
  <c r="AF62" i="2"/>
  <c r="AV62" i="2"/>
  <c r="BL62" i="2"/>
  <c r="S63" i="2"/>
  <c r="AI63" i="2"/>
  <c r="AY63" i="2"/>
  <c r="J64" i="2"/>
  <c r="Z64" i="2"/>
  <c r="AP64" i="2"/>
  <c r="BF64" i="2"/>
  <c r="Q65" i="2"/>
  <c r="AG65" i="2"/>
  <c r="AW65" i="2"/>
  <c r="BM65" i="2"/>
  <c r="T66" i="2"/>
  <c r="AJ66" i="2"/>
  <c r="AZ66" i="2"/>
  <c r="G67" i="2"/>
  <c r="W67" i="2"/>
  <c r="AM67" i="2"/>
  <c r="BC67" i="2"/>
  <c r="N68" i="2"/>
  <c r="AD68" i="2"/>
  <c r="AT68" i="2"/>
  <c r="BJ68" i="2"/>
  <c r="U69" i="2"/>
  <c r="AK69" i="2"/>
  <c r="BA69" i="2"/>
  <c r="H70" i="2"/>
  <c r="X70" i="2"/>
  <c r="AN70" i="2"/>
  <c r="BD70" i="2"/>
  <c r="K71" i="2"/>
  <c r="AA71" i="2"/>
  <c r="AQ71" i="2"/>
  <c r="BG71" i="2"/>
  <c r="R72" i="2"/>
  <c r="AH72" i="2"/>
  <c r="AX72" i="2"/>
  <c r="I73" i="2"/>
  <c r="Y73" i="2"/>
  <c r="AO73" i="2"/>
  <c r="BE73" i="2"/>
  <c r="L74" i="2"/>
  <c r="AB74" i="2"/>
  <c r="AR74" i="2"/>
  <c r="BH74" i="2"/>
  <c r="O75" i="2"/>
  <c r="AE75" i="2"/>
  <c r="AU75" i="2"/>
  <c r="BK75" i="2"/>
  <c r="V76" i="2"/>
  <c r="AL76" i="2"/>
  <c r="BB76" i="2"/>
  <c r="M77" i="2"/>
  <c r="AC77" i="2"/>
  <c r="AS77" i="2"/>
  <c r="BI77" i="2"/>
  <c r="P78" i="2"/>
  <c r="AF78" i="2"/>
  <c r="AV78" i="2"/>
  <c r="BL78" i="2"/>
  <c r="S79" i="2"/>
  <c r="AI79" i="2"/>
  <c r="AY79" i="2"/>
  <c r="J80" i="2"/>
  <c r="Z80" i="2"/>
  <c r="AP80" i="2"/>
  <c r="BF80" i="2"/>
  <c r="Q81" i="2"/>
  <c r="AG81" i="2"/>
  <c r="AW81" i="2"/>
  <c r="BM81" i="2"/>
  <c r="T82" i="2"/>
  <c r="AJ82" i="2"/>
  <c r="AZ82" i="2"/>
  <c r="G83" i="2"/>
  <c r="W83" i="2"/>
  <c r="AM83" i="2"/>
  <c r="BC83" i="2"/>
  <c r="N84" i="2"/>
  <c r="AD84" i="2"/>
  <c r="AT84" i="2"/>
  <c r="BJ84" i="2"/>
  <c r="V85" i="3"/>
  <c r="V85" i="2" s="1"/>
  <c r="V86" i="2"/>
  <c r="AL85" i="3"/>
  <c r="AL85" i="2" s="1"/>
  <c r="AL86" i="2"/>
  <c r="BB85" i="3"/>
  <c r="BB85" i="2" s="1"/>
  <c r="BB86" i="2"/>
  <c r="M87" i="2"/>
  <c r="AC87" i="2"/>
  <c r="AS87" i="2"/>
  <c r="BI87" i="2"/>
  <c r="P88" i="2"/>
  <c r="AF88" i="2"/>
  <c r="AV88" i="2"/>
  <c r="BL88" i="2"/>
  <c r="S89" i="2"/>
  <c r="AI89" i="2"/>
  <c r="AY89" i="2"/>
  <c r="J90" i="2"/>
  <c r="Z90" i="2"/>
  <c r="AP90" i="2"/>
  <c r="BF90" i="2"/>
  <c r="Q91" i="2"/>
  <c r="AG91" i="2"/>
  <c r="AW91" i="2"/>
  <c r="BM91" i="2"/>
  <c r="T92" i="2"/>
  <c r="AJ92" i="2"/>
  <c r="AZ92" i="2"/>
  <c r="G93" i="2"/>
  <c r="W93" i="2"/>
  <c r="AM93" i="2"/>
  <c r="BC93" i="2"/>
  <c r="N94" i="2"/>
  <c r="AD94" i="2"/>
  <c r="AT94" i="2"/>
  <c r="BJ94" i="2"/>
  <c r="U95" i="2"/>
  <c r="AK95" i="2"/>
  <c r="BA95" i="2"/>
  <c r="H96" i="2"/>
  <c r="X96" i="2"/>
  <c r="AN96" i="2"/>
  <c r="BD96" i="2"/>
  <c r="K97" i="2"/>
  <c r="AA97" i="2"/>
  <c r="AQ97" i="2"/>
  <c r="BG97" i="2"/>
  <c r="R98" i="2"/>
  <c r="AH98" i="2"/>
  <c r="AX98" i="2"/>
  <c r="I99" i="2"/>
  <c r="Y99" i="2"/>
  <c r="AO99" i="2"/>
  <c r="BE99" i="2"/>
  <c r="L100" i="2"/>
  <c r="AB100" i="2"/>
  <c r="AR100" i="2"/>
  <c r="BH100" i="2"/>
  <c r="O101" i="2"/>
  <c r="AE101" i="2"/>
  <c r="AU101" i="2"/>
  <c r="BK101" i="2"/>
  <c r="V102" i="2"/>
  <c r="AL102" i="2"/>
  <c r="BB102" i="2"/>
  <c r="M103" i="2"/>
  <c r="AC103" i="2"/>
  <c r="AS103" i="2"/>
  <c r="BI103" i="2"/>
  <c r="P104" i="2"/>
  <c r="AF104" i="2"/>
  <c r="AV104" i="2"/>
  <c r="BL104" i="2"/>
  <c r="S105" i="2"/>
  <c r="AI105" i="2"/>
  <c r="AY105" i="2"/>
  <c r="J106" i="2"/>
  <c r="Z106" i="2"/>
  <c r="AP106" i="2"/>
  <c r="BF106" i="2"/>
  <c r="Q107" i="2"/>
  <c r="AG107" i="2"/>
  <c r="AW107" i="2"/>
  <c r="BM107" i="2"/>
  <c r="T108" i="2"/>
  <c r="AJ108" i="2"/>
  <c r="AZ108" i="2"/>
  <c r="G109" i="2"/>
  <c r="W109" i="2"/>
  <c r="AM109" i="2"/>
  <c r="BC109" i="2"/>
  <c r="N110" i="2"/>
  <c r="AD110" i="2"/>
  <c r="AT110" i="2"/>
  <c r="BJ110" i="2"/>
  <c r="U111" i="2"/>
  <c r="AK111" i="2"/>
  <c r="BA111" i="2"/>
  <c r="H112" i="2"/>
  <c r="X112" i="2"/>
  <c r="AN112" i="2"/>
  <c r="BD112" i="2"/>
  <c r="K113" i="2"/>
  <c r="AA113" i="2"/>
  <c r="AQ113" i="2"/>
  <c r="BG113" i="2"/>
  <c r="Q114" i="2"/>
  <c r="AQ114" i="2"/>
  <c r="AL23" i="2"/>
  <c r="BB23" i="2"/>
  <c r="M24" i="2"/>
  <c r="AC24" i="2"/>
  <c r="AS24" i="2"/>
  <c r="BI24" i="2"/>
  <c r="P25" i="2"/>
  <c r="AF25" i="2"/>
  <c r="AV25" i="2"/>
  <c r="BL25" i="2"/>
  <c r="S26" i="2"/>
  <c r="AI26" i="2"/>
  <c r="AY26" i="2"/>
  <c r="J27" i="2"/>
  <c r="Z27" i="2"/>
  <c r="AP27" i="2"/>
  <c r="BF27" i="2"/>
  <c r="Q28" i="2"/>
  <c r="AG28" i="2"/>
  <c r="AW28" i="2"/>
  <c r="BM28" i="2"/>
  <c r="T29" i="2"/>
  <c r="AJ29" i="2"/>
  <c r="AZ29" i="2"/>
  <c r="G30" i="2"/>
  <c r="W30" i="2"/>
  <c r="AM30" i="2"/>
  <c r="BC30" i="2"/>
  <c r="N31" i="2"/>
  <c r="AD31" i="2"/>
  <c r="AT31" i="2"/>
  <c r="BJ31" i="2"/>
  <c r="U32" i="2"/>
  <c r="AK32" i="2"/>
  <c r="BA32" i="2"/>
  <c r="H33" i="2"/>
  <c r="X33" i="2"/>
  <c r="AN33" i="2"/>
  <c r="BD33" i="2"/>
  <c r="K34" i="2"/>
  <c r="AA34" i="2"/>
  <c r="AQ34" i="2"/>
  <c r="BG34" i="2"/>
  <c r="R35" i="2"/>
  <c r="AH35" i="2"/>
  <c r="AX35" i="2"/>
  <c r="I36" i="2"/>
  <c r="Y36" i="2"/>
  <c r="AO36" i="2"/>
  <c r="BE36" i="2"/>
  <c r="L37" i="2"/>
  <c r="AB37" i="2"/>
  <c r="AR37" i="2"/>
  <c r="BH37" i="2"/>
  <c r="O38" i="2"/>
  <c r="AE38" i="2"/>
  <c r="AU38" i="2"/>
  <c r="BK38" i="2"/>
  <c r="V39" i="2"/>
  <c r="AL39" i="2"/>
  <c r="BB39" i="2"/>
  <c r="M40" i="2"/>
  <c r="AC40" i="2"/>
  <c r="AS40" i="2"/>
  <c r="BI40" i="2"/>
  <c r="P41" i="2"/>
  <c r="AF41" i="2"/>
  <c r="AV41" i="2"/>
  <c r="BL41" i="2"/>
  <c r="S42" i="2"/>
  <c r="AI42" i="2"/>
  <c r="AY42" i="2"/>
  <c r="J43" i="2"/>
  <c r="Z43" i="2"/>
  <c r="AP43" i="2"/>
  <c r="BF43" i="2"/>
  <c r="R44" i="3"/>
  <c r="R44" i="2" s="1"/>
  <c r="R45" i="2"/>
  <c r="AH44" i="3"/>
  <c r="AH44" i="2" s="1"/>
  <c r="AH45" i="2"/>
  <c r="AX44" i="3"/>
  <c r="AX44" i="2" s="1"/>
  <c r="AX45" i="2"/>
  <c r="I46" i="2"/>
  <c r="Y46" i="2"/>
  <c r="AO46" i="2"/>
  <c r="BE46" i="2"/>
  <c r="L47" i="2"/>
  <c r="AB47" i="2"/>
  <c r="AR47" i="2"/>
  <c r="BH47" i="2"/>
  <c r="O48" i="2"/>
  <c r="AE48" i="2"/>
  <c r="AU48" i="2"/>
  <c r="BK48" i="2"/>
  <c r="V49" i="2"/>
  <c r="AL49" i="2"/>
  <c r="BB49" i="2"/>
  <c r="M50" i="2"/>
  <c r="AC50" i="2"/>
  <c r="AS50" i="2"/>
  <c r="BI50" i="2"/>
  <c r="P51" i="2"/>
  <c r="AF51" i="2"/>
  <c r="AV51" i="2"/>
  <c r="BL51" i="2"/>
  <c r="S52" i="2"/>
  <c r="AI52" i="2"/>
  <c r="AY52" i="2"/>
  <c r="J53" i="2"/>
  <c r="Z53" i="2"/>
  <c r="AP53" i="2"/>
  <c r="BF53" i="2"/>
  <c r="Q54" i="2"/>
  <c r="AG54" i="2"/>
  <c r="AW54" i="2"/>
  <c r="BM54" i="2"/>
  <c r="T55" i="2"/>
  <c r="AJ55" i="2"/>
  <c r="AZ55" i="2"/>
  <c r="G56" i="2"/>
  <c r="W56" i="2"/>
  <c r="AM56" i="2"/>
  <c r="BC56" i="2"/>
  <c r="N57" i="2"/>
  <c r="AD57" i="2"/>
  <c r="AT57" i="2"/>
  <c r="BJ57" i="2"/>
  <c r="U58" i="2"/>
  <c r="AK58" i="2"/>
  <c r="BA58" i="2"/>
  <c r="H59" i="2"/>
  <c r="X59" i="2"/>
  <c r="AN59" i="2"/>
  <c r="BD59" i="2"/>
  <c r="K60" i="2"/>
  <c r="AA60" i="2"/>
  <c r="AQ60" i="2"/>
  <c r="BG60" i="2"/>
  <c r="R61" i="2"/>
  <c r="AH61" i="2"/>
  <c r="AX61" i="2"/>
  <c r="I62" i="2"/>
  <c r="Y62" i="2"/>
  <c r="AO62" i="2"/>
  <c r="BE62" i="2"/>
  <c r="L63" i="2"/>
  <c r="AB63" i="2"/>
  <c r="AR63" i="2"/>
  <c r="BH63" i="2"/>
  <c r="O64" i="2"/>
  <c r="AE64" i="2"/>
  <c r="AU64" i="2"/>
  <c r="BK64" i="2"/>
  <c r="V65" i="2"/>
  <c r="AL65" i="2"/>
  <c r="BB65" i="2"/>
  <c r="M66" i="2"/>
  <c r="AC66" i="2"/>
  <c r="AS66" i="2"/>
  <c r="BI66" i="2"/>
  <c r="P67" i="2"/>
  <c r="AF67" i="2"/>
  <c r="AV67" i="2"/>
  <c r="BL67" i="2"/>
  <c r="S68" i="2"/>
  <c r="AI68" i="2"/>
  <c r="AY68" i="2"/>
  <c r="J69" i="2"/>
  <c r="Z69" i="2"/>
  <c r="AP69" i="2"/>
  <c r="BF69" i="2"/>
  <c r="Q70" i="2"/>
  <c r="AG70" i="2"/>
  <c r="AW70" i="2"/>
  <c r="BM70" i="2"/>
  <c r="T71" i="2"/>
  <c r="AJ71" i="2"/>
  <c r="AZ71" i="2"/>
  <c r="G72" i="2"/>
  <c r="W72" i="2"/>
  <c r="AM72" i="2"/>
  <c r="BC72" i="2"/>
  <c r="N73" i="2"/>
  <c r="AD73" i="2"/>
  <c r="AT73" i="2"/>
  <c r="BJ73" i="2"/>
  <c r="U74" i="2"/>
  <c r="AK74" i="2"/>
  <c r="BA74" i="2"/>
  <c r="H75" i="2"/>
  <c r="X75" i="2"/>
  <c r="AN75" i="2"/>
  <c r="BD75" i="2"/>
  <c r="K76" i="2"/>
  <c r="AA76" i="2"/>
  <c r="AQ76" i="2"/>
  <c r="BG76" i="2"/>
  <c r="R77" i="2"/>
  <c r="AH77" i="2"/>
  <c r="AX77" i="2"/>
  <c r="I78" i="2"/>
  <c r="Y78" i="2"/>
  <c r="AO78" i="2"/>
  <c r="BE78" i="2"/>
  <c r="L79" i="2"/>
  <c r="AB79" i="2"/>
  <c r="AR79" i="2"/>
  <c r="BH79" i="2"/>
  <c r="O80" i="2"/>
  <c r="AE80" i="2"/>
  <c r="AU80" i="2"/>
  <c r="BK80" i="2"/>
  <c r="V81" i="2"/>
  <c r="AL81" i="2"/>
  <c r="BB81" i="2"/>
  <c r="M82" i="2"/>
  <c r="AC82" i="2"/>
  <c r="AS82" i="2"/>
  <c r="BI82" i="2"/>
  <c r="P83" i="2"/>
  <c r="AF83" i="2"/>
  <c r="AV83" i="2"/>
  <c r="BL83" i="2"/>
  <c r="S84" i="2"/>
  <c r="AI84" i="2"/>
  <c r="AY84" i="2"/>
  <c r="G85" i="3"/>
  <c r="G85" i="2" s="1"/>
  <c r="G86" i="2"/>
  <c r="W85" i="3"/>
  <c r="W85" i="2" s="1"/>
  <c r="W86" i="2"/>
  <c r="AM85" i="3"/>
  <c r="AM85" i="2" s="1"/>
  <c r="AM86" i="2"/>
  <c r="BC85" i="3"/>
  <c r="BC85" i="2" s="1"/>
  <c r="BC86" i="2"/>
  <c r="N87" i="2"/>
  <c r="AD87" i="2"/>
  <c r="AT87" i="2"/>
  <c r="BJ87" i="2"/>
  <c r="U88" i="2"/>
  <c r="AK88" i="2"/>
  <c r="BA88" i="2"/>
  <c r="H89" i="2"/>
  <c r="X89" i="2"/>
  <c r="AN89" i="2"/>
  <c r="BD89" i="2"/>
  <c r="K90" i="2"/>
  <c r="AA90" i="2"/>
  <c r="AQ90" i="2"/>
  <c r="BG90" i="2"/>
  <c r="R91" i="2"/>
  <c r="AH91" i="2"/>
  <c r="AX91" i="2"/>
  <c r="I92" i="2"/>
  <c r="Y92" i="2"/>
  <c r="AO92" i="2"/>
  <c r="BE92" i="2"/>
  <c r="L93" i="2"/>
  <c r="AB93" i="2"/>
  <c r="AR93" i="2"/>
  <c r="BH93" i="2"/>
  <c r="O94" i="2"/>
  <c r="AE94" i="2"/>
  <c r="AU94" i="2"/>
  <c r="BK94" i="2"/>
  <c r="V95" i="2"/>
  <c r="AL95" i="2"/>
  <c r="BB95" i="2"/>
  <c r="M96" i="2"/>
  <c r="AC96" i="2"/>
  <c r="AS96" i="2"/>
  <c r="BI96" i="2"/>
  <c r="P97" i="2"/>
  <c r="AF97" i="2"/>
  <c r="AV97" i="2"/>
  <c r="BL97" i="2"/>
  <c r="S98" i="2"/>
  <c r="AI98" i="2"/>
  <c r="AY98" i="2"/>
  <c r="J99" i="2"/>
  <c r="Z99" i="2"/>
  <c r="AP99" i="2"/>
  <c r="BF99" i="2"/>
  <c r="Q100" i="2"/>
  <c r="AG100" i="2"/>
  <c r="AW100" i="2"/>
  <c r="BM100" i="2"/>
  <c r="T101" i="2"/>
  <c r="AJ101" i="2"/>
  <c r="AZ101" i="2"/>
  <c r="G102" i="2"/>
  <c r="W102" i="2"/>
  <c r="AM102" i="2"/>
  <c r="BC102" i="2"/>
  <c r="N103" i="2"/>
  <c r="AD103" i="2"/>
  <c r="AT103" i="2"/>
  <c r="BJ103" i="2"/>
  <c r="U104" i="2"/>
  <c r="AK104" i="2"/>
  <c r="BA104" i="2"/>
  <c r="H105" i="2"/>
  <c r="X105" i="2"/>
  <c r="AN105" i="2"/>
  <c r="BD105" i="2"/>
  <c r="K106" i="2"/>
  <c r="AA106" i="2"/>
  <c r="AQ106" i="2"/>
  <c r="BG106" i="2"/>
  <c r="R107" i="2"/>
  <c r="AH107" i="2"/>
  <c r="AX107" i="2"/>
  <c r="I108" i="2"/>
  <c r="Y108" i="2"/>
  <c r="AO108" i="2"/>
  <c r="BE108" i="2"/>
  <c r="L109" i="2"/>
  <c r="AB109" i="2"/>
  <c r="AR109" i="2"/>
  <c r="BH109" i="2"/>
  <c r="O110" i="2"/>
  <c r="AE110" i="2"/>
  <c r="AU110" i="2"/>
  <c r="BK110" i="2"/>
  <c r="V111" i="2"/>
  <c r="AL111" i="2"/>
  <c r="BB111" i="2"/>
  <c r="M112" i="2"/>
  <c r="AC112" i="2"/>
  <c r="AS112" i="2"/>
  <c r="BI112" i="2"/>
  <c r="P113" i="2"/>
  <c r="AF113" i="2"/>
  <c r="AV113" i="2"/>
  <c r="BL113" i="2"/>
  <c r="X114" i="2"/>
  <c r="AZ114" i="2"/>
  <c r="O23" i="2"/>
  <c r="AE23" i="2"/>
  <c r="AU23" i="2"/>
  <c r="BK23" i="2"/>
  <c r="V24" i="2"/>
  <c r="AL24" i="2"/>
  <c r="BB24" i="2"/>
  <c r="M25" i="2"/>
  <c r="AC25" i="2"/>
  <c r="AS25" i="2"/>
  <c r="BI25" i="2"/>
  <c r="P26" i="2"/>
  <c r="AF26" i="2"/>
  <c r="AV26" i="2"/>
  <c r="BL26" i="2"/>
  <c r="S27" i="2"/>
  <c r="AI27" i="2"/>
  <c r="AY27" i="2"/>
  <c r="J28" i="2"/>
  <c r="Z28" i="2"/>
  <c r="AP28" i="2"/>
  <c r="BF28" i="2"/>
  <c r="Q29" i="2"/>
  <c r="AG29" i="2"/>
  <c r="AW29" i="2"/>
  <c r="BM29" i="2"/>
  <c r="T30" i="2"/>
  <c r="AJ30" i="2"/>
  <c r="AZ30" i="2"/>
  <c r="G31" i="2"/>
  <c r="W31" i="2"/>
  <c r="AM31" i="2"/>
  <c r="BC31" i="2"/>
  <c r="N32" i="2"/>
  <c r="AD32" i="2"/>
  <c r="AT32" i="2"/>
  <c r="BJ32" i="2"/>
  <c r="U33" i="2"/>
  <c r="AK33" i="2"/>
  <c r="BA33" i="2"/>
  <c r="H34" i="2"/>
  <c r="X34" i="2"/>
  <c r="AN34" i="2"/>
  <c r="BD34" i="2"/>
  <c r="K35" i="2"/>
  <c r="AA35" i="2"/>
  <c r="AQ35" i="2"/>
  <c r="BG35" i="2"/>
  <c r="R36" i="2"/>
  <c r="AH36" i="2"/>
  <c r="AX36" i="2"/>
  <c r="I37" i="2"/>
  <c r="Y37" i="2"/>
  <c r="AO37" i="2"/>
  <c r="BE37" i="2"/>
  <c r="L38" i="2"/>
  <c r="AB38" i="2"/>
  <c r="AR38" i="2"/>
  <c r="BH38" i="2"/>
  <c r="O39" i="2"/>
  <c r="AE39" i="2"/>
  <c r="AU39" i="2"/>
  <c r="BK39" i="2"/>
  <c r="V40" i="2"/>
  <c r="AL40" i="2"/>
  <c r="BB40" i="2"/>
  <c r="M41" i="2"/>
  <c r="AC41" i="2"/>
  <c r="AS41" i="2"/>
  <c r="BI41" i="2"/>
  <c r="P42" i="2"/>
  <c r="AF42" i="2"/>
  <c r="AV42" i="2"/>
  <c r="BL42" i="2"/>
  <c r="S43" i="2"/>
  <c r="AI43" i="2"/>
  <c r="AY43" i="2"/>
  <c r="G44" i="3"/>
  <c r="G44" i="2" s="1"/>
  <c r="G45" i="2"/>
  <c r="W44" i="3"/>
  <c r="W44" i="2" s="1"/>
  <c r="W45" i="2"/>
  <c r="AM44" i="3"/>
  <c r="AM44" i="2" s="1"/>
  <c r="AM45" i="2"/>
  <c r="BC44" i="3"/>
  <c r="BC44" i="2" s="1"/>
  <c r="BC45" i="2"/>
  <c r="N46" i="2"/>
  <c r="AD46" i="2"/>
  <c r="AT46" i="2"/>
  <c r="BJ46" i="2"/>
  <c r="U47" i="2"/>
  <c r="AK47" i="2"/>
  <c r="BA47" i="2"/>
  <c r="H48" i="2"/>
  <c r="X48" i="2"/>
  <c r="AN48" i="2"/>
  <c r="BD48" i="2"/>
  <c r="K49" i="2"/>
  <c r="AA49" i="2"/>
  <c r="AQ49" i="2"/>
  <c r="BG49" i="2"/>
  <c r="R50" i="2"/>
  <c r="AH50" i="2"/>
  <c r="AX50" i="2"/>
  <c r="I51" i="2"/>
  <c r="Y51" i="2"/>
  <c r="AO51" i="2"/>
  <c r="BE51" i="2"/>
  <c r="L52" i="2"/>
  <c r="AB52" i="2"/>
  <c r="AR52" i="2"/>
  <c r="BH52" i="2"/>
  <c r="O53" i="2"/>
  <c r="AE53" i="2"/>
  <c r="AU53" i="2"/>
  <c r="BK53" i="2"/>
  <c r="V54" i="2"/>
  <c r="AL54" i="2"/>
  <c r="BB54" i="2"/>
  <c r="M55" i="2"/>
  <c r="AC55" i="2"/>
  <c r="AS55" i="2"/>
  <c r="BI55" i="2"/>
  <c r="P56" i="2"/>
  <c r="AF56" i="2"/>
  <c r="AV56" i="2"/>
  <c r="BL56" i="2"/>
  <c r="S57" i="2"/>
  <c r="AI57" i="2"/>
  <c r="AY57" i="2"/>
  <c r="J58" i="2"/>
  <c r="Z58" i="2"/>
  <c r="AP58" i="2"/>
  <c r="BF58" i="2"/>
  <c r="Q59" i="2"/>
  <c r="AG59" i="2"/>
  <c r="AW59" i="2"/>
  <c r="BM59" i="2"/>
  <c r="T60" i="2"/>
  <c r="AJ60" i="2"/>
  <c r="AZ60" i="2"/>
  <c r="G61" i="2"/>
  <c r="W61" i="2"/>
  <c r="AM61" i="2"/>
  <c r="BC61" i="2"/>
  <c r="N62" i="2"/>
  <c r="AD62" i="2"/>
  <c r="AT62" i="2"/>
  <c r="BJ62" i="2"/>
  <c r="U63" i="2"/>
  <c r="AK63" i="2"/>
  <c r="BA63" i="2"/>
  <c r="H64" i="2"/>
  <c r="X64" i="2"/>
  <c r="AN64" i="2"/>
  <c r="BD64" i="2"/>
  <c r="K65" i="2"/>
  <c r="AA65" i="2"/>
  <c r="AQ65" i="2"/>
  <c r="BG65" i="2"/>
  <c r="R66" i="2"/>
  <c r="AH66" i="2"/>
  <c r="AX66" i="2"/>
  <c r="I67" i="2"/>
  <c r="Y67" i="2"/>
  <c r="AO67" i="2"/>
  <c r="BE67" i="2"/>
  <c r="L68" i="2"/>
  <c r="AB68" i="2"/>
  <c r="AR68" i="2"/>
  <c r="BH68" i="2"/>
  <c r="O69" i="2"/>
  <c r="AE69" i="2"/>
  <c r="AU69" i="2"/>
  <c r="BK69" i="2"/>
  <c r="V70" i="2"/>
  <c r="AL70" i="2"/>
  <c r="BB70" i="2"/>
  <c r="M71" i="2"/>
  <c r="AC71" i="2"/>
  <c r="AS71" i="2"/>
  <c r="BI71" i="2"/>
  <c r="P72" i="2"/>
  <c r="AF72" i="2"/>
  <c r="AV72" i="2"/>
  <c r="BL72" i="2"/>
  <c r="S73" i="2"/>
  <c r="AI73" i="2"/>
  <c r="AY73" i="2"/>
  <c r="J74" i="2"/>
  <c r="Z74" i="2"/>
  <c r="AP74" i="2"/>
  <c r="BF74" i="2"/>
  <c r="Q75" i="2"/>
  <c r="AG75" i="2"/>
  <c r="AW75" i="2"/>
  <c r="BM75" i="2"/>
  <c r="T76" i="2"/>
  <c r="AJ76" i="2"/>
  <c r="AZ76" i="2"/>
  <c r="G77" i="2"/>
  <c r="W77" i="2"/>
  <c r="AM77" i="2"/>
  <c r="BC77" i="2"/>
  <c r="N78" i="2"/>
  <c r="AD78" i="2"/>
  <c r="AT78" i="2"/>
  <c r="BJ78" i="2"/>
  <c r="U79" i="2"/>
  <c r="AK79" i="2"/>
  <c r="BA79" i="2"/>
  <c r="H80" i="2"/>
  <c r="X80" i="2"/>
  <c r="AN80" i="2"/>
  <c r="BD80" i="2"/>
  <c r="K81" i="2"/>
  <c r="AA81" i="2"/>
  <c r="AQ81" i="2"/>
  <c r="BG81" i="2"/>
  <c r="R82" i="2"/>
  <c r="AH82" i="2"/>
  <c r="AX82" i="2"/>
  <c r="I83" i="2"/>
  <c r="Y83" i="2"/>
  <c r="AO83" i="2"/>
  <c r="BE83" i="2"/>
  <c r="L84" i="2"/>
  <c r="AB84" i="2"/>
  <c r="AR84" i="2"/>
  <c r="BH84" i="2"/>
  <c r="P85" i="3"/>
  <c r="P85" i="2" s="1"/>
  <c r="P86" i="2"/>
  <c r="AF85" i="3"/>
  <c r="AF85" i="2" s="1"/>
  <c r="AF86" i="2"/>
  <c r="AV85" i="3"/>
  <c r="AV85" i="2" s="1"/>
  <c r="AV86" i="2"/>
  <c r="BL85" i="3"/>
  <c r="BL85" i="2" s="1"/>
  <c r="BL86" i="2"/>
  <c r="S87" i="2"/>
  <c r="AI87" i="2"/>
  <c r="AY87" i="2"/>
  <c r="J88" i="2"/>
  <c r="Z88" i="2"/>
  <c r="AP88" i="2"/>
  <c r="BF88" i="2"/>
  <c r="Q89" i="2"/>
  <c r="AG89" i="2"/>
  <c r="AW89" i="2"/>
  <c r="BM89" i="2"/>
  <c r="T90" i="2"/>
  <c r="AJ90" i="2"/>
  <c r="AZ90" i="2"/>
  <c r="G91" i="2"/>
  <c r="W91" i="2"/>
  <c r="AM91" i="2"/>
  <c r="BC91" i="2"/>
  <c r="N92" i="2"/>
  <c r="AD92" i="2"/>
  <c r="AT92" i="2"/>
  <c r="BJ92" i="2"/>
  <c r="U93" i="2"/>
  <c r="AK93" i="2"/>
  <c r="BA93" i="2"/>
  <c r="H94" i="2"/>
  <c r="X94" i="2"/>
  <c r="AN94" i="2"/>
  <c r="BD94" i="2"/>
  <c r="K95" i="2"/>
  <c r="AA95" i="2"/>
  <c r="AQ95" i="2"/>
  <c r="BG95" i="2"/>
  <c r="R96" i="2"/>
  <c r="AH96" i="2"/>
  <c r="AX96" i="2"/>
  <c r="I97" i="2"/>
  <c r="Y97" i="2"/>
  <c r="AO97" i="2"/>
  <c r="BE97" i="2"/>
  <c r="L98" i="2"/>
  <c r="AB98" i="2"/>
  <c r="AR98" i="2"/>
  <c r="BH98" i="2"/>
  <c r="O99" i="2"/>
  <c r="AE99" i="2"/>
  <c r="AU99" i="2"/>
  <c r="BK99" i="2"/>
  <c r="V100" i="2"/>
  <c r="AL100" i="2"/>
  <c r="BB100" i="2"/>
  <c r="M101" i="2"/>
  <c r="AC101" i="2"/>
  <c r="AS101" i="2"/>
  <c r="BI101" i="2"/>
  <c r="P102" i="2"/>
  <c r="AF102" i="2"/>
  <c r="AV102" i="2"/>
  <c r="BL102" i="2"/>
  <c r="S103" i="2"/>
  <c r="AI103" i="2"/>
  <c r="AY103" i="2"/>
  <c r="J104" i="2"/>
  <c r="Z104" i="2"/>
  <c r="AP104" i="2"/>
  <c r="BF104" i="2"/>
  <c r="Q105" i="2"/>
  <c r="AG105" i="2"/>
  <c r="AW105" i="2"/>
  <c r="BM105" i="2"/>
  <c r="T106" i="2"/>
  <c r="AJ106" i="2"/>
  <c r="AZ106" i="2"/>
  <c r="G107" i="2"/>
  <c r="W107" i="2"/>
  <c r="AM107" i="2"/>
  <c r="BC107" i="2"/>
  <c r="N108" i="2"/>
  <c r="AD108" i="2"/>
  <c r="AT108" i="2"/>
  <c r="BJ108" i="2"/>
  <c r="U109" i="2"/>
  <c r="AK109" i="2"/>
  <c r="BA109" i="2"/>
  <c r="H110" i="2"/>
  <c r="X110" i="2"/>
  <c r="AN110" i="2"/>
  <c r="BD110" i="2"/>
  <c r="K111" i="2"/>
  <c r="AA111" i="2"/>
  <c r="AQ111" i="2"/>
  <c r="BG111" i="2"/>
  <c r="R112" i="2"/>
  <c r="AH112" i="2"/>
  <c r="AX112" i="2"/>
  <c r="I113" i="2"/>
  <c r="Y113" i="2"/>
  <c r="AO113" i="2"/>
  <c r="BE113" i="2"/>
  <c r="O114" i="2"/>
  <c r="AM114" i="2"/>
  <c r="J115" i="2"/>
  <c r="Z115" i="2"/>
  <c r="AP115" i="2"/>
  <c r="BF115" i="2"/>
  <c r="Q116" i="2"/>
  <c r="AG116" i="2"/>
  <c r="AW116" i="2"/>
  <c r="BM116" i="2"/>
  <c r="T117" i="2"/>
  <c r="AJ117" i="2"/>
  <c r="AZ117" i="2"/>
  <c r="G118" i="2"/>
  <c r="W118" i="2"/>
  <c r="AM118" i="2"/>
  <c r="BC118" i="2"/>
  <c r="N119" i="2"/>
  <c r="AD119" i="2"/>
  <c r="AT119" i="2"/>
  <c r="BJ119" i="2"/>
  <c r="U120" i="2"/>
  <c r="AK120" i="2"/>
  <c r="BA120" i="2"/>
  <c r="H121" i="2"/>
  <c r="X121" i="2"/>
  <c r="AN121" i="2"/>
  <c r="BD121" i="2"/>
  <c r="K122" i="2"/>
  <c r="AA122" i="2"/>
  <c r="AQ122" i="2"/>
  <c r="BG122" i="2"/>
  <c r="R123" i="2"/>
  <c r="AH123" i="2"/>
  <c r="AX123" i="2"/>
  <c r="I124" i="2"/>
  <c r="Y124" i="2"/>
  <c r="AO124" i="2"/>
  <c r="BE124" i="2"/>
  <c r="L125" i="2"/>
  <c r="AB125" i="2"/>
  <c r="AR125" i="2"/>
  <c r="BH125" i="2"/>
  <c r="P126" i="3"/>
  <c r="P126" i="2" s="1"/>
  <c r="P127" i="2"/>
  <c r="AF126" i="3"/>
  <c r="AF126" i="2" s="1"/>
  <c r="AF127" i="2"/>
  <c r="AV126" i="3"/>
  <c r="AV126" i="2" s="1"/>
  <c r="AV127" i="2"/>
  <c r="BL126" i="3"/>
  <c r="BL126" i="2" s="1"/>
  <c r="BL127" i="2"/>
  <c r="S128" i="2"/>
  <c r="AI128" i="2"/>
  <c r="AY128" i="2"/>
  <c r="J129" i="2"/>
  <c r="Z129" i="2"/>
  <c r="AP129" i="2"/>
  <c r="BF129" i="2"/>
  <c r="Q130" i="2"/>
  <c r="AG130" i="2"/>
  <c r="AW130" i="2"/>
  <c r="BM130" i="2"/>
  <c r="T131" i="2"/>
  <c r="AJ131" i="2"/>
  <c r="AZ131" i="2"/>
  <c r="G132" i="2"/>
  <c r="W132" i="2"/>
  <c r="AM132" i="2"/>
  <c r="BC132" i="2"/>
  <c r="N133" i="2"/>
  <c r="AD133" i="2"/>
  <c r="AT133" i="2"/>
  <c r="BJ133" i="2"/>
  <c r="U134" i="2"/>
  <c r="AK134" i="2"/>
  <c r="BA134" i="2"/>
  <c r="H135" i="2"/>
  <c r="X135" i="2"/>
  <c r="AN135" i="2"/>
  <c r="BD135" i="2"/>
  <c r="K136" i="2"/>
  <c r="AA136" i="2"/>
  <c r="AQ136" i="2"/>
  <c r="BG136" i="2"/>
  <c r="R137" i="2"/>
  <c r="AH137" i="2"/>
  <c r="AX137" i="2"/>
  <c r="I138" i="2"/>
  <c r="Y138" i="2"/>
  <c r="AO138" i="2"/>
  <c r="BE138" i="2"/>
  <c r="L139" i="2"/>
  <c r="AB139" i="2"/>
  <c r="AR139" i="2"/>
  <c r="BH139" i="2"/>
  <c r="O140" i="2"/>
  <c r="AE140" i="2"/>
  <c r="AU140" i="2"/>
  <c r="BK140" i="2"/>
  <c r="V141" i="2"/>
  <c r="AL141" i="2"/>
  <c r="BB141" i="2"/>
  <c r="M142" i="2"/>
  <c r="AC142" i="2"/>
  <c r="AS142" i="2"/>
  <c r="BI142" i="2"/>
  <c r="P143" i="2"/>
  <c r="AF143" i="2"/>
  <c r="AV143" i="2"/>
  <c r="BL143" i="2"/>
  <c r="S144" i="2"/>
  <c r="AI144" i="2"/>
  <c r="AY144" i="2"/>
  <c r="J145" i="2"/>
  <c r="Z145" i="2"/>
  <c r="AP145" i="2"/>
  <c r="BF145" i="2"/>
  <c r="Q146" i="2"/>
  <c r="AG146" i="2"/>
  <c r="AW146" i="2"/>
  <c r="BM146" i="2"/>
  <c r="T147" i="2"/>
  <c r="AJ147" i="2"/>
  <c r="AZ147" i="2"/>
  <c r="G148" i="2"/>
  <c r="W148" i="2"/>
  <c r="AM148" i="2"/>
  <c r="BC148" i="2"/>
  <c r="N149" i="2"/>
  <c r="AD149" i="2"/>
  <c r="AT149" i="2"/>
  <c r="BJ149" i="2"/>
  <c r="U150" i="2"/>
  <c r="AK150" i="2"/>
  <c r="BA150" i="2"/>
  <c r="H151" i="2"/>
  <c r="X151" i="2"/>
  <c r="AN151" i="2"/>
  <c r="BD151" i="2"/>
  <c r="K152" i="2"/>
  <c r="AA152" i="2"/>
  <c r="AQ152" i="2"/>
  <c r="BG152" i="2"/>
  <c r="R153" i="2"/>
  <c r="AH153" i="2"/>
  <c r="AX153" i="2"/>
  <c r="I154" i="2"/>
  <c r="Y154" i="2"/>
  <c r="AO154" i="2"/>
  <c r="BE154" i="2"/>
  <c r="L155" i="2"/>
  <c r="AB155" i="2"/>
  <c r="AR155" i="2"/>
  <c r="BH155" i="2"/>
  <c r="O156" i="2"/>
  <c r="AE156" i="2"/>
  <c r="AU156" i="2"/>
  <c r="BK156" i="2"/>
  <c r="V157" i="2"/>
  <c r="AL157" i="2"/>
  <c r="BB157" i="2"/>
  <c r="M158" i="2"/>
  <c r="AC158" i="2"/>
  <c r="AS158" i="2"/>
  <c r="BI158" i="2"/>
  <c r="P159" i="2"/>
  <c r="AF159" i="2"/>
  <c r="AV159" i="2"/>
  <c r="BL159" i="2"/>
  <c r="S160" i="2"/>
  <c r="AI160" i="2"/>
  <c r="AY160" i="2"/>
  <c r="J161" i="2"/>
  <c r="Z161" i="2"/>
  <c r="AP161" i="2"/>
  <c r="BF161" i="2"/>
  <c r="Q162" i="2"/>
  <c r="AG162" i="2"/>
  <c r="AW162" i="2"/>
  <c r="BM162" i="2"/>
  <c r="T163" i="2"/>
  <c r="AJ163" i="2"/>
  <c r="AZ163" i="2"/>
  <c r="G164" i="2"/>
  <c r="W164" i="2"/>
  <c r="AM164" i="2"/>
  <c r="BC164" i="2"/>
  <c r="N165" i="2"/>
  <c r="AD165" i="2"/>
  <c r="AT165" i="2"/>
  <c r="BJ165" i="2"/>
  <c r="U166" i="2"/>
  <c r="AK166" i="2"/>
  <c r="BA166" i="2"/>
  <c r="I167" i="3"/>
  <c r="I167" i="2" s="1"/>
  <c r="I168" i="2"/>
  <c r="Y167" i="3"/>
  <c r="Y167" i="2" s="1"/>
  <c r="Y168" i="2"/>
  <c r="AO167" i="3"/>
  <c r="AO167" i="2" s="1"/>
  <c r="AO168" i="2"/>
  <c r="BE167" i="3"/>
  <c r="BE167" i="2" s="1"/>
  <c r="BE168" i="2"/>
  <c r="L169" i="2"/>
  <c r="AB169" i="2"/>
  <c r="AR169" i="2"/>
  <c r="BH169" i="2"/>
  <c r="O170" i="2"/>
  <c r="AE170" i="2"/>
  <c r="AU170" i="2"/>
  <c r="BK170" i="2"/>
  <c r="V171" i="2"/>
  <c r="AL171" i="2"/>
  <c r="BB171" i="2"/>
  <c r="M172" i="2"/>
  <c r="AC172" i="2"/>
  <c r="AS172" i="2"/>
  <c r="BI172" i="2"/>
  <c r="P173" i="2"/>
  <c r="AF173" i="2"/>
  <c r="AV173" i="2"/>
  <c r="BL173" i="2"/>
  <c r="S174" i="2"/>
  <c r="AI174" i="2"/>
  <c r="AY174" i="2"/>
  <c r="J175" i="2"/>
  <c r="Z175" i="2"/>
  <c r="AP175" i="2"/>
  <c r="BF175" i="2"/>
  <c r="Q176" i="2"/>
  <c r="AG176" i="2"/>
  <c r="AW176" i="2"/>
  <c r="BM176" i="2"/>
  <c r="T177" i="2"/>
  <c r="AJ177" i="2"/>
  <c r="AZ177" i="2"/>
  <c r="G178" i="2"/>
  <c r="W178" i="2"/>
  <c r="AM178" i="2"/>
  <c r="BC178" i="2"/>
  <c r="N179" i="2"/>
  <c r="AD179" i="2"/>
  <c r="AT179" i="2"/>
  <c r="BJ179" i="2"/>
  <c r="U180" i="2"/>
  <c r="AK180" i="2"/>
  <c r="BA180" i="2"/>
  <c r="H181" i="2"/>
  <c r="X181" i="2"/>
  <c r="AN181" i="2"/>
  <c r="BD181" i="2"/>
  <c r="K182" i="2"/>
  <c r="AA182" i="2"/>
  <c r="AQ182" i="2"/>
  <c r="BG182" i="2"/>
  <c r="R183" i="2"/>
  <c r="AH183" i="2"/>
  <c r="AX183" i="2"/>
  <c r="I184" i="2"/>
  <c r="Y184" i="2"/>
  <c r="AO184" i="2"/>
  <c r="BE184" i="2"/>
  <c r="L185" i="2"/>
  <c r="AB185" i="2"/>
  <c r="AR185" i="2"/>
  <c r="BH185" i="2"/>
  <c r="O186" i="2"/>
  <c r="AE186" i="2"/>
  <c r="AU186" i="2"/>
  <c r="BK186" i="2"/>
  <c r="V187" i="2"/>
  <c r="AL187" i="2"/>
  <c r="BB187" i="2"/>
  <c r="M188" i="2"/>
  <c r="AC188" i="2"/>
  <c r="AS188" i="2"/>
  <c r="BI188" i="2"/>
  <c r="P189" i="2"/>
  <c r="AF189" i="2"/>
  <c r="AV189" i="2"/>
  <c r="BL189" i="2"/>
  <c r="S190" i="2"/>
  <c r="AI190" i="2"/>
  <c r="AY190" i="2"/>
  <c r="J191" i="2"/>
  <c r="Z191" i="2"/>
  <c r="AP191" i="2"/>
  <c r="BF191" i="2"/>
  <c r="Q192" i="2"/>
  <c r="AG192" i="2"/>
  <c r="AW192" i="2"/>
  <c r="BM192" i="2"/>
  <c r="T193" i="2"/>
  <c r="AJ193" i="2"/>
  <c r="AZ193" i="2"/>
  <c r="G194" i="2"/>
  <c r="W194" i="2"/>
  <c r="AM194" i="2"/>
  <c r="BC194" i="2"/>
  <c r="N195" i="2"/>
  <c r="AD195" i="2"/>
  <c r="AT195" i="2"/>
  <c r="BJ195" i="2"/>
  <c r="U196" i="2"/>
  <c r="AK196" i="2"/>
  <c r="BA196" i="2"/>
  <c r="H197" i="2"/>
  <c r="X197" i="2"/>
  <c r="AN197" i="2"/>
  <c r="BD197" i="2"/>
  <c r="K198" i="2"/>
  <c r="AA198" i="2"/>
  <c r="AQ198" i="2"/>
  <c r="BG198" i="2"/>
  <c r="R199" i="2"/>
  <c r="AH199" i="2"/>
  <c r="AX199" i="2"/>
  <c r="I200" i="2"/>
  <c r="AB200" i="2"/>
  <c r="AW200" i="2"/>
  <c r="H201" i="2"/>
  <c r="AD201" i="2"/>
  <c r="AY201" i="2"/>
  <c r="Q202" i="2"/>
  <c r="AL202" i="2"/>
  <c r="BG202" i="2"/>
  <c r="T203" i="2"/>
  <c r="AO203" i="2"/>
  <c r="BJ203" i="2"/>
  <c r="W204" i="2"/>
  <c r="AR204" i="2"/>
  <c r="BM204" i="2"/>
  <c r="X205" i="2"/>
  <c r="AT205" i="2"/>
  <c r="K206" i="2"/>
  <c r="AG206" i="2"/>
  <c r="BB206" i="2"/>
  <c r="K115" i="2"/>
  <c r="AA115" i="2"/>
  <c r="AQ115" i="2"/>
  <c r="BG115" i="2"/>
  <c r="R116" i="2"/>
  <c r="AH116" i="2"/>
  <c r="AX116" i="2"/>
  <c r="I117" i="2"/>
  <c r="Y117" i="2"/>
  <c r="AO117" i="2"/>
  <c r="BE117" i="2"/>
  <c r="L118" i="2"/>
  <c r="AB118" i="2"/>
  <c r="AR118" i="2"/>
  <c r="BH118" i="2"/>
  <c r="O119" i="2"/>
  <c r="AE119" i="2"/>
  <c r="AU119" i="2"/>
  <c r="BK119" i="2"/>
  <c r="V120" i="2"/>
  <c r="AL120" i="2"/>
  <c r="BB120" i="2"/>
  <c r="M121" i="2"/>
  <c r="AC121" i="2"/>
  <c r="AS121" i="2"/>
  <c r="BI121" i="2"/>
  <c r="P122" i="2"/>
  <c r="AF122" i="2"/>
  <c r="AV122" i="2"/>
  <c r="BL122" i="2"/>
  <c r="S123" i="2"/>
  <c r="AI123" i="2"/>
  <c r="AY123" i="2"/>
  <c r="J124" i="2"/>
  <c r="Z124" i="2"/>
  <c r="AP124" i="2"/>
  <c r="BF124" i="2"/>
  <c r="Q125" i="2"/>
  <c r="AG125" i="2"/>
  <c r="AW125" i="2"/>
  <c r="BM125" i="2"/>
  <c r="U126" i="3"/>
  <c r="U126" i="2" s="1"/>
  <c r="U127" i="2"/>
  <c r="AK126" i="3"/>
  <c r="AK126" i="2" s="1"/>
  <c r="AK127" i="2"/>
  <c r="BA126" i="3"/>
  <c r="BA126" i="2" s="1"/>
  <c r="BA127" i="2"/>
  <c r="H128" i="2"/>
  <c r="X128" i="2"/>
  <c r="AN128" i="2"/>
  <c r="BD128" i="2"/>
  <c r="K129" i="2"/>
  <c r="AA129" i="2"/>
  <c r="AQ129" i="2"/>
  <c r="BG129" i="2"/>
  <c r="R130" i="2"/>
  <c r="AH130" i="2"/>
  <c r="AX130" i="2"/>
  <c r="I131" i="2"/>
  <c r="Y131" i="2"/>
  <c r="AO131" i="2"/>
  <c r="BE131" i="2"/>
  <c r="L132" i="2"/>
  <c r="AB132" i="2"/>
  <c r="AR132" i="2"/>
  <c r="BH132" i="2"/>
  <c r="O133" i="2"/>
  <c r="AE133" i="2"/>
  <c r="AU133" i="2"/>
  <c r="BK133" i="2"/>
  <c r="V134" i="2"/>
  <c r="AL134" i="2"/>
  <c r="BB134" i="2"/>
  <c r="M135" i="2"/>
  <c r="AC135" i="2"/>
  <c r="AS135" i="2"/>
  <c r="BI135" i="2"/>
  <c r="P136" i="2"/>
  <c r="AF136" i="2"/>
  <c r="AV136" i="2"/>
  <c r="BL136" i="2"/>
  <c r="S137" i="2"/>
  <c r="AI137" i="2"/>
  <c r="AY137" i="2"/>
  <c r="J138" i="2"/>
  <c r="Z138" i="2"/>
  <c r="AP138" i="2"/>
  <c r="BF138" i="2"/>
  <c r="Q139" i="2"/>
  <c r="AG139" i="2"/>
  <c r="AW139" i="2"/>
  <c r="BM139" i="2"/>
  <c r="T140" i="2"/>
  <c r="AJ140" i="2"/>
  <c r="AZ140" i="2"/>
  <c r="G141" i="2"/>
  <c r="W141" i="2"/>
  <c r="AM141" i="2"/>
  <c r="BC141" i="2"/>
  <c r="N142" i="2"/>
  <c r="AD142" i="2"/>
  <c r="AT142" i="2"/>
  <c r="BJ142" i="2"/>
  <c r="U143" i="2"/>
  <c r="AK143" i="2"/>
  <c r="BA143" i="2"/>
  <c r="H144" i="2"/>
  <c r="X144" i="2"/>
  <c r="AN144" i="2"/>
  <c r="BD144" i="2"/>
  <c r="K145" i="2"/>
  <c r="AA145" i="2"/>
  <c r="AQ145" i="2"/>
  <c r="BG145" i="2"/>
  <c r="R146" i="2"/>
  <c r="AH146" i="2"/>
  <c r="AX146" i="2"/>
  <c r="I147" i="2"/>
  <c r="Y147" i="2"/>
  <c r="AO147" i="2"/>
  <c r="BE147" i="2"/>
  <c r="L148" i="2"/>
  <c r="AB148" i="2"/>
  <c r="AR148" i="2"/>
  <c r="BH148" i="2"/>
  <c r="O149" i="2"/>
  <c r="AE149" i="2"/>
  <c r="AU149" i="2"/>
  <c r="BK149" i="2"/>
  <c r="V150" i="2"/>
  <c r="AL150" i="2"/>
  <c r="BB150" i="2"/>
  <c r="M151" i="2"/>
  <c r="AC151" i="2"/>
  <c r="AS151" i="2"/>
  <c r="BI151" i="2"/>
  <c r="P152" i="2"/>
  <c r="AF152" i="2"/>
  <c r="AV152" i="2"/>
  <c r="BL152" i="2"/>
  <c r="S153" i="2"/>
  <c r="AI153" i="2"/>
  <c r="AY153" i="2"/>
  <c r="J154" i="2"/>
  <c r="Z154" i="2"/>
  <c r="AP154" i="2"/>
  <c r="BF154" i="2"/>
  <c r="Q155" i="2"/>
  <c r="AG155" i="2"/>
  <c r="AW155" i="2"/>
  <c r="BM155" i="2"/>
  <c r="T156" i="2"/>
  <c r="AJ156" i="2"/>
  <c r="AZ156" i="2"/>
  <c r="G157" i="2"/>
  <c r="W157" i="2"/>
  <c r="AM157" i="2"/>
  <c r="BC157" i="2"/>
  <c r="N158" i="2"/>
  <c r="AD158" i="2"/>
  <c r="AT158" i="2"/>
  <c r="BJ158" i="2"/>
  <c r="U159" i="2"/>
  <c r="AK159" i="2"/>
  <c r="BA159" i="2"/>
  <c r="H160" i="2"/>
  <c r="X160" i="2"/>
  <c r="AN160" i="2"/>
  <c r="BD160" i="2"/>
  <c r="K161" i="2"/>
  <c r="AA161" i="2"/>
  <c r="AQ161" i="2"/>
  <c r="BG161" i="2"/>
  <c r="R162" i="2"/>
  <c r="AH162" i="2"/>
  <c r="AX162" i="2"/>
  <c r="I163" i="2"/>
  <c r="Y163" i="2"/>
  <c r="AO163" i="2"/>
  <c r="BE163" i="2"/>
  <c r="L164" i="2"/>
  <c r="AB164" i="2"/>
  <c r="AR164" i="2"/>
  <c r="BH164" i="2"/>
  <c r="O165" i="2"/>
  <c r="AE165" i="2"/>
  <c r="AU165" i="2"/>
  <c r="BK165" i="2"/>
  <c r="V166" i="2"/>
  <c r="AL166" i="2"/>
  <c r="BB166" i="2"/>
  <c r="N167" i="3"/>
  <c r="N167" i="2" s="1"/>
  <c r="N168" i="2"/>
  <c r="AD167" i="3"/>
  <c r="AD167" i="2" s="1"/>
  <c r="AD168" i="2"/>
  <c r="AT167" i="3"/>
  <c r="AT167" i="2" s="1"/>
  <c r="AT168" i="2"/>
  <c r="BJ167" i="3"/>
  <c r="BJ167" i="2" s="1"/>
  <c r="BJ168" i="2"/>
  <c r="U169" i="2"/>
  <c r="AK169" i="2"/>
  <c r="BA169" i="2"/>
  <c r="H170" i="2"/>
  <c r="X170" i="2"/>
  <c r="AN170" i="2"/>
  <c r="BD170" i="2"/>
  <c r="K171" i="2"/>
  <c r="AA171" i="2"/>
  <c r="AQ171" i="2"/>
  <c r="BG171" i="2"/>
  <c r="R172" i="2"/>
  <c r="AH172" i="2"/>
  <c r="AX172" i="2"/>
  <c r="I173" i="2"/>
  <c r="Y173" i="2"/>
  <c r="AO173" i="2"/>
  <c r="BE173" i="2"/>
  <c r="L174" i="2"/>
  <c r="AB174" i="2"/>
  <c r="AR174" i="2"/>
  <c r="BH174" i="2"/>
  <c r="O175" i="2"/>
  <c r="AE175" i="2"/>
  <c r="AU175" i="2"/>
  <c r="BK175" i="2"/>
  <c r="V176" i="2"/>
  <c r="AL176" i="2"/>
  <c r="BB176" i="2"/>
  <c r="M177" i="2"/>
  <c r="AC177" i="2"/>
  <c r="AS177" i="2"/>
  <c r="BI177" i="2"/>
  <c r="P178" i="2"/>
  <c r="AF178" i="2"/>
  <c r="AV178" i="2"/>
  <c r="BL178" i="2"/>
  <c r="S179" i="2"/>
  <c r="AI179" i="2"/>
  <c r="AY179" i="2"/>
  <c r="J180" i="2"/>
  <c r="Z180" i="2"/>
  <c r="AP180" i="2"/>
  <c r="BF180" i="2"/>
  <c r="Q181" i="2"/>
  <c r="AG181" i="2"/>
  <c r="AW181" i="2"/>
  <c r="BM181" i="2"/>
  <c r="T182" i="2"/>
  <c r="AJ182" i="2"/>
  <c r="AZ182" i="2"/>
  <c r="G183" i="2"/>
  <c r="W183" i="2"/>
  <c r="AM183" i="2"/>
  <c r="BC183" i="2"/>
  <c r="N184" i="2"/>
  <c r="AD184" i="2"/>
  <c r="AT184" i="2"/>
  <c r="BJ184" i="2"/>
  <c r="U185" i="2"/>
  <c r="AK185" i="2"/>
  <c r="BA185" i="2"/>
  <c r="H186" i="2"/>
  <c r="X186" i="2"/>
  <c r="AN186" i="2"/>
  <c r="BD186" i="2"/>
  <c r="K187" i="2"/>
  <c r="AA187" i="2"/>
  <c r="AQ187" i="2"/>
  <c r="BG187" i="2"/>
  <c r="R188" i="2"/>
  <c r="AH188" i="2"/>
  <c r="AX188" i="2"/>
  <c r="I189" i="2"/>
  <c r="Y189" i="2"/>
  <c r="AO189" i="2"/>
  <c r="BE189" i="2"/>
  <c r="L190" i="2"/>
  <c r="AB190" i="2"/>
  <c r="AR190" i="2"/>
  <c r="BH190" i="2"/>
  <c r="O191" i="2"/>
  <c r="AE191" i="2"/>
  <c r="AU191" i="2"/>
  <c r="BK191" i="2"/>
  <c r="V192" i="2"/>
  <c r="AL192" i="2"/>
  <c r="BB192" i="2"/>
  <c r="M193" i="2"/>
  <c r="AC193" i="2"/>
  <c r="AS193" i="2"/>
  <c r="BI193" i="2"/>
  <c r="P194" i="2"/>
  <c r="AF194" i="2"/>
  <c r="AV194" i="2"/>
  <c r="BL194" i="2"/>
  <c r="S195" i="2"/>
  <c r="AI195" i="2"/>
  <c r="AY195" i="2"/>
  <c r="J196" i="2"/>
  <c r="Z196" i="2"/>
  <c r="AP196" i="2"/>
  <c r="BF196" i="2"/>
  <c r="Q197" i="2"/>
  <c r="AG197" i="2"/>
  <c r="AW197" i="2"/>
  <c r="BM197" i="2"/>
  <c r="T198" i="2"/>
  <c r="AJ198" i="2"/>
  <c r="AZ198" i="2"/>
  <c r="G199" i="2"/>
  <c r="W199" i="2"/>
  <c r="AM199" i="2"/>
  <c r="BC199" i="2"/>
  <c r="N200" i="2"/>
  <c r="AI200" i="2"/>
  <c r="BD200" i="2"/>
  <c r="T201" i="2"/>
  <c r="AP201" i="2"/>
  <c r="BK201" i="2"/>
  <c r="W202" i="2"/>
  <c r="AS202" i="2"/>
  <c r="J203" i="2"/>
  <c r="AF203" i="2"/>
  <c r="BA203" i="2"/>
  <c r="M204" i="2"/>
  <c r="AI204" i="2"/>
  <c r="BD204" i="2"/>
  <c r="T205" i="2"/>
  <c r="AP205" i="2"/>
  <c r="BK205" i="2"/>
  <c r="W206" i="2"/>
  <c r="AS206" i="2"/>
  <c r="AG114" i="2"/>
  <c r="AW114" i="2"/>
  <c r="BM114" i="2"/>
  <c r="T115" i="2"/>
  <c r="AJ115" i="2"/>
  <c r="AZ115" i="2"/>
  <c r="G116" i="2"/>
  <c r="W116" i="2"/>
  <c r="AM116" i="2"/>
  <c r="BC116" i="2"/>
  <c r="N117" i="2"/>
  <c r="AD117" i="2"/>
  <c r="AT117" i="2"/>
  <c r="BJ117" i="2"/>
  <c r="U118" i="2"/>
  <c r="AK118" i="2"/>
  <c r="BA118" i="2"/>
  <c r="H119" i="2"/>
  <c r="X119" i="2"/>
  <c r="AN119" i="2"/>
  <c r="BD119" i="2"/>
  <c r="K120" i="2"/>
  <c r="AA120" i="2"/>
  <c r="AQ120" i="2"/>
  <c r="BG120" i="2"/>
  <c r="R121" i="2"/>
  <c r="AH121" i="2"/>
  <c r="AX121" i="2"/>
  <c r="I122" i="2"/>
  <c r="Y122" i="2"/>
  <c r="AO122" i="2"/>
  <c r="BE122" i="2"/>
  <c r="L123" i="2"/>
  <c r="AB123" i="2"/>
  <c r="AR123" i="2"/>
  <c r="BH123" i="2"/>
  <c r="O124" i="2"/>
  <c r="AE124" i="2"/>
  <c r="AU124" i="2"/>
  <c r="BK124" i="2"/>
  <c r="V125" i="2"/>
  <c r="AL125" i="2"/>
  <c r="BB125" i="2"/>
  <c r="N126" i="3"/>
  <c r="N126" i="2" s="1"/>
  <c r="N127" i="2"/>
  <c r="AD126" i="3"/>
  <c r="AD126" i="2" s="1"/>
  <c r="AD127" i="2"/>
  <c r="AT126" i="3"/>
  <c r="AT126" i="2" s="1"/>
  <c r="AT127" i="2"/>
  <c r="BJ126" i="3"/>
  <c r="BJ126" i="2" s="1"/>
  <c r="BJ127" i="2"/>
  <c r="U128" i="2"/>
  <c r="AK128" i="2"/>
  <c r="BA128" i="2"/>
  <c r="H129" i="2"/>
  <c r="X129" i="2"/>
  <c r="AN129" i="2"/>
  <c r="BD129" i="2"/>
  <c r="K130" i="2"/>
  <c r="AA130" i="2"/>
  <c r="AQ130" i="2"/>
  <c r="BG130" i="2"/>
  <c r="R131" i="2"/>
  <c r="AH131" i="2"/>
  <c r="AX131" i="2"/>
  <c r="I132" i="2"/>
  <c r="Y132" i="2"/>
  <c r="AO132" i="2"/>
  <c r="BE132" i="2"/>
  <c r="L133" i="2"/>
  <c r="AB133" i="2"/>
  <c r="AR133" i="2"/>
  <c r="BH133" i="2"/>
  <c r="O134" i="2"/>
  <c r="AE134" i="2"/>
  <c r="AU134" i="2"/>
  <c r="BK134" i="2"/>
  <c r="V135" i="2"/>
  <c r="AL135" i="2"/>
  <c r="BB135" i="2"/>
  <c r="M136" i="2"/>
  <c r="AC136" i="2"/>
  <c r="AS136" i="2"/>
  <c r="BI136" i="2"/>
  <c r="P137" i="2"/>
  <c r="AF137" i="2"/>
  <c r="AV137" i="2"/>
  <c r="BL137" i="2"/>
  <c r="S138" i="2"/>
  <c r="AI138" i="2"/>
  <c r="AY138" i="2"/>
  <c r="J139" i="2"/>
  <c r="Z139" i="2"/>
  <c r="AP139" i="2"/>
  <c r="BF139" i="2"/>
  <c r="Q140" i="2"/>
  <c r="AG140" i="2"/>
  <c r="AW140" i="2"/>
  <c r="BM140" i="2"/>
  <c r="T141" i="2"/>
  <c r="AJ141" i="2"/>
  <c r="AZ141" i="2"/>
  <c r="G142" i="2"/>
  <c r="W142" i="2"/>
  <c r="AM142" i="2"/>
  <c r="BC142" i="2"/>
  <c r="N143" i="2"/>
  <c r="AD143" i="2"/>
  <c r="AT143" i="2"/>
  <c r="BJ143" i="2"/>
  <c r="U144" i="2"/>
  <c r="AK144" i="2"/>
  <c r="BA144" i="2"/>
  <c r="H145" i="2"/>
  <c r="X145" i="2"/>
  <c r="AN145" i="2"/>
  <c r="BD145" i="2"/>
  <c r="K146" i="2"/>
  <c r="AA146" i="2"/>
  <c r="AQ146" i="2"/>
  <c r="BG146" i="2"/>
  <c r="R147" i="2"/>
  <c r="AH147" i="2"/>
  <c r="AX147" i="2"/>
  <c r="I148" i="2"/>
  <c r="Y148" i="2"/>
  <c r="AO148" i="2"/>
  <c r="BE148" i="2"/>
  <c r="L149" i="2"/>
  <c r="AB149" i="2"/>
  <c r="AR149" i="2"/>
  <c r="BH149" i="2"/>
  <c r="O150" i="2"/>
  <c r="AE150" i="2"/>
  <c r="AU150" i="2"/>
  <c r="BK150" i="2"/>
  <c r="V151" i="2"/>
  <c r="AL151" i="2"/>
  <c r="BB151" i="2"/>
  <c r="M152" i="2"/>
  <c r="AC152" i="2"/>
  <c r="AS152" i="2"/>
  <c r="BI152" i="2"/>
  <c r="P153" i="2"/>
  <c r="AF153" i="2"/>
  <c r="AV153" i="2"/>
  <c r="BL153" i="2"/>
  <c r="S154" i="2"/>
  <c r="AI154" i="2"/>
  <c r="AY154" i="2"/>
  <c r="J155" i="2"/>
  <c r="Z155" i="2"/>
  <c r="AP155" i="2"/>
  <c r="BF155" i="2"/>
  <c r="Q156" i="2"/>
  <c r="AG156" i="2"/>
  <c r="AW156" i="2"/>
  <c r="BM156" i="2"/>
  <c r="T157" i="2"/>
  <c r="AJ157" i="2"/>
  <c r="AZ157" i="2"/>
  <c r="G158" i="2"/>
  <c r="W158" i="2"/>
  <c r="AM158" i="2"/>
  <c r="BC158" i="2"/>
  <c r="N159" i="2"/>
  <c r="AD159" i="2"/>
  <c r="AT159" i="2"/>
  <c r="BJ159" i="2"/>
  <c r="U160" i="2"/>
  <c r="AK160" i="2"/>
  <c r="BA160" i="2"/>
  <c r="H161" i="2"/>
  <c r="X161" i="2"/>
  <c r="AN161" i="2"/>
  <c r="BD161" i="2"/>
  <c r="K162" i="2"/>
  <c r="AA162" i="2"/>
  <c r="AQ162" i="2"/>
  <c r="BG162" i="2"/>
  <c r="R163" i="2"/>
  <c r="AH163" i="2"/>
  <c r="AX163" i="2"/>
  <c r="I164" i="2"/>
  <c r="Y164" i="2"/>
  <c r="AO164" i="2"/>
  <c r="BE164" i="2"/>
  <c r="L165" i="2"/>
  <c r="AB165" i="2"/>
  <c r="AR165" i="2"/>
  <c r="BH165" i="2"/>
  <c r="O166" i="2"/>
  <c r="AE166" i="2"/>
  <c r="AU166" i="2"/>
  <c r="BK166" i="2"/>
  <c r="S167" i="3"/>
  <c r="S167" i="2" s="1"/>
  <c r="S168" i="2"/>
  <c r="AI167" i="3"/>
  <c r="AI167" i="2" s="1"/>
  <c r="AI168" i="2"/>
  <c r="AY167" i="3"/>
  <c r="AY167" i="2" s="1"/>
  <c r="AY168" i="2"/>
  <c r="J169" i="2"/>
  <c r="Z169" i="2"/>
  <c r="AP169" i="2"/>
  <c r="BF169" i="2"/>
  <c r="Q170" i="2"/>
  <c r="AG170" i="2"/>
  <c r="AW170" i="2"/>
  <c r="BM170" i="2"/>
  <c r="T171" i="2"/>
  <c r="AJ171" i="2"/>
  <c r="AZ171" i="2"/>
  <c r="G172" i="2"/>
  <c r="W172" i="2"/>
  <c r="AM172" i="2"/>
  <c r="BC172" i="2"/>
  <c r="N173" i="2"/>
  <c r="AD173" i="2"/>
  <c r="AT173" i="2"/>
  <c r="BJ173" i="2"/>
  <c r="U174" i="2"/>
  <c r="AK174" i="2"/>
  <c r="BA174" i="2"/>
  <c r="H175" i="2"/>
  <c r="X175" i="2"/>
  <c r="AN175" i="2"/>
  <c r="BD175" i="2"/>
  <c r="K176" i="2"/>
  <c r="AA176" i="2"/>
  <c r="AQ176" i="2"/>
  <c r="BG176" i="2"/>
  <c r="R177" i="2"/>
  <c r="AH177" i="2"/>
  <c r="AX177" i="2"/>
  <c r="I178" i="2"/>
  <c r="Y178" i="2"/>
  <c r="AO178" i="2"/>
  <c r="BE178" i="2"/>
  <c r="L179" i="2"/>
  <c r="AB179" i="2"/>
  <c r="AR179" i="2"/>
  <c r="BH179" i="2"/>
  <c r="O180" i="2"/>
  <c r="AE180" i="2"/>
  <c r="AU180" i="2"/>
  <c r="BK180" i="2"/>
  <c r="V181" i="2"/>
  <c r="AL181" i="2"/>
  <c r="BB181" i="2"/>
  <c r="M182" i="2"/>
  <c r="AC182" i="2"/>
  <c r="AS182" i="2"/>
  <c r="BI182" i="2"/>
  <c r="P183" i="2"/>
  <c r="AF183" i="2"/>
  <c r="AV183" i="2"/>
  <c r="BL183" i="2"/>
  <c r="S184" i="2"/>
  <c r="AI184" i="2"/>
  <c r="AY184" i="2"/>
  <c r="J185" i="2"/>
  <c r="Z185" i="2"/>
  <c r="AP185" i="2"/>
  <c r="BF185" i="2"/>
  <c r="Q186" i="2"/>
  <c r="AG186" i="2"/>
  <c r="AW186" i="2"/>
  <c r="BM186" i="2"/>
  <c r="T187" i="2"/>
  <c r="AJ187" i="2"/>
  <c r="AZ187" i="2"/>
  <c r="G188" i="2"/>
  <c r="W188" i="2"/>
  <c r="AM188" i="2"/>
  <c r="BC188" i="2"/>
  <c r="N189" i="2"/>
  <c r="AD189" i="2"/>
  <c r="AT189" i="2"/>
  <c r="BJ189" i="2"/>
  <c r="U190" i="2"/>
  <c r="AK190" i="2"/>
  <c r="BA190" i="2"/>
  <c r="H191" i="2"/>
  <c r="X191" i="2"/>
  <c r="AN191" i="2"/>
  <c r="BD191" i="2"/>
  <c r="K192" i="2"/>
  <c r="AA192" i="2"/>
  <c r="AQ192" i="2"/>
  <c r="BG192" i="2"/>
  <c r="R193" i="2"/>
  <c r="AH193" i="2"/>
  <c r="AX193" i="2"/>
  <c r="I194" i="2"/>
  <c r="Y194" i="2"/>
  <c r="AO194" i="2"/>
  <c r="BE194" i="2"/>
  <c r="L195" i="2"/>
  <c r="AB195" i="2"/>
  <c r="AR195" i="2"/>
  <c r="BH195" i="2"/>
  <c r="O196" i="2"/>
  <c r="AE196" i="2"/>
  <c r="AU196" i="2"/>
  <c r="BK196" i="2"/>
  <c r="V197" i="2"/>
  <c r="AL197" i="2"/>
  <c r="BB197" i="2"/>
  <c r="M198" i="2"/>
  <c r="AC198" i="2"/>
  <c r="AS198" i="2"/>
  <c r="BI198" i="2"/>
  <c r="P199" i="2"/>
  <c r="AF199" i="2"/>
  <c r="AV199" i="2"/>
  <c r="BL199" i="2"/>
  <c r="T200" i="2"/>
  <c r="AO200" i="2"/>
  <c r="BK200" i="2"/>
  <c r="AA201" i="2"/>
  <c r="AV201" i="2"/>
  <c r="I202" i="2"/>
  <c r="AD202" i="2"/>
  <c r="AY202" i="2"/>
  <c r="Q203" i="2"/>
  <c r="AL203" i="2"/>
  <c r="BH203" i="2"/>
  <c r="T204" i="2"/>
  <c r="AO204" i="2"/>
  <c r="BK204" i="2"/>
  <c r="AA205" i="2"/>
  <c r="AV205" i="2"/>
  <c r="I206" i="2"/>
  <c r="AD206" i="2"/>
  <c r="AY206" i="2"/>
  <c r="N114" i="2"/>
  <c r="AD114" i="2"/>
  <c r="AT114" i="2"/>
  <c r="BJ114" i="2"/>
  <c r="U115" i="2"/>
  <c r="AK115" i="2"/>
  <c r="BA115" i="2"/>
  <c r="H116" i="2"/>
  <c r="X116" i="2"/>
  <c r="AN116" i="2"/>
  <c r="BD116" i="2"/>
  <c r="K117" i="2"/>
  <c r="AA117" i="2"/>
  <c r="AQ117" i="2"/>
  <c r="BG117" i="2"/>
  <c r="R118" i="2"/>
  <c r="AH118" i="2"/>
  <c r="AX118" i="2"/>
  <c r="I119" i="2"/>
  <c r="Y119" i="2"/>
  <c r="AO119" i="2"/>
  <c r="BE119" i="2"/>
  <c r="L120" i="2"/>
  <c r="AB120" i="2"/>
  <c r="AR120" i="2"/>
  <c r="BH120" i="2"/>
  <c r="O121" i="2"/>
  <c r="AE121" i="2"/>
  <c r="AU121" i="2"/>
  <c r="BK121" i="2"/>
  <c r="V122" i="2"/>
  <c r="AL122" i="2"/>
  <c r="BB122" i="2"/>
  <c r="M123" i="2"/>
  <c r="AC123" i="2"/>
  <c r="AS123" i="2"/>
  <c r="BI123" i="2"/>
  <c r="P124" i="2"/>
  <c r="AF124" i="2"/>
  <c r="AV124" i="2"/>
  <c r="BL124" i="2"/>
  <c r="S125" i="2"/>
  <c r="AI125" i="2"/>
  <c r="AY125" i="2"/>
  <c r="G126" i="3"/>
  <c r="G126" i="2" s="1"/>
  <c r="G127" i="2"/>
  <c r="W126" i="3"/>
  <c r="W126" i="2" s="1"/>
  <c r="W127" i="2"/>
  <c r="AM126" i="3"/>
  <c r="AM126" i="2" s="1"/>
  <c r="AM127" i="2"/>
  <c r="BC126" i="3"/>
  <c r="BC126" i="2" s="1"/>
  <c r="BC127" i="2"/>
  <c r="N128" i="2"/>
  <c r="AD128" i="2"/>
  <c r="AT128" i="2"/>
  <c r="BJ128" i="2"/>
  <c r="U129" i="2"/>
  <c r="AK129" i="2"/>
  <c r="BA129" i="2"/>
  <c r="H130" i="2"/>
  <c r="X130" i="2"/>
  <c r="AN130" i="2"/>
  <c r="BD130" i="2"/>
  <c r="K131" i="2"/>
  <c r="AA131" i="2"/>
  <c r="AQ131" i="2"/>
  <c r="BG131" i="2"/>
  <c r="R132" i="2"/>
  <c r="AH132" i="2"/>
  <c r="AX132" i="2"/>
  <c r="I133" i="2"/>
  <c r="Y133" i="2"/>
  <c r="AO133" i="2"/>
  <c r="BE133" i="2"/>
  <c r="L134" i="2"/>
  <c r="AB134" i="2"/>
  <c r="AR134" i="2"/>
  <c r="BH134" i="2"/>
  <c r="O135" i="2"/>
  <c r="AE135" i="2"/>
  <c r="AU135" i="2"/>
  <c r="BK135" i="2"/>
  <c r="V136" i="2"/>
  <c r="AL136" i="2"/>
  <c r="BB136" i="2"/>
  <c r="M137" i="2"/>
  <c r="AC137" i="2"/>
  <c r="AS137" i="2"/>
  <c r="BI137" i="2"/>
  <c r="P138" i="2"/>
  <c r="AF138" i="2"/>
  <c r="AV138" i="2"/>
  <c r="BL138" i="2"/>
  <c r="S139" i="2"/>
  <c r="AI139" i="2"/>
  <c r="AY139" i="2"/>
  <c r="J140" i="2"/>
  <c r="Z140" i="2"/>
  <c r="AP140" i="2"/>
  <c r="BF140" i="2"/>
  <c r="Q141" i="2"/>
  <c r="AG141" i="2"/>
  <c r="AW141" i="2"/>
  <c r="BM141" i="2"/>
  <c r="T142" i="2"/>
  <c r="AJ142" i="2"/>
  <c r="AZ142" i="2"/>
  <c r="G143" i="2"/>
  <c r="W143" i="2"/>
  <c r="AM143" i="2"/>
  <c r="BC143" i="2"/>
  <c r="N144" i="2"/>
  <c r="AD144" i="2"/>
  <c r="AT144" i="2"/>
  <c r="BJ144" i="2"/>
  <c r="U145" i="2"/>
  <c r="AK145" i="2"/>
  <c r="BA145" i="2"/>
  <c r="H146" i="2"/>
  <c r="X146" i="2"/>
  <c r="AN146" i="2"/>
  <c r="BD146" i="2"/>
  <c r="K147" i="2"/>
  <c r="AA147" i="2"/>
  <c r="AQ147" i="2"/>
  <c r="BG147" i="2"/>
  <c r="R148" i="2"/>
  <c r="AH148" i="2"/>
  <c r="AX148" i="2"/>
  <c r="I149" i="2"/>
  <c r="Y149" i="2"/>
  <c r="AO149" i="2"/>
  <c r="BE149" i="2"/>
  <c r="L150" i="2"/>
  <c r="AB150" i="2"/>
  <c r="AR150" i="2"/>
  <c r="BH150" i="2"/>
  <c r="O151" i="2"/>
  <c r="AE151" i="2"/>
  <c r="AU151" i="2"/>
  <c r="BK151" i="2"/>
  <c r="V152" i="2"/>
  <c r="AL152" i="2"/>
  <c r="BB152" i="2"/>
  <c r="M153" i="2"/>
  <c r="AC153" i="2"/>
  <c r="AS153" i="2"/>
  <c r="BI153" i="2"/>
  <c r="P154" i="2"/>
  <c r="AF154" i="2"/>
  <c r="AV154" i="2"/>
  <c r="BL154" i="2"/>
  <c r="S155" i="2"/>
  <c r="AI155" i="2"/>
  <c r="AY155" i="2"/>
  <c r="J156" i="2"/>
  <c r="Z156" i="2"/>
  <c r="AP156" i="2"/>
  <c r="BF156" i="2"/>
  <c r="Q157" i="2"/>
  <c r="AG157" i="2"/>
  <c r="AW157" i="2"/>
  <c r="BM157" i="2"/>
  <c r="T158" i="2"/>
  <c r="AJ158" i="2"/>
  <c r="AZ158" i="2"/>
  <c r="G159" i="2"/>
  <c r="W159" i="2"/>
  <c r="AM159" i="2"/>
  <c r="BC159" i="2"/>
  <c r="N160" i="2"/>
  <c r="AD160" i="2"/>
  <c r="AT160" i="2"/>
  <c r="BJ160" i="2"/>
  <c r="U161" i="2"/>
  <c r="AK161" i="2"/>
  <c r="BA161" i="2"/>
  <c r="H162" i="2"/>
  <c r="X162" i="2"/>
  <c r="AN162" i="2"/>
  <c r="BD162" i="2"/>
  <c r="K163" i="2"/>
  <c r="AA163" i="2"/>
  <c r="AQ163" i="2"/>
  <c r="BG163" i="2"/>
  <c r="R164" i="2"/>
  <c r="AH164" i="2"/>
  <c r="AX164" i="2"/>
  <c r="I165" i="2"/>
  <c r="Y165" i="2"/>
  <c r="AO165" i="2"/>
  <c r="BE165" i="2"/>
  <c r="L166" i="2"/>
  <c r="AB166" i="2"/>
  <c r="AR166" i="2"/>
  <c r="BH166" i="2"/>
  <c r="P167" i="3"/>
  <c r="P167" i="2" s="1"/>
  <c r="P168" i="2"/>
  <c r="AF167" i="3"/>
  <c r="AF167" i="2" s="1"/>
  <c r="AF168" i="2"/>
  <c r="AV167" i="3"/>
  <c r="AV167" i="2" s="1"/>
  <c r="AV168" i="2"/>
  <c r="BL167" i="3"/>
  <c r="BL167" i="2" s="1"/>
  <c r="BL168" i="2"/>
  <c r="S169" i="2"/>
  <c r="AI169" i="2"/>
  <c r="AY169" i="2"/>
  <c r="J170" i="2"/>
  <c r="Z170" i="2"/>
  <c r="AP170" i="2"/>
  <c r="BF170" i="2"/>
  <c r="Q171" i="2"/>
  <c r="AG171" i="2"/>
  <c r="AW171" i="2"/>
  <c r="BM171" i="2"/>
  <c r="T172" i="2"/>
  <c r="AJ172" i="2"/>
  <c r="AZ172" i="2"/>
  <c r="G173" i="2"/>
  <c r="W173" i="2"/>
  <c r="AM173" i="2"/>
  <c r="BC173" i="2"/>
  <c r="N174" i="2"/>
  <c r="AD174" i="2"/>
  <c r="AT174" i="2"/>
  <c r="BJ174" i="2"/>
  <c r="U175" i="2"/>
  <c r="AK175" i="2"/>
  <c r="BA175" i="2"/>
  <c r="H176" i="2"/>
  <c r="X176" i="2"/>
  <c r="AN176" i="2"/>
  <c r="BD176" i="2"/>
  <c r="K177" i="2"/>
  <c r="AA177" i="2"/>
  <c r="AQ177" i="2"/>
  <c r="BG177" i="2"/>
  <c r="R178" i="2"/>
  <c r="AH178" i="2"/>
  <c r="AX178" i="2"/>
  <c r="I179" i="2"/>
  <c r="Y179" i="2"/>
  <c r="AO179" i="2"/>
  <c r="BE179" i="2"/>
  <c r="L180" i="2"/>
  <c r="AB180" i="2"/>
  <c r="AR180" i="2"/>
  <c r="BH180" i="2"/>
  <c r="O181" i="2"/>
  <c r="AE181" i="2"/>
  <c r="AU181" i="2"/>
  <c r="BK181" i="2"/>
  <c r="V182" i="2"/>
  <c r="AL182" i="2"/>
  <c r="BB182" i="2"/>
  <c r="M183" i="2"/>
  <c r="AC183" i="2"/>
  <c r="AS183" i="2"/>
  <c r="BI183" i="2"/>
  <c r="P184" i="2"/>
  <c r="AF184" i="2"/>
  <c r="AV184" i="2"/>
  <c r="BL184" i="2"/>
  <c r="S185" i="2"/>
  <c r="AI185" i="2"/>
  <c r="AY185" i="2"/>
  <c r="J186" i="2"/>
  <c r="Z186" i="2"/>
  <c r="AP186" i="2"/>
  <c r="BF186" i="2"/>
  <c r="Q187" i="2"/>
  <c r="AG187" i="2"/>
  <c r="AW187" i="2"/>
  <c r="BM187" i="2"/>
  <c r="T188" i="2"/>
  <c r="AJ188" i="2"/>
  <c r="AZ188" i="2"/>
  <c r="G189" i="2"/>
  <c r="W189" i="2"/>
  <c r="AM189" i="2"/>
  <c r="BC189" i="2"/>
  <c r="N190" i="2"/>
  <c r="AD190" i="2"/>
  <c r="AT190" i="2"/>
  <c r="BJ190" i="2"/>
  <c r="U191" i="2"/>
  <c r="AK191" i="2"/>
  <c r="BA191" i="2"/>
  <c r="H192" i="2"/>
  <c r="X192" i="2"/>
  <c r="AN192" i="2"/>
  <c r="BD192" i="2"/>
  <c r="K193" i="2"/>
  <c r="AA193" i="2"/>
  <c r="AQ193" i="2"/>
  <c r="BG193" i="2"/>
  <c r="R194" i="2"/>
  <c r="AH194" i="2"/>
  <c r="AX194" i="2"/>
  <c r="I195" i="2"/>
  <c r="Y195" i="2"/>
  <c r="AO195" i="2"/>
  <c r="BE195" i="2"/>
  <c r="L196" i="2"/>
  <c r="AB196" i="2"/>
  <c r="AV196" i="2"/>
  <c r="G197" i="2"/>
  <c r="AE197" i="2"/>
  <c r="AY197" i="2"/>
  <c r="N198" i="2"/>
  <c r="AL198" i="2"/>
  <c r="BF198" i="2"/>
  <c r="U199" i="2"/>
  <c r="AS199" i="2"/>
  <c r="BM199" i="2"/>
  <c r="AA200" i="2"/>
  <c r="BG200" i="2"/>
  <c r="W201" i="2"/>
  <c r="AX201" i="2"/>
  <c r="Z202" i="2"/>
  <c r="BA202" i="2"/>
  <c r="R203" i="2"/>
  <c r="AX203" i="2"/>
  <c r="U204" i="2"/>
  <c r="AV204" i="2"/>
  <c r="R205" i="2"/>
  <c r="AR205" i="2"/>
  <c r="O206" i="2"/>
  <c r="AU206" i="2"/>
  <c r="L207" i="2"/>
  <c r="AF207" i="2"/>
  <c r="BD207" i="2"/>
  <c r="P208" i="3"/>
  <c r="P208" i="2" s="1"/>
  <c r="P209" i="2"/>
  <c r="AJ208" i="3"/>
  <c r="AJ208" i="2" s="1"/>
  <c r="AJ209" i="2"/>
  <c r="BH208" i="3"/>
  <c r="BH208" i="2" s="1"/>
  <c r="BH209" i="2"/>
  <c r="S210" i="2"/>
  <c r="AM210" i="2"/>
  <c r="BK210" i="2"/>
  <c r="Z211" i="2"/>
  <c r="AT211" i="2"/>
  <c r="M212" i="2"/>
  <c r="AG212" i="2"/>
  <c r="BM212" i="2"/>
  <c r="AJ213" i="2"/>
  <c r="G214" i="2"/>
  <c r="AM214" i="2"/>
  <c r="N215" i="2"/>
  <c r="AT215" i="2"/>
  <c r="U216" i="2"/>
  <c r="BA216" i="2"/>
  <c r="X217" i="2"/>
  <c r="BD217" i="2"/>
  <c r="AA218" i="2"/>
  <c r="BG218" i="2"/>
  <c r="AH219" i="2"/>
  <c r="I220" i="2"/>
  <c r="AO220" i="2"/>
  <c r="L221" i="2"/>
  <c r="AR221" i="2"/>
  <c r="O222" i="2"/>
  <c r="AU222" i="2"/>
  <c r="V223" i="2"/>
  <c r="BB223" i="2"/>
  <c r="AC224" i="2"/>
  <c r="BI224" i="2"/>
  <c r="AF225" i="2"/>
  <c r="BL225" i="2"/>
  <c r="AI226" i="2"/>
  <c r="J227" i="2"/>
  <c r="AP227" i="2"/>
  <c r="Q228" i="2"/>
  <c r="T229" i="2"/>
  <c r="W230" i="2"/>
  <c r="AD231" i="2"/>
  <c r="AK232" i="2"/>
  <c r="AN233" i="2"/>
  <c r="AQ234" i="2"/>
  <c r="AX235" i="2"/>
  <c r="BE236" i="2"/>
  <c r="BH237" i="2"/>
  <c r="BK238" i="2"/>
  <c r="M240" i="2"/>
  <c r="P241" i="2"/>
  <c r="S242" i="2"/>
  <c r="Z243" i="2"/>
  <c r="AG244" i="2"/>
  <c r="AJ245" i="2"/>
  <c r="AM246" i="2"/>
  <c r="AT247" i="2"/>
  <c r="BA248" i="2"/>
  <c r="BE249" i="3"/>
  <c r="BE249" i="2" s="1"/>
  <c r="BE250" i="2"/>
  <c r="BH251" i="2"/>
  <c r="BK252" i="2"/>
  <c r="M254" i="2"/>
  <c r="P255" i="2"/>
  <c r="S256" i="2"/>
  <c r="Z257" i="2"/>
  <c r="AG258" i="2"/>
  <c r="AJ259" i="2"/>
  <c r="AM260" i="2"/>
  <c r="AT261" i="2"/>
  <c r="BA262" i="2"/>
  <c r="BD263" i="2"/>
  <c r="BG264" i="2"/>
  <c r="I266" i="2"/>
  <c r="L267" i="2"/>
  <c r="O268" i="2"/>
  <c r="V269" i="2"/>
  <c r="AC270" i="2"/>
  <c r="AF271" i="2"/>
  <c r="AI272" i="2"/>
  <c r="AP273" i="2"/>
  <c r="AW274" i="2"/>
  <c r="AZ275" i="2"/>
  <c r="BC276" i="2"/>
  <c r="BJ277" i="2"/>
  <c r="H279" i="2"/>
  <c r="K280" i="2"/>
  <c r="R281" i="2"/>
  <c r="Y282" i="2"/>
  <c r="AB283" i="2"/>
  <c r="AE284" i="2"/>
  <c r="AL285" i="2"/>
  <c r="AS286" i="2"/>
  <c r="AV287" i="2"/>
  <c r="AY288" i="2"/>
  <c r="BF289" i="2"/>
  <c r="Y207" i="2"/>
  <c r="AC208" i="3"/>
  <c r="AC208" i="2" s="1"/>
  <c r="AC209" i="2"/>
  <c r="AF210" i="2"/>
  <c r="AI211" i="2"/>
  <c r="AP212" i="2"/>
  <c r="AW213" i="2"/>
  <c r="AZ214" i="2"/>
  <c r="BC215" i="2"/>
  <c r="BJ216" i="2"/>
  <c r="H218" i="2"/>
  <c r="K219" i="2"/>
  <c r="R220" i="2"/>
  <c r="Y221" i="2"/>
  <c r="AB222" i="2"/>
  <c r="AE223" i="2"/>
  <c r="AL224" i="2"/>
  <c r="AS225" i="2"/>
  <c r="AV226" i="2"/>
  <c r="AY227" i="2"/>
  <c r="BF228" i="2"/>
  <c r="BM229" i="2"/>
  <c r="G231" i="2"/>
  <c r="N232" i="2"/>
  <c r="U233" i="2"/>
  <c r="X234" i="2"/>
  <c r="AA235" i="2"/>
  <c r="AH236" i="2"/>
  <c r="AO237" i="2"/>
  <c r="AR238" i="2"/>
  <c r="AU239" i="2"/>
  <c r="BB240" i="2"/>
  <c r="BI241" i="2"/>
  <c r="BL242" i="2"/>
  <c r="J244" i="2"/>
  <c r="Q245" i="2"/>
  <c r="T246" i="2"/>
  <c r="W247" i="2"/>
  <c r="AD248" i="2"/>
  <c r="AL249" i="3"/>
  <c r="AL249" i="2" s="1"/>
  <c r="AL250" i="2"/>
  <c r="AS251" i="2"/>
  <c r="AV252" i="2"/>
  <c r="AY253" i="2"/>
  <c r="BF254" i="2"/>
  <c r="BM255" i="2"/>
  <c r="G257" i="2"/>
  <c r="N258" i="2"/>
  <c r="U259" i="2"/>
  <c r="X260" i="2"/>
  <c r="AA261" i="2"/>
  <c r="AH262" i="2"/>
  <c r="AO263" i="2"/>
  <c r="AR264" i="2"/>
  <c r="AU265" i="2"/>
  <c r="BB266" i="2"/>
  <c r="BI267" i="2"/>
  <c r="BL268" i="2"/>
  <c r="J270" i="2"/>
  <c r="Q271" i="2"/>
  <c r="T272" i="2"/>
  <c r="W273" i="2"/>
  <c r="AD274" i="2"/>
  <c r="AK275" i="2"/>
  <c r="AN276" i="2"/>
  <c r="AQ277" i="2"/>
  <c r="AX278" i="2"/>
  <c r="BE279" i="2"/>
  <c r="BH280" i="2"/>
  <c r="BK281" i="2"/>
  <c r="M283" i="2"/>
  <c r="P284" i="2"/>
  <c r="S285" i="2"/>
  <c r="Z286" i="2"/>
  <c r="AG287" i="2"/>
  <c r="AJ288" i="2"/>
  <c r="AM289" i="2"/>
  <c r="N207" i="2"/>
  <c r="V208" i="3"/>
  <c r="V208" i="2" s="1"/>
  <c r="V209" i="2"/>
  <c r="AC210" i="2"/>
  <c r="AF211" i="2"/>
  <c r="AI212" i="2"/>
  <c r="AP213" i="2"/>
  <c r="AW214" i="2"/>
  <c r="AZ215" i="2"/>
  <c r="BC216" i="2"/>
  <c r="BJ217" i="2"/>
  <c r="H219" i="2"/>
  <c r="K220" i="2"/>
  <c r="R221" i="2"/>
  <c r="Y222" i="2"/>
  <c r="AB223" i="2"/>
  <c r="AE224" i="2"/>
  <c r="AL225" i="2"/>
  <c r="AS226" i="2"/>
  <c r="AV227" i="2"/>
  <c r="AY228" i="2"/>
  <c r="BF229" i="2"/>
  <c r="BM230" i="2"/>
  <c r="G232" i="2"/>
  <c r="N233" i="2"/>
  <c r="U234" i="2"/>
  <c r="X235" i="2"/>
  <c r="AA236" i="2"/>
  <c r="AH237" i="2"/>
  <c r="AO238" i="2"/>
  <c r="AR239" i="2"/>
  <c r="AU240" i="2"/>
  <c r="BB241" i="2"/>
  <c r="BI242" i="2"/>
  <c r="BL243" i="2"/>
  <c r="J245" i="2"/>
  <c r="Q246" i="2"/>
  <c r="T247" i="2"/>
  <c r="W248" i="2"/>
  <c r="AA249" i="3"/>
  <c r="AA249" i="2" s="1"/>
  <c r="AA250" i="2"/>
  <c r="AH251" i="2"/>
  <c r="AO252" i="2"/>
  <c r="AR253" i="2"/>
  <c r="AC228" i="2"/>
  <c r="AS228" i="2"/>
  <c r="BI228" i="2"/>
  <c r="P229" i="2"/>
  <c r="AF229" i="2"/>
  <c r="AV229" i="2"/>
  <c r="BL229" i="2"/>
  <c r="S230" i="2"/>
  <c r="AI230" i="2"/>
  <c r="AY230" i="2"/>
  <c r="J231" i="2"/>
  <c r="Z231" i="2"/>
  <c r="AP231" i="2"/>
  <c r="BF231" i="2"/>
  <c r="Q232" i="2"/>
  <c r="AG232" i="2"/>
  <c r="AW232" i="2"/>
  <c r="BM232" i="2"/>
  <c r="T233" i="2"/>
  <c r="AJ233" i="2"/>
  <c r="AZ233" i="2"/>
  <c r="G234" i="2"/>
  <c r="W234" i="2"/>
  <c r="AM234" i="2"/>
  <c r="BC234" i="2"/>
  <c r="N235" i="2"/>
  <c r="AD235" i="2"/>
  <c r="AT235" i="2"/>
  <c r="BJ235" i="2"/>
  <c r="U236" i="2"/>
  <c r="AK236" i="2"/>
  <c r="BA236" i="2"/>
  <c r="H237" i="2"/>
  <c r="X237" i="2"/>
  <c r="AN237" i="2"/>
  <c r="BD237" i="2"/>
  <c r="K238" i="2"/>
  <c r="AA238" i="2"/>
  <c r="AQ238" i="2"/>
  <c r="BG238" i="2"/>
  <c r="R239" i="2"/>
  <c r="AH239" i="2"/>
  <c r="AX239" i="2"/>
  <c r="I240" i="2"/>
  <c r="Y240" i="2"/>
  <c r="AO240" i="2"/>
  <c r="BE240" i="2"/>
  <c r="L241" i="2"/>
  <c r="AB241" i="2"/>
  <c r="AR241" i="2"/>
  <c r="BH241" i="2"/>
  <c r="O242" i="2"/>
  <c r="AE242" i="2"/>
  <c r="AU242" i="2"/>
  <c r="BK242" i="2"/>
  <c r="V243" i="2"/>
  <c r="AL243" i="2"/>
  <c r="BB243" i="2"/>
  <c r="M244" i="2"/>
  <c r="AC244" i="2"/>
  <c r="AS244" i="2"/>
  <c r="BI244" i="2"/>
  <c r="P245" i="2"/>
  <c r="AF245" i="2"/>
  <c r="AV245" i="2"/>
  <c r="BL245" i="2"/>
  <c r="S246" i="2"/>
  <c r="AI246" i="2"/>
  <c r="AY246" i="2"/>
  <c r="J247" i="2"/>
  <c r="Z247" i="2"/>
  <c r="AP247" i="2"/>
  <c r="BF247" i="2"/>
  <c r="Q248" i="2"/>
  <c r="AG248" i="2"/>
  <c r="AW248" i="2"/>
  <c r="BM248" i="2"/>
  <c r="U249" i="3"/>
  <c r="U249" i="2" s="1"/>
  <c r="U250" i="2"/>
  <c r="AK249" i="3"/>
  <c r="AK249" i="2" s="1"/>
  <c r="AK250" i="2"/>
  <c r="BA249" i="3"/>
  <c r="BA249" i="2" s="1"/>
  <c r="BA250" i="2"/>
  <c r="H251" i="2"/>
  <c r="X251" i="2"/>
  <c r="AN251" i="2"/>
  <c r="BD251" i="2"/>
  <c r="K252" i="2"/>
  <c r="AA252" i="2"/>
  <c r="AQ252" i="2"/>
  <c r="BG252" i="2"/>
  <c r="R253" i="2"/>
  <c r="AH253" i="2"/>
  <c r="AX253" i="2"/>
  <c r="I254" i="2"/>
  <c r="Y254" i="2"/>
  <c r="AO254" i="2"/>
  <c r="BE254" i="2"/>
  <c r="L255" i="2"/>
  <c r="AB255" i="2"/>
  <c r="AR255" i="2"/>
  <c r="BH255" i="2"/>
  <c r="O256" i="2"/>
  <c r="AE256" i="2"/>
  <c r="AU256" i="2"/>
  <c r="BK256" i="2"/>
  <c r="V257" i="2"/>
  <c r="AL257" i="2"/>
  <c r="BB257" i="2"/>
  <c r="M258" i="2"/>
  <c r="AC258" i="2"/>
  <c r="AS258" i="2"/>
  <c r="BI258" i="2"/>
  <c r="P259" i="2"/>
  <c r="AF259" i="2"/>
  <c r="AV259" i="2"/>
  <c r="BL259" i="2"/>
  <c r="S260" i="2"/>
  <c r="AI260" i="2"/>
  <c r="AY260" i="2"/>
  <c r="J261" i="2"/>
  <c r="Z261" i="2"/>
  <c r="AP261" i="2"/>
  <c r="BF261" i="2"/>
  <c r="Q262" i="2"/>
  <c r="AG262" i="2"/>
  <c r="AW262" i="2"/>
  <c r="BM262" i="2"/>
  <c r="T263" i="2"/>
  <c r="AJ263" i="2"/>
  <c r="AZ263" i="2"/>
  <c r="G264" i="2"/>
  <c r="W264" i="2"/>
  <c r="AM264" i="2"/>
  <c r="BC264" i="2"/>
  <c r="N265" i="2"/>
  <c r="AD265" i="2"/>
  <c r="AT265" i="2"/>
  <c r="BJ265" i="2"/>
  <c r="U266" i="2"/>
  <c r="AK266" i="2"/>
  <c r="BA266" i="2"/>
  <c r="H267" i="2"/>
  <c r="X267" i="2"/>
  <c r="AN267" i="2"/>
  <c r="BD267" i="2"/>
  <c r="K268" i="2"/>
  <c r="AA268" i="2"/>
  <c r="AQ268" i="2"/>
  <c r="BG268" i="2"/>
  <c r="R269" i="2"/>
  <c r="AH269" i="2"/>
  <c r="AX269" i="2"/>
  <c r="I270" i="2"/>
  <c r="Y270" i="2"/>
  <c r="AO270" i="2"/>
  <c r="BE270" i="2"/>
  <c r="L271" i="2"/>
  <c r="AB271" i="2"/>
  <c r="AR271" i="2"/>
  <c r="BH271" i="2"/>
  <c r="O272" i="2"/>
  <c r="AE272" i="2"/>
  <c r="AU272" i="2"/>
  <c r="BK272" i="2"/>
  <c r="V273" i="2"/>
  <c r="AL273" i="2"/>
  <c r="BB273" i="2"/>
  <c r="M274" i="2"/>
  <c r="AC274" i="2"/>
  <c r="AS274" i="2"/>
  <c r="BI274" i="2"/>
  <c r="P275" i="2"/>
  <c r="AF275" i="2"/>
  <c r="AV275" i="2"/>
  <c r="BL275" i="2"/>
  <c r="S276" i="2"/>
  <c r="AI276" i="2"/>
  <c r="AY276" i="2"/>
  <c r="J277" i="2"/>
  <c r="Z277" i="2"/>
  <c r="AP277" i="2"/>
  <c r="BF277" i="2"/>
  <c r="Q278" i="2"/>
  <c r="AG278" i="2"/>
  <c r="AW278" i="2"/>
  <c r="BM278" i="2"/>
  <c r="T279" i="2"/>
  <c r="AJ279" i="2"/>
  <c r="AZ279" i="2"/>
  <c r="G280" i="2"/>
  <c r="W280" i="2"/>
  <c r="AM280" i="2"/>
  <c r="BC280" i="2"/>
  <c r="N281" i="2"/>
  <c r="AD281" i="2"/>
  <c r="AT281" i="2"/>
  <c r="BJ281" i="2"/>
  <c r="U282" i="2"/>
  <c r="AK282" i="2"/>
  <c r="BA282" i="2"/>
  <c r="H283" i="2"/>
  <c r="X283" i="2"/>
  <c r="AN283" i="2"/>
  <c r="BD283" i="2"/>
  <c r="K284" i="2"/>
  <c r="AA284" i="2"/>
  <c r="AQ284" i="2"/>
  <c r="BG284" i="2"/>
  <c r="R285" i="2"/>
  <c r="AH285" i="2"/>
  <c r="AX285" i="2"/>
  <c r="I286" i="2"/>
  <c r="Y286" i="2"/>
  <c r="AO286" i="2"/>
  <c r="BE286" i="2"/>
  <c r="L287" i="2"/>
  <c r="AB287" i="2"/>
  <c r="AR287" i="2"/>
  <c r="BH287" i="2"/>
  <c r="O288" i="2"/>
  <c r="AE288" i="2"/>
  <c r="AU288" i="2"/>
  <c r="BK288" i="2"/>
  <c r="V289" i="2"/>
  <c r="AL289" i="2"/>
  <c r="BB289" i="2"/>
  <c r="AD290" i="3"/>
  <c r="AD290" i="2" s="1"/>
  <c r="AD291" i="2"/>
  <c r="AG292" i="2"/>
  <c r="AF293" i="2"/>
  <c r="U207" i="2"/>
  <c r="AK207" i="2"/>
  <c r="BA207" i="2"/>
  <c r="I208" i="3"/>
  <c r="I208" i="2" s="1"/>
  <c r="I209" i="2"/>
  <c r="Y208" i="3"/>
  <c r="Y208" i="2" s="1"/>
  <c r="Y209" i="2"/>
  <c r="AO208" i="3"/>
  <c r="AO208" i="2" s="1"/>
  <c r="AO209" i="2"/>
  <c r="BE208" i="3"/>
  <c r="BE208" i="2" s="1"/>
  <c r="BE209" i="2"/>
  <c r="L210" i="2"/>
  <c r="AB210" i="2"/>
  <c r="AR210" i="2"/>
  <c r="BH210" i="2"/>
  <c r="O211" i="2"/>
  <c r="AE211" i="2"/>
  <c r="AU211" i="2"/>
  <c r="BK211" i="2"/>
  <c r="V212" i="2"/>
  <c r="AL212" i="2"/>
  <c r="BB212" i="2"/>
  <c r="M213" i="2"/>
  <c r="AC213" i="2"/>
  <c r="AS213" i="2"/>
  <c r="BI213" i="2"/>
  <c r="P214" i="2"/>
  <c r="AF214" i="2"/>
  <c r="AV214" i="2"/>
  <c r="BL214" i="2"/>
  <c r="S215" i="2"/>
  <c r="AI215" i="2"/>
  <c r="AY215" i="2"/>
  <c r="J216" i="2"/>
  <c r="Z216" i="2"/>
  <c r="AP216" i="2"/>
  <c r="BF216" i="2"/>
  <c r="Q217" i="2"/>
  <c r="AG217" i="2"/>
  <c r="AW217" i="2"/>
  <c r="BM217" i="2"/>
  <c r="T218" i="2"/>
  <c r="AJ218" i="2"/>
  <c r="AZ218" i="2"/>
  <c r="G219" i="2"/>
  <c r="W219" i="2"/>
  <c r="AM219" i="2"/>
  <c r="BC219" i="2"/>
  <c r="N220" i="2"/>
  <c r="AD220" i="2"/>
  <c r="AT220" i="2"/>
  <c r="BJ220" i="2"/>
  <c r="U221" i="2"/>
  <c r="AK221" i="2"/>
  <c r="BA221" i="2"/>
  <c r="H222" i="2"/>
  <c r="X222" i="2"/>
  <c r="AN222" i="2"/>
  <c r="BD222" i="2"/>
  <c r="K223" i="2"/>
  <c r="AA223" i="2"/>
  <c r="AQ223" i="2"/>
  <c r="BG223" i="2"/>
  <c r="R224" i="2"/>
  <c r="AH224" i="2"/>
  <c r="AX224" i="2"/>
  <c r="I225" i="2"/>
  <c r="Y225" i="2"/>
  <c r="AO225" i="2"/>
  <c r="BE225" i="2"/>
  <c r="L226" i="2"/>
  <c r="AB226" i="2"/>
  <c r="AR226" i="2"/>
  <c r="BH226" i="2"/>
  <c r="O227" i="2"/>
  <c r="AE227" i="2"/>
  <c r="AU227" i="2"/>
  <c r="BK227" i="2"/>
  <c r="V228" i="2"/>
  <c r="AL228" i="2"/>
  <c r="BB228" i="2"/>
  <c r="M229" i="2"/>
  <c r="AC229" i="2"/>
  <c r="AS229" i="2"/>
  <c r="BI229" i="2"/>
  <c r="P230" i="2"/>
  <c r="AF230" i="2"/>
  <c r="AV230" i="2"/>
  <c r="BL230" i="2"/>
  <c r="S231" i="2"/>
  <c r="AI231" i="2"/>
  <c r="AY231" i="2"/>
  <c r="J232" i="2"/>
  <c r="Z232" i="2"/>
  <c r="AP232" i="2"/>
  <c r="BF232" i="2"/>
  <c r="Q233" i="2"/>
  <c r="AG233" i="2"/>
  <c r="AW233" i="2"/>
  <c r="BM233" i="2"/>
  <c r="T234" i="2"/>
  <c r="AJ234" i="2"/>
  <c r="AZ234" i="2"/>
  <c r="G235" i="2"/>
  <c r="W235" i="2"/>
  <c r="AM235" i="2"/>
  <c r="BC235" i="2"/>
  <c r="N236" i="2"/>
  <c r="AD236" i="2"/>
  <c r="AT236" i="2"/>
  <c r="BJ236" i="2"/>
  <c r="U237" i="2"/>
  <c r="AK237" i="2"/>
  <c r="BA237" i="2"/>
  <c r="H238" i="2"/>
  <c r="X238" i="2"/>
  <c r="AN238" i="2"/>
  <c r="BD238" i="2"/>
  <c r="K239" i="2"/>
  <c r="AA239" i="2"/>
  <c r="AQ239" i="2"/>
  <c r="BG239" i="2"/>
  <c r="R240" i="2"/>
  <c r="AH240" i="2"/>
  <c r="AX240" i="2"/>
  <c r="I241" i="2"/>
  <c r="Y241" i="2"/>
  <c r="AO241" i="2"/>
  <c r="BE241" i="2"/>
  <c r="L242" i="2"/>
  <c r="AB242" i="2"/>
  <c r="AR242" i="2"/>
  <c r="BH242" i="2"/>
  <c r="O243" i="2"/>
  <c r="AE243" i="2"/>
  <c r="AU243" i="2"/>
  <c r="BK243" i="2"/>
  <c r="V244" i="2"/>
  <c r="AL244" i="2"/>
  <c r="BB244" i="2"/>
  <c r="M245" i="2"/>
  <c r="AC245" i="2"/>
  <c r="AS245" i="2"/>
  <c r="BI245" i="2"/>
  <c r="P246" i="2"/>
  <c r="AF246" i="2"/>
  <c r="AV246" i="2"/>
  <c r="BL246" i="2"/>
  <c r="S247" i="2"/>
  <c r="AI247" i="2"/>
  <c r="AY247" i="2"/>
  <c r="J248" i="2"/>
  <c r="Z248" i="2"/>
  <c r="AP248" i="2"/>
  <c r="BF248" i="2"/>
  <c r="R249" i="3"/>
  <c r="R249" i="2" s="1"/>
  <c r="R250" i="2"/>
  <c r="AH249" i="3"/>
  <c r="AH249" i="2" s="1"/>
  <c r="AH250" i="2"/>
  <c r="AX249" i="3"/>
  <c r="AX249" i="2" s="1"/>
  <c r="AX250" i="2"/>
  <c r="I251" i="2"/>
  <c r="Y251" i="2"/>
  <c r="AO251" i="2"/>
  <c r="BE251" i="2"/>
  <c r="L252" i="2"/>
  <c r="AB252" i="2"/>
  <c r="AR252" i="2"/>
  <c r="BH252" i="2"/>
  <c r="O253" i="2"/>
  <c r="AE253" i="2"/>
  <c r="AU253" i="2"/>
  <c r="BK253" i="2"/>
  <c r="V254" i="2"/>
  <c r="AL254" i="2"/>
  <c r="BB254" i="2"/>
  <c r="M255" i="2"/>
  <c r="AC255" i="2"/>
  <c r="AS255" i="2"/>
  <c r="BI255" i="2"/>
  <c r="P256" i="2"/>
  <c r="AF256" i="2"/>
  <c r="AV256" i="2"/>
  <c r="BL256" i="2"/>
  <c r="S257" i="2"/>
  <c r="AI257" i="2"/>
  <c r="AY257" i="2"/>
  <c r="J258" i="2"/>
  <c r="Z258" i="2"/>
  <c r="AP258" i="2"/>
  <c r="BF258" i="2"/>
  <c r="Q259" i="2"/>
  <c r="AG259" i="2"/>
  <c r="AW259" i="2"/>
  <c r="BM259" i="2"/>
  <c r="T260" i="2"/>
  <c r="AJ260" i="2"/>
  <c r="AZ260" i="2"/>
  <c r="G261" i="2"/>
  <c r="W261" i="2"/>
  <c r="AM261" i="2"/>
  <c r="BC261" i="2"/>
  <c r="N262" i="2"/>
  <c r="AD262" i="2"/>
  <c r="AT262" i="2"/>
  <c r="BJ262" i="2"/>
  <c r="U263" i="2"/>
  <c r="AK263" i="2"/>
  <c r="BA263" i="2"/>
  <c r="H264" i="2"/>
  <c r="X264" i="2"/>
  <c r="AN264" i="2"/>
  <c r="BD264" i="2"/>
  <c r="K265" i="2"/>
  <c r="AA265" i="2"/>
  <c r="AQ265" i="2"/>
  <c r="BG265" i="2"/>
  <c r="R266" i="2"/>
  <c r="AH266" i="2"/>
  <c r="AX266" i="2"/>
  <c r="I267" i="2"/>
  <c r="Y267" i="2"/>
  <c r="AO267" i="2"/>
  <c r="BE267" i="2"/>
  <c r="L268" i="2"/>
  <c r="AB268" i="2"/>
  <c r="AR268" i="2"/>
  <c r="BH268" i="2"/>
  <c r="O269" i="2"/>
  <c r="AE269" i="2"/>
  <c r="AU269" i="2"/>
  <c r="BK269" i="2"/>
  <c r="V270" i="2"/>
  <c r="AL270" i="2"/>
  <c r="BB270" i="2"/>
  <c r="M271" i="2"/>
  <c r="AC271" i="2"/>
  <c r="AS271" i="2"/>
  <c r="BI271" i="2"/>
  <c r="P272" i="2"/>
  <c r="AF272" i="2"/>
  <c r="AV272" i="2"/>
  <c r="BL272" i="2"/>
  <c r="S273" i="2"/>
  <c r="AI273" i="2"/>
  <c r="AY273" i="2"/>
  <c r="J274" i="2"/>
  <c r="Z274" i="2"/>
  <c r="AP274" i="2"/>
  <c r="BF274" i="2"/>
  <c r="Q275" i="2"/>
  <c r="AG275" i="2"/>
  <c r="AW275" i="2"/>
  <c r="BM275" i="2"/>
  <c r="T276" i="2"/>
  <c r="AJ276" i="2"/>
  <c r="AZ276" i="2"/>
  <c r="G277" i="2"/>
  <c r="W277" i="2"/>
  <c r="AM277" i="2"/>
  <c r="BC277" i="2"/>
  <c r="N278" i="2"/>
  <c r="AD278" i="2"/>
  <c r="AT278" i="2"/>
  <c r="BJ278" i="2"/>
  <c r="U279" i="2"/>
  <c r="AK279" i="2"/>
  <c r="BA279" i="2"/>
  <c r="H280" i="2"/>
  <c r="X280" i="2"/>
  <c r="AN280" i="2"/>
  <c r="BD280" i="2"/>
  <c r="K281" i="2"/>
  <c r="AA281" i="2"/>
  <c r="AQ281" i="2"/>
  <c r="BG281" i="2"/>
  <c r="R282" i="2"/>
  <c r="AH282" i="2"/>
  <c r="AX282" i="2"/>
  <c r="I283" i="2"/>
  <c r="Y283" i="2"/>
  <c r="AO283" i="2"/>
  <c r="BE283" i="2"/>
  <c r="L284" i="2"/>
  <c r="AB284" i="2"/>
  <c r="AR284" i="2"/>
  <c r="BH284" i="2"/>
  <c r="O285" i="2"/>
  <c r="AE285" i="2"/>
  <c r="AU285" i="2"/>
  <c r="BK285" i="2"/>
  <c r="V286" i="2"/>
  <c r="AL286" i="2"/>
  <c r="BB286" i="2"/>
  <c r="M287" i="2"/>
  <c r="AC287" i="2"/>
  <c r="AS287" i="2"/>
  <c r="BI287" i="2"/>
  <c r="P288" i="2"/>
  <c r="AF288" i="2"/>
  <c r="AV288" i="2"/>
  <c r="BL288" i="2"/>
  <c r="S289" i="2"/>
  <c r="AI289" i="2"/>
  <c r="AY289" i="2"/>
  <c r="R290" i="3"/>
  <c r="R290" i="2" s="1"/>
  <c r="R291" i="2"/>
  <c r="AK292" i="2"/>
  <c r="J207" i="2"/>
  <c r="Z207" i="2"/>
  <c r="AP207" i="2"/>
  <c r="BF207" i="2"/>
  <c r="R208" i="3"/>
  <c r="R208" i="2" s="1"/>
  <c r="R209" i="2"/>
  <c r="AH208" i="3"/>
  <c r="AH208" i="2" s="1"/>
  <c r="AH209" i="2"/>
  <c r="AX208" i="3"/>
  <c r="AX208" i="2" s="1"/>
  <c r="AX209" i="2"/>
  <c r="I210" i="2"/>
  <c r="Y210" i="2"/>
  <c r="AO210" i="2"/>
  <c r="BE210" i="2"/>
  <c r="L211" i="2"/>
  <c r="AB211" i="2"/>
  <c r="AR211" i="2"/>
  <c r="BH211" i="2"/>
  <c r="O212" i="2"/>
  <c r="AE212" i="2"/>
  <c r="AU212" i="2"/>
  <c r="BK212" i="2"/>
  <c r="V213" i="2"/>
  <c r="AL213" i="2"/>
  <c r="BB213" i="2"/>
  <c r="M214" i="2"/>
  <c r="AC214" i="2"/>
  <c r="AS214" i="2"/>
  <c r="BI214" i="2"/>
  <c r="P215" i="2"/>
  <c r="AF215" i="2"/>
  <c r="AV215" i="2"/>
  <c r="BL215" i="2"/>
  <c r="S216" i="2"/>
  <c r="AI216" i="2"/>
  <c r="AY216" i="2"/>
  <c r="J217" i="2"/>
  <c r="Z217" i="2"/>
  <c r="AP217" i="2"/>
  <c r="BF217" i="2"/>
  <c r="Q218" i="2"/>
  <c r="AG218" i="2"/>
  <c r="AW218" i="2"/>
  <c r="BM218" i="2"/>
  <c r="T219" i="2"/>
  <c r="AJ219" i="2"/>
  <c r="AZ219" i="2"/>
  <c r="G220" i="2"/>
  <c r="W220" i="2"/>
  <c r="AM220" i="2"/>
  <c r="BC220" i="2"/>
  <c r="N221" i="2"/>
  <c r="AD221" i="2"/>
  <c r="AT221" i="2"/>
  <c r="BJ221" i="2"/>
  <c r="U222" i="2"/>
  <c r="AK222" i="2"/>
  <c r="BA222" i="2"/>
  <c r="H223" i="2"/>
  <c r="X223" i="2"/>
  <c r="AN223" i="2"/>
  <c r="BD223" i="2"/>
  <c r="K224" i="2"/>
  <c r="AA224" i="2"/>
  <c r="AQ224" i="2"/>
  <c r="BG224" i="2"/>
  <c r="R225" i="2"/>
  <c r="AH225" i="2"/>
  <c r="AX225" i="2"/>
  <c r="I226" i="2"/>
  <c r="Y226" i="2"/>
  <c r="AO226" i="2"/>
  <c r="BE226" i="2"/>
  <c r="L227" i="2"/>
  <c r="AB227" i="2"/>
  <c r="AR227" i="2"/>
  <c r="BH227" i="2"/>
  <c r="O228" i="2"/>
  <c r="AE228" i="2"/>
  <c r="AU228" i="2"/>
  <c r="BK228" i="2"/>
  <c r="V229" i="2"/>
  <c r="AL229" i="2"/>
  <c r="BB229" i="2"/>
  <c r="M230" i="2"/>
  <c r="AC230" i="2"/>
  <c r="AS230" i="2"/>
  <c r="BI230" i="2"/>
  <c r="P231" i="2"/>
  <c r="AF231" i="2"/>
  <c r="AV231" i="2"/>
  <c r="BL231" i="2"/>
  <c r="S232" i="2"/>
  <c r="AI232" i="2"/>
  <c r="AY232" i="2"/>
  <c r="J233" i="2"/>
  <c r="Z233" i="2"/>
  <c r="AP233" i="2"/>
  <c r="BF233" i="2"/>
  <c r="Q234" i="2"/>
  <c r="AG234" i="2"/>
  <c r="AW234" i="2"/>
  <c r="BM234" i="2"/>
  <c r="T235" i="2"/>
  <c r="AJ235" i="2"/>
  <c r="AZ235" i="2"/>
  <c r="G236" i="2"/>
  <c r="W236" i="2"/>
  <c r="AM236" i="2"/>
  <c r="BC236" i="2"/>
  <c r="N237" i="2"/>
  <c r="AD237" i="2"/>
  <c r="AT237" i="2"/>
  <c r="BJ237" i="2"/>
  <c r="U238" i="2"/>
  <c r="AK238" i="2"/>
  <c r="BA238" i="2"/>
  <c r="H239" i="2"/>
  <c r="X239" i="2"/>
  <c r="AN239" i="2"/>
  <c r="BD239" i="2"/>
  <c r="K240" i="2"/>
  <c r="AA240" i="2"/>
  <c r="AQ240" i="2"/>
  <c r="BG240" i="2"/>
  <c r="R241" i="2"/>
  <c r="AH241" i="2"/>
  <c r="AX241" i="2"/>
  <c r="I242" i="2"/>
  <c r="Y242" i="2"/>
  <c r="AO242" i="2"/>
  <c r="BE242" i="2"/>
  <c r="L243" i="2"/>
  <c r="AB243" i="2"/>
  <c r="AR243" i="2"/>
  <c r="BH243" i="2"/>
  <c r="O244" i="2"/>
  <c r="AE244" i="2"/>
  <c r="AU244" i="2"/>
  <c r="BK244" i="2"/>
  <c r="V245" i="2"/>
  <c r="AL245" i="2"/>
  <c r="BB245" i="2"/>
  <c r="M246" i="2"/>
  <c r="AC246" i="2"/>
  <c r="AS246" i="2"/>
  <c r="BI246" i="2"/>
  <c r="P247" i="2"/>
  <c r="AF247" i="2"/>
  <c r="AV247" i="2"/>
  <c r="BL247" i="2"/>
  <c r="S248" i="2"/>
  <c r="AI248" i="2"/>
  <c r="AY248" i="2"/>
  <c r="G249" i="3"/>
  <c r="G249" i="2" s="1"/>
  <c r="G250" i="2"/>
  <c r="W249" i="3"/>
  <c r="W249" i="2" s="1"/>
  <c r="W250" i="2"/>
  <c r="AM249" i="3"/>
  <c r="AM249" i="2" s="1"/>
  <c r="AM250" i="2"/>
  <c r="BC249" i="3"/>
  <c r="BC249" i="2" s="1"/>
  <c r="BC250" i="2"/>
  <c r="N251" i="2"/>
  <c r="AD251" i="2"/>
  <c r="AT251" i="2"/>
  <c r="BJ251" i="2"/>
  <c r="U252" i="2"/>
  <c r="AK252" i="2"/>
  <c r="BA252" i="2"/>
  <c r="H253" i="2"/>
  <c r="X253" i="2"/>
  <c r="AN253" i="2"/>
  <c r="BD253" i="2"/>
  <c r="K254" i="2"/>
  <c r="AA254" i="2"/>
  <c r="AQ254" i="2"/>
  <c r="BG254" i="2"/>
  <c r="R255" i="2"/>
  <c r="AH255" i="2"/>
  <c r="AX255" i="2"/>
  <c r="I256" i="2"/>
  <c r="Y256" i="2"/>
  <c r="AO256" i="2"/>
  <c r="BE256" i="2"/>
  <c r="L257" i="2"/>
  <c r="AB257" i="2"/>
  <c r="AR257" i="2"/>
  <c r="BH257" i="2"/>
  <c r="O258" i="2"/>
  <c r="AE258" i="2"/>
  <c r="AU258" i="2"/>
  <c r="BK258" i="2"/>
  <c r="V259" i="2"/>
  <c r="AL259" i="2"/>
  <c r="BB259" i="2"/>
  <c r="M260" i="2"/>
  <c r="AC260" i="2"/>
  <c r="AS260" i="2"/>
  <c r="BI260" i="2"/>
  <c r="P261" i="2"/>
  <c r="AF261" i="2"/>
  <c r="AV261" i="2"/>
  <c r="BL261" i="2"/>
  <c r="S262" i="2"/>
  <c r="AI262" i="2"/>
  <c r="AY262" i="2"/>
  <c r="J263" i="2"/>
  <c r="Z263" i="2"/>
  <c r="AP263" i="2"/>
  <c r="BF263" i="2"/>
  <c r="Q264" i="2"/>
  <c r="AG264" i="2"/>
  <c r="AW264" i="2"/>
  <c r="BM264" i="2"/>
  <c r="T265" i="2"/>
  <c r="AJ265" i="2"/>
  <c r="AZ265" i="2"/>
  <c r="G266" i="2"/>
  <c r="W266" i="2"/>
  <c r="AM266" i="2"/>
  <c r="BC266" i="2"/>
  <c r="N267" i="2"/>
  <c r="AD267" i="2"/>
  <c r="AT267" i="2"/>
  <c r="BJ267" i="2"/>
  <c r="U268" i="2"/>
  <c r="AK268" i="2"/>
  <c r="BA268" i="2"/>
  <c r="H269" i="2"/>
  <c r="X269" i="2"/>
  <c r="AN269" i="2"/>
  <c r="BD269" i="2"/>
  <c r="K270" i="2"/>
  <c r="AA270" i="2"/>
  <c r="AQ270" i="2"/>
  <c r="BG270" i="2"/>
  <c r="R271" i="2"/>
  <c r="AH271" i="2"/>
  <c r="AX271" i="2"/>
  <c r="I272" i="2"/>
  <c r="Y272" i="2"/>
  <c r="AO272" i="2"/>
  <c r="BE272" i="2"/>
  <c r="L273" i="2"/>
  <c r="AB273" i="2"/>
  <c r="AR273" i="2"/>
  <c r="BH273" i="2"/>
  <c r="O274" i="2"/>
  <c r="AE274" i="2"/>
  <c r="AU274" i="2"/>
  <c r="BK274" i="2"/>
  <c r="V275" i="2"/>
  <c r="AL275" i="2"/>
  <c r="BB275" i="2"/>
  <c r="M276" i="2"/>
  <c r="AC276" i="2"/>
  <c r="AS276" i="2"/>
  <c r="BI276" i="2"/>
  <c r="P277" i="2"/>
  <c r="AF277" i="2"/>
  <c r="AV277" i="2"/>
  <c r="BL277" i="2"/>
  <c r="S278" i="2"/>
  <c r="AI278" i="2"/>
  <c r="AY278" i="2"/>
  <c r="J279" i="2"/>
  <c r="Z279" i="2"/>
  <c r="AP279" i="2"/>
  <c r="BF279" i="2"/>
  <c r="Q280" i="2"/>
  <c r="AG280" i="2"/>
  <c r="AW280" i="2"/>
  <c r="BM280" i="2"/>
  <c r="T281" i="2"/>
  <c r="AJ281" i="2"/>
  <c r="AZ281" i="2"/>
  <c r="G282" i="2"/>
  <c r="W282" i="2"/>
  <c r="AM282" i="2"/>
  <c r="BC282" i="2"/>
  <c r="N283" i="2"/>
  <c r="AD283" i="2"/>
  <c r="AT283" i="2"/>
  <c r="BJ283" i="2"/>
  <c r="U284" i="2"/>
  <c r="AK284" i="2"/>
  <c r="BA284" i="2"/>
  <c r="H285" i="2"/>
  <c r="X285" i="2"/>
  <c r="AN285" i="2"/>
  <c r="BD285" i="2"/>
  <c r="K286" i="2"/>
  <c r="AA286" i="2"/>
  <c r="AQ286" i="2"/>
  <c r="BG286" i="2"/>
  <c r="R287" i="2"/>
  <c r="AH287" i="2"/>
  <c r="AX287" i="2"/>
  <c r="I288" i="2"/>
  <c r="Y288" i="2"/>
  <c r="AO288" i="2"/>
  <c r="BE288" i="2"/>
  <c r="L289" i="2"/>
  <c r="AB289" i="2"/>
  <c r="AR289" i="2"/>
  <c r="BH289" i="2"/>
  <c r="BB290" i="3"/>
  <c r="BB290" i="2" s="1"/>
  <c r="BB291" i="2"/>
  <c r="BE292" i="2"/>
  <c r="V200" i="2"/>
  <c r="AL200" i="2"/>
  <c r="BB200" i="2"/>
  <c r="M201" i="2"/>
  <c r="AC201" i="2"/>
  <c r="AS201" i="2"/>
  <c r="BI201" i="2"/>
  <c r="P202" i="2"/>
  <c r="AF202" i="2"/>
  <c r="AV202" i="2"/>
  <c r="BL202" i="2"/>
  <c r="S203" i="2"/>
  <c r="AI203" i="2"/>
  <c r="AY203" i="2"/>
  <c r="J204" i="2"/>
  <c r="Z204" i="2"/>
  <c r="AP204" i="2"/>
  <c r="BF204" i="2"/>
  <c r="Q205" i="2"/>
  <c r="AG205" i="2"/>
  <c r="AW205" i="2"/>
  <c r="BM205" i="2"/>
  <c r="T206" i="2"/>
  <c r="AJ206" i="2"/>
  <c r="AZ206" i="2"/>
  <c r="G207" i="2"/>
  <c r="W207" i="2"/>
  <c r="AM207" i="2"/>
  <c r="BC207" i="2"/>
  <c r="K208" i="3"/>
  <c r="K208" i="2" s="1"/>
  <c r="K209" i="2"/>
  <c r="AA208" i="3"/>
  <c r="AA208" i="2" s="1"/>
  <c r="AA209" i="2"/>
  <c r="AQ208" i="3"/>
  <c r="AQ208" i="2" s="1"/>
  <c r="AQ209" i="2"/>
  <c r="BG208" i="3"/>
  <c r="BG208" i="2" s="1"/>
  <c r="BG209" i="2"/>
  <c r="R210" i="2"/>
  <c r="AH210" i="2"/>
  <c r="AX210" i="2"/>
  <c r="I211" i="2"/>
  <c r="Y211" i="2"/>
  <c r="AO211" i="2"/>
  <c r="BE211" i="2"/>
  <c r="L212" i="2"/>
  <c r="AB212" i="2"/>
  <c r="AR212" i="2"/>
  <c r="BH212" i="2"/>
  <c r="O213" i="2"/>
  <c r="AE213" i="2"/>
  <c r="AU213" i="2"/>
  <c r="BK213" i="2"/>
  <c r="V214" i="2"/>
  <c r="AL214" i="2"/>
  <c r="BB214" i="2"/>
  <c r="M215" i="2"/>
  <c r="AC215" i="2"/>
  <c r="AS215" i="2"/>
  <c r="BI215" i="2"/>
  <c r="P216" i="2"/>
  <c r="AF216" i="2"/>
  <c r="AV216" i="2"/>
  <c r="BL216" i="2"/>
  <c r="S217" i="2"/>
  <c r="AI217" i="2"/>
  <c r="AY217" i="2"/>
  <c r="J218" i="2"/>
  <c r="Z218" i="2"/>
  <c r="AP218" i="2"/>
  <c r="BF218" i="2"/>
  <c r="Q219" i="2"/>
  <c r="AG219" i="2"/>
  <c r="AW219" i="2"/>
  <c r="BM219" i="2"/>
  <c r="T220" i="2"/>
  <c r="AJ220" i="2"/>
  <c r="AZ220" i="2"/>
  <c r="G221" i="2"/>
  <c r="W221" i="2"/>
  <c r="AM221" i="2"/>
  <c r="BC221" i="2"/>
  <c r="N222" i="2"/>
  <c r="AD222" i="2"/>
  <c r="AT222" i="2"/>
  <c r="BJ222" i="2"/>
  <c r="U223" i="2"/>
  <c r="AK223" i="2"/>
  <c r="BA223" i="2"/>
  <c r="H224" i="2"/>
  <c r="X224" i="2"/>
  <c r="AN224" i="2"/>
  <c r="BD224" i="2"/>
  <c r="K225" i="2"/>
  <c r="AA225" i="2"/>
  <c r="AQ225" i="2"/>
  <c r="BG225" i="2"/>
  <c r="R226" i="2"/>
  <c r="AH226" i="2"/>
  <c r="AX226" i="2"/>
  <c r="I227" i="2"/>
  <c r="Y227" i="2"/>
  <c r="AO227" i="2"/>
  <c r="BE227" i="2"/>
  <c r="L228" i="2"/>
  <c r="AB228" i="2"/>
  <c r="AR228" i="2"/>
  <c r="BH228" i="2"/>
  <c r="O229" i="2"/>
  <c r="AE229" i="2"/>
  <c r="AU229" i="2"/>
  <c r="BK229" i="2"/>
  <c r="V230" i="2"/>
  <c r="AL230" i="2"/>
  <c r="BB230" i="2"/>
  <c r="M231" i="2"/>
  <c r="AC231" i="2"/>
  <c r="AS231" i="2"/>
  <c r="BI231" i="2"/>
  <c r="P232" i="2"/>
  <c r="AF232" i="2"/>
  <c r="AV232" i="2"/>
  <c r="BL232" i="2"/>
  <c r="S233" i="2"/>
  <c r="AI233" i="2"/>
  <c r="AY233" i="2"/>
  <c r="J234" i="2"/>
  <c r="Z234" i="2"/>
  <c r="AP234" i="2"/>
  <c r="BF234" i="2"/>
  <c r="Q235" i="2"/>
  <c r="AG235" i="2"/>
  <c r="AW235" i="2"/>
  <c r="BM235" i="2"/>
  <c r="T236" i="2"/>
  <c r="AJ236" i="2"/>
  <c r="AZ236" i="2"/>
  <c r="G237" i="2"/>
  <c r="W237" i="2"/>
  <c r="AM237" i="2"/>
  <c r="BC237" i="2"/>
  <c r="N238" i="2"/>
  <c r="AD238" i="2"/>
  <c r="AT238" i="2"/>
  <c r="BJ238" i="2"/>
  <c r="U239" i="2"/>
  <c r="AK239" i="2"/>
  <c r="BA239" i="2"/>
  <c r="H240" i="2"/>
  <c r="X240" i="2"/>
  <c r="AN240" i="2"/>
  <c r="BD240" i="2"/>
  <c r="K241" i="2"/>
  <c r="AA241" i="2"/>
  <c r="AQ241" i="2"/>
  <c r="BG241" i="2"/>
  <c r="R242" i="2"/>
  <c r="AH242" i="2"/>
  <c r="AX242" i="2"/>
  <c r="I243" i="2"/>
  <c r="Y243" i="2"/>
  <c r="AO243" i="2"/>
  <c r="BE243" i="2"/>
  <c r="L244" i="2"/>
  <c r="AB244" i="2"/>
  <c r="AR244" i="2"/>
  <c r="BH244" i="2"/>
  <c r="O245" i="2"/>
  <c r="AE245" i="2"/>
  <c r="AU245" i="2"/>
  <c r="BK245" i="2"/>
  <c r="V246" i="2"/>
  <c r="AL246" i="2"/>
  <c r="BB246" i="2"/>
  <c r="M247" i="2"/>
  <c r="AC247" i="2"/>
  <c r="AS247" i="2"/>
  <c r="BI247" i="2"/>
  <c r="P248" i="2"/>
  <c r="AF248" i="2"/>
  <c r="AV248" i="2"/>
  <c r="BL248" i="2"/>
  <c r="T249" i="3"/>
  <c r="T249" i="2" s="1"/>
  <c r="T250" i="2"/>
  <c r="AJ249" i="3"/>
  <c r="AJ249" i="2" s="1"/>
  <c r="AJ250" i="2"/>
  <c r="AZ249" i="3"/>
  <c r="AZ249" i="2" s="1"/>
  <c r="AZ250" i="2"/>
  <c r="G251" i="2"/>
  <c r="W251" i="2"/>
  <c r="AM251" i="2"/>
  <c r="BC251" i="2"/>
  <c r="N252" i="2"/>
  <c r="AD252" i="2"/>
  <c r="AT252" i="2"/>
  <c r="BJ252" i="2"/>
  <c r="U253" i="2"/>
  <c r="AK253" i="2"/>
  <c r="BA253" i="2"/>
  <c r="H254" i="2"/>
  <c r="X254" i="2"/>
  <c r="AN254" i="2"/>
  <c r="BD254" i="2"/>
  <c r="K255" i="2"/>
  <c r="AA255" i="2"/>
  <c r="AQ255" i="2"/>
  <c r="BG255" i="2"/>
  <c r="R256" i="2"/>
  <c r="AH256" i="2"/>
  <c r="AX256" i="2"/>
  <c r="I257" i="2"/>
  <c r="Y257" i="2"/>
  <c r="AO257" i="2"/>
  <c r="BE257" i="2"/>
  <c r="L258" i="2"/>
  <c r="AB258" i="2"/>
  <c r="AR258" i="2"/>
  <c r="BH258" i="2"/>
  <c r="O259" i="2"/>
  <c r="AE259" i="2"/>
  <c r="AU259" i="2"/>
  <c r="BK259" i="2"/>
  <c r="V260" i="2"/>
  <c r="AL260" i="2"/>
  <c r="BB260" i="2"/>
  <c r="M261" i="2"/>
  <c r="AC261" i="2"/>
  <c r="AS261" i="2"/>
  <c r="BI261" i="2"/>
  <c r="P262" i="2"/>
  <c r="AF262" i="2"/>
  <c r="AV262" i="2"/>
  <c r="BL262" i="2"/>
  <c r="S263" i="2"/>
  <c r="AI263" i="2"/>
  <c r="AY263" i="2"/>
  <c r="J264" i="2"/>
  <c r="Z264" i="2"/>
  <c r="AP264" i="2"/>
  <c r="BF264" i="2"/>
  <c r="Q265" i="2"/>
  <c r="AG265" i="2"/>
  <c r="AW265" i="2"/>
  <c r="BM265" i="2"/>
  <c r="T266" i="2"/>
  <c r="AJ266" i="2"/>
  <c r="AZ266" i="2"/>
  <c r="G267" i="2"/>
  <c r="W267" i="2"/>
  <c r="AM267" i="2"/>
  <c r="BC267" i="2"/>
  <c r="N268" i="2"/>
  <c r="AD268" i="2"/>
  <c r="AT268" i="2"/>
  <c r="BJ268" i="2"/>
  <c r="U269" i="2"/>
  <c r="AK269" i="2"/>
  <c r="BA269" i="2"/>
  <c r="H270" i="2"/>
  <c r="X270" i="2"/>
  <c r="AN270" i="2"/>
  <c r="BD270" i="2"/>
  <c r="K271" i="2"/>
  <c r="AA271" i="2"/>
  <c r="AQ271" i="2"/>
  <c r="BG271" i="2"/>
  <c r="R272" i="2"/>
  <c r="AH272" i="2"/>
  <c r="AX272" i="2"/>
  <c r="I273" i="2"/>
  <c r="Y273" i="2"/>
  <c r="AO273" i="2"/>
  <c r="BE273" i="2"/>
  <c r="L274" i="2"/>
  <c r="AB274" i="2"/>
  <c r="AR274" i="2"/>
  <c r="BH274" i="2"/>
  <c r="O275" i="2"/>
  <c r="AE275" i="2"/>
  <c r="AU275" i="2"/>
  <c r="BK275" i="2"/>
  <c r="V276" i="2"/>
  <c r="AL276" i="2"/>
  <c r="BB276" i="2"/>
  <c r="M277" i="2"/>
  <c r="AC277" i="2"/>
  <c r="AS277" i="2"/>
  <c r="BI277" i="2"/>
  <c r="P278" i="2"/>
  <c r="AF278" i="2"/>
  <c r="AV278" i="2"/>
  <c r="BL278" i="2"/>
  <c r="S279" i="2"/>
  <c r="AI279" i="2"/>
  <c r="AY279" i="2"/>
  <c r="J280" i="2"/>
  <c r="Z280" i="2"/>
  <c r="AP280" i="2"/>
  <c r="BF280" i="2"/>
  <c r="Q281" i="2"/>
  <c r="AG281" i="2"/>
  <c r="AW281" i="2"/>
  <c r="BM281" i="2"/>
  <c r="T282" i="2"/>
  <c r="AJ282" i="2"/>
  <c r="AZ282" i="2"/>
  <c r="G283" i="2"/>
  <c r="W283" i="2"/>
  <c r="AM283" i="2"/>
  <c r="BC283" i="2"/>
  <c r="N284" i="2"/>
  <c r="AD284" i="2"/>
  <c r="AT284" i="2"/>
  <c r="BJ284" i="2"/>
  <c r="U285" i="2"/>
  <c r="AK285" i="2"/>
  <c r="BA285" i="2"/>
  <c r="H286" i="2"/>
  <c r="X286" i="2"/>
  <c r="AN286" i="2"/>
  <c r="BD286" i="2"/>
  <c r="K287" i="2"/>
  <c r="AA287" i="2"/>
  <c r="AQ287" i="2"/>
  <c r="BG287" i="2"/>
  <c r="R288" i="2"/>
  <c r="AH288" i="2"/>
  <c r="AX288" i="2"/>
  <c r="I289" i="2"/>
  <c r="Y289" i="2"/>
  <c r="AO289" i="2"/>
  <c r="BE289" i="2"/>
  <c r="Z290" i="3"/>
  <c r="Z290" i="2" s="1"/>
  <c r="Z291" i="2"/>
  <c r="AC292" i="2"/>
  <c r="AB293" i="2"/>
  <c r="AZ293" i="2"/>
  <c r="G294" i="2"/>
  <c r="W294" i="2"/>
  <c r="AM294" i="2"/>
  <c r="BC294" i="2"/>
  <c r="N295" i="2"/>
  <c r="AD295" i="2"/>
  <c r="AT295" i="2"/>
  <c r="BJ295" i="2"/>
  <c r="U296" i="2"/>
  <c r="AK296" i="2"/>
  <c r="BA296" i="2"/>
  <c r="H297" i="2"/>
  <c r="X297" i="2"/>
  <c r="AN297" i="2"/>
  <c r="BD297" i="2"/>
  <c r="K298" i="2"/>
  <c r="AA298" i="2"/>
  <c r="AQ298" i="2"/>
  <c r="BG298" i="2"/>
  <c r="R299" i="2"/>
  <c r="AH299" i="2"/>
  <c r="AX299" i="2"/>
  <c r="I300" i="2"/>
  <c r="Y300" i="2"/>
  <c r="AO300" i="2"/>
  <c r="BE300" i="2"/>
  <c r="L301" i="2"/>
  <c r="AB301" i="2"/>
  <c r="AR301" i="2"/>
  <c r="BH301" i="2"/>
  <c r="O302" i="2"/>
  <c r="AE302" i="2"/>
  <c r="AU302" i="2"/>
  <c r="BK302" i="2"/>
  <c r="V303" i="2"/>
  <c r="AL303" i="2"/>
  <c r="BB303" i="2"/>
  <c r="M304" i="2"/>
  <c r="AC304" i="2"/>
  <c r="AS304" i="2"/>
  <c r="BI304" i="2"/>
  <c r="P305" i="2"/>
  <c r="AF305" i="2"/>
  <c r="AV305" i="2"/>
  <c r="BL305" i="2"/>
  <c r="S306" i="2"/>
  <c r="AI306" i="2"/>
  <c r="AY306" i="2"/>
  <c r="J307" i="2"/>
  <c r="Z307" i="2"/>
  <c r="AP307" i="2"/>
  <c r="BF307" i="2"/>
  <c r="Q308" i="2"/>
  <c r="AG308" i="2"/>
  <c r="AW308" i="2"/>
  <c r="BM308" i="2"/>
  <c r="T309" i="2"/>
  <c r="AJ309" i="2"/>
  <c r="AZ309" i="2"/>
  <c r="G310" i="2"/>
  <c r="W310" i="2"/>
  <c r="AM310" i="2"/>
  <c r="BC310" i="2"/>
  <c r="N311" i="2"/>
  <c r="AD311" i="2"/>
  <c r="AT311" i="2"/>
  <c r="BJ311" i="2"/>
  <c r="U312" i="2"/>
  <c r="AK312" i="2"/>
  <c r="BA312" i="2"/>
  <c r="H313" i="2"/>
  <c r="X313" i="2"/>
  <c r="AN313" i="2"/>
  <c r="BD313" i="2"/>
  <c r="K314" i="2"/>
  <c r="AA314" i="2"/>
  <c r="AQ314" i="2"/>
  <c r="BG314" i="2"/>
  <c r="R315" i="2"/>
  <c r="AH315" i="2"/>
  <c r="AX315" i="2"/>
  <c r="U316" i="2"/>
  <c r="BA316" i="2"/>
  <c r="W317" i="2"/>
  <c r="BC317" i="2"/>
  <c r="W318" i="2"/>
  <c r="BC318" i="2"/>
  <c r="Z319" i="2"/>
  <c r="BF319" i="2"/>
  <c r="AK320" i="2"/>
  <c r="G321" i="2"/>
  <c r="AM321" i="2"/>
  <c r="G322" i="2"/>
  <c r="AM322" i="2"/>
  <c r="J323" i="2"/>
  <c r="AP323" i="2"/>
  <c r="U324" i="2"/>
  <c r="BA324" i="2"/>
  <c r="W325" i="2"/>
  <c r="BC325" i="2"/>
  <c r="W326" i="2"/>
  <c r="BC326" i="2"/>
  <c r="Z327" i="2"/>
  <c r="BF327" i="2"/>
  <c r="AK328" i="2"/>
  <c r="G329" i="2"/>
  <c r="AM329" i="2"/>
  <c r="G330" i="2"/>
  <c r="AM330" i="2"/>
  <c r="G331" i="3"/>
  <c r="G331" i="2" s="1"/>
  <c r="G332" i="2"/>
  <c r="AM331" i="3"/>
  <c r="AM331" i="2" s="1"/>
  <c r="AM332" i="2"/>
  <c r="J333" i="2"/>
  <c r="AP333" i="2"/>
  <c r="U334" i="2"/>
  <c r="BA334" i="2"/>
  <c r="W335" i="2"/>
  <c r="BC335" i="2"/>
  <c r="W336" i="2"/>
  <c r="BC336" i="2"/>
  <c r="Z337" i="2"/>
  <c r="BF337" i="2"/>
  <c r="AK338" i="2"/>
  <c r="G339" i="2"/>
  <c r="AM339" i="2"/>
  <c r="G340" i="2"/>
  <c r="AM340" i="2"/>
  <c r="J341" i="2"/>
  <c r="AP341" i="2"/>
  <c r="U342" i="2"/>
  <c r="BA342" i="2"/>
  <c r="W343" i="2"/>
  <c r="BC343" i="2"/>
  <c r="W344" i="2"/>
  <c r="BC344" i="2"/>
  <c r="Z345" i="2"/>
  <c r="BF345" i="2"/>
  <c r="AK346" i="2"/>
  <c r="G347" i="2"/>
  <c r="AM347" i="2"/>
  <c r="G348" i="2"/>
  <c r="AM348" i="2"/>
  <c r="J349" i="2"/>
  <c r="AP349" i="2"/>
  <c r="V350" i="2"/>
  <c r="BC351" i="2"/>
  <c r="BE353" i="2"/>
  <c r="BC355" i="2"/>
  <c r="BE357" i="2"/>
  <c r="BC359" i="2"/>
  <c r="BE361" i="2"/>
  <c r="BC363" i="2"/>
  <c r="BE365" i="2"/>
  <c r="BC367" i="2"/>
  <c r="BE369" i="2"/>
  <c r="BC371" i="2"/>
  <c r="AY375" i="2"/>
  <c r="AC378" i="2"/>
  <c r="AS382" i="2"/>
  <c r="BI386" i="2"/>
  <c r="M390" i="2"/>
  <c r="AC394" i="2"/>
  <c r="AS398" i="2"/>
  <c r="BI402" i="2"/>
  <c r="M406" i="2"/>
  <c r="AC410" i="2"/>
  <c r="K290" i="3"/>
  <c r="K290" i="2" s="1"/>
  <c r="K291" i="2"/>
  <c r="AA290" i="3"/>
  <c r="AA290" i="2" s="1"/>
  <c r="AA291" i="2"/>
  <c r="AQ290" i="3"/>
  <c r="AQ290" i="2" s="1"/>
  <c r="AQ291" i="2"/>
  <c r="BG290" i="3"/>
  <c r="BG290" i="2" s="1"/>
  <c r="BG291" i="2"/>
  <c r="R292" i="2"/>
  <c r="AH292" i="2"/>
  <c r="AX292" i="2"/>
  <c r="I293" i="2"/>
  <c r="Y293" i="2"/>
  <c r="AO293" i="2"/>
  <c r="BE293" i="2"/>
  <c r="L294" i="2"/>
  <c r="AB294" i="2"/>
  <c r="AR294" i="2"/>
  <c r="BH294" i="2"/>
  <c r="O295" i="2"/>
  <c r="AE295" i="2"/>
  <c r="AU295" i="2"/>
  <c r="BK295" i="2"/>
  <c r="V296" i="2"/>
  <c r="AL296" i="2"/>
  <c r="BB296" i="2"/>
  <c r="M297" i="2"/>
  <c r="AC297" i="2"/>
  <c r="AS297" i="2"/>
  <c r="BI297" i="2"/>
  <c r="P298" i="2"/>
  <c r="AF298" i="2"/>
  <c r="AV298" i="2"/>
  <c r="BL298" i="2"/>
  <c r="S299" i="2"/>
  <c r="AI299" i="2"/>
  <c r="AY299" i="2"/>
  <c r="J300" i="2"/>
  <c r="Z300" i="2"/>
  <c r="AP300" i="2"/>
  <c r="BF300" i="2"/>
  <c r="Q301" i="2"/>
  <c r="AG301" i="2"/>
  <c r="AW301" i="2"/>
  <c r="BM301" i="2"/>
  <c r="T302" i="2"/>
  <c r="AJ302" i="2"/>
  <c r="AZ302" i="2"/>
  <c r="G303" i="2"/>
  <c r="W303" i="2"/>
  <c r="AM303" i="2"/>
  <c r="BC303" i="2"/>
  <c r="N304" i="2"/>
  <c r="AD304" i="2"/>
  <c r="AT304" i="2"/>
  <c r="BJ304" i="2"/>
  <c r="U305" i="2"/>
  <c r="AK305" i="2"/>
  <c r="BA305" i="2"/>
  <c r="H306" i="2"/>
  <c r="X306" i="2"/>
  <c r="AN306" i="2"/>
  <c r="BD306" i="2"/>
  <c r="K307" i="2"/>
  <c r="AA307" i="2"/>
  <c r="AQ307" i="2"/>
  <c r="BG307" i="2"/>
  <c r="R308" i="2"/>
  <c r="AH308" i="2"/>
  <c r="AX308" i="2"/>
  <c r="I309" i="2"/>
  <c r="Y309" i="2"/>
  <c r="AO309" i="2"/>
  <c r="BE309" i="2"/>
  <c r="L310" i="2"/>
  <c r="AB310" i="2"/>
  <c r="AR310" i="2"/>
  <c r="BH310" i="2"/>
  <c r="O311" i="2"/>
  <c r="AE311" i="2"/>
  <c r="AU311" i="2"/>
  <c r="BK311" i="2"/>
  <c r="V312" i="2"/>
  <c r="AL312" i="2"/>
  <c r="BB312" i="2"/>
  <c r="M313" i="2"/>
  <c r="AC313" i="2"/>
  <c r="AS313" i="2"/>
  <c r="BI313" i="2"/>
  <c r="P314" i="2"/>
  <c r="AF314" i="2"/>
  <c r="AV314" i="2"/>
  <c r="BL314" i="2"/>
  <c r="S315" i="2"/>
  <c r="AI315" i="2"/>
  <c r="AY315" i="2"/>
  <c r="P316" i="2"/>
  <c r="AV316" i="2"/>
  <c r="P317" i="2"/>
  <c r="AV317" i="2"/>
  <c r="R318" i="2"/>
  <c r="AX318" i="2"/>
  <c r="AC319" i="2"/>
  <c r="BI319" i="2"/>
  <c r="AF320" i="2"/>
  <c r="BL320" i="2"/>
  <c r="AF321" i="2"/>
  <c r="BL321" i="2"/>
  <c r="AH322" i="2"/>
  <c r="M323" i="2"/>
  <c r="AS323" i="2"/>
  <c r="P324" i="2"/>
  <c r="AV324" i="2"/>
  <c r="P325" i="2"/>
  <c r="AV325" i="2"/>
  <c r="R326" i="2"/>
  <c r="AX326" i="2"/>
  <c r="AC327" i="2"/>
  <c r="BI327" i="2"/>
  <c r="AF328" i="2"/>
  <c r="BL328" i="2"/>
  <c r="AF329" i="2"/>
  <c r="BL329" i="2"/>
  <c r="AH330" i="2"/>
  <c r="J331" i="3"/>
  <c r="J331" i="2" s="1"/>
  <c r="J332" i="2"/>
  <c r="AP331" i="3"/>
  <c r="AP331" i="2" s="1"/>
  <c r="AP332" i="2"/>
  <c r="U333" i="2"/>
  <c r="BA333" i="2"/>
  <c r="X334" i="2"/>
  <c r="BD334" i="2"/>
  <c r="X335" i="2"/>
  <c r="BD335" i="2"/>
  <c r="Z336" i="2"/>
  <c r="BF336" i="2"/>
  <c r="AK337" i="2"/>
  <c r="H338" i="2"/>
  <c r="AN338" i="2"/>
  <c r="H339" i="2"/>
  <c r="AN339" i="2"/>
  <c r="J340" i="2"/>
  <c r="AP340" i="2"/>
  <c r="U341" i="2"/>
  <c r="BA341" i="2"/>
  <c r="X342" i="2"/>
  <c r="BD342" i="2"/>
  <c r="X343" i="2"/>
  <c r="BD343" i="2"/>
  <c r="Z344" i="2"/>
  <c r="BF344" i="2"/>
  <c r="AK345" i="2"/>
  <c r="H346" i="2"/>
  <c r="AN346" i="2"/>
  <c r="H347" i="2"/>
  <c r="AN347" i="2"/>
  <c r="J348" i="2"/>
  <c r="AP348" i="2"/>
  <c r="U349" i="2"/>
  <c r="BA349" i="2"/>
  <c r="AA350" i="2"/>
  <c r="AK353" i="2"/>
  <c r="AK357" i="2"/>
  <c r="AK361" i="2"/>
  <c r="AK365" i="2"/>
  <c r="AK369" i="2"/>
  <c r="BL373" i="3"/>
  <c r="BL373" i="2" s="1"/>
  <c r="BL374" i="2"/>
  <c r="BF377" i="2"/>
  <c r="BL383" i="2"/>
  <c r="BD387" i="2"/>
  <c r="AF391" i="2"/>
  <c r="X395" i="2"/>
  <c r="Z401" i="2"/>
  <c r="AH405" i="2"/>
  <c r="BF409" i="2"/>
  <c r="BG413" i="2"/>
  <c r="T290" i="3"/>
  <c r="T290" i="2" s="1"/>
  <c r="T291" i="2"/>
  <c r="AJ290" i="3"/>
  <c r="AJ290" i="2" s="1"/>
  <c r="AJ291" i="2"/>
  <c r="AZ290" i="3"/>
  <c r="AZ290" i="2" s="1"/>
  <c r="AZ291" i="2"/>
  <c r="G292" i="2"/>
  <c r="W292" i="2"/>
  <c r="AM292" i="2"/>
  <c r="BC292" i="2"/>
  <c r="N293" i="2"/>
  <c r="AD293" i="2"/>
  <c r="AT293" i="2"/>
  <c r="BJ293" i="2"/>
  <c r="U294" i="2"/>
  <c r="AK294" i="2"/>
  <c r="BA294" i="2"/>
  <c r="H295" i="2"/>
  <c r="X295" i="2"/>
  <c r="AN295" i="2"/>
  <c r="BD295" i="2"/>
  <c r="K296" i="2"/>
  <c r="AA296" i="2"/>
  <c r="AQ296" i="2"/>
  <c r="BG296" i="2"/>
  <c r="R297" i="2"/>
  <c r="AH297" i="2"/>
  <c r="AX297" i="2"/>
  <c r="I298" i="2"/>
  <c r="Y298" i="2"/>
  <c r="AO298" i="2"/>
  <c r="BE298" i="2"/>
  <c r="L299" i="2"/>
  <c r="AB299" i="2"/>
  <c r="AR299" i="2"/>
  <c r="BH299" i="2"/>
  <c r="O300" i="2"/>
  <c r="AE300" i="2"/>
  <c r="AU300" i="2"/>
  <c r="BK300" i="2"/>
  <c r="V301" i="2"/>
  <c r="AL301" i="2"/>
  <c r="BB301" i="2"/>
  <c r="M302" i="2"/>
  <c r="AC302" i="2"/>
  <c r="AS302" i="2"/>
  <c r="BI302" i="2"/>
  <c r="P303" i="2"/>
  <c r="AF303" i="2"/>
  <c r="AV303" i="2"/>
  <c r="BL303" i="2"/>
  <c r="S304" i="2"/>
  <c r="AI304" i="2"/>
  <c r="AY304" i="2"/>
  <c r="J305" i="2"/>
  <c r="Z305" i="2"/>
  <c r="AP305" i="2"/>
  <c r="BF305" i="2"/>
  <c r="Q306" i="2"/>
  <c r="AG306" i="2"/>
  <c r="AW306" i="2"/>
  <c r="BM306" i="2"/>
  <c r="T307" i="2"/>
  <c r="AJ307" i="2"/>
  <c r="AZ307" i="2"/>
  <c r="G308" i="2"/>
  <c r="W308" i="2"/>
  <c r="AM308" i="2"/>
  <c r="BC308" i="2"/>
  <c r="N309" i="2"/>
  <c r="AD309" i="2"/>
  <c r="AT309" i="2"/>
  <c r="BJ309" i="2"/>
  <c r="U310" i="2"/>
  <c r="AK310" i="2"/>
  <c r="BA310" i="2"/>
  <c r="H311" i="2"/>
  <c r="X311" i="2"/>
  <c r="AN311" i="2"/>
  <c r="BD311" i="2"/>
  <c r="K312" i="2"/>
  <c r="AA312" i="2"/>
  <c r="AQ312" i="2"/>
  <c r="BG312" i="2"/>
  <c r="R313" i="2"/>
  <c r="AH313" i="2"/>
  <c r="AX313" i="2"/>
  <c r="I314" i="2"/>
  <c r="Y314" i="2"/>
  <c r="AO314" i="2"/>
  <c r="BE314" i="2"/>
  <c r="L315" i="2"/>
  <c r="AB315" i="2"/>
  <c r="AR315" i="2"/>
  <c r="BJ315" i="2"/>
  <c r="AG316" i="2"/>
  <c r="BM316" i="2"/>
  <c r="AI317" i="2"/>
  <c r="K318" i="2"/>
  <c r="AQ318" i="2"/>
  <c r="V319" i="2"/>
  <c r="BB319" i="2"/>
  <c r="Y320" i="2"/>
  <c r="BE320" i="2"/>
  <c r="AA321" i="2"/>
  <c r="BG321" i="2"/>
  <c r="AI322" i="2"/>
  <c r="N323" i="2"/>
  <c r="AT323" i="2"/>
  <c r="Q324" i="2"/>
  <c r="AW324" i="2"/>
  <c r="S325" i="2"/>
  <c r="AY325" i="2"/>
  <c r="AA326" i="2"/>
  <c r="BG326" i="2"/>
  <c r="AL327" i="2"/>
  <c r="I328" i="2"/>
  <c r="AO328" i="2"/>
  <c r="K329" i="2"/>
  <c r="AQ329" i="2"/>
  <c r="S330" i="2"/>
  <c r="AY330" i="2"/>
  <c r="AA331" i="3"/>
  <c r="AA331" i="2" s="1"/>
  <c r="AA332" i="2"/>
  <c r="BG331" i="3"/>
  <c r="BG331" i="2" s="1"/>
  <c r="BG332" i="2"/>
  <c r="AL333" i="2"/>
  <c r="I334" i="2"/>
  <c r="AO334" i="2"/>
  <c r="K335" i="2"/>
  <c r="AQ335" i="2"/>
  <c r="S336" i="2"/>
  <c r="AY336" i="2"/>
  <c r="AD337" i="2"/>
  <c r="BJ337" i="2"/>
  <c r="AG338" i="2"/>
  <c r="BM338" i="2"/>
  <c r="AI339" i="2"/>
  <c r="K340" i="2"/>
  <c r="AQ340" i="2"/>
  <c r="V341" i="2"/>
  <c r="BB341" i="2"/>
  <c r="Y342" i="2"/>
  <c r="BE342" i="2"/>
  <c r="AA343" i="2"/>
  <c r="BG343" i="2"/>
  <c r="AI344" i="2"/>
  <c r="N345" i="2"/>
  <c r="AT345" i="2"/>
  <c r="Q346" i="2"/>
  <c r="AW346" i="2"/>
  <c r="S347" i="2"/>
  <c r="AY347" i="2"/>
  <c r="AA348" i="2"/>
  <c r="BG348" i="2"/>
  <c r="AL349" i="2"/>
  <c r="I350" i="2"/>
  <c r="G351" i="2"/>
  <c r="AO353" i="2"/>
  <c r="AM355" i="2"/>
  <c r="H358" i="2"/>
  <c r="AL360" i="2"/>
  <c r="AN362" i="2"/>
  <c r="I365" i="2"/>
  <c r="G367" i="2"/>
  <c r="AO369" i="2"/>
  <c r="AM371" i="2"/>
  <c r="R377" i="2"/>
  <c r="J381" i="2"/>
  <c r="AX385" i="2"/>
  <c r="AP389" i="2"/>
  <c r="R393" i="2"/>
  <c r="J397" i="2"/>
  <c r="AX401" i="2"/>
  <c r="AP405" i="2"/>
  <c r="R409" i="2"/>
  <c r="I290" i="3"/>
  <c r="I290" i="2" s="1"/>
  <c r="I291" i="2"/>
  <c r="Y290" i="3"/>
  <c r="Y290" i="2" s="1"/>
  <c r="Y291" i="2"/>
  <c r="AO290" i="3"/>
  <c r="AO290" i="2" s="1"/>
  <c r="AO291" i="2"/>
  <c r="BE290" i="3"/>
  <c r="BE290" i="2" s="1"/>
  <c r="BE291" i="2"/>
  <c r="L292" i="2"/>
  <c r="AB292" i="2"/>
  <c r="AR292" i="2"/>
  <c r="BH292" i="2"/>
  <c r="O293" i="2"/>
  <c r="AE293" i="2"/>
  <c r="AU293" i="2"/>
  <c r="BK293" i="2"/>
  <c r="V294" i="2"/>
  <c r="AL294" i="2"/>
  <c r="BB294" i="2"/>
  <c r="M295" i="2"/>
  <c r="AC295" i="2"/>
  <c r="AS295" i="2"/>
  <c r="BI295" i="2"/>
  <c r="P296" i="2"/>
  <c r="AF296" i="2"/>
  <c r="AV296" i="2"/>
  <c r="BL296" i="2"/>
  <c r="S297" i="2"/>
  <c r="AI297" i="2"/>
  <c r="AY297" i="2"/>
  <c r="J298" i="2"/>
  <c r="Z298" i="2"/>
  <c r="AP298" i="2"/>
  <c r="BF298" i="2"/>
  <c r="Q299" i="2"/>
  <c r="AG299" i="2"/>
  <c r="AW299" i="2"/>
  <c r="BM299" i="2"/>
  <c r="T300" i="2"/>
  <c r="AJ300" i="2"/>
  <c r="AZ300" i="2"/>
  <c r="G301" i="2"/>
  <c r="W301" i="2"/>
  <c r="AM301" i="2"/>
  <c r="BC301" i="2"/>
  <c r="N302" i="2"/>
  <c r="AD302" i="2"/>
  <c r="AT302" i="2"/>
  <c r="BJ302" i="2"/>
  <c r="U303" i="2"/>
  <c r="AK303" i="2"/>
  <c r="BA303" i="2"/>
  <c r="H304" i="2"/>
  <c r="X304" i="2"/>
  <c r="AN304" i="2"/>
  <c r="BD304" i="2"/>
  <c r="K305" i="2"/>
  <c r="AA305" i="2"/>
  <c r="AQ305" i="2"/>
  <c r="BG305" i="2"/>
  <c r="R306" i="2"/>
  <c r="AH306" i="2"/>
  <c r="AX306" i="2"/>
  <c r="I307" i="2"/>
  <c r="Y307" i="2"/>
  <c r="AO307" i="2"/>
  <c r="BE307" i="2"/>
  <c r="L308" i="2"/>
  <c r="AB308" i="2"/>
  <c r="AR308" i="2"/>
  <c r="BH308" i="2"/>
  <c r="O309" i="2"/>
  <c r="AE309" i="2"/>
  <c r="AU309" i="2"/>
  <c r="BK309" i="2"/>
  <c r="V310" i="2"/>
  <c r="AL310" i="2"/>
  <c r="BB310" i="2"/>
  <c r="M311" i="2"/>
  <c r="AC311" i="2"/>
  <c r="AS311" i="2"/>
  <c r="BI311" i="2"/>
  <c r="P312" i="2"/>
  <c r="AF312" i="2"/>
  <c r="AV312" i="2"/>
  <c r="BL312" i="2"/>
  <c r="S313" i="2"/>
  <c r="AI313" i="2"/>
  <c r="AY313" i="2"/>
  <c r="J314" i="2"/>
  <c r="Z314" i="2"/>
  <c r="AP314" i="2"/>
  <c r="BF314" i="2"/>
  <c r="Q315" i="2"/>
  <c r="AG315" i="2"/>
  <c r="AW315" i="2"/>
  <c r="L316" i="2"/>
  <c r="AR316" i="2"/>
  <c r="T317" i="2"/>
  <c r="AZ317" i="2"/>
  <c r="AD318" i="2"/>
  <c r="BJ318" i="2"/>
  <c r="AG319" i="2"/>
  <c r="BM319" i="2"/>
  <c r="AJ320" i="2"/>
  <c r="L321" i="2"/>
  <c r="AR321" i="2"/>
  <c r="V322" i="2"/>
  <c r="BB322" i="2"/>
  <c r="Y323" i="2"/>
  <c r="BE323" i="2"/>
  <c r="AB324" i="2"/>
  <c r="BH324" i="2"/>
  <c r="AJ325" i="2"/>
  <c r="N326" i="2"/>
  <c r="AT326" i="2"/>
  <c r="Q327" i="2"/>
  <c r="AW327" i="2"/>
  <c r="T328" i="2"/>
  <c r="AZ328" i="2"/>
  <c r="AB329" i="2"/>
  <c r="BH329" i="2"/>
  <c r="AL330" i="2"/>
  <c r="N331" i="3"/>
  <c r="N331" i="2" s="1"/>
  <c r="N332" i="2"/>
  <c r="AT331" i="3"/>
  <c r="AT331" i="2" s="1"/>
  <c r="AT332" i="2"/>
  <c r="Q333" i="2"/>
  <c r="AW333" i="2"/>
  <c r="T334" i="2"/>
  <c r="AZ334" i="2"/>
  <c r="AB335" i="2"/>
  <c r="BH335" i="2"/>
  <c r="AL336" i="2"/>
  <c r="I337" i="2"/>
  <c r="AO337" i="2"/>
  <c r="L338" i="2"/>
  <c r="AR338" i="2"/>
  <c r="T339" i="2"/>
  <c r="AZ339" i="2"/>
  <c r="AD340" i="2"/>
  <c r="BJ340" i="2"/>
  <c r="AG341" i="2"/>
  <c r="BM341" i="2"/>
  <c r="AJ342" i="2"/>
  <c r="L343" i="2"/>
  <c r="AR343" i="2"/>
  <c r="V344" i="2"/>
  <c r="BB344" i="2"/>
  <c r="Y345" i="2"/>
  <c r="BE345" i="2"/>
  <c r="AB346" i="2"/>
  <c r="BH346" i="2"/>
  <c r="AJ347" i="2"/>
  <c r="N348" i="2"/>
  <c r="AT348" i="2"/>
  <c r="Q349" i="2"/>
  <c r="AW349" i="2"/>
  <c r="T350" i="2"/>
  <c r="AY351" i="2"/>
  <c r="BA353" i="2"/>
  <c r="AY355" i="2"/>
  <c r="BA357" i="2"/>
  <c r="AY359" i="2"/>
  <c r="BA361" i="2"/>
  <c r="AY363" i="2"/>
  <c r="BA365" i="2"/>
  <c r="AY367" i="2"/>
  <c r="BA369" i="2"/>
  <c r="AY371" i="2"/>
  <c r="AU375" i="2"/>
  <c r="U378" i="2"/>
  <c r="AK382" i="2"/>
  <c r="BA386" i="2"/>
  <c r="BD392" i="2"/>
  <c r="AN396" i="2"/>
  <c r="X400" i="2"/>
  <c r="H404" i="2"/>
  <c r="U410" i="2"/>
  <c r="N316" i="2"/>
  <c r="AD316" i="2"/>
  <c r="AT316" i="2"/>
  <c r="BJ316" i="2"/>
  <c r="U317" i="2"/>
  <c r="AK317" i="2"/>
  <c r="BA317" i="2"/>
  <c r="H318" i="2"/>
  <c r="X318" i="2"/>
  <c r="AN318" i="2"/>
  <c r="BD318" i="2"/>
  <c r="K319" i="2"/>
  <c r="AA319" i="2"/>
  <c r="AQ319" i="2"/>
  <c r="BG319" i="2"/>
  <c r="R320" i="2"/>
  <c r="AH320" i="2"/>
  <c r="AX320" i="2"/>
  <c r="I321" i="2"/>
  <c r="Y321" i="2"/>
  <c r="AO321" i="2"/>
  <c r="BE321" i="2"/>
  <c r="L322" i="2"/>
  <c r="AB322" i="2"/>
  <c r="AR322" i="2"/>
  <c r="BH322" i="2"/>
  <c r="O323" i="2"/>
  <c r="AE323" i="2"/>
  <c r="AU323" i="2"/>
  <c r="BK323" i="2"/>
  <c r="V324" i="2"/>
  <c r="AL324" i="2"/>
  <c r="BB324" i="2"/>
  <c r="M325" i="2"/>
  <c r="AC325" i="2"/>
  <c r="AS325" i="2"/>
  <c r="BI325" i="2"/>
  <c r="P326" i="2"/>
  <c r="AF326" i="2"/>
  <c r="AV326" i="2"/>
  <c r="BL326" i="2"/>
  <c r="S327" i="2"/>
  <c r="AI327" i="2"/>
  <c r="AY327" i="2"/>
  <c r="J328" i="2"/>
  <c r="Z328" i="2"/>
  <c r="AP328" i="2"/>
  <c r="BF328" i="2"/>
  <c r="Q329" i="2"/>
  <c r="AG329" i="2"/>
  <c r="AW329" i="2"/>
  <c r="BM329" i="2"/>
  <c r="T330" i="2"/>
  <c r="AJ330" i="2"/>
  <c r="AZ330" i="2"/>
  <c r="H331" i="3"/>
  <c r="H331" i="2" s="1"/>
  <c r="H332" i="2"/>
  <c r="X331" i="3"/>
  <c r="X331" i="2" s="1"/>
  <c r="X332" i="2"/>
  <c r="AN331" i="3"/>
  <c r="AN331" i="2" s="1"/>
  <c r="AN332" i="2"/>
  <c r="BD331" i="3"/>
  <c r="BD331" i="2" s="1"/>
  <c r="BD332" i="2"/>
  <c r="K333" i="2"/>
  <c r="AA333" i="2"/>
  <c r="AQ333" i="2"/>
  <c r="BG333" i="2"/>
  <c r="R334" i="2"/>
  <c r="AH334" i="2"/>
  <c r="AX334" i="2"/>
  <c r="I335" i="2"/>
  <c r="Y335" i="2"/>
  <c r="AO335" i="2"/>
  <c r="BE335" i="2"/>
  <c r="L336" i="2"/>
  <c r="AB336" i="2"/>
  <c r="AR336" i="2"/>
  <c r="BH336" i="2"/>
  <c r="O337" i="2"/>
  <c r="AE337" i="2"/>
  <c r="AU337" i="2"/>
  <c r="BK337" i="2"/>
  <c r="V338" i="2"/>
  <c r="AL338" i="2"/>
  <c r="BB338" i="2"/>
  <c r="M339" i="2"/>
  <c r="AC339" i="2"/>
  <c r="AS339" i="2"/>
  <c r="BI339" i="2"/>
  <c r="P340" i="2"/>
  <c r="AF340" i="2"/>
  <c r="AV340" i="2"/>
  <c r="BL340" i="2"/>
  <c r="S341" i="2"/>
  <c r="AI341" i="2"/>
  <c r="AY341" i="2"/>
  <c r="J342" i="2"/>
  <c r="Z342" i="2"/>
  <c r="AP342" i="2"/>
  <c r="BF342" i="2"/>
  <c r="Q343" i="2"/>
  <c r="AG343" i="2"/>
  <c r="AW343" i="2"/>
  <c r="BM343" i="2"/>
  <c r="T344" i="2"/>
  <c r="AJ344" i="2"/>
  <c r="AZ344" i="2"/>
  <c r="G345" i="2"/>
  <c r="W345" i="2"/>
  <c r="AM345" i="2"/>
  <c r="BC345" i="2"/>
  <c r="N346" i="2"/>
  <c r="AD346" i="2"/>
  <c r="AT346" i="2"/>
  <c r="BJ346" i="2"/>
  <c r="U347" i="2"/>
  <c r="AK347" i="2"/>
  <c r="BA347" i="2"/>
  <c r="H348" i="2"/>
  <c r="X348" i="2"/>
  <c r="AN348" i="2"/>
  <c r="BD348" i="2"/>
  <c r="K349" i="2"/>
  <c r="AA349" i="2"/>
  <c r="AQ349" i="2"/>
  <c r="BG349" i="2"/>
  <c r="R350" i="2"/>
  <c r="AU350" i="2"/>
  <c r="AQ351" i="2"/>
  <c r="AP352" i="2"/>
  <c r="AS353" i="2"/>
  <c r="AR354" i="2"/>
  <c r="AQ355" i="2"/>
  <c r="AP356" i="2"/>
  <c r="AS357" i="2"/>
  <c r="AR358" i="2"/>
  <c r="AQ359" i="2"/>
  <c r="AP360" i="2"/>
  <c r="AS361" i="2"/>
  <c r="AR362" i="2"/>
  <c r="AQ363" i="2"/>
  <c r="AP364" i="2"/>
  <c r="AS365" i="2"/>
  <c r="AR366" i="2"/>
  <c r="AQ367" i="2"/>
  <c r="AP368" i="2"/>
  <c r="AS369" i="2"/>
  <c r="AR370" i="2"/>
  <c r="AQ371" i="2"/>
  <c r="AN373" i="3"/>
  <c r="AN373" i="2" s="1"/>
  <c r="AN374" i="2"/>
  <c r="AM375" i="2"/>
  <c r="AH377" i="2"/>
  <c r="X380" i="2"/>
  <c r="U382" i="2"/>
  <c r="H384" i="2"/>
  <c r="AF387" i="2"/>
  <c r="R389" i="2"/>
  <c r="P391" i="2"/>
  <c r="AH393" i="2"/>
  <c r="X396" i="2"/>
  <c r="U398" i="2"/>
  <c r="H400" i="2"/>
  <c r="AF403" i="2"/>
  <c r="R405" i="2"/>
  <c r="P407" i="2"/>
  <c r="AH409" i="2"/>
  <c r="AR412" i="2"/>
  <c r="BL315" i="2"/>
  <c r="S316" i="2"/>
  <c r="AI316" i="2"/>
  <c r="AY316" i="2"/>
  <c r="J317" i="2"/>
  <c r="Z317" i="2"/>
  <c r="AP317" i="2"/>
  <c r="BF317" i="2"/>
  <c r="Q318" i="2"/>
  <c r="AG318" i="2"/>
  <c r="AW318" i="2"/>
  <c r="BM318" i="2"/>
  <c r="T319" i="2"/>
  <c r="AJ319" i="2"/>
  <c r="AZ319" i="2"/>
  <c r="G320" i="2"/>
  <c r="W320" i="2"/>
  <c r="AM320" i="2"/>
  <c r="BC320" i="2"/>
  <c r="N321" i="2"/>
  <c r="AD321" i="2"/>
  <c r="AT321" i="2"/>
  <c r="BJ321" i="2"/>
  <c r="U322" i="2"/>
  <c r="AK322" i="2"/>
  <c r="BA322" i="2"/>
  <c r="H323" i="2"/>
  <c r="X323" i="2"/>
  <c r="AN323" i="2"/>
  <c r="BD323" i="2"/>
  <c r="K324" i="2"/>
  <c r="AA324" i="2"/>
  <c r="AQ324" i="2"/>
  <c r="BG324" i="2"/>
  <c r="R325" i="2"/>
  <c r="AH325" i="2"/>
  <c r="AX325" i="2"/>
  <c r="I326" i="2"/>
  <c r="Y326" i="2"/>
  <c r="AO326" i="2"/>
  <c r="BE326" i="2"/>
  <c r="L327" i="2"/>
  <c r="AB327" i="2"/>
  <c r="AR327" i="2"/>
  <c r="BH327" i="2"/>
  <c r="O328" i="2"/>
  <c r="AE328" i="2"/>
  <c r="AU328" i="2"/>
  <c r="BK328" i="2"/>
  <c r="V329" i="2"/>
  <c r="AL329" i="2"/>
  <c r="BB329" i="2"/>
  <c r="M330" i="2"/>
  <c r="AC330" i="2"/>
  <c r="AS330" i="2"/>
  <c r="BI330" i="2"/>
  <c r="Q331" i="3"/>
  <c r="Q331" i="2" s="1"/>
  <c r="Q332" i="2"/>
  <c r="AG331" i="3"/>
  <c r="AG331" i="2" s="1"/>
  <c r="AG332" i="2"/>
  <c r="AW331" i="3"/>
  <c r="AW331" i="2" s="1"/>
  <c r="AW332" i="2"/>
  <c r="BM331" i="3"/>
  <c r="BM331" i="2" s="1"/>
  <c r="BM332" i="2"/>
  <c r="T333" i="2"/>
  <c r="AJ333" i="2"/>
  <c r="AZ333" i="2"/>
  <c r="G334" i="2"/>
  <c r="W334" i="2"/>
  <c r="AM334" i="2"/>
  <c r="BC334" i="2"/>
  <c r="N335" i="2"/>
  <c r="AD335" i="2"/>
  <c r="AT335" i="2"/>
  <c r="BJ335" i="2"/>
  <c r="U336" i="2"/>
  <c r="AK336" i="2"/>
  <c r="BA336" i="2"/>
  <c r="H337" i="2"/>
  <c r="X337" i="2"/>
  <c r="AN337" i="2"/>
  <c r="BD337" i="2"/>
  <c r="K338" i="2"/>
  <c r="AA338" i="2"/>
  <c r="AQ338" i="2"/>
  <c r="BG338" i="2"/>
  <c r="R339" i="2"/>
  <c r="AH339" i="2"/>
  <c r="AX339" i="2"/>
  <c r="I340" i="2"/>
  <c r="Y340" i="2"/>
  <c r="AO340" i="2"/>
  <c r="BE340" i="2"/>
  <c r="L341" i="2"/>
  <c r="AB341" i="2"/>
  <c r="AR341" i="2"/>
  <c r="BH341" i="2"/>
  <c r="O342" i="2"/>
  <c r="AE342" i="2"/>
  <c r="AU342" i="2"/>
  <c r="BK342" i="2"/>
  <c r="V343" i="2"/>
  <c r="AL343" i="2"/>
  <c r="BB343" i="2"/>
  <c r="M344" i="2"/>
  <c r="AC344" i="2"/>
  <c r="AS344" i="2"/>
  <c r="BI344" i="2"/>
  <c r="P345" i="2"/>
  <c r="AF345" i="2"/>
  <c r="AV345" i="2"/>
  <c r="BL345" i="2"/>
  <c r="S346" i="2"/>
  <c r="AI346" i="2"/>
  <c r="AY346" i="2"/>
  <c r="J347" i="2"/>
  <c r="Z347" i="2"/>
  <c r="AP347" i="2"/>
  <c r="BF347" i="2"/>
  <c r="Q348" i="2"/>
  <c r="AG348" i="2"/>
  <c r="AW348" i="2"/>
  <c r="BM348" i="2"/>
  <c r="T349" i="2"/>
  <c r="AJ349" i="2"/>
  <c r="AZ349" i="2"/>
  <c r="G350" i="2"/>
  <c r="X350" i="2"/>
  <c r="BL350" i="2"/>
  <c r="BK351" i="2"/>
  <c r="BJ352" i="2"/>
  <c r="BM353" i="2"/>
  <c r="BL354" i="2"/>
  <c r="BK355" i="2"/>
  <c r="BJ356" i="2"/>
  <c r="BM357" i="2"/>
  <c r="BL358" i="2"/>
  <c r="BK359" i="2"/>
  <c r="BJ360" i="2"/>
  <c r="BM361" i="2"/>
  <c r="BL362" i="2"/>
  <c r="BK363" i="2"/>
  <c r="BJ364" i="2"/>
  <c r="BM365" i="2"/>
  <c r="BL366" i="2"/>
  <c r="BK367" i="2"/>
  <c r="BJ368" i="2"/>
  <c r="BM369" i="2"/>
  <c r="BL370" i="2"/>
  <c r="BK371" i="2"/>
  <c r="BH373" i="3"/>
  <c r="BH373" i="2" s="1"/>
  <c r="BH374" i="2"/>
  <c r="BG375" i="2"/>
  <c r="J377" i="2"/>
  <c r="H379" i="2"/>
  <c r="Z381" i="2"/>
  <c r="X383" i="2"/>
  <c r="J385" i="2"/>
  <c r="H387" i="2"/>
  <c r="Z389" i="2"/>
  <c r="X391" i="2"/>
  <c r="J393" i="2"/>
  <c r="H395" i="2"/>
  <c r="Z397" i="2"/>
  <c r="X399" i="2"/>
  <c r="J401" i="2"/>
  <c r="H403" i="2"/>
  <c r="Z405" i="2"/>
  <c r="X407" i="2"/>
  <c r="J409" i="2"/>
  <c r="H411" i="2"/>
  <c r="AY350" i="2"/>
  <c r="J351" i="2"/>
  <c r="Z351" i="2"/>
  <c r="AP351" i="2"/>
  <c r="BF351" i="2"/>
  <c r="Q352" i="2"/>
  <c r="AG352" i="2"/>
  <c r="AW352" i="2"/>
  <c r="BM352" i="2"/>
  <c r="T353" i="2"/>
  <c r="AJ353" i="2"/>
  <c r="AZ353" i="2"/>
  <c r="G354" i="2"/>
  <c r="W354" i="2"/>
  <c r="AM354" i="2"/>
  <c r="BC354" i="2"/>
  <c r="N355" i="2"/>
  <c r="AD355" i="2"/>
  <c r="AT355" i="2"/>
  <c r="BJ355" i="2"/>
  <c r="U356" i="2"/>
  <c r="AK356" i="2"/>
  <c r="BA356" i="2"/>
  <c r="H357" i="2"/>
  <c r="X357" i="2"/>
  <c r="AN357" i="2"/>
  <c r="BD357" i="2"/>
  <c r="K358" i="2"/>
  <c r="AA358" i="2"/>
  <c r="AQ358" i="2"/>
  <c r="BG358" i="2"/>
  <c r="R359" i="2"/>
  <c r="AH359" i="2"/>
  <c r="AX359" i="2"/>
  <c r="I360" i="2"/>
  <c r="Y360" i="2"/>
  <c r="AO360" i="2"/>
  <c r="BE360" i="2"/>
  <c r="L361" i="2"/>
  <c r="AB361" i="2"/>
  <c r="AR361" i="2"/>
  <c r="BH361" i="2"/>
  <c r="O362" i="2"/>
  <c r="AE362" i="2"/>
  <c r="AU362" i="2"/>
  <c r="BK362" i="2"/>
  <c r="V363" i="2"/>
  <c r="AL363" i="2"/>
  <c r="BB363" i="2"/>
  <c r="M364" i="2"/>
  <c r="AC364" i="2"/>
  <c r="AS364" i="2"/>
  <c r="BI364" i="2"/>
  <c r="P365" i="2"/>
  <c r="AF365" i="2"/>
  <c r="AV365" i="2"/>
  <c r="BL365" i="2"/>
  <c r="S366" i="2"/>
  <c r="AI366" i="2"/>
  <c r="AY366" i="2"/>
  <c r="J367" i="2"/>
  <c r="Z367" i="2"/>
  <c r="AP367" i="2"/>
  <c r="BF367" i="2"/>
  <c r="Q368" i="2"/>
  <c r="AG368" i="2"/>
  <c r="AW368" i="2"/>
  <c r="BM368" i="2"/>
  <c r="T369" i="2"/>
  <c r="AJ369" i="2"/>
  <c r="AZ369" i="2"/>
  <c r="G370" i="2"/>
  <c r="W370" i="2"/>
  <c r="AM370" i="2"/>
  <c r="BC370" i="2"/>
  <c r="N371" i="2"/>
  <c r="AD371" i="2"/>
  <c r="AT371" i="2"/>
  <c r="BJ371" i="2"/>
  <c r="S373" i="3"/>
  <c r="S373" i="2" s="1"/>
  <c r="S374" i="2"/>
  <c r="AI373" i="3"/>
  <c r="AI373" i="2" s="1"/>
  <c r="AI374" i="2"/>
  <c r="AY373" i="3"/>
  <c r="AY373" i="2" s="1"/>
  <c r="AY374" i="2"/>
  <c r="J375" i="2"/>
  <c r="Z375" i="2"/>
  <c r="AP375" i="2"/>
  <c r="BF375" i="2"/>
  <c r="Q376" i="2"/>
  <c r="AG376" i="2"/>
  <c r="BK376" i="2"/>
  <c r="AE377" i="2"/>
  <c r="BK377" i="2"/>
  <c r="AH378" i="2"/>
  <c r="M379" i="2"/>
  <c r="AS379" i="2"/>
  <c r="O380" i="2"/>
  <c r="AU380" i="2"/>
  <c r="O381" i="2"/>
  <c r="AU381" i="2"/>
  <c r="R382" i="2"/>
  <c r="AX382" i="2"/>
  <c r="AC383" i="2"/>
  <c r="BI383" i="2"/>
  <c r="AE384" i="2"/>
  <c r="BK384" i="2"/>
  <c r="AE385" i="2"/>
  <c r="BK385" i="2"/>
  <c r="AH386" i="2"/>
  <c r="M387" i="2"/>
  <c r="AS387" i="2"/>
  <c r="O388" i="2"/>
  <c r="AU388" i="2"/>
  <c r="O389" i="2"/>
  <c r="AU389" i="2"/>
  <c r="R390" i="2"/>
  <c r="AX390" i="2"/>
  <c r="AC391" i="2"/>
  <c r="BI391" i="2"/>
  <c r="AE392" i="2"/>
  <c r="BK392" i="2"/>
  <c r="AE393" i="2"/>
  <c r="BK393" i="2"/>
  <c r="AH394" i="2"/>
  <c r="M395" i="2"/>
  <c r="AS395" i="2"/>
  <c r="O396" i="2"/>
  <c r="AU396" i="2"/>
  <c r="O397" i="2"/>
  <c r="AU397" i="2"/>
  <c r="R398" i="2"/>
  <c r="AX398" i="2"/>
  <c r="AC399" i="2"/>
  <c r="BI399" i="2"/>
  <c r="AE400" i="2"/>
  <c r="BK400" i="2"/>
  <c r="AE401" i="2"/>
  <c r="BK401" i="2"/>
  <c r="AH402" i="2"/>
  <c r="M403" i="2"/>
  <c r="AS403" i="2"/>
  <c r="O404" i="2"/>
  <c r="AU404" i="2"/>
  <c r="O405" i="2"/>
  <c r="AU405" i="2"/>
  <c r="R406" i="2"/>
  <c r="AX406" i="2"/>
  <c r="AC407" i="2"/>
  <c r="BI407" i="2"/>
  <c r="AE408" i="2"/>
  <c r="BK408" i="2"/>
  <c r="AE409" i="2"/>
  <c r="BK409" i="2"/>
  <c r="AH410" i="2"/>
  <c r="M411" i="2"/>
  <c r="AS411" i="2"/>
  <c r="X412" i="2"/>
  <c r="W413" i="2"/>
  <c r="AE414" i="3"/>
  <c r="AE414" i="2" s="1"/>
  <c r="AE415" i="2"/>
  <c r="AJ418" i="2"/>
  <c r="AJ422" i="2"/>
  <c r="AJ426" i="2"/>
  <c r="AJ430" i="2"/>
  <c r="AI414" i="3"/>
  <c r="AI414" i="2" s="1"/>
  <c r="AI415" i="2"/>
  <c r="AZ418" i="2"/>
  <c r="AZ422" i="2"/>
  <c r="AZ426" i="2"/>
  <c r="AZ430" i="2"/>
  <c r="AK438" i="2"/>
  <c r="AK446" i="2"/>
  <c r="Y350" i="2"/>
  <c r="AO350" i="2"/>
  <c r="BE350" i="2"/>
  <c r="L351" i="2"/>
  <c r="AB351" i="2"/>
  <c r="AR351" i="2"/>
  <c r="BH351" i="2"/>
  <c r="O352" i="2"/>
  <c r="AE352" i="2"/>
  <c r="AU352" i="2"/>
  <c r="BK352" i="2"/>
  <c r="V353" i="2"/>
  <c r="AL353" i="2"/>
  <c r="BB353" i="2"/>
  <c r="M354" i="2"/>
  <c r="AC354" i="2"/>
  <c r="AS354" i="2"/>
  <c r="BI354" i="2"/>
  <c r="P355" i="2"/>
  <c r="AF355" i="2"/>
  <c r="AV355" i="2"/>
  <c r="BL355" i="2"/>
  <c r="S356" i="2"/>
  <c r="AI356" i="2"/>
  <c r="AY356" i="2"/>
  <c r="J357" i="2"/>
  <c r="Z357" i="2"/>
  <c r="AP357" i="2"/>
  <c r="BF357" i="2"/>
  <c r="Q358" i="2"/>
  <c r="AG358" i="2"/>
  <c r="AW358" i="2"/>
  <c r="BM358" i="2"/>
  <c r="T359" i="2"/>
  <c r="AJ359" i="2"/>
  <c r="AZ359" i="2"/>
  <c r="G360" i="2"/>
  <c r="W360" i="2"/>
  <c r="AM360" i="2"/>
  <c r="BC360" i="2"/>
  <c r="N361" i="2"/>
  <c r="AD361" i="2"/>
  <c r="AT361" i="2"/>
  <c r="BJ361" i="2"/>
  <c r="U362" i="2"/>
  <c r="AK362" i="2"/>
  <c r="BA362" i="2"/>
  <c r="H363" i="2"/>
  <c r="X363" i="2"/>
  <c r="AN363" i="2"/>
  <c r="BD363" i="2"/>
  <c r="K364" i="2"/>
  <c r="AA364" i="2"/>
  <c r="AQ364" i="2"/>
  <c r="BG364" i="2"/>
  <c r="R365" i="2"/>
  <c r="AH365" i="2"/>
  <c r="AX365" i="2"/>
  <c r="I366" i="2"/>
  <c r="Y366" i="2"/>
  <c r="AO366" i="2"/>
  <c r="BE366" i="2"/>
  <c r="L367" i="2"/>
  <c r="AB367" i="2"/>
  <c r="AR367" i="2"/>
  <c r="BH367" i="2"/>
  <c r="O368" i="2"/>
  <c r="AE368" i="2"/>
  <c r="AU368" i="2"/>
  <c r="BK368" i="2"/>
  <c r="V369" i="2"/>
  <c r="AL369" i="2"/>
  <c r="BB369" i="2"/>
  <c r="M370" i="2"/>
  <c r="AC370" i="2"/>
  <c r="AS370" i="2"/>
  <c r="BI370" i="2"/>
  <c r="P371" i="2"/>
  <c r="AF371" i="2"/>
  <c r="AV371" i="2"/>
  <c r="BL371" i="2"/>
  <c r="U373" i="3"/>
  <c r="U373" i="2" s="1"/>
  <c r="U374" i="2"/>
  <c r="AK373" i="3"/>
  <c r="AK373" i="2" s="1"/>
  <c r="AK374" i="2"/>
  <c r="BA373" i="3"/>
  <c r="BA373" i="2" s="1"/>
  <c r="BA374" i="2"/>
  <c r="H375" i="2"/>
  <c r="X375" i="2"/>
  <c r="AN375" i="2"/>
  <c r="BD375" i="2"/>
  <c r="K376" i="2"/>
  <c r="AA376" i="2"/>
  <c r="AY376" i="2"/>
  <c r="AA377" i="2"/>
  <c r="BG377" i="2"/>
  <c r="AL378" i="2"/>
  <c r="I379" i="2"/>
  <c r="AO379" i="2"/>
  <c r="K380" i="2"/>
  <c r="AQ380" i="2"/>
  <c r="S381" i="2"/>
  <c r="AY381" i="2"/>
  <c r="AD382" i="2"/>
  <c r="BJ382" i="2"/>
  <c r="AG383" i="2"/>
  <c r="BM383" i="2"/>
  <c r="AI384" i="2"/>
  <c r="K385" i="2"/>
  <c r="AQ385" i="2"/>
  <c r="V386" i="2"/>
  <c r="BB386" i="2"/>
  <c r="Y387" i="2"/>
  <c r="BE387" i="2"/>
  <c r="AA388" i="2"/>
  <c r="BG388" i="2"/>
  <c r="AI389" i="2"/>
  <c r="N390" i="2"/>
  <c r="AT390" i="2"/>
  <c r="Q391" i="2"/>
  <c r="AW391" i="2"/>
  <c r="S392" i="2"/>
  <c r="AY392" i="2"/>
  <c r="AA393" i="2"/>
  <c r="BG393" i="2"/>
  <c r="AL394" i="2"/>
  <c r="I395" i="2"/>
  <c r="AO395" i="2"/>
  <c r="K396" i="2"/>
  <c r="AQ396" i="2"/>
  <c r="S397" i="2"/>
  <c r="AY397" i="2"/>
  <c r="AD398" i="2"/>
  <c r="BJ398" i="2"/>
  <c r="AG399" i="2"/>
  <c r="BM399" i="2"/>
  <c r="AI400" i="2"/>
  <c r="K401" i="2"/>
  <c r="AQ401" i="2"/>
  <c r="V402" i="2"/>
  <c r="BB402" i="2"/>
  <c r="Y403" i="2"/>
  <c r="BE403" i="2"/>
  <c r="AA404" i="2"/>
  <c r="BG404" i="2"/>
  <c r="AI405" i="2"/>
  <c r="N406" i="2"/>
  <c r="AT406" i="2"/>
  <c r="Q407" i="2"/>
  <c r="AW407" i="2"/>
  <c r="S408" i="2"/>
  <c r="AY408" i="2"/>
  <c r="AA409" i="2"/>
  <c r="BG409" i="2"/>
  <c r="AL410" i="2"/>
  <c r="I411" i="2"/>
  <c r="AO411" i="2"/>
  <c r="P412" i="2"/>
  <c r="O413" i="2"/>
  <c r="G414" i="3"/>
  <c r="G414" i="2" s="1"/>
  <c r="G415" i="2"/>
  <c r="BD433" i="2"/>
  <c r="AH350" i="2"/>
  <c r="AX350" i="2"/>
  <c r="I351" i="2"/>
  <c r="Y351" i="2"/>
  <c r="AO351" i="2"/>
  <c r="BE351" i="2"/>
  <c r="L352" i="2"/>
  <c r="AB352" i="2"/>
  <c r="AR352" i="2"/>
  <c r="BH352" i="2"/>
  <c r="O353" i="2"/>
  <c r="AE353" i="2"/>
  <c r="AU353" i="2"/>
  <c r="BK353" i="2"/>
  <c r="V354" i="2"/>
  <c r="AL354" i="2"/>
  <c r="BB354" i="2"/>
  <c r="M355" i="2"/>
  <c r="AC355" i="2"/>
  <c r="AS355" i="2"/>
  <c r="BI355" i="2"/>
  <c r="P356" i="2"/>
  <c r="AF356" i="2"/>
  <c r="AV356" i="2"/>
  <c r="BL356" i="2"/>
  <c r="S357" i="2"/>
  <c r="AI357" i="2"/>
  <c r="AY357" i="2"/>
  <c r="J358" i="2"/>
  <c r="Z358" i="2"/>
  <c r="AP358" i="2"/>
  <c r="BF358" i="2"/>
  <c r="Q359" i="2"/>
  <c r="AG359" i="2"/>
  <c r="AW359" i="2"/>
  <c r="BM359" i="2"/>
  <c r="T360" i="2"/>
  <c r="AJ360" i="2"/>
  <c r="AZ360" i="2"/>
  <c r="G361" i="2"/>
  <c r="W361" i="2"/>
  <c r="AM361" i="2"/>
  <c r="BC361" i="2"/>
  <c r="N362" i="2"/>
  <c r="AD362" i="2"/>
  <c r="AT362" i="2"/>
  <c r="BJ362" i="2"/>
  <c r="U363" i="2"/>
  <c r="AK363" i="2"/>
  <c r="BA363" i="2"/>
  <c r="H364" i="2"/>
  <c r="X364" i="2"/>
  <c r="AN364" i="2"/>
  <c r="BD364" i="2"/>
  <c r="K365" i="2"/>
  <c r="AA365" i="2"/>
  <c r="AQ365" i="2"/>
  <c r="BG365" i="2"/>
  <c r="R366" i="2"/>
  <c r="AH366" i="2"/>
  <c r="AX366" i="2"/>
  <c r="I367" i="2"/>
  <c r="Y367" i="2"/>
  <c r="AO367" i="2"/>
  <c r="BE367" i="2"/>
  <c r="L368" i="2"/>
  <c r="AB368" i="2"/>
  <c r="AR368" i="2"/>
  <c r="BH368" i="2"/>
  <c r="O369" i="2"/>
  <c r="AE369" i="2"/>
  <c r="AU369" i="2"/>
  <c r="BK369" i="2"/>
  <c r="V370" i="2"/>
  <c r="AL370" i="2"/>
  <c r="BB370" i="2"/>
  <c r="M371" i="2"/>
  <c r="AC371" i="2"/>
  <c r="AS371" i="2"/>
  <c r="BI371" i="2"/>
  <c r="R373" i="3"/>
  <c r="R373" i="2" s="1"/>
  <c r="R374" i="2"/>
  <c r="AH373" i="3"/>
  <c r="AH373" i="2" s="1"/>
  <c r="AH374" i="2"/>
  <c r="AX373" i="3"/>
  <c r="AX373" i="2" s="1"/>
  <c r="AX374" i="2"/>
  <c r="I375" i="2"/>
  <c r="Y375" i="2"/>
  <c r="AO375" i="2"/>
  <c r="BE375" i="2"/>
  <c r="L376" i="2"/>
  <c r="AB376" i="2"/>
  <c r="AZ376" i="2"/>
  <c r="AD377" i="2"/>
  <c r="BJ377" i="2"/>
  <c r="AG378" i="2"/>
  <c r="BM378" i="2"/>
  <c r="AJ379" i="2"/>
  <c r="L380" i="2"/>
  <c r="AR380" i="2"/>
  <c r="V381" i="2"/>
  <c r="BB381" i="2"/>
  <c r="Y382" i="2"/>
  <c r="BE382" i="2"/>
  <c r="AB383" i="2"/>
  <c r="BH383" i="2"/>
  <c r="AJ384" i="2"/>
  <c r="N385" i="2"/>
  <c r="AT385" i="2"/>
  <c r="Q386" i="2"/>
  <c r="AW386" i="2"/>
  <c r="T387" i="2"/>
  <c r="AZ387" i="2"/>
  <c r="AB388" i="2"/>
  <c r="BH388" i="2"/>
  <c r="AL389" i="2"/>
  <c r="I390" i="2"/>
  <c r="AO390" i="2"/>
  <c r="L391" i="2"/>
  <c r="AR391" i="2"/>
  <c r="T392" i="2"/>
  <c r="AZ392" i="2"/>
  <c r="AD393" i="2"/>
  <c r="BJ393" i="2"/>
  <c r="AG394" i="2"/>
  <c r="BM394" i="2"/>
  <c r="AJ395" i="2"/>
  <c r="L396" i="2"/>
  <c r="AR396" i="2"/>
  <c r="V397" i="2"/>
  <c r="BB397" i="2"/>
  <c r="Y398" i="2"/>
  <c r="BE398" i="2"/>
  <c r="AB399" i="2"/>
  <c r="BH399" i="2"/>
  <c r="AJ400" i="2"/>
  <c r="N401" i="2"/>
  <c r="AT401" i="2"/>
  <c r="Q402" i="2"/>
  <c r="AW402" i="2"/>
  <c r="T403" i="2"/>
  <c r="AZ403" i="2"/>
  <c r="AB404" i="2"/>
  <c r="BH404" i="2"/>
  <c r="AL405" i="2"/>
  <c r="I406" i="2"/>
  <c r="AO406" i="2"/>
  <c r="L407" i="2"/>
  <c r="AR407" i="2"/>
  <c r="T408" i="2"/>
  <c r="AZ408" i="2"/>
  <c r="AD409" i="2"/>
  <c r="BJ409" i="2"/>
  <c r="AG410" i="2"/>
  <c r="BM410" i="2"/>
  <c r="AJ411" i="2"/>
  <c r="T412" i="2"/>
  <c r="AI413" i="2"/>
  <c r="AR414" i="3"/>
  <c r="AR414" i="2" s="1"/>
  <c r="AR415" i="2"/>
  <c r="S419" i="2"/>
  <c r="S423" i="2"/>
  <c r="S427" i="2"/>
  <c r="S431" i="2"/>
  <c r="AJ439" i="2"/>
  <c r="AM447" i="2"/>
  <c r="AS376" i="2"/>
  <c r="BI376" i="2"/>
  <c r="P377" i="2"/>
  <c r="AF377" i="2"/>
  <c r="AV377" i="2"/>
  <c r="BL377" i="2"/>
  <c r="S378" i="2"/>
  <c r="AI378" i="2"/>
  <c r="AY378" i="2"/>
  <c r="J379" i="2"/>
  <c r="Z379" i="2"/>
  <c r="AP379" i="2"/>
  <c r="BF379" i="2"/>
  <c r="Q380" i="2"/>
  <c r="AG380" i="2"/>
  <c r="AW380" i="2"/>
  <c r="BM380" i="2"/>
  <c r="T381" i="2"/>
  <c r="AJ381" i="2"/>
  <c r="AZ381" i="2"/>
  <c r="G382" i="2"/>
  <c r="W382" i="2"/>
  <c r="AM382" i="2"/>
  <c r="BC382" i="2"/>
  <c r="N383" i="2"/>
  <c r="AD383" i="2"/>
  <c r="AT383" i="2"/>
  <c r="BJ383" i="2"/>
  <c r="U384" i="2"/>
  <c r="AK384" i="2"/>
  <c r="BA384" i="2"/>
  <c r="H385" i="2"/>
  <c r="X385" i="2"/>
  <c r="AN385" i="2"/>
  <c r="BD385" i="2"/>
  <c r="K386" i="2"/>
  <c r="AA386" i="2"/>
  <c r="AQ386" i="2"/>
  <c r="BG386" i="2"/>
  <c r="R387" i="2"/>
  <c r="AH387" i="2"/>
  <c r="AX387" i="2"/>
  <c r="I388" i="2"/>
  <c r="Y388" i="2"/>
  <c r="AO388" i="2"/>
  <c r="BE388" i="2"/>
  <c r="L389" i="2"/>
  <c r="AB389" i="2"/>
  <c r="AR389" i="2"/>
  <c r="BH389" i="2"/>
  <c r="O390" i="2"/>
  <c r="AE390" i="2"/>
  <c r="AU390" i="2"/>
  <c r="BK390" i="2"/>
  <c r="V391" i="2"/>
  <c r="AL391" i="2"/>
  <c r="BB391" i="2"/>
  <c r="M392" i="2"/>
  <c r="AC392" i="2"/>
  <c r="AS392" i="2"/>
  <c r="BI392" i="2"/>
  <c r="P393" i="2"/>
  <c r="AF393" i="2"/>
  <c r="AV393" i="2"/>
  <c r="BL393" i="2"/>
  <c r="S394" i="2"/>
  <c r="AI394" i="2"/>
  <c r="AY394" i="2"/>
  <c r="J395" i="2"/>
  <c r="Z395" i="2"/>
  <c r="AP395" i="2"/>
  <c r="BF395" i="2"/>
  <c r="Q396" i="2"/>
  <c r="AG396" i="2"/>
  <c r="AW396" i="2"/>
  <c r="BM396" i="2"/>
  <c r="T397" i="2"/>
  <c r="AJ397" i="2"/>
  <c r="AZ397" i="2"/>
  <c r="G398" i="2"/>
  <c r="W398" i="2"/>
  <c r="AM398" i="2"/>
  <c r="BC398" i="2"/>
  <c r="N399" i="2"/>
  <c r="AD399" i="2"/>
  <c r="AT399" i="2"/>
  <c r="BJ399" i="2"/>
  <c r="U400" i="2"/>
  <c r="AK400" i="2"/>
  <c r="BA400" i="2"/>
  <c r="H401" i="2"/>
  <c r="X401" i="2"/>
  <c r="AN401" i="2"/>
  <c r="BD401" i="2"/>
  <c r="K402" i="2"/>
  <c r="AA402" i="2"/>
  <c r="AQ402" i="2"/>
  <c r="BG402" i="2"/>
  <c r="R403" i="2"/>
  <c r="AH403" i="2"/>
  <c r="AX403" i="2"/>
  <c r="I404" i="2"/>
  <c r="Y404" i="2"/>
  <c r="AO404" i="2"/>
  <c r="BE404" i="2"/>
  <c r="L405" i="2"/>
  <c r="AB405" i="2"/>
  <c r="AR405" i="2"/>
  <c r="BH405" i="2"/>
  <c r="O406" i="2"/>
  <c r="AE406" i="2"/>
  <c r="AU406" i="2"/>
  <c r="BK406" i="2"/>
  <c r="V407" i="2"/>
  <c r="AL407" i="2"/>
  <c r="BB407" i="2"/>
  <c r="M408" i="2"/>
  <c r="AC408" i="2"/>
  <c r="AS408" i="2"/>
  <c r="BI408" i="2"/>
  <c r="P409" i="2"/>
  <c r="AF409" i="2"/>
  <c r="AV409" i="2"/>
  <c r="BL409" i="2"/>
  <c r="S410" i="2"/>
  <c r="AI410" i="2"/>
  <c r="AY410" i="2"/>
  <c r="J411" i="2"/>
  <c r="Z411" i="2"/>
  <c r="AP411" i="2"/>
  <c r="BF411" i="2"/>
  <c r="Q412" i="2"/>
  <c r="AG412" i="2"/>
  <c r="AW412" i="2"/>
  <c r="BM412" i="2"/>
  <c r="T413" i="2"/>
  <c r="AJ413" i="2"/>
  <c r="AZ413" i="2"/>
  <c r="H414" i="3"/>
  <c r="H414" i="2" s="1"/>
  <c r="H415" i="2"/>
  <c r="X414" i="3"/>
  <c r="X414" i="2" s="1"/>
  <c r="X415" i="2"/>
  <c r="AN414" i="3"/>
  <c r="AN414" i="2" s="1"/>
  <c r="AN415" i="2"/>
  <c r="V416" i="2"/>
  <c r="Y417" i="2"/>
  <c r="X418" i="2"/>
  <c r="W419" i="2"/>
  <c r="AL420" i="2"/>
  <c r="AO421" i="2"/>
  <c r="AN422" i="2"/>
  <c r="AM423" i="2"/>
  <c r="BB424" i="2"/>
  <c r="BE425" i="2"/>
  <c r="BD426" i="2"/>
  <c r="BC427" i="2"/>
  <c r="I429" i="2"/>
  <c r="H430" i="2"/>
  <c r="G431" i="2"/>
  <c r="AM432" i="2"/>
  <c r="BG434" i="2"/>
  <c r="BA438" i="2"/>
  <c r="BA442" i="2"/>
  <c r="BA446" i="2"/>
  <c r="BJ453" i="2"/>
  <c r="G462" i="2"/>
  <c r="AL376" i="2"/>
  <c r="BB376" i="2"/>
  <c r="M377" i="2"/>
  <c r="AC377" i="2"/>
  <c r="AS377" i="2"/>
  <c r="BI377" i="2"/>
  <c r="P378" i="2"/>
  <c r="AF378" i="2"/>
  <c r="AV378" i="2"/>
  <c r="BL378" i="2"/>
  <c r="S379" i="2"/>
  <c r="AI379" i="2"/>
  <c r="AY379" i="2"/>
  <c r="J380" i="2"/>
  <c r="Z380" i="2"/>
  <c r="AP380" i="2"/>
  <c r="BF380" i="2"/>
  <c r="Q381" i="2"/>
  <c r="AG381" i="2"/>
  <c r="AW381" i="2"/>
  <c r="BM381" i="2"/>
  <c r="T382" i="2"/>
  <c r="AJ382" i="2"/>
  <c r="AZ382" i="2"/>
  <c r="G383" i="2"/>
  <c r="W383" i="2"/>
  <c r="AM383" i="2"/>
  <c r="BC383" i="2"/>
  <c r="N384" i="2"/>
  <c r="AD384" i="2"/>
  <c r="AT384" i="2"/>
  <c r="BJ384" i="2"/>
  <c r="U385" i="2"/>
  <c r="AK385" i="2"/>
  <c r="BA385" i="2"/>
  <c r="H386" i="2"/>
  <c r="X386" i="2"/>
  <c r="AN386" i="2"/>
  <c r="BD386" i="2"/>
  <c r="K387" i="2"/>
  <c r="AA387" i="2"/>
  <c r="AQ387" i="2"/>
  <c r="BG387" i="2"/>
  <c r="R388" i="2"/>
  <c r="AH388" i="2"/>
  <c r="AX388" i="2"/>
  <c r="I389" i="2"/>
  <c r="Y389" i="2"/>
  <c r="AO389" i="2"/>
  <c r="BE389" i="2"/>
  <c r="L390" i="2"/>
  <c r="AB390" i="2"/>
  <c r="AR390" i="2"/>
  <c r="BH390" i="2"/>
  <c r="O391" i="2"/>
  <c r="AE391" i="2"/>
  <c r="AU391" i="2"/>
  <c r="BK391" i="2"/>
  <c r="V392" i="2"/>
  <c r="AL392" i="2"/>
  <c r="BB392" i="2"/>
  <c r="M393" i="2"/>
  <c r="AC393" i="2"/>
  <c r="AS393" i="2"/>
  <c r="BI393" i="2"/>
  <c r="P394" i="2"/>
  <c r="AF394" i="2"/>
  <c r="AV394" i="2"/>
  <c r="BL394" i="2"/>
  <c r="S395" i="2"/>
  <c r="AI395" i="2"/>
  <c r="AY395" i="2"/>
  <c r="J396" i="2"/>
  <c r="Z396" i="2"/>
  <c r="AP396" i="2"/>
  <c r="BF396" i="2"/>
  <c r="Q397" i="2"/>
  <c r="AG397" i="2"/>
  <c r="AW397" i="2"/>
  <c r="BM397" i="2"/>
  <c r="T398" i="2"/>
  <c r="AJ398" i="2"/>
  <c r="AZ398" i="2"/>
  <c r="G399" i="2"/>
  <c r="W399" i="2"/>
  <c r="AM399" i="2"/>
  <c r="BC399" i="2"/>
  <c r="N400" i="2"/>
  <c r="AD400" i="2"/>
  <c r="AT400" i="2"/>
  <c r="BJ400" i="2"/>
  <c r="U401" i="2"/>
  <c r="AK401" i="2"/>
  <c r="BA401" i="2"/>
  <c r="H402" i="2"/>
  <c r="X402" i="2"/>
  <c r="AN402" i="2"/>
  <c r="BD402" i="2"/>
  <c r="K403" i="2"/>
  <c r="AA403" i="2"/>
  <c r="AQ403" i="2"/>
  <c r="BG403" i="2"/>
  <c r="R404" i="2"/>
  <c r="AH404" i="2"/>
  <c r="AX404" i="2"/>
  <c r="I405" i="2"/>
  <c r="Y405" i="2"/>
  <c r="AO405" i="2"/>
  <c r="BE405" i="2"/>
  <c r="L406" i="2"/>
  <c r="AB406" i="2"/>
  <c r="AR406" i="2"/>
  <c r="BH406" i="2"/>
  <c r="O407" i="2"/>
  <c r="AE407" i="2"/>
  <c r="AU407" i="2"/>
  <c r="BK407" i="2"/>
  <c r="V408" i="2"/>
  <c r="AL408" i="2"/>
  <c r="BB408" i="2"/>
  <c r="M409" i="2"/>
  <c r="AC409" i="2"/>
  <c r="AS409" i="2"/>
  <c r="BI409" i="2"/>
  <c r="P410" i="2"/>
  <c r="AF410" i="2"/>
  <c r="AV410" i="2"/>
  <c r="BL410" i="2"/>
  <c r="S411" i="2"/>
  <c r="AI411" i="2"/>
  <c r="AY411" i="2"/>
  <c r="J412" i="2"/>
  <c r="Z412" i="2"/>
  <c r="AP412" i="2"/>
  <c r="BF412" i="2"/>
  <c r="Q413" i="2"/>
  <c r="AG413" i="2"/>
  <c r="AW413" i="2"/>
  <c r="BM413" i="2"/>
  <c r="U414" i="3"/>
  <c r="U414" i="2" s="1"/>
  <c r="U415" i="2"/>
  <c r="AK414" i="3"/>
  <c r="AK414" i="2" s="1"/>
  <c r="AK415" i="2"/>
  <c r="BI414" i="3"/>
  <c r="BI414" i="2" s="1"/>
  <c r="BI415" i="2"/>
  <c r="BF416" i="2"/>
  <c r="BI417" i="2"/>
  <c r="BH418" i="2"/>
  <c r="BG419" i="2"/>
  <c r="BF420" i="2"/>
  <c r="BI421" i="2"/>
  <c r="BH422" i="2"/>
  <c r="BG423" i="2"/>
  <c r="BF424" i="2"/>
  <c r="BI425" i="2"/>
  <c r="BH426" i="2"/>
  <c r="BG427" i="2"/>
  <c r="BF428" i="2"/>
  <c r="BI429" i="2"/>
  <c r="BH430" i="2"/>
  <c r="O432" i="2"/>
  <c r="AI434" i="2"/>
  <c r="BE473" i="2"/>
  <c r="O412" i="2"/>
  <c r="AE412" i="2"/>
  <c r="AU412" i="2"/>
  <c r="BK412" i="2"/>
  <c r="V413" i="2"/>
  <c r="AL413" i="2"/>
  <c r="BB413" i="2"/>
  <c r="N414" i="3"/>
  <c r="N414" i="2" s="1"/>
  <c r="N415" i="2"/>
  <c r="AD414" i="3"/>
  <c r="AD414" i="2" s="1"/>
  <c r="AD415" i="2"/>
  <c r="AV414" i="3"/>
  <c r="AV414" i="2" s="1"/>
  <c r="AV415" i="2"/>
  <c r="AD416" i="2"/>
  <c r="AG417" i="2"/>
  <c r="AF418" i="2"/>
  <c r="AE419" i="2"/>
  <c r="AD420" i="2"/>
  <c r="AG421" i="2"/>
  <c r="AF422" i="2"/>
  <c r="AE423" i="2"/>
  <c r="AD424" i="2"/>
  <c r="AG425" i="2"/>
  <c r="AF426" i="2"/>
  <c r="AE427" i="2"/>
  <c r="AD428" i="2"/>
  <c r="AG429" i="2"/>
  <c r="AF430" i="2"/>
  <c r="AH431" i="2"/>
  <c r="P433" i="2"/>
  <c r="T435" i="2"/>
  <c r="T439" i="2"/>
  <c r="T443" i="2"/>
  <c r="T447" i="2"/>
  <c r="AW454" i="2"/>
  <c r="BB463" i="2"/>
  <c r="BD414" i="3"/>
  <c r="BD414" i="2" s="1"/>
  <c r="BD415" i="2"/>
  <c r="K416" i="2"/>
  <c r="AA416" i="2"/>
  <c r="AQ416" i="2"/>
  <c r="BG416" i="2"/>
  <c r="R417" i="2"/>
  <c r="AH417" i="2"/>
  <c r="AX417" i="2"/>
  <c r="I418" i="2"/>
  <c r="Y418" i="2"/>
  <c r="AO418" i="2"/>
  <c r="BE418" i="2"/>
  <c r="L419" i="2"/>
  <c r="AB419" i="2"/>
  <c r="AR419" i="2"/>
  <c r="BH419" i="2"/>
  <c r="O420" i="2"/>
  <c r="AE420" i="2"/>
  <c r="AU420" i="2"/>
  <c r="BK420" i="2"/>
  <c r="V421" i="2"/>
  <c r="AL421" i="2"/>
  <c r="BB421" i="2"/>
  <c r="M422" i="2"/>
  <c r="AC422" i="2"/>
  <c r="AS422" i="2"/>
  <c r="BI422" i="2"/>
  <c r="P423" i="2"/>
  <c r="AF423" i="2"/>
  <c r="AV423" i="2"/>
  <c r="BL423" i="2"/>
  <c r="S424" i="2"/>
  <c r="AI424" i="2"/>
  <c r="AY424" i="2"/>
  <c r="J425" i="2"/>
  <c r="Z425" i="2"/>
  <c r="AP425" i="2"/>
  <c r="BF425" i="2"/>
  <c r="Q426" i="2"/>
  <c r="AG426" i="2"/>
  <c r="AW426" i="2"/>
  <c r="BM426" i="2"/>
  <c r="T427" i="2"/>
  <c r="AJ427" i="2"/>
  <c r="AZ427" i="2"/>
  <c r="G428" i="2"/>
  <c r="W428" i="2"/>
  <c r="AM428" i="2"/>
  <c r="BC428" i="2"/>
  <c r="N429" i="2"/>
  <c r="AD429" i="2"/>
  <c r="AT429" i="2"/>
  <c r="BJ429" i="2"/>
  <c r="U430" i="2"/>
  <c r="AK430" i="2"/>
  <c r="BA430" i="2"/>
  <c r="H431" i="2"/>
  <c r="Y431" i="2"/>
  <c r="AT431" i="2"/>
  <c r="Q432" i="2"/>
  <c r="AW432" i="2"/>
  <c r="R433" i="2"/>
  <c r="AX433" i="2"/>
  <c r="AC434" i="2"/>
  <c r="BI434" i="2"/>
  <c r="BD435" i="2"/>
  <c r="BC436" i="2"/>
  <c r="I438" i="2"/>
  <c r="H439" i="2"/>
  <c r="G440" i="2"/>
  <c r="V441" i="2"/>
  <c r="Y442" i="2"/>
  <c r="X443" i="2"/>
  <c r="W444" i="2"/>
  <c r="AL445" i="2"/>
  <c r="AO446" i="2"/>
  <c r="AR447" i="2"/>
  <c r="Y450" i="2"/>
  <c r="AE452" i="2"/>
  <c r="AN457" i="2"/>
  <c r="W462" i="2"/>
  <c r="P416" i="2"/>
  <c r="AF416" i="2"/>
  <c r="AV416" i="2"/>
  <c r="BL416" i="2"/>
  <c r="S417" i="2"/>
  <c r="AI417" i="2"/>
  <c r="AY417" i="2"/>
  <c r="J418" i="2"/>
  <c r="Z418" i="2"/>
  <c r="AP418" i="2"/>
  <c r="BF418" i="2"/>
  <c r="Q419" i="2"/>
  <c r="AG419" i="2"/>
  <c r="AW419" i="2"/>
  <c r="BM419" i="2"/>
  <c r="T420" i="2"/>
  <c r="AJ420" i="2"/>
  <c r="AZ420" i="2"/>
  <c r="G421" i="2"/>
  <c r="W421" i="2"/>
  <c r="AM421" i="2"/>
  <c r="BC421" i="2"/>
  <c r="N422" i="2"/>
  <c r="AD422" i="2"/>
  <c r="AT422" i="2"/>
  <c r="BJ422" i="2"/>
  <c r="U423" i="2"/>
  <c r="AK423" i="2"/>
  <c r="BA423" i="2"/>
  <c r="H424" i="2"/>
  <c r="X424" i="2"/>
  <c r="AN424" i="2"/>
  <c r="BD424" i="2"/>
  <c r="K425" i="2"/>
  <c r="AA425" i="2"/>
  <c r="AQ425" i="2"/>
  <c r="BG425" i="2"/>
  <c r="R426" i="2"/>
  <c r="AH426" i="2"/>
  <c r="AX426" i="2"/>
  <c r="I427" i="2"/>
  <c r="Y427" i="2"/>
  <c r="AO427" i="2"/>
  <c r="BE427" i="2"/>
  <c r="L428" i="2"/>
  <c r="AB428" i="2"/>
  <c r="AR428" i="2"/>
  <c r="BH428" i="2"/>
  <c r="O429" i="2"/>
  <c r="AE429" i="2"/>
  <c r="AU429" i="2"/>
  <c r="BK429" i="2"/>
  <c r="V430" i="2"/>
  <c r="AL430" i="2"/>
  <c r="BB430" i="2"/>
  <c r="M431" i="2"/>
  <c r="AF431" i="2"/>
  <c r="BD431" i="2"/>
  <c r="AA432" i="2"/>
  <c r="BG432" i="2"/>
  <c r="AJ433" i="2"/>
  <c r="G434" i="2"/>
  <c r="AM434" i="2"/>
  <c r="L435" i="2"/>
  <c r="K436" i="2"/>
  <c r="J437" i="2"/>
  <c r="M438" i="2"/>
  <c r="L439" i="2"/>
  <c r="K440" i="2"/>
  <c r="J441" i="2"/>
  <c r="M442" i="2"/>
  <c r="L443" i="2"/>
  <c r="K444" i="2"/>
  <c r="J445" i="2"/>
  <c r="M446" i="2"/>
  <c r="L447" i="2"/>
  <c r="AQ448" i="2"/>
  <c r="AA451" i="2"/>
  <c r="Q454" i="2"/>
  <c r="V459" i="2"/>
  <c r="V463" i="2"/>
  <c r="AN478" i="2"/>
  <c r="AX414" i="3"/>
  <c r="AX414" i="2" s="1"/>
  <c r="AX415" i="2"/>
  <c r="I416" i="2"/>
  <c r="Y416" i="2"/>
  <c r="AO416" i="2"/>
  <c r="BE416" i="2"/>
  <c r="L417" i="2"/>
  <c r="AB417" i="2"/>
  <c r="AR417" i="2"/>
  <c r="BH417" i="2"/>
  <c r="O418" i="2"/>
  <c r="AE418" i="2"/>
  <c r="AU418" i="2"/>
  <c r="BK418" i="2"/>
  <c r="V419" i="2"/>
  <c r="AL419" i="2"/>
  <c r="BB419" i="2"/>
  <c r="M420" i="2"/>
  <c r="AC420" i="2"/>
  <c r="AS420" i="2"/>
  <c r="BI420" i="2"/>
  <c r="P421" i="2"/>
  <c r="AF421" i="2"/>
  <c r="AV421" i="2"/>
  <c r="BL421" i="2"/>
  <c r="S422" i="2"/>
  <c r="AI422" i="2"/>
  <c r="AY422" i="2"/>
  <c r="J423" i="2"/>
  <c r="Z423" i="2"/>
  <c r="AP423" i="2"/>
  <c r="BF423" i="2"/>
  <c r="Q424" i="2"/>
  <c r="AG424" i="2"/>
  <c r="AW424" i="2"/>
  <c r="BM424" i="2"/>
  <c r="T425" i="2"/>
  <c r="AJ425" i="2"/>
  <c r="AZ425" i="2"/>
  <c r="G426" i="2"/>
  <c r="W426" i="2"/>
  <c r="AM426" i="2"/>
  <c r="BC426" i="2"/>
  <c r="N427" i="2"/>
  <c r="AD427" i="2"/>
  <c r="AT427" i="2"/>
  <c r="BJ427" i="2"/>
  <c r="U428" i="2"/>
  <c r="AK428" i="2"/>
  <c r="BA428" i="2"/>
  <c r="H429" i="2"/>
  <c r="X429" i="2"/>
  <c r="AN429" i="2"/>
  <c r="BD429" i="2"/>
  <c r="K430" i="2"/>
  <c r="AA430" i="2"/>
  <c r="AQ430" i="2"/>
  <c r="BG430" i="2"/>
  <c r="R431" i="2"/>
  <c r="AL431" i="2"/>
  <c r="M432" i="2"/>
  <c r="AS432" i="2"/>
  <c r="V433" i="2"/>
  <c r="BB433" i="2"/>
  <c r="Y434" i="2"/>
  <c r="BE434" i="2"/>
  <c r="AV435" i="2"/>
  <c r="AU436" i="2"/>
  <c r="AT437" i="2"/>
  <c r="AW438" i="2"/>
  <c r="AV439" i="2"/>
  <c r="AU440" i="2"/>
  <c r="AT441" i="2"/>
  <c r="AW442" i="2"/>
  <c r="AV443" i="2"/>
  <c r="AU444" i="2"/>
  <c r="AT445" i="2"/>
  <c r="AW446" i="2"/>
  <c r="BC447" i="2"/>
  <c r="AT449" i="2"/>
  <c r="BK452" i="2"/>
  <c r="H457" i="2"/>
  <c r="H461" i="2"/>
  <c r="BA431" i="2"/>
  <c r="H432" i="2"/>
  <c r="X432" i="2"/>
  <c r="AN432" i="2"/>
  <c r="BD432" i="2"/>
  <c r="K433" i="2"/>
  <c r="AA433" i="2"/>
  <c r="AQ433" i="2"/>
  <c r="BG433" i="2"/>
  <c r="R434" i="2"/>
  <c r="AH434" i="2"/>
  <c r="AX434" i="2"/>
  <c r="I435" i="2"/>
  <c r="Y435" i="2"/>
  <c r="AO435" i="2"/>
  <c r="BE435" i="2"/>
  <c r="L436" i="2"/>
  <c r="AB436" i="2"/>
  <c r="AR436" i="2"/>
  <c r="BH436" i="2"/>
  <c r="O437" i="2"/>
  <c r="AE437" i="2"/>
  <c r="AU437" i="2"/>
  <c r="BK437" i="2"/>
  <c r="V438" i="2"/>
  <c r="AL438" i="2"/>
  <c r="BB438" i="2"/>
  <c r="M439" i="2"/>
  <c r="AC439" i="2"/>
  <c r="AS439" i="2"/>
  <c r="BI439" i="2"/>
  <c r="P440" i="2"/>
  <c r="AF440" i="2"/>
  <c r="AV440" i="2"/>
  <c r="BL440" i="2"/>
  <c r="S441" i="2"/>
  <c r="AI441" i="2"/>
  <c r="AY441" i="2"/>
  <c r="J442" i="2"/>
  <c r="Z442" i="2"/>
  <c r="AP442" i="2"/>
  <c r="BF442" i="2"/>
  <c r="Q443" i="2"/>
  <c r="AG443" i="2"/>
  <c r="AW443" i="2"/>
  <c r="BM443" i="2"/>
  <c r="T444" i="2"/>
  <c r="AJ444" i="2"/>
  <c r="AZ444" i="2"/>
  <c r="G445" i="2"/>
  <c r="W445" i="2"/>
  <c r="AM445" i="2"/>
  <c r="BC445" i="2"/>
  <c r="N446" i="2"/>
  <c r="AD446" i="2"/>
  <c r="AT446" i="2"/>
  <c r="BJ446" i="2"/>
  <c r="U447" i="2"/>
  <c r="AN447" i="2"/>
  <c r="BJ447" i="2"/>
  <c r="AL448" i="2"/>
  <c r="I449" i="2"/>
  <c r="AO449" i="2"/>
  <c r="L450" i="2"/>
  <c r="AR450" i="2"/>
  <c r="T451" i="2"/>
  <c r="AZ451" i="2"/>
  <c r="AY452" i="2"/>
  <c r="U454" i="2"/>
  <c r="AC455" i="3"/>
  <c r="AC455" i="2" s="1"/>
  <c r="AC456" i="2"/>
  <c r="AB457" i="2"/>
  <c r="AA458" i="2"/>
  <c r="Z459" i="2"/>
  <c r="AC460" i="2"/>
  <c r="AB461" i="2"/>
  <c r="AA462" i="2"/>
  <c r="Z463" i="2"/>
  <c r="I465" i="2"/>
  <c r="I469" i="2"/>
  <c r="I473" i="2"/>
  <c r="I477" i="2"/>
  <c r="I481" i="2"/>
  <c r="J485" i="2"/>
  <c r="N435" i="2"/>
  <c r="AD435" i="2"/>
  <c r="AT435" i="2"/>
  <c r="BJ435" i="2"/>
  <c r="U436" i="2"/>
  <c r="AK436" i="2"/>
  <c r="BA436" i="2"/>
  <c r="H437" i="2"/>
  <c r="X437" i="2"/>
  <c r="AN437" i="2"/>
  <c r="BD437" i="2"/>
  <c r="K438" i="2"/>
  <c r="AA438" i="2"/>
  <c r="AQ438" i="2"/>
  <c r="BG438" i="2"/>
  <c r="R439" i="2"/>
  <c r="AH439" i="2"/>
  <c r="AX439" i="2"/>
  <c r="I440" i="2"/>
  <c r="Y440" i="2"/>
  <c r="AO440" i="2"/>
  <c r="BE440" i="2"/>
  <c r="L441" i="2"/>
  <c r="AB441" i="2"/>
  <c r="AR441" i="2"/>
  <c r="BH441" i="2"/>
  <c r="O442" i="2"/>
  <c r="AE442" i="2"/>
  <c r="AU442" i="2"/>
  <c r="BK442" i="2"/>
  <c r="V443" i="2"/>
  <c r="AL443" i="2"/>
  <c r="BB443" i="2"/>
  <c r="M444" i="2"/>
  <c r="AC444" i="2"/>
  <c r="AS444" i="2"/>
  <c r="BI444" i="2"/>
  <c r="P445" i="2"/>
  <c r="AF445" i="2"/>
  <c r="AV445" i="2"/>
  <c r="BL445" i="2"/>
  <c r="S446" i="2"/>
  <c r="AI446" i="2"/>
  <c r="AY446" i="2"/>
  <c r="J447" i="2"/>
  <c r="Z447" i="2"/>
  <c r="AU447" i="2"/>
  <c r="G448" i="2"/>
  <c r="AM448" i="2"/>
  <c r="J449" i="2"/>
  <c r="AP449" i="2"/>
  <c r="U450" i="2"/>
  <c r="BA450" i="2"/>
  <c r="W451" i="2"/>
  <c r="BC451" i="2"/>
  <c r="AM452" i="2"/>
  <c r="BB453" i="2"/>
  <c r="BE454" i="2"/>
  <c r="BM455" i="3"/>
  <c r="BM455" i="2" s="1"/>
  <c r="BM456" i="2"/>
  <c r="BL457" i="2"/>
  <c r="BK458" i="2"/>
  <c r="BJ459" i="2"/>
  <c r="BM460" i="2"/>
  <c r="BL461" i="2"/>
  <c r="BK462" i="2"/>
  <c r="BK463" i="2"/>
  <c r="BC467" i="2"/>
  <c r="BC471" i="2"/>
  <c r="BC475" i="2"/>
  <c r="BC479" i="2"/>
  <c r="BC483" i="2"/>
  <c r="W431" i="2"/>
  <c r="AM431" i="2"/>
  <c r="BC431" i="2"/>
  <c r="N432" i="2"/>
  <c r="AD432" i="2"/>
  <c r="AT432" i="2"/>
  <c r="BJ432" i="2"/>
  <c r="U433" i="2"/>
  <c r="AK433" i="2"/>
  <c r="BA433" i="2"/>
  <c r="H434" i="2"/>
  <c r="X434" i="2"/>
  <c r="AN434" i="2"/>
  <c r="BD434" i="2"/>
  <c r="K435" i="2"/>
  <c r="AA435" i="2"/>
  <c r="AQ435" i="2"/>
  <c r="BG435" i="2"/>
  <c r="R436" i="2"/>
  <c r="AH436" i="2"/>
  <c r="AX436" i="2"/>
  <c r="I437" i="2"/>
  <c r="Y437" i="2"/>
  <c r="AO437" i="2"/>
  <c r="BE437" i="2"/>
  <c r="L438" i="2"/>
  <c r="AB438" i="2"/>
  <c r="AR438" i="2"/>
  <c r="BH438" i="2"/>
  <c r="O439" i="2"/>
  <c r="AE439" i="2"/>
  <c r="AU439" i="2"/>
  <c r="BK439" i="2"/>
  <c r="V440" i="2"/>
  <c r="AL440" i="2"/>
  <c r="BB440" i="2"/>
  <c r="M441" i="2"/>
  <c r="AC441" i="2"/>
  <c r="AS441" i="2"/>
  <c r="BI441" i="2"/>
  <c r="P442" i="2"/>
  <c r="AF442" i="2"/>
  <c r="AV442" i="2"/>
  <c r="BL442" i="2"/>
  <c r="S443" i="2"/>
  <c r="AI443" i="2"/>
  <c r="AY443" i="2"/>
  <c r="J444" i="2"/>
  <c r="Z444" i="2"/>
  <c r="AP444" i="2"/>
  <c r="BF444" i="2"/>
  <c r="Q445" i="2"/>
  <c r="AG445" i="2"/>
  <c r="AW445" i="2"/>
  <c r="BM445" i="2"/>
  <c r="T446" i="2"/>
  <c r="AJ446" i="2"/>
  <c r="AZ446" i="2"/>
  <c r="G447" i="2"/>
  <c r="W447" i="2"/>
  <c r="AQ447" i="2"/>
  <c r="BL447" i="2"/>
  <c r="AH448" i="2"/>
  <c r="M449" i="2"/>
  <c r="AS449" i="2"/>
  <c r="P450" i="2"/>
  <c r="AV450" i="2"/>
  <c r="P451" i="2"/>
  <c r="AV451" i="2"/>
  <c r="AA452" i="2"/>
  <c r="Z453" i="2"/>
  <c r="AC454" i="2"/>
  <c r="AK455" i="3"/>
  <c r="AK455" i="2" s="1"/>
  <c r="AK456" i="2"/>
  <c r="AZ457" i="2"/>
  <c r="R459" i="2"/>
  <c r="AK460" i="2"/>
  <c r="AZ461" i="2"/>
  <c r="R463" i="2"/>
  <c r="AO465" i="2"/>
  <c r="AO469" i="2"/>
  <c r="AO473" i="2"/>
  <c r="AO477" i="2"/>
  <c r="AO481" i="2"/>
  <c r="BA485" i="2"/>
  <c r="AK447" i="2"/>
  <c r="BA447" i="2"/>
  <c r="H448" i="2"/>
  <c r="X448" i="2"/>
  <c r="AN448" i="2"/>
  <c r="BD448" i="2"/>
  <c r="K449" i="2"/>
  <c r="AA449" i="2"/>
  <c r="AQ449" i="2"/>
  <c r="BG449" i="2"/>
  <c r="R450" i="2"/>
  <c r="AH450" i="2"/>
  <c r="AX450" i="2"/>
  <c r="I451" i="2"/>
  <c r="Y451" i="2"/>
  <c r="AO451" i="2"/>
  <c r="BE451" i="2"/>
  <c r="L452" i="2"/>
  <c r="AB452" i="2"/>
  <c r="AR452" i="2"/>
  <c r="BH452" i="2"/>
  <c r="O453" i="2"/>
  <c r="AE453" i="2"/>
  <c r="AU453" i="2"/>
  <c r="BK453" i="2"/>
  <c r="V454" i="2"/>
  <c r="AL454" i="2"/>
  <c r="BB454" i="2"/>
  <c r="N455" i="3"/>
  <c r="N455" i="2" s="1"/>
  <c r="N456" i="2"/>
  <c r="AD455" i="3"/>
  <c r="AD455" i="2" s="1"/>
  <c r="AD456" i="2"/>
  <c r="AT455" i="3"/>
  <c r="AT455" i="2" s="1"/>
  <c r="AT456" i="2"/>
  <c r="BJ455" i="3"/>
  <c r="BJ455" i="2" s="1"/>
  <c r="BJ456" i="2"/>
  <c r="U457" i="2"/>
  <c r="AK457" i="2"/>
  <c r="BA457" i="2"/>
  <c r="H458" i="2"/>
  <c r="X458" i="2"/>
  <c r="AN458" i="2"/>
  <c r="BD458" i="2"/>
  <c r="K459" i="2"/>
  <c r="AA459" i="2"/>
  <c r="AQ459" i="2"/>
  <c r="BG459" i="2"/>
  <c r="R460" i="2"/>
  <c r="AH460" i="2"/>
  <c r="AX460" i="2"/>
  <c r="I461" i="2"/>
  <c r="Y461" i="2"/>
  <c r="AO461" i="2"/>
  <c r="BE461" i="2"/>
  <c r="L462" i="2"/>
  <c r="AB462" i="2"/>
  <c r="AR462" i="2"/>
  <c r="BH462" i="2"/>
  <c r="O463" i="2"/>
  <c r="AE463" i="2"/>
  <c r="AU463" i="2"/>
  <c r="BL463" i="2"/>
  <c r="BF464" i="2"/>
  <c r="BI465" i="2"/>
  <c r="BH466" i="2"/>
  <c r="BG467" i="2"/>
  <c r="BF468" i="2"/>
  <c r="BI469" i="2"/>
  <c r="BH470" i="2"/>
  <c r="BG471" i="2"/>
  <c r="BF472" i="2"/>
  <c r="BI473" i="2"/>
  <c r="BH474" i="2"/>
  <c r="BG475" i="2"/>
  <c r="BF476" i="2"/>
  <c r="BI477" i="2"/>
  <c r="BH478" i="2"/>
  <c r="BG479" i="2"/>
  <c r="BF480" i="2"/>
  <c r="BI481" i="2"/>
  <c r="BH482" i="2"/>
  <c r="BG483" i="2"/>
  <c r="BF484" i="2"/>
  <c r="M486" i="2"/>
  <c r="I448" i="2"/>
  <c r="Y448" i="2"/>
  <c r="AO448" i="2"/>
  <c r="BE448" i="2"/>
  <c r="L449" i="2"/>
  <c r="AB449" i="2"/>
  <c r="AR449" i="2"/>
  <c r="BH449" i="2"/>
  <c r="O450" i="2"/>
  <c r="AE450" i="2"/>
  <c r="AU450" i="2"/>
  <c r="BK450" i="2"/>
  <c r="V451" i="2"/>
  <c r="AL451" i="2"/>
  <c r="BB451" i="2"/>
  <c r="M452" i="2"/>
  <c r="AC452" i="2"/>
  <c r="AS452" i="2"/>
  <c r="BI452" i="2"/>
  <c r="P453" i="2"/>
  <c r="AF453" i="2"/>
  <c r="AV453" i="2"/>
  <c r="BL453" i="2"/>
  <c r="S454" i="2"/>
  <c r="AI454" i="2"/>
  <c r="AY454" i="2"/>
  <c r="G455" i="3"/>
  <c r="G455" i="2" s="1"/>
  <c r="G456" i="2"/>
  <c r="W455" i="3"/>
  <c r="W455" i="2" s="1"/>
  <c r="W456" i="2"/>
  <c r="AM455" i="3"/>
  <c r="AM455" i="2" s="1"/>
  <c r="AM456" i="2"/>
  <c r="BC455" i="3"/>
  <c r="BC455" i="2" s="1"/>
  <c r="BC456" i="2"/>
  <c r="N457" i="2"/>
  <c r="AD457" i="2"/>
  <c r="AT457" i="2"/>
  <c r="BJ457" i="2"/>
  <c r="U458" i="2"/>
  <c r="AK458" i="2"/>
  <c r="BA458" i="2"/>
  <c r="H459" i="2"/>
  <c r="X459" i="2"/>
  <c r="AN459" i="2"/>
  <c r="BD459" i="2"/>
  <c r="K460" i="2"/>
  <c r="AA460" i="2"/>
  <c r="AQ460" i="2"/>
  <c r="BG460" i="2"/>
  <c r="R461" i="2"/>
  <c r="AH461" i="2"/>
  <c r="AX461" i="2"/>
  <c r="I462" i="2"/>
  <c r="Y462" i="2"/>
  <c r="AO462" i="2"/>
  <c r="BE462" i="2"/>
  <c r="L463" i="2"/>
  <c r="AB463" i="2"/>
  <c r="AR463" i="2"/>
  <c r="BH463" i="2"/>
  <c r="AT464" i="2"/>
  <c r="AW465" i="2"/>
  <c r="AV466" i="2"/>
  <c r="AU467" i="2"/>
  <c r="AT468" i="2"/>
  <c r="AW469" i="2"/>
  <c r="AV470" i="2"/>
  <c r="AU471" i="2"/>
  <c r="AT472" i="2"/>
  <c r="AW473" i="2"/>
  <c r="AV474" i="2"/>
  <c r="AU475" i="2"/>
  <c r="AT476" i="2"/>
  <c r="AW477" i="2"/>
  <c r="AV478" i="2"/>
  <c r="AU479" i="2"/>
  <c r="AT480" i="2"/>
  <c r="AW481" i="2"/>
  <c r="AV482" i="2"/>
  <c r="AU483" i="2"/>
  <c r="AT484" i="2"/>
  <c r="BL485" i="2"/>
  <c r="J452" i="2"/>
  <c r="Z452" i="2"/>
  <c r="AP452" i="2"/>
  <c r="BF452" i="2"/>
  <c r="Q453" i="2"/>
  <c r="AG453" i="2"/>
  <c r="AW453" i="2"/>
  <c r="BM453" i="2"/>
  <c r="T454" i="2"/>
  <c r="AJ454" i="2"/>
  <c r="AZ454" i="2"/>
  <c r="H455" i="3"/>
  <c r="H455" i="2" s="1"/>
  <c r="H456" i="2"/>
  <c r="X455" i="3"/>
  <c r="X455" i="2" s="1"/>
  <c r="X456" i="2"/>
  <c r="AN455" i="3"/>
  <c r="AN455" i="2" s="1"/>
  <c r="AN456" i="2"/>
  <c r="BD455" i="3"/>
  <c r="BD455" i="2" s="1"/>
  <c r="BD456" i="2"/>
  <c r="K457" i="2"/>
  <c r="AA457" i="2"/>
  <c r="AQ457" i="2"/>
  <c r="BG457" i="2"/>
  <c r="R458" i="2"/>
  <c r="AH458" i="2"/>
  <c r="AX458" i="2"/>
  <c r="I459" i="2"/>
  <c r="Y459" i="2"/>
  <c r="AO459" i="2"/>
  <c r="BE459" i="2"/>
  <c r="L460" i="2"/>
  <c r="AB460" i="2"/>
  <c r="AR460" i="2"/>
  <c r="BH460" i="2"/>
  <c r="O461" i="2"/>
  <c r="AE461" i="2"/>
  <c r="AU461" i="2"/>
  <c r="BK461" i="2"/>
  <c r="V462" i="2"/>
  <c r="AL462" i="2"/>
  <c r="BB462" i="2"/>
  <c r="M463" i="2"/>
  <c r="AC463" i="2"/>
  <c r="AS463" i="2"/>
  <c r="BI463" i="2"/>
  <c r="U465" i="2"/>
  <c r="AJ466" i="2"/>
  <c r="AY467" i="2"/>
  <c r="U469" i="2"/>
  <c r="AJ470" i="2"/>
  <c r="AY471" i="2"/>
  <c r="U473" i="2"/>
  <c r="AJ474" i="2"/>
  <c r="AY475" i="2"/>
  <c r="U477" i="2"/>
  <c r="AJ478" i="2"/>
  <c r="AY479" i="2"/>
  <c r="U481" i="2"/>
  <c r="AJ482" i="2"/>
  <c r="AY483" i="2"/>
  <c r="Z485" i="2"/>
  <c r="BJ463" i="2"/>
  <c r="U464" i="2"/>
  <c r="AK464" i="2"/>
  <c r="BA464" i="2"/>
  <c r="H465" i="2"/>
  <c r="X465" i="2"/>
  <c r="AN465" i="2"/>
  <c r="BD465" i="2"/>
  <c r="K466" i="2"/>
  <c r="AA466" i="2"/>
  <c r="AQ466" i="2"/>
  <c r="BG466" i="2"/>
  <c r="R467" i="2"/>
  <c r="AH467" i="2"/>
  <c r="AX467" i="2"/>
  <c r="I468" i="2"/>
  <c r="Y468" i="2"/>
  <c r="AO468" i="2"/>
  <c r="BE468" i="2"/>
  <c r="L469" i="2"/>
  <c r="AB469" i="2"/>
  <c r="AR469" i="2"/>
  <c r="BH469" i="2"/>
  <c r="O470" i="2"/>
  <c r="AE470" i="2"/>
  <c r="AU470" i="2"/>
  <c r="BK470" i="2"/>
  <c r="V471" i="2"/>
  <c r="AL471" i="2"/>
  <c r="BB471" i="2"/>
  <c r="M472" i="2"/>
  <c r="AC472" i="2"/>
  <c r="AS472" i="2"/>
  <c r="BI472" i="2"/>
  <c r="P473" i="2"/>
  <c r="AF473" i="2"/>
  <c r="AV473" i="2"/>
  <c r="BL473" i="2"/>
  <c r="S474" i="2"/>
  <c r="AI474" i="2"/>
  <c r="AY474" i="2"/>
  <c r="J475" i="2"/>
  <c r="Z475" i="2"/>
  <c r="AP475" i="2"/>
  <c r="BF475" i="2"/>
  <c r="Q476" i="2"/>
  <c r="AG476" i="2"/>
  <c r="AW476" i="2"/>
  <c r="BM476" i="2"/>
  <c r="T477" i="2"/>
  <c r="AJ477" i="2"/>
  <c r="AZ477" i="2"/>
  <c r="G478" i="2"/>
  <c r="W478" i="2"/>
  <c r="AM478" i="2"/>
  <c r="BC478" i="2"/>
  <c r="N479" i="2"/>
  <c r="AD479" i="2"/>
  <c r="AT479" i="2"/>
  <c r="BJ479" i="2"/>
  <c r="U480" i="2"/>
  <c r="AK480" i="2"/>
  <c r="BA480" i="2"/>
  <c r="H481" i="2"/>
  <c r="X481" i="2"/>
  <c r="AN481" i="2"/>
  <c r="BD481" i="2"/>
  <c r="K482" i="2"/>
  <c r="AA482" i="2"/>
  <c r="AQ482" i="2"/>
  <c r="BG482" i="2"/>
  <c r="R483" i="2"/>
  <c r="AH483" i="2"/>
  <c r="AX483" i="2"/>
  <c r="I484" i="2"/>
  <c r="Y484" i="2"/>
  <c r="AO484" i="2"/>
  <c r="BE484" i="2"/>
  <c r="N485" i="2"/>
  <c r="AJ485" i="2"/>
  <c r="BE485" i="2"/>
  <c r="Q486" i="2"/>
  <c r="AM486" i="2"/>
  <c r="BH486" i="2"/>
  <c r="G464" i="2"/>
  <c r="W464" i="2"/>
  <c r="AM464" i="2"/>
  <c r="BC464" i="2"/>
  <c r="N465" i="2"/>
  <c r="AD465" i="2"/>
  <c r="AT465" i="2"/>
  <c r="BJ465" i="2"/>
  <c r="U466" i="2"/>
  <c r="AK466" i="2"/>
  <c r="BA466" i="2"/>
  <c r="H467" i="2"/>
  <c r="X467" i="2"/>
  <c r="AN467" i="2"/>
  <c r="BD467" i="2"/>
  <c r="K468" i="2"/>
  <c r="AA468" i="2"/>
  <c r="AQ468" i="2"/>
  <c r="BG468" i="2"/>
  <c r="R469" i="2"/>
  <c r="AH469" i="2"/>
  <c r="AX469" i="2"/>
  <c r="I470" i="2"/>
  <c r="Y470" i="2"/>
  <c r="AO470" i="2"/>
  <c r="BE470" i="2"/>
  <c r="L471" i="2"/>
  <c r="AB471" i="2"/>
  <c r="AR471" i="2"/>
  <c r="BH471" i="2"/>
  <c r="O472" i="2"/>
  <c r="AE472" i="2"/>
  <c r="AU472" i="2"/>
  <c r="BK472" i="2"/>
  <c r="V473" i="2"/>
  <c r="AL473" i="2"/>
  <c r="BB473" i="2"/>
  <c r="M474" i="2"/>
  <c r="AC474" i="2"/>
  <c r="AS474" i="2"/>
  <c r="BI474" i="2"/>
  <c r="P475" i="2"/>
  <c r="AF475" i="2"/>
  <c r="AV475" i="2"/>
  <c r="BL475" i="2"/>
  <c r="S476" i="2"/>
  <c r="AI476" i="2"/>
  <c r="AY476" i="2"/>
  <c r="J477" i="2"/>
  <c r="Z477" i="2"/>
  <c r="AP477" i="2"/>
  <c r="BF477" i="2"/>
  <c r="Q478" i="2"/>
  <c r="AG478" i="2"/>
  <c r="AW478" i="2"/>
  <c r="BM478" i="2"/>
  <c r="T479" i="2"/>
  <c r="AJ479" i="2"/>
  <c r="AZ479" i="2"/>
  <c r="G480" i="2"/>
  <c r="W480" i="2"/>
  <c r="AM480" i="2"/>
  <c r="BC480" i="2"/>
  <c r="N481" i="2"/>
  <c r="AD481" i="2"/>
  <c r="AT481" i="2"/>
  <c r="BJ481" i="2"/>
  <c r="U482" i="2"/>
  <c r="AK482" i="2"/>
  <c r="BA482" i="2"/>
  <c r="H483" i="2"/>
  <c r="X483" i="2"/>
  <c r="AN483" i="2"/>
  <c r="BD483" i="2"/>
  <c r="K484" i="2"/>
  <c r="AA484" i="2"/>
  <c r="AQ484" i="2"/>
  <c r="BG484" i="2"/>
  <c r="V485" i="2"/>
  <c r="AR485" i="2"/>
  <c r="BM485" i="2"/>
  <c r="Y486" i="2"/>
  <c r="AU486" i="2"/>
  <c r="N487" i="2"/>
  <c r="T464" i="2"/>
  <c r="AJ464" i="2"/>
  <c r="AZ464" i="2"/>
  <c r="G465" i="2"/>
  <c r="W465" i="2"/>
  <c r="AM465" i="2"/>
  <c r="BC465" i="2"/>
  <c r="N466" i="2"/>
  <c r="AD466" i="2"/>
  <c r="AT466" i="2"/>
  <c r="BJ466" i="2"/>
  <c r="U467" i="2"/>
  <c r="AK467" i="2"/>
  <c r="BA467" i="2"/>
  <c r="H468" i="2"/>
  <c r="X468" i="2"/>
  <c r="AN468" i="2"/>
  <c r="BD468" i="2"/>
  <c r="K469" i="2"/>
  <c r="AA469" i="2"/>
  <c r="AQ469" i="2"/>
  <c r="BG469" i="2"/>
  <c r="R470" i="2"/>
  <c r="AH470" i="2"/>
  <c r="AX470" i="2"/>
  <c r="I471" i="2"/>
  <c r="Y471" i="2"/>
  <c r="AO471" i="2"/>
  <c r="BE471" i="2"/>
  <c r="L472" i="2"/>
  <c r="AB472" i="2"/>
  <c r="AR472" i="2"/>
  <c r="BH472" i="2"/>
  <c r="O473" i="2"/>
  <c r="AE473" i="2"/>
  <c r="AU473" i="2"/>
  <c r="BK473" i="2"/>
  <c r="V474" i="2"/>
  <c r="AL474" i="2"/>
  <c r="BB474" i="2"/>
  <c r="M475" i="2"/>
  <c r="AC475" i="2"/>
  <c r="AS475" i="2"/>
  <c r="BI475" i="2"/>
  <c r="P476" i="2"/>
  <c r="AF476" i="2"/>
  <c r="AV476" i="2"/>
  <c r="BL476" i="2"/>
  <c r="S477" i="2"/>
  <c r="AI477" i="2"/>
  <c r="AY477" i="2"/>
  <c r="J478" i="2"/>
  <c r="Z478" i="2"/>
  <c r="AP478" i="2"/>
  <c r="BF478" i="2"/>
  <c r="Q479" i="2"/>
  <c r="AG479" i="2"/>
  <c r="AW479" i="2"/>
  <c r="BM479" i="2"/>
  <c r="T480" i="2"/>
  <c r="AJ480" i="2"/>
  <c r="AZ480" i="2"/>
  <c r="G481" i="2"/>
  <c r="W481" i="2"/>
  <c r="AM481" i="2"/>
  <c r="BC481" i="2"/>
  <c r="N482" i="2"/>
  <c r="AD482" i="2"/>
  <c r="AT482" i="2"/>
  <c r="BJ482" i="2"/>
  <c r="U483" i="2"/>
  <c r="AK483" i="2"/>
  <c r="BA483" i="2"/>
  <c r="H484" i="2"/>
  <c r="X484" i="2"/>
  <c r="AN484" i="2"/>
  <c r="BD484" i="2"/>
  <c r="M485" i="2"/>
  <c r="AH485" i="2"/>
  <c r="BD485" i="2"/>
  <c r="U486" i="2"/>
  <c r="AQ486" i="2"/>
  <c r="BL486" i="2"/>
  <c r="Z487" i="2"/>
  <c r="AP487" i="2"/>
  <c r="BF487" i="2"/>
  <c r="Q488" i="2"/>
  <c r="AG488" i="2"/>
  <c r="AW488" i="2"/>
  <c r="BM488" i="2"/>
  <c r="T489" i="2"/>
  <c r="AJ489" i="2"/>
  <c r="AZ489" i="2"/>
  <c r="G490" i="2"/>
  <c r="W490" i="2"/>
  <c r="AM490" i="2"/>
  <c r="BC490" i="2"/>
  <c r="N491" i="2"/>
  <c r="AD491" i="2"/>
  <c r="AT491" i="2"/>
  <c r="BJ491" i="2"/>
  <c r="U492" i="2"/>
  <c r="AK492" i="2"/>
  <c r="BA492" i="2"/>
  <c r="H493" i="2"/>
  <c r="X493" i="2"/>
  <c r="AN493" i="2"/>
  <c r="BD493" i="2"/>
  <c r="K494" i="2"/>
  <c r="AA494" i="2"/>
  <c r="AQ494" i="2"/>
  <c r="BG494" i="2"/>
  <c r="R495" i="2"/>
  <c r="AH495" i="2"/>
  <c r="AX495" i="2"/>
  <c r="W487" i="2"/>
  <c r="AM487" i="2"/>
  <c r="BC487" i="2"/>
  <c r="N488" i="2"/>
  <c r="AD488" i="2"/>
  <c r="AT488" i="2"/>
  <c r="BJ488" i="2"/>
  <c r="U489" i="2"/>
  <c r="AK489" i="2"/>
  <c r="BA489" i="2"/>
  <c r="H490" i="2"/>
  <c r="X490" i="2"/>
  <c r="AN490" i="2"/>
  <c r="BD490" i="2"/>
  <c r="K491" i="2"/>
  <c r="AA491" i="2"/>
  <c r="AQ491" i="2"/>
  <c r="BG491" i="2"/>
  <c r="R492" i="2"/>
  <c r="AH492" i="2"/>
  <c r="AX492" i="2"/>
  <c r="I493" i="2"/>
  <c r="Y493" i="2"/>
  <c r="AO493" i="2"/>
  <c r="BE493" i="2"/>
  <c r="L494" i="2"/>
  <c r="AB494" i="2"/>
  <c r="AR494" i="2"/>
  <c r="BH494" i="2"/>
  <c r="O495" i="2"/>
  <c r="AE495" i="2"/>
  <c r="AU495" i="2"/>
  <c r="BK495" i="2"/>
  <c r="T487" i="2"/>
  <c r="AJ487" i="2"/>
  <c r="AZ487" i="2"/>
  <c r="G488" i="2"/>
  <c r="W488" i="2"/>
  <c r="AM488" i="2"/>
  <c r="BC488" i="2"/>
  <c r="N489" i="2"/>
  <c r="AD489" i="2"/>
  <c r="AT489" i="2"/>
  <c r="BJ489" i="2"/>
  <c r="U490" i="2"/>
  <c r="AK490" i="2"/>
  <c r="BA490" i="2"/>
  <c r="H491" i="2"/>
  <c r="X491" i="2"/>
  <c r="AN491" i="2"/>
  <c r="BD491" i="2"/>
  <c r="K492" i="2"/>
  <c r="AA492" i="2"/>
  <c r="AQ492" i="2"/>
  <c r="BG492" i="2"/>
  <c r="R493" i="2"/>
  <c r="AH493" i="2"/>
  <c r="AX493" i="2"/>
  <c r="I494" i="2"/>
  <c r="Y494" i="2"/>
  <c r="AO494" i="2"/>
  <c r="BE494" i="2"/>
  <c r="L495" i="2"/>
  <c r="AB495" i="2"/>
  <c r="AR495" i="2"/>
  <c r="BH495" i="2"/>
  <c r="O485" i="2"/>
  <c r="AE485" i="2"/>
  <c r="AU485" i="2"/>
  <c r="BK485" i="2"/>
  <c r="V486" i="2"/>
  <c r="AL486" i="2"/>
  <c r="BB486" i="2"/>
  <c r="M487" i="2"/>
  <c r="AC487" i="2"/>
  <c r="AS487" i="2"/>
  <c r="BI487" i="2"/>
  <c r="P488" i="2"/>
  <c r="AF488" i="2"/>
  <c r="AV488" i="2"/>
  <c r="BL488" i="2"/>
  <c r="S489" i="2"/>
  <c r="AI489" i="2"/>
  <c r="AY489" i="2"/>
  <c r="J490" i="2"/>
  <c r="Z490" i="2"/>
  <c r="AP490" i="2"/>
  <c r="BF490" i="2"/>
  <c r="Q491" i="2"/>
  <c r="AG491" i="2"/>
  <c r="AW491" i="2"/>
  <c r="BM491" i="2"/>
  <c r="T492" i="2"/>
  <c r="AJ492" i="2"/>
  <c r="AZ492" i="2"/>
  <c r="G493" i="2"/>
  <c r="W493" i="2"/>
  <c r="AM493" i="2"/>
  <c r="BC493" i="2"/>
  <c r="N494" i="2"/>
  <c r="AD494" i="2"/>
  <c r="AT494" i="2"/>
  <c r="BJ494" i="2"/>
  <c r="U495" i="2"/>
  <c r="AK495" i="2"/>
  <c r="BA495" i="2"/>
  <c r="BH253" i="2"/>
  <c r="O254" i="2"/>
  <c r="AE254" i="2"/>
  <c r="AU254" i="2"/>
  <c r="BK254" i="2"/>
  <c r="V255" i="2"/>
  <c r="AL255" i="2"/>
  <c r="BB255" i="2"/>
  <c r="M256" i="2"/>
  <c r="AC256" i="2"/>
  <c r="AS256" i="2"/>
  <c r="BI256" i="2"/>
  <c r="P257" i="2"/>
  <c r="AF257" i="2"/>
  <c r="AV257" i="2"/>
  <c r="BL257" i="2"/>
  <c r="S258" i="2"/>
  <c r="AI258" i="2"/>
  <c r="AY258" i="2"/>
  <c r="J259" i="2"/>
  <c r="Z259" i="2"/>
  <c r="AP259" i="2"/>
  <c r="BF259" i="2"/>
  <c r="Q260" i="2"/>
  <c r="AG260" i="2"/>
  <c r="AW260" i="2"/>
  <c r="BM260" i="2"/>
  <c r="T261" i="2"/>
  <c r="AJ261" i="2"/>
  <c r="AZ261" i="2"/>
  <c r="G262" i="2"/>
  <c r="W262" i="2"/>
  <c r="AM262" i="2"/>
  <c r="BC262" i="2"/>
  <c r="N263" i="2"/>
  <c r="AD263" i="2"/>
  <c r="AT263" i="2"/>
  <c r="BJ263" i="2"/>
  <c r="U264" i="2"/>
  <c r="AK264" i="2"/>
  <c r="BA264" i="2"/>
  <c r="H265" i="2"/>
  <c r="X265" i="2"/>
  <c r="AN265" i="2"/>
  <c r="BD265" i="2"/>
  <c r="K266" i="2"/>
  <c r="AA266" i="2"/>
  <c r="AQ266" i="2"/>
  <c r="BG266" i="2"/>
  <c r="R267" i="2"/>
  <c r="AH267" i="2"/>
  <c r="AX267" i="2"/>
  <c r="I268" i="2"/>
  <c r="Y268" i="2"/>
  <c r="AO268" i="2"/>
  <c r="BE268" i="2"/>
  <c r="L269" i="2"/>
  <c r="AB269" i="2"/>
  <c r="AR269" i="2"/>
  <c r="BH269" i="2"/>
  <c r="O270" i="2"/>
  <c r="AE270" i="2"/>
  <c r="AU270" i="2"/>
  <c r="BK270" i="2"/>
  <c r="V271" i="2"/>
  <c r="AL271" i="2"/>
  <c r="BB271" i="2"/>
  <c r="M272" i="2"/>
  <c r="AC272" i="2"/>
  <c r="AS272" i="2"/>
  <c r="BI272" i="2"/>
  <c r="P273" i="2"/>
  <c r="AF273" i="2"/>
  <c r="AV273" i="2"/>
  <c r="BL273" i="2"/>
  <c r="S274" i="2"/>
  <c r="AI274" i="2"/>
  <c r="AY274" i="2"/>
  <c r="J275" i="2"/>
  <c r="Z275" i="2"/>
  <c r="AP275" i="2"/>
  <c r="BF275" i="2"/>
  <c r="Q276" i="2"/>
  <c r="AG276" i="2"/>
  <c r="AW276" i="2"/>
  <c r="BM276" i="2"/>
  <c r="T277" i="2"/>
  <c r="AJ277" i="2"/>
  <c r="AZ277" i="2"/>
  <c r="G278" i="2"/>
  <c r="W278" i="2"/>
  <c r="AM278" i="2"/>
  <c r="BC278" i="2"/>
  <c r="N279" i="2"/>
  <c r="AD279" i="2"/>
  <c r="AT279" i="2"/>
  <c r="BJ279" i="2"/>
  <c r="U280" i="2"/>
  <c r="AK280" i="2"/>
  <c r="BA280" i="2"/>
  <c r="H281" i="2"/>
  <c r="X281" i="2"/>
  <c r="AN281" i="2"/>
  <c r="BD281" i="2"/>
  <c r="K282" i="2"/>
  <c r="AA282" i="2"/>
  <c r="AQ282" i="2"/>
  <c r="BG282" i="2"/>
  <c r="R283" i="2"/>
  <c r="AH283" i="2"/>
  <c r="AX283" i="2"/>
  <c r="I284" i="2"/>
  <c r="Y284" i="2"/>
  <c r="AO284" i="2"/>
  <c r="BE284" i="2"/>
  <c r="L285" i="2"/>
  <c r="AB285" i="2"/>
  <c r="AR285" i="2"/>
  <c r="BH285" i="2"/>
  <c r="O286" i="2"/>
  <c r="AE286" i="2"/>
  <c r="AU286" i="2"/>
  <c r="BK286" i="2"/>
  <c r="V287" i="2"/>
  <c r="AL287" i="2"/>
  <c r="BB287" i="2"/>
  <c r="M288" i="2"/>
  <c r="AC288" i="2"/>
  <c r="AS288" i="2"/>
  <c r="BI288" i="2"/>
  <c r="P289" i="2"/>
  <c r="AF289" i="2"/>
  <c r="AV289" i="2"/>
  <c r="BL289" i="2"/>
  <c r="I292" i="2"/>
  <c r="H293" i="2"/>
  <c r="Z200" i="2"/>
  <c r="AP200" i="2"/>
  <c r="BF200" i="2"/>
  <c r="Q201" i="2"/>
  <c r="AG201" i="2"/>
  <c r="AW201" i="2"/>
  <c r="BM201" i="2"/>
  <c r="T202" i="2"/>
  <c r="AJ202" i="2"/>
  <c r="AZ202" i="2"/>
  <c r="G203" i="2"/>
  <c r="W203" i="2"/>
  <c r="AM203" i="2"/>
  <c r="BC203" i="2"/>
  <c r="N204" i="2"/>
  <c r="AD204" i="2"/>
  <c r="AT204" i="2"/>
  <c r="BJ204" i="2"/>
  <c r="U205" i="2"/>
  <c r="AK205" i="2"/>
  <c r="BA205" i="2"/>
  <c r="H206" i="2"/>
  <c r="X206" i="2"/>
  <c r="AN206" i="2"/>
  <c r="BD206" i="2"/>
  <c r="K207" i="2"/>
  <c r="AA207" i="2"/>
  <c r="AQ207" i="2"/>
  <c r="BG207" i="2"/>
  <c r="O208" i="3"/>
  <c r="O208" i="2" s="1"/>
  <c r="O209" i="2"/>
  <c r="AE208" i="3"/>
  <c r="AE208" i="2" s="1"/>
  <c r="AE209" i="2"/>
  <c r="AU208" i="3"/>
  <c r="AU208" i="2" s="1"/>
  <c r="AU209" i="2"/>
  <c r="BK208" i="3"/>
  <c r="BK208" i="2" s="1"/>
  <c r="BK209" i="2"/>
  <c r="V210" i="2"/>
  <c r="AL210" i="2"/>
  <c r="BB210" i="2"/>
  <c r="M211" i="2"/>
  <c r="AC211" i="2"/>
  <c r="AS211" i="2"/>
  <c r="BI211" i="2"/>
  <c r="P212" i="2"/>
  <c r="AF212" i="2"/>
  <c r="AV212" i="2"/>
  <c r="BL212" i="2"/>
  <c r="S213" i="2"/>
  <c r="AI213" i="2"/>
  <c r="AY213" i="2"/>
  <c r="J214" i="2"/>
  <c r="Z214" i="2"/>
  <c r="AP214" i="2"/>
  <c r="BF214" i="2"/>
  <c r="Q215" i="2"/>
  <c r="AG215" i="2"/>
  <c r="AW215" i="2"/>
  <c r="BM215" i="2"/>
  <c r="T216" i="2"/>
  <c r="AJ216" i="2"/>
  <c r="AZ216" i="2"/>
  <c r="G217" i="2"/>
  <c r="W217" i="2"/>
  <c r="AM217" i="2"/>
  <c r="BC217" i="2"/>
  <c r="N218" i="2"/>
  <c r="AD218" i="2"/>
  <c r="AT218" i="2"/>
  <c r="BJ218" i="2"/>
  <c r="U219" i="2"/>
  <c r="AK219" i="2"/>
  <c r="BA219" i="2"/>
  <c r="H220" i="2"/>
  <c r="X220" i="2"/>
  <c r="AN220" i="2"/>
  <c r="BD220" i="2"/>
  <c r="K221" i="2"/>
  <c r="AA221" i="2"/>
  <c r="AQ221" i="2"/>
  <c r="BG221" i="2"/>
  <c r="R222" i="2"/>
  <c r="AH222" i="2"/>
  <c r="AX222" i="2"/>
  <c r="I223" i="2"/>
  <c r="Y223" i="2"/>
  <c r="AO223" i="2"/>
  <c r="BE223" i="2"/>
  <c r="L224" i="2"/>
  <c r="AB224" i="2"/>
  <c r="AR224" i="2"/>
  <c r="BH224" i="2"/>
  <c r="O225" i="2"/>
  <c r="AE225" i="2"/>
  <c r="AU225" i="2"/>
  <c r="BK225" i="2"/>
  <c r="V226" i="2"/>
  <c r="AL226" i="2"/>
  <c r="BB226" i="2"/>
  <c r="M227" i="2"/>
  <c r="AC227" i="2"/>
  <c r="AS227" i="2"/>
  <c r="BI227" i="2"/>
  <c r="P228" i="2"/>
  <c r="AF228" i="2"/>
  <c r="AV228" i="2"/>
  <c r="BL228" i="2"/>
  <c r="S229" i="2"/>
  <c r="AI229" i="2"/>
  <c r="AY229" i="2"/>
  <c r="J230" i="2"/>
  <c r="Z230" i="2"/>
  <c r="AP230" i="2"/>
  <c r="BF230" i="2"/>
  <c r="Q231" i="2"/>
  <c r="AG231" i="2"/>
  <c r="AW231" i="2"/>
  <c r="BM231" i="2"/>
  <c r="T232" i="2"/>
  <c r="AJ232" i="2"/>
  <c r="AZ232" i="2"/>
  <c r="G233" i="2"/>
  <c r="W233" i="2"/>
  <c r="AM233" i="2"/>
  <c r="BC233" i="2"/>
  <c r="N234" i="2"/>
  <c r="AD234" i="2"/>
  <c r="AT234" i="2"/>
  <c r="BJ234" i="2"/>
  <c r="U235" i="2"/>
  <c r="AK235" i="2"/>
  <c r="BA235" i="2"/>
  <c r="H236" i="2"/>
  <c r="X236" i="2"/>
  <c r="AN236" i="2"/>
  <c r="BD236" i="2"/>
  <c r="K237" i="2"/>
  <c r="AA237" i="2"/>
  <c r="AQ237" i="2"/>
  <c r="BG237" i="2"/>
  <c r="R238" i="2"/>
  <c r="AH238" i="2"/>
  <c r="AX238" i="2"/>
  <c r="I239" i="2"/>
  <c r="Y239" i="2"/>
  <c r="AO239" i="2"/>
  <c r="BE239" i="2"/>
  <c r="L240" i="2"/>
  <c r="AB240" i="2"/>
  <c r="AR240" i="2"/>
  <c r="BH240" i="2"/>
  <c r="O241" i="2"/>
  <c r="AE241" i="2"/>
  <c r="AU241" i="2"/>
  <c r="BK241" i="2"/>
  <c r="V242" i="2"/>
  <c r="AL242" i="2"/>
  <c r="BB242" i="2"/>
  <c r="M243" i="2"/>
  <c r="AC243" i="2"/>
  <c r="AS243" i="2"/>
  <c r="BI243" i="2"/>
  <c r="P244" i="2"/>
  <c r="AF244" i="2"/>
  <c r="AV244" i="2"/>
  <c r="BL244" i="2"/>
  <c r="S245" i="2"/>
  <c r="AI245" i="2"/>
  <c r="AY245" i="2"/>
  <c r="J246" i="2"/>
  <c r="Z246" i="2"/>
  <c r="AP246" i="2"/>
  <c r="BF246" i="2"/>
  <c r="Q247" i="2"/>
  <c r="AG247" i="2"/>
  <c r="AW247" i="2"/>
  <c r="BM247" i="2"/>
  <c r="T248" i="2"/>
  <c r="AJ248" i="2"/>
  <c r="AZ248" i="2"/>
  <c r="H249" i="3"/>
  <c r="H249" i="2" s="1"/>
  <c r="H250" i="2"/>
  <c r="X249" i="3"/>
  <c r="X249" i="2" s="1"/>
  <c r="X250" i="2"/>
  <c r="AN249" i="3"/>
  <c r="AN249" i="2" s="1"/>
  <c r="AN250" i="2"/>
  <c r="BD249" i="3"/>
  <c r="BD249" i="2" s="1"/>
  <c r="BD250" i="2"/>
  <c r="K251" i="2"/>
  <c r="AA251" i="2"/>
  <c r="AQ251" i="2"/>
  <c r="BG251" i="2"/>
  <c r="R252" i="2"/>
  <c r="AH252" i="2"/>
  <c r="AX252" i="2"/>
  <c r="I253" i="2"/>
  <c r="Y253" i="2"/>
  <c r="AO253" i="2"/>
  <c r="BE253" i="2"/>
  <c r="L254" i="2"/>
  <c r="AB254" i="2"/>
  <c r="AR254" i="2"/>
  <c r="BH254" i="2"/>
  <c r="O255" i="2"/>
  <c r="AE255" i="2"/>
  <c r="AU255" i="2"/>
  <c r="BK255" i="2"/>
  <c r="V256" i="2"/>
  <c r="AL256" i="2"/>
  <c r="BB256" i="2"/>
  <c r="M257" i="2"/>
  <c r="AC257" i="2"/>
  <c r="AS257" i="2"/>
  <c r="BI257" i="2"/>
  <c r="P258" i="2"/>
  <c r="AF258" i="2"/>
  <c r="AV258" i="2"/>
  <c r="BL258" i="2"/>
  <c r="S259" i="2"/>
  <c r="AI259" i="2"/>
  <c r="AY259" i="2"/>
  <c r="J260" i="2"/>
  <c r="Z260" i="2"/>
  <c r="AP260" i="2"/>
  <c r="BF260" i="2"/>
  <c r="Q261" i="2"/>
  <c r="AG261" i="2"/>
  <c r="AW261" i="2"/>
  <c r="BM261" i="2"/>
  <c r="T262" i="2"/>
  <c r="AJ262" i="2"/>
  <c r="AZ262" i="2"/>
  <c r="G263" i="2"/>
  <c r="W263" i="2"/>
  <c r="AM263" i="2"/>
  <c r="BC263" i="2"/>
  <c r="N264" i="2"/>
  <c r="AD264" i="2"/>
  <c r="AT264" i="2"/>
  <c r="BJ264" i="2"/>
  <c r="U265" i="2"/>
  <c r="AK265" i="2"/>
  <c r="BA265" i="2"/>
  <c r="H266" i="2"/>
  <c r="X266" i="2"/>
  <c r="AN266" i="2"/>
  <c r="BD266" i="2"/>
  <c r="K267" i="2"/>
  <c r="AA267" i="2"/>
  <c r="AQ267" i="2"/>
  <c r="BG267" i="2"/>
  <c r="R268" i="2"/>
  <c r="AH268" i="2"/>
  <c r="AX268" i="2"/>
  <c r="I269" i="2"/>
  <c r="Y269" i="2"/>
  <c r="AO269" i="2"/>
  <c r="BE269" i="2"/>
  <c r="L270" i="2"/>
  <c r="AB270" i="2"/>
  <c r="AR270" i="2"/>
  <c r="BH270" i="2"/>
  <c r="O271" i="2"/>
  <c r="AE271" i="2"/>
  <c r="AU271" i="2"/>
  <c r="BK271" i="2"/>
  <c r="V272" i="2"/>
  <c r="AL272" i="2"/>
  <c r="BB272" i="2"/>
  <c r="M273" i="2"/>
  <c r="AC273" i="2"/>
  <c r="AS273" i="2"/>
  <c r="BI273" i="2"/>
  <c r="P274" i="2"/>
  <c r="AF274" i="2"/>
  <c r="AV274" i="2"/>
  <c r="BL274" i="2"/>
  <c r="S275" i="2"/>
  <c r="AI275" i="2"/>
  <c r="AY275" i="2"/>
  <c r="J276" i="2"/>
  <c r="Z276" i="2"/>
  <c r="AP276" i="2"/>
  <c r="BF276" i="2"/>
  <c r="Q277" i="2"/>
  <c r="AG277" i="2"/>
  <c r="AW277" i="2"/>
  <c r="BM277" i="2"/>
  <c r="T278" i="2"/>
  <c r="AJ278" i="2"/>
  <c r="AZ278" i="2"/>
  <c r="G279" i="2"/>
  <c r="W279" i="2"/>
  <c r="AM279" i="2"/>
  <c r="BC279" i="2"/>
  <c r="N280" i="2"/>
  <c r="AD280" i="2"/>
  <c r="AT280" i="2"/>
  <c r="BJ280" i="2"/>
  <c r="U281" i="2"/>
  <c r="AK281" i="2"/>
  <c r="BA281" i="2"/>
  <c r="H282" i="2"/>
  <c r="X282" i="2"/>
  <c r="AN282" i="2"/>
  <c r="BD282" i="2"/>
  <c r="K283" i="2"/>
  <c r="AA283" i="2"/>
  <c r="AQ283" i="2"/>
  <c r="BG283" i="2"/>
  <c r="R284" i="2"/>
  <c r="AH284" i="2"/>
  <c r="AX284" i="2"/>
  <c r="I285" i="2"/>
  <c r="Y285" i="2"/>
  <c r="AO285" i="2"/>
  <c r="BE285" i="2"/>
  <c r="L286" i="2"/>
  <c r="AB286" i="2"/>
  <c r="AR286" i="2"/>
  <c r="BH286" i="2"/>
  <c r="O287" i="2"/>
  <c r="AE287" i="2"/>
  <c r="AU287" i="2"/>
  <c r="BK287" i="2"/>
  <c r="V288" i="2"/>
  <c r="AL288" i="2"/>
  <c r="BB288" i="2"/>
  <c r="M289" i="2"/>
  <c r="AC289" i="2"/>
  <c r="AS289" i="2"/>
  <c r="BI289" i="2"/>
  <c r="AP290" i="3"/>
  <c r="AP290" i="2" s="1"/>
  <c r="AP291" i="2"/>
  <c r="AS292" i="2"/>
  <c r="AN293" i="2"/>
  <c r="BD293" i="2"/>
  <c r="K294" i="2"/>
  <c r="AA294" i="2"/>
  <c r="AQ294" i="2"/>
  <c r="BG294" i="2"/>
  <c r="R295" i="2"/>
  <c r="AH295" i="2"/>
  <c r="AX295" i="2"/>
  <c r="I296" i="2"/>
  <c r="Y296" i="2"/>
  <c r="AO296" i="2"/>
  <c r="BE296" i="2"/>
  <c r="L297" i="2"/>
  <c r="AB297" i="2"/>
  <c r="AR297" i="2"/>
  <c r="BH297" i="2"/>
  <c r="O298" i="2"/>
  <c r="AE298" i="2"/>
  <c r="AU298" i="2"/>
  <c r="BK298" i="2"/>
  <c r="V299" i="2"/>
  <c r="AL299" i="2"/>
  <c r="BB299" i="2"/>
  <c r="M300" i="2"/>
  <c r="AC300" i="2"/>
  <c r="AS300" i="2"/>
  <c r="BI300" i="2"/>
  <c r="P301" i="2"/>
  <c r="AF301" i="2"/>
  <c r="AV301" i="2"/>
  <c r="BL301" i="2"/>
  <c r="S302" i="2"/>
  <c r="AI302" i="2"/>
  <c r="AY302" i="2"/>
  <c r="J303" i="2"/>
  <c r="Z303" i="2"/>
  <c r="AP303" i="2"/>
  <c r="BF303" i="2"/>
  <c r="Q304" i="2"/>
  <c r="AG304" i="2"/>
  <c r="AW304" i="2"/>
  <c r="BM304" i="2"/>
  <c r="T305" i="2"/>
  <c r="AJ305" i="2"/>
  <c r="AZ305" i="2"/>
  <c r="G306" i="2"/>
  <c r="W306" i="2"/>
  <c r="AM306" i="2"/>
  <c r="BC306" i="2"/>
  <c r="N307" i="2"/>
  <c r="AD307" i="2"/>
  <c r="AT307" i="2"/>
  <c r="BJ307" i="2"/>
  <c r="U308" i="2"/>
  <c r="AK308" i="2"/>
  <c r="BA308" i="2"/>
  <c r="H309" i="2"/>
  <c r="X309" i="2"/>
  <c r="AN309" i="2"/>
  <c r="BD309" i="2"/>
  <c r="K310" i="2"/>
  <c r="AA310" i="2"/>
  <c r="AQ310" i="2"/>
  <c r="BG310" i="2"/>
  <c r="R311" i="2"/>
  <c r="AH311" i="2"/>
  <c r="AX311" i="2"/>
  <c r="I312" i="2"/>
  <c r="Y312" i="2"/>
  <c r="AO312" i="2"/>
  <c r="BE312" i="2"/>
  <c r="L313" i="2"/>
  <c r="AB313" i="2"/>
  <c r="AR313" i="2"/>
  <c r="BH313" i="2"/>
  <c r="O314" i="2"/>
  <c r="AE314" i="2"/>
  <c r="AU314" i="2"/>
  <c r="BK314" i="2"/>
  <c r="V315" i="2"/>
  <c r="AL315" i="2"/>
  <c r="BB315" i="2"/>
  <c r="AC316" i="2"/>
  <c r="BI316" i="2"/>
  <c r="AE317" i="2"/>
  <c r="BK317" i="2"/>
  <c r="AE318" i="2"/>
  <c r="BK318" i="2"/>
  <c r="AH319" i="2"/>
  <c r="M320" i="2"/>
  <c r="AS320" i="2"/>
  <c r="O321" i="2"/>
  <c r="AU321" i="2"/>
  <c r="O322" i="2"/>
  <c r="AU322" i="2"/>
  <c r="R323" i="2"/>
  <c r="AX323" i="2"/>
  <c r="AC324" i="2"/>
  <c r="BI324" i="2"/>
  <c r="AE325" i="2"/>
  <c r="BK325" i="2"/>
  <c r="AE326" i="2"/>
  <c r="BK326" i="2"/>
  <c r="AH327" i="2"/>
  <c r="M328" i="2"/>
  <c r="AS328" i="2"/>
  <c r="O329" i="2"/>
  <c r="AU329" i="2"/>
  <c r="O330" i="2"/>
  <c r="AU330" i="2"/>
  <c r="O331" i="3"/>
  <c r="O331" i="2" s="1"/>
  <c r="O332" i="2"/>
  <c r="AU331" i="3"/>
  <c r="AU331" i="2" s="1"/>
  <c r="AU332" i="2"/>
  <c r="R333" i="2"/>
  <c r="AX333" i="2"/>
  <c r="AC334" i="2"/>
  <c r="BI334" i="2"/>
  <c r="AE335" i="2"/>
  <c r="BK335" i="2"/>
  <c r="AE336" i="2"/>
  <c r="BK336" i="2"/>
  <c r="AH337" i="2"/>
  <c r="M338" i="2"/>
  <c r="AS338" i="2"/>
  <c r="O339" i="2"/>
  <c r="AU339" i="2"/>
  <c r="O340" i="2"/>
  <c r="AU340" i="2"/>
  <c r="R341" i="2"/>
  <c r="AX341" i="2"/>
  <c r="AC342" i="2"/>
  <c r="BI342" i="2"/>
  <c r="AE343" i="2"/>
  <c r="BK343" i="2"/>
  <c r="AE344" i="2"/>
  <c r="BK344" i="2"/>
  <c r="AH345" i="2"/>
  <c r="M346" i="2"/>
  <c r="AS346" i="2"/>
  <c r="O347" i="2"/>
  <c r="AU347" i="2"/>
  <c r="O348" i="2"/>
  <c r="AU348" i="2"/>
  <c r="R349" i="2"/>
  <c r="AX349" i="2"/>
  <c r="AJ350" i="2"/>
  <c r="V352" i="2"/>
  <c r="X354" i="2"/>
  <c r="V356" i="2"/>
  <c r="X358" i="2"/>
  <c r="V360" i="2"/>
  <c r="X362" i="2"/>
  <c r="V364" i="2"/>
  <c r="X366" i="2"/>
  <c r="V368" i="2"/>
  <c r="X370" i="2"/>
  <c r="T373" i="3"/>
  <c r="T373" i="2" s="1"/>
  <c r="T374" i="2"/>
  <c r="R376" i="2"/>
  <c r="P379" i="2"/>
  <c r="AN383" i="2"/>
  <c r="AV387" i="2"/>
  <c r="H391" i="2"/>
  <c r="P395" i="2"/>
  <c r="AN399" i="2"/>
  <c r="AV403" i="2"/>
  <c r="H407" i="2"/>
  <c r="P411" i="2"/>
  <c r="O290" i="3"/>
  <c r="O290" i="2" s="1"/>
  <c r="O291" i="2"/>
  <c r="AE290" i="3"/>
  <c r="AE290" i="2" s="1"/>
  <c r="AE291" i="2"/>
  <c r="AU290" i="3"/>
  <c r="AU290" i="2" s="1"/>
  <c r="AU291" i="2"/>
  <c r="BK290" i="3"/>
  <c r="BK290" i="2" s="1"/>
  <c r="BK291" i="2"/>
  <c r="V292" i="2"/>
  <c r="AL292" i="2"/>
  <c r="BB292" i="2"/>
  <c r="M293" i="2"/>
  <c r="AC293" i="2"/>
  <c r="AS293" i="2"/>
  <c r="BI293" i="2"/>
  <c r="P294" i="2"/>
  <c r="AF294" i="2"/>
  <c r="AV294" i="2"/>
  <c r="BL294" i="2"/>
  <c r="S295" i="2"/>
  <c r="AI295" i="2"/>
  <c r="AY295" i="2"/>
  <c r="J296" i="2"/>
  <c r="Z296" i="2"/>
  <c r="AP296" i="2"/>
  <c r="BF296" i="2"/>
  <c r="Q297" i="2"/>
  <c r="AG297" i="2"/>
  <c r="AW297" i="2"/>
  <c r="BM297" i="2"/>
  <c r="T298" i="2"/>
  <c r="AJ298" i="2"/>
  <c r="AZ298" i="2"/>
  <c r="G299" i="2"/>
  <c r="W299" i="2"/>
  <c r="AM299" i="2"/>
  <c r="BC299" i="2"/>
  <c r="N300" i="2"/>
  <c r="AD300" i="2"/>
  <c r="AT300" i="2"/>
  <c r="BJ300" i="2"/>
  <c r="U301" i="2"/>
  <c r="AK301" i="2"/>
  <c r="BA301" i="2"/>
  <c r="H302" i="2"/>
  <c r="X302" i="2"/>
  <c r="AN302" i="2"/>
  <c r="BD302" i="2"/>
  <c r="K303" i="2"/>
  <c r="AA303" i="2"/>
  <c r="AQ303" i="2"/>
  <c r="BG303" i="2"/>
  <c r="R304" i="2"/>
  <c r="AH304" i="2"/>
  <c r="AX304" i="2"/>
  <c r="I305" i="2"/>
  <c r="Y305" i="2"/>
  <c r="AO305" i="2"/>
  <c r="BE305" i="2"/>
  <c r="L306" i="2"/>
  <c r="AB306" i="2"/>
  <c r="AR306" i="2"/>
  <c r="BH306" i="2"/>
  <c r="O307" i="2"/>
  <c r="AE307" i="2"/>
  <c r="AU307" i="2"/>
  <c r="BK307" i="2"/>
  <c r="V308" i="2"/>
  <c r="AL308" i="2"/>
  <c r="BB308" i="2"/>
  <c r="M309" i="2"/>
  <c r="AC309" i="2"/>
  <c r="AS309" i="2"/>
  <c r="BI309" i="2"/>
  <c r="P310" i="2"/>
  <c r="AF310" i="2"/>
  <c r="AV310" i="2"/>
  <c r="BL310" i="2"/>
  <c r="S311" i="2"/>
  <c r="AI311" i="2"/>
  <c r="AY311" i="2"/>
  <c r="J312" i="2"/>
  <c r="Z312" i="2"/>
  <c r="AP312" i="2"/>
  <c r="BF312" i="2"/>
  <c r="Q313" i="2"/>
  <c r="AG313" i="2"/>
  <c r="AW313" i="2"/>
  <c r="BM313" i="2"/>
  <c r="T314" i="2"/>
  <c r="AJ314" i="2"/>
  <c r="AZ314" i="2"/>
  <c r="G315" i="2"/>
  <c r="W315" i="2"/>
  <c r="AM315" i="2"/>
  <c r="BC315" i="2"/>
  <c r="X316" i="2"/>
  <c r="BD316" i="2"/>
  <c r="X317" i="2"/>
  <c r="BD317" i="2"/>
  <c r="Z318" i="2"/>
  <c r="BF318" i="2"/>
  <c r="AK319" i="2"/>
  <c r="H320" i="2"/>
  <c r="AN320" i="2"/>
  <c r="H321" i="2"/>
  <c r="AN321" i="2"/>
  <c r="J322" i="2"/>
  <c r="AP322" i="2"/>
  <c r="U323" i="2"/>
  <c r="BA323" i="2"/>
  <c r="X324" i="2"/>
  <c r="BD324" i="2"/>
  <c r="X325" i="2"/>
  <c r="BD325" i="2"/>
  <c r="Z326" i="2"/>
  <c r="BF326" i="2"/>
  <c r="AK327" i="2"/>
  <c r="H328" i="2"/>
  <c r="AN328" i="2"/>
  <c r="H329" i="2"/>
  <c r="AN329" i="2"/>
  <c r="J330" i="2"/>
  <c r="AP330" i="2"/>
  <c r="R331" i="3"/>
  <c r="R331" i="2" s="1"/>
  <c r="R332" i="2"/>
  <c r="AX331" i="3"/>
  <c r="AX331" i="2" s="1"/>
  <c r="AX332" i="2"/>
  <c r="AC333" i="2"/>
  <c r="BI333" i="2"/>
  <c r="AF334" i="2"/>
  <c r="BL334" i="2"/>
  <c r="AF335" i="2"/>
  <c r="BL335" i="2"/>
  <c r="AH336" i="2"/>
  <c r="M337" i="2"/>
  <c r="AS337" i="2"/>
  <c r="P338" i="2"/>
  <c r="AV338" i="2"/>
  <c r="P339" i="2"/>
  <c r="AV339" i="2"/>
  <c r="R340" i="2"/>
  <c r="AX340" i="2"/>
  <c r="AC341" i="2"/>
  <c r="BI341" i="2"/>
  <c r="AF342" i="2"/>
  <c r="BL342" i="2"/>
  <c r="AF343" i="2"/>
  <c r="BL343" i="2"/>
  <c r="AH344" i="2"/>
  <c r="M345" i="2"/>
  <c r="AS345" i="2"/>
  <c r="P346" i="2"/>
  <c r="AV346" i="2"/>
  <c r="P347" i="2"/>
  <c r="AV347" i="2"/>
  <c r="R348" i="2"/>
  <c r="AX348" i="2"/>
  <c r="AC349" i="2"/>
  <c r="BI349" i="2"/>
  <c r="AQ350" i="2"/>
  <c r="AJ354" i="2"/>
  <c r="AJ358" i="2"/>
  <c r="AJ362" i="2"/>
  <c r="AJ366" i="2"/>
  <c r="AJ370" i="2"/>
  <c r="AE375" i="2"/>
  <c r="BA378" i="2"/>
  <c r="BD384" i="2"/>
  <c r="AN388" i="2"/>
  <c r="X392" i="2"/>
  <c r="H396" i="2"/>
  <c r="U402" i="2"/>
  <c r="AK406" i="2"/>
  <c r="BA410" i="2"/>
  <c r="H290" i="3"/>
  <c r="H290" i="2" s="1"/>
  <c r="H291" i="2"/>
  <c r="X290" i="3"/>
  <c r="X290" i="2" s="1"/>
  <c r="X291" i="2"/>
  <c r="AN290" i="3"/>
  <c r="AN290" i="2" s="1"/>
  <c r="AN291" i="2"/>
  <c r="BD290" i="3"/>
  <c r="BD290" i="2" s="1"/>
  <c r="BD291" i="2"/>
  <c r="K292" i="2"/>
  <c r="AA292" i="2"/>
  <c r="AQ292" i="2"/>
  <c r="BG292" i="2"/>
  <c r="R293" i="2"/>
  <c r="AH293" i="2"/>
  <c r="AX293" i="2"/>
  <c r="I294" i="2"/>
  <c r="Y294" i="2"/>
  <c r="AO294" i="2"/>
  <c r="BE294" i="2"/>
  <c r="L295" i="2"/>
  <c r="AB295" i="2"/>
  <c r="AR295" i="2"/>
  <c r="BH295" i="2"/>
  <c r="O296" i="2"/>
  <c r="AE296" i="2"/>
  <c r="AU296" i="2"/>
  <c r="BK296" i="2"/>
  <c r="V297" i="2"/>
  <c r="AL297" i="2"/>
  <c r="BB297" i="2"/>
  <c r="M298" i="2"/>
  <c r="AC298" i="2"/>
  <c r="AS298" i="2"/>
  <c r="BI298" i="2"/>
  <c r="P299" i="2"/>
  <c r="AF299" i="2"/>
  <c r="AV299" i="2"/>
  <c r="BL299" i="2"/>
  <c r="S300" i="2"/>
  <c r="AI300" i="2"/>
  <c r="AY300" i="2"/>
  <c r="J301" i="2"/>
  <c r="Z301" i="2"/>
  <c r="AP301" i="2"/>
  <c r="BF301" i="2"/>
  <c r="Q302" i="2"/>
  <c r="AG302" i="2"/>
  <c r="AW302" i="2"/>
  <c r="BM302" i="2"/>
  <c r="T303" i="2"/>
  <c r="AJ303" i="2"/>
  <c r="AZ303" i="2"/>
  <c r="G304" i="2"/>
  <c r="W304" i="2"/>
  <c r="AM304" i="2"/>
  <c r="BC304" i="2"/>
  <c r="N305" i="2"/>
  <c r="AD305" i="2"/>
  <c r="AT305" i="2"/>
  <c r="BJ305" i="2"/>
  <c r="U306" i="2"/>
  <c r="AK306" i="2"/>
  <c r="BA306" i="2"/>
  <c r="H307" i="2"/>
  <c r="X307" i="2"/>
  <c r="AN307" i="2"/>
  <c r="BD307" i="2"/>
  <c r="K308" i="2"/>
  <c r="AA308" i="2"/>
  <c r="AQ308" i="2"/>
  <c r="BG308" i="2"/>
  <c r="R309" i="2"/>
  <c r="AH309" i="2"/>
  <c r="AX309" i="2"/>
  <c r="I310" i="2"/>
  <c r="Y310" i="2"/>
  <c r="AO310" i="2"/>
  <c r="BE310" i="2"/>
  <c r="L311" i="2"/>
  <c r="AB311" i="2"/>
  <c r="AR311" i="2"/>
  <c r="BH311" i="2"/>
  <c r="O312" i="2"/>
  <c r="AE312" i="2"/>
  <c r="AU312" i="2"/>
  <c r="BK312" i="2"/>
  <c r="V313" i="2"/>
  <c r="AL313" i="2"/>
  <c r="BB313" i="2"/>
  <c r="M314" i="2"/>
  <c r="AC314" i="2"/>
  <c r="AS314" i="2"/>
  <c r="BI314" i="2"/>
  <c r="P315" i="2"/>
  <c r="AF315" i="2"/>
  <c r="AV315" i="2"/>
  <c r="I316" i="2"/>
  <c r="AO316" i="2"/>
  <c r="K317" i="2"/>
  <c r="AQ317" i="2"/>
  <c r="S318" i="2"/>
  <c r="AY318" i="2"/>
  <c r="AD319" i="2"/>
  <c r="BJ319" i="2"/>
  <c r="AG320" i="2"/>
  <c r="BM320" i="2"/>
  <c r="AI321" i="2"/>
  <c r="K322" i="2"/>
  <c r="AQ322" i="2"/>
  <c r="V323" i="2"/>
  <c r="BB323" i="2"/>
  <c r="Y324" i="2"/>
  <c r="BE324" i="2"/>
  <c r="AA325" i="2"/>
  <c r="BG325" i="2"/>
  <c r="AI326" i="2"/>
  <c r="N327" i="2"/>
  <c r="AT327" i="2"/>
  <c r="Q328" i="2"/>
  <c r="AW328" i="2"/>
  <c r="S329" i="2"/>
  <c r="AY329" i="2"/>
  <c r="AA330" i="2"/>
  <c r="BG330" i="2"/>
  <c r="AI331" i="3"/>
  <c r="AI331" i="2" s="1"/>
  <c r="AI332" i="2"/>
  <c r="N333" i="2"/>
  <c r="AT333" i="2"/>
  <c r="Q334" i="2"/>
  <c r="AW334" i="2"/>
  <c r="S335" i="2"/>
  <c r="AY335" i="2"/>
  <c r="AA336" i="2"/>
  <c r="BG336" i="2"/>
  <c r="AL337" i="2"/>
  <c r="I338" i="2"/>
  <c r="AO338" i="2"/>
  <c r="K339" i="2"/>
  <c r="AQ339" i="2"/>
  <c r="S340" i="2"/>
  <c r="AY340" i="2"/>
  <c r="AD341" i="2"/>
  <c r="BJ341" i="2"/>
  <c r="AG342" i="2"/>
  <c r="BM342" i="2"/>
  <c r="AI343" i="2"/>
  <c r="K344" i="2"/>
  <c r="AQ344" i="2"/>
  <c r="V345" i="2"/>
  <c r="BB345" i="2"/>
  <c r="Y346" i="2"/>
  <c r="BE346" i="2"/>
  <c r="AA347" i="2"/>
  <c r="BG347" i="2"/>
  <c r="AI348" i="2"/>
  <c r="N349" i="2"/>
  <c r="AT349" i="2"/>
  <c r="Q350" i="2"/>
  <c r="AM351" i="2"/>
  <c r="H354" i="2"/>
  <c r="AL356" i="2"/>
  <c r="AN358" i="2"/>
  <c r="I361" i="2"/>
  <c r="G363" i="2"/>
  <c r="AO365" i="2"/>
  <c r="AM367" i="2"/>
  <c r="H370" i="2"/>
  <c r="AJ373" i="3"/>
  <c r="AJ373" i="2" s="1"/>
  <c r="AJ374" i="2"/>
  <c r="BI378" i="2"/>
  <c r="M382" i="2"/>
  <c r="AC386" i="2"/>
  <c r="AS390" i="2"/>
  <c r="BI394" i="2"/>
  <c r="M398" i="2"/>
  <c r="AC402" i="2"/>
  <c r="AS406" i="2"/>
  <c r="BI410" i="2"/>
  <c r="M290" i="3"/>
  <c r="M290" i="2" s="1"/>
  <c r="M291" i="2"/>
  <c r="AC290" i="3"/>
  <c r="AC290" i="2" s="1"/>
  <c r="AC291" i="2"/>
  <c r="AS290" i="3"/>
  <c r="AS290" i="2" s="1"/>
  <c r="AS291" i="2"/>
  <c r="BI290" i="3"/>
  <c r="BI290" i="2" s="1"/>
  <c r="BI291" i="2"/>
  <c r="P292" i="2"/>
  <c r="AF292" i="2"/>
  <c r="AV292" i="2"/>
  <c r="BL292" i="2"/>
  <c r="S293" i="2"/>
  <c r="AI293" i="2"/>
  <c r="AY293" i="2"/>
  <c r="J294" i="2"/>
  <c r="Z294" i="2"/>
  <c r="AP294" i="2"/>
  <c r="BF294" i="2"/>
  <c r="Q295" i="2"/>
  <c r="AG295" i="2"/>
  <c r="AW295" i="2"/>
  <c r="BM295" i="2"/>
  <c r="T296" i="2"/>
  <c r="AJ296" i="2"/>
  <c r="AZ296" i="2"/>
  <c r="G297" i="2"/>
  <c r="W297" i="2"/>
  <c r="AM297" i="2"/>
  <c r="BC297" i="2"/>
  <c r="N298" i="2"/>
  <c r="AD298" i="2"/>
  <c r="AT298" i="2"/>
  <c r="BJ298" i="2"/>
  <c r="U299" i="2"/>
  <c r="AK299" i="2"/>
  <c r="BA299" i="2"/>
  <c r="H300" i="2"/>
  <c r="X300" i="2"/>
  <c r="AN300" i="2"/>
  <c r="BD300" i="2"/>
  <c r="K301" i="2"/>
  <c r="AA301" i="2"/>
  <c r="AQ301" i="2"/>
  <c r="BG301" i="2"/>
  <c r="R302" i="2"/>
  <c r="AH302" i="2"/>
  <c r="AX302" i="2"/>
  <c r="I303" i="2"/>
  <c r="Y303" i="2"/>
  <c r="AO303" i="2"/>
  <c r="BE303" i="2"/>
  <c r="L304" i="2"/>
  <c r="AB304" i="2"/>
  <c r="AR304" i="2"/>
  <c r="BH304" i="2"/>
  <c r="O305" i="2"/>
  <c r="AE305" i="2"/>
  <c r="AU305" i="2"/>
  <c r="BK305" i="2"/>
  <c r="V306" i="2"/>
  <c r="AL306" i="2"/>
  <c r="BB306" i="2"/>
  <c r="M307" i="2"/>
  <c r="AC307" i="2"/>
  <c r="AS307" i="2"/>
  <c r="BI307" i="2"/>
  <c r="P308" i="2"/>
  <c r="AF308" i="2"/>
  <c r="AV308" i="2"/>
  <c r="BL308" i="2"/>
  <c r="S309" i="2"/>
  <c r="AI309" i="2"/>
  <c r="AY309" i="2"/>
  <c r="J310" i="2"/>
  <c r="Z310" i="2"/>
  <c r="AP310" i="2"/>
  <c r="BF310" i="2"/>
  <c r="Q311" i="2"/>
  <c r="AG311" i="2"/>
  <c r="AW311" i="2"/>
  <c r="BM311" i="2"/>
  <c r="T312" i="2"/>
  <c r="AJ312" i="2"/>
  <c r="AZ312" i="2"/>
  <c r="G313" i="2"/>
  <c r="W313" i="2"/>
  <c r="AM313" i="2"/>
  <c r="BC313" i="2"/>
  <c r="N314" i="2"/>
  <c r="AD314" i="2"/>
  <c r="AT314" i="2"/>
  <c r="BJ314" i="2"/>
  <c r="U315" i="2"/>
  <c r="AK315" i="2"/>
  <c r="BA315" i="2"/>
  <c r="T316" i="2"/>
  <c r="AZ316" i="2"/>
  <c r="AB317" i="2"/>
  <c r="BH317" i="2"/>
  <c r="AL318" i="2"/>
  <c r="I319" i="2"/>
  <c r="AO319" i="2"/>
  <c r="L320" i="2"/>
  <c r="AR320" i="2"/>
  <c r="T321" i="2"/>
  <c r="AZ321" i="2"/>
  <c r="AD322" i="2"/>
  <c r="BJ322" i="2"/>
  <c r="AG323" i="2"/>
  <c r="BM323" i="2"/>
  <c r="AJ324" i="2"/>
  <c r="L325" i="2"/>
  <c r="AR325" i="2"/>
  <c r="V326" i="2"/>
  <c r="BB326" i="2"/>
  <c r="Y327" i="2"/>
  <c r="BE327" i="2"/>
  <c r="AB328" i="2"/>
  <c r="BH328" i="2"/>
  <c r="AJ329" i="2"/>
  <c r="N330" i="2"/>
  <c r="AT330" i="2"/>
  <c r="V331" i="3"/>
  <c r="V331" i="2" s="1"/>
  <c r="V332" i="2"/>
  <c r="BB331" i="3"/>
  <c r="BB331" i="2" s="1"/>
  <c r="BB332" i="2"/>
  <c r="Y333" i="2"/>
  <c r="BE333" i="2"/>
  <c r="AB334" i="2"/>
  <c r="BH334" i="2"/>
  <c r="AJ335" i="2"/>
  <c r="N336" i="2"/>
  <c r="AT336" i="2"/>
  <c r="Q337" i="2"/>
  <c r="AW337" i="2"/>
  <c r="T338" i="2"/>
  <c r="AZ338" i="2"/>
  <c r="AB339" i="2"/>
  <c r="BH339" i="2"/>
  <c r="AL340" i="2"/>
  <c r="I341" i="2"/>
  <c r="AO341" i="2"/>
  <c r="L342" i="2"/>
  <c r="AR342" i="2"/>
  <c r="T343" i="2"/>
  <c r="AZ343" i="2"/>
  <c r="AD344" i="2"/>
  <c r="BJ344" i="2"/>
  <c r="AG345" i="2"/>
  <c r="BM345" i="2"/>
  <c r="AJ346" i="2"/>
  <c r="L347" i="2"/>
  <c r="AR347" i="2"/>
  <c r="V348" i="2"/>
  <c r="BB348" i="2"/>
  <c r="Y349" i="2"/>
  <c r="BE349" i="2"/>
  <c r="AI350" i="2"/>
  <c r="R352" i="2"/>
  <c r="T354" i="2"/>
  <c r="R356" i="2"/>
  <c r="T358" i="2"/>
  <c r="R360" i="2"/>
  <c r="T362" i="2"/>
  <c r="R364" i="2"/>
  <c r="T366" i="2"/>
  <c r="R368" i="2"/>
  <c r="T370" i="2"/>
  <c r="P373" i="3"/>
  <c r="P373" i="2" s="1"/>
  <c r="P374" i="2"/>
  <c r="N376" i="2"/>
  <c r="BD379" i="2"/>
  <c r="AF383" i="2"/>
  <c r="X387" i="2"/>
  <c r="Z393" i="2"/>
  <c r="AH397" i="2"/>
  <c r="BF401" i="2"/>
  <c r="BL407" i="2"/>
  <c r="BD411" i="2"/>
  <c r="R316" i="2"/>
  <c r="AH316" i="2"/>
  <c r="AX316" i="2"/>
  <c r="I317" i="2"/>
  <c r="Y317" i="2"/>
  <c r="AO317" i="2"/>
  <c r="BE317" i="2"/>
  <c r="L318" i="2"/>
  <c r="AB318" i="2"/>
  <c r="AR318" i="2"/>
  <c r="BH318" i="2"/>
  <c r="O319" i="2"/>
  <c r="AE319" i="2"/>
  <c r="AU319" i="2"/>
  <c r="BK319" i="2"/>
  <c r="V320" i="2"/>
  <c r="AL320" i="2"/>
  <c r="BB320" i="2"/>
  <c r="M321" i="2"/>
  <c r="AC321" i="2"/>
  <c r="AS321" i="2"/>
  <c r="BI321" i="2"/>
  <c r="P322" i="2"/>
  <c r="AF322" i="2"/>
  <c r="AV322" i="2"/>
  <c r="BL322" i="2"/>
  <c r="S323" i="2"/>
  <c r="AI323" i="2"/>
  <c r="AY323" i="2"/>
  <c r="J324" i="2"/>
  <c r="Z324" i="2"/>
  <c r="AP324" i="2"/>
  <c r="BF324" i="2"/>
  <c r="Q325" i="2"/>
  <c r="AG325" i="2"/>
  <c r="AW325" i="2"/>
  <c r="BM325" i="2"/>
  <c r="T326" i="2"/>
  <c r="AJ326" i="2"/>
  <c r="AZ326" i="2"/>
  <c r="G327" i="2"/>
  <c r="W327" i="2"/>
  <c r="AM327" i="2"/>
  <c r="BC327" i="2"/>
  <c r="N328" i="2"/>
  <c r="AD328" i="2"/>
  <c r="AT328" i="2"/>
  <c r="BJ328" i="2"/>
  <c r="U329" i="2"/>
  <c r="AK329" i="2"/>
  <c r="BA329" i="2"/>
  <c r="H330" i="2"/>
  <c r="X330" i="2"/>
  <c r="AN330" i="2"/>
  <c r="BD330" i="2"/>
  <c r="L331" i="3"/>
  <c r="L331" i="2" s="1"/>
  <c r="L332" i="2"/>
  <c r="AB331" i="3"/>
  <c r="AB331" i="2" s="1"/>
  <c r="AB332" i="2"/>
  <c r="AR331" i="3"/>
  <c r="AR331" i="2" s="1"/>
  <c r="AR332" i="2"/>
  <c r="BH331" i="3"/>
  <c r="BH331" i="2" s="1"/>
  <c r="BH332" i="2"/>
  <c r="O333" i="2"/>
  <c r="AE333" i="2"/>
  <c r="AU333" i="2"/>
  <c r="BK333" i="2"/>
  <c r="V334" i="2"/>
  <c r="AL334" i="2"/>
  <c r="BB334" i="2"/>
  <c r="M335" i="2"/>
  <c r="AC335" i="2"/>
  <c r="AS335" i="2"/>
  <c r="BI335" i="2"/>
  <c r="P336" i="2"/>
  <c r="AF336" i="2"/>
  <c r="AV336" i="2"/>
  <c r="BL336" i="2"/>
  <c r="S337" i="2"/>
  <c r="AI337" i="2"/>
  <c r="AY337" i="2"/>
  <c r="J338" i="2"/>
  <c r="Z338" i="2"/>
  <c r="AP338" i="2"/>
  <c r="BF338" i="2"/>
  <c r="Q339" i="2"/>
  <c r="AG339" i="2"/>
  <c r="AW339" i="2"/>
  <c r="BM339" i="2"/>
  <c r="T340" i="2"/>
  <c r="AJ340" i="2"/>
  <c r="AZ340" i="2"/>
  <c r="G341" i="2"/>
  <c r="W341" i="2"/>
  <c r="AM341" i="2"/>
  <c r="BC341" i="2"/>
  <c r="N342" i="2"/>
  <c r="AD342" i="2"/>
  <c r="AT342" i="2"/>
  <c r="BJ342" i="2"/>
  <c r="U343" i="2"/>
  <c r="AK343" i="2"/>
  <c r="BA343" i="2"/>
  <c r="H344" i="2"/>
  <c r="X344" i="2"/>
  <c r="AN344" i="2"/>
  <c r="BD344" i="2"/>
  <c r="K345" i="2"/>
  <c r="AA345" i="2"/>
  <c r="AQ345" i="2"/>
  <c r="BG345" i="2"/>
  <c r="R346" i="2"/>
  <c r="AH346" i="2"/>
  <c r="AX346" i="2"/>
  <c r="I347" i="2"/>
  <c r="Y347" i="2"/>
  <c r="AO347" i="2"/>
  <c r="BE347" i="2"/>
  <c r="L348" i="2"/>
  <c r="AB348" i="2"/>
  <c r="AR348" i="2"/>
  <c r="BH348" i="2"/>
  <c r="O349" i="2"/>
  <c r="AE349" i="2"/>
  <c r="AU349" i="2"/>
  <c r="BK349" i="2"/>
  <c r="W350" i="2"/>
  <c r="BH350" i="2"/>
  <c r="BG351" i="2"/>
  <c r="BF352" i="2"/>
  <c r="BI353" i="2"/>
  <c r="BH354" i="2"/>
  <c r="BG355" i="2"/>
  <c r="BF356" i="2"/>
  <c r="BI357" i="2"/>
  <c r="BH358" i="2"/>
  <c r="BG359" i="2"/>
  <c r="BF360" i="2"/>
  <c r="BI361" i="2"/>
  <c r="BH362" i="2"/>
  <c r="BG363" i="2"/>
  <c r="BF364" i="2"/>
  <c r="BI365" i="2"/>
  <c r="BH366" i="2"/>
  <c r="BG367" i="2"/>
  <c r="BF368" i="2"/>
  <c r="BI369" i="2"/>
  <c r="BH370" i="2"/>
  <c r="BG371" i="2"/>
  <c r="BD373" i="3"/>
  <c r="BD373" i="2" s="1"/>
  <c r="BD374" i="2"/>
  <c r="BC375" i="2"/>
  <c r="AK378" i="2"/>
  <c r="BD380" i="2"/>
  <c r="BA382" i="2"/>
  <c r="AN384" i="2"/>
  <c r="BL387" i="2"/>
  <c r="AX389" i="2"/>
  <c r="AV391" i="2"/>
  <c r="AK394" i="2"/>
  <c r="BD396" i="2"/>
  <c r="BA398" i="2"/>
  <c r="AN400" i="2"/>
  <c r="BL403" i="2"/>
  <c r="AX405" i="2"/>
  <c r="AV407" i="2"/>
  <c r="AK410" i="2"/>
  <c r="AA413" i="2"/>
  <c r="G316" i="2"/>
  <c r="W316" i="2"/>
  <c r="AM316" i="2"/>
  <c r="BC316" i="2"/>
  <c r="N317" i="2"/>
  <c r="AD317" i="2"/>
  <c r="AT317" i="2"/>
  <c r="BJ317" i="2"/>
  <c r="U318" i="2"/>
  <c r="AK318" i="2"/>
  <c r="BA318" i="2"/>
  <c r="H319" i="2"/>
  <c r="X319" i="2"/>
  <c r="AN319" i="2"/>
  <c r="BD319" i="2"/>
  <c r="K320" i="2"/>
  <c r="AA320" i="2"/>
  <c r="AQ320" i="2"/>
  <c r="BG320" i="2"/>
  <c r="R321" i="2"/>
  <c r="AH321" i="2"/>
  <c r="AX321" i="2"/>
  <c r="I322" i="2"/>
  <c r="Y322" i="2"/>
  <c r="AO322" i="2"/>
  <c r="BE322" i="2"/>
  <c r="L323" i="2"/>
  <c r="AB323" i="2"/>
  <c r="AR323" i="2"/>
  <c r="BH323" i="2"/>
  <c r="O324" i="2"/>
  <c r="AE324" i="2"/>
  <c r="AU324" i="2"/>
  <c r="BK324" i="2"/>
  <c r="V325" i="2"/>
  <c r="AL325" i="2"/>
  <c r="BB325" i="2"/>
  <c r="M326" i="2"/>
  <c r="AC326" i="2"/>
  <c r="AS326" i="2"/>
  <c r="BI326" i="2"/>
  <c r="P327" i="2"/>
  <c r="AF327" i="2"/>
  <c r="AV327" i="2"/>
  <c r="BL327" i="2"/>
  <c r="S328" i="2"/>
  <c r="AI328" i="2"/>
  <c r="AY328" i="2"/>
  <c r="J329" i="2"/>
  <c r="Z329" i="2"/>
  <c r="AP329" i="2"/>
  <c r="BF329" i="2"/>
  <c r="Q330" i="2"/>
  <c r="AG330" i="2"/>
  <c r="AW330" i="2"/>
  <c r="BM330" i="2"/>
  <c r="U331" i="3"/>
  <c r="U331" i="2" s="1"/>
  <c r="U332" i="2"/>
  <c r="AK331" i="3"/>
  <c r="AK331" i="2" s="1"/>
  <c r="AK332" i="2"/>
  <c r="BA331" i="3"/>
  <c r="BA331" i="2" s="1"/>
  <c r="BA332" i="2"/>
  <c r="H333" i="2"/>
  <c r="X333" i="2"/>
  <c r="AN333" i="2"/>
  <c r="BD333" i="2"/>
  <c r="K334" i="2"/>
  <c r="AA334" i="2"/>
  <c r="AQ334" i="2"/>
  <c r="BG334" i="2"/>
  <c r="R335" i="2"/>
  <c r="AH335" i="2"/>
  <c r="AX335" i="2"/>
  <c r="I336" i="2"/>
  <c r="Y336" i="2"/>
  <c r="AO336" i="2"/>
  <c r="BE336" i="2"/>
  <c r="L337" i="2"/>
  <c r="AB337" i="2"/>
  <c r="AR337" i="2"/>
  <c r="BH337" i="2"/>
  <c r="O338" i="2"/>
  <c r="AE338" i="2"/>
  <c r="AU338" i="2"/>
  <c r="BK338" i="2"/>
  <c r="V339" i="2"/>
  <c r="AL339" i="2"/>
  <c r="BB339" i="2"/>
  <c r="M340" i="2"/>
  <c r="AC340" i="2"/>
  <c r="AS340" i="2"/>
  <c r="BI340" i="2"/>
  <c r="P341" i="2"/>
  <c r="AF341" i="2"/>
  <c r="AV341" i="2"/>
  <c r="BL341" i="2"/>
  <c r="S342" i="2"/>
  <c r="AI342" i="2"/>
  <c r="AY342" i="2"/>
  <c r="J343" i="2"/>
  <c r="Z343" i="2"/>
  <c r="AP343" i="2"/>
  <c r="BF343" i="2"/>
  <c r="Q344" i="2"/>
  <c r="AG344" i="2"/>
  <c r="AW344" i="2"/>
  <c r="BM344" i="2"/>
  <c r="T345" i="2"/>
  <c r="AJ345" i="2"/>
  <c r="AZ345" i="2"/>
  <c r="G346" i="2"/>
  <c r="W346" i="2"/>
  <c r="AM346" i="2"/>
  <c r="BC346" i="2"/>
  <c r="N347" i="2"/>
  <c r="AD347" i="2"/>
  <c r="AT347" i="2"/>
  <c r="BJ347" i="2"/>
  <c r="U348" i="2"/>
  <c r="AK348" i="2"/>
  <c r="BA348" i="2"/>
  <c r="H349" i="2"/>
  <c r="X349" i="2"/>
  <c r="AN349" i="2"/>
  <c r="BD349" i="2"/>
  <c r="K350" i="2"/>
  <c r="AF350" i="2"/>
  <c r="O351" i="2"/>
  <c r="N352" i="2"/>
  <c r="Q353" i="2"/>
  <c r="P354" i="2"/>
  <c r="O355" i="2"/>
  <c r="N356" i="2"/>
  <c r="Q357" i="2"/>
  <c r="P358" i="2"/>
  <c r="O359" i="2"/>
  <c r="N360" i="2"/>
  <c r="Q361" i="2"/>
  <c r="P362" i="2"/>
  <c r="O363" i="2"/>
  <c r="N364" i="2"/>
  <c r="Q365" i="2"/>
  <c r="P366" i="2"/>
  <c r="O367" i="2"/>
  <c r="N368" i="2"/>
  <c r="Q369" i="2"/>
  <c r="P370" i="2"/>
  <c r="O371" i="2"/>
  <c r="L373" i="3"/>
  <c r="L373" i="2" s="1"/>
  <c r="L374" i="2"/>
  <c r="K375" i="2"/>
  <c r="J376" i="2"/>
  <c r="AP377" i="2"/>
  <c r="AN379" i="2"/>
  <c r="BF381" i="2"/>
  <c r="BD383" i="2"/>
  <c r="AP385" i="2"/>
  <c r="AN387" i="2"/>
  <c r="BF389" i="2"/>
  <c r="BD391" i="2"/>
  <c r="AP393" i="2"/>
  <c r="AN395" i="2"/>
  <c r="BF397" i="2"/>
  <c r="BD399" i="2"/>
  <c r="AP401" i="2"/>
  <c r="AN403" i="2"/>
  <c r="BF405" i="2"/>
  <c r="BD407" i="2"/>
  <c r="AP409" i="2"/>
  <c r="AN411" i="2"/>
  <c r="BC350" i="2"/>
  <c r="N351" i="2"/>
  <c r="AD351" i="2"/>
  <c r="AT351" i="2"/>
  <c r="BJ351" i="2"/>
  <c r="U352" i="2"/>
  <c r="AK352" i="2"/>
  <c r="BA352" i="2"/>
  <c r="H353" i="2"/>
  <c r="X353" i="2"/>
  <c r="AN353" i="2"/>
  <c r="BD353" i="2"/>
  <c r="K354" i="2"/>
  <c r="AA354" i="2"/>
  <c r="AQ354" i="2"/>
  <c r="BG354" i="2"/>
  <c r="R355" i="2"/>
  <c r="AH355" i="2"/>
  <c r="AX355" i="2"/>
  <c r="I356" i="2"/>
  <c r="Y356" i="2"/>
  <c r="AO356" i="2"/>
  <c r="BE356" i="2"/>
  <c r="L357" i="2"/>
  <c r="AB357" i="2"/>
  <c r="AR357" i="2"/>
  <c r="BH357" i="2"/>
  <c r="O358" i="2"/>
  <c r="AE358" i="2"/>
  <c r="AU358" i="2"/>
  <c r="BK358" i="2"/>
  <c r="V359" i="2"/>
  <c r="AL359" i="2"/>
  <c r="BB359" i="2"/>
  <c r="M360" i="2"/>
  <c r="AC360" i="2"/>
  <c r="AS360" i="2"/>
  <c r="BI360" i="2"/>
  <c r="P361" i="2"/>
  <c r="AF361" i="2"/>
  <c r="AV361" i="2"/>
  <c r="BL361" i="2"/>
  <c r="S362" i="2"/>
  <c r="AI362" i="2"/>
  <c r="AY362" i="2"/>
  <c r="J363" i="2"/>
  <c r="Z363" i="2"/>
  <c r="AP363" i="2"/>
  <c r="BF363" i="2"/>
  <c r="Q364" i="2"/>
  <c r="AG364" i="2"/>
  <c r="AW364" i="2"/>
  <c r="BM364" i="2"/>
  <c r="T365" i="2"/>
  <c r="AJ365" i="2"/>
  <c r="AZ365" i="2"/>
  <c r="G366" i="2"/>
  <c r="W366" i="2"/>
  <c r="AM366" i="2"/>
  <c r="BC366" i="2"/>
  <c r="N367" i="2"/>
  <c r="AD367" i="2"/>
  <c r="AT367" i="2"/>
  <c r="BJ367" i="2"/>
  <c r="U368" i="2"/>
  <c r="AK368" i="2"/>
  <c r="BA368" i="2"/>
  <c r="H369" i="2"/>
  <c r="X369" i="2"/>
  <c r="AN369" i="2"/>
  <c r="BD369" i="2"/>
  <c r="K370" i="2"/>
  <c r="AA370" i="2"/>
  <c r="AQ370" i="2"/>
  <c r="BG370" i="2"/>
  <c r="R371" i="2"/>
  <c r="AH371" i="2"/>
  <c r="AX371" i="2"/>
  <c r="G373" i="3"/>
  <c r="G373" i="2" s="1"/>
  <c r="G374" i="2"/>
  <c r="W373" i="3"/>
  <c r="W373" i="2" s="1"/>
  <c r="W374" i="2"/>
  <c r="AM373" i="3"/>
  <c r="AM373" i="2" s="1"/>
  <c r="AM374" i="2"/>
  <c r="BC373" i="3"/>
  <c r="BC373" i="2" s="1"/>
  <c r="BC374" i="2"/>
  <c r="N375" i="2"/>
  <c r="AD375" i="2"/>
  <c r="AT375" i="2"/>
  <c r="BJ375" i="2"/>
  <c r="U376" i="2"/>
  <c r="AM376" i="2"/>
  <c r="G377" i="2"/>
  <c r="AM377" i="2"/>
  <c r="J378" i="2"/>
  <c r="AP378" i="2"/>
  <c r="U379" i="2"/>
  <c r="BA379" i="2"/>
  <c r="W380" i="2"/>
  <c r="BC380" i="2"/>
  <c r="W381" i="2"/>
  <c r="BC381" i="2"/>
  <c r="Z382" i="2"/>
  <c r="BF382" i="2"/>
  <c r="AK383" i="2"/>
  <c r="G384" i="2"/>
  <c r="AM384" i="2"/>
  <c r="G385" i="2"/>
  <c r="AM385" i="2"/>
  <c r="J386" i="2"/>
  <c r="AP386" i="2"/>
  <c r="U387" i="2"/>
  <c r="BA387" i="2"/>
  <c r="W388" i="2"/>
  <c r="BC388" i="2"/>
  <c r="W389" i="2"/>
  <c r="BC389" i="2"/>
  <c r="Z390" i="2"/>
  <c r="BF390" i="2"/>
  <c r="AK391" i="2"/>
  <c r="G392" i="2"/>
  <c r="AM392" i="2"/>
  <c r="G393" i="2"/>
  <c r="AM393" i="2"/>
  <c r="J394" i="2"/>
  <c r="AP394" i="2"/>
  <c r="U395" i="2"/>
  <c r="BA395" i="2"/>
  <c r="W396" i="2"/>
  <c r="BC396" i="2"/>
  <c r="W397" i="2"/>
  <c r="BC397" i="2"/>
  <c r="Z398" i="2"/>
  <c r="BF398" i="2"/>
  <c r="AK399" i="2"/>
  <c r="G400" i="2"/>
  <c r="AM400" i="2"/>
  <c r="G401" i="2"/>
  <c r="AM401" i="2"/>
  <c r="J402" i="2"/>
  <c r="AP402" i="2"/>
  <c r="U403" i="2"/>
  <c r="BA403" i="2"/>
  <c r="W404" i="2"/>
  <c r="BC404" i="2"/>
  <c r="W405" i="2"/>
  <c r="BC405" i="2"/>
  <c r="Z406" i="2"/>
  <c r="BF406" i="2"/>
  <c r="AK407" i="2"/>
  <c r="G408" i="2"/>
  <c r="AM408" i="2"/>
  <c r="G409" i="2"/>
  <c r="AM409" i="2"/>
  <c r="J410" i="2"/>
  <c r="AP410" i="2"/>
  <c r="U411" i="2"/>
  <c r="BA411" i="2"/>
  <c r="AN412" i="2"/>
  <c r="AM413" i="2"/>
  <c r="AW414" i="3"/>
  <c r="AW414" i="2" s="1"/>
  <c r="AW415" i="2"/>
  <c r="AI419" i="2"/>
  <c r="AI423" i="2"/>
  <c r="AI427" i="2"/>
  <c r="AN431" i="2"/>
  <c r="BE414" i="3"/>
  <c r="BE414" i="2" s="1"/>
  <c r="BE415" i="2"/>
  <c r="AY419" i="2"/>
  <c r="AY423" i="2"/>
  <c r="AY427" i="2"/>
  <c r="X433" i="2"/>
  <c r="AI440" i="2"/>
  <c r="BG448" i="2"/>
  <c r="AC350" i="2"/>
  <c r="AS350" i="2"/>
  <c r="BI350" i="2"/>
  <c r="P351" i="2"/>
  <c r="AF351" i="2"/>
  <c r="AV351" i="2"/>
  <c r="BL351" i="2"/>
  <c r="S352" i="2"/>
  <c r="AI352" i="2"/>
  <c r="AY352" i="2"/>
  <c r="J353" i="2"/>
  <c r="Z353" i="2"/>
  <c r="AP353" i="2"/>
  <c r="BF353" i="2"/>
  <c r="Q354" i="2"/>
  <c r="AG354" i="2"/>
  <c r="AW354" i="2"/>
  <c r="BM354" i="2"/>
  <c r="T355" i="2"/>
  <c r="AJ355" i="2"/>
  <c r="AZ355" i="2"/>
  <c r="G356" i="2"/>
  <c r="W356" i="2"/>
  <c r="AM356" i="2"/>
  <c r="BC356" i="2"/>
  <c r="N357" i="2"/>
  <c r="AD357" i="2"/>
  <c r="AT357" i="2"/>
  <c r="BJ357" i="2"/>
  <c r="U358" i="2"/>
  <c r="AK358" i="2"/>
  <c r="BA358" i="2"/>
  <c r="H359" i="2"/>
  <c r="X359" i="2"/>
  <c r="AN359" i="2"/>
  <c r="BD359" i="2"/>
  <c r="K360" i="2"/>
  <c r="AA360" i="2"/>
  <c r="AQ360" i="2"/>
  <c r="BG360" i="2"/>
  <c r="R361" i="2"/>
  <c r="AH361" i="2"/>
  <c r="AX361" i="2"/>
  <c r="I362" i="2"/>
  <c r="Y362" i="2"/>
  <c r="AO362" i="2"/>
  <c r="BE362" i="2"/>
  <c r="L363" i="2"/>
  <c r="AB363" i="2"/>
  <c r="AR363" i="2"/>
  <c r="BH363" i="2"/>
  <c r="O364" i="2"/>
  <c r="AE364" i="2"/>
  <c r="AU364" i="2"/>
  <c r="BK364" i="2"/>
  <c r="V365" i="2"/>
  <c r="AL365" i="2"/>
  <c r="BB365" i="2"/>
  <c r="M366" i="2"/>
  <c r="AC366" i="2"/>
  <c r="AS366" i="2"/>
  <c r="BI366" i="2"/>
  <c r="P367" i="2"/>
  <c r="AF367" i="2"/>
  <c r="AV367" i="2"/>
  <c r="BL367" i="2"/>
  <c r="S368" i="2"/>
  <c r="AI368" i="2"/>
  <c r="AY368" i="2"/>
  <c r="J369" i="2"/>
  <c r="Z369" i="2"/>
  <c r="AP369" i="2"/>
  <c r="BF369" i="2"/>
  <c r="Q370" i="2"/>
  <c r="AG370" i="2"/>
  <c r="AW370" i="2"/>
  <c r="BM370" i="2"/>
  <c r="T371" i="2"/>
  <c r="AJ371" i="2"/>
  <c r="AZ371" i="2"/>
  <c r="I373" i="3"/>
  <c r="I373" i="2" s="1"/>
  <c r="I374" i="2"/>
  <c r="Y373" i="3"/>
  <c r="Y373" i="2" s="1"/>
  <c r="Y374" i="2"/>
  <c r="AO373" i="3"/>
  <c r="AO373" i="2" s="1"/>
  <c r="AO374" i="2"/>
  <c r="BE373" i="3"/>
  <c r="BE373" i="2" s="1"/>
  <c r="BE374" i="2"/>
  <c r="L375" i="2"/>
  <c r="AB375" i="2"/>
  <c r="AR375" i="2"/>
  <c r="BH375" i="2"/>
  <c r="O376" i="2"/>
  <c r="AE376" i="2"/>
  <c r="BG376" i="2"/>
  <c r="AI377" i="2"/>
  <c r="N378" i="2"/>
  <c r="AT378" i="2"/>
  <c r="Q379" i="2"/>
  <c r="AW379" i="2"/>
  <c r="S380" i="2"/>
  <c r="AY380" i="2"/>
  <c r="AA381" i="2"/>
  <c r="BG381" i="2"/>
  <c r="AL382" i="2"/>
  <c r="I383" i="2"/>
  <c r="AO383" i="2"/>
  <c r="K384" i="2"/>
  <c r="AQ384" i="2"/>
  <c r="S385" i="2"/>
  <c r="AY385" i="2"/>
  <c r="AD386" i="2"/>
  <c r="BJ386" i="2"/>
  <c r="AG387" i="2"/>
  <c r="BM387" i="2"/>
  <c r="AI388" i="2"/>
  <c r="K389" i="2"/>
  <c r="AQ389" i="2"/>
  <c r="V390" i="2"/>
  <c r="BB390" i="2"/>
  <c r="Y391" i="2"/>
  <c r="BE391" i="2"/>
  <c r="AA392" i="2"/>
  <c r="BG392" i="2"/>
  <c r="AI393" i="2"/>
  <c r="N394" i="2"/>
  <c r="AT394" i="2"/>
  <c r="Q395" i="2"/>
  <c r="AW395" i="2"/>
  <c r="S396" i="2"/>
  <c r="AY396" i="2"/>
  <c r="AA397" i="2"/>
  <c r="BG397" i="2"/>
  <c r="AL398" i="2"/>
  <c r="I399" i="2"/>
  <c r="AO399" i="2"/>
  <c r="K400" i="2"/>
  <c r="AQ400" i="2"/>
  <c r="S401" i="2"/>
  <c r="AY401" i="2"/>
  <c r="AD402" i="2"/>
  <c r="BJ402" i="2"/>
  <c r="AG403" i="2"/>
  <c r="BM403" i="2"/>
  <c r="AI404" i="2"/>
  <c r="K405" i="2"/>
  <c r="AQ405" i="2"/>
  <c r="V406" i="2"/>
  <c r="BB406" i="2"/>
  <c r="Y407" i="2"/>
  <c r="BE407" i="2"/>
  <c r="AA408" i="2"/>
  <c r="BG408" i="2"/>
  <c r="AI409" i="2"/>
  <c r="N410" i="2"/>
  <c r="AT410" i="2"/>
  <c r="Q411" i="2"/>
  <c r="AW411" i="2"/>
  <c r="AF412" i="2"/>
  <c r="AE413" i="2"/>
  <c r="W414" i="3"/>
  <c r="W414" i="2" s="1"/>
  <c r="W415" i="2"/>
  <c r="BE469" i="2"/>
  <c r="AL350" i="2"/>
  <c r="BB350" i="2"/>
  <c r="M351" i="2"/>
  <c r="AC351" i="2"/>
  <c r="AS351" i="2"/>
  <c r="BI351" i="2"/>
  <c r="P352" i="2"/>
  <c r="AF352" i="2"/>
  <c r="AV352" i="2"/>
  <c r="BL352" i="2"/>
  <c r="S353" i="2"/>
  <c r="AI353" i="2"/>
  <c r="AY353" i="2"/>
  <c r="J354" i="2"/>
  <c r="Z354" i="2"/>
  <c r="AP354" i="2"/>
  <c r="BF354" i="2"/>
  <c r="Q355" i="2"/>
  <c r="AG355" i="2"/>
  <c r="AW355" i="2"/>
  <c r="BM355" i="2"/>
  <c r="T356" i="2"/>
  <c r="AJ356" i="2"/>
  <c r="AZ356" i="2"/>
  <c r="G357" i="2"/>
  <c r="W357" i="2"/>
  <c r="AM357" i="2"/>
  <c r="BC357" i="2"/>
  <c r="N358" i="2"/>
  <c r="AD358" i="2"/>
  <c r="AT358" i="2"/>
  <c r="BJ358" i="2"/>
  <c r="U359" i="2"/>
  <c r="AK359" i="2"/>
  <c r="BA359" i="2"/>
  <c r="H360" i="2"/>
  <c r="X360" i="2"/>
  <c r="AN360" i="2"/>
  <c r="BD360" i="2"/>
  <c r="K361" i="2"/>
  <c r="AA361" i="2"/>
  <c r="AQ361" i="2"/>
  <c r="BG361" i="2"/>
  <c r="R362" i="2"/>
  <c r="AH362" i="2"/>
  <c r="AX362" i="2"/>
  <c r="I363" i="2"/>
  <c r="Y363" i="2"/>
  <c r="AO363" i="2"/>
  <c r="BE363" i="2"/>
  <c r="L364" i="2"/>
  <c r="AB364" i="2"/>
  <c r="AR364" i="2"/>
  <c r="BH364" i="2"/>
  <c r="O365" i="2"/>
  <c r="AE365" i="2"/>
  <c r="AU365" i="2"/>
  <c r="BK365" i="2"/>
  <c r="V366" i="2"/>
  <c r="AL366" i="2"/>
  <c r="BB366" i="2"/>
  <c r="M367" i="2"/>
  <c r="AC367" i="2"/>
  <c r="AS367" i="2"/>
  <c r="BI367" i="2"/>
  <c r="P368" i="2"/>
  <c r="AF368" i="2"/>
  <c r="AV368" i="2"/>
  <c r="BL368" i="2"/>
  <c r="S369" i="2"/>
  <c r="AI369" i="2"/>
  <c r="AY369" i="2"/>
  <c r="J370" i="2"/>
  <c r="Z370" i="2"/>
  <c r="AP370" i="2"/>
  <c r="BF370" i="2"/>
  <c r="Q371" i="2"/>
  <c r="AG371" i="2"/>
  <c r="AW371" i="2"/>
  <c r="BM371" i="2"/>
  <c r="V373" i="3"/>
  <c r="V373" i="2" s="1"/>
  <c r="V374" i="2"/>
  <c r="AL373" i="3"/>
  <c r="AL373" i="2" s="1"/>
  <c r="AL374" i="2"/>
  <c r="BB373" i="3"/>
  <c r="BB373" i="2" s="1"/>
  <c r="BB374" i="2"/>
  <c r="M375" i="2"/>
  <c r="AC375" i="2"/>
  <c r="AS375" i="2"/>
  <c r="BI375" i="2"/>
  <c r="P376" i="2"/>
  <c r="AF376" i="2"/>
  <c r="BH376" i="2"/>
  <c r="AL377" i="2"/>
  <c r="I378" i="2"/>
  <c r="AO378" i="2"/>
  <c r="L379" i="2"/>
  <c r="AR379" i="2"/>
  <c r="T380" i="2"/>
  <c r="AZ380" i="2"/>
  <c r="AD381" i="2"/>
  <c r="BJ381" i="2"/>
  <c r="AG382" i="2"/>
  <c r="BM382" i="2"/>
  <c r="AJ383" i="2"/>
  <c r="L384" i="2"/>
  <c r="AR384" i="2"/>
  <c r="V385" i="2"/>
  <c r="BB385" i="2"/>
  <c r="Y386" i="2"/>
  <c r="BE386" i="2"/>
  <c r="AB387" i="2"/>
  <c r="BH387" i="2"/>
  <c r="AJ388" i="2"/>
  <c r="N389" i="2"/>
  <c r="AT389" i="2"/>
  <c r="Q390" i="2"/>
  <c r="AW390" i="2"/>
  <c r="T391" i="2"/>
  <c r="AZ391" i="2"/>
  <c r="AB392" i="2"/>
  <c r="BH392" i="2"/>
  <c r="AL393" i="2"/>
  <c r="I394" i="2"/>
  <c r="AO394" i="2"/>
  <c r="L395" i="2"/>
  <c r="AR395" i="2"/>
  <c r="T396" i="2"/>
  <c r="AZ396" i="2"/>
  <c r="AD397" i="2"/>
  <c r="BJ397" i="2"/>
  <c r="AG398" i="2"/>
  <c r="BM398" i="2"/>
  <c r="AJ399" i="2"/>
  <c r="L400" i="2"/>
  <c r="AR400" i="2"/>
  <c r="V401" i="2"/>
  <c r="BB401" i="2"/>
  <c r="Y402" i="2"/>
  <c r="BE402" i="2"/>
  <c r="AB403" i="2"/>
  <c r="BH403" i="2"/>
  <c r="AJ404" i="2"/>
  <c r="N405" i="2"/>
  <c r="AT405" i="2"/>
  <c r="Q406" i="2"/>
  <c r="AW406" i="2"/>
  <c r="T407" i="2"/>
  <c r="AZ407" i="2"/>
  <c r="AB408" i="2"/>
  <c r="BH408" i="2"/>
  <c r="AL409" i="2"/>
  <c r="I410" i="2"/>
  <c r="AO410" i="2"/>
  <c r="L411" i="2"/>
  <c r="AR411" i="2"/>
  <c r="AJ412" i="2"/>
  <c r="AY413" i="2"/>
  <c r="R416" i="2"/>
  <c r="R420" i="2"/>
  <c r="R424" i="2"/>
  <c r="R428" i="2"/>
  <c r="BK432" i="2"/>
  <c r="AH441" i="2"/>
  <c r="BE477" i="2"/>
  <c r="AW376" i="2"/>
  <c r="BM376" i="2"/>
  <c r="T377" i="2"/>
  <c r="AJ377" i="2"/>
  <c r="AZ377" i="2"/>
  <c r="G378" i="2"/>
  <c r="W378" i="2"/>
  <c r="AM378" i="2"/>
  <c r="BC378" i="2"/>
  <c r="N379" i="2"/>
  <c r="AD379" i="2"/>
  <c r="AT379" i="2"/>
  <c r="BJ379" i="2"/>
  <c r="U380" i="2"/>
  <c r="AK380" i="2"/>
  <c r="BA380" i="2"/>
  <c r="H381" i="2"/>
  <c r="X381" i="2"/>
  <c r="AN381" i="2"/>
  <c r="BD381" i="2"/>
  <c r="K382" i="2"/>
  <c r="AA382" i="2"/>
  <c r="AQ382" i="2"/>
  <c r="BG382" i="2"/>
  <c r="R383" i="2"/>
  <c r="AH383" i="2"/>
  <c r="AX383" i="2"/>
  <c r="I384" i="2"/>
  <c r="Y384" i="2"/>
  <c r="AO384" i="2"/>
  <c r="BE384" i="2"/>
  <c r="L385" i="2"/>
  <c r="AB385" i="2"/>
  <c r="AR385" i="2"/>
  <c r="BH385" i="2"/>
  <c r="O386" i="2"/>
  <c r="AE386" i="2"/>
  <c r="AU386" i="2"/>
  <c r="BK386" i="2"/>
  <c r="V387" i="2"/>
  <c r="AL387" i="2"/>
  <c r="BB387" i="2"/>
  <c r="M388" i="2"/>
  <c r="AC388" i="2"/>
  <c r="AS388" i="2"/>
  <c r="BI388" i="2"/>
  <c r="P389" i="2"/>
  <c r="AF389" i="2"/>
  <c r="AV389" i="2"/>
  <c r="BL389" i="2"/>
  <c r="S390" i="2"/>
  <c r="AI390" i="2"/>
  <c r="AY390" i="2"/>
  <c r="J391" i="2"/>
  <c r="Z391" i="2"/>
  <c r="AP391" i="2"/>
  <c r="BF391" i="2"/>
  <c r="Q392" i="2"/>
  <c r="AG392" i="2"/>
  <c r="AW392" i="2"/>
  <c r="BM392" i="2"/>
  <c r="T393" i="2"/>
  <c r="AJ393" i="2"/>
  <c r="AZ393" i="2"/>
  <c r="G394" i="2"/>
  <c r="W394" i="2"/>
  <c r="AM394" i="2"/>
  <c r="BC394" i="2"/>
  <c r="N395" i="2"/>
  <c r="AD395" i="2"/>
  <c r="AT395" i="2"/>
  <c r="BJ395" i="2"/>
  <c r="U396" i="2"/>
  <c r="AK396" i="2"/>
  <c r="BA396" i="2"/>
  <c r="H397" i="2"/>
  <c r="X397" i="2"/>
  <c r="AN397" i="2"/>
  <c r="BD397" i="2"/>
  <c r="K398" i="2"/>
  <c r="AA398" i="2"/>
  <c r="AQ398" i="2"/>
  <c r="BG398" i="2"/>
  <c r="R399" i="2"/>
  <c r="AH399" i="2"/>
  <c r="AX399" i="2"/>
  <c r="I400" i="2"/>
  <c r="Y400" i="2"/>
  <c r="AO400" i="2"/>
  <c r="BE400" i="2"/>
  <c r="L401" i="2"/>
  <c r="AB401" i="2"/>
  <c r="AR401" i="2"/>
  <c r="BH401" i="2"/>
  <c r="O402" i="2"/>
  <c r="AE402" i="2"/>
  <c r="AU402" i="2"/>
  <c r="BK402" i="2"/>
  <c r="V403" i="2"/>
  <c r="AL403" i="2"/>
  <c r="BB403" i="2"/>
  <c r="M404" i="2"/>
  <c r="AC404" i="2"/>
  <c r="AS404" i="2"/>
  <c r="BI404" i="2"/>
  <c r="P405" i="2"/>
  <c r="AF405" i="2"/>
  <c r="AV405" i="2"/>
  <c r="BL405" i="2"/>
  <c r="S406" i="2"/>
  <c r="AI406" i="2"/>
  <c r="AY406" i="2"/>
  <c r="J407" i="2"/>
  <c r="Z407" i="2"/>
  <c r="AP407" i="2"/>
  <c r="BF407" i="2"/>
  <c r="Q408" i="2"/>
  <c r="AG408" i="2"/>
  <c r="AW408" i="2"/>
  <c r="BM408" i="2"/>
  <c r="T409" i="2"/>
  <c r="AJ409" i="2"/>
  <c r="AZ409" i="2"/>
  <c r="G410" i="2"/>
  <c r="W410" i="2"/>
  <c r="AM410" i="2"/>
  <c r="BC410" i="2"/>
  <c r="N411" i="2"/>
  <c r="AD411" i="2"/>
  <c r="AT411" i="2"/>
  <c r="BJ411" i="2"/>
  <c r="U412" i="2"/>
  <c r="AK412" i="2"/>
  <c r="BA412" i="2"/>
  <c r="H413" i="2"/>
  <c r="X413" i="2"/>
  <c r="AN413" i="2"/>
  <c r="BD413" i="2"/>
  <c r="L414" i="3"/>
  <c r="L414" i="2" s="1"/>
  <c r="L415" i="2"/>
  <c r="AB414" i="3"/>
  <c r="AB414" i="2" s="1"/>
  <c r="AB415" i="2"/>
  <c r="AS414" i="3"/>
  <c r="AS414" i="2" s="1"/>
  <c r="AS415" i="2"/>
  <c r="AL416" i="2"/>
  <c r="AO417" i="2"/>
  <c r="AN418" i="2"/>
  <c r="AM419" i="2"/>
  <c r="BB420" i="2"/>
  <c r="BE421" i="2"/>
  <c r="BD422" i="2"/>
  <c r="BC423" i="2"/>
  <c r="I425" i="2"/>
  <c r="H426" i="2"/>
  <c r="G427" i="2"/>
  <c r="V428" i="2"/>
  <c r="Y429" i="2"/>
  <c r="X430" i="2"/>
  <c r="X431" i="2"/>
  <c r="AF433" i="2"/>
  <c r="AZ435" i="2"/>
  <c r="AZ439" i="2"/>
  <c r="AZ443" i="2"/>
  <c r="BH447" i="2"/>
  <c r="AO455" i="3"/>
  <c r="AO455" i="2" s="1"/>
  <c r="AO456" i="2"/>
  <c r="W467" i="2"/>
  <c r="AP376" i="2"/>
  <c r="BF376" i="2"/>
  <c r="Q377" i="2"/>
  <c r="AG377" i="2"/>
  <c r="AW377" i="2"/>
  <c r="BM377" i="2"/>
  <c r="T378" i="2"/>
  <c r="AJ378" i="2"/>
  <c r="AZ378" i="2"/>
  <c r="G379" i="2"/>
  <c r="W379" i="2"/>
  <c r="AM379" i="2"/>
  <c r="BC379" i="2"/>
  <c r="N380" i="2"/>
  <c r="AD380" i="2"/>
  <c r="AT380" i="2"/>
  <c r="BJ380" i="2"/>
  <c r="U381" i="2"/>
  <c r="AK381" i="2"/>
  <c r="BA381" i="2"/>
  <c r="H382" i="2"/>
  <c r="X382" i="2"/>
  <c r="AN382" i="2"/>
  <c r="BD382" i="2"/>
  <c r="K383" i="2"/>
  <c r="AA383" i="2"/>
  <c r="AQ383" i="2"/>
  <c r="BG383" i="2"/>
  <c r="R384" i="2"/>
  <c r="AH384" i="2"/>
  <c r="AX384" i="2"/>
  <c r="I385" i="2"/>
  <c r="Y385" i="2"/>
  <c r="AO385" i="2"/>
  <c r="BE385" i="2"/>
  <c r="L386" i="2"/>
  <c r="AB386" i="2"/>
  <c r="AR386" i="2"/>
  <c r="BH386" i="2"/>
  <c r="O387" i="2"/>
  <c r="AE387" i="2"/>
  <c r="AU387" i="2"/>
  <c r="BK387" i="2"/>
  <c r="V388" i="2"/>
  <c r="AL388" i="2"/>
  <c r="BB388" i="2"/>
  <c r="M389" i="2"/>
  <c r="AC389" i="2"/>
  <c r="AS389" i="2"/>
  <c r="BI389" i="2"/>
  <c r="P390" i="2"/>
  <c r="AF390" i="2"/>
  <c r="AV390" i="2"/>
  <c r="BL390" i="2"/>
  <c r="S391" i="2"/>
  <c r="AI391" i="2"/>
  <c r="AY391" i="2"/>
  <c r="J392" i="2"/>
  <c r="Z392" i="2"/>
  <c r="AP392" i="2"/>
  <c r="BF392" i="2"/>
  <c r="Q393" i="2"/>
  <c r="AG393" i="2"/>
  <c r="AW393" i="2"/>
  <c r="BM393" i="2"/>
  <c r="T394" i="2"/>
  <c r="AJ394" i="2"/>
  <c r="AZ394" i="2"/>
  <c r="G395" i="2"/>
  <c r="W395" i="2"/>
  <c r="AM395" i="2"/>
  <c r="BC395" i="2"/>
  <c r="N396" i="2"/>
  <c r="AD396" i="2"/>
  <c r="AT396" i="2"/>
  <c r="BJ396" i="2"/>
  <c r="U397" i="2"/>
  <c r="AK397" i="2"/>
  <c r="BA397" i="2"/>
  <c r="H398" i="2"/>
  <c r="X398" i="2"/>
  <c r="AN398" i="2"/>
  <c r="BD398" i="2"/>
  <c r="K399" i="2"/>
  <c r="AA399" i="2"/>
  <c r="AQ399" i="2"/>
  <c r="BG399" i="2"/>
  <c r="R400" i="2"/>
  <c r="AH400" i="2"/>
  <c r="AX400" i="2"/>
  <c r="I401" i="2"/>
  <c r="Y401" i="2"/>
  <c r="AO401" i="2"/>
  <c r="BE401" i="2"/>
  <c r="L402" i="2"/>
  <c r="AB402" i="2"/>
  <c r="AR402" i="2"/>
  <c r="BH402" i="2"/>
  <c r="O403" i="2"/>
  <c r="AE403" i="2"/>
  <c r="AU403" i="2"/>
  <c r="BK403" i="2"/>
  <c r="V404" i="2"/>
  <c r="AL404" i="2"/>
  <c r="BB404" i="2"/>
  <c r="M405" i="2"/>
  <c r="AC405" i="2"/>
  <c r="AS405" i="2"/>
  <c r="BI405" i="2"/>
  <c r="P406" i="2"/>
  <c r="AF406" i="2"/>
  <c r="AV406" i="2"/>
  <c r="BL406" i="2"/>
  <c r="S407" i="2"/>
  <c r="AI407" i="2"/>
  <c r="AY407" i="2"/>
  <c r="J408" i="2"/>
  <c r="Z408" i="2"/>
  <c r="AP408" i="2"/>
  <c r="BF408" i="2"/>
  <c r="Q409" i="2"/>
  <c r="AG409" i="2"/>
  <c r="AW409" i="2"/>
  <c r="BM409" i="2"/>
  <c r="T410" i="2"/>
  <c r="AJ410" i="2"/>
  <c r="AZ410" i="2"/>
  <c r="G411" i="2"/>
  <c r="W411" i="2"/>
  <c r="AM411" i="2"/>
  <c r="BC411" i="2"/>
  <c r="N412" i="2"/>
  <c r="AD412" i="2"/>
  <c r="AT412" i="2"/>
  <c r="BJ412" i="2"/>
  <c r="U413" i="2"/>
  <c r="AK413" i="2"/>
  <c r="BA413" i="2"/>
  <c r="I414" i="3"/>
  <c r="I414" i="2" s="1"/>
  <c r="I415" i="2"/>
  <c r="Y414" i="3"/>
  <c r="Y414" i="2" s="1"/>
  <c r="Y415" i="2"/>
  <c r="AO414" i="3"/>
  <c r="AO414" i="2" s="1"/>
  <c r="AO415" i="2"/>
  <c r="J416" i="2"/>
  <c r="M417" i="2"/>
  <c r="L418" i="2"/>
  <c r="K419" i="2"/>
  <c r="J420" i="2"/>
  <c r="M421" i="2"/>
  <c r="L422" i="2"/>
  <c r="K423" i="2"/>
  <c r="J424" i="2"/>
  <c r="M425" i="2"/>
  <c r="L426" i="2"/>
  <c r="K427" i="2"/>
  <c r="J428" i="2"/>
  <c r="M429" i="2"/>
  <c r="L430" i="2"/>
  <c r="K431" i="2"/>
  <c r="AU432" i="2"/>
  <c r="V449" i="2"/>
  <c r="BE481" i="2"/>
  <c r="S412" i="2"/>
  <c r="AI412" i="2"/>
  <c r="AY412" i="2"/>
  <c r="J413" i="2"/>
  <c r="Z413" i="2"/>
  <c r="AP413" i="2"/>
  <c r="BF413" i="2"/>
  <c r="R414" i="3"/>
  <c r="R414" i="2" s="1"/>
  <c r="R415" i="2"/>
  <c r="AH414" i="3"/>
  <c r="AH414" i="2" s="1"/>
  <c r="AH415" i="2"/>
  <c r="BC414" i="3"/>
  <c r="BC414" i="2" s="1"/>
  <c r="BC415" i="2"/>
  <c r="AT416" i="2"/>
  <c r="AW417" i="2"/>
  <c r="AV418" i="2"/>
  <c r="AU419" i="2"/>
  <c r="AT420" i="2"/>
  <c r="AW421" i="2"/>
  <c r="AV422" i="2"/>
  <c r="AU423" i="2"/>
  <c r="AT424" i="2"/>
  <c r="AW425" i="2"/>
  <c r="AV426" i="2"/>
  <c r="AU427" i="2"/>
  <c r="AT428" i="2"/>
  <c r="AW429" i="2"/>
  <c r="AV430" i="2"/>
  <c r="BH431" i="2"/>
  <c r="AV433" i="2"/>
  <c r="S436" i="2"/>
  <c r="S440" i="2"/>
  <c r="S444" i="2"/>
  <c r="AA448" i="2"/>
  <c r="X457" i="2"/>
  <c r="W471" i="2"/>
  <c r="BH414" i="3"/>
  <c r="BH414" i="2" s="1"/>
  <c r="BH415" i="2"/>
  <c r="O416" i="2"/>
  <c r="AE416" i="2"/>
  <c r="AU416" i="2"/>
  <c r="BK416" i="2"/>
  <c r="V417" i="2"/>
  <c r="AL417" i="2"/>
  <c r="BB417" i="2"/>
  <c r="M418" i="2"/>
  <c r="AC418" i="2"/>
  <c r="AS418" i="2"/>
  <c r="BI418" i="2"/>
  <c r="P419" i="2"/>
  <c r="AF419" i="2"/>
  <c r="AV419" i="2"/>
  <c r="BL419" i="2"/>
  <c r="S420" i="2"/>
  <c r="AI420" i="2"/>
  <c r="AY420" i="2"/>
  <c r="J421" i="2"/>
  <c r="Z421" i="2"/>
  <c r="AP421" i="2"/>
  <c r="BF421" i="2"/>
  <c r="Q422" i="2"/>
  <c r="AG422" i="2"/>
  <c r="AW422" i="2"/>
  <c r="BM422" i="2"/>
  <c r="T423" i="2"/>
  <c r="AJ423" i="2"/>
  <c r="AZ423" i="2"/>
  <c r="G424" i="2"/>
  <c r="W424" i="2"/>
  <c r="AM424" i="2"/>
  <c r="BC424" i="2"/>
  <c r="N425" i="2"/>
  <c r="AD425" i="2"/>
  <c r="AT425" i="2"/>
  <c r="BJ425" i="2"/>
  <c r="U426" i="2"/>
  <c r="AK426" i="2"/>
  <c r="BA426" i="2"/>
  <c r="H427" i="2"/>
  <c r="X427" i="2"/>
  <c r="AN427" i="2"/>
  <c r="BD427" i="2"/>
  <c r="K428" i="2"/>
  <c r="AA428" i="2"/>
  <c r="AQ428" i="2"/>
  <c r="BG428" i="2"/>
  <c r="R429" i="2"/>
  <c r="AH429" i="2"/>
  <c r="AX429" i="2"/>
  <c r="I430" i="2"/>
  <c r="Y430" i="2"/>
  <c r="AO430" i="2"/>
  <c r="BE430" i="2"/>
  <c r="L431" i="2"/>
  <c r="AD431" i="2"/>
  <c r="BB431" i="2"/>
  <c r="Y432" i="2"/>
  <c r="BE432" i="2"/>
  <c r="Z433" i="2"/>
  <c r="BF433" i="2"/>
  <c r="AK434" i="2"/>
  <c r="H435" i="2"/>
  <c r="G436" i="2"/>
  <c r="V437" i="2"/>
  <c r="Y438" i="2"/>
  <c r="X439" i="2"/>
  <c r="W440" i="2"/>
  <c r="AL441" i="2"/>
  <c r="AO442" i="2"/>
  <c r="AN443" i="2"/>
  <c r="AM444" i="2"/>
  <c r="BB445" i="2"/>
  <c r="BE446" i="2"/>
  <c r="AI448" i="2"/>
  <c r="BE450" i="2"/>
  <c r="N453" i="2"/>
  <c r="W458" i="2"/>
  <c r="BM414" i="3"/>
  <c r="BM414" i="2" s="1"/>
  <c r="BM415" i="2"/>
  <c r="T416" i="2"/>
  <c r="AJ416" i="2"/>
  <c r="AZ416" i="2"/>
  <c r="G417" i="2"/>
  <c r="W417" i="2"/>
  <c r="AM417" i="2"/>
  <c r="BC417" i="2"/>
  <c r="N418" i="2"/>
  <c r="AD418" i="2"/>
  <c r="AT418" i="2"/>
  <c r="BJ418" i="2"/>
  <c r="U419" i="2"/>
  <c r="AK419" i="2"/>
  <c r="BA419" i="2"/>
  <c r="H420" i="2"/>
  <c r="X420" i="2"/>
  <c r="AN420" i="2"/>
  <c r="BD420" i="2"/>
  <c r="K421" i="2"/>
  <c r="AA421" i="2"/>
  <c r="AQ421" i="2"/>
  <c r="BG421" i="2"/>
  <c r="R422" i="2"/>
  <c r="AH422" i="2"/>
  <c r="AX422" i="2"/>
  <c r="I423" i="2"/>
  <c r="Y423" i="2"/>
  <c r="AO423" i="2"/>
  <c r="BE423" i="2"/>
  <c r="L424" i="2"/>
  <c r="AB424" i="2"/>
  <c r="AR424" i="2"/>
  <c r="BH424" i="2"/>
  <c r="O425" i="2"/>
  <c r="AE425" i="2"/>
  <c r="AU425" i="2"/>
  <c r="BK425" i="2"/>
  <c r="V426" i="2"/>
  <c r="AL426" i="2"/>
  <c r="BB426" i="2"/>
  <c r="M427" i="2"/>
  <c r="AC427" i="2"/>
  <c r="AS427" i="2"/>
  <c r="BI427" i="2"/>
  <c r="P428" i="2"/>
  <c r="AF428" i="2"/>
  <c r="AV428" i="2"/>
  <c r="BL428" i="2"/>
  <c r="S429" i="2"/>
  <c r="AI429" i="2"/>
  <c r="AY429" i="2"/>
  <c r="J430" i="2"/>
  <c r="Z430" i="2"/>
  <c r="AP430" i="2"/>
  <c r="BF430" i="2"/>
  <c r="Q431" i="2"/>
  <c r="AK431" i="2"/>
  <c r="BL431" i="2"/>
  <c r="AI432" i="2"/>
  <c r="L433" i="2"/>
  <c r="AR433" i="2"/>
  <c r="O434" i="2"/>
  <c r="AU434" i="2"/>
  <c r="AB435" i="2"/>
  <c r="AA436" i="2"/>
  <c r="Z437" i="2"/>
  <c r="AC438" i="2"/>
  <c r="AB439" i="2"/>
  <c r="AA440" i="2"/>
  <c r="Z441" i="2"/>
  <c r="AC442" i="2"/>
  <c r="AB443" i="2"/>
  <c r="AA444" i="2"/>
  <c r="Z445" i="2"/>
  <c r="AC446" i="2"/>
  <c r="AB447" i="2"/>
  <c r="AL449" i="2"/>
  <c r="BG451" i="2"/>
  <c r="I455" i="3"/>
  <c r="I455" i="2" s="1"/>
  <c r="I456" i="2"/>
  <c r="I460" i="2"/>
  <c r="AN466" i="2"/>
  <c r="AN482" i="2"/>
  <c r="BB414" i="3"/>
  <c r="BB414" i="2" s="1"/>
  <c r="BB415" i="2"/>
  <c r="M416" i="2"/>
  <c r="AC416" i="2"/>
  <c r="AS416" i="2"/>
  <c r="BI416" i="2"/>
  <c r="P417" i="2"/>
  <c r="AF417" i="2"/>
  <c r="AV417" i="2"/>
  <c r="BL417" i="2"/>
  <c r="S418" i="2"/>
  <c r="AI418" i="2"/>
  <c r="AY418" i="2"/>
  <c r="J419" i="2"/>
  <c r="Z419" i="2"/>
  <c r="AP419" i="2"/>
  <c r="BF419" i="2"/>
  <c r="Q420" i="2"/>
  <c r="AG420" i="2"/>
  <c r="AW420" i="2"/>
  <c r="BM420" i="2"/>
  <c r="T421" i="2"/>
  <c r="AJ421" i="2"/>
  <c r="AZ421" i="2"/>
  <c r="G422" i="2"/>
  <c r="W422" i="2"/>
  <c r="AM422" i="2"/>
  <c r="BC422" i="2"/>
  <c r="N423" i="2"/>
  <c r="AD423" i="2"/>
  <c r="AT423" i="2"/>
  <c r="BJ423" i="2"/>
  <c r="U424" i="2"/>
  <c r="AK424" i="2"/>
  <c r="BA424" i="2"/>
  <c r="H425" i="2"/>
  <c r="X425" i="2"/>
  <c r="AN425" i="2"/>
  <c r="BD425" i="2"/>
  <c r="K426" i="2"/>
  <c r="AA426" i="2"/>
  <c r="AQ426" i="2"/>
  <c r="BG426" i="2"/>
  <c r="R427" i="2"/>
  <c r="AH427" i="2"/>
  <c r="AX427" i="2"/>
  <c r="I428" i="2"/>
  <c r="Y428" i="2"/>
  <c r="AO428" i="2"/>
  <c r="BE428" i="2"/>
  <c r="L429" i="2"/>
  <c r="AB429" i="2"/>
  <c r="AR429" i="2"/>
  <c r="BH429" i="2"/>
  <c r="O430" i="2"/>
  <c r="AE430" i="2"/>
  <c r="AU430" i="2"/>
  <c r="BK430" i="2"/>
  <c r="V431" i="2"/>
  <c r="AR431" i="2"/>
  <c r="U432" i="2"/>
  <c r="BA432" i="2"/>
  <c r="AD433" i="2"/>
  <c r="BJ433" i="2"/>
  <c r="AG434" i="2"/>
  <c r="BM434" i="2"/>
  <c r="BL435" i="2"/>
  <c r="BK436" i="2"/>
  <c r="BJ437" i="2"/>
  <c r="BM438" i="2"/>
  <c r="BL439" i="2"/>
  <c r="BK440" i="2"/>
  <c r="BJ441" i="2"/>
  <c r="BM442" i="2"/>
  <c r="BL443" i="2"/>
  <c r="BK444" i="2"/>
  <c r="BJ445" i="2"/>
  <c r="BM446" i="2"/>
  <c r="S448" i="2"/>
  <c r="I450" i="2"/>
  <c r="AT453" i="2"/>
  <c r="BC458" i="2"/>
  <c r="BC462" i="2"/>
  <c r="BE431" i="2"/>
  <c r="L432" i="2"/>
  <c r="AB432" i="2"/>
  <c r="AR432" i="2"/>
  <c r="BH432" i="2"/>
  <c r="O433" i="2"/>
  <c r="AE433" i="2"/>
  <c r="AU433" i="2"/>
  <c r="BK433" i="2"/>
  <c r="V434" i="2"/>
  <c r="AL434" i="2"/>
  <c r="BB434" i="2"/>
  <c r="M435" i="2"/>
  <c r="AC435" i="2"/>
  <c r="AS435" i="2"/>
  <c r="BI435" i="2"/>
  <c r="P436" i="2"/>
  <c r="AF436" i="2"/>
  <c r="AV436" i="2"/>
  <c r="BL436" i="2"/>
  <c r="S437" i="2"/>
  <c r="AI437" i="2"/>
  <c r="AY437" i="2"/>
  <c r="J438" i="2"/>
  <c r="Z438" i="2"/>
  <c r="AP438" i="2"/>
  <c r="BF438" i="2"/>
  <c r="Q439" i="2"/>
  <c r="AG439" i="2"/>
  <c r="AW439" i="2"/>
  <c r="BM439" i="2"/>
  <c r="T440" i="2"/>
  <c r="AJ440" i="2"/>
  <c r="AZ440" i="2"/>
  <c r="G441" i="2"/>
  <c r="W441" i="2"/>
  <c r="AM441" i="2"/>
  <c r="BC441" i="2"/>
  <c r="N442" i="2"/>
  <c r="AD442" i="2"/>
  <c r="AT442" i="2"/>
  <c r="BJ442" i="2"/>
  <c r="U443" i="2"/>
  <c r="AK443" i="2"/>
  <c r="BA443" i="2"/>
  <c r="H444" i="2"/>
  <c r="X444" i="2"/>
  <c r="AN444" i="2"/>
  <c r="BD444" i="2"/>
  <c r="K445" i="2"/>
  <c r="AA445" i="2"/>
  <c r="AQ445" i="2"/>
  <c r="BG445" i="2"/>
  <c r="R446" i="2"/>
  <c r="AH446" i="2"/>
  <c r="AX446" i="2"/>
  <c r="I447" i="2"/>
  <c r="Y447" i="2"/>
  <c r="AT447" i="2"/>
  <c r="N448" i="2"/>
  <c r="AT448" i="2"/>
  <c r="Q449" i="2"/>
  <c r="AW449" i="2"/>
  <c r="T450" i="2"/>
  <c r="AZ450" i="2"/>
  <c r="AB451" i="2"/>
  <c r="BH451" i="2"/>
  <c r="R453" i="2"/>
  <c r="AK454" i="2"/>
  <c r="AS455" i="3"/>
  <c r="AS455" i="2" s="1"/>
  <c r="AS456" i="2"/>
  <c r="AR457" i="2"/>
  <c r="AQ458" i="2"/>
  <c r="AP459" i="2"/>
  <c r="AS460" i="2"/>
  <c r="AR461" i="2"/>
  <c r="AQ462" i="2"/>
  <c r="AP463" i="2"/>
  <c r="BD466" i="2"/>
  <c r="BD470" i="2"/>
  <c r="BD474" i="2"/>
  <c r="BD478" i="2"/>
  <c r="BD482" i="2"/>
  <c r="H486" i="2"/>
  <c r="R435" i="2"/>
  <c r="AH435" i="2"/>
  <c r="AX435" i="2"/>
  <c r="I436" i="2"/>
  <c r="Y436" i="2"/>
  <c r="AO436" i="2"/>
  <c r="BE436" i="2"/>
  <c r="L437" i="2"/>
  <c r="AB437" i="2"/>
  <c r="AR437" i="2"/>
  <c r="BH437" i="2"/>
  <c r="O438" i="2"/>
  <c r="AE438" i="2"/>
  <c r="AU438" i="2"/>
  <c r="BK438" i="2"/>
  <c r="V439" i="2"/>
  <c r="AL439" i="2"/>
  <c r="BB439" i="2"/>
  <c r="M440" i="2"/>
  <c r="AC440" i="2"/>
  <c r="AS440" i="2"/>
  <c r="BI440" i="2"/>
  <c r="P441" i="2"/>
  <c r="AF441" i="2"/>
  <c r="AV441" i="2"/>
  <c r="BL441" i="2"/>
  <c r="S442" i="2"/>
  <c r="AI442" i="2"/>
  <c r="AY442" i="2"/>
  <c r="J443" i="2"/>
  <c r="Z443" i="2"/>
  <c r="AP443" i="2"/>
  <c r="BF443" i="2"/>
  <c r="Q444" i="2"/>
  <c r="AG444" i="2"/>
  <c r="AW444" i="2"/>
  <c r="BM444" i="2"/>
  <c r="T445" i="2"/>
  <c r="AJ445" i="2"/>
  <c r="AZ445" i="2"/>
  <c r="G446" i="2"/>
  <c r="W446" i="2"/>
  <c r="AM446" i="2"/>
  <c r="BC446" i="2"/>
  <c r="N447" i="2"/>
  <c r="AE447" i="2"/>
  <c r="AZ447" i="2"/>
  <c r="O448" i="2"/>
  <c r="AU448" i="2"/>
  <c r="R449" i="2"/>
  <c r="AX449" i="2"/>
  <c r="AC450" i="2"/>
  <c r="BI450" i="2"/>
  <c r="AE451" i="2"/>
  <c r="BK451" i="2"/>
  <c r="BC452" i="2"/>
  <c r="I454" i="2"/>
  <c r="Q455" i="3"/>
  <c r="Q455" i="2" s="1"/>
  <c r="Q456" i="2"/>
  <c r="P457" i="2"/>
  <c r="O458" i="2"/>
  <c r="N459" i="2"/>
  <c r="Q460" i="2"/>
  <c r="P461" i="2"/>
  <c r="O462" i="2"/>
  <c r="N463" i="2"/>
  <c r="AL464" i="2"/>
  <c r="AL468" i="2"/>
  <c r="AL472" i="2"/>
  <c r="AL476" i="2"/>
  <c r="AL480" i="2"/>
  <c r="AL484" i="2"/>
  <c r="AA431" i="2"/>
  <c r="AQ431" i="2"/>
  <c r="BG431" i="2"/>
  <c r="R432" i="2"/>
  <c r="AH432" i="2"/>
  <c r="AX432" i="2"/>
  <c r="I433" i="2"/>
  <c r="Y433" i="2"/>
  <c r="AO433" i="2"/>
  <c r="BE433" i="2"/>
  <c r="L434" i="2"/>
  <c r="AB434" i="2"/>
  <c r="AR434" i="2"/>
  <c r="BH434" i="2"/>
  <c r="O435" i="2"/>
  <c r="AE435" i="2"/>
  <c r="AU435" i="2"/>
  <c r="BK435" i="2"/>
  <c r="V436" i="2"/>
  <c r="AL436" i="2"/>
  <c r="BB436" i="2"/>
  <c r="M437" i="2"/>
  <c r="AC437" i="2"/>
  <c r="AS437" i="2"/>
  <c r="BI437" i="2"/>
  <c r="P438" i="2"/>
  <c r="AF438" i="2"/>
  <c r="AV438" i="2"/>
  <c r="BL438" i="2"/>
  <c r="S439" i="2"/>
  <c r="AI439" i="2"/>
  <c r="AY439" i="2"/>
  <c r="J440" i="2"/>
  <c r="Z440" i="2"/>
  <c r="AP440" i="2"/>
  <c r="BF440" i="2"/>
  <c r="Q441" i="2"/>
  <c r="AG441" i="2"/>
  <c r="AW441" i="2"/>
  <c r="BM441" i="2"/>
  <c r="T442" i="2"/>
  <c r="AJ442" i="2"/>
  <c r="AZ442" i="2"/>
  <c r="G443" i="2"/>
  <c r="W443" i="2"/>
  <c r="AM443" i="2"/>
  <c r="BC443" i="2"/>
  <c r="N444" i="2"/>
  <c r="AD444" i="2"/>
  <c r="AT444" i="2"/>
  <c r="BJ444" i="2"/>
  <c r="U445" i="2"/>
  <c r="AK445" i="2"/>
  <c r="BA445" i="2"/>
  <c r="H446" i="2"/>
  <c r="X446" i="2"/>
  <c r="AN446" i="2"/>
  <c r="BD446" i="2"/>
  <c r="K447" i="2"/>
  <c r="AA447" i="2"/>
  <c r="AV447" i="2"/>
  <c r="J448" i="2"/>
  <c r="AP448" i="2"/>
  <c r="U449" i="2"/>
  <c r="BA449" i="2"/>
  <c r="X450" i="2"/>
  <c r="BD450" i="2"/>
  <c r="X451" i="2"/>
  <c r="BD451" i="2"/>
  <c r="AQ452" i="2"/>
  <c r="AP453" i="2"/>
  <c r="AS454" i="2"/>
  <c r="BA455" i="3"/>
  <c r="BA455" i="2" s="1"/>
  <c r="BA456" i="2"/>
  <c r="S458" i="2"/>
  <c r="AH459" i="2"/>
  <c r="BA460" i="2"/>
  <c r="S462" i="2"/>
  <c r="AH463" i="2"/>
  <c r="X466" i="2"/>
  <c r="X470" i="2"/>
  <c r="X474" i="2"/>
  <c r="X478" i="2"/>
  <c r="X482" i="2"/>
  <c r="AY486" i="2"/>
  <c r="AO447" i="2"/>
  <c r="BE447" i="2"/>
  <c r="L448" i="2"/>
  <c r="AB448" i="2"/>
  <c r="AR448" i="2"/>
  <c r="BH448" i="2"/>
  <c r="O449" i="2"/>
  <c r="AE449" i="2"/>
  <c r="AU449" i="2"/>
  <c r="BK449" i="2"/>
  <c r="V450" i="2"/>
  <c r="AL450" i="2"/>
  <c r="BB450" i="2"/>
  <c r="M451" i="2"/>
  <c r="AC451" i="2"/>
  <c r="AS451" i="2"/>
  <c r="BI451" i="2"/>
  <c r="P452" i="2"/>
  <c r="AF452" i="2"/>
  <c r="AV452" i="2"/>
  <c r="BL452" i="2"/>
  <c r="S453" i="2"/>
  <c r="AI453" i="2"/>
  <c r="AY453" i="2"/>
  <c r="J454" i="2"/>
  <c r="Z454" i="2"/>
  <c r="AP454" i="2"/>
  <c r="BF454" i="2"/>
  <c r="R455" i="3"/>
  <c r="R455" i="2" s="1"/>
  <c r="R456" i="2"/>
  <c r="AH455" i="3"/>
  <c r="AH455" i="2" s="1"/>
  <c r="AH456" i="2"/>
  <c r="AX455" i="3"/>
  <c r="AX455" i="2" s="1"/>
  <c r="AX456" i="2"/>
  <c r="I457" i="2"/>
  <c r="Y457" i="2"/>
  <c r="AO457" i="2"/>
  <c r="BE457" i="2"/>
  <c r="L458" i="2"/>
  <c r="AB458" i="2"/>
  <c r="AR458" i="2"/>
  <c r="BH458" i="2"/>
  <c r="O459" i="2"/>
  <c r="AE459" i="2"/>
  <c r="AU459" i="2"/>
  <c r="BK459" i="2"/>
  <c r="V460" i="2"/>
  <c r="AL460" i="2"/>
  <c r="BB460" i="2"/>
  <c r="M461" i="2"/>
  <c r="AC461" i="2"/>
  <c r="AS461" i="2"/>
  <c r="BI461" i="2"/>
  <c r="P462" i="2"/>
  <c r="AF462" i="2"/>
  <c r="AV462" i="2"/>
  <c r="BL462" i="2"/>
  <c r="S463" i="2"/>
  <c r="AI463" i="2"/>
  <c r="AY463" i="2"/>
  <c r="J464" i="2"/>
  <c r="M465" i="2"/>
  <c r="L466" i="2"/>
  <c r="K467" i="2"/>
  <c r="J468" i="2"/>
  <c r="M469" i="2"/>
  <c r="L470" i="2"/>
  <c r="K471" i="2"/>
  <c r="J472" i="2"/>
  <c r="M473" i="2"/>
  <c r="L474" i="2"/>
  <c r="K475" i="2"/>
  <c r="J476" i="2"/>
  <c r="M477" i="2"/>
  <c r="L478" i="2"/>
  <c r="K479" i="2"/>
  <c r="J480" i="2"/>
  <c r="M481" i="2"/>
  <c r="L482" i="2"/>
  <c r="K483" i="2"/>
  <c r="J484" i="2"/>
  <c r="P485" i="2"/>
  <c r="AI486" i="2"/>
  <c r="M448" i="2"/>
  <c r="AC448" i="2"/>
  <c r="AS448" i="2"/>
  <c r="BI448" i="2"/>
  <c r="P449" i="2"/>
  <c r="AF449" i="2"/>
  <c r="AV449" i="2"/>
  <c r="BL449" i="2"/>
  <c r="S450" i="2"/>
  <c r="AI450" i="2"/>
  <c r="AY450" i="2"/>
  <c r="J451" i="2"/>
  <c r="Z451" i="2"/>
  <c r="AP451" i="2"/>
  <c r="BF451" i="2"/>
  <c r="Q452" i="2"/>
  <c r="AG452" i="2"/>
  <c r="AW452" i="2"/>
  <c r="BM452" i="2"/>
  <c r="T453" i="2"/>
  <c r="AJ453" i="2"/>
  <c r="AZ453" i="2"/>
  <c r="G454" i="2"/>
  <c r="W454" i="2"/>
  <c r="AM454" i="2"/>
  <c r="BC454" i="2"/>
  <c r="K455" i="3"/>
  <c r="K455" i="2" s="1"/>
  <c r="K456" i="2"/>
  <c r="AA455" i="3"/>
  <c r="AA455" i="2" s="1"/>
  <c r="AA456" i="2"/>
  <c r="AQ455" i="3"/>
  <c r="AQ455" i="2" s="1"/>
  <c r="AQ456" i="2"/>
  <c r="BG455" i="3"/>
  <c r="BG455" i="2" s="1"/>
  <c r="BG456" i="2"/>
  <c r="R457" i="2"/>
  <c r="AH457" i="2"/>
  <c r="AX457" i="2"/>
  <c r="I458" i="2"/>
  <c r="Y458" i="2"/>
  <c r="AO458" i="2"/>
  <c r="BE458" i="2"/>
  <c r="L459" i="2"/>
  <c r="AB459" i="2"/>
  <c r="AR459" i="2"/>
  <c r="BH459" i="2"/>
  <c r="O460" i="2"/>
  <c r="AE460" i="2"/>
  <c r="AU460" i="2"/>
  <c r="BK460" i="2"/>
  <c r="V461" i="2"/>
  <c r="AL461" i="2"/>
  <c r="BB461" i="2"/>
  <c r="M462" i="2"/>
  <c r="AC462" i="2"/>
  <c r="AS462" i="2"/>
  <c r="BI462" i="2"/>
  <c r="P463" i="2"/>
  <c r="AF463" i="2"/>
  <c r="AV463" i="2"/>
  <c r="BM463" i="2"/>
  <c r="BJ464" i="2"/>
  <c r="BM465" i="2"/>
  <c r="BL466" i="2"/>
  <c r="BK467" i="2"/>
  <c r="BJ468" i="2"/>
  <c r="BM469" i="2"/>
  <c r="BL470" i="2"/>
  <c r="BK471" i="2"/>
  <c r="BJ472" i="2"/>
  <c r="BM473" i="2"/>
  <c r="BL474" i="2"/>
  <c r="BK475" i="2"/>
  <c r="BJ476" i="2"/>
  <c r="BM477" i="2"/>
  <c r="BL478" i="2"/>
  <c r="BK479" i="2"/>
  <c r="BJ480" i="2"/>
  <c r="BM481" i="2"/>
  <c r="BL482" i="2"/>
  <c r="BK483" i="2"/>
  <c r="BJ484" i="2"/>
  <c r="S486" i="2"/>
  <c r="N452" i="2"/>
  <c r="AD452" i="2"/>
  <c r="AT452" i="2"/>
  <c r="BJ452" i="2"/>
  <c r="U453" i="2"/>
  <c r="AK453" i="2"/>
  <c r="BA453" i="2"/>
  <c r="H454" i="2"/>
  <c r="X454" i="2"/>
  <c r="AN454" i="2"/>
  <c r="BD454" i="2"/>
  <c r="L455" i="3"/>
  <c r="L455" i="2" s="1"/>
  <c r="L456" i="2"/>
  <c r="AB455" i="3"/>
  <c r="AB455" i="2" s="1"/>
  <c r="AB456" i="2"/>
  <c r="AR455" i="3"/>
  <c r="AR455" i="2" s="1"/>
  <c r="AR456" i="2"/>
  <c r="BH455" i="3"/>
  <c r="BH455" i="2" s="1"/>
  <c r="BH456" i="2"/>
  <c r="O457" i="2"/>
  <c r="AE457" i="2"/>
  <c r="AU457" i="2"/>
  <c r="BK457" i="2"/>
  <c r="V458" i="2"/>
  <c r="AL458" i="2"/>
  <c r="BB458" i="2"/>
  <c r="M459" i="2"/>
  <c r="AC459" i="2"/>
  <c r="AS459" i="2"/>
  <c r="BI459" i="2"/>
  <c r="P460" i="2"/>
  <c r="AF460" i="2"/>
  <c r="AV460" i="2"/>
  <c r="BL460" i="2"/>
  <c r="S461" i="2"/>
  <c r="AI461" i="2"/>
  <c r="AY461" i="2"/>
  <c r="J462" i="2"/>
  <c r="Z462" i="2"/>
  <c r="AP462" i="2"/>
  <c r="BF462" i="2"/>
  <c r="Q463" i="2"/>
  <c r="AG463" i="2"/>
  <c r="AW463" i="2"/>
  <c r="R464" i="2"/>
  <c r="AK465" i="2"/>
  <c r="AZ466" i="2"/>
  <c r="R468" i="2"/>
  <c r="AK469" i="2"/>
  <c r="AZ470" i="2"/>
  <c r="R472" i="2"/>
  <c r="AK473" i="2"/>
  <c r="AZ474" i="2"/>
  <c r="R476" i="2"/>
  <c r="AK477" i="2"/>
  <c r="AZ478" i="2"/>
  <c r="R480" i="2"/>
  <c r="AK481" i="2"/>
  <c r="AZ482" i="2"/>
  <c r="R484" i="2"/>
  <c r="AV485" i="2"/>
  <c r="I464" i="2"/>
  <c r="Y464" i="2"/>
  <c r="AO464" i="2"/>
  <c r="BE464" i="2"/>
  <c r="L465" i="2"/>
  <c r="AB465" i="2"/>
  <c r="AR465" i="2"/>
  <c r="BH465" i="2"/>
  <c r="O466" i="2"/>
  <c r="AE466" i="2"/>
  <c r="AU466" i="2"/>
  <c r="BK466" i="2"/>
  <c r="V467" i="2"/>
  <c r="AL467" i="2"/>
  <c r="BB467" i="2"/>
  <c r="M468" i="2"/>
  <c r="AC468" i="2"/>
  <c r="AS468" i="2"/>
  <c r="BI468" i="2"/>
  <c r="P469" i="2"/>
  <c r="AF469" i="2"/>
  <c r="AV469" i="2"/>
  <c r="BL469" i="2"/>
  <c r="S470" i="2"/>
  <c r="AI470" i="2"/>
  <c r="AY470" i="2"/>
  <c r="J471" i="2"/>
  <c r="Z471" i="2"/>
  <c r="AP471" i="2"/>
  <c r="BF471" i="2"/>
  <c r="Q472" i="2"/>
  <c r="AG472" i="2"/>
  <c r="AW472" i="2"/>
  <c r="BM472" i="2"/>
  <c r="T473" i="2"/>
  <c r="AJ473" i="2"/>
  <c r="AZ473" i="2"/>
  <c r="G474" i="2"/>
  <c r="W474" i="2"/>
  <c r="AM474" i="2"/>
  <c r="BC474" i="2"/>
  <c r="N475" i="2"/>
  <c r="AD475" i="2"/>
  <c r="AT475" i="2"/>
  <c r="BJ475" i="2"/>
  <c r="U476" i="2"/>
  <c r="AK476" i="2"/>
  <c r="BA476" i="2"/>
  <c r="H477" i="2"/>
  <c r="X477" i="2"/>
  <c r="AN477" i="2"/>
  <c r="BD477" i="2"/>
  <c r="K478" i="2"/>
  <c r="AA478" i="2"/>
  <c r="AQ478" i="2"/>
  <c r="BG478" i="2"/>
  <c r="R479" i="2"/>
  <c r="AH479" i="2"/>
  <c r="AX479" i="2"/>
  <c r="I480" i="2"/>
  <c r="Y480" i="2"/>
  <c r="AO480" i="2"/>
  <c r="BE480" i="2"/>
  <c r="L481" i="2"/>
  <c r="AB481" i="2"/>
  <c r="AR481" i="2"/>
  <c r="BH481" i="2"/>
  <c r="O482" i="2"/>
  <c r="AE482" i="2"/>
  <c r="AU482" i="2"/>
  <c r="BK482" i="2"/>
  <c r="V483" i="2"/>
  <c r="AL483" i="2"/>
  <c r="BB483" i="2"/>
  <c r="M484" i="2"/>
  <c r="AC484" i="2"/>
  <c r="AS484" i="2"/>
  <c r="BI484" i="2"/>
  <c r="T485" i="2"/>
  <c r="AO485" i="2"/>
  <c r="BJ485" i="2"/>
  <c r="W486" i="2"/>
  <c r="AR486" i="2"/>
  <c r="BM486" i="2"/>
  <c r="K464" i="2"/>
  <c r="AA464" i="2"/>
  <c r="AQ464" i="2"/>
  <c r="BG464" i="2"/>
  <c r="R465" i="2"/>
  <c r="AH465" i="2"/>
  <c r="AX465" i="2"/>
  <c r="I466" i="2"/>
  <c r="Y466" i="2"/>
  <c r="AO466" i="2"/>
  <c r="BE466" i="2"/>
  <c r="L467" i="2"/>
  <c r="AB467" i="2"/>
  <c r="AR467" i="2"/>
  <c r="BH467" i="2"/>
  <c r="O468" i="2"/>
  <c r="AE468" i="2"/>
  <c r="AU468" i="2"/>
  <c r="BK468" i="2"/>
  <c r="V469" i="2"/>
  <c r="AL469" i="2"/>
  <c r="BB469" i="2"/>
  <c r="M470" i="2"/>
  <c r="AC470" i="2"/>
  <c r="AS470" i="2"/>
  <c r="BI470" i="2"/>
  <c r="P471" i="2"/>
  <c r="AF471" i="2"/>
  <c r="AV471" i="2"/>
  <c r="BL471" i="2"/>
  <c r="S472" i="2"/>
  <c r="AI472" i="2"/>
  <c r="AY472" i="2"/>
  <c r="J473" i="2"/>
  <c r="Z473" i="2"/>
  <c r="AP473" i="2"/>
  <c r="BF473" i="2"/>
  <c r="Q474" i="2"/>
  <c r="AG474" i="2"/>
  <c r="AW474" i="2"/>
  <c r="BM474" i="2"/>
  <c r="T475" i="2"/>
  <c r="AJ475" i="2"/>
  <c r="AZ475" i="2"/>
  <c r="G476" i="2"/>
  <c r="W476" i="2"/>
  <c r="AM476" i="2"/>
  <c r="BC476" i="2"/>
  <c r="N477" i="2"/>
  <c r="AD477" i="2"/>
  <c r="AT477" i="2"/>
  <c r="BJ477" i="2"/>
  <c r="U478" i="2"/>
  <c r="AK478" i="2"/>
  <c r="BA478" i="2"/>
  <c r="H479" i="2"/>
  <c r="X479" i="2"/>
  <c r="AN479" i="2"/>
  <c r="BD479" i="2"/>
  <c r="K480" i="2"/>
  <c r="AA480" i="2"/>
  <c r="AQ480" i="2"/>
  <c r="BG480" i="2"/>
  <c r="R481" i="2"/>
  <c r="AH481" i="2"/>
  <c r="AX481" i="2"/>
  <c r="I482" i="2"/>
  <c r="Y482" i="2"/>
  <c r="AO482" i="2"/>
  <c r="BE482" i="2"/>
  <c r="L483" i="2"/>
  <c r="AB483" i="2"/>
  <c r="AR483" i="2"/>
  <c r="BH483" i="2"/>
  <c r="O484" i="2"/>
  <c r="AE484" i="2"/>
  <c r="AU484" i="2"/>
  <c r="BK484" i="2"/>
  <c r="AB485" i="2"/>
  <c r="AW485" i="2"/>
  <c r="I486" i="2"/>
  <c r="AE486" i="2"/>
  <c r="AZ486" i="2"/>
  <c r="H464" i="2"/>
  <c r="X464" i="2"/>
  <c r="AN464" i="2"/>
  <c r="BD464" i="2"/>
  <c r="K465" i="2"/>
  <c r="AA465" i="2"/>
  <c r="AQ465" i="2"/>
  <c r="BG465" i="2"/>
  <c r="R466" i="2"/>
  <c r="AH466" i="2"/>
  <c r="AX466" i="2"/>
  <c r="I467" i="2"/>
  <c r="Y467" i="2"/>
  <c r="AO467" i="2"/>
  <c r="BE467" i="2"/>
  <c r="L468" i="2"/>
  <c r="AB468" i="2"/>
  <c r="AR468" i="2"/>
  <c r="BH468" i="2"/>
  <c r="O469" i="2"/>
  <c r="AE469" i="2"/>
  <c r="AU469" i="2"/>
  <c r="BK469" i="2"/>
  <c r="V470" i="2"/>
  <c r="AL470" i="2"/>
  <c r="BB470" i="2"/>
  <c r="M471" i="2"/>
  <c r="AC471" i="2"/>
  <c r="AS471" i="2"/>
  <c r="BI471" i="2"/>
  <c r="P472" i="2"/>
  <c r="AF472" i="2"/>
  <c r="AV472" i="2"/>
  <c r="BL472" i="2"/>
  <c r="S473" i="2"/>
  <c r="AI473" i="2"/>
  <c r="AY473" i="2"/>
  <c r="J474" i="2"/>
  <c r="Z474" i="2"/>
  <c r="AP474" i="2"/>
  <c r="BF474" i="2"/>
  <c r="Q475" i="2"/>
  <c r="AG475" i="2"/>
  <c r="AW475" i="2"/>
  <c r="BM475" i="2"/>
  <c r="T476" i="2"/>
  <c r="AJ476" i="2"/>
  <c r="AZ476" i="2"/>
  <c r="G477" i="2"/>
  <c r="W477" i="2"/>
  <c r="AM477" i="2"/>
  <c r="BC477" i="2"/>
  <c r="N478" i="2"/>
  <c r="AD478" i="2"/>
  <c r="AT478" i="2"/>
  <c r="BJ478" i="2"/>
  <c r="U479" i="2"/>
  <c r="AK479" i="2"/>
  <c r="BA479" i="2"/>
  <c r="H480" i="2"/>
  <c r="X480" i="2"/>
  <c r="AN480" i="2"/>
  <c r="BD480" i="2"/>
  <c r="K481" i="2"/>
  <c r="AA481" i="2"/>
  <c r="AQ481" i="2"/>
  <c r="BG481" i="2"/>
  <c r="R482" i="2"/>
  <c r="AH482" i="2"/>
  <c r="AX482" i="2"/>
  <c r="I483" i="2"/>
  <c r="Y483" i="2"/>
  <c r="AO483" i="2"/>
  <c r="BE483" i="2"/>
  <c r="L484" i="2"/>
  <c r="AB484" i="2"/>
  <c r="AR484" i="2"/>
  <c r="BH484" i="2"/>
  <c r="R485" i="2"/>
  <c r="AN485" i="2"/>
  <c r="BI485" i="2"/>
  <c r="AA486" i="2"/>
  <c r="AV486" i="2"/>
  <c r="G487" i="2"/>
  <c r="AD487" i="2"/>
  <c r="AT487" i="2"/>
  <c r="BJ487" i="2"/>
  <c r="U488" i="2"/>
  <c r="AK488" i="2"/>
  <c r="BA488" i="2"/>
  <c r="H489" i="2"/>
  <c r="X489" i="2"/>
  <c r="AN489" i="2"/>
  <c r="BD489" i="2"/>
  <c r="K490" i="2"/>
  <c r="AA490" i="2"/>
  <c r="AQ490" i="2"/>
  <c r="BG490" i="2"/>
  <c r="R491" i="2"/>
  <c r="AH491" i="2"/>
  <c r="AX491" i="2"/>
  <c r="I492" i="2"/>
  <c r="Y492" i="2"/>
  <c r="AO492" i="2"/>
  <c r="BE492" i="2"/>
  <c r="L493" i="2"/>
  <c r="AB493" i="2"/>
  <c r="AR493" i="2"/>
  <c r="BH493" i="2"/>
  <c r="O494" i="2"/>
  <c r="AE494" i="2"/>
  <c r="AU494" i="2"/>
  <c r="BK494" i="2"/>
  <c r="V495" i="2"/>
  <c r="AL495" i="2"/>
  <c r="BB495" i="2"/>
  <c r="AA487" i="2"/>
  <c r="AQ487" i="2"/>
  <c r="BG487" i="2"/>
  <c r="R488" i="2"/>
  <c r="AH488" i="2"/>
  <c r="AX488" i="2"/>
  <c r="I489" i="2"/>
  <c r="Y489" i="2"/>
  <c r="AO489" i="2"/>
  <c r="BE489" i="2"/>
  <c r="L490" i="2"/>
  <c r="AB490" i="2"/>
  <c r="AR490" i="2"/>
  <c r="BH490" i="2"/>
  <c r="O491" i="2"/>
  <c r="AE491" i="2"/>
  <c r="AU491" i="2"/>
  <c r="BK491" i="2"/>
  <c r="V492" i="2"/>
  <c r="AL492" i="2"/>
  <c r="BB492" i="2"/>
  <c r="M493" i="2"/>
  <c r="AC493" i="2"/>
  <c r="AS493" i="2"/>
  <c r="BI493" i="2"/>
  <c r="P494" i="2"/>
  <c r="AF494" i="2"/>
  <c r="AV494" i="2"/>
  <c r="BL494" i="2"/>
  <c r="S495" i="2"/>
  <c r="AI495" i="2"/>
  <c r="AY495" i="2"/>
  <c r="H487" i="2"/>
  <c r="X487" i="2"/>
  <c r="AN487" i="2"/>
  <c r="BD487" i="2"/>
  <c r="K488" i="2"/>
  <c r="AA488" i="2"/>
  <c r="AQ488" i="2"/>
  <c r="BG488" i="2"/>
  <c r="R489" i="2"/>
  <c r="AH489" i="2"/>
  <c r="AX489" i="2"/>
  <c r="I490" i="2"/>
  <c r="Y490" i="2"/>
  <c r="AO490" i="2"/>
  <c r="BE490" i="2"/>
  <c r="L491" i="2"/>
  <c r="AB491" i="2"/>
  <c r="AR491" i="2"/>
  <c r="BH491" i="2"/>
  <c r="O492" i="2"/>
  <c r="AE492" i="2"/>
  <c r="AU492" i="2"/>
  <c r="BK492" i="2"/>
  <c r="V493" i="2"/>
  <c r="AL493" i="2"/>
  <c r="BB493" i="2"/>
  <c r="M494" i="2"/>
  <c r="AC494" i="2"/>
  <c r="AS494" i="2"/>
  <c r="BI494" i="2"/>
  <c r="P495" i="2"/>
  <c r="AF495" i="2"/>
  <c r="AV495" i="2"/>
  <c r="BL495" i="2"/>
  <c r="S485" i="2"/>
  <c r="AI485" i="2"/>
  <c r="AY485" i="2"/>
  <c r="J486" i="2"/>
  <c r="Z486" i="2"/>
  <c r="AP486" i="2"/>
  <c r="BF486" i="2"/>
  <c r="Q487" i="2"/>
  <c r="AG487" i="2"/>
  <c r="AW487" i="2"/>
  <c r="BM487" i="2"/>
  <c r="T488" i="2"/>
  <c r="AJ488" i="2"/>
  <c r="AZ488" i="2"/>
  <c r="G489" i="2"/>
  <c r="W489" i="2"/>
  <c r="AM489" i="2"/>
  <c r="BC489" i="2"/>
  <c r="N490" i="2"/>
  <c r="AD490" i="2"/>
  <c r="AT490" i="2"/>
  <c r="BJ490" i="2"/>
  <c r="U491" i="2"/>
  <c r="AK491" i="2"/>
  <c r="BA491" i="2"/>
  <c r="H492" i="2"/>
  <c r="X492" i="2"/>
  <c r="AN492" i="2"/>
  <c r="BD492" i="2"/>
  <c r="K493" i="2"/>
  <c r="AA493" i="2"/>
  <c r="AQ493" i="2"/>
  <c r="BG493" i="2"/>
  <c r="R494" i="2"/>
  <c r="AH494" i="2"/>
  <c r="AX494" i="2"/>
  <c r="I495" i="2"/>
  <c r="Y495" i="2"/>
  <c r="AO495" i="2"/>
  <c r="BE495" i="2"/>
  <c r="AK212" i="2"/>
  <c r="BA212" i="2"/>
  <c r="H213" i="2"/>
  <c r="X213" i="2"/>
  <c r="AN213" i="2"/>
  <c r="BD213" i="2"/>
  <c r="K214" i="2"/>
  <c r="AA214" i="2"/>
  <c r="AQ214" i="2"/>
  <c r="BG214" i="2"/>
  <c r="R215" i="2"/>
  <c r="AH215" i="2"/>
  <c r="AX215" i="2"/>
  <c r="I216" i="2"/>
  <c r="Y216" i="2"/>
  <c r="AO216" i="2"/>
  <c r="BE216" i="2"/>
  <c r="L217" i="2"/>
  <c r="AB217" i="2"/>
  <c r="AR217" i="2"/>
  <c r="BH217" i="2"/>
  <c r="O218" i="2"/>
  <c r="AE218" i="2"/>
  <c r="AU218" i="2"/>
  <c r="BK218" i="2"/>
  <c r="V219" i="2"/>
  <c r="AL219" i="2"/>
  <c r="BB219" i="2"/>
  <c r="M220" i="2"/>
  <c r="AC220" i="2"/>
  <c r="AS220" i="2"/>
  <c r="BI220" i="2"/>
  <c r="P221" i="2"/>
  <c r="AF221" i="2"/>
  <c r="AV221" i="2"/>
  <c r="BL221" i="2"/>
  <c r="S222" i="2"/>
  <c r="AI222" i="2"/>
  <c r="AY222" i="2"/>
  <c r="J223" i="2"/>
  <c r="Z223" i="2"/>
  <c r="AP223" i="2"/>
  <c r="BF223" i="2"/>
  <c r="Q224" i="2"/>
  <c r="AG224" i="2"/>
  <c r="AW224" i="2"/>
  <c r="BM224" i="2"/>
  <c r="T225" i="2"/>
  <c r="AJ225" i="2"/>
  <c r="AZ225" i="2"/>
  <c r="G226" i="2"/>
  <c r="W226" i="2"/>
  <c r="AM226" i="2"/>
  <c r="BC226" i="2"/>
  <c r="N227" i="2"/>
  <c r="AD227" i="2"/>
  <c r="AT227" i="2"/>
  <c r="BJ227" i="2"/>
  <c r="U228" i="2"/>
  <c r="AK228" i="2"/>
  <c r="BA228" i="2"/>
  <c r="H229" i="2"/>
  <c r="X229" i="2"/>
  <c r="AN229" i="2"/>
  <c r="BD229" i="2"/>
  <c r="K230" i="2"/>
  <c r="AA230" i="2"/>
  <c r="AQ230" i="2"/>
  <c r="BG230" i="2"/>
  <c r="R231" i="2"/>
  <c r="AH231" i="2"/>
  <c r="AX231" i="2"/>
  <c r="I232" i="2"/>
  <c r="Y232" i="2"/>
  <c r="AO232" i="2"/>
  <c r="BE232" i="2"/>
  <c r="L233" i="2"/>
  <c r="AB233" i="2"/>
  <c r="AR233" i="2"/>
  <c r="BH233" i="2"/>
  <c r="O234" i="2"/>
  <c r="AE234" i="2"/>
  <c r="AU234" i="2"/>
  <c r="BK234" i="2"/>
  <c r="V235" i="2"/>
  <c r="AL235" i="2"/>
  <c r="BB235" i="2"/>
  <c r="M236" i="2"/>
  <c r="AC236" i="2"/>
  <c r="AS236" i="2"/>
  <c r="BI236" i="2"/>
  <c r="P237" i="2"/>
  <c r="AF237" i="2"/>
  <c r="AV237" i="2"/>
  <c r="BL237" i="2"/>
  <c r="S238" i="2"/>
  <c r="AI238" i="2"/>
  <c r="AY238" i="2"/>
  <c r="J239" i="2"/>
  <c r="Z239" i="2"/>
  <c r="AP239" i="2"/>
  <c r="BF239" i="2"/>
  <c r="Q240" i="2"/>
  <c r="AG240" i="2"/>
  <c r="AW240" i="2"/>
  <c r="BM240" i="2"/>
  <c r="T241" i="2"/>
  <c r="AJ241" i="2"/>
  <c r="AZ241" i="2"/>
  <c r="G242" i="2"/>
  <c r="W242" i="2"/>
  <c r="AM242" i="2"/>
  <c r="BC242" i="2"/>
  <c r="N243" i="2"/>
  <c r="AD243" i="2"/>
  <c r="AT243" i="2"/>
  <c r="BJ243" i="2"/>
  <c r="U244" i="2"/>
  <c r="AK244" i="2"/>
  <c r="BA244" i="2"/>
  <c r="H245" i="2"/>
  <c r="X245" i="2"/>
  <c r="AN245" i="2"/>
  <c r="BD245" i="2"/>
  <c r="K246" i="2"/>
  <c r="AA246" i="2"/>
  <c r="AQ246" i="2"/>
  <c r="BG246" i="2"/>
  <c r="R247" i="2"/>
  <c r="AH247" i="2"/>
  <c r="AX247" i="2"/>
  <c r="I248" i="2"/>
  <c r="Y248" i="2"/>
  <c r="AO248" i="2"/>
  <c r="BE248" i="2"/>
  <c r="M249" i="3"/>
  <c r="M249" i="2" s="1"/>
  <c r="M250" i="2"/>
  <c r="AC249" i="3"/>
  <c r="AC249" i="2" s="1"/>
  <c r="AC250" i="2"/>
  <c r="AS249" i="3"/>
  <c r="AS249" i="2" s="1"/>
  <c r="AS250" i="2"/>
  <c r="BI249" i="3"/>
  <c r="BI249" i="2" s="1"/>
  <c r="BI250" i="2"/>
  <c r="P251" i="2"/>
  <c r="AF251" i="2"/>
  <c r="AV251" i="2"/>
  <c r="BL251" i="2"/>
  <c r="S252" i="2"/>
  <c r="AI252" i="2"/>
  <c r="AY252" i="2"/>
  <c r="J253" i="2"/>
  <c r="Z253" i="2"/>
  <c r="AP253" i="2"/>
  <c r="BF253" i="2"/>
  <c r="Q254" i="2"/>
  <c r="AG254" i="2"/>
  <c r="AW254" i="2"/>
  <c r="BM254" i="2"/>
  <c r="T255" i="2"/>
  <c r="AJ255" i="2"/>
  <c r="AZ255" i="2"/>
  <c r="G256" i="2"/>
  <c r="W256" i="2"/>
  <c r="AM256" i="2"/>
  <c r="BC256" i="2"/>
  <c r="N257" i="2"/>
  <c r="AD257" i="2"/>
  <c r="AT257" i="2"/>
  <c r="BJ257" i="2"/>
  <c r="U258" i="2"/>
  <c r="AK258" i="2"/>
  <c r="BA258" i="2"/>
  <c r="H259" i="2"/>
  <c r="X259" i="2"/>
  <c r="AN259" i="2"/>
  <c r="BD259" i="2"/>
  <c r="K260" i="2"/>
  <c r="AA260" i="2"/>
  <c r="AQ260" i="2"/>
  <c r="BG260" i="2"/>
  <c r="R261" i="2"/>
  <c r="AH261" i="2"/>
  <c r="AX261" i="2"/>
  <c r="I262" i="2"/>
  <c r="Y262" i="2"/>
  <c r="AO262" i="2"/>
  <c r="BE262" i="2"/>
  <c r="L263" i="2"/>
  <c r="AB263" i="2"/>
  <c r="AR263" i="2"/>
  <c r="BH263" i="2"/>
  <c r="O264" i="2"/>
  <c r="AE264" i="2"/>
  <c r="AU264" i="2"/>
  <c r="BK264" i="2"/>
  <c r="V265" i="2"/>
  <c r="AL265" i="2"/>
  <c r="BB265" i="2"/>
  <c r="M266" i="2"/>
  <c r="AC266" i="2"/>
  <c r="AS266" i="2"/>
  <c r="BI266" i="2"/>
  <c r="P267" i="2"/>
  <c r="AF267" i="2"/>
  <c r="AV267" i="2"/>
  <c r="BL267" i="2"/>
  <c r="S268" i="2"/>
  <c r="AI268" i="2"/>
  <c r="AY268" i="2"/>
  <c r="J269" i="2"/>
  <c r="Z269" i="2"/>
  <c r="AP269" i="2"/>
  <c r="BF269" i="2"/>
  <c r="Q270" i="2"/>
  <c r="AG270" i="2"/>
  <c r="AW270" i="2"/>
  <c r="BM270" i="2"/>
  <c r="T271" i="2"/>
  <c r="AJ271" i="2"/>
  <c r="AZ271" i="2"/>
  <c r="G272" i="2"/>
  <c r="W272" i="2"/>
  <c r="AM272" i="2"/>
  <c r="BC272" i="2"/>
  <c r="N273" i="2"/>
  <c r="AD273" i="2"/>
  <c r="AT273" i="2"/>
  <c r="BJ273" i="2"/>
  <c r="U274" i="2"/>
  <c r="AK274" i="2"/>
  <c r="BA274" i="2"/>
  <c r="H275" i="2"/>
  <c r="X275" i="2"/>
  <c r="AN275" i="2"/>
  <c r="BD275" i="2"/>
  <c r="K276" i="2"/>
  <c r="AA276" i="2"/>
  <c r="AQ276" i="2"/>
  <c r="BG276" i="2"/>
  <c r="R277" i="2"/>
  <c r="AH277" i="2"/>
  <c r="AX277" i="2"/>
  <c r="I278" i="2"/>
  <c r="Y278" i="2"/>
  <c r="AO278" i="2"/>
  <c r="BE278" i="2"/>
  <c r="L279" i="2"/>
  <c r="AB279" i="2"/>
  <c r="AR279" i="2"/>
  <c r="BH279" i="2"/>
  <c r="O280" i="2"/>
  <c r="AE280" i="2"/>
  <c r="AU280" i="2"/>
  <c r="BK280" i="2"/>
  <c r="V281" i="2"/>
  <c r="AL281" i="2"/>
  <c r="BB281" i="2"/>
  <c r="M282" i="2"/>
  <c r="AC282" i="2"/>
  <c r="AS282" i="2"/>
  <c r="BI282" i="2"/>
  <c r="P283" i="2"/>
  <c r="AF283" i="2"/>
  <c r="AV283" i="2"/>
  <c r="BL283" i="2"/>
  <c r="S284" i="2"/>
  <c r="AI284" i="2"/>
  <c r="AY284" i="2"/>
  <c r="J285" i="2"/>
  <c r="Z285" i="2"/>
  <c r="AP285" i="2"/>
  <c r="BF285" i="2"/>
  <c r="Q286" i="2"/>
  <c r="AG286" i="2"/>
  <c r="AW286" i="2"/>
  <c r="BM286" i="2"/>
  <c r="T287" i="2"/>
  <c r="AJ287" i="2"/>
  <c r="AZ287" i="2"/>
  <c r="G288" i="2"/>
  <c r="W288" i="2"/>
  <c r="AM288" i="2"/>
  <c r="BC288" i="2"/>
  <c r="N289" i="2"/>
  <c r="AD289" i="2"/>
  <c r="AT289" i="2"/>
  <c r="BJ289" i="2"/>
  <c r="BJ290" i="3"/>
  <c r="BJ290" i="2" s="1"/>
  <c r="BJ291" i="2"/>
  <c r="BM292" i="2"/>
  <c r="M207" i="2"/>
  <c r="AC207" i="2"/>
  <c r="AS207" i="2"/>
  <c r="BI207" i="2"/>
  <c r="Q208" i="3"/>
  <c r="Q208" i="2" s="1"/>
  <c r="Q209" i="2"/>
  <c r="AG208" i="3"/>
  <c r="AG208" i="2" s="1"/>
  <c r="AG209" i="2"/>
  <c r="AW208" i="3"/>
  <c r="AW208" i="2" s="1"/>
  <c r="AW209" i="2"/>
  <c r="BM208" i="3"/>
  <c r="BM208" i="2" s="1"/>
  <c r="BM209" i="2"/>
  <c r="T210" i="2"/>
  <c r="AJ210" i="2"/>
  <c r="AZ210" i="2"/>
  <c r="G211" i="2"/>
  <c r="W211" i="2"/>
  <c r="AM211" i="2"/>
  <c r="BC211" i="2"/>
  <c r="N212" i="2"/>
  <c r="AD212" i="2"/>
  <c r="AT212" i="2"/>
  <c r="BJ212" i="2"/>
  <c r="U213" i="2"/>
  <c r="AK213" i="2"/>
  <c r="BA213" i="2"/>
  <c r="H214" i="2"/>
  <c r="X214" i="2"/>
  <c r="AN214" i="2"/>
  <c r="BD214" i="2"/>
  <c r="K215" i="2"/>
  <c r="AA215" i="2"/>
  <c r="AQ215" i="2"/>
  <c r="BG215" i="2"/>
  <c r="R216" i="2"/>
  <c r="AH216" i="2"/>
  <c r="AX216" i="2"/>
  <c r="I217" i="2"/>
  <c r="Y217" i="2"/>
  <c r="AO217" i="2"/>
  <c r="BE217" i="2"/>
  <c r="L218" i="2"/>
  <c r="AB218" i="2"/>
  <c r="AR218" i="2"/>
  <c r="BH218" i="2"/>
  <c r="O219" i="2"/>
  <c r="AE219" i="2"/>
  <c r="AU219" i="2"/>
  <c r="BK219" i="2"/>
  <c r="V220" i="2"/>
  <c r="AL220" i="2"/>
  <c r="BB220" i="2"/>
  <c r="M221" i="2"/>
  <c r="AC221" i="2"/>
  <c r="AS221" i="2"/>
  <c r="BI221" i="2"/>
  <c r="P222" i="2"/>
  <c r="AF222" i="2"/>
  <c r="AV222" i="2"/>
  <c r="BL222" i="2"/>
  <c r="S223" i="2"/>
  <c r="AI223" i="2"/>
  <c r="AY223" i="2"/>
  <c r="J224" i="2"/>
  <c r="Z224" i="2"/>
  <c r="AP224" i="2"/>
  <c r="BF224" i="2"/>
  <c r="Q225" i="2"/>
  <c r="AG225" i="2"/>
  <c r="AW225" i="2"/>
  <c r="BM225" i="2"/>
  <c r="T226" i="2"/>
  <c r="AJ226" i="2"/>
  <c r="AZ226" i="2"/>
  <c r="G227" i="2"/>
  <c r="W227" i="2"/>
  <c r="AM227" i="2"/>
  <c r="BC227" i="2"/>
  <c r="N228" i="2"/>
  <c r="AD228" i="2"/>
  <c r="AT228" i="2"/>
  <c r="BJ228" i="2"/>
  <c r="U229" i="2"/>
  <c r="AK229" i="2"/>
  <c r="BA229" i="2"/>
  <c r="H230" i="2"/>
  <c r="X230" i="2"/>
  <c r="AN230" i="2"/>
  <c r="BD230" i="2"/>
  <c r="K231" i="2"/>
  <c r="AA231" i="2"/>
  <c r="AQ231" i="2"/>
  <c r="BG231" i="2"/>
  <c r="R232" i="2"/>
  <c r="AH232" i="2"/>
  <c r="AX232" i="2"/>
  <c r="I233" i="2"/>
  <c r="Y233" i="2"/>
  <c r="AO233" i="2"/>
  <c r="BE233" i="2"/>
  <c r="L234" i="2"/>
  <c r="AB234" i="2"/>
  <c r="AR234" i="2"/>
  <c r="BH234" i="2"/>
  <c r="O235" i="2"/>
  <c r="AE235" i="2"/>
  <c r="AU235" i="2"/>
  <c r="BK235" i="2"/>
  <c r="V236" i="2"/>
  <c r="AL236" i="2"/>
  <c r="BB236" i="2"/>
  <c r="M237" i="2"/>
  <c r="AC237" i="2"/>
  <c r="AS237" i="2"/>
  <c r="BI237" i="2"/>
  <c r="P238" i="2"/>
  <c r="AF238" i="2"/>
  <c r="AV238" i="2"/>
  <c r="BL238" i="2"/>
  <c r="S239" i="2"/>
  <c r="AI239" i="2"/>
  <c r="AY239" i="2"/>
  <c r="J240" i="2"/>
  <c r="Z240" i="2"/>
  <c r="AP240" i="2"/>
  <c r="BF240" i="2"/>
  <c r="Q241" i="2"/>
  <c r="AG241" i="2"/>
  <c r="AW241" i="2"/>
  <c r="BM241" i="2"/>
  <c r="T242" i="2"/>
  <c r="AJ242" i="2"/>
  <c r="AZ242" i="2"/>
  <c r="G243" i="2"/>
  <c r="W243" i="2"/>
  <c r="AM243" i="2"/>
  <c r="BC243" i="2"/>
  <c r="N244" i="2"/>
  <c r="AD244" i="2"/>
  <c r="AT244" i="2"/>
  <c r="BJ244" i="2"/>
  <c r="U245" i="2"/>
  <c r="AK245" i="2"/>
  <c r="BA245" i="2"/>
  <c r="H246" i="2"/>
  <c r="X246" i="2"/>
  <c r="AN246" i="2"/>
  <c r="BD246" i="2"/>
  <c r="K247" i="2"/>
  <c r="AA247" i="2"/>
  <c r="AQ247" i="2"/>
  <c r="BG247" i="2"/>
  <c r="R248" i="2"/>
  <c r="AH248" i="2"/>
  <c r="AX248" i="2"/>
  <c r="J249" i="3"/>
  <c r="J249" i="2" s="1"/>
  <c r="J250" i="2"/>
  <c r="Z249" i="3"/>
  <c r="Z249" i="2" s="1"/>
  <c r="Z250" i="2"/>
  <c r="AP249" i="3"/>
  <c r="AP249" i="2" s="1"/>
  <c r="AP250" i="2"/>
  <c r="BF249" i="3"/>
  <c r="BF249" i="2" s="1"/>
  <c r="BF250" i="2"/>
  <c r="Q251" i="2"/>
  <c r="AG251" i="2"/>
  <c r="AW251" i="2"/>
  <c r="BM251" i="2"/>
  <c r="T252" i="2"/>
  <c r="AJ252" i="2"/>
  <c r="AZ252" i="2"/>
  <c r="G253" i="2"/>
  <c r="W253" i="2"/>
  <c r="AM253" i="2"/>
  <c r="BC253" i="2"/>
  <c r="N254" i="2"/>
  <c r="AD254" i="2"/>
  <c r="AT254" i="2"/>
  <c r="BJ254" i="2"/>
  <c r="U255" i="2"/>
  <c r="AK255" i="2"/>
  <c r="BA255" i="2"/>
  <c r="H256" i="2"/>
  <c r="X256" i="2"/>
  <c r="AN256" i="2"/>
  <c r="BD256" i="2"/>
  <c r="K257" i="2"/>
  <c r="AA257" i="2"/>
  <c r="AQ257" i="2"/>
  <c r="BG257" i="2"/>
  <c r="R258" i="2"/>
  <c r="AH258" i="2"/>
  <c r="AX258" i="2"/>
  <c r="I259" i="2"/>
  <c r="Y259" i="2"/>
  <c r="AO259" i="2"/>
  <c r="BE259" i="2"/>
  <c r="L260" i="2"/>
  <c r="AB260" i="2"/>
  <c r="AR260" i="2"/>
  <c r="BH260" i="2"/>
  <c r="O261" i="2"/>
  <c r="AE261" i="2"/>
  <c r="AU261" i="2"/>
  <c r="BK261" i="2"/>
  <c r="V262" i="2"/>
  <c r="AL262" i="2"/>
  <c r="BB262" i="2"/>
  <c r="M263" i="2"/>
  <c r="AC263" i="2"/>
  <c r="AS263" i="2"/>
  <c r="BI263" i="2"/>
  <c r="P264" i="2"/>
  <c r="AF264" i="2"/>
  <c r="AV264" i="2"/>
  <c r="BL264" i="2"/>
  <c r="S265" i="2"/>
  <c r="AI265" i="2"/>
  <c r="AY265" i="2"/>
  <c r="J266" i="2"/>
  <c r="Z266" i="2"/>
  <c r="AP266" i="2"/>
  <c r="BF266" i="2"/>
  <c r="Q267" i="2"/>
  <c r="AG267" i="2"/>
  <c r="AW267" i="2"/>
  <c r="BM267" i="2"/>
  <c r="T268" i="2"/>
  <c r="AJ268" i="2"/>
  <c r="AZ268" i="2"/>
  <c r="G269" i="2"/>
  <c r="W269" i="2"/>
  <c r="AM269" i="2"/>
  <c r="BC269" i="2"/>
  <c r="N270" i="2"/>
  <c r="AD270" i="2"/>
  <c r="AT270" i="2"/>
  <c r="BJ270" i="2"/>
  <c r="U271" i="2"/>
  <c r="AK271" i="2"/>
  <c r="BA271" i="2"/>
  <c r="H272" i="2"/>
  <c r="X272" i="2"/>
  <c r="AN272" i="2"/>
  <c r="BD272" i="2"/>
  <c r="K273" i="2"/>
  <c r="AA273" i="2"/>
  <c r="AQ273" i="2"/>
  <c r="BG273" i="2"/>
  <c r="R274" i="2"/>
  <c r="AH274" i="2"/>
  <c r="AX274" i="2"/>
  <c r="I275" i="2"/>
  <c r="Y275" i="2"/>
  <c r="AO275" i="2"/>
  <c r="BE275" i="2"/>
  <c r="L276" i="2"/>
  <c r="AB276" i="2"/>
  <c r="AR276" i="2"/>
  <c r="BH276" i="2"/>
  <c r="O277" i="2"/>
  <c r="AE277" i="2"/>
  <c r="AU277" i="2"/>
  <c r="BK277" i="2"/>
  <c r="V278" i="2"/>
  <c r="AL278" i="2"/>
  <c r="BB278" i="2"/>
  <c r="M279" i="2"/>
  <c r="AC279" i="2"/>
  <c r="AS279" i="2"/>
  <c r="BI279" i="2"/>
  <c r="P280" i="2"/>
  <c r="AF280" i="2"/>
  <c r="AV280" i="2"/>
  <c r="BL280" i="2"/>
  <c r="S281" i="2"/>
  <c r="AI281" i="2"/>
  <c r="AY281" i="2"/>
  <c r="J282" i="2"/>
  <c r="Z282" i="2"/>
  <c r="AP282" i="2"/>
  <c r="BF282" i="2"/>
  <c r="Q283" i="2"/>
  <c r="AG283" i="2"/>
  <c r="AW283" i="2"/>
  <c r="BM283" i="2"/>
  <c r="T284" i="2"/>
  <c r="AJ284" i="2"/>
  <c r="AZ284" i="2"/>
  <c r="G285" i="2"/>
  <c r="W285" i="2"/>
  <c r="AM285" i="2"/>
  <c r="BC285" i="2"/>
  <c r="N286" i="2"/>
  <c r="AD286" i="2"/>
  <c r="AT286" i="2"/>
  <c r="BJ286" i="2"/>
  <c r="U287" i="2"/>
  <c r="AK287" i="2"/>
  <c r="BA287" i="2"/>
  <c r="H288" i="2"/>
  <c r="X288" i="2"/>
  <c r="AN288" i="2"/>
  <c r="BD288" i="2"/>
  <c r="K289" i="2"/>
  <c r="AA289" i="2"/>
  <c r="AQ289" i="2"/>
  <c r="BG289" i="2"/>
  <c r="AX290" i="3"/>
  <c r="AX290" i="2" s="1"/>
  <c r="AX291" i="2"/>
  <c r="T293" i="2"/>
  <c r="R207" i="2"/>
  <c r="AH207" i="2"/>
  <c r="AX207" i="2"/>
  <c r="J208" i="3"/>
  <c r="J208" i="2" s="1"/>
  <c r="J209" i="2"/>
  <c r="Z208" i="3"/>
  <c r="Z208" i="2" s="1"/>
  <c r="Z209" i="2"/>
  <c r="AP208" i="3"/>
  <c r="AP208" i="2" s="1"/>
  <c r="AP209" i="2"/>
  <c r="BF208" i="3"/>
  <c r="BF208" i="2" s="1"/>
  <c r="BF209" i="2"/>
  <c r="Q210" i="2"/>
  <c r="AG210" i="2"/>
  <c r="AW210" i="2"/>
  <c r="BM210" i="2"/>
  <c r="T211" i="2"/>
  <c r="AJ211" i="2"/>
  <c r="AZ211" i="2"/>
  <c r="G212" i="2"/>
  <c r="W212" i="2"/>
  <c r="AM212" i="2"/>
  <c r="BC212" i="2"/>
  <c r="N213" i="2"/>
  <c r="AD213" i="2"/>
  <c r="AT213" i="2"/>
  <c r="BJ213" i="2"/>
  <c r="U214" i="2"/>
  <c r="AK214" i="2"/>
  <c r="BA214" i="2"/>
  <c r="H215" i="2"/>
  <c r="X215" i="2"/>
  <c r="AN215" i="2"/>
  <c r="BD215" i="2"/>
  <c r="K216" i="2"/>
  <c r="AA216" i="2"/>
  <c r="AQ216" i="2"/>
  <c r="BG216" i="2"/>
  <c r="R217" i="2"/>
  <c r="AH217" i="2"/>
  <c r="AX217" i="2"/>
  <c r="I218" i="2"/>
  <c r="Y218" i="2"/>
  <c r="AO218" i="2"/>
  <c r="BE218" i="2"/>
  <c r="L219" i="2"/>
  <c r="AB219" i="2"/>
  <c r="AR219" i="2"/>
  <c r="BH219" i="2"/>
  <c r="O220" i="2"/>
  <c r="AE220" i="2"/>
  <c r="AU220" i="2"/>
  <c r="BK220" i="2"/>
  <c r="V221" i="2"/>
  <c r="AL221" i="2"/>
  <c r="BB221" i="2"/>
  <c r="M222" i="2"/>
  <c r="AC222" i="2"/>
  <c r="AS222" i="2"/>
  <c r="BI222" i="2"/>
  <c r="P223" i="2"/>
  <c r="AF223" i="2"/>
  <c r="AV223" i="2"/>
  <c r="BL223" i="2"/>
  <c r="S224" i="2"/>
  <c r="AI224" i="2"/>
  <c r="AY224" i="2"/>
  <c r="J225" i="2"/>
  <c r="Z225" i="2"/>
  <c r="AP225" i="2"/>
  <c r="BF225" i="2"/>
  <c r="Q226" i="2"/>
  <c r="AG226" i="2"/>
  <c r="AW226" i="2"/>
  <c r="BM226" i="2"/>
  <c r="T227" i="2"/>
  <c r="AJ227" i="2"/>
  <c r="AZ227" i="2"/>
  <c r="G228" i="2"/>
  <c r="W228" i="2"/>
  <c r="AM228" i="2"/>
  <c r="BC228" i="2"/>
  <c r="N229" i="2"/>
  <c r="AD229" i="2"/>
  <c r="AT229" i="2"/>
  <c r="BJ229" i="2"/>
  <c r="U230" i="2"/>
  <c r="AK230" i="2"/>
  <c r="BA230" i="2"/>
  <c r="H231" i="2"/>
  <c r="X231" i="2"/>
  <c r="AN231" i="2"/>
  <c r="BD231" i="2"/>
  <c r="K232" i="2"/>
  <c r="AA232" i="2"/>
  <c r="AQ232" i="2"/>
  <c r="BG232" i="2"/>
  <c r="R233" i="2"/>
  <c r="AH233" i="2"/>
  <c r="AX233" i="2"/>
  <c r="I234" i="2"/>
  <c r="Y234" i="2"/>
  <c r="AO234" i="2"/>
  <c r="BE234" i="2"/>
  <c r="L235" i="2"/>
  <c r="AB235" i="2"/>
  <c r="AR235" i="2"/>
  <c r="BH235" i="2"/>
  <c r="O236" i="2"/>
  <c r="AE236" i="2"/>
  <c r="AU236" i="2"/>
  <c r="BK236" i="2"/>
  <c r="V237" i="2"/>
  <c r="AL237" i="2"/>
  <c r="BB237" i="2"/>
  <c r="M238" i="2"/>
  <c r="AC238" i="2"/>
  <c r="AS238" i="2"/>
  <c r="BI238" i="2"/>
  <c r="P239" i="2"/>
  <c r="AF239" i="2"/>
  <c r="AV239" i="2"/>
  <c r="BL239" i="2"/>
  <c r="S240" i="2"/>
  <c r="AI240" i="2"/>
  <c r="AY240" i="2"/>
  <c r="J241" i="2"/>
  <c r="Z241" i="2"/>
  <c r="AP241" i="2"/>
  <c r="BF241" i="2"/>
  <c r="Q242" i="2"/>
  <c r="AG242" i="2"/>
  <c r="AW242" i="2"/>
  <c r="BM242" i="2"/>
  <c r="T243" i="2"/>
  <c r="AJ243" i="2"/>
  <c r="AZ243" i="2"/>
  <c r="G244" i="2"/>
  <c r="W244" i="2"/>
  <c r="AM244" i="2"/>
  <c r="BC244" i="2"/>
  <c r="N245" i="2"/>
  <c r="AD245" i="2"/>
  <c r="AT245" i="2"/>
  <c r="BJ245" i="2"/>
  <c r="U246" i="2"/>
  <c r="AK246" i="2"/>
  <c r="BA246" i="2"/>
  <c r="H247" i="2"/>
  <c r="X247" i="2"/>
  <c r="AN247" i="2"/>
  <c r="BD247" i="2"/>
  <c r="K248" i="2"/>
  <c r="AA248" i="2"/>
  <c r="AQ248" i="2"/>
  <c r="BG248" i="2"/>
  <c r="O249" i="3"/>
  <c r="O249" i="2" s="1"/>
  <c r="O250" i="2"/>
  <c r="AE249" i="3"/>
  <c r="AE249" i="2" s="1"/>
  <c r="AE250" i="2"/>
  <c r="AU249" i="3"/>
  <c r="AU249" i="2" s="1"/>
  <c r="AU250" i="2"/>
  <c r="BK249" i="3"/>
  <c r="BK249" i="2" s="1"/>
  <c r="BK250" i="2"/>
  <c r="V251" i="2"/>
  <c r="AL251" i="2"/>
  <c r="BB251" i="2"/>
  <c r="M252" i="2"/>
  <c r="AC252" i="2"/>
  <c r="AS252" i="2"/>
  <c r="BI252" i="2"/>
  <c r="P253" i="2"/>
  <c r="AF253" i="2"/>
  <c r="AV253" i="2"/>
  <c r="BL253" i="2"/>
  <c r="S254" i="2"/>
  <c r="AI254" i="2"/>
  <c r="AY254" i="2"/>
  <c r="J255" i="2"/>
  <c r="Z255" i="2"/>
  <c r="AP255" i="2"/>
  <c r="BF255" i="2"/>
  <c r="Q256" i="2"/>
  <c r="AG256" i="2"/>
  <c r="AW256" i="2"/>
  <c r="BM256" i="2"/>
  <c r="T257" i="2"/>
  <c r="AJ257" i="2"/>
  <c r="AZ257" i="2"/>
  <c r="G258" i="2"/>
  <c r="W258" i="2"/>
  <c r="AM258" i="2"/>
  <c r="BC258" i="2"/>
  <c r="N259" i="2"/>
  <c r="AD259" i="2"/>
  <c r="AT259" i="2"/>
  <c r="BJ259" i="2"/>
  <c r="U260" i="2"/>
  <c r="AK260" i="2"/>
  <c r="BA260" i="2"/>
  <c r="H261" i="2"/>
  <c r="X261" i="2"/>
  <c r="AN261" i="2"/>
  <c r="BD261" i="2"/>
  <c r="K262" i="2"/>
  <c r="AA262" i="2"/>
  <c r="AQ262" i="2"/>
  <c r="BG262" i="2"/>
  <c r="R263" i="2"/>
  <c r="AH263" i="2"/>
  <c r="AX263" i="2"/>
  <c r="I264" i="2"/>
  <c r="Y264" i="2"/>
  <c r="AO264" i="2"/>
  <c r="BE264" i="2"/>
  <c r="L265" i="2"/>
  <c r="AB265" i="2"/>
  <c r="AR265" i="2"/>
  <c r="BH265" i="2"/>
  <c r="O266" i="2"/>
  <c r="AE266" i="2"/>
  <c r="AU266" i="2"/>
  <c r="BK266" i="2"/>
  <c r="V267" i="2"/>
  <c r="AL267" i="2"/>
  <c r="BB267" i="2"/>
  <c r="M268" i="2"/>
  <c r="AC268" i="2"/>
  <c r="AS268" i="2"/>
  <c r="BI268" i="2"/>
  <c r="P269" i="2"/>
  <c r="AF269" i="2"/>
  <c r="AV269" i="2"/>
  <c r="BL269" i="2"/>
  <c r="S270" i="2"/>
  <c r="AI270" i="2"/>
  <c r="AY270" i="2"/>
  <c r="J271" i="2"/>
  <c r="Z271" i="2"/>
  <c r="AP271" i="2"/>
  <c r="BF271" i="2"/>
  <c r="Q272" i="2"/>
  <c r="AG272" i="2"/>
  <c r="AW272" i="2"/>
  <c r="BM272" i="2"/>
  <c r="T273" i="2"/>
  <c r="AJ273" i="2"/>
  <c r="AZ273" i="2"/>
  <c r="G274" i="2"/>
  <c r="W274" i="2"/>
  <c r="AM274" i="2"/>
  <c r="BC274" i="2"/>
  <c r="N275" i="2"/>
  <c r="AD275" i="2"/>
  <c r="AT275" i="2"/>
  <c r="BJ275" i="2"/>
  <c r="U276" i="2"/>
  <c r="AK276" i="2"/>
  <c r="BA276" i="2"/>
  <c r="H277" i="2"/>
  <c r="X277" i="2"/>
  <c r="AN277" i="2"/>
  <c r="BD277" i="2"/>
  <c r="K278" i="2"/>
  <c r="AA278" i="2"/>
  <c r="AQ278" i="2"/>
  <c r="BG278" i="2"/>
  <c r="R279" i="2"/>
  <c r="AH279" i="2"/>
  <c r="AX279" i="2"/>
  <c r="I280" i="2"/>
  <c r="Y280" i="2"/>
  <c r="AO280" i="2"/>
  <c r="BE280" i="2"/>
  <c r="L281" i="2"/>
  <c r="AB281" i="2"/>
  <c r="AR281" i="2"/>
  <c r="BH281" i="2"/>
  <c r="O282" i="2"/>
  <c r="AE282" i="2"/>
  <c r="AU282" i="2"/>
  <c r="BK282" i="2"/>
  <c r="V283" i="2"/>
  <c r="AL283" i="2"/>
  <c r="BB283" i="2"/>
  <c r="M284" i="2"/>
  <c r="AC284" i="2"/>
  <c r="AS284" i="2"/>
  <c r="BI284" i="2"/>
  <c r="P285" i="2"/>
  <c r="AF285" i="2"/>
  <c r="AV285" i="2"/>
  <c r="BL285" i="2"/>
  <c r="S286" i="2"/>
  <c r="AI286" i="2"/>
  <c r="AY286" i="2"/>
  <c r="J287" i="2"/>
  <c r="Z287" i="2"/>
  <c r="AP287" i="2"/>
  <c r="BF287" i="2"/>
  <c r="Q288" i="2"/>
  <c r="AG288" i="2"/>
  <c r="AW288" i="2"/>
  <c r="BM288" i="2"/>
  <c r="T289" i="2"/>
  <c r="AJ289" i="2"/>
  <c r="AZ289" i="2"/>
  <c r="V290" i="3"/>
  <c r="V290" i="2" s="1"/>
  <c r="V291" i="2"/>
  <c r="Y292" i="2"/>
  <c r="X293" i="2"/>
  <c r="AD200" i="2"/>
  <c r="AT200" i="2"/>
  <c r="BJ200" i="2"/>
  <c r="U201" i="2"/>
  <c r="AK201" i="2"/>
  <c r="BA201" i="2"/>
  <c r="H202" i="2"/>
  <c r="X202" i="2"/>
  <c r="AN202" i="2"/>
  <c r="BD202" i="2"/>
  <c r="K203" i="2"/>
  <c r="AA203" i="2"/>
  <c r="AQ203" i="2"/>
  <c r="BG203" i="2"/>
  <c r="R204" i="2"/>
  <c r="AH204" i="2"/>
  <c r="AX204" i="2"/>
  <c r="I205" i="2"/>
  <c r="Y205" i="2"/>
  <c r="AO205" i="2"/>
  <c r="BE205" i="2"/>
  <c r="L206" i="2"/>
  <c r="AB206" i="2"/>
  <c r="AR206" i="2"/>
  <c r="BH206" i="2"/>
  <c r="O207" i="2"/>
  <c r="AE207" i="2"/>
  <c r="AU207" i="2"/>
  <c r="BK207" i="2"/>
  <c r="S208" i="3"/>
  <c r="S208" i="2" s="1"/>
  <c r="S209" i="2"/>
  <c r="AI208" i="3"/>
  <c r="AI208" i="2" s="1"/>
  <c r="AI209" i="2"/>
  <c r="AY208" i="3"/>
  <c r="AY208" i="2" s="1"/>
  <c r="AY209" i="2"/>
  <c r="J210" i="2"/>
  <c r="Z210" i="2"/>
  <c r="AP210" i="2"/>
  <c r="BF210" i="2"/>
  <c r="Q211" i="2"/>
  <c r="AG211" i="2"/>
  <c r="AW211" i="2"/>
  <c r="BM211" i="2"/>
  <c r="T212" i="2"/>
  <c r="AJ212" i="2"/>
  <c r="AZ212" i="2"/>
  <c r="G213" i="2"/>
  <c r="W213" i="2"/>
  <c r="AM213" i="2"/>
  <c r="BC213" i="2"/>
  <c r="N214" i="2"/>
  <c r="AD214" i="2"/>
  <c r="AT214" i="2"/>
  <c r="BJ214" i="2"/>
  <c r="U215" i="2"/>
  <c r="AK215" i="2"/>
  <c r="BA215" i="2"/>
  <c r="H216" i="2"/>
  <c r="X216" i="2"/>
  <c r="AN216" i="2"/>
  <c r="BD216" i="2"/>
  <c r="K217" i="2"/>
  <c r="AA217" i="2"/>
  <c r="AQ217" i="2"/>
  <c r="BG217" i="2"/>
  <c r="R218" i="2"/>
  <c r="AH218" i="2"/>
  <c r="AX218" i="2"/>
  <c r="I219" i="2"/>
  <c r="Y219" i="2"/>
  <c r="AO219" i="2"/>
  <c r="BE219" i="2"/>
  <c r="L220" i="2"/>
  <c r="AB220" i="2"/>
  <c r="AR220" i="2"/>
  <c r="BH220" i="2"/>
  <c r="O221" i="2"/>
  <c r="AE221" i="2"/>
  <c r="AU221" i="2"/>
  <c r="BK221" i="2"/>
  <c r="V222" i="2"/>
  <c r="AL222" i="2"/>
  <c r="BB222" i="2"/>
  <c r="M223" i="2"/>
  <c r="AC223" i="2"/>
  <c r="AS223" i="2"/>
  <c r="BI223" i="2"/>
  <c r="P224" i="2"/>
  <c r="AF224" i="2"/>
  <c r="AV224" i="2"/>
  <c r="BL224" i="2"/>
  <c r="S225" i="2"/>
  <c r="AI225" i="2"/>
  <c r="AY225" i="2"/>
  <c r="J226" i="2"/>
  <c r="Z226" i="2"/>
  <c r="AP226" i="2"/>
  <c r="BF226" i="2"/>
  <c r="Q227" i="2"/>
  <c r="AG227" i="2"/>
  <c r="AW227" i="2"/>
  <c r="BM227" i="2"/>
  <c r="T228" i="2"/>
  <c r="AJ228" i="2"/>
  <c r="AZ228" i="2"/>
  <c r="G229" i="2"/>
  <c r="W229" i="2"/>
  <c r="AM229" i="2"/>
  <c r="BC229" i="2"/>
  <c r="N230" i="2"/>
  <c r="AD230" i="2"/>
  <c r="AT230" i="2"/>
  <c r="BJ230" i="2"/>
  <c r="U231" i="2"/>
  <c r="AK231" i="2"/>
  <c r="BA231" i="2"/>
  <c r="H232" i="2"/>
  <c r="X232" i="2"/>
  <c r="AN232" i="2"/>
  <c r="BD232" i="2"/>
  <c r="K233" i="2"/>
  <c r="AA233" i="2"/>
  <c r="AQ233" i="2"/>
  <c r="BG233" i="2"/>
  <c r="R234" i="2"/>
  <c r="AH234" i="2"/>
  <c r="AX234" i="2"/>
  <c r="I235" i="2"/>
  <c r="Y235" i="2"/>
  <c r="AO235" i="2"/>
  <c r="BE235" i="2"/>
  <c r="L236" i="2"/>
  <c r="AB236" i="2"/>
  <c r="AR236" i="2"/>
  <c r="BH236" i="2"/>
  <c r="O237" i="2"/>
  <c r="AE237" i="2"/>
  <c r="AU237" i="2"/>
  <c r="BK237" i="2"/>
  <c r="V238" i="2"/>
  <c r="AL238" i="2"/>
  <c r="BB238" i="2"/>
  <c r="M239" i="2"/>
  <c r="AC239" i="2"/>
  <c r="AS239" i="2"/>
  <c r="BI239" i="2"/>
  <c r="P240" i="2"/>
  <c r="AF240" i="2"/>
  <c r="AV240" i="2"/>
  <c r="BL240" i="2"/>
  <c r="S241" i="2"/>
  <c r="AI241" i="2"/>
  <c r="AY241" i="2"/>
  <c r="J242" i="2"/>
  <c r="Z242" i="2"/>
  <c r="AP242" i="2"/>
  <c r="BF242" i="2"/>
  <c r="Q243" i="2"/>
  <c r="AG243" i="2"/>
  <c r="AW243" i="2"/>
  <c r="BM243" i="2"/>
  <c r="T244" i="2"/>
  <c r="AJ244" i="2"/>
  <c r="AZ244" i="2"/>
  <c r="G245" i="2"/>
  <c r="W245" i="2"/>
  <c r="AM245" i="2"/>
  <c r="BC245" i="2"/>
  <c r="N246" i="2"/>
  <c r="AD246" i="2"/>
  <c r="AT246" i="2"/>
  <c r="BJ246" i="2"/>
  <c r="U247" i="2"/>
  <c r="AK247" i="2"/>
  <c r="BA247" i="2"/>
  <c r="H248" i="2"/>
  <c r="X248" i="2"/>
  <c r="AN248" i="2"/>
  <c r="BD248" i="2"/>
  <c r="L249" i="3"/>
  <c r="L249" i="2" s="1"/>
  <c r="L250" i="2"/>
  <c r="AB249" i="3"/>
  <c r="AB249" i="2" s="1"/>
  <c r="AB250" i="2"/>
  <c r="AR249" i="3"/>
  <c r="AR249" i="2" s="1"/>
  <c r="AR250" i="2"/>
  <c r="BH249" i="3"/>
  <c r="BH249" i="2" s="1"/>
  <c r="BH250" i="2"/>
  <c r="O251" i="2"/>
  <c r="AE251" i="2"/>
  <c r="AU251" i="2"/>
  <c r="BK251" i="2"/>
  <c r="V252" i="2"/>
  <c r="AL252" i="2"/>
  <c r="BB252" i="2"/>
  <c r="M253" i="2"/>
  <c r="AC253" i="2"/>
  <c r="AS253" i="2"/>
  <c r="BI253" i="2"/>
  <c r="P254" i="2"/>
  <c r="AF254" i="2"/>
  <c r="AV254" i="2"/>
  <c r="BL254" i="2"/>
  <c r="S255" i="2"/>
  <c r="AI255" i="2"/>
  <c r="AY255" i="2"/>
  <c r="J256" i="2"/>
  <c r="Z256" i="2"/>
  <c r="AP256" i="2"/>
  <c r="BF256" i="2"/>
  <c r="Q257" i="2"/>
  <c r="AG257" i="2"/>
  <c r="AW257" i="2"/>
  <c r="BM257" i="2"/>
  <c r="T258" i="2"/>
  <c r="AJ258" i="2"/>
  <c r="AZ258" i="2"/>
  <c r="G259" i="2"/>
  <c r="W259" i="2"/>
  <c r="AM259" i="2"/>
  <c r="BC259" i="2"/>
  <c r="N260" i="2"/>
  <c r="AD260" i="2"/>
  <c r="AT260" i="2"/>
  <c r="BJ260" i="2"/>
  <c r="U261" i="2"/>
  <c r="AK261" i="2"/>
  <c r="BA261" i="2"/>
  <c r="H262" i="2"/>
  <c r="X262" i="2"/>
  <c r="AN262" i="2"/>
  <c r="BD262" i="2"/>
  <c r="K263" i="2"/>
  <c r="AA263" i="2"/>
  <c r="AQ263" i="2"/>
  <c r="BG263" i="2"/>
  <c r="R264" i="2"/>
  <c r="AH264" i="2"/>
  <c r="AX264" i="2"/>
  <c r="I265" i="2"/>
  <c r="Y265" i="2"/>
  <c r="AO265" i="2"/>
  <c r="BE265" i="2"/>
  <c r="L266" i="2"/>
  <c r="AB266" i="2"/>
  <c r="AR266" i="2"/>
  <c r="BH266" i="2"/>
  <c r="O267" i="2"/>
  <c r="AE267" i="2"/>
  <c r="AU267" i="2"/>
  <c r="BK267" i="2"/>
  <c r="V268" i="2"/>
  <c r="AL268" i="2"/>
  <c r="BB268" i="2"/>
  <c r="M269" i="2"/>
  <c r="AC269" i="2"/>
  <c r="AS269" i="2"/>
  <c r="BI269" i="2"/>
  <c r="P270" i="2"/>
  <c r="AF270" i="2"/>
  <c r="AV270" i="2"/>
  <c r="BL270" i="2"/>
  <c r="S271" i="2"/>
  <c r="AI271" i="2"/>
  <c r="AY271" i="2"/>
  <c r="J272" i="2"/>
  <c r="Z272" i="2"/>
  <c r="AP272" i="2"/>
  <c r="BF272" i="2"/>
  <c r="Q273" i="2"/>
  <c r="AG273" i="2"/>
  <c r="AW273" i="2"/>
  <c r="BM273" i="2"/>
  <c r="T274" i="2"/>
  <c r="AJ274" i="2"/>
  <c r="AZ274" i="2"/>
  <c r="G275" i="2"/>
  <c r="W275" i="2"/>
  <c r="AM275" i="2"/>
  <c r="BC275" i="2"/>
  <c r="N276" i="2"/>
  <c r="AD276" i="2"/>
  <c r="AT276" i="2"/>
  <c r="BJ276" i="2"/>
  <c r="U277" i="2"/>
  <c r="AK277" i="2"/>
  <c r="BA277" i="2"/>
  <c r="H278" i="2"/>
  <c r="X278" i="2"/>
  <c r="AN278" i="2"/>
  <c r="BD278" i="2"/>
  <c r="K279" i="2"/>
  <c r="AA279" i="2"/>
  <c r="AQ279" i="2"/>
  <c r="BG279" i="2"/>
  <c r="R280" i="2"/>
  <c r="AH280" i="2"/>
  <c r="AX280" i="2"/>
  <c r="I281" i="2"/>
  <c r="Y281" i="2"/>
  <c r="AO281" i="2"/>
  <c r="BE281" i="2"/>
  <c r="L282" i="2"/>
  <c r="AB282" i="2"/>
  <c r="AR282" i="2"/>
  <c r="BH282" i="2"/>
  <c r="O283" i="2"/>
  <c r="AE283" i="2"/>
  <c r="AU283" i="2"/>
  <c r="BK283" i="2"/>
  <c r="V284" i="2"/>
  <c r="AL284" i="2"/>
  <c r="BB284" i="2"/>
  <c r="M285" i="2"/>
  <c r="AC285" i="2"/>
  <c r="AS285" i="2"/>
  <c r="BI285" i="2"/>
  <c r="P286" i="2"/>
  <c r="AF286" i="2"/>
  <c r="AV286" i="2"/>
  <c r="BL286" i="2"/>
  <c r="S287" i="2"/>
  <c r="AI287" i="2"/>
  <c r="AY287" i="2"/>
  <c r="J288" i="2"/>
  <c r="Z288" i="2"/>
  <c r="AP288" i="2"/>
  <c r="BF288" i="2"/>
  <c r="Q289" i="2"/>
  <c r="AG289" i="2"/>
  <c r="AW289" i="2"/>
  <c r="BM289" i="2"/>
  <c r="BF290" i="3"/>
  <c r="BF290" i="2" s="1"/>
  <c r="BF291" i="2"/>
  <c r="BI292" i="2"/>
  <c r="AR293" i="2"/>
  <c r="BH293" i="2"/>
  <c r="O294" i="2"/>
  <c r="AE294" i="2"/>
  <c r="AU294" i="2"/>
  <c r="BK294" i="2"/>
  <c r="V295" i="2"/>
  <c r="AL295" i="2"/>
  <c r="BB295" i="2"/>
  <c r="M296" i="2"/>
  <c r="AC296" i="2"/>
  <c r="AS296" i="2"/>
  <c r="BI296" i="2"/>
  <c r="P297" i="2"/>
  <c r="AF297" i="2"/>
  <c r="AV297" i="2"/>
  <c r="BL297" i="2"/>
  <c r="S298" i="2"/>
  <c r="AI298" i="2"/>
  <c r="AY298" i="2"/>
  <c r="J299" i="2"/>
  <c r="Z299" i="2"/>
  <c r="AP299" i="2"/>
  <c r="BF299" i="2"/>
  <c r="Q300" i="2"/>
  <c r="AG300" i="2"/>
  <c r="AW300" i="2"/>
  <c r="BM300" i="2"/>
  <c r="T301" i="2"/>
  <c r="AJ301" i="2"/>
  <c r="AZ301" i="2"/>
  <c r="G302" i="2"/>
  <c r="W302" i="2"/>
  <c r="AM302" i="2"/>
  <c r="BC302" i="2"/>
  <c r="N303" i="2"/>
  <c r="AD303" i="2"/>
  <c r="AT303" i="2"/>
  <c r="BJ303" i="2"/>
  <c r="U304" i="2"/>
  <c r="AK304" i="2"/>
  <c r="BA304" i="2"/>
  <c r="H305" i="2"/>
  <c r="X305" i="2"/>
  <c r="AN305" i="2"/>
  <c r="BD305" i="2"/>
  <c r="K306" i="2"/>
  <c r="AA306" i="2"/>
  <c r="AQ306" i="2"/>
  <c r="BG306" i="2"/>
  <c r="R307" i="2"/>
  <c r="AH307" i="2"/>
  <c r="AX307" i="2"/>
  <c r="I308" i="2"/>
  <c r="Y308" i="2"/>
  <c r="AO308" i="2"/>
  <c r="BE308" i="2"/>
  <c r="L309" i="2"/>
  <c r="AB309" i="2"/>
  <c r="AR309" i="2"/>
  <c r="BH309" i="2"/>
  <c r="O310" i="2"/>
  <c r="AE310" i="2"/>
  <c r="AU310" i="2"/>
  <c r="BK310" i="2"/>
  <c r="V311" i="2"/>
  <c r="AL311" i="2"/>
  <c r="BB311" i="2"/>
  <c r="M312" i="2"/>
  <c r="AC312" i="2"/>
  <c r="AS312" i="2"/>
  <c r="BI312" i="2"/>
  <c r="P313" i="2"/>
  <c r="AF313" i="2"/>
  <c r="AV313" i="2"/>
  <c r="BL313" i="2"/>
  <c r="S314" i="2"/>
  <c r="AI314" i="2"/>
  <c r="AY314" i="2"/>
  <c r="J315" i="2"/>
  <c r="Z315" i="2"/>
  <c r="AP315" i="2"/>
  <c r="BG315" i="2"/>
  <c r="AK316" i="2"/>
  <c r="G317" i="2"/>
  <c r="AM317" i="2"/>
  <c r="G318" i="2"/>
  <c r="AM318" i="2"/>
  <c r="J319" i="2"/>
  <c r="AP319" i="2"/>
  <c r="U320" i="2"/>
  <c r="BA320" i="2"/>
  <c r="W321" i="2"/>
  <c r="BC321" i="2"/>
  <c r="W322" i="2"/>
  <c r="BC322" i="2"/>
  <c r="Z323" i="2"/>
  <c r="BF323" i="2"/>
  <c r="AK324" i="2"/>
  <c r="G325" i="2"/>
  <c r="AM325" i="2"/>
  <c r="G326" i="2"/>
  <c r="AM326" i="2"/>
  <c r="J327" i="2"/>
  <c r="AP327" i="2"/>
  <c r="U328" i="2"/>
  <c r="BA328" i="2"/>
  <c r="W329" i="2"/>
  <c r="BC329" i="2"/>
  <c r="W330" i="2"/>
  <c r="BC330" i="2"/>
  <c r="W331" i="3"/>
  <c r="W331" i="2" s="1"/>
  <c r="W332" i="2"/>
  <c r="BC331" i="3"/>
  <c r="BC331" i="2" s="1"/>
  <c r="BC332" i="2"/>
  <c r="Z333" i="2"/>
  <c r="BF333" i="2"/>
  <c r="AK334" i="2"/>
  <c r="G335" i="2"/>
  <c r="AM335" i="2"/>
  <c r="G336" i="2"/>
  <c r="AM336" i="2"/>
  <c r="J337" i="2"/>
  <c r="AP337" i="2"/>
  <c r="U338" i="2"/>
  <c r="BA338" i="2"/>
  <c r="W339" i="2"/>
  <c r="BC339" i="2"/>
  <c r="W340" i="2"/>
  <c r="BC340" i="2"/>
  <c r="Z341" i="2"/>
  <c r="BF341" i="2"/>
  <c r="AK342" i="2"/>
  <c r="G343" i="2"/>
  <c r="AM343" i="2"/>
  <c r="G344" i="2"/>
  <c r="AM344" i="2"/>
  <c r="J345" i="2"/>
  <c r="AP345" i="2"/>
  <c r="U346" i="2"/>
  <c r="BA346" i="2"/>
  <c r="W347" i="2"/>
  <c r="BC347" i="2"/>
  <c r="W348" i="2"/>
  <c r="BC348" i="2"/>
  <c r="Z349" i="2"/>
  <c r="BF349" i="2"/>
  <c r="BD350" i="2"/>
  <c r="BB352" i="2"/>
  <c r="BD354" i="2"/>
  <c r="BB356" i="2"/>
  <c r="BD358" i="2"/>
  <c r="BB360" i="2"/>
  <c r="BD362" i="2"/>
  <c r="BB364" i="2"/>
  <c r="BD366" i="2"/>
  <c r="BB368" i="2"/>
  <c r="BD370" i="2"/>
  <c r="AZ373" i="3"/>
  <c r="AZ373" i="2" s="1"/>
  <c r="AZ374" i="2"/>
  <c r="BL376" i="2"/>
  <c r="AV380" i="2"/>
  <c r="AF384" i="2"/>
  <c r="P388" i="2"/>
  <c r="BL392" i="2"/>
  <c r="AV396" i="2"/>
  <c r="AF400" i="2"/>
  <c r="P404" i="2"/>
  <c r="BL408" i="2"/>
  <c r="K413" i="2"/>
  <c r="S290" i="3"/>
  <c r="S290" i="2" s="1"/>
  <c r="S291" i="2"/>
  <c r="AI290" i="3"/>
  <c r="AI290" i="2" s="1"/>
  <c r="AI291" i="2"/>
  <c r="AY290" i="3"/>
  <c r="AY290" i="2" s="1"/>
  <c r="AY291" i="2"/>
  <c r="J292" i="2"/>
  <c r="Z292" i="2"/>
  <c r="AP292" i="2"/>
  <c r="BF292" i="2"/>
  <c r="Q293" i="2"/>
  <c r="AG293" i="2"/>
  <c r="AW293" i="2"/>
  <c r="BM293" i="2"/>
  <c r="T294" i="2"/>
  <c r="AJ294" i="2"/>
  <c r="AZ294" i="2"/>
  <c r="G295" i="2"/>
  <c r="W295" i="2"/>
  <c r="AM295" i="2"/>
  <c r="BC295" i="2"/>
  <c r="N296" i="2"/>
  <c r="AD296" i="2"/>
  <c r="AT296" i="2"/>
  <c r="BJ296" i="2"/>
  <c r="U297" i="2"/>
  <c r="AK297" i="2"/>
  <c r="BA297" i="2"/>
  <c r="H298" i="2"/>
  <c r="X298" i="2"/>
  <c r="AN298" i="2"/>
  <c r="BD298" i="2"/>
  <c r="K299" i="2"/>
  <c r="AA299" i="2"/>
  <c r="AQ299" i="2"/>
  <c r="BG299" i="2"/>
  <c r="R300" i="2"/>
  <c r="AH300" i="2"/>
  <c r="AX300" i="2"/>
  <c r="I301" i="2"/>
  <c r="Y301" i="2"/>
  <c r="AO301" i="2"/>
  <c r="BE301" i="2"/>
  <c r="L302" i="2"/>
  <c r="AB302" i="2"/>
  <c r="AR302" i="2"/>
  <c r="BH302" i="2"/>
  <c r="O303" i="2"/>
  <c r="AE303" i="2"/>
  <c r="AU303" i="2"/>
  <c r="BK303" i="2"/>
  <c r="V304" i="2"/>
  <c r="AL304" i="2"/>
  <c r="BB304" i="2"/>
  <c r="M305" i="2"/>
  <c r="AC305" i="2"/>
  <c r="AS305" i="2"/>
  <c r="BI305" i="2"/>
  <c r="P306" i="2"/>
  <c r="AF306" i="2"/>
  <c r="AV306" i="2"/>
  <c r="BL306" i="2"/>
  <c r="S307" i="2"/>
  <c r="AI307" i="2"/>
  <c r="AY307" i="2"/>
  <c r="J308" i="2"/>
  <c r="Z308" i="2"/>
  <c r="AP308" i="2"/>
  <c r="BF308" i="2"/>
  <c r="Q309" i="2"/>
  <c r="AG309" i="2"/>
  <c r="AW309" i="2"/>
  <c r="BM309" i="2"/>
  <c r="T310" i="2"/>
  <c r="AJ310" i="2"/>
  <c r="AZ310" i="2"/>
  <c r="G311" i="2"/>
  <c r="W311" i="2"/>
  <c r="AM311" i="2"/>
  <c r="BC311" i="2"/>
  <c r="N312" i="2"/>
  <c r="AD312" i="2"/>
  <c r="AT312" i="2"/>
  <c r="BJ312" i="2"/>
  <c r="U313" i="2"/>
  <c r="AK313" i="2"/>
  <c r="BA313" i="2"/>
  <c r="H314" i="2"/>
  <c r="X314" i="2"/>
  <c r="AN314" i="2"/>
  <c r="BD314" i="2"/>
  <c r="K315" i="2"/>
  <c r="AA315" i="2"/>
  <c r="AQ315" i="2"/>
  <c r="BI315" i="2"/>
  <c r="AF316" i="2"/>
  <c r="BL316" i="2"/>
  <c r="AF317" i="2"/>
  <c r="BL317" i="2"/>
  <c r="AH318" i="2"/>
  <c r="M319" i="2"/>
  <c r="AS319" i="2"/>
  <c r="P320" i="2"/>
  <c r="AV320" i="2"/>
  <c r="P321" i="2"/>
  <c r="AV321" i="2"/>
  <c r="R322" i="2"/>
  <c r="AX322" i="2"/>
  <c r="AC323" i="2"/>
  <c r="BI323" i="2"/>
  <c r="AF324" i="2"/>
  <c r="BL324" i="2"/>
  <c r="AF325" i="2"/>
  <c r="BL325" i="2"/>
  <c r="AH326" i="2"/>
  <c r="M327" i="2"/>
  <c r="AS327" i="2"/>
  <c r="P328" i="2"/>
  <c r="AV328" i="2"/>
  <c r="P329" i="2"/>
  <c r="AV329" i="2"/>
  <c r="R330" i="2"/>
  <c r="AX330" i="2"/>
  <c r="Z331" i="3"/>
  <c r="Z331" i="2" s="1"/>
  <c r="Z332" i="2"/>
  <c r="BF331" i="3"/>
  <c r="BF331" i="2" s="1"/>
  <c r="BF332" i="2"/>
  <c r="AK333" i="2"/>
  <c r="H334" i="2"/>
  <c r="AN334" i="2"/>
  <c r="H335" i="2"/>
  <c r="AN335" i="2"/>
  <c r="J336" i="2"/>
  <c r="AP336" i="2"/>
  <c r="U337" i="2"/>
  <c r="BA337" i="2"/>
  <c r="X338" i="2"/>
  <c r="BD338" i="2"/>
  <c r="X339" i="2"/>
  <c r="BD339" i="2"/>
  <c r="Z340" i="2"/>
  <c r="BF340" i="2"/>
  <c r="AK341" i="2"/>
  <c r="H342" i="2"/>
  <c r="AN342" i="2"/>
  <c r="H343" i="2"/>
  <c r="AN343" i="2"/>
  <c r="J344" i="2"/>
  <c r="AP344" i="2"/>
  <c r="U345" i="2"/>
  <c r="BA345" i="2"/>
  <c r="X346" i="2"/>
  <c r="BD346" i="2"/>
  <c r="X347" i="2"/>
  <c r="BD347" i="2"/>
  <c r="Z348" i="2"/>
  <c r="BF348" i="2"/>
  <c r="AK349" i="2"/>
  <c r="H350" i="2"/>
  <c r="AI351" i="2"/>
  <c r="AI355" i="2"/>
  <c r="AI359" i="2"/>
  <c r="AI363" i="2"/>
  <c r="AI367" i="2"/>
  <c r="AI371" i="2"/>
  <c r="BK375" i="2"/>
  <c r="X379" i="2"/>
  <c r="Z385" i="2"/>
  <c r="AH389" i="2"/>
  <c r="BF393" i="2"/>
  <c r="BL399" i="2"/>
  <c r="BD403" i="2"/>
  <c r="AF407" i="2"/>
  <c r="X411" i="2"/>
  <c r="L290" i="3"/>
  <c r="L290" i="2" s="1"/>
  <c r="L291" i="2"/>
  <c r="AB290" i="3"/>
  <c r="AB290" i="2" s="1"/>
  <c r="AB291" i="2"/>
  <c r="AR290" i="3"/>
  <c r="AR290" i="2" s="1"/>
  <c r="AR291" i="2"/>
  <c r="BH290" i="3"/>
  <c r="BH290" i="2" s="1"/>
  <c r="BH291" i="2"/>
  <c r="O292" i="2"/>
  <c r="AE292" i="2"/>
  <c r="AU292" i="2"/>
  <c r="BK292" i="2"/>
  <c r="V293" i="2"/>
  <c r="AL293" i="2"/>
  <c r="BB293" i="2"/>
  <c r="M294" i="2"/>
  <c r="AC294" i="2"/>
  <c r="AS294" i="2"/>
  <c r="BI294" i="2"/>
  <c r="P295" i="2"/>
  <c r="AF295" i="2"/>
  <c r="AV295" i="2"/>
  <c r="BL295" i="2"/>
  <c r="S296" i="2"/>
  <c r="AI296" i="2"/>
  <c r="AY296" i="2"/>
  <c r="J297" i="2"/>
  <c r="Z297" i="2"/>
  <c r="AP297" i="2"/>
  <c r="BF297" i="2"/>
  <c r="Q298" i="2"/>
  <c r="AG298" i="2"/>
  <c r="AW298" i="2"/>
  <c r="BM298" i="2"/>
  <c r="T299" i="2"/>
  <c r="AJ299" i="2"/>
  <c r="AZ299" i="2"/>
  <c r="G300" i="2"/>
  <c r="W300" i="2"/>
  <c r="AM300" i="2"/>
  <c r="BC300" i="2"/>
  <c r="N301" i="2"/>
  <c r="AD301" i="2"/>
  <c r="AT301" i="2"/>
  <c r="BJ301" i="2"/>
  <c r="U302" i="2"/>
  <c r="AK302" i="2"/>
  <c r="BA302" i="2"/>
  <c r="H303" i="2"/>
  <c r="X303" i="2"/>
  <c r="AN303" i="2"/>
  <c r="BD303" i="2"/>
  <c r="K304" i="2"/>
  <c r="AA304" i="2"/>
  <c r="AQ304" i="2"/>
  <c r="BG304" i="2"/>
  <c r="R305" i="2"/>
  <c r="AH305" i="2"/>
  <c r="AX305" i="2"/>
  <c r="I306" i="2"/>
  <c r="Y306" i="2"/>
  <c r="AO306" i="2"/>
  <c r="BE306" i="2"/>
  <c r="L307" i="2"/>
  <c r="AB307" i="2"/>
  <c r="AR307" i="2"/>
  <c r="BH307" i="2"/>
  <c r="O308" i="2"/>
  <c r="AE308" i="2"/>
  <c r="AU308" i="2"/>
  <c r="BK308" i="2"/>
  <c r="V309" i="2"/>
  <c r="AL309" i="2"/>
  <c r="BB309" i="2"/>
  <c r="M310" i="2"/>
  <c r="AC310" i="2"/>
  <c r="AS310" i="2"/>
  <c r="BI310" i="2"/>
  <c r="P311" i="2"/>
  <c r="AF311" i="2"/>
  <c r="AV311" i="2"/>
  <c r="BL311" i="2"/>
  <c r="S312" i="2"/>
  <c r="AI312" i="2"/>
  <c r="AY312" i="2"/>
  <c r="J313" i="2"/>
  <c r="Z313" i="2"/>
  <c r="AP313" i="2"/>
  <c r="BF313" i="2"/>
  <c r="Q314" i="2"/>
  <c r="AG314" i="2"/>
  <c r="AW314" i="2"/>
  <c r="BM314" i="2"/>
  <c r="T315" i="2"/>
  <c r="AJ315" i="2"/>
  <c r="AZ315" i="2"/>
  <c r="Q316" i="2"/>
  <c r="AW316" i="2"/>
  <c r="S317" i="2"/>
  <c r="AY317" i="2"/>
  <c r="AA318" i="2"/>
  <c r="BG318" i="2"/>
  <c r="AL319" i="2"/>
  <c r="I320" i="2"/>
  <c r="AO320" i="2"/>
  <c r="K321" i="2"/>
  <c r="AQ321" i="2"/>
  <c r="S322" i="2"/>
  <c r="AY322" i="2"/>
  <c r="AD323" i="2"/>
  <c r="BJ323" i="2"/>
  <c r="AG324" i="2"/>
  <c r="BM324" i="2"/>
  <c r="AI325" i="2"/>
  <c r="K326" i="2"/>
  <c r="AQ326" i="2"/>
  <c r="V327" i="2"/>
  <c r="BB327" i="2"/>
  <c r="Y328" i="2"/>
  <c r="BE328" i="2"/>
  <c r="AA329" i="2"/>
  <c r="BG329" i="2"/>
  <c r="AI330" i="2"/>
  <c r="K331" i="3"/>
  <c r="K331" i="2" s="1"/>
  <c r="K332" i="2"/>
  <c r="AQ331" i="3"/>
  <c r="AQ331" i="2" s="1"/>
  <c r="AQ332" i="2"/>
  <c r="V333" i="2"/>
  <c r="BB333" i="2"/>
  <c r="Y334" i="2"/>
  <c r="BE334" i="2"/>
  <c r="AA335" i="2"/>
  <c r="BG335" i="2"/>
  <c r="AI336" i="2"/>
  <c r="N337" i="2"/>
  <c r="AT337" i="2"/>
  <c r="Q338" i="2"/>
  <c r="AW338" i="2"/>
  <c r="S339" i="2"/>
  <c r="AY339" i="2"/>
  <c r="AA340" i="2"/>
  <c r="BG340" i="2"/>
  <c r="AL341" i="2"/>
  <c r="I342" i="2"/>
  <c r="AO342" i="2"/>
  <c r="K343" i="2"/>
  <c r="AQ343" i="2"/>
  <c r="S344" i="2"/>
  <c r="AY344" i="2"/>
  <c r="AD345" i="2"/>
  <c r="BJ345" i="2"/>
  <c r="AG346" i="2"/>
  <c r="BM346" i="2"/>
  <c r="AI347" i="2"/>
  <c r="K348" i="2"/>
  <c r="AQ348" i="2"/>
  <c r="V349" i="2"/>
  <c r="BB349" i="2"/>
  <c r="AB350" i="2"/>
  <c r="AL352" i="2"/>
  <c r="AN354" i="2"/>
  <c r="I357" i="2"/>
  <c r="G359" i="2"/>
  <c r="AO361" i="2"/>
  <c r="AM363" i="2"/>
  <c r="H366" i="2"/>
  <c r="AL368" i="2"/>
  <c r="AN370" i="2"/>
  <c r="AI375" i="2"/>
  <c r="AV379" i="2"/>
  <c r="H383" i="2"/>
  <c r="P387" i="2"/>
  <c r="AN391" i="2"/>
  <c r="AV395" i="2"/>
  <c r="H399" i="2"/>
  <c r="P403" i="2"/>
  <c r="AN407" i="2"/>
  <c r="AV411" i="2"/>
  <c r="Q290" i="3"/>
  <c r="Q290" i="2" s="1"/>
  <c r="Q291" i="2"/>
  <c r="AG290" i="3"/>
  <c r="AG290" i="2" s="1"/>
  <c r="AG291" i="2"/>
  <c r="AW290" i="3"/>
  <c r="AW290" i="2" s="1"/>
  <c r="AW291" i="2"/>
  <c r="BM290" i="3"/>
  <c r="BM290" i="2" s="1"/>
  <c r="BM291" i="2"/>
  <c r="T292" i="2"/>
  <c r="AJ292" i="2"/>
  <c r="AZ292" i="2"/>
  <c r="G293" i="2"/>
  <c r="W293" i="2"/>
  <c r="AM293" i="2"/>
  <c r="BC293" i="2"/>
  <c r="N294" i="2"/>
  <c r="AD294" i="2"/>
  <c r="AT294" i="2"/>
  <c r="BJ294" i="2"/>
  <c r="U295" i="2"/>
  <c r="AK295" i="2"/>
  <c r="BA295" i="2"/>
  <c r="H296" i="2"/>
  <c r="X296" i="2"/>
  <c r="AN296" i="2"/>
  <c r="BD296" i="2"/>
  <c r="K297" i="2"/>
  <c r="AA297" i="2"/>
  <c r="AQ297" i="2"/>
  <c r="BG297" i="2"/>
  <c r="R298" i="2"/>
  <c r="AH298" i="2"/>
  <c r="AX298" i="2"/>
  <c r="I299" i="2"/>
  <c r="Y299" i="2"/>
  <c r="AO299" i="2"/>
  <c r="BE299" i="2"/>
  <c r="L300" i="2"/>
  <c r="AB300" i="2"/>
  <c r="AR300" i="2"/>
  <c r="BH300" i="2"/>
  <c r="O301" i="2"/>
  <c r="AE301" i="2"/>
  <c r="AU301" i="2"/>
  <c r="BK301" i="2"/>
  <c r="V302" i="2"/>
  <c r="AL302" i="2"/>
  <c r="BB302" i="2"/>
  <c r="M303" i="2"/>
  <c r="AC303" i="2"/>
  <c r="AS303" i="2"/>
  <c r="BI303" i="2"/>
  <c r="P304" i="2"/>
  <c r="AF304" i="2"/>
  <c r="AV304" i="2"/>
  <c r="BL304" i="2"/>
  <c r="S305" i="2"/>
  <c r="AI305" i="2"/>
  <c r="AY305" i="2"/>
  <c r="J306" i="2"/>
  <c r="Z306" i="2"/>
  <c r="AP306" i="2"/>
  <c r="BF306" i="2"/>
  <c r="Q307" i="2"/>
  <c r="AG307" i="2"/>
  <c r="AW307" i="2"/>
  <c r="BM307" i="2"/>
  <c r="T308" i="2"/>
  <c r="AJ308" i="2"/>
  <c r="AZ308" i="2"/>
  <c r="G309" i="2"/>
  <c r="W309" i="2"/>
  <c r="AM309" i="2"/>
  <c r="BC309" i="2"/>
  <c r="N310" i="2"/>
  <c r="AD310" i="2"/>
  <c r="AT310" i="2"/>
  <c r="BJ310" i="2"/>
  <c r="U311" i="2"/>
  <c r="AK311" i="2"/>
  <c r="BA311" i="2"/>
  <c r="H312" i="2"/>
  <c r="X312" i="2"/>
  <c r="AN312" i="2"/>
  <c r="BD312" i="2"/>
  <c r="K313" i="2"/>
  <c r="AA313" i="2"/>
  <c r="AQ313" i="2"/>
  <c r="BG313" i="2"/>
  <c r="R314" i="2"/>
  <c r="AH314" i="2"/>
  <c r="AX314" i="2"/>
  <c r="I315" i="2"/>
  <c r="Y315" i="2"/>
  <c r="AO315" i="2"/>
  <c r="BF315" i="2"/>
  <c r="AB316" i="2"/>
  <c r="BH316" i="2"/>
  <c r="AJ317" i="2"/>
  <c r="N318" i="2"/>
  <c r="AT318" i="2"/>
  <c r="Q319" i="2"/>
  <c r="AW319" i="2"/>
  <c r="T320" i="2"/>
  <c r="AZ320" i="2"/>
  <c r="AB321" i="2"/>
  <c r="BH321" i="2"/>
  <c r="AL322" i="2"/>
  <c r="I323" i="2"/>
  <c r="AO323" i="2"/>
  <c r="L324" i="2"/>
  <c r="AR324" i="2"/>
  <c r="T325" i="2"/>
  <c r="AZ325" i="2"/>
  <c r="AD326" i="2"/>
  <c r="BJ326" i="2"/>
  <c r="AG327" i="2"/>
  <c r="BM327" i="2"/>
  <c r="AJ328" i="2"/>
  <c r="L329" i="2"/>
  <c r="AR329" i="2"/>
  <c r="V330" i="2"/>
  <c r="BB330" i="2"/>
  <c r="AD331" i="3"/>
  <c r="AD331" i="2" s="1"/>
  <c r="AD332" i="2"/>
  <c r="BJ331" i="3"/>
  <c r="BJ331" i="2" s="1"/>
  <c r="BJ332" i="2"/>
  <c r="AG333" i="2"/>
  <c r="BM333" i="2"/>
  <c r="AJ334" i="2"/>
  <c r="L335" i="2"/>
  <c r="AR335" i="2"/>
  <c r="V336" i="2"/>
  <c r="BB336" i="2"/>
  <c r="Y337" i="2"/>
  <c r="BE337" i="2"/>
  <c r="AB338" i="2"/>
  <c r="BH338" i="2"/>
  <c r="AJ339" i="2"/>
  <c r="N340" i="2"/>
  <c r="AT340" i="2"/>
  <c r="Q341" i="2"/>
  <c r="AW341" i="2"/>
  <c r="T342" i="2"/>
  <c r="AZ342" i="2"/>
  <c r="AB343" i="2"/>
  <c r="BH343" i="2"/>
  <c r="AL344" i="2"/>
  <c r="I345" i="2"/>
  <c r="AO345" i="2"/>
  <c r="L346" i="2"/>
  <c r="AR346" i="2"/>
  <c r="T347" i="2"/>
  <c r="AZ347" i="2"/>
  <c r="AD348" i="2"/>
  <c r="BJ348" i="2"/>
  <c r="AG349" i="2"/>
  <c r="BM349" i="2"/>
  <c r="AZ350" i="2"/>
  <c r="AX352" i="2"/>
  <c r="AZ354" i="2"/>
  <c r="AX356" i="2"/>
  <c r="AZ358" i="2"/>
  <c r="AX360" i="2"/>
  <c r="AZ362" i="2"/>
  <c r="AX364" i="2"/>
  <c r="AZ366" i="2"/>
  <c r="AX368" i="2"/>
  <c r="AZ370" i="2"/>
  <c r="AV373" i="3"/>
  <c r="AV373" i="2" s="1"/>
  <c r="AV374" i="2"/>
  <c r="BD376" i="2"/>
  <c r="AN380" i="2"/>
  <c r="X384" i="2"/>
  <c r="H388" i="2"/>
  <c r="U394" i="2"/>
  <c r="AK398" i="2"/>
  <c r="BA402" i="2"/>
  <c r="BD408" i="2"/>
  <c r="BK315" i="2"/>
  <c r="V316" i="2"/>
  <c r="AL316" i="2"/>
  <c r="BB316" i="2"/>
  <c r="M317" i="2"/>
  <c r="AC317" i="2"/>
  <c r="AS317" i="2"/>
  <c r="BI317" i="2"/>
  <c r="P318" i="2"/>
  <c r="AF318" i="2"/>
  <c r="AV318" i="2"/>
  <c r="BL318" i="2"/>
  <c r="S319" i="2"/>
  <c r="AI319" i="2"/>
  <c r="AY319" i="2"/>
  <c r="J320" i="2"/>
  <c r="Z320" i="2"/>
  <c r="AP320" i="2"/>
  <c r="BF320" i="2"/>
  <c r="Q321" i="2"/>
  <c r="AG321" i="2"/>
  <c r="AW321" i="2"/>
  <c r="BM321" i="2"/>
  <c r="T322" i="2"/>
  <c r="AJ322" i="2"/>
  <c r="AZ322" i="2"/>
  <c r="G323" i="2"/>
  <c r="W323" i="2"/>
  <c r="AM323" i="2"/>
  <c r="BC323" i="2"/>
  <c r="N324" i="2"/>
  <c r="AD324" i="2"/>
  <c r="AT324" i="2"/>
  <c r="BJ324" i="2"/>
  <c r="U325" i="2"/>
  <c r="AK325" i="2"/>
  <c r="BA325" i="2"/>
  <c r="H326" i="2"/>
  <c r="X326" i="2"/>
  <c r="AN326" i="2"/>
  <c r="BD326" i="2"/>
  <c r="K327" i="2"/>
  <c r="AA327" i="2"/>
  <c r="AQ327" i="2"/>
  <c r="BG327" i="2"/>
  <c r="R328" i="2"/>
  <c r="AH328" i="2"/>
  <c r="AX328" i="2"/>
  <c r="I329" i="2"/>
  <c r="Y329" i="2"/>
  <c r="AO329" i="2"/>
  <c r="BE329" i="2"/>
  <c r="L330" i="2"/>
  <c r="AB330" i="2"/>
  <c r="AR330" i="2"/>
  <c r="BH330" i="2"/>
  <c r="P331" i="3"/>
  <c r="P331" i="2" s="1"/>
  <c r="P332" i="2"/>
  <c r="AF331" i="3"/>
  <c r="AF331" i="2" s="1"/>
  <c r="AF332" i="2"/>
  <c r="AV331" i="3"/>
  <c r="AV331" i="2" s="1"/>
  <c r="AV332" i="2"/>
  <c r="BL331" i="3"/>
  <c r="BL331" i="2" s="1"/>
  <c r="BL332" i="2"/>
  <c r="S333" i="2"/>
  <c r="AI333" i="2"/>
  <c r="AY333" i="2"/>
  <c r="J334" i="2"/>
  <c r="Z334" i="2"/>
  <c r="AP334" i="2"/>
  <c r="BF334" i="2"/>
  <c r="Q335" i="2"/>
  <c r="AG335" i="2"/>
  <c r="AW335" i="2"/>
  <c r="BM335" i="2"/>
  <c r="T336" i="2"/>
  <c r="AJ336" i="2"/>
  <c r="AZ336" i="2"/>
  <c r="G337" i="2"/>
  <c r="W337" i="2"/>
  <c r="AM337" i="2"/>
  <c r="BC337" i="2"/>
  <c r="N338" i="2"/>
  <c r="AD338" i="2"/>
  <c r="AT338" i="2"/>
  <c r="BJ338" i="2"/>
  <c r="U339" i="2"/>
  <c r="AK339" i="2"/>
  <c r="BA339" i="2"/>
  <c r="H340" i="2"/>
  <c r="X340" i="2"/>
  <c r="AN340" i="2"/>
  <c r="BD340" i="2"/>
  <c r="K341" i="2"/>
  <c r="AA341" i="2"/>
  <c r="AQ341" i="2"/>
  <c r="BG341" i="2"/>
  <c r="R342" i="2"/>
  <c r="AH342" i="2"/>
  <c r="AX342" i="2"/>
  <c r="I343" i="2"/>
  <c r="Y343" i="2"/>
  <c r="AO343" i="2"/>
  <c r="BE343" i="2"/>
  <c r="L344" i="2"/>
  <c r="AB344" i="2"/>
  <c r="AR344" i="2"/>
  <c r="BH344" i="2"/>
  <c r="O345" i="2"/>
  <c r="AE345" i="2"/>
  <c r="AU345" i="2"/>
  <c r="BK345" i="2"/>
  <c r="V346" i="2"/>
  <c r="AL346" i="2"/>
  <c r="BB346" i="2"/>
  <c r="M347" i="2"/>
  <c r="AC347" i="2"/>
  <c r="AS347" i="2"/>
  <c r="BI347" i="2"/>
  <c r="P348" i="2"/>
  <c r="AF348" i="2"/>
  <c r="AV348" i="2"/>
  <c r="BL348" i="2"/>
  <c r="S349" i="2"/>
  <c r="AI349" i="2"/>
  <c r="AY349" i="2"/>
  <c r="J350" i="2"/>
  <c r="AE350" i="2"/>
  <c r="K351" i="2"/>
  <c r="J352" i="2"/>
  <c r="M353" i="2"/>
  <c r="L354" i="2"/>
  <c r="K355" i="2"/>
  <c r="J356" i="2"/>
  <c r="M357" i="2"/>
  <c r="L358" i="2"/>
  <c r="K359" i="2"/>
  <c r="J360" i="2"/>
  <c r="M361" i="2"/>
  <c r="L362" i="2"/>
  <c r="K363" i="2"/>
  <c r="J364" i="2"/>
  <c r="M365" i="2"/>
  <c r="L366" i="2"/>
  <c r="K367" i="2"/>
  <c r="J368" i="2"/>
  <c r="M369" i="2"/>
  <c r="L370" i="2"/>
  <c r="K371" i="2"/>
  <c r="H373" i="3"/>
  <c r="H373" i="2" s="1"/>
  <c r="H374" i="2"/>
  <c r="G375" i="2"/>
  <c r="V376" i="2"/>
  <c r="AF379" i="2"/>
  <c r="R381" i="2"/>
  <c r="P383" i="2"/>
  <c r="AH385" i="2"/>
  <c r="X388" i="2"/>
  <c r="U390" i="2"/>
  <c r="H392" i="2"/>
  <c r="AF395" i="2"/>
  <c r="R397" i="2"/>
  <c r="P399" i="2"/>
  <c r="AH401" i="2"/>
  <c r="X404" i="2"/>
  <c r="U406" i="2"/>
  <c r="H408" i="2"/>
  <c r="AF411" i="2"/>
  <c r="BD315" i="2"/>
  <c r="K316" i="2"/>
  <c r="AA316" i="2"/>
  <c r="AQ316" i="2"/>
  <c r="BG316" i="2"/>
  <c r="R317" i="2"/>
  <c r="AH317" i="2"/>
  <c r="AX317" i="2"/>
  <c r="I318" i="2"/>
  <c r="Y318" i="2"/>
  <c r="AO318" i="2"/>
  <c r="BE318" i="2"/>
  <c r="L319" i="2"/>
  <c r="AB319" i="2"/>
  <c r="AR319" i="2"/>
  <c r="BH319" i="2"/>
  <c r="O320" i="2"/>
  <c r="AE320" i="2"/>
  <c r="AU320" i="2"/>
  <c r="BK320" i="2"/>
  <c r="V321" i="2"/>
  <c r="AL321" i="2"/>
  <c r="BB321" i="2"/>
  <c r="M322" i="2"/>
  <c r="AC322" i="2"/>
  <c r="AS322" i="2"/>
  <c r="BI322" i="2"/>
  <c r="P323" i="2"/>
  <c r="AF323" i="2"/>
  <c r="AV323" i="2"/>
  <c r="BL323" i="2"/>
  <c r="S324" i="2"/>
  <c r="AI324" i="2"/>
  <c r="AY324" i="2"/>
  <c r="J325" i="2"/>
  <c r="Z325" i="2"/>
  <c r="AP325" i="2"/>
  <c r="BF325" i="2"/>
  <c r="Q326" i="2"/>
  <c r="AG326" i="2"/>
  <c r="AW326" i="2"/>
  <c r="BM326" i="2"/>
  <c r="T327" i="2"/>
  <c r="AJ327" i="2"/>
  <c r="AZ327" i="2"/>
  <c r="G328" i="2"/>
  <c r="W328" i="2"/>
  <c r="AM328" i="2"/>
  <c r="BC328" i="2"/>
  <c r="N329" i="2"/>
  <c r="AD329" i="2"/>
  <c r="AT329" i="2"/>
  <c r="BJ329" i="2"/>
  <c r="U330" i="2"/>
  <c r="AK330" i="2"/>
  <c r="BA330" i="2"/>
  <c r="I331" i="3"/>
  <c r="I331" i="2" s="1"/>
  <c r="I332" i="2"/>
  <c r="Y331" i="3"/>
  <c r="Y331" i="2" s="1"/>
  <c r="Y332" i="2"/>
  <c r="AO331" i="3"/>
  <c r="AO331" i="2" s="1"/>
  <c r="AO332" i="2"/>
  <c r="BE331" i="3"/>
  <c r="BE331" i="2" s="1"/>
  <c r="BE332" i="2"/>
  <c r="L333" i="2"/>
  <c r="AB333" i="2"/>
  <c r="AR333" i="2"/>
  <c r="BH333" i="2"/>
  <c r="O334" i="2"/>
  <c r="AE334" i="2"/>
  <c r="AU334" i="2"/>
  <c r="BK334" i="2"/>
  <c r="V335" i="2"/>
  <c r="AL335" i="2"/>
  <c r="BB335" i="2"/>
  <c r="M336" i="2"/>
  <c r="AC336" i="2"/>
  <c r="AS336" i="2"/>
  <c r="BI336" i="2"/>
  <c r="P337" i="2"/>
  <c r="AF337" i="2"/>
  <c r="AV337" i="2"/>
  <c r="BL337" i="2"/>
  <c r="S338" i="2"/>
  <c r="AI338" i="2"/>
  <c r="AY338" i="2"/>
  <c r="J339" i="2"/>
  <c r="Z339" i="2"/>
  <c r="AP339" i="2"/>
  <c r="BF339" i="2"/>
  <c r="Q340" i="2"/>
  <c r="AG340" i="2"/>
  <c r="AW340" i="2"/>
  <c r="BM340" i="2"/>
  <c r="T341" i="2"/>
  <c r="AJ341" i="2"/>
  <c r="AZ341" i="2"/>
  <c r="G342" i="2"/>
  <c r="W342" i="2"/>
  <c r="AM342" i="2"/>
  <c r="BC342" i="2"/>
  <c r="N343" i="2"/>
  <c r="AD343" i="2"/>
  <c r="AT343" i="2"/>
  <c r="BJ343" i="2"/>
  <c r="U344" i="2"/>
  <c r="AK344" i="2"/>
  <c r="BA344" i="2"/>
  <c r="H345" i="2"/>
  <c r="X345" i="2"/>
  <c r="AN345" i="2"/>
  <c r="BD345" i="2"/>
  <c r="K346" i="2"/>
  <c r="AA346" i="2"/>
  <c r="AQ346" i="2"/>
  <c r="BG346" i="2"/>
  <c r="R347" i="2"/>
  <c r="AH347" i="2"/>
  <c r="AX347" i="2"/>
  <c r="I348" i="2"/>
  <c r="Y348" i="2"/>
  <c r="AO348" i="2"/>
  <c r="BE348" i="2"/>
  <c r="L349" i="2"/>
  <c r="AB349" i="2"/>
  <c r="AR349" i="2"/>
  <c r="BH349" i="2"/>
  <c r="O350" i="2"/>
  <c r="AN350" i="2"/>
  <c r="AE351" i="2"/>
  <c r="AD352" i="2"/>
  <c r="AG353" i="2"/>
  <c r="AF354" i="2"/>
  <c r="AE355" i="2"/>
  <c r="AD356" i="2"/>
  <c r="AG357" i="2"/>
  <c r="AF358" i="2"/>
  <c r="AE359" i="2"/>
  <c r="AD360" i="2"/>
  <c r="AG361" i="2"/>
  <c r="AF362" i="2"/>
  <c r="AE363" i="2"/>
  <c r="AD364" i="2"/>
  <c r="AG365" i="2"/>
  <c r="AF366" i="2"/>
  <c r="AE367" i="2"/>
  <c r="AD368" i="2"/>
  <c r="AG369" i="2"/>
  <c r="AF370" i="2"/>
  <c r="AE371" i="2"/>
  <c r="AB373" i="3"/>
  <c r="AB373" i="2" s="1"/>
  <c r="AB374" i="2"/>
  <c r="AA375" i="2"/>
  <c r="Z376" i="2"/>
  <c r="M378" i="2"/>
  <c r="AF380" i="2"/>
  <c r="AC382" i="2"/>
  <c r="P384" i="2"/>
  <c r="M386" i="2"/>
  <c r="AF388" i="2"/>
  <c r="AC390" i="2"/>
  <c r="P392" i="2"/>
  <c r="M394" i="2"/>
  <c r="AF396" i="2"/>
  <c r="AC398" i="2"/>
  <c r="P400" i="2"/>
  <c r="M402" i="2"/>
  <c r="AF404" i="2"/>
  <c r="AC406" i="2"/>
  <c r="P408" i="2"/>
  <c r="M410" i="2"/>
  <c r="BH412" i="2"/>
  <c r="BG350" i="2"/>
  <c r="R351" i="2"/>
  <c r="AH351" i="2"/>
  <c r="AX351" i="2"/>
  <c r="I352" i="2"/>
  <c r="Y352" i="2"/>
  <c r="AO352" i="2"/>
  <c r="BE352" i="2"/>
  <c r="L353" i="2"/>
  <c r="AB353" i="2"/>
  <c r="AR353" i="2"/>
  <c r="BH353" i="2"/>
  <c r="O354" i="2"/>
  <c r="AE354" i="2"/>
  <c r="AU354" i="2"/>
  <c r="BK354" i="2"/>
  <c r="V355" i="2"/>
  <c r="AL355" i="2"/>
  <c r="BB355" i="2"/>
  <c r="M356" i="2"/>
  <c r="AC356" i="2"/>
  <c r="AS356" i="2"/>
  <c r="BI356" i="2"/>
  <c r="P357" i="2"/>
  <c r="AF357" i="2"/>
  <c r="AV357" i="2"/>
  <c r="BL357" i="2"/>
  <c r="S358" i="2"/>
  <c r="AI358" i="2"/>
  <c r="AY358" i="2"/>
  <c r="J359" i="2"/>
  <c r="Z359" i="2"/>
  <c r="AP359" i="2"/>
  <c r="BF359" i="2"/>
  <c r="Q360" i="2"/>
  <c r="AG360" i="2"/>
  <c r="AW360" i="2"/>
  <c r="BM360" i="2"/>
  <c r="T361" i="2"/>
  <c r="AJ361" i="2"/>
  <c r="AZ361" i="2"/>
  <c r="G362" i="2"/>
  <c r="W362" i="2"/>
  <c r="AM362" i="2"/>
  <c r="BC362" i="2"/>
  <c r="N363" i="2"/>
  <c r="AD363" i="2"/>
  <c r="AT363" i="2"/>
  <c r="BJ363" i="2"/>
  <c r="U364" i="2"/>
  <c r="AK364" i="2"/>
  <c r="BA364" i="2"/>
  <c r="H365" i="2"/>
  <c r="X365" i="2"/>
  <c r="AN365" i="2"/>
  <c r="BD365" i="2"/>
  <c r="K366" i="2"/>
  <c r="AA366" i="2"/>
  <c r="AQ366" i="2"/>
  <c r="BG366" i="2"/>
  <c r="R367" i="2"/>
  <c r="AH367" i="2"/>
  <c r="AX367" i="2"/>
  <c r="I368" i="2"/>
  <c r="Y368" i="2"/>
  <c r="AO368" i="2"/>
  <c r="BE368" i="2"/>
  <c r="L369" i="2"/>
  <c r="AB369" i="2"/>
  <c r="AR369" i="2"/>
  <c r="BH369" i="2"/>
  <c r="O370" i="2"/>
  <c r="AE370" i="2"/>
  <c r="AU370" i="2"/>
  <c r="BK370" i="2"/>
  <c r="V371" i="2"/>
  <c r="AL371" i="2"/>
  <c r="BB371" i="2"/>
  <c r="K373" i="3"/>
  <c r="K373" i="2" s="1"/>
  <c r="K374" i="2"/>
  <c r="AA373" i="3"/>
  <c r="AA373" i="2" s="1"/>
  <c r="AA374" i="2"/>
  <c r="AQ373" i="3"/>
  <c r="AQ373" i="2" s="1"/>
  <c r="AQ374" i="2"/>
  <c r="BG373" i="3"/>
  <c r="BG373" i="2" s="1"/>
  <c r="BG374" i="2"/>
  <c r="R375" i="2"/>
  <c r="AH375" i="2"/>
  <c r="AX375" i="2"/>
  <c r="I376" i="2"/>
  <c r="Y376" i="2"/>
  <c r="AU376" i="2"/>
  <c r="O377" i="2"/>
  <c r="AU377" i="2"/>
  <c r="R378" i="2"/>
  <c r="AX378" i="2"/>
  <c r="AC379" i="2"/>
  <c r="BI379" i="2"/>
  <c r="AE380" i="2"/>
  <c r="BK380" i="2"/>
  <c r="AE381" i="2"/>
  <c r="BK381" i="2"/>
  <c r="AH382" i="2"/>
  <c r="M383" i="2"/>
  <c r="AS383" i="2"/>
  <c r="O384" i="2"/>
  <c r="AU384" i="2"/>
  <c r="O385" i="2"/>
  <c r="AU385" i="2"/>
  <c r="R386" i="2"/>
  <c r="AX386" i="2"/>
  <c r="AC387" i="2"/>
  <c r="BI387" i="2"/>
  <c r="AE388" i="2"/>
  <c r="BK388" i="2"/>
  <c r="AE389" i="2"/>
  <c r="BK389" i="2"/>
  <c r="AH390" i="2"/>
  <c r="M391" i="2"/>
  <c r="AS391" i="2"/>
  <c r="O392" i="2"/>
  <c r="AU392" i="2"/>
  <c r="O393" i="2"/>
  <c r="AU393" i="2"/>
  <c r="R394" i="2"/>
  <c r="AX394" i="2"/>
  <c r="AC395" i="2"/>
  <c r="BI395" i="2"/>
  <c r="AE396" i="2"/>
  <c r="BK396" i="2"/>
  <c r="AE397" i="2"/>
  <c r="BK397" i="2"/>
  <c r="AH398" i="2"/>
  <c r="M399" i="2"/>
  <c r="AS399" i="2"/>
  <c r="O400" i="2"/>
  <c r="AU400" i="2"/>
  <c r="O401" i="2"/>
  <c r="AU401" i="2"/>
  <c r="R402" i="2"/>
  <c r="AX402" i="2"/>
  <c r="AC403" i="2"/>
  <c r="BI403" i="2"/>
  <c r="AE404" i="2"/>
  <c r="BK404" i="2"/>
  <c r="AE405" i="2"/>
  <c r="BK405" i="2"/>
  <c r="AH406" i="2"/>
  <c r="M407" i="2"/>
  <c r="AS407" i="2"/>
  <c r="O408" i="2"/>
  <c r="AU408" i="2"/>
  <c r="O409" i="2"/>
  <c r="AU409" i="2"/>
  <c r="R410" i="2"/>
  <c r="AX410" i="2"/>
  <c r="AC411" i="2"/>
  <c r="BI411" i="2"/>
  <c r="BD412" i="2"/>
  <c r="BC413" i="2"/>
  <c r="AH416" i="2"/>
  <c r="AH420" i="2"/>
  <c r="AH424" i="2"/>
  <c r="AH428" i="2"/>
  <c r="S434" i="2"/>
  <c r="AX416" i="2"/>
  <c r="AX420" i="2"/>
  <c r="AX424" i="2"/>
  <c r="AX428" i="2"/>
  <c r="AY434" i="2"/>
  <c r="AK442" i="2"/>
  <c r="K451" i="2"/>
  <c r="AG350" i="2"/>
  <c r="AW350" i="2"/>
  <c r="BM350" i="2"/>
  <c r="T351" i="2"/>
  <c r="AJ351" i="2"/>
  <c r="AZ351" i="2"/>
  <c r="G352" i="2"/>
  <c r="W352" i="2"/>
  <c r="AM352" i="2"/>
  <c r="BC352" i="2"/>
  <c r="N353" i="2"/>
  <c r="AD353" i="2"/>
  <c r="AT353" i="2"/>
  <c r="BJ353" i="2"/>
  <c r="U354" i="2"/>
  <c r="AK354" i="2"/>
  <c r="BA354" i="2"/>
  <c r="H355" i="2"/>
  <c r="X355" i="2"/>
  <c r="AN355" i="2"/>
  <c r="BD355" i="2"/>
  <c r="K356" i="2"/>
  <c r="AA356" i="2"/>
  <c r="AQ356" i="2"/>
  <c r="BG356" i="2"/>
  <c r="R357" i="2"/>
  <c r="AH357" i="2"/>
  <c r="AX357" i="2"/>
  <c r="I358" i="2"/>
  <c r="Y358" i="2"/>
  <c r="AO358" i="2"/>
  <c r="BE358" i="2"/>
  <c r="L359" i="2"/>
  <c r="AB359" i="2"/>
  <c r="AR359" i="2"/>
  <c r="BH359" i="2"/>
  <c r="O360" i="2"/>
  <c r="AE360" i="2"/>
  <c r="AU360" i="2"/>
  <c r="BK360" i="2"/>
  <c r="V361" i="2"/>
  <c r="AL361" i="2"/>
  <c r="BB361" i="2"/>
  <c r="M362" i="2"/>
  <c r="AC362" i="2"/>
  <c r="AS362" i="2"/>
  <c r="BI362" i="2"/>
  <c r="P363" i="2"/>
  <c r="AF363" i="2"/>
  <c r="AV363" i="2"/>
  <c r="BL363" i="2"/>
  <c r="S364" i="2"/>
  <c r="AI364" i="2"/>
  <c r="AY364" i="2"/>
  <c r="J365" i="2"/>
  <c r="Z365" i="2"/>
  <c r="AP365" i="2"/>
  <c r="BF365" i="2"/>
  <c r="Q366" i="2"/>
  <c r="AG366" i="2"/>
  <c r="AW366" i="2"/>
  <c r="BM366" i="2"/>
  <c r="T367" i="2"/>
  <c r="AJ367" i="2"/>
  <c r="AZ367" i="2"/>
  <c r="G368" i="2"/>
  <c r="W368" i="2"/>
  <c r="AM368" i="2"/>
  <c r="BC368" i="2"/>
  <c r="N369" i="2"/>
  <c r="AD369" i="2"/>
  <c r="AT369" i="2"/>
  <c r="BJ369" i="2"/>
  <c r="U370" i="2"/>
  <c r="AK370" i="2"/>
  <c r="BA370" i="2"/>
  <c r="H371" i="2"/>
  <c r="X371" i="2"/>
  <c r="AN371" i="2"/>
  <c r="BD371" i="2"/>
  <c r="M373" i="3"/>
  <c r="M373" i="2" s="1"/>
  <c r="M374" i="2"/>
  <c r="AC373" i="3"/>
  <c r="AC373" i="2" s="1"/>
  <c r="AC374" i="2"/>
  <c r="AS373" i="3"/>
  <c r="AS373" i="2" s="1"/>
  <c r="AS374" i="2"/>
  <c r="BI373" i="3"/>
  <c r="BI373" i="2" s="1"/>
  <c r="BI374" i="2"/>
  <c r="P375" i="2"/>
  <c r="AF375" i="2"/>
  <c r="AV375" i="2"/>
  <c r="BL375" i="2"/>
  <c r="S376" i="2"/>
  <c r="AI376" i="2"/>
  <c r="K377" i="2"/>
  <c r="AQ377" i="2"/>
  <c r="V378" i="2"/>
  <c r="BB378" i="2"/>
  <c r="Y379" i="2"/>
  <c r="BE379" i="2"/>
  <c r="AA380" i="2"/>
  <c r="BG380" i="2"/>
  <c r="AI381" i="2"/>
  <c r="N382" i="2"/>
  <c r="AT382" i="2"/>
  <c r="Q383" i="2"/>
  <c r="AW383" i="2"/>
  <c r="S384" i="2"/>
  <c r="AY384" i="2"/>
  <c r="AA385" i="2"/>
  <c r="BG385" i="2"/>
  <c r="AL386" i="2"/>
  <c r="I387" i="2"/>
  <c r="AO387" i="2"/>
  <c r="K388" i="2"/>
  <c r="AQ388" i="2"/>
  <c r="S389" i="2"/>
  <c r="AY389" i="2"/>
  <c r="AD390" i="2"/>
  <c r="BJ390" i="2"/>
  <c r="AG391" i="2"/>
  <c r="BM391" i="2"/>
  <c r="AI392" i="2"/>
  <c r="K393" i="2"/>
  <c r="AQ393" i="2"/>
  <c r="V394" i="2"/>
  <c r="BB394" i="2"/>
  <c r="Y395" i="2"/>
  <c r="BE395" i="2"/>
  <c r="AA396" i="2"/>
  <c r="BG396" i="2"/>
  <c r="AI397" i="2"/>
  <c r="N398" i="2"/>
  <c r="AT398" i="2"/>
  <c r="Q399" i="2"/>
  <c r="AW399" i="2"/>
  <c r="S400" i="2"/>
  <c r="AY400" i="2"/>
  <c r="AA401" i="2"/>
  <c r="BG401" i="2"/>
  <c r="AL402" i="2"/>
  <c r="I403" i="2"/>
  <c r="AO403" i="2"/>
  <c r="K404" i="2"/>
  <c r="AQ404" i="2"/>
  <c r="S405" i="2"/>
  <c r="AY405" i="2"/>
  <c r="AD406" i="2"/>
  <c r="BJ406" i="2"/>
  <c r="AG407" i="2"/>
  <c r="BM407" i="2"/>
  <c r="AI408" i="2"/>
  <c r="K409" i="2"/>
  <c r="AQ409" i="2"/>
  <c r="V410" i="2"/>
  <c r="BB410" i="2"/>
  <c r="Y411" i="2"/>
  <c r="BE411" i="2"/>
  <c r="AV412" i="2"/>
  <c r="AU413" i="2"/>
  <c r="AM414" i="3"/>
  <c r="AM414" i="2" s="1"/>
  <c r="AM415" i="2"/>
  <c r="Z350" i="2"/>
  <c r="AP350" i="2"/>
  <c r="BF350" i="2"/>
  <c r="Q351" i="2"/>
  <c r="AG351" i="2"/>
  <c r="AW351" i="2"/>
  <c r="BM351" i="2"/>
  <c r="T352" i="2"/>
  <c r="AJ352" i="2"/>
  <c r="AZ352" i="2"/>
  <c r="G353" i="2"/>
  <c r="W353" i="2"/>
  <c r="AM353" i="2"/>
  <c r="BC353" i="2"/>
  <c r="N354" i="2"/>
  <c r="AD354" i="2"/>
  <c r="AT354" i="2"/>
  <c r="BJ354" i="2"/>
  <c r="U355" i="2"/>
  <c r="AK355" i="2"/>
  <c r="BA355" i="2"/>
  <c r="H356" i="2"/>
  <c r="X356" i="2"/>
  <c r="AN356" i="2"/>
  <c r="BD356" i="2"/>
  <c r="K357" i="2"/>
  <c r="AA357" i="2"/>
  <c r="AQ357" i="2"/>
  <c r="BG357" i="2"/>
  <c r="R358" i="2"/>
  <c r="AH358" i="2"/>
  <c r="AX358" i="2"/>
  <c r="I359" i="2"/>
  <c r="Y359" i="2"/>
  <c r="AO359" i="2"/>
  <c r="BE359" i="2"/>
  <c r="L360" i="2"/>
  <c r="AB360" i="2"/>
  <c r="AR360" i="2"/>
  <c r="BH360" i="2"/>
  <c r="O361" i="2"/>
  <c r="AE361" i="2"/>
  <c r="AU361" i="2"/>
  <c r="BK361" i="2"/>
  <c r="V362" i="2"/>
  <c r="AL362" i="2"/>
  <c r="BB362" i="2"/>
  <c r="M363" i="2"/>
  <c r="AC363" i="2"/>
  <c r="AS363" i="2"/>
  <c r="BI363" i="2"/>
  <c r="P364" i="2"/>
  <c r="AF364" i="2"/>
  <c r="AV364" i="2"/>
  <c r="BL364" i="2"/>
  <c r="S365" i="2"/>
  <c r="AI365" i="2"/>
  <c r="AY365" i="2"/>
  <c r="J366" i="2"/>
  <c r="Z366" i="2"/>
  <c r="AP366" i="2"/>
  <c r="BF366" i="2"/>
  <c r="Q367" i="2"/>
  <c r="AG367" i="2"/>
  <c r="AW367" i="2"/>
  <c r="BM367" i="2"/>
  <c r="T368" i="2"/>
  <c r="AJ368" i="2"/>
  <c r="AZ368" i="2"/>
  <c r="G369" i="2"/>
  <c r="W369" i="2"/>
  <c r="AM369" i="2"/>
  <c r="BC369" i="2"/>
  <c r="N370" i="2"/>
  <c r="AD370" i="2"/>
  <c r="AT370" i="2"/>
  <c r="BJ370" i="2"/>
  <c r="U371" i="2"/>
  <c r="AK371" i="2"/>
  <c r="BA371" i="2"/>
  <c r="J373" i="3"/>
  <c r="J373" i="2" s="1"/>
  <c r="J374" i="2"/>
  <c r="Z373" i="3"/>
  <c r="Z373" i="2" s="1"/>
  <c r="Z374" i="2"/>
  <c r="AP373" i="3"/>
  <c r="AP373" i="2" s="1"/>
  <c r="AP374" i="2"/>
  <c r="BF373" i="3"/>
  <c r="BF373" i="2" s="1"/>
  <c r="BF374" i="2"/>
  <c r="Q375" i="2"/>
  <c r="AG375" i="2"/>
  <c r="AW375" i="2"/>
  <c r="BM375" i="2"/>
  <c r="T376" i="2"/>
  <c r="AJ376" i="2"/>
  <c r="N377" i="2"/>
  <c r="AT377" i="2"/>
  <c r="Q378" i="2"/>
  <c r="AW378" i="2"/>
  <c r="T379" i="2"/>
  <c r="AZ379" i="2"/>
  <c r="AB380" i="2"/>
  <c r="BH380" i="2"/>
  <c r="AL381" i="2"/>
  <c r="I382" i="2"/>
  <c r="AO382" i="2"/>
  <c r="L383" i="2"/>
  <c r="AR383" i="2"/>
  <c r="T384" i="2"/>
  <c r="AZ384" i="2"/>
  <c r="AD385" i="2"/>
  <c r="BJ385" i="2"/>
  <c r="AG386" i="2"/>
  <c r="BM386" i="2"/>
  <c r="AJ387" i="2"/>
  <c r="L388" i="2"/>
  <c r="AR388" i="2"/>
  <c r="V389" i="2"/>
  <c r="BB389" i="2"/>
  <c r="Y390" i="2"/>
  <c r="BE390" i="2"/>
  <c r="AB391" i="2"/>
  <c r="BH391" i="2"/>
  <c r="AJ392" i="2"/>
  <c r="N393" i="2"/>
  <c r="AT393" i="2"/>
  <c r="Q394" i="2"/>
  <c r="AW394" i="2"/>
  <c r="T395" i="2"/>
  <c r="AZ395" i="2"/>
  <c r="AB396" i="2"/>
  <c r="BH396" i="2"/>
  <c r="AL397" i="2"/>
  <c r="I398" i="2"/>
  <c r="AO398" i="2"/>
  <c r="L399" i="2"/>
  <c r="AR399" i="2"/>
  <c r="T400" i="2"/>
  <c r="AZ400" i="2"/>
  <c r="AD401" i="2"/>
  <c r="BJ401" i="2"/>
  <c r="AG402" i="2"/>
  <c r="BM402" i="2"/>
  <c r="AJ403" i="2"/>
  <c r="L404" i="2"/>
  <c r="AR404" i="2"/>
  <c r="V405" i="2"/>
  <c r="BB405" i="2"/>
  <c r="Y406" i="2"/>
  <c r="BE406" i="2"/>
  <c r="AB407" i="2"/>
  <c r="BH407" i="2"/>
  <c r="AJ408" i="2"/>
  <c r="N409" i="2"/>
  <c r="AT409" i="2"/>
  <c r="Q410" i="2"/>
  <c r="AW410" i="2"/>
  <c r="T411" i="2"/>
  <c r="AZ411" i="2"/>
  <c r="AZ412" i="2"/>
  <c r="K414" i="3"/>
  <c r="K414" i="2" s="1"/>
  <c r="K415" i="2"/>
  <c r="U417" i="2"/>
  <c r="U421" i="2"/>
  <c r="U425" i="2"/>
  <c r="U429" i="2"/>
  <c r="AJ435" i="2"/>
  <c r="AJ443" i="2"/>
  <c r="AK376" i="2"/>
  <c r="BA376" i="2"/>
  <c r="H377" i="2"/>
  <c r="X377" i="2"/>
  <c r="AN377" i="2"/>
  <c r="BD377" i="2"/>
  <c r="K378" i="2"/>
  <c r="AA378" i="2"/>
  <c r="AQ378" i="2"/>
  <c r="BG378" i="2"/>
  <c r="R379" i="2"/>
  <c r="AH379" i="2"/>
  <c r="AX379" i="2"/>
  <c r="I380" i="2"/>
  <c r="Y380" i="2"/>
  <c r="AO380" i="2"/>
  <c r="BE380" i="2"/>
  <c r="L381" i="2"/>
  <c r="AB381" i="2"/>
  <c r="AR381" i="2"/>
  <c r="BH381" i="2"/>
  <c r="O382" i="2"/>
  <c r="AE382" i="2"/>
  <c r="AU382" i="2"/>
  <c r="BK382" i="2"/>
  <c r="V383" i="2"/>
  <c r="AL383" i="2"/>
  <c r="BB383" i="2"/>
  <c r="M384" i="2"/>
  <c r="AC384" i="2"/>
  <c r="AS384" i="2"/>
  <c r="BI384" i="2"/>
  <c r="P385" i="2"/>
  <c r="AF385" i="2"/>
  <c r="AV385" i="2"/>
  <c r="BL385" i="2"/>
  <c r="S386" i="2"/>
  <c r="AI386" i="2"/>
  <c r="AY386" i="2"/>
  <c r="J387" i="2"/>
  <c r="Z387" i="2"/>
  <c r="AP387" i="2"/>
  <c r="BF387" i="2"/>
  <c r="Q388" i="2"/>
  <c r="AG388" i="2"/>
  <c r="AW388" i="2"/>
  <c r="BM388" i="2"/>
  <c r="T389" i="2"/>
  <c r="AJ389" i="2"/>
  <c r="AZ389" i="2"/>
  <c r="G390" i="2"/>
  <c r="W390" i="2"/>
  <c r="AM390" i="2"/>
  <c r="BC390" i="2"/>
  <c r="N391" i="2"/>
  <c r="AD391" i="2"/>
  <c r="AT391" i="2"/>
  <c r="BJ391" i="2"/>
  <c r="U392" i="2"/>
  <c r="AK392" i="2"/>
  <c r="BA392" i="2"/>
  <c r="H393" i="2"/>
  <c r="X393" i="2"/>
  <c r="AN393" i="2"/>
  <c r="BD393" i="2"/>
  <c r="K394" i="2"/>
  <c r="AA394" i="2"/>
  <c r="AQ394" i="2"/>
  <c r="BG394" i="2"/>
  <c r="R395" i="2"/>
  <c r="AH395" i="2"/>
  <c r="AX395" i="2"/>
  <c r="I396" i="2"/>
  <c r="Y396" i="2"/>
  <c r="AO396" i="2"/>
  <c r="BE396" i="2"/>
  <c r="L397" i="2"/>
  <c r="AB397" i="2"/>
  <c r="AR397" i="2"/>
  <c r="BH397" i="2"/>
  <c r="O398" i="2"/>
  <c r="AE398" i="2"/>
  <c r="AU398" i="2"/>
  <c r="BK398" i="2"/>
  <c r="V399" i="2"/>
  <c r="AL399" i="2"/>
  <c r="BB399" i="2"/>
  <c r="M400" i="2"/>
  <c r="AC400" i="2"/>
  <c r="AS400" i="2"/>
  <c r="BI400" i="2"/>
  <c r="P401" i="2"/>
  <c r="AF401" i="2"/>
  <c r="AV401" i="2"/>
  <c r="BL401" i="2"/>
  <c r="S402" i="2"/>
  <c r="AI402" i="2"/>
  <c r="AY402" i="2"/>
  <c r="J403" i="2"/>
  <c r="Z403" i="2"/>
  <c r="AP403" i="2"/>
  <c r="BF403" i="2"/>
  <c r="Q404" i="2"/>
  <c r="AG404" i="2"/>
  <c r="AW404" i="2"/>
  <c r="BM404" i="2"/>
  <c r="T405" i="2"/>
  <c r="AJ405" i="2"/>
  <c r="AZ405" i="2"/>
  <c r="G406" i="2"/>
  <c r="W406" i="2"/>
  <c r="AM406" i="2"/>
  <c r="BC406" i="2"/>
  <c r="N407" i="2"/>
  <c r="AD407" i="2"/>
  <c r="AT407" i="2"/>
  <c r="BJ407" i="2"/>
  <c r="U408" i="2"/>
  <c r="AK408" i="2"/>
  <c r="BA408" i="2"/>
  <c r="H409" i="2"/>
  <c r="X409" i="2"/>
  <c r="AN409" i="2"/>
  <c r="BD409" i="2"/>
  <c r="K410" i="2"/>
  <c r="AA410" i="2"/>
  <c r="AQ410" i="2"/>
  <c r="BG410" i="2"/>
  <c r="R411" i="2"/>
  <c r="AH411" i="2"/>
  <c r="AX411" i="2"/>
  <c r="I412" i="2"/>
  <c r="Y412" i="2"/>
  <c r="AO412" i="2"/>
  <c r="BE412" i="2"/>
  <c r="L413" i="2"/>
  <c r="AB413" i="2"/>
  <c r="AR413" i="2"/>
  <c r="BH413" i="2"/>
  <c r="P414" i="3"/>
  <c r="P414" i="2" s="1"/>
  <c r="P415" i="2"/>
  <c r="AF414" i="3"/>
  <c r="AF414" i="2" s="1"/>
  <c r="AF415" i="2"/>
  <c r="AY414" i="3"/>
  <c r="AY414" i="2" s="1"/>
  <c r="AY415" i="2"/>
  <c r="BB416" i="2"/>
  <c r="BE417" i="2"/>
  <c r="BD418" i="2"/>
  <c r="BC419" i="2"/>
  <c r="I421" i="2"/>
  <c r="H422" i="2"/>
  <c r="G423" i="2"/>
  <c r="V424" i="2"/>
  <c r="Y425" i="2"/>
  <c r="X426" i="2"/>
  <c r="W427" i="2"/>
  <c r="AL428" i="2"/>
  <c r="AO429" i="2"/>
  <c r="AN430" i="2"/>
  <c r="AS431" i="2"/>
  <c r="BL433" i="2"/>
  <c r="AY436" i="2"/>
  <c r="AY440" i="2"/>
  <c r="AY444" i="2"/>
  <c r="Q450" i="2"/>
  <c r="G458" i="2"/>
  <c r="W475" i="2"/>
  <c r="AT376" i="2"/>
  <c r="BJ376" i="2"/>
  <c r="U377" i="2"/>
  <c r="AK377" i="2"/>
  <c r="BA377" i="2"/>
  <c r="H378" i="2"/>
  <c r="X378" i="2"/>
  <c r="AN378" i="2"/>
  <c r="BD378" i="2"/>
  <c r="K379" i="2"/>
  <c r="AA379" i="2"/>
  <c r="AQ379" i="2"/>
  <c r="BG379" i="2"/>
  <c r="R380" i="2"/>
  <c r="AH380" i="2"/>
  <c r="AX380" i="2"/>
  <c r="I381" i="2"/>
  <c r="Y381" i="2"/>
  <c r="AO381" i="2"/>
  <c r="BE381" i="2"/>
  <c r="L382" i="2"/>
  <c r="AB382" i="2"/>
  <c r="AR382" i="2"/>
  <c r="BH382" i="2"/>
  <c r="O383" i="2"/>
  <c r="AE383" i="2"/>
  <c r="AU383" i="2"/>
  <c r="BK383" i="2"/>
  <c r="V384" i="2"/>
  <c r="AL384" i="2"/>
  <c r="BB384" i="2"/>
  <c r="M385" i="2"/>
  <c r="AC385" i="2"/>
  <c r="AS385" i="2"/>
  <c r="BI385" i="2"/>
  <c r="P386" i="2"/>
  <c r="AF386" i="2"/>
  <c r="AV386" i="2"/>
  <c r="BL386" i="2"/>
  <c r="S387" i="2"/>
  <c r="AI387" i="2"/>
  <c r="AY387" i="2"/>
  <c r="J388" i="2"/>
  <c r="Z388" i="2"/>
  <c r="AP388" i="2"/>
  <c r="BF388" i="2"/>
  <c r="Q389" i="2"/>
  <c r="AG389" i="2"/>
  <c r="AW389" i="2"/>
  <c r="BM389" i="2"/>
  <c r="T390" i="2"/>
  <c r="AJ390" i="2"/>
  <c r="AZ390" i="2"/>
  <c r="G391" i="2"/>
  <c r="W391" i="2"/>
  <c r="AM391" i="2"/>
  <c r="BC391" i="2"/>
  <c r="N392" i="2"/>
  <c r="AD392" i="2"/>
  <c r="AT392" i="2"/>
  <c r="BJ392" i="2"/>
  <c r="U393" i="2"/>
  <c r="AK393" i="2"/>
  <c r="BA393" i="2"/>
  <c r="H394" i="2"/>
  <c r="X394" i="2"/>
  <c r="AN394" i="2"/>
  <c r="BD394" i="2"/>
  <c r="K395" i="2"/>
  <c r="AA395" i="2"/>
  <c r="AQ395" i="2"/>
  <c r="BG395" i="2"/>
  <c r="R396" i="2"/>
  <c r="AH396" i="2"/>
  <c r="AX396" i="2"/>
  <c r="I397" i="2"/>
  <c r="Y397" i="2"/>
  <c r="AO397" i="2"/>
  <c r="BE397" i="2"/>
  <c r="L398" i="2"/>
  <c r="AB398" i="2"/>
  <c r="AR398" i="2"/>
  <c r="BH398" i="2"/>
  <c r="O399" i="2"/>
  <c r="AE399" i="2"/>
  <c r="AU399" i="2"/>
  <c r="BK399" i="2"/>
  <c r="V400" i="2"/>
  <c r="AL400" i="2"/>
  <c r="BB400" i="2"/>
  <c r="M401" i="2"/>
  <c r="AC401" i="2"/>
  <c r="AS401" i="2"/>
  <c r="BI401" i="2"/>
  <c r="P402" i="2"/>
  <c r="AF402" i="2"/>
  <c r="AV402" i="2"/>
  <c r="BL402" i="2"/>
  <c r="S403" i="2"/>
  <c r="AI403" i="2"/>
  <c r="AY403" i="2"/>
  <c r="J404" i="2"/>
  <c r="Z404" i="2"/>
  <c r="AP404" i="2"/>
  <c r="BF404" i="2"/>
  <c r="Q405" i="2"/>
  <c r="AG405" i="2"/>
  <c r="AW405" i="2"/>
  <c r="BM405" i="2"/>
  <c r="T406" i="2"/>
  <c r="AJ406" i="2"/>
  <c r="AZ406" i="2"/>
  <c r="G407" i="2"/>
  <c r="W407" i="2"/>
  <c r="AM407" i="2"/>
  <c r="BC407" i="2"/>
  <c r="N408" i="2"/>
  <c r="AD408" i="2"/>
  <c r="AT408" i="2"/>
  <c r="BJ408" i="2"/>
  <c r="U409" i="2"/>
  <c r="AK409" i="2"/>
  <c r="BA409" i="2"/>
  <c r="H410" i="2"/>
  <c r="X410" i="2"/>
  <c r="AN410" i="2"/>
  <c r="BD410" i="2"/>
  <c r="K411" i="2"/>
  <c r="AA411" i="2"/>
  <c r="AQ411" i="2"/>
  <c r="BG411" i="2"/>
  <c r="R412" i="2"/>
  <c r="AH412" i="2"/>
  <c r="AX412" i="2"/>
  <c r="I413" i="2"/>
  <c r="Y413" i="2"/>
  <c r="AO413" i="2"/>
  <c r="BE413" i="2"/>
  <c r="M414" i="3"/>
  <c r="M414" i="2" s="1"/>
  <c r="M415" i="2"/>
  <c r="AC414" i="3"/>
  <c r="AC414" i="2" s="1"/>
  <c r="AC415" i="2"/>
  <c r="AU414" i="3"/>
  <c r="AU414" i="2" s="1"/>
  <c r="AU415" i="2"/>
  <c r="Z416" i="2"/>
  <c r="AC417" i="2"/>
  <c r="AB418" i="2"/>
  <c r="AA419" i="2"/>
  <c r="Z420" i="2"/>
  <c r="AC421" i="2"/>
  <c r="AB422" i="2"/>
  <c r="AA423" i="2"/>
  <c r="Z424" i="2"/>
  <c r="AC425" i="2"/>
  <c r="AB426" i="2"/>
  <c r="AA427" i="2"/>
  <c r="Z428" i="2"/>
  <c r="AC429" i="2"/>
  <c r="AB430" i="2"/>
  <c r="AC431" i="2"/>
  <c r="H433" i="2"/>
  <c r="AW450" i="2"/>
  <c r="G412" i="2"/>
  <c r="W412" i="2"/>
  <c r="AM412" i="2"/>
  <c r="BC412" i="2"/>
  <c r="N413" i="2"/>
  <c r="AD413" i="2"/>
  <c r="AT413" i="2"/>
  <c r="BJ413" i="2"/>
  <c r="V414" i="3"/>
  <c r="V414" i="2" s="1"/>
  <c r="V415" i="2"/>
  <c r="AL414" i="3"/>
  <c r="AL414" i="2" s="1"/>
  <c r="AL415" i="2"/>
  <c r="BK414" i="3"/>
  <c r="BK414" i="2" s="1"/>
  <c r="BK415" i="2"/>
  <c r="BJ416" i="2"/>
  <c r="BM417" i="2"/>
  <c r="BL418" i="2"/>
  <c r="BK419" i="2"/>
  <c r="BJ420" i="2"/>
  <c r="BM421" i="2"/>
  <c r="BL422" i="2"/>
  <c r="BK423" i="2"/>
  <c r="BJ424" i="2"/>
  <c r="BM425" i="2"/>
  <c r="BL426" i="2"/>
  <c r="BK427" i="2"/>
  <c r="BJ428" i="2"/>
  <c r="BM429" i="2"/>
  <c r="BL430" i="2"/>
  <c r="W432" i="2"/>
  <c r="K434" i="2"/>
  <c r="R437" i="2"/>
  <c r="R441" i="2"/>
  <c r="R445" i="2"/>
  <c r="BB449" i="2"/>
  <c r="BB459" i="2"/>
  <c r="W479" i="2"/>
  <c r="BL414" i="3"/>
  <c r="BL414" i="2" s="1"/>
  <c r="BL415" i="2"/>
  <c r="S416" i="2"/>
  <c r="AI416" i="2"/>
  <c r="AY416" i="2"/>
  <c r="J417" i="2"/>
  <c r="Z417" i="2"/>
  <c r="AP417" i="2"/>
  <c r="BF417" i="2"/>
  <c r="Q418" i="2"/>
  <c r="AG418" i="2"/>
  <c r="AW418" i="2"/>
  <c r="BM418" i="2"/>
  <c r="T419" i="2"/>
  <c r="AJ419" i="2"/>
  <c r="AZ419" i="2"/>
  <c r="G420" i="2"/>
  <c r="W420" i="2"/>
  <c r="AM420" i="2"/>
  <c r="BC420" i="2"/>
  <c r="N421" i="2"/>
  <c r="AD421" i="2"/>
  <c r="AT421" i="2"/>
  <c r="BJ421" i="2"/>
  <c r="U422" i="2"/>
  <c r="AK422" i="2"/>
  <c r="BA422" i="2"/>
  <c r="H423" i="2"/>
  <c r="X423" i="2"/>
  <c r="AN423" i="2"/>
  <c r="BD423" i="2"/>
  <c r="K424" i="2"/>
  <c r="AA424" i="2"/>
  <c r="AQ424" i="2"/>
  <c r="BG424" i="2"/>
  <c r="R425" i="2"/>
  <c r="AH425" i="2"/>
  <c r="AX425" i="2"/>
  <c r="I426" i="2"/>
  <c r="Y426" i="2"/>
  <c r="AO426" i="2"/>
  <c r="BE426" i="2"/>
  <c r="L427" i="2"/>
  <c r="AB427" i="2"/>
  <c r="AR427" i="2"/>
  <c r="BH427" i="2"/>
  <c r="O428" i="2"/>
  <c r="AE428" i="2"/>
  <c r="AU428" i="2"/>
  <c r="BK428" i="2"/>
  <c r="V429" i="2"/>
  <c r="AL429" i="2"/>
  <c r="BB429" i="2"/>
  <c r="M430" i="2"/>
  <c r="AC430" i="2"/>
  <c r="AS430" i="2"/>
  <c r="BI430" i="2"/>
  <c r="P431" i="2"/>
  <c r="AJ431" i="2"/>
  <c r="BJ431" i="2"/>
  <c r="AG432" i="2"/>
  <c r="BM432" i="2"/>
  <c r="AH433" i="2"/>
  <c r="M434" i="2"/>
  <c r="AS434" i="2"/>
  <c r="X435" i="2"/>
  <c r="W436" i="2"/>
  <c r="AL437" i="2"/>
  <c r="AO438" i="2"/>
  <c r="AN439" i="2"/>
  <c r="AM440" i="2"/>
  <c r="BB441" i="2"/>
  <c r="BE442" i="2"/>
  <c r="BD443" i="2"/>
  <c r="BC444" i="2"/>
  <c r="I446" i="2"/>
  <c r="H447" i="2"/>
  <c r="AD449" i="2"/>
  <c r="S451" i="2"/>
  <c r="BM454" i="2"/>
  <c r="BE460" i="2"/>
  <c r="H416" i="2"/>
  <c r="X416" i="2"/>
  <c r="AN416" i="2"/>
  <c r="BD416" i="2"/>
  <c r="K417" i="2"/>
  <c r="AA417" i="2"/>
  <c r="AQ417" i="2"/>
  <c r="BG417" i="2"/>
  <c r="R418" i="2"/>
  <c r="AH418" i="2"/>
  <c r="AX418" i="2"/>
  <c r="I419" i="2"/>
  <c r="Y419" i="2"/>
  <c r="AO419" i="2"/>
  <c r="BE419" i="2"/>
  <c r="L420" i="2"/>
  <c r="AB420" i="2"/>
  <c r="AR420" i="2"/>
  <c r="BH420" i="2"/>
  <c r="O421" i="2"/>
  <c r="AE421" i="2"/>
  <c r="AU421" i="2"/>
  <c r="BK421" i="2"/>
  <c r="V422" i="2"/>
  <c r="AL422" i="2"/>
  <c r="BB422" i="2"/>
  <c r="M423" i="2"/>
  <c r="AC423" i="2"/>
  <c r="AS423" i="2"/>
  <c r="BI423" i="2"/>
  <c r="P424" i="2"/>
  <c r="AF424" i="2"/>
  <c r="AV424" i="2"/>
  <c r="BL424" i="2"/>
  <c r="S425" i="2"/>
  <c r="AI425" i="2"/>
  <c r="AY425" i="2"/>
  <c r="J426" i="2"/>
  <c r="Z426" i="2"/>
  <c r="AP426" i="2"/>
  <c r="BF426" i="2"/>
  <c r="Q427" i="2"/>
  <c r="AG427" i="2"/>
  <c r="AW427" i="2"/>
  <c r="BM427" i="2"/>
  <c r="T428" i="2"/>
  <c r="AJ428" i="2"/>
  <c r="AZ428" i="2"/>
  <c r="G429" i="2"/>
  <c r="W429" i="2"/>
  <c r="AM429" i="2"/>
  <c r="BC429" i="2"/>
  <c r="N430" i="2"/>
  <c r="AD430" i="2"/>
  <c r="AT430" i="2"/>
  <c r="BJ430" i="2"/>
  <c r="U431" i="2"/>
  <c r="AP431" i="2"/>
  <c r="K432" i="2"/>
  <c r="AQ432" i="2"/>
  <c r="T433" i="2"/>
  <c r="AZ433" i="2"/>
  <c r="W434" i="2"/>
  <c r="BC434" i="2"/>
  <c r="AR435" i="2"/>
  <c r="AQ436" i="2"/>
  <c r="AP437" i="2"/>
  <c r="AS438" i="2"/>
  <c r="AR439" i="2"/>
  <c r="AQ440" i="2"/>
  <c r="AP441" i="2"/>
  <c r="AS442" i="2"/>
  <c r="AR443" i="2"/>
  <c r="AQ444" i="2"/>
  <c r="AP445" i="2"/>
  <c r="AS446" i="2"/>
  <c r="AX447" i="2"/>
  <c r="AG450" i="2"/>
  <c r="AU452" i="2"/>
  <c r="BD457" i="2"/>
  <c r="BD461" i="2"/>
  <c r="AN470" i="2"/>
  <c r="AP414" i="3"/>
  <c r="AP414" i="2" s="1"/>
  <c r="AP415" i="2"/>
  <c r="BF414" i="3"/>
  <c r="BF414" i="2" s="1"/>
  <c r="BF415" i="2"/>
  <c r="Q416" i="2"/>
  <c r="AG416" i="2"/>
  <c r="AW416" i="2"/>
  <c r="BM416" i="2"/>
  <c r="T417" i="2"/>
  <c r="AJ417" i="2"/>
  <c r="AZ417" i="2"/>
  <c r="G418" i="2"/>
  <c r="W418" i="2"/>
  <c r="AM418" i="2"/>
  <c r="BC418" i="2"/>
  <c r="N419" i="2"/>
  <c r="AD419" i="2"/>
  <c r="AT419" i="2"/>
  <c r="BJ419" i="2"/>
  <c r="U420" i="2"/>
  <c r="AK420" i="2"/>
  <c r="BA420" i="2"/>
  <c r="H421" i="2"/>
  <c r="X421" i="2"/>
  <c r="AN421" i="2"/>
  <c r="BD421" i="2"/>
  <c r="K422" i="2"/>
  <c r="AA422" i="2"/>
  <c r="AQ422" i="2"/>
  <c r="BG422" i="2"/>
  <c r="R423" i="2"/>
  <c r="AH423" i="2"/>
  <c r="AX423" i="2"/>
  <c r="I424" i="2"/>
  <c r="Y424" i="2"/>
  <c r="AO424" i="2"/>
  <c r="BE424" i="2"/>
  <c r="L425" i="2"/>
  <c r="AB425" i="2"/>
  <c r="AR425" i="2"/>
  <c r="BH425" i="2"/>
  <c r="O426" i="2"/>
  <c r="AE426" i="2"/>
  <c r="AU426" i="2"/>
  <c r="BK426" i="2"/>
  <c r="V427" i="2"/>
  <c r="AL427" i="2"/>
  <c r="BB427" i="2"/>
  <c r="M428" i="2"/>
  <c r="AC428" i="2"/>
  <c r="AS428" i="2"/>
  <c r="BI428" i="2"/>
  <c r="P429" i="2"/>
  <c r="AF429" i="2"/>
  <c r="AV429" i="2"/>
  <c r="BL429" i="2"/>
  <c r="S430" i="2"/>
  <c r="AI430" i="2"/>
  <c r="AY430" i="2"/>
  <c r="J431" i="2"/>
  <c r="AB431" i="2"/>
  <c r="AX431" i="2"/>
  <c r="AC432" i="2"/>
  <c r="BI432" i="2"/>
  <c r="AL433" i="2"/>
  <c r="I434" i="2"/>
  <c r="AO434" i="2"/>
  <c r="P435" i="2"/>
  <c r="O436" i="2"/>
  <c r="N437" i="2"/>
  <c r="Q438" i="2"/>
  <c r="P439" i="2"/>
  <c r="O440" i="2"/>
  <c r="N441" i="2"/>
  <c r="Q442" i="2"/>
  <c r="P443" i="2"/>
  <c r="O444" i="2"/>
  <c r="N445" i="2"/>
  <c r="Q446" i="2"/>
  <c r="P447" i="2"/>
  <c r="AY448" i="2"/>
  <c r="AO450" i="2"/>
  <c r="AG454" i="2"/>
  <c r="AL459" i="2"/>
  <c r="AL463" i="2"/>
  <c r="BI431" i="2"/>
  <c r="P432" i="2"/>
  <c r="AF432" i="2"/>
  <c r="AV432" i="2"/>
  <c r="BL432" i="2"/>
  <c r="S433" i="2"/>
  <c r="AI433" i="2"/>
  <c r="AY433" i="2"/>
  <c r="J434" i="2"/>
  <c r="Z434" i="2"/>
  <c r="AP434" i="2"/>
  <c r="BF434" i="2"/>
  <c r="Q435" i="2"/>
  <c r="AG435" i="2"/>
  <c r="AW435" i="2"/>
  <c r="BM435" i="2"/>
  <c r="T436" i="2"/>
  <c r="AJ436" i="2"/>
  <c r="AZ436" i="2"/>
  <c r="G437" i="2"/>
  <c r="W437" i="2"/>
  <c r="AM437" i="2"/>
  <c r="BC437" i="2"/>
  <c r="N438" i="2"/>
  <c r="AD438" i="2"/>
  <c r="AT438" i="2"/>
  <c r="BJ438" i="2"/>
  <c r="U439" i="2"/>
  <c r="AK439" i="2"/>
  <c r="BA439" i="2"/>
  <c r="H440" i="2"/>
  <c r="X440" i="2"/>
  <c r="AN440" i="2"/>
  <c r="BD440" i="2"/>
  <c r="K441" i="2"/>
  <c r="AA441" i="2"/>
  <c r="AQ441" i="2"/>
  <c r="BG441" i="2"/>
  <c r="R442" i="2"/>
  <c r="AH442" i="2"/>
  <c r="AX442" i="2"/>
  <c r="I443" i="2"/>
  <c r="Y443" i="2"/>
  <c r="AO443" i="2"/>
  <c r="BE443" i="2"/>
  <c r="L444" i="2"/>
  <c r="AB444" i="2"/>
  <c r="AR444" i="2"/>
  <c r="BH444" i="2"/>
  <c r="O445" i="2"/>
  <c r="AE445" i="2"/>
  <c r="AU445" i="2"/>
  <c r="BK445" i="2"/>
  <c r="V446" i="2"/>
  <c r="AL446" i="2"/>
  <c r="BB446" i="2"/>
  <c r="M447" i="2"/>
  <c r="AD447" i="2"/>
  <c r="AY447" i="2"/>
  <c r="V448" i="2"/>
  <c r="BB448" i="2"/>
  <c r="Y449" i="2"/>
  <c r="BE449" i="2"/>
  <c r="AB450" i="2"/>
  <c r="BH450" i="2"/>
  <c r="AJ451" i="2"/>
  <c r="S452" i="2"/>
  <c r="AH453" i="2"/>
  <c r="BA454" i="2"/>
  <c r="BI455" i="3"/>
  <c r="BI455" i="2" s="1"/>
  <c r="BI456" i="2"/>
  <c r="BH457" i="2"/>
  <c r="BG458" i="2"/>
  <c r="BF459" i="2"/>
  <c r="BI460" i="2"/>
  <c r="BH461" i="2"/>
  <c r="BG462" i="2"/>
  <c r="BF463" i="2"/>
  <c r="AM467" i="2"/>
  <c r="AM471" i="2"/>
  <c r="AM475" i="2"/>
  <c r="AM479" i="2"/>
  <c r="AM483" i="2"/>
  <c r="K487" i="2"/>
  <c r="V435" i="2"/>
  <c r="AL435" i="2"/>
  <c r="BB435" i="2"/>
  <c r="M436" i="2"/>
  <c r="AC436" i="2"/>
  <c r="AS436" i="2"/>
  <c r="BI436" i="2"/>
  <c r="P437" i="2"/>
  <c r="AF437" i="2"/>
  <c r="AV437" i="2"/>
  <c r="BL437" i="2"/>
  <c r="S438" i="2"/>
  <c r="AI438" i="2"/>
  <c r="AY438" i="2"/>
  <c r="J439" i="2"/>
  <c r="Z439" i="2"/>
  <c r="AP439" i="2"/>
  <c r="BF439" i="2"/>
  <c r="Q440" i="2"/>
  <c r="AG440" i="2"/>
  <c r="AW440" i="2"/>
  <c r="BM440" i="2"/>
  <c r="T441" i="2"/>
  <c r="AJ441" i="2"/>
  <c r="AZ441" i="2"/>
  <c r="G442" i="2"/>
  <c r="W442" i="2"/>
  <c r="AM442" i="2"/>
  <c r="BC442" i="2"/>
  <c r="N443" i="2"/>
  <c r="AD443" i="2"/>
  <c r="AT443" i="2"/>
  <c r="BJ443" i="2"/>
  <c r="U444" i="2"/>
  <c r="AK444" i="2"/>
  <c r="BA444" i="2"/>
  <c r="H445" i="2"/>
  <c r="X445" i="2"/>
  <c r="AN445" i="2"/>
  <c r="BD445" i="2"/>
  <c r="K446" i="2"/>
  <c r="AA446" i="2"/>
  <c r="AQ446" i="2"/>
  <c r="BG446" i="2"/>
  <c r="R447" i="2"/>
  <c r="AJ447" i="2"/>
  <c r="BF447" i="2"/>
  <c r="W448" i="2"/>
  <c r="BC448" i="2"/>
  <c r="Z449" i="2"/>
  <c r="BF449" i="2"/>
  <c r="AK450" i="2"/>
  <c r="G451" i="2"/>
  <c r="AM451" i="2"/>
  <c r="G452" i="2"/>
  <c r="V453" i="2"/>
  <c r="Y454" i="2"/>
  <c r="AG455" i="3"/>
  <c r="AG455" i="2" s="1"/>
  <c r="AG456" i="2"/>
  <c r="AF457" i="2"/>
  <c r="AE458" i="2"/>
  <c r="AD459" i="2"/>
  <c r="AG460" i="2"/>
  <c r="AF461" i="2"/>
  <c r="AE462" i="2"/>
  <c r="AD463" i="2"/>
  <c r="Y465" i="2"/>
  <c r="Y469" i="2"/>
  <c r="Y473" i="2"/>
  <c r="Y477" i="2"/>
  <c r="Y481" i="2"/>
  <c r="AF485" i="2"/>
  <c r="AE431" i="2"/>
  <c r="AU431" i="2"/>
  <c r="BK431" i="2"/>
  <c r="V432" i="2"/>
  <c r="AL432" i="2"/>
  <c r="BB432" i="2"/>
  <c r="M433" i="2"/>
  <c r="AC433" i="2"/>
  <c r="AS433" i="2"/>
  <c r="BI433" i="2"/>
  <c r="P434" i="2"/>
  <c r="AF434" i="2"/>
  <c r="AV434" i="2"/>
  <c r="BL434" i="2"/>
  <c r="S435" i="2"/>
  <c r="AI435" i="2"/>
  <c r="AY435" i="2"/>
  <c r="J436" i="2"/>
  <c r="Z436" i="2"/>
  <c r="AP436" i="2"/>
  <c r="BF436" i="2"/>
  <c r="Q437" i="2"/>
  <c r="AG437" i="2"/>
  <c r="AW437" i="2"/>
  <c r="BM437" i="2"/>
  <c r="T438" i="2"/>
  <c r="AJ438" i="2"/>
  <c r="AZ438" i="2"/>
  <c r="G439" i="2"/>
  <c r="W439" i="2"/>
  <c r="AM439" i="2"/>
  <c r="BC439" i="2"/>
  <c r="N440" i="2"/>
  <c r="AD440" i="2"/>
  <c r="AT440" i="2"/>
  <c r="BJ440" i="2"/>
  <c r="U441" i="2"/>
  <c r="AK441" i="2"/>
  <c r="BA441" i="2"/>
  <c r="H442" i="2"/>
  <c r="X442" i="2"/>
  <c r="AN442" i="2"/>
  <c r="BD442" i="2"/>
  <c r="K443" i="2"/>
  <c r="AA443" i="2"/>
  <c r="AQ443" i="2"/>
  <c r="BG443" i="2"/>
  <c r="R444" i="2"/>
  <c r="AH444" i="2"/>
  <c r="AX444" i="2"/>
  <c r="I445" i="2"/>
  <c r="Y445" i="2"/>
  <c r="AO445" i="2"/>
  <c r="BE445" i="2"/>
  <c r="L446" i="2"/>
  <c r="AB446" i="2"/>
  <c r="AR446" i="2"/>
  <c r="BH446" i="2"/>
  <c r="O447" i="2"/>
  <c r="AF447" i="2"/>
  <c r="BB447" i="2"/>
  <c r="R448" i="2"/>
  <c r="AX448" i="2"/>
  <c r="AC449" i="2"/>
  <c r="BI449" i="2"/>
  <c r="AF450" i="2"/>
  <c r="BL450" i="2"/>
  <c r="AF451" i="2"/>
  <c r="BL451" i="2"/>
  <c r="BG452" i="2"/>
  <c r="BF453" i="2"/>
  <c r="BI454" i="2"/>
  <c r="T457" i="2"/>
  <c r="AI458" i="2"/>
  <c r="AX459" i="2"/>
  <c r="T461" i="2"/>
  <c r="AI462" i="2"/>
  <c r="AX463" i="2"/>
  <c r="G467" i="2"/>
  <c r="G471" i="2"/>
  <c r="G475" i="2"/>
  <c r="G479" i="2"/>
  <c r="G483" i="2"/>
  <c r="AC447" i="2"/>
  <c r="AS447" i="2"/>
  <c r="BI447" i="2"/>
  <c r="P448" i="2"/>
  <c r="AF448" i="2"/>
  <c r="AV448" i="2"/>
  <c r="BL448" i="2"/>
  <c r="S449" i="2"/>
  <c r="AI449" i="2"/>
  <c r="AY449" i="2"/>
  <c r="J450" i="2"/>
  <c r="Z450" i="2"/>
  <c r="AP450" i="2"/>
  <c r="BF450" i="2"/>
  <c r="Q451" i="2"/>
  <c r="AG451" i="2"/>
  <c r="AW451" i="2"/>
  <c r="BM451" i="2"/>
  <c r="T452" i="2"/>
  <c r="AJ452" i="2"/>
  <c r="AZ452" i="2"/>
  <c r="G453" i="2"/>
  <c r="W453" i="2"/>
  <c r="AM453" i="2"/>
  <c r="BC453" i="2"/>
  <c r="N454" i="2"/>
  <c r="AD454" i="2"/>
  <c r="AT454" i="2"/>
  <c r="BJ454" i="2"/>
  <c r="V455" i="3"/>
  <c r="V455" i="2" s="1"/>
  <c r="V456" i="2"/>
  <c r="AL455" i="3"/>
  <c r="AL455" i="2" s="1"/>
  <c r="AL456" i="2"/>
  <c r="BB455" i="3"/>
  <c r="BB455" i="2" s="1"/>
  <c r="BB456" i="2"/>
  <c r="M457" i="2"/>
  <c r="AC457" i="2"/>
  <c r="AS457" i="2"/>
  <c r="BI457" i="2"/>
  <c r="P458" i="2"/>
  <c r="AF458" i="2"/>
  <c r="AV458" i="2"/>
  <c r="BL458" i="2"/>
  <c r="S459" i="2"/>
  <c r="AI459" i="2"/>
  <c r="AY459" i="2"/>
  <c r="J460" i="2"/>
  <c r="Z460" i="2"/>
  <c r="AP460" i="2"/>
  <c r="BF460" i="2"/>
  <c r="Q461" i="2"/>
  <c r="AG461" i="2"/>
  <c r="AW461" i="2"/>
  <c r="BM461" i="2"/>
  <c r="T462" i="2"/>
  <c r="AJ462" i="2"/>
  <c r="AZ462" i="2"/>
  <c r="G463" i="2"/>
  <c r="W463" i="2"/>
  <c r="AM463" i="2"/>
  <c r="BC463" i="2"/>
  <c r="Z464" i="2"/>
  <c r="AC465" i="2"/>
  <c r="AB466" i="2"/>
  <c r="AA467" i="2"/>
  <c r="Z468" i="2"/>
  <c r="AC469" i="2"/>
  <c r="AB470" i="2"/>
  <c r="AA471" i="2"/>
  <c r="Z472" i="2"/>
  <c r="AC473" i="2"/>
  <c r="AB474" i="2"/>
  <c r="AA475" i="2"/>
  <c r="Z476" i="2"/>
  <c r="AC477" i="2"/>
  <c r="AB478" i="2"/>
  <c r="AA479" i="2"/>
  <c r="Z480" i="2"/>
  <c r="AC481" i="2"/>
  <c r="AB482" i="2"/>
  <c r="AA483" i="2"/>
  <c r="Z484" i="2"/>
  <c r="AK485" i="2"/>
  <c r="BD486" i="2"/>
  <c r="Q448" i="2"/>
  <c r="AG448" i="2"/>
  <c r="AW448" i="2"/>
  <c r="BM448" i="2"/>
  <c r="T449" i="2"/>
  <c r="AJ449" i="2"/>
  <c r="AZ449" i="2"/>
  <c r="G450" i="2"/>
  <c r="W450" i="2"/>
  <c r="AM450" i="2"/>
  <c r="BC450" i="2"/>
  <c r="N451" i="2"/>
  <c r="AD451" i="2"/>
  <c r="AT451" i="2"/>
  <c r="BJ451" i="2"/>
  <c r="U452" i="2"/>
  <c r="AK452" i="2"/>
  <c r="BA452" i="2"/>
  <c r="H453" i="2"/>
  <c r="X453" i="2"/>
  <c r="AN453" i="2"/>
  <c r="BD453" i="2"/>
  <c r="K454" i="2"/>
  <c r="AA454" i="2"/>
  <c r="AQ454" i="2"/>
  <c r="BG454" i="2"/>
  <c r="O455" i="3"/>
  <c r="O455" i="2" s="1"/>
  <c r="O456" i="2"/>
  <c r="AE455" i="3"/>
  <c r="AE455" i="2" s="1"/>
  <c r="AE456" i="2"/>
  <c r="AU455" i="3"/>
  <c r="AU455" i="2" s="1"/>
  <c r="AU456" i="2"/>
  <c r="BK455" i="3"/>
  <c r="BK455" i="2" s="1"/>
  <c r="BK456" i="2"/>
  <c r="V457" i="2"/>
  <c r="AL457" i="2"/>
  <c r="BB457" i="2"/>
  <c r="M458" i="2"/>
  <c r="AC458" i="2"/>
  <c r="AS458" i="2"/>
  <c r="BI458" i="2"/>
  <c r="P459" i="2"/>
  <c r="AF459" i="2"/>
  <c r="AV459" i="2"/>
  <c r="BL459" i="2"/>
  <c r="S460" i="2"/>
  <c r="AI460" i="2"/>
  <c r="AY460" i="2"/>
  <c r="J461" i="2"/>
  <c r="Z461" i="2"/>
  <c r="AP461" i="2"/>
  <c r="BF461" i="2"/>
  <c r="Q462" i="2"/>
  <c r="AG462" i="2"/>
  <c r="AW462" i="2"/>
  <c r="BM462" i="2"/>
  <c r="T463" i="2"/>
  <c r="AJ463" i="2"/>
  <c r="AZ463" i="2"/>
  <c r="N464" i="2"/>
  <c r="Q465" i="2"/>
  <c r="P466" i="2"/>
  <c r="O467" i="2"/>
  <c r="N468" i="2"/>
  <c r="Q469" i="2"/>
  <c r="P470" i="2"/>
  <c r="O471" i="2"/>
  <c r="N472" i="2"/>
  <c r="Q473" i="2"/>
  <c r="P474" i="2"/>
  <c r="O475" i="2"/>
  <c r="N476" i="2"/>
  <c r="Q477" i="2"/>
  <c r="P478" i="2"/>
  <c r="O479" i="2"/>
  <c r="N480" i="2"/>
  <c r="Q481" i="2"/>
  <c r="P482" i="2"/>
  <c r="O483" i="2"/>
  <c r="N484" i="2"/>
  <c r="U485" i="2"/>
  <c r="AN486" i="2"/>
  <c r="R452" i="2"/>
  <c r="AH452" i="2"/>
  <c r="AX452" i="2"/>
  <c r="I453" i="2"/>
  <c r="Y453" i="2"/>
  <c r="AO453" i="2"/>
  <c r="BE453" i="2"/>
  <c r="L454" i="2"/>
  <c r="AB454" i="2"/>
  <c r="AR454" i="2"/>
  <c r="BH454" i="2"/>
  <c r="P455" i="3"/>
  <c r="P455" i="2" s="1"/>
  <c r="P456" i="2"/>
  <c r="AF455" i="3"/>
  <c r="AF455" i="2" s="1"/>
  <c r="AF456" i="2"/>
  <c r="AV455" i="3"/>
  <c r="AV455" i="2" s="1"/>
  <c r="AV456" i="2"/>
  <c r="BL455" i="3"/>
  <c r="BL455" i="2" s="1"/>
  <c r="BL456" i="2"/>
  <c r="S457" i="2"/>
  <c r="AI457" i="2"/>
  <c r="AY457" i="2"/>
  <c r="J458" i="2"/>
  <c r="Z458" i="2"/>
  <c r="AP458" i="2"/>
  <c r="BF458" i="2"/>
  <c r="Q459" i="2"/>
  <c r="AG459" i="2"/>
  <c r="AW459" i="2"/>
  <c r="BM459" i="2"/>
  <c r="T460" i="2"/>
  <c r="AJ460" i="2"/>
  <c r="AZ460" i="2"/>
  <c r="G461" i="2"/>
  <c r="W461" i="2"/>
  <c r="AM461" i="2"/>
  <c r="BC461" i="2"/>
  <c r="N462" i="2"/>
  <c r="AD462" i="2"/>
  <c r="AT462" i="2"/>
  <c r="BJ462" i="2"/>
  <c r="U463" i="2"/>
  <c r="AK463" i="2"/>
  <c r="BA463" i="2"/>
  <c r="AH464" i="2"/>
  <c r="BA465" i="2"/>
  <c r="S467" i="2"/>
  <c r="AH468" i="2"/>
  <c r="BA469" i="2"/>
  <c r="S471" i="2"/>
  <c r="AH472" i="2"/>
  <c r="BA473" i="2"/>
  <c r="S475" i="2"/>
  <c r="AH476" i="2"/>
  <c r="BA477" i="2"/>
  <c r="S479" i="2"/>
  <c r="AH480" i="2"/>
  <c r="BA481" i="2"/>
  <c r="S483" i="2"/>
  <c r="AH484" i="2"/>
  <c r="X486" i="2"/>
  <c r="M464" i="2"/>
  <c r="AC464" i="2"/>
  <c r="AS464" i="2"/>
  <c r="BI464" i="2"/>
  <c r="P465" i="2"/>
  <c r="AF465" i="2"/>
  <c r="AV465" i="2"/>
  <c r="BL465" i="2"/>
  <c r="S466" i="2"/>
  <c r="AI466" i="2"/>
  <c r="AY466" i="2"/>
  <c r="J467" i="2"/>
  <c r="Z467" i="2"/>
  <c r="AP467" i="2"/>
  <c r="BF467" i="2"/>
  <c r="Q468" i="2"/>
  <c r="AG468" i="2"/>
  <c r="AW468" i="2"/>
  <c r="BM468" i="2"/>
  <c r="T469" i="2"/>
  <c r="AJ469" i="2"/>
  <c r="AZ469" i="2"/>
  <c r="G470" i="2"/>
  <c r="W470" i="2"/>
  <c r="AM470" i="2"/>
  <c r="BC470" i="2"/>
  <c r="N471" i="2"/>
  <c r="AD471" i="2"/>
  <c r="AT471" i="2"/>
  <c r="BJ471" i="2"/>
  <c r="U472" i="2"/>
  <c r="AK472" i="2"/>
  <c r="BA472" i="2"/>
  <c r="H473" i="2"/>
  <c r="X473" i="2"/>
  <c r="AN473" i="2"/>
  <c r="BD473" i="2"/>
  <c r="K474" i="2"/>
  <c r="AA474" i="2"/>
  <c r="AQ474" i="2"/>
  <c r="BG474" i="2"/>
  <c r="R475" i="2"/>
  <c r="AH475" i="2"/>
  <c r="AX475" i="2"/>
  <c r="I476" i="2"/>
  <c r="Y476" i="2"/>
  <c r="AO476" i="2"/>
  <c r="BE476" i="2"/>
  <c r="L477" i="2"/>
  <c r="AB477" i="2"/>
  <c r="AR477" i="2"/>
  <c r="BH477" i="2"/>
  <c r="O478" i="2"/>
  <c r="AE478" i="2"/>
  <c r="AU478" i="2"/>
  <c r="BK478" i="2"/>
  <c r="V479" i="2"/>
  <c r="AL479" i="2"/>
  <c r="BB479" i="2"/>
  <c r="M480" i="2"/>
  <c r="AC480" i="2"/>
  <c r="AS480" i="2"/>
  <c r="BI480" i="2"/>
  <c r="P481" i="2"/>
  <c r="AF481" i="2"/>
  <c r="AV481" i="2"/>
  <c r="BL481" i="2"/>
  <c r="S482" i="2"/>
  <c r="AI482" i="2"/>
  <c r="AY482" i="2"/>
  <c r="J483" i="2"/>
  <c r="Z483" i="2"/>
  <c r="AP483" i="2"/>
  <c r="BF483" i="2"/>
  <c r="Q484" i="2"/>
  <c r="AG484" i="2"/>
  <c r="AW484" i="2"/>
  <c r="BM484" i="2"/>
  <c r="Y485" i="2"/>
  <c r="AT485" i="2"/>
  <c r="G486" i="2"/>
  <c r="AB486" i="2"/>
  <c r="AW486" i="2"/>
  <c r="J487" i="2"/>
  <c r="O464" i="2"/>
  <c r="AE464" i="2"/>
  <c r="AU464" i="2"/>
  <c r="BK464" i="2"/>
  <c r="V465" i="2"/>
  <c r="AL465" i="2"/>
  <c r="BB465" i="2"/>
  <c r="M466" i="2"/>
  <c r="AC466" i="2"/>
  <c r="AS466" i="2"/>
  <c r="BI466" i="2"/>
  <c r="P467" i="2"/>
  <c r="AF467" i="2"/>
  <c r="AV467" i="2"/>
  <c r="BL467" i="2"/>
  <c r="S468" i="2"/>
  <c r="AI468" i="2"/>
  <c r="AY468" i="2"/>
  <c r="J469" i="2"/>
  <c r="Z469" i="2"/>
  <c r="AP469" i="2"/>
  <c r="BF469" i="2"/>
  <c r="Q470" i="2"/>
  <c r="AG470" i="2"/>
  <c r="AW470" i="2"/>
  <c r="BM470" i="2"/>
  <c r="T471" i="2"/>
  <c r="AJ471" i="2"/>
  <c r="AZ471" i="2"/>
  <c r="G472" i="2"/>
  <c r="W472" i="2"/>
  <c r="AM472" i="2"/>
  <c r="BC472" i="2"/>
  <c r="N473" i="2"/>
  <c r="AD473" i="2"/>
  <c r="AT473" i="2"/>
  <c r="BJ473" i="2"/>
  <c r="U474" i="2"/>
  <c r="AK474" i="2"/>
  <c r="BA474" i="2"/>
  <c r="H475" i="2"/>
  <c r="X475" i="2"/>
  <c r="AN475" i="2"/>
  <c r="BD475" i="2"/>
  <c r="K476" i="2"/>
  <c r="AA476" i="2"/>
  <c r="AQ476" i="2"/>
  <c r="BG476" i="2"/>
  <c r="R477" i="2"/>
  <c r="AH477" i="2"/>
  <c r="AX477" i="2"/>
  <c r="I478" i="2"/>
  <c r="Y478" i="2"/>
  <c r="AO478" i="2"/>
  <c r="BE478" i="2"/>
  <c r="L479" i="2"/>
  <c r="AB479" i="2"/>
  <c r="AR479" i="2"/>
  <c r="BH479" i="2"/>
  <c r="O480" i="2"/>
  <c r="AE480" i="2"/>
  <c r="AU480" i="2"/>
  <c r="BK480" i="2"/>
  <c r="V481" i="2"/>
  <c r="AL481" i="2"/>
  <c r="BB481" i="2"/>
  <c r="M482" i="2"/>
  <c r="AC482" i="2"/>
  <c r="AS482" i="2"/>
  <c r="BI482" i="2"/>
  <c r="P483" i="2"/>
  <c r="AF483" i="2"/>
  <c r="AV483" i="2"/>
  <c r="BL483" i="2"/>
  <c r="S484" i="2"/>
  <c r="AI484" i="2"/>
  <c r="AY484" i="2"/>
  <c r="L485" i="2"/>
  <c r="AG485" i="2"/>
  <c r="BB485" i="2"/>
  <c r="O486" i="2"/>
  <c r="AJ486" i="2"/>
  <c r="BE486" i="2"/>
  <c r="L464" i="2"/>
  <c r="AB464" i="2"/>
  <c r="AR464" i="2"/>
  <c r="BH464" i="2"/>
  <c r="O465" i="2"/>
  <c r="AE465" i="2"/>
  <c r="AU465" i="2"/>
  <c r="BK465" i="2"/>
  <c r="V466" i="2"/>
  <c r="AL466" i="2"/>
  <c r="BB466" i="2"/>
  <c r="M467" i="2"/>
  <c r="AC467" i="2"/>
  <c r="AS467" i="2"/>
  <c r="BI467" i="2"/>
  <c r="P468" i="2"/>
  <c r="AF468" i="2"/>
  <c r="AV468" i="2"/>
  <c r="BL468" i="2"/>
  <c r="S469" i="2"/>
  <c r="AI469" i="2"/>
  <c r="AY469" i="2"/>
  <c r="J470" i="2"/>
  <c r="Z470" i="2"/>
  <c r="AP470" i="2"/>
  <c r="BF470" i="2"/>
  <c r="Q471" i="2"/>
  <c r="AG471" i="2"/>
  <c r="AW471" i="2"/>
  <c r="BM471" i="2"/>
  <c r="T472" i="2"/>
  <c r="AJ472" i="2"/>
  <c r="AZ472" i="2"/>
  <c r="G473" i="2"/>
  <c r="W473" i="2"/>
  <c r="AM473" i="2"/>
  <c r="BC473" i="2"/>
  <c r="N474" i="2"/>
  <c r="AD474" i="2"/>
  <c r="AT474" i="2"/>
  <c r="BJ474" i="2"/>
  <c r="U475" i="2"/>
  <c r="AK475" i="2"/>
  <c r="BA475" i="2"/>
  <c r="H476" i="2"/>
  <c r="X476" i="2"/>
  <c r="AN476" i="2"/>
  <c r="BD476" i="2"/>
  <c r="K477" i="2"/>
  <c r="AA477" i="2"/>
  <c r="AQ477" i="2"/>
  <c r="BG477" i="2"/>
  <c r="R478" i="2"/>
  <c r="AH478" i="2"/>
  <c r="AX478" i="2"/>
  <c r="I479" i="2"/>
  <c r="Y479" i="2"/>
  <c r="AO479" i="2"/>
  <c r="BE479" i="2"/>
  <c r="L480" i="2"/>
  <c r="AB480" i="2"/>
  <c r="AR480" i="2"/>
  <c r="BH480" i="2"/>
  <c r="O481" i="2"/>
  <c r="AE481" i="2"/>
  <c r="AU481" i="2"/>
  <c r="BK481" i="2"/>
  <c r="V482" i="2"/>
  <c r="AL482" i="2"/>
  <c r="BB482" i="2"/>
  <c r="M483" i="2"/>
  <c r="AC483" i="2"/>
  <c r="AS483" i="2"/>
  <c r="BI483" i="2"/>
  <c r="P484" i="2"/>
  <c r="AF484" i="2"/>
  <c r="AV484" i="2"/>
  <c r="BL484" i="2"/>
  <c r="X485" i="2"/>
  <c r="AS485" i="2"/>
  <c r="K486" i="2"/>
  <c r="AF486" i="2"/>
  <c r="BA486" i="2"/>
  <c r="O487" i="2"/>
  <c r="AH487" i="2"/>
  <c r="AX487" i="2"/>
  <c r="I488" i="2"/>
  <c r="Y488" i="2"/>
  <c r="AO488" i="2"/>
  <c r="BE488" i="2"/>
  <c r="L489" i="2"/>
  <c r="AB489" i="2"/>
  <c r="AR489" i="2"/>
  <c r="BH489" i="2"/>
  <c r="O490" i="2"/>
  <c r="AE490" i="2"/>
  <c r="AU490" i="2"/>
  <c r="BK490" i="2"/>
  <c r="V491" i="2"/>
  <c r="AL491" i="2"/>
  <c r="BB491" i="2"/>
  <c r="M492" i="2"/>
  <c r="AC492" i="2"/>
  <c r="AS492" i="2"/>
  <c r="BI492" i="2"/>
  <c r="P493" i="2"/>
  <c r="AF493" i="2"/>
  <c r="AV493" i="2"/>
  <c r="BL493" i="2"/>
  <c r="S494" i="2"/>
  <c r="AI494" i="2"/>
  <c r="AY494" i="2"/>
  <c r="J495" i="2"/>
  <c r="Z495" i="2"/>
  <c r="AP495" i="2"/>
  <c r="BF495" i="2"/>
  <c r="AE487" i="2"/>
  <c r="AU487" i="2"/>
  <c r="BK487" i="2"/>
  <c r="V488" i="2"/>
  <c r="AL488" i="2"/>
  <c r="BB488" i="2"/>
  <c r="M489" i="2"/>
  <c r="AC489" i="2"/>
  <c r="AS489" i="2"/>
  <c r="BI489" i="2"/>
  <c r="P490" i="2"/>
  <c r="AF490" i="2"/>
  <c r="AV490" i="2"/>
  <c r="BL490" i="2"/>
  <c r="S491" i="2"/>
  <c r="AI491" i="2"/>
  <c r="AY491" i="2"/>
  <c r="J492" i="2"/>
  <c r="Z492" i="2"/>
  <c r="AP492" i="2"/>
  <c r="BF492" i="2"/>
  <c r="Q493" i="2"/>
  <c r="AG493" i="2"/>
  <c r="AW493" i="2"/>
  <c r="BM493" i="2"/>
  <c r="T494" i="2"/>
  <c r="AJ494" i="2"/>
  <c r="AZ494" i="2"/>
  <c r="G495" i="2"/>
  <c r="W495" i="2"/>
  <c r="AM495" i="2"/>
  <c r="BC495" i="2"/>
  <c r="L487" i="2"/>
  <c r="AB487" i="2"/>
  <c r="AR487" i="2"/>
  <c r="BH487" i="2"/>
  <c r="O488" i="2"/>
  <c r="AE488" i="2"/>
  <c r="AU488" i="2"/>
  <c r="BK488" i="2"/>
  <c r="V489" i="2"/>
  <c r="AL489" i="2"/>
  <c r="BB489" i="2"/>
  <c r="M490" i="2"/>
  <c r="AC490" i="2"/>
  <c r="AS490" i="2"/>
  <c r="BI490" i="2"/>
  <c r="P491" i="2"/>
  <c r="AF491" i="2"/>
  <c r="AV491" i="2"/>
  <c r="BL491" i="2"/>
  <c r="S492" i="2"/>
  <c r="AI492" i="2"/>
  <c r="AY492" i="2"/>
  <c r="J493" i="2"/>
  <c r="Z493" i="2"/>
  <c r="AP493" i="2"/>
  <c r="BF493" i="2"/>
  <c r="Q494" i="2"/>
  <c r="AG494" i="2"/>
  <c r="AW494" i="2"/>
  <c r="BM494" i="2"/>
  <c r="T495" i="2"/>
  <c r="AJ495" i="2"/>
  <c r="AZ495" i="2"/>
  <c r="G485" i="2"/>
  <c r="W485" i="2"/>
  <c r="AM485" i="2"/>
  <c r="BC485" i="2"/>
  <c r="N486" i="2"/>
  <c r="AD486" i="2"/>
  <c r="AT486" i="2"/>
  <c r="BJ486" i="2"/>
  <c r="U487" i="2"/>
  <c r="AK487" i="2"/>
  <c r="BA487" i="2"/>
  <c r="H488" i="2"/>
  <c r="X488" i="2"/>
  <c r="AN488" i="2"/>
  <c r="BD488" i="2"/>
  <c r="K489" i="2"/>
  <c r="AA489" i="2"/>
  <c r="AQ489" i="2"/>
  <c r="BG489" i="2"/>
  <c r="R490" i="2"/>
  <c r="AH490" i="2"/>
  <c r="AX490" i="2"/>
  <c r="I491" i="2"/>
  <c r="Y491" i="2"/>
  <c r="AO491" i="2"/>
  <c r="BE491" i="2"/>
  <c r="L492" i="2"/>
  <c r="AB492" i="2"/>
  <c r="AR492" i="2"/>
  <c r="BH492" i="2"/>
  <c r="O493" i="2"/>
  <c r="AE493" i="2"/>
  <c r="AU493" i="2"/>
  <c r="BK493" i="2"/>
  <c r="V494" i="2"/>
  <c r="AL494" i="2"/>
  <c r="BB494" i="2"/>
  <c r="M495" i="2"/>
  <c r="AC495" i="2"/>
  <c r="AS495" i="2"/>
  <c r="BI495" i="2"/>
  <c r="AN196" i="2"/>
  <c r="BD196" i="2"/>
  <c r="K197" i="2"/>
  <c r="AA197" i="2"/>
  <c r="AQ197" i="2"/>
  <c r="BG197" i="2"/>
  <c r="R198" i="2"/>
  <c r="AH198" i="2"/>
  <c r="AX198" i="2"/>
  <c r="I199" i="2"/>
  <c r="Y199" i="2"/>
  <c r="AO199" i="2"/>
  <c r="BE199" i="2"/>
  <c r="L200" i="2"/>
  <c r="AF200" i="2"/>
  <c r="BA200" i="2"/>
  <c r="L201" i="2"/>
  <c r="AH201" i="2"/>
  <c r="BC201" i="2"/>
  <c r="U202" i="2"/>
  <c r="AP202" i="2"/>
  <c r="BK202" i="2"/>
  <c r="X203" i="2"/>
  <c r="AS203" i="2"/>
  <c r="K204" i="2"/>
  <c r="AF204" i="2"/>
  <c r="BA204" i="2"/>
  <c r="L205" i="2"/>
  <c r="AH205" i="2"/>
  <c r="BC205" i="2"/>
  <c r="U206" i="2"/>
  <c r="AP206" i="2"/>
  <c r="BK206" i="2"/>
  <c r="T207" i="2"/>
  <c r="AJ207" i="2"/>
  <c r="AZ207" i="2"/>
  <c r="H208" i="3"/>
  <c r="H208" i="2" s="1"/>
  <c r="H209" i="2"/>
  <c r="X208" i="3"/>
  <c r="X208" i="2" s="1"/>
  <c r="X209" i="2"/>
  <c r="AN208" i="3"/>
  <c r="AN208" i="2" s="1"/>
  <c r="AN209" i="2"/>
  <c r="BD208" i="3"/>
  <c r="BD208" i="2" s="1"/>
  <c r="BD209" i="2"/>
  <c r="K210" i="2"/>
  <c r="AA210" i="2"/>
  <c r="AQ210" i="2"/>
  <c r="BG210" i="2"/>
  <c r="R211" i="2"/>
  <c r="AH211" i="2"/>
  <c r="AX211" i="2"/>
  <c r="I212" i="2"/>
  <c r="Y212" i="2"/>
  <c r="AO212" i="2"/>
  <c r="BE212" i="2"/>
  <c r="L213" i="2"/>
  <c r="AB213" i="2"/>
  <c r="AR213" i="2"/>
  <c r="BH213" i="2"/>
  <c r="O214" i="2"/>
  <c r="AE214" i="2"/>
  <c r="AU214" i="2"/>
  <c r="BK214" i="2"/>
  <c r="V215" i="2"/>
  <c r="AL215" i="2"/>
  <c r="BB215" i="2"/>
  <c r="M216" i="2"/>
  <c r="AC216" i="2"/>
  <c r="AS216" i="2"/>
  <c r="BI216" i="2"/>
  <c r="P217" i="2"/>
  <c r="AF217" i="2"/>
  <c r="AV217" i="2"/>
  <c r="BL217" i="2"/>
  <c r="S218" i="2"/>
  <c r="AI218" i="2"/>
  <c r="AY218" i="2"/>
  <c r="J219" i="2"/>
  <c r="Z219" i="2"/>
  <c r="AP219" i="2"/>
  <c r="BF219" i="2"/>
  <c r="Q220" i="2"/>
  <c r="AG220" i="2"/>
  <c r="AW220" i="2"/>
  <c r="BM220" i="2"/>
  <c r="T221" i="2"/>
  <c r="AJ221" i="2"/>
  <c r="AZ221" i="2"/>
  <c r="G222" i="2"/>
  <c r="W222" i="2"/>
  <c r="AM222" i="2"/>
  <c r="BC222" i="2"/>
  <c r="N223" i="2"/>
  <c r="AD223" i="2"/>
  <c r="AT223" i="2"/>
  <c r="BJ223" i="2"/>
  <c r="U224" i="2"/>
  <c r="AK224" i="2"/>
  <c r="BA224" i="2"/>
  <c r="H225" i="2"/>
  <c r="X225" i="2"/>
  <c r="AN225" i="2"/>
  <c r="BD225" i="2"/>
  <c r="K226" i="2"/>
  <c r="AA226" i="2"/>
  <c r="AQ226" i="2"/>
  <c r="BG226" i="2"/>
  <c r="R227" i="2"/>
  <c r="AH227" i="2"/>
  <c r="AX227" i="2"/>
  <c r="I228" i="2"/>
  <c r="Y228" i="2"/>
  <c r="AO228" i="2"/>
  <c r="BE228" i="2"/>
  <c r="L229" i="2"/>
  <c r="AB229" i="2"/>
  <c r="AR229" i="2"/>
  <c r="BH229" i="2"/>
  <c r="O230" i="2"/>
  <c r="AE230" i="2"/>
  <c r="AU230" i="2"/>
  <c r="BK230" i="2"/>
  <c r="V231" i="2"/>
  <c r="AL231" i="2"/>
  <c r="BB231" i="2"/>
  <c r="M232" i="2"/>
  <c r="AC232" i="2"/>
  <c r="AS232" i="2"/>
  <c r="BI232" i="2"/>
  <c r="P233" i="2"/>
  <c r="AF233" i="2"/>
  <c r="AV233" i="2"/>
  <c r="BL233" i="2"/>
  <c r="S234" i="2"/>
  <c r="AI234" i="2"/>
  <c r="AY234" i="2"/>
  <c r="J235" i="2"/>
  <c r="Z235" i="2"/>
  <c r="AP235" i="2"/>
  <c r="BF235" i="2"/>
  <c r="Q236" i="2"/>
  <c r="AG236" i="2"/>
  <c r="AW236" i="2"/>
  <c r="BM236" i="2"/>
  <c r="T237" i="2"/>
  <c r="AJ237" i="2"/>
  <c r="AZ237" i="2"/>
  <c r="G238" i="2"/>
  <c r="W238" i="2"/>
  <c r="AM238" i="2"/>
  <c r="BC238" i="2"/>
  <c r="N239" i="2"/>
  <c r="AD239" i="2"/>
  <c r="AT239" i="2"/>
  <c r="BJ239" i="2"/>
  <c r="U240" i="2"/>
  <c r="AK240" i="2"/>
  <c r="BA240" i="2"/>
  <c r="H241" i="2"/>
  <c r="X241" i="2"/>
  <c r="AN241" i="2"/>
  <c r="BD241" i="2"/>
  <c r="K242" i="2"/>
  <c r="AA242" i="2"/>
  <c r="AQ242" i="2"/>
  <c r="BG242" i="2"/>
  <c r="R243" i="2"/>
  <c r="AH243" i="2"/>
  <c r="AX243" i="2"/>
  <c r="I244" i="2"/>
  <c r="Y244" i="2"/>
  <c r="AO244" i="2"/>
  <c r="BE244" i="2"/>
  <c r="L245" i="2"/>
  <c r="AB245" i="2"/>
  <c r="AR245" i="2"/>
  <c r="BH245" i="2"/>
  <c r="O246" i="2"/>
  <c r="AE246" i="2"/>
  <c r="AU246" i="2"/>
  <c r="BK246" i="2"/>
  <c r="V247" i="2"/>
  <c r="AL247" i="2"/>
  <c r="BB247" i="2"/>
  <c r="M248" i="2"/>
  <c r="AC248" i="2"/>
  <c r="AS248" i="2"/>
  <c r="BI248" i="2"/>
  <c r="Q249" i="3"/>
  <c r="Q249" i="2" s="1"/>
  <c r="Q250" i="2"/>
  <c r="AG249" i="3"/>
  <c r="AG249" i="2" s="1"/>
  <c r="AG250" i="2"/>
  <c r="AW249" i="3"/>
  <c r="AW249" i="2" s="1"/>
  <c r="AW250" i="2"/>
  <c r="BM249" i="3"/>
  <c r="BM249" i="2" s="1"/>
  <c r="BM250" i="2"/>
  <c r="T251" i="2"/>
  <c r="AJ251" i="2"/>
  <c r="AZ251" i="2"/>
  <c r="G252" i="2"/>
  <c r="W252" i="2"/>
  <c r="AM252" i="2"/>
  <c r="BC252" i="2"/>
  <c r="N253" i="2"/>
  <c r="AD253" i="2"/>
  <c r="AT253" i="2"/>
  <c r="BJ253" i="2"/>
  <c r="U254" i="2"/>
  <c r="AK254" i="2"/>
  <c r="BA254" i="2"/>
  <c r="H255" i="2"/>
  <c r="X255" i="2"/>
  <c r="AN255" i="2"/>
  <c r="BD255" i="2"/>
  <c r="K256" i="2"/>
  <c r="AA256" i="2"/>
  <c r="AQ256" i="2"/>
  <c r="BG256" i="2"/>
  <c r="R257" i="2"/>
  <c r="AH257" i="2"/>
  <c r="AX257" i="2"/>
  <c r="I258" i="2"/>
  <c r="Y258" i="2"/>
  <c r="AO258" i="2"/>
  <c r="BE258" i="2"/>
  <c r="L259" i="2"/>
  <c r="AB259" i="2"/>
  <c r="AR259" i="2"/>
  <c r="BH259" i="2"/>
  <c r="O260" i="2"/>
  <c r="AE260" i="2"/>
  <c r="AU260" i="2"/>
  <c r="BK260" i="2"/>
  <c r="V261" i="2"/>
  <c r="AL261" i="2"/>
  <c r="BB261" i="2"/>
  <c r="M262" i="2"/>
  <c r="AC262" i="2"/>
  <c r="AS262" i="2"/>
  <c r="BI262" i="2"/>
  <c r="P263" i="2"/>
  <c r="AF263" i="2"/>
  <c r="AV263" i="2"/>
  <c r="BL263" i="2"/>
  <c r="S264" i="2"/>
  <c r="AI264" i="2"/>
  <c r="AY264" i="2"/>
  <c r="J265" i="2"/>
  <c r="Z265" i="2"/>
  <c r="AP265" i="2"/>
  <c r="BF265" i="2"/>
  <c r="Q266" i="2"/>
  <c r="AG266" i="2"/>
  <c r="AW266" i="2"/>
  <c r="BM266" i="2"/>
  <c r="T267" i="2"/>
  <c r="AJ267" i="2"/>
  <c r="AZ267" i="2"/>
  <c r="G268" i="2"/>
  <c r="W268" i="2"/>
  <c r="AM268" i="2"/>
  <c r="BC268" i="2"/>
  <c r="N269" i="2"/>
  <c r="AD269" i="2"/>
  <c r="AT269" i="2"/>
  <c r="BJ269" i="2"/>
  <c r="U270" i="2"/>
  <c r="AK270" i="2"/>
  <c r="BA270" i="2"/>
  <c r="H271" i="2"/>
  <c r="X271" i="2"/>
  <c r="AN271" i="2"/>
  <c r="BD271" i="2"/>
  <c r="K272" i="2"/>
  <c r="AA272" i="2"/>
  <c r="AQ272" i="2"/>
  <c r="BG272" i="2"/>
  <c r="R273" i="2"/>
  <c r="AH273" i="2"/>
  <c r="AX273" i="2"/>
  <c r="I274" i="2"/>
  <c r="Y274" i="2"/>
  <c r="AO274" i="2"/>
  <c r="BE274" i="2"/>
  <c r="L275" i="2"/>
  <c r="AB275" i="2"/>
  <c r="AR275" i="2"/>
  <c r="BH275" i="2"/>
  <c r="O276" i="2"/>
  <c r="AE276" i="2"/>
  <c r="AU276" i="2"/>
  <c r="BK276" i="2"/>
  <c r="V277" i="2"/>
  <c r="AL277" i="2"/>
  <c r="BB277" i="2"/>
  <c r="M278" i="2"/>
  <c r="AC278" i="2"/>
  <c r="AS278" i="2"/>
  <c r="BI278" i="2"/>
  <c r="P279" i="2"/>
  <c r="AF279" i="2"/>
  <c r="AV279" i="2"/>
  <c r="BL279" i="2"/>
  <c r="S280" i="2"/>
  <c r="AI280" i="2"/>
  <c r="AY280" i="2"/>
  <c r="J281" i="2"/>
  <c r="Z281" i="2"/>
  <c r="AP281" i="2"/>
  <c r="BF281" i="2"/>
  <c r="Q282" i="2"/>
  <c r="AG282" i="2"/>
  <c r="AW282" i="2"/>
  <c r="BM282" i="2"/>
  <c r="T283" i="2"/>
  <c r="AJ283" i="2"/>
  <c r="AZ283" i="2"/>
  <c r="G284" i="2"/>
  <c r="W284" i="2"/>
  <c r="AM284" i="2"/>
  <c r="BC284" i="2"/>
  <c r="N285" i="2"/>
  <c r="AD285" i="2"/>
  <c r="AT285" i="2"/>
  <c r="BJ285" i="2"/>
  <c r="U286" i="2"/>
  <c r="AK286" i="2"/>
  <c r="BA286" i="2"/>
  <c r="H287" i="2"/>
  <c r="X287" i="2"/>
  <c r="AN287" i="2"/>
  <c r="BD287" i="2"/>
  <c r="K288" i="2"/>
  <c r="AA288" i="2"/>
  <c r="AQ288" i="2"/>
  <c r="BG288" i="2"/>
  <c r="R289" i="2"/>
  <c r="AH289" i="2"/>
  <c r="AX289" i="2"/>
  <c r="N290" i="3"/>
  <c r="N290" i="2" s="1"/>
  <c r="N291" i="2"/>
  <c r="Q292" i="2"/>
  <c r="P293" i="2"/>
  <c r="Q207" i="2"/>
  <c r="AG207" i="2"/>
  <c r="AW207" i="2"/>
  <c r="BM207" i="2"/>
  <c r="U208" i="3"/>
  <c r="U208" i="2" s="1"/>
  <c r="U209" i="2"/>
  <c r="AK208" i="3"/>
  <c r="AK208" i="2" s="1"/>
  <c r="AK209" i="2"/>
  <c r="BA208" i="3"/>
  <c r="BA208" i="2" s="1"/>
  <c r="BA209" i="2"/>
  <c r="H210" i="2"/>
  <c r="X210" i="2"/>
  <c r="AN210" i="2"/>
  <c r="BD210" i="2"/>
  <c r="K211" i="2"/>
  <c r="AA211" i="2"/>
  <c r="AQ211" i="2"/>
  <c r="BG211" i="2"/>
  <c r="R212" i="2"/>
  <c r="AH212" i="2"/>
  <c r="AX212" i="2"/>
  <c r="I213" i="2"/>
  <c r="Y213" i="2"/>
  <c r="AO213" i="2"/>
  <c r="BE213" i="2"/>
  <c r="L214" i="2"/>
  <c r="AB214" i="2"/>
  <c r="AR214" i="2"/>
  <c r="BH214" i="2"/>
  <c r="O215" i="2"/>
  <c r="AE215" i="2"/>
  <c r="AU215" i="2"/>
  <c r="BK215" i="2"/>
  <c r="V216" i="2"/>
  <c r="AL216" i="2"/>
  <c r="BB216" i="2"/>
  <c r="M217" i="2"/>
  <c r="AC217" i="2"/>
  <c r="AS217" i="2"/>
  <c r="BI217" i="2"/>
  <c r="P218" i="2"/>
  <c r="AF218" i="2"/>
  <c r="AV218" i="2"/>
  <c r="BL218" i="2"/>
  <c r="S219" i="2"/>
  <c r="AI219" i="2"/>
  <c r="AY219" i="2"/>
  <c r="J220" i="2"/>
  <c r="Z220" i="2"/>
  <c r="AP220" i="2"/>
  <c r="BF220" i="2"/>
  <c r="Q221" i="2"/>
  <c r="AG221" i="2"/>
  <c r="AW221" i="2"/>
  <c r="BM221" i="2"/>
  <c r="T222" i="2"/>
  <c r="AJ222" i="2"/>
  <c r="AZ222" i="2"/>
  <c r="G223" i="2"/>
  <c r="W223" i="2"/>
  <c r="AM223" i="2"/>
  <c r="BC223" i="2"/>
  <c r="N224" i="2"/>
  <c r="AD224" i="2"/>
  <c r="AT224" i="2"/>
  <c r="BJ224" i="2"/>
  <c r="U225" i="2"/>
  <c r="AK225" i="2"/>
  <c r="BA225" i="2"/>
  <c r="H226" i="2"/>
  <c r="X226" i="2"/>
  <c r="AN226" i="2"/>
  <c r="BD226" i="2"/>
  <c r="K227" i="2"/>
  <c r="AA227" i="2"/>
  <c r="AQ227" i="2"/>
  <c r="BG227" i="2"/>
  <c r="R228" i="2"/>
  <c r="AH228" i="2"/>
  <c r="AX228" i="2"/>
  <c r="I229" i="2"/>
  <c r="Y229" i="2"/>
  <c r="AO229" i="2"/>
  <c r="BE229" i="2"/>
  <c r="L230" i="2"/>
  <c r="AB230" i="2"/>
  <c r="AR230" i="2"/>
  <c r="BH230" i="2"/>
  <c r="O231" i="2"/>
  <c r="AE231" i="2"/>
  <c r="AU231" i="2"/>
  <c r="BK231" i="2"/>
  <c r="V232" i="2"/>
  <c r="AL232" i="2"/>
  <c r="BB232" i="2"/>
  <c r="M233" i="2"/>
  <c r="AC233" i="2"/>
  <c r="AS233" i="2"/>
  <c r="BI233" i="2"/>
  <c r="P234" i="2"/>
  <c r="AF234" i="2"/>
  <c r="AV234" i="2"/>
  <c r="BL234" i="2"/>
  <c r="S235" i="2"/>
  <c r="AI235" i="2"/>
  <c r="AY235" i="2"/>
  <c r="J236" i="2"/>
  <c r="Z236" i="2"/>
  <c r="AP236" i="2"/>
  <c r="BF236" i="2"/>
  <c r="Q237" i="2"/>
  <c r="AG237" i="2"/>
  <c r="AW237" i="2"/>
  <c r="BM237" i="2"/>
  <c r="T238" i="2"/>
  <c r="AJ238" i="2"/>
  <c r="AZ238" i="2"/>
  <c r="G239" i="2"/>
  <c r="W239" i="2"/>
  <c r="AM239" i="2"/>
  <c r="BC239" i="2"/>
  <c r="N240" i="2"/>
  <c r="AD240" i="2"/>
  <c r="AT240" i="2"/>
  <c r="BJ240" i="2"/>
  <c r="U241" i="2"/>
  <c r="AK241" i="2"/>
  <c r="BA241" i="2"/>
  <c r="H242" i="2"/>
  <c r="X242" i="2"/>
  <c r="AN242" i="2"/>
  <c r="BD242" i="2"/>
  <c r="K243" i="2"/>
  <c r="AA243" i="2"/>
  <c r="AQ243" i="2"/>
  <c r="BG243" i="2"/>
  <c r="R244" i="2"/>
  <c r="AH244" i="2"/>
  <c r="AX244" i="2"/>
  <c r="I245" i="2"/>
  <c r="Y245" i="2"/>
  <c r="AO245" i="2"/>
  <c r="BE245" i="2"/>
  <c r="L246" i="2"/>
  <c r="AB246" i="2"/>
  <c r="AR246" i="2"/>
  <c r="BH246" i="2"/>
  <c r="O247" i="2"/>
  <c r="AE247" i="2"/>
  <c r="AU247" i="2"/>
  <c r="BK247" i="2"/>
  <c r="V248" i="2"/>
  <c r="AL248" i="2"/>
  <c r="BB248" i="2"/>
  <c r="N249" i="3"/>
  <c r="N249" i="2" s="1"/>
  <c r="N250" i="2"/>
  <c r="AD249" i="3"/>
  <c r="AD249" i="2" s="1"/>
  <c r="AD250" i="2"/>
  <c r="AT249" i="3"/>
  <c r="AT249" i="2" s="1"/>
  <c r="AT250" i="2"/>
  <c r="BJ249" i="3"/>
  <c r="BJ249" i="2" s="1"/>
  <c r="BJ250" i="2"/>
  <c r="U251" i="2"/>
  <c r="AK251" i="2"/>
  <c r="BA251" i="2"/>
  <c r="H252" i="2"/>
  <c r="X252" i="2"/>
  <c r="AN252" i="2"/>
  <c r="BD252" i="2"/>
  <c r="K253" i="2"/>
  <c r="AA253" i="2"/>
  <c r="AQ253" i="2"/>
  <c r="BG253" i="2"/>
  <c r="R254" i="2"/>
  <c r="AH254" i="2"/>
  <c r="AX254" i="2"/>
  <c r="I255" i="2"/>
  <c r="Y255" i="2"/>
  <c r="AO255" i="2"/>
  <c r="BE255" i="2"/>
  <c r="L256" i="2"/>
  <c r="AB256" i="2"/>
  <c r="AR256" i="2"/>
  <c r="BH256" i="2"/>
  <c r="O257" i="2"/>
  <c r="AE257" i="2"/>
  <c r="AU257" i="2"/>
  <c r="BK257" i="2"/>
  <c r="V258" i="2"/>
  <c r="AL258" i="2"/>
  <c r="BB258" i="2"/>
  <c r="M259" i="2"/>
  <c r="AC259" i="2"/>
  <c r="AS259" i="2"/>
  <c r="BI259" i="2"/>
  <c r="P260" i="2"/>
  <c r="AF260" i="2"/>
  <c r="AV260" i="2"/>
  <c r="BL260" i="2"/>
  <c r="S261" i="2"/>
  <c r="AI261" i="2"/>
  <c r="AY261" i="2"/>
  <c r="J262" i="2"/>
  <c r="Z262" i="2"/>
  <c r="AP262" i="2"/>
  <c r="BF262" i="2"/>
  <c r="Q263" i="2"/>
  <c r="AG263" i="2"/>
  <c r="AW263" i="2"/>
  <c r="BM263" i="2"/>
  <c r="T264" i="2"/>
  <c r="AJ264" i="2"/>
  <c r="AZ264" i="2"/>
  <c r="G265" i="2"/>
  <c r="W265" i="2"/>
  <c r="AM265" i="2"/>
  <c r="BC265" i="2"/>
  <c r="N266" i="2"/>
  <c r="AD266" i="2"/>
  <c r="AT266" i="2"/>
  <c r="BJ266" i="2"/>
  <c r="U267" i="2"/>
  <c r="AK267" i="2"/>
  <c r="BA267" i="2"/>
  <c r="H268" i="2"/>
  <c r="X268" i="2"/>
  <c r="AN268" i="2"/>
  <c r="BD268" i="2"/>
  <c r="K269" i="2"/>
  <c r="AA269" i="2"/>
  <c r="AQ269" i="2"/>
  <c r="BG269" i="2"/>
  <c r="R270" i="2"/>
  <c r="AH270" i="2"/>
  <c r="AX270" i="2"/>
  <c r="I271" i="2"/>
  <c r="Y271" i="2"/>
  <c r="AO271" i="2"/>
  <c r="BE271" i="2"/>
  <c r="L272" i="2"/>
  <c r="AB272" i="2"/>
  <c r="AR272" i="2"/>
  <c r="BH272" i="2"/>
  <c r="O273" i="2"/>
  <c r="AE273" i="2"/>
  <c r="AU273" i="2"/>
  <c r="BK273" i="2"/>
  <c r="V274" i="2"/>
  <c r="AL274" i="2"/>
  <c r="BB274" i="2"/>
  <c r="M275" i="2"/>
  <c r="AC275" i="2"/>
  <c r="AS275" i="2"/>
  <c r="BI275" i="2"/>
  <c r="P276" i="2"/>
  <c r="AF276" i="2"/>
  <c r="AV276" i="2"/>
  <c r="BL276" i="2"/>
  <c r="S277" i="2"/>
  <c r="AI277" i="2"/>
  <c r="AY277" i="2"/>
  <c r="J278" i="2"/>
  <c r="Z278" i="2"/>
  <c r="AP278" i="2"/>
  <c r="BF278" i="2"/>
  <c r="Q279" i="2"/>
  <c r="AG279" i="2"/>
  <c r="AW279" i="2"/>
  <c r="BM279" i="2"/>
  <c r="T280" i="2"/>
  <c r="AJ280" i="2"/>
  <c r="AZ280" i="2"/>
  <c r="G281" i="2"/>
  <c r="W281" i="2"/>
  <c r="AM281" i="2"/>
  <c r="BC281" i="2"/>
  <c r="N282" i="2"/>
  <c r="AD282" i="2"/>
  <c r="AT282" i="2"/>
  <c r="BJ282" i="2"/>
  <c r="U283" i="2"/>
  <c r="AK283" i="2"/>
  <c r="BA283" i="2"/>
  <c r="H284" i="2"/>
  <c r="X284" i="2"/>
  <c r="AN284" i="2"/>
  <c r="BD284" i="2"/>
  <c r="K285" i="2"/>
  <c r="AA285" i="2"/>
  <c r="AQ285" i="2"/>
  <c r="BG285" i="2"/>
  <c r="R286" i="2"/>
  <c r="AH286" i="2"/>
  <c r="AX286" i="2"/>
  <c r="I287" i="2"/>
  <c r="Y287" i="2"/>
  <c r="AO287" i="2"/>
  <c r="BE287" i="2"/>
  <c r="L288" i="2"/>
  <c r="AB288" i="2"/>
  <c r="AR288" i="2"/>
  <c r="BH288" i="2"/>
  <c r="O289" i="2"/>
  <c r="AE289" i="2"/>
  <c r="AU289" i="2"/>
  <c r="BK289" i="2"/>
  <c r="U292" i="2"/>
  <c r="AJ293" i="2"/>
  <c r="V207" i="2"/>
  <c r="AL207" i="2"/>
  <c r="BB207" i="2"/>
  <c r="N208" i="3"/>
  <c r="N208" i="2" s="1"/>
  <c r="N209" i="2"/>
  <c r="AD208" i="3"/>
  <c r="AD208" i="2" s="1"/>
  <c r="AD209" i="2"/>
  <c r="AT208" i="3"/>
  <c r="AT208" i="2" s="1"/>
  <c r="AT209" i="2"/>
  <c r="BJ208" i="3"/>
  <c r="BJ208" i="2" s="1"/>
  <c r="BJ209" i="2"/>
  <c r="U210" i="2"/>
  <c r="AK210" i="2"/>
  <c r="BA210" i="2"/>
  <c r="H211" i="2"/>
  <c r="X211" i="2"/>
  <c r="AN211" i="2"/>
  <c r="BD211" i="2"/>
  <c r="K212" i="2"/>
  <c r="AA212" i="2"/>
  <c r="AQ212" i="2"/>
  <c r="BG212" i="2"/>
  <c r="R213" i="2"/>
  <c r="AH213" i="2"/>
  <c r="AX213" i="2"/>
  <c r="I214" i="2"/>
  <c r="Y214" i="2"/>
  <c r="AO214" i="2"/>
  <c r="BE214" i="2"/>
  <c r="L215" i="2"/>
  <c r="AB215" i="2"/>
  <c r="AR215" i="2"/>
  <c r="BH215" i="2"/>
  <c r="O216" i="2"/>
  <c r="AE216" i="2"/>
  <c r="AU216" i="2"/>
  <c r="BK216" i="2"/>
  <c r="V217" i="2"/>
  <c r="AL217" i="2"/>
  <c r="BB217" i="2"/>
  <c r="M218" i="2"/>
  <c r="AC218" i="2"/>
  <c r="AS218" i="2"/>
  <c r="BI218" i="2"/>
  <c r="P219" i="2"/>
  <c r="AF219" i="2"/>
  <c r="AV219" i="2"/>
  <c r="BL219" i="2"/>
  <c r="S220" i="2"/>
  <c r="AI220" i="2"/>
  <c r="AY220" i="2"/>
  <c r="J221" i="2"/>
  <c r="Z221" i="2"/>
  <c r="AP221" i="2"/>
  <c r="BF221" i="2"/>
  <c r="Q222" i="2"/>
  <c r="AG222" i="2"/>
  <c r="AW222" i="2"/>
  <c r="BM222" i="2"/>
  <c r="T223" i="2"/>
  <c r="AJ223" i="2"/>
  <c r="AZ223" i="2"/>
  <c r="G224" i="2"/>
  <c r="W224" i="2"/>
  <c r="AM224" i="2"/>
  <c r="BC224" i="2"/>
  <c r="N225" i="2"/>
  <c r="AD225" i="2"/>
  <c r="AT225" i="2"/>
  <c r="BJ225" i="2"/>
  <c r="U226" i="2"/>
  <c r="AK226" i="2"/>
  <c r="BA226" i="2"/>
  <c r="H227" i="2"/>
  <c r="X227" i="2"/>
  <c r="AN227" i="2"/>
  <c r="BD227" i="2"/>
  <c r="K228" i="2"/>
  <c r="AA228" i="2"/>
  <c r="AQ228" i="2"/>
  <c r="BG228" i="2"/>
  <c r="R229" i="2"/>
  <c r="AH229" i="2"/>
  <c r="AX229" i="2"/>
  <c r="I230" i="2"/>
  <c r="Y230" i="2"/>
  <c r="AO230" i="2"/>
  <c r="BE230" i="2"/>
  <c r="L231" i="2"/>
  <c r="AB231" i="2"/>
  <c r="AR231" i="2"/>
  <c r="BH231" i="2"/>
  <c r="O232" i="2"/>
  <c r="AE232" i="2"/>
  <c r="AU232" i="2"/>
  <c r="BK232" i="2"/>
  <c r="V233" i="2"/>
  <c r="AL233" i="2"/>
  <c r="BB233" i="2"/>
  <c r="M234" i="2"/>
  <c r="AC234" i="2"/>
  <c r="AS234" i="2"/>
  <c r="BI234" i="2"/>
  <c r="P235" i="2"/>
  <c r="AF235" i="2"/>
  <c r="AV235" i="2"/>
  <c r="BL235" i="2"/>
  <c r="S236" i="2"/>
  <c r="AI236" i="2"/>
  <c r="AY236" i="2"/>
  <c r="J237" i="2"/>
  <c r="Z237" i="2"/>
  <c r="AP237" i="2"/>
  <c r="BF237" i="2"/>
  <c r="Q238" i="2"/>
  <c r="AG238" i="2"/>
  <c r="AW238" i="2"/>
  <c r="BM238" i="2"/>
  <c r="T239" i="2"/>
  <c r="AJ239" i="2"/>
  <c r="AZ239" i="2"/>
  <c r="G240" i="2"/>
  <c r="W240" i="2"/>
  <c r="AM240" i="2"/>
  <c r="BC240" i="2"/>
  <c r="N241" i="2"/>
  <c r="AD241" i="2"/>
  <c r="AT241" i="2"/>
  <c r="BJ241" i="2"/>
  <c r="U242" i="2"/>
  <c r="AK242" i="2"/>
  <c r="BA242" i="2"/>
  <c r="H243" i="2"/>
  <c r="X243" i="2"/>
  <c r="AN243" i="2"/>
  <c r="BD243" i="2"/>
  <c r="K244" i="2"/>
  <c r="AA244" i="2"/>
  <c r="AQ244" i="2"/>
  <c r="BG244" i="2"/>
  <c r="R245" i="2"/>
  <c r="AH245" i="2"/>
  <c r="AX245" i="2"/>
  <c r="I246" i="2"/>
  <c r="Y246" i="2"/>
  <c r="AO246" i="2"/>
  <c r="BE246" i="2"/>
  <c r="L247" i="2"/>
  <c r="AB247" i="2"/>
  <c r="AR247" i="2"/>
  <c r="BH247" i="2"/>
  <c r="O248" i="2"/>
  <c r="AE248" i="2"/>
  <c r="AU248" i="2"/>
  <c r="BK248" i="2"/>
  <c r="S249" i="3"/>
  <c r="S249" i="2" s="1"/>
  <c r="S250" i="2"/>
  <c r="AI249" i="3"/>
  <c r="AI249" i="2" s="1"/>
  <c r="AI250" i="2"/>
  <c r="AY249" i="3"/>
  <c r="AY249" i="2" s="1"/>
  <c r="AY250" i="2"/>
  <c r="J251" i="2"/>
  <c r="Z251" i="2"/>
  <c r="AP251" i="2"/>
  <c r="BF251" i="2"/>
  <c r="Q252" i="2"/>
  <c r="AG252" i="2"/>
  <c r="AW252" i="2"/>
  <c r="BM252" i="2"/>
  <c r="T253" i="2"/>
  <c r="AJ253" i="2"/>
  <c r="AZ253" i="2"/>
  <c r="G254" i="2"/>
  <c r="W254" i="2"/>
  <c r="AM254" i="2"/>
  <c r="BC254" i="2"/>
  <c r="N255" i="2"/>
  <c r="AD255" i="2"/>
  <c r="AT255" i="2"/>
  <c r="BJ255" i="2"/>
  <c r="U256" i="2"/>
  <c r="AK256" i="2"/>
  <c r="BA256" i="2"/>
  <c r="H257" i="2"/>
  <c r="X257" i="2"/>
  <c r="AN257" i="2"/>
  <c r="BD257" i="2"/>
  <c r="K258" i="2"/>
  <c r="AA258" i="2"/>
  <c r="AQ258" i="2"/>
  <c r="BG258" i="2"/>
  <c r="R259" i="2"/>
  <c r="AH259" i="2"/>
  <c r="AX259" i="2"/>
  <c r="I260" i="2"/>
  <c r="Y260" i="2"/>
  <c r="AO260" i="2"/>
  <c r="BE260" i="2"/>
  <c r="L261" i="2"/>
  <c r="AB261" i="2"/>
  <c r="AR261" i="2"/>
  <c r="BH261" i="2"/>
  <c r="O262" i="2"/>
  <c r="AE262" i="2"/>
  <c r="AU262" i="2"/>
  <c r="BK262" i="2"/>
  <c r="V263" i="2"/>
  <c r="AL263" i="2"/>
  <c r="BB263" i="2"/>
  <c r="M264" i="2"/>
  <c r="AC264" i="2"/>
  <c r="AS264" i="2"/>
  <c r="BI264" i="2"/>
  <c r="P265" i="2"/>
  <c r="AF265" i="2"/>
  <c r="AV265" i="2"/>
  <c r="BL265" i="2"/>
  <c r="S266" i="2"/>
  <c r="AI266" i="2"/>
  <c r="AY266" i="2"/>
  <c r="J267" i="2"/>
  <c r="Z267" i="2"/>
  <c r="AP267" i="2"/>
  <c r="BF267" i="2"/>
  <c r="Q268" i="2"/>
  <c r="AG268" i="2"/>
  <c r="AW268" i="2"/>
  <c r="BM268" i="2"/>
  <c r="T269" i="2"/>
  <c r="AJ269" i="2"/>
  <c r="AZ269" i="2"/>
  <c r="G270" i="2"/>
  <c r="W270" i="2"/>
  <c r="AM270" i="2"/>
  <c r="BC270" i="2"/>
  <c r="N271" i="2"/>
  <c r="AD271" i="2"/>
  <c r="AT271" i="2"/>
  <c r="BJ271" i="2"/>
  <c r="U272" i="2"/>
  <c r="AK272" i="2"/>
  <c r="BA272" i="2"/>
  <c r="H273" i="2"/>
  <c r="X273" i="2"/>
  <c r="AN273" i="2"/>
  <c r="BD273" i="2"/>
  <c r="K274" i="2"/>
  <c r="AA274" i="2"/>
  <c r="AQ274" i="2"/>
  <c r="BG274" i="2"/>
  <c r="R275" i="2"/>
  <c r="AH275" i="2"/>
  <c r="AX275" i="2"/>
  <c r="I276" i="2"/>
  <c r="Y276" i="2"/>
  <c r="AO276" i="2"/>
  <c r="BE276" i="2"/>
  <c r="L277" i="2"/>
  <c r="AB277" i="2"/>
  <c r="AR277" i="2"/>
  <c r="BH277" i="2"/>
  <c r="O278" i="2"/>
  <c r="AE278" i="2"/>
  <c r="AU278" i="2"/>
  <c r="BK278" i="2"/>
  <c r="V279" i="2"/>
  <c r="AL279" i="2"/>
  <c r="BB279" i="2"/>
  <c r="M280" i="2"/>
  <c r="AC280" i="2"/>
  <c r="AS280" i="2"/>
  <c r="BI280" i="2"/>
  <c r="P281" i="2"/>
  <c r="AF281" i="2"/>
  <c r="AV281" i="2"/>
  <c r="BL281" i="2"/>
  <c r="S282" i="2"/>
  <c r="AI282" i="2"/>
  <c r="AY282" i="2"/>
  <c r="J283" i="2"/>
  <c r="Z283" i="2"/>
  <c r="AP283" i="2"/>
  <c r="BF283" i="2"/>
  <c r="Q284" i="2"/>
  <c r="AG284" i="2"/>
  <c r="AW284" i="2"/>
  <c r="BM284" i="2"/>
  <c r="T285" i="2"/>
  <c r="AJ285" i="2"/>
  <c r="AZ285" i="2"/>
  <c r="G286" i="2"/>
  <c r="W286" i="2"/>
  <c r="AM286" i="2"/>
  <c r="BC286" i="2"/>
  <c r="N287" i="2"/>
  <c r="AD287" i="2"/>
  <c r="AT287" i="2"/>
  <c r="BJ287" i="2"/>
  <c r="U288" i="2"/>
  <c r="AK288" i="2"/>
  <c r="BA288" i="2"/>
  <c r="H289" i="2"/>
  <c r="X289" i="2"/>
  <c r="AN289" i="2"/>
  <c r="BD289" i="2"/>
  <c r="AL290" i="3"/>
  <c r="AL290" i="2" s="1"/>
  <c r="AL291" i="2"/>
  <c r="AO292" i="2"/>
  <c r="R200" i="2"/>
  <c r="AH200" i="2"/>
  <c r="AX200" i="2"/>
  <c r="I201" i="2"/>
  <c r="Y201" i="2"/>
  <c r="AO201" i="2"/>
  <c r="BE201" i="2"/>
  <c r="L202" i="2"/>
  <c r="AB202" i="2"/>
  <c r="AR202" i="2"/>
  <c r="BH202" i="2"/>
  <c r="O203" i="2"/>
  <c r="AE203" i="2"/>
  <c r="AU203" i="2"/>
  <c r="BK203" i="2"/>
  <c r="V204" i="2"/>
  <c r="AL204" i="2"/>
  <c r="BB204" i="2"/>
  <c r="M205" i="2"/>
  <c r="AC205" i="2"/>
  <c r="AS205" i="2"/>
  <c r="BI205" i="2"/>
  <c r="P206" i="2"/>
  <c r="AF206" i="2"/>
  <c r="AV206" i="2"/>
  <c r="BL206" i="2"/>
  <c r="S207" i="2"/>
  <c r="AI207" i="2"/>
  <c r="AY207" i="2"/>
  <c r="G208" i="3"/>
  <c r="G208" i="2" s="1"/>
  <c r="G209" i="2"/>
  <c r="W208" i="3"/>
  <c r="W208" i="2" s="1"/>
  <c r="W209" i="2"/>
  <c r="AM208" i="3"/>
  <c r="AM208" i="2" s="1"/>
  <c r="AM209" i="2"/>
  <c r="BC208" i="3"/>
  <c r="BC208" i="2" s="1"/>
  <c r="BC209" i="2"/>
  <c r="N210" i="2"/>
  <c r="AD210" i="2"/>
  <c r="AT210" i="2"/>
  <c r="BJ210" i="2"/>
  <c r="U211" i="2"/>
  <c r="AK211" i="2"/>
  <c r="BA211" i="2"/>
  <c r="H212" i="2"/>
  <c r="X212" i="2"/>
  <c r="AN212" i="2"/>
  <c r="BD212" i="2"/>
  <c r="K213" i="2"/>
  <c r="AA213" i="2"/>
  <c r="AQ213" i="2"/>
  <c r="BG213" i="2"/>
  <c r="R214" i="2"/>
  <c r="AH214" i="2"/>
  <c r="AX214" i="2"/>
  <c r="I215" i="2"/>
  <c r="Y215" i="2"/>
  <c r="AO215" i="2"/>
  <c r="BE215" i="2"/>
  <c r="L216" i="2"/>
  <c r="AB216" i="2"/>
  <c r="AR216" i="2"/>
  <c r="BH216" i="2"/>
  <c r="O217" i="2"/>
  <c r="AE217" i="2"/>
  <c r="AU217" i="2"/>
  <c r="BK217" i="2"/>
  <c r="V218" i="2"/>
  <c r="AL218" i="2"/>
  <c r="BB218" i="2"/>
  <c r="M219" i="2"/>
  <c r="AC219" i="2"/>
  <c r="AS219" i="2"/>
  <c r="BI219" i="2"/>
  <c r="P220" i="2"/>
  <c r="AF220" i="2"/>
  <c r="AV220" i="2"/>
  <c r="BL220" i="2"/>
  <c r="S221" i="2"/>
  <c r="AI221" i="2"/>
  <c r="AY221" i="2"/>
  <c r="J222" i="2"/>
  <c r="Z222" i="2"/>
  <c r="AP222" i="2"/>
  <c r="BF222" i="2"/>
  <c r="Q223" i="2"/>
  <c r="AG223" i="2"/>
  <c r="AW223" i="2"/>
  <c r="BM223" i="2"/>
  <c r="T224" i="2"/>
  <c r="AJ224" i="2"/>
  <c r="AZ224" i="2"/>
  <c r="G225" i="2"/>
  <c r="W225" i="2"/>
  <c r="AM225" i="2"/>
  <c r="BC225" i="2"/>
  <c r="N226" i="2"/>
  <c r="AD226" i="2"/>
  <c r="AT226" i="2"/>
  <c r="BJ226" i="2"/>
  <c r="U227" i="2"/>
  <c r="AK227" i="2"/>
  <c r="BA227" i="2"/>
  <c r="H228" i="2"/>
  <c r="X228" i="2"/>
  <c r="AN228" i="2"/>
  <c r="BD228" i="2"/>
  <c r="K229" i="2"/>
  <c r="AA229" i="2"/>
  <c r="AQ229" i="2"/>
  <c r="BG229" i="2"/>
  <c r="R230" i="2"/>
  <c r="AH230" i="2"/>
  <c r="AX230" i="2"/>
  <c r="I231" i="2"/>
  <c r="Y231" i="2"/>
  <c r="AO231" i="2"/>
  <c r="BE231" i="2"/>
  <c r="L232" i="2"/>
  <c r="AB232" i="2"/>
  <c r="AR232" i="2"/>
  <c r="BH232" i="2"/>
  <c r="O233" i="2"/>
  <c r="AE233" i="2"/>
  <c r="AU233" i="2"/>
  <c r="BK233" i="2"/>
  <c r="V234" i="2"/>
  <c r="AL234" i="2"/>
  <c r="BB234" i="2"/>
  <c r="M235" i="2"/>
  <c r="AC235" i="2"/>
  <c r="AS235" i="2"/>
  <c r="BI235" i="2"/>
  <c r="P236" i="2"/>
  <c r="AF236" i="2"/>
  <c r="AV236" i="2"/>
  <c r="BL236" i="2"/>
  <c r="S237" i="2"/>
  <c r="AI237" i="2"/>
  <c r="AY237" i="2"/>
  <c r="J238" i="2"/>
  <c r="Z238" i="2"/>
  <c r="AP238" i="2"/>
  <c r="BF238" i="2"/>
  <c r="Q239" i="2"/>
  <c r="AG239" i="2"/>
  <c r="AW239" i="2"/>
  <c r="BM239" i="2"/>
  <c r="T240" i="2"/>
  <c r="AJ240" i="2"/>
  <c r="AZ240" i="2"/>
  <c r="G241" i="2"/>
  <c r="W241" i="2"/>
  <c r="AM241" i="2"/>
  <c r="BC241" i="2"/>
  <c r="N242" i="2"/>
  <c r="AD242" i="2"/>
  <c r="AT242" i="2"/>
  <c r="BJ242" i="2"/>
  <c r="U243" i="2"/>
  <c r="AK243" i="2"/>
  <c r="BA243" i="2"/>
  <c r="H244" i="2"/>
  <c r="X244" i="2"/>
  <c r="AN244" i="2"/>
  <c r="BD244" i="2"/>
  <c r="K245" i="2"/>
  <c r="AA245" i="2"/>
  <c r="AQ245" i="2"/>
  <c r="BG245" i="2"/>
  <c r="R246" i="2"/>
  <c r="AH246" i="2"/>
  <c r="AX246" i="2"/>
  <c r="I247" i="2"/>
  <c r="Y247" i="2"/>
  <c r="AO247" i="2"/>
  <c r="BE247" i="2"/>
  <c r="L248" i="2"/>
  <c r="AB248" i="2"/>
  <c r="AR248" i="2"/>
  <c r="BH248" i="2"/>
  <c r="P249" i="3"/>
  <c r="P249" i="2" s="1"/>
  <c r="P250" i="2"/>
  <c r="AF249" i="3"/>
  <c r="AF249" i="2" s="1"/>
  <c r="AF250" i="2"/>
  <c r="AV249" i="3"/>
  <c r="AV249" i="2" s="1"/>
  <c r="AV250" i="2"/>
  <c r="BL249" i="3"/>
  <c r="BL249" i="2" s="1"/>
  <c r="BL250" i="2"/>
  <c r="S251" i="2"/>
  <c r="AI251" i="2"/>
  <c r="AY251" i="2"/>
  <c r="J252" i="2"/>
  <c r="Z252" i="2"/>
  <c r="AP252" i="2"/>
  <c r="BF252" i="2"/>
  <c r="Q253" i="2"/>
  <c r="AG253" i="2"/>
  <c r="AW253" i="2"/>
  <c r="BM253" i="2"/>
  <c r="T254" i="2"/>
  <c r="AJ254" i="2"/>
  <c r="AZ254" i="2"/>
  <c r="G255" i="2"/>
  <c r="W255" i="2"/>
  <c r="AM255" i="2"/>
  <c r="BC255" i="2"/>
  <c r="N256" i="2"/>
  <c r="AD256" i="2"/>
  <c r="AT256" i="2"/>
  <c r="BJ256" i="2"/>
  <c r="U257" i="2"/>
  <c r="AK257" i="2"/>
  <c r="BA257" i="2"/>
  <c r="H258" i="2"/>
  <c r="X258" i="2"/>
  <c r="AN258" i="2"/>
  <c r="BD258" i="2"/>
  <c r="K259" i="2"/>
  <c r="AA259" i="2"/>
  <c r="AQ259" i="2"/>
  <c r="BG259" i="2"/>
  <c r="R260" i="2"/>
  <c r="AH260" i="2"/>
  <c r="AX260" i="2"/>
  <c r="I261" i="2"/>
  <c r="Y261" i="2"/>
  <c r="AO261" i="2"/>
  <c r="BE261" i="2"/>
  <c r="L262" i="2"/>
  <c r="AB262" i="2"/>
  <c r="AR262" i="2"/>
  <c r="BH262" i="2"/>
  <c r="O263" i="2"/>
  <c r="AE263" i="2"/>
  <c r="AU263" i="2"/>
  <c r="BK263" i="2"/>
  <c r="V264" i="2"/>
  <c r="AL264" i="2"/>
  <c r="BB264" i="2"/>
  <c r="M265" i="2"/>
  <c r="AC265" i="2"/>
  <c r="AS265" i="2"/>
  <c r="BI265" i="2"/>
  <c r="P266" i="2"/>
  <c r="AF266" i="2"/>
  <c r="AV266" i="2"/>
  <c r="BL266" i="2"/>
  <c r="S267" i="2"/>
  <c r="AI267" i="2"/>
  <c r="AY267" i="2"/>
  <c r="J268" i="2"/>
  <c r="Z268" i="2"/>
  <c r="AP268" i="2"/>
  <c r="BF268" i="2"/>
  <c r="Q269" i="2"/>
  <c r="AG269" i="2"/>
  <c r="AW269" i="2"/>
  <c r="BM269" i="2"/>
  <c r="T270" i="2"/>
  <c r="AJ270" i="2"/>
  <c r="AZ270" i="2"/>
  <c r="G271" i="2"/>
  <c r="W271" i="2"/>
  <c r="AM271" i="2"/>
  <c r="BC271" i="2"/>
  <c r="N272" i="2"/>
  <c r="AD272" i="2"/>
  <c r="AT272" i="2"/>
  <c r="BJ272" i="2"/>
  <c r="U273" i="2"/>
  <c r="AK273" i="2"/>
  <c r="BA273" i="2"/>
  <c r="H274" i="2"/>
  <c r="X274" i="2"/>
  <c r="AN274" i="2"/>
  <c r="BD274" i="2"/>
  <c r="K275" i="2"/>
  <c r="AA275" i="2"/>
  <c r="AQ275" i="2"/>
  <c r="BG275" i="2"/>
  <c r="R276" i="2"/>
  <c r="AH276" i="2"/>
  <c r="AX276" i="2"/>
  <c r="I277" i="2"/>
  <c r="Y277" i="2"/>
  <c r="AO277" i="2"/>
  <c r="BE277" i="2"/>
  <c r="L278" i="2"/>
  <c r="AB278" i="2"/>
  <c r="AR278" i="2"/>
  <c r="BH278" i="2"/>
  <c r="O279" i="2"/>
  <c r="AE279" i="2"/>
  <c r="AU279" i="2"/>
  <c r="BK279" i="2"/>
  <c r="V280" i="2"/>
  <c r="AL280" i="2"/>
  <c r="BB280" i="2"/>
  <c r="M281" i="2"/>
  <c r="AC281" i="2"/>
  <c r="AS281" i="2"/>
  <c r="BI281" i="2"/>
  <c r="P282" i="2"/>
  <c r="AF282" i="2"/>
  <c r="AV282" i="2"/>
  <c r="BL282" i="2"/>
  <c r="S283" i="2"/>
  <c r="AI283" i="2"/>
  <c r="AY283" i="2"/>
  <c r="J284" i="2"/>
  <c r="Z284" i="2"/>
  <c r="AP284" i="2"/>
  <c r="BF284" i="2"/>
  <c r="Q285" i="2"/>
  <c r="AG285" i="2"/>
  <c r="AW285" i="2"/>
  <c r="BM285" i="2"/>
  <c r="T286" i="2"/>
  <c r="AJ286" i="2"/>
  <c r="AZ286" i="2"/>
  <c r="G287" i="2"/>
  <c r="W287" i="2"/>
  <c r="AM287" i="2"/>
  <c r="BC287" i="2"/>
  <c r="N288" i="2"/>
  <c r="AD288" i="2"/>
  <c r="AT288" i="2"/>
  <c r="BJ288" i="2"/>
  <c r="U289" i="2"/>
  <c r="AK289" i="2"/>
  <c r="BA289" i="2"/>
  <c r="J290" i="3"/>
  <c r="J290" i="2" s="1"/>
  <c r="J291" i="2"/>
  <c r="M292" i="2"/>
  <c r="L293" i="2"/>
  <c r="AV293" i="2"/>
  <c r="BL293" i="2"/>
  <c r="S294" i="2"/>
  <c r="AI294" i="2"/>
  <c r="AY294" i="2"/>
  <c r="J295" i="2"/>
  <c r="Z295" i="2"/>
  <c r="AP295" i="2"/>
  <c r="BF295" i="2"/>
  <c r="Q296" i="2"/>
  <c r="AG296" i="2"/>
  <c r="AW296" i="2"/>
  <c r="BM296" i="2"/>
  <c r="T297" i="2"/>
  <c r="AJ297" i="2"/>
  <c r="AZ297" i="2"/>
  <c r="G298" i="2"/>
  <c r="W298" i="2"/>
  <c r="AM298" i="2"/>
  <c r="BC298" i="2"/>
  <c r="N299" i="2"/>
  <c r="AD299" i="2"/>
  <c r="AT299" i="2"/>
  <c r="BJ299" i="2"/>
  <c r="U300" i="2"/>
  <c r="AK300" i="2"/>
  <c r="BA300" i="2"/>
  <c r="H301" i="2"/>
  <c r="X301" i="2"/>
  <c r="AN301" i="2"/>
  <c r="BD301" i="2"/>
  <c r="K302" i="2"/>
  <c r="AA302" i="2"/>
  <c r="AQ302" i="2"/>
  <c r="BG302" i="2"/>
  <c r="R303" i="2"/>
  <c r="AH303" i="2"/>
  <c r="AX303" i="2"/>
  <c r="I304" i="2"/>
  <c r="Y304" i="2"/>
  <c r="AO304" i="2"/>
  <c r="BE304" i="2"/>
  <c r="L305" i="2"/>
  <c r="AB305" i="2"/>
  <c r="AR305" i="2"/>
  <c r="BH305" i="2"/>
  <c r="O306" i="2"/>
  <c r="AE306" i="2"/>
  <c r="AU306" i="2"/>
  <c r="BK306" i="2"/>
  <c r="V307" i="2"/>
  <c r="AL307" i="2"/>
  <c r="BB307" i="2"/>
  <c r="M308" i="2"/>
  <c r="AC308" i="2"/>
  <c r="AS308" i="2"/>
  <c r="BI308" i="2"/>
  <c r="P309" i="2"/>
  <c r="AF309" i="2"/>
  <c r="AV309" i="2"/>
  <c r="BL309" i="2"/>
  <c r="S310" i="2"/>
  <c r="AI310" i="2"/>
  <c r="AY310" i="2"/>
  <c r="J311" i="2"/>
  <c r="Z311" i="2"/>
  <c r="AP311" i="2"/>
  <c r="BF311" i="2"/>
  <c r="Q312" i="2"/>
  <c r="AG312" i="2"/>
  <c r="AW312" i="2"/>
  <c r="BM312" i="2"/>
  <c r="T313" i="2"/>
  <c r="AJ313" i="2"/>
  <c r="AZ313" i="2"/>
  <c r="G314" i="2"/>
  <c r="W314" i="2"/>
  <c r="AM314" i="2"/>
  <c r="BC314" i="2"/>
  <c r="N315" i="2"/>
  <c r="AD315" i="2"/>
  <c r="AT315" i="2"/>
  <c r="M316" i="2"/>
  <c r="AS316" i="2"/>
  <c r="O317" i="2"/>
  <c r="AU317" i="2"/>
  <c r="O318" i="2"/>
  <c r="AU318" i="2"/>
  <c r="R319" i="2"/>
  <c r="AX319" i="2"/>
  <c r="AC320" i="2"/>
  <c r="BI320" i="2"/>
  <c r="AE321" i="2"/>
  <c r="BK321" i="2"/>
  <c r="AE322" i="2"/>
  <c r="BK322" i="2"/>
  <c r="AH323" i="2"/>
  <c r="M324" i="2"/>
  <c r="AS324" i="2"/>
  <c r="O325" i="2"/>
  <c r="AU325" i="2"/>
  <c r="O326" i="2"/>
  <c r="AU326" i="2"/>
  <c r="R327" i="2"/>
  <c r="AX327" i="2"/>
  <c r="AC328" i="2"/>
  <c r="BI328" i="2"/>
  <c r="AE329" i="2"/>
  <c r="BK329" i="2"/>
  <c r="AE330" i="2"/>
  <c r="BK330" i="2"/>
  <c r="AE331" i="3"/>
  <c r="AE331" i="2" s="1"/>
  <c r="AE332" i="2"/>
  <c r="BK331" i="3"/>
  <c r="BK331" i="2" s="1"/>
  <c r="BK332" i="2"/>
  <c r="AH333" i="2"/>
  <c r="M334" i="2"/>
  <c r="AS334" i="2"/>
  <c r="O335" i="2"/>
  <c r="AU335" i="2"/>
  <c r="O336" i="2"/>
  <c r="AU336" i="2"/>
  <c r="R337" i="2"/>
  <c r="AX337" i="2"/>
  <c r="AC338" i="2"/>
  <c r="BI338" i="2"/>
  <c r="AE339" i="2"/>
  <c r="BK339" i="2"/>
  <c r="AE340" i="2"/>
  <c r="BK340" i="2"/>
  <c r="AH341" i="2"/>
  <c r="M342" i="2"/>
  <c r="AS342" i="2"/>
  <c r="O343" i="2"/>
  <c r="AU343" i="2"/>
  <c r="O344" i="2"/>
  <c r="AU344" i="2"/>
  <c r="R345" i="2"/>
  <c r="AX345" i="2"/>
  <c r="AC346" i="2"/>
  <c r="BI346" i="2"/>
  <c r="AE347" i="2"/>
  <c r="BK347" i="2"/>
  <c r="AE348" i="2"/>
  <c r="BK348" i="2"/>
  <c r="AH349" i="2"/>
  <c r="M350" i="2"/>
  <c r="W351" i="2"/>
  <c r="Y353" i="2"/>
  <c r="W355" i="2"/>
  <c r="Y357" i="2"/>
  <c r="W359" i="2"/>
  <c r="Y361" i="2"/>
  <c r="W363" i="2"/>
  <c r="Y365" i="2"/>
  <c r="W367" i="2"/>
  <c r="Y369" i="2"/>
  <c r="W371" i="2"/>
  <c r="S375" i="2"/>
  <c r="AX377" i="2"/>
  <c r="AP381" i="2"/>
  <c r="R385" i="2"/>
  <c r="J389" i="2"/>
  <c r="AX393" i="2"/>
  <c r="AP397" i="2"/>
  <c r="R401" i="2"/>
  <c r="J405" i="2"/>
  <c r="AX409" i="2"/>
  <c r="G290" i="3"/>
  <c r="G290" i="2" s="1"/>
  <c r="G291" i="2"/>
  <c r="W290" i="3"/>
  <c r="W290" i="2" s="1"/>
  <c r="W291" i="2"/>
  <c r="AM290" i="3"/>
  <c r="AM290" i="2" s="1"/>
  <c r="AM291" i="2"/>
  <c r="BC290" i="3"/>
  <c r="BC290" i="2" s="1"/>
  <c r="BC291" i="2"/>
  <c r="N292" i="2"/>
  <c r="AD292" i="2"/>
  <c r="AT292" i="2"/>
  <c r="BJ292" i="2"/>
  <c r="U293" i="2"/>
  <c r="AK293" i="2"/>
  <c r="BA293" i="2"/>
  <c r="H294" i="2"/>
  <c r="X294" i="2"/>
  <c r="AN294" i="2"/>
  <c r="BD294" i="2"/>
  <c r="K295" i="2"/>
  <c r="AA295" i="2"/>
  <c r="AQ295" i="2"/>
  <c r="BG295" i="2"/>
  <c r="R296" i="2"/>
  <c r="AH296" i="2"/>
  <c r="AX296" i="2"/>
  <c r="I297" i="2"/>
  <c r="Y297" i="2"/>
  <c r="AO297" i="2"/>
  <c r="BE297" i="2"/>
  <c r="L298" i="2"/>
  <c r="AB298" i="2"/>
  <c r="AR298" i="2"/>
  <c r="BH298" i="2"/>
  <c r="O299" i="2"/>
  <c r="AE299" i="2"/>
  <c r="AU299" i="2"/>
  <c r="BK299" i="2"/>
  <c r="V300" i="2"/>
  <c r="AL300" i="2"/>
  <c r="BB300" i="2"/>
  <c r="M301" i="2"/>
  <c r="AC301" i="2"/>
  <c r="AS301" i="2"/>
  <c r="BI301" i="2"/>
  <c r="P302" i="2"/>
  <c r="AF302" i="2"/>
  <c r="AV302" i="2"/>
  <c r="BL302" i="2"/>
  <c r="S303" i="2"/>
  <c r="AI303" i="2"/>
  <c r="AY303" i="2"/>
  <c r="J304" i="2"/>
  <c r="Z304" i="2"/>
  <c r="AP304" i="2"/>
  <c r="BF304" i="2"/>
  <c r="Q305" i="2"/>
  <c r="AG305" i="2"/>
  <c r="AW305" i="2"/>
  <c r="BM305" i="2"/>
  <c r="T306" i="2"/>
  <c r="AJ306" i="2"/>
  <c r="AZ306" i="2"/>
  <c r="G307" i="2"/>
  <c r="W307" i="2"/>
  <c r="AM307" i="2"/>
  <c r="BC307" i="2"/>
  <c r="N308" i="2"/>
  <c r="AD308" i="2"/>
  <c r="AT308" i="2"/>
  <c r="BJ308" i="2"/>
  <c r="U309" i="2"/>
  <c r="AK309" i="2"/>
  <c r="BA309" i="2"/>
  <c r="H310" i="2"/>
  <c r="X310" i="2"/>
  <c r="AN310" i="2"/>
  <c r="BD310" i="2"/>
  <c r="K311" i="2"/>
  <c r="AA311" i="2"/>
  <c r="AQ311" i="2"/>
  <c r="BG311" i="2"/>
  <c r="R312" i="2"/>
  <c r="AH312" i="2"/>
  <c r="AX312" i="2"/>
  <c r="I313" i="2"/>
  <c r="Y313" i="2"/>
  <c r="AO313" i="2"/>
  <c r="BE313" i="2"/>
  <c r="L314" i="2"/>
  <c r="AB314" i="2"/>
  <c r="AR314" i="2"/>
  <c r="BH314" i="2"/>
  <c r="O315" i="2"/>
  <c r="AE315" i="2"/>
  <c r="AU315" i="2"/>
  <c r="H316" i="2"/>
  <c r="AN316" i="2"/>
  <c r="H317" i="2"/>
  <c r="AN317" i="2"/>
  <c r="J318" i="2"/>
  <c r="AP318" i="2"/>
  <c r="U319" i="2"/>
  <c r="BA319" i="2"/>
  <c r="X320" i="2"/>
  <c r="BD320" i="2"/>
  <c r="X321" i="2"/>
  <c r="BD321" i="2"/>
  <c r="Z322" i="2"/>
  <c r="BF322" i="2"/>
  <c r="AK323" i="2"/>
  <c r="H324" i="2"/>
  <c r="AN324" i="2"/>
  <c r="H325" i="2"/>
  <c r="AN325" i="2"/>
  <c r="J326" i="2"/>
  <c r="AP326" i="2"/>
  <c r="U327" i="2"/>
  <c r="BA327" i="2"/>
  <c r="X328" i="2"/>
  <c r="BD328" i="2"/>
  <c r="X329" i="2"/>
  <c r="BD329" i="2"/>
  <c r="Z330" i="2"/>
  <c r="BF330" i="2"/>
  <c r="AH331" i="3"/>
  <c r="AH331" i="2" s="1"/>
  <c r="AH332" i="2"/>
  <c r="M333" i="2"/>
  <c r="AS333" i="2"/>
  <c r="P334" i="2"/>
  <c r="AV334" i="2"/>
  <c r="P335" i="2"/>
  <c r="AV335" i="2"/>
  <c r="R336" i="2"/>
  <c r="AX336" i="2"/>
  <c r="AC337" i="2"/>
  <c r="BI337" i="2"/>
  <c r="AF338" i="2"/>
  <c r="BL338" i="2"/>
  <c r="AF339" i="2"/>
  <c r="BL339" i="2"/>
  <c r="AH340" i="2"/>
  <c r="M341" i="2"/>
  <c r="AS341" i="2"/>
  <c r="P342" i="2"/>
  <c r="AV342" i="2"/>
  <c r="P343" i="2"/>
  <c r="AV343" i="2"/>
  <c r="R344" i="2"/>
  <c r="AX344" i="2"/>
  <c r="AC345" i="2"/>
  <c r="BI345" i="2"/>
  <c r="AF346" i="2"/>
  <c r="BL346" i="2"/>
  <c r="AF347" i="2"/>
  <c r="BL347" i="2"/>
  <c r="AH348" i="2"/>
  <c r="M349" i="2"/>
  <c r="AS349" i="2"/>
  <c r="P350" i="2"/>
  <c r="AH352" i="2"/>
  <c r="AH356" i="2"/>
  <c r="AH360" i="2"/>
  <c r="AH364" i="2"/>
  <c r="AH368" i="2"/>
  <c r="AF373" i="3"/>
  <c r="AF373" i="2" s="1"/>
  <c r="AF374" i="2"/>
  <c r="AD376" i="2"/>
  <c r="H380" i="2"/>
  <c r="U386" i="2"/>
  <c r="AK390" i="2"/>
  <c r="BA394" i="2"/>
  <c r="BD400" i="2"/>
  <c r="AN404" i="2"/>
  <c r="X408" i="2"/>
  <c r="L412" i="2"/>
  <c r="P290" i="3"/>
  <c r="P290" i="2" s="1"/>
  <c r="P291" i="2"/>
  <c r="AF290" i="3"/>
  <c r="AF290" i="2" s="1"/>
  <c r="AF291" i="2"/>
  <c r="AV290" i="3"/>
  <c r="AV290" i="2" s="1"/>
  <c r="AV291" i="2"/>
  <c r="BL290" i="3"/>
  <c r="BL290" i="2" s="1"/>
  <c r="BL291" i="2"/>
  <c r="S292" i="2"/>
  <c r="AI292" i="2"/>
  <c r="AY292" i="2"/>
  <c r="J293" i="2"/>
  <c r="Z293" i="2"/>
  <c r="AP293" i="2"/>
  <c r="BF293" i="2"/>
  <c r="Q294" i="2"/>
  <c r="AG294" i="2"/>
  <c r="AW294" i="2"/>
  <c r="BM294" i="2"/>
  <c r="T295" i="2"/>
  <c r="AJ295" i="2"/>
  <c r="AZ295" i="2"/>
  <c r="G296" i="2"/>
  <c r="W296" i="2"/>
  <c r="AM296" i="2"/>
  <c r="BC296" i="2"/>
  <c r="N297" i="2"/>
  <c r="AD297" i="2"/>
  <c r="AT297" i="2"/>
  <c r="BJ297" i="2"/>
  <c r="U298" i="2"/>
  <c r="AK298" i="2"/>
  <c r="BA298" i="2"/>
  <c r="H299" i="2"/>
  <c r="X299" i="2"/>
  <c r="AN299" i="2"/>
  <c r="BD299" i="2"/>
  <c r="K300" i="2"/>
  <c r="AA300" i="2"/>
  <c r="AQ300" i="2"/>
  <c r="BG300" i="2"/>
  <c r="R301" i="2"/>
  <c r="AH301" i="2"/>
  <c r="AX301" i="2"/>
  <c r="I302" i="2"/>
  <c r="Y302" i="2"/>
  <c r="AO302" i="2"/>
  <c r="BE302" i="2"/>
  <c r="L303" i="2"/>
  <c r="AB303" i="2"/>
  <c r="AR303" i="2"/>
  <c r="BH303" i="2"/>
  <c r="O304" i="2"/>
  <c r="AE304" i="2"/>
  <c r="AU304" i="2"/>
  <c r="BK304" i="2"/>
  <c r="V305" i="2"/>
  <c r="AL305" i="2"/>
  <c r="BB305" i="2"/>
  <c r="M306" i="2"/>
  <c r="AC306" i="2"/>
  <c r="AS306" i="2"/>
  <c r="BI306" i="2"/>
  <c r="P307" i="2"/>
  <c r="AF307" i="2"/>
  <c r="AV307" i="2"/>
  <c r="BL307" i="2"/>
  <c r="S308" i="2"/>
  <c r="AI308" i="2"/>
  <c r="AY308" i="2"/>
  <c r="J309" i="2"/>
  <c r="Z309" i="2"/>
  <c r="AP309" i="2"/>
  <c r="BF309" i="2"/>
  <c r="Q310" i="2"/>
  <c r="AG310" i="2"/>
  <c r="AW310" i="2"/>
  <c r="BM310" i="2"/>
  <c r="T311" i="2"/>
  <c r="AJ311" i="2"/>
  <c r="AZ311" i="2"/>
  <c r="G312" i="2"/>
  <c r="W312" i="2"/>
  <c r="AM312" i="2"/>
  <c r="BC312" i="2"/>
  <c r="N313" i="2"/>
  <c r="AD313" i="2"/>
  <c r="AT313" i="2"/>
  <c r="BJ313" i="2"/>
  <c r="U314" i="2"/>
  <c r="AK314" i="2"/>
  <c r="BA314" i="2"/>
  <c r="H315" i="2"/>
  <c r="X315" i="2"/>
  <c r="AN315" i="2"/>
  <c r="BE315" i="2"/>
  <c r="Y316" i="2"/>
  <c r="BE316" i="2"/>
  <c r="AA317" i="2"/>
  <c r="BG317" i="2"/>
  <c r="AI318" i="2"/>
  <c r="N319" i="2"/>
  <c r="AT319" i="2"/>
  <c r="Q320" i="2"/>
  <c r="AW320" i="2"/>
  <c r="S321" i="2"/>
  <c r="AY321" i="2"/>
  <c r="AA322" i="2"/>
  <c r="BG322" i="2"/>
  <c r="AL323" i="2"/>
  <c r="I324" i="2"/>
  <c r="AO324" i="2"/>
  <c r="K325" i="2"/>
  <c r="AQ325" i="2"/>
  <c r="S326" i="2"/>
  <c r="AY326" i="2"/>
  <c r="AD327" i="2"/>
  <c r="BJ327" i="2"/>
  <c r="AG328" i="2"/>
  <c r="BM328" i="2"/>
  <c r="AI329" i="2"/>
  <c r="K330" i="2"/>
  <c r="AQ330" i="2"/>
  <c r="S331" i="3"/>
  <c r="S331" i="2" s="1"/>
  <c r="S332" i="2"/>
  <c r="AY331" i="3"/>
  <c r="AY331" i="2" s="1"/>
  <c r="AY332" i="2"/>
  <c r="AD333" i="2"/>
  <c r="BJ333" i="2"/>
  <c r="AG334" i="2"/>
  <c r="BM334" i="2"/>
  <c r="AI335" i="2"/>
  <c r="K336" i="2"/>
  <c r="AQ336" i="2"/>
  <c r="V337" i="2"/>
  <c r="BB337" i="2"/>
  <c r="Y338" i="2"/>
  <c r="BE338" i="2"/>
  <c r="AA339" i="2"/>
  <c r="BG339" i="2"/>
  <c r="AI340" i="2"/>
  <c r="N341" i="2"/>
  <c r="AT341" i="2"/>
  <c r="Q342" i="2"/>
  <c r="AW342" i="2"/>
  <c r="S343" i="2"/>
  <c r="AY343" i="2"/>
  <c r="AA344" i="2"/>
  <c r="BG344" i="2"/>
  <c r="AL345" i="2"/>
  <c r="I346" i="2"/>
  <c r="AO346" i="2"/>
  <c r="K347" i="2"/>
  <c r="AQ347" i="2"/>
  <c r="S348" i="2"/>
  <c r="AY348" i="2"/>
  <c r="AD349" i="2"/>
  <c r="BJ349" i="2"/>
  <c r="AR350" i="2"/>
  <c r="I353" i="2"/>
  <c r="G355" i="2"/>
  <c r="AO357" i="2"/>
  <c r="AM359" i="2"/>
  <c r="H362" i="2"/>
  <c r="AL364" i="2"/>
  <c r="AN366" i="2"/>
  <c r="I369" i="2"/>
  <c r="G371" i="2"/>
  <c r="AH376" i="2"/>
  <c r="P380" i="2"/>
  <c r="BL384" i="2"/>
  <c r="AV388" i="2"/>
  <c r="AF392" i="2"/>
  <c r="P396" i="2"/>
  <c r="BL400" i="2"/>
  <c r="AV404" i="2"/>
  <c r="AF408" i="2"/>
  <c r="AB412" i="2"/>
  <c r="U290" i="3"/>
  <c r="U290" i="2" s="1"/>
  <c r="U291" i="2"/>
  <c r="AK290" i="3"/>
  <c r="AK290" i="2" s="1"/>
  <c r="AK291" i="2"/>
  <c r="BA290" i="3"/>
  <c r="BA290" i="2" s="1"/>
  <c r="BA291" i="2"/>
  <c r="H292" i="2"/>
  <c r="X292" i="2"/>
  <c r="AN292" i="2"/>
  <c r="BD292" i="2"/>
  <c r="K293" i="2"/>
  <c r="AA293" i="2"/>
  <c r="AQ293" i="2"/>
  <c r="BG293" i="2"/>
  <c r="R294" i="2"/>
  <c r="AH294" i="2"/>
  <c r="AX294" i="2"/>
  <c r="I295" i="2"/>
  <c r="Y295" i="2"/>
  <c r="AO295" i="2"/>
  <c r="BE295" i="2"/>
  <c r="L296" i="2"/>
  <c r="AB296" i="2"/>
  <c r="AR296" i="2"/>
  <c r="BH296" i="2"/>
  <c r="O297" i="2"/>
  <c r="AE297" i="2"/>
  <c r="AU297" i="2"/>
  <c r="BK297" i="2"/>
  <c r="V298" i="2"/>
  <c r="AL298" i="2"/>
  <c r="BB298" i="2"/>
  <c r="M299" i="2"/>
  <c r="AC299" i="2"/>
  <c r="AS299" i="2"/>
  <c r="BI299" i="2"/>
  <c r="P300" i="2"/>
  <c r="AF300" i="2"/>
  <c r="AV300" i="2"/>
  <c r="BL300" i="2"/>
  <c r="S301" i="2"/>
  <c r="AI301" i="2"/>
  <c r="AY301" i="2"/>
  <c r="J302" i="2"/>
  <c r="Z302" i="2"/>
  <c r="AP302" i="2"/>
  <c r="BF302" i="2"/>
  <c r="Q303" i="2"/>
  <c r="AG303" i="2"/>
  <c r="AW303" i="2"/>
  <c r="BM303" i="2"/>
  <c r="T304" i="2"/>
  <c r="AJ304" i="2"/>
  <c r="AZ304" i="2"/>
  <c r="G305" i="2"/>
  <c r="W305" i="2"/>
  <c r="AM305" i="2"/>
  <c r="BC305" i="2"/>
  <c r="N306" i="2"/>
  <c r="AD306" i="2"/>
  <c r="AT306" i="2"/>
  <c r="BJ306" i="2"/>
  <c r="U307" i="2"/>
  <c r="AK307" i="2"/>
  <c r="BA307" i="2"/>
  <c r="H308" i="2"/>
  <c r="X308" i="2"/>
  <c r="AN308" i="2"/>
  <c r="BD308" i="2"/>
  <c r="K309" i="2"/>
  <c r="AA309" i="2"/>
  <c r="AQ309" i="2"/>
  <c r="BG309" i="2"/>
  <c r="R310" i="2"/>
  <c r="AH310" i="2"/>
  <c r="AX310" i="2"/>
  <c r="I311" i="2"/>
  <c r="Y311" i="2"/>
  <c r="AO311" i="2"/>
  <c r="BE311" i="2"/>
  <c r="L312" i="2"/>
  <c r="AB312" i="2"/>
  <c r="AR312" i="2"/>
  <c r="BH312" i="2"/>
  <c r="O313" i="2"/>
  <c r="AE313" i="2"/>
  <c r="AU313" i="2"/>
  <c r="BK313" i="2"/>
  <c r="V314" i="2"/>
  <c r="AL314" i="2"/>
  <c r="BB314" i="2"/>
  <c r="M315" i="2"/>
  <c r="AC315" i="2"/>
  <c r="AS315" i="2"/>
  <c r="BM315" i="2"/>
  <c r="AJ316" i="2"/>
  <c r="L317" i="2"/>
  <c r="AR317" i="2"/>
  <c r="V318" i="2"/>
  <c r="BB318" i="2"/>
  <c r="Y319" i="2"/>
  <c r="BE319" i="2"/>
  <c r="AB320" i="2"/>
  <c r="BH320" i="2"/>
  <c r="AJ321" i="2"/>
  <c r="N322" i="2"/>
  <c r="AT322" i="2"/>
  <c r="Q323" i="2"/>
  <c r="AW323" i="2"/>
  <c r="T324" i="2"/>
  <c r="AZ324" i="2"/>
  <c r="AB325" i="2"/>
  <c r="BH325" i="2"/>
  <c r="AL326" i="2"/>
  <c r="I327" i="2"/>
  <c r="AO327" i="2"/>
  <c r="L328" i="2"/>
  <c r="AR328" i="2"/>
  <c r="T329" i="2"/>
  <c r="AZ329" i="2"/>
  <c r="AD330" i="2"/>
  <c r="BJ330" i="2"/>
  <c r="AL331" i="3"/>
  <c r="AL331" i="2" s="1"/>
  <c r="AL332" i="2"/>
  <c r="I333" i="2"/>
  <c r="AO333" i="2"/>
  <c r="L334" i="2"/>
  <c r="AR334" i="2"/>
  <c r="T335" i="2"/>
  <c r="AZ335" i="2"/>
  <c r="AD336" i="2"/>
  <c r="BJ336" i="2"/>
  <c r="AG337" i="2"/>
  <c r="BM337" i="2"/>
  <c r="AJ338" i="2"/>
  <c r="L339" i="2"/>
  <c r="AR339" i="2"/>
  <c r="V340" i="2"/>
  <c r="BB340" i="2"/>
  <c r="Y341" i="2"/>
  <c r="BE341" i="2"/>
  <c r="AB342" i="2"/>
  <c r="BH342" i="2"/>
  <c r="AJ343" i="2"/>
  <c r="N344" i="2"/>
  <c r="AT344" i="2"/>
  <c r="Q345" i="2"/>
  <c r="AW345" i="2"/>
  <c r="T346" i="2"/>
  <c r="AZ346" i="2"/>
  <c r="AB347" i="2"/>
  <c r="BH347" i="2"/>
  <c r="AL348" i="2"/>
  <c r="I349" i="2"/>
  <c r="AO349" i="2"/>
  <c r="L350" i="2"/>
  <c r="S351" i="2"/>
  <c r="U353" i="2"/>
  <c r="S355" i="2"/>
  <c r="U357" i="2"/>
  <c r="S359" i="2"/>
  <c r="U361" i="2"/>
  <c r="S363" i="2"/>
  <c r="U365" i="2"/>
  <c r="S367" i="2"/>
  <c r="U369" i="2"/>
  <c r="S371" i="2"/>
  <c r="O375" i="2"/>
  <c r="Z377" i="2"/>
  <c r="AH381" i="2"/>
  <c r="BF385" i="2"/>
  <c r="BL391" i="2"/>
  <c r="BD395" i="2"/>
  <c r="AF399" i="2"/>
  <c r="X403" i="2"/>
  <c r="Z409" i="2"/>
  <c r="J316" i="2"/>
  <c r="Z316" i="2"/>
  <c r="AP316" i="2"/>
  <c r="BF316" i="2"/>
  <c r="Q317" i="2"/>
  <c r="AG317" i="2"/>
  <c r="AW317" i="2"/>
  <c r="BM317" i="2"/>
  <c r="T318" i="2"/>
  <c r="AJ318" i="2"/>
  <c r="AZ318" i="2"/>
  <c r="G319" i="2"/>
  <c r="W319" i="2"/>
  <c r="AM319" i="2"/>
  <c r="BC319" i="2"/>
  <c r="N320" i="2"/>
  <c r="AD320" i="2"/>
  <c r="AT320" i="2"/>
  <c r="BJ320" i="2"/>
  <c r="U321" i="2"/>
  <c r="AK321" i="2"/>
  <c r="BA321" i="2"/>
  <c r="H322" i="2"/>
  <c r="X322" i="2"/>
  <c r="AN322" i="2"/>
  <c r="BD322" i="2"/>
  <c r="K323" i="2"/>
  <c r="AA323" i="2"/>
  <c r="AQ323" i="2"/>
  <c r="BG323" i="2"/>
  <c r="R324" i="2"/>
  <c r="AH324" i="2"/>
  <c r="AX324" i="2"/>
  <c r="I325" i="2"/>
  <c r="Y325" i="2"/>
  <c r="AO325" i="2"/>
  <c r="BE325" i="2"/>
  <c r="L326" i="2"/>
  <c r="AB326" i="2"/>
  <c r="AR326" i="2"/>
  <c r="BH326" i="2"/>
  <c r="O327" i="2"/>
  <c r="AE327" i="2"/>
  <c r="AU327" i="2"/>
  <c r="BK327" i="2"/>
  <c r="V328" i="2"/>
  <c r="AL328" i="2"/>
  <c r="BB328" i="2"/>
  <c r="M329" i="2"/>
  <c r="AC329" i="2"/>
  <c r="AS329" i="2"/>
  <c r="BI329" i="2"/>
  <c r="P330" i="2"/>
  <c r="AF330" i="2"/>
  <c r="AV330" i="2"/>
  <c r="BL330" i="2"/>
  <c r="T331" i="3"/>
  <c r="T331" i="2" s="1"/>
  <c r="T332" i="2"/>
  <c r="AJ331" i="3"/>
  <c r="AJ331" i="2" s="1"/>
  <c r="AJ332" i="2"/>
  <c r="AZ331" i="3"/>
  <c r="AZ331" i="2" s="1"/>
  <c r="AZ332" i="2"/>
  <c r="G333" i="2"/>
  <c r="W333" i="2"/>
  <c r="AM333" i="2"/>
  <c r="BC333" i="2"/>
  <c r="N334" i="2"/>
  <c r="AD334" i="2"/>
  <c r="AT334" i="2"/>
  <c r="BJ334" i="2"/>
  <c r="U335" i="2"/>
  <c r="AK335" i="2"/>
  <c r="BA335" i="2"/>
  <c r="H336" i="2"/>
  <c r="X336" i="2"/>
  <c r="AN336" i="2"/>
  <c r="BD336" i="2"/>
  <c r="K337" i="2"/>
  <c r="AA337" i="2"/>
  <c r="AQ337" i="2"/>
  <c r="BG337" i="2"/>
  <c r="R338" i="2"/>
  <c r="AH338" i="2"/>
  <c r="AX338" i="2"/>
  <c r="I339" i="2"/>
  <c r="Y339" i="2"/>
  <c r="AO339" i="2"/>
  <c r="BE339" i="2"/>
  <c r="L340" i="2"/>
  <c r="AB340" i="2"/>
  <c r="AR340" i="2"/>
  <c r="BH340" i="2"/>
  <c r="O341" i="2"/>
  <c r="AE341" i="2"/>
  <c r="AU341" i="2"/>
  <c r="BK341" i="2"/>
  <c r="V342" i="2"/>
  <c r="AL342" i="2"/>
  <c r="BB342" i="2"/>
  <c r="M343" i="2"/>
  <c r="AC343" i="2"/>
  <c r="AS343" i="2"/>
  <c r="BI343" i="2"/>
  <c r="P344" i="2"/>
  <c r="AF344" i="2"/>
  <c r="AV344" i="2"/>
  <c r="BL344" i="2"/>
  <c r="S345" i="2"/>
  <c r="AI345" i="2"/>
  <c r="AY345" i="2"/>
  <c r="J346" i="2"/>
  <c r="Z346" i="2"/>
  <c r="AP346" i="2"/>
  <c r="BF346" i="2"/>
  <c r="Q347" i="2"/>
  <c r="AG347" i="2"/>
  <c r="AW347" i="2"/>
  <c r="BM347" i="2"/>
  <c r="T348" i="2"/>
  <c r="AJ348" i="2"/>
  <c r="AZ348" i="2"/>
  <c r="G349" i="2"/>
  <c r="W349" i="2"/>
  <c r="AM349" i="2"/>
  <c r="BC349" i="2"/>
  <c r="N350" i="2"/>
  <c r="AM350" i="2"/>
  <c r="AA351" i="2"/>
  <c r="Z352" i="2"/>
  <c r="AC353" i="2"/>
  <c r="AB354" i="2"/>
  <c r="AA355" i="2"/>
  <c r="Z356" i="2"/>
  <c r="AC357" i="2"/>
  <c r="AB358" i="2"/>
  <c r="AA359" i="2"/>
  <c r="Z360" i="2"/>
  <c r="AC361" i="2"/>
  <c r="AB362" i="2"/>
  <c r="AA363" i="2"/>
  <c r="Z364" i="2"/>
  <c r="AC365" i="2"/>
  <c r="AB366" i="2"/>
  <c r="AA367" i="2"/>
  <c r="Z368" i="2"/>
  <c r="AC369" i="2"/>
  <c r="AB370" i="2"/>
  <c r="AA371" i="2"/>
  <c r="X373" i="3"/>
  <c r="X373" i="2" s="1"/>
  <c r="X374" i="2"/>
  <c r="W375" i="2"/>
  <c r="AN376" i="2"/>
  <c r="BL379" i="2"/>
  <c r="AX381" i="2"/>
  <c r="AV383" i="2"/>
  <c r="AK386" i="2"/>
  <c r="BD388" i="2"/>
  <c r="BA390" i="2"/>
  <c r="AN392" i="2"/>
  <c r="BL395" i="2"/>
  <c r="AX397" i="2"/>
  <c r="AV399" i="2"/>
  <c r="AK402" i="2"/>
  <c r="BD404" i="2"/>
  <c r="BA406" i="2"/>
  <c r="AN408" i="2"/>
  <c r="BL411" i="2"/>
  <c r="BH315" i="2"/>
  <c r="O316" i="2"/>
  <c r="AE316" i="2"/>
  <c r="AU316" i="2"/>
  <c r="BK316" i="2"/>
  <c r="V317" i="2"/>
  <c r="AL317" i="2"/>
  <c r="BB317" i="2"/>
  <c r="M318" i="2"/>
  <c r="AC318" i="2"/>
  <c r="AS318" i="2"/>
  <c r="BI318" i="2"/>
  <c r="P319" i="2"/>
  <c r="AF319" i="2"/>
  <c r="AV319" i="2"/>
  <c r="BL319" i="2"/>
  <c r="S320" i="2"/>
  <c r="AI320" i="2"/>
  <c r="AY320" i="2"/>
  <c r="J321" i="2"/>
  <c r="Z321" i="2"/>
  <c r="AP321" i="2"/>
  <c r="BF321" i="2"/>
  <c r="Q322" i="2"/>
  <c r="AG322" i="2"/>
  <c r="AW322" i="2"/>
  <c r="BM322" i="2"/>
  <c r="T323" i="2"/>
  <c r="AJ323" i="2"/>
  <c r="AZ323" i="2"/>
  <c r="G324" i="2"/>
  <c r="W324" i="2"/>
  <c r="AM324" i="2"/>
  <c r="BC324" i="2"/>
  <c r="N325" i="2"/>
  <c r="AD325" i="2"/>
  <c r="AT325" i="2"/>
  <c r="BJ325" i="2"/>
  <c r="U326" i="2"/>
  <c r="AK326" i="2"/>
  <c r="BA326" i="2"/>
  <c r="H327" i="2"/>
  <c r="X327" i="2"/>
  <c r="AN327" i="2"/>
  <c r="BD327" i="2"/>
  <c r="K328" i="2"/>
  <c r="AA328" i="2"/>
  <c r="AQ328" i="2"/>
  <c r="BG328" i="2"/>
  <c r="R329" i="2"/>
  <c r="AH329" i="2"/>
  <c r="AX329" i="2"/>
  <c r="I330" i="2"/>
  <c r="Y330" i="2"/>
  <c r="AO330" i="2"/>
  <c r="BE330" i="2"/>
  <c r="M331" i="3"/>
  <c r="M331" i="2" s="1"/>
  <c r="M332" i="2"/>
  <c r="AC331" i="3"/>
  <c r="AC331" i="2" s="1"/>
  <c r="AC332" i="2"/>
  <c r="AS331" i="3"/>
  <c r="AS331" i="2" s="1"/>
  <c r="AS332" i="2"/>
  <c r="BI331" i="3"/>
  <c r="BI331" i="2" s="1"/>
  <c r="BI332" i="2"/>
  <c r="P333" i="2"/>
  <c r="AF333" i="2"/>
  <c r="AV333" i="2"/>
  <c r="BL333" i="2"/>
  <c r="S334" i="2"/>
  <c r="AI334" i="2"/>
  <c r="AY334" i="2"/>
  <c r="J335" i="2"/>
  <c r="Z335" i="2"/>
  <c r="AP335" i="2"/>
  <c r="BF335" i="2"/>
  <c r="Q336" i="2"/>
  <c r="AG336" i="2"/>
  <c r="AW336" i="2"/>
  <c r="BM336" i="2"/>
  <c r="T337" i="2"/>
  <c r="AJ337" i="2"/>
  <c r="AZ337" i="2"/>
  <c r="G338" i="2"/>
  <c r="W338" i="2"/>
  <c r="AM338" i="2"/>
  <c r="BC338" i="2"/>
  <c r="N339" i="2"/>
  <c r="AD339" i="2"/>
  <c r="AT339" i="2"/>
  <c r="BJ339" i="2"/>
  <c r="U340" i="2"/>
  <c r="AK340" i="2"/>
  <c r="BA340" i="2"/>
  <c r="H341" i="2"/>
  <c r="X341" i="2"/>
  <c r="AN341" i="2"/>
  <c r="BD341" i="2"/>
  <c r="K342" i="2"/>
  <c r="AA342" i="2"/>
  <c r="AQ342" i="2"/>
  <c r="BG342" i="2"/>
  <c r="R343" i="2"/>
  <c r="AH343" i="2"/>
  <c r="AX343" i="2"/>
  <c r="I344" i="2"/>
  <c r="Y344" i="2"/>
  <c r="AO344" i="2"/>
  <c r="BE344" i="2"/>
  <c r="L345" i="2"/>
  <c r="AB345" i="2"/>
  <c r="AR345" i="2"/>
  <c r="BH345" i="2"/>
  <c r="O346" i="2"/>
  <c r="AE346" i="2"/>
  <c r="AU346" i="2"/>
  <c r="BK346" i="2"/>
  <c r="V347" i="2"/>
  <c r="AL347" i="2"/>
  <c r="BB347" i="2"/>
  <c r="M348" i="2"/>
  <c r="AC348" i="2"/>
  <c r="AS348" i="2"/>
  <c r="BI348" i="2"/>
  <c r="P349" i="2"/>
  <c r="AF349" i="2"/>
  <c r="AV349" i="2"/>
  <c r="BL349" i="2"/>
  <c r="S350" i="2"/>
  <c r="AV350" i="2"/>
  <c r="AU351" i="2"/>
  <c r="AT352" i="2"/>
  <c r="AW353" i="2"/>
  <c r="AV354" i="2"/>
  <c r="AU355" i="2"/>
  <c r="AT356" i="2"/>
  <c r="AW357" i="2"/>
  <c r="AV358" i="2"/>
  <c r="AU359" i="2"/>
  <c r="AT360" i="2"/>
  <c r="AW361" i="2"/>
  <c r="AV362" i="2"/>
  <c r="AU363" i="2"/>
  <c r="AT364" i="2"/>
  <c r="AW365" i="2"/>
  <c r="AV366" i="2"/>
  <c r="AU367" i="2"/>
  <c r="AT368" i="2"/>
  <c r="AW369" i="2"/>
  <c r="AV370" i="2"/>
  <c r="AU371" i="2"/>
  <c r="AR373" i="3"/>
  <c r="AR373" i="2" s="1"/>
  <c r="AR374" i="2"/>
  <c r="AQ375" i="2"/>
  <c r="AV376" i="2"/>
  <c r="AS378" i="2"/>
  <c r="BL380" i="2"/>
  <c r="BI382" i="2"/>
  <c r="AV384" i="2"/>
  <c r="AS386" i="2"/>
  <c r="BL388" i="2"/>
  <c r="BI390" i="2"/>
  <c r="AV392" i="2"/>
  <c r="AS394" i="2"/>
  <c r="BL396" i="2"/>
  <c r="BI398" i="2"/>
  <c r="AV400" i="2"/>
  <c r="AS402" i="2"/>
  <c r="BL404" i="2"/>
  <c r="BI406" i="2"/>
  <c r="AV408" i="2"/>
  <c r="AS410" i="2"/>
  <c r="AQ413" i="2"/>
  <c r="BK350" i="2"/>
  <c r="V351" i="2"/>
  <c r="AL351" i="2"/>
  <c r="BB351" i="2"/>
  <c r="M352" i="2"/>
  <c r="AC352" i="2"/>
  <c r="AS352" i="2"/>
  <c r="BI352" i="2"/>
  <c r="P353" i="2"/>
  <c r="AF353" i="2"/>
  <c r="AV353" i="2"/>
  <c r="BL353" i="2"/>
  <c r="S354" i="2"/>
  <c r="AI354" i="2"/>
  <c r="AY354" i="2"/>
  <c r="J355" i="2"/>
  <c r="Z355" i="2"/>
  <c r="AP355" i="2"/>
  <c r="BF355" i="2"/>
  <c r="Q356" i="2"/>
  <c r="AG356" i="2"/>
  <c r="AW356" i="2"/>
  <c r="BM356" i="2"/>
  <c r="T357" i="2"/>
  <c r="AJ357" i="2"/>
  <c r="AZ357" i="2"/>
  <c r="G358" i="2"/>
  <c r="W358" i="2"/>
  <c r="AM358" i="2"/>
  <c r="BC358" i="2"/>
  <c r="N359" i="2"/>
  <c r="AD359" i="2"/>
  <c r="AT359" i="2"/>
  <c r="BJ359" i="2"/>
  <c r="U360" i="2"/>
  <c r="AK360" i="2"/>
  <c r="BA360" i="2"/>
  <c r="H361" i="2"/>
  <c r="X361" i="2"/>
  <c r="AN361" i="2"/>
  <c r="BD361" i="2"/>
  <c r="K362" i="2"/>
  <c r="AA362" i="2"/>
  <c r="AQ362" i="2"/>
  <c r="BG362" i="2"/>
  <c r="R363" i="2"/>
  <c r="AH363" i="2"/>
  <c r="AX363" i="2"/>
  <c r="I364" i="2"/>
  <c r="Y364" i="2"/>
  <c r="AO364" i="2"/>
  <c r="BE364" i="2"/>
  <c r="L365" i="2"/>
  <c r="AB365" i="2"/>
  <c r="AR365" i="2"/>
  <c r="BH365" i="2"/>
  <c r="O366" i="2"/>
  <c r="AE366" i="2"/>
  <c r="AU366" i="2"/>
  <c r="BK366" i="2"/>
  <c r="V367" i="2"/>
  <c r="AL367" i="2"/>
  <c r="BB367" i="2"/>
  <c r="M368" i="2"/>
  <c r="AC368" i="2"/>
  <c r="AS368" i="2"/>
  <c r="BI368" i="2"/>
  <c r="P369" i="2"/>
  <c r="AF369" i="2"/>
  <c r="AV369" i="2"/>
  <c r="BL369" i="2"/>
  <c r="S370" i="2"/>
  <c r="AI370" i="2"/>
  <c r="AY370" i="2"/>
  <c r="J371" i="2"/>
  <c r="Z371" i="2"/>
  <c r="AP371" i="2"/>
  <c r="BF371" i="2"/>
  <c r="O373" i="3"/>
  <c r="O373" i="2" s="1"/>
  <c r="O374" i="2"/>
  <c r="AE373" i="3"/>
  <c r="AE373" i="2" s="1"/>
  <c r="AE374" i="2"/>
  <c r="AU373" i="3"/>
  <c r="AU373" i="2" s="1"/>
  <c r="AU374" i="2"/>
  <c r="BK373" i="3"/>
  <c r="BK373" i="2" s="1"/>
  <c r="BK374" i="2"/>
  <c r="V375" i="2"/>
  <c r="AL375" i="2"/>
  <c r="BB375" i="2"/>
  <c r="M376" i="2"/>
  <c r="AC376" i="2"/>
  <c r="BC376" i="2"/>
  <c r="W377" i="2"/>
  <c r="BC377" i="2"/>
  <c r="Z378" i="2"/>
  <c r="BF378" i="2"/>
  <c r="AK379" i="2"/>
  <c r="G380" i="2"/>
  <c r="AM380" i="2"/>
  <c r="G381" i="2"/>
  <c r="AM381" i="2"/>
  <c r="J382" i="2"/>
  <c r="AP382" i="2"/>
  <c r="U383" i="2"/>
  <c r="BA383" i="2"/>
  <c r="W384" i="2"/>
  <c r="BC384" i="2"/>
  <c r="W385" i="2"/>
  <c r="BC385" i="2"/>
  <c r="Z386" i="2"/>
  <c r="BF386" i="2"/>
  <c r="AK387" i="2"/>
  <c r="G388" i="2"/>
  <c r="AM388" i="2"/>
  <c r="G389" i="2"/>
  <c r="AM389" i="2"/>
  <c r="J390" i="2"/>
  <c r="AP390" i="2"/>
  <c r="U391" i="2"/>
  <c r="BA391" i="2"/>
  <c r="W392" i="2"/>
  <c r="BC392" i="2"/>
  <c r="W393" i="2"/>
  <c r="BC393" i="2"/>
  <c r="Z394" i="2"/>
  <c r="BF394" i="2"/>
  <c r="AK395" i="2"/>
  <c r="G396" i="2"/>
  <c r="AM396" i="2"/>
  <c r="G397" i="2"/>
  <c r="AM397" i="2"/>
  <c r="J398" i="2"/>
  <c r="AP398" i="2"/>
  <c r="U399" i="2"/>
  <c r="BA399" i="2"/>
  <c r="W400" i="2"/>
  <c r="BC400" i="2"/>
  <c r="W401" i="2"/>
  <c r="BC401" i="2"/>
  <c r="Z402" i="2"/>
  <c r="BF402" i="2"/>
  <c r="AK403" i="2"/>
  <c r="G404" i="2"/>
  <c r="AM404" i="2"/>
  <c r="G405" i="2"/>
  <c r="AM405" i="2"/>
  <c r="J406" i="2"/>
  <c r="AP406" i="2"/>
  <c r="U407" i="2"/>
  <c r="BA407" i="2"/>
  <c r="W408" i="2"/>
  <c r="BC408" i="2"/>
  <c r="W409" i="2"/>
  <c r="BC409" i="2"/>
  <c r="Z410" i="2"/>
  <c r="BF410" i="2"/>
  <c r="AK411" i="2"/>
  <c r="H412" i="2"/>
  <c r="G413" i="2"/>
  <c r="O414" i="3"/>
  <c r="O414" i="2" s="1"/>
  <c r="O415" i="2"/>
  <c r="AK417" i="2"/>
  <c r="AK421" i="2"/>
  <c r="AK425" i="2"/>
  <c r="AK429" i="2"/>
  <c r="S414" i="3"/>
  <c r="S414" i="2" s="1"/>
  <c r="S415" i="2"/>
  <c r="BA417" i="2"/>
  <c r="BA421" i="2"/>
  <c r="BA425" i="2"/>
  <c r="BA429" i="2"/>
  <c r="AI436" i="2"/>
  <c r="AI444" i="2"/>
  <c r="U350" i="2"/>
  <c r="AK350" i="2"/>
  <c r="BA350" i="2"/>
  <c r="H351" i="2"/>
  <c r="X351" i="2"/>
  <c r="AN351" i="2"/>
  <c r="BD351" i="2"/>
  <c r="K352" i="2"/>
  <c r="AA352" i="2"/>
  <c r="AQ352" i="2"/>
  <c r="BG352" i="2"/>
  <c r="R353" i="2"/>
  <c r="AH353" i="2"/>
  <c r="AX353" i="2"/>
  <c r="I354" i="2"/>
  <c r="Y354" i="2"/>
  <c r="AO354" i="2"/>
  <c r="BE354" i="2"/>
  <c r="L355" i="2"/>
  <c r="AB355" i="2"/>
  <c r="AR355" i="2"/>
  <c r="BH355" i="2"/>
  <c r="O356" i="2"/>
  <c r="AE356" i="2"/>
  <c r="AU356" i="2"/>
  <c r="BK356" i="2"/>
  <c r="V357" i="2"/>
  <c r="AL357" i="2"/>
  <c r="BB357" i="2"/>
  <c r="M358" i="2"/>
  <c r="AC358" i="2"/>
  <c r="AS358" i="2"/>
  <c r="BI358" i="2"/>
  <c r="P359" i="2"/>
  <c r="AF359" i="2"/>
  <c r="AV359" i="2"/>
  <c r="BL359" i="2"/>
  <c r="S360" i="2"/>
  <c r="AI360" i="2"/>
  <c r="AY360" i="2"/>
  <c r="J361" i="2"/>
  <c r="Z361" i="2"/>
  <c r="AP361" i="2"/>
  <c r="BF361" i="2"/>
  <c r="Q362" i="2"/>
  <c r="AG362" i="2"/>
  <c r="AW362" i="2"/>
  <c r="BM362" i="2"/>
  <c r="T363" i="2"/>
  <c r="AJ363" i="2"/>
  <c r="AZ363" i="2"/>
  <c r="G364" i="2"/>
  <c r="W364" i="2"/>
  <c r="AM364" i="2"/>
  <c r="BC364" i="2"/>
  <c r="N365" i="2"/>
  <c r="AD365" i="2"/>
  <c r="AT365" i="2"/>
  <c r="BJ365" i="2"/>
  <c r="U366" i="2"/>
  <c r="AK366" i="2"/>
  <c r="BA366" i="2"/>
  <c r="H367" i="2"/>
  <c r="X367" i="2"/>
  <c r="AN367" i="2"/>
  <c r="BD367" i="2"/>
  <c r="K368" i="2"/>
  <c r="AA368" i="2"/>
  <c r="AQ368" i="2"/>
  <c r="BG368" i="2"/>
  <c r="R369" i="2"/>
  <c r="AH369" i="2"/>
  <c r="AX369" i="2"/>
  <c r="I370" i="2"/>
  <c r="Y370" i="2"/>
  <c r="AO370" i="2"/>
  <c r="BE370" i="2"/>
  <c r="L371" i="2"/>
  <c r="AB371" i="2"/>
  <c r="AR371" i="2"/>
  <c r="BH371" i="2"/>
  <c r="Q373" i="3"/>
  <c r="Q373" i="2" s="1"/>
  <c r="Q374" i="2"/>
  <c r="AG373" i="3"/>
  <c r="AG373" i="2" s="1"/>
  <c r="AG374" i="2"/>
  <c r="AW373" i="3"/>
  <c r="AW373" i="2" s="1"/>
  <c r="AW374" i="2"/>
  <c r="BM373" i="3"/>
  <c r="BM373" i="2" s="1"/>
  <c r="BM374" i="2"/>
  <c r="T375" i="2"/>
  <c r="AJ375" i="2"/>
  <c r="AZ375" i="2"/>
  <c r="G376" i="2"/>
  <c r="W376" i="2"/>
  <c r="AQ376" i="2"/>
  <c r="S377" i="2"/>
  <c r="AY377" i="2"/>
  <c r="AD378" i="2"/>
  <c r="BJ378" i="2"/>
  <c r="AG379" i="2"/>
  <c r="BM379" i="2"/>
  <c r="AI380" i="2"/>
  <c r="K381" i="2"/>
  <c r="AQ381" i="2"/>
  <c r="V382" i="2"/>
  <c r="BB382" i="2"/>
  <c r="Y383" i="2"/>
  <c r="BE383" i="2"/>
  <c r="AA384" i="2"/>
  <c r="BG384" i="2"/>
  <c r="AI385" i="2"/>
  <c r="N386" i="2"/>
  <c r="AT386" i="2"/>
  <c r="Q387" i="2"/>
  <c r="AW387" i="2"/>
  <c r="S388" i="2"/>
  <c r="AY388" i="2"/>
  <c r="AA389" i="2"/>
  <c r="BG389" i="2"/>
  <c r="AL390" i="2"/>
  <c r="I391" i="2"/>
  <c r="AO391" i="2"/>
  <c r="K392" i="2"/>
  <c r="AQ392" i="2"/>
  <c r="S393" i="2"/>
  <c r="AY393" i="2"/>
  <c r="AD394" i="2"/>
  <c r="BJ394" i="2"/>
  <c r="AG395" i="2"/>
  <c r="BM395" i="2"/>
  <c r="AI396" i="2"/>
  <c r="K397" i="2"/>
  <c r="AQ397" i="2"/>
  <c r="V398" i="2"/>
  <c r="BB398" i="2"/>
  <c r="Y399" i="2"/>
  <c r="BE399" i="2"/>
  <c r="AA400" i="2"/>
  <c r="BG400" i="2"/>
  <c r="AI401" i="2"/>
  <c r="N402" i="2"/>
  <c r="AT402" i="2"/>
  <c r="Q403" i="2"/>
  <c r="AW403" i="2"/>
  <c r="S404" i="2"/>
  <c r="AY404" i="2"/>
  <c r="AA405" i="2"/>
  <c r="BG405" i="2"/>
  <c r="AL406" i="2"/>
  <c r="I407" i="2"/>
  <c r="AO407" i="2"/>
  <c r="K408" i="2"/>
  <c r="AQ408" i="2"/>
  <c r="S409" i="2"/>
  <c r="AY409" i="2"/>
  <c r="AD410" i="2"/>
  <c r="BJ410" i="2"/>
  <c r="AG411" i="2"/>
  <c r="BM411" i="2"/>
  <c r="BL412" i="2"/>
  <c r="BK413" i="2"/>
  <c r="AE432" i="2"/>
  <c r="AD350" i="2"/>
  <c r="AT350" i="2"/>
  <c r="BJ350" i="2"/>
  <c r="U351" i="2"/>
  <c r="AK351" i="2"/>
  <c r="BA351" i="2"/>
  <c r="H352" i="2"/>
  <c r="X352" i="2"/>
  <c r="AN352" i="2"/>
  <c r="BD352" i="2"/>
  <c r="K353" i="2"/>
  <c r="AA353" i="2"/>
  <c r="AQ353" i="2"/>
  <c r="BG353" i="2"/>
  <c r="R354" i="2"/>
  <c r="AH354" i="2"/>
  <c r="AX354" i="2"/>
  <c r="I355" i="2"/>
  <c r="Y355" i="2"/>
  <c r="AO355" i="2"/>
  <c r="BE355" i="2"/>
  <c r="L356" i="2"/>
  <c r="AB356" i="2"/>
  <c r="AR356" i="2"/>
  <c r="BH356" i="2"/>
  <c r="O357" i="2"/>
  <c r="AE357" i="2"/>
  <c r="AU357" i="2"/>
  <c r="BK357" i="2"/>
  <c r="V358" i="2"/>
  <c r="AL358" i="2"/>
  <c r="BB358" i="2"/>
  <c r="M359" i="2"/>
  <c r="AC359" i="2"/>
  <c r="AS359" i="2"/>
  <c r="BI359" i="2"/>
  <c r="P360" i="2"/>
  <c r="AF360" i="2"/>
  <c r="AV360" i="2"/>
  <c r="BL360" i="2"/>
  <c r="S361" i="2"/>
  <c r="AI361" i="2"/>
  <c r="AY361" i="2"/>
  <c r="J362" i="2"/>
  <c r="Z362" i="2"/>
  <c r="AP362" i="2"/>
  <c r="BF362" i="2"/>
  <c r="Q363" i="2"/>
  <c r="AG363" i="2"/>
  <c r="AW363" i="2"/>
  <c r="BM363" i="2"/>
  <c r="T364" i="2"/>
  <c r="AJ364" i="2"/>
  <c r="AZ364" i="2"/>
  <c r="G365" i="2"/>
  <c r="W365" i="2"/>
  <c r="AM365" i="2"/>
  <c r="BC365" i="2"/>
  <c r="N366" i="2"/>
  <c r="AD366" i="2"/>
  <c r="AT366" i="2"/>
  <c r="BJ366" i="2"/>
  <c r="U367" i="2"/>
  <c r="AK367" i="2"/>
  <c r="BA367" i="2"/>
  <c r="H368" i="2"/>
  <c r="X368" i="2"/>
  <c r="AN368" i="2"/>
  <c r="BD368" i="2"/>
  <c r="K369" i="2"/>
  <c r="AA369" i="2"/>
  <c r="AQ369" i="2"/>
  <c r="BG369" i="2"/>
  <c r="R370" i="2"/>
  <c r="AH370" i="2"/>
  <c r="AX370" i="2"/>
  <c r="I371" i="2"/>
  <c r="Y371" i="2"/>
  <c r="AO371" i="2"/>
  <c r="BE371" i="2"/>
  <c r="N373" i="3"/>
  <c r="N373" i="2" s="1"/>
  <c r="N374" i="2"/>
  <c r="AD373" i="3"/>
  <c r="AD373" i="2" s="1"/>
  <c r="AD374" i="2"/>
  <c r="AT373" i="3"/>
  <c r="AT373" i="2" s="1"/>
  <c r="AT374" i="2"/>
  <c r="BJ373" i="3"/>
  <c r="BJ373" i="2" s="1"/>
  <c r="BJ374" i="2"/>
  <c r="U375" i="2"/>
  <c r="AK375" i="2"/>
  <c r="BA375" i="2"/>
  <c r="H376" i="2"/>
  <c r="X376" i="2"/>
  <c r="AR376" i="2"/>
  <c r="V377" i="2"/>
  <c r="BB377" i="2"/>
  <c r="Y378" i="2"/>
  <c r="BE378" i="2"/>
  <c r="AB379" i="2"/>
  <c r="BH379" i="2"/>
  <c r="AJ380" i="2"/>
  <c r="N381" i="2"/>
  <c r="AT381" i="2"/>
  <c r="Q382" i="2"/>
  <c r="AW382" i="2"/>
  <c r="T383" i="2"/>
  <c r="AZ383" i="2"/>
  <c r="AB384" i="2"/>
  <c r="BH384" i="2"/>
  <c r="AL385" i="2"/>
  <c r="I386" i="2"/>
  <c r="AO386" i="2"/>
  <c r="L387" i="2"/>
  <c r="AR387" i="2"/>
  <c r="T388" i="2"/>
  <c r="AZ388" i="2"/>
  <c r="AD389" i="2"/>
  <c r="BJ389" i="2"/>
  <c r="AG390" i="2"/>
  <c r="BM390" i="2"/>
  <c r="AJ391" i="2"/>
  <c r="L392" i="2"/>
  <c r="AR392" i="2"/>
  <c r="V393" i="2"/>
  <c r="BB393" i="2"/>
  <c r="Y394" i="2"/>
  <c r="BE394" i="2"/>
  <c r="AB395" i="2"/>
  <c r="BH395" i="2"/>
  <c r="AJ396" i="2"/>
  <c r="N397" i="2"/>
  <c r="AT397" i="2"/>
  <c r="Q398" i="2"/>
  <c r="AW398" i="2"/>
  <c r="T399" i="2"/>
  <c r="AZ399" i="2"/>
  <c r="AB400" i="2"/>
  <c r="BH400" i="2"/>
  <c r="AL401" i="2"/>
  <c r="I402" i="2"/>
  <c r="AO402" i="2"/>
  <c r="L403" i="2"/>
  <c r="AR403" i="2"/>
  <c r="T404" i="2"/>
  <c r="AZ404" i="2"/>
  <c r="AD405" i="2"/>
  <c r="BJ405" i="2"/>
  <c r="AG406" i="2"/>
  <c r="BM406" i="2"/>
  <c r="AJ407" i="2"/>
  <c r="L408" i="2"/>
  <c r="AR408" i="2"/>
  <c r="V409" i="2"/>
  <c r="BB409" i="2"/>
  <c r="Y410" i="2"/>
  <c r="BE410" i="2"/>
  <c r="AB411" i="2"/>
  <c r="BH411" i="2"/>
  <c r="S413" i="2"/>
  <c r="AA414" i="3"/>
  <c r="AA414" i="2" s="1"/>
  <c r="AA415" i="2"/>
  <c r="T418" i="2"/>
  <c r="T422" i="2"/>
  <c r="T426" i="2"/>
  <c r="T430" i="2"/>
  <c r="AH437" i="2"/>
  <c r="AH445" i="2"/>
  <c r="AO376" i="2"/>
  <c r="BE376" i="2"/>
  <c r="L377" i="2"/>
  <c r="AB377" i="2"/>
  <c r="AR377" i="2"/>
  <c r="BH377" i="2"/>
  <c r="O378" i="2"/>
  <c r="AE378" i="2"/>
  <c r="AU378" i="2"/>
  <c r="BK378" i="2"/>
  <c r="V379" i="2"/>
  <c r="AL379" i="2"/>
  <c r="BB379" i="2"/>
  <c r="M380" i="2"/>
  <c r="AC380" i="2"/>
  <c r="AS380" i="2"/>
  <c r="BI380" i="2"/>
  <c r="P381" i="2"/>
  <c r="AF381" i="2"/>
  <c r="AV381" i="2"/>
  <c r="BL381" i="2"/>
  <c r="S382" i="2"/>
  <c r="AI382" i="2"/>
  <c r="AY382" i="2"/>
  <c r="J383" i="2"/>
  <c r="Z383" i="2"/>
  <c r="AP383" i="2"/>
  <c r="BF383" i="2"/>
  <c r="Q384" i="2"/>
  <c r="AG384" i="2"/>
  <c r="AW384" i="2"/>
  <c r="BM384" i="2"/>
  <c r="T385" i="2"/>
  <c r="AJ385" i="2"/>
  <c r="AZ385" i="2"/>
  <c r="G386" i="2"/>
  <c r="W386" i="2"/>
  <c r="AM386" i="2"/>
  <c r="BC386" i="2"/>
  <c r="N387" i="2"/>
  <c r="AD387" i="2"/>
  <c r="AT387" i="2"/>
  <c r="BJ387" i="2"/>
  <c r="U388" i="2"/>
  <c r="AK388" i="2"/>
  <c r="BA388" i="2"/>
  <c r="H389" i="2"/>
  <c r="X389" i="2"/>
  <c r="AN389" i="2"/>
  <c r="BD389" i="2"/>
  <c r="K390" i="2"/>
  <c r="AA390" i="2"/>
  <c r="AQ390" i="2"/>
  <c r="BG390" i="2"/>
  <c r="R391" i="2"/>
  <c r="AH391" i="2"/>
  <c r="AX391" i="2"/>
  <c r="I392" i="2"/>
  <c r="Y392" i="2"/>
  <c r="AO392" i="2"/>
  <c r="BE392" i="2"/>
  <c r="L393" i="2"/>
  <c r="AB393" i="2"/>
  <c r="AR393" i="2"/>
  <c r="BH393" i="2"/>
  <c r="O394" i="2"/>
  <c r="AE394" i="2"/>
  <c r="AU394" i="2"/>
  <c r="BK394" i="2"/>
  <c r="V395" i="2"/>
  <c r="AL395" i="2"/>
  <c r="BB395" i="2"/>
  <c r="M396" i="2"/>
  <c r="AC396" i="2"/>
  <c r="AS396" i="2"/>
  <c r="BI396" i="2"/>
  <c r="P397" i="2"/>
  <c r="AF397" i="2"/>
  <c r="AV397" i="2"/>
  <c r="BL397" i="2"/>
  <c r="S398" i="2"/>
  <c r="AI398" i="2"/>
  <c r="AY398" i="2"/>
  <c r="J399" i="2"/>
  <c r="Z399" i="2"/>
  <c r="AP399" i="2"/>
  <c r="BF399" i="2"/>
  <c r="Q400" i="2"/>
  <c r="AG400" i="2"/>
  <c r="AW400" i="2"/>
  <c r="BM400" i="2"/>
  <c r="T401" i="2"/>
  <c r="AJ401" i="2"/>
  <c r="AZ401" i="2"/>
  <c r="G402" i="2"/>
  <c r="W402" i="2"/>
  <c r="AM402" i="2"/>
  <c r="BC402" i="2"/>
  <c r="N403" i="2"/>
  <c r="AD403" i="2"/>
  <c r="AT403" i="2"/>
  <c r="BJ403" i="2"/>
  <c r="U404" i="2"/>
  <c r="AK404" i="2"/>
  <c r="BA404" i="2"/>
  <c r="H405" i="2"/>
  <c r="X405" i="2"/>
  <c r="AN405" i="2"/>
  <c r="BD405" i="2"/>
  <c r="K406" i="2"/>
  <c r="AA406" i="2"/>
  <c r="AQ406" i="2"/>
  <c r="BG406" i="2"/>
  <c r="R407" i="2"/>
  <c r="AH407" i="2"/>
  <c r="AX407" i="2"/>
  <c r="I408" i="2"/>
  <c r="Y408" i="2"/>
  <c r="AO408" i="2"/>
  <c r="BE408" i="2"/>
  <c r="L409" i="2"/>
  <c r="AB409" i="2"/>
  <c r="AR409" i="2"/>
  <c r="BH409" i="2"/>
  <c r="O410" i="2"/>
  <c r="AE410" i="2"/>
  <c r="AU410" i="2"/>
  <c r="BK410" i="2"/>
  <c r="V411" i="2"/>
  <c r="AL411" i="2"/>
  <c r="BB411" i="2"/>
  <c r="M412" i="2"/>
  <c r="AC412" i="2"/>
  <c r="AS412" i="2"/>
  <c r="BI412" i="2"/>
  <c r="P413" i="2"/>
  <c r="AF413" i="2"/>
  <c r="AV413" i="2"/>
  <c r="BL413" i="2"/>
  <c r="T414" i="3"/>
  <c r="T414" i="2" s="1"/>
  <c r="T415" i="2"/>
  <c r="AJ414" i="3"/>
  <c r="AJ414" i="2" s="1"/>
  <c r="AJ415" i="2"/>
  <c r="BG414" i="3"/>
  <c r="BG414" i="2" s="1"/>
  <c r="BG415" i="2"/>
  <c r="I417" i="2"/>
  <c r="H418" i="2"/>
  <c r="G419" i="2"/>
  <c r="V420" i="2"/>
  <c r="Y421" i="2"/>
  <c r="X422" i="2"/>
  <c r="W423" i="2"/>
  <c r="AL424" i="2"/>
  <c r="AO425" i="2"/>
  <c r="AN426" i="2"/>
  <c r="AM427" i="2"/>
  <c r="BB428" i="2"/>
  <c r="BE429" i="2"/>
  <c r="BD430" i="2"/>
  <c r="G432" i="2"/>
  <c r="AA434" i="2"/>
  <c r="AX437" i="2"/>
  <c r="AX441" i="2"/>
  <c r="AX445" i="2"/>
  <c r="AQ451" i="2"/>
  <c r="AO460" i="2"/>
  <c r="W483" i="2"/>
  <c r="AX376" i="2"/>
  <c r="I377" i="2"/>
  <c r="Y377" i="2"/>
  <c r="AO377" i="2"/>
  <c r="BE377" i="2"/>
  <c r="L378" i="2"/>
  <c r="AB378" i="2"/>
  <c r="AR378" i="2"/>
  <c r="BH378" i="2"/>
  <c r="O379" i="2"/>
  <c r="AE379" i="2"/>
  <c r="AU379" i="2"/>
  <c r="BK379" i="2"/>
  <c r="V380" i="2"/>
  <c r="AL380" i="2"/>
  <c r="BB380" i="2"/>
  <c r="M381" i="2"/>
  <c r="AC381" i="2"/>
  <c r="AS381" i="2"/>
  <c r="BI381" i="2"/>
  <c r="P382" i="2"/>
  <c r="AF382" i="2"/>
  <c r="AV382" i="2"/>
  <c r="BL382" i="2"/>
  <c r="S383" i="2"/>
  <c r="AI383" i="2"/>
  <c r="AY383" i="2"/>
  <c r="J384" i="2"/>
  <c r="Z384" i="2"/>
  <c r="AP384" i="2"/>
  <c r="BF384" i="2"/>
  <c r="Q385" i="2"/>
  <c r="AG385" i="2"/>
  <c r="AW385" i="2"/>
  <c r="BM385" i="2"/>
  <c r="T386" i="2"/>
  <c r="AJ386" i="2"/>
  <c r="AZ386" i="2"/>
  <c r="G387" i="2"/>
  <c r="W387" i="2"/>
  <c r="AM387" i="2"/>
  <c r="BC387" i="2"/>
  <c r="N388" i="2"/>
  <c r="AD388" i="2"/>
  <c r="AT388" i="2"/>
  <c r="BJ388" i="2"/>
  <c r="U389" i="2"/>
  <c r="AK389" i="2"/>
  <c r="BA389" i="2"/>
  <c r="H390" i="2"/>
  <c r="X390" i="2"/>
  <c r="AN390" i="2"/>
  <c r="BD390" i="2"/>
  <c r="K391" i="2"/>
  <c r="AA391" i="2"/>
  <c r="AQ391" i="2"/>
  <c r="BG391" i="2"/>
  <c r="R392" i="2"/>
  <c r="AH392" i="2"/>
  <c r="AX392" i="2"/>
  <c r="I393" i="2"/>
  <c r="Y393" i="2"/>
  <c r="AO393" i="2"/>
  <c r="BE393" i="2"/>
  <c r="L394" i="2"/>
  <c r="AB394" i="2"/>
  <c r="AR394" i="2"/>
  <c r="BH394" i="2"/>
  <c r="O395" i="2"/>
  <c r="AE395" i="2"/>
  <c r="AU395" i="2"/>
  <c r="BK395" i="2"/>
  <c r="V396" i="2"/>
  <c r="AL396" i="2"/>
  <c r="BB396" i="2"/>
  <c r="M397" i="2"/>
  <c r="AC397" i="2"/>
  <c r="AS397" i="2"/>
  <c r="BI397" i="2"/>
  <c r="P398" i="2"/>
  <c r="AF398" i="2"/>
  <c r="AV398" i="2"/>
  <c r="BL398" i="2"/>
  <c r="S399" i="2"/>
  <c r="AI399" i="2"/>
  <c r="AY399" i="2"/>
  <c r="J400" i="2"/>
  <c r="Z400" i="2"/>
  <c r="AP400" i="2"/>
  <c r="BF400" i="2"/>
  <c r="Q401" i="2"/>
  <c r="AG401" i="2"/>
  <c r="AW401" i="2"/>
  <c r="BM401" i="2"/>
  <c r="T402" i="2"/>
  <c r="AJ402" i="2"/>
  <c r="AZ402" i="2"/>
  <c r="G403" i="2"/>
  <c r="W403" i="2"/>
  <c r="AM403" i="2"/>
  <c r="BC403" i="2"/>
  <c r="N404" i="2"/>
  <c r="AD404" i="2"/>
  <c r="AT404" i="2"/>
  <c r="BJ404" i="2"/>
  <c r="U405" i="2"/>
  <c r="AK405" i="2"/>
  <c r="BA405" i="2"/>
  <c r="H406" i="2"/>
  <c r="X406" i="2"/>
  <c r="AN406" i="2"/>
  <c r="BD406" i="2"/>
  <c r="K407" i="2"/>
  <c r="AA407" i="2"/>
  <c r="AQ407" i="2"/>
  <c r="BG407" i="2"/>
  <c r="R408" i="2"/>
  <c r="AH408" i="2"/>
  <c r="AX408" i="2"/>
  <c r="I409" i="2"/>
  <c r="Y409" i="2"/>
  <c r="AO409" i="2"/>
  <c r="BE409" i="2"/>
  <c r="L410" i="2"/>
  <c r="AB410" i="2"/>
  <c r="AR410" i="2"/>
  <c r="BH410" i="2"/>
  <c r="O411" i="2"/>
  <c r="AE411" i="2"/>
  <c r="AU411" i="2"/>
  <c r="BK411" i="2"/>
  <c r="V412" i="2"/>
  <c r="AL412" i="2"/>
  <c r="BB412" i="2"/>
  <c r="M413" i="2"/>
  <c r="AC413" i="2"/>
  <c r="AS413" i="2"/>
  <c r="BI413" i="2"/>
  <c r="Q414" i="3"/>
  <c r="Q414" i="2" s="1"/>
  <c r="Q415" i="2"/>
  <c r="AG414" i="3"/>
  <c r="AG414" i="2" s="1"/>
  <c r="AG415" i="2"/>
  <c r="BA414" i="3"/>
  <c r="BA414" i="2" s="1"/>
  <c r="BA415" i="2"/>
  <c r="AP416" i="2"/>
  <c r="AS417" i="2"/>
  <c r="AR418" i="2"/>
  <c r="AQ419" i="2"/>
  <c r="AP420" i="2"/>
  <c r="AS421" i="2"/>
  <c r="AR422" i="2"/>
  <c r="AQ423" i="2"/>
  <c r="AP424" i="2"/>
  <c r="AS425" i="2"/>
  <c r="AR426" i="2"/>
  <c r="AQ427" i="2"/>
  <c r="AP428" i="2"/>
  <c r="AS429" i="2"/>
  <c r="AR430" i="2"/>
  <c r="AZ431" i="2"/>
  <c r="AN433" i="2"/>
  <c r="BE465" i="2"/>
  <c r="K412" i="2"/>
  <c r="AA412" i="2"/>
  <c r="AQ412" i="2"/>
  <c r="BG412" i="2"/>
  <c r="R413" i="2"/>
  <c r="AH413" i="2"/>
  <c r="AX413" i="2"/>
  <c r="J414" i="3"/>
  <c r="J414" i="2" s="1"/>
  <c r="J415" i="2"/>
  <c r="Z414" i="3"/>
  <c r="Z414" i="2" s="1"/>
  <c r="Z415" i="2"/>
  <c r="AQ414" i="3"/>
  <c r="AQ414" i="2" s="1"/>
  <c r="AQ415" i="2"/>
  <c r="N416" i="2"/>
  <c r="Q417" i="2"/>
  <c r="P418" i="2"/>
  <c r="O419" i="2"/>
  <c r="N420" i="2"/>
  <c r="Q421" i="2"/>
  <c r="P422" i="2"/>
  <c r="O423" i="2"/>
  <c r="N424" i="2"/>
  <c r="Q425" i="2"/>
  <c r="P426" i="2"/>
  <c r="O427" i="2"/>
  <c r="N428" i="2"/>
  <c r="Q429" i="2"/>
  <c r="P430" i="2"/>
  <c r="O431" i="2"/>
  <c r="BC432" i="2"/>
  <c r="AQ434" i="2"/>
  <c r="U438" i="2"/>
  <c r="U442" i="2"/>
  <c r="U446" i="2"/>
  <c r="O452" i="2"/>
  <c r="X461" i="2"/>
  <c r="AZ414" i="3"/>
  <c r="AZ414" i="2" s="1"/>
  <c r="AZ415" i="2"/>
  <c r="G416" i="2"/>
  <c r="W416" i="2"/>
  <c r="AM416" i="2"/>
  <c r="BC416" i="2"/>
  <c r="N417" i="2"/>
  <c r="AD417" i="2"/>
  <c r="AT417" i="2"/>
  <c r="BJ417" i="2"/>
  <c r="U418" i="2"/>
  <c r="AK418" i="2"/>
  <c r="BA418" i="2"/>
  <c r="H419" i="2"/>
  <c r="X419" i="2"/>
  <c r="AN419" i="2"/>
  <c r="BD419" i="2"/>
  <c r="K420" i="2"/>
  <c r="AA420" i="2"/>
  <c r="AQ420" i="2"/>
  <c r="BG420" i="2"/>
  <c r="R421" i="2"/>
  <c r="AH421" i="2"/>
  <c r="AX421" i="2"/>
  <c r="I422" i="2"/>
  <c r="Y422" i="2"/>
  <c r="AO422" i="2"/>
  <c r="BE422" i="2"/>
  <c r="L423" i="2"/>
  <c r="AB423" i="2"/>
  <c r="AR423" i="2"/>
  <c r="BH423" i="2"/>
  <c r="O424" i="2"/>
  <c r="AE424" i="2"/>
  <c r="AU424" i="2"/>
  <c r="BK424" i="2"/>
  <c r="V425" i="2"/>
  <c r="AL425" i="2"/>
  <c r="BB425" i="2"/>
  <c r="M426" i="2"/>
  <c r="AC426" i="2"/>
  <c r="AS426" i="2"/>
  <c r="BI426" i="2"/>
  <c r="P427" i="2"/>
  <c r="AF427" i="2"/>
  <c r="AV427" i="2"/>
  <c r="BL427" i="2"/>
  <c r="S428" i="2"/>
  <c r="AI428" i="2"/>
  <c r="AY428" i="2"/>
  <c r="J429" i="2"/>
  <c r="Z429" i="2"/>
  <c r="AP429" i="2"/>
  <c r="BF429" i="2"/>
  <c r="Q430" i="2"/>
  <c r="AG430" i="2"/>
  <c r="AW430" i="2"/>
  <c r="BM430" i="2"/>
  <c r="T431" i="2"/>
  <c r="AO431" i="2"/>
  <c r="I432" i="2"/>
  <c r="AO432" i="2"/>
  <c r="J433" i="2"/>
  <c r="AP433" i="2"/>
  <c r="U434" i="2"/>
  <c r="BA434" i="2"/>
  <c r="AN435" i="2"/>
  <c r="AM436" i="2"/>
  <c r="BB437" i="2"/>
  <c r="BE438" i="2"/>
  <c r="BD439" i="2"/>
  <c r="BC440" i="2"/>
  <c r="I442" i="2"/>
  <c r="H443" i="2"/>
  <c r="G444" i="2"/>
  <c r="V445" i="2"/>
  <c r="Y446" i="2"/>
  <c r="X447" i="2"/>
  <c r="BJ449" i="2"/>
  <c r="AY451" i="2"/>
  <c r="BE455" i="3"/>
  <c r="BE455" i="2" s="1"/>
  <c r="BE456" i="2"/>
  <c r="AN461" i="2"/>
  <c r="L416" i="2"/>
  <c r="AB416" i="2"/>
  <c r="AR416" i="2"/>
  <c r="BH416" i="2"/>
  <c r="O417" i="2"/>
  <c r="AE417" i="2"/>
  <c r="AU417" i="2"/>
  <c r="BK417" i="2"/>
  <c r="V418" i="2"/>
  <c r="AL418" i="2"/>
  <c r="BB418" i="2"/>
  <c r="M419" i="2"/>
  <c r="AC419" i="2"/>
  <c r="AS419" i="2"/>
  <c r="BI419" i="2"/>
  <c r="P420" i="2"/>
  <c r="AF420" i="2"/>
  <c r="AV420" i="2"/>
  <c r="BL420" i="2"/>
  <c r="S421" i="2"/>
  <c r="AI421" i="2"/>
  <c r="AY421" i="2"/>
  <c r="J422" i="2"/>
  <c r="Z422" i="2"/>
  <c r="AP422" i="2"/>
  <c r="BF422" i="2"/>
  <c r="Q423" i="2"/>
  <c r="AG423" i="2"/>
  <c r="AW423" i="2"/>
  <c r="BM423" i="2"/>
  <c r="T424" i="2"/>
  <c r="AJ424" i="2"/>
  <c r="AZ424" i="2"/>
  <c r="G425" i="2"/>
  <c r="W425" i="2"/>
  <c r="AM425" i="2"/>
  <c r="BC425" i="2"/>
  <c r="N426" i="2"/>
  <c r="AD426" i="2"/>
  <c r="AT426" i="2"/>
  <c r="BJ426" i="2"/>
  <c r="U427" i="2"/>
  <c r="AK427" i="2"/>
  <c r="BA427" i="2"/>
  <c r="H428" i="2"/>
  <c r="X428" i="2"/>
  <c r="AN428" i="2"/>
  <c r="BD428" i="2"/>
  <c r="K429" i="2"/>
  <c r="AA429" i="2"/>
  <c r="AQ429" i="2"/>
  <c r="BG429" i="2"/>
  <c r="R430" i="2"/>
  <c r="AH430" i="2"/>
  <c r="AX430" i="2"/>
  <c r="I431" i="2"/>
  <c r="Z431" i="2"/>
  <c r="AV431" i="2"/>
  <c r="S432" i="2"/>
  <c r="AY432" i="2"/>
  <c r="AB433" i="2"/>
  <c r="BH433" i="2"/>
  <c r="AE434" i="2"/>
  <c r="BK434" i="2"/>
  <c r="BH435" i="2"/>
  <c r="BG436" i="2"/>
  <c r="BF437" i="2"/>
  <c r="BI438" i="2"/>
  <c r="BH439" i="2"/>
  <c r="BG440" i="2"/>
  <c r="BF441" i="2"/>
  <c r="BI442" i="2"/>
  <c r="BH443" i="2"/>
  <c r="BG444" i="2"/>
  <c r="BF445" i="2"/>
  <c r="BI446" i="2"/>
  <c r="K448" i="2"/>
  <c r="BM450" i="2"/>
  <c r="AD453" i="2"/>
  <c r="AM458" i="2"/>
  <c r="AM462" i="2"/>
  <c r="AN474" i="2"/>
  <c r="AT414" i="3"/>
  <c r="AT414" i="2" s="1"/>
  <c r="AT415" i="2"/>
  <c r="BJ414" i="3"/>
  <c r="BJ414" i="2" s="1"/>
  <c r="BJ415" i="2"/>
  <c r="U416" i="2"/>
  <c r="AK416" i="2"/>
  <c r="BA416" i="2"/>
  <c r="H417" i="2"/>
  <c r="X417" i="2"/>
  <c r="AN417" i="2"/>
  <c r="BD417" i="2"/>
  <c r="K418" i="2"/>
  <c r="AA418" i="2"/>
  <c r="AQ418" i="2"/>
  <c r="BG418" i="2"/>
  <c r="R419" i="2"/>
  <c r="AH419" i="2"/>
  <c r="AX419" i="2"/>
  <c r="I420" i="2"/>
  <c r="Y420" i="2"/>
  <c r="AO420" i="2"/>
  <c r="BE420" i="2"/>
  <c r="L421" i="2"/>
  <c r="AB421" i="2"/>
  <c r="AR421" i="2"/>
  <c r="BH421" i="2"/>
  <c r="O422" i="2"/>
  <c r="AE422" i="2"/>
  <c r="AU422" i="2"/>
  <c r="BK422" i="2"/>
  <c r="V423" i="2"/>
  <c r="AL423" i="2"/>
  <c r="BB423" i="2"/>
  <c r="M424" i="2"/>
  <c r="AC424" i="2"/>
  <c r="AS424" i="2"/>
  <c r="BI424" i="2"/>
  <c r="P425" i="2"/>
  <c r="AF425" i="2"/>
  <c r="AV425" i="2"/>
  <c r="BL425" i="2"/>
  <c r="S426" i="2"/>
  <c r="AI426" i="2"/>
  <c r="AY426" i="2"/>
  <c r="J427" i="2"/>
  <c r="Z427" i="2"/>
  <c r="AP427" i="2"/>
  <c r="BF427" i="2"/>
  <c r="Q428" i="2"/>
  <c r="AG428" i="2"/>
  <c r="AW428" i="2"/>
  <c r="BM428" i="2"/>
  <c r="T429" i="2"/>
  <c r="AJ429" i="2"/>
  <c r="AZ429" i="2"/>
  <c r="G430" i="2"/>
  <c r="W430" i="2"/>
  <c r="AM430" i="2"/>
  <c r="BC430" i="2"/>
  <c r="N431" i="2"/>
  <c r="AG431" i="2"/>
  <c r="BF431" i="2"/>
  <c r="AK432" i="2"/>
  <c r="N433" i="2"/>
  <c r="AT433" i="2"/>
  <c r="Q434" i="2"/>
  <c r="AW434" i="2"/>
  <c r="AF435" i="2"/>
  <c r="AE436" i="2"/>
  <c r="AD437" i="2"/>
  <c r="AG438" i="2"/>
  <c r="AF439" i="2"/>
  <c r="AE440" i="2"/>
  <c r="AD441" i="2"/>
  <c r="AG442" i="2"/>
  <c r="AF443" i="2"/>
  <c r="AE444" i="2"/>
  <c r="AD445" i="2"/>
  <c r="AG446" i="2"/>
  <c r="AH447" i="2"/>
  <c r="N449" i="2"/>
  <c r="AI451" i="2"/>
  <c r="Y455" i="3"/>
  <c r="Y455" i="2" s="1"/>
  <c r="Y456" i="2"/>
  <c r="Y460" i="2"/>
  <c r="AW431" i="2"/>
  <c r="BM431" i="2"/>
  <c r="T432" i="2"/>
  <c r="AJ432" i="2"/>
  <c r="AZ432" i="2"/>
  <c r="G433" i="2"/>
  <c r="W433" i="2"/>
  <c r="AM433" i="2"/>
  <c r="BC433" i="2"/>
  <c r="N434" i="2"/>
  <c r="AD434" i="2"/>
  <c r="AT434" i="2"/>
  <c r="BJ434" i="2"/>
  <c r="U435" i="2"/>
  <c r="AK435" i="2"/>
  <c r="BA435" i="2"/>
  <c r="H436" i="2"/>
  <c r="X436" i="2"/>
  <c r="AN436" i="2"/>
  <c r="BD436" i="2"/>
  <c r="K437" i="2"/>
  <c r="AA437" i="2"/>
  <c r="AQ437" i="2"/>
  <c r="BG437" i="2"/>
  <c r="R438" i="2"/>
  <c r="AH438" i="2"/>
  <c r="AX438" i="2"/>
  <c r="I439" i="2"/>
  <c r="Y439" i="2"/>
  <c r="AO439" i="2"/>
  <c r="BE439" i="2"/>
  <c r="L440" i="2"/>
  <c r="AB440" i="2"/>
  <c r="AR440" i="2"/>
  <c r="BH440" i="2"/>
  <c r="O441" i="2"/>
  <c r="AE441" i="2"/>
  <c r="AU441" i="2"/>
  <c r="BK441" i="2"/>
  <c r="V442" i="2"/>
  <c r="AL442" i="2"/>
  <c r="BB442" i="2"/>
  <c r="M443" i="2"/>
  <c r="AC443" i="2"/>
  <c r="AS443" i="2"/>
  <c r="BI443" i="2"/>
  <c r="P444" i="2"/>
  <c r="AF444" i="2"/>
  <c r="AV444" i="2"/>
  <c r="BL444" i="2"/>
  <c r="S445" i="2"/>
  <c r="AI445" i="2"/>
  <c r="AY445" i="2"/>
  <c r="J446" i="2"/>
  <c r="Z446" i="2"/>
  <c r="AP446" i="2"/>
  <c r="BF446" i="2"/>
  <c r="Q447" i="2"/>
  <c r="AI447" i="2"/>
  <c r="BD447" i="2"/>
  <c r="AD448" i="2"/>
  <c r="BJ448" i="2"/>
  <c r="AG449" i="2"/>
  <c r="BM449" i="2"/>
  <c r="AJ450" i="2"/>
  <c r="L451" i="2"/>
  <c r="AR451" i="2"/>
  <c r="AI452" i="2"/>
  <c r="AX453" i="2"/>
  <c r="M455" i="3"/>
  <c r="M455" i="2" s="1"/>
  <c r="M456" i="2"/>
  <c r="L457" i="2"/>
  <c r="K458" i="2"/>
  <c r="J459" i="2"/>
  <c r="M460" i="2"/>
  <c r="L461" i="2"/>
  <c r="K462" i="2"/>
  <c r="J463" i="2"/>
  <c r="V464" i="2"/>
  <c r="V468" i="2"/>
  <c r="V472" i="2"/>
  <c r="V476" i="2"/>
  <c r="V480" i="2"/>
  <c r="V484" i="2"/>
  <c r="J435" i="2"/>
  <c r="Z435" i="2"/>
  <c r="AP435" i="2"/>
  <c r="BF435" i="2"/>
  <c r="Q436" i="2"/>
  <c r="AG436" i="2"/>
  <c r="AW436" i="2"/>
  <c r="BM436" i="2"/>
  <c r="T437" i="2"/>
  <c r="AJ437" i="2"/>
  <c r="AZ437" i="2"/>
  <c r="G438" i="2"/>
  <c r="W438" i="2"/>
  <c r="AM438" i="2"/>
  <c r="BC438" i="2"/>
  <c r="N439" i="2"/>
  <c r="AD439" i="2"/>
  <c r="AT439" i="2"/>
  <c r="BJ439" i="2"/>
  <c r="U440" i="2"/>
  <c r="AK440" i="2"/>
  <c r="BA440" i="2"/>
  <c r="H441" i="2"/>
  <c r="X441" i="2"/>
  <c r="AN441" i="2"/>
  <c r="BD441" i="2"/>
  <c r="K442" i="2"/>
  <c r="AA442" i="2"/>
  <c r="AQ442" i="2"/>
  <c r="BG442" i="2"/>
  <c r="R443" i="2"/>
  <c r="AH443" i="2"/>
  <c r="AX443" i="2"/>
  <c r="I444" i="2"/>
  <c r="Y444" i="2"/>
  <c r="AO444" i="2"/>
  <c r="BE444" i="2"/>
  <c r="L445" i="2"/>
  <c r="AB445" i="2"/>
  <c r="AR445" i="2"/>
  <c r="BH445" i="2"/>
  <c r="O446" i="2"/>
  <c r="AE446" i="2"/>
  <c r="AU446" i="2"/>
  <c r="BK446" i="2"/>
  <c r="V447" i="2"/>
  <c r="AP447" i="2"/>
  <c r="BK447" i="2"/>
  <c r="AE448" i="2"/>
  <c r="BK448" i="2"/>
  <c r="AH449" i="2"/>
  <c r="M450" i="2"/>
  <c r="AS450" i="2"/>
  <c r="O451" i="2"/>
  <c r="AU451" i="2"/>
  <c r="W452" i="2"/>
  <c r="AL453" i="2"/>
  <c r="AO454" i="2"/>
  <c r="AW455" i="3"/>
  <c r="AW455" i="2" s="1"/>
  <c r="AW456" i="2"/>
  <c r="AV457" i="2"/>
  <c r="AU458" i="2"/>
  <c r="AT459" i="2"/>
  <c r="AW460" i="2"/>
  <c r="AV461" i="2"/>
  <c r="AU462" i="2"/>
  <c r="AT463" i="2"/>
  <c r="H466" i="2"/>
  <c r="H470" i="2"/>
  <c r="H474" i="2"/>
  <c r="H478" i="2"/>
  <c r="H482" i="2"/>
  <c r="AC486" i="2"/>
  <c r="AI431" i="2"/>
  <c r="AY431" i="2"/>
  <c r="J432" i="2"/>
  <c r="Z432" i="2"/>
  <c r="AP432" i="2"/>
  <c r="BF432" i="2"/>
  <c r="Q433" i="2"/>
  <c r="AG433" i="2"/>
  <c r="AW433" i="2"/>
  <c r="BM433" i="2"/>
  <c r="T434" i="2"/>
  <c r="AJ434" i="2"/>
  <c r="AZ434" i="2"/>
  <c r="G435" i="2"/>
  <c r="W435" i="2"/>
  <c r="AM435" i="2"/>
  <c r="BC435" i="2"/>
  <c r="N436" i="2"/>
  <c r="AD436" i="2"/>
  <c r="AT436" i="2"/>
  <c r="BJ436" i="2"/>
  <c r="U437" i="2"/>
  <c r="AK437" i="2"/>
  <c r="BA437" i="2"/>
  <c r="H438" i="2"/>
  <c r="X438" i="2"/>
  <c r="AN438" i="2"/>
  <c r="BD438" i="2"/>
  <c r="K439" i="2"/>
  <c r="AA439" i="2"/>
  <c r="AQ439" i="2"/>
  <c r="BG439" i="2"/>
  <c r="R440" i="2"/>
  <c r="AH440" i="2"/>
  <c r="AX440" i="2"/>
  <c r="I441" i="2"/>
  <c r="Y441" i="2"/>
  <c r="AO441" i="2"/>
  <c r="BE441" i="2"/>
  <c r="L442" i="2"/>
  <c r="AB442" i="2"/>
  <c r="AR442" i="2"/>
  <c r="BH442" i="2"/>
  <c r="O443" i="2"/>
  <c r="AE443" i="2"/>
  <c r="AU443" i="2"/>
  <c r="BK443" i="2"/>
  <c r="V444" i="2"/>
  <c r="AL444" i="2"/>
  <c r="BB444" i="2"/>
  <c r="M445" i="2"/>
  <c r="AC445" i="2"/>
  <c r="AS445" i="2"/>
  <c r="BI445" i="2"/>
  <c r="P446" i="2"/>
  <c r="AF446" i="2"/>
  <c r="AV446" i="2"/>
  <c r="BL446" i="2"/>
  <c r="S447" i="2"/>
  <c r="AL447" i="2"/>
  <c r="BG447" i="2"/>
  <c r="Z448" i="2"/>
  <c r="BF448" i="2"/>
  <c r="AK449" i="2"/>
  <c r="H450" i="2"/>
  <c r="AN450" i="2"/>
  <c r="H451" i="2"/>
  <c r="AN451" i="2"/>
  <c r="K452" i="2"/>
  <c r="J453" i="2"/>
  <c r="M454" i="2"/>
  <c r="U455" i="3"/>
  <c r="U455" i="2" s="1"/>
  <c r="U456" i="2"/>
  <c r="AJ457" i="2"/>
  <c r="AY458" i="2"/>
  <c r="U460" i="2"/>
  <c r="AJ461" i="2"/>
  <c r="AY462" i="2"/>
  <c r="BB464" i="2"/>
  <c r="BB468" i="2"/>
  <c r="BB472" i="2"/>
  <c r="BB476" i="2"/>
  <c r="BB480" i="2"/>
  <c r="BB484" i="2"/>
  <c r="AG447" i="2"/>
  <c r="AW447" i="2"/>
  <c r="BM447" i="2"/>
  <c r="T448" i="2"/>
  <c r="AJ448" i="2"/>
  <c r="AZ448" i="2"/>
  <c r="G449" i="2"/>
  <c r="W449" i="2"/>
  <c r="AM449" i="2"/>
  <c r="BC449" i="2"/>
  <c r="N450" i="2"/>
  <c r="AD450" i="2"/>
  <c r="AT450" i="2"/>
  <c r="BJ450" i="2"/>
  <c r="U451" i="2"/>
  <c r="AK451" i="2"/>
  <c r="BA451" i="2"/>
  <c r="H452" i="2"/>
  <c r="X452" i="2"/>
  <c r="AN452" i="2"/>
  <c r="BD452" i="2"/>
  <c r="K453" i="2"/>
  <c r="AA453" i="2"/>
  <c r="AQ453" i="2"/>
  <c r="BG453" i="2"/>
  <c r="R454" i="2"/>
  <c r="AH454" i="2"/>
  <c r="AX454" i="2"/>
  <c r="J455" i="3"/>
  <c r="J455" i="2" s="1"/>
  <c r="J456" i="2"/>
  <c r="Z455" i="3"/>
  <c r="Z455" i="2" s="1"/>
  <c r="Z456" i="2"/>
  <c r="AP455" i="3"/>
  <c r="AP455" i="2" s="1"/>
  <c r="AP456" i="2"/>
  <c r="BF455" i="3"/>
  <c r="BF455" i="2" s="1"/>
  <c r="BF456" i="2"/>
  <c r="Q457" i="2"/>
  <c r="AG457" i="2"/>
  <c r="AW457" i="2"/>
  <c r="BM457" i="2"/>
  <c r="T458" i="2"/>
  <c r="AJ458" i="2"/>
  <c r="AZ458" i="2"/>
  <c r="G459" i="2"/>
  <c r="W459" i="2"/>
  <c r="AM459" i="2"/>
  <c r="BC459" i="2"/>
  <c r="N460" i="2"/>
  <c r="AD460" i="2"/>
  <c r="AT460" i="2"/>
  <c r="BJ460" i="2"/>
  <c r="U461" i="2"/>
  <c r="AK461" i="2"/>
  <c r="BA461" i="2"/>
  <c r="H462" i="2"/>
  <c r="X462" i="2"/>
  <c r="AN462" i="2"/>
  <c r="BD462" i="2"/>
  <c r="K463" i="2"/>
  <c r="AA463" i="2"/>
  <c r="AQ463" i="2"/>
  <c r="BG463" i="2"/>
  <c r="AP464" i="2"/>
  <c r="AS465" i="2"/>
  <c r="AR466" i="2"/>
  <c r="AQ467" i="2"/>
  <c r="AP468" i="2"/>
  <c r="AS469" i="2"/>
  <c r="AR470" i="2"/>
  <c r="AQ471" i="2"/>
  <c r="AP472" i="2"/>
  <c r="AS473" i="2"/>
  <c r="AR474" i="2"/>
  <c r="AQ475" i="2"/>
  <c r="AP476" i="2"/>
  <c r="AS477" i="2"/>
  <c r="AR478" i="2"/>
  <c r="AQ479" i="2"/>
  <c r="AP480" i="2"/>
  <c r="AS481" i="2"/>
  <c r="AR482" i="2"/>
  <c r="AQ483" i="2"/>
  <c r="AP484" i="2"/>
  <c r="BF485" i="2"/>
  <c r="S487" i="2"/>
  <c r="U448" i="2"/>
  <c r="AK448" i="2"/>
  <c r="BA448" i="2"/>
  <c r="H449" i="2"/>
  <c r="X449" i="2"/>
  <c r="AN449" i="2"/>
  <c r="BD449" i="2"/>
  <c r="K450" i="2"/>
  <c r="AA450" i="2"/>
  <c r="AQ450" i="2"/>
  <c r="BG450" i="2"/>
  <c r="R451" i="2"/>
  <c r="AH451" i="2"/>
  <c r="AX451" i="2"/>
  <c r="I452" i="2"/>
  <c r="Y452" i="2"/>
  <c r="AO452" i="2"/>
  <c r="BE452" i="2"/>
  <c r="L453" i="2"/>
  <c r="AB453" i="2"/>
  <c r="AR453" i="2"/>
  <c r="BH453" i="2"/>
  <c r="O454" i="2"/>
  <c r="AE454" i="2"/>
  <c r="AU454" i="2"/>
  <c r="BK454" i="2"/>
  <c r="S455" i="3"/>
  <c r="S455" i="2" s="1"/>
  <c r="S456" i="2"/>
  <c r="AI455" i="3"/>
  <c r="AI455" i="2" s="1"/>
  <c r="AI456" i="2"/>
  <c r="AY455" i="3"/>
  <c r="AY455" i="2" s="1"/>
  <c r="AY456" i="2"/>
  <c r="J457" i="2"/>
  <c r="Z457" i="2"/>
  <c r="AP457" i="2"/>
  <c r="BF457" i="2"/>
  <c r="Q458" i="2"/>
  <c r="AG458" i="2"/>
  <c r="AW458" i="2"/>
  <c r="BM458" i="2"/>
  <c r="T459" i="2"/>
  <c r="AJ459" i="2"/>
  <c r="AZ459" i="2"/>
  <c r="G460" i="2"/>
  <c r="W460" i="2"/>
  <c r="AM460" i="2"/>
  <c r="BC460" i="2"/>
  <c r="N461" i="2"/>
  <c r="AD461" i="2"/>
  <c r="AT461" i="2"/>
  <c r="BJ461" i="2"/>
  <c r="U462" i="2"/>
  <c r="AK462" i="2"/>
  <c r="BA462" i="2"/>
  <c r="H463" i="2"/>
  <c r="X463" i="2"/>
  <c r="AN463" i="2"/>
  <c r="BD463" i="2"/>
  <c r="AD464" i="2"/>
  <c r="AG465" i="2"/>
  <c r="AF466" i="2"/>
  <c r="AE467" i="2"/>
  <c r="AD468" i="2"/>
  <c r="AG469" i="2"/>
  <c r="AF470" i="2"/>
  <c r="AE471" i="2"/>
  <c r="AD472" i="2"/>
  <c r="AG473" i="2"/>
  <c r="AF474" i="2"/>
  <c r="AE475" i="2"/>
  <c r="AD476" i="2"/>
  <c r="AG477" i="2"/>
  <c r="AF478" i="2"/>
  <c r="AE479" i="2"/>
  <c r="AD480" i="2"/>
  <c r="AG481" i="2"/>
  <c r="AF482" i="2"/>
  <c r="AE483" i="2"/>
  <c r="AD484" i="2"/>
  <c r="AP485" i="2"/>
  <c r="BI486" i="2"/>
  <c r="V452" i="2"/>
  <c r="AL452" i="2"/>
  <c r="BB452" i="2"/>
  <c r="M453" i="2"/>
  <c r="AC453" i="2"/>
  <c r="AS453" i="2"/>
  <c r="BI453" i="2"/>
  <c r="P454" i="2"/>
  <c r="AF454" i="2"/>
  <c r="AV454" i="2"/>
  <c r="BL454" i="2"/>
  <c r="T455" i="3"/>
  <c r="T455" i="2" s="1"/>
  <c r="T456" i="2"/>
  <c r="AJ455" i="3"/>
  <c r="AJ455" i="2" s="1"/>
  <c r="AJ456" i="2"/>
  <c r="AZ455" i="3"/>
  <c r="AZ455" i="2" s="1"/>
  <c r="AZ456" i="2"/>
  <c r="G457" i="2"/>
  <c r="W457" i="2"/>
  <c r="AM457" i="2"/>
  <c r="BC457" i="2"/>
  <c r="N458" i="2"/>
  <c r="AD458" i="2"/>
  <c r="AT458" i="2"/>
  <c r="BJ458" i="2"/>
  <c r="U459" i="2"/>
  <c r="AK459" i="2"/>
  <c r="BA459" i="2"/>
  <c r="H460" i="2"/>
  <c r="X460" i="2"/>
  <c r="AN460" i="2"/>
  <c r="BD460" i="2"/>
  <c r="K461" i="2"/>
  <c r="AA461" i="2"/>
  <c r="AQ461" i="2"/>
  <c r="BG461" i="2"/>
  <c r="R462" i="2"/>
  <c r="AH462" i="2"/>
  <c r="AX462" i="2"/>
  <c r="I463" i="2"/>
  <c r="Y463" i="2"/>
  <c r="AO463" i="2"/>
  <c r="BE463" i="2"/>
  <c r="AX464" i="2"/>
  <c r="T466" i="2"/>
  <c r="AI467" i="2"/>
  <c r="AX468" i="2"/>
  <c r="T470" i="2"/>
  <c r="AI471" i="2"/>
  <c r="AX472" i="2"/>
  <c r="T474" i="2"/>
  <c r="AI475" i="2"/>
  <c r="AX476" i="2"/>
  <c r="T478" i="2"/>
  <c r="AI479" i="2"/>
  <c r="AX480" i="2"/>
  <c r="T482" i="2"/>
  <c r="AI483" i="2"/>
  <c r="AX484" i="2"/>
  <c r="AS486" i="2"/>
  <c r="Q464" i="2"/>
  <c r="AG464" i="2"/>
  <c r="AW464" i="2"/>
  <c r="BM464" i="2"/>
  <c r="T465" i="2"/>
  <c r="AJ465" i="2"/>
  <c r="AZ465" i="2"/>
  <c r="G466" i="2"/>
  <c r="W466" i="2"/>
  <c r="AM466" i="2"/>
  <c r="BC466" i="2"/>
  <c r="N467" i="2"/>
  <c r="AD467" i="2"/>
  <c r="AT467" i="2"/>
  <c r="BJ467" i="2"/>
  <c r="U468" i="2"/>
  <c r="AK468" i="2"/>
  <c r="BA468" i="2"/>
  <c r="H469" i="2"/>
  <c r="X469" i="2"/>
  <c r="AN469" i="2"/>
  <c r="BD469" i="2"/>
  <c r="K470" i="2"/>
  <c r="AA470" i="2"/>
  <c r="AQ470" i="2"/>
  <c r="BG470" i="2"/>
  <c r="R471" i="2"/>
  <c r="AH471" i="2"/>
  <c r="AX471" i="2"/>
  <c r="I472" i="2"/>
  <c r="Y472" i="2"/>
  <c r="AO472" i="2"/>
  <c r="BE472" i="2"/>
  <c r="L473" i="2"/>
  <c r="AB473" i="2"/>
  <c r="AR473" i="2"/>
  <c r="BH473" i="2"/>
  <c r="O474" i="2"/>
  <c r="AE474" i="2"/>
  <c r="AU474" i="2"/>
  <c r="BK474" i="2"/>
  <c r="V475" i="2"/>
  <c r="AL475" i="2"/>
  <c r="BB475" i="2"/>
  <c r="M476" i="2"/>
  <c r="AC476" i="2"/>
  <c r="AS476" i="2"/>
  <c r="BI476" i="2"/>
  <c r="P477" i="2"/>
  <c r="AF477" i="2"/>
  <c r="AV477" i="2"/>
  <c r="BL477" i="2"/>
  <c r="S478" i="2"/>
  <c r="AI478" i="2"/>
  <c r="AY478" i="2"/>
  <c r="J479" i="2"/>
  <c r="Z479" i="2"/>
  <c r="AP479" i="2"/>
  <c r="BF479" i="2"/>
  <c r="Q480" i="2"/>
  <c r="AG480" i="2"/>
  <c r="AW480" i="2"/>
  <c r="BM480" i="2"/>
  <c r="T481" i="2"/>
  <c r="AJ481" i="2"/>
  <c r="AZ481" i="2"/>
  <c r="G482" i="2"/>
  <c r="W482" i="2"/>
  <c r="AM482" i="2"/>
  <c r="BC482" i="2"/>
  <c r="N483" i="2"/>
  <c r="AD483" i="2"/>
  <c r="AT483" i="2"/>
  <c r="BJ483" i="2"/>
  <c r="U484" i="2"/>
  <c r="AK484" i="2"/>
  <c r="BA484" i="2"/>
  <c r="I485" i="2"/>
  <c r="AD485" i="2"/>
  <c r="AZ485" i="2"/>
  <c r="L486" i="2"/>
  <c r="AG486" i="2"/>
  <c r="BC486" i="2"/>
  <c r="R487" i="2"/>
  <c r="S464" i="2"/>
  <c r="AI464" i="2"/>
  <c r="AY464" i="2"/>
  <c r="J465" i="2"/>
  <c r="Z465" i="2"/>
  <c r="AP465" i="2"/>
  <c r="BF465" i="2"/>
  <c r="Q466" i="2"/>
  <c r="AG466" i="2"/>
  <c r="AW466" i="2"/>
  <c r="BM466" i="2"/>
  <c r="T467" i="2"/>
  <c r="AJ467" i="2"/>
  <c r="AZ467" i="2"/>
  <c r="G468" i="2"/>
  <c r="W468" i="2"/>
  <c r="AM468" i="2"/>
  <c r="BC468" i="2"/>
  <c r="N469" i="2"/>
  <c r="AD469" i="2"/>
  <c r="AT469" i="2"/>
  <c r="BJ469" i="2"/>
  <c r="U470" i="2"/>
  <c r="AK470" i="2"/>
  <c r="BA470" i="2"/>
  <c r="H471" i="2"/>
  <c r="X471" i="2"/>
  <c r="AN471" i="2"/>
  <c r="BD471" i="2"/>
  <c r="K472" i="2"/>
  <c r="AA472" i="2"/>
  <c r="AQ472" i="2"/>
  <c r="BG472" i="2"/>
  <c r="R473" i="2"/>
  <c r="AH473" i="2"/>
  <c r="AX473" i="2"/>
  <c r="I474" i="2"/>
  <c r="Y474" i="2"/>
  <c r="AO474" i="2"/>
  <c r="BE474" i="2"/>
  <c r="L475" i="2"/>
  <c r="AB475" i="2"/>
  <c r="AR475" i="2"/>
  <c r="BH475" i="2"/>
  <c r="O476" i="2"/>
  <c r="AE476" i="2"/>
  <c r="AU476" i="2"/>
  <c r="BK476" i="2"/>
  <c r="V477" i="2"/>
  <c r="AL477" i="2"/>
  <c r="BB477" i="2"/>
  <c r="M478" i="2"/>
  <c r="AC478" i="2"/>
  <c r="AS478" i="2"/>
  <c r="BI478" i="2"/>
  <c r="P479" i="2"/>
  <c r="AF479" i="2"/>
  <c r="AV479" i="2"/>
  <c r="BL479" i="2"/>
  <c r="S480" i="2"/>
  <c r="AI480" i="2"/>
  <c r="AY480" i="2"/>
  <c r="J481" i="2"/>
  <c r="Z481" i="2"/>
  <c r="AP481" i="2"/>
  <c r="BF481" i="2"/>
  <c r="Q482" i="2"/>
  <c r="AG482" i="2"/>
  <c r="AW482" i="2"/>
  <c r="BM482" i="2"/>
  <c r="T483" i="2"/>
  <c r="AJ483" i="2"/>
  <c r="AZ483" i="2"/>
  <c r="G484" i="2"/>
  <c r="W484" i="2"/>
  <c r="AM484" i="2"/>
  <c r="BC484" i="2"/>
  <c r="Q485" i="2"/>
  <c r="AL485" i="2"/>
  <c r="BH485" i="2"/>
  <c r="T486" i="2"/>
  <c r="AO486" i="2"/>
  <c r="BK486" i="2"/>
  <c r="P464" i="2"/>
  <c r="AF464" i="2"/>
  <c r="AV464" i="2"/>
  <c r="BL464" i="2"/>
  <c r="S465" i="2"/>
  <c r="AI465" i="2"/>
  <c r="AY465" i="2"/>
  <c r="J466" i="2"/>
  <c r="Z466" i="2"/>
  <c r="AP466" i="2"/>
  <c r="BF466" i="2"/>
  <c r="Q467" i="2"/>
  <c r="AG467" i="2"/>
  <c r="AW467" i="2"/>
  <c r="BM467" i="2"/>
  <c r="T468" i="2"/>
  <c r="AJ468" i="2"/>
  <c r="AZ468" i="2"/>
  <c r="G469" i="2"/>
  <c r="W469" i="2"/>
  <c r="AM469" i="2"/>
  <c r="BC469" i="2"/>
  <c r="N470" i="2"/>
  <c r="AD470" i="2"/>
  <c r="AT470" i="2"/>
  <c r="BJ470" i="2"/>
  <c r="U471" i="2"/>
  <c r="AK471" i="2"/>
  <c r="BA471" i="2"/>
  <c r="H472" i="2"/>
  <c r="X472" i="2"/>
  <c r="AN472" i="2"/>
  <c r="BD472" i="2"/>
  <c r="K473" i="2"/>
  <c r="AA473" i="2"/>
  <c r="AQ473" i="2"/>
  <c r="BG473" i="2"/>
  <c r="R474" i="2"/>
  <c r="AH474" i="2"/>
  <c r="AX474" i="2"/>
  <c r="I475" i="2"/>
  <c r="Y475" i="2"/>
  <c r="AO475" i="2"/>
  <c r="BE475" i="2"/>
  <c r="L476" i="2"/>
  <c r="AB476" i="2"/>
  <c r="AR476" i="2"/>
  <c r="BH476" i="2"/>
  <c r="O477" i="2"/>
  <c r="AE477" i="2"/>
  <c r="AU477" i="2"/>
  <c r="BK477" i="2"/>
  <c r="V478" i="2"/>
  <c r="AL478" i="2"/>
  <c r="BB478" i="2"/>
  <c r="M479" i="2"/>
  <c r="AC479" i="2"/>
  <c r="AS479" i="2"/>
  <c r="BI479" i="2"/>
  <c r="P480" i="2"/>
  <c r="AF480" i="2"/>
  <c r="AV480" i="2"/>
  <c r="BL480" i="2"/>
  <c r="S481" i="2"/>
  <c r="AI481" i="2"/>
  <c r="AY481" i="2"/>
  <c r="J482" i="2"/>
  <c r="Z482" i="2"/>
  <c r="AP482" i="2"/>
  <c r="BF482" i="2"/>
  <c r="Q483" i="2"/>
  <c r="AG483" i="2"/>
  <c r="AW483" i="2"/>
  <c r="BM483" i="2"/>
  <c r="T484" i="2"/>
  <c r="AJ484" i="2"/>
  <c r="AZ484" i="2"/>
  <c r="H485" i="2"/>
  <c r="AC485" i="2"/>
  <c r="AX485" i="2"/>
  <c r="P486" i="2"/>
  <c r="AK486" i="2"/>
  <c r="BG486" i="2"/>
  <c r="V487" i="2"/>
  <c r="AL487" i="2"/>
  <c r="BB487" i="2"/>
  <c r="M488" i="2"/>
  <c r="AC488" i="2"/>
  <c r="AS488" i="2"/>
  <c r="BI488" i="2"/>
  <c r="P489" i="2"/>
  <c r="AF489" i="2"/>
  <c r="AV489" i="2"/>
  <c r="BL489" i="2"/>
  <c r="S490" i="2"/>
  <c r="AI490" i="2"/>
  <c r="AY490" i="2"/>
  <c r="J491" i="2"/>
  <c r="Z491" i="2"/>
  <c r="AP491" i="2"/>
  <c r="BF491" i="2"/>
  <c r="Q492" i="2"/>
  <c r="AG492" i="2"/>
  <c r="AW492" i="2"/>
  <c r="BM492" i="2"/>
  <c r="T493" i="2"/>
  <c r="AJ493" i="2"/>
  <c r="AZ493" i="2"/>
  <c r="G494" i="2"/>
  <c r="W494" i="2"/>
  <c r="AM494" i="2"/>
  <c r="BC494" i="2"/>
  <c r="N495" i="2"/>
  <c r="AD495" i="2"/>
  <c r="AT495" i="2"/>
  <c r="BJ495" i="2"/>
  <c r="AI487" i="2"/>
  <c r="AY487" i="2"/>
  <c r="J488" i="2"/>
  <c r="Z488" i="2"/>
  <c r="AP488" i="2"/>
  <c r="BF488" i="2"/>
  <c r="Q489" i="2"/>
  <c r="AG489" i="2"/>
  <c r="AW489" i="2"/>
  <c r="BM489" i="2"/>
  <c r="T490" i="2"/>
  <c r="AJ490" i="2"/>
  <c r="AZ490" i="2"/>
  <c r="G491" i="2"/>
  <c r="W491" i="2"/>
  <c r="AM491" i="2"/>
  <c r="BC491" i="2"/>
  <c r="N492" i="2"/>
  <c r="AD492" i="2"/>
  <c r="AT492" i="2"/>
  <c r="BJ492" i="2"/>
  <c r="U493" i="2"/>
  <c r="AK493" i="2"/>
  <c r="BA493" i="2"/>
  <c r="H494" i="2"/>
  <c r="X494" i="2"/>
  <c r="AN494" i="2"/>
  <c r="BD494" i="2"/>
  <c r="K495" i="2"/>
  <c r="AA495" i="2"/>
  <c r="AQ495" i="2"/>
  <c r="BG495" i="2"/>
  <c r="P487" i="2"/>
  <c r="AF487" i="2"/>
  <c r="AV487" i="2"/>
  <c r="BL487" i="2"/>
  <c r="S488" i="2"/>
  <c r="AI488" i="2"/>
  <c r="AY488" i="2"/>
  <c r="J489" i="2"/>
  <c r="Z489" i="2"/>
  <c r="AP489" i="2"/>
  <c r="BF489" i="2"/>
  <c r="Q490" i="2"/>
  <c r="AG490" i="2"/>
  <c r="AW490" i="2"/>
  <c r="BM490" i="2"/>
  <c r="T491" i="2"/>
  <c r="AJ491" i="2"/>
  <c r="AZ491" i="2"/>
  <c r="G492" i="2"/>
  <c r="W492" i="2"/>
  <c r="AM492" i="2"/>
  <c r="BC492" i="2"/>
  <c r="N493" i="2"/>
  <c r="AD493" i="2"/>
  <c r="AT493" i="2"/>
  <c r="BJ493" i="2"/>
  <c r="U494" i="2"/>
  <c r="AK494" i="2"/>
  <c r="BA494" i="2"/>
  <c r="H495" i="2"/>
  <c r="X495" i="2"/>
  <c r="AN495" i="2"/>
  <c r="BD495" i="2"/>
  <c r="K485" i="2"/>
  <c r="AA485" i="2"/>
  <c r="AQ485" i="2"/>
  <c r="BG485" i="2"/>
  <c r="R486" i="2"/>
  <c r="AH486" i="2"/>
  <c r="AX486" i="2"/>
  <c r="I487" i="2"/>
  <c r="Y487" i="2"/>
  <c r="AO487" i="2"/>
  <c r="BE487" i="2"/>
  <c r="L488" i="2"/>
  <c r="AB488" i="2"/>
  <c r="AR488" i="2"/>
  <c r="BH488" i="2"/>
  <c r="O489" i="2"/>
  <c r="AE489" i="2"/>
  <c r="AU489" i="2"/>
  <c r="BK489" i="2"/>
  <c r="V490" i="2"/>
  <c r="AL490" i="2"/>
  <c r="BB490" i="2"/>
  <c r="M491" i="2"/>
  <c r="AC491" i="2"/>
  <c r="AS491" i="2"/>
  <c r="BI491" i="2"/>
  <c r="P492" i="2"/>
  <c r="AF492" i="2"/>
  <c r="AV492" i="2"/>
  <c r="BL492" i="2"/>
  <c r="S493" i="2"/>
  <c r="AI493" i="2"/>
  <c r="AY493" i="2"/>
  <c r="J494" i="2"/>
  <c r="Z494" i="2"/>
  <c r="AP494" i="2"/>
  <c r="BF494" i="2"/>
  <c r="Q495" i="2"/>
  <c r="AG495" i="2"/>
  <c r="AW495" i="2"/>
  <c r="BM495" i="2"/>
</calcChain>
</file>

<file path=xl/sharedStrings.xml><?xml version="1.0" encoding="utf-8"?>
<sst xmlns="http://schemas.openxmlformats.org/spreadsheetml/2006/main" count="29" uniqueCount="28">
  <si>
    <t>**IMPORTANT NOTE**</t>
  </si>
  <si>
    <t>This document, the information contained herein and any derived information created therefrom are for the exclusive use of ANIRUDH BHARDWAJ at COLUMBIA UNIVERSITY.</t>
  </si>
  <si>
    <t>~~~~~~~~~~~~~~~~~~~~~~~~~~~~~~~~~~~~~~~~~~~~~~~~~~~~~~~~~~~~~~~~~~~~~~~~~~~~~~~~~~~~~~~~~~~~~~~~~~~~~~~~~~~~~~~~~~~~~~~~~~~~~~~~~~~~~~~~~~~~~~~~~~~~~~~~~~~~~~~~</t>
  </si>
  <si>
    <t>**REFERENCE**</t>
  </si>
  <si>
    <t xml:space="preserve">     Spreadsheets generated from the BI Excel export can be used as reference tables to fuel various models and other sheets on your desktop.</t>
  </si>
  <si>
    <t xml:space="preserve">     Automated model building or 'drag and drop' from the BI export sheet are not supported at this time, but using the BI export</t>
  </si>
  <si>
    <t xml:space="preserve">     as a reference table for use in other spreadsheets is a powerful and convenient tool to help achieve your goals.</t>
  </si>
  <si>
    <t xml:space="preserve">   --The BI Excel export sheet typically contains two data tabs (certain BI modules like those in the 'Monitor' section on BI will only result in a single 'Sheet 1' data tab):</t>
  </si>
  <si>
    <t xml:space="preserve">     1) 'BIData':  This is the fully curated grid that is meant to be a clean, simple, synchronized match to what is seen on the BI dashboard. </t>
  </si>
  <si>
    <t xml:space="preserve">          The grid on the 'BIData' tab can be used as a reference table for use in your models and other downstream spreadsheets.</t>
  </si>
  <si>
    <t xml:space="preserve">     2) 'ReferenceData':  This is the tab where all the raw data is housed and data preparation is done.  There are typically 2 separate grids here:</t>
  </si>
  <si>
    <t xml:space="preserve">          a top curated grid that includes error handling, expressions, etc., and a bottom raw grid that includes any/all live API information for this export. </t>
  </si>
  <si>
    <t xml:space="preserve">          The bottom grid on the ReferenceData tab is where actual API (BDP/BDH) expressions are constructed, so refer to this section if you</t>
  </si>
  <si>
    <t xml:space="preserve">          are interested in seeing/using the underlying API details.</t>
  </si>
  <si>
    <t xml:space="preserve">          Note: In some cases the bottom grid will not exist (in the event that none of the data selected is coming from live API links).</t>
  </si>
  <si>
    <t xml:space="preserve">   --In any grid on either tab, there are common columns:</t>
  </si>
  <si>
    <t xml:space="preserve">     1) Description:  The row label that matches the row label you'd find on BI</t>
  </si>
  <si>
    <t xml:space="preserve">     2) Ticker:  The company/index ticker corresponding to that row (this is the ticker used in the </t>
  </si>
  <si>
    <t xml:space="preserve">          BDP/BDH formula for that row, if applicable)</t>
  </si>
  <si>
    <t xml:space="preserve">     3) Field ID:  The calcrout ID used to structure the BDP/BDH formula for that row (where applicable).</t>
  </si>
  <si>
    <t xml:space="preserve">     4) Field Mnemonic:  The calcrout mnemonic corresponding to the field ID used to structure the BDP/BDH formula for that row (where applicable).</t>
  </si>
  <si>
    <t xml:space="preserve">     5) Data State:  The state of the data within that particular row, including 'Dynamic', 'Static', 'Sum', 'Average', 'Median' or 'Heading'.  If 'Dynamic'</t>
  </si>
  <si>
    <t xml:space="preserve">          then new data will be expected to come to the sheet when it becomes available in the database with no need for another export.</t>
  </si>
  <si>
    <t xml:space="preserve">          If 'Static' then there are no live links in this row and new data will only be procured by running and exporting from BI again.</t>
  </si>
  <si>
    <t xml:space="preserve">          If it's 'Sum', 'Average', 'Median' or 'Expression', then new data may come to the sheet for some expression components, but</t>
  </si>
  <si>
    <t xml:space="preserve">          to ensure the latest data is present in the sheet, BI should be run and exported again.</t>
  </si>
  <si>
    <t>**HELP**</t>
  </si>
  <si>
    <t xml:space="preserve">     If you experience any issues with the BI Excel export process or results, run the BI&lt;GO&gt; function on your Bloomberg terminal, and then hit the &lt;HELP&gt; key twice.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</si>
</sst>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Connection</v>
        <stp/>
        <stp>##V3_BDHV12</stp>
        <stp>TOASOTRY EO Equity</stp>
        <stp>RR937</stp>
        <stp>-60CQ</stp>
        <stp>3/31/2019</stp>
        <stp>[BI_AUTMG_1_2nbtcwcs.xlsx]ReferenceData!R909C6</stp>
        <stp>Per=CQ</stp>
        <stp>Dts=H</stp>
        <stp>Dir=H</stp>
        <stp>Points=60</stp>
        <stp>Sort=R</stp>
        <stp>Days=A</stp>
        <stp>Fill=B</stp>
        <stp>FX=USD</stp>
        <tr r="F909" s="3"/>
      </tp>
      <tp t="s">
        <v>#N/A Connection</v>
        <stp/>
        <stp>##V3_BDHV12</stp>
        <stp>TOASOTRY EO Equity</stp>
        <stp>RR902</stp>
        <stp>-60CQ</stp>
        <stp>3/31/2019</stp>
        <stp>[BI_AUTMG_1_2nbtcwcs.xlsx]ReferenceData!R989C6</stp>
        <stp>Per=CQ</stp>
        <stp>Dts=H</stp>
        <stp>Dir=H</stp>
        <stp>Points=60</stp>
        <stp>Sort=R</stp>
        <stp>Days=A</stp>
        <stp>Fill=B</stp>
        <stp>FX=USD</stp>
        <tr r="F989" s="3"/>
      </tp>
      <tp t="s">
        <v>#N/A Connection</v>
        <stp/>
        <stp>##V3_BDHV12</stp>
        <stp>TOASOTRY EO Equity</stp>
        <stp>RR841</stp>
        <stp>-60CQ</stp>
        <stp>3/31/2019</stp>
        <stp>[BI_AUTMG_1_2nbtcwcs.xlsx]ReferenceData!R669C6</stp>
        <stp>Per=CQ</stp>
        <stp>Dts=H</stp>
        <stp>Dir=H</stp>
        <stp>Points=60</stp>
        <stp>Sort=R</stp>
        <stp>Days=A</stp>
        <stp>Fill=B</stp>
        <stp>FX=USD</stp>
        <tr r="F669" s="3"/>
      </tp>
      <tp t="s">
        <v>#N/A Connection</v>
        <stp/>
        <stp>##V3_BDHV12</stp>
        <stp>TOASOTRY EO Equity</stp>
        <stp>RR843</stp>
        <stp>-60CQ</stp>
        <stp>3/31/2019</stp>
        <stp>[BI_AUTMG_1_2nbtcwcs.xlsx]ReferenceData!R749C6</stp>
        <stp>Per=CQ</stp>
        <stp>Dts=H</stp>
        <stp>Dir=H</stp>
        <stp>Points=60</stp>
        <stp>Sort=R</stp>
        <stp>Days=A</stp>
        <stp>Fill=B</stp>
        <stp>FX=USD</stp>
        <tr r="F749" s="3"/>
      </tp>
      <tp t="s">
        <v>#N/A Connection</v>
        <stp/>
        <stp>##V3_BDHV12</stp>
        <stp>TOASOTRY EO Equity</stp>
        <stp>RR844</stp>
        <stp>-60CQ</stp>
        <stp>3/31/2019</stp>
        <stp>[BI_AUTMG_1_2nbtcwcs.xlsx]ReferenceData!R549C6</stp>
        <stp>Per=CQ</stp>
        <stp>Dts=H</stp>
        <stp>Dir=H</stp>
        <stp>Points=60</stp>
        <stp>Sort=R</stp>
        <stp>Days=A</stp>
        <stp>Fill=B</stp>
        <stp>FX=USD</stp>
        <tr r="F549" s="3"/>
      </tp>
      <tp t="s">
        <v>#N/A Connection</v>
        <stp/>
        <stp>##V3_BDHV12</stp>
        <stp>TOASOTRY EO Equity</stp>
        <stp>RR800</stp>
        <stp>-60CQ</stp>
        <stp>3/31/2019</stp>
        <stp>[BI_AUTMG_1_2nbtcwcs.xlsx]ReferenceData!R709C6</stp>
        <stp>Per=CQ</stp>
        <stp>Dts=H</stp>
        <stp>Dir=H</stp>
        <stp>Points=60</stp>
        <stp>Sort=R</stp>
        <stp>Days=A</stp>
        <stp>Fill=B</stp>
        <stp>FX=USD</stp>
        <tr r="F709" s="3"/>
      </tp>
      <tp t="s">
        <v>#N/A Connection</v>
        <stp/>
        <stp>##V3_BDHV12</stp>
        <stp>TOASOTRY EO Equity</stp>
        <stp>RR179</stp>
        <stp>-60CQ</stp>
        <stp>3/31/2019</stp>
        <stp>[BI_AUTMG_1_2nbtcwcs.xlsx]ReferenceData!R829C6</stp>
        <stp>Per=CQ</stp>
        <stp>Dts=H</stp>
        <stp>Dir=H</stp>
        <stp>Points=60</stp>
        <stp>Sort=R</stp>
        <stp>Days=A</stp>
        <stp>Fill=B</stp>
        <stp>FX=USD</stp>
        <tr r="F829" s="3"/>
      </tp>
      <tp t="s">
        <v>#N/A Connection</v>
        <stp/>
        <stp>##V3_BDHV12</stp>
        <stp>AVAZ RM Equity</stp>
        <stp>RR844</stp>
        <stp>-60CQ</stp>
        <stp>3/31/2019</stp>
        <stp>[BI_AUTMG_1_2nbtcwcs.xlsx]ReferenceData!R1015C3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015" s="3"/>
      </tp>
      <tp t="s">
        <v>#N/A Connection</v>
        <stp/>
        <stp>##V3_BDHV12</stp>
        <stp>AVAZ RM Equity</stp>
        <stp>RR844</stp>
        <stp>-60CQ</stp>
        <stp>3/31/2019</stp>
        <stp>[BI_AUTMG_1_2nbtcwcs.xlsx]ReferenceData!R1007C3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007" s="3"/>
      </tp>
      <tp t="s">
        <v>#N/A Connection</v>
        <stp/>
        <stp>##V3_BDHV12</stp>
        <stp>TOASOTRY EO Equity</stp>
        <stp>PR005</stp>
        <stp>-60CQ</stp>
        <stp>3/31/2019</stp>
        <stp>[BI_AUTMG_1_2nbtcwcs.xlsx]ReferenceData!R949C6</stp>
        <stp>Per=CQ</stp>
        <stp>Dts=H</stp>
        <stp>Dir=H</stp>
        <stp>Points=60</stp>
        <stp>Sort=R</stp>
        <stp>Days=A</stp>
        <stp>Fill=B</stp>
        <stp>FX=USD</stp>
        <tr r="F949" s="3"/>
      </tp>
      <tp t="s">
        <v>#N/A Connection</v>
        <stp/>
        <stp>##V3_BDHV12</stp>
        <stp>TOASOTRY EO Equity</stp>
        <stp>RR010</stp>
        <stp>-60CQ</stp>
        <stp>3/31/2019</stp>
        <stp>[BI_AUTMG_1_2nbtcwcs.xlsx]ReferenceData!R789C6</stp>
        <stp>Per=CQ</stp>
        <stp>Dts=H</stp>
        <stp>Dir=H</stp>
        <stp>Points=60</stp>
        <stp>Sort=R</stp>
        <stp>Days=A</stp>
        <stp>Fill=B</stp>
        <stp>FX=USD</stp>
        <tr r="F789" s="3"/>
      </tp>
      <tp t="s">
        <v>#N/A Connection</v>
        <stp/>
        <stp>##V3_BDHV12</stp>
        <stp>TOASOTRY EO Equity</stp>
        <stp>EZ019</stp>
        <stp>-60CQ</stp>
        <stp>3/31/2019</stp>
        <stp>[BI_AUTMG_1_2nbtcwcs.xlsx]ReferenceData!R589C6</stp>
        <stp>Per=CQ</stp>
        <stp>Dts=H</stp>
        <stp>Dir=H</stp>
        <stp>Points=60</stp>
        <stp>Sort=R</stp>
        <stp>Days=A</stp>
        <stp>Fill=B</stp>
        <stp>FX=USD</stp>
        <tr r="F589" s="3"/>
      </tp>
      <tp t="s">
        <v>#N/A Connection</v>
        <stp/>
        <stp>##V3_BDHV12</stp>
        <stp>TOASOTRY EO Equity</stp>
        <stp>EZ021</stp>
        <stp>-60CQ</stp>
        <stp>3/31/2019</stp>
        <stp>[BI_AUTMG_1_2nbtcwcs.xlsx]ReferenceData!R629C6</stp>
        <stp>Per=CQ</stp>
        <stp>Dts=H</stp>
        <stp>Dir=H</stp>
        <stp>Points=60</stp>
        <stp>Sort=R</stp>
        <stp>Days=A</stp>
        <stp>Fill=B</stp>
        <stp>FX=USD</stp>
        <tr r="F629" s="3"/>
      </tp>
      <tp t="s">
        <v>#N/A Connection</v>
        <stp/>
        <stp>##V3_BDHV12</stp>
        <stp>TOASOTRY EO Equity</stp>
        <stp>RX530</stp>
        <stp>-60CQ</stp>
        <stp>3/31/2019</stp>
        <stp>[BI_AUTMG_1_2nbtcwcs.xlsx]ReferenceData!R869C6</stp>
        <stp>Per=CQ</stp>
        <stp>Dts=H</stp>
        <stp>Dir=H</stp>
        <stp>Points=60</stp>
        <stp>Sort=R</stp>
        <stp>Days=A</stp>
        <stp>Fill=B</stp>
        <stp>FX=USD</stp>
        <tr r="F869" s="3"/>
      </tp>
      <tp t="s">
        <v>#N/A Connection</v>
        <stp/>
        <stp>##V3_BDHV12</stp>
        <stp>FROTOTRY EO Equity</stp>
        <stp>RX530</stp>
        <stp>-60CQ</stp>
        <stp>3/31/2019</stp>
        <stp>[BI_AUTMG_1_2nbtcwcs.xlsx]ReferenceData!R846C6</stp>
        <stp>Per=CQ</stp>
        <stp>Dts=H</stp>
        <stp>Dir=H</stp>
        <stp>Points=60</stp>
        <stp>Sort=R</stp>
        <stp>Days=A</stp>
        <stp>Fill=B</stp>
        <stp>FX=USD</stp>
        <tr r="F846" s="3"/>
      </tp>
      <tp t="s">
        <v>#N/A Connection</v>
        <stp/>
        <stp>##V3_BDHV12</stp>
        <stp>FROTOTRY EO Equity</stp>
        <stp>EZ019</stp>
        <stp>-60CQ</stp>
        <stp>3/31/2019</stp>
        <stp>[BI_AUTMG_1_2nbtcwcs.xlsx]ReferenceData!R566C6</stp>
        <stp>Per=CQ</stp>
        <stp>Dts=H</stp>
        <stp>Dir=H</stp>
        <stp>Points=60</stp>
        <stp>Sort=R</stp>
        <stp>Days=A</stp>
        <stp>Fill=B</stp>
        <stp>FX=USD</stp>
        <tr r="F566" s="3"/>
      </tp>
      <tp t="s">
        <v>#N/A Connection</v>
        <stp/>
        <stp>##V3_BDHV12</stp>
        <stp>FROTOTRY EO Equity</stp>
        <stp>EZ021</stp>
        <stp>-60CQ</stp>
        <stp>3/31/2019</stp>
        <stp>[BI_AUTMG_1_2nbtcwcs.xlsx]ReferenceData!R606C6</stp>
        <stp>Per=CQ</stp>
        <stp>Dts=H</stp>
        <stp>Dir=H</stp>
        <stp>Points=60</stp>
        <stp>Sort=R</stp>
        <stp>Days=A</stp>
        <stp>Fill=B</stp>
        <stp>FX=USD</stp>
        <tr r="F606" s="3"/>
      </tp>
      <tp t="s">
        <v>#N/A Connection</v>
        <stp/>
        <stp>##V3_BDHV12</stp>
        <stp>FROTOTRY EO Equity</stp>
        <stp>RR010</stp>
        <stp>-60CQ</stp>
        <stp>3/31/2019</stp>
        <stp>[BI_AUTMG_1_2nbtcwcs.xlsx]ReferenceData!R766C6</stp>
        <stp>Per=CQ</stp>
        <stp>Dts=H</stp>
        <stp>Dir=H</stp>
        <stp>Points=60</stp>
        <stp>Sort=R</stp>
        <stp>Days=A</stp>
        <stp>Fill=B</stp>
        <stp>FX=USD</stp>
        <tr r="F766" s="3"/>
      </tp>
      <tp t="s">
        <v>#N/A Connection</v>
        <stp/>
        <stp>##V3_BDHV12</stp>
        <stp>FROTOTRY EO Equity</stp>
        <stp>PR005</stp>
        <stp>-60CQ</stp>
        <stp>3/31/2019</stp>
        <stp>[BI_AUTMG_1_2nbtcwcs.xlsx]ReferenceData!R926C6</stp>
        <stp>Per=CQ</stp>
        <stp>Dts=H</stp>
        <stp>Dir=H</stp>
        <stp>Points=60</stp>
        <stp>Sort=R</stp>
        <stp>Days=A</stp>
        <stp>Fill=B</stp>
        <stp>FX=USD</stp>
        <tr r="F926" s="3"/>
      </tp>
      <tp t="s">
        <v>#N/A Connection</v>
        <stp/>
        <stp>##V3_BDHV12</stp>
        <stp>FROTOTRY EO Equity</stp>
        <stp>RR179</stp>
        <stp>-60CQ</stp>
        <stp>3/31/2019</stp>
        <stp>[BI_AUTMG_1_2nbtcwcs.xlsx]ReferenceData!R806C6</stp>
        <stp>Per=CQ</stp>
        <stp>Dts=H</stp>
        <stp>Dir=H</stp>
        <stp>Points=60</stp>
        <stp>Sort=R</stp>
        <stp>Days=A</stp>
        <stp>Fill=B</stp>
        <stp>FX=USD</stp>
        <tr r="F806" s="3"/>
      </tp>
      <tp t="s">
        <v>#N/A Connection</v>
        <stp/>
        <stp>##V3_BDHV12</stp>
        <stp>FROTOTRY EO Equity</stp>
        <stp>RR800</stp>
        <stp>-60CQ</stp>
        <stp>3/31/2019</stp>
        <stp>[BI_AUTMG_1_2nbtcwcs.xlsx]ReferenceData!R686C6</stp>
        <stp>Per=CQ</stp>
        <stp>Dts=H</stp>
        <stp>Dir=H</stp>
        <stp>Points=60</stp>
        <stp>Sort=R</stp>
        <stp>Days=A</stp>
        <stp>Fill=B</stp>
        <stp>FX=USD</stp>
        <tr r="F686" s="3"/>
      </tp>
      <tp t="s">
        <v>#N/A Connection</v>
        <stp/>
        <stp>##V3_BDHV12</stp>
        <stp>FROTOTRY EO Equity</stp>
        <stp>RR844</stp>
        <stp>-60CQ</stp>
        <stp>3/31/2019</stp>
        <stp>[BI_AUTMG_1_2nbtcwcs.xlsx]ReferenceData!R526C6</stp>
        <stp>Per=CQ</stp>
        <stp>Dts=H</stp>
        <stp>Dir=H</stp>
        <stp>Points=60</stp>
        <stp>Sort=R</stp>
        <stp>Days=A</stp>
        <stp>Fill=B</stp>
        <stp>FX=USD</stp>
        <tr r="F526" s="3"/>
      </tp>
      <tp t="s">
        <v>#N/A Connection</v>
        <stp/>
        <stp>##V3_BDHV12</stp>
        <stp>FROTOTRY EO Equity</stp>
        <stp>RR841</stp>
        <stp>-60CQ</stp>
        <stp>3/31/2019</stp>
        <stp>[BI_AUTMG_1_2nbtcwcs.xlsx]ReferenceData!R646C6</stp>
        <stp>Per=CQ</stp>
        <stp>Dts=H</stp>
        <stp>Dir=H</stp>
        <stp>Points=60</stp>
        <stp>Sort=R</stp>
        <stp>Days=A</stp>
        <stp>Fill=B</stp>
        <stp>FX=USD</stp>
        <tr r="F646" s="3"/>
      </tp>
      <tp t="s">
        <v>#N/A Connection</v>
        <stp/>
        <stp>##V3_BDHV12</stp>
        <stp>FROTOTRY EO Equity</stp>
        <stp>RR843</stp>
        <stp>-60CQ</stp>
        <stp>3/31/2019</stp>
        <stp>[BI_AUTMG_1_2nbtcwcs.xlsx]ReferenceData!R726C6</stp>
        <stp>Per=CQ</stp>
        <stp>Dts=H</stp>
        <stp>Dir=H</stp>
        <stp>Points=60</stp>
        <stp>Sort=R</stp>
        <stp>Days=A</stp>
        <stp>Fill=B</stp>
        <stp>FX=USD</stp>
        <tr r="F726" s="3"/>
      </tp>
      <tp t="s">
        <v>#N/A Connection</v>
        <stp/>
        <stp>##V3_BDHV12</stp>
        <stp>FROTOTRY EO Equity</stp>
        <stp>RR902</stp>
        <stp>-60CQ</stp>
        <stp>3/31/2019</stp>
        <stp>[BI_AUTMG_1_2nbtcwcs.xlsx]ReferenceData!R966C6</stp>
        <stp>Per=CQ</stp>
        <stp>Dts=H</stp>
        <stp>Dir=H</stp>
        <stp>Points=60</stp>
        <stp>Sort=R</stp>
        <stp>Days=A</stp>
        <stp>Fill=B</stp>
        <stp>FX=USD</stp>
        <tr r="F966" s="3"/>
      </tp>
      <tp t="s">
        <v>#N/A Connection</v>
        <stp/>
        <stp>##V3_BDHV12</stp>
        <stp>FROTOTRY EO Equity</stp>
        <stp>RR937</stp>
        <stp>-60CQ</stp>
        <stp>3/31/2019</stp>
        <stp>[BI_AUTMG_1_2nbtcwcs.xlsx]ReferenceData!R886C6</stp>
        <stp>Per=CQ</stp>
        <stp>Dts=H</stp>
        <stp>Dir=H</stp>
        <stp>Points=60</stp>
        <stp>Sort=R</stp>
        <stp>Days=A</stp>
        <stp>Fill=B</stp>
        <stp>FX=USD</stp>
        <tr r="F886" s="3"/>
      </tp>
    </main>
    <main first="bloomberg.rtd">
      <tp t="s">
        <v>#N/A Connection</v>
        <stp/>
        <stp>##V3_BDHV12</stp>
        <stp>2238 HK Equity</stp>
        <stp>RR937</stp>
        <stp>-60CQ</stp>
        <stp>3/31/2019</stp>
        <stp>[BI_AUTMG_1_2nbtcwcs.xlsx]ReferenceData!R891C6</stp>
        <stp>Per=CQ</stp>
        <stp>Dts=H</stp>
        <stp>Dir=H</stp>
        <stp>Points=60</stp>
        <stp>Sort=R</stp>
        <stp>Days=A</stp>
        <stp>Fill=B</stp>
        <stp>FX=USD</stp>
        <tr r="F891" s="3"/>
      </tp>
      <tp t="s">
        <v>#N/A Connection</v>
        <stp/>
        <stp>##V3_BDHV12</stp>
        <stp>1211 HK Equity</stp>
        <stp>RR902</stp>
        <stp>-60CQ</stp>
        <stp>3/31/2019</stp>
        <stp>[BI_AUTMG_1_2nbtcwcs.xlsx]ReferenceData!R957C6</stp>
        <stp>Per=CQ</stp>
        <stp>Dts=H</stp>
        <stp>Dir=H</stp>
        <stp>Points=60</stp>
        <stp>Sort=R</stp>
        <stp>Days=A</stp>
        <stp>Fill=B</stp>
        <stp>FX=USD</stp>
        <tr r="F957" s="3"/>
      </tp>
      <tp t="s">
        <v>#N/A Connection</v>
        <stp/>
        <stp>##V3_BDHV12</stp>
        <stp>2238 HK Equity</stp>
        <stp>RR902</stp>
        <stp>-60CQ</stp>
        <stp>3/31/2019</stp>
        <stp>[BI_AUTMG_1_2nbtcwcs.xlsx]ReferenceData!R971C6</stp>
        <stp>Per=CQ</stp>
        <stp>Dts=H</stp>
        <stp>Dir=H</stp>
        <stp>Points=60</stp>
        <stp>Sort=R</stp>
        <stp>Days=A</stp>
        <stp>Fill=B</stp>
        <stp>FX=USD</stp>
        <tr r="F971" s="3"/>
      </tp>
      <tp t="s">
        <v>#N/A Connection</v>
        <stp/>
        <stp>##V3_BDHV12</stp>
        <stp>1211 HK Equity</stp>
        <stp>RR937</stp>
        <stp>-60CQ</stp>
        <stp>3/31/2019</stp>
        <stp>[BI_AUTMG_1_2nbtcwcs.xlsx]ReferenceData!R877C6</stp>
        <stp>Per=CQ</stp>
        <stp>Dts=H</stp>
        <stp>Dir=H</stp>
        <stp>Points=60</stp>
        <stp>Sort=R</stp>
        <stp>Days=A</stp>
        <stp>Fill=B</stp>
        <stp>FX=USD</stp>
        <tr r="F877" s="3"/>
      </tp>
      <tp t="s">
        <v>#N/A Connection</v>
        <stp/>
        <stp>##V3_BDHV12</stp>
        <stp>2333 HK Equity</stp>
        <stp>RR800</stp>
        <stp>-60CQ</stp>
        <stp>3/31/2019</stp>
        <stp>[BI_AUTMG_1_2nbtcwcs.xlsx]ReferenceData!R690C6</stp>
        <stp>Per=CQ</stp>
        <stp>Dts=H</stp>
        <stp>Dir=H</stp>
        <stp>Points=60</stp>
        <stp>Sort=R</stp>
        <stp>Days=A</stp>
        <stp>Fill=B</stp>
        <stp>FX=USD</stp>
        <tr r="F690" s="3"/>
      </tp>
      <tp t="s">
        <v>#N/A Connection</v>
        <stp/>
        <stp>##V3_BDHV12</stp>
        <stp>2333 HK Equity</stp>
        <stp>RR841</stp>
        <stp>-60CQ</stp>
        <stp>3/31/2019</stp>
        <stp>[BI_AUTMG_1_2nbtcwcs.xlsx]ReferenceData!R650C6</stp>
        <stp>Per=CQ</stp>
        <stp>Dts=H</stp>
        <stp>Dir=H</stp>
        <stp>Points=60</stp>
        <stp>Sort=R</stp>
        <stp>Days=A</stp>
        <stp>Fill=B</stp>
        <stp>FX=USD</stp>
        <tr r="F650" s="3"/>
      </tp>
      <tp t="s">
        <v>#N/A Connection</v>
        <stp/>
        <stp>##V3_BDHV12</stp>
        <stp>2333 HK Equity</stp>
        <stp>RR843</stp>
        <stp>-60CQ</stp>
        <stp>3/31/2019</stp>
        <stp>[BI_AUTMG_1_2nbtcwcs.xlsx]ReferenceData!R730C6</stp>
        <stp>Per=CQ</stp>
        <stp>Dts=H</stp>
        <stp>Dir=H</stp>
        <stp>Points=60</stp>
        <stp>Sort=R</stp>
        <stp>Days=A</stp>
        <stp>Fill=B</stp>
        <stp>FX=USD</stp>
        <tr r="F730" s="3"/>
      </tp>
      <tp t="s">
        <v>#N/A Connection</v>
        <stp/>
        <stp>##V3_BDHV12</stp>
        <stp>2333 HK Equity</stp>
        <stp>RR844</stp>
        <stp>-60CQ</stp>
        <stp>3/31/2019</stp>
        <stp>[BI_AUTMG_1_2nbtcwcs.xlsx]ReferenceData!R530C6</stp>
        <stp>Per=CQ</stp>
        <stp>Dts=H</stp>
        <stp>Dir=H</stp>
        <stp>Points=60</stp>
        <stp>Sort=R</stp>
        <stp>Days=A</stp>
        <stp>Fill=B</stp>
        <stp>FX=USD</stp>
        <tr r="F530" s="3"/>
      </tp>
      <tp t="s">
        <v>#N/A Connection</v>
        <stp/>
        <stp>##V3_BDHV12</stp>
        <stp>2333 HK Equity</stp>
        <stp>RR937</stp>
        <stp>-60CQ</stp>
        <stp>3/31/2019</stp>
        <stp>[BI_AUTMG_1_2nbtcwcs.xlsx]ReferenceData!R890C6</stp>
        <stp>Per=CQ</stp>
        <stp>Dts=H</stp>
        <stp>Dir=H</stp>
        <stp>Points=60</stp>
        <stp>Sort=R</stp>
        <stp>Days=A</stp>
        <stp>Fill=B</stp>
        <stp>FX=USD</stp>
        <tr r="F890" s="3"/>
      </tp>
      <tp t="s">
        <v>#N/A Connection</v>
        <stp/>
        <stp>##V3_BDHV12</stp>
        <stp>2333 HK Equity</stp>
        <stp>RR902</stp>
        <stp>-60CQ</stp>
        <stp>3/31/2019</stp>
        <stp>[BI_AUTMG_1_2nbtcwcs.xlsx]ReferenceData!R970C6</stp>
        <stp>Per=CQ</stp>
        <stp>Dts=H</stp>
        <stp>Dir=H</stp>
        <stp>Points=60</stp>
        <stp>Sort=R</stp>
        <stp>Days=A</stp>
        <stp>Fill=B</stp>
        <stp>FX=USD</stp>
        <tr r="F970" s="3"/>
      </tp>
      <tp t="s">
        <v>#N/A Connection</v>
        <stp/>
        <stp>##V3_BDHV12</stp>
        <stp>2238 HK Equity</stp>
        <stp>RR800</stp>
        <stp>-60CQ</stp>
        <stp>3/31/2019</stp>
        <stp>[BI_AUTMG_1_2nbtcwcs.xlsx]ReferenceData!R691C6</stp>
        <stp>Per=CQ</stp>
        <stp>Dts=H</stp>
        <stp>Dir=H</stp>
        <stp>Points=60</stp>
        <stp>Sort=R</stp>
        <stp>Days=A</stp>
        <stp>Fill=B</stp>
        <stp>FX=USD</stp>
        <tr r="F691" s="3"/>
      </tp>
      <tp t="s">
        <v>#N/A Connection</v>
        <stp/>
        <stp>##V3_BDHV12</stp>
        <stp>1211 HK Equity</stp>
        <stp>RR800</stp>
        <stp>-60CQ</stp>
        <stp>3/31/2019</stp>
        <stp>[BI_AUTMG_1_2nbtcwcs.xlsx]ReferenceData!R677C6</stp>
        <stp>Per=CQ</stp>
        <stp>Dts=H</stp>
        <stp>Dir=H</stp>
        <stp>Points=60</stp>
        <stp>Sort=R</stp>
        <stp>Days=A</stp>
        <stp>Fill=B</stp>
        <stp>FX=USD</stp>
        <tr r="F677" s="3"/>
      </tp>
      <tp t="s">
        <v>#N/A Connection</v>
        <stp/>
        <stp>##V3_BDHV12</stp>
        <stp>2238 HK Equity</stp>
        <stp>RR841</stp>
        <stp>-60CQ</stp>
        <stp>3/31/2019</stp>
        <stp>[BI_AUTMG_1_2nbtcwcs.xlsx]ReferenceData!R651C6</stp>
        <stp>Per=CQ</stp>
        <stp>Dts=H</stp>
        <stp>Dir=H</stp>
        <stp>Points=60</stp>
        <stp>Sort=R</stp>
        <stp>Days=A</stp>
        <stp>Fill=B</stp>
        <stp>FX=USD</stp>
        <tr r="F651" s="3"/>
      </tp>
      <tp t="s">
        <v>#N/A Connection</v>
        <stp/>
        <stp>##V3_BDHV12</stp>
        <stp>2238 HK Equity</stp>
        <stp>RR843</stp>
        <stp>-60CQ</stp>
        <stp>3/31/2019</stp>
        <stp>[BI_AUTMG_1_2nbtcwcs.xlsx]ReferenceData!R731C6</stp>
        <stp>Per=CQ</stp>
        <stp>Dts=H</stp>
        <stp>Dir=H</stp>
        <stp>Points=60</stp>
        <stp>Sort=R</stp>
        <stp>Days=A</stp>
        <stp>Fill=B</stp>
        <stp>FX=USD</stp>
        <tr r="F731" s="3"/>
      </tp>
      <tp t="s">
        <v>#N/A Connection</v>
        <stp/>
        <stp>##V3_BDHV12</stp>
        <stp>1211 HK Equity</stp>
        <stp>RR844</stp>
        <stp>-60CQ</stp>
        <stp>3/31/2019</stp>
        <stp>[BI_AUTMG_1_2nbtcwcs.xlsx]ReferenceData!R517C6</stp>
        <stp>Per=CQ</stp>
        <stp>Dts=H</stp>
        <stp>Dir=H</stp>
        <stp>Points=60</stp>
        <stp>Sort=R</stp>
        <stp>Days=A</stp>
        <stp>Fill=B</stp>
        <stp>FX=USD</stp>
        <tr r="F517" s="3"/>
      </tp>
      <tp t="s">
        <v>#N/A Connection</v>
        <stp/>
        <stp>##V3_BDHV12</stp>
        <stp>1211 HK Equity</stp>
        <stp>RR841</stp>
        <stp>-60CQ</stp>
        <stp>3/31/2019</stp>
        <stp>[BI_AUTMG_1_2nbtcwcs.xlsx]ReferenceData!R637C6</stp>
        <stp>Per=CQ</stp>
        <stp>Dts=H</stp>
        <stp>Dir=H</stp>
        <stp>Points=60</stp>
        <stp>Sort=R</stp>
        <stp>Days=A</stp>
        <stp>Fill=B</stp>
        <stp>FX=USD</stp>
        <tr r="F637" s="3"/>
      </tp>
      <tp t="s">
        <v>#N/A Connection</v>
        <stp/>
        <stp>##V3_BDHV12</stp>
        <stp>2238 HK Equity</stp>
        <stp>RR844</stp>
        <stp>-60CQ</stp>
        <stp>3/31/2019</stp>
        <stp>[BI_AUTMG_1_2nbtcwcs.xlsx]ReferenceData!R531C6</stp>
        <stp>Per=CQ</stp>
        <stp>Dts=H</stp>
        <stp>Dir=H</stp>
        <stp>Points=60</stp>
        <stp>Sort=R</stp>
        <stp>Days=A</stp>
        <stp>Fill=B</stp>
        <stp>FX=USD</stp>
        <tr r="F531" s="3"/>
      </tp>
      <tp t="s">
        <v>#N/A Connection</v>
        <stp/>
        <stp>##V3_BDHV12</stp>
        <stp>1211 HK Equity</stp>
        <stp>RR843</stp>
        <stp>-60CQ</stp>
        <stp>3/31/2019</stp>
        <stp>[BI_AUTMG_1_2nbtcwcs.xlsx]ReferenceData!R717C6</stp>
        <stp>Per=CQ</stp>
        <stp>Dts=H</stp>
        <stp>Dir=H</stp>
        <stp>Points=60</stp>
        <stp>Sort=R</stp>
        <stp>Days=A</stp>
        <stp>Fill=B</stp>
        <stp>FX=USD</stp>
        <tr r="F717" s="3"/>
      </tp>
      <tp t="s">
        <v>#N/A Connection</v>
        <stp/>
        <stp>##V3_BDHV12</stp>
        <stp>1114 HK Equity</stp>
        <stp>RR800</stp>
        <stp>-60CQ</stp>
        <stp>3/31/2019</stp>
        <stp>[BI_AUTMG_1_2nbtcwcs.xlsx]ReferenceData!R676C6</stp>
        <stp>Per=CQ</stp>
        <stp>Dts=H</stp>
        <stp>Dir=H</stp>
        <stp>Points=60</stp>
        <stp>Sort=R</stp>
        <stp>Days=A</stp>
        <stp>Fill=B</stp>
        <stp>FX=USD</stp>
        <tr r="F676" s="3"/>
      </tp>
      <tp t="s">
        <v>#N/A Connection</v>
        <stp/>
        <stp>##V3_BDHV12</stp>
        <stp>1114 HK Equity</stp>
        <stp>RR844</stp>
        <stp>-60CQ</stp>
        <stp>3/31/2019</stp>
        <stp>[BI_AUTMG_1_2nbtcwcs.xlsx]ReferenceData!R516C6</stp>
        <stp>Per=CQ</stp>
        <stp>Dts=H</stp>
        <stp>Dir=H</stp>
        <stp>Points=60</stp>
        <stp>Sort=R</stp>
        <stp>Days=A</stp>
        <stp>Fill=B</stp>
        <stp>FX=USD</stp>
        <tr r="F516" s="3"/>
      </tp>
      <tp t="s">
        <v>#N/A Connection</v>
        <stp/>
        <stp>##V3_BDHV12</stp>
        <stp>1114 HK Equity</stp>
        <stp>RR841</stp>
        <stp>-60CQ</stp>
        <stp>3/31/2019</stp>
        <stp>[BI_AUTMG_1_2nbtcwcs.xlsx]ReferenceData!R636C6</stp>
        <stp>Per=CQ</stp>
        <stp>Dts=H</stp>
        <stp>Dir=H</stp>
        <stp>Points=60</stp>
        <stp>Sort=R</stp>
        <stp>Days=A</stp>
        <stp>Fill=B</stp>
        <stp>FX=USD</stp>
        <tr r="F636" s="3"/>
      </tp>
      <tp t="s">
        <v>#N/A Connection</v>
        <stp/>
        <stp>##V3_BDHV12</stp>
        <stp>1114 HK Equity</stp>
        <stp>RR843</stp>
        <stp>-60CQ</stp>
        <stp>3/31/2019</stp>
        <stp>[BI_AUTMG_1_2nbtcwcs.xlsx]ReferenceData!R716C6</stp>
        <stp>Per=CQ</stp>
        <stp>Dts=H</stp>
        <stp>Dir=H</stp>
        <stp>Points=60</stp>
        <stp>Sort=R</stp>
        <stp>Days=A</stp>
        <stp>Fill=B</stp>
        <stp>FX=USD</stp>
        <tr r="F716" s="3"/>
      </tp>
      <tp t="s">
        <v>#N/A Connection</v>
        <stp/>
        <stp>##V3_BDHV12</stp>
        <stp>7270 JP Equity</stp>
        <stp>RR902</stp>
        <stp>-60CQ</stp>
        <stp>3/31/2019</stp>
        <stp>[BI_AUTMG_1_2nbtcwcs.xlsx]ReferenceData!R984C6</stp>
        <stp>Per=CQ</stp>
        <stp>Dts=H</stp>
        <stp>Dir=H</stp>
        <stp>Points=60</stp>
        <stp>Sort=R</stp>
        <stp>Days=A</stp>
        <stp>Fill=B</stp>
        <stp>FX=USD</stp>
        <tr r="F984" s="3"/>
      </tp>
      <tp t="s">
        <v>#N/A Connection</v>
        <stp/>
        <stp>##V3_BDHV12</stp>
        <stp>7261 JP Equity</stp>
        <stp>RR902</stp>
        <stp>-60CQ</stp>
        <stp>3/31/2019</stp>
        <stp>[BI_AUTMG_1_2nbtcwcs.xlsx]ReferenceData!R975C6</stp>
        <stp>Per=CQ</stp>
        <stp>Dts=H</stp>
        <stp>Dir=H</stp>
        <stp>Points=60</stp>
        <stp>Sort=R</stp>
        <stp>Days=A</stp>
        <stp>Fill=B</stp>
        <stp>FX=USD</stp>
        <tr r="F975" s="3"/>
      </tp>
      <tp t="s">
        <v>#N/A Connection</v>
        <stp/>
        <stp>##V3_BDHV12</stp>
        <stp>7262 JP Equity</stp>
        <stp>RR902</stp>
        <stp>-60CQ</stp>
        <stp>3/31/2019</stp>
        <stp>[BI_AUTMG_1_2nbtcwcs.xlsx]ReferenceData!R959C6</stp>
        <stp>Per=CQ</stp>
        <stp>Dts=H</stp>
        <stp>Dir=H</stp>
        <stp>Points=60</stp>
        <stp>Sort=R</stp>
        <stp>Days=A</stp>
        <stp>Fill=B</stp>
        <stp>FX=USD</stp>
        <tr r="F959" s="3"/>
      </tp>
      <tp t="s">
        <v>#N/A Connection</v>
        <stp/>
        <stp>##V3_BDHV12</stp>
        <stp>7267 JP Equity</stp>
        <stp>RR902</stp>
        <stp>-60CQ</stp>
        <stp>3/31/2019</stp>
        <stp>[BI_AUTMG_1_2nbtcwcs.xlsx]ReferenceData!R972C6</stp>
        <stp>Per=CQ</stp>
        <stp>Dts=H</stp>
        <stp>Dir=H</stp>
        <stp>Points=60</stp>
        <stp>Sort=R</stp>
        <stp>Days=A</stp>
        <stp>Fill=B</stp>
        <stp>FX=USD</stp>
        <tr r="F972" s="3"/>
      </tp>
      <tp t="s">
        <v>#N/A Connection</v>
        <stp/>
        <stp>##V3_BDHV12</stp>
        <stp>7269 JP Equity</stp>
        <stp>RR902</stp>
        <stp>-60CQ</stp>
        <stp>3/31/2019</stp>
        <stp>[BI_AUTMG_1_2nbtcwcs.xlsx]ReferenceData!R985C6</stp>
        <stp>Per=CQ</stp>
        <stp>Dts=H</stp>
        <stp>Dir=H</stp>
        <stp>Points=60</stp>
        <stp>Sort=R</stp>
        <stp>Days=A</stp>
        <stp>Fill=B</stp>
        <stp>FX=USD</stp>
        <tr r="F985" s="3"/>
      </tp>
      <tp t="s">
        <v>#N/A Connection</v>
        <stp/>
        <stp>##V3_BDHV12</stp>
        <stp>7269 JP Equity</stp>
        <stp>RR937</stp>
        <stp>-60CQ</stp>
        <stp>3/31/2019</stp>
        <stp>[BI_AUTMG_1_2nbtcwcs.xlsx]ReferenceData!R905C6</stp>
        <stp>Per=CQ</stp>
        <stp>Dts=H</stp>
        <stp>Dir=H</stp>
        <stp>Points=60</stp>
        <stp>Sort=R</stp>
        <stp>Days=A</stp>
        <stp>Fill=B</stp>
        <stp>FX=USD</stp>
        <tr r="F905" s="3"/>
      </tp>
      <tp t="s">
        <v>#N/A Connection</v>
        <stp/>
        <stp>##V3_BDHV12</stp>
        <stp>7261 JP Equity</stp>
        <stp>RR937</stp>
        <stp>-60CQ</stp>
        <stp>3/31/2019</stp>
        <stp>[BI_AUTMG_1_2nbtcwcs.xlsx]ReferenceData!R895C6</stp>
        <stp>Per=CQ</stp>
        <stp>Dts=H</stp>
        <stp>Dir=H</stp>
        <stp>Points=60</stp>
        <stp>Sort=R</stp>
        <stp>Days=A</stp>
        <stp>Fill=B</stp>
        <stp>FX=USD</stp>
        <tr r="F895" s="3"/>
      </tp>
      <tp t="s">
        <v>#N/A Connection</v>
        <stp/>
        <stp>##V3_BDHV12</stp>
        <stp>7267 JP Equity</stp>
        <stp>RR937</stp>
        <stp>-60CQ</stp>
        <stp>3/31/2019</stp>
        <stp>[BI_AUTMG_1_2nbtcwcs.xlsx]ReferenceData!R892C6</stp>
        <stp>Per=CQ</stp>
        <stp>Dts=H</stp>
        <stp>Dir=H</stp>
        <stp>Points=60</stp>
        <stp>Sort=R</stp>
        <stp>Days=A</stp>
        <stp>Fill=B</stp>
        <stp>FX=USD</stp>
        <tr r="F892" s="3"/>
      </tp>
      <tp t="s">
        <v>#N/A Connection</v>
        <stp/>
        <stp>##V3_BDHV12</stp>
        <stp>7270 JP Equity</stp>
        <stp>RR937</stp>
        <stp>-60CQ</stp>
        <stp>3/31/2019</stp>
        <stp>[BI_AUTMG_1_2nbtcwcs.xlsx]ReferenceData!R904C6</stp>
        <stp>Per=CQ</stp>
        <stp>Dts=H</stp>
        <stp>Dir=H</stp>
        <stp>Points=60</stp>
        <stp>Sort=R</stp>
        <stp>Days=A</stp>
        <stp>Fill=B</stp>
        <stp>FX=USD</stp>
        <tr r="F904" s="3"/>
      </tp>
      <tp t="s">
        <v>#N/A Connection</v>
        <stp/>
        <stp>##V3_BDHV12</stp>
        <stp>7262 JP Equity</stp>
        <stp>RR937</stp>
        <stp>-60CQ</stp>
        <stp>3/31/2019</stp>
        <stp>[BI_AUTMG_1_2nbtcwcs.xlsx]ReferenceData!R879C6</stp>
        <stp>Per=CQ</stp>
        <stp>Dts=H</stp>
        <stp>Dir=H</stp>
        <stp>Points=60</stp>
        <stp>Sort=R</stp>
        <stp>Days=A</stp>
        <stp>Fill=B</stp>
        <stp>FX=USD</stp>
        <tr r="F879" s="3"/>
      </tp>
      <tp t="s">
        <v>#N/A Connection</v>
        <stp/>
        <stp>##V3_BDHV12</stp>
        <stp>7211 JP Equity</stp>
        <stp>RR937</stp>
        <stp>-60CQ</stp>
        <stp>3/31/2019</stp>
        <stp>[BI_AUTMG_1_2nbtcwcs.xlsx]ReferenceData!R896C6</stp>
        <stp>Per=CQ</stp>
        <stp>Dts=H</stp>
        <stp>Dir=H</stp>
        <stp>Points=60</stp>
        <stp>Sort=R</stp>
        <stp>Days=A</stp>
        <stp>Fill=B</stp>
        <stp>FX=USD</stp>
        <tr r="F896" s="3"/>
      </tp>
      <tp t="s">
        <v>#N/A Connection</v>
        <stp/>
        <stp>##V3_BDHV12</stp>
        <stp>7203 JP Equity</stp>
        <stp>RR937</stp>
        <stp>-60CQ</stp>
        <stp>3/31/2019</stp>
        <stp>[BI_AUTMG_1_2nbtcwcs.xlsx]ReferenceData!R910C6</stp>
        <stp>Per=CQ</stp>
        <stp>Dts=H</stp>
        <stp>Dir=H</stp>
        <stp>Points=60</stp>
        <stp>Sort=R</stp>
        <stp>Days=A</stp>
        <stp>Fill=B</stp>
        <stp>FX=USD</stp>
        <tr r="F910" s="3"/>
      </tp>
      <tp t="s">
        <v>#N/A Connection</v>
        <stp/>
        <stp>##V3_BDHV12</stp>
        <stp>7201 JP Equity</stp>
        <stp>RR937</stp>
        <stp>-60CQ</stp>
        <stp>3/31/2019</stp>
        <stp>[BI_AUTMG_1_2nbtcwcs.xlsx]ReferenceData!R897C6</stp>
        <stp>Per=CQ</stp>
        <stp>Dts=H</stp>
        <stp>Dir=H</stp>
        <stp>Points=60</stp>
        <stp>Sort=R</stp>
        <stp>Days=A</stp>
        <stp>Fill=B</stp>
        <stp>FX=USD</stp>
        <tr r="F897" s="3"/>
      </tp>
      <tp t="s">
        <v>#N/A Connection</v>
        <stp/>
        <stp>##V3_BDHV12</stp>
        <stp>7211 JP Equity</stp>
        <stp>RR902</stp>
        <stp>-60CQ</stp>
        <stp>3/31/2019</stp>
        <stp>[BI_AUTMG_1_2nbtcwcs.xlsx]ReferenceData!R976C6</stp>
        <stp>Per=CQ</stp>
        <stp>Dts=H</stp>
        <stp>Dir=H</stp>
        <stp>Points=60</stp>
        <stp>Sort=R</stp>
        <stp>Days=A</stp>
        <stp>Fill=B</stp>
        <stp>FX=USD</stp>
        <tr r="F976" s="3"/>
      </tp>
      <tp t="s">
        <v>#N/A Connection</v>
        <stp/>
        <stp>##V3_BDHV12</stp>
        <stp>7203 JP Equity</stp>
        <stp>RR902</stp>
        <stp>-60CQ</stp>
        <stp>3/31/2019</stp>
        <stp>[BI_AUTMG_1_2nbtcwcs.xlsx]ReferenceData!R990C6</stp>
        <stp>Per=CQ</stp>
        <stp>Dts=H</stp>
        <stp>Dir=H</stp>
        <stp>Points=60</stp>
        <stp>Sort=R</stp>
        <stp>Days=A</stp>
        <stp>Fill=B</stp>
        <stp>FX=USD</stp>
        <tr r="F990" s="3"/>
      </tp>
      <tp t="s">
        <v>#N/A Connection</v>
        <stp/>
        <stp>##V3_BDHV12</stp>
        <stp>7201 JP Equity</stp>
        <stp>RR902</stp>
        <stp>-60CQ</stp>
        <stp>3/31/2019</stp>
        <stp>[BI_AUTMG_1_2nbtcwcs.xlsx]ReferenceData!R977C6</stp>
        <stp>Per=CQ</stp>
        <stp>Dts=H</stp>
        <stp>Dir=H</stp>
        <stp>Points=60</stp>
        <stp>Sort=R</stp>
        <stp>Days=A</stp>
        <stp>Fill=B</stp>
        <stp>FX=USD</stp>
        <tr r="F977" s="3"/>
      </tp>
      <tp t="s">
        <v>#N/A Connection</v>
        <stp/>
        <stp>##V3_BDHV12</stp>
        <stp>1114 HK Equity</stp>
        <stp>RR902</stp>
        <stp>-60CQ</stp>
        <stp>3/31/2019</stp>
        <stp>[BI_AUTMG_1_2nbtcwcs.xlsx]ReferenceData!R956C6</stp>
        <stp>Per=CQ</stp>
        <stp>Dts=H</stp>
        <stp>Dir=H</stp>
        <stp>Points=60</stp>
        <stp>Sort=R</stp>
        <stp>Days=A</stp>
        <stp>Fill=B</stp>
        <stp>FX=USD</stp>
        <tr r="F956" s="3"/>
      </tp>
      <tp t="s">
        <v>#N/A Connection</v>
        <stp/>
        <stp>##V3_BDHV12</stp>
        <stp>1114 HK Equity</stp>
        <stp>RR937</stp>
        <stp>-60CQ</stp>
        <stp>3/31/2019</stp>
        <stp>[BI_AUTMG_1_2nbtcwcs.xlsx]ReferenceData!R876C6</stp>
        <stp>Per=CQ</stp>
        <stp>Dts=H</stp>
        <stp>Dir=H</stp>
        <stp>Points=60</stp>
        <stp>Sort=R</stp>
        <stp>Days=A</stp>
        <stp>Fill=B</stp>
        <stp>FX=USD</stp>
        <tr r="F876" s="3"/>
      </tp>
      <tp t="s">
        <v>#N/A Connection</v>
        <stp/>
        <stp>##V3_BDHV12</stp>
        <stp>7201 JP Equity</stp>
        <stp>RR800</stp>
        <stp>-60CQ</stp>
        <stp>3/31/2019</stp>
        <stp>[BI_AUTMG_1_2nbtcwcs.xlsx]ReferenceData!R697C6</stp>
        <stp>Per=CQ</stp>
        <stp>Dts=H</stp>
        <stp>Dir=H</stp>
        <stp>Points=60</stp>
        <stp>Sort=R</stp>
        <stp>Days=A</stp>
        <stp>Fill=B</stp>
        <stp>FX=USD</stp>
        <tr r="F697" s="3"/>
      </tp>
      <tp t="s">
        <v>#N/A Connection</v>
        <stp/>
        <stp>##V3_BDHV12</stp>
        <stp>7270 JP Equity</stp>
        <stp>RR844</stp>
        <stp>-60CQ</stp>
        <stp>3/31/2019</stp>
        <stp>[BI_AUTMG_1_2nbtcwcs.xlsx]ReferenceData!R544C6</stp>
        <stp>Per=CQ</stp>
        <stp>Dts=H</stp>
        <stp>Dir=H</stp>
        <stp>Points=60</stp>
        <stp>Sort=R</stp>
        <stp>Days=A</stp>
        <stp>Fill=B</stp>
        <stp>FX=USD</stp>
        <tr r="F544" s="3"/>
      </tp>
      <tp t="s">
        <v>#N/A Connection</v>
        <stp/>
        <stp>##V3_BDHV12</stp>
        <stp>7211 JP Equity</stp>
        <stp>RR800</stp>
        <stp>-60CQ</stp>
        <stp>3/31/2019</stp>
        <stp>[BI_AUTMG_1_2nbtcwcs.xlsx]ReferenceData!R696C6</stp>
        <stp>Per=CQ</stp>
        <stp>Dts=H</stp>
        <stp>Dir=H</stp>
        <stp>Points=60</stp>
        <stp>Sort=R</stp>
        <stp>Days=A</stp>
        <stp>Fill=B</stp>
        <stp>FX=USD</stp>
        <tr r="F696" s="3"/>
      </tp>
      <tp t="s">
        <v>#N/A Connection</v>
        <stp/>
        <stp>##V3_BDHV12</stp>
        <stp>7269 JP Equity</stp>
        <stp>RR844</stp>
        <stp>-60CQ</stp>
        <stp>3/31/2019</stp>
        <stp>[BI_AUTMG_1_2nbtcwcs.xlsx]ReferenceData!R545C6</stp>
        <stp>Per=CQ</stp>
        <stp>Dts=H</stp>
        <stp>Dir=H</stp>
        <stp>Points=60</stp>
        <stp>Sort=R</stp>
        <stp>Days=A</stp>
        <stp>Fill=B</stp>
        <stp>FX=USD</stp>
        <tr r="F545" s="3"/>
      </tp>
      <tp t="s">
        <v>#N/A Connection</v>
        <stp/>
        <stp>##V3_BDHV12</stp>
        <stp>7261 JP Equity</stp>
        <stp>RR844</stp>
        <stp>-60CQ</stp>
        <stp>3/31/2019</stp>
        <stp>[BI_AUTMG_1_2nbtcwcs.xlsx]ReferenceData!R535C6</stp>
        <stp>Per=CQ</stp>
        <stp>Dts=H</stp>
        <stp>Dir=H</stp>
        <stp>Points=60</stp>
        <stp>Sort=R</stp>
        <stp>Days=A</stp>
        <stp>Fill=B</stp>
        <stp>FX=USD</stp>
        <tr r="F535" s="3"/>
      </tp>
      <tp t="s">
        <v>#N/A Connection</v>
        <stp/>
        <stp>##V3_BDHV12</stp>
        <stp>7262 JP Equity</stp>
        <stp>RR844</stp>
        <stp>-60CQ</stp>
        <stp>3/31/2019</stp>
        <stp>[BI_AUTMG_1_2nbtcwcs.xlsx]ReferenceData!R519C6</stp>
        <stp>Per=CQ</stp>
        <stp>Dts=H</stp>
        <stp>Dir=H</stp>
        <stp>Points=60</stp>
        <stp>Sort=R</stp>
        <stp>Days=A</stp>
        <stp>Fill=B</stp>
        <stp>FX=USD</stp>
        <tr r="F519" s="3"/>
      </tp>
      <tp t="s">
        <v>#N/A Connection</v>
        <stp/>
        <stp>##V3_BDHV12</stp>
        <stp>7267 JP Equity</stp>
        <stp>RR844</stp>
        <stp>-60CQ</stp>
        <stp>3/31/2019</stp>
        <stp>[BI_AUTMG_1_2nbtcwcs.xlsx]ReferenceData!R532C6</stp>
        <stp>Per=CQ</stp>
        <stp>Dts=H</stp>
        <stp>Dir=H</stp>
        <stp>Points=60</stp>
        <stp>Sort=R</stp>
        <stp>Days=A</stp>
        <stp>Fill=B</stp>
        <stp>FX=USD</stp>
        <tr r="F532" s="3"/>
      </tp>
      <tp t="s">
        <v>#N/A Connection</v>
        <stp/>
        <stp>##V3_BDHV12</stp>
        <stp>7203 JP Equity</stp>
        <stp>RR800</stp>
        <stp>-60CQ</stp>
        <stp>3/31/2019</stp>
        <stp>[BI_AUTMG_1_2nbtcwcs.xlsx]ReferenceData!R710C6</stp>
        <stp>Per=CQ</stp>
        <stp>Dts=H</stp>
        <stp>Dir=H</stp>
        <stp>Points=60</stp>
        <stp>Sort=R</stp>
        <stp>Days=A</stp>
        <stp>Fill=B</stp>
        <stp>FX=USD</stp>
        <tr r="F710" s="3"/>
      </tp>
      <tp t="s">
        <v>#N/A Connection</v>
        <stp/>
        <stp>##V3_BDHV12</stp>
        <stp>7269 JP Equity</stp>
        <stp>RR841</stp>
        <stp>-60CQ</stp>
        <stp>3/31/2019</stp>
        <stp>[BI_AUTMG_1_2nbtcwcs.xlsx]ReferenceData!R665C6</stp>
        <stp>Per=CQ</stp>
        <stp>Dts=H</stp>
        <stp>Dir=H</stp>
        <stp>Points=60</stp>
        <stp>Sort=R</stp>
        <stp>Days=A</stp>
        <stp>Fill=B</stp>
        <stp>FX=USD</stp>
        <tr r="F665" s="3"/>
      </tp>
      <tp t="s">
        <v>#N/A Connection</v>
        <stp/>
        <stp>##V3_BDHV12</stp>
        <stp>7261 JP Equity</stp>
        <stp>RR841</stp>
        <stp>-60CQ</stp>
        <stp>3/31/2019</stp>
        <stp>[BI_AUTMG_1_2nbtcwcs.xlsx]ReferenceData!R655C6</stp>
        <stp>Per=CQ</stp>
        <stp>Dts=H</stp>
        <stp>Dir=H</stp>
        <stp>Points=60</stp>
        <stp>Sort=R</stp>
        <stp>Days=A</stp>
        <stp>Fill=B</stp>
        <stp>FX=USD</stp>
        <tr r="F655" s="3"/>
      </tp>
      <tp t="s">
        <v>#N/A Connection</v>
        <stp/>
        <stp>##V3_BDHV12</stp>
        <stp>7270 JP Equity</stp>
        <stp>RR843</stp>
        <stp>-60CQ</stp>
        <stp>3/31/2019</stp>
        <stp>[BI_AUTMG_1_2nbtcwcs.xlsx]ReferenceData!R744C6</stp>
        <stp>Per=CQ</stp>
        <stp>Dts=H</stp>
        <stp>Dir=H</stp>
        <stp>Points=60</stp>
        <stp>Sort=R</stp>
        <stp>Days=A</stp>
        <stp>Fill=B</stp>
        <stp>FX=USD</stp>
        <tr r="F744" s="3"/>
      </tp>
      <tp t="s">
        <v>#N/A Connection</v>
        <stp/>
        <stp>##V3_BDHV12</stp>
        <stp>7262 JP Equity</stp>
        <stp>RR841</stp>
        <stp>-60CQ</stp>
        <stp>3/31/2019</stp>
        <stp>[BI_AUTMG_1_2nbtcwcs.xlsx]ReferenceData!R639C6</stp>
        <stp>Per=CQ</stp>
        <stp>Dts=H</stp>
        <stp>Dir=H</stp>
        <stp>Points=60</stp>
        <stp>Sort=R</stp>
        <stp>Days=A</stp>
        <stp>Fill=B</stp>
        <stp>FX=USD</stp>
        <tr r="F639" s="3"/>
      </tp>
      <tp t="s">
        <v>#N/A Connection</v>
        <stp/>
        <stp>##V3_BDHV12</stp>
        <stp>7267 JP Equity</stp>
        <stp>RR841</stp>
        <stp>-60CQ</stp>
        <stp>3/31/2019</stp>
        <stp>[BI_AUTMG_1_2nbtcwcs.xlsx]ReferenceData!R652C6</stp>
        <stp>Per=CQ</stp>
        <stp>Dts=H</stp>
        <stp>Dir=H</stp>
        <stp>Points=60</stp>
        <stp>Sort=R</stp>
        <stp>Days=A</stp>
        <stp>Fill=B</stp>
        <stp>FX=USD</stp>
        <tr r="F652" s="3"/>
      </tp>
      <tp t="s">
        <v>#N/A Connection</v>
        <stp/>
        <stp>##V3_BDHV12</stp>
        <stp>7269 JP Equity</stp>
        <stp>RR843</stp>
        <stp>-60CQ</stp>
        <stp>3/31/2019</stp>
        <stp>[BI_AUTMG_1_2nbtcwcs.xlsx]ReferenceData!R745C6</stp>
        <stp>Per=CQ</stp>
        <stp>Dts=H</stp>
        <stp>Dir=H</stp>
        <stp>Points=60</stp>
        <stp>Sort=R</stp>
        <stp>Days=A</stp>
        <stp>Fill=B</stp>
        <stp>FX=USD</stp>
        <tr r="F745" s="3"/>
      </tp>
      <tp t="s">
        <v>#N/A Connection</v>
        <stp/>
        <stp>##V3_BDHV12</stp>
        <stp>7270 JP Equity</stp>
        <stp>RR841</stp>
        <stp>-60CQ</stp>
        <stp>3/31/2019</stp>
        <stp>[BI_AUTMG_1_2nbtcwcs.xlsx]ReferenceData!R664C6</stp>
        <stp>Per=CQ</stp>
        <stp>Dts=H</stp>
        <stp>Dir=H</stp>
        <stp>Points=60</stp>
        <stp>Sort=R</stp>
        <stp>Days=A</stp>
        <stp>Fill=B</stp>
        <stp>FX=USD</stp>
        <tr r="F664" s="3"/>
      </tp>
      <tp t="s">
        <v>#N/A Connection</v>
        <stp/>
        <stp>##V3_BDHV12</stp>
        <stp>7267 JP Equity</stp>
        <stp>RR843</stp>
        <stp>-60CQ</stp>
        <stp>3/31/2019</stp>
        <stp>[BI_AUTMG_1_2nbtcwcs.xlsx]ReferenceData!R732C6</stp>
        <stp>Per=CQ</stp>
        <stp>Dts=H</stp>
        <stp>Dir=H</stp>
        <stp>Points=60</stp>
        <stp>Sort=R</stp>
        <stp>Days=A</stp>
        <stp>Fill=B</stp>
        <stp>FX=USD</stp>
        <tr r="F732" s="3"/>
      </tp>
      <tp t="s">
        <v>#N/A Connection</v>
        <stp/>
        <stp>##V3_BDHV12</stp>
        <stp>7262 JP Equity</stp>
        <stp>RR843</stp>
        <stp>-60CQ</stp>
        <stp>3/31/2019</stp>
        <stp>[BI_AUTMG_1_2nbtcwcs.xlsx]ReferenceData!R719C6</stp>
        <stp>Per=CQ</stp>
        <stp>Dts=H</stp>
        <stp>Dir=H</stp>
        <stp>Points=60</stp>
        <stp>Sort=R</stp>
        <stp>Days=A</stp>
        <stp>Fill=B</stp>
        <stp>FX=USD</stp>
        <tr r="F719" s="3"/>
      </tp>
      <tp t="s">
        <v>#N/A Connection</v>
        <stp/>
        <stp>##V3_BDHV12</stp>
        <stp>7261 JP Equity</stp>
        <stp>RR843</stp>
        <stp>-60CQ</stp>
        <stp>3/31/2019</stp>
        <stp>[BI_AUTMG_1_2nbtcwcs.xlsx]ReferenceData!R735C6</stp>
        <stp>Per=CQ</stp>
        <stp>Dts=H</stp>
        <stp>Dir=H</stp>
        <stp>Points=60</stp>
        <stp>Sort=R</stp>
        <stp>Days=A</stp>
        <stp>Fill=B</stp>
        <stp>FX=USD</stp>
        <tr r="F735" s="3"/>
      </tp>
      <tp t="s">
        <v>#N/A Connection</v>
        <stp/>
        <stp>##V3_BDHV12</stp>
        <stp>7201 JP Equity</stp>
        <stp>RR841</stp>
        <stp>-60CQ</stp>
        <stp>3/31/2019</stp>
        <stp>[BI_AUTMG_1_2nbtcwcs.xlsx]ReferenceData!R657C6</stp>
        <stp>Per=CQ</stp>
        <stp>Dts=H</stp>
        <stp>Dir=H</stp>
        <stp>Points=60</stp>
        <stp>Sort=R</stp>
        <stp>Days=A</stp>
        <stp>Fill=B</stp>
        <stp>FX=USD</stp>
        <tr r="F657" s="3"/>
      </tp>
      <tp t="s">
        <v>#N/A Connection</v>
        <stp/>
        <stp>##V3_BDHV12</stp>
        <stp>7203 JP Equity</stp>
        <stp>RR841</stp>
        <stp>-60CQ</stp>
        <stp>3/31/2019</stp>
        <stp>[BI_AUTMG_1_2nbtcwcs.xlsx]ReferenceData!R670C6</stp>
        <stp>Per=CQ</stp>
        <stp>Dts=H</stp>
        <stp>Dir=H</stp>
        <stp>Points=60</stp>
        <stp>Sort=R</stp>
        <stp>Days=A</stp>
        <stp>Fill=B</stp>
        <stp>FX=USD</stp>
        <tr r="F670" s="3"/>
      </tp>
      <tp t="s">
        <v>#N/A Connection</v>
        <stp/>
        <stp>##V3_BDHV12</stp>
        <stp>7211 JP Equity</stp>
        <stp>RR843</stp>
        <stp>-60CQ</stp>
        <stp>3/31/2019</stp>
        <stp>[BI_AUTMG_1_2nbtcwcs.xlsx]ReferenceData!R736C6</stp>
        <stp>Per=CQ</stp>
        <stp>Dts=H</stp>
        <stp>Dir=H</stp>
        <stp>Points=60</stp>
        <stp>Sort=R</stp>
        <stp>Days=A</stp>
        <stp>Fill=B</stp>
        <stp>FX=USD</stp>
        <tr r="F736" s="3"/>
      </tp>
      <tp t="s">
        <v>#N/A Connection</v>
        <stp/>
        <stp>##V3_BDHV12</stp>
        <stp>7211 JP Equity</stp>
        <stp>RR841</stp>
        <stp>-60CQ</stp>
        <stp>3/31/2019</stp>
        <stp>[BI_AUTMG_1_2nbtcwcs.xlsx]ReferenceData!R656C6</stp>
        <stp>Per=CQ</stp>
        <stp>Dts=H</stp>
        <stp>Dir=H</stp>
        <stp>Points=60</stp>
        <stp>Sort=R</stp>
        <stp>Days=A</stp>
        <stp>Fill=B</stp>
        <stp>FX=USD</stp>
        <tr r="F656" s="3"/>
      </tp>
      <tp t="s">
        <v>#N/A Connection</v>
        <stp/>
        <stp>##V3_BDHV12</stp>
        <stp>7203 JP Equity</stp>
        <stp>RR843</stp>
        <stp>-60CQ</stp>
        <stp>3/31/2019</stp>
        <stp>[BI_AUTMG_1_2nbtcwcs.xlsx]ReferenceData!R750C6</stp>
        <stp>Per=CQ</stp>
        <stp>Dts=H</stp>
        <stp>Dir=H</stp>
        <stp>Points=60</stp>
        <stp>Sort=R</stp>
        <stp>Days=A</stp>
        <stp>Fill=B</stp>
        <stp>FX=USD</stp>
        <tr r="F750" s="3"/>
      </tp>
      <tp t="s">
        <v>#N/A Connection</v>
        <stp/>
        <stp>##V3_BDHV12</stp>
        <stp>7201 JP Equity</stp>
        <stp>RR843</stp>
        <stp>-60CQ</stp>
        <stp>3/31/2019</stp>
        <stp>[BI_AUTMG_1_2nbtcwcs.xlsx]ReferenceData!R737C6</stp>
        <stp>Per=CQ</stp>
        <stp>Dts=H</stp>
        <stp>Dir=H</stp>
        <stp>Points=60</stp>
        <stp>Sort=R</stp>
        <stp>Days=A</stp>
        <stp>Fill=B</stp>
        <stp>FX=USD</stp>
        <tr r="F737" s="3"/>
      </tp>
      <tp t="s">
        <v>#N/A Connection</v>
        <stp/>
        <stp>##V3_BDHV12</stp>
        <stp>7267 JP Equity</stp>
        <stp>RR800</stp>
        <stp>-60CQ</stp>
        <stp>3/31/2019</stp>
        <stp>[BI_AUTMG_1_2nbtcwcs.xlsx]ReferenceData!R692C6</stp>
        <stp>Per=CQ</stp>
        <stp>Dts=H</stp>
        <stp>Dir=H</stp>
        <stp>Points=60</stp>
        <stp>Sort=R</stp>
        <stp>Days=A</stp>
        <stp>Fill=B</stp>
        <stp>FX=USD</stp>
        <tr r="F692" s="3"/>
      </tp>
      <tp t="s">
        <v>#N/A Connection</v>
        <stp/>
        <stp>##V3_BDHV12</stp>
        <stp>7261 JP Equity</stp>
        <stp>RR800</stp>
        <stp>-60CQ</stp>
        <stp>3/31/2019</stp>
        <stp>[BI_AUTMG_1_2nbtcwcs.xlsx]ReferenceData!R695C6</stp>
        <stp>Per=CQ</stp>
        <stp>Dts=H</stp>
        <stp>Dir=H</stp>
        <stp>Points=60</stp>
        <stp>Sort=R</stp>
        <stp>Days=A</stp>
        <stp>Fill=B</stp>
        <stp>FX=USD</stp>
        <tr r="F695" s="3"/>
      </tp>
      <tp t="s">
        <v>#N/A Connection</v>
        <stp/>
        <stp>##V3_BDHV12</stp>
        <stp>7262 JP Equity</stp>
        <stp>RR800</stp>
        <stp>-60CQ</stp>
        <stp>3/31/2019</stp>
        <stp>[BI_AUTMG_1_2nbtcwcs.xlsx]ReferenceData!R679C6</stp>
        <stp>Per=CQ</stp>
        <stp>Dts=H</stp>
        <stp>Dir=H</stp>
        <stp>Points=60</stp>
        <stp>Sort=R</stp>
        <stp>Days=A</stp>
        <stp>Fill=B</stp>
        <stp>FX=USD</stp>
        <tr r="F679" s="3"/>
      </tp>
      <tp t="s">
        <v>#N/A Connection</v>
        <stp/>
        <stp>##V3_BDHV12</stp>
        <stp>7211 JP Equity</stp>
        <stp>RR844</stp>
        <stp>-60CQ</stp>
        <stp>3/31/2019</stp>
        <stp>[BI_AUTMG_1_2nbtcwcs.xlsx]ReferenceData!R536C6</stp>
        <stp>Per=CQ</stp>
        <stp>Dts=H</stp>
        <stp>Dir=H</stp>
        <stp>Points=60</stp>
        <stp>Sort=R</stp>
        <stp>Days=A</stp>
        <stp>Fill=B</stp>
        <stp>FX=USD</stp>
        <tr r="F536" s="3"/>
      </tp>
      <tp t="s">
        <v>#N/A Connection</v>
        <stp/>
        <stp>##V3_BDHV12</stp>
        <stp>7270 JP Equity</stp>
        <stp>RR800</stp>
        <stp>-60CQ</stp>
        <stp>3/31/2019</stp>
        <stp>[BI_AUTMG_1_2nbtcwcs.xlsx]ReferenceData!R704C6</stp>
        <stp>Per=CQ</stp>
        <stp>Dts=H</stp>
        <stp>Dir=H</stp>
        <stp>Points=60</stp>
        <stp>Sort=R</stp>
        <stp>Days=A</stp>
        <stp>Fill=B</stp>
        <stp>FX=USD</stp>
        <tr r="F704" s="3"/>
      </tp>
      <tp t="s">
        <v>#N/A Connection</v>
        <stp/>
        <stp>##V3_BDHV12</stp>
        <stp>7269 JP Equity</stp>
        <stp>RR800</stp>
        <stp>-60CQ</stp>
        <stp>3/31/2019</stp>
        <stp>[BI_AUTMG_1_2nbtcwcs.xlsx]ReferenceData!R705C6</stp>
        <stp>Per=CQ</stp>
        <stp>Dts=H</stp>
        <stp>Dir=H</stp>
        <stp>Points=60</stp>
        <stp>Sort=R</stp>
        <stp>Days=A</stp>
        <stp>Fill=B</stp>
        <stp>FX=USD</stp>
        <tr r="F705" s="3"/>
      </tp>
      <tp t="s">
        <v>#N/A Connection</v>
        <stp/>
        <stp>##V3_BDHV12</stp>
        <stp>7201 JP Equity</stp>
        <stp>RR844</stp>
        <stp>-60CQ</stp>
        <stp>3/31/2019</stp>
        <stp>[BI_AUTMG_1_2nbtcwcs.xlsx]ReferenceData!R537C6</stp>
        <stp>Per=CQ</stp>
        <stp>Dts=H</stp>
        <stp>Dir=H</stp>
        <stp>Points=60</stp>
        <stp>Sort=R</stp>
        <stp>Days=A</stp>
        <stp>Fill=B</stp>
        <stp>FX=USD</stp>
        <tr r="F537" s="3"/>
      </tp>
      <tp t="s">
        <v>#N/A Connection</v>
        <stp/>
        <stp>##V3_BDHV12</stp>
        <stp>7203 JP Equity</stp>
        <stp>RR844</stp>
        <stp>-60CQ</stp>
        <stp>3/31/2019</stp>
        <stp>[BI_AUTMG_1_2nbtcwcs.xlsx]ReferenceData!R550C6</stp>
        <stp>Per=CQ</stp>
        <stp>Dts=H</stp>
        <stp>Dir=H</stp>
        <stp>Points=60</stp>
        <stp>Sort=R</stp>
        <stp>Days=A</stp>
        <stp>Fill=B</stp>
        <stp>FX=USD</stp>
        <tr r="F550" s="3"/>
      </tp>
      <tp t="s">
        <v>#N/A Connection</v>
        <stp/>
        <stp>##V3_BDHV12</stp>
        <stp>2238 HK Equity</stp>
        <stp>RX530</stp>
        <stp>-60CQ</stp>
        <stp>3/31/2019</stp>
        <stp>[BI_AUTMG_1_2nbtcwcs.xlsx]ReferenceData!R851C6</stp>
        <stp>Per=CQ</stp>
        <stp>Dts=H</stp>
        <stp>Dir=H</stp>
        <stp>Points=60</stp>
        <stp>Sort=R</stp>
        <stp>Days=A</stp>
        <stp>Fill=B</stp>
        <stp>FX=USD</stp>
        <tr r="F851" s="3"/>
      </tp>
      <tp t="s">
        <v>#N/A Connection</v>
        <stp/>
        <stp>##V3_BDHV12</stp>
        <stp>1211 HK Equity</stp>
        <stp>RX530</stp>
        <stp>-60CQ</stp>
        <stp>3/31/2019</stp>
        <stp>[BI_AUTMG_1_2nbtcwcs.xlsx]ReferenceData!R837C6</stp>
        <stp>Per=CQ</stp>
        <stp>Dts=H</stp>
        <stp>Dir=H</stp>
        <stp>Points=60</stp>
        <stp>Sort=R</stp>
        <stp>Days=A</stp>
        <stp>Fill=B</stp>
        <stp>FX=USD</stp>
        <tr r="F837" s="3"/>
      </tp>
      <tp t="s">
        <v>#N/A Connection</v>
        <stp/>
        <stp>##V3_BDHV12</stp>
        <stp>2333 HK Equity</stp>
        <stp>RX530</stp>
        <stp>-60CQ</stp>
        <stp>3/31/2019</stp>
        <stp>[BI_AUTMG_1_2nbtcwcs.xlsx]ReferenceData!R850C6</stp>
        <stp>Per=CQ</stp>
        <stp>Dts=H</stp>
        <stp>Dir=H</stp>
        <stp>Points=60</stp>
        <stp>Sort=R</stp>
        <stp>Days=A</stp>
        <stp>Fill=B</stp>
        <stp>FX=USD</stp>
        <tr r="F850" s="3"/>
      </tp>
      <tp t="s">
        <v>#N/A Connection</v>
        <stp/>
        <stp>##V3_BDHV12</stp>
        <stp>7270 JP Equity</stp>
        <stp>RX530</stp>
        <stp>-60CQ</stp>
        <stp>3/31/2019</stp>
        <stp>[BI_AUTMG_1_2nbtcwcs.xlsx]ReferenceData!R864C6</stp>
        <stp>Per=CQ</stp>
        <stp>Dts=H</stp>
        <stp>Dir=H</stp>
        <stp>Points=60</stp>
        <stp>Sort=R</stp>
        <stp>Days=A</stp>
        <stp>Fill=B</stp>
        <stp>FX=USD</stp>
        <tr r="F864" s="3"/>
      </tp>
      <tp t="s">
        <v>#N/A Connection</v>
        <stp/>
        <stp>##V3_BDHV12</stp>
        <stp>7269 JP Equity</stp>
        <stp>RX530</stp>
        <stp>-60CQ</stp>
        <stp>3/31/2019</stp>
        <stp>[BI_AUTMG_1_2nbtcwcs.xlsx]ReferenceData!R865C6</stp>
        <stp>Per=CQ</stp>
        <stp>Dts=H</stp>
        <stp>Dir=H</stp>
        <stp>Points=60</stp>
        <stp>Sort=R</stp>
        <stp>Days=A</stp>
        <stp>Fill=B</stp>
        <stp>FX=USD</stp>
        <tr r="F865" s="3"/>
      </tp>
      <tp t="s">
        <v>#N/A Connection</v>
        <stp/>
        <stp>##V3_BDHV12</stp>
        <stp>7261 JP Equity</stp>
        <stp>RX530</stp>
        <stp>-60CQ</stp>
        <stp>3/31/2019</stp>
        <stp>[BI_AUTMG_1_2nbtcwcs.xlsx]ReferenceData!R855C6</stp>
        <stp>Per=CQ</stp>
        <stp>Dts=H</stp>
        <stp>Dir=H</stp>
        <stp>Points=60</stp>
        <stp>Sort=R</stp>
        <stp>Days=A</stp>
        <stp>Fill=B</stp>
        <stp>FX=USD</stp>
        <tr r="F855" s="3"/>
      </tp>
      <tp t="s">
        <v>#N/A Connection</v>
        <stp/>
        <stp>##V3_BDHV12</stp>
        <stp>7262 JP Equity</stp>
        <stp>RX530</stp>
        <stp>-60CQ</stp>
        <stp>3/31/2019</stp>
        <stp>[BI_AUTMG_1_2nbtcwcs.xlsx]ReferenceData!R839C6</stp>
        <stp>Per=CQ</stp>
        <stp>Dts=H</stp>
        <stp>Dir=H</stp>
        <stp>Points=60</stp>
        <stp>Sort=R</stp>
        <stp>Days=A</stp>
        <stp>Fill=B</stp>
        <stp>FX=USD</stp>
        <tr r="F839" s="3"/>
      </tp>
      <tp t="s">
        <v>#N/A Connection</v>
        <stp/>
        <stp>##V3_BDHV12</stp>
        <stp>7267 JP Equity</stp>
        <stp>RX530</stp>
        <stp>-60CQ</stp>
        <stp>3/31/2019</stp>
        <stp>[BI_AUTMG_1_2nbtcwcs.xlsx]ReferenceData!R852C6</stp>
        <stp>Per=CQ</stp>
        <stp>Dts=H</stp>
        <stp>Dir=H</stp>
        <stp>Points=60</stp>
        <stp>Sort=R</stp>
        <stp>Days=A</stp>
        <stp>Fill=B</stp>
        <stp>FX=USD</stp>
        <tr r="F852" s="3"/>
      </tp>
      <tp t="s">
        <v>#N/A Connection</v>
        <stp/>
        <stp>##V3_BDHV12</stp>
        <stp>7211 JP Equity</stp>
        <stp>RX530</stp>
        <stp>-60CQ</stp>
        <stp>3/31/2019</stp>
        <stp>[BI_AUTMG_1_2nbtcwcs.xlsx]ReferenceData!R856C6</stp>
        <stp>Per=CQ</stp>
        <stp>Dts=H</stp>
        <stp>Dir=H</stp>
        <stp>Points=60</stp>
        <stp>Sort=R</stp>
        <stp>Days=A</stp>
        <stp>Fill=B</stp>
        <stp>FX=USD</stp>
        <tr r="F856" s="3"/>
      </tp>
      <tp t="s">
        <v>#N/A Connection</v>
        <stp/>
        <stp>##V3_BDHV12</stp>
        <stp>7201 JP Equity</stp>
        <stp>RX530</stp>
        <stp>-60CQ</stp>
        <stp>3/31/2019</stp>
        <stp>[BI_AUTMG_1_2nbtcwcs.xlsx]ReferenceData!R857C6</stp>
        <stp>Per=CQ</stp>
        <stp>Dts=H</stp>
        <stp>Dir=H</stp>
        <stp>Points=60</stp>
        <stp>Sort=R</stp>
        <stp>Days=A</stp>
        <stp>Fill=B</stp>
        <stp>FX=USD</stp>
        <tr r="F857" s="3"/>
      </tp>
      <tp t="s">
        <v>#N/A Connection</v>
        <stp/>
        <stp>##V3_BDHV12</stp>
        <stp>7203 JP Equity</stp>
        <stp>RX530</stp>
        <stp>-60CQ</stp>
        <stp>3/31/2019</stp>
        <stp>[BI_AUTMG_1_2nbtcwcs.xlsx]ReferenceData!R870C6</stp>
        <stp>Per=CQ</stp>
        <stp>Dts=H</stp>
        <stp>Dir=H</stp>
        <stp>Points=60</stp>
        <stp>Sort=R</stp>
        <stp>Days=A</stp>
        <stp>Fill=B</stp>
        <stp>FX=USD</stp>
        <tr r="F870" s="3"/>
      </tp>
      <tp t="s">
        <v>#N/A Connection</v>
        <stp/>
        <stp>##V3_BDHV12</stp>
        <stp>1114 HK Equity</stp>
        <stp>RX530</stp>
        <stp>-60CQ</stp>
        <stp>3/31/2019</stp>
        <stp>[BI_AUTMG_1_2nbtcwcs.xlsx]ReferenceData!R836C6</stp>
        <stp>Per=CQ</stp>
        <stp>Dts=H</stp>
        <stp>Dir=H</stp>
        <stp>Points=60</stp>
        <stp>Sort=R</stp>
        <stp>Days=A</stp>
        <stp>Fill=B</stp>
        <stp>FX=USD</stp>
        <tr r="F836" s="3"/>
      </tp>
      <tp t="s">
        <v>#N/A Connection</v>
        <stp/>
        <stp>##V3_BDHV12</stp>
        <stp>2238 HK Equity</stp>
        <stp>RR179</stp>
        <stp>-60CQ</stp>
        <stp>3/31/2019</stp>
        <stp>[BI_AUTMG_1_2nbtcwcs.xlsx]ReferenceData!R811C6</stp>
        <stp>Per=CQ</stp>
        <stp>Dts=H</stp>
        <stp>Dir=H</stp>
        <stp>Points=60</stp>
        <stp>Sort=R</stp>
        <stp>Days=A</stp>
        <stp>Fill=B</stp>
        <stp>FX=USD</stp>
        <tr r="F811" s="3"/>
      </tp>
      <tp t="s">
        <v>#N/A Connection</v>
        <stp/>
        <stp>##V3_BDHV12</stp>
        <stp>2333 HK Equity</stp>
        <stp>PR005</stp>
        <stp>-60CQ</stp>
        <stp>3/31/2019</stp>
        <stp>[BI_AUTMG_1_2nbtcwcs.xlsx]ReferenceData!R930C6</stp>
        <stp>Per=CQ</stp>
        <stp>Dts=H</stp>
        <stp>Dir=H</stp>
        <stp>Points=60</stp>
        <stp>Sort=R</stp>
        <stp>Days=A</stp>
        <stp>Fill=B</stp>
        <stp>FX=USD</stp>
        <tr r="F930" s="3"/>
      </tp>
      <tp t="s">
        <v>#N/A Connection</v>
        <stp/>
        <stp>##V3_BDHV12</stp>
        <stp>2333 HK Equity</stp>
        <stp>RR010</stp>
        <stp>-60CQ</stp>
        <stp>3/31/2019</stp>
        <stp>[BI_AUTMG_1_2nbtcwcs.xlsx]ReferenceData!R770C6</stp>
        <stp>Per=CQ</stp>
        <stp>Dts=H</stp>
        <stp>Dir=H</stp>
        <stp>Points=60</stp>
        <stp>Sort=R</stp>
        <stp>Days=A</stp>
        <stp>Fill=B</stp>
        <stp>FX=USD</stp>
        <tr r="F770" s="3"/>
      </tp>
      <tp t="s">
        <v>#N/A Connection</v>
        <stp/>
        <stp>##V3_BDHV12</stp>
        <stp>2333 HK Equity</stp>
        <stp>EZ019</stp>
        <stp>-60CQ</stp>
        <stp>3/31/2019</stp>
        <stp>[BI_AUTMG_1_2nbtcwcs.xlsx]ReferenceData!R570C6</stp>
        <stp>Per=CQ</stp>
        <stp>Dts=H</stp>
        <stp>Dir=H</stp>
        <stp>Points=60</stp>
        <stp>Sort=R</stp>
        <stp>Days=A</stp>
        <stp>Fill=B</stp>
        <stp>FX=USD</stp>
        <tr r="F570" s="3"/>
      </tp>
      <tp t="s">
        <v>#N/A Connection</v>
        <stp/>
        <stp>##V3_BDHV12</stp>
        <stp>2333 HK Equity</stp>
        <stp>EZ021</stp>
        <stp>-60CQ</stp>
        <stp>3/31/2019</stp>
        <stp>[BI_AUTMG_1_2nbtcwcs.xlsx]ReferenceData!R610C6</stp>
        <stp>Per=CQ</stp>
        <stp>Dts=H</stp>
        <stp>Dir=H</stp>
        <stp>Points=60</stp>
        <stp>Sort=R</stp>
        <stp>Days=A</stp>
        <stp>Fill=B</stp>
        <stp>FX=USD</stp>
        <tr r="F610" s="3"/>
      </tp>
      <tp t="s">
        <v>#N/A Connection</v>
        <stp/>
        <stp>##V3_BDHV12</stp>
        <stp>1211 HK Equity</stp>
        <stp>RR179</stp>
        <stp>-60CQ</stp>
        <stp>3/31/2019</stp>
        <stp>[BI_AUTMG_1_2nbtcwcs.xlsx]ReferenceData!R797C6</stp>
        <stp>Per=CQ</stp>
        <stp>Dts=H</stp>
        <stp>Dir=H</stp>
        <stp>Points=60</stp>
        <stp>Sort=R</stp>
        <stp>Days=A</stp>
        <stp>Fill=B</stp>
        <stp>FX=USD</stp>
        <tr r="F797" s="3"/>
      </tp>
    </main>
    <main first="bloomberg.ccyreader">
      <tp>
        <v>0</v>
        <stp/>
        <stp>#track</stp>
        <stp>DBG</stp>
        <stp>BIHITX</stp>
        <stp>1.0</stp>
        <stp>RepeatHit</stp>
        <tr r="A505" s="3"/>
      </tp>
    </main>
    <main first="bloomberg.rtd">
      <tp t="s">
        <v>#N/A Connection</v>
        <stp/>
        <stp>##V3_BDHV12</stp>
        <stp>2333 HK Equity</stp>
        <stp>RR179</stp>
        <stp>-60CQ</stp>
        <stp>3/31/2019</stp>
        <stp>[BI_AUTMG_1_2nbtcwcs.xlsx]ReferenceData!R810C6</stp>
        <stp>Per=CQ</stp>
        <stp>Dts=H</stp>
        <stp>Dir=H</stp>
        <stp>Points=60</stp>
        <stp>Sort=R</stp>
        <stp>Days=A</stp>
        <stp>Fill=B</stp>
        <stp>FX=USD</stp>
        <tr r="F810" s="3"/>
      </tp>
      <tp t="s">
        <v>#N/A Connection</v>
        <stp/>
        <stp>##V3_BDHV12</stp>
        <stp>1211 HK Equity</stp>
        <stp>PR005</stp>
        <stp>-60CQ</stp>
        <stp>3/31/2019</stp>
        <stp>[BI_AUTMG_1_2nbtcwcs.xlsx]ReferenceData!R917C6</stp>
        <stp>Per=CQ</stp>
        <stp>Dts=H</stp>
        <stp>Dir=H</stp>
        <stp>Points=60</stp>
        <stp>Sort=R</stp>
        <stp>Days=A</stp>
        <stp>Fill=B</stp>
        <stp>FX=USD</stp>
        <tr r="F917" s="3"/>
      </tp>
      <tp t="s">
        <v>#N/A Connection</v>
        <stp/>
        <stp>##V3_BDHV12</stp>
        <stp>2238 HK Equity</stp>
        <stp>PR005</stp>
        <stp>-60CQ</stp>
        <stp>3/31/2019</stp>
        <stp>[BI_AUTMG_1_2nbtcwcs.xlsx]ReferenceData!R931C6</stp>
        <stp>Per=CQ</stp>
        <stp>Dts=H</stp>
        <stp>Dir=H</stp>
        <stp>Points=60</stp>
        <stp>Sort=R</stp>
        <stp>Days=A</stp>
        <stp>Fill=B</stp>
        <stp>FX=USD</stp>
        <tr r="F931" s="3"/>
      </tp>
      <tp t="s">
        <v>#N/A Connection</v>
        <stp/>
        <stp>##V3_BDHV12</stp>
        <stp>2238 HK Equity</stp>
        <stp>RR010</stp>
        <stp>-60CQ</stp>
        <stp>3/31/2019</stp>
        <stp>[BI_AUTMG_1_2nbtcwcs.xlsx]ReferenceData!R771C6</stp>
        <stp>Per=CQ</stp>
        <stp>Dts=H</stp>
        <stp>Dir=H</stp>
        <stp>Points=60</stp>
        <stp>Sort=R</stp>
        <stp>Days=A</stp>
        <stp>Fill=B</stp>
        <stp>FX=USD</stp>
        <tr r="F771" s="3"/>
      </tp>
      <tp t="s">
        <v>#N/A Connection</v>
        <stp/>
        <stp>##V3_BDHV12</stp>
        <stp>1211 HK Equity</stp>
        <stp>EZ019</stp>
        <stp>-60CQ</stp>
        <stp>3/31/2019</stp>
        <stp>[BI_AUTMG_1_2nbtcwcs.xlsx]ReferenceData!R557C6</stp>
        <stp>Per=CQ</stp>
        <stp>Dts=H</stp>
        <stp>Dir=H</stp>
        <stp>Points=60</stp>
        <stp>Sort=R</stp>
        <stp>Days=A</stp>
        <stp>Fill=B</stp>
        <stp>FX=USD</stp>
        <tr r="F557" s="3"/>
      </tp>
      <tp t="s">
        <v>#N/A Connection</v>
        <stp/>
        <stp>##V3_BDHV12</stp>
        <stp>1211 HK Equity</stp>
        <stp>RR010</stp>
        <stp>-60CQ</stp>
        <stp>3/31/2019</stp>
        <stp>[BI_AUTMG_1_2nbtcwcs.xlsx]ReferenceData!R757C6</stp>
        <stp>Per=CQ</stp>
        <stp>Dts=H</stp>
        <stp>Dir=H</stp>
        <stp>Points=60</stp>
        <stp>Sort=R</stp>
        <stp>Days=A</stp>
        <stp>Fill=B</stp>
        <stp>FX=USD</stp>
        <tr r="F757" s="3"/>
      </tp>
      <tp t="s">
        <v>#N/A Connection</v>
        <stp/>
        <stp>##V3_BDHV12</stp>
        <stp>2238 HK Equity</stp>
        <stp>EZ021</stp>
        <stp>-60CQ</stp>
        <stp>3/31/2019</stp>
        <stp>[BI_AUTMG_1_2nbtcwcs.xlsx]ReferenceData!R611C6</stp>
        <stp>Per=CQ</stp>
        <stp>Dts=H</stp>
        <stp>Dir=H</stp>
        <stp>Points=60</stp>
        <stp>Sort=R</stp>
        <stp>Days=A</stp>
        <stp>Fill=B</stp>
        <stp>FX=USD</stp>
        <tr r="F611" s="3"/>
      </tp>
      <tp t="s">
        <v>#N/A Connection</v>
        <stp/>
        <stp>##V3_BDHV12</stp>
        <stp>2238 HK Equity</stp>
        <stp>EZ019</stp>
        <stp>-60CQ</stp>
        <stp>3/31/2019</stp>
        <stp>[BI_AUTMG_1_2nbtcwcs.xlsx]ReferenceData!R571C6</stp>
        <stp>Per=CQ</stp>
        <stp>Dts=H</stp>
        <stp>Dir=H</stp>
        <stp>Points=60</stp>
        <stp>Sort=R</stp>
        <stp>Days=A</stp>
        <stp>Fill=B</stp>
        <stp>FX=USD</stp>
        <tr r="F571" s="3"/>
      </tp>
      <tp t="s">
        <v>#N/A Connection</v>
        <stp/>
        <stp>##V3_BDHV12</stp>
        <stp>1211 HK Equity</stp>
        <stp>EZ021</stp>
        <stp>-60CQ</stp>
        <stp>3/31/2019</stp>
        <stp>[BI_AUTMG_1_2nbtcwcs.xlsx]ReferenceData!R597C6</stp>
        <stp>Per=CQ</stp>
        <stp>Dts=H</stp>
        <stp>Dir=H</stp>
        <stp>Points=60</stp>
        <stp>Sort=R</stp>
        <stp>Days=A</stp>
        <stp>Fill=B</stp>
        <stp>FX=USD</stp>
        <tr r="F597" s="3"/>
      </tp>
      <tp t="s">
        <v>#N/A Connection</v>
        <stp/>
        <stp>##V3_BDHV12</stp>
        <stp>1114 HK Equity</stp>
        <stp>PR005</stp>
        <stp>-60CQ</stp>
        <stp>3/31/2019</stp>
        <stp>[BI_AUTMG_1_2nbtcwcs.xlsx]ReferenceData!R916C6</stp>
        <stp>Per=CQ</stp>
        <stp>Dts=H</stp>
        <stp>Dir=H</stp>
        <stp>Points=60</stp>
        <stp>Sort=R</stp>
        <stp>Days=A</stp>
        <stp>Fill=B</stp>
        <stp>FX=USD</stp>
        <tr r="F916" s="3"/>
      </tp>
      <tp t="s">
        <v>#N/A Connection</v>
        <stp/>
        <stp>##V3_BDHV12</stp>
        <stp>1114 HK Equity</stp>
        <stp>EZ019</stp>
        <stp>-60CQ</stp>
        <stp>3/31/2019</stp>
        <stp>[BI_AUTMG_1_2nbtcwcs.xlsx]ReferenceData!R556C6</stp>
        <stp>Per=CQ</stp>
        <stp>Dts=H</stp>
        <stp>Dir=H</stp>
        <stp>Points=60</stp>
        <stp>Sort=R</stp>
        <stp>Days=A</stp>
        <stp>Fill=B</stp>
        <stp>FX=USD</stp>
        <tr r="F556" s="3"/>
      </tp>
      <tp t="s">
        <v>#N/A Connection</v>
        <stp/>
        <stp>##V3_BDHV12</stp>
        <stp>1114 HK Equity</stp>
        <stp>RR010</stp>
        <stp>-60CQ</stp>
        <stp>3/31/2019</stp>
        <stp>[BI_AUTMG_1_2nbtcwcs.xlsx]ReferenceData!R756C6</stp>
        <stp>Per=CQ</stp>
        <stp>Dts=H</stp>
        <stp>Dir=H</stp>
        <stp>Points=60</stp>
        <stp>Sort=R</stp>
        <stp>Days=A</stp>
        <stp>Fill=B</stp>
        <stp>FX=USD</stp>
        <tr r="F756" s="3"/>
      </tp>
      <tp t="s">
        <v>#N/A Connection</v>
        <stp/>
        <stp>##V3_BDHV12</stp>
        <stp>1114 HK Equity</stp>
        <stp>EZ021</stp>
        <stp>-60CQ</stp>
        <stp>3/31/2019</stp>
        <stp>[BI_AUTMG_1_2nbtcwcs.xlsx]ReferenceData!R596C6</stp>
        <stp>Per=CQ</stp>
        <stp>Dts=H</stp>
        <stp>Dir=H</stp>
        <stp>Points=60</stp>
        <stp>Sort=R</stp>
        <stp>Days=A</stp>
        <stp>Fill=B</stp>
        <stp>FX=USD</stp>
        <tr r="F596" s="3"/>
      </tp>
      <tp t="s">
        <v>#N/A Connection</v>
        <stp/>
        <stp>##V3_BDHV12</stp>
        <stp>7262 JP Equity</stp>
        <stp>RR179</stp>
        <stp>-60CQ</stp>
        <stp>3/31/2019</stp>
        <stp>[BI_AUTMG_1_2nbtcwcs.xlsx]ReferenceData!R799C6</stp>
        <stp>Per=CQ</stp>
        <stp>Dts=H</stp>
        <stp>Dir=H</stp>
        <stp>Points=60</stp>
        <stp>Sort=R</stp>
        <stp>Days=A</stp>
        <stp>Fill=B</stp>
        <stp>FX=USD</stp>
        <tr r="F799" s="3"/>
      </tp>
      <tp t="s">
        <v>#N/A Connection</v>
        <stp/>
        <stp>##V3_BDHV12</stp>
        <stp>7211 JP Equity</stp>
        <stp>RR179</stp>
        <stp>-60CQ</stp>
        <stp>3/31/2019</stp>
        <stp>[BI_AUTMG_1_2nbtcwcs.xlsx]ReferenceData!R816C6</stp>
        <stp>Per=CQ</stp>
        <stp>Dts=H</stp>
        <stp>Dir=H</stp>
        <stp>Points=60</stp>
        <stp>Sort=R</stp>
        <stp>Days=A</stp>
        <stp>Fill=B</stp>
        <stp>FX=USD</stp>
        <tr r="F816" s="3"/>
      </tp>
      <tp t="s">
        <v>#N/A Connection</v>
        <stp/>
        <stp>##V3_BDHV12</stp>
        <stp>7201 JP Equity</stp>
        <stp>RR179</stp>
        <stp>-60CQ</stp>
        <stp>3/31/2019</stp>
        <stp>[BI_AUTMG_1_2nbtcwcs.xlsx]ReferenceData!R817C6</stp>
        <stp>Per=CQ</stp>
        <stp>Dts=H</stp>
        <stp>Dir=H</stp>
        <stp>Points=60</stp>
        <stp>Sort=R</stp>
        <stp>Days=A</stp>
        <stp>Fill=B</stp>
        <stp>FX=USD</stp>
        <tr r="F817" s="3"/>
      </tp>
      <tp t="s">
        <v>#N/A Connection</v>
        <stp/>
        <stp>##V3_BDHV12</stp>
        <stp>7203 JP Equity</stp>
        <stp>RR179</stp>
        <stp>-60CQ</stp>
        <stp>3/31/2019</stp>
        <stp>[BI_AUTMG_1_2nbtcwcs.xlsx]ReferenceData!R830C6</stp>
        <stp>Per=CQ</stp>
        <stp>Dts=H</stp>
        <stp>Dir=H</stp>
        <stp>Points=60</stp>
        <stp>Sort=R</stp>
        <stp>Days=A</stp>
        <stp>Fill=B</stp>
        <stp>FX=USD</stp>
        <tr r="F830" s="3"/>
      </tp>
      <tp t="s">
        <v>#N/A Connection</v>
        <stp/>
        <stp>##V3_BDHV12</stp>
        <stp>7270 JP Equity</stp>
        <stp>RR179</stp>
        <stp>-60CQ</stp>
        <stp>3/31/2019</stp>
        <stp>[BI_AUTMG_1_2nbtcwcs.xlsx]ReferenceData!R824C6</stp>
        <stp>Per=CQ</stp>
        <stp>Dts=H</stp>
        <stp>Dir=H</stp>
        <stp>Points=60</stp>
        <stp>Sort=R</stp>
        <stp>Days=A</stp>
        <stp>Fill=B</stp>
        <stp>FX=USD</stp>
        <tr r="F824" s="3"/>
      </tp>
      <tp t="s">
        <v>#N/A Connection</v>
        <stp/>
        <stp>##V3_BDHV12</stp>
        <stp>7267 JP Equity</stp>
        <stp>RR179</stp>
        <stp>-60CQ</stp>
        <stp>3/31/2019</stp>
        <stp>[BI_AUTMG_1_2nbtcwcs.xlsx]ReferenceData!R812C6</stp>
        <stp>Per=CQ</stp>
        <stp>Dts=H</stp>
        <stp>Dir=H</stp>
        <stp>Points=60</stp>
        <stp>Sort=R</stp>
        <stp>Days=A</stp>
        <stp>Fill=B</stp>
        <stp>FX=USD</stp>
        <tr r="F812" s="3"/>
      </tp>
      <tp t="s">
        <v>#N/A Connection</v>
        <stp/>
        <stp>##V3_BDHV12</stp>
        <stp>7261 JP Equity</stp>
        <stp>RR179</stp>
        <stp>-60CQ</stp>
        <stp>3/31/2019</stp>
        <stp>[BI_AUTMG_1_2nbtcwcs.xlsx]ReferenceData!R815C6</stp>
        <stp>Per=CQ</stp>
        <stp>Dts=H</stp>
        <stp>Dir=H</stp>
        <stp>Points=60</stp>
        <stp>Sort=R</stp>
        <stp>Days=A</stp>
        <stp>Fill=B</stp>
        <stp>FX=USD</stp>
        <tr r="F815" s="3"/>
      </tp>
      <tp t="s">
        <v>#N/A Connection</v>
        <stp/>
        <stp>##V3_BDHV12</stp>
        <stp>7269 JP Equity</stp>
        <stp>RR179</stp>
        <stp>-60CQ</stp>
        <stp>3/31/2019</stp>
        <stp>[BI_AUTMG_1_2nbtcwcs.xlsx]ReferenceData!R825C6</stp>
        <stp>Per=CQ</stp>
        <stp>Dts=H</stp>
        <stp>Dir=H</stp>
        <stp>Points=60</stp>
        <stp>Sort=R</stp>
        <stp>Days=A</stp>
        <stp>Fill=B</stp>
        <stp>FX=USD</stp>
        <tr r="F825" s="3"/>
      </tp>
      <tp t="s">
        <v>#N/A Connection</v>
        <stp/>
        <stp>##V3_BDHV12</stp>
        <stp>1114 HK Equity</stp>
        <stp>RR179</stp>
        <stp>-60CQ</stp>
        <stp>3/31/2019</stp>
        <stp>[BI_AUTMG_1_2nbtcwcs.xlsx]ReferenceData!R796C6</stp>
        <stp>Per=CQ</stp>
        <stp>Dts=H</stp>
        <stp>Dir=H</stp>
        <stp>Points=60</stp>
        <stp>Sort=R</stp>
        <stp>Days=A</stp>
        <stp>Fill=B</stp>
        <stp>FX=USD</stp>
        <tr r="F796" s="3"/>
      </tp>
      <tp t="s">
        <v>#N/A Connection</v>
        <stp/>
        <stp>##V3_BDHV12</stp>
        <stp>7203 JP Equity</stp>
        <stp>RR010</stp>
        <stp>-60CQ</stp>
        <stp>3/31/2019</stp>
        <stp>[BI_AUTMG_1_2nbtcwcs.xlsx]ReferenceData!R790C6</stp>
        <stp>Per=CQ</stp>
        <stp>Dts=H</stp>
        <stp>Dir=H</stp>
        <stp>Points=60</stp>
        <stp>Sort=R</stp>
        <stp>Days=A</stp>
        <stp>Fill=B</stp>
        <stp>FX=USD</stp>
        <tr r="F790" s="3"/>
      </tp>
      <tp t="s">
        <v>#N/A Connection</v>
        <stp/>
        <stp>##V3_BDHV12</stp>
        <stp>7201 JP Equity</stp>
        <stp>RR010</stp>
        <stp>-60CQ</stp>
        <stp>3/31/2019</stp>
        <stp>[BI_AUTMG_1_2nbtcwcs.xlsx]ReferenceData!R777C6</stp>
        <stp>Per=CQ</stp>
        <stp>Dts=H</stp>
        <stp>Dir=H</stp>
        <stp>Points=60</stp>
        <stp>Sort=R</stp>
        <stp>Days=A</stp>
        <stp>Fill=B</stp>
        <stp>FX=USD</stp>
        <tr r="F777" s="3"/>
      </tp>
      <tp t="s">
        <v>#N/A Connection</v>
        <stp/>
        <stp>##V3_BDHV12</stp>
        <stp>7211 JP Equity</stp>
        <stp>RR010</stp>
        <stp>-60CQ</stp>
        <stp>3/31/2019</stp>
        <stp>[BI_AUTMG_1_2nbtcwcs.xlsx]ReferenceData!R776C6</stp>
        <stp>Per=CQ</stp>
        <stp>Dts=H</stp>
        <stp>Dir=H</stp>
        <stp>Points=60</stp>
        <stp>Sort=R</stp>
        <stp>Days=A</stp>
        <stp>Fill=B</stp>
        <stp>FX=USD</stp>
        <tr r="F776" s="3"/>
      </tp>
      <tp t="s">
        <v>#N/A Connection</v>
        <stp/>
        <stp>##V3_BDHV12</stp>
        <stp>7201 JP Equity</stp>
        <stp>EZ019</stp>
        <stp>-60CQ</stp>
        <stp>3/31/2019</stp>
        <stp>[BI_AUTMG_1_2nbtcwcs.xlsx]ReferenceData!R577C6</stp>
        <stp>Per=CQ</stp>
        <stp>Dts=H</stp>
        <stp>Dir=H</stp>
        <stp>Points=60</stp>
        <stp>Sort=R</stp>
        <stp>Days=A</stp>
        <stp>Fill=B</stp>
        <stp>FX=USD</stp>
        <tr r="F577" s="3"/>
      </tp>
      <tp t="s">
        <v>#N/A Connection</v>
        <stp/>
        <stp>##V3_BDHV12</stp>
        <stp>7203 JP Equity</stp>
        <stp>EZ019</stp>
        <stp>-60CQ</stp>
        <stp>3/31/2019</stp>
        <stp>[BI_AUTMG_1_2nbtcwcs.xlsx]ReferenceData!R590C6</stp>
        <stp>Per=CQ</stp>
        <stp>Dts=H</stp>
        <stp>Dir=H</stp>
        <stp>Points=60</stp>
        <stp>Sort=R</stp>
        <stp>Days=A</stp>
        <stp>Fill=B</stp>
        <stp>FX=USD</stp>
        <tr r="F590" s="3"/>
      </tp>
      <tp t="s">
        <v>#N/A Connection</v>
        <stp/>
        <stp>##V3_BDHV12</stp>
        <stp>7201 JP Equity</stp>
        <stp>EZ021</stp>
        <stp>-60CQ</stp>
        <stp>3/31/2019</stp>
        <stp>[BI_AUTMG_1_2nbtcwcs.xlsx]ReferenceData!R617C6</stp>
        <stp>Per=CQ</stp>
        <stp>Dts=H</stp>
        <stp>Dir=H</stp>
        <stp>Points=60</stp>
        <stp>Sort=R</stp>
        <stp>Days=A</stp>
        <stp>Fill=B</stp>
        <stp>FX=USD</stp>
        <tr r="F617" s="3"/>
      </tp>
      <tp t="s">
        <v>#N/A Connection</v>
        <stp/>
        <stp>##V3_BDHV12</stp>
        <stp>7203 JP Equity</stp>
        <stp>EZ021</stp>
        <stp>-60CQ</stp>
        <stp>3/31/2019</stp>
        <stp>[BI_AUTMG_1_2nbtcwcs.xlsx]ReferenceData!R630C6</stp>
        <stp>Per=CQ</stp>
        <stp>Dts=H</stp>
        <stp>Dir=H</stp>
        <stp>Points=60</stp>
        <stp>Sort=R</stp>
        <stp>Days=A</stp>
        <stp>Fill=B</stp>
        <stp>FX=USD</stp>
        <tr r="F630" s="3"/>
      </tp>
      <tp t="s">
        <v>#N/A Connection</v>
        <stp/>
        <stp>##V3_BDHV12</stp>
        <stp>7211 JP Equity</stp>
        <stp>EZ019</stp>
        <stp>-60CQ</stp>
        <stp>3/31/2019</stp>
        <stp>[BI_AUTMG_1_2nbtcwcs.xlsx]ReferenceData!R576C6</stp>
        <stp>Per=CQ</stp>
        <stp>Dts=H</stp>
        <stp>Dir=H</stp>
        <stp>Points=60</stp>
        <stp>Sort=R</stp>
        <stp>Days=A</stp>
        <stp>Fill=B</stp>
        <stp>FX=USD</stp>
        <tr r="F576" s="3"/>
      </tp>
      <tp t="s">
        <v>#N/A Connection</v>
        <stp/>
        <stp>##V3_BDHV12</stp>
        <stp>7211 JP Equity</stp>
        <stp>EZ021</stp>
        <stp>-60CQ</stp>
        <stp>3/31/2019</stp>
        <stp>[BI_AUTMG_1_2nbtcwcs.xlsx]ReferenceData!R616C6</stp>
        <stp>Per=CQ</stp>
        <stp>Dts=H</stp>
        <stp>Dir=H</stp>
        <stp>Points=60</stp>
        <stp>Sort=R</stp>
        <stp>Days=A</stp>
        <stp>Fill=B</stp>
        <stp>FX=USD</stp>
        <tr r="F616" s="3"/>
      </tp>
      <tp t="s">
        <v>#N/A Connection</v>
        <stp/>
        <stp>##V3_BDHV12</stp>
        <stp>7269 JP Equity</stp>
        <stp>EZ021</stp>
        <stp>-60CQ</stp>
        <stp>3/31/2019</stp>
        <stp>[BI_AUTMG_1_2nbtcwcs.xlsx]ReferenceData!R625C6</stp>
        <stp>Per=CQ</stp>
        <stp>Dts=H</stp>
        <stp>Dir=H</stp>
        <stp>Points=60</stp>
        <stp>Sort=R</stp>
        <stp>Days=A</stp>
        <stp>Fill=B</stp>
        <stp>FX=USD</stp>
        <tr r="F625" s="3"/>
      </tp>
      <tp t="s">
        <v>#N/A Connection</v>
        <stp/>
        <stp>##V3_BDHV12</stp>
        <stp>7267 JP Equity</stp>
        <stp>EZ019</stp>
        <stp>-60CQ</stp>
        <stp>3/31/2019</stp>
        <stp>[BI_AUTMG_1_2nbtcwcs.xlsx]ReferenceData!R572C6</stp>
        <stp>Per=CQ</stp>
        <stp>Dts=H</stp>
        <stp>Dir=H</stp>
        <stp>Points=60</stp>
        <stp>Sort=R</stp>
        <stp>Days=A</stp>
        <stp>Fill=B</stp>
        <stp>FX=USD</stp>
        <tr r="F572" s="3"/>
      </tp>
      <tp t="s">
        <v>#N/A Connection</v>
        <stp/>
        <stp>##V3_BDHV12</stp>
        <stp>7269 JP Equity</stp>
        <stp>EZ019</stp>
        <stp>-60CQ</stp>
        <stp>3/31/2019</stp>
        <stp>[BI_AUTMG_1_2nbtcwcs.xlsx]ReferenceData!R585C6</stp>
        <stp>Per=CQ</stp>
        <stp>Dts=H</stp>
        <stp>Dir=H</stp>
        <stp>Points=60</stp>
        <stp>Sort=R</stp>
        <stp>Days=A</stp>
        <stp>Fill=B</stp>
        <stp>FX=USD</stp>
        <tr r="F585" s="3"/>
      </tp>
      <tp t="s">
        <v>#N/A Connection</v>
        <stp/>
        <stp>##V3_BDHV12</stp>
        <stp>7261 JP Equity</stp>
        <stp>EZ019</stp>
        <stp>-60CQ</stp>
        <stp>3/31/2019</stp>
        <stp>[BI_AUTMG_1_2nbtcwcs.xlsx]ReferenceData!R575C6</stp>
        <stp>Per=CQ</stp>
        <stp>Dts=H</stp>
        <stp>Dir=H</stp>
        <stp>Points=60</stp>
        <stp>Sort=R</stp>
        <stp>Days=A</stp>
        <stp>Fill=B</stp>
        <stp>FX=USD</stp>
        <tr r="F575" s="3"/>
      </tp>
      <tp t="s">
        <v>#N/A Connection</v>
        <stp/>
        <stp>##V3_BDHV12</stp>
        <stp>7262 JP Equity</stp>
        <stp>EZ019</stp>
        <stp>-60CQ</stp>
        <stp>3/31/2019</stp>
        <stp>[BI_AUTMG_1_2nbtcwcs.xlsx]ReferenceData!R559C6</stp>
        <stp>Per=CQ</stp>
        <stp>Dts=H</stp>
        <stp>Dir=H</stp>
        <stp>Points=60</stp>
        <stp>Sort=R</stp>
        <stp>Days=A</stp>
        <stp>Fill=B</stp>
        <stp>FX=USD</stp>
        <tr r="F559" s="3"/>
      </tp>
      <tp t="s">
        <v>#N/A Connection</v>
        <stp/>
        <stp>##V3_BDHV12</stp>
        <stp>7261 JP Equity</stp>
        <stp>EZ021</stp>
        <stp>-60CQ</stp>
        <stp>3/31/2019</stp>
        <stp>[BI_AUTMG_1_2nbtcwcs.xlsx]ReferenceData!R615C6</stp>
        <stp>Per=CQ</stp>
        <stp>Dts=H</stp>
        <stp>Dir=H</stp>
        <stp>Points=60</stp>
        <stp>Sort=R</stp>
        <stp>Days=A</stp>
        <stp>Fill=B</stp>
        <stp>FX=USD</stp>
        <tr r="F615" s="3"/>
      </tp>
      <tp t="s">
        <v>#N/A Connection</v>
        <stp/>
        <stp>##V3_BDHV12</stp>
        <stp>7267 JP Equity</stp>
        <stp>EZ021</stp>
        <stp>-60CQ</stp>
        <stp>3/31/2019</stp>
        <stp>[BI_AUTMG_1_2nbtcwcs.xlsx]ReferenceData!R612C6</stp>
        <stp>Per=CQ</stp>
        <stp>Dts=H</stp>
        <stp>Dir=H</stp>
        <stp>Points=60</stp>
        <stp>Sort=R</stp>
        <stp>Days=A</stp>
        <stp>Fill=B</stp>
        <stp>FX=USD</stp>
        <tr r="F612" s="3"/>
      </tp>
      <tp t="s">
        <v>#N/A Connection</v>
        <stp/>
        <stp>##V3_BDHV12</stp>
        <stp>7270 JP Equity</stp>
        <stp>EZ021</stp>
        <stp>-60CQ</stp>
        <stp>3/31/2019</stp>
        <stp>[BI_AUTMG_1_2nbtcwcs.xlsx]ReferenceData!R624C6</stp>
        <stp>Per=CQ</stp>
        <stp>Dts=H</stp>
        <stp>Dir=H</stp>
        <stp>Points=60</stp>
        <stp>Sort=R</stp>
        <stp>Days=A</stp>
        <stp>Fill=B</stp>
        <stp>FX=USD</stp>
        <tr r="F624" s="3"/>
      </tp>
      <tp t="s">
        <v>#N/A Connection</v>
        <stp/>
        <stp>##V3_BDHV12</stp>
        <stp>7270 JP Equity</stp>
        <stp>EZ019</stp>
        <stp>-60CQ</stp>
        <stp>3/31/2019</stp>
        <stp>[BI_AUTMG_1_2nbtcwcs.xlsx]ReferenceData!R584C6</stp>
        <stp>Per=CQ</stp>
        <stp>Dts=H</stp>
        <stp>Dir=H</stp>
        <stp>Points=60</stp>
        <stp>Sort=R</stp>
        <stp>Days=A</stp>
        <stp>Fill=B</stp>
        <stp>FX=USD</stp>
        <tr r="F584" s="3"/>
      </tp>
      <tp t="s">
        <v>#N/A Connection</v>
        <stp/>
        <stp>##V3_BDHV12</stp>
        <stp>7261 JP Equity</stp>
        <stp>RR010</stp>
        <stp>-60CQ</stp>
        <stp>3/31/2019</stp>
        <stp>[BI_AUTMG_1_2nbtcwcs.xlsx]ReferenceData!R775C6</stp>
        <stp>Per=CQ</stp>
        <stp>Dts=H</stp>
        <stp>Dir=H</stp>
        <stp>Points=60</stp>
        <stp>Sort=R</stp>
        <stp>Days=A</stp>
        <stp>Fill=B</stp>
        <stp>FX=USD</stp>
        <tr r="F775" s="3"/>
      </tp>
      <tp t="s">
        <v>#N/A Connection</v>
        <stp/>
        <stp>##V3_BDHV12</stp>
        <stp>7262 JP Equity</stp>
        <stp>RR010</stp>
        <stp>-60CQ</stp>
        <stp>3/31/2019</stp>
        <stp>[BI_AUTMG_1_2nbtcwcs.xlsx]ReferenceData!R759C6</stp>
        <stp>Per=CQ</stp>
        <stp>Dts=H</stp>
        <stp>Dir=H</stp>
        <stp>Points=60</stp>
        <stp>Sort=R</stp>
        <stp>Days=A</stp>
        <stp>Fill=B</stp>
        <stp>FX=USD</stp>
        <tr r="F759" s="3"/>
      </tp>
      <tp t="s">
        <v>#N/A Connection</v>
        <stp/>
        <stp>##V3_BDHV12</stp>
        <stp>7267 JP Equity</stp>
        <stp>RR010</stp>
        <stp>-60CQ</stp>
        <stp>3/31/2019</stp>
        <stp>[BI_AUTMG_1_2nbtcwcs.xlsx]ReferenceData!R772C6</stp>
        <stp>Per=CQ</stp>
        <stp>Dts=H</stp>
        <stp>Dir=H</stp>
        <stp>Points=60</stp>
        <stp>Sort=R</stp>
        <stp>Days=A</stp>
        <stp>Fill=B</stp>
        <stp>FX=USD</stp>
        <tr r="F772" s="3"/>
      </tp>
      <tp t="s">
        <v>#N/A Connection</v>
        <stp/>
        <stp>##V3_BDHV12</stp>
        <stp>7269 JP Equity</stp>
        <stp>RR010</stp>
        <stp>-60CQ</stp>
        <stp>3/31/2019</stp>
        <stp>[BI_AUTMG_1_2nbtcwcs.xlsx]ReferenceData!R785C6</stp>
        <stp>Per=CQ</stp>
        <stp>Dts=H</stp>
        <stp>Dir=H</stp>
        <stp>Points=60</stp>
        <stp>Sort=R</stp>
        <stp>Days=A</stp>
        <stp>Fill=B</stp>
        <stp>FX=USD</stp>
        <tr r="F785" s="3"/>
      </tp>
      <tp t="s">
        <v>#N/A Connection</v>
        <stp/>
        <stp>##V3_BDHV12</stp>
        <stp>7270 JP Equity</stp>
        <stp>RR010</stp>
        <stp>-60CQ</stp>
        <stp>3/31/2019</stp>
        <stp>[BI_AUTMG_1_2nbtcwcs.xlsx]ReferenceData!R784C6</stp>
        <stp>Per=CQ</stp>
        <stp>Dts=H</stp>
        <stp>Dir=H</stp>
        <stp>Points=60</stp>
        <stp>Sort=R</stp>
        <stp>Days=A</stp>
        <stp>Fill=B</stp>
        <stp>FX=USD</stp>
        <tr r="F784" s="3"/>
      </tp>
      <tp t="s">
        <v>#N/A Connection</v>
        <stp/>
        <stp>##V3_BDHV12</stp>
        <stp>7262 JP Equity</stp>
        <stp>EZ021</stp>
        <stp>-60CQ</stp>
        <stp>3/31/2019</stp>
        <stp>[BI_AUTMG_1_2nbtcwcs.xlsx]ReferenceData!R599C6</stp>
        <stp>Per=CQ</stp>
        <stp>Dts=H</stp>
        <stp>Dir=H</stp>
        <stp>Points=60</stp>
        <stp>Sort=R</stp>
        <stp>Days=A</stp>
        <stp>Fill=B</stp>
        <stp>FX=USD</stp>
        <tr r="F599" s="3"/>
      </tp>
      <tp t="s">
        <v>#N/A Connection</v>
        <stp/>
        <stp>##V3_BDHV12</stp>
        <stp>7270 JP Equity</stp>
        <stp>PR005</stp>
        <stp>-60CQ</stp>
        <stp>3/31/2019</stp>
        <stp>[BI_AUTMG_1_2nbtcwcs.xlsx]ReferenceData!R944C6</stp>
        <stp>Per=CQ</stp>
        <stp>Dts=H</stp>
        <stp>Dir=H</stp>
        <stp>Points=60</stp>
        <stp>Sort=R</stp>
        <stp>Days=A</stp>
        <stp>Fill=B</stp>
        <stp>FX=USD</stp>
        <tr r="F944" s="3"/>
      </tp>
      <tp t="s">
        <v>#N/A Connection</v>
        <stp/>
        <stp>##V3_BDHV12</stp>
        <stp>7269 JP Equity</stp>
        <stp>PR005</stp>
        <stp>-60CQ</stp>
        <stp>3/31/2019</stp>
        <stp>[BI_AUTMG_1_2nbtcwcs.xlsx]ReferenceData!R945C6</stp>
        <stp>Per=CQ</stp>
        <stp>Dts=H</stp>
        <stp>Dir=H</stp>
        <stp>Points=60</stp>
        <stp>Sort=R</stp>
        <stp>Days=A</stp>
        <stp>Fill=B</stp>
        <stp>FX=USD</stp>
        <tr r="F945" s="3"/>
      </tp>
      <tp t="s">
        <v>#N/A Connection</v>
        <stp/>
        <stp>##V3_BDHV12</stp>
        <stp>7262 JP Equity</stp>
        <stp>PR005</stp>
        <stp>-60CQ</stp>
        <stp>3/31/2019</stp>
        <stp>[BI_AUTMG_1_2nbtcwcs.xlsx]ReferenceData!R919C6</stp>
        <stp>Per=CQ</stp>
        <stp>Dts=H</stp>
        <stp>Dir=H</stp>
        <stp>Points=60</stp>
        <stp>Sort=R</stp>
        <stp>Days=A</stp>
        <stp>Fill=B</stp>
        <stp>FX=USD</stp>
        <tr r="F919" s="3"/>
      </tp>
      <tp t="s">
        <v>#N/A Connection</v>
        <stp/>
        <stp>##V3_BDHV12</stp>
        <stp>7261 JP Equity</stp>
        <stp>PR005</stp>
        <stp>-60CQ</stp>
        <stp>3/31/2019</stp>
        <stp>[BI_AUTMG_1_2nbtcwcs.xlsx]ReferenceData!R935C6</stp>
        <stp>Per=CQ</stp>
        <stp>Dts=H</stp>
        <stp>Dir=H</stp>
        <stp>Points=60</stp>
        <stp>Sort=R</stp>
        <stp>Days=A</stp>
        <stp>Fill=B</stp>
        <stp>FX=USD</stp>
        <tr r="F935" s="3"/>
      </tp>
      <tp t="s">
        <v>#N/A Connection</v>
        <stp/>
        <stp>##V3_BDHV12</stp>
        <stp>7267 JP Equity</stp>
        <stp>PR005</stp>
        <stp>-60CQ</stp>
        <stp>3/31/2019</stp>
        <stp>[BI_AUTMG_1_2nbtcwcs.xlsx]ReferenceData!R932C6</stp>
        <stp>Per=CQ</stp>
        <stp>Dts=H</stp>
        <stp>Dir=H</stp>
        <stp>Points=60</stp>
        <stp>Sort=R</stp>
        <stp>Days=A</stp>
        <stp>Fill=B</stp>
        <stp>FX=USD</stp>
        <tr r="F932" s="3"/>
      </tp>
      <tp t="s">
        <v>#N/A Connection</v>
        <stp/>
        <stp>##V3_BDHV12</stp>
        <stp>7211 JP Equity</stp>
        <stp>PR005</stp>
        <stp>-60CQ</stp>
        <stp>3/31/2019</stp>
        <stp>[BI_AUTMG_1_2nbtcwcs.xlsx]ReferenceData!R936C6</stp>
        <stp>Per=CQ</stp>
        <stp>Dts=H</stp>
        <stp>Dir=H</stp>
        <stp>Points=60</stp>
        <stp>Sort=R</stp>
        <stp>Days=A</stp>
        <stp>Fill=B</stp>
        <stp>FX=USD</stp>
        <tr r="F936" s="3"/>
      </tp>
      <tp t="s">
        <v>#N/A Connection</v>
        <stp/>
        <stp>##V3_BDHV12</stp>
        <stp>7201 JP Equity</stp>
        <stp>PR005</stp>
        <stp>-60CQ</stp>
        <stp>3/31/2019</stp>
        <stp>[BI_AUTMG_1_2nbtcwcs.xlsx]ReferenceData!R937C6</stp>
        <stp>Per=CQ</stp>
        <stp>Dts=H</stp>
        <stp>Dir=H</stp>
        <stp>Points=60</stp>
        <stp>Sort=R</stp>
        <stp>Days=A</stp>
        <stp>Fill=B</stp>
        <stp>FX=USD</stp>
        <tr r="F937" s="3"/>
      </tp>
      <tp t="s">
        <v>#N/A Connection</v>
        <stp/>
        <stp>##V3_BDHV12</stp>
        <stp>7203 JP Equity</stp>
        <stp>PR005</stp>
        <stp>-60CQ</stp>
        <stp>3/31/2019</stp>
        <stp>[BI_AUTMG_1_2nbtcwcs.xlsx]ReferenceData!R950C6</stp>
        <stp>Per=CQ</stp>
        <stp>Dts=H</stp>
        <stp>Dir=H</stp>
        <stp>Points=60</stp>
        <stp>Sort=R</stp>
        <stp>Days=A</stp>
        <stp>Fill=B</stp>
        <stp>FX=USD</stp>
        <tr r="F950" s="3"/>
      </tp>
      <tp t="s">
        <v>#N/A Connection</v>
        <stp/>
        <stp>##V3_BDHV12</stp>
        <stp>489 HK Equity</stp>
        <stp>RR902</stp>
        <stp>-60CQ</stp>
        <stp>3/31/2019</stp>
        <stp>[BI_AUTMG_1_2nbtcwcs.xlsx]ReferenceData!R961C6</stp>
        <stp>Per=CQ</stp>
        <stp>Dts=H</stp>
        <stp>Dir=H</stp>
        <stp>Points=60</stp>
        <stp>Sort=R</stp>
        <stp>Days=A</stp>
        <stp>Fill=B</stp>
        <stp>FX=USD</stp>
        <tr r="F961" s="3"/>
      </tp>
      <tp t="s">
        <v>#N/A Connection</v>
        <stp/>
        <stp>##V3_BDHV12</stp>
        <stp>489 HK Equity</stp>
        <stp>RR937</stp>
        <stp>-60CQ</stp>
        <stp>3/31/2019</stp>
        <stp>[BI_AUTMG_1_2nbtcwcs.xlsx]ReferenceData!R881C6</stp>
        <stp>Per=CQ</stp>
        <stp>Dts=H</stp>
        <stp>Dir=H</stp>
        <stp>Points=60</stp>
        <stp>Sort=R</stp>
        <stp>Days=A</stp>
        <stp>Fill=B</stp>
        <stp>FX=USD</stp>
        <tr r="F881" s="3"/>
      </tp>
      <tp t="s">
        <v>#N/A Connection</v>
        <stp/>
        <stp>##V3_BDHV12</stp>
        <stp>2206 TT Equity</stp>
        <stp>RR179</stp>
        <stp>-60CQ</stp>
        <stp>3/31/2019</stp>
        <stp>[BI_AUTMG_1_2nbtcwcs.xlsx]ReferenceData!R821C6</stp>
        <stp>Per=CQ</stp>
        <stp>Dts=H</stp>
        <stp>Dir=H</stp>
        <stp>Points=60</stp>
        <stp>Sort=R</stp>
        <stp>Days=A</stp>
        <stp>Fill=B</stp>
        <stp>FX=USD</stp>
        <tr r="F821" s="3"/>
      </tp>
      <tp t="s">
        <v>#N/A Connection</v>
        <stp/>
        <stp>##V3_BDHV12</stp>
        <stp>2201 TT Equity</stp>
        <stp>RR179</stp>
        <stp>-60CQ</stp>
        <stp>3/31/2019</stp>
        <stp>[BI_AUTMG_1_2nbtcwcs.xlsx]ReferenceData!R832C6</stp>
        <stp>Per=CQ</stp>
        <stp>Dts=H</stp>
        <stp>Dir=H</stp>
        <stp>Points=60</stp>
        <stp>Sort=R</stp>
        <stp>Days=A</stp>
        <stp>Fill=B</stp>
        <stp>FX=USD</stp>
        <tr r="F832" s="3"/>
      </tp>
      <tp t="s">
        <v>#N/A Connection</v>
        <stp/>
        <stp>##V3_BDHV12</stp>
        <stp>489 HK Equity</stp>
        <stp>RR844</stp>
        <stp>-60CQ</stp>
        <stp>3/31/2019</stp>
        <stp>[BI_AUTMG_1_2nbtcwcs.xlsx]ReferenceData!R521C6</stp>
        <stp>Per=CQ</stp>
        <stp>Dts=H</stp>
        <stp>Dir=H</stp>
        <stp>Points=60</stp>
        <stp>Sort=R</stp>
        <stp>Days=A</stp>
        <stp>Fill=B</stp>
        <stp>FX=USD</stp>
        <tr r="F521" s="3"/>
      </tp>
      <tp t="s">
        <v>#N/A Connection</v>
        <stp/>
        <stp>##V3_BDHV12</stp>
        <stp>489 HK Equity</stp>
        <stp>RR843</stp>
        <stp>-60CQ</stp>
        <stp>3/31/2019</stp>
        <stp>[BI_AUTMG_1_2nbtcwcs.xlsx]ReferenceData!R721C6</stp>
        <stp>Per=CQ</stp>
        <stp>Dts=H</stp>
        <stp>Dir=H</stp>
        <stp>Points=60</stp>
        <stp>Sort=R</stp>
        <stp>Days=A</stp>
        <stp>Fill=B</stp>
        <stp>FX=USD</stp>
        <tr r="F721" s="3"/>
      </tp>
      <tp t="s">
        <v>#N/A Connection</v>
        <stp/>
        <stp>##V3_BDHV12</stp>
        <stp>489 HK Equity</stp>
        <stp>RR841</stp>
        <stp>-60CQ</stp>
        <stp>3/31/2019</stp>
        <stp>[BI_AUTMG_1_2nbtcwcs.xlsx]ReferenceData!R641C6</stp>
        <stp>Per=CQ</stp>
        <stp>Dts=H</stp>
        <stp>Dir=H</stp>
        <stp>Points=60</stp>
        <stp>Sort=R</stp>
        <stp>Days=A</stp>
        <stp>Fill=B</stp>
        <stp>FX=USD</stp>
        <tr r="F641" s="3"/>
      </tp>
      <tp t="s">
        <v>#N/A Connection</v>
        <stp/>
        <stp>##V3_BDHV12</stp>
        <stp>489 HK Equity</stp>
        <stp>RR800</stp>
        <stp>-60CQ</stp>
        <stp>3/31/2019</stp>
        <stp>[BI_AUTMG_1_2nbtcwcs.xlsx]ReferenceData!R681C6</stp>
        <stp>Per=CQ</stp>
        <stp>Dts=H</stp>
        <stp>Dir=H</stp>
        <stp>Points=60</stp>
        <stp>Sort=R</stp>
        <stp>Days=A</stp>
        <stp>Fill=B</stp>
        <stp>FX=USD</stp>
        <tr r="F681" s="3"/>
      </tp>
      <tp t="s">
        <v>#N/A Connection</v>
        <stp/>
        <stp>##V3_BDHV12</stp>
        <stp>2206 TT Equity</stp>
        <stp>RR010</stp>
        <stp>-60CQ</stp>
        <stp>3/31/2019</stp>
        <stp>[BI_AUTMG_1_2nbtcwcs.xlsx]ReferenceData!R781C6</stp>
        <stp>Per=CQ</stp>
        <stp>Dts=H</stp>
        <stp>Dir=H</stp>
        <stp>Points=60</stp>
        <stp>Sort=R</stp>
        <stp>Days=A</stp>
        <stp>Fill=B</stp>
        <stp>FX=USD</stp>
        <tr r="F781" s="3"/>
      </tp>
      <tp t="s">
        <v>#N/A Connection</v>
        <stp/>
        <stp>##V3_BDHV12</stp>
        <stp>2201 TT Equity</stp>
        <stp>RR010</stp>
        <stp>-60CQ</stp>
        <stp>3/31/2019</stp>
        <stp>[BI_AUTMG_1_2nbtcwcs.xlsx]ReferenceData!R792C6</stp>
        <stp>Per=CQ</stp>
        <stp>Dts=H</stp>
        <stp>Dir=H</stp>
        <stp>Points=60</stp>
        <stp>Sort=R</stp>
        <stp>Days=A</stp>
        <stp>Fill=B</stp>
        <stp>FX=USD</stp>
        <tr r="F792" s="3"/>
      </tp>
      <tp t="s">
        <v>#N/A Connection</v>
        <stp/>
        <stp>##V3_BDHV12</stp>
        <stp>2201 TT Equity</stp>
        <stp>EZ021</stp>
        <stp>-60CQ</stp>
        <stp>3/31/2019</stp>
        <stp>[BI_AUTMG_1_2nbtcwcs.xlsx]ReferenceData!R632C6</stp>
        <stp>Per=CQ</stp>
        <stp>Dts=H</stp>
        <stp>Dir=H</stp>
        <stp>Points=60</stp>
        <stp>Sort=R</stp>
        <stp>Days=A</stp>
        <stp>Fill=B</stp>
        <stp>FX=USD</stp>
        <tr r="F632" s="3"/>
      </tp>
      <tp t="s">
        <v>#N/A Connection</v>
        <stp/>
        <stp>##V3_BDHV12</stp>
        <stp>2201 TT Equity</stp>
        <stp>EZ019</stp>
        <stp>-60CQ</stp>
        <stp>3/31/2019</stp>
        <stp>[BI_AUTMG_1_2nbtcwcs.xlsx]ReferenceData!R592C6</stp>
        <stp>Per=CQ</stp>
        <stp>Dts=H</stp>
        <stp>Dir=H</stp>
        <stp>Points=60</stp>
        <stp>Sort=R</stp>
        <stp>Days=A</stp>
        <stp>Fill=B</stp>
        <stp>FX=USD</stp>
        <tr r="F592" s="3"/>
      </tp>
      <tp t="s">
        <v>#N/A Connection</v>
        <stp/>
        <stp>##V3_BDHV12</stp>
        <stp>2206 TT Equity</stp>
        <stp>EZ019</stp>
        <stp>-60CQ</stp>
        <stp>3/31/2019</stp>
        <stp>[BI_AUTMG_1_2nbtcwcs.xlsx]ReferenceData!R581C6</stp>
        <stp>Per=CQ</stp>
        <stp>Dts=H</stp>
        <stp>Dir=H</stp>
        <stp>Points=60</stp>
        <stp>Sort=R</stp>
        <stp>Days=A</stp>
        <stp>Fill=B</stp>
        <stp>FX=USD</stp>
        <tr r="F581" s="3"/>
      </tp>
      <tp t="s">
        <v>#N/A Connection</v>
        <stp/>
        <stp>##V3_BDHV12</stp>
        <stp>2206 TT Equity</stp>
        <stp>EZ021</stp>
        <stp>-60CQ</stp>
        <stp>3/31/2019</stp>
        <stp>[BI_AUTMG_1_2nbtcwcs.xlsx]ReferenceData!R621C6</stp>
        <stp>Per=CQ</stp>
        <stp>Dts=H</stp>
        <stp>Dir=H</stp>
        <stp>Points=60</stp>
        <stp>Sort=R</stp>
        <stp>Days=A</stp>
        <stp>Fill=B</stp>
        <stp>FX=USD</stp>
        <tr r="F621" s="3"/>
      </tp>
      <tp t="s">
        <v>#N/A Connection</v>
        <stp/>
        <stp>##V3_BDHV12</stp>
        <stp>2206 TT Equity</stp>
        <stp>PR005</stp>
        <stp>-60CQ</stp>
        <stp>3/31/2019</stp>
        <stp>[BI_AUTMG_1_2nbtcwcs.xlsx]ReferenceData!R941C6</stp>
        <stp>Per=CQ</stp>
        <stp>Dts=H</stp>
        <stp>Dir=H</stp>
        <stp>Points=60</stp>
        <stp>Sort=R</stp>
        <stp>Days=A</stp>
        <stp>Fill=B</stp>
        <stp>FX=USD</stp>
        <tr r="F941" s="3"/>
      </tp>
      <tp t="s">
        <v>#N/A Connection</v>
        <stp/>
        <stp>##V3_BDHV12</stp>
        <stp>2201 TT Equity</stp>
        <stp>PR005</stp>
        <stp>-60CQ</stp>
        <stp>3/31/2019</stp>
        <stp>[BI_AUTMG_1_2nbtcwcs.xlsx]ReferenceData!R952C6</stp>
        <stp>Per=CQ</stp>
        <stp>Dts=H</stp>
        <stp>Dir=H</stp>
        <stp>Points=60</stp>
        <stp>Sort=R</stp>
        <stp>Days=A</stp>
        <stp>Fill=B</stp>
        <stp>FX=USD</stp>
        <tr r="F952" s="3"/>
      </tp>
      <tp t="s">
        <v>#N/A Connection</v>
        <stp/>
        <stp>##V3_BDHV12</stp>
        <stp>175 HK Equity</stp>
        <stp>RR800</stp>
        <stp>-60CQ</stp>
        <stp>3/31/2019</stp>
        <stp>[BI_AUTMG_1_2nbtcwcs.xlsx]ReferenceData!R688C6</stp>
        <stp>Per=CQ</stp>
        <stp>Dts=H</stp>
        <stp>Dir=H</stp>
        <stp>Points=60</stp>
        <stp>Sort=R</stp>
        <stp>Days=A</stp>
        <stp>Fill=B</stp>
        <stp>FX=USD</stp>
        <tr r="F688" s="3"/>
      </tp>
      <tp t="s">
        <v>#N/A Connection</v>
        <stp/>
        <stp>##V3_BDHV12</stp>
        <stp>175 HK Equity</stp>
        <stp>RR841</stp>
        <stp>-60CQ</stp>
        <stp>3/31/2019</stp>
        <stp>[BI_AUTMG_1_2nbtcwcs.xlsx]ReferenceData!R648C6</stp>
        <stp>Per=CQ</stp>
        <stp>Dts=H</stp>
        <stp>Dir=H</stp>
        <stp>Points=60</stp>
        <stp>Sort=R</stp>
        <stp>Days=A</stp>
        <stp>Fill=B</stp>
        <stp>FX=USD</stp>
        <tr r="F648" s="3"/>
      </tp>
      <tp t="s">
        <v>#N/A Connection</v>
        <stp/>
        <stp>##V3_BDHV12</stp>
        <stp>175 HK Equity</stp>
        <stp>RR843</stp>
        <stp>-60CQ</stp>
        <stp>3/31/2019</stp>
        <stp>[BI_AUTMG_1_2nbtcwcs.xlsx]ReferenceData!R728C6</stp>
        <stp>Per=CQ</stp>
        <stp>Dts=H</stp>
        <stp>Dir=H</stp>
        <stp>Points=60</stp>
        <stp>Sort=R</stp>
        <stp>Days=A</stp>
        <stp>Fill=B</stp>
        <stp>FX=USD</stp>
        <tr r="F728" s="3"/>
      </tp>
      <tp t="s">
        <v>#N/A Connection</v>
        <stp/>
        <stp>##V3_BDHV12</stp>
        <stp>175 HK Equity</stp>
        <stp>RR844</stp>
        <stp>-60CQ</stp>
        <stp>3/31/2019</stp>
        <stp>[BI_AUTMG_1_2nbtcwcs.xlsx]ReferenceData!R528C6</stp>
        <stp>Per=CQ</stp>
        <stp>Dts=H</stp>
        <stp>Dir=H</stp>
        <stp>Points=60</stp>
        <stp>Sort=R</stp>
        <stp>Days=A</stp>
        <stp>Fill=B</stp>
        <stp>FX=USD</stp>
        <tr r="F528" s="3"/>
      </tp>
      <tp t="s">
        <v>#N/A Connection</v>
        <stp/>
        <stp>##V3_BDHV12</stp>
        <stp>2201 TT Equity</stp>
        <stp>RX530</stp>
        <stp>-60CQ</stp>
        <stp>3/31/2019</stp>
        <stp>[BI_AUTMG_1_2nbtcwcs.xlsx]ReferenceData!R872C6</stp>
        <stp>Per=CQ</stp>
        <stp>Dts=H</stp>
        <stp>Dir=H</stp>
        <stp>Points=60</stp>
        <stp>Sort=R</stp>
        <stp>Days=A</stp>
        <stp>Fill=B</stp>
        <stp>FX=USD</stp>
        <tr r="F872" s="3"/>
      </tp>
      <tp t="s">
        <v>#N/A Connection</v>
        <stp/>
        <stp>##V3_BDHV12</stp>
        <stp>2206 TT Equity</stp>
        <stp>RX530</stp>
        <stp>-60CQ</stp>
        <stp>3/31/2019</stp>
        <stp>[BI_AUTMG_1_2nbtcwcs.xlsx]ReferenceData!R861C6</stp>
        <stp>Per=CQ</stp>
        <stp>Dts=H</stp>
        <stp>Dir=H</stp>
        <stp>Points=60</stp>
        <stp>Sort=R</stp>
        <stp>Days=A</stp>
        <stp>Fill=B</stp>
        <stp>FX=USD</stp>
        <tr r="F861" s="3"/>
      </tp>
      <tp t="s">
        <v>#N/A Connection</v>
        <stp/>
        <stp>##V3_BDHV12</stp>
        <stp>175 HK Equity</stp>
        <stp>RR937</stp>
        <stp>-60CQ</stp>
        <stp>3/31/2019</stp>
        <stp>[BI_AUTMG_1_2nbtcwcs.xlsx]ReferenceData!R888C6</stp>
        <stp>Per=CQ</stp>
        <stp>Dts=H</stp>
        <stp>Dir=H</stp>
        <stp>Points=60</stp>
        <stp>Sort=R</stp>
        <stp>Days=A</stp>
        <stp>Fill=B</stp>
        <stp>FX=USD</stp>
        <tr r="F888" s="3"/>
      </tp>
      <tp t="s">
        <v>#N/A Connection</v>
        <stp/>
        <stp>##V3_BDHV12</stp>
        <stp>175 HK Equity</stp>
        <stp>RR902</stp>
        <stp>-60CQ</stp>
        <stp>3/31/2019</stp>
        <stp>[BI_AUTMG_1_2nbtcwcs.xlsx]ReferenceData!R968C6</stp>
        <stp>Per=CQ</stp>
        <stp>Dts=H</stp>
        <stp>Dir=H</stp>
        <stp>Points=60</stp>
        <stp>Sort=R</stp>
        <stp>Days=A</stp>
        <stp>Fill=B</stp>
        <stp>FX=USD</stp>
        <tr r="F968" s="3"/>
      </tp>
      <tp t="s">
        <v>#N/A Connection</v>
        <stp/>
        <stp>##V3_BDHV12</stp>
        <stp>489 HK Equity</stp>
        <stp>RR179</stp>
        <stp>-60CQ</stp>
        <stp>3/31/2019</stp>
        <stp>[BI_AUTMG_1_2nbtcwcs.xlsx]ReferenceData!R801C6</stp>
        <stp>Per=CQ</stp>
        <stp>Dts=H</stp>
        <stp>Dir=H</stp>
        <stp>Points=60</stp>
        <stp>Sort=R</stp>
        <stp>Days=A</stp>
        <stp>Fill=B</stp>
        <stp>FX=USD</stp>
        <tr r="F801" s="3"/>
      </tp>
      <tp t="s">
        <v>#N/A Connection</v>
        <stp/>
        <stp>##V3_BDHV12</stp>
        <stp>2201 TT Equity</stp>
        <stp>RR937</stp>
        <stp>-60CQ</stp>
        <stp>3/31/2019</stp>
        <stp>[BI_AUTMG_1_2nbtcwcs.xlsx]ReferenceData!R912C6</stp>
        <stp>Per=CQ</stp>
        <stp>Dts=H</stp>
        <stp>Dir=H</stp>
        <stp>Points=60</stp>
        <stp>Sort=R</stp>
        <stp>Days=A</stp>
        <stp>Fill=B</stp>
        <stp>FX=USD</stp>
        <tr r="F912" s="3"/>
      </tp>
      <tp t="s">
        <v>#N/A Connection</v>
        <stp/>
        <stp>##V3_BDHV12</stp>
        <stp>2206 TT Equity</stp>
        <stp>RR937</stp>
        <stp>-60CQ</stp>
        <stp>3/31/2019</stp>
        <stp>[BI_AUTMG_1_2nbtcwcs.xlsx]ReferenceData!R901C6</stp>
        <stp>Per=CQ</stp>
        <stp>Dts=H</stp>
        <stp>Dir=H</stp>
        <stp>Points=60</stp>
        <stp>Sort=R</stp>
        <stp>Days=A</stp>
        <stp>Fill=B</stp>
        <stp>FX=USD</stp>
        <tr r="F901" s="3"/>
      </tp>
      <tp t="s">
        <v>#N/A Connection</v>
        <stp/>
        <stp>##V3_BDHV12</stp>
        <stp>2206 TT Equity</stp>
        <stp>RR902</stp>
        <stp>-60CQ</stp>
        <stp>3/31/2019</stp>
        <stp>[BI_AUTMG_1_2nbtcwcs.xlsx]ReferenceData!R981C6</stp>
        <stp>Per=CQ</stp>
        <stp>Dts=H</stp>
        <stp>Dir=H</stp>
        <stp>Points=60</stp>
        <stp>Sort=R</stp>
        <stp>Days=A</stp>
        <stp>Fill=B</stp>
        <stp>FX=USD</stp>
        <tr r="F981" s="3"/>
      </tp>
      <tp t="s">
        <v>#N/A Connection</v>
        <stp/>
        <stp>##V3_BDHV12</stp>
        <stp>2201 TT Equity</stp>
        <stp>RR902</stp>
        <stp>-60CQ</stp>
        <stp>3/31/2019</stp>
        <stp>[BI_AUTMG_1_2nbtcwcs.xlsx]ReferenceData!R992C6</stp>
        <stp>Per=CQ</stp>
        <stp>Dts=H</stp>
        <stp>Dir=H</stp>
        <stp>Points=60</stp>
        <stp>Sort=R</stp>
        <stp>Days=A</stp>
        <stp>Fill=B</stp>
        <stp>FX=USD</stp>
        <tr r="F992" s="3"/>
      </tp>
      <tp t="s">
        <v>#N/A Connection</v>
        <stp/>
        <stp>##V3_BDHV12</stp>
        <stp>489 HK Equity</stp>
        <stp>PR005</stp>
        <stp>-60CQ</stp>
        <stp>3/31/2019</stp>
        <stp>[BI_AUTMG_1_2nbtcwcs.xlsx]ReferenceData!R921C6</stp>
        <stp>Per=CQ</stp>
        <stp>Dts=H</stp>
        <stp>Dir=H</stp>
        <stp>Points=60</stp>
        <stp>Sort=R</stp>
        <stp>Days=A</stp>
        <stp>Fill=B</stp>
        <stp>FX=USD</stp>
        <tr r="F921" s="3"/>
      </tp>
      <tp t="s">
        <v>#N/A Connection</v>
        <stp/>
        <stp>##V3_BDHV12</stp>
        <stp>175 HK Equity</stp>
        <stp>RX530</stp>
        <stp>-60CQ</stp>
        <stp>3/31/2019</stp>
        <stp>[BI_AUTMG_1_2nbtcwcs.xlsx]ReferenceData!R848C6</stp>
        <stp>Per=CQ</stp>
        <stp>Dts=H</stp>
        <stp>Dir=H</stp>
        <stp>Points=60</stp>
        <stp>Sort=R</stp>
        <stp>Days=A</stp>
        <stp>Fill=B</stp>
        <stp>FX=USD</stp>
        <tr r="F848" s="3"/>
      </tp>
      <tp t="s">
        <v>#N/A Connection</v>
        <stp/>
        <stp>##V3_BDHV12</stp>
        <stp>489 HK Equity</stp>
        <stp>EZ021</stp>
        <stp>-60CQ</stp>
        <stp>3/31/2019</stp>
        <stp>[BI_AUTMG_1_2nbtcwcs.xlsx]ReferenceData!R601C6</stp>
        <stp>Per=CQ</stp>
        <stp>Dts=H</stp>
        <stp>Dir=H</stp>
        <stp>Points=60</stp>
        <stp>Sort=R</stp>
        <stp>Days=A</stp>
        <stp>Fill=B</stp>
        <stp>FX=USD</stp>
        <tr r="F601" s="3"/>
      </tp>
      <tp t="s">
        <v>#N/A Connection</v>
        <stp/>
        <stp>##V3_BDHV12</stp>
        <stp>489 HK Equity</stp>
        <stp>EZ019</stp>
        <stp>-60CQ</stp>
        <stp>3/31/2019</stp>
        <stp>[BI_AUTMG_1_2nbtcwcs.xlsx]ReferenceData!R561C6</stp>
        <stp>Per=CQ</stp>
        <stp>Dts=H</stp>
        <stp>Dir=H</stp>
        <stp>Points=60</stp>
        <stp>Sort=R</stp>
        <stp>Days=A</stp>
        <stp>Fill=B</stp>
        <stp>FX=USD</stp>
        <tr r="F561" s="3"/>
      </tp>
      <tp t="s">
        <v>#N/A Connection</v>
        <stp/>
        <stp>##V3_BDHV12</stp>
        <stp>489 HK Equity</stp>
        <stp>RR010</stp>
        <stp>-60CQ</stp>
        <stp>3/31/2019</stp>
        <stp>[BI_AUTMG_1_2nbtcwcs.xlsx]ReferenceData!R761C6</stp>
        <stp>Per=CQ</stp>
        <stp>Dts=H</stp>
        <stp>Dir=H</stp>
        <stp>Points=60</stp>
        <stp>Sort=R</stp>
        <stp>Days=A</stp>
        <stp>Fill=B</stp>
        <stp>FX=USD</stp>
        <tr r="F761" s="3"/>
      </tp>
      <tp t="s">
        <v>#N/A Connection</v>
        <stp/>
        <stp>##V3_BDHV12</stp>
        <stp>2201 TT Equity</stp>
        <stp>RR841</stp>
        <stp>-60CQ</stp>
        <stp>3/31/2019</stp>
        <stp>[BI_AUTMG_1_2nbtcwcs.xlsx]ReferenceData!R672C6</stp>
        <stp>Per=CQ</stp>
        <stp>Dts=H</stp>
        <stp>Dir=H</stp>
        <stp>Points=60</stp>
        <stp>Sort=R</stp>
        <stp>Days=A</stp>
        <stp>Fill=B</stp>
        <stp>FX=USD</stp>
        <tr r="F672" s="3"/>
      </tp>
      <tp t="s">
        <v>#N/A Connection</v>
        <stp/>
        <stp>##V3_BDHV12</stp>
        <stp>2206 TT Equity</stp>
        <stp>RR841</stp>
        <stp>-60CQ</stp>
        <stp>3/31/2019</stp>
        <stp>[BI_AUTMG_1_2nbtcwcs.xlsx]ReferenceData!R661C6</stp>
        <stp>Per=CQ</stp>
        <stp>Dts=H</stp>
        <stp>Dir=H</stp>
        <stp>Points=60</stp>
        <stp>Sort=R</stp>
        <stp>Days=A</stp>
        <stp>Fill=B</stp>
        <stp>FX=USD</stp>
        <tr r="F661" s="3"/>
      </tp>
      <tp t="s">
        <v>#N/A Connection</v>
        <stp/>
        <stp>##V3_BDHV12</stp>
        <stp>2201 TT Equity</stp>
        <stp>RR843</stp>
        <stp>-60CQ</stp>
        <stp>3/31/2019</stp>
        <stp>[BI_AUTMG_1_2nbtcwcs.xlsx]ReferenceData!R752C6</stp>
        <stp>Per=CQ</stp>
        <stp>Dts=H</stp>
        <stp>Dir=H</stp>
        <stp>Points=60</stp>
        <stp>Sort=R</stp>
        <stp>Days=A</stp>
        <stp>Fill=B</stp>
        <stp>FX=USD</stp>
        <tr r="F752" s="3"/>
      </tp>
      <tp t="s">
        <v>#N/A Connection</v>
        <stp/>
        <stp>##V3_BDHV12</stp>
        <stp>2206 TT Equity</stp>
        <stp>RR843</stp>
        <stp>-60CQ</stp>
        <stp>3/31/2019</stp>
        <stp>[BI_AUTMG_1_2nbtcwcs.xlsx]ReferenceData!R741C6</stp>
        <stp>Per=CQ</stp>
        <stp>Dts=H</stp>
        <stp>Dir=H</stp>
        <stp>Points=60</stp>
        <stp>Sort=R</stp>
        <stp>Days=A</stp>
        <stp>Fill=B</stp>
        <stp>FX=USD</stp>
        <tr r="F741" s="3"/>
      </tp>
      <tp t="s">
        <v>#N/A Connection</v>
        <stp/>
        <stp>##V3_BDHV12</stp>
        <stp>2206 TT Equity</stp>
        <stp>RR844</stp>
        <stp>-60CQ</stp>
        <stp>3/31/2019</stp>
        <stp>[BI_AUTMG_1_2nbtcwcs.xlsx]ReferenceData!R541C6</stp>
        <stp>Per=CQ</stp>
        <stp>Dts=H</stp>
        <stp>Dir=H</stp>
        <stp>Points=60</stp>
        <stp>Sort=R</stp>
        <stp>Days=A</stp>
        <stp>Fill=B</stp>
        <stp>FX=USD</stp>
        <tr r="F541" s="3"/>
      </tp>
      <tp t="s">
        <v>#N/A Connection</v>
        <stp/>
        <stp>##V3_BDHV12</stp>
        <stp>2201 TT Equity</stp>
        <stp>RR844</stp>
        <stp>-60CQ</stp>
        <stp>3/31/2019</stp>
        <stp>[BI_AUTMG_1_2nbtcwcs.xlsx]ReferenceData!R552C6</stp>
        <stp>Per=CQ</stp>
        <stp>Dts=H</stp>
        <stp>Dir=H</stp>
        <stp>Points=60</stp>
        <stp>Sort=R</stp>
        <stp>Days=A</stp>
        <stp>Fill=B</stp>
        <stp>FX=USD</stp>
        <tr r="F552" s="3"/>
      </tp>
      <tp t="s">
        <v>#N/A Connection</v>
        <stp/>
        <stp>##V3_BDHV12</stp>
        <stp>2206 TT Equity</stp>
        <stp>RR800</stp>
        <stp>-60CQ</stp>
        <stp>3/31/2019</stp>
        <stp>[BI_AUTMG_1_2nbtcwcs.xlsx]ReferenceData!R701C6</stp>
        <stp>Per=CQ</stp>
        <stp>Dts=H</stp>
        <stp>Dir=H</stp>
        <stp>Points=60</stp>
        <stp>Sort=R</stp>
        <stp>Days=A</stp>
        <stp>Fill=B</stp>
        <stp>FX=USD</stp>
        <tr r="F701" s="3"/>
      </tp>
      <tp t="s">
        <v>#N/A Connection</v>
        <stp/>
        <stp>##V3_BDHV12</stp>
        <stp>2201 TT Equity</stp>
        <stp>RR800</stp>
        <stp>-60CQ</stp>
        <stp>3/31/2019</stp>
        <stp>[BI_AUTMG_1_2nbtcwcs.xlsx]ReferenceData!R712C6</stp>
        <stp>Per=CQ</stp>
        <stp>Dts=H</stp>
        <stp>Dir=H</stp>
        <stp>Points=60</stp>
        <stp>Sort=R</stp>
        <stp>Days=A</stp>
        <stp>Fill=B</stp>
        <stp>FX=USD</stp>
        <tr r="F712" s="3"/>
      </tp>
      <tp t="s">
        <v>#N/A Connection</v>
        <stp/>
        <stp>##V3_BDHV12</stp>
        <stp>175 HK Equity</stp>
        <stp>RR010</stp>
        <stp>-60CQ</stp>
        <stp>3/31/2019</stp>
        <stp>[BI_AUTMG_1_2nbtcwcs.xlsx]ReferenceData!R768C6</stp>
        <stp>Per=CQ</stp>
        <stp>Dts=H</stp>
        <stp>Dir=H</stp>
        <stp>Points=60</stp>
        <stp>Sort=R</stp>
        <stp>Days=A</stp>
        <stp>Fill=B</stp>
        <stp>FX=USD</stp>
        <tr r="F768" s="3"/>
      </tp>
      <tp t="s">
        <v>#N/A Connection</v>
        <stp/>
        <stp>##V3_BDHV12</stp>
        <stp>489 HK Equity</stp>
        <stp>RX530</stp>
        <stp>-60CQ</stp>
        <stp>3/31/2019</stp>
        <stp>[BI_AUTMG_1_2nbtcwcs.xlsx]ReferenceData!R841C6</stp>
        <stp>Per=CQ</stp>
        <stp>Dts=H</stp>
        <stp>Dir=H</stp>
        <stp>Points=60</stp>
        <stp>Sort=R</stp>
        <stp>Days=A</stp>
        <stp>Fill=B</stp>
        <stp>FX=USD</stp>
        <tr r="F841" s="3"/>
      </tp>
      <tp t="s">
        <v>#N/A Connection</v>
        <stp/>
        <stp>##V3_BDHV12</stp>
        <stp>175 HK Equity</stp>
        <stp>EZ019</stp>
        <stp>-60CQ</stp>
        <stp>3/31/2019</stp>
        <stp>[BI_AUTMG_1_2nbtcwcs.xlsx]ReferenceData!R568C6</stp>
        <stp>Per=CQ</stp>
        <stp>Dts=H</stp>
        <stp>Dir=H</stp>
        <stp>Points=60</stp>
        <stp>Sort=R</stp>
        <stp>Days=A</stp>
        <stp>Fill=B</stp>
        <stp>FX=USD</stp>
        <tr r="F568" s="3"/>
      </tp>
      <tp t="s">
        <v>#N/A Connection</v>
        <stp/>
        <stp>##V3_BDHV12</stp>
        <stp>175 HK Equity</stp>
        <stp>EZ021</stp>
        <stp>-60CQ</stp>
        <stp>3/31/2019</stp>
        <stp>[BI_AUTMG_1_2nbtcwcs.xlsx]ReferenceData!R608C6</stp>
        <stp>Per=CQ</stp>
        <stp>Dts=H</stp>
        <stp>Dir=H</stp>
        <stp>Points=60</stp>
        <stp>Sort=R</stp>
        <stp>Days=A</stp>
        <stp>Fill=B</stp>
        <stp>FX=USD</stp>
        <tr r="F608" s="3"/>
      </tp>
      <tp t="s">
        <v>#N/A Connection</v>
        <stp/>
        <stp>##V3_BDHV12</stp>
        <stp>175 HK Equity</stp>
        <stp>PR005</stp>
        <stp>-60CQ</stp>
        <stp>3/31/2019</stp>
        <stp>[BI_AUTMG_1_2nbtcwcs.xlsx]ReferenceData!R928C6</stp>
        <stp>Per=CQ</stp>
        <stp>Dts=H</stp>
        <stp>Dir=H</stp>
        <stp>Points=60</stp>
        <stp>Sort=R</stp>
        <stp>Days=A</stp>
        <stp>Fill=B</stp>
        <stp>FX=USD</stp>
        <tr r="F928" s="3"/>
      </tp>
      <tp t="s">
        <v>#N/A Connection</v>
        <stp/>
        <stp>##V3_BDHV12</stp>
        <stp>175 HK Equity</stp>
        <stp>RR179</stp>
        <stp>-60CQ</stp>
        <stp>3/31/2019</stp>
        <stp>[BI_AUTMG_1_2nbtcwcs.xlsx]ReferenceData!R808C6</stp>
        <stp>Per=CQ</stp>
        <stp>Dts=H</stp>
        <stp>Dir=H</stp>
        <stp>Points=60</stp>
        <stp>Sort=R</stp>
        <stp>Days=A</stp>
        <stp>Fill=B</stp>
        <stp>FX=USD</stp>
        <tr r="F808" s="3"/>
      </tp>
      <tp t="s">
        <v>#N/A Connection</v>
        <stp/>
        <stp>##V3_BDHV12</stp>
        <stp>FCAU US Equity</stp>
        <stp>RR179</stp>
        <stp>-60CQ</stp>
        <stp>3/31/2019</stp>
        <stp>[BI_AUTMG_1_2nbtcwcs.xlsx]ReferenceData!R804C6</stp>
        <stp>Per=CQ</stp>
        <stp>Dts=H</stp>
        <stp>Dir=H</stp>
        <stp>Points=60</stp>
        <stp>Sort=R</stp>
        <stp>Days=A</stp>
        <stp>Fill=B</stp>
        <stp>FX=USD</stp>
        <tr r="F804" s="3"/>
      </tp>
      <tp t="s">
        <v>#N/A Connection</v>
        <stp/>
        <stp>##V3_BDHV12</stp>
        <stp>BMW GR Equity</stp>
        <stp>EZ019</stp>
        <stp>-60CQ</stp>
        <stp>3/31/2019</stp>
        <stp>[BI_AUTMG_1_2nbtcwcs.xlsx]ReferenceData!R555C6</stp>
        <stp>Per=CQ</stp>
        <stp>Dts=H</stp>
        <stp>Dir=H</stp>
        <stp>Points=60</stp>
        <stp>Sort=R</stp>
        <stp>Days=A</stp>
        <stp>Fill=B</stp>
        <stp>FX=USD</stp>
        <tr r="F555" s="3"/>
      </tp>
      <tp t="s">
        <v>#N/A Connection</v>
        <stp/>
        <stp>##V3_BDHV12</stp>
        <stp>BMW GR Equity</stp>
        <stp>EZ021</stp>
        <stp>-60CQ</stp>
        <stp>3/31/2019</stp>
        <stp>[BI_AUTMG_1_2nbtcwcs.xlsx]ReferenceData!R595C6</stp>
        <stp>Per=CQ</stp>
        <stp>Dts=H</stp>
        <stp>Dir=H</stp>
        <stp>Points=60</stp>
        <stp>Sort=R</stp>
        <stp>Days=A</stp>
        <stp>Fill=B</stp>
        <stp>FX=USD</stp>
        <tr r="F595" s="3"/>
      </tp>
      <tp t="s">
        <v>#N/A Connection</v>
        <stp/>
        <stp>##V3_BDHV12</stp>
        <stp>BMW GR Equity</stp>
        <stp>RR010</stp>
        <stp>-60CQ</stp>
        <stp>3/31/2019</stp>
        <stp>[BI_AUTMG_1_2nbtcwcs.xlsx]ReferenceData!R755C6</stp>
        <stp>Per=CQ</stp>
        <stp>Dts=H</stp>
        <stp>Dir=H</stp>
        <stp>Points=60</stp>
        <stp>Sort=R</stp>
        <stp>Days=A</stp>
        <stp>Fill=B</stp>
        <stp>FX=USD</stp>
        <tr r="F755" s="3"/>
      </tp>
      <tp t="s">
        <v>#N/A Connection</v>
        <stp/>
        <stp>##V3_BDHV12</stp>
        <stp>UG FP Equity</stp>
        <stp>RR902</stp>
        <stp>-60CQ</stp>
        <stp>3/31/2019</stp>
        <stp>[BI_AUTMG_1_2nbtcwcs.xlsx]ReferenceData!R978C6</stp>
        <stp>Per=CQ</stp>
        <stp>Dts=H</stp>
        <stp>Dir=H</stp>
        <stp>Points=60</stp>
        <stp>Sort=R</stp>
        <stp>Days=A</stp>
        <stp>Fill=B</stp>
        <stp>FX=USD</stp>
        <tr r="F978" s="3"/>
      </tp>
      <tp t="s">
        <v>#N/A Connection</v>
        <stp/>
        <stp>##V3_BDHV12</stp>
        <stp>UG FP Equity</stp>
        <stp>RR937</stp>
        <stp>-60CQ</stp>
        <stp>3/31/2019</stp>
        <stp>[BI_AUTMG_1_2nbtcwcs.xlsx]ReferenceData!R898C6</stp>
        <stp>Per=CQ</stp>
        <stp>Dts=H</stp>
        <stp>Dir=H</stp>
        <stp>Points=60</stp>
        <stp>Sort=R</stp>
        <stp>Days=A</stp>
        <stp>Fill=B</stp>
        <stp>FX=USD</stp>
        <tr r="F898" s="3"/>
      </tp>
      <tp t="s">
        <v>#N/A Connection</v>
        <stp/>
        <stp>##V3_BDHV12</stp>
        <stp>BMW GR Equity</stp>
        <stp>PR005</stp>
        <stp>-60CQ</stp>
        <stp>3/31/2019</stp>
        <stp>[BI_AUTMG_1_2nbtcwcs.xlsx]ReferenceData!R915C6</stp>
        <stp>Per=CQ</stp>
        <stp>Dts=H</stp>
        <stp>Dir=H</stp>
        <stp>Points=60</stp>
        <stp>Sort=R</stp>
        <stp>Days=A</stp>
        <stp>Fill=B</stp>
        <stp>FX=USD</stp>
        <tr r="F915" s="3"/>
      </tp>
      <tp t="s">
        <v>#N/A Connection</v>
        <stp/>
        <stp>##V3_BDHV12</stp>
        <stp>FCAU US Equity</stp>
        <stp>EZ019</stp>
        <stp>-60CQ</stp>
        <stp>3/31/2019</stp>
        <stp>[BI_AUTMG_1_2nbtcwcs.xlsx]ReferenceData!R564C6</stp>
        <stp>Per=CQ</stp>
        <stp>Dts=H</stp>
        <stp>Dir=H</stp>
        <stp>Points=60</stp>
        <stp>Sort=R</stp>
        <stp>Days=A</stp>
        <stp>Fill=B</stp>
        <stp>FX=USD</stp>
        <tr r="F564" s="3"/>
      </tp>
      <tp t="s">
        <v>#N/A Connection</v>
        <stp/>
        <stp>##V3_BDHV12</stp>
        <stp>FCAU US Equity</stp>
        <stp>EZ021</stp>
        <stp>-60CQ</stp>
        <stp>3/31/2019</stp>
        <stp>[BI_AUTMG_1_2nbtcwcs.xlsx]ReferenceData!R604C6</stp>
        <stp>Per=CQ</stp>
        <stp>Dts=H</stp>
        <stp>Dir=H</stp>
        <stp>Points=60</stp>
        <stp>Sort=R</stp>
        <stp>Days=A</stp>
        <stp>Fill=B</stp>
        <stp>FX=USD</stp>
        <tr r="F604" s="3"/>
      </tp>
      <tp t="s">
        <v>#N/A Connection</v>
        <stp/>
        <stp>##V3_BDHV12</stp>
        <stp>FCAU US Equity</stp>
        <stp>RR010</stp>
        <stp>-60CQ</stp>
        <stp>3/31/2019</stp>
        <stp>[BI_AUTMG_1_2nbtcwcs.xlsx]ReferenceData!R764C6</stp>
        <stp>Per=CQ</stp>
        <stp>Dts=H</stp>
        <stp>Dir=H</stp>
        <stp>Points=60</stp>
        <stp>Sort=R</stp>
        <stp>Days=A</stp>
        <stp>Fill=B</stp>
        <stp>FX=USD</stp>
        <tr r="F764" s="3"/>
      </tp>
      <tp t="s">
        <v>#N/A Connection</v>
        <stp/>
        <stp>##V3_BDHV12</stp>
        <stp>GAZA RM Equity</stp>
        <stp>RX530</stp>
        <stp>-60CQ</stp>
        <stp>3/31/2019</stp>
        <stp>[BI_AUTMG_1_2nbtcwcs.xlsx]ReferenceData!R847C6</stp>
        <stp>Per=CQ</stp>
        <stp>Dts=H</stp>
        <stp>Dir=H</stp>
        <stp>Points=60</stp>
        <stp>Sort=R</stp>
        <stp>Days=A</stp>
        <stp>Fill=B</stp>
        <stp>FX=USD</stp>
        <tr r="F847" s="3"/>
      </tp>
      <tp t="s">
        <v>#N/A Connection</v>
        <stp/>
        <stp>##V3_BDHV12</stp>
        <stp>FCAU US Equity</stp>
        <stp>PR005</stp>
        <stp>-60CQ</stp>
        <stp>3/31/2019</stp>
        <stp>[BI_AUTMG_1_2nbtcwcs.xlsx]ReferenceData!R924C6</stp>
        <stp>Per=CQ</stp>
        <stp>Dts=H</stp>
        <stp>Dir=H</stp>
        <stp>Points=60</stp>
        <stp>Sort=R</stp>
        <stp>Days=A</stp>
        <stp>Fill=B</stp>
        <stp>FX=USD</stp>
        <tr r="F924" s="3"/>
      </tp>
      <tp t="s">
        <v>#N/A Connection</v>
        <stp/>
        <stp>##V3_BDHV12</stp>
        <stp>BMW GR Equity</stp>
        <stp>RR179</stp>
        <stp>-60CQ</stp>
        <stp>3/31/2019</stp>
        <stp>[BI_AUTMG_1_2nbtcwcs.xlsx]ReferenceData!R795C6</stp>
        <stp>Per=CQ</stp>
        <stp>Dts=H</stp>
        <stp>Dir=H</stp>
        <stp>Points=60</stp>
        <stp>Sort=R</stp>
        <stp>Days=A</stp>
        <stp>Fill=B</stp>
        <stp>FX=USD</stp>
        <tr r="F795" s="3"/>
      </tp>
      <tp t="s">
        <v>#N/A Connection</v>
        <stp/>
        <stp>##V3_BDHV12</stp>
        <stp>UG FP Equity</stp>
        <stp>RR800</stp>
        <stp>-60CQ</stp>
        <stp>3/31/2019</stp>
        <stp>[BI_AUTMG_1_2nbtcwcs.xlsx]ReferenceData!R698C6</stp>
        <stp>Per=CQ</stp>
        <stp>Dts=H</stp>
        <stp>Dir=H</stp>
        <stp>Points=60</stp>
        <stp>Sort=R</stp>
        <stp>Days=A</stp>
        <stp>Fill=B</stp>
        <stp>FX=USD</stp>
        <tr r="F698" s="3"/>
      </tp>
      <tp t="s">
        <v>#N/A Connection</v>
        <stp/>
        <stp>##V3_BDHV12</stp>
        <stp>UG FP Equity</stp>
        <stp>RR844</stp>
        <stp>-60CQ</stp>
        <stp>3/31/2019</stp>
        <stp>[BI_AUTMG_1_2nbtcwcs.xlsx]ReferenceData!R538C6</stp>
        <stp>Per=CQ</stp>
        <stp>Dts=H</stp>
        <stp>Dir=H</stp>
        <stp>Points=60</stp>
        <stp>Sort=R</stp>
        <stp>Days=A</stp>
        <stp>Fill=B</stp>
        <stp>FX=USD</stp>
        <tr r="F538" s="3"/>
      </tp>
      <tp t="s">
        <v>#N/A Connection</v>
        <stp/>
        <stp>##V3_BDHV12</stp>
        <stp>UG FP Equity</stp>
        <stp>RR843</stp>
        <stp>-60CQ</stp>
        <stp>3/31/2019</stp>
        <stp>[BI_AUTMG_1_2nbtcwcs.xlsx]ReferenceData!R738C6</stp>
        <stp>Per=CQ</stp>
        <stp>Dts=H</stp>
        <stp>Dir=H</stp>
        <stp>Points=60</stp>
        <stp>Sort=R</stp>
        <stp>Days=A</stp>
        <stp>Fill=B</stp>
        <stp>FX=USD</stp>
        <tr r="F738" s="3"/>
      </tp>
      <tp t="s">
        <v>#N/A Connection</v>
        <stp/>
        <stp>##V3_BDHV12</stp>
        <stp>UG FP Equity</stp>
        <stp>RR841</stp>
        <stp>-60CQ</stp>
        <stp>3/31/2019</stp>
        <stp>[BI_AUTMG_1_2nbtcwcs.xlsx]ReferenceData!R658C6</stp>
        <stp>Per=CQ</stp>
        <stp>Dts=H</stp>
        <stp>Dir=H</stp>
        <stp>Points=60</stp>
        <stp>Sort=R</stp>
        <stp>Days=A</stp>
        <stp>Fill=B</stp>
        <stp>FX=USD</stp>
        <tr r="F658" s="3"/>
      </tp>
      <tp t="s">
        <v>#N/A Connection</v>
        <stp/>
        <stp>##V3_BDHV12</stp>
        <stp>TTMT IN Equity</stp>
        <stp>RR800</stp>
        <stp>-60CQ</stp>
        <stp>3/31/2019</stp>
        <stp>[BI_AUTMG_1_2nbtcwcs.xlsx]ReferenceData!R706C6</stp>
        <stp>Per=CQ</stp>
        <stp>Dts=H</stp>
        <stp>Dir=H</stp>
        <stp>Points=60</stp>
        <stp>Sort=R</stp>
        <stp>Days=A</stp>
        <stp>Fill=B</stp>
        <stp>FX=USD</stp>
        <tr r="F706" s="3"/>
      </tp>
      <tp t="s">
        <v>#N/A Connection</v>
        <stp/>
        <stp>##V3_BDHV12</stp>
        <stp>TTMT IN Equity</stp>
        <stp>RR844</stp>
        <stp>-60CQ</stp>
        <stp>3/31/2019</stp>
        <stp>[BI_AUTMG_1_2nbtcwcs.xlsx]ReferenceData!R546C6</stp>
        <stp>Per=CQ</stp>
        <stp>Dts=H</stp>
        <stp>Dir=H</stp>
        <stp>Points=60</stp>
        <stp>Sort=R</stp>
        <stp>Days=A</stp>
        <stp>Fill=B</stp>
        <stp>FX=USD</stp>
        <tr r="F546" s="3"/>
      </tp>
      <tp t="s">
        <v>#N/A Connection</v>
        <stp/>
        <stp>##V3_BDHV12</stp>
        <stp>TTMT IN Equity</stp>
        <stp>RR843</stp>
        <stp>-60CQ</stp>
        <stp>3/31/2019</stp>
        <stp>[BI_AUTMG_1_2nbtcwcs.xlsx]ReferenceData!R746C6</stp>
        <stp>Per=CQ</stp>
        <stp>Dts=H</stp>
        <stp>Dir=H</stp>
        <stp>Points=60</stp>
        <stp>Sort=R</stp>
        <stp>Days=A</stp>
        <stp>Fill=B</stp>
        <stp>FX=USD</stp>
        <tr r="F746" s="3"/>
      </tp>
      <tp t="s">
        <v>#N/A Connection</v>
        <stp/>
        <stp>##V3_BDHV12</stp>
        <stp>TTMT IN Equity</stp>
        <stp>RR841</stp>
        <stp>-60CQ</stp>
        <stp>3/31/2019</stp>
        <stp>[BI_AUTMG_1_2nbtcwcs.xlsx]ReferenceData!R666C6</stp>
        <stp>Per=CQ</stp>
        <stp>Dts=H</stp>
        <stp>Dir=H</stp>
        <stp>Points=60</stp>
        <stp>Sort=R</stp>
        <stp>Days=A</stp>
        <stp>Fill=B</stp>
        <stp>FX=USD</stp>
        <tr r="F666" s="3"/>
      </tp>
      <tp t="s">
        <v>#N/A Connection</v>
        <stp/>
        <stp>##V3_BDHV12</stp>
        <stp>TTMT IN Equity</stp>
        <stp>RR902</stp>
        <stp>-60CQ</stp>
        <stp>3/31/2019</stp>
        <stp>[BI_AUTMG_1_2nbtcwcs.xlsx]ReferenceData!R986C6</stp>
        <stp>Per=CQ</stp>
        <stp>Dts=H</stp>
        <stp>Dir=H</stp>
        <stp>Points=60</stp>
        <stp>Sort=R</stp>
        <stp>Days=A</stp>
        <stp>Fill=B</stp>
        <stp>FX=USD</stp>
        <tr r="F986" s="3"/>
      </tp>
      <tp t="s">
        <v>#N/A Connection</v>
        <stp/>
        <stp>##V3_BDHV12</stp>
        <stp>TTMT IN Equity</stp>
        <stp>RR937</stp>
        <stp>-60CQ</stp>
        <stp>3/31/2019</stp>
        <stp>[BI_AUTMG_1_2nbtcwcs.xlsx]ReferenceData!R906C6</stp>
        <stp>Per=CQ</stp>
        <stp>Dts=H</stp>
        <stp>Dir=H</stp>
        <stp>Points=60</stp>
        <stp>Sort=R</stp>
        <stp>Days=A</stp>
        <stp>Fill=B</stp>
        <stp>FX=USD</stp>
        <tr r="F906" s="3"/>
      </tp>
      <tp t="s">
        <v>#N/A Connection</v>
        <stp/>
        <stp>##V3_BDHV12</stp>
        <stp>DAI GR Equity</stp>
        <stp>RX530</stp>
        <stp>-60CQ</stp>
        <stp>3/31/2019</stp>
        <stp>[BI_AUTMG_1_2nbtcwcs.xlsx]ReferenceData!R840C6</stp>
        <stp>Per=CQ</stp>
        <stp>Dts=H</stp>
        <stp>Dir=H</stp>
        <stp>Points=60</stp>
        <stp>Sort=R</stp>
        <stp>Days=A</stp>
        <stp>Fill=B</stp>
        <stp>FX=USD</stp>
        <tr r="F840" s="3"/>
      </tp>
      <tp t="s">
        <v>#N/A Connection</v>
        <stp/>
        <stp>##V3_BDHV12</stp>
        <stp>GAZA RM Equity</stp>
        <stp>EZ019</stp>
        <stp>-60CQ</stp>
        <stp>3/31/2019</stp>
        <stp>[BI_AUTMG_1_2nbtcwcs.xlsx]ReferenceData!R567C6</stp>
        <stp>Per=CQ</stp>
        <stp>Dts=H</stp>
        <stp>Dir=H</stp>
        <stp>Points=60</stp>
        <stp>Sort=R</stp>
        <stp>Days=A</stp>
        <stp>Fill=B</stp>
        <stp>FX=USD</stp>
        <tr r="F567" s="3"/>
      </tp>
      <tp t="s">
        <v>#N/A Connection</v>
        <stp/>
        <stp>##V3_BDHV12</stp>
        <stp>GAZA RM Equity</stp>
        <stp>EZ021</stp>
        <stp>-60CQ</stp>
        <stp>3/31/2019</stp>
        <stp>[BI_AUTMG_1_2nbtcwcs.xlsx]ReferenceData!R607C6</stp>
        <stp>Per=CQ</stp>
        <stp>Dts=H</stp>
        <stp>Dir=H</stp>
        <stp>Points=60</stp>
        <stp>Sort=R</stp>
        <stp>Days=A</stp>
        <stp>Fill=B</stp>
        <stp>FX=USD</stp>
        <tr r="F607" s="3"/>
      </tp>
      <tp t="s">
        <v>#N/A Connection</v>
        <stp/>
        <stp>##V3_BDHV12</stp>
        <stp>GAZA RM Equity</stp>
        <stp>RR010</stp>
        <stp>-60CQ</stp>
        <stp>3/31/2019</stp>
        <stp>[BI_AUTMG_1_2nbtcwcs.xlsx]ReferenceData!R767C6</stp>
        <stp>Per=CQ</stp>
        <stp>Dts=H</stp>
        <stp>Dir=H</stp>
        <stp>Points=60</stp>
        <stp>Sort=R</stp>
        <stp>Days=A</stp>
        <stp>Fill=B</stp>
        <stp>FX=USD</stp>
        <tr r="F767" s="3"/>
      </tp>
      <tp t="s">
        <v>#N/A Connection</v>
        <stp/>
        <stp>##V3_BDHV12</stp>
        <stp>GAZA RM Equity</stp>
        <stp>PR005</stp>
        <stp>-60CQ</stp>
        <stp>3/31/2019</stp>
        <stp>[BI_AUTMG_1_2nbtcwcs.xlsx]ReferenceData!R927C6</stp>
        <stp>Per=CQ</stp>
        <stp>Dts=H</stp>
        <stp>Dir=H</stp>
        <stp>Points=60</stp>
        <stp>Sort=R</stp>
        <stp>Days=A</stp>
        <stp>Fill=B</stp>
        <stp>FX=USD</stp>
        <tr r="F927" s="3"/>
      </tp>
      <tp t="s">
        <v>#N/A Connection</v>
        <stp/>
        <stp>##V3_BDHV12</stp>
        <stp>FCAU US Equity</stp>
        <stp>RX530</stp>
        <stp>-60CQ</stp>
        <stp>3/31/2019</stp>
        <stp>[BI_AUTMG_1_2nbtcwcs.xlsx]ReferenceData!R844C6</stp>
        <stp>Per=CQ</stp>
        <stp>Dts=H</stp>
        <stp>Dir=H</stp>
        <stp>Points=60</stp>
        <stp>Sort=R</stp>
        <stp>Days=A</stp>
        <stp>Fill=B</stp>
        <stp>FX=USD</stp>
        <tr r="F844" s="3"/>
      </tp>
      <tp t="s">
        <v>#N/A Connection</v>
        <stp/>
        <stp>##V3_BDHV12</stp>
        <stp>NSU GR Equity</stp>
        <stp>RR843</stp>
        <stp>-60CQ</stp>
        <stp>3/31/2019</stp>
        <stp>[BI_AUTMG_1_2nbtcwcs.xlsx]ReferenceData!R713C6</stp>
        <stp>Per=CQ</stp>
        <stp>Dts=H</stp>
        <stp>Dir=H</stp>
        <stp>Points=60</stp>
        <stp>Sort=R</stp>
        <stp>Days=A</stp>
        <stp>Fill=B</stp>
        <stp>FX=USD</stp>
        <tr r="F713" s="3"/>
      </tp>
      <tp t="s">
        <v>#N/A Connection</v>
        <stp/>
        <stp>##V3_BDHV12</stp>
        <stp>NSU GR Equity</stp>
        <stp>RR841</stp>
        <stp>-60CQ</stp>
        <stp>3/31/2019</stp>
        <stp>[BI_AUTMG_1_2nbtcwcs.xlsx]ReferenceData!R633C6</stp>
        <stp>Per=CQ</stp>
        <stp>Dts=H</stp>
        <stp>Dir=H</stp>
        <stp>Points=60</stp>
        <stp>Sort=R</stp>
        <stp>Days=A</stp>
        <stp>Fill=B</stp>
        <stp>FX=USD</stp>
        <tr r="F633" s="3"/>
      </tp>
      <tp t="s">
        <v>#N/A Connection</v>
        <stp/>
        <stp>##V3_BDHV12</stp>
        <stp>NSU GR Equity</stp>
        <stp>RR844</stp>
        <stp>-60CQ</stp>
        <stp>3/31/2019</stp>
        <stp>[BI_AUTMG_1_2nbtcwcs.xlsx]ReferenceData!R513C6</stp>
        <stp>Per=CQ</stp>
        <stp>Dts=H</stp>
        <stp>Dir=H</stp>
        <stp>Points=60</stp>
        <stp>Sort=R</stp>
        <stp>Days=A</stp>
        <stp>Fill=B</stp>
        <stp>FX=USD</stp>
        <tr r="F513" s="3"/>
      </tp>
      <tp t="s">
        <v>#N/A Connection</v>
        <stp/>
        <stp>##V3_BDHV12</stp>
        <stp>NSU GR Equity</stp>
        <stp>RR800</stp>
        <stp>-60CQ</stp>
        <stp>3/31/2019</stp>
        <stp>[BI_AUTMG_1_2nbtcwcs.xlsx]ReferenceData!R673C6</stp>
        <stp>Per=CQ</stp>
        <stp>Dts=H</stp>
        <stp>Dir=H</stp>
        <stp>Points=60</stp>
        <stp>Sort=R</stp>
        <stp>Days=A</stp>
        <stp>Fill=B</stp>
        <stp>FX=USD</stp>
        <tr r="F673" s="3"/>
      </tp>
      <tp t="s">
        <v>#N/A Connection</v>
        <stp/>
        <stp>##V3_BDHV12</stp>
        <stp>DRB MK Equity</stp>
        <stp>RR843</stp>
        <stp>-60CQ</stp>
        <stp>3/31/2019</stp>
        <stp>[BI_AUTMG_1_2nbtcwcs.xlsx]ReferenceData!R722C6</stp>
        <stp>Per=CQ</stp>
        <stp>Dts=H</stp>
        <stp>Dir=H</stp>
        <stp>Points=60</stp>
        <stp>Sort=R</stp>
        <stp>Days=A</stp>
        <stp>Fill=B</stp>
        <stp>FX=USD</stp>
        <tr r="F722" s="3"/>
      </tp>
      <tp t="s">
        <v>#N/A Connection</v>
        <stp/>
        <stp>##V3_BDHV12</stp>
        <stp>DRB MK Equity</stp>
        <stp>RR841</stp>
        <stp>-60CQ</stp>
        <stp>3/31/2019</stp>
        <stp>[BI_AUTMG_1_2nbtcwcs.xlsx]ReferenceData!R642C6</stp>
        <stp>Per=CQ</stp>
        <stp>Dts=H</stp>
        <stp>Dir=H</stp>
        <stp>Points=60</stp>
        <stp>Sort=R</stp>
        <stp>Days=A</stp>
        <stp>Fill=B</stp>
        <stp>FX=USD</stp>
        <tr r="F642" s="3"/>
      </tp>
      <tp t="s">
        <v>#N/A Connection</v>
        <stp/>
        <stp>##V3_BDHV12</stp>
        <stp>DRB MK Equity</stp>
        <stp>RR844</stp>
        <stp>-60CQ</stp>
        <stp>3/31/2019</stp>
        <stp>[BI_AUTMG_1_2nbtcwcs.xlsx]ReferenceData!R522C6</stp>
        <stp>Per=CQ</stp>
        <stp>Dts=H</stp>
        <stp>Dir=H</stp>
        <stp>Points=60</stp>
        <stp>Sort=R</stp>
        <stp>Days=A</stp>
        <stp>Fill=B</stp>
        <stp>FX=USD</stp>
        <tr r="F522" s="3"/>
      </tp>
      <tp t="s">
        <v>#N/A Connection</v>
        <stp/>
        <stp>##V3_BDHV12</stp>
        <stp>DRB MK Equity</stp>
        <stp>RR800</stp>
        <stp>-60CQ</stp>
        <stp>3/31/2019</stp>
        <stp>[BI_AUTMG_1_2nbtcwcs.xlsx]ReferenceData!R682C6</stp>
        <stp>Per=CQ</stp>
        <stp>Dts=H</stp>
        <stp>Dir=H</stp>
        <stp>Points=60</stp>
        <stp>Sort=R</stp>
        <stp>Days=A</stp>
        <stp>Fill=B</stp>
        <stp>FX=USD</stp>
        <tr r="F682" s="3"/>
      </tp>
      <tp t="s">
        <v>#N/A Connection</v>
        <stp/>
        <stp>##V3_BDHV12</stp>
        <stp>GAZA RM Equity</stp>
        <stp>RR179</stp>
        <stp>-60CQ</stp>
        <stp>3/31/2019</stp>
        <stp>[BI_AUTMG_1_2nbtcwcs.xlsx]ReferenceData!R807C6</stp>
        <stp>Per=CQ</stp>
        <stp>Dts=H</stp>
        <stp>Dir=H</stp>
        <stp>Points=60</stp>
        <stp>Sort=R</stp>
        <stp>Days=A</stp>
        <stp>Fill=B</stp>
        <stp>FX=USD</stp>
        <tr r="F807" s="3"/>
      </tp>
      <tp t="s">
        <v>#N/A Connection</v>
        <stp/>
        <stp>##V3_BDHV12</stp>
        <stp>NSU GR Equity</stp>
        <stp>RR937</stp>
        <stp>-60CQ</stp>
        <stp>3/31/2019</stp>
        <stp>[BI_AUTMG_1_2nbtcwcs.xlsx]ReferenceData!R873C6</stp>
        <stp>Per=CQ</stp>
        <stp>Dts=H</stp>
        <stp>Dir=H</stp>
        <stp>Points=60</stp>
        <stp>Sort=R</stp>
        <stp>Days=A</stp>
        <stp>Fill=B</stp>
        <stp>FX=USD</stp>
        <tr r="F873" s="3"/>
      </tp>
      <tp t="s">
        <v>#N/A Connection</v>
        <stp/>
        <stp>##V3_BDHV12</stp>
        <stp>NSU GR Equity</stp>
        <stp>RR902</stp>
        <stp>-60CQ</stp>
        <stp>3/31/2019</stp>
        <stp>[BI_AUTMG_1_2nbtcwcs.xlsx]ReferenceData!R953C6</stp>
        <stp>Per=CQ</stp>
        <stp>Dts=H</stp>
        <stp>Dir=H</stp>
        <stp>Points=60</stp>
        <stp>Sort=R</stp>
        <stp>Days=A</stp>
        <stp>Fill=B</stp>
        <stp>FX=USD</stp>
        <tr r="F953" s="3"/>
      </tp>
      <tp t="s">
        <v>#N/A Connection</v>
        <stp/>
        <stp>##V3_BDHV12</stp>
        <stp>DRB MK Equity</stp>
        <stp>RR937</stp>
        <stp>-60CQ</stp>
        <stp>3/31/2019</stp>
        <stp>[BI_AUTMG_1_2nbtcwcs.xlsx]ReferenceData!R882C6</stp>
        <stp>Per=CQ</stp>
        <stp>Dts=H</stp>
        <stp>Dir=H</stp>
        <stp>Points=60</stp>
        <stp>Sort=R</stp>
        <stp>Days=A</stp>
        <stp>Fill=B</stp>
        <stp>FX=USD</stp>
        <tr r="F882" s="3"/>
      </tp>
      <tp t="s">
        <v>#N/A Connection</v>
        <stp/>
        <stp>##V3_BDHV12</stp>
        <stp>DRB MK Equity</stp>
        <stp>RR902</stp>
        <stp>-60CQ</stp>
        <stp>3/31/2019</stp>
        <stp>[BI_AUTMG_1_2nbtcwcs.xlsx]ReferenceData!R962C6</stp>
        <stp>Per=CQ</stp>
        <stp>Dts=H</stp>
        <stp>Dir=H</stp>
        <stp>Points=60</stp>
        <stp>Sort=R</stp>
        <stp>Days=A</stp>
        <stp>Fill=B</stp>
        <stp>FX=USD</stp>
        <tr r="F962" s="3"/>
      </tp>
      <tp t="s">
        <v>#N/A Connection</v>
        <stp/>
        <stp>##V3_BDHV12</stp>
        <stp>BMW GR Equity</stp>
        <stp>RX530</stp>
        <stp>-60CQ</stp>
        <stp>3/31/2019</stp>
        <stp>[BI_AUTMG_1_2nbtcwcs.xlsx]ReferenceData!R835C6</stp>
        <stp>Per=CQ</stp>
        <stp>Dts=H</stp>
        <stp>Dir=H</stp>
        <stp>Points=60</stp>
        <stp>Sort=R</stp>
        <stp>Days=A</stp>
        <stp>Fill=B</stp>
        <stp>FX=USD</stp>
        <tr r="F835" s="3"/>
      </tp>
      <tp t="s">
        <v>#N/A Connection</v>
        <stp/>
        <stp>##V3_BDHV12</stp>
        <stp>DAI GR Equity</stp>
        <stp>PR005</stp>
        <stp>-60CQ</stp>
        <stp>3/31/2019</stp>
        <stp>[BI_AUTMG_1_2nbtcwcs.xlsx]ReferenceData!R920C6</stp>
        <stp>Per=CQ</stp>
        <stp>Dts=H</stp>
        <stp>Dir=H</stp>
        <stp>Points=60</stp>
        <stp>Sort=R</stp>
        <stp>Days=A</stp>
        <stp>Fill=B</stp>
        <stp>FX=USD</stp>
        <tr r="F920" s="3"/>
      </tp>
      <tp t="s">
        <v>#N/A Connection</v>
        <stp/>
        <stp>##V3_BDHV12</stp>
        <stp>DAI GR Equity</stp>
        <stp>EZ021</stp>
        <stp>-60CQ</stp>
        <stp>3/31/2019</stp>
        <stp>[BI_AUTMG_1_2nbtcwcs.xlsx]ReferenceData!R600C6</stp>
        <stp>Per=CQ</stp>
        <stp>Dts=H</stp>
        <stp>Dir=H</stp>
        <stp>Points=60</stp>
        <stp>Sort=R</stp>
        <stp>Days=A</stp>
        <stp>Fill=B</stp>
        <stp>FX=USD</stp>
        <tr r="F600" s="3"/>
      </tp>
      <tp t="s">
        <v>#N/A Connection</v>
        <stp/>
        <stp>##V3_BDHV12</stp>
        <stp>DAI GR Equity</stp>
        <stp>EZ019</stp>
        <stp>-60CQ</stp>
        <stp>3/31/2019</stp>
        <stp>[BI_AUTMG_1_2nbtcwcs.xlsx]ReferenceData!R560C6</stp>
        <stp>Per=CQ</stp>
        <stp>Dts=H</stp>
        <stp>Dir=H</stp>
        <stp>Points=60</stp>
        <stp>Sort=R</stp>
        <stp>Days=A</stp>
        <stp>Fill=B</stp>
        <stp>FX=USD</stp>
        <tr r="F560" s="3"/>
      </tp>
      <tp t="s">
        <v>#N/A Connection</v>
        <stp/>
        <stp>##V3_BDHV12</stp>
        <stp>DAI GR Equity</stp>
        <stp>RR010</stp>
        <stp>-60CQ</stp>
        <stp>3/31/2019</stp>
        <stp>[BI_AUTMG_1_2nbtcwcs.xlsx]ReferenceData!R760C6</stp>
        <stp>Per=CQ</stp>
        <stp>Dts=H</stp>
        <stp>Dir=H</stp>
        <stp>Points=60</stp>
        <stp>Sort=R</stp>
        <stp>Days=A</stp>
        <stp>Fill=B</stp>
        <stp>FX=USD</stp>
        <tr r="F760" s="3"/>
      </tp>
      <tp t="s">
        <v>#N/A Connection</v>
        <stp/>
        <stp>##V3_BDHV12</stp>
        <stp>BMW GR Equity</stp>
        <stp>RR844</stp>
        <stp>-60CQ</stp>
        <stp>3/31/2019</stp>
        <stp>[BI_AUTMG_1_2nbtcwcs.xlsx]ReferenceData!R1017C3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017" s="3"/>
      </tp>
      <tp t="s">
        <v>#N/A Connection</v>
        <stp/>
        <stp>##V3_BDHV12</stp>
        <stp>BMW GR Equity</stp>
        <stp>RR844</stp>
        <stp>-60CQ</stp>
        <stp>3/31/2019</stp>
        <stp>[BI_AUTMG_1_2nbtcwcs.xlsx]ReferenceData!R1009C3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009" s="3"/>
      </tp>
      <tp t="s">
        <v>#N/A Connection</v>
        <stp/>
        <stp>##V3_BDHV12</stp>
        <stp>DAI GR Equity</stp>
        <stp>RR179</stp>
        <stp>-60CQ</stp>
        <stp>3/31/2019</stp>
        <stp>[BI_AUTMG_1_2nbtcwcs.xlsx]ReferenceData!R800C6</stp>
        <stp>Per=CQ</stp>
        <stp>Dts=H</stp>
        <stp>Dir=H</stp>
        <stp>Points=60</stp>
        <stp>Sort=R</stp>
        <stp>Days=A</stp>
        <stp>Fill=B</stp>
        <stp>FX=USD</stp>
        <tr r="F800" s="3"/>
      </tp>
      <tp t="s">
        <v>#N/A Connection</v>
        <stp/>
        <stp>##V3_BDHV12</stp>
        <stp>FCAU US Equity</stp>
        <stp>RR902</stp>
        <stp>-60CQ</stp>
        <stp>3/31/2019</stp>
        <stp>[BI_AUTMG_1_2nbtcwcs.xlsx]ReferenceData!R964C6</stp>
        <stp>Per=CQ</stp>
        <stp>Dts=H</stp>
        <stp>Dir=H</stp>
        <stp>Points=60</stp>
        <stp>Sort=R</stp>
        <stp>Days=A</stp>
        <stp>Fill=B</stp>
        <stp>FX=USD</stp>
        <tr r="F964" s="3"/>
      </tp>
      <tp t="s">
        <v>#N/A Connection</v>
        <stp/>
        <stp>##V3_BDHV12</stp>
        <stp>FCAU US Equity</stp>
        <stp>RR937</stp>
        <stp>-60CQ</stp>
        <stp>3/31/2019</stp>
        <stp>[BI_AUTMG_1_2nbtcwcs.xlsx]ReferenceData!R884C6</stp>
        <stp>Per=CQ</stp>
        <stp>Dts=H</stp>
        <stp>Dir=H</stp>
        <stp>Points=60</stp>
        <stp>Sort=R</stp>
        <stp>Days=A</stp>
        <stp>Fill=B</stp>
        <stp>FX=USD</stp>
        <tr r="F884" s="3"/>
      </tp>
      <tp t="s">
        <v>#N/A Connection</v>
        <stp/>
        <stp>##V3_BDHV12</stp>
        <stp>UG FP Equity</stp>
        <stp>RR179</stp>
        <stp>-60CQ</stp>
        <stp>3/31/2019</stp>
        <stp>[BI_AUTMG_1_2nbtcwcs.xlsx]ReferenceData!R818C6</stp>
        <stp>Per=CQ</stp>
        <stp>Dts=H</stp>
        <stp>Dir=H</stp>
        <stp>Points=60</stp>
        <stp>Sort=R</stp>
        <stp>Days=A</stp>
        <stp>Fill=B</stp>
        <stp>FX=USD</stp>
        <tr r="F818" s="3"/>
      </tp>
      <tp t="s">
        <v>#N/A Connection</v>
        <stp/>
        <stp>##V3_BDHV12</stp>
        <stp>BMW GR Equity</stp>
        <stp>RR800</stp>
        <stp>-60CQ</stp>
        <stp>3/31/2019</stp>
        <stp>[BI_AUTMG_1_2nbtcwcs.xlsx]ReferenceData!R675C6</stp>
        <stp>Per=CQ</stp>
        <stp>Dts=H</stp>
        <stp>Dir=H</stp>
        <stp>Points=60</stp>
        <stp>Sort=R</stp>
        <stp>Days=A</stp>
        <stp>Fill=B</stp>
        <stp>FX=USD</stp>
        <tr r="F675" s="3"/>
      </tp>
      <tp t="s">
        <v>#N/A Connection</v>
        <stp/>
        <stp>##V3_BDHV12</stp>
        <stp>BMW GR Equity</stp>
        <stp>RR844</stp>
        <stp>-60CQ</stp>
        <stp>3/31/2019</stp>
        <stp>[BI_AUTMG_1_2nbtcwcs.xlsx]ReferenceData!R515C6</stp>
        <stp>Per=CQ</stp>
        <stp>Dts=H</stp>
        <stp>Dir=H</stp>
        <stp>Points=60</stp>
        <stp>Sort=R</stp>
        <stp>Days=A</stp>
        <stp>Fill=B</stp>
        <stp>FX=USD</stp>
        <tr r="F515" s="3"/>
      </tp>
      <tp t="s">
        <v>#N/A Connection</v>
        <stp/>
        <stp>##V3_BDHV12</stp>
        <stp>BMW GR Equity</stp>
        <stp>RR843</stp>
        <stp>-60CQ</stp>
        <stp>3/31/2019</stp>
        <stp>[BI_AUTMG_1_2nbtcwcs.xlsx]ReferenceData!R715C6</stp>
        <stp>Per=CQ</stp>
        <stp>Dts=H</stp>
        <stp>Dir=H</stp>
        <stp>Points=60</stp>
        <stp>Sort=R</stp>
        <stp>Days=A</stp>
        <stp>Fill=B</stp>
        <stp>FX=USD</stp>
        <tr r="F715" s="3"/>
      </tp>
      <tp t="s">
        <v>#N/A Connection</v>
        <stp/>
        <stp>##V3_BDHV12</stp>
        <stp>BMW GR Equity</stp>
        <stp>RR841</stp>
        <stp>-60CQ</stp>
        <stp>3/31/2019</stp>
        <stp>[BI_AUTMG_1_2nbtcwcs.xlsx]ReferenceData!R635C6</stp>
        <stp>Per=CQ</stp>
        <stp>Dts=H</stp>
        <stp>Dir=H</stp>
        <stp>Points=60</stp>
        <stp>Sort=R</stp>
        <stp>Days=A</stp>
        <stp>Fill=B</stp>
        <stp>FX=USD</stp>
        <tr r="F635" s="3"/>
      </tp>
      <tp t="s">
        <v>#N/A Connection</v>
        <stp/>
        <stp>##V3_BDHV12</stp>
        <stp>FCAU US Equity</stp>
        <stp>RR800</stp>
        <stp>-60CQ</stp>
        <stp>3/31/2019</stp>
        <stp>[BI_AUTMG_1_2nbtcwcs.xlsx]ReferenceData!R684C6</stp>
        <stp>Per=CQ</stp>
        <stp>Dts=H</stp>
        <stp>Dir=H</stp>
        <stp>Points=60</stp>
        <stp>Sort=R</stp>
        <stp>Days=A</stp>
        <stp>Fill=B</stp>
        <stp>FX=USD</stp>
        <tr r="F684" s="3"/>
      </tp>
      <tp t="s">
        <v>#N/A Connection</v>
        <stp/>
        <stp>##V3_BDHV12</stp>
        <stp>FCAU US Equity</stp>
        <stp>RR844</stp>
        <stp>-60CQ</stp>
        <stp>3/31/2019</stp>
        <stp>[BI_AUTMG_1_2nbtcwcs.xlsx]ReferenceData!R524C6</stp>
        <stp>Per=CQ</stp>
        <stp>Dts=H</stp>
        <stp>Dir=H</stp>
        <stp>Points=60</stp>
        <stp>Sort=R</stp>
        <stp>Days=A</stp>
        <stp>Fill=B</stp>
        <stp>FX=USD</stp>
        <tr r="F524" s="3"/>
      </tp>
      <tp t="s">
        <v>#N/A Connection</v>
        <stp/>
        <stp>##V3_BDHV12</stp>
        <stp>FCAU US Equity</stp>
        <stp>RR841</stp>
        <stp>-60CQ</stp>
        <stp>3/31/2019</stp>
        <stp>[BI_AUTMG_1_2nbtcwcs.xlsx]ReferenceData!R644C6</stp>
        <stp>Per=CQ</stp>
        <stp>Dts=H</stp>
        <stp>Dir=H</stp>
        <stp>Points=60</stp>
        <stp>Sort=R</stp>
        <stp>Days=A</stp>
        <stp>Fill=B</stp>
        <stp>FX=USD</stp>
        <tr r="F644" s="3"/>
      </tp>
      <tp t="s">
        <v>#N/A Connection</v>
        <stp/>
        <stp>##V3_BDHV12</stp>
        <stp>FCAU US Equity</stp>
        <stp>RR843</stp>
        <stp>-60CQ</stp>
        <stp>3/31/2019</stp>
        <stp>[BI_AUTMG_1_2nbtcwcs.xlsx]ReferenceData!R724C6</stp>
        <stp>Per=CQ</stp>
        <stp>Dts=H</stp>
        <stp>Dir=H</stp>
        <stp>Points=60</stp>
        <stp>Sort=R</stp>
        <stp>Days=A</stp>
        <stp>Fill=B</stp>
        <stp>FX=USD</stp>
        <tr r="F724" s="3"/>
      </tp>
      <tp t="s">
        <v>#N/A Connection</v>
        <stp/>
        <stp>##V3_BDHV12</stp>
        <stp>NSU GR Equity</stp>
        <stp>RX530</stp>
        <stp>-60CQ</stp>
        <stp>3/31/2019</stp>
        <stp>[BI_AUTMG_1_2nbtcwcs.xlsx]ReferenceData!R833C6</stp>
        <stp>Per=CQ</stp>
        <stp>Dts=H</stp>
        <stp>Dir=H</stp>
        <stp>Points=60</stp>
        <stp>Sort=R</stp>
        <stp>Days=A</stp>
        <stp>Fill=B</stp>
        <stp>FX=USD</stp>
        <tr r="F833" s="3"/>
      </tp>
      <tp t="s">
        <v>#N/A Connection</v>
        <stp/>
        <stp>##V3_BDHV12</stp>
        <stp>UG FP Equity</stp>
        <stp>PR005</stp>
        <stp>-60CQ</stp>
        <stp>3/31/2019</stp>
        <stp>[BI_AUTMG_1_2nbtcwcs.xlsx]ReferenceData!R938C6</stp>
        <stp>Per=CQ</stp>
        <stp>Dts=H</stp>
        <stp>Dir=H</stp>
        <stp>Points=60</stp>
        <stp>Sort=R</stp>
        <stp>Days=A</stp>
        <stp>Fill=B</stp>
        <stp>FX=USD</stp>
        <tr r="F938" s="3"/>
      </tp>
      <tp t="s">
        <v>#N/A Connection</v>
        <stp/>
        <stp>##V3_BDHV12</stp>
        <stp>DRB MK Equity</stp>
        <stp>RX530</stp>
        <stp>-60CQ</stp>
        <stp>3/31/2019</stp>
        <stp>[BI_AUTMG_1_2nbtcwcs.xlsx]ReferenceData!R842C6</stp>
        <stp>Per=CQ</stp>
        <stp>Dts=H</stp>
        <stp>Dir=H</stp>
        <stp>Points=60</stp>
        <stp>Sort=R</stp>
        <stp>Days=A</stp>
        <stp>Fill=B</stp>
        <stp>FX=USD</stp>
        <tr r="F842" s="3"/>
      </tp>
      <tp t="s">
        <v>#N/A Connection</v>
        <stp/>
        <stp>##V3_BDHV12</stp>
        <stp>UG FP Equity</stp>
        <stp>EZ021</stp>
        <stp>-60CQ</stp>
        <stp>3/31/2019</stp>
        <stp>[BI_AUTMG_1_2nbtcwcs.xlsx]ReferenceData!R618C6</stp>
        <stp>Per=CQ</stp>
        <stp>Dts=H</stp>
        <stp>Dir=H</stp>
        <stp>Points=60</stp>
        <stp>Sort=R</stp>
        <stp>Days=A</stp>
        <stp>Fill=B</stp>
        <stp>FX=USD</stp>
        <tr r="F618" s="3"/>
      </tp>
      <tp t="s">
        <v>#N/A Connection</v>
        <stp/>
        <stp>##V3_BDHV12</stp>
        <stp>UG FP Equity</stp>
        <stp>EZ019</stp>
        <stp>-60CQ</stp>
        <stp>3/31/2019</stp>
        <stp>[BI_AUTMG_1_2nbtcwcs.xlsx]ReferenceData!R578C6</stp>
        <stp>Per=CQ</stp>
        <stp>Dts=H</stp>
        <stp>Dir=H</stp>
        <stp>Points=60</stp>
        <stp>Sort=R</stp>
        <stp>Days=A</stp>
        <stp>Fill=B</stp>
        <stp>FX=USD</stp>
        <tr r="F578" s="3"/>
      </tp>
      <tp t="s">
        <v>#N/A Connection</v>
        <stp/>
        <stp>##V3_BDHV12</stp>
        <stp>UG FP Equity</stp>
        <stp>RR010</stp>
        <stp>-60CQ</stp>
        <stp>3/31/2019</stp>
        <stp>[BI_AUTMG_1_2nbtcwcs.xlsx]ReferenceData!R778C6</stp>
        <stp>Per=CQ</stp>
        <stp>Dts=H</stp>
        <stp>Dir=H</stp>
        <stp>Points=60</stp>
        <stp>Sort=R</stp>
        <stp>Days=A</stp>
        <stp>Fill=B</stp>
        <stp>FX=USD</stp>
        <tr r="F778" s="3"/>
      </tp>
      <tp t="s">
        <v>#N/A Connection</v>
        <stp/>
        <stp>##V3_BDHV12</stp>
        <stp>BMW GR Equity</stp>
        <stp>RR902</stp>
        <stp>-60CQ</stp>
        <stp>3/31/2019</stp>
        <stp>[BI_AUTMG_1_2nbtcwcs.xlsx]ReferenceData!R955C6</stp>
        <stp>Per=CQ</stp>
        <stp>Dts=H</stp>
        <stp>Dir=H</stp>
        <stp>Points=60</stp>
        <stp>Sort=R</stp>
        <stp>Days=A</stp>
        <stp>Fill=B</stp>
        <stp>FX=USD</stp>
        <tr r="F955" s="3"/>
      </tp>
      <tp t="s">
        <v>#N/A Connection</v>
        <stp/>
        <stp>##V3_BDHV12</stp>
        <stp>BMW GR Equity</stp>
        <stp>RR937</stp>
        <stp>-60CQ</stp>
        <stp>3/31/2019</stp>
        <stp>[BI_AUTMG_1_2nbtcwcs.xlsx]ReferenceData!R875C6</stp>
        <stp>Per=CQ</stp>
        <stp>Dts=H</stp>
        <stp>Dir=H</stp>
        <stp>Points=60</stp>
        <stp>Sort=R</stp>
        <stp>Days=A</stp>
        <stp>Fill=B</stp>
        <stp>FX=USD</stp>
        <tr r="F875" s="3"/>
      </tp>
      <tp t="s">
        <v>#N/A Connection</v>
        <stp/>
        <stp>##V3_BDHV12</stp>
        <stp>TTMT IN Equity</stp>
        <stp>EZ021</stp>
        <stp>-60CQ</stp>
        <stp>3/31/2019</stp>
        <stp>[BI_AUTMG_1_2nbtcwcs.xlsx]ReferenceData!R626C6</stp>
        <stp>Per=CQ</stp>
        <stp>Dts=H</stp>
        <stp>Dir=H</stp>
        <stp>Points=60</stp>
        <stp>Sort=R</stp>
        <stp>Days=A</stp>
        <stp>Fill=B</stp>
        <stp>FX=USD</stp>
        <tr r="F626" s="3"/>
      </tp>
      <tp t="s">
        <v>#N/A Connection</v>
        <stp/>
        <stp>##V3_BDHV12</stp>
        <stp>TTMT IN Equity</stp>
        <stp>EZ019</stp>
        <stp>-60CQ</stp>
        <stp>3/31/2019</stp>
        <stp>[BI_AUTMG_1_2nbtcwcs.xlsx]ReferenceData!R586C6</stp>
        <stp>Per=CQ</stp>
        <stp>Dts=H</stp>
        <stp>Dir=H</stp>
        <stp>Points=60</stp>
        <stp>Sort=R</stp>
        <stp>Days=A</stp>
        <stp>Fill=B</stp>
        <stp>FX=USD</stp>
        <tr r="F586" s="3"/>
      </tp>
      <tp t="s">
        <v>#N/A Connection</v>
        <stp/>
        <stp>##V3_BDHV12</stp>
        <stp>TTMT IN Equity</stp>
        <stp>RR010</stp>
        <stp>-60CQ</stp>
        <stp>3/31/2019</stp>
        <stp>[BI_AUTMG_1_2nbtcwcs.xlsx]ReferenceData!R786C6</stp>
        <stp>Per=CQ</stp>
        <stp>Dts=H</stp>
        <stp>Dir=H</stp>
        <stp>Points=60</stp>
        <stp>Sort=R</stp>
        <stp>Days=A</stp>
        <stp>Fill=B</stp>
        <stp>FX=USD</stp>
        <tr r="F786" s="3"/>
      </tp>
      <tp t="s">
        <v>#N/A Connection</v>
        <stp/>
        <stp>##V3_BDHV12</stp>
        <stp>TTMT IN Equity</stp>
        <stp>PR005</stp>
        <stp>-60CQ</stp>
        <stp>3/31/2019</stp>
        <stp>[BI_AUTMG_1_2nbtcwcs.xlsx]ReferenceData!R946C6</stp>
        <stp>Per=CQ</stp>
        <stp>Dts=H</stp>
        <stp>Dir=H</stp>
        <stp>Points=60</stp>
        <stp>Sort=R</stp>
        <stp>Days=A</stp>
        <stp>Fill=B</stp>
        <stp>FX=USD</stp>
        <tr r="F946" s="3"/>
      </tp>
      <tp t="s">
        <v>#N/A Connection</v>
        <stp/>
        <stp>##V3_BDHV12</stp>
        <stp>TTMT IN Equity</stp>
        <stp>RR179</stp>
        <stp>-60CQ</stp>
        <stp>3/31/2019</stp>
        <stp>[BI_AUTMG_1_2nbtcwcs.xlsx]ReferenceData!R826C6</stp>
        <stp>Per=CQ</stp>
        <stp>Dts=H</stp>
        <stp>Dir=H</stp>
        <stp>Points=60</stp>
        <stp>Sort=R</stp>
        <stp>Days=A</stp>
        <stp>Fill=B</stp>
        <stp>FX=USD</stp>
        <tr r="F826" s="3"/>
      </tp>
      <tp t="s">
        <v>#N/A Connection</v>
        <stp/>
        <stp>##V3_BDHV12</stp>
        <stp>GAZA RM Equity</stp>
        <stp>RR844</stp>
        <stp>-60CQ</stp>
        <stp>3/31/2019</stp>
        <stp>[BI_AUTMG_1_2nbtcwcs.xlsx]ReferenceData!R527C6</stp>
        <stp>Per=CQ</stp>
        <stp>Dts=H</stp>
        <stp>Dir=H</stp>
        <stp>Points=60</stp>
        <stp>Sort=R</stp>
        <stp>Days=A</stp>
        <stp>Fill=B</stp>
        <stp>FX=USD</stp>
        <tr r="F527" s="3"/>
      </tp>
      <tp t="s">
        <v>#N/A Connection</v>
        <stp/>
        <stp>##V3_BDHV12</stp>
        <stp>GAZA RM Equity</stp>
        <stp>RR843</stp>
        <stp>-60CQ</stp>
        <stp>3/31/2019</stp>
        <stp>[BI_AUTMG_1_2nbtcwcs.xlsx]ReferenceData!R727C6</stp>
        <stp>Per=CQ</stp>
        <stp>Dts=H</stp>
        <stp>Dir=H</stp>
        <stp>Points=60</stp>
        <stp>Sort=R</stp>
        <stp>Days=A</stp>
        <stp>Fill=B</stp>
        <stp>FX=USD</stp>
        <tr r="F727" s="3"/>
      </tp>
      <tp t="s">
        <v>#N/A Connection</v>
        <stp/>
        <stp>##V3_BDHV12</stp>
        <stp>GAZA RM Equity</stp>
        <stp>RR841</stp>
        <stp>-60CQ</stp>
        <stp>3/31/2019</stp>
        <stp>[BI_AUTMG_1_2nbtcwcs.xlsx]ReferenceData!R647C6</stp>
        <stp>Per=CQ</stp>
        <stp>Dts=H</stp>
        <stp>Dir=H</stp>
        <stp>Points=60</stp>
        <stp>Sort=R</stp>
        <stp>Days=A</stp>
        <stp>Fill=B</stp>
        <stp>FX=USD</stp>
        <tr r="F647" s="3"/>
      </tp>
      <tp t="s">
        <v>#N/A Connection</v>
        <stp/>
        <stp>##V3_BDHV12</stp>
        <stp>GAZA RM Equity</stp>
        <stp>RR800</stp>
        <stp>-60CQ</stp>
        <stp>3/31/2019</stp>
        <stp>[BI_AUTMG_1_2nbtcwcs.xlsx]ReferenceData!R687C6</stp>
        <stp>Per=CQ</stp>
        <stp>Dts=H</stp>
        <stp>Dir=H</stp>
        <stp>Points=60</stp>
        <stp>Sort=R</stp>
        <stp>Days=A</stp>
        <stp>Fill=B</stp>
        <stp>FX=USD</stp>
        <tr r="F687" s="3"/>
      </tp>
      <tp t="s">
        <v>#N/A Connection</v>
        <stp/>
        <stp>##V3_BDHV12</stp>
        <stp>NSU GR Equity</stp>
        <stp>PR005</stp>
        <stp>-60CQ</stp>
        <stp>3/31/2019</stp>
        <stp>[BI_AUTMG_1_2nbtcwcs.xlsx]ReferenceData!R913C6</stp>
        <stp>Per=CQ</stp>
        <stp>Dts=H</stp>
        <stp>Dir=H</stp>
        <stp>Points=60</stp>
        <stp>Sort=R</stp>
        <stp>Days=A</stp>
        <stp>Fill=B</stp>
        <stp>FX=USD</stp>
        <tr r="F913" s="3"/>
      </tp>
      <tp t="s">
        <v>#N/A Connection</v>
        <stp/>
        <stp>##V3_BDHV12</stp>
        <stp>NSU GR Equity</stp>
        <stp>EZ021</stp>
        <stp>-60CQ</stp>
        <stp>3/31/2019</stp>
        <stp>[BI_AUTMG_1_2nbtcwcs.xlsx]ReferenceData!R593C6</stp>
        <stp>Per=CQ</stp>
        <stp>Dts=H</stp>
        <stp>Dir=H</stp>
        <stp>Points=60</stp>
        <stp>Sort=R</stp>
        <stp>Days=A</stp>
        <stp>Fill=B</stp>
        <stp>FX=USD</stp>
        <tr r="F593" s="3"/>
      </tp>
      <tp t="s">
        <v>#N/A Connection</v>
        <stp/>
        <stp>##V3_BDHV12</stp>
        <stp>NSU GR Equity</stp>
        <stp>RR010</stp>
        <stp>-60CQ</stp>
        <stp>3/31/2019</stp>
        <stp>[BI_AUTMG_1_2nbtcwcs.xlsx]ReferenceData!R753C6</stp>
        <stp>Per=CQ</stp>
        <stp>Dts=H</stp>
        <stp>Dir=H</stp>
        <stp>Points=60</stp>
        <stp>Sort=R</stp>
        <stp>Days=A</stp>
        <stp>Fill=B</stp>
        <stp>FX=USD</stp>
        <tr r="F753" s="3"/>
      </tp>
      <tp t="s">
        <v>#N/A Connection</v>
        <stp/>
        <stp>##V3_BDHV12</stp>
        <stp>NSU GR Equity</stp>
        <stp>EZ019</stp>
        <stp>-60CQ</stp>
        <stp>3/31/2019</stp>
        <stp>[BI_AUTMG_1_2nbtcwcs.xlsx]ReferenceData!R553C6</stp>
        <stp>Per=CQ</stp>
        <stp>Dts=H</stp>
        <stp>Dir=H</stp>
        <stp>Points=60</stp>
        <stp>Sort=R</stp>
        <stp>Days=A</stp>
        <stp>Fill=B</stp>
        <stp>FX=USD</stp>
        <tr r="F553" s="3"/>
      </tp>
      <tp t="s">
        <v>#N/A Connection</v>
        <stp/>
        <stp>##V3_BDHV12</stp>
        <stp>DRB MK Equity</stp>
        <stp>RR010</stp>
        <stp>-60CQ</stp>
        <stp>3/31/2019</stp>
        <stp>[BI_AUTMG_1_2nbtcwcs.xlsx]ReferenceData!R762C6</stp>
        <stp>Per=CQ</stp>
        <stp>Dts=H</stp>
        <stp>Dir=H</stp>
        <stp>Points=60</stp>
        <stp>Sort=R</stp>
        <stp>Days=A</stp>
        <stp>Fill=B</stp>
        <stp>FX=USD</stp>
        <tr r="F762" s="3"/>
      </tp>
      <tp t="s">
        <v>#N/A Connection</v>
        <stp/>
        <stp>##V3_BDHV12</stp>
        <stp>UG FP Equity</stp>
        <stp>RX530</stp>
        <stp>-60CQ</stp>
        <stp>3/31/2019</stp>
        <stp>[BI_AUTMG_1_2nbtcwcs.xlsx]ReferenceData!R858C6</stp>
        <stp>Per=CQ</stp>
        <stp>Dts=H</stp>
        <stp>Dir=H</stp>
        <stp>Points=60</stp>
        <stp>Sort=R</stp>
        <stp>Days=A</stp>
        <stp>Fill=B</stp>
        <stp>FX=USD</stp>
        <tr r="F858" s="3"/>
      </tp>
      <tp t="s">
        <v>#N/A Connection</v>
        <stp/>
        <stp>##V3_BDHV12</stp>
        <stp>DRB MK Equity</stp>
        <stp>EZ019</stp>
        <stp>-60CQ</stp>
        <stp>3/31/2019</stp>
        <stp>[BI_AUTMG_1_2nbtcwcs.xlsx]ReferenceData!R562C6</stp>
        <stp>Per=CQ</stp>
        <stp>Dts=H</stp>
        <stp>Dir=H</stp>
        <stp>Points=60</stp>
        <stp>Sort=R</stp>
        <stp>Days=A</stp>
        <stp>Fill=B</stp>
        <stp>FX=USD</stp>
        <tr r="F562" s="3"/>
      </tp>
      <tp t="s">
        <v>#N/A Connection</v>
        <stp/>
        <stp>##V3_BDHV12</stp>
        <stp>DRB MK Equity</stp>
        <stp>EZ021</stp>
        <stp>-60CQ</stp>
        <stp>3/31/2019</stp>
        <stp>[BI_AUTMG_1_2nbtcwcs.xlsx]ReferenceData!R602C6</stp>
        <stp>Per=CQ</stp>
        <stp>Dts=H</stp>
        <stp>Dir=H</stp>
        <stp>Points=60</stp>
        <stp>Sort=R</stp>
        <stp>Days=A</stp>
        <stp>Fill=B</stp>
        <stp>FX=USD</stp>
        <tr r="F602" s="3"/>
      </tp>
      <tp t="s">
        <v>#N/A Connection</v>
        <stp/>
        <stp>##V3_BDHV12</stp>
        <stp>DRB MK Equity</stp>
        <stp>PR005</stp>
        <stp>-60CQ</stp>
        <stp>3/31/2019</stp>
        <stp>[BI_AUTMG_1_2nbtcwcs.xlsx]ReferenceData!R922C6</stp>
        <stp>Per=CQ</stp>
        <stp>Dts=H</stp>
        <stp>Dir=H</stp>
        <stp>Points=60</stp>
        <stp>Sort=R</stp>
        <stp>Days=A</stp>
        <stp>Fill=B</stp>
        <stp>FX=USD</stp>
        <tr r="F922" s="3"/>
      </tp>
      <tp t="s">
        <v>#N/A Connection</v>
        <stp/>
        <stp>##V3_BDHV12</stp>
        <stp>GAZA RM Equity</stp>
        <stp>RR902</stp>
        <stp>-60CQ</stp>
        <stp>3/31/2019</stp>
        <stp>[BI_AUTMG_1_2nbtcwcs.xlsx]ReferenceData!R967C6</stp>
        <stp>Per=CQ</stp>
        <stp>Dts=H</stp>
        <stp>Dir=H</stp>
        <stp>Points=60</stp>
        <stp>Sort=R</stp>
        <stp>Days=A</stp>
        <stp>Fill=B</stp>
        <stp>FX=USD</stp>
        <tr r="F967" s="3"/>
      </tp>
      <tp t="s">
        <v>#N/A Connection</v>
        <stp/>
        <stp>##V3_BDHV12</stp>
        <stp>GAZA RM Equity</stp>
        <stp>RR937</stp>
        <stp>-60CQ</stp>
        <stp>3/31/2019</stp>
        <stp>[BI_AUTMG_1_2nbtcwcs.xlsx]ReferenceData!R887C6</stp>
        <stp>Per=CQ</stp>
        <stp>Dts=H</stp>
        <stp>Dir=H</stp>
        <stp>Points=60</stp>
        <stp>Sort=R</stp>
        <stp>Days=A</stp>
        <stp>Fill=B</stp>
        <stp>FX=USD</stp>
        <tr r="F887" s="3"/>
      </tp>
      <tp t="s">
        <v>#N/A Connection</v>
        <stp/>
        <stp>##V3_BDHV12</stp>
        <stp>NSU GR Equity</stp>
        <stp>RR179</stp>
        <stp>-60CQ</stp>
        <stp>3/31/2019</stp>
        <stp>[BI_AUTMG_1_2nbtcwcs.xlsx]ReferenceData!R793C6</stp>
        <stp>Per=CQ</stp>
        <stp>Dts=H</stp>
        <stp>Dir=H</stp>
        <stp>Points=60</stp>
        <stp>Sort=R</stp>
        <stp>Days=A</stp>
        <stp>Fill=B</stp>
        <stp>FX=USD</stp>
        <tr r="F793" s="3"/>
      </tp>
      <tp t="s">
        <v>#N/A Connection</v>
        <stp/>
        <stp>##V3_BDHV12</stp>
        <stp>DRB MK Equity</stp>
        <stp>RR179</stp>
        <stp>-60CQ</stp>
        <stp>3/31/2019</stp>
        <stp>[BI_AUTMG_1_2nbtcwcs.xlsx]ReferenceData!R802C6</stp>
        <stp>Per=CQ</stp>
        <stp>Dts=H</stp>
        <stp>Dir=H</stp>
        <stp>Points=60</stp>
        <stp>Sort=R</stp>
        <stp>Days=A</stp>
        <stp>Fill=B</stp>
        <stp>FX=USD</stp>
        <tr r="F802" s="3"/>
      </tp>
      <tp t="s">
        <v>#N/A Connection</v>
        <stp/>
        <stp>##V3_BDHV12</stp>
        <stp>DAI GR Equity</stp>
        <stp>RR844</stp>
        <stp>-60CQ</stp>
        <stp>3/31/2019</stp>
        <stp>[BI_AUTMG_1_2nbtcwcs.xlsx]ReferenceData!R520C6</stp>
        <stp>Per=CQ</stp>
        <stp>Dts=H</stp>
        <stp>Dir=H</stp>
        <stp>Points=60</stp>
        <stp>Sort=R</stp>
        <stp>Days=A</stp>
        <stp>Fill=B</stp>
        <stp>FX=USD</stp>
        <tr r="F520" s="3"/>
      </tp>
      <tp t="s">
        <v>#N/A Connection</v>
        <stp/>
        <stp>##V3_BDHV12</stp>
        <stp>DAI GR Equity</stp>
        <stp>RR843</stp>
        <stp>-60CQ</stp>
        <stp>3/31/2019</stp>
        <stp>[BI_AUTMG_1_2nbtcwcs.xlsx]ReferenceData!R720C6</stp>
        <stp>Per=CQ</stp>
        <stp>Dts=H</stp>
        <stp>Dir=H</stp>
        <stp>Points=60</stp>
        <stp>Sort=R</stp>
        <stp>Days=A</stp>
        <stp>Fill=B</stp>
        <stp>FX=USD</stp>
        <tr r="F720" s="3"/>
      </tp>
      <tp t="s">
        <v>#N/A Connection</v>
        <stp/>
        <stp>##V3_BDHV12</stp>
        <stp>DAI GR Equity</stp>
        <stp>RR841</stp>
        <stp>-60CQ</stp>
        <stp>3/31/2019</stp>
        <stp>[BI_AUTMG_1_2nbtcwcs.xlsx]ReferenceData!R640C6</stp>
        <stp>Per=CQ</stp>
        <stp>Dts=H</stp>
        <stp>Dir=H</stp>
        <stp>Points=60</stp>
        <stp>Sort=R</stp>
        <stp>Days=A</stp>
        <stp>Fill=B</stp>
        <stp>FX=USD</stp>
        <tr r="F640" s="3"/>
      </tp>
      <tp t="s">
        <v>#N/A Connection</v>
        <stp/>
        <stp>##V3_BDHV12</stp>
        <stp>DAI GR Equity</stp>
        <stp>RR800</stp>
        <stp>-60CQ</stp>
        <stp>3/31/2019</stp>
        <stp>[BI_AUTMG_1_2nbtcwcs.xlsx]ReferenceData!R680C6</stp>
        <stp>Per=CQ</stp>
        <stp>Dts=H</stp>
        <stp>Dir=H</stp>
        <stp>Points=60</stp>
        <stp>Sort=R</stp>
        <stp>Days=A</stp>
        <stp>Fill=B</stp>
        <stp>FX=USD</stp>
        <tr r="F680" s="3"/>
      </tp>
      <tp t="s">
        <v>#N/A Connection</v>
        <stp/>
        <stp>##V3_BDHV12</stp>
        <stp>TTMT IN Equity</stp>
        <stp>RX530</stp>
        <stp>-60CQ</stp>
        <stp>3/31/2019</stp>
        <stp>[BI_AUTMG_1_2nbtcwcs.xlsx]ReferenceData!R866C6</stp>
        <stp>Per=CQ</stp>
        <stp>Dts=H</stp>
        <stp>Dir=H</stp>
        <stp>Points=60</stp>
        <stp>Sort=R</stp>
        <stp>Days=A</stp>
        <stp>Fill=B</stp>
        <stp>FX=USD</stp>
        <tr r="F866" s="3"/>
      </tp>
      <tp t="s">
        <v>#N/A Connection</v>
        <stp/>
        <stp>##V3_BDHV12</stp>
        <stp>DAI GR Equity</stp>
        <stp>RR902</stp>
        <stp>-60CQ</stp>
        <stp>3/31/2019</stp>
        <stp>[BI_AUTMG_1_2nbtcwcs.xlsx]ReferenceData!R960C6</stp>
        <stp>Per=CQ</stp>
        <stp>Dts=H</stp>
        <stp>Dir=H</stp>
        <stp>Points=60</stp>
        <stp>Sort=R</stp>
        <stp>Days=A</stp>
        <stp>Fill=B</stp>
        <stp>FX=USD</stp>
        <tr r="F960" s="3"/>
      </tp>
      <tp t="s">
        <v>#N/A Connection</v>
        <stp/>
        <stp>##V3_BDHV12</stp>
        <stp>DAI GR Equity</stp>
        <stp>RR937</stp>
        <stp>-60CQ</stp>
        <stp>3/31/2019</stp>
        <stp>[BI_AUTMG_1_2nbtcwcs.xlsx]ReferenceData!R880C6</stp>
        <stp>Per=CQ</stp>
        <stp>Dts=H</stp>
        <stp>Dir=H</stp>
        <stp>Points=60</stp>
        <stp>Sort=R</stp>
        <stp>Days=A</stp>
        <stp>Fill=B</stp>
        <stp>FX=USD</stp>
        <tr r="F880" s="3"/>
      </tp>
      <tp t="s">
        <v>#N/A Connection</v>
        <stp/>
        <stp>##V3_BDHV12</stp>
        <stp>TSLA US Equity</stp>
        <stp>RR179</stp>
        <stp>-60CQ</stp>
        <stp>3/31/2019</stp>
        <stp>[BI_AUTMG_1_2nbtcwcs.xlsx]ReferenceData!R827C6</stp>
        <stp>Per=CQ</stp>
        <stp>Dts=H</stp>
        <stp>Dir=H</stp>
        <stp>Points=60</stp>
        <stp>Sort=R</stp>
        <stp>Days=A</stp>
        <stp>Fill=B</stp>
        <stp>FX=USD</stp>
        <tr r="F827" s="3"/>
      </tp>
      <tp t="s">
        <v>#N/A Connection</v>
        <stp/>
        <stp>##V3_BDHV12</stp>
        <stp>RNO FP Equity</stp>
        <stp>RR179</stp>
        <stp>-60CQ</stp>
        <stp>3/31/2019</stp>
        <stp>[BI_AUTMG_1_2nbtcwcs.xlsx]ReferenceData!R819C6</stp>
        <stp>Per=CQ</stp>
        <stp>Dts=H</stp>
        <stp>Dir=H</stp>
        <stp>Points=60</stp>
        <stp>Sort=R</stp>
        <stp>Days=A</stp>
        <stp>Fill=B</stp>
        <stp>FX=USD</stp>
        <tr r="F819" s="3"/>
      </tp>
      <tp t="s">
        <v>#N/A Connection</v>
        <stp/>
        <stp>##V3_BDHV12</stp>
        <stp>TSLA US Equity</stp>
        <stp>PR005</stp>
        <stp>-60CQ</stp>
        <stp>3/31/2019</stp>
        <stp>[BI_AUTMG_1_2nbtcwcs.xlsx]ReferenceData!R947C6</stp>
        <stp>Per=CQ</stp>
        <stp>Dts=H</stp>
        <stp>Dir=H</stp>
        <stp>Points=60</stp>
        <stp>Sort=R</stp>
        <stp>Days=A</stp>
        <stp>Fill=B</stp>
        <stp>FX=USD</stp>
        <tr r="F947" s="3"/>
      </tp>
      <tp t="s">
        <v>#N/A Connection</v>
        <stp/>
        <stp>##V3_BDHV12</stp>
        <stp>TSLA US Equity</stp>
        <stp>EZ021</stp>
        <stp>-60CQ</stp>
        <stp>3/31/2019</stp>
        <stp>[BI_AUTMG_1_2nbtcwcs.xlsx]ReferenceData!R627C6</stp>
        <stp>Per=CQ</stp>
        <stp>Dts=H</stp>
        <stp>Dir=H</stp>
        <stp>Points=60</stp>
        <stp>Sort=R</stp>
        <stp>Days=A</stp>
        <stp>Fill=B</stp>
        <stp>FX=USD</stp>
        <tr r="F627" s="3"/>
      </tp>
      <tp t="s">
        <v>#N/A Connection</v>
        <stp/>
        <stp>##V3_BDHV12</stp>
        <stp>TSLA US Equity</stp>
        <stp>EZ019</stp>
        <stp>-60CQ</stp>
        <stp>3/31/2019</stp>
        <stp>[BI_AUTMG_1_2nbtcwcs.xlsx]ReferenceData!R587C6</stp>
        <stp>Per=CQ</stp>
        <stp>Dts=H</stp>
        <stp>Dir=H</stp>
        <stp>Points=60</stp>
        <stp>Sort=R</stp>
        <stp>Days=A</stp>
        <stp>Fill=B</stp>
        <stp>FX=USD</stp>
        <tr r="F587" s="3"/>
      </tp>
      <tp t="s">
        <v>#N/A Connection</v>
        <stp/>
        <stp>##V3_BDHV12</stp>
        <stp>TSLA US Equity</stp>
        <stp>RR010</stp>
        <stp>-60CQ</stp>
        <stp>3/31/2019</stp>
        <stp>[BI_AUTMG_1_2nbtcwcs.xlsx]ReferenceData!R787C6</stp>
        <stp>Per=CQ</stp>
        <stp>Dts=H</stp>
        <stp>Dir=H</stp>
        <stp>Points=60</stp>
        <stp>Sort=R</stp>
        <stp>Days=A</stp>
        <stp>Fill=B</stp>
        <stp>FX=USD</stp>
        <tr r="F787" s="3"/>
      </tp>
      <tp t="s">
        <v>#N/A Connection</v>
        <stp/>
        <stp>##V3_BDHV12</stp>
        <stp>RNO FP Equity</stp>
        <stp>EZ021</stp>
        <stp>-60CQ</stp>
        <stp>3/31/2019</stp>
        <stp>[BI_AUTMG_1_2nbtcwcs.xlsx]ReferenceData!R619C6</stp>
        <stp>Per=CQ</stp>
        <stp>Dts=H</stp>
        <stp>Dir=H</stp>
        <stp>Points=60</stp>
        <stp>Sort=R</stp>
        <stp>Days=A</stp>
        <stp>Fill=B</stp>
        <stp>FX=USD</stp>
        <tr r="F619" s="3"/>
      </tp>
      <tp t="s">
        <v>#N/A Connection</v>
        <stp/>
        <stp>##V3_BDHV12</stp>
        <stp>RNO FP Equity</stp>
        <stp>EZ019</stp>
        <stp>-60CQ</stp>
        <stp>3/31/2019</stp>
        <stp>[BI_AUTMG_1_2nbtcwcs.xlsx]ReferenceData!R579C6</stp>
        <stp>Per=CQ</stp>
        <stp>Dts=H</stp>
        <stp>Dir=H</stp>
        <stp>Points=60</stp>
        <stp>Sort=R</stp>
        <stp>Days=A</stp>
        <stp>Fill=B</stp>
        <stp>FX=USD</stp>
        <tr r="F579" s="3"/>
      </tp>
      <tp t="s">
        <v>#N/A Connection</v>
        <stp/>
        <stp>##V3_BDHV12</stp>
        <stp>RNO FP Equity</stp>
        <stp>RR010</stp>
        <stp>-60CQ</stp>
        <stp>3/31/2019</stp>
        <stp>[BI_AUTMG_1_2nbtcwcs.xlsx]ReferenceData!R779C6</stp>
        <stp>Per=CQ</stp>
        <stp>Dts=H</stp>
        <stp>Dir=H</stp>
        <stp>Points=60</stp>
        <stp>Sort=R</stp>
        <stp>Days=A</stp>
        <stp>Fill=B</stp>
        <stp>FX=USD</stp>
        <tr r="F779" s="3"/>
      </tp>
      <tp t="s">
        <v>#N/A Connection</v>
        <stp/>
        <stp>##V3_BDHV12</stp>
        <stp>VOW GR Equity</stp>
        <stp>RX530</stp>
        <stp>-60CQ</stp>
        <stp>3/31/2019</stp>
        <stp>[BI_AUTMG_1_2nbtcwcs.xlsx]ReferenceData!R871C6</stp>
        <stp>Per=CQ</stp>
        <stp>Dts=H</stp>
        <stp>Dir=H</stp>
        <stp>Points=60</stp>
        <stp>Sort=R</stp>
        <stp>Days=A</stp>
        <stp>Fill=B</stp>
        <stp>FX=USD</stp>
        <tr r="F871" s="3"/>
      </tp>
      <tp t="s">
        <v>#N/A Connection</v>
        <stp/>
        <stp>##V3_BDHV12</stp>
        <stp>RNO FP Equity</stp>
        <stp>PR005</stp>
        <stp>-60CQ</stp>
        <stp>3/31/2019</stp>
        <stp>[BI_AUTMG_1_2nbtcwcs.xlsx]ReferenceData!R939C6</stp>
        <stp>Per=CQ</stp>
        <stp>Dts=H</stp>
        <stp>Dir=H</stp>
        <stp>Points=60</stp>
        <stp>Sort=R</stp>
        <stp>Days=A</stp>
        <stp>Fill=B</stp>
        <stp>FX=USD</stp>
        <tr r="F939" s="3"/>
      </tp>
      <tp t="s">
        <v>#N/A Connection</v>
        <stp/>
        <stp>##V3_BDHV12</stp>
        <stp>SVAV RM Equity</stp>
        <stp>RR179</stp>
        <stp>-60CQ</stp>
        <stp>3/31/2019</stp>
        <stp>[BI_AUTMG_1_2nbtcwcs.xlsx]ReferenceData!R822C6</stp>
        <stp>Per=CQ</stp>
        <stp>Dts=H</stp>
        <stp>Dir=H</stp>
        <stp>Points=60</stp>
        <stp>Sort=R</stp>
        <stp>Days=A</stp>
        <stp>Fill=B</stp>
        <stp>FX=USD</stp>
        <tr r="F822" s="3"/>
      </tp>
      <tp t="s">
        <v>#N/A Connection</v>
        <stp/>
        <stp>##V3_BDHV12</stp>
        <stp>AVAZ RM Equity</stp>
        <stp>RR179</stp>
        <stp>-60CQ</stp>
        <stp>3/31/2019</stp>
        <stp>[BI_AUTMG_1_2nbtcwcs.xlsx]ReferenceData!R794C6</stp>
        <stp>Per=CQ</stp>
        <stp>Dts=H</stp>
        <stp>Dir=H</stp>
        <stp>Points=60</stp>
        <stp>Sort=R</stp>
        <stp>Days=A</stp>
        <stp>Fill=B</stp>
        <stp>FX=USD</stp>
        <tr r="F794" s="3"/>
      </tp>
      <tp t="s">
        <v>#N/A Connection</v>
        <stp/>
        <stp>##V3_BDHV12</stp>
        <stp>GM US Equity</stp>
        <stp>RR800</stp>
        <stp>-60CQ</stp>
        <stp>3/31/2019</stp>
        <stp>[BI_AUTMG_1_2nbtcwcs.xlsx]ReferenceData!R689C6</stp>
        <stp>Per=CQ</stp>
        <stp>Dts=H</stp>
        <stp>Dir=H</stp>
        <stp>Points=60</stp>
        <stp>Sort=R</stp>
        <stp>Days=A</stp>
        <stp>Fill=B</stp>
        <stp>FX=USD</stp>
        <tr r="F689" s="3"/>
      </tp>
      <tp t="s">
        <v>#N/A Connection</v>
        <stp/>
        <stp>##V3_BDHV12</stp>
        <stp>GM US Equity</stp>
        <stp>RR844</stp>
        <stp>-60CQ</stp>
        <stp>3/31/2019</stp>
        <stp>[BI_AUTMG_1_2nbtcwcs.xlsx]ReferenceData!R529C6</stp>
        <stp>Per=CQ</stp>
        <stp>Dts=H</stp>
        <stp>Dir=H</stp>
        <stp>Points=60</stp>
        <stp>Sort=R</stp>
        <stp>Days=A</stp>
        <stp>Fill=B</stp>
        <stp>FX=USD</stp>
        <tr r="F529" s="3"/>
      </tp>
      <tp t="s">
        <v>#N/A Connection</v>
        <stp/>
        <stp>##V3_BDHV12</stp>
        <stp>GM US Equity</stp>
        <stp>RR841</stp>
        <stp>-60CQ</stp>
        <stp>3/31/2019</stp>
        <stp>[BI_AUTMG_1_2nbtcwcs.xlsx]ReferenceData!R649C6</stp>
        <stp>Per=CQ</stp>
        <stp>Dts=H</stp>
        <stp>Dir=H</stp>
        <stp>Points=60</stp>
        <stp>Sort=R</stp>
        <stp>Days=A</stp>
        <stp>Fill=B</stp>
        <stp>FX=USD</stp>
        <tr r="F649" s="3"/>
      </tp>
      <tp t="s">
        <v>#N/A Connection</v>
        <stp/>
        <stp>##V3_BDHV12</stp>
        <stp>GM US Equity</stp>
        <stp>RR843</stp>
        <stp>-60CQ</stp>
        <stp>3/31/2019</stp>
        <stp>[BI_AUTMG_1_2nbtcwcs.xlsx]ReferenceData!R729C6</stp>
        <stp>Per=CQ</stp>
        <stp>Dts=H</stp>
        <stp>Dir=H</stp>
        <stp>Points=60</stp>
        <stp>Sort=R</stp>
        <stp>Days=A</stp>
        <stp>Fill=B</stp>
        <stp>FX=USD</stp>
        <tr r="F729" s="3"/>
      </tp>
      <tp t="s">
        <v>#N/A Connection</v>
        <stp/>
        <stp>##V3_BDHV12</stp>
        <stp>AVAZ RM Equity</stp>
        <stp>PR005</stp>
        <stp>-60CQ</stp>
        <stp>3/31/2019</stp>
        <stp>[BI_AUTMG_1_2nbtcwcs.xlsx]ReferenceData!R914C6</stp>
        <stp>Per=CQ</stp>
        <stp>Dts=H</stp>
        <stp>Dir=H</stp>
        <stp>Points=60</stp>
        <stp>Sort=R</stp>
        <stp>Days=A</stp>
        <stp>Fill=B</stp>
        <stp>FX=USD</stp>
        <tr r="F914" s="3"/>
      </tp>
      <tp t="s">
        <v>#N/A Connection</v>
        <stp/>
        <stp>##V3_BDHV12</stp>
        <stp>SVAV RM Equity</stp>
        <stp>PR005</stp>
        <stp>-60CQ</stp>
        <stp>3/31/2019</stp>
        <stp>[BI_AUTMG_1_2nbtcwcs.xlsx]ReferenceData!R942C6</stp>
        <stp>Per=CQ</stp>
        <stp>Dts=H</stp>
        <stp>Dir=H</stp>
        <stp>Points=60</stp>
        <stp>Sort=R</stp>
        <stp>Days=A</stp>
        <stp>Fill=B</stp>
        <stp>FX=USD</stp>
        <tr r="F942" s="3"/>
      </tp>
      <tp t="s">
        <v>#N/A Connection</v>
        <stp/>
        <stp>##V3_BDHV12</stp>
        <stp>SVAV RM Equity</stp>
        <stp>RR010</stp>
        <stp>-60CQ</stp>
        <stp>3/31/2019</stp>
        <stp>[BI_AUTMG_1_2nbtcwcs.xlsx]ReferenceData!R782C6</stp>
        <stp>Per=CQ</stp>
        <stp>Dts=H</stp>
        <stp>Dir=H</stp>
        <stp>Points=60</stp>
        <stp>Sort=R</stp>
        <stp>Days=A</stp>
        <stp>Fill=B</stp>
        <stp>FX=USD</stp>
        <tr r="F782" s="3"/>
      </tp>
      <tp t="s">
        <v>#N/A Connection</v>
        <stp/>
        <stp>##V3_BDHV12</stp>
        <stp>AVAZ RM Equity</stp>
        <stp>RR010</stp>
        <stp>-60CQ</stp>
        <stp>3/31/2019</stp>
        <stp>[BI_AUTMG_1_2nbtcwcs.xlsx]ReferenceData!R754C6</stp>
        <stp>Per=CQ</stp>
        <stp>Dts=H</stp>
        <stp>Dir=H</stp>
        <stp>Points=60</stp>
        <stp>Sort=R</stp>
        <stp>Days=A</stp>
        <stp>Fill=B</stp>
        <stp>FX=USD</stp>
        <tr r="F754" s="3"/>
      </tp>
      <tp t="s">
        <v>#N/A Connection</v>
        <stp/>
        <stp>##V3_BDHV12</stp>
        <stp>AVAZ RM Equity</stp>
        <stp>EZ021</stp>
        <stp>-60CQ</stp>
        <stp>3/31/2019</stp>
        <stp>[BI_AUTMG_1_2nbtcwcs.xlsx]ReferenceData!R594C6</stp>
        <stp>Per=CQ</stp>
        <stp>Dts=H</stp>
        <stp>Dir=H</stp>
        <stp>Points=60</stp>
        <stp>Sort=R</stp>
        <stp>Days=A</stp>
        <stp>Fill=B</stp>
        <stp>FX=USD</stp>
        <tr r="F594" s="3"/>
      </tp>
      <tp t="s">
        <v>#N/A Connection</v>
        <stp/>
        <stp>##V3_BDHV12</stp>
        <stp>SVAV RM Equity</stp>
        <stp>EZ019</stp>
        <stp>-60CQ</stp>
        <stp>3/31/2019</stp>
        <stp>[BI_AUTMG_1_2nbtcwcs.xlsx]ReferenceData!R582C6</stp>
        <stp>Per=CQ</stp>
        <stp>Dts=H</stp>
        <stp>Dir=H</stp>
        <stp>Points=60</stp>
        <stp>Sort=R</stp>
        <stp>Days=A</stp>
        <stp>Fill=B</stp>
        <stp>FX=USD</stp>
        <tr r="F582" s="3"/>
      </tp>
      <tp t="s">
        <v>#N/A Connection</v>
        <stp/>
        <stp>##V3_BDHV12</stp>
        <stp>AVAZ RM Equity</stp>
        <stp>EZ019</stp>
        <stp>-60CQ</stp>
        <stp>3/31/2019</stp>
        <stp>[BI_AUTMG_1_2nbtcwcs.xlsx]ReferenceData!R554C6</stp>
        <stp>Per=CQ</stp>
        <stp>Dts=H</stp>
        <stp>Dir=H</stp>
        <stp>Points=60</stp>
        <stp>Sort=R</stp>
        <stp>Days=A</stp>
        <stp>Fill=B</stp>
        <stp>FX=USD</stp>
        <tr r="F554" s="3"/>
      </tp>
      <tp t="s">
        <v>#N/A Connection</v>
        <stp/>
        <stp>##V3_BDHV12</stp>
        <stp>SVAV RM Equity</stp>
        <stp>EZ021</stp>
        <stp>-60CQ</stp>
        <stp>3/31/2019</stp>
        <stp>[BI_AUTMG_1_2nbtcwcs.xlsx]ReferenceData!R622C6</stp>
        <stp>Per=CQ</stp>
        <stp>Dts=H</stp>
        <stp>Dir=H</stp>
        <stp>Points=60</stp>
        <stp>Sort=R</stp>
        <stp>Days=A</stp>
        <stp>Fill=B</stp>
        <stp>FX=USD</stp>
        <tr r="F622" s="3"/>
      </tp>
      <tp t="s">
        <v>#N/A Connection</v>
        <stp/>
        <stp>##V3_BDHV12</stp>
        <stp>GM US Equity</stp>
        <stp>RR902</stp>
        <stp>-60CQ</stp>
        <stp>3/31/2019</stp>
        <stp>[BI_AUTMG_1_2nbtcwcs.xlsx]ReferenceData!R969C6</stp>
        <stp>Per=CQ</stp>
        <stp>Dts=H</stp>
        <stp>Dir=H</stp>
        <stp>Points=60</stp>
        <stp>Sort=R</stp>
        <stp>Days=A</stp>
        <stp>Fill=B</stp>
        <stp>FX=USD</stp>
        <tr r="F969" s="3"/>
      </tp>
      <tp t="s">
        <v>#N/A Connection</v>
        <stp/>
        <stp>##V3_BDHV12</stp>
        <stp>GM US Equity</stp>
        <stp>RR937</stp>
        <stp>-60CQ</stp>
        <stp>3/31/2019</stp>
        <stp>[BI_AUTMG_1_2nbtcwcs.xlsx]ReferenceData!R889C6</stp>
        <stp>Per=CQ</stp>
        <stp>Dts=H</stp>
        <stp>Dir=H</stp>
        <stp>Points=60</stp>
        <stp>Sort=R</stp>
        <stp>Days=A</stp>
        <stp>Fill=B</stp>
        <stp>FX=USD</stp>
        <tr r="F889" s="3"/>
      </tp>
      <tp t="s">
        <v>#N/A Connection</v>
        <stp/>
        <stp>##V3_BDHV12</stp>
        <stp>TSLA US Equity</stp>
        <stp>RX530</stp>
        <stp>-60CQ</stp>
        <stp>3/31/2019</stp>
        <stp>[BI_AUTMG_1_2nbtcwcs.xlsx]ReferenceData!R867C6</stp>
        <stp>Per=CQ</stp>
        <stp>Dts=H</stp>
        <stp>Dir=H</stp>
        <stp>Points=60</stp>
        <stp>Sort=R</stp>
        <stp>Days=A</stp>
        <stp>Fill=B</stp>
        <stp>FX=USD</stp>
        <tr r="F867" s="3"/>
      </tp>
      <tp t="s">
        <v>#N/A Connection</v>
        <stp/>
        <stp>##V3_BDHV12</stp>
        <stp>VOW GR Equity</stp>
        <stp>RR010</stp>
        <stp>-60CQ</stp>
        <stp>3/31/2019</stp>
        <stp>[BI_AUTMG_1_2nbtcwcs.xlsx]ReferenceData!R791C6</stp>
        <stp>Per=CQ</stp>
        <stp>Dts=H</stp>
        <stp>Dir=H</stp>
        <stp>Points=60</stp>
        <stp>Sort=R</stp>
        <stp>Days=A</stp>
        <stp>Fill=B</stp>
        <stp>FX=USD</stp>
        <tr r="F791" s="3"/>
      </tp>
      <tp t="s">
        <v>#N/A Connection</v>
        <stp/>
        <stp>##V3_BDHV12</stp>
        <stp>VOW GR Equity</stp>
        <stp>EZ021</stp>
        <stp>-60CQ</stp>
        <stp>3/31/2019</stp>
        <stp>[BI_AUTMG_1_2nbtcwcs.xlsx]ReferenceData!R631C6</stp>
        <stp>Per=CQ</stp>
        <stp>Dts=H</stp>
        <stp>Dir=H</stp>
        <stp>Points=60</stp>
        <stp>Sort=R</stp>
        <stp>Days=A</stp>
        <stp>Fill=B</stp>
        <stp>FX=USD</stp>
        <tr r="F631" s="3"/>
      </tp>
      <tp t="s">
        <v>#N/A Connection</v>
        <stp/>
        <stp>##V3_BDHV12</stp>
        <stp>VOW GR Equity</stp>
        <stp>EZ019</stp>
        <stp>-60CQ</stp>
        <stp>3/31/2019</stp>
        <stp>[BI_AUTMG_1_2nbtcwcs.xlsx]ReferenceData!R591C6</stp>
        <stp>Per=CQ</stp>
        <stp>Dts=H</stp>
        <stp>Dir=H</stp>
        <stp>Points=60</stp>
        <stp>Sort=R</stp>
        <stp>Days=A</stp>
        <stp>Fill=B</stp>
        <stp>FX=USD</stp>
        <tr r="F591" s="3"/>
      </tp>
      <tp t="s">
        <v>#N/A Connection</v>
        <stp/>
        <stp>##V3_BDHV12</stp>
        <stp>VOW GR Equity</stp>
        <stp>PR005</stp>
        <stp>-60CQ</stp>
        <stp>3/31/2019</stp>
        <stp>[BI_AUTMG_1_2nbtcwcs.xlsx]ReferenceData!R951C6</stp>
        <stp>Per=CQ</stp>
        <stp>Dts=H</stp>
        <stp>Dir=H</stp>
        <stp>Points=60</stp>
        <stp>Sort=R</stp>
        <stp>Days=A</stp>
        <stp>Fill=B</stp>
        <stp>FX=USD</stp>
        <tr r="F951" s="3"/>
      </tp>
      <tp t="s">
        <v>#N/A Connection</v>
        <stp/>
        <stp>##V3_BDHV12</stp>
        <stp>RNO FP Equity</stp>
        <stp>RX530</stp>
        <stp>-60CQ</stp>
        <stp>3/31/2019</stp>
        <stp>[BI_AUTMG_1_2nbtcwcs.xlsx]ReferenceData!R859C6</stp>
        <stp>Per=CQ</stp>
        <stp>Dts=H</stp>
        <stp>Dir=H</stp>
        <stp>Points=60</stp>
        <stp>Sort=R</stp>
        <stp>Days=A</stp>
        <stp>Fill=B</stp>
        <stp>FX=USD</stp>
        <tr r="F859" s="3"/>
      </tp>
      <tp t="s">
        <v>#N/A Connection</v>
        <stp/>
        <stp>##V3_BDHV12</stp>
        <stp>VOW GR Equity</stp>
        <stp>RR179</stp>
        <stp>-60CQ</stp>
        <stp>3/31/2019</stp>
        <stp>[BI_AUTMG_1_2nbtcwcs.xlsx]ReferenceData!R831C6</stp>
        <stp>Per=CQ</stp>
        <stp>Dts=H</stp>
        <stp>Dir=H</stp>
        <stp>Points=60</stp>
        <stp>Sort=R</stp>
        <stp>Days=A</stp>
        <stp>Fill=B</stp>
        <stp>FX=USD</stp>
        <tr r="F831" s="3"/>
      </tp>
      <tp t="s">
        <v>#N/A Connection</v>
        <stp/>
        <stp>##V3_BDHV12</stp>
        <stp>AVAZ RM Equity</stp>
        <stp>RX530</stp>
        <stp>-60CQ</stp>
        <stp>3/31/2019</stp>
        <stp>[BI_AUTMG_1_2nbtcwcs.xlsx]ReferenceData!R834C6</stp>
        <stp>Per=CQ</stp>
        <stp>Dts=H</stp>
        <stp>Dir=H</stp>
        <stp>Points=60</stp>
        <stp>Sort=R</stp>
        <stp>Days=A</stp>
        <stp>Fill=B</stp>
        <stp>FX=USD</stp>
        <tr r="F834" s="3"/>
      </tp>
      <tp t="s">
        <v>#N/A Connection</v>
        <stp/>
        <stp>##V3_BDHV12</stp>
        <stp>SVAV RM Equity</stp>
        <stp>RX530</stp>
        <stp>-60CQ</stp>
        <stp>3/31/2019</stp>
        <stp>[BI_AUTMG_1_2nbtcwcs.xlsx]ReferenceData!R862C6</stp>
        <stp>Per=CQ</stp>
        <stp>Dts=H</stp>
        <stp>Dir=H</stp>
        <stp>Points=60</stp>
        <stp>Sort=R</stp>
        <stp>Days=A</stp>
        <stp>Fill=B</stp>
        <stp>FX=USD</stp>
        <tr r="F862" s="3"/>
      </tp>
      <tp t="s">
        <v>#N/A Connection</v>
        <stp/>
        <stp>##V3_BDHV12</stp>
        <stp>F US Equity</stp>
        <stp>RR800</stp>
        <stp>-60CQ</stp>
        <stp>3/31/2019</stp>
        <stp>[BI_AUTMG_1_2nbtcwcs.xlsx]ReferenceData!R685C6</stp>
        <stp>Per=CQ</stp>
        <stp>Dts=H</stp>
        <stp>Dir=H</stp>
        <stp>Points=60</stp>
        <stp>Sort=R</stp>
        <stp>Days=A</stp>
        <stp>Fill=B</stp>
        <stp>FX=USD</stp>
        <tr r="F685" s="3"/>
      </tp>
      <tp t="s">
        <v>#N/A Connection</v>
        <stp/>
        <stp>##V3_BDHV12</stp>
        <stp>F US Equity</stp>
        <stp>RR841</stp>
        <stp>-60CQ</stp>
        <stp>3/31/2019</stp>
        <stp>[BI_AUTMG_1_2nbtcwcs.xlsx]ReferenceData!R645C6</stp>
        <stp>Per=CQ</stp>
        <stp>Dts=H</stp>
        <stp>Dir=H</stp>
        <stp>Points=60</stp>
        <stp>Sort=R</stp>
        <stp>Days=A</stp>
        <stp>Fill=B</stp>
        <stp>FX=USD</stp>
        <tr r="F645" s="3"/>
      </tp>
      <tp t="s">
        <v>#N/A Connection</v>
        <stp/>
        <stp>##V3_BDHV12</stp>
        <stp>F US Equity</stp>
        <stp>RR843</stp>
        <stp>-60CQ</stp>
        <stp>3/31/2019</stp>
        <stp>[BI_AUTMG_1_2nbtcwcs.xlsx]ReferenceData!R725C6</stp>
        <stp>Per=CQ</stp>
        <stp>Dts=H</stp>
        <stp>Dir=H</stp>
        <stp>Points=60</stp>
        <stp>Sort=R</stp>
        <stp>Days=A</stp>
        <stp>Fill=B</stp>
        <stp>FX=USD</stp>
        <tr r="F725" s="3"/>
      </tp>
      <tp t="s">
        <v>#N/A Connection</v>
        <stp/>
        <stp>##V3_BDHV12</stp>
        <stp>F US Equity</stp>
        <stp>RR844</stp>
        <stp>-60CQ</stp>
        <stp>3/31/2019</stp>
        <stp>[BI_AUTMG_1_2nbtcwcs.xlsx]ReferenceData!R525C6</stp>
        <stp>Per=CQ</stp>
        <stp>Dts=H</stp>
        <stp>Dir=H</stp>
        <stp>Points=60</stp>
        <stp>Sort=R</stp>
        <stp>Days=A</stp>
        <stp>Fill=B</stp>
        <stp>FX=USD</stp>
        <tr r="F525" s="3"/>
      </tp>
      <tp t="s">
        <v>#N/A Connection</v>
        <stp/>
        <stp>##V3_BDHV12</stp>
        <stp>F US Equity</stp>
        <stp>RR937</stp>
        <stp>-60CQ</stp>
        <stp>3/31/2019</stp>
        <stp>[BI_AUTMG_1_2nbtcwcs.xlsx]ReferenceData!R885C6</stp>
        <stp>Per=CQ</stp>
        <stp>Dts=H</stp>
        <stp>Dir=H</stp>
        <stp>Points=60</stp>
        <stp>Sort=R</stp>
        <stp>Days=A</stp>
        <stp>Fill=B</stp>
        <stp>FX=USD</stp>
        <tr r="F885" s="3"/>
      </tp>
      <tp t="s">
        <v>#N/A Connection</v>
        <stp/>
        <stp>##V3_BDHV12</stp>
        <stp>F US Equity</stp>
        <stp>RR902</stp>
        <stp>-60CQ</stp>
        <stp>3/31/2019</stp>
        <stp>[BI_AUTMG_1_2nbtcwcs.xlsx]ReferenceData!R965C6</stp>
        <stp>Per=CQ</stp>
        <stp>Dts=H</stp>
        <stp>Dir=H</stp>
        <stp>Points=60</stp>
        <stp>Sort=R</stp>
        <stp>Days=A</stp>
        <stp>Fill=B</stp>
        <stp>FX=USD</stp>
        <tr r="F965" s="3"/>
      </tp>
      <tp t="s">
        <v>#N/A Connection</v>
        <stp/>
        <stp>##V3_BDHV12</stp>
        <stp>TSLA US Equity</stp>
        <stp>RR902</stp>
        <stp>-60CQ</stp>
        <stp>3/31/2019</stp>
        <stp>[BI_AUTMG_1_2nbtcwcs.xlsx]ReferenceData!R987C6</stp>
        <stp>Per=CQ</stp>
        <stp>Dts=H</stp>
        <stp>Dir=H</stp>
        <stp>Points=60</stp>
        <stp>Sort=R</stp>
        <stp>Days=A</stp>
        <stp>Fill=B</stp>
        <stp>FX=USD</stp>
        <tr r="F987" s="3"/>
      </tp>
      <tp t="s">
        <v>#N/A Connection</v>
        <stp/>
        <stp>##V3_BDHV12</stp>
        <stp>TSLA US Equity</stp>
        <stp>RR937</stp>
        <stp>-60CQ</stp>
        <stp>3/31/2019</stp>
        <stp>[BI_AUTMG_1_2nbtcwcs.xlsx]ReferenceData!R907C6</stp>
        <stp>Per=CQ</stp>
        <stp>Dts=H</stp>
        <stp>Dir=H</stp>
        <stp>Points=60</stp>
        <stp>Sort=R</stp>
        <stp>Days=A</stp>
        <stp>Fill=B</stp>
        <stp>FX=USD</stp>
        <tr r="F907" s="3"/>
      </tp>
      <tp t="s">
        <v>#N/A Connection</v>
        <stp/>
        <stp>##V3_BDHV12</stp>
        <stp>RNO FP Equity</stp>
        <stp>RR902</stp>
        <stp>-60CQ</stp>
        <stp>3/31/2019</stp>
        <stp>[BI_AUTMG_1_2nbtcwcs.xlsx]ReferenceData!R979C6</stp>
        <stp>Per=CQ</stp>
        <stp>Dts=H</stp>
        <stp>Dir=H</stp>
        <stp>Points=60</stp>
        <stp>Sort=R</stp>
        <stp>Days=A</stp>
        <stp>Fill=B</stp>
        <stp>FX=USD</stp>
        <tr r="F979" s="3"/>
      </tp>
      <tp t="s">
        <v>#N/A Connection</v>
        <stp/>
        <stp>##V3_BDHV12</stp>
        <stp>RNO FP Equity</stp>
        <stp>RR937</stp>
        <stp>-60CQ</stp>
        <stp>3/31/2019</stp>
        <stp>[BI_AUTMG_1_2nbtcwcs.xlsx]ReferenceData!R899C6</stp>
        <stp>Per=CQ</stp>
        <stp>Dts=H</stp>
        <stp>Dir=H</stp>
        <stp>Points=60</stp>
        <stp>Sort=R</stp>
        <stp>Days=A</stp>
        <stp>Fill=B</stp>
        <stp>FX=USD</stp>
        <tr r="F899" s="3"/>
      </tp>
      <tp t="s">
        <v>#N/A Connection</v>
        <stp/>
        <stp>##V3_BDHV12</stp>
        <stp>TSLA US Equity</stp>
        <stp>RR844</stp>
        <stp>-60CQ</stp>
        <stp>3/31/2019</stp>
        <stp>[BI_AUTMG_1_2nbtcwcs.xlsx]ReferenceData!R547C6</stp>
        <stp>Per=CQ</stp>
        <stp>Dts=H</stp>
        <stp>Dir=H</stp>
        <stp>Points=60</stp>
        <stp>Sort=R</stp>
        <stp>Days=A</stp>
        <stp>Fill=B</stp>
        <stp>FX=USD</stp>
        <tr r="F547" s="3"/>
      </tp>
      <tp t="s">
        <v>#N/A Connection</v>
        <stp/>
        <stp>##V3_BDHV12</stp>
        <stp>TSLA US Equity</stp>
        <stp>RR843</stp>
        <stp>-60CQ</stp>
        <stp>3/31/2019</stp>
        <stp>[BI_AUTMG_1_2nbtcwcs.xlsx]ReferenceData!R747C6</stp>
        <stp>Per=CQ</stp>
        <stp>Dts=H</stp>
        <stp>Dir=H</stp>
        <stp>Points=60</stp>
        <stp>Sort=R</stp>
        <stp>Days=A</stp>
        <stp>Fill=B</stp>
        <stp>FX=USD</stp>
        <tr r="F747" s="3"/>
      </tp>
      <tp t="s">
        <v>#N/A Connection</v>
        <stp/>
        <stp>##V3_BDHV12</stp>
        <stp>TSLA US Equity</stp>
        <stp>RR841</stp>
        <stp>-60CQ</stp>
        <stp>3/31/2019</stp>
        <stp>[BI_AUTMG_1_2nbtcwcs.xlsx]ReferenceData!R667C6</stp>
        <stp>Per=CQ</stp>
        <stp>Dts=H</stp>
        <stp>Dir=H</stp>
        <stp>Points=60</stp>
        <stp>Sort=R</stp>
        <stp>Days=A</stp>
        <stp>Fill=B</stp>
        <stp>FX=USD</stp>
        <tr r="F667" s="3"/>
      </tp>
      <tp t="s">
        <v>#N/A Connection</v>
        <stp/>
        <stp>##V3_BDHV12</stp>
        <stp>TSLA US Equity</stp>
        <stp>RR800</stp>
        <stp>-60CQ</stp>
        <stp>3/31/2019</stp>
        <stp>[BI_AUTMG_1_2nbtcwcs.xlsx]ReferenceData!R707C6</stp>
        <stp>Per=CQ</stp>
        <stp>Dts=H</stp>
        <stp>Dir=H</stp>
        <stp>Points=60</stp>
        <stp>Sort=R</stp>
        <stp>Days=A</stp>
        <stp>Fill=B</stp>
        <stp>FX=USD</stp>
        <tr r="F707" s="3"/>
      </tp>
      <tp t="s">
        <v>#N/A Connection</v>
        <stp/>
        <stp>##V3_BDHV12</stp>
        <stp>NSU GR Equity</stp>
        <stp>RR844</stp>
        <stp>-60CQ</stp>
        <stp>3/31/2019</stp>
        <stp>[BI_AUTMG_1_2nbtcwcs.xlsx]ReferenceData!R1013C3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013" s="3"/>
      </tp>
      <tp t="s">
        <v>#N/A Connection</v>
        <stp/>
        <stp>##V3_BDHV12</stp>
        <stp>NSU GR Equity</stp>
        <stp>RR844</stp>
        <stp>-60CQ</stp>
        <stp>3/31/2019</stp>
        <stp>[BI_AUTMG_1_2nbtcwcs.xlsx]ReferenceData!R1005C3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005" s="3"/>
      </tp>
      <tp t="s">
        <v>#N/A Connection</v>
        <stp/>
        <stp>##V3_BDHV12</stp>
        <stp>RNO FP Equity</stp>
        <stp>RR800</stp>
        <stp>-60CQ</stp>
        <stp>3/31/2019</stp>
        <stp>[BI_AUTMG_1_2nbtcwcs.xlsx]ReferenceData!R699C6</stp>
        <stp>Per=CQ</stp>
        <stp>Dts=H</stp>
        <stp>Dir=H</stp>
        <stp>Points=60</stp>
        <stp>Sort=R</stp>
        <stp>Days=A</stp>
        <stp>Fill=B</stp>
        <stp>FX=USD</stp>
        <tr r="F699" s="3"/>
      </tp>
      <tp t="s">
        <v>#N/A Connection</v>
        <stp/>
        <stp>##V3_BDHV12</stp>
        <stp>RNO FP Equity</stp>
        <stp>RR844</stp>
        <stp>-60CQ</stp>
        <stp>3/31/2019</stp>
        <stp>[BI_AUTMG_1_2nbtcwcs.xlsx]ReferenceData!R539C6</stp>
        <stp>Per=CQ</stp>
        <stp>Dts=H</stp>
        <stp>Dir=H</stp>
        <stp>Points=60</stp>
        <stp>Sort=R</stp>
        <stp>Days=A</stp>
        <stp>Fill=B</stp>
        <stp>FX=USD</stp>
        <tr r="F539" s="3"/>
      </tp>
      <tp t="s">
        <v>#N/A Connection</v>
        <stp/>
        <stp>##V3_BDHV12</stp>
        <stp>RNO FP Equity</stp>
        <stp>RR841</stp>
        <stp>-60CQ</stp>
        <stp>3/31/2019</stp>
        <stp>[BI_AUTMG_1_2nbtcwcs.xlsx]ReferenceData!R659C6</stp>
        <stp>Per=CQ</stp>
        <stp>Dts=H</stp>
        <stp>Dir=H</stp>
        <stp>Points=60</stp>
        <stp>Sort=R</stp>
        <stp>Days=A</stp>
        <stp>Fill=B</stp>
        <stp>FX=USD</stp>
        <tr r="F659" s="3"/>
      </tp>
      <tp t="s">
        <v>#N/A Connection</v>
        <stp/>
        <stp>##V3_BDHV12</stp>
        <stp>RNO FP Equity</stp>
        <stp>RR843</stp>
        <stp>-60CQ</stp>
        <stp>3/31/2019</stp>
        <stp>[BI_AUTMG_1_2nbtcwcs.xlsx]ReferenceData!R739C6</stp>
        <stp>Per=CQ</stp>
        <stp>Dts=H</stp>
        <stp>Dir=H</stp>
        <stp>Points=60</stp>
        <stp>Sort=R</stp>
        <stp>Days=A</stp>
        <stp>Fill=B</stp>
        <stp>FX=USD</stp>
        <tr r="F739" s="3"/>
      </tp>
      <tp t="s">
        <v>#N/A Connection</v>
        <stp/>
        <stp>##V3_BDHV12</stp>
        <stp>SVAV RM Equity</stp>
        <stp>RR937</stp>
        <stp>-60CQ</stp>
        <stp>3/31/2019</stp>
        <stp>[BI_AUTMG_1_2nbtcwcs.xlsx]ReferenceData!R902C6</stp>
        <stp>Per=CQ</stp>
        <stp>Dts=H</stp>
        <stp>Dir=H</stp>
        <stp>Points=60</stp>
        <stp>Sort=R</stp>
        <stp>Days=A</stp>
        <stp>Fill=B</stp>
        <stp>FX=USD</stp>
        <tr r="F902" s="3"/>
      </tp>
      <tp t="s">
        <v>#N/A Connection</v>
        <stp/>
        <stp>##V3_BDHV12</stp>
        <stp>AVAZ RM Equity</stp>
        <stp>RR937</stp>
        <stp>-60CQ</stp>
        <stp>3/31/2019</stp>
        <stp>[BI_AUTMG_1_2nbtcwcs.xlsx]ReferenceData!R874C6</stp>
        <stp>Per=CQ</stp>
        <stp>Dts=H</stp>
        <stp>Dir=H</stp>
        <stp>Points=60</stp>
        <stp>Sort=R</stp>
        <stp>Days=A</stp>
        <stp>Fill=B</stp>
        <stp>FX=USD</stp>
        <tr r="F874" s="3"/>
      </tp>
      <tp t="s">
        <v>#N/A Connection</v>
        <stp/>
        <stp>##V3_BDHV12</stp>
        <stp>SVAV RM Equity</stp>
        <stp>RR902</stp>
        <stp>-60CQ</stp>
        <stp>3/31/2019</stp>
        <stp>[BI_AUTMG_1_2nbtcwcs.xlsx]ReferenceData!R982C6</stp>
        <stp>Per=CQ</stp>
        <stp>Dts=H</stp>
        <stp>Dir=H</stp>
        <stp>Points=60</stp>
        <stp>Sort=R</stp>
        <stp>Days=A</stp>
        <stp>Fill=B</stp>
        <stp>FX=USD</stp>
        <tr r="F982" s="3"/>
      </tp>
      <tp t="s">
        <v>#N/A Connection</v>
        <stp/>
        <stp>##V3_BDHV12</stp>
        <stp>AVAZ RM Equity</stp>
        <stp>RR902</stp>
        <stp>-60CQ</stp>
        <stp>3/31/2019</stp>
        <stp>[BI_AUTMG_1_2nbtcwcs.xlsx]ReferenceData!R954C6</stp>
        <stp>Per=CQ</stp>
        <stp>Dts=H</stp>
        <stp>Dir=H</stp>
        <stp>Points=60</stp>
        <stp>Sort=R</stp>
        <stp>Days=A</stp>
        <stp>Fill=B</stp>
        <stp>FX=USD</stp>
        <tr r="F954" s="3"/>
      </tp>
      <tp t="s">
        <v>#N/A Connection</v>
        <stp/>
        <stp>##V3_BDHV12</stp>
        <stp>GM US Equity</stp>
        <stp>PR005</stp>
        <stp>-60CQ</stp>
        <stp>3/31/2019</stp>
        <stp>[BI_AUTMG_1_2nbtcwcs.xlsx]ReferenceData!R929C6</stp>
        <stp>Per=CQ</stp>
        <stp>Dts=H</stp>
        <stp>Dir=H</stp>
        <stp>Points=60</stp>
        <stp>Sort=R</stp>
        <stp>Days=A</stp>
        <stp>Fill=B</stp>
        <stp>FX=USD</stp>
        <tr r="F929" s="3"/>
      </tp>
      <tp t="s">
        <v>#N/A Connection</v>
        <stp/>
        <stp>##V3_BDHV12</stp>
        <stp>GM US Equity</stp>
        <stp>EZ019</stp>
        <stp>-60CQ</stp>
        <stp>3/31/2019</stp>
        <stp>[BI_AUTMG_1_2nbtcwcs.xlsx]ReferenceData!R569C6</stp>
        <stp>Per=CQ</stp>
        <stp>Dts=H</stp>
        <stp>Dir=H</stp>
        <stp>Points=60</stp>
        <stp>Sort=R</stp>
        <stp>Days=A</stp>
        <stp>Fill=B</stp>
        <stp>FX=USD</stp>
        <tr r="F569" s="3"/>
      </tp>
      <tp t="s">
        <v>#N/A Connection</v>
        <stp/>
        <stp>##V3_BDHV12</stp>
        <stp>GM US Equity</stp>
        <stp>EZ021</stp>
        <stp>-60CQ</stp>
        <stp>3/31/2019</stp>
        <stp>[BI_AUTMG_1_2nbtcwcs.xlsx]ReferenceData!R609C6</stp>
        <stp>Per=CQ</stp>
        <stp>Dts=H</stp>
        <stp>Dir=H</stp>
        <stp>Points=60</stp>
        <stp>Sort=R</stp>
        <stp>Days=A</stp>
        <stp>Fill=B</stp>
        <stp>FX=USD</stp>
        <tr r="F609" s="3"/>
      </tp>
      <tp t="s">
        <v>#N/A Connection</v>
        <stp/>
        <stp>##V3_BDHV12</stp>
        <stp>GM US Equity</stp>
        <stp>RR010</stp>
        <stp>-60CQ</stp>
        <stp>3/31/2019</stp>
        <stp>[BI_AUTMG_1_2nbtcwcs.xlsx]ReferenceData!R769C6</stp>
        <stp>Per=CQ</stp>
        <stp>Dts=H</stp>
        <stp>Dir=H</stp>
        <stp>Points=60</stp>
        <stp>Sort=R</stp>
        <stp>Days=A</stp>
        <stp>Fill=B</stp>
        <stp>FX=USD</stp>
        <tr r="F769" s="3"/>
      </tp>
      <tp t="s">
        <v>#N/A Connection</v>
        <stp/>
        <stp>##V3_BDHV12</stp>
        <stp>AVAZ RM Equity</stp>
        <stp>RR841</stp>
        <stp>-60CQ</stp>
        <stp>3/31/2019</stp>
        <stp>[BI_AUTMG_1_2nbtcwcs.xlsx]ReferenceData!R634C6</stp>
        <stp>Per=CQ</stp>
        <stp>Dts=H</stp>
        <stp>Dir=H</stp>
        <stp>Points=60</stp>
        <stp>Sort=R</stp>
        <stp>Days=A</stp>
        <stp>Fill=B</stp>
        <stp>FX=USD</stp>
        <tr r="F634" s="3"/>
      </tp>
      <tp t="s">
        <v>#N/A Connection</v>
        <stp/>
        <stp>##V3_BDHV12</stp>
        <stp>SVAV RM Equity</stp>
        <stp>RR841</stp>
        <stp>-60CQ</stp>
        <stp>3/31/2019</stp>
        <stp>[BI_AUTMG_1_2nbtcwcs.xlsx]ReferenceData!R662C6</stp>
        <stp>Per=CQ</stp>
        <stp>Dts=H</stp>
        <stp>Dir=H</stp>
        <stp>Points=60</stp>
        <stp>Sort=R</stp>
        <stp>Days=A</stp>
        <stp>Fill=B</stp>
        <stp>FX=USD</stp>
        <tr r="F662" s="3"/>
      </tp>
      <tp t="s">
        <v>#N/A Connection</v>
        <stp/>
        <stp>##V3_BDHV12</stp>
        <stp>AVAZ RM Equity</stp>
        <stp>RR843</stp>
        <stp>-60CQ</stp>
        <stp>3/31/2019</stp>
        <stp>[BI_AUTMG_1_2nbtcwcs.xlsx]ReferenceData!R714C6</stp>
        <stp>Per=CQ</stp>
        <stp>Dts=H</stp>
        <stp>Dir=H</stp>
        <stp>Points=60</stp>
        <stp>Sort=R</stp>
        <stp>Days=A</stp>
        <stp>Fill=B</stp>
        <stp>FX=USD</stp>
        <tr r="F714" s="3"/>
      </tp>
      <tp t="s">
        <v>#N/A Connection</v>
        <stp/>
        <stp>##V3_BDHV12</stp>
        <stp>SVAV RM Equity</stp>
        <stp>RR843</stp>
        <stp>-60CQ</stp>
        <stp>3/31/2019</stp>
        <stp>[BI_AUTMG_1_2nbtcwcs.xlsx]ReferenceData!R742C6</stp>
        <stp>Per=CQ</stp>
        <stp>Dts=H</stp>
        <stp>Dir=H</stp>
        <stp>Points=60</stp>
        <stp>Sort=R</stp>
        <stp>Days=A</stp>
        <stp>Fill=B</stp>
        <stp>FX=USD</stp>
        <tr r="F742" s="3"/>
      </tp>
      <tp t="s">
        <v>#N/A Connection</v>
        <stp/>
        <stp>##V3_BDHV12</stp>
        <stp>AVAZ RM Equity</stp>
        <stp>RR844</stp>
        <stp>-60CQ</stp>
        <stp>3/31/2019</stp>
        <stp>[BI_AUTMG_1_2nbtcwcs.xlsx]ReferenceData!R514C6</stp>
        <stp>Per=CQ</stp>
        <stp>Dts=H</stp>
        <stp>Dir=H</stp>
        <stp>Points=60</stp>
        <stp>Sort=R</stp>
        <stp>Days=A</stp>
        <stp>Fill=B</stp>
        <stp>FX=USD</stp>
        <tr r="F514" s="3"/>
      </tp>
      <tp t="s">
        <v>#N/A Connection</v>
        <stp/>
        <stp>##V3_BDHV12</stp>
        <stp>SVAV RM Equity</stp>
        <stp>RR844</stp>
        <stp>-60CQ</stp>
        <stp>3/31/2019</stp>
        <stp>[BI_AUTMG_1_2nbtcwcs.xlsx]ReferenceData!R542C6</stp>
        <stp>Per=CQ</stp>
        <stp>Dts=H</stp>
        <stp>Dir=H</stp>
        <stp>Points=60</stp>
        <stp>Sort=R</stp>
        <stp>Days=A</stp>
        <stp>Fill=B</stp>
        <stp>FX=USD</stp>
        <tr r="F542" s="3"/>
      </tp>
      <tp t="s">
        <v>#N/A Connection</v>
        <stp/>
        <stp>##V3_BDHV12</stp>
        <stp>AVAZ RM Equity</stp>
        <stp>RR800</stp>
        <stp>-60CQ</stp>
        <stp>3/31/2019</stp>
        <stp>[BI_AUTMG_1_2nbtcwcs.xlsx]ReferenceData!R674C6</stp>
        <stp>Per=CQ</stp>
        <stp>Dts=H</stp>
        <stp>Dir=H</stp>
        <stp>Points=60</stp>
        <stp>Sort=R</stp>
        <stp>Days=A</stp>
        <stp>Fill=B</stp>
        <stp>FX=USD</stp>
        <tr r="F674" s="3"/>
      </tp>
      <tp t="s">
        <v>#N/A Connection</v>
        <stp/>
        <stp>##V3_BDHV12</stp>
        <stp>SVAV RM Equity</stp>
        <stp>RR800</stp>
        <stp>-60CQ</stp>
        <stp>3/31/2019</stp>
        <stp>[BI_AUTMG_1_2nbtcwcs.xlsx]ReferenceData!R702C6</stp>
        <stp>Per=CQ</stp>
        <stp>Dts=H</stp>
        <stp>Dir=H</stp>
        <stp>Points=60</stp>
        <stp>Sort=R</stp>
        <stp>Days=A</stp>
        <stp>Fill=B</stp>
        <stp>FX=USD</stp>
        <tr r="F702" s="3"/>
      </tp>
      <tp t="s">
        <v>#N/A Connection</v>
        <stp/>
        <stp>##V3_BDHV12</stp>
        <stp>GM US Equity</stp>
        <stp>RR179</stp>
        <stp>-60CQ</stp>
        <stp>3/31/2019</stp>
        <stp>[BI_AUTMG_1_2nbtcwcs.xlsx]ReferenceData!R809C6</stp>
        <stp>Per=CQ</stp>
        <stp>Dts=H</stp>
        <stp>Dir=H</stp>
        <stp>Points=60</stp>
        <stp>Sort=R</stp>
        <stp>Days=A</stp>
        <stp>Fill=B</stp>
        <stp>FX=USD</stp>
        <tr r="F809" s="3"/>
      </tp>
      <tp t="s">
        <v>#N/A Connection</v>
        <stp/>
        <stp>##V3_BDHV12</stp>
        <stp>F US Equity</stp>
        <stp>RX530</stp>
        <stp>-60CQ</stp>
        <stp>3/31/2019</stp>
        <stp>[BI_AUTMG_1_2nbtcwcs.xlsx]ReferenceData!R845C6</stp>
        <stp>Per=CQ</stp>
        <stp>Dts=H</stp>
        <stp>Dir=H</stp>
        <stp>Points=60</stp>
        <stp>Sort=R</stp>
        <stp>Days=A</stp>
        <stp>Fill=B</stp>
        <stp>FX=USD</stp>
        <tr r="F845" s="3"/>
      </tp>
      <tp t="s">
        <v>#N/A Connection</v>
        <stp/>
        <stp>##V3_BDHV12</stp>
        <stp>VOW GR Equity</stp>
        <stp>RR800</stp>
        <stp>-60CQ</stp>
        <stp>3/31/2019</stp>
        <stp>[BI_AUTMG_1_2nbtcwcs.xlsx]ReferenceData!R711C6</stp>
        <stp>Per=CQ</stp>
        <stp>Dts=H</stp>
        <stp>Dir=H</stp>
        <stp>Points=60</stp>
        <stp>Sort=R</stp>
        <stp>Days=A</stp>
        <stp>Fill=B</stp>
        <stp>FX=USD</stp>
        <tr r="F711" s="3"/>
      </tp>
      <tp t="s">
        <v>#N/A Connection</v>
        <stp/>
        <stp>##V3_BDHV12</stp>
        <stp>VOW GR Equity</stp>
        <stp>RR843</stp>
        <stp>-60CQ</stp>
        <stp>3/31/2019</stp>
        <stp>[BI_AUTMG_1_2nbtcwcs.xlsx]ReferenceData!R751C6</stp>
        <stp>Per=CQ</stp>
        <stp>Dts=H</stp>
        <stp>Dir=H</stp>
        <stp>Points=60</stp>
        <stp>Sort=R</stp>
        <stp>Days=A</stp>
        <stp>Fill=B</stp>
        <stp>FX=USD</stp>
        <tr r="F751" s="3"/>
      </tp>
      <tp t="s">
        <v>#N/A Connection</v>
        <stp/>
        <stp>##V3_BDHV12</stp>
        <stp>VOW GR Equity</stp>
        <stp>RR841</stp>
        <stp>-60CQ</stp>
        <stp>3/31/2019</stp>
        <stp>[BI_AUTMG_1_2nbtcwcs.xlsx]ReferenceData!R671C6</stp>
        <stp>Per=CQ</stp>
        <stp>Dts=H</stp>
        <stp>Dir=H</stp>
        <stp>Points=60</stp>
        <stp>Sort=R</stp>
        <stp>Days=A</stp>
        <stp>Fill=B</stp>
        <stp>FX=USD</stp>
        <tr r="F671" s="3"/>
      </tp>
      <tp t="s">
        <v>#N/A Connection</v>
        <stp/>
        <stp>##V3_BDHV12</stp>
        <stp>VOW GR Equity</stp>
        <stp>RR844</stp>
        <stp>-60CQ</stp>
        <stp>3/31/2019</stp>
        <stp>[BI_AUTMG_1_2nbtcwcs.xlsx]ReferenceData!R551C6</stp>
        <stp>Per=CQ</stp>
        <stp>Dts=H</stp>
        <stp>Dir=H</stp>
        <stp>Points=60</stp>
        <stp>Sort=R</stp>
        <stp>Days=A</stp>
        <stp>Fill=B</stp>
        <stp>FX=USD</stp>
        <tr r="F551" s="3"/>
      </tp>
      <tp t="s">
        <v>#N/A Connection</v>
        <stp/>
        <stp>##V3_BDHV12</stp>
        <stp>VOW GR Equity</stp>
        <stp>RR937</stp>
        <stp>-60CQ</stp>
        <stp>3/31/2019</stp>
        <stp>[BI_AUTMG_1_2nbtcwcs.xlsx]ReferenceData!R911C6</stp>
        <stp>Per=CQ</stp>
        <stp>Dts=H</stp>
        <stp>Dir=H</stp>
        <stp>Points=60</stp>
        <stp>Sort=R</stp>
        <stp>Days=A</stp>
        <stp>Fill=B</stp>
        <stp>FX=USD</stp>
        <tr r="F911" s="3"/>
      </tp>
      <tp t="s">
        <v>#N/A Connection</v>
        <stp/>
        <stp>##V3_BDHV12</stp>
        <stp>VOW GR Equity</stp>
        <stp>RR902</stp>
        <stp>-60CQ</stp>
        <stp>3/31/2019</stp>
        <stp>[BI_AUTMG_1_2nbtcwcs.xlsx]ReferenceData!R991C6</stp>
        <stp>Per=CQ</stp>
        <stp>Dts=H</stp>
        <stp>Dir=H</stp>
        <stp>Points=60</stp>
        <stp>Sort=R</stp>
        <stp>Days=A</stp>
        <stp>Fill=B</stp>
        <stp>FX=USD</stp>
        <tr r="F991" s="3"/>
      </tp>
      <tp t="s">
        <v>#N/A Connection</v>
        <stp/>
        <stp>##V3_BDHV12</stp>
        <stp>F US Equity</stp>
        <stp>RR010</stp>
        <stp>-60CQ</stp>
        <stp>3/31/2019</stp>
        <stp>[BI_AUTMG_1_2nbtcwcs.xlsx]ReferenceData!R765C6</stp>
        <stp>Per=CQ</stp>
        <stp>Dts=H</stp>
        <stp>Dir=H</stp>
        <stp>Points=60</stp>
        <stp>Sort=R</stp>
        <stp>Days=A</stp>
        <stp>Fill=B</stp>
        <stp>FX=USD</stp>
        <tr r="F765" s="3"/>
      </tp>
      <tp t="s">
        <v>#N/A Connection</v>
        <stp/>
        <stp>##V3_BDHV12</stp>
        <stp>F US Equity</stp>
        <stp>EZ021</stp>
        <stp>-60CQ</stp>
        <stp>3/31/2019</stp>
        <stp>[BI_AUTMG_1_2nbtcwcs.xlsx]ReferenceData!R605C6</stp>
        <stp>Per=CQ</stp>
        <stp>Dts=H</stp>
        <stp>Dir=H</stp>
        <stp>Points=60</stp>
        <stp>Sort=R</stp>
        <stp>Days=A</stp>
        <stp>Fill=B</stp>
        <stp>FX=USD</stp>
        <tr r="F605" s="3"/>
      </tp>
      <tp t="s">
        <v>#N/A Connection</v>
        <stp/>
        <stp>##V3_BDHV12</stp>
        <stp>F US Equity</stp>
        <stp>EZ019</stp>
        <stp>-60CQ</stp>
        <stp>3/31/2019</stp>
        <stp>[BI_AUTMG_1_2nbtcwcs.xlsx]ReferenceData!R565C6</stp>
        <stp>Per=CQ</stp>
        <stp>Dts=H</stp>
        <stp>Dir=H</stp>
        <stp>Points=60</stp>
        <stp>Sort=R</stp>
        <stp>Days=A</stp>
        <stp>Fill=B</stp>
        <stp>FX=USD</stp>
        <tr r="F565" s="3"/>
      </tp>
      <tp t="s">
        <v>#N/A Connection</v>
        <stp/>
        <stp>##V3_BDHV12</stp>
        <stp>F US Equity</stp>
        <stp>PR005</stp>
        <stp>-60CQ</stp>
        <stp>3/31/2019</stp>
        <stp>[BI_AUTMG_1_2nbtcwcs.xlsx]ReferenceData!R925C6</stp>
        <stp>Per=CQ</stp>
        <stp>Dts=H</stp>
        <stp>Dir=H</stp>
        <stp>Points=60</stp>
        <stp>Sort=R</stp>
        <stp>Days=A</stp>
        <stp>Fill=B</stp>
        <stp>FX=USD</stp>
        <tr r="F925" s="3"/>
      </tp>
      <tp t="s">
        <v>#N/A Connection</v>
        <stp/>
        <stp>##V3_BDHV12</stp>
        <stp>GM US Equity</stp>
        <stp>RX530</stp>
        <stp>-60CQ</stp>
        <stp>3/31/2019</stp>
        <stp>[BI_AUTMG_1_2nbtcwcs.xlsx]ReferenceData!R849C6</stp>
        <stp>Per=CQ</stp>
        <stp>Dts=H</stp>
        <stp>Dir=H</stp>
        <stp>Points=60</stp>
        <stp>Sort=R</stp>
        <stp>Days=A</stp>
        <stp>Fill=B</stp>
        <stp>FX=USD</stp>
        <tr r="F849" s="3"/>
      </tp>
      <tp t="s">
        <v>#N/A Connection</v>
        <stp/>
        <stp>##V3_BDHV12</stp>
        <stp>F US Equity</stp>
        <stp>RR179</stp>
        <stp>-60CQ</stp>
        <stp>3/31/2019</stp>
        <stp>[BI_AUTMG_1_2nbtcwcs.xlsx]ReferenceData!R805C6</stp>
        <stp>Per=CQ</stp>
        <stp>Dts=H</stp>
        <stp>Dir=H</stp>
        <stp>Points=60</stp>
        <stp>Sort=R</stp>
        <stp>Days=A</stp>
        <stp>Fill=B</stp>
        <stp>FX=USD</stp>
        <tr r="F805" s="3"/>
      </tp>
      <tp t="s">
        <v>#N/A Connection</v>
        <stp/>
        <stp>##V3_BDHV12</stp>
        <stp>000800 CH Equity</stp>
        <stp>RR844</stp>
        <stp>-60CQ</stp>
        <stp>3/31/2019</stp>
        <stp>[BI_AUTMG_1_2nbtcwcs.xlsx]ReferenceData!R523C6</stp>
        <stp>Per=CQ</stp>
        <stp>Dts=H</stp>
        <stp>Dir=H</stp>
        <stp>Points=60</stp>
        <stp>Sort=R</stp>
        <stp>Days=A</stp>
        <stp>Fill=B</stp>
        <stp>FX=USD</stp>
        <tr r="F523" s="3"/>
      </tp>
      <tp t="s">
        <v>#N/A Connection</v>
        <stp/>
        <stp>##V3_BDHV12</stp>
        <stp>000800 CH Equity</stp>
        <stp>RR841</stp>
        <stp>-60CQ</stp>
        <stp>3/31/2019</stp>
        <stp>[BI_AUTMG_1_2nbtcwcs.xlsx]ReferenceData!R643C6</stp>
        <stp>Per=CQ</stp>
        <stp>Dts=H</stp>
        <stp>Dir=H</stp>
        <stp>Points=60</stp>
        <stp>Sort=R</stp>
        <stp>Days=A</stp>
        <stp>Fill=B</stp>
        <stp>FX=USD</stp>
        <tr r="F643" s="3"/>
      </tp>
      <tp t="s">
        <v>#N/A Connection</v>
        <stp/>
        <stp>##V3_BDHV12</stp>
        <stp>000800 CH Equity</stp>
        <stp>RR843</stp>
        <stp>-60CQ</stp>
        <stp>3/31/2019</stp>
        <stp>[BI_AUTMG_1_2nbtcwcs.xlsx]ReferenceData!R723C6</stp>
        <stp>Per=CQ</stp>
        <stp>Dts=H</stp>
        <stp>Dir=H</stp>
        <stp>Points=60</stp>
        <stp>Sort=R</stp>
        <stp>Days=A</stp>
        <stp>Fill=B</stp>
        <stp>FX=USD</stp>
        <tr r="F723" s="3"/>
      </tp>
      <tp t="s">
        <v>#N/A Connection</v>
        <stp/>
        <stp>##V3_BDHV12</stp>
        <stp>000800 CH Equity</stp>
        <stp>RR800</stp>
        <stp>-60CQ</stp>
        <stp>3/31/2019</stp>
        <stp>[BI_AUTMG_1_2nbtcwcs.xlsx]ReferenceData!R683C6</stp>
        <stp>Per=CQ</stp>
        <stp>Dts=H</stp>
        <stp>Dir=H</stp>
        <stp>Points=60</stp>
        <stp>Sort=R</stp>
        <stp>Days=A</stp>
        <stp>Fill=B</stp>
        <stp>FX=USD</stp>
        <tr r="F683" s="3"/>
      </tp>
      <tp t="s">
        <v>#N/A Connection</v>
        <stp/>
        <stp>##V3_BDHV12</stp>
        <stp>000927 CH Equity</stp>
        <stp>RR937</stp>
        <stp>-60CQ</stp>
        <stp>3/31/2019</stp>
        <stp>[BI_AUTMG_1_2nbtcwcs.xlsx]ReferenceData!R908C6</stp>
        <stp>Per=CQ</stp>
        <stp>Dts=H</stp>
        <stp>Dir=H</stp>
        <stp>Points=60</stp>
        <stp>Sort=R</stp>
        <stp>Days=A</stp>
        <stp>Fill=B</stp>
        <stp>FX=USD</stp>
        <tr r="F908" s="3"/>
      </tp>
      <tp t="s">
        <v>#N/A Connection</v>
        <stp/>
        <stp>##V3_BDHV12</stp>
        <stp>600104 CH Equity</stp>
        <stp>RR179</stp>
        <stp>-60CQ</stp>
        <stp>3/31/2019</stp>
        <stp>[BI_AUTMG_1_2nbtcwcs.xlsx]ReferenceData!R820C6</stp>
        <stp>Per=CQ</stp>
        <stp>Dts=H</stp>
        <stp>Dir=H</stp>
        <stp>Points=60</stp>
        <stp>Sort=R</stp>
        <stp>Days=A</stp>
        <stp>Fill=B</stp>
        <stp>FX=USD</stp>
        <tr r="F820" s="3"/>
      </tp>
      <tp t="s">
        <v>#N/A Connection</v>
        <stp/>
        <stp>##V3_BDHV12</stp>
        <stp>000927 CH Equity</stp>
        <stp>RR902</stp>
        <stp>-60CQ</stp>
        <stp>3/31/2019</stp>
        <stp>[BI_AUTMG_1_2nbtcwcs.xlsx]ReferenceData!R988C6</stp>
        <stp>Per=CQ</stp>
        <stp>Dts=H</stp>
        <stp>Dir=H</stp>
        <stp>Points=60</stp>
        <stp>Sort=R</stp>
        <stp>Days=A</stp>
        <stp>Fill=B</stp>
        <stp>FX=USD</stp>
        <tr r="F988" s="3"/>
      </tp>
      <tp t="s">
        <v>#N/A Connection</v>
        <stp/>
        <stp>##V3_BDHV12</stp>
        <stp>000927 CH Equity</stp>
        <stp>RR841</stp>
        <stp>-60CQ</stp>
        <stp>3/31/2019</stp>
        <stp>[BI_AUTMG_1_2nbtcwcs.xlsx]ReferenceData!R668C6</stp>
        <stp>Per=CQ</stp>
        <stp>Dts=H</stp>
        <stp>Dir=H</stp>
        <stp>Points=60</stp>
        <stp>Sort=R</stp>
        <stp>Days=A</stp>
        <stp>Fill=B</stp>
        <stp>FX=USD</stp>
        <tr r="F668" s="3"/>
      </tp>
      <tp t="s">
        <v>#N/A Connection</v>
        <stp/>
        <stp>##V3_BDHV12</stp>
        <stp>600104 CH Equity</stp>
        <stp>RR010</stp>
        <stp>-60CQ</stp>
        <stp>3/31/2019</stp>
        <stp>[BI_AUTMG_1_2nbtcwcs.xlsx]ReferenceData!R780C6</stp>
        <stp>Per=CQ</stp>
        <stp>Dts=H</stp>
        <stp>Dir=H</stp>
        <stp>Points=60</stp>
        <stp>Sort=R</stp>
        <stp>Days=A</stp>
        <stp>Fill=B</stp>
        <stp>FX=USD</stp>
        <tr r="F780" s="3"/>
      </tp>
      <tp t="s">
        <v>#N/A Connection</v>
        <stp/>
        <stp>##V3_BDHV12</stp>
        <stp>000927 CH Equity</stp>
        <stp>RR843</stp>
        <stp>-60CQ</stp>
        <stp>3/31/2019</stp>
        <stp>[BI_AUTMG_1_2nbtcwcs.xlsx]ReferenceData!R748C6</stp>
        <stp>Per=CQ</stp>
        <stp>Dts=H</stp>
        <stp>Dir=H</stp>
        <stp>Points=60</stp>
        <stp>Sort=R</stp>
        <stp>Days=A</stp>
        <stp>Fill=B</stp>
        <stp>FX=USD</stp>
        <tr r="F748" s="3"/>
      </tp>
      <tp t="s">
        <v>#N/A Connection</v>
        <stp/>
        <stp>##V3_BDHV12</stp>
        <stp>600104 CH Equity</stp>
        <stp>EZ019</stp>
        <stp>-60CQ</stp>
        <stp>3/31/2019</stp>
        <stp>[BI_AUTMG_1_2nbtcwcs.xlsx]ReferenceData!R580C6</stp>
        <stp>Per=CQ</stp>
        <stp>Dts=H</stp>
        <stp>Dir=H</stp>
        <stp>Points=60</stp>
        <stp>Sort=R</stp>
        <stp>Days=A</stp>
        <stp>Fill=B</stp>
        <stp>FX=USD</stp>
        <tr r="F580" s="3"/>
      </tp>
      <tp t="s">
        <v>#N/A Connection</v>
        <stp/>
        <stp>##V3_BDHV12</stp>
        <stp>600104 CH Equity</stp>
        <stp>EZ021</stp>
        <stp>-60CQ</stp>
        <stp>3/31/2019</stp>
        <stp>[BI_AUTMG_1_2nbtcwcs.xlsx]ReferenceData!R620C6</stp>
        <stp>Per=CQ</stp>
        <stp>Dts=H</stp>
        <stp>Dir=H</stp>
        <stp>Points=60</stp>
        <stp>Sort=R</stp>
        <stp>Days=A</stp>
        <stp>Fill=B</stp>
        <stp>FX=USD</stp>
        <tr r="F620" s="3"/>
      </tp>
      <tp t="s">
        <v>#N/A Connection</v>
        <stp/>
        <stp>##V3_BDHV12</stp>
        <stp>000927 CH Equity</stp>
        <stp>RR844</stp>
        <stp>-60CQ</stp>
        <stp>3/31/2019</stp>
        <stp>[BI_AUTMG_1_2nbtcwcs.xlsx]ReferenceData!R548C6</stp>
        <stp>Per=CQ</stp>
        <stp>Dts=H</stp>
        <stp>Dir=H</stp>
        <stp>Points=60</stp>
        <stp>Sort=R</stp>
        <stp>Days=A</stp>
        <stp>Fill=B</stp>
        <stp>FX=USD</stp>
        <tr r="F548" s="3"/>
      </tp>
      <tp t="s">
        <v>#N/A Connection</v>
        <stp/>
        <stp>##V3_BDHV12</stp>
        <stp>000927 CH Equity</stp>
        <stp>RR800</stp>
        <stp>-60CQ</stp>
        <stp>3/31/2019</stp>
        <stp>[BI_AUTMG_1_2nbtcwcs.xlsx]ReferenceData!R708C6</stp>
        <stp>Per=CQ</stp>
        <stp>Dts=H</stp>
        <stp>Dir=H</stp>
        <stp>Points=60</stp>
        <stp>Sort=R</stp>
        <stp>Days=A</stp>
        <stp>Fill=B</stp>
        <stp>FX=USD</stp>
        <tr r="F708" s="3"/>
      </tp>
      <tp t="s">
        <v>#N/A Connection</v>
        <stp/>
        <stp>##V3_BDHV12</stp>
        <stp>000800 CH Equity</stp>
        <stp>RR902</stp>
        <stp>-60CQ</stp>
        <stp>3/31/2019</stp>
        <stp>[BI_AUTMG_1_2nbtcwcs.xlsx]ReferenceData!R963C6</stp>
        <stp>Per=CQ</stp>
        <stp>Dts=H</stp>
        <stp>Dir=H</stp>
        <stp>Points=60</stp>
        <stp>Sort=R</stp>
        <stp>Days=A</stp>
        <stp>Fill=B</stp>
        <stp>FX=USD</stp>
        <tr r="F963" s="3"/>
      </tp>
      <tp t="s">
        <v>#N/A Connection</v>
        <stp/>
        <stp>##V3_BDHV12</stp>
        <stp>000800 CH Equity</stp>
        <stp>RR937</stp>
        <stp>-60CQ</stp>
        <stp>3/31/2019</stp>
        <stp>[BI_AUTMG_1_2nbtcwcs.xlsx]ReferenceData!R883C6</stp>
        <stp>Per=CQ</stp>
        <stp>Dts=H</stp>
        <stp>Dir=H</stp>
        <stp>Points=60</stp>
        <stp>Sort=R</stp>
        <stp>Days=A</stp>
        <stp>Fill=B</stp>
        <stp>FX=USD</stp>
        <tr r="F883" s="3"/>
      </tp>
      <tp t="s">
        <v>#N/A Connection</v>
        <stp/>
        <stp>##V3_BDHV12</stp>
        <stp>600104 CH Equity</stp>
        <stp>PR005</stp>
        <stp>-60CQ</stp>
        <stp>3/31/2019</stp>
        <stp>[BI_AUTMG_1_2nbtcwcs.xlsx]ReferenceData!R940C6</stp>
        <stp>Per=CQ</stp>
        <stp>Dts=H</stp>
        <stp>Dir=H</stp>
        <stp>Points=60</stp>
        <stp>Sort=R</stp>
        <stp>Days=A</stp>
        <stp>Fill=B</stp>
        <stp>FX=USD</stp>
        <tr r="F940" s="3"/>
      </tp>
      <tp t="s">
        <v>#N/A Connection</v>
        <stp/>
        <stp>##V3_BDHV12</stp>
        <stp>005380 KS Equity</stp>
        <stp>RR937</stp>
        <stp>-60CQ</stp>
        <stp>3/31/2019</stp>
        <stp>[BI_AUTMG_1_2nbtcwcs.xlsx]ReferenceData!R893C6</stp>
        <stp>Per=CQ</stp>
        <stp>Dts=H</stp>
        <stp>Dir=H</stp>
        <stp>Points=60</stp>
        <stp>Sort=R</stp>
        <stp>Days=A</stp>
        <stp>Fill=B</stp>
        <stp>FX=USD</stp>
        <tr r="F893" s="3"/>
      </tp>
      <tp t="s">
        <v>#N/A Connection</v>
        <stp/>
        <stp>##V3_BDHV12</stp>
        <stp>005380 KS Equity</stp>
        <stp>RR902</stp>
        <stp>-60CQ</stp>
        <stp>3/31/2019</stp>
        <stp>[BI_AUTMG_1_2nbtcwcs.xlsx]ReferenceData!R973C6</stp>
        <stp>Per=CQ</stp>
        <stp>Dts=H</stp>
        <stp>Dir=H</stp>
        <stp>Points=60</stp>
        <stp>Sort=R</stp>
        <stp>Days=A</stp>
        <stp>Fill=B</stp>
        <stp>FX=USD</stp>
        <tr r="F973" s="3"/>
      </tp>
      <tp t="s">
        <v>#N/A Connection</v>
        <stp/>
        <stp>##V3_BDHV12</stp>
        <stp>000270 KS Equity</stp>
        <stp>RR800</stp>
        <stp>-60CQ</stp>
        <stp>3/31/2019</stp>
        <stp>[BI_AUTMG_1_2nbtcwcs.xlsx]ReferenceData!R694C6</stp>
        <stp>Per=CQ</stp>
        <stp>Dts=H</stp>
        <stp>Dir=H</stp>
        <stp>Points=60</stp>
        <stp>Sort=R</stp>
        <stp>Days=A</stp>
        <stp>Fill=B</stp>
        <stp>FX=USD</stp>
        <tr r="F694" s="3"/>
      </tp>
      <tp t="s">
        <v>#N/A Connection</v>
        <stp/>
        <stp>##V3_BDHV12</stp>
        <stp>000270 KS Equity</stp>
        <stp>RR844</stp>
        <stp>-60CQ</stp>
        <stp>3/31/2019</stp>
        <stp>[BI_AUTMG_1_2nbtcwcs.xlsx]ReferenceData!R534C6</stp>
        <stp>Per=CQ</stp>
        <stp>Dts=H</stp>
        <stp>Dir=H</stp>
        <stp>Points=60</stp>
        <stp>Sort=R</stp>
        <stp>Days=A</stp>
        <stp>Fill=B</stp>
        <stp>FX=USD</stp>
        <tr r="F534" s="3"/>
      </tp>
      <tp t="s">
        <v>#N/A Connection</v>
        <stp/>
        <stp>##V3_BDHV12</stp>
        <stp>000270 KS Equity</stp>
        <stp>RR841</stp>
        <stp>-60CQ</stp>
        <stp>3/31/2019</stp>
        <stp>[BI_AUTMG_1_2nbtcwcs.xlsx]ReferenceData!R654C6</stp>
        <stp>Per=CQ</stp>
        <stp>Dts=H</stp>
        <stp>Dir=H</stp>
        <stp>Points=60</stp>
        <stp>Sort=R</stp>
        <stp>Days=A</stp>
        <stp>Fill=B</stp>
        <stp>FX=USD</stp>
        <tr r="F654" s="3"/>
      </tp>
      <tp t="s">
        <v>#N/A Connection</v>
        <stp/>
        <stp>##V3_BDHV12</stp>
        <stp>000270 KS Equity</stp>
        <stp>RR843</stp>
        <stp>-60CQ</stp>
        <stp>3/31/2019</stp>
        <stp>[BI_AUTMG_1_2nbtcwcs.xlsx]ReferenceData!R734C6</stp>
        <stp>Per=CQ</stp>
        <stp>Dts=H</stp>
        <stp>Dir=H</stp>
        <stp>Points=60</stp>
        <stp>Sort=R</stp>
        <stp>Days=A</stp>
        <stp>Fill=B</stp>
        <stp>FX=USD</stp>
        <tr r="F734" s="3"/>
      </tp>
      <tp t="s">
        <v>#N/A Connection</v>
        <stp/>
        <stp>##V3_BDHV12</stp>
        <stp>005380 KS Equity</stp>
        <stp>RR843</stp>
        <stp>-60CQ</stp>
        <stp>3/31/2019</stp>
        <stp>[BI_AUTMG_1_2nbtcwcs.xlsx]ReferenceData!R733C6</stp>
        <stp>Per=CQ</stp>
        <stp>Dts=H</stp>
        <stp>Dir=H</stp>
        <stp>Points=60</stp>
        <stp>Sort=R</stp>
        <stp>Days=A</stp>
        <stp>Fill=B</stp>
        <stp>FX=USD</stp>
        <tr r="F733" s="3"/>
      </tp>
      <tp t="s">
        <v>#N/A Connection</v>
        <stp/>
        <stp>##V3_BDHV12</stp>
        <stp>005380 KS Equity</stp>
        <stp>RR841</stp>
        <stp>-60CQ</stp>
        <stp>3/31/2019</stp>
        <stp>[BI_AUTMG_1_2nbtcwcs.xlsx]ReferenceData!R653C6</stp>
        <stp>Per=CQ</stp>
        <stp>Dts=H</stp>
        <stp>Dir=H</stp>
        <stp>Points=60</stp>
        <stp>Sort=R</stp>
        <stp>Days=A</stp>
        <stp>Fill=B</stp>
        <stp>FX=USD</stp>
        <tr r="F653" s="3"/>
      </tp>
      <tp t="s">
        <v>#N/A Connection</v>
        <stp/>
        <stp>##V3_BDHV12</stp>
        <stp>005380 KS Equity</stp>
        <stp>RR844</stp>
        <stp>-60CQ</stp>
        <stp>3/31/2019</stp>
        <stp>[BI_AUTMG_1_2nbtcwcs.xlsx]ReferenceData!R533C6</stp>
        <stp>Per=CQ</stp>
        <stp>Dts=H</stp>
        <stp>Dir=H</stp>
        <stp>Points=60</stp>
        <stp>Sort=R</stp>
        <stp>Days=A</stp>
        <stp>Fill=B</stp>
        <stp>FX=USD</stp>
        <tr r="F533" s="3"/>
      </tp>
      <tp t="s">
        <v>#N/A Connection</v>
        <stp/>
        <stp>##V3_BDHV12</stp>
        <stp>000270 KS Equity</stp>
        <stp>RR902</stp>
        <stp>-60CQ</stp>
        <stp>3/31/2019</stp>
        <stp>[BI_AUTMG_1_2nbtcwcs.xlsx]ReferenceData!R974C6</stp>
        <stp>Per=CQ</stp>
        <stp>Dts=H</stp>
        <stp>Dir=H</stp>
        <stp>Points=60</stp>
        <stp>Sort=R</stp>
        <stp>Days=A</stp>
        <stp>Fill=B</stp>
        <stp>FX=USD</stp>
        <tr r="F974" s="3"/>
      </tp>
      <tp t="s">
        <v>#N/A Connection</v>
        <stp/>
        <stp>##V3_BDHV12</stp>
        <stp>005380 KS Equity</stp>
        <stp>RR800</stp>
        <stp>-60CQ</stp>
        <stp>3/31/2019</stp>
        <stp>[BI_AUTMG_1_2nbtcwcs.xlsx]ReferenceData!R693C6</stp>
        <stp>Per=CQ</stp>
        <stp>Dts=H</stp>
        <stp>Dir=H</stp>
        <stp>Points=60</stp>
        <stp>Sort=R</stp>
        <stp>Days=A</stp>
        <stp>Fill=B</stp>
        <stp>FX=USD</stp>
        <tr r="F693" s="3"/>
      </tp>
      <tp t="s">
        <v>#N/A Connection</v>
        <stp/>
        <stp>##V3_BDHV12</stp>
        <stp>000270 KS Equity</stp>
        <stp>RR937</stp>
        <stp>-60CQ</stp>
        <stp>3/31/2019</stp>
        <stp>[BI_AUTMG_1_2nbtcwcs.xlsx]ReferenceData!R894C6</stp>
        <stp>Per=CQ</stp>
        <stp>Dts=H</stp>
        <stp>Dir=H</stp>
        <stp>Points=60</stp>
        <stp>Sort=R</stp>
        <stp>Days=A</stp>
        <stp>Fill=B</stp>
        <stp>FX=USD</stp>
        <tr r="F894" s="3"/>
      </tp>
      <tp t="s">
        <v>#N/A Connection</v>
        <stp/>
        <stp>##V3_BDHV12</stp>
        <stp>200625 CH Equity</stp>
        <stp>RX530</stp>
        <stp>-60CQ</stp>
        <stp>3/31/2019</stp>
        <stp>[BI_AUTMG_1_2nbtcwcs.xlsx]ReferenceData!R838C6</stp>
        <stp>Per=CQ</stp>
        <stp>Dts=H</stp>
        <stp>Dir=H</stp>
        <stp>Points=60</stp>
        <stp>Sort=R</stp>
        <stp>Days=A</stp>
        <stp>Fill=B</stp>
        <stp>FX=USD</stp>
        <tr r="F838" s="3"/>
      </tp>
      <tp t="s">
        <v>#N/A Connection</v>
        <stp/>
        <stp>##V3_BDHV12</stp>
        <stp>600104 CH Equity</stp>
        <stp>RX530</stp>
        <stp>-60CQ</stp>
        <stp>3/31/2019</stp>
        <stp>[BI_AUTMG_1_2nbtcwcs.xlsx]ReferenceData!R860C6</stp>
        <stp>Per=CQ</stp>
        <stp>Dts=H</stp>
        <stp>Dir=H</stp>
        <stp>Points=60</stp>
        <stp>Sort=R</stp>
        <stp>Days=A</stp>
        <stp>Fill=B</stp>
        <stp>FX=USD</stp>
        <tr r="F860" s="3"/>
      </tp>
      <tp t="s">
        <v>#N/A Connection</v>
        <stp/>
        <stp>##V3_BDHV12</stp>
        <stp>003620 KS Equity</stp>
        <stp>RR844</stp>
        <stp>-60CQ</stp>
        <stp>3/31/2019</stp>
        <stp>[BI_AUTMG_1_2nbtcwcs.xlsx]ReferenceData!R543C6</stp>
        <stp>Per=CQ</stp>
        <stp>Dts=H</stp>
        <stp>Dir=H</stp>
        <stp>Points=60</stp>
        <stp>Sort=R</stp>
        <stp>Days=A</stp>
        <stp>Fill=B</stp>
        <stp>FX=USD</stp>
        <tr r="F543" s="3"/>
      </tp>
      <tp t="s">
        <v>#N/A Connection</v>
        <stp/>
        <stp>##V3_BDHV12</stp>
        <stp>003620 KS Equity</stp>
        <stp>RR843</stp>
        <stp>-60CQ</stp>
        <stp>3/31/2019</stp>
        <stp>[BI_AUTMG_1_2nbtcwcs.xlsx]ReferenceData!R743C6</stp>
        <stp>Per=CQ</stp>
        <stp>Dts=H</stp>
        <stp>Dir=H</stp>
        <stp>Points=60</stp>
        <stp>Sort=R</stp>
        <stp>Days=A</stp>
        <stp>Fill=B</stp>
        <stp>FX=USD</stp>
        <tr r="F743" s="3"/>
      </tp>
      <tp t="s">
        <v>#N/A Connection</v>
        <stp/>
        <stp>##V3_BDHV12</stp>
        <stp>003620 KS Equity</stp>
        <stp>RR841</stp>
        <stp>-60CQ</stp>
        <stp>3/31/2019</stp>
        <stp>[BI_AUTMG_1_2nbtcwcs.xlsx]ReferenceData!R663C6</stp>
        <stp>Per=CQ</stp>
        <stp>Dts=H</stp>
        <stp>Dir=H</stp>
        <stp>Points=60</stp>
        <stp>Sort=R</stp>
        <stp>Days=A</stp>
        <stp>Fill=B</stp>
        <stp>FX=USD</stp>
        <tr r="F663" s="3"/>
      </tp>
      <tp t="s">
        <v>#N/A Connection</v>
        <stp/>
        <stp>##V3_BDHV12</stp>
        <stp>003620 KS Equity</stp>
        <stp>RR800</stp>
        <stp>-60CQ</stp>
        <stp>3/31/2019</stp>
        <stp>[BI_AUTMG_1_2nbtcwcs.xlsx]ReferenceData!R703C6</stp>
        <stp>Per=CQ</stp>
        <stp>Dts=H</stp>
        <stp>Dir=H</stp>
        <stp>Points=60</stp>
        <stp>Sort=R</stp>
        <stp>Days=A</stp>
        <stp>Fill=B</stp>
        <stp>FX=USD</stp>
        <tr r="F703" s="3"/>
      </tp>
      <tp t="s">
        <v>#N/A Connection</v>
        <stp/>
        <stp>##V3_BDHV12</stp>
        <stp>200625 CH Equity</stp>
        <stp>EZ019</stp>
        <stp>-60CQ</stp>
        <stp>3/31/2019</stp>
        <stp>[BI_AUTMG_1_2nbtcwcs.xlsx]ReferenceData!R558C6</stp>
        <stp>Per=CQ</stp>
        <stp>Dts=H</stp>
        <stp>Dir=H</stp>
        <stp>Points=60</stp>
        <stp>Sort=R</stp>
        <stp>Days=A</stp>
        <stp>Fill=B</stp>
        <stp>FX=USD</stp>
        <tr r="F558" s="3"/>
      </tp>
      <tp t="s">
        <v>#N/A Connection</v>
        <stp/>
        <stp>##V3_BDHV12</stp>
        <stp>200625 CH Equity</stp>
        <stp>RR010</stp>
        <stp>-60CQ</stp>
        <stp>3/31/2019</stp>
        <stp>[BI_AUTMG_1_2nbtcwcs.xlsx]ReferenceData!R758C6</stp>
        <stp>Per=CQ</stp>
        <stp>Dts=H</stp>
        <stp>Dir=H</stp>
        <stp>Points=60</stp>
        <stp>Sort=R</stp>
        <stp>Days=A</stp>
        <stp>Fill=B</stp>
        <stp>FX=USD</stp>
        <tr r="F758" s="3"/>
      </tp>
      <tp t="s">
        <v>#N/A Connection</v>
        <stp/>
        <stp>##V3_BDHV12</stp>
        <stp>200625 CH Equity</stp>
        <stp>EZ021</stp>
        <stp>-60CQ</stp>
        <stp>3/31/2019</stp>
        <stp>[BI_AUTMG_1_2nbtcwcs.xlsx]ReferenceData!R598C6</stp>
        <stp>Per=CQ</stp>
        <stp>Dts=H</stp>
        <stp>Dir=H</stp>
        <stp>Points=60</stp>
        <stp>Sort=R</stp>
        <stp>Days=A</stp>
        <stp>Fill=B</stp>
        <stp>FX=USD</stp>
        <tr r="F598" s="3"/>
      </tp>
      <tp t="s">
        <v>#N/A Connection</v>
        <stp/>
        <stp>##V3_BDHV12</stp>
        <stp>200625 CH Equity</stp>
        <stp>PR005</stp>
        <stp>-60CQ</stp>
        <stp>3/31/2019</stp>
        <stp>[BI_AUTMG_1_2nbtcwcs.xlsx]ReferenceData!R918C6</stp>
        <stp>Per=CQ</stp>
        <stp>Dts=H</stp>
        <stp>Dir=H</stp>
        <stp>Points=60</stp>
        <stp>Sort=R</stp>
        <stp>Days=A</stp>
        <stp>Fill=B</stp>
        <stp>FX=USD</stp>
        <tr r="F918" s="3"/>
      </tp>
      <tp t="s">
        <v>#N/A Connection</v>
        <stp/>
        <stp>##V3_BDHV12</stp>
        <stp>003620 KS Equity</stp>
        <stp>RR902</stp>
        <stp>-60CQ</stp>
        <stp>3/31/2019</stp>
        <stp>[BI_AUTMG_1_2nbtcwcs.xlsx]ReferenceData!R983C6</stp>
        <stp>Per=CQ</stp>
        <stp>Dts=H</stp>
        <stp>Dir=H</stp>
        <stp>Points=60</stp>
        <stp>Sort=R</stp>
        <stp>Days=A</stp>
        <stp>Fill=B</stp>
        <stp>FX=USD</stp>
        <tr r="F983" s="3"/>
      </tp>
      <tp t="s">
        <v>#N/A Connection</v>
        <stp/>
        <stp>##V3_BDHV12</stp>
        <stp>003620 KS Equity</stp>
        <stp>RR937</stp>
        <stp>-60CQ</stp>
        <stp>3/31/2019</stp>
        <stp>[BI_AUTMG_1_2nbtcwcs.xlsx]ReferenceData!R903C6</stp>
        <stp>Per=CQ</stp>
        <stp>Dts=H</stp>
        <stp>Dir=H</stp>
        <stp>Points=60</stp>
        <stp>Sort=R</stp>
        <stp>Days=A</stp>
        <stp>Fill=B</stp>
        <stp>FX=USD</stp>
        <tr r="F903" s="3"/>
      </tp>
      <tp t="s">
        <v>#N/A Connection</v>
        <stp/>
        <stp>##V3_BDHV12</stp>
        <stp>200625 CH Equity</stp>
        <stp>RR179</stp>
        <stp>-60CQ</stp>
        <stp>3/31/2019</stp>
        <stp>[BI_AUTMG_1_2nbtcwcs.xlsx]ReferenceData!R798C6</stp>
        <stp>Per=CQ</stp>
        <stp>Dts=H</stp>
        <stp>Dir=H</stp>
        <stp>Points=60</stp>
        <stp>Sort=R</stp>
        <stp>Days=A</stp>
        <stp>Fill=B</stp>
        <stp>FX=USD</stp>
        <tr r="F798" s="3"/>
      </tp>
      <tp t="s">
        <v>#N/A Connection</v>
        <stp/>
        <stp>##V3_BDHV12</stp>
        <stp>000800 CH Equity</stp>
        <stp>EZ021</stp>
        <stp>-60CQ</stp>
        <stp>3/31/2019</stp>
        <stp>[BI_AUTMG_1_2nbtcwcs.xlsx]ReferenceData!R603C6</stp>
        <stp>Per=CQ</stp>
        <stp>Dts=H</stp>
        <stp>Dir=H</stp>
        <stp>Points=60</stp>
        <stp>Sort=R</stp>
        <stp>Days=A</stp>
        <stp>Fill=B</stp>
        <stp>FX=USD</stp>
        <tr r="F603" s="3"/>
      </tp>
      <tp t="s">
        <v>#N/A Connection</v>
        <stp/>
        <stp>##V3_BDHV12</stp>
        <stp>000800 CH Equity</stp>
        <stp>EZ019</stp>
        <stp>-60CQ</stp>
        <stp>3/31/2019</stp>
        <stp>[BI_AUTMG_1_2nbtcwcs.xlsx]ReferenceData!R563C6</stp>
        <stp>Per=CQ</stp>
        <stp>Dts=H</stp>
        <stp>Dir=H</stp>
        <stp>Points=60</stp>
        <stp>Sort=R</stp>
        <stp>Days=A</stp>
        <stp>Fill=B</stp>
        <stp>FX=USD</stp>
        <tr r="F563" s="3"/>
      </tp>
      <tp t="s">
        <v>#N/A Connection</v>
        <stp/>
        <stp>##V3_BDHV12</stp>
        <stp>000800 CH Equity</stp>
        <stp>RR010</stp>
        <stp>-60CQ</stp>
        <stp>3/31/2019</stp>
        <stp>[BI_AUTMG_1_2nbtcwcs.xlsx]ReferenceData!R763C6</stp>
        <stp>Per=CQ</stp>
        <stp>Dts=H</stp>
        <stp>Dir=H</stp>
        <stp>Points=60</stp>
        <stp>Sort=R</stp>
        <stp>Days=A</stp>
        <stp>Fill=B</stp>
        <stp>FX=USD</stp>
        <tr r="F763" s="3"/>
      </tp>
      <tp t="s">
        <v>#N/A Connection</v>
        <stp/>
        <stp>##V3_BDHV12</stp>
        <stp>000800 CH Equity</stp>
        <stp>PR005</stp>
        <stp>-60CQ</stp>
        <stp>3/31/2019</stp>
        <stp>[BI_AUTMG_1_2nbtcwcs.xlsx]ReferenceData!R923C6</stp>
        <stp>Per=CQ</stp>
        <stp>Dts=H</stp>
        <stp>Dir=H</stp>
        <stp>Points=60</stp>
        <stp>Sort=R</stp>
        <stp>Days=A</stp>
        <stp>Fill=B</stp>
        <stp>FX=USD</stp>
        <tr r="F923" s="3"/>
      </tp>
      <tp t="s">
        <v>#N/A Connection</v>
        <stp/>
        <stp>##V3_BDHV12</stp>
        <stp>600104 CH Equity</stp>
        <stp>RR937</stp>
        <stp>-60CQ</stp>
        <stp>3/31/2019</stp>
        <stp>[BI_AUTMG_1_2nbtcwcs.xlsx]ReferenceData!R900C6</stp>
        <stp>Per=CQ</stp>
        <stp>Dts=H</stp>
        <stp>Dir=H</stp>
        <stp>Points=60</stp>
        <stp>Sort=R</stp>
        <stp>Days=A</stp>
        <stp>Fill=B</stp>
        <stp>FX=USD</stp>
        <tr r="F900" s="3"/>
      </tp>
      <tp t="s">
        <v>#N/A Connection</v>
        <stp/>
        <stp>##V3_BDHV12</stp>
        <stp>000927 CH Equity</stp>
        <stp>RR179</stp>
        <stp>-60CQ</stp>
        <stp>3/31/2019</stp>
        <stp>[BI_AUTMG_1_2nbtcwcs.xlsx]ReferenceData!R828C6</stp>
        <stp>Per=CQ</stp>
        <stp>Dts=H</stp>
        <stp>Dir=H</stp>
        <stp>Points=60</stp>
        <stp>Sort=R</stp>
        <stp>Days=A</stp>
        <stp>Fill=B</stp>
        <stp>FX=USD</stp>
        <tr r="F828" s="3"/>
      </tp>
      <tp t="s">
        <v>#N/A Connection</v>
        <stp/>
        <stp>##V3_BDHV12</stp>
        <stp>600104 CH Equity</stp>
        <stp>RR902</stp>
        <stp>-60CQ</stp>
        <stp>3/31/2019</stp>
        <stp>[BI_AUTMG_1_2nbtcwcs.xlsx]ReferenceData!R980C6</stp>
        <stp>Per=CQ</stp>
        <stp>Dts=H</stp>
        <stp>Dir=H</stp>
        <stp>Points=60</stp>
        <stp>Sort=R</stp>
        <stp>Days=A</stp>
        <stp>Fill=B</stp>
        <stp>FX=USD</stp>
        <tr r="F980" s="3"/>
      </tp>
      <tp t="s">
        <v>#N/A Connection</v>
        <stp/>
        <stp>##V3_BDHV12</stp>
        <stp>600104 CH Equity</stp>
        <stp>RR800</stp>
        <stp>-60CQ</stp>
        <stp>3/31/2019</stp>
        <stp>[BI_AUTMG_1_2nbtcwcs.xlsx]ReferenceData!R700C6</stp>
        <stp>Per=CQ</stp>
        <stp>Dts=H</stp>
        <stp>Dir=H</stp>
        <stp>Points=60</stp>
        <stp>Sort=R</stp>
        <stp>Days=A</stp>
        <stp>Fill=B</stp>
        <stp>FX=USD</stp>
        <tr r="F700" s="3"/>
      </tp>
      <tp t="s">
        <v>#N/A Connection</v>
        <stp/>
        <stp>##V3_BDHV12</stp>
        <stp>600104 CH Equity</stp>
        <stp>RR841</stp>
        <stp>-60CQ</stp>
        <stp>3/31/2019</stp>
        <stp>[BI_AUTMG_1_2nbtcwcs.xlsx]ReferenceData!R660C6</stp>
        <stp>Per=CQ</stp>
        <stp>Dts=H</stp>
        <stp>Dir=H</stp>
        <stp>Points=60</stp>
        <stp>Sort=R</stp>
        <stp>Days=A</stp>
        <stp>Fill=B</stp>
        <stp>FX=USD</stp>
        <tr r="F660" s="3"/>
      </tp>
      <tp t="s">
        <v>#N/A Connection</v>
        <stp/>
        <stp>##V3_BDHV12</stp>
        <stp>000927 CH Equity</stp>
        <stp>RR010</stp>
        <stp>-60CQ</stp>
        <stp>3/31/2019</stp>
        <stp>[BI_AUTMG_1_2nbtcwcs.xlsx]ReferenceData!R788C6</stp>
        <stp>Per=CQ</stp>
        <stp>Dts=H</stp>
        <stp>Dir=H</stp>
        <stp>Points=60</stp>
        <stp>Sort=R</stp>
        <stp>Days=A</stp>
        <stp>Fill=B</stp>
        <stp>FX=USD</stp>
        <tr r="F788" s="3"/>
      </tp>
      <tp t="s">
        <v>#N/A Connection</v>
        <stp/>
        <stp>##V3_BDHV12</stp>
        <stp>600104 CH Equity</stp>
        <stp>RR843</stp>
        <stp>-60CQ</stp>
        <stp>3/31/2019</stp>
        <stp>[BI_AUTMG_1_2nbtcwcs.xlsx]ReferenceData!R740C6</stp>
        <stp>Per=CQ</stp>
        <stp>Dts=H</stp>
        <stp>Dir=H</stp>
        <stp>Points=60</stp>
        <stp>Sort=R</stp>
        <stp>Days=A</stp>
        <stp>Fill=B</stp>
        <stp>FX=USD</stp>
        <tr r="F740" s="3"/>
      </tp>
      <tp t="s">
        <v>#N/A Connection</v>
        <stp/>
        <stp>##V3_BDHV12</stp>
        <stp>000927 CH Equity</stp>
        <stp>EZ021</stp>
        <stp>-60CQ</stp>
        <stp>3/31/2019</stp>
        <stp>[BI_AUTMG_1_2nbtcwcs.xlsx]ReferenceData!R628C6</stp>
        <stp>Per=CQ</stp>
        <stp>Dts=H</stp>
        <stp>Dir=H</stp>
        <stp>Points=60</stp>
        <stp>Sort=R</stp>
        <stp>Days=A</stp>
        <stp>Fill=B</stp>
        <stp>FX=USD</stp>
        <tr r="F628" s="3"/>
      </tp>
      <tp t="s">
        <v>#N/A Connection</v>
        <stp/>
        <stp>##V3_BDHV12</stp>
        <stp>000927 CH Equity</stp>
        <stp>EZ019</stp>
        <stp>-60CQ</stp>
        <stp>3/31/2019</stp>
        <stp>[BI_AUTMG_1_2nbtcwcs.xlsx]ReferenceData!R588C6</stp>
        <stp>Per=CQ</stp>
        <stp>Dts=H</stp>
        <stp>Dir=H</stp>
        <stp>Points=60</stp>
        <stp>Sort=R</stp>
        <stp>Days=A</stp>
        <stp>Fill=B</stp>
        <stp>FX=USD</stp>
        <tr r="F588" s="3"/>
      </tp>
      <tp t="s">
        <v>#N/A Connection</v>
        <stp/>
        <stp>##V3_BDHV12</stp>
        <stp>600104 CH Equity</stp>
        <stp>RR844</stp>
        <stp>-60CQ</stp>
        <stp>3/31/2019</stp>
        <stp>[BI_AUTMG_1_2nbtcwcs.xlsx]ReferenceData!R540C6</stp>
        <stp>Per=CQ</stp>
        <stp>Dts=H</stp>
        <stp>Dir=H</stp>
        <stp>Points=60</stp>
        <stp>Sort=R</stp>
        <stp>Days=A</stp>
        <stp>Fill=B</stp>
        <stp>FX=USD</stp>
        <tr r="F540" s="3"/>
      </tp>
      <tp t="s">
        <v>#N/A Connection</v>
        <stp/>
        <stp>##V3_BDHV12</stp>
        <stp>000927 CH Equity</stp>
        <stp>PR005</stp>
        <stp>-60CQ</stp>
        <stp>3/31/2019</stp>
        <stp>[BI_AUTMG_1_2nbtcwcs.xlsx]ReferenceData!R948C6</stp>
        <stp>Per=CQ</stp>
        <stp>Dts=H</stp>
        <stp>Dir=H</stp>
        <stp>Points=60</stp>
        <stp>Sort=R</stp>
        <stp>Days=A</stp>
        <stp>Fill=B</stp>
        <stp>FX=USD</stp>
        <tr r="F948" s="3"/>
      </tp>
      <tp t="s">
        <v>#N/A Connection</v>
        <stp/>
        <stp>##V3_BDHV12</stp>
        <stp>000800 CH Equity</stp>
        <stp>RR179</stp>
        <stp>-60CQ</stp>
        <stp>3/31/2019</stp>
        <stp>[BI_AUTMG_1_2nbtcwcs.xlsx]ReferenceData!R803C6</stp>
        <stp>Per=CQ</stp>
        <stp>Dts=H</stp>
        <stp>Dir=H</stp>
        <stp>Points=60</stp>
        <stp>Sort=R</stp>
        <stp>Days=A</stp>
        <stp>Fill=B</stp>
        <stp>FX=USD</stp>
        <tr r="F803" s="3"/>
      </tp>
      <tp t="s">
        <v>#N/A Connection</v>
        <stp/>
        <stp>##V3_BDHV12</stp>
        <stp>000270 KS Equity</stp>
        <stp>PR005</stp>
        <stp>-60CQ</stp>
        <stp>3/31/2019</stp>
        <stp>[BI_AUTMG_1_2nbtcwcs.xlsx]ReferenceData!R934C6</stp>
        <stp>Per=CQ</stp>
        <stp>Dts=H</stp>
        <stp>Dir=H</stp>
        <stp>Points=60</stp>
        <stp>Sort=R</stp>
        <stp>Days=A</stp>
        <stp>Fill=B</stp>
        <stp>FX=USD</stp>
        <tr r="F934" s="3"/>
      </tp>
      <tp t="s">
        <v>#N/A Connection</v>
        <stp/>
        <stp>##V3_BDHV12</stp>
        <stp>000270 KS Equity</stp>
        <stp>EZ021</stp>
        <stp>-60CQ</stp>
        <stp>3/31/2019</stp>
        <stp>[BI_AUTMG_1_2nbtcwcs.xlsx]ReferenceData!R614C6</stp>
        <stp>Per=CQ</stp>
        <stp>Dts=H</stp>
        <stp>Dir=H</stp>
        <stp>Points=60</stp>
        <stp>Sort=R</stp>
        <stp>Days=A</stp>
        <stp>Fill=B</stp>
        <stp>FX=USD</stp>
        <tr r="F614" s="3"/>
      </tp>
      <tp t="s">
        <v>#N/A Connection</v>
        <stp/>
        <stp>##V3_BDHV12</stp>
        <stp>000270 KS Equity</stp>
        <stp>EZ019</stp>
        <stp>-60CQ</stp>
        <stp>3/31/2019</stp>
        <stp>[BI_AUTMG_1_2nbtcwcs.xlsx]ReferenceData!R574C6</stp>
        <stp>Per=CQ</stp>
        <stp>Dts=H</stp>
        <stp>Dir=H</stp>
        <stp>Points=60</stp>
        <stp>Sort=R</stp>
        <stp>Days=A</stp>
        <stp>Fill=B</stp>
        <stp>FX=USD</stp>
        <tr r="F574" s="3"/>
      </tp>
      <tp t="s">
        <v>#N/A Connection</v>
        <stp/>
        <stp>##V3_BDHV12</stp>
        <stp>000270 KS Equity</stp>
        <stp>RR010</stp>
        <stp>-60CQ</stp>
        <stp>3/31/2019</stp>
        <stp>[BI_AUTMG_1_2nbtcwcs.xlsx]ReferenceData!R774C6</stp>
        <stp>Per=CQ</stp>
        <stp>Dts=H</stp>
        <stp>Dir=H</stp>
        <stp>Points=60</stp>
        <stp>Sort=R</stp>
        <stp>Days=A</stp>
        <stp>Fill=B</stp>
        <stp>FX=USD</stp>
        <tr r="F774" s="3"/>
      </tp>
      <tp t="s">
        <v>#N/A Connection</v>
        <stp/>
        <stp>##V3_BDHV12</stp>
        <stp>005380 KS Equity</stp>
        <stp>RR179</stp>
        <stp>-60CQ</stp>
        <stp>3/31/2019</stp>
        <stp>[BI_AUTMG_1_2nbtcwcs.xlsx]ReferenceData!R813C6</stp>
        <stp>Per=CQ</stp>
        <stp>Dts=H</stp>
        <stp>Dir=H</stp>
        <stp>Points=60</stp>
        <stp>Sort=R</stp>
        <stp>Days=A</stp>
        <stp>Fill=B</stp>
        <stp>FX=USD</stp>
        <tr r="F813" s="3"/>
      </tp>
      <tp t="s">
        <v>#N/A Connection</v>
        <stp/>
        <stp>##V3_BDHV12</stp>
        <stp>003620 KS Equity</stp>
        <stp>RX530</stp>
        <stp>-60CQ</stp>
        <stp>3/31/2019</stp>
        <stp>[BI_AUTMG_1_2nbtcwcs.xlsx]ReferenceData!R863C6</stp>
        <stp>Per=CQ</stp>
        <stp>Dts=H</stp>
        <stp>Dir=H</stp>
        <stp>Points=60</stp>
        <stp>Sort=R</stp>
        <stp>Days=A</stp>
        <stp>Fill=B</stp>
        <stp>FX=USD</stp>
        <tr r="F863" s="3"/>
      </tp>
      <tp t="s">
        <v>#N/A Connection</v>
        <stp/>
        <stp>##V3_BDHV12</stp>
        <stp>000270 KS Equity</stp>
        <stp>RR179</stp>
        <stp>-60CQ</stp>
        <stp>3/31/2019</stp>
        <stp>[BI_AUTMG_1_2nbtcwcs.xlsx]ReferenceData!R814C6</stp>
        <stp>Per=CQ</stp>
        <stp>Dts=H</stp>
        <stp>Dir=H</stp>
        <stp>Points=60</stp>
        <stp>Sort=R</stp>
        <stp>Days=A</stp>
        <stp>Fill=B</stp>
        <stp>FX=USD</stp>
        <tr r="F814" s="3"/>
      </tp>
      <tp t="s">
        <v>#N/A Connection</v>
        <stp/>
        <stp>##V3_BDHV12</stp>
        <stp>005380 KS Equity</stp>
        <stp>RR010</stp>
        <stp>-60CQ</stp>
        <stp>3/31/2019</stp>
        <stp>[BI_AUTMG_1_2nbtcwcs.xlsx]ReferenceData!R773C6</stp>
        <stp>Per=CQ</stp>
        <stp>Dts=H</stp>
        <stp>Dir=H</stp>
        <stp>Points=60</stp>
        <stp>Sort=R</stp>
        <stp>Days=A</stp>
        <stp>Fill=B</stp>
        <stp>FX=USD</stp>
        <tr r="F773" s="3"/>
      </tp>
      <tp t="s">
        <v>#N/A Connection</v>
        <stp/>
        <stp>##V3_BDHV12</stp>
        <stp>005380 KS Equity</stp>
        <stp>EZ021</stp>
        <stp>-60CQ</stp>
        <stp>3/31/2019</stp>
        <stp>[BI_AUTMG_1_2nbtcwcs.xlsx]ReferenceData!R613C6</stp>
        <stp>Per=CQ</stp>
        <stp>Dts=H</stp>
        <stp>Dir=H</stp>
        <stp>Points=60</stp>
        <stp>Sort=R</stp>
        <stp>Days=A</stp>
        <stp>Fill=B</stp>
        <stp>FX=USD</stp>
        <tr r="F613" s="3"/>
      </tp>
      <tp t="s">
        <v>#N/A Connection</v>
        <stp/>
        <stp>##V3_BDHV12</stp>
        <stp>005380 KS Equity</stp>
        <stp>EZ019</stp>
        <stp>-60CQ</stp>
        <stp>3/31/2019</stp>
        <stp>[BI_AUTMG_1_2nbtcwcs.xlsx]ReferenceData!R573C6</stp>
        <stp>Per=CQ</stp>
        <stp>Dts=H</stp>
        <stp>Dir=H</stp>
        <stp>Points=60</stp>
        <stp>Sort=R</stp>
        <stp>Days=A</stp>
        <stp>Fill=B</stp>
        <stp>FX=USD</stp>
        <tr r="F573" s="3"/>
      </tp>
      <tp t="s">
        <v>#N/A Connection</v>
        <stp/>
        <stp>##V3_BDHV12</stp>
        <stp>005380 KS Equity</stp>
        <stp>PR005</stp>
        <stp>-60CQ</stp>
        <stp>3/31/2019</stp>
        <stp>[BI_AUTMG_1_2nbtcwcs.xlsx]ReferenceData!R933C6</stp>
        <stp>Per=CQ</stp>
        <stp>Dts=H</stp>
        <stp>Dir=H</stp>
        <stp>Points=60</stp>
        <stp>Sort=R</stp>
        <stp>Days=A</stp>
        <stp>Fill=B</stp>
        <stp>FX=USD</stp>
        <tr r="F933" s="3"/>
      </tp>
      <tp t="s">
        <v>#N/A Connection</v>
        <stp/>
        <stp>##V3_BDHV12</stp>
        <stp>000927 CH Equity</stp>
        <stp>RX530</stp>
        <stp>-60CQ</stp>
        <stp>3/31/2019</stp>
        <stp>[BI_AUTMG_1_2nbtcwcs.xlsx]ReferenceData!R868C6</stp>
        <stp>Per=CQ</stp>
        <stp>Dts=H</stp>
        <stp>Dir=H</stp>
        <stp>Points=60</stp>
        <stp>Sort=R</stp>
        <stp>Days=A</stp>
        <stp>Fill=B</stp>
        <stp>FX=USD</stp>
        <tr r="F868" s="3"/>
      </tp>
      <tp t="s">
        <v>#N/A Connection</v>
        <stp/>
        <stp>##V3_BDHV12</stp>
        <stp>000800 CH Equity</stp>
        <stp>RX530</stp>
        <stp>-60CQ</stp>
        <stp>3/31/2019</stp>
        <stp>[BI_AUTMG_1_2nbtcwcs.xlsx]ReferenceData!R843C6</stp>
        <stp>Per=CQ</stp>
        <stp>Dts=H</stp>
        <stp>Dir=H</stp>
        <stp>Points=60</stp>
        <stp>Sort=R</stp>
        <stp>Days=A</stp>
        <stp>Fill=B</stp>
        <stp>FX=USD</stp>
        <tr r="F843" s="3"/>
      </tp>
      <tp t="s">
        <v>#N/A Connection</v>
        <stp/>
        <stp>##V3_BDHV12</stp>
        <stp>003620 KS Equity</stp>
        <stp>PR005</stp>
        <stp>-60CQ</stp>
        <stp>3/31/2019</stp>
        <stp>[BI_AUTMG_1_2nbtcwcs.xlsx]ReferenceData!R943C6</stp>
        <stp>Per=CQ</stp>
        <stp>Dts=H</stp>
        <stp>Dir=H</stp>
        <stp>Points=60</stp>
        <stp>Sort=R</stp>
        <stp>Days=A</stp>
        <stp>Fill=B</stp>
        <stp>FX=USD</stp>
        <tr r="F943" s="3"/>
      </tp>
      <tp t="s">
        <v>#N/A Connection</v>
        <stp/>
        <stp>##V3_BDHV12</stp>
        <stp>005380 KS Equity</stp>
        <stp>RX530</stp>
        <stp>-60CQ</stp>
        <stp>3/31/2019</stp>
        <stp>[BI_AUTMG_1_2nbtcwcs.xlsx]ReferenceData!R853C6</stp>
        <stp>Per=CQ</stp>
        <stp>Dts=H</stp>
        <stp>Dir=H</stp>
        <stp>Points=60</stp>
        <stp>Sort=R</stp>
        <stp>Days=A</stp>
        <stp>Fill=B</stp>
        <stp>FX=USD</stp>
        <tr r="F853" s="3"/>
      </tp>
      <tp t="s">
        <v>#N/A Connection</v>
        <stp/>
        <stp>##V3_BDHV12</stp>
        <stp>003620 KS Equity</stp>
        <stp>EZ019</stp>
        <stp>-60CQ</stp>
        <stp>3/31/2019</stp>
        <stp>[BI_AUTMG_1_2nbtcwcs.xlsx]ReferenceData!R583C6</stp>
        <stp>Per=CQ</stp>
        <stp>Dts=H</stp>
        <stp>Dir=H</stp>
        <stp>Points=60</stp>
        <stp>Sort=R</stp>
        <stp>Days=A</stp>
        <stp>Fill=B</stp>
        <stp>FX=USD</stp>
        <tr r="F583" s="3"/>
      </tp>
      <tp t="s">
        <v>#N/A Connection</v>
        <stp/>
        <stp>##V3_BDHV12</stp>
        <stp>003620 KS Equity</stp>
        <stp>EZ021</stp>
        <stp>-60CQ</stp>
        <stp>3/31/2019</stp>
        <stp>[BI_AUTMG_1_2nbtcwcs.xlsx]ReferenceData!R623C6</stp>
        <stp>Per=CQ</stp>
        <stp>Dts=H</stp>
        <stp>Dir=H</stp>
        <stp>Points=60</stp>
        <stp>Sort=R</stp>
        <stp>Days=A</stp>
        <stp>Fill=B</stp>
        <stp>FX=USD</stp>
        <tr r="F623" s="3"/>
      </tp>
      <tp t="s">
        <v>#N/A Connection</v>
        <stp/>
        <stp>##V3_BDHV12</stp>
        <stp>003620 KS Equity</stp>
        <stp>RR010</stp>
        <stp>-60CQ</stp>
        <stp>3/31/2019</stp>
        <stp>[BI_AUTMG_1_2nbtcwcs.xlsx]ReferenceData!R783C6</stp>
        <stp>Per=CQ</stp>
        <stp>Dts=H</stp>
        <stp>Dir=H</stp>
        <stp>Points=60</stp>
        <stp>Sort=R</stp>
        <stp>Days=A</stp>
        <stp>Fill=B</stp>
        <stp>FX=USD</stp>
        <tr r="F783" s="3"/>
      </tp>
      <tp t="s">
        <v>#N/A Connection</v>
        <stp/>
        <stp>##V3_BDHV12</stp>
        <stp>200625 CH Equity</stp>
        <stp>RR844</stp>
        <stp>-60CQ</stp>
        <stp>3/31/2019</stp>
        <stp>[BI_AUTMG_1_2nbtcwcs.xlsx]ReferenceData!R518C6</stp>
        <stp>Per=CQ</stp>
        <stp>Dts=H</stp>
        <stp>Dir=H</stp>
        <stp>Points=60</stp>
        <stp>Sort=R</stp>
        <stp>Days=A</stp>
        <stp>Fill=B</stp>
        <stp>FX=USD</stp>
        <tr r="F518" s="3"/>
      </tp>
      <tp t="s">
        <v>#N/A Connection</v>
        <stp/>
        <stp>##V3_BDHV12</stp>
        <stp>200625 CH Equity</stp>
        <stp>RR841</stp>
        <stp>-60CQ</stp>
        <stp>3/31/2019</stp>
        <stp>[BI_AUTMG_1_2nbtcwcs.xlsx]ReferenceData!R638C6</stp>
        <stp>Per=CQ</stp>
        <stp>Dts=H</stp>
        <stp>Dir=H</stp>
        <stp>Points=60</stp>
        <stp>Sort=R</stp>
        <stp>Days=A</stp>
        <stp>Fill=B</stp>
        <stp>FX=USD</stp>
        <tr r="F638" s="3"/>
      </tp>
      <tp t="s">
        <v>#N/A Connection</v>
        <stp/>
        <stp>##V3_BDHV12</stp>
        <stp>200625 CH Equity</stp>
        <stp>RR843</stp>
        <stp>-60CQ</stp>
        <stp>3/31/2019</stp>
        <stp>[BI_AUTMG_1_2nbtcwcs.xlsx]ReferenceData!R718C6</stp>
        <stp>Per=CQ</stp>
        <stp>Dts=H</stp>
        <stp>Dir=H</stp>
        <stp>Points=60</stp>
        <stp>Sort=R</stp>
        <stp>Days=A</stp>
        <stp>Fill=B</stp>
        <stp>FX=USD</stp>
        <tr r="F718" s="3"/>
      </tp>
      <tp t="s">
        <v>#N/A Connection</v>
        <stp/>
        <stp>##V3_BDHV12</stp>
        <stp>200625 CH Equity</stp>
        <stp>RR800</stp>
        <stp>-60CQ</stp>
        <stp>3/31/2019</stp>
        <stp>[BI_AUTMG_1_2nbtcwcs.xlsx]ReferenceData!R678C6</stp>
        <stp>Per=CQ</stp>
        <stp>Dts=H</stp>
        <stp>Dir=H</stp>
        <stp>Points=60</stp>
        <stp>Sort=R</stp>
        <stp>Days=A</stp>
        <stp>Fill=B</stp>
        <stp>FX=USD</stp>
        <tr r="F678" s="3"/>
      </tp>
      <tp t="s">
        <v>#N/A Connection</v>
        <stp/>
        <stp>##V3_BDHV12</stp>
        <stp>003620 KS Equity</stp>
        <stp>RR179</stp>
        <stp>-60CQ</stp>
        <stp>3/31/2019</stp>
        <stp>[BI_AUTMG_1_2nbtcwcs.xlsx]ReferenceData!R823C6</stp>
        <stp>Per=CQ</stp>
        <stp>Dts=H</stp>
        <stp>Dir=H</stp>
        <stp>Points=60</stp>
        <stp>Sort=R</stp>
        <stp>Days=A</stp>
        <stp>Fill=B</stp>
        <stp>FX=USD</stp>
        <tr r="F823" s="3"/>
      </tp>
      <tp t="s">
        <v>#N/A Connection</v>
        <stp/>
        <stp>##V3_BDHV12</stp>
        <stp>000270 KS Equity</stp>
        <stp>RX530</stp>
        <stp>-60CQ</stp>
        <stp>3/31/2019</stp>
        <stp>[BI_AUTMG_1_2nbtcwcs.xlsx]ReferenceData!R854C6</stp>
        <stp>Per=CQ</stp>
        <stp>Dts=H</stp>
        <stp>Dir=H</stp>
        <stp>Points=60</stp>
        <stp>Sort=R</stp>
        <stp>Days=A</stp>
        <stp>Fill=B</stp>
        <stp>FX=USD</stp>
        <tr r="F854" s="3"/>
      </tp>
      <tp t="s">
        <v>#N/A Connection</v>
        <stp/>
        <stp>##V3_BDHV12</stp>
        <stp>200625 CH Equity</stp>
        <stp>RR902</stp>
        <stp>-60CQ</stp>
        <stp>3/31/2019</stp>
        <stp>[BI_AUTMG_1_2nbtcwcs.xlsx]ReferenceData!R958C6</stp>
        <stp>Per=CQ</stp>
        <stp>Dts=H</stp>
        <stp>Dir=H</stp>
        <stp>Points=60</stp>
        <stp>Sort=R</stp>
        <stp>Days=A</stp>
        <stp>Fill=B</stp>
        <stp>FX=USD</stp>
        <tr r="F958" s="3"/>
      </tp>
      <tp t="s">
        <v>#N/A Connection</v>
        <stp/>
        <stp>##V3_BDHV12</stp>
        <stp>200625 CH Equity</stp>
        <stp>RR937</stp>
        <stp>-60CQ</stp>
        <stp>3/31/2019</stp>
        <stp>[BI_AUTMG_1_2nbtcwcs.xlsx]ReferenceData!R878C6</stp>
        <stp>Per=CQ</stp>
        <stp>Dts=H</stp>
        <stp>Dir=H</stp>
        <stp>Points=60</stp>
        <stp>Sort=R</stp>
        <stp>Days=A</stp>
        <stp>Fill=B</stp>
        <stp>FX=USD</stp>
        <tr r="F878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95"/>
  <sheetViews>
    <sheetView tabSelected="1" workbookViewId="0"/>
  </sheetViews>
  <sheetFormatPr defaultRowHeight="15" x14ac:dyDescent="0.25"/>
  <cols>
    <col min="1" max="1" width="56.28515625" customWidth="1"/>
    <col min="2" max="2" width="15.85546875" customWidth="1"/>
    <col min="3" max="65" width="9.140625" bestFit="1" customWidth="1"/>
  </cols>
  <sheetData>
    <row r="1" spans="1:6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5">
      <c r="A2" t="str">
        <f>IFERROR(IF(0=LEN(ReferenceData!$A$2),"",ReferenceData!$A$2),"")</f>
        <v>Description</v>
      </c>
      <c r="B2" t="str">
        <f>IFERROR(IF(0=LEN(ReferenceData!$B$2),"",ReferenceData!$B$2),"")</f>
        <v>Ticker</v>
      </c>
      <c r="C2" t="str">
        <f>IFERROR(IF(0=LEN(ReferenceData!$C$2),"",ReferenceData!$C$2),"")</f>
        <v>Field ID</v>
      </c>
      <c r="D2" t="str">
        <f>IFERROR(IF(0=LEN(ReferenceData!$D$2),"",ReferenceData!$D$2),"")</f>
        <v>Field Mnemonic</v>
      </c>
      <c r="E2" t="str">
        <f>IFERROR(IF(0=LEN(ReferenceData!$E$2),"",ReferenceData!$E$2),"")</f>
        <v>Data State</v>
      </c>
      <c r="F2" t="str">
        <f>IFERROR(IF(0=LEN(ReferenceData!$F$2),"",ReferenceData!$F$2),"")</f>
        <v>2019 Q1</v>
      </c>
      <c r="G2" t="str">
        <f>IFERROR(IF(0=LEN(ReferenceData!$G$2),"",ReferenceData!$G$2),"")</f>
        <v>2018 Q4</v>
      </c>
      <c r="H2" t="str">
        <f>IFERROR(IF(0=LEN(ReferenceData!$H$2),"",ReferenceData!$H$2),"")</f>
        <v>2018 Q3</v>
      </c>
      <c r="I2" t="str">
        <f>IFERROR(IF(0=LEN(ReferenceData!$I$2),"",ReferenceData!$I$2),"")</f>
        <v>2018 Q2</v>
      </c>
      <c r="J2" t="str">
        <f>IFERROR(IF(0=LEN(ReferenceData!$J$2),"",ReferenceData!$J$2),"")</f>
        <v>2018 Q1</v>
      </c>
      <c r="K2" t="str">
        <f>IFERROR(IF(0=LEN(ReferenceData!$K$2),"",ReferenceData!$K$2),"")</f>
        <v>2017 Q4</v>
      </c>
      <c r="L2" t="str">
        <f>IFERROR(IF(0=LEN(ReferenceData!$L$2),"",ReferenceData!$L$2),"")</f>
        <v>2017 Q3</v>
      </c>
      <c r="M2" t="str">
        <f>IFERROR(IF(0=LEN(ReferenceData!$M$2),"",ReferenceData!$M$2),"")</f>
        <v>2017 Q2</v>
      </c>
      <c r="N2" t="str">
        <f>IFERROR(IF(0=LEN(ReferenceData!$N$2),"",ReferenceData!$N$2),"")</f>
        <v>2017 Q1</v>
      </c>
      <c r="O2" t="str">
        <f>IFERROR(IF(0=LEN(ReferenceData!$O$2),"",ReferenceData!$O$2),"")</f>
        <v>2016 Q4</v>
      </c>
      <c r="P2" t="str">
        <f>IFERROR(IF(0=LEN(ReferenceData!$P$2),"",ReferenceData!$P$2),"")</f>
        <v>2016 Q3</v>
      </c>
      <c r="Q2" t="str">
        <f>IFERROR(IF(0=LEN(ReferenceData!$Q$2),"",ReferenceData!$Q$2),"")</f>
        <v>2016 Q2</v>
      </c>
      <c r="R2" t="str">
        <f>IFERROR(IF(0=LEN(ReferenceData!$R$2),"",ReferenceData!$R$2),"")</f>
        <v>2016 Q1</v>
      </c>
      <c r="S2" t="str">
        <f>IFERROR(IF(0=LEN(ReferenceData!$S$2),"",ReferenceData!$S$2),"")</f>
        <v>2015 Q4</v>
      </c>
      <c r="T2" t="str">
        <f>IFERROR(IF(0=LEN(ReferenceData!$T$2),"",ReferenceData!$T$2),"")</f>
        <v>2015 Q3</v>
      </c>
      <c r="U2" t="str">
        <f>IFERROR(IF(0=LEN(ReferenceData!$U$2),"",ReferenceData!$U$2),"")</f>
        <v>2015 Q2</v>
      </c>
      <c r="V2" t="str">
        <f>IFERROR(IF(0=LEN(ReferenceData!$V$2),"",ReferenceData!$V$2),"")</f>
        <v>2015 Q1</v>
      </c>
      <c r="W2" t="str">
        <f>IFERROR(IF(0=LEN(ReferenceData!$W$2),"",ReferenceData!$W$2),"")</f>
        <v>2014 Q4</v>
      </c>
      <c r="X2" t="str">
        <f>IFERROR(IF(0=LEN(ReferenceData!$X$2),"",ReferenceData!$X$2),"")</f>
        <v>2014 Q3</v>
      </c>
      <c r="Y2" t="str">
        <f>IFERROR(IF(0=LEN(ReferenceData!$Y$2),"",ReferenceData!$Y$2),"")</f>
        <v>2014 Q2</v>
      </c>
      <c r="Z2" t="str">
        <f>IFERROR(IF(0=LEN(ReferenceData!$Z$2),"",ReferenceData!$Z$2),"")</f>
        <v>2014 Q1</v>
      </c>
      <c r="AA2" t="str">
        <f>IFERROR(IF(0=LEN(ReferenceData!$AA$2),"",ReferenceData!$AA$2),"")</f>
        <v>2013 Q4</v>
      </c>
      <c r="AB2" t="str">
        <f>IFERROR(IF(0=LEN(ReferenceData!$AB$2),"",ReferenceData!$AB$2),"")</f>
        <v>2013 Q3</v>
      </c>
      <c r="AC2" t="str">
        <f>IFERROR(IF(0=LEN(ReferenceData!$AC$2),"",ReferenceData!$AC$2),"")</f>
        <v>2013 Q2</v>
      </c>
      <c r="AD2" t="str">
        <f>IFERROR(IF(0=LEN(ReferenceData!$AD$2),"",ReferenceData!$AD$2),"")</f>
        <v>2013 Q1</v>
      </c>
      <c r="AE2" t="str">
        <f>IFERROR(IF(0=LEN(ReferenceData!$AE$2),"",ReferenceData!$AE$2),"")</f>
        <v>2012 Q4</v>
      </c>
      <c r="AF2" t="str">
        <f>IFERROR(IF(0=LEN(ReferenceData!$AF$2),"",ReferenceData!$AF$2),"")</f>
        <v>2012 Q3</v>
      </c>
      <c r="AG2" t="str">
        <f>IFERROR(IF(0=LEN(ReferenceData!$AG$2),"",ReferenceData!$AG$2),"")</f>
        <v>2012 Q2</v>
      </c>
      <c r="AH2" t="str">
        <f>IFERROR(IF(0=LEN(ReferenceData!$AH$2),"",ReferenceData!$AH$2),"")</f>
        <v>2012 Q1</v>
      </c>
      <c r="AI2" t="str">
        <f>IFERROR(IF(0=LEN(ReferenceData!$AI$2),"",ReferenceData!$AI$2),"")</f>
        <v>2011 Q4</v>
      </c>
      <c r="AJ2" t="str">
        <f>IFERROR(IF(0=LEN(ReferenceData!$AJ$2),"",ReferenceData!$AJ$2),"")</f>
        <v>2011 Q3</v>
      </c>
      <c r="AK2" t="str">
        <f>IFERROR(IF(0=LEN(ReferenceData!$AK$2),"",ReferenceData!$AK$2),"")</f>
        <v>2011 Q2</v>
      </c>
      <c r="AL2" t="str">
        <f>IFERROR(IF(0=LEN(ReferenceData!$AL$2),"",ReferenceData!$AL$2),"")</f>
        <v>2011 Q1</v>
      </c>
      <c r="AM2" t="str">
        <f>IFERROR(IF(0=LEN(ReferenceData!$AM$2),"",ReferenceData!$AM$2),"")</f>
        <v>2010 Q4</v>
      </c>
      <c r="AN2" t="str">
        <f>IFERROR(IF(0=LEN(ReferenceData!$AN$2),"",ReferenceData!$AN$2),"")</f>
        <v>2010 Q3</v>
      </c>
      <c r="AO2" t="str">
        <f>IFERROR(IF(0=LEN(ReferenceData!$AO$2),"",ReferenceData!$AO$2),"")</f>
        <v>2010 Q2</v>
      </c>
      <c r="AP2" t="str">
        <f>IFERROR(IF(0=LEN(ReferenceData!$AP$2),"",ReferenceData!$AP$2),"")</f>
        <v>2010 Q1</v>
      </c>
      <c r="AQ2" t="str">
        <f>IFERROR(IF(0=LEN(ReferenceData!$AQ$2),"",ReferenceData!$AQ$2),"")</f>
        <v>2009 Q4</v>
      </c>
      <c r="AR2" t="str">
        <f>IFERROR(IF(0=LEN(ReferenceData!$AR$2),"",ReferenceData!$AR$2),"")</f>
        <v>2009 Q3</v>
      </c>
      <c r="AS2" t="str">
        <f>IFERROR(IF(0=LEN(ReferenceData!$AS$2),"",ReferenceData!$AS$2),"")</f>
        <v>2009 Q2</v>
      </c>
      <c r="AT2" t="str">
        <f>IFERROR(IF(0=LEN(ReferenceData!$AT$2),"",ReferenceData!$AT$2),"")</f>
        <v>2009 Q1</v>
      </c>
      <c r="AU2" t="str">
        <f>IFERROR(IF(0=LEN(ReferenceData!$AU$2),"",ReferenceData!$AU$2),"")</f>
        <v>2008 Q4</v>
      </c>
      <c r="AV2" t="str">
        <f>IFERROR(IF(0=LEN(ReferenceData!$AV$2),"",ReferenceData!$AV$2),"")</f>
        <v>2008 Q3</v>
      </c>
      <c r="AW2" t="str">
        <f>IFERROR(IF(0=LEN(ReferenceData!$AW$2),"",ReferenceData!$AW$2),"")</f>
        <v>2008 Q2</v>
      </c>
      <c r="AX2" t="str">
        <f>IFERROR(IF(0=LEN(ReferenceData!$AX$2),"",ReferenceData!$AX$2),"")</f>
        <v>2008 Q1</v>
      </c>
      <c r="AY2" t="str">
        <f>IFERROR(IF(0=LEN(ReferenceData!$AY$2),"",ReferenceData!$AY$2),"")</f>
        <v>2007 Q4</v>
      </c>
      <c r="AZ2" t="str">
        <f>IFERROR(IF(0=LEN(ReferenceData!$AZ$2),"",ReferenceData!$AZ$2),"")</f>
        <v>2007 Q3</v>
      </c>
      <c r="BA2" t="str">
        <f>IFERROR(IF(0=LEN(ReferenceData!$BA$2),"",ReferenceData!$BA$2),"")</f>
        <v>2007 Q2</v>
      </c>
      <c r="BB2" t="str">
        <f>IFERROR(IF(0=LEN(ReferenceData!$BB$2),"",ReferenceData!$BB$2),"")</f>
        <v>2007 Q1</v>
      </c>
      <c r="BC2" t="str">
        <f>IFERROR(IF(0=LEN(ReferenceData!$BC$2),"",ReferenceData!$BC$2),"")</f>
        <v>2006 Q4</v>
      </c>
      <c r="BD2" t="str">
        <f>IFERROR(IF(0=LEN(ReferenceData!$BD$2),"",ReferenceData!$BD$2),"")</f>
        <v>2006 Q3</v>
      </c>
      <c r="BE2" t="str">
        <f>IFERROR(IF(0=LEN(ReferenceData!$BE$2),"",ReferenceData!$BE$2),"")</f>
        <v>2006 Q2</v>
      </c>
      <c r="BF2" t="str">
        <f>IFERROR(IF(0=LEN(ReferenceData!$BF$2),"",ReferenceData!$BF$2),"")</f>
        <v>2006 Q1</v>
      </c>
      <c r="BG2" t="str">
        <f>IFERROR(IF(0=LEN(ReferenceData!$BG$2),"",ReferenceData!$BG$2),"")</f>
        <v>2005 Q4</v>
      </c>
      <c r="BH2" t="str">
        <f>IFERROR(IF(0=LEN(ReferenceData!$BH$2),"",ReferenceData!$BH$2),"")</f>
        <v>2005 Q3</v>
      </c>
      <c r="BI2" t="str">
        <f>IFERROR(IF(0=LEN(ReferenceData!$BI$2),"",ReferenceData!$BI$2),"")</f>
        <v>2005 Q2</v>
      </c>
      <c r="BJ2" t="str">
        <f>IFERROR(IF(0=LEN(ReferenceData!$BJ$2),"",ReferenceData!$BJ$2),"")</f>
        <v>2005 Q1</v>
      </c>
      <c r="BK2" t="str">
        <f>IFERROR(IF(0=LEN(ReferenceData!$BK$2),"",ReferenceData!$BK$2),"")</f>
        <v>2004 Q4</v>
      </c>
      <c r="BL2" t="str">
        <f>IFERROR(IF(0=LEN(ReferenceData!$BL$2),"",ReferenceData!$BL$2),"")</f>
        <v>2004 Q3</v>
      </c>
      <c r="BM2" t="str">
        <f>IFERROR(IF(0=LEN(ReferenceData!$BM$2),"",ReferenceData!$BM$2),"")</f>
        <v>2004 Q2</v>
      </c>
    </row>
    <row r="3" spans="1:65" x14ac:dyDescent="0.25">
      <c r="A3" t="str">
        <f>IFERROR(IF(0=LEN(ReferenceData!$A$3),"",ReferenceData!$A$3),"")</f>
        <v>T12M EPS</v>
      </c>
      <c r="B3" t="str">
        <f>IFERROR(IF(0=LEN(ReferenceData!$B$3),"",ReferenceData!$B$3),"")</f>
        <v/>
      </c>
      <c r="C3" t="str">
        <f>IFERROR(IF(0=LEN(ReferenceData!$C$3),"",ReferenceData!$C$3),"")</f>
        <v/>
      </c>
      <c r="D3" t="str">
        <f>IFERROR(IF(0=LEN(ReferenceData!$D$3),"",ReferenceData!$D$3),"")</f>
        <v/>
      </c>
      <c r="E3" t="str">
        <f>IFERROR(IF(0=LEN(ReferenceData!$E$3),"",ReferenceData!$E$3),"")</f>
        <v>Average</v>
      </c>
      <c r="F3" t="str">
        <f ca="1">IFERROR(IF(0=LEN(ReferenceData!$F$3),"",ReferenceData!$F$3),"")</f>
        <v/>
      </c>
      <c r="G3">
        <f ca="1">IFERROR(IF(0=LEN(ReferenceData!$G$3),"",ReferenceData!$G$3),"")</f>
        <v>4.3658669405000001</v>
      </c>
      <c r="H3">
        <f ca="1">IFERROR(IF(0=LEN(ReferenceData!$H$3),"",ReferenceData!$H$3),"")</f>
        <v>3.3140199604516134</v>
      </c>
      <c r="I3">
        <f ca="1">IFERROR(IF(0=LEN(ReferenceData!$I$3),"",ReferenceData!$I$3),"")</f>
        <v>3.1988718607741937</v>
      </c>
      <c r="J3">
        <f ca="1">IFERROR(IF(0=LEN(ReferenceData!$J$3),"",ReferenceData!$J$3),"")</f>
        <v>3.2126880113548388</v>
      </c>
      <c r="K3">
        <f ca="1">IFERROR(IF(0=LEN(ReferenceData!$K$3),"",ReferenceData!$K$3),"")</f>
        <v>3.2720257323225796</v>
      </c>
      <c r="L3">
        <f ca="1">IFERROR(IF(0=LEN(ReferenceData!$L$3),"",ReferenceData!$L$3),"")</f>
        <v>2.995387180774193</v>
      </c>
      <c r="M3">
        <f ca="1">IFERROR(IF(0=LEN(ReferenceData!$M$3),"",ReferenceData!$M$3),"")</f>
        <v>3.1628239245806458</v>
      </c>
      <c r="N3">
        <f ca="1">IFERROR(IF(0=LEN(ReferenceData!$N$3),"",ReferenceData!$N$3),"")</f>
        <v>3.1737143310322584</v>
      </c>
      <c r="O3">
        <f ca="1">IFERROR(IF(0=LEN(ReferenceData!$O$3),"",ReferenceData!$O$3),"")</f>
        <v>2.9800847651290319</v>
      </c>
      <c r="P3">
        <f ca="1">IFERROR(IF(0=LEN(ReferenceData!$P$3),"",ReferenceData!$P$3),"")</f>
        <v>3.0320500502258065</v>
      </c>
      <c r="Q3">
        <f ca="1">IFERROR(IF(0=LEN(ReferenceData!$Q$3),"",ReferenceData!$Q$3),"")</f>
        <v>2.9472779937096769</v>
      </c>
      <c r="R3">
        <f ca="1">IFERROR(IF(0=LEN(ReferenceData!$R$3),"",ReferenceData!$R$3),"")</f>
        <v>2.9299553832903222</v>
      </c>
      <c r="S3">
        <f ca="1">IFERROR(IF(0=LEN(ReferenceData!$S$3),"",ReferenceData!$S$3),"")</f>
        <v>3.084386584645161</v>
      </c>
      <c r="T3">
        <f ca="1">IFERROR(IF(0=LEN(ReferenceData!$T$3),"",ReferenceData!$T$3),"")</f>
        <v>3.0877614489032257</v>
      </c>
      <c r="U3">
        <f ca="1">IFERROR(IF(0=LEN(ReferenceData!$U$3),"",ReferenceData!$U$3),"")</f>
        <v>3.1970146462258064</v>
      </c>
      <c r="V3">
        <f ca="1">IFERROR(IF(0=LEN(ReferenceData!$V$3),"",ReferenceData!$V$3),"")</f>
        <v>3.4536972307419349</v>
      </c>
      <c r="W3">
        <f ca="1">IFERROR(IF(0=LEN(ReferenceData!$W$3),"",ReferenceData!$W$3),"")</f>
        <v>3.5087207649677428</v>
      </c>
      <c r="X3">
        <f ca="1">IFERROR(IF(0=LEN(ReferenceData!$X$3),"",ReferenceData!$X$3),"")</f>
        <v>3.7068735984838703</v>
      </c>
      <c r="Y3">
        <f ca="1">IFERROR(IF(0=LEN(ReferenceData!$Y$3),"",ReferenceData!$Y$3),"")</f>
        <v>3.6827251965161292</v>
      </c>
      <c r="Z3">
        <f ca="1">IFERROR(IF(0=LEN(ReferenceData!$Z$3),"",ReferenceData!$Z$3),"")</f>
        <v>3.6202301813333344</v>
      </c>
      <c r="AA3">
        <f ca="1">IFERROR(IF(0=LEN(ReferenceData!$AA$3),"",ReferenceData!$AA$3),"")</f>
        <v>3.5200325341999994</v>
      </c>
      <c r="AB3">
        <f ca="1">IFERROR(IF(0=LEN(ReferenceData!$AB$3),"",ReferenceData!$AB$3),"")</f>
        <v>3.2665362583000008</v>
      </c>
      <c r="AC3">
        <f ca="1">IFERROR(IF(0=LEN(ReferenceData!$AC$3),"",ReferenceData!$AC$3),"")</f>
        <v>4.0344400316666666</v>
      </c>
      <c r="AD3">
        <f ca="1">IFERROR(IF(0=LEN(ReferenceData!$AD$3),"",ReferenceData!$AD$3),"")</f>
        <v>4.2278389718333322</v>
      </c>
      <c r="AE3">
        <f ca="1">IFERROR(IF(0=LEN(ReferenceData!$AE$3),"",ReferenceData!$AE$3),"")</f>
        <v>4.3579937999666667</v>
      </c>
      <c r="AF3">
        <f ca="1">IFERROR(IF(0=LEN(ReferenceData!$AF$3),"",ReferenceData!$AF$3),"")</f>
        <v>4.8089113473333329</v>
      </c>
      <c r="AG3">
        <f ca="1">IFERROR(IF(0=LEN(ReferenceData!$AG$3),"",ReferenceData!$AG$3),"")</f>
        <v>4.3770478094074079</v>
      </c>
      <c r="AH3">
        <f ca="1">IFERROR(IF(0=LEN(ReferenceData!$AH$3),"",ReferenceData!$AH$3),"")</f>
        <v>4.4549960700384617</v>
      </c>
      <c r="AI3">
        <f ca="1">IFERROR(IF(0=LEN(ReferenceData!$AI$3),"",ReferenceData!$AI$3),"")</f>
        <v>4.0829687251153848</v>
      </c>
      <c r="AJ3">
        <f ca="1">IFERROR(IF(0=LEN(ReferenceData!$AJ$3),"",ReferenceData!$AJ$3),"")</f>
        <v>4.3217733481923073</v>
      </c>
      <c r="AK3">
        <f ca="1">IFERROR(IF(0=LEN(ReferenceData!$AK$3),"",ReferenceData!$AK$3),"")</f>
        <v>3.6858663804999994</v>
      </c>
      <c r="AL3">
        <f ca="1">IFERROR(IF(0=LEN(ReferenceData!$AL$3),"",ReferenceData!$AL$3),"")</f>
        <v>2.9595438412307686</v>
      </c>
      <c r="AM3">
        <f ca="1">IFERROR(IF(0=LEN(ReferenceData!$AM$3),"",ReferenceData!$AM$3),"")</f>
        <v>2.4732584599999998</v>
      </c>
      <c r="AN3">
        <f ca="1">IFERROR(IF(0=LEN(ReferenceData!$AN$3),"",ReferenceData!$AN$3),"")</f>
        <v>0.7359310564399999</v>
      </c>
      <c r="AO3">
        <f ca="1">IFERROR(IF(0=LEN(ReferenceData!$AO$3),"",ReferenceData!$AO$3),"")</f>
        <v>5.1383022765000002</v>
      </c>
      <c r="AP3">
        <f ca="1">IFERROR(IF(0=LEN(ReferenceData!$AP$3),"",ReferenceData!$AP$3),"")</f>
        <v>4.0381340921304352</v>
      </c>
      <c r="AQ3">
        <f ca="1">IFERROR(IF(0=LEN(ReferenceData!$AQ$3),"",ReferenceData!$AQ$3),"")</f>
        <v>2.8802572731304346</v>
      </c>
      <c r="AR3">
        <f ca="1">IFERROR(IF(0=LEN(ReferenceData!$AR$3),"",ReferenceData!$AR$3),"")</f>
        <v>-0.88404561692857153</v>
      </c>
      <c r="AS3">
        <f ca="1">IFERROR(IF(0=LEN(ReferenceData!$AS$3),"",ReferenceData!$AS$3),"")</f>
        <v>-0.5873320411538463</v>
      </c>
      <c r="AT3">
        <f ca="1">IFERROR(IF(0=LEN(ReferenceData!$AT$3),"",ReferenceData!$AT$3),"")</f>
        <v>0.48400713015384622</v>
      </c>
      <c r="AU3">
        <f ca="1">IFERROR(IF(0=LEN(ReferenceData!$AU$3),"",ReferenceData!$AU$3),"")</f>
        <v>3.7662383521999998</v>
      </c>
      <c r="AV3">
        <f ca="1">IFERROR(IF(0=LEN(ReferenceData!$AV$3),"",ReferenceData!$AV$3),"")</f>
        <v>7.3829683106666666</v>
      </c>
      <c r="AW3">
        <f ca="1">IFERROR(IF(0=LEN(ReferenceData!$AW$3),"",ReferenceData!$AW$3),"")</f>
        <v>7.4771426336666664</v>
      </c>
      <c r="AX3">
        <f ca="1">IFERROR(IF(0=LEN(ReferenceData!$AX$3),"",ReferenceData!$AX$3),"")</f>
        <v>5.2057316932499997</v>
      </c>
      <c r="AY3">
        <f ca="1">IFERROR(IF(0=LEN(ReferenceData!$AY$3),"",ReferenceData!$AY$3),"")</f>
        <v>5.2544821114999998</v>
      </c>
      <c r="AZ3">
        <f ca="1">IFERROR(IF(0=LEN(ReferenceData!$AZ$3),"",ReferenceData!$AZ$3),"")</f>
        <v>1.2559033846666667</v>
      </c>
      <c r="BA3">
        <f ca="1">IFERROR(IF(0=LEN(ReferenceData!$BA$3),"",ReferenceData!$BA$3),"")</f>
        <v>1.3332110069999998</v>
      </c>
      <c r="BB3">
        <f ca="1">IFERROR(IF(0=LEN(ReferenceData!$BB$3),"",ReferenceData!$BB$3),"")</f>
        <v>1.405857479</v>
      </c>
      <c r="BC3">
        <f ca="1">IFERROR(IF(0=LEN(ReferenceData!$BC$3),"",ReferenceData!$BC$3),"")</f>
        <v>0.62726863633333318</v>
      </c>
      <c r="BD3">
        <f ca="1">IFERROR(IF(0=LEN(ReferenceData!$BD$3),"",ReferenceData!$BD$3),"")</f>
        <v>1.6471776553333333</v>
      </c>
      <c r="BE3">
        <f ca="1">IFERROR(IF(0=LEN(ReferenceData!$BE$3),"",ReferenceData!$BE$3),"")</f>
        <v>1.6199504953333335</v>
      </c>
      <c r="BF3">
        <f ca="1">IFERROR(IF(0=LEN(ReferenceData!$BF$3),"",ReferenceData!$BF$3),"")</f>
        <v>1.3920621656666665</v>
      </c>
      <c r="BG3">
        <f ca="1">IFERROR(IF(0=LEN(ReferenceData!$BG$3),"",ReferenceData!$BG$3),"")</f>
        <v>2.07999775</v>
      </c>
      <c r="BH3">
        <f ca="1">IFERROR(IF(0=LEN(ReferenceData!$BH$3),"",ReferenceData!$BH$3),"")</f>
        <v>3.1128367555000001</v>
      </c>
      <c r="BI3">
        <f ca="1">IFERROR(IF(0=LEN(ReferenceData!$BI$3),"",ReferenceData!$BI$3),"")</f>
        <v>3.3924957015000001</v>
      </c>
      <c r="BJ3">
        <f ca="1">IFERROR(IF(0=LEN(ReferenceData!$BJ$3),"",ReferenceData!$BJ$3),"")</f>
        <v>3.3339051189999998</v>
      </c>
      <c r="BK3">
        <f ca="1">IFERROR(IF(0=LEN(ReferenceData!$BK$3),"",ReferenceData!$BK$3),"")</f>
        <v>3.6250378065</v>
      </c>
      <c r="BL3">
        <f ca="1">IFERROR(IF(0=LEN(ReferenceData!$BL$3),"",ReferenceData!$BL$3),"")</f>
        <v>2.4183364489999999</v>
      </c>
      <c r="BM3">
        <f ca="1">IFERROR(IF(0=LEN(ReferenceData!$BM$3),"",ReferenceData!$BM$3),"")</f>
        <v>2.3849999999999998</v>
      </c>
    </row>
    <row r="4" spans="1:65" x14ac:dyDescent="0.25">
      <c r="A4" t="str">
        <f>IFERROR(IF(0=LEN(ReferenceData!$A$4),"",ReferenceData!$A$4),"")</f>
        <v xml:space="preserve">    AUDI AG</v>
      </c>
      <c r="B4" t="str">
        <f>IFERROR(IF(0=LEN(ReferenceData!$B$4),"",ReferenceData!$B$4),"")</f>
        <v>NSU GR Equity</v>
      </c>
      <c r="C4" t="str">
        <f>IFERROR(IF(0=LEN(ReferenceData!$C$4),"",ReferenceData!$C$4),"")</f>
        <v>RR844</v>
      </c>
      <c r="D4" t="str">
        <f>IFERROR(IF(0=LEN(ReferenceData!$D$4),"",ReferenceData!$D$4),"")</f>
        <v>T12M_DIL_EPS_CONT_OPS</v>
      </c>
      <c r="E4" t="str">
        <f>IFERROR(IF(0=LEN(ReferenceData!$E$4),"",ReferenceData!$E$4),"")</f>
        <v>Dynamic</v>
      </c>
      <c r="F4" t="str">
        <f ca="1">IFERROR(IF(0=LEN(ReferenceData!$F$4),"",ReferenceData!$F$4),"")</f>
        <v/>
      </c>
      <c r="G4" t="str">
        <f ca="1">IFERROR(IF(0=LEN(ReferenceData!$G$4),"",ReferenceData!$G$4),"")</f>
        <v/>
      </c>
      <c r="H4" t="str">
        <f ca="1">IFERROR(IF(0=LEN(ReferenceData!$H$4),"",ReferenceData!$H$4),"")</f>
        <v/>
      </c>
      <c r="I4" t="str">
        <f ca="1">IFERROR(IF(0=LEN(ReferenceData!$I$4),"",ReferenceData!$I$4),"")</f>
        <v/>
      </c>
      <c r="J4" t="str">
        <f ca="1">IFERROR(IF(0=LEN(ReferenceData!$J$4),"",ReferenceData!$J$4),"")</f>
        <v/>
      </c>
      <c r="K4" t="str">
        <f ca="1">IFERROR(IF(0=LEN(ReferenceData!$K$4),"",ReferenceData!$K$4),"")</f>
        <v/>
      </c>
      <c r="L4" t="str">
        <f ca="1">IFERROR(IF(0=LEN(ReferenceData!$L$4),"",ReferenceData!$L$4),"")</f>
        <v/>
      </c>
      <c r="M4" t="str">
        <f ca="1">IFERROR(IF(0=LEN(ReferenceData!$M$4),"",ReferenceData!$M$4),"")</f>
        <v/>
      </c>
      <c r="N4" t="str">
        <f ca="1">IFERROR(IF(0=LEN(ReferenceData!$N$4),"",ReferenceData!$N$4),"")</f>
        <v/>
      </c>
      <c r="O4" t="str">
        <f ca="1">IFERROR(IF(0=LEN(ReferenceData!$O$4),"",ReferenceData!$O$4),"")</f>
        <v/>
      </c>
      <c r="P4" t="str">
        <f ca="1">IFERROR(IF(0=LEN(ReferenceData!$P$4),"",ReferenceData!$P$4),"")</f>
        <v/>
      </c>
      <c r="Q4" t="str">
        <f ca="1">IFERROR(IF(0=LEN(ReferenceData!$Q$4),"",ReferenceData!$Q$4),"")</f>
        <v/>
      </c>
      <c r="R4" t="str">
        <f ca="1">IFERROR(IF(0=LEN(ReferenceData!$R$4),"",ReferenceData!$R$4),"")</f>
        <v/>
      </c>
      <c r="S4" t="str">
        <f ca="1">IFERROR(IF(0=LEN(ReferenceData!$S$4),"",ReferenceData!$S$4),"")</f>
        <v/>
      </c>
      <c r="T4" t="str">
        <f ca="1">IFERROR(IF(0=LEN(ReferenceData!$T$4),"",ReferenceData!$T$4),"")</f>
        <v/>
      </c>
      <c r="U4" t="str">
        <f ca="1">IFERROR(IF(0=LEN(ReferenceData!$U$4),"",ReferenceData!$U$4),"")</f>
        <v/>
      </c>
      <c r="V4" t="str">
        <f ca="1">IFERROR(IF(0=LEN(ReferenceData!$V$4),"",ReferenceData!$V$4),"")</f>
        <v/>
      </c>
      <c r="W4" t="str">
        <f ca="1">IFERROR(IF(0=LEN(ReferenceData!$W$4),"",ReferenceData!$W$4),"")</f>
        <v/>
      </c>
      <c r="X4" t="str">
        <f ca="1">IFERROR(IF(0=LEN(ReferenceData!$X$4),"",ReferenceData!$X$4),"")</f>
        <v/>
      </c>
      <c r="Y4" t="str">
        <f ca="1">IFERROR(IF(0=LEN(ReferenceData!$Y$4),"",ReferenceData!$Y$4),"")</f>
        <v/>
      </c>
      <c r="Z4" t="str">
        <f ca="1">IFERROR(IF(0=LEN(ReferenceData!$Z$4),"",ReferenceData!$Z$4),"")</f>
        <v/>
      </c>
      <c r="AA4" t="str">
        <f ca="1">IFERROR(IF(0=LEN(ReferenceData!$AA$4),"",ReferenceData!$AA$4),"")</f>
        <v/>
      </c>
      <c r="AB4" t="str">
        <f ca="1">IFERROR(IF(0=LEN(ReferenceData!$AB$4),"",ReferenceData!$AB$4),"")</f>
        <v/>
      </c>
      <c r="AC4" t="str">
        <f ca="1">IFERROR(IF(0=LEN(ReferenceData!$AC$4),"",ReferenceData!$AC$4),"")</f>
        <v/>
      </c>
      <c r="AD4" t="str">
        <f ca="1">IFERROR(IF(0=LEN(ReferenceData!$AD$4),"",ReferenceData!$AD$4),"")</f>
        <v/>
      </c>
      <c r="AE4" t="str">
        <f ca="1">IFERROR(IF(0=LEN(ReferenceData!$AE$4),"",ReferenceData!$AE$4),"")</f>
        <v/>
      </c>
      <c r="AF4" t="str">
        <f ca="1">IFERROR(IF(0=LEN(ReferenceData!$AF$4),"",ReferenceData!$AF$4),"")</f>
        <v/>
      </c>
      <c r="AG4" t="str">
        <f ca="1">IFERROR(IF(0=LEN(ReferenceData!$AG$4),"",ReferenceData!$AG$4),"")</f>
        <v/>
      </c>
      <c r="AH4" t="str">
        <f ca="1">IFERROR(IF(0=LEN(ReferenceData!$AH$4),"",ReferenceData!$AH$4),"")</f>
        <v/>
      </c>
      <c r="AI4" t="str">
        <f ca="1">IFERROR(IF(0=LEN(ReferenceData!$AI$4),"",ReferenceData!$AI$4),"")</f>
        <v/>
      </c>
      <c r="AJ4" t="str">
        <f ca="1">IFERROR(IF(0=LEN(ReferenceData!$AJ$4),"",ReferenceData!$AJ$4),"")</f>
        <v/>
      </c>
      <c r="AK4" t="str">
        <f ca="1">IFERROR(IF(0=LEN(ReferenceData!$AK$4),"",ReferenceData!$AK$4),"")</f>
        <v/>
      </c>
      <c r="AL4" t="str">
        <f ca="1">IFERROR(IF(0=LEN(ReferenceData!$AL$4),"",ReferenceData!$AL$4),"")</f>
        <v/>
      </c>
      <c r="AM4" t="str">
        <f ca="1">IFERROR(IF(0=LEN(ReferenceData!$AM$4),"",ReferenceData!$AM$4),"")</f>
        <v/>
      </c>
      <c r="AN4" t="str">
        <f ca="1">IFERROR(IF(0=LEN(ReferenceData!$AN$4),"",ReferenceData!$AN$4),"")</f>
        <v/>
      </c>
      <c r="AO4" t="str">
        <f ca="1">IFERROR(IF(0=LEN(ReferenceData!$AO$4),"",ReferenceData!$AO$4),"")</f>
        <v/>
      </c>
      <c r="AP4" t="str">
        <f ca="1">IFERROR(IF(0=LEN(ReferenceData!$AP$4),"",ReferenceData!$AP$4),"")</f>
        <v/>
      </c>
      <c r="AQ4" t="str">
        <f ca="1">IFERROR(IF(0=LEN(ReferenceData!$AQ$4),"",ReferenceData!$AQ$4),"")</f>
        <v/>
      </c>
      <c r="AR4" t="str">
        <f ca="1">IFERROR(IF(0=LEN(ReferenceData!$AR$4),"",ReferenceData!$AR$4),"")</f>
        <v/>
      </c>
      <c r="AS4" t="str">
        <f ca="1">IFERROR(IF(0=LEN(ReferenceData!$AS$4),"",ReferenceData!$AS$4),"")</f>
        <v/>
      </c>
      <c r="AT4" t="str">
        <f ca="1">IFERROR(IF(0=LEN(ReferenceData!$AT$4),"",ReferenceData!$AT$4),"")</f>
        <v/>
      </c>
      <c r="AU4" t="str">
        <f ca="1">IFERROR(IF(0=LEN(ReferenceData!$AU$4),"",ReferenceData!$AU$4),"")</f>
        <v/>
      </c>
      <c r="AV4" t="str">
        <f ca="1">IFERROR(IF(0=LEN(ReferenceData!$AV$4),"",ReferenceData!$AV$4),"")</f>
        <v/>
      </c>
      <c r="AW4" t="str">
        <f ca="1">IFERROR(IF(0=LEN(ReferenceData!$AW$4),"",ReferenceData!$AW$4),"")</f>
        <v/>
      </c>
      <c r="AX4" t="str">
        <f ca="1">IFERROR(IF(0=LEN(ReferenceData!$AX$4),"",ReferenceData!$AX$4),"")</f>
        <v/>
      </c>
      <c r="AY4" t="str">
        <f ca="1">IFERROR(IF(0=LEN(ReferenceData!$AY$4),"",ReferenceData!$AY$4),"")</f>
        <v/>
      </c>
      <c r="AZ4" t="str">
        <f ca="1">IFERROR(IF(0=LEN(ReferenceData!$AZ$4),"",ReferenceData!$AZ$4),"")</f>
        <v/>
      </c>
      <c r="BA4" t="str">
        <f ca="1">IFERROR(IF(0=LEN(ReferenceData!$BA$4),"",ReferenceData!$BA$4),"")</f>
        <v/>
      </c>
      <c r="BB4" t="str">
        <f ca="1">IFERROR(IF(0=LEN(ReferenceData!$BB$4),"",ReferenceData!$BB$4),"")</f>
        <v/>
      </c>
      <c r="BC4" t="str">
        <f ca="1">IFERROR(IF(0=LEN(ReferenceData!$BC$4),"",ReferenceData!$BC$4),"")</f>
        <v/>
      </c>
      <c r="BD4" t="str">
        <f ca="1">IFERROR(IF(0=LEN(ReferenceData!$BD$4),"",ReferenceData!$BD$4),"")</f>
        <v/>
      </c>
      <c r="BE4" t="str">
        <f ca="1">IFERROR(IF(0=LEN(ReferenceData!$BE$4),"",ReferenceData!$BE$4),"")</f>
        <v/>
      </c>
      <c r="BF4" t="str">
        <f ca="1">IFERROR(IF(0=LEN(ReferenceData!$BF$4),"",ReferenceData!$BF$4),"")</f>
        <v/>
      </c>
      <c r="BG4" t="str">
        <f ca="1">IFERROR(IF(0=LEN(ReferenceData!$BG$4),"",ReferenceData!$BG$4),"")</f>
        <v/>
      </c>
      <c r="BH4" t="str">
        <f ca="1">IFERROR(IF(0=LEN(ReferenceData!$BH$4),"",ReferenceData!$BH$4),"")</f>
        <v/>
      </c>
      <c r="BI4" t="str">
        <f ca="1">IFERROR(IF(0=LEN(ReferenceData!$BI$4),"",ReferenceData!$BI$4),"")</f>
        <v/>
      </c>
      <c r="BJ4" t="str">
        <f ca="1">IFERROR(IF(0=LEN(ReferenceData!$BJ$4),"",ReferenceData!$BJ$4),"")</f>
        <v/>
      </c>
      <c r="BK4" t="str">
        <f ca="1">IFERROR(IF(0=LEN(ReferenceData!$BK$4),"",ReferenceData!$BK$4),"")</f>
        <v/>
      </c>
      <c r="BL4" t="str">
        <f ca="1">IFERROR(IF(0=LEN(ReferenceData!$BL$4),"",ReferenceData!$BL$4),"")</f>
        <v/>
      </c>
      <c r="BM4" t="str">
        <f ca="1">IFERROR(IF(0=LEN(ReferenceData!$BM$4),"",ReferenceData!$BM$4),"")</f>
        <v/>
      </c>
    </row>
    <row r="5" spans="1:65" x14ac:dyDescent="0.25">
      <c r="A5" t="str">
        <f>IFERROR(IF(0=LEN(ReferenceData!$A$5),"",ReferenceData!$A$5),"")</f>
        <v xml:space="preserve">    Avtovaz PJSC</v>
      </c>
      <c r="B5" t="str">
        <f>IFERROR(IF(0=LEN(ReferenceData!$B$5),"",ReferenceData!$B$5),"")</f>
        <v>AVAZ RM Equity</v>
      </c>
      <c r="C5" t="str">
        <f>IFERROR(IF(0=LEN(ReferenceData!$C$5),"",ReferenceData!$C$5),"")</f>
        <v>RR844</v>
      </c>
      <c r="D5" t="str">
        <f>IFERROR(IF(0=LEN(ReferenceData!$D$5),"",ReferenceData!$D$5),"")</f>
        <v>T12M_DIL_EPS_CONT_OPS</v>
      </c>
      <c r="E5" t="str">
        <f>IFERROR(IF(0=LEN(ReferenceData!$E$5),"",ReferenceData!$E$5),"")</f>
        <v>Dynamic</v>
      </c>
      <c r="F5" t="str">
        <f ca="1">IFERROR(IF(0=LEN(ReferenceData!$F$5),"",ReferenceData!$F$5),"")</f>
        <v/>
      </c>
      <c r="G5" t="str">
        <f ca="1">IFERROR(IF(0=LEN(ReferenceData!$G$5),"",ReferenceData!$G$5),"")</f>
        <v/>
      </c>
      <c r="H5">
        <f ca="1">IFERROR(IF(0=LEN(ReferenceData!$H$5),"",ReferenceData!$H$5),"")</f>
        <v>3.4831580000000001E-3</v>
      </c>
      <c r="I5">
        <f ca="1">IFERROR(IF(0=LEN(ReferenceData!$I$5),"",ReferenceData!$I$5),"")</f>
        <v>-5.8437489999999996E-3</v>
      </c>
      <c r="J5">
        <f ca="1">IFERROR(IF(0=LEN(ReferenceData!$J$5),"",ReferenceData!$J$5),"")</f>
        <v>-1.5278299E-2</v>
      </c>
      <c r="K5">
        <f ca="1">IFERROR(IF(0=LEN(ReferenceData!$K$5),"",ReferenceData!$K$5),"")</f>
        <v>-2.7365206E-2</v>
      </c>
      <c r="L5">
        <f ca="1">IFERROR(IF(0=LEN(ReferenceData!$L$5),"",ReferenceData!$L$5),"")</f>
        <v>4.4187879999999999E-3</v>
      </c>
      <c r="M5">
        <f ca="1">IFERROR(IF(0=LEN(ReferenceData!$M$5),"",ReferenceData!$M$5),"")</f>
        <v>-0.14500538199999999</v>
      </c>
      <c r="N5">
        <f ca="1">IFERROR(IF(0=LEN(ReferenceData!$N$5),"",ReferenceData!$N$5),"")</f>
        <v>-0.15659152500000001</v>
      </c>
      <c r="O5">
        <f ca="1">IFERROR(IF(0=LEN(ReferenceData!$O$5),"",ReferenceData!$O$5),"")</f>
        <v>-0.19172040800000001</v>
      </c>
      <c r="P5">
        <f ca="1">IFERROR(IF(0=LEN(ReferenceData!$P$5),"",ReferenceData!$P$5),"")</f>
        <v>-0.40081006699999999</v>
      </c>
      <c r="Q5">
        <f ca="1">IFERROR(IF(0=LEN(ReferenceData!$Q$5),"",ReferenceData!$Q$5),"")</f>
        <v>-0.346736763</v>
      </c>
      <c r="R5" t="str">
        <f ca="1">IFERROR(IF(0=LEN(ReferenceData!$R$5),"",ReferenceData!$R$5),"")</f>
        <v/>
      </c>
      <c r="S5" t="str">
        <f ca="1">IFERROR(IF(0=LEN(ReferenceData!$S$5),"",ReferenceData!$S$5),"")</f>
        <v/>
      </c>
      <c r="T5" t="str">
        <f ca="1">IFERROR(IF(0=LEN(ReferenceData!$T$5),"",ReferenceData!$T$5),"")</f>
        <v/>
      </c>
      <c r="U5" t="str">
        <f ca="1">IFERROR(IF(0=LEN(ReferenceData!$U$5),"",ReferenceData!$U$5),"")</f>
        <v/>
      </c>
      <c r="V5" t="str">
        <f ca="1">IFERROR(IF(0=LEN(ReferenceData!$V$5),"",ReferenceData!$V$5),"")</f>
        <v/>
      </c>
      <c r="W5" t="str">
        <f ca="1">IFERROR(IF(0=LEN(ReferenceData!$W$5),"",ReferenceData!$W$5),"")</f>
        <v/>
      </c>
      <c r="X5" t="str">
        <f ca="1">IFERROR(IF(0=LEN(ReferenceData!$X$5),"",ReferenceData!$X$5),"")</f>
        <v/>
      </c>
      <c r="Y5" t="str">
        <f ca="1">IFERROR(IF(0=LEN(ReferenceData!$Y$5),"",ReferenceData!$Y$5),"")</f>
        <v/>
      </c>
      <c r="Z5" t="str">
        <f ca="1">IFERROR(IF(0=LEN(ReferenceData!$Z$5),"",ReferenceData!$Z$5),"")</f>
        <v/>
      </c>
      <c r="AA5" t="str">
        <f ca="1">IFERROR(IF(0=LEN(ReferenceData!$AA$5),"",ReferenceData!$AA$5),"")</f>
        <v/>
      </c>
      <c r="AB5" t="str">
        <f ca="1">IFERROR(IF(0=LEN(ReferenceData!$AB$5),"",ReferenceData!$AB$5),"")</f>
        <v/>
      </c>
      <c r="AC5" t="str">
        <f ca="1">IFERROR(IF(0=LEN(ReferenceData!$AC$5),"",ReferenceData!$AC$5),"")</f>
        <v/>
      </c>
      <c r="AD5" t="str">
        <f ca="1">IFERROR(IF(0=LEN(ReferenceData!$AD$5),"",ReferenceData!$AD$5),"")</f>
        <v/>
      </c>
      <c r="AE5" t="str">
        <f ca="1">IFERROR(IF(0=LEN(ReferenceData!$AE$5),"",ReferenceData!$AE$5),"")</f>
        <v/>
      </c>
      <c r="AF5" t="str">
        <f ca="1">IFERROR(IF(0=LEN(ReferenceData!$AF$5),"",ReferenceData!$AF$5),"")</f>
        <v/>
      </c>
      <c r="AG5" t="str">
        <f ca="1">IFERROR(IF(0=LEN(ReferenceData!$AG$5),"",ReferenceData!$AG$5),"")</f>
        <v/>
      </c>
      <c r="AH5" t="str">
        <f ca="1">IFERROR(IF(0=LEN(ReferenceData!$AH$5),"",ReferenceData!$AH$5),"")</f>
        <v/>
      </c>
      <c r="AI5" t="str">
        <f ca="1">IFERROR(IF(0=LEN(ReferenceData!$AI$5),"",ReferenceData!$AI$5),"")</f>
        <v/>
      </c>
      <c r="AJ5" t="str">
        <f ca="1">IFERROR(IF(0=LEN(ReferenceData!$AJ$5),"",ReferenceData!$AJ$5),"")</f>
        <v/>
      </c>
      <c r="AK5" t="str">
        <f ca="1">IFERROR(IF(0=LEN(ReferenceData!$AK$5),"",ReferenceData!$AK$5),"")</f>
        <v/>
      </c>
      <c r="AL5" t="str">
        <f ca="1">IFERROR(IF(0=LEN(ReferenceData!$AL$5),"",ReferenceData!$AL$5),"")</f>
        <v/>
      </c>
      <c r="AM5" t="str">
        <f ca="1">IFERROR(IF(0=LEN(ReferenceData!$AM$5),"",ReferenceData!$AM$5),"")</f>
        <v/>
      </c>
      <c r="AN5" t="str">
        <f ca="1">IFERROR(IF(0=LEN(ReferenceData!$AN$5),"",ReferenceData!$AN$5),"")</f>
        <v/>
      </c>
      <c r="AO5" t="str">
        <f ca="1">IFERROR(IF(0=LEN(ReferenceData!$AO$5),"",ReferenceData!$AO$5),"")</f>
        <v/>
      </c>
      <c r="AP5" t="str">
        <f ca="1">IFERROR(IF(0=LEN(ReferenceData!$AP$5),"",ReferenceData!$AP$5),"")</f>
        <v/>
      </c>
      <c r="AQ5" t="str">
        <f ca="1">IFERROR(IF(0=LEN(ReferenceData!$AQ$5),"",ReferenceData!$AQ$5),"")</f>
        <v/>
      </c>
      <c r="AR5" t="str">
        <f ca="1">IFERROR(IF(0=LEN(ReferenceData!$AR$5),"",ReferenceData!$AR$5),"")</f>
        <v/>
      </c>
      <c r="AS5" t="str">
        <f ca="1">IFERROR(IF(0=LEN(ReferenceData!$AS$5),"",ReferenceData!$AS$5),"")</f>
        <v/>
      </c>
      <c r="AT5" t="str">
        <f ca="1">IFERROR(IF(0=LEN(ReferenceData!$AT$5),"",ReferenceData!$AT$5),"")</f>
        <v/>
      </c>
      <c r="AU5" t="str">
        <f ca="1">IFERROR(IF(0=LEN(ReferenceData!$AU$5),"",ReferenceData!$AU$5),"")</f>
        <v/>
      </c>
      <c r="AV5" t="str">
        <f ca="1">IFERROR(IF(0=LEN(ReferenceData!$AV$5),"",ReferenceData!$AV$5),"")</f>
        <v/>
      </c>
      <c r="AW5" t="str">
        <f ca="1">IFERROR(IF(0=LEN(ReferenceData!$AW$5),"",ReferenceData!$AW$5),"")</f>
        <v/>
      </c>
      <c r="AX5" t="str">
        <f ca="1">IFERROR(IF(0=LEN(ReferenceData!$AX$5),"",ReferenceData!$AX$5),"")</f>
        <v/>
      </c>
      <c r="AY5" t="str">
        <f ca="1">IFERROR(IF(0=LEN(ReferenceData!$AY$5),"",ReferenceData!$AY$5),"")</f>
        <v/>
      </c>
      <c r="AZ5" t="str">
        <f ca="1">IFERROR(IF(0=LEN(ReferenceData!$AZ$5),"",ReferenceData!$AZ$5),"")</f>
        <v/>
      </c>
      <c r="BA5" t="str">
        <f ca="1">IFERROR(IF(0=LEN(ReferenceData!$BA$5),"",ReferenceData!$BA$5),"")</f>
        <v/>
      </c>
      <c r="BB5" t="str">
        <f ca="1">IFERROR(IF(0=LEN(ReferenceData!$BB$5),"",ReferenceData!$BB$5),"")</f>
        <v/>
      </c>
      <c r="BC5" t="str">
        <f ca="1">IFERROR(IF(0=LEN(ReferenceData!$BC$5),"",ReferenceData!$BC$5),"")</f>
        <v/>
      </c>
      <c r="BD5" t="str">
        <f ca="1">IFERROR(IF(0=LEN(ReferenceData!$BD$5),"",ReferenceData!$BD$5),"")</f>
        <v/>
      </c>
      <c r="BE5" t="str">
        <f ca="1">IFERROR(IF(0=LEN(ReferenceData!$BE$5),"",ReferenceData!$BE$5),"")</f>
        <v/>
      </c>
      <c r="BF5" t="str">
        <f ca="1">IFERROR(IF(0=LEN(ReferenceData!$BF$5),"",ReferenceData!$BF$5),"")</f>
        <v/>
      </c>
      <c r="BG5" t="str">
        <f ca="1">IFERROR(IF(0=LEN(ReferenceData!$BG$5),"",ReferenceData!$BG$5),"")</f>
        <v/>
      </c>
      <c r="BH5" t="str">
        <f ca="1">IFERROR(IF(0=LEN(ReferenceData!$BH$5),"",ReferenceData!$BH$5),"")</f>
        <v/>
      </c>
      <c r="BI5" t="str">
        <f ca="1">IFERROR(IF(0=LEN(ReferenceData!$BI$5),"",ReferenceData!$BI$5),"")</f>
        <v/>
      </c>
      <c r="BJ5" t="str">
        <f ca="1">IFERROR(IF(0=LEN(ReferenceData!$BJ$5),"",ReferenceData!$BJ$5),"")</f>
        <v/>
      </c>
      <c r="BK5" t="str">
        <f ca="1">IFERROR(IF(0=LEN(ReferenceData!$BK$5),"",ReferenceData!$BK$5),"")</f>
        <v/>
      </c>
      <c r="BL5" t="str">
        <f ca="1">IFERROR(IF(0=LEN(ReferenceData!$BL$5),"",ReferenceData!$BL$5),"")</f>
        <v/>
      </c>
      <c r="BM5" t="str">
        <f ca="1">IFERROR(IF(0=LEN(ReferenceData!$BM$5),"",ReferenceData!$BM$5),"")</f>
        <v/>
      </c>
    </row>
    <row r="6" spans="1:65" x14ac:dyDescent="0.25">
      <c r="A6" t="str">
        <f>IFERROR(IF(0=LEN(ReferenceData!$A$6),"",ReferenceData!$A$6),"")</f>
        <v xml:space="preserve">    Bayerische Motoren Werke AG</v>
      </c>
      <c r="B6" t="str">
        <f>IFERROR(IF(0=LEN(ReferenceData!$B$6),"",ReferenceData!$B$6),"")</f>
        <v>BMW GR Equity</v>
      </c>
      <c r="C6" t="str">
        <f>IFERROR(IF(0=LEN(ReferenceData!$C$6),"",ReferenceData!$C$6),"")</f>
        <v>RR844</v>
      </c>
      <c r="D6" t="str">
        <f>IFERROR(IF(0=LEN(ReferenceData!$D$6),"",ReferenceData!$D$6),"")</f>
        <v>T12M_DIL_EPS_CONT_OPS</v>
      </c>
      <c r="E6" t="str">
        <f>IFERROR(IF(0=LEN(ReferenceData!$E$6),"",ReferenceData!$E$6),"")</f>
        <v>Dynamic</v>
      </c>
      <c r="F6" t="str">
        <f ca="1">IFERROR(IF(0=LEN(ReferenceData!$F$6),"",ReferenceData!$F$6),"")</f>
        <v/>
      </c>
      <c r="G6" t="str">
        <f ca="1">IFERROR(IF(0=LEN(ReferenceData!$G$6),"",ReferenceData!$G$6),"")</f>
        <v/>
      </c>
      <c r="H6">
        <f ca="1">IFERROR(IF(0=LEN(ReferenceData!$H$6),"",ReferenceData!$H$6),"")</f>
        <v>14.87176155</v>
      </c>
      <c r="I6">
        <f ca="1">IFERROR(IF(0=LEN(ReferenceData!$I$6),"",ReferenceData!$I$6),"")</f>
        <v>15.67887024</v>
      </c>
      <c r="J6">
        <f ca="1">IFERROR(IF(0=LEN(ReferenceData!$J$6),"",ReferenceData!$J$6),"")</f>
        <v>15.615170559999999</v>
      </c>
      <c r="K6">
        <f ca="1">IFERROR(IF(0=LEN(ReferenceData!$K$6),"",ReferenceData!$K$6),"")</f>
        <v>15.046421179999999</v>
      </c>
      <c r="L6">
        <f ca="1">IFERROR(IF(0=LEN(ReferenceData!$L$6),"",ReferenceData!$L$6),"")</f>
        <v>13.10051696</v>
      </c>
      <c r="M6">
        <f ca="1">IFERROR(IF(0=LEN(ReferenceData!$M$6),"",ReferenceData!$M$6),"")</f>
        <v>12.916688580000001</v>
      </c>
      <c r="N6">
        <f ca="1">IFERROR(IF(0=LEN(ReferenceData!$N$6),"",ReferenceData!$N$6),"")</f>
        <v>12.572899169999999</v>
      </c>
      <c r="O6">
        <f ca="1">IFERROR(IF(0=LEN(ReferenceData!$O$6),"",ReferenceData!$O$6),"")</f>
        <v>11.690197209999999</v>
      </c>
      <c r="P6">
        <f ca="1">IFERROR(IF(0=LEN(ReferenceData!$P$6),"",ReferenceData!$P$6),"")</f>
        <v>11.688425430000001</v>
      </c>
      <c r="Q6">
        <f ca="1">IFERROR(IF(0=LEN(ReferenceData!$Q$6),"",ReferenceData!$Q$6),"")</f>
        <v>11.27763657</v>
      </c>
      <c r="R6">
        <f ca="1">IFERROR(IF(0=LEN(ReferenceData!$R$6),"",ReferenceData!$R$6),"")</f>
        <v>10.90012153</v>
      </c>
      <c r="S6">
        <f ca="1">IFERROR(IF(0=LEN(ReferenceData!$S$6),"",ReferenceData!$S$6),"")</f>
        <v>10.67412794</v>
      </c>
      <c r="T6">
        <f ca="1">IFERROR(IF(0=LEN(ReferenceData!$T$6),"",ReferenceData!$T$6),"")</f>
        <v>10.844945709999999</v>
      </c>
      <c r="U6">
        <f ca="1">IFERROR(IF(0=LEN(ReferenceData!$U$6),"",ReferenceData!$U$6),"")</f>
        <v>10.8610399</v>
      </c>
      <c r="V6">
        <f ca="1">IFERROR(IF(0=LEN(ReferenceData!$V$6),"",ReferenceData!$V$6),"")</f>
        <v>11.481455349999999</v>
      </c>
      <c r="W6">
        <f ca="1">IFERROR(IF(0=LEN(ReferenceData!$W$6),"",ReferenceData!$W$6),"")</f>
        <v>11.916463200000001</v>
      </c>
      <c r="X6">
        <f ca="1">IFERROR(IF(0=LEN(ReferenceData!$X$6),"",ReferenceData!$X$6),"")</f>
        <v>12.145242590000001</v>
      </c>
      <c r="Y6">
        <f ca="1">IFERROR(IF(0=LEN(ReferenceData!$Y$6),"",ReferenceData!$Y$6),"")</f>
        <v>12.189620939999999</v>
      </c>
      <c r="Z6">
        <f ca="1">IFERROR(IF(0=LEN(ReferenceData!$Z$6),"",ReferenceData!$Z$6),"")</f>
        <v>11.27955652</v>
      </c>
      <c r="AA6">
        <f ca="1">IFERROR(IF(0=LEN(ReferenceData!$AA$6),"",ReferenceData!$AA$6),"")</f>
        <v>10.870571379999999</v>
      </c>
      <c r="AB6">
        <f ca="1">IFERROR(IF(0=LEN(ReferenceData!$AB$6),"",ReferenceData!$AB$6),"")</f>
        <v>10.65937265</v>
      </c>
      <c r="AC6">
        <f ca="1">IFERROR(IF(0=LEN(ReferenceData!$AC$6),"",ReferenceData!$AC$6),"")</f>
        <v>10.42689665</v>
      </c>
      <c r="AD6">
        <f ca="1">IFERROR(IF(0=LEN(ReferenceData!$AD$6),"",ReferenceData!$AD$6),"")</f>
        <v>10.161563320000001</v>
      </c>
      <c r="AE6">
        <f ca="1">IFERROR(IF(0=LEN(ReferenceData!$AE$6),"",ReferenceData!$AE$6),"")</f>
        <v>10.22267518</v>
      </c>
      <c r="AF6">
        <f ca="1">IFERROR(IF(0=LEN(ReferenceData!$AF$6),"",ReferenceData!$AF$6),"")</f>
        <v>9.4907349449999998</v>
      </c>
      <c r="AG6">
        <f ca="1">IFERROR(IF(0=LEN(ReferenceData!$AG$6),"",ReferenceData!$AG$6),"")</f>
        <v>9.4401898620000004</v>
      </c>
      <c r="AH6">
        <f ca="1">IFERROR(IF(0=LEN(ReferenceData!$AH$6),"",ReferenceData!$AH$6),"")</f>
        <v>10.762019909999999</v>
      </c>
      <c r="AI6">
        <f ca="1">IFERROR(IF(0=LEN(ReferenceData!$AI$6),"",ReferenceData!$AI$6),"")</f>
        <v>10.42909199</v>
      </c>
      <c r="AJ6">
        <f ca="1">IFERROR(IF(0=LEN(ReferenceData!$AJ$6),"",ReferenceData!$AJ$6),"")</f>
        <v>11.35342063</v>
      </c>
      <c r="AK6">
        <f ca="1">IFERROR(IF(0=LEN(ReferenceData!$AK$6),"",ReferenceData!$AK$6),"")</f>
        <v>10.61512113</v>
      </c>
      <c r="AL6">
        <f ca="1">IFERROR(IF(0=LEN(ReferenceData!$AL$6),"",ReferenceData!$AL$6),"")</f>
        <v>8.4010018280000001</v>
      </c>
      <c r="AM6">
        <f ca="1">IFERROR(IF(0=LEN(ReferenceData!$AM$6),"",ReferenceData!$AM$6),"")</f>
        <v>6.7789828759999997</v>
      </c>
      <c r="AN6">
        <f ca="1">IFERROR(IF(0=LEN(ReferenceData!$AN$6),"",ReferenceData!$AN$6),"")</f>
        <v>4.5148268429999998</v>
      </c>
      <c r="AO6">
        <f ca="1">IFERROR(IF(0=LEN(ReferenceData!$AO$6),"",ReferenceData!$AO$6),"")</f>
        <v>2.9471917670000001</v>
      </c>
      <c r="AP6">
        <f ca="1">IFERROR(IF(0=LEN(ReferenceData!$AP$6),"",ReferenceData!$AP$6),"")</f>
        <v>1.4534342499999999</v>
      </c>
      <c r="AQ6">
        <f ca="1">IFERROR(IF(0=LEN(ReferenceData!$AQ$6),"",ReferenceData!$AQ$6),"")</f>
        <v>0.42956737699999997</v>
      </c>
      <c r="AR6">
        <f ca="1">IFERROR(IF(0=LEN(ReferenceData!$AR$6),"",ReferenceData!$AR$6),"")</f>
        <v>-1.3986069489999999</v>
      </c>
      <c r="AS6">
        <f ca="1">IFERROR(IF(0=LEN(ReferenceData!$AS$6),"",ReferenceData!$AS$6),"")</f>
        <v>-0.96437299200000004</v>
      </c>
      <c r="AT6">
        <f ca="1">IFERROR(IF(0=LEN(ReferenceData!$AT$6),"",ReferenceData!$AT$6),"")</f>
        <v>-0.16764428300000001</v>
      </c>
      <c r="AU6">
        <f ca="1">IFERROR(IF(0=LEN(ReferenceData!$AU$6),"",ReferenceData!$AU$6),"")</f>
        <v>1.2535007789999999</v>
      </c>
      <c r="AV6" t="str">
        <f ca="1">IFERROR(IF(0=LEN(ReferenceData!$AV$6),"",ReferenceData!$AV$6),"")</f>
        <v/>
      </c>
      <c r="AW6" t="str">
        <f ca="1">IFERROR(IF(0=LEN(ReferenceData!$AW$6),"",ReferenceData!$AW$6),"")</f>
        <v/>
      </c>
      <c r="AX6" t="str">
        <f ca="1">IFERROR(IF(0=LEN(ReferenceData!$AX$6),"",ReferenceData!$AX$6),"")</f>
        <v/>
      </c>
      <c r="AY6" t="str">
        <f ca="1">IFERROR(IF(0=LEN(ReferenceData!$AY$6),"",ReferenceData!$AY$6),"")</f>
        <v/>
      </c>
      <c r="AZ6" t="str">
        <f ca="1">IFERROR(IF(0=LEN(ReferenceData!$AZ$6),"",ReferenceData!$AZ$6),"")</f>
        <v/>
      </c>
      <c r="BA6" t="str">
        <f ca="1">IFERROR(IF(0=LEN(ReferenceData!$BA$6),"",ReferenceData!$BA$6),"")</f>
        <v/>
      </c>
      <c r="BB6" t="str">
        <f ca="1">IFERROR(IF(0=LEN(ReferenceData!$BB$6),"",ReferenceData!$BB$6),"")</f>
        <v/>
      </c>
      <c r="BC6" t="str">
        <f ca="1">IFERROR(IF(0=LEN(ReferenceData!$BC$6),"",ReferenceData!$BC$6),"")</f>
        <v/>
      </c>
      <c r="BD6" t="str">
        <f ca="1">IFERROR(IF(0=LEN(ReferenceData!$BD$6),"",ReferenceData!$BD$6),"")</f>
        <v/>
      </c>
      <c r="BE6" t="str">
        <f ca="1">IFERROR(IF(0=LEN(ReferenceData!$BE$6),"",ReferenceData!$BE$6),"")</f>
        <v/>
      </c>
      <c r="BF6" t="str">
        <f ca="1">IFERROR(IF(0=LEN(ReferenceData!$BF$6),"",ReferenceData!$BF$6),"")</f>
        <v/>
      </c>
      <c r="BG6" t="str">
        <f ca="1">IFERROR(IF(0=LEN(ReferenceData!$BG$6),"",ReferenceData!$BG$6),"")</f>
        <v/>
      </c>
      <c r="BH6" t="str">
        <f ca="1">IFERROR(IF(0=LEN(ReferenceData!$BH$6),"",ReferenceData!$BH$6),"")</f>
        <v/>
      </c>
      <c r="BI6" t="str">
        <f ca="1">IFERROR(IF(0=LEN(ReferenceData!$BI$6),"",ReferenceData!$BI$6),"")</f>
        <v/>
      </c>
      <c r="BJ6" t="str">
        <f ca="1">IFERROR(IF(0=LEN(ReferenceData!$BJ$6),"",ReferenceData!$BJ$6),"")</f>
        <v/>
      </c>
      <c r="BK6" t="str">
        <f ca="1">IFERROR(IF(0=LEN(ReferenceData!$BK$6),"",ReferenceData!$BK$6),"")</f>
        <v/>
      </c>
      <c r="BL6" t="str">
        <f ca="1">IFERROR(IF(0=LEN(ReferenceData!$BL$6),"",ReferenceData!$BL$6),"")</f>
        <v/>
      </c>
      <c r="BM6" t="str">
        <f ca="1">IFERROR(IF(0=LEN(ReferenceData!$BM$6),"",ReferenceData!$BM$6),"")</f>
        <v/>
      </c>
    </row>
    <row r="7" spans="1:65" x14ac:dyDescent="0.25">
      <c r="A7" t="str">
        <f>IFERROR(IF(0=LEN(ReferenceData!$A$7),"",ReferenceData!$A$7),"")</f>
        <v xml:space="preserve">    Brilliance China Automotive Holdings Ltd</v>
      </c>
      <c r="B7" t="str">
        <f>IFERROR(IF(0=LEN(ReferenceData!$B$7),"",ReferenceData!$B$7),"")</f>
        <v>1114 HK Equity</v>
      </c>
      <c r="C7" t="str">
        <f>IFERROR(IF(0=LEN(ReferenceData!$C$7),"",ReferenceData!$C$7),"")</f>
        <v>RR844</v>
      </c>
      <c r="D7" t="str">
        <f>IFERROR(IF(0=LEN(ReferenceData!$D$7),"",ReferenceData!$D$7),"")</f>
        <v>T12M_DIL_EPS_CONT_OPS</v>
      </c>
      <c r="E7" t="str">
        <f>IFERROR(IF(0=LEN(ReferenceData!$E$7),"",ReferenceData!$E$7),"")</f>
        <v>Dynamic</v>
      </c>
      <c r="F7" t="str">
        <f ca="1">IFERROR(IF(0=LEN(ReferenceData!$F$7),"",ReferenceData!$F$7),"")</f>
        <v/>
      </c>
      <c r="G7" t="str">
        <f ca="1">IFERROR(IF(0=LEN(ReferenceData!$G$7),"",ReferenceData!$G$7),"")</f>
        <v/>
      </c>
      <c r="H7" t="str">
        <f ca="1">IFERROR(IF(0=LEN(ReferenceData!$H$7),"",ReferenceData!$H$7),"")</f>
        <v/>
      </c>
      <c r="I7" t="str">
        <f ca="1">IFERROR(IF(0=LEN(ReferenceData!$I$7),"",ReferenceData!$I$7),"")</f>
        <v/>
      </c>
      <c r="J7" t="str">
        <f ca="1">IFERROR(IF(0=LEN(ReferenceData!$J$7),"",ReferenceData!$J$7),"")</f>
        <v/>
      </c>
      <c r="K7" t="str">
        <f ca="1">IFERROR(IF(0=LEN(ReferenceData!$K$7),"",ReferenceData!$K$7),"")</f>
        <v/>
      </c>
      <c r="L7" t="str">
        <f ca="1">IFERROR(IF(0=LEN(ReferenceData!$L$7),"",ReferenceData!$L$7),"")</f>
        <v/>
      </c>
      <c r="M7" t="str">
        <f ca="1">IFERROR(IF(0=LEN(ReferenceData!$M$7),"",ReferenceData!$M$7),"")</f>
        <v/>
      </c>
      <c r="N7" t="str">
        <f ca="1">IFERROR(IF(0=LEN(ReferenceData!$N$7),"",ReferenceData!$N$7),"")</f>
        <v/>
      </c>
      <c r="O7" t="str">
        <f ca="1">IFERROR(IF(0=LEN(ReferenceData!$O$7),"",ReferenceData!$O$7),"")</f>
        <v/>
      </c>
      <c r="P7" t="str">
        <f ca="1">IFERROR(IF(0=LEN(ReferenceData!$P$7),"",ReferenceData!$P$7),"")</f>
        <v/>
      </c>
      <c r="Q7" t="str">
        <f ca="1">IFERROR(IF(0=LEN(ReferenceData!$Q$7),"",ReferenceData!$Q$7),"")</f>
        <v/>
      </c>
      <c r="R7" t="str">
        <f ca="1">IFERROR(IF(0=LEN(ReferenceData!$R$7),"",ReferenceData!$R$7),"")</f>
        <v/>
      </c>
      <c r="S7" t="str">
        <f ca="1">IFERROR(IF(0=LEN(ReferenceData!$S$7),"",ReferenceData!$S$7),"")</f>
        <v/>
      </c>
      <c r="T7" t="str">
        <f ca="1">IFERROR(IF(0=LEN(ReferenceData!$T$7),"",ReferenceData!$T$7),"")</f>
        <v/>
      </c>
      <c r="U7" t="str">
        <f ca="1">IFERROR(IF(0=LEN(ReferenceData!$U$7),"",ReferenceData!$U$7),"")</f>
        <v/>
      </c>
      <c r="V7" t="str">
        <f ca="1">IFERROR(IF(0=LEN(ReferenceData!$V$7),"",ReferenceData!$V$7),"")</f>
        <v/>
      </c>
      <c r="W7" t="str">
        <f ca="1">IFERROR(IF(0=LEN(ReferenceData!$W$7),"",ReferenceData!$W$7),"")</f>
        <v/>
      </c>
      <c r="X7" t="str">
        <f ca="1">IFERROR(IF(0=LEN(ReferenceData!$X$7),"",ReferenceData!$X$7),"")</f>
        <v/>
      </c>
      <c r="Y7" t="str">
        <f ca="1">IFERROR(IF(0=LEN(ReferenceData!$Y$7),"",ReferenceData!$Y$7),"")</f>
        <v/>
      </c>
      <c r="Z7" t="str">
        <f ca="1">IFERROR(IF(0=LEN(ReferenceData!$Z$7),"",ReferenceData!$Z$7),"")</f>
        <v/>
      </c>
      <c r="AA7" t="str">
        <f ca="1">IFERROR(IF(0=LEN(ReferenceData!$AA$7),"",ReferenceData!$AA$7),"")</f>
        <v/>
      </c>
      <c r="AB7" t="str">
        <f ca="1">IFERROR(IF(0=LEN(ReferenceData!$AB$7),"",ReferenceData!$AB$7),"")</f>
        <v/>
      </c>
      <c r="AC7" t="str">
        <f ca="1">IFERROR(IF(0=LEN(ReferenceData!$AC$7),"",ReferenceData!$AC$7),"")</f>
        <v/>
      </c>
      <c r="AD7" t="str">
        <f ca="1">IFERROR(IF(0=LEN(ReferenceData!$AD$7),"",ReferenceData!$AD$7),"")</f>
        <v/>
      </c>
      <c r="AE7" t="str">
        <f ca="1">IFERROR(IF(0=LEN(ReferenceData!$AE$7),"",ReferenceData!$AE$7),"")</f>
        <v/>
      </c>
      <c r="AF7" t="str">
        <f ca="1">IFERROR(IF(0=LEN(ReferenceData!$AF$7),"",ReferenceData!$AF$7),"")</f>
        <v/>
      </c>
      <c r="AG7" t="str">
        <f ca="1">IFERROR(IF(0=LEN(ReferenceData!$AG$7),"",ReferenceData!$AG$7),"")</f>
        <v/>
      </c>
      <c r="AH7" t="str">
        <f ca="1">IFERROR(IF(0=LEN(ReferenceData!$AH$7),"",ReferenceData!$AH$7),"")</f>
        <v/>
      </c>
      <c r="AI7" t="str">
        <f ca="1">IFERROR(IF(0=LEN(ReferenceData!$AI$7),"",ReferenceData!$AI$7),"")</f>
        <v/>
      </c>
      <c r="AJ7" t="str">
        <f ca="1">IFERROR(IF(0=LEN(ReferenceData!$AJ$7),"",ReferenceData!$AJ$7),"")</f>
        <v/>
      </c>
      <c r="AK7" t="str">
        <f ca="1">IFERROR(IF(0=LEN(ReferenceData!$AK$7),"",ReferenceData!$AK$7),"")</f>
        <v/>
      </c>
      <c r="AL7" t="str">
        <f ca="1">IFERROR(IF(0=LEN(ReferenceData!$AL$7),"",ReferenceData!$AL$7),"")</f>
        <v/>
      </c>
      <c r="AM7" t="str">
        <f ca="1">IFERROR(IF(0=LEN(ReferenceData!$AM$7),"",ReferenceData!$AM$7),"")</f>
        <v/>
      </c>
      <c r="AN7" t="str">
        <f ca="1">IFERROR(IF(0=LEN(ReferenceData!$AN$7),"",ReferenceData!$AN$7),"")</f>
        <v/>
      </c>
      <c r="AO7" t="str">
        <f ca="1">IFERROR(IF(0=LEN(ReferenceData!$AO$7),"",ReferenceData!$AO$7),"")</f>
        <v/>
      </c>
      <c r="AP7" t="str">
        <f ca="1">IFERROR(IF(0=LEN(ReferenceData!$AP$7),"",ReferenceData!$AP$7),"")</f>
        <v/>
      </c>
      <c r="AQ7" t="str">
        <f ca="1">IFERROR(IF(0=LEN(ReferenceData!$AQ$7),"",ReferenceData!$AQ$7),"")</f>
        <v/>
      </c>
      <c r="AR7" t="str">
        <f ca="1">IFERROR(IF(0=LEN(ReferenceData!$AR$7),"",ReferenceData!$AR$7),"")</f>
        <v/>
      </c>
      <c r="AS7" t="str">
        <f ca="1">IFERROR(IF(0=LEN(ReferenceData!$AS$7),"",ReferenceData!$AS$7),"")</f>
        <v/>
      </c>
      <c r="AT7" t="str">
        <f ca="1">IFERROR(IF(0=LEN(ReferenceData!$AT$7),"",ReferenceData!$AT$7),"")</f>
        <v/>
      </c>
      <c r="AU7" t="str">
        <f ca="1">IFERROR(IF(0=LEN(ReferenceData!$AU$7),"",ReferenceData!$AU$7),"")</f>
        <v/>
      </c>
      <c r="AV7" t="str">
        <f ca="1">IFERROR(IF(0=LEN(ReferenceData!$AV$7),"",ReferenceData!$AV$7),"")</f>
        <v/>
      </c>
      <c r="AW7" t="str">
        <f ca="1">IFERROR(IF(0=LEN(ReferenceData!$AW$7),"",ReferenceData!$AW$7),"")</f>
        <v/>
      </c>
      <c r="AX7" t="str">
        <f ca="1">IFERROR(IF(0=LEN(ReferenceData!$AX$7),"",ReferenceData!$AX$7),"")</f>
        <v/>
      </c>
      <c r="AY7" t="str">
        <f ca="1">IFERROR(IF(0=LEN(ReferenceData!$AY$7),"",ReferenceData!$AY$7),"")</f>
        <v/>
      </c>
      <c r="AZ7" t="str">
        <f ca="1">IFERROR(IF(0=LEN(ReferenceData!$AZ$7),"",ReferenceData!$AZ$7),"")</f>
        <v/>
      </c>
      <c r="BA7" t="str">
        <f ca="1">IFERROR(IF(0=LEN(ReferenceData!$BA$7),"",ReferenceData!$BA$7),"")</f>
        <v/>
      </c>
      <c r="BB7" t="str">
        <f ca="1">IFERROR(IF(0=LEN(ReferenceData!$BB$7),"",ReferenceData!$BB$7),"")</f>
        <v/>
      </c>
      <c r="BC7" t="str">
        <f ca="1">IFERROR(IF(0=LEN(ReferenceData!$BC$7),"",ReferenceData!$BC$7),"")</f>
        <v/>
      </c>
      <c r="BD7" t="str">
        <f ca="1">IFERROR(IF(0=LEN(ReferenceData!$BD$7),"",ReferenceData!$BD$7),"")</f>
        <v/>
      </c>
      <c r="BE7" t="str">
        <f ca="1">IFERROR(IF(0=LEN(ReferenceData!$BE$7),"",ReferenceData!$BE$7),"")</f>
        <v/>
      </c>
      <c r="BF7" t="str">
        <f ca="1">IFERROR(IF(0=LEN(ReferenceData!$BF$7),"",ReferenceData!$BF$7),"")</f>
        <v/>
      </c>
      <c r="BG7" t="str">
        <f ca="1">IFERROR(IF(0=LEN(ReferenceData!$BG$7),"",ReferenceData!$BG$7),"")</f>
        <v/>
      </c>
      <c r="BH7" t="str">
        <f ca="1">IFERROR(IF(0=LEN(ReferenceData!$BH$7),"",ReferenceData!$BH$7),"")</f>
        <v/>
      </c>
      <c r="BI7" t="str">
        <f ca="1">IFERROR(IF(0=LEN(ReferenceData!$BI$7),"",ReferenceData!$BI$7),"")</f>
        <v/>
      </c>
      <c r="BJ7" t="str">
        <f ca="1">IFERROR(IF(0=LEN(ReferenceData!$BJ$7),"",ReferenceData!$BJ$7),"")</f>
        <v/>
      </c>
      <c r="BK7" t="str">
        <f ca="1">IFERROR(IF(0=LEN(ReferenceData!$BK$7),"",ReferenceData!$BK$7),"")</f>
        <v/>
      </c>
      <c r="BL7" t="str">
        <f ca="1">IFERROR(IF(0=LEN(ReferenceData!$BL$7),"",ReferenceData!$BL$7),"")</f>
        <v/>
      </c>
      <c r="BM7" t="str">
        <f ca="1">IFERROR(IF(0=LEN(ReferenceData!$BM$7),"",ReferenceData!$BM$7),"")</f>
        <v/>
      </c>
    </row>
    <row r="8" spans="1:65" x14ac:dyDescent="0.25">
      <c r="A8" t="str">
        <f>IFERROR(IF(0=LEN(ReferenceData!$A$8),"",ReferenceData!$A$8),"")</f>
        <v xml:space="preserve">    BYD Co Ltd</v>
      </c>
      <c r="B8" t="str">
        <f>IFERROR(IF(0=LEN(ReferenceData!$B$8),"",ReferenceData!$B$8),"")</f>
        <v>1211 HK Equity</v>
      </c>
      <c r="C8" t="str">
        <f>IFERROR(IF(0=LEN(ReferenceData!$C$8),"",ReferenceData!$C$8),"")</f>
        <v>RR844</v>
      </c>
      <c r="D8" t="str">
        <f>IFERROR(IF(0=LEN(ReferenceData!$D$8),"",ReferenceData!$D$8),"")</f>
        <v>T12M_DIL_EPS_CONT_OPS</v>
      </c>
      <c r="E8" t="str">
        <f>IFERROR(IF(0=LEN(ReferenceData!$E$8),"",ReferenceData!$E$8),"")</f>
        <v>Dynamic</v>
      </c>
      <c r="F8" t="str">
        <f ca="1">IFERROR(IF(0=LEN(ReferenceData!$F$8),"",ReferenceData!$F$8),"")</f>
        <v/>
      </c>
      <c r="G8" t="str">
        <f ca="1">IFERROR(IF(0=LEN(ReferenceData!$G$8),"",ReferenceData!$G$8),"")</f>
        <v/>
      </c>
      <c r="H8">
        <f ca="1">IFERROR(IF(0=LEN(ReferenceData!$H$8),"",ReferenceData!$H$8),"")</f>
        <v>0.13274554599999999</v>
      </c>
      <c r="I8">
        <f ca="1">IFERROR(IF(0=LEN(ReferenceData!$I$8),"",ReferenceData!$I$8),"")</f>
        <v>0.12512532300000001</v>
      </c>
      <c r="J8">
        <f ca="1">IFERROR(IF(0=LEN(ReferenceData!$J$8),"",ReferenceData!$J$8),"")</f>
        <v>0.19193637099999999</v>
      </c>
      <c r="K8">
        <f ca="1">IFERROR(IF(0=LEN(ReferenceData!$K$8),"",ReferenceData!$K$8),"")</f>
        <v>0.20682513399999999</v>
      </c>
      <c r="L8">
        <f ca="1">IFERROR(IF(0=LEN(ReferenceData!$L$8),"",ReferenceData!$L$8),"")</f>
        <v>0.19835878000000001</v>
      </c>
      <c r="M8">
        <f ca="1">IFERROR(IF(0=LEN(ReferenceData!$M$8),"",ReferenceData!$M$8),"")</f>
        <v>0.23476535700000001</v>
      </c>
      <c r="N8">
        <f ca="1">IFERROR(IF(0=LEN(ReferenceData!$N$8),"",ReferenceData!$N$8),"")</f>
        <v>0.27644059399999998</v>
      </c>
      <c r="O8">
        <f ca="1">IFERROR(IF(0=LEN(ReferenceData!$O$8),"",ReferenceData!$O$8),"")</f>
        <v>0.29978101099999999</v>
      </c>
      <c r="P8">
        <f ca="1">IFERROR(IF(0=LEN(ReferenceData!$P$8),"",ReferenceData!$P$8),"")</f>
        <v>0.29858625</v>
      </c>
      <c r="Q8">
        <f ca="1">IFERROR(IF(0=LEN(ReferenceData!$Q$8),"",ReferenceData!$Q$8),"")</f>
        <v>0.23079835400000001</v>
      </c>
      <c r="R8">
        <f ca="1">IFERROR(IF(0=LEN(ReferenceData!$R$8),"",ReferenceData!$R$8),"")</f>
        <v>0.15892381899999999</v>
      </c>
      <c r="S8">
        <f ca="1">IFERROR(IF(0=LEN(ReferenceData!$S$8),"",ReferenceData!$S$8),"")</f>
        <v>0.111780213</v>
      </c>
      <c r="T8">
        <f ca="1">IFERROR(IF(0=LEN(ReferenceData!$T$8),"",ReferenceData!$T$8),"")</f>
        <v>6.2861480999999997E-2</v>
      </c>
      <c r="U8">
        <f ca="1">IFERROR(IF(0=LEN(ReferenceData!$U$8),"",ReferenceData!$U$8),"")</f>
        <v>1.2911283000000001E-2</v>
      </c>
      <c r="V8">
        <f ca="1">IFERROR(IF(0=LEN(ReferenceData!$V$8),"",ReferenceData!$V$8),"")</f>
        <v>1.5954270999999999E-2</v>
      </c>
      <c r="W8">
        <f ca="1">IFERROR(IF(0=LEN(ReferenceData!$W$8),"",ReferenceData!$W$8),"")</f>
        <v>9.6571199999999999E-3</v>
      </c>
      <c r="X8">
        <f ca="1">IFERROR(IF(0=LEN(ReferenceData!$X$8),"",ReferenceData!$X$8),"")</f>
        <v>7.3682940000000001E-3</v>
      </c>
      <c r="Y8">
        <f ca="1">IFERROR(IF(0=LEN(ReferenceData!$Y$8),"",ReferenceData!$Y$8),"")</f>
        <v>3.2746995000000001E-2</v>
      </c>
      <c r="Z8">
        <f ca="1">IFERROR(IF(0=LEN(ReferenceData!$Z$8),"",ReferenceData!$Z$8),"")</f>
        <v>2.7858443E-2</v>
      </c>
      <c r="AA8">
        <f ca="1">IFERROR(IF(0=LEN(ReferenceData!$AA$8),"",ReferenceData!$AA$8),"")</f>
        <v>3.5556285E-2</v>
      </c>
      <c r="AB8">
        <f ca="1">IFERROR(IF(0=LEN(ReferenceData!$AB$8),"",ReferenceData!$AB$8),"")</f>
        <v>3.7223799000000002E-2</v>
      </c>
      <c r="AC8">
        <f ca="1">IFERROR(IF(0=LEN(ReferenceData!$AC$8),"",ReferenceData!$AC$8),"")</f>
        <v>3.1538099999999999E-2</v>
      </c>
      <c r="AD8">
        <f ca="1">IFERROR(IF(0=LEN(ReferenceData!$AD$8),"",ReferenceData!$AD$8),"")</f>
        <v>1.0690160000000001E-2</v>
      </c>
      <c r="AE8">
        <f ca="1">IFERROR(IF(0=LEN(ReferenceData!$AE$8),"",ReferenceData!$AE$8),"")</f>
        <v>3.4916610000000001E-3</v>
      </c>
      <c r="AF8">
        <f ca="1">IFERROR(IF(0=LEN(ReferenceData!$AF$8),"",ReferenceData!$AF$8),"")</f>
        <v>3.8577354000000001E-2</v>
      </c>
      <c r="AG8">
        <f ca="1">IFERROR(IF(0=LEN(ReferenceData!$AG$8),"",ReferenceData!$AG$8),"")</f>
        <v>4.9817477999999998E-2</v>
      </c>
      <c r="AH8" t="str">
        <f ca="1">IFERROR(IF(0=LEN(ReferenceData!$AH$8),"",ReferenceData!$AH$8),"")</f>
        <v/>
      </c>
      <c r="AI8" t="str">
        <f ca="1">IFERROR(IF(0=LEN(ReferenceData!$AI$8),"",ReferenceData!$AI$8),"")</f>
        <v/>
      </c>
      <c r="AJ8" t="str">
        <f ca="1">IFERROR(IF(0=LEN(ReferenceData!$AJ$8),"",ReferenceData!$AJ$8),"")</f>
        <v/>
      </c>
      <c r="AK8" t="str">
        <f ca="1">IFERROR(IF(0=LEN(ReferenceData!$AK$8),"",ReferenceData!$AK$8),"")</f>
        <v/>
      </c>
      <c r="AL8" t="str">
        <f ca="1">IFERROR(IF(0=LEN(ReferenceData!$AL$8),"",ReferenceData!$AL$8),"")</f>
        <v/>
      </c>
      <c r="AM8">
        <f ca="1">IFERROR(IF(0=LEN(ReferenceData!$AM$8),"",ReferenceData!$AM$8),"")</f>
        <v>0.16703994599999999</v>
      </c>
      <c r="AN8">
        <f ca="1">IFERROR(IF(0=LEN(ReferenceData!$AN$8),"",ReferenceData!$AN$8),"")</f>
        <v>0.259107737</v>
      </c>
      <c r="AO8">
        <f ca="1">IFERROR(IF(0=LEN(ReferenceData!$AO$8),"",ReferenceData!$AO$8),"")</f>
        <v>0.33435494900000001</v>
      </c>
      <c r="AP8" t="str">
        <f ca="1">IFERROR(IF(0=LEN(ReferenceData!$AP$8),"",ReferenceData!$AP$8),"")</f>
        <v/>
      </c>
      <c r="AQ8" t="str">
        <f ca="1">IFERROR(IF(0=LEN(ReferenceData!$AQ$8),"",ReferenceData!$AQ$8),"")</f>
        <v/>
      </c>
      <c r="AR8" t="str">
        <f ca="1">IFERROR(IF(0=LEN(ReferenceData!$AR$8),"",ReferenceData!$AR$8),"")</f>
        <v/>
      </c>
      <c r="AS8" t="str">
        <f ca="1">IFERROR(IF(0=LEN(ReferenceData!$AS$8),"",ReferenceData!$AS$8),"")</f>
        <v/>
      </c>
      <c r="AT8" t="str">
        <f ca="1">IFERROR(IF(0=LEN(ReferenceData!$AT$8),"",ReferenceData!$AT$8),"")</f>
        <v/>
      </c>
      <c r="AU8" t="str">
        <f ca="1">IFERROR(IF(0=LEN(ReferenceData!$AU$8),"",ReferenceData!$AU$8),"")</f>
        <v/>
      </c>
      <c r="AV8" t="str">
        <f ca="1">IFERROR(IF(0=LEN(ReferenceData!$AV$8),"",ReferenceData!$AV$8),"")</f>
        <v/>
      </c>
      <c r="AW8" t="str">
        <f ca="1">IFERROR(IF(0=LEN(ReferenceData!$AW$8),"",ReferenceData!$AW$8),"")</f>
        <v/>
      </c>
      <c r="AX8" t="str">
        <f ca="1">IFERROR(IF(0=LEN(ReferenceData!$AX$8),"",ReferenceData!$AX$8),"")</f>
        <v/>
      </c>
      <c r="AY8" t="str">
        <f ca="1">IFERROR(IF(0=LEN(ReferenceData!$AY$8),"",ReferenceData!$AY$8),"")</f>
        <v/>
      </c>
      <c r="AZ8" t="str">
        <f ca="1">IFERROR(IF(0=LEN(ReferenceData!$AZ$8),"",ReferenceData!$AZ$8),"")</f>
        <v/>
      </c>
      <c r="BA8" t="str">
        <f ca="1">IFERROR(IF(0=LEN(ReferenceData!$BA$8),"",ReferenceData!$BA$8),"")</f>
        <v/>
      </c>
      <c r="BB8" t="str">
        <f ca="1">IFERROR(IF(0=LEN(ReferenceData!$BB$8),"",ReferenceData!$BB$8),"")</f>
        <v/>
      </c>
      <c r="BC8" t="str">
        <f ca="1">IFERROR(IF(0=LEN(ReferenceData!$BC$8),"",ReferenceData!$BC$8),"")</f>
        <v/>
      </c>
      <c r="BD8" t="str">
        <f ca="1">IFERROR(IF(0=LEN(ReferenceData!$BD$8),"",ReferenceData!$BD$8),"")</f>
        <v/>
      </c>
      <c r="BE8" t="str">
        <f ca="1">IFERROR(IF(0=LEN(ReferenceData!$BE$8),"",ReferenceData!$BE$8),"")</f>
        <v/>
      </c>
      <c r="BF8" t="str">
        <f ca="1">IFERROR(IF(0=LEN(ReferenceData!$BF$8),"",ReferenceData!$BF$8),"")</f>
        <v/>
      </c>
      <c r="BG8" t="str">
        <f ca="1">IFERROR(IF(0=LEN(ReferenceData!$BG$8),"",ReferenceData!$BG$8),"")</f>
        <v/>
      </c>
      <c r="BH8" t="str">
        <f ca="1">IFERROR(IF(0=LEN(ReferenceData!$BH$8),"",ReferenceData!$BH$8),"")</f>
        <v/>
      </c>
      <c r="BI8" t="str">
        <f ca="1">IFERROR(IF(0=LEN(ReferenceData!$BI$8),"",ReferenceData!$BI$8),"")</f>
        <v/>
      </c>
      <c r="BJ8" t="str">
        <f ca="1">IFERROR(IF(0=LEN(ReferenceData!$BJ$8),"",ReferenceData!$BJ$8),"")</f>
        <v/>
      </c>
      <c r="BK8" t="str">
        <f ca="1">IFERROR(IF(0=LEN(ReferenceData!$BK$8),"",ReferenceData!$BK$8),"")</f>
        <v/>
      </c>
      <c r="BL8" t="str">
        <f ca="1">IFERROR(IF(0=LEN(ReferenceData!$BL$8),"",ReferenceData!$BL$8),"")</f>
        <v/>
      </c>
      <c r="BM8" t="str">
        <f ca="1">IFERROR(IF(0=LEN(ReferenceData!$BM$8),"",ReferenceData!$BM$8),"")</f>
        <v/>
      </c>
    </row>
    <row r="9" spans="1:65" x14ac:dyDescent="0.25">
      <c r="A9" t="str">
        <f>IFERROR(IF(0=LEN(ReferenceData!$A$9),"",ReferenceData!$A$9),"")</f>
        <v xml:space="preserve">    Chongqing Changan Automobile Co Ltd</v>
      </c>
      <c r="B9" t="str">
        <f>IFERROR(IF(0=LEN(ReferenceData!$B$9),"",ReferenceData!$B$9),"")</f>
        <v>200625 CH Equity</v>
      </c>
      <c r="C9" t="str">
        <f>IFERROR(IF(0=LEN(ReferenceData!$C$9),"",ReferenceData!$C$9),"")</f>
        <v>RR844</v>
      </c>
      <c r="D9" t="str">
        <f>IFERROR(IF(0=LEN(ReferenceData!$D$9),"",ReferenceData!$D$9),"")</f>
        <v>T12M_DIL_EPS_CONT_OPS</v>
      </c>
      <c r="E9" t="str">
        <f>IFERROR(IF(0=LEN(ReferenceData!$E$9),"",ReferenceData!$E$9),"")</f>
        <v>Dynamic</v>
      </c>
      <c r="F9" t="str">
        <f ca="1">IFERROR(IF(0=LEN(ReferenceData!$F$9),"",ReferenceData!$F$9),"")</f>
        <v/>
      </c>
      <c r="G9" t="str">
        <f ca="1">IFERROR(IF(0=LEN(ReferenceData!$G$9),"",ReferenceData!$G$9),"")</f>
        <v/>
      </c>
      <c r="H9">
        <f ca="1">IFERROR(IF(0=LEN(ReferenceData!$H$9),"",ReferenceData!$H$9),"")</f>
        <v>8.2906043999999998E-2</v>
      </c>
      <c r="I9">
        <f ca="1">IFERROR(IF(0=LEN(ReferenceData!$I$9),"",ReferenceData!$I$9),"")</f>
        <v>0.13439637800000001</v>
      </c>
      <c r="J9">
        <f ca="1">IFERROR(IF(0=LEN(ReferenceData!$J$9),"",ReferenceData!$J$9),"")</f>
        <v>0.19496641000000001</v>
      </c>
      <c r="K9">
        <f ca="1">IFERROR(IF(0=LEN(ReferenceData!$K$9),"",ReferenceData!$K$9),"")</f>
        <v>0.22178420700000001</v>
      </c>
      <c r="L9">
        <f ca="1">IFERROR(IF(0=LEN(ReferenceData!$L$9),"",ReferenceData!$L$9),"")</f>
        <v>0.260447977</v>
      </c>
      <c r="M9">
        <f ca="1">IFERROR(IF(0=LEN(ReferenceData!$M$9),"",ReferenceData!$M$9),"")</f>
        <v>0.29675870100000001</v>
      </c>
      <c r="N9">
        <f ca="1">IFERROR(IF(0=LEN(ReferenceData!$N$9),"",ReferenceData!$N$9),"")</f>
        <v>0.32181901800000001</v>
      </c>
      <c r="O9">
        <f ca="1">IFERROR(IF(0=LEN(ReferenceData!$O$9),"",ReferenceData!$O$9),"")</f>
        <v>0.337498456</v>
      </c>
      <c r="P9">
        <f ca="1">IFERROR(IF(0=LEN(ReferenceData!$P$9),"",ReferenceData!$P$9),"")</f>
        <v>0.37292175300000002</v>
      </c>
      <c r="Q9">
        <f ca="1">IFERROR(IF(0=LEN(ReferenceData!$Q$9),"",ReferenceData!$Q$9),"")</f>
        <v>0.35628548100000001</v>
      </c>
      <c r="R9">
        <f ca="1">IFERROR(IF(0=LEN(ReferenceData!$R$9),"",ReferenceData!$R$9),"")</f>
        <v>0.35495603199999998</v>
      </c>
      <c r="S9">
        <f ca="1">IFERROR(IF(0=LEN(ReferenceData!$S$9),"",ReferenceData!$S$9),"")</f>
        <v>0.35203030200000002</v>
      </c>
      <c r="T9">
        <f ca="1">IFERROR(IF(0=LEN(ReferenceData!$T$9),"",ReferenceData!$T$9),"")</f>
        <v>0.30973113299999999</v>
      </c>
      <c r="U9">
        <f ca="1">IFERROR(IF(0=LEN(ReferenceData!$U$9),"",ReferenceData!$U$9),"")</f>
        <v>0.31777129399999998</v>
      </c>
      <c r="V9">
        <f ca="1">IFERROR(IF(0=LEN(ReferenceData!$V$9),"",ReferenceData!$V$9),"")</f>
        <v>0.28359996100000001</v>
      </c>
      <c r="W9">
        <f ca="1">IFERROR(IF(0=LEN(ReferenceData!$W$9),"",ReferenceData!$W$9),"")</f>
        <v>0.26525169799999998</v>
      </c>
      <c r="X9">
        <f ca="1">IFERROR(IF(0=LEN(ReferenceData!$X$9),"",ReferenceData!$X$9),"")</f>
        <v>0.232376624</v>
      </c>
      <c r="Y9">
        <f ca="1">IFERROR(IF(0=LEN(ReferenceData!$Y$9),"",ReferenceData!$Y$9),"")</f>
        <v>0.20218248699999999</v>
      </c>
      <c r="Z9">
        <f ca="1">IFERROR(IF(0=LEN(ReferenceData!$Z$9),"",ReferenceData!$Z$9),"")</f>
        <v>0.17179928699999999</v>
      </c>
      <c r="AA9">
        <f ca="1">IFERROR(IF(0=LEN(ReferenceData!$AA$9),"",ReferenceData!$AA$9),"")</f>
        <v>0.12355479699999999</v>
      </c>
      <c r="AB9">
        <f ca="1">IFERROR(IF(0=LEN(ReferenceData!$AB$9),"",ReferenceData!$AB$9),"")</f>
        <v>0.106847026</v>
      </c>
      <c r="AC9">
        <f ca="1">IFERROR(IF(0=LEN(ReferenceData!$AC$9),"",ReferenceData!$AC$9),"")</f>
        <v>8.0220527999999999E-2</v>
      </c>
      <c r="AD9">
        <f ca="1">IFERROR(IF(0=LEN(ReferenceData!$AD$9),"",ReferenceData!$AD$9),"")</f>
        <v>6.7410738999999997E-2</v>
      </c>
      <c r="AE9">
        <f ca="1">IFERROR(IF(0=LEN(ReferenceData!$AE$9),"",ReferenceData!$AE$9),"")</f>
        <v>5.3534415000000002E-2</v>
      </c>
      <c r="AF9">
        <f ca="1">IFERROR(IF(0=LEN(ReferenceData!$AF$9),"",ReferenceData!$AF$9),"")</f>
        <v>2.5861680000000001E-2</v>
      </c>
      <c r="AG9">
        <f ca="1">IFERROR(IF(0=LEN(ReferenceData!$AG$9),"",ReferenceData!$AG$9),"")</f>
        <v>1.5709076999999998E-2</v>
      </c>
      <c r="AH9">
        <f ca="1">IFERROR(IF(0=LEN(ReferenceData!$AH$9),"",ReferenceData!$AH$9),"")</f>
        <v>1.2010303999999999E-2</v>
      </c>
      <c r="AI9">
        <f ca="1">IFERROR(IF(0=LEN(ReferenceData!$AI$9),"",ReferenceData!$AI$9),"")</f>
        <v>3.0136577000000001E-2</v>
      </c>
      <c r="AJ9">
        <f ca="1">IFERROR(IF(0=LEN(ReferenceData!$AJ$9),"",ReferenceData!$AJ$9),"")</f>
        <v>3.9796680000000001E-2</v>
      </c>
      <c r="AK9">
        <f ca="1">IFERROR(IF(0=LEN(ReferenceData!$AK$9),"",ReferenceData!$AK$9),"")</f>
        <v>5.6432415999999999E-2</v>
      </c>
      <c r="AL9">
        <f ca="1">IFERROR(IF(0=LEN(ReferenceData!$AL$9),"",ReferenceData!$AL$9),"")</f>
        <v>6.6053487999999994E-2</v>
      </c>
      <c r="AM9">
        <f ca="1">IFERROR(IF(0=LEN(ReferenceData!$AM$9),"",ReferenceData!$AM$9),"")</f>
        <v>7.1485361999999997E-2</v>
      </c>
      <c r="AN9">
        <f ca="1">IFERROR(IF(0=LEN(ReferenceData!$AN$9),"",ReferenceData!$AN$9),"")</f>
        <v>7.7272414999999997E-2</v>
      </c>
      <c r="AO9">
        <f ca="1">IFERROR(IF(0=LEN(ReferenceData!$AO$9),"",ReferenceData!$AO$9),"")</f>
        <v>7.5468703999999998E-2</v>
      </c>
      <c r="AP9">
        <f ca="1">IFERROR(IF(0=LEN(ReferenceData!$AP$9),"",ReferenceData!$AP$9),"")</f>
        <v>7.7313352000000002E-2</v>
      </c>
      <c r="AQ9">
        <f ca="1">IFERROR(IF(0=LEN(ReferenceData!$AQ$9),"",ReferenceData!$AQ$9),"")</f>
        <v>5.0633053999999997E-2</v>
      </c>
      <c r="AR9" t="str">
        <f ca="1">IFERROR(IF(0=LEN(ReferenceData!$AR$9),"",ReferenceData!$AR$9),"")</f>
        <v/>
      </c>
      <c r="AS9" t="str">
        <f ca="1">IFERROR(IF(0=LEN(ReferenceData!$AS$9),"",ReferenceData!$AS$9),"")</f>
        <v/>
      </c>
      <c r="AT9" t="str">
        <f ca="1">IFERROR(IF(0=LEN(ReferenceData!$AT$9),"",ReferenceData!$AT$9),"")</f>
        <v/>
      </c>
      <c r="AU9" t="str">
        <f ca="1">IFERROR(IF(0=LEN(ReferenceData!$AU$9),"",ReferenceData!$AU$9),"")</f>
        <v/>
      </c>
      <c r="AV9" t="str">
        <f ca="1">IFERROR(IF(0=LEN(ReferenceData!$AV$9),"",ReferenceData!$AV$9),"")</f>
        <v/>
      </c>
      <c r="AW9" t="str">
        <f ca="1">IFERROR(IF(0=LEN(ReferenceData!$AW$9),"",ReferenceData!$AW$9),"")</f>
        <v/>
      </c>
      <c r="AX9" t="str">
        <f ca="1">IFERROR(IF(0=LEN(ReferenceData!$AX$9),"",ReferenceData!$AX$9),"")</f>
        <v/>
      </c>
      <c r="AY9" t="str">
        <f ca="1">IFERROR(IF(0=LEN(ReferenceData!$AY$9),"",ReferenceData!$AY$9),"")</f>
        <v/>
      </c>
      <c r="AZ9" t="str">
        <f ca="1">IFERROR(IF(0=LEN(ReferenceData!$AZ$9),"",ReferenceData!$AZ$9),"")</f>
        <v/>
      </c>
      <c r="BA9" t="str">
        <f ca="1">IFERROR(IF(0=LEN(ReferenceData!$BA$9),"",ReferenceData!$BA$9),"")</f>
        <v/>
      </c>
      <c r="BB9" t="str">
        <f ca="1">IFERROR(IF(0=LEN(ReferenceData!$BB$9),"",ReferenceData!$BB$9),"")</f>
        <v/>
      </c>
      <c r="BC9" t="str">
        <f ca="1">IFERROR(IF(0=LEN(ReferenceData!$BC$9),"",ReferenceData!$BC$9),"")</f>
        <v/>
      </c>
      <c r="BD9" t="str">
        <f ca="1">IFERROR(IF(0=LEN(ReferenceData!$BD$9),"",ReferenceData!$BD$9),"")</f>
        <v/>
      </c>
      <c r="BE9" t="str">
        <f ca="1">IFERROR(IF(0=LEN(ReferenceData!$BE$9),"",ReferenceData!$BE$9),"")</f>
        <v/>
      </c>
      <c r="BF9" t="str">
        <f ca="1">IFERROR(IF(0=LEN(ReferenceData!$BF$9),"",ReferenceData!$BF$9),"")</f>
        <v/>
      </c>
      <c r="BG9" t="str">
        <f ca="1">IFERROR(IF(0=LEN(ReferenceData!$BG$9),"",ReferenceData!$BG$9),"")</f>
        <v/>
      </c>
      <c r="BH9" t="str">
        <f ca="1">IFERROR(IF(0=LEN(ReferenceData!$BH$9),"",ReferenceData!$BH$9),"")</f>
        <v/>
      </c>
      <c r="BI9" t="str">
        <f ca="1">IFERROR(IF(0=LEN(ReferenceData!$BI$9),"",ReferenceData!$BI$9),"")</f>
        <v/>
      </c>
      <c r="BJ9" t="str">
        <f ca="1">IFERROR(IF(0=LEN(ReferenceData!$BJ$9),"",ReferenceData!$BJ$9),"")</f>
        <v/>
      </c>
      <c r="BK9" t="str">
        <f ca="1">IFERROR(IF(0=LEN(ReferenceData!$BK$9),"",ReferenceData!$BK$9),"")</f>
        <v/>
      </c>
      <c r="BL9" t="str">
        <f ca="1">IFERROR(IF(0=LEN(ReferenceData!$BL$9),"",ReferenceData!$BL$9),"")</f>
        <v/>
      </c>
      <c r="BM9" t="str">
        <f ca="1">IFERROR(IF(0=LEN(ReferenceData!$BM$9),"",ReferenceData!$BM$9),"")</f>
        <v/>
      </c>
    </row>
    <row r="10" spans="1:65" x14ac:dyDescent="0.25">
      <c r="A10" t="str">
        <f>IFERROR(IF(0=LEN(ReferenceData!$A$10),"",ReferenceData!$A$10),"")</f>
        <v xml:space="preserve">    Daihatsu Motor Co Ltd</v>
      </c>
      <c r="B10" t="str">
        <f>IFERROR(IF(0=LEN(ReferenceData!$B$10),"",ReferenceData!$B$10),"")</f>
        <v>7262 JP Equity</v>
      </c>
      <c r="C10" t="str">
        <f>IFERROR(IF(0=LEN(ReferenceData!$C$10),"",ReferenceData!$C$10),"")</f>
        <v>RR844</v>
      </c>
      <c r="D10" t="str">
        <f>IFERROR(IF(0=LEN(ReferenceData!$D$10),"",ReferenceData!$D$10),"")</f>
        <v>T12M_DIL_EPS_CONT_OPS</v>
      </c>
      <c r="E10" t="str">
        <f>IFERROR(IF(0=LEN(ReferenceData!$E$10),"",ReferenceData!$E$10),"")</f>
        <v>Dynamic</v>
      </c>
      <c r="F10" t="str">
        <f ca="1">IFERROR(IF(0=LEN(ReferenceData!$F$10),"",ReferenceData!$F$10),"")</f>
        <v/>
      </c>
      <c r="G10" t="str">
        <f ca="1">IFERROR(IF(0=LEN(ReferenceData!$G$10),"",ReferenceData!$G$10),"")</f>
        <v/>
      </c>
      <c r="H10" t="str">
        <f ca="1">IFERROR(IF(0=LEN(ReferenceData!$H$10),"",ReferenceData!$H$10),"")</f>
        <v/>
      </c>
      <c r="I10" t="str">
        <f ca="1">IFERROR(IF(0=LEN(ReferenceData!$I$10),"",ReferenceData!$I$10),"")</f>
        <v/>
      </c>
      <c r="J10" t="str">
        <f ca="1">IFERROR(IF(0=LEN(ReferenceData!$J$10),"",ReferenceData!$J$10),"")</f>
        <v/>
      </c>
      <c r="K10" t="str">
        <f ca="1">IFERROR(IF(0=LEN(ReferenceData!$K$10),"",ReferenceData!$K$10),"")</f>
        <v/>
      </c>
      <c r="L10" t="str">
        <f ca="1">IFERROR(IF(0=LEN(ReferenceData!$L$10),"",ReferenceData!$L$10),"")</f>
        <v/>
      </c>
      <c r="M10" t="str">
        <f ca="1">IFERROR(IF(0=LEN(ReferenceData!$M$10),"",ReferenceData!$M$10),"")</f>
        <v/>
      </c>
      <c r="N10" t="str">
        <f ca="1">IFERROR(IF(0=LEN(ReferenceData!$N$10),"",ReferenceData!$N$10),"")</f>
        <v/>
      </c>
      <c r="O10" t="str">
        <f ca="1">IFERROR(IF(0=LEN(ReferenceData!$O$10),"",ReferenceData!$O$10),"")</f>
        <v/>
      </c>
      <c r="P10" t="str">
        <f ca="1">IFERROR(IF(0=LEN(ReferenceData!$P$10),"",ReferenceData!$P$10),"")</f>
        <v/>
      </c>
      <c r="Q10" t="str">
        <f ca="1">IFERROR(IF(0=LEN(ReferenceData!$Q$10),"",ReferenceData!$Q$10),"")</f>
        <v/>
      </c>
      <c r="R10">
        <f ca="1">IFERROR(IF(0=LEN(ReferenceData!$R$10),"",ReferenceData!$R$10),"")</f>
        <v>0.84923855800000003</v>
      </c>
      <c r="S10">
        <f ca="1">IFERROR(IF(0=LEN(ReferenceData!$S$10),"",ReferenceData!$S$10),"")</f>
        <v>1.2025510189999999</v>
      </c>
      <c r="T10">
        <f ca="1">IFERROR(IF(0=LEN(ReferenceData!$T$10),"",ReferenceData!$T$10),"")</f>
        <v>1.197968111</v>
      </c>
      <c r="U10">
        <f ca="1">IFERROR(IF(0=LEN(ReferenceData!$U$10),"",ReferenceData!$U$10),"")</f>
        <v>1.2616251940000001</v>
      </c>
      <c r="V10">
        <f ca="1">IFERROR(IF(0=LEN(ReferenceData!$V$10),"",ReferenceData!$V$10),"")</f>
        <v>1.4957169749999999</v>
      </c>
      <c r="W10">
        <f ca="1">IFERROR(IF(0=LEN(ReferenceData!$W$10),"",ReferenceData!$W$10),"")</f>
        <v>1.369279197</v>
      </c>
      <c r="X10">
        <f ca="1">IFERROR(IF(0=LEN(ReferenceData!$X$10),"",ReferenceData!$X$10),"")</f>
        <v>1.571468072</v>
      </c>
      <c r="Y10">
        <f ca="1">IFERROR(IF(0=LEN(ReferenceData!$Y$10),"",ReferenceData!$Y$10),"")</f>
        <v>1.7484895709999999</v>
      </c>
      <c r="Z10">
        <f ca="1">IFERROR(IF(0=LEN(ReferenceData!$Z$10),"",ReferenceData!$Z$10),"")</f>
        <v>2.0126894129999999</v>
      </c>
      <c r="AA10">
        <f ca="1">IFERROR(IF(0=LEN(ReferenceData!$AA$10),"",ReferenceData!$AA$10),"")</f>
        <v>1.8762275829999999</v>
      </c>
      <c r="AB10">
        <f ca="1">IFERROR(IF(0=LEN(ReferenceData!$AB$10),"",ReferenceData!$AB$10),"")</f>
        <v>1.930703338</v>
      </c>
      <c r="AC10">
        <f ca="1">IFERROR(IF(0=LEN(ReferenceData!$AC$10),"",ReferenceData!$AC$10),"")</f>
        <v>2.3346721189999999</v>
      </c>
      <c r="AD10">
        <f ca="1">IFERROR(IF(0=LEN(ReferenceData!$AD$10),"",ReferenceData!$AD$10),"")</f>
        <v>2.344473941</v>
      </c>
      <c r="AE10">
        <f ca="1">IFERROR(IF(0=LEN(ReferenceData!$AE$10),"",ReferenceData!$AE$10),"")</f>
        <v>2.6242420279999998</v>
      </c>
      <c r="AF10">
        <f ca="1">IFERROR(IF(0=LEN(ReferenceData!$AF$10),"",ReferenceData!$AF$10),"")</f>
        <v>2.6639213019999999</v>
      </c>
      <c r="AG10">
        <f ca="1">IFERROR(IF(0=LEN(ReferenceData!$AG$10),"",ReferenceData!$AG$10),"")</f>
        <v>2.3913033989999999</v>
      </c>
      <c r="AH10">
        <f ca="1">IFERROR(IF(0=LEN(ReferenceData!$AH$10),"",ReferenceData!$AH$10),"")</f>
        <v>2.0081595380000001</v>
      </c>
      <c r="AI10">
        <f ca="1">IFERROR(IF(0=LEN(ReferenceData!$AI$10),"",ReferenceData!$AI$10),"")</f>
        <v>1.589221794</v>
      </c>
      <c r="AJ10">
        <f ca="1">IFERROR(IF(0=LEN(ReferenceData!$AJ$10),"",ReferenceData!$AJ$10),"")</f>
        <v>1.4802405649999999</v>
      </c>
      <c r="AK10">
        <f ca="1">IFERROR(IF(0=LEN(ReferenceData!$AK$10),"",ReferenceData!$AK$10),"")</f>
        <v>1.295068186</v>
      </c>
      <c r="AL10">
        <f ca="1">IFERROR(IF(0=LEN(ReferenceData!$AL$10),"",ReferenceData!$AL$10),"")</f>
        <v>1.595475099</v>
      </c>
      <c r="AM10">
        <f ca="1">IFERROR(IF(0=LEN(ReferenceData!$AM$10),"",ReferenceData!$AM$10),"")</f>
        <v>1.2850832210000001</v>
      </c>
      <c r="AN10">
        <f ca="1">IFERROR(IF(0=LEN(ReferenceData!$AN$10),"",ReferenceData!$AN$10),"")</f>
        <v>1.2292241370000001</v>
      </c>
      <c r="AO10">
        <f ca="1">IFERROR(IF(0=LEN(ReferenceData!$AO$10),"",ReferenceData!$AO$10),"")</f>
        <v>1.051321656</v>
      </c>
      <c r="AP10">
        <f ca="1">IFERROR(IF(0=LEN(ReferenceData!$AP$10),"",ReferenceData!$AP$10),"")</f>
        <v>0.63166635800000004</v>
      </c>
      <c r="AQ10">
        <f ca="1">IFERROR(IF(0=LEN(ReferenceData!$AQ$10),"",ReferenceData!$AQ$10),"")</f>
        <v>0.54399915799999998</v>
      </c>
      <c r="AR10">
        <f ca="1">IFERROR(IF(0=LEN(ReferenceData!$AR$10),"",ReferenceData!$AR$10),"")</f>
        <v>0.34899123199999998</v>
      </c>
      <c r="AS10">
        <f ca="1">IFERROR(IF(0=LEN(ReferenceData!$AS$10),"",ReferenceData!$AS$10),"")</f>
        <v>0.386834014</v>
      </c>
      <c r="AT10">
        <f ca="1">IFERROR(IF(0=LEN(ReferenceData!$AT$10),"",ReferenceData!$AT$10),"")</f>
        <v>0.55717790499999997</v>
      </c>
      <c r="AU10" t="str">
        <f ca="1">IFERROR(IF(0=LEN(ReferenceData!$AU$10),"",ReferenceData!$AU$10),"")</f>
        <v/>
      </c>
      <c r="AV10" t="str">
        <f ca="1">IFERROR(IF(0=LEN(ReferenceData!$AV$10),"",ReferenceData!$AV$10),"")</f>
        <v/>
      </c>
      <c r="AW10" t="str">
        <f ca="1">IFERROR(IF(0=LEN(ReferenceData!$AW$10),"",ReferenceData!$AW$10),"")</f>
        <v/>
      </c>
      <c r="AX10" t="str">
        <f ca="1">IFERROR(IF(0=LEN(ReferenceData!$AX$10),"",ReferenceData!$AX$10),"")</f>
        <v/>
      </c>
      <c r="AY10" t="str">
        <f ca="1">IFERROR(IF(0=LEN(ReferenceData!$AY$10),"",ReferenceData!$AY$10),"")</f>
        <v/>
      </c>
      <c r="AZ10" t="str">
        <f ca="1">IFERROR(IF(0=LEN(ReferenceData!$AZ$10),"",ReferenceData!$AZ$10),"")</f>
        <v/>
      </c>
      <c r="BA10" t="str">
        <f ca="1">IFERROR(IF(0=LEN(ReferenceData!$BA$10),"",ReferenceData!$BA$10),"")</f>
        <v/>
      </c>
      <c r="BB10" t="str">
        <f ca="1">IFERROR(IF(0=LEN(ReferenceData!$BB$10),"",ReferenceData!$BB$10),"")</f>
        <v/>
      </c>
      <c r="BC10" t="str">
        <f ca="1">IFERROR(IF(0=LEN(ReferenceData!$BC$10),"",ReferenceData!$BC$10),"")</f>
        <v/>
      </c>
      <c r="BD10" t="str">
        <f ca="1">IFERROR(IF(0=LEN(ReferenceData!$BD$10),"",ReferenceData!$BD$10),"")</f>
        <v/>
      </c>
      <c r="BE10" t="str">
        <f ca="1">IFERROR(IF(0=LEN(ReferenceData!$BE$10),"",ReferenceData!$BE$10),"")</f>
        <v/>
      </c>
      <c r="BF10" t="str">
        <f ca="1">IFERROR(IF(0=LEN(ReferenceData!$BF$10),"",ReferenceData!$BF$10),"")</f>
        <v/>
      </c>
      <c r="BG10" t="str">
        <f ca="1">IFERROR(IF(0=LEN(ReferenceData!$BG$10),"",ReferenceData!$BG$10),"")</f>
        <v/>
      </c>
      <c r="BH10" t="str">
        <f ca="1">IFERROR(IF(0=LEN(ReferenceData!$BH$10),"",ReferenceData!$BH$10),"")</f>
        <v/>
      </c>
      <c r="BI10" t="str">
        <f ca="1">IFERROR(IF(0=LEN(ReferenceData!$BI$10),"",ReferenceData!$BI$10),"")</f>
        <v/>
      </c>
      <c r="BJ10" t="str">
        <f ca="1">IFERROR(IF(0=LEN(ReferenceData!$BJ$10),"",ReferenceData!$BJ$10),"")</f>
        <v/>
      </c>
      <c r="BK10" t="str">
        <f ca="1">IFERROR(IF(0=LEN(ReferenceData!$BK$10),"",ReferenceData!$BK$10),"")</f>
        <v/>
      </c>
      <c r="BL10" t="str">
        <f ca="1">IFERROR(IF(0=LEN(ReferenceData!$BL$10),"",ReferenceData!$BL$10),"")</f>
        <v/>
      </c>
      <c r="BM10" t="str">
        <f ca="1">IFERROR(IF(0=LEN(ReferenceData!$BM$10),"",ReferenceData!$BM$10),"")</f>
        <v/>
      </c>
    </row>
    <row r="11" spans="1:65" x14ac:dyDescent="0.25">
      <c r="A11" t="str">
        <f>IFERROR(IF(0=LEN(ReferenceData!$A$11),"",ReferenceData!$A$11),"")</f>
        <v xml:space="preserve">    Daimler AG</v>
      </c>
      <c r="B11" t="str">
        <f>IFERROR(IF(0=LEN(ReferenceData!$B$11),"",ReferenceData!$B$11),"")</f>
        <v>DAI GR Equity</v>
      </c>
      <c r="C11" t="str">
        <f>IFERROR(IF(0=LEN(ReferenceData!$C$11),"",ReferenceData!$C$11),"")</f>
        <v>RR844</v>
      </c>
      <c r="D11" t="str">
        <f>IFERROR(IF(0=LEN(ReferenceData!$D$11),"",ReferenceData!$D$11),"")</f>
        <v>T12M_DIL_EPS_CONT_OPS</v>
      </c>
      <c r="E11" t="str">
        <f>IFERROR(IF(0=LEN(ReferenceData!$E$11),"",ReferenceData!$E$11),"")</f>
        <v>Dynamic</v>
      </c>
      <c r="F11" t="str">
        <f ca="1">IFERROR(IF(0=LEN(ReferenceData!$F$11),"",ReferenceData!$F$11),"")</f>
        <v/>
      </c>
      <c r="G11">
        <f ca="1">IFERROR(IF(0=LEN(ReferenceData!$G$11),"",ReferenceData!$G$11),"")</f>
        <v>8.1558440220000001</v>
      </c>
      <c r="H11">
        <f ca="1">IFERROR(IF(0=LEN(ReferenceData!$H$11),"",ReferenceData!$H$11),"")</f>
        <v>9.4490274850000002</v>
      </c>
      <c r="I11">
        <f ca="1">IFERROR(IF(0=LEN(ReferenceData!$I$11),"",ReferenceData!$I$11),"")</f>
        <v>10.5368814</v>
      </c>
      <c r="J11">
        <f ca="1">IFERROR(IF(0=LEN(ReferenceData!$J$11),"",ReferenceData!$J$11),"")</f>
        <v>10.81963623</v>
      </c>
      <c r="K11">
        <f ca="1">IFERROR(IF(0=LEN(ReferenceData!$K$11),"",ReferenceData!$K$11),"")</f>
        <v>10.370519460000001</v>
      </c>
      <c r="L11">
        <f ca="1">IFERROR(IF(0=LEN(ReferenceData!$L$11),"",ReferenceData!$L$11),"")</f>
        <v>9.835578216</v>
      </c>
      <c r="M11">
        <f ca="1">IFERROR(IF(0=LEN(ReferenceData!$M$11),"",ReferenceData!$M$11),"")</f>
        <v>9.7461374329999995</v>
      </c>
      <c r="N11">
        <f ca="1">IFERROR(IF(0=LEN(ReferenceData!$N$11),"",ReferenceData!$N$11),"")</f>
        <v>10.510089560000001</v>
      </c>
      <c r="O11">
        <f ca="1">IFERROR(IF(0=LEN(ReferenceData!$O$11),"",ReferenceData!$O$11),"")</f>
        <v>9.9493726410000001</v>
      </c>
      <c r="P11">
        <f ca="1">IFERROR(IF(0=LEN(ReferenceData!$P$11),"",ReferenceData!$P$11),"")</f>
        <v>9.7974533049999994</v>
      </c>
      <c r="Q11">
        <f ca="1">IFERROR(IF(0=LEN(ReferenceData!$Q$11),"",ReferenceData!$Q$11),"")</f>
        <v>9.5715984289999998</v>
      </c>
      <c r="R11">
        <f ca="1">IFERROR(IF(0=LEN(ReferenceData!$R$11),"",ReferenceData!$R$11),"")</f>
        <v>8.6534151149999996</v>
      </c>
      <c r="S11">
        <f ca="1">IFERROR(IF(0=LEN(ReferenceData!$S$11),"",ReferenceData!$S$11),"")</f>
        <v>9.1220906450000001</v>
      </c>
      <c r="T11">
        <f ca="1">IFERROR(IF(0=LEN(ReferenceData!$T$11),"",ReferenceData!$T$11),"")</f>
        <v>9.6536244010000001</v>
      </c>
      <c r="U11">
        <f ca="1">IFERROR(IF(0=LEN(ReferenceData!$U$11),"",ReferenceData!$U$11),"")</f>
        <v>9.0243587509999994</v>
      </c>
      <c r="V11">
        <f ca="1">IFERROR(IF(0=LEN(ReferenceData!$V$11),"",ReferenceData!$V$11),"")</f>
        <v>9.9554818239999996</v>
      </c>
      <c r="W11">
        <f ca="1">IFERROR(IF(0=LEN(ReferenceData!$W$11),"",ReferenceData!$W$11),"")</f>
        <v>9.4994745799999993</v>
      </c>
      <c r="X11">
        <f ca="1">IFERROR(IF(0=LEN(ReferenceData!$X$11),"",ReferenceData!$X$11),"")</f>
        <v>8.8094763960000009</v>
      </c>
      <c r="Y11">
        <f ca="1">IFERROR(IF(0=LEN(ReferenceData!$Y$11),"",ReferenceData!$Y$11),"")</f>
        <v>9.4572237979999993</v>
      </c>
      <c r="Z11">
        <f ca="1">IFERROR(IF(0=LEN(ReferenceData!$Z$11),"",ReferenceData!$Z$11),"")</f>
        <v>6.9992542379999998</v>
      </c>
      <c r="AA11">
        <f ca="1">IFERROR(IF(0=LEN(ReferenceData!$AA$11),"",ReferenceData!$AA$11),"")</f>
        <v>6.0896836309999998</v>
      </c>
      <c r="AB11">
        <f ca="1">IFERROR(IF(0=LEN(ReferenceData!$AB$11),"",ReferenceData!$AB$11),"")</f>
        <v>6.361534335</v>
      </c>
      <c r="AC11">
        <f ca="1">IFERROR(IF(0=LEN(ReferenceData!$AC$11),"",ReferenceData!$AC$11),"")</f>
        <v>5.3594623969999997</v>
      </c>
      <c r="AD11">
        <f ca="1">IFERROR(IF(0=LEN(ReferenceData!$AD$11),"",ReferenceData!$AD$11),"")</f>
        <v>6.1903174779999999</v>
      </c>
      <c r="AE11">
        <f ca="1">IFERROR(IF(0=LEN(ReferenceData!$AE$11),"",ReferenceData!$AE$11),"")</f>
        <v>7.1493712619999998</v>
      </c>
      <c r="AF11">
        <f ca="1">IFERROR(IF(0=LEN(ReferenceData!$AF$11),"",ReferenceData!$AF$11),"")</f>
        <v>6.9431165799999999</v>
      </c>
      <c r="AG11">
        <f ca="1">IFERROR(IF(0=LEN(ReferenceData!$AG$11),"",ReferenceData!$AG$11),"")</f>
        <v>7.4728770579999999</v>
      </c>
      <c r="AH11">
        <f ca="1">IFERROR(IF(0=LEN(ReferenceData!$AH$11),"",ReferenceData!$AH$11),"")</f>
        <v>7.8006138079999996</v>
      </c>
      <c r="AI11">
        <f ca="1">IFERROR(IF(0=LEN(ReferenceData!$AI$11),"",ReferenceData!$AI$11),"")</f>
        <v>7.5520675329999998</v>
      </c>
      <c r="AJ11">
        <f ca="1">IFERROR(IF(0=LEN(ReferenceData!$AJ$11),"",ReferenceData!$AJ$11),"")</f>
        <v>6.8333686330000001</v>
      </c>
      <c r="AK11">
        <f ca="1">IFERROR(IF(0=LEN(ReferenceData!$AK$11),"",ReferenceData!$AK$11),"")</f>
        <v>6.5200789139999999</v>
      </c>
      <c r="AL11">
        <f ca="1">IFERROR(IF(0=LEN(ReferenceData!$AL$11),"",ReferenceData!$AL$11),"")</f>
        <v>5.9698881669999997</v>
      </c>
      <c r="AM11">
        <f ca="1">IFERROR(IF(0=LEN(ReferenceData!$AM$11),"",ReferenceData!$AM$11),"")</f>
        <v>5.294782283</v>
      </c>
      <c r="AN11">
        <f ca="1">IFERROR(IF(0=LEN(ReferenceData!$AN$11),"",ReferenceData!$AN$11),"")</f>
        <v>3.6733146849999998</v>
      </c>
      <c r="AO11">
        <f ca="1">IFERROR(IF(0=LEN(ReferenceData!$AO$11),"",ReferenceData!$AO$11),"")</f>
        <v>2.140786764</v>
      </c>
      <c r="AP11">
        <f ca="1">IFERROR(IF(0=LEN(ReferenceData!$AP$11),"",ReferenceData!$AP$11),"")</f>
        <v>-0.378690156</v>
      </c>
      <c r="AQ11">
        <f ca="1">IFERROR(IF(0=LEN(ReferenceData!$AQ$11),"",ReferenceData!$AQ$11),"")</f>
        <v>-3.0008514530000001</v>
      </c>
      <c r="AR11">
        <f ca="1">IFERROR(IF(0=LEN(ReferenceData!$AR$11),"",ReferenceData!$AR$11),"")</f>
        <v>-3.3966319760000001</v>
      </c>
      <c r="AS11">
        <f ca="1">IFERROR(IF(0=LEN(ReferenceData!$AS$11),"",ReferenceData!$AS$11),"")</f>
        <v>-3.1504436930000002</v>
      </c>
      <c r="AT11">
        <f ca="1">IFERROR(IF(0=LEN(ReferenceData!$AT$11),"",ReferenceData!$AT$11),"")</f>
        <v>-0.39755351500000002</v>
      </c>
      <c r="AU11">
        <f ca="1">IFERROR(IF(0=LEN(ReferenceData!$AU$11),"",ReferenceData!$AU$11),"")</f>
        <v>3.6511108210000001</v>
      </c>
      <c r="AV11">
        <f ca="1">IFERROR(IF(0=LEN(ReferenceData!$AV$11),"",ReferenceData!$AV$11),"")</f>
        <v>5.5141537520000004</v>
      </c>
      <c r="AW11">
        <f ca="1">IFERROR(IF(0=LEN(ReferenceData!$AW$11),"",ReferenceData!$AW$11),"")</f>
        <v>5.8234144710000004</v>
      </c>
      <c r="AX11">
        <f ca="1">IFERROR(IF(0=LEN(ReferenceData!$AX$11),"",ReferenceData!$AX$11),"")</f>
        <v>5.4817638300000002</v>
      </c>
      <c r="AY11">
        <f ca="1">IFERROR(IF(0=LEN(ReferenceData!$AY$11),"",ReferenceData!$AY$11),"")</f>
        <v>6.9587594309999998</v>
      </c>
      <c r="AZ11">
        <f ca="1">IFERROR(IF(0=LEN(ReferenceData!$AZ$11),"",ReferenceData!$AZ$11),"")</f>
        <v>4.7457341460000002</v>
      </c>
      <c r="BA11">
        <f ca="1">IFERROR(IF(0=LEN(ReferenceData!$BA$11),"",ReferenceData!$BA$11),"")</f>
        <v>5.4244474589999996</v>
      </c>
      <c r="BB11">
        <f ca="1">IFERROR(IF(0=LEN(ReferenceData!$BB$11),"",ReferenceData!$BB$11),"")</f>
        <v>5.8313296379999997</v>
      </c>
      <c r="BC11">
        <f ca="1">IFERROR(IF(0=LEN(ReferenceData!$BC$11),"",ReferenceData!$BC$11),"")</f>
        <v>3.3972452949999998</v>
      </c>
      <c r="BD11">
        <f ca="1">IFERROR(IF(0=LEN(ReferenceData!$BD$11),"",ReferenceData!$BD$11),"")</f>
        <v>5.2083501930000002</v>
      </c>
      <c r="BE11">
        <f ca="1">IFERROR(IF(0=LEN(ReferenceData!$BE$11),"",ReferenceData!$BE$11),"")</f>
        <v>4.9231716260000002</v>
      </c>
      <c r="BF11">
        <f ca="1">IFERROR(IF(0=LEN(ReferenceData!$BF$11),"",ReferenceData!$BF$11),"")</f>
        <v>3.7062122369999999</v>
      </c>
      <c r="BG11">
        <f ca="1">IFERROR(IF(0=LEN(ReferenceData!$BG$11),"",ReferenceData!$BG$11),"")</f>
        <v>3.1899955000000002</v>
      </c>
      <c r="BH11">
        <f ca="1">IFERROR(IF(0=LEN(ReferenceData!$BH$11),"",ReferenceData!$BH$11),"")</f>
        <v>5.2556735110000004</v>
      </c>
      <c r="BI11">
        <f ca="1">IFERROR(IF(0=LEN(ReferenceData!$BI$11),"",ReferenceData!$BI$11),"")</f>
        <v>5.294991403</v>
      </c>
      <c r="BJ11">
        <f ca="1">IFERROR(IF(0=LEN(ReferenceData!$BJ$11),"",ReferenceData!$BJ$11),"")</f>
        <v>5.0378102379999996</v>
      </c>
      <c r="BK11">
        <f ca="1">IFERROR(IF(0=LEN(ReferenceData!$BK$11),"",ReferenceData!$BK$11),"")</f>
        <v>5.1400756129999996</v>
      </c>
      <c r="BL11" t="str">
        <f ca="1">IFERROR(IF(0=LEN(ReferenceData!$BL$11),"",ReferenceData!$BL$11),"")</f>
        <v/>
      </c>
      <c r="BM11" t="str">
        <f ca="1">IFERROR(IF(0=LEN(ReferenceData!$BM$11),"",ReferenceData!$BM$11),"")</f>
        <v/>
      </c>
    </row>
    <row r="12" spans="1:65" x14ac:dyDescent="0.25">
      <c r="A12" t="str">
        <f>IFERROR(IF(0=LEN(ReferenceData!$A$12),"",ReferenceData!$A$12),"")</f>
        <v xml:space="preserve">    Dongfeng Motor Group Co Ltd</v>
      </c>
      <c r="B12" t="str">
        <f>IFERROR(IF(0=LEN(ReferenceData!$B$12),"",ReferenceData!$B$12),"")</f>
        <v>489 HK Equity</v>
      </c>
      <c r="C12" t="str">
        <f>IFERROR(IF(0=LEN(ReferenceData!$C$12),"",ReferenceData!$C$12),"")</f>
        <v>RR844</v>
      </c>
      <c r="D12" t="str">
        <f>IFERROR(IF(0=LEN(ReferenceData!$D$12),"",ReferenceData!$D$12),"")</f>
        <v>T12M_DIL_EPS_CONT_OPS</v>
      </c>
      <c r="E12" t="str">
        <f>IFERROR(IF(0=LEN(ReferenceData!$E$12),"",ReferenceData!$E$12),"")</f>
        <v>Dynamic</v>
      </c>
      <c r="F12" t="str">
        <f ca="1">IFERROR(IF(0=LEN(ReferenceData!$F$12),"",ReferenceData!$F$12),"")</f>
        <v/>
      </c>
      <c r="G12" t="str">
        <f ca="1">IFERROR(IF(0=LEN(ReferenceData!$G$12),"",ReferenceData!$G$12),"")</f>
        <v/>
      </c>
      <c r="H12" t="str">
        <f ca="1">IFERROR(IF(0=LEN(ReferenceData!$H$12),"",ReferenceData!$H$12),"")</f>
        <v/>
      </c>
      <c r="I12" t="str">
        <f ca="1">IFERROR(IF(0=LEN(ReferenceData!$I$12),"",ReferenceData!$I$12),"")</f>
        <v/>
      </c>
      <c r="J12" t="str">
        <f ca="1">IFERROR(IF(0=LEN(ReferenceData!$J$12),"",ReferenceData!$J$12),"")</f>
        <v/>
      </c>
      <c r="K12" t="str">
        <f ca="1">IFERROR(IF(0=LEN(ReferenceData!$K$12),"",ReferenceData!$K$12),"")</f>
        <v/>
      </c>
      <c r="L12" t="str">
        <f ca="1">IFERROR(IF(0=LEN(ReferenceData!$L$12),"",ReferenceData!$L$12),"")</f>
        <v/>
      </c>
      <c r="M12" t="str">
        <f ca="1">IFERROR(IF(0=LEN(ReferenceData!$M$12),"",ReferenceData!$M$12),"")</f>
        <v/>
      </c>
      <c r="N12" t="str">
        <f ca="1">IFERROR(IF(0=LEN(ReferenceData!$N$12),"",ReferenceData!$N$12),"")</f>
        <v/>
      </c>
      <c r="O12" t="str">
        <f ca="1">IFERROR(IF(0=LEN(ReferenceData!$O$12),"",ReferenceData!$O$12),"")</f>
        <v/>
      </c>
      <c r="P12" t="str">
        <f ca="1">IFERROR(IF(0=LEN(ReferenceData!$P$12),"",ReferenceData!$P$12),"")</f>
        <v/>
      </c>
      <c r="Q12" t="str">
        <f ca="1">IFERROR(IF(0=LEN(ReferenceData!$Q$12),"",ReferenceData!$Q$12),"")</f>
        <v/>
      </c>
      <c r="R12" t="str">
        <f ca="1">IFERROR(IF(0=LEN(ReferenceData!$R$12),"",ReferenceData!$R$12),"")</f>
        <v/>
      </c>
      <c r="S12" t="str">
        <f ca="1">IFERROR(IF(0=LEN(ReferenceData!$S$12),"",ReferenceData!$S$12),"")</f>
        <v/>
      </c>
      <c r="T12" t="str">
        <f ca="1">IFERROR(IF(0=LEN(ReferenceData!$T$12),"",ReferenceData!$T$12),"")</f>
        <v/>
      </c>
      <c r="U12" t="str">
        <f ca="1">IFERROR(IF(0=LEN(ReferenceData!$U$12),"",ReferenceData!$U$12),"")</f>
        <v/>
      </c>
      <c r="V12" t="str">
        <f ca="1">IFERROR(IF(0=LEN(ReferenceData!$V$12),"",ReferenceData!$V$12),"")</f>
        <v/>
      </c>
      <c r="W12" t="str">
        <f ca="1">IFERROR(IF(0=LEN(ReferenceData!$W$12),"",ReferenceData!$W$12),"")</f>
        <v/>
      </c>
      <c r="X12" t="str">
        <f ca="1">IFERROR(IF(0=LEN(ReferenceData!$X$12),"",ReferenceData!$X$12),"")</f>
        <v/>
      </c>
      <c r="Y12" t="str">
        <f ca="1">IFERROR(IF(0=LEN(ReferenceData!$Y$12),"",ReferenceData!$Y$12),"")</f>
        <v/>
      </c>
      <c r="Z12" t="str">
        <f ca="1">IFERROR(IF(0=LEN(ReferenceData!$Z$12),"",ReferenceData!$Z$12),"")</f>
        <v/>
      </c>
      <c r="AA12" t="str">
        <f ca="1">IFERROR(IF(0=LEN(ReferenceData!$AA$12),"",ReferenceData!$AA$12),"")</f>
        <v/>
      </c>
      <c r="AB12" t="str">
        <f ca="1">IFERROR(IF(0=LEN(ReferenceData!$AB$12),"",ReferenceData!$AB$12),"")</f>
        <v/>
      </c>
      <c r="AC12" t="str">
        <f ca="1">IFERROR(IF(0=LEN(ReferenceData!$AC$12),"",ReferenceData!$AC$12),"")</f>
        <v/>
      </c>
      <c r="AD12" t="str">
        <f ca="1">IFERROR(IF(0=LEN(ReferenceData!$AD$12),"",ReferenceData!$AD$12),"")</f>
        <v/>
      </c>
      <c r="AE12" t="str">
        <f ca="1">IFERROR(IF(0=LEN(ReferenceData!$AE$12),"",ReferenceData!$AE$12),"")</f>
        <v/>
      </c>
      <c r="AF12" t="str">
        <f ca="1">IFERROR(IF(0=LEN(ReferenceData!$AF$12),"",ReferenceData!$AF$12),"")</f>
        <v/>
      </c>
      <c r="AG12" t="str">
        <f ca="1">IFERROR(IF(0=LEN(ReferenceData!$AG$12),"",ReferenceData!$AG$12),"")</f>
        <v/>
      </c>
      <c r="AH12" t="str">
        <f ca="1">IFERROR(IF(0=LEN(ReferenceData!$AH$12),"",ReferenceData!$AH$12),"")</f>
        <v/>
      </c>
      <c r="AI12" t="str">
        <f ca="1">IFERROR(IF(0=LEN(ReferenceData!$AI$12),"",ReferenceData!$AI$12),"")</f>
        <v/>
      </c>
      <c r="AJ12" t="str">
        <f ca="1">IFERROR(IF(0=LEN(ReferenceData!$AJ$12),"",ReferenceData!$AJ$12),"")</f>
        <v/>
      </c>
      <c r="AK12" t="str">
        <f ca="1">IFERROR(IF(0=LEN(ReferenceData!$AK$12),"",ReferenceData!$AK$12),"")</f>
        <v/>
      </c>
      <c r="AL12" t="str">
        <f ca="1">IFERROR(IF(0=LEN(ReferenceData!$AL$12),"",ReferenceData!$AL$12),"")</f>
        <v/>
      </c>
      <c r="AM12" t="str">
        <f ca="1">IFERROR(IF(0=LEN(ReferenceData!$AM$12),"",ReferenceData!$AM$12),"")</f>
        <v/>
      </c>
      <c r="AN12" t="str">
        <f ca="1">IFERROR(IF(0=LEN(ReferenceData!$AN$12),"",ReferenceData!$AN$12),"")</f>
        <v/>
      </c>
      <c r="AO12" t="str">
        <f ca="1">IFERROR(IF(0=LEN(ReferenceData!$AO$12),"",ReferenceData!$AO$12),"")</f>
        <v/>
      </c>
      <c r="AP12" t="str">
        <f ca="1">IFERROR(IF(0=LEN(ReferenceData!$AP$12),"",ReferenceData!$AP$12),"")</f>
        <v/>
      </c>
      <c r="AQ12" t="str">
        <f ca="1">IFERROR(IF(0=LEN(ReferenceData!$AQ$12),"",ReferenceData!$AQ$12),"")</f>
        <v/>
      </c>
      <c r="AR12" t="str">
        <f ca="1">IFERROR(IF(0=LEN(ReferenceData!$AR$12),"",ReferenceData!$AR$12),"")</f>
        <v/>
      </c>
      <c r="AS12" t="str">
        <f ca="1">IFERROR(IF(0=LEN(ReferenceData!$AS$12),"",ReferenceData!$AS$12),"")</f>
        <v/>
      </c>
      <c r="AT12" t="str">
        <f ca="1">IFERROR(IF(0=LEN(ReferenceData!$AT$12),"",ReferenceData!$AT$12),"")</f>
        <v/>
      </c>
      <c r="AU12" t="str">
        <f ca="1">IFERROR(IF(0=LEN(ReferenceData!$AU$12),"",ReferenceData!$AU$12),"")</f>
        <v/>
      </c>
      <c r="AV12" t="str">
        <f ca="1">IFERROR(IF(0=LEN(ReferenceData!$AV$12),"",ReferenceData!$AV$12),"")</f>
        <v/>
      </c>
      <c r="AW12" t="str">
        <f ca="1">IFERROR(IF(0=LEN(ReferenceData!$AW$12),"",ReferenceData!$AW$12),"")</f>
        <v/>
      </c>
      <c r="AX12" t="str">
        <f ca="1">IFERROR(IF(0=LEN(ReferenceData!$AX$12),"",ReferenceData!$AX$12),"")</f>
        <v/>
      </c>
      <c r="AY12" t="str">
        <f ca="1">IFERROR(IF(0=LEN(ReferenceData!$AY$12),"",ReferenceData!$AY$12),"")</f>
        <v/>
      </c>
      <c r="AZ12" t="str">
        <f ca="1">IFERROR(IF(0=LEN(ReferenceData!$AZ$12),"",ReferenceData!$AZ$12),"")</f>
        <v/>
      </c>
      <c r="BA12" t="str">
        <f ca="1">IFERROR(IF(0=LEN(ReferenceData!$BA$12),"",ReferenceData!$BA$12),"")</f>
        <v/>
      </c>
      <c r="BB12" t="str">
        <f ca="1">IFERROR(IF(0=LEN(ReferenceData!$BB$12),"",ReferenceData!$BB$12),"")</f>
        <v/>
      </c>
      <c r="BC12" t="str">
        <f ca="1">IFERROR(IF(0=LEN(ReferenceData!$BC$12),"",ReferenceData!$BC$12),"")</f>
        <v/>
      </c>
      <c r="BD12" t="str">
        <f ca="1">IFERROR(IF(0=LEN(ReferenceData!$BD$12),"",ReferenceData!$BD$12),"")</f>
        <v/>
      </c>
      <c r="BE12" t="str">
        <f ca="1">IFERROR(IF(0=LEN(ReferenceData!$BE$12),"",ReferenceData!$BE$12),"")</f>
        <v/>
      </c>
      <c r="BF12" t="str">
        <f ca="1">IFERROR(IF(0=LEN(ReferenceData!$BF$12),"",ReferenceData!$BF$12),"")</f>
        <v/>
      </c>
      <c r="BG12" t="str">
        <f ca="1">IFERROR(IF(0=LEN(ReferenceData!$BG$12),"",ReferenceData!$BG$12),"")</f>
        <v/>
      </c>
      <c r="BH12" t="str">
        <f ca="1">IFERROR(IF(0=LEN(ReferenceData!$BH$12),"",ReferenceData!$BH$12),"")</f>
        <v/>
      </c>
      <c r="BI12" t="str">
        <f ca="1">IFERROR(IF(0=LEN(ReferenceData!$BI$12),"",ReferenceData!$BI$12),"")</f>
        <v/>
      </c>
      <c r="BJ12" t="str">
        <f ca="1">IFERROR(IF(0=LEN(ReferenceData!$BJ$12),"",ReferenceData!$BJ$12),"")</f>
        <v/>
      </c>
      <c r="BK12" t="str">
        <f ca="1">IFERROR(IF(0=LEN(ReferenceData!$BK$12),"",ReferenceData!$BK$12),"")</f>
        <v/>
      </c>
      <c r="BL12" t="str">
        <f ca="1">IFERROR(IF(0=LEN(ReferenceData!$BL$12),"",ReferenceData!$BL$12),"")</f>
        <v/>
      </c>
      <c r="BM12" t="str">
        <f ca="1">IFERROR(IF(0=LEN(ReferenceData!$BM$12),"",ReferenceData!$BM$12),"")</f>
        <v/>
      </c>
    </row>
    <row r="13" spans="1:65" x14ac:dyDescent="0.25">
      <c r="A13" t="str">
        <f>IFERROR(IF(0=LEN(ReferenceData!$A$13),"",ReferenceData!$A$13),"")</f>
        <v xml:space="preserve">    DRB-Hicom Bhd</v>
      </c>
      <c r="B13" t="str">
        <f>IFERROR(IF(0=LEN(ReferenceData!$B$13),"",ReferenceData!$B$13),"")</f>
        <v>DRB MK Equity</v>
      </c>
      <c r="C13" t="str">
        <f>IFERROR(IF(0=LEN(ReferenceData!$C$13),"",ReferenceData!$C$13),"")</f>
        <v>RR844</v>
      </c>
      <c r="D13" t="str">
        <f>IFERROR(IF(0=LEN(ReferenceData!$D$13),"",ReferenceData!$D$13),"")</f>
        <v>T12M_DIL_EPS_CONT_OPS</v>
      </c>
      <c r="E13" t="str">
        <f>IFERROR(IF(0=LEN(ReferenceData!$E$13),"",ReferenceData!$E$13),"")</f>
        <v>Dynamic</v>
      </c>
      <c r="F13" t="str">
        <f ca="1">IFERROR(IF(0=LEN(ReferenceData!$F$13),"",ReferenceData!$F$13),"")</f>
        <v/>
      </c>
      <c r="G13" t="str">
        <f ca="1">IFERROR(IF(0=LEN(ReferenceData!$G$13),"",ReferenceData!$G$13),"")</f>
        <v/>
      </c>
      <c r="H13">
        <f ca="1">IFERROR(IF(0=LEN(ReferenceData!$H$13),"",ReferenceData!$H$13),"")</f>
        <v>-9.5356480000000007E-3</v>
      </c>
      <c r="I13">
        <f ca="1">IFERROR(IF(0=LEN(ReferenceData!$I$13),"",ReferenceData!$I$13),"")</f>
        <v>8.5584313999999995E-2</v>
      </c>
      <c r="J13">
        <f ca="1">IFERROR(IF(0=LEN(ReferenceData!$J$13),"",ReferenceData!$J$13),"")</f>
        <v>7.1558404000000006E-2</v>
      </c>
      <c r="K13">
        <f ca="1">IFERROR(IF(0=LEN(ReferenceData!$K$13),"",ReferenceData!$K$13),"")</f>
        <v>3.4957820000000001E-2</v>
      </c>
      <c r="L13">
        <f ca="1">IFERROR(IF(0=LEN(ReferenceData!$L$13),"",ReferenceData!$L$13),"")</f>
        <v>4.2641289999999998E-2</v>
      </c>
      <c r="M13">
        <f ca="1">IFERROR(IF(0=LEN(ReferenceData!$M$13),"",ReferenceData!$M$13),"")</f>
        <v>-6.9831651999999994E-2</v>
      </c>
      <c r="N13">
        <f ca="1">IFERROR(IF(0=LEN(ReferenceData!$N$13),"",ReferenceData!$N$13),"")</f>
        <v>-7.1268353000000007E-2</v>
      </c>
      <c r="O13">
        <f ca="1">IFERROR(IF(0=LEN(ReferenceData!$O$13),"",ReferenceData!$O$13),"")</f>
        <v>-0.13151247599999999</v>
      </c>
      <c r="P13">
        <f ca="1">IFERROR(IF(0=LEN(ReferenceData!$P$13),"",ReferenceData!$P$13),"")</f>
        <v>-0.158610947</v>
      </c>
      <c r="Q13">
        <f ca="1">IFERROR(IF(0=LEN(ReferenceData!$Q$13),"",ReferenceData!$Q$13),"")</f>
        <v>-0.13844203099999999</v>
      </c>
      <c r="R13">
        <f ca="1">IFERROR(IF(0=LEN(ReferenceData!$R$13),"",ReferenceData!$R$13),"")</f>
        <v>-0.125924912</v>
      </c>
      <c r="S13">
        <f ca="1">IFERROR(IF(0=LEN(ReferenceData!$S$13),"",ReferenceData!$S$13),"")</f>
        <v>-2.3233549999999999E-2</v>
      </c>
      <c r="T13">
        <f ca="1">IFERROR(IF(0=LEN(ReferenceData!$T$13),"",ReferenceData!$T$13),"")</f>
        <v>-1.0003900000000001E-3</v>
      </c>
      <c r="U13">
        <f ca="1">IFERROR(IF(0=LEN(ReferenceData!$U$13),"",ReferenceData!$U$13),"")</f>
        <v>1.6588361999999999E-2</v>
      </c>
      <c r="V13">
        <f ca="1">IFERROR(IF(0=LEN(ReferenceData!$V$13),"",ReferenceData!$V$13),"")</f>
        <v>3.6921735999999997E-2</v>
      </c>
      <c r="W13">
        <f ca="1">IFERROR(IF(0=LEN(ReferenceData!$W$13),"",ReferenceData!$W$13),"")</f>
        <v>5.5348873E-2</v>
      </c>
      <c r="X13">
        <f ca="1">IFERROR(IF(0=LEN(ReferenceData!$X$13),"",ReferenceData!$X$13),"")</f>
        <v>7.2815599999999994E-2</v>
      </c>
      <c r="Y13">
        <f ca="1">IFERROR(IF(0=LEN(ReferenceData!$Y$13),"",ReferenceData!$Y$13),"")</f>
        <v>8.5929681999999993E-2</v>
      </c>
      <c r="Z13">
        <f ca="1">IFERROR(IF(0=LEN(ReferenceData!$Z$13),"",ReferenceData!$Z$13),"")</f>
        <v>7.5798736000000005E-2</v>
      </c>
      <c r="AA13">
        <f ca="1">IFERROR(IF(0=LEN(ReferenceData!$AA$13),"",ReferenceData!$AA$13),"")</f>
        <v>6.0196227999999997E-2</v>
      </c>
      <c r="AB13">
        <f ca="1">IFERROR(IF(0=LEN(ReferenceData!$AB$13),"",ReferenceData!$AB$13),"")</f>
        <v>5.2954512000000002E-2</v>
      </c>
      <c r="AC13">
        <f ca="1">IFERROR(IF(0=LEN(ReferenceData!$AC$13),"",ReferenceData!$AC$13),"")</f>
        <v>4.1014636E-2</v>
      </c>
      <c r="AD13">
        <f ca="1">IFERROR(IF(0=LEN(ReferenceData!$AD$13),"",ReferenceData!$AD$13),"")</f>
        <v>3.8833887999999997E-2</v>
      </c>
      <c r="AE13">
        <f ca="1">IFERROR(IF(0=LEN(ReferenceData!$AE$13),"",ReferenceData!$AE$13),"")</f>
        <v>8.4960985000000003E-2</v>
      </c>
      <c r="AF13" t="str">
        <f ca="1">IFERROR(IF(0=LEN(ReferenceData!$AF$13),"",ReferenceData!$AF$13),"")</f>
        <v/>
      </c>
      <c r="AG13" t="str">
        <f ca="1">IFERROR(IF(0=LEN(ReferenceData!$AG$13),"",ReferenceData!$AG$13),"")</f>
        <v/>
      </c>
      <c r="AH13" t="str">
        <f ca="1">IFERROR(IF(0=LEN(ReferenceData!$AH$13),"",ReferenceData!$AH$13),"")</f>
        <v/>
      </c>
      <c r="AI13" t="str">
        <f ca="1">IFERROR(IF(0=LEN(ReferenceData!$AI$13),"",ReferenceData!$AI$13),"")</f>
        <v/>
      </c>
      <c r="AJ13" t="str">
        <f ca="1">IFERROR(IF(0=LEN(ReferenceData!$AJ$13),"",ReferenceData!$AJ$13),"")</f>
        <v/>
      </c>
      <c r="AK13" t="str">
        <f ca="1">IFERROR(IF(0=LEN(ReferenceData!$AK$13),"",ReferenceData!$AK$13),"")</f>
        <v/>
      </c>
      <c r="AL13" t="str">
        <f ca="1">IFERROR(IF(0=LEN(ReferenceData!$AL$13),"",ReferenceData!$AL$13),"")</f>
        <v/>
      </c>
      <c r="AM13" t="str">
        <f ca="1">IFERROR(IF(0=LEN(ReferenceData!$AM$13),"",ReferenceData!$AM$13),"")</f>
        <v/>
      </c>
      <c r="AN13" t="str">
        <f ca="1">IFERROR(IF(0=LEN(ReferenceData!$AN$13),"",ReferenceData!$AN$13),"")</f>
        <v/>
      </c>
      <c r="AO13" t="str">
        <f ca="1">IFERROR(IF(0=LEN(ReferenceData!$AO$13),"",ReferenceData!$AO$13),"")</f>
        <v/>
      </c>
      <c r="AP13" t="str">
        <f ca="1">IFERROR(IF(0=LEN(ReferenceData!$AP$13),"",ReferenceData!$AP$13),"")</f>
        <v/>
      </c>
      <c r="AQ13" t="str">
        <f ca="1">IFERROR(IF(0=LEN(ReferenceData!$AQ$13),"",ReferenceData!$AQ$13),"")</f>
        <v/>
      </c>
      <c r="AR13" t="str">
        <f ca="1">IFERROR(IF(0=LEN(ReferenceData!$AR$13),"",ReferenceData!$AR$13),"")</f>
        <v/>
      </c>
      <c r="AS13" t="str">
        <f ca="1">IFERROR(IF(0=LEN(ReferenceData!$AS$13),"",ReferenceData!$AS$13),"")</f>
        <v/>
      </c>
      <c r="AT13" t="str">
        <f ca="1">IFERROR(IF(0=LEN(ReferenceData!$AT$13),"",ReferenceData!$AT$13),"")</f>
        <v/>
      </c>
      <c r="AU13" t="str">
        <f ca="1">IFERROR(IF(0=LEN(ReferenceData!$AU$13),"",ReferenceData!$AU$13),"")</f>
        <v/>
      </c>
      <c r="AV13" t="str">
        <f ca="1">IFERROR(IF(0=LEN(ReferenceData!$AV$13),"",ReferenceData!$AV$13),"")</f>
        <v/>
      </c>
      <c r="AW13" t="str">
        <f ca="1">IFERROR(IF(0=LEN(ReferenceData!$AW$13),"",ReferenceData!$AW$13),"")</f>
        <v/>
      </c>
      <c r="AX13">
        <f ca="1">IFERROR(IF(0=LEN(ReferenceData!$AX$13),"",ReferenceData!$AX$13),"")</f>
        <v>8.6033753000000004E-2</v>
      </c>
      <c r="AY13">
        <f ca="1">IFERROR(IF(0=LEN(ReferenceData!$AY$13),"",ReferenceData!$AY$13),"")</f>
        <v>7.8166605E-2</v>
      </c>
      <c r="AZ13">
        <f ca="1">IFERROR(IF(0=LEN(ReferenceData!$AZ$13),"",ReferenceData!$AZ$13),"")</f>
        <v>4.1976008000000002E-2</v>
      </c>
      <c r="BA13">
        <f ca="1">IFERROR(IF(0=LEN(ReferenceData!$BA$13),"",ReferenceData!$BA$13),"")</f>
        <v>3.5185561999999997E-2</v>
      </c>
      <c r="BB13">
        <f ca="1">IFERROR(IF(0=LEN(ReferenceData!$BB$13),"",ReferenceData!$BB$13),"")</f>
        <v>2.6242799000000001E-2</v>
      </c>
      <c r="BC13">
        <f ca="1">IFERROR(IF(0=LEN(ReferenceData!$BC$13),"",ReferenceData!$BC$13),"")</f>
        <v>-1.5439385999999999E-2</v>
      </c>
      <c r="BD13">
        <f ca="1">IFERROR(IF(0=LEN(ReferenceData!$BD$13),"",ReferenceData!$BD$13),"")</f>
        <v>-7.6817227000000002E-2</v>
      </c>
      <c r="BE13">
        <f ca="1">IFERROR(IF(0=LEN(ReferenceData!$BE$13),"",ReferenceData!$BE$13),"")</f>
        <v>-7.3320140000000006E-2</v>
      </c>
      <c r="BF13">
        <f ca="1">IFERROR(IF(0=LEN(ReferenceData!$BF$13),"",ReferenceData!$BF$13),"")</f>
        <v>-6.0025740000000001E-2</v>
      </c>
      <c r="BG13" t="str">
        <f ca="1">IFERROR(IF(0=LEN(ReferenceData!$BG$13),"",ReferenceData!$BG$13),"")</f>
        <v/>
      </c>
      <c r="BH13" t="str">
        <f ca="1">IFERROR(IF(0=LEN(ReferenceData!$BH$13),"",ReferenceData!$BH$13),"")</f>
        <v/>
      </c>
      <c r="BI13" t="str">
        <f ca="1">IFERROR(IF(0=LEN(ReferenceData!$BI$13),"",ReferenceData!$BI$13),"")</f>
        <v/>
      </c>
      <c r="BJ13" t="str">
        <f ca="1">IFERROR(IF(0=LEN(ReferenceData!$BJ$13),"",ReferenceData!$BJ$13),"")</f>
        <v/>
      </c>
      <c r="BK13" t="str">
        <f ca="1">IFERROR(IF(0=LEN(ReferenceData!$BK$13),"",ReferenceData!$BK$13),"")</f>
        <v/>
      </c>
      <c r="BL13" t="str">
        <f ca="1">IFERROR(IF(0=LEN(ReferenceData!$BL$13),"",ReferenceData!$BL$13),"")</f>
        <v/>
      </c>
      <c r="BM13" t="str">
        <f ca="1">IFERROR(IF(0=LEN(ReferenceData!$BM$13),"",ReferenceData!$BM$13),"")</f>
        <v/>
      </c>
    </row>
    <row r="14" spans="1:65" x14ac:dyDescent="0.25">
      <c r="A14" t="str">
        <f>IFERROR(IF(0=LEN(ReferenceData!$A$14),"",ReferenceData!$A$14),"")</f>
        <v xml:space="preserve">    FAW CAR Co Ltd</v>
      </c>
      <c r="B14" t="str">
        <f>IFERROR(IF(0=LEN(ReferenceData!$B$14),"",ReferenceData!$B$14),"")</f>
        <v>000800 CH Equity</v>
      </c>
      <c r="C14" t="str">
        <f>IFERROR(IF(0=LEN(ReferenceData!$C$14),"",ReferenceData!$C$14),"")</f>
        <v>RR844</v>
      </c>
      <c r="D14" t="str">
        <f>IFERROR(IF(0=LEN(ReferenceData!$D$14),"",ReferenceData!$D$14),"")</f>
        <v>T12M_DIL_EPS_CONT_OPS</v>
      </c>
      <c r="E14" t="str">
        <f>IFERROR(IF(0=LEN(ReferenceData!$E$14),"",ReferenceData!$E$14),"")</f>
        <v>Dynamic</v>
      </c>
      <c r="F14" t="str">
        <f ca="1">IFERROR(IF(0=LEN(ReferenceData!$F$14),"",ReferenceData!$F$14),"")</f>
        <v/>
      </c>
      <c r="G14" t="str">
        <f ca="1">IFERROR(IF(0=LEN(ReferenceData!$G$14),"",ReferenceData!$G$14),"")</f>
        <v/>
      </c>
      <c r="H14">
        <f ca="1">IFERROR(IF(0=LEN(ReferenceData!$H$14),"",ReferenceData!$H$14),"")</f>
        <v>7.4423400000000004E-3</v>
      </c>
      <c r="I14">
        <f ca="1">IFERROR(IF(0=LEN(ReferenceData!$I$14),"",ReferenceData!$I$14),"")</f>
        <v>4.2830309999999996E-3</v>
      </c>
      <c r="J14">
        <f ca="1">IFERROR(IF(0=LEN(ReferenceData!$J$14),"",ReferenceData!$J$14),"")</f>
        <v>1.1676410999999999E-2</v>
      </c>
      <c r="K14">
        <f ca="1">IFERROR(IF(0=LEN(ReferenceData!$K$14),"",ReferenceData!$K$14),"")</f>
        <v>2.1464474000000001E-2</v>
      </c>
      <c r="L14">
        <f ca="1">IFERROR(IF(0=LEN(ReferenceData!$L$14),"",ReferenceData!$L$14),"")</f>
        <v>-5.5371370000000001E-3</v>
      </c>
      <c r="M14">
        <f ca="1">IFERROR(IF(0=LEN(ReferenceData!$M$14),"",ReferenceData!$M$14),"")</f>
        <v>2.566512E-3</v>
      </c>
      <c r="N14">
        <f ca="1">IFERROR(IF(0=LEN(ReferenceData!$N$14),"",ReferenceData!$N$14),"")</f>
        <v>-4.4194074999999999E-2</v>
      </c>
      <c r="O14">
        <f ca="1">IFERROR(IF(0=LEN(ReferenceData!$O$14),"",ReferenceData!$O$14),"")</f>
        <v>-9.8876602999999993E-2</v>
      </c>
      <c r="P14">
        <f ca="1">IFERROR(IF(0=LEN(ReferenceData!$P$14),"",ReferenceData!$P$14),"")</f>
        <v>-6.1867983000000001E-2</v>
      </c>
      <c r="Q14">
        <f ca="1">IFERROR(IF(0=LEN(ReferenceData!$Q$14),"",ReferenceData!$Q$14),"")</f>
        <v>-8.6865490000000004E-2</v>
      </c>
      <c r="R14">
        <f ca="1">IFERROR(IF(0=LEN(ReferenceData!$R$14),"",ReferenceData!$R$14),"")</f>
        <v>-4.6169242999999999E-2</v>
      </c>
      <c r="S14">
        <f ca="1">IFERROR(IF(0=LEN(ReferenceData!$S$14),"",ReferenceData!$S$14),"")</f>
        <v>8.0248709999999994E-3</v>
      </c>
      <c r="T14">
        <f ca="1">IFERROR(IF(0=LEN(ReferenceData!$T$14),"",ReferenceData!$T$14),"")</f>
        <v>4.829725E-3</v>
      </c>
      <c r="U14">
        <f ca="1">IFERROR(IF(0=LEN(ReferenceData!$U$14),"",ReferenceData!$U$14),"")</f>
        <v>1.3186517E-2</v>
      </c>
      <c r="V14">
        <f ca="1">IFERROR(IF(0=LEN(ReferenceData!$V$14),"",ReferenceData!$V$14),"")</f>
        <v>1.542202E-2</v>
      </c>
      <c r="W14">
        <f ca="1">IFERROR(IF(0=LEN(ReferenceData!$W$14),"",ReferenceData!$W$14),"")</f>
        <v>2.8913415000000001E-2</v>
      </c>
      <c r="X14">
        <f ca="1">IFERROR(IF(0=LEN(ReferenceData!$X$14),"",ReferenceData!$X$14),"")</f>
        <v>4.8551795000000002E-2</v>
      </c>
      <c r="Y14">
        <f ca="1">IFERROR(IF(0=LEN(ReferenceData!$Y$14),"",ReferenceData!$Y$14),"")</f>
        <v>6.9724071999999998E-2</v>
      </c>
      <c r="Z14">
        <f ca="1">IFERROR(IF(0=LEN(ReferenceData!$Z$14),"",ReferenceData!$Z$14),"")</f>
        <v>9.1804671000000004E-2</v>
      </c>
      <c r="AA14">
        <f ca="1">IFERROR(IF(0=LEN(ReferenceData!$AA$14),"",ReferenceData!$AA$14),"")</f>
        <v>9.9945059000000003E-2</v>
      </c>
      <c r="AB14">
        <f ca="1">IFERROR(IF(0=LEN(ReferenceData!$AB$14),"",ReferenceData!$AB$14),"")</f>
        <v>3.4216607000000003E-2</v>
      </c>
      <c r="AC14">
        <f ca="1">IFERROR(IF(0=LEN(ReferenceData!$AC$14),"",ReferenceData!$AC$14),"")</f>
        <v>-5.6146410000000001E-3</v>
      </c>
      <c r="AD14">
        <f ca="1">IFERROR(IF(0=LEN(ReferenceData!$AD$14),"",ReferenceData!$AD$14),"")</f>
        <v>-3.7827977999999998E-2</v>
      </c>
      <c r="AE14">
        <f ca="1">IFERROR(IF(0=LEN(ReferenceData!$AE$14),"",ReferenceData!$AE$14),"")</f>
        <v>-7.2453033E-2</v>
      </c>
      <c r="AF14">
        <f ca="1">IFERROR(IF(0=LEN(ReferenceData!$AF$14),"",ReferenceData!$AF$14),"")</f>
        <v>-7.8479154999999995E-2</v>
      </c>
      <c r="AG14">
        <f ca="1">IFERROR(IF(0=LEN(ReferenceData!$AG$14),"",ReferenceData!$AG$14),"")</f>
        <v>-5.9416008999999999E-2</v>
      </c>
      <c r="AH14">
        <f ca="1">IFERROR(IF(0=LEN(ReferenceData!$AH$14),"",ReferenceData!$AH$14),"")</f>
        <v>-1.3551017E-2</v>
      </c>
      <c r="AI14">
        <f ca="1">IFERROR(IF(0=LEN(ReferenceData!$AI$14),"",ReferenceData!$AI$14),"")</f>
        <v>2.3827414000000002E-2</v>
      </c>
      <c r="AJ14">
        <f ca="1">IFERROR(IF(0=LEN(ReferenceData!$AJ$14),"",ReferenceData!$AJ$14),"")</f>
        <v>7.6202168000000001E-2</v>
      </c>
      <c r="AK14">
        <f ca="1">IFERROR(IF(0=LEN(ReferenceData!$AK$14),"",ReferenceData!$AK$14),"")</f>
        <v>0.122009299</v>
      </c>
      <c r="AL14">
        <f ca="1">IFERROR(IF(0=LEN(ReferenceData!$AL$14),"",ReferenceData!$AL$14),"")</f>
        <v>0.14098417399999999</v>
      </c>
      <c r="AM14">
        <f ca="1">IFERROR(IF(0=LEN(ReferenceData!$AM$14),"",ReferenceData!$AM$14),"")</f>
        <v>0.16781304599999999</v>
      </c>
      <c r="AN14">
        <f ca="1">IFERROR(IF(0=LEN(ReferenceData!$AN$14),"",ReferenceData!$AN$14),"")</f>
        <v>0.22722194700000001</v>
      </c>
      <c r="AO14">
        <f ca="1">IFERROR(IF(0=LEN(ReferenceData!$AO$14),"",ReferenceData!$AO$14),"")</f>
        <v>0.21907381100000001</v>
      </c>
      <c r="AP14">
        <f ca="1">IFERROR(IF(0=LEN(ReferenceData!$AP$14),"",ReferenceData!$AP$14),"")</f>
        <v>0.18762474600000001</v>
      </c>
      <c r="AQ14">
        <f ca="1">IFERROR(IF(0=LEN(ReferenceData!$AQ$14),"",ReferenceData!$AQ$14),"")</f>
        <v>0.14687146600000001</v>
      </c>
      <c r="AR14" t="str">
        <f ca="1">IFERROR(IF(0=LEN(ReferenceData!$AR$14),"",ReferenceData!$AR$14),"")</f>
        <v/>
      </c>
      <c r="AS14" t="str">
        <f ca="1">IFERROR(IF(0=LEN(ReferenceData!$AS$14),"",ReferenceData!$AS$14),"")</f>
        <v/>
      </c>
      <c r="AT14" t="str">
        <f ca="1">IFERROR(IF(0=LEN(ReferenceData!$AT$14),"",ReferenceData!$AT$14),"")</f>
        <v/>
      </c>
      <c r="AU14" t="str">
        <f ca="1">IFERROR(IF(0=LEN(ReferenceData!$AU$14),"",ReferenceData!$AU$14),"")</f>
        <v/>
      </c>
      <c r="AV14" t="str">
        <f ca="1">IFERROR(IF(0=LEN(ReferenceData!$AV$14),"",ReferenceData!$AV$14),"")</f>
        <v/>
      </c>
      <c r="AW14" t="str">
        <f ca="1">IFERROR(IF(0=LEN(ReferenceData!$AW$14),"",ReferenceData!$AW$14),"")</f>
        <v/>
      </c>
      <c r="AX14" t="str">
        <f ca="1">IFERROR(IF(0=LEN(ReferenceData!$AX$14),"",ReferenceData!$AX$14),"")</f>
        <v/>
      </c>
      <c r="AY14" t="str">
        <f ca="1">IFERROR(IF(0=LEN(ReferenceData!$AY$14),"",ReferenceData!$AY$14),"")</f>
        <v/>
      </c>
      <c r="AZ14" t="str">
        <f ca="1">IFERROR(IF(0=LEN(ReferenceData!$AZ$14),"",ReferenceData!$AZ$14),"")</f>
        <v/>
      </c>
      <c r="BA14" t="str">
        <f ca="1">IFERROR(IF(0=LEN(ReferenceData!$BA$14),"",ReferenceData!$BA$14),"")</f>
        <v/>
      </c>
      <c r="BB14" t="str">
        <f ca="1">IFERROR(IF(0=LEN(ReferenceData!$BB$14),"",ReferenceData!$BB$14),"")</f>
        <v/>
      </c>
      <c r="BC14" t="str">
        <f ca="1">IFERROR(IF(0=LEN(ReferenceData!$BC$14),"",ReferenceData!$BC$14),"")</f>
        <v/>
      </c>
      <c r="BD14" t="str">
        <f ca="1">IFERROR(IF(0=LEN(ReferenceData!$BD$14),"",ReferenceData!$BD$14),"")</f>
        <v/>
      </c>
      <c r="BE14" t="str">
        <f ca="1">IFERROR(IF(0=LEN(ReferenceData!$BE$14),"",ReferenceData!$BE$14),"")</f>
        <v/>
      </c>
      <c r="BF14" t="str">
        <f ca="1">IFERROR(IF(0=LEN(ReferenceData!$BF$14),"",ReferenceData!$BF$14),"")</f>
        <v/>
      </c>
      <c r="BG14" t="str">
        <f ca="1">IFERROR(IF(0=LEN(ReferenceData!$BG$14),"",ReferenceData!$BG$14),"")</f>
        <v/>
      </c>
      <c r="BH14" t="str">
        <f ca="1">IFERROR(IF(0=LEN(ReferenceData!$BH$14),"",ReferenceData!$BH$14),"")</f>
        <v/>
      </c>
      <c r="BI14" t="str">
        <f ca="1">IFERROR(IF(0=LEN(ReferenceData!$BI$14),"",ReferenceData!$BI$14),"")</f>
        <v/>
      </c>
      <c r="BJ14" t="str">
        <f ca="1">IFERROR(IF(0=LEN(ReferenceData!$BJ$14),"",ReferenceData!$BJ$14),"")</f>
        <v/>
      </c>
      <c r="BK14" t="str">
        <f ca="1">IFERROR(IF(0=LEN(ReferenceData!$BK$14),"",ReferenceData!$BK$14),"")</f>
        <v/>
      </c>
      <c r="BL14" t="str">
        <f ca="1">IFERROR(IF(0=LEN(ReferenceData!$BL$14),"",ReferenceData!$BL$14),"")</f>
        <v/>
      </c>
      <c r="BM14" t="str">
        <f ca="1">IFERROR(IF(0=LEN(ReferenceData!$BM$14),"",ReferenceData!$BM$14),"")</f>
        <v/>
      </c>
    </row>
    <row r="15" spans="1:65" x14ac:dyDescent="0.25">
      <c r="A15" t="str">
        <f>IFERROR(IF(0=LEN(ReferenceData!$A$15),"",ReferenceData!$A$15),"")</f>
        <v xml:space="preserve">    Fiat Chrysler Automobiles NV</v>
      </c>
      <c r="B15" t="str">
        <f>IFERROR(IF(0=LEN(ReferenceData!$B$15),"",ReferenceData!$B$15),"")</f>
        <v>FCAU US Equity</v>
      </c>
      <c r="C15" t="str">
        <f>IFERROR(IF(0=LEN(ReferenceData!$C$15),"",ReferenceData!$C$15),"")</f>
        <v>RR844</v>
      </c>
      <c r="D15" t="str">
        <f>IFERROR(IF(0=LEN(ReferenceData!$D$15),"",ReferenceData!$D$15),"")</f>
        <v>T12M_DIL_EPS_CONT_OPS</v>
      </c>
      <c r="E15" t="str">
        <f>IFERROR(IF(0=LEN(ReferenceData!$E$15),"",ReferenceData!$E$15),"")</f>
        <v>Dynamic</v>
      </c>
      <c r="F15" t="str">
        <f ca="1">IFERROR(IF(0=LEN(ReferenceData!$F$15),"",ReferenceData!$F$15),"")</f>
        <v/>
      </c>
      <c r="G15">
        <f ca="1">IFERROR(IF(0=LEN(ReferenceData!$G$15),"",ReferenceData!$G$15),"")</f>
        <v>3.2899048139999998</v>
      </c>
      <c r="H15">
        <f ca="1">IFERROR(IF(0=LEN(ReferenceData!$H$15),"",ReferenceData!$H$15),"")</f>
        <v>3.3241392940000001</v>
      </c>
      <c r="I15">
        <f ca="1">IFERROR(IF(0=LEN(ReferenceData!$I$15),"",ReferenceData!$I$15),"")</f>
        <v>2.965082615</v>
      </c>
      <c r="J15">
        <f ca="1">IFERROR(IF(0=LEN(ReferenceData!$J$15),"",ReferenceData!$J$15),"")</f>
        <v>3.002182237</v>
      </c>
      <c r="K15">
        <f ca="1">IFERROR(IF(0=LEN(ReferenceData!$K$15),"",ReferenceData!$K$15),"")</f>
        <v>2.6395418230000001</v>
      </c>
      <c r="L15">
        <f ca="1">IFERROR(IF(0=LEN(ReferenceData!$L$15),"",ReferenceData!$L$15),"")</f>
        <v>2.2784725899999998</v>
      </c>
      <c r="M15">
        <f ca="1">IFERROR(IF(0=LEN(ReferenceData!$M$15),"",ReferenceData!$M$15),"")</f>
        <v>2.1753808569999999</v>
      </c>
      <c r="N15">
        <f ca="1">IFERROR(IF(0=LEN(ReferenceData!$N$15),"",ReferenceData!$N$15),"")</f>
        <v>1.919794056</v>
      </c>
      <c r="O15">
        <f ca="1">IFERROR(IF(0=LEN(ReferenceData!$O$15),"",ReferenceData!$O$15),"")</f>
        <v>1.8344335009999999</v>
      </c>
      <c r="P15">
        <f ca="1">IFERROR(IF(0=LEN(ReferenceData!$P$15),"",ReferenceData!$P$15),"")</f>
        <v>2.122143382</v>
      </c>
      <c r="Q15">
        <f ca="1">IFERROR(IF(0=LEN(ReferenceData!$Q$15),"",ReferenceData!$Q$15),"")</f>
        <v>1.7405786139999999</v>
      </c>
      <c r="R15">
        <f ca="1">IFERROR(IF(0=LEN(ReferenceData!$R$15),"",ReferenceData!$R$15),"")</f>
        <v>1.485464653</v>
      </c>
      <c r="S15">
        <f ca="1">IFERROR(IF(0=LEN(ReferenceData!$S$15),"",ReferenceData!$S$15),"")</f>
        <v>1.130172674</v>
      </c>
      <c r="T15">
        <f ca="1">IFERROR(IF(0=LEN(ReferenceData!$T$15),"",ReferenceData!$T$15),"")</f>
        <v>0.62770565700000003</v>
      </c>
      <c r="U15">
        <f ca="1">IFERROR(IF(0=LEN(ReferenceData!$U$15),"",ReferenceData!$U$15),"")</f>
        <v>0.68243001999999997</v>
      </c>
      <c r="V15">
        <f ca="1">IFERROR(IF(0=LEN(ReferenceData!$V$15),"",ReferenceData!$V$15),"")</f>
        <v>0.61000043400000004</v>
      </c>
      <c r="W15">
        <f ca="1">IFERROR(IF(0=LEN(ReferenceData!$W$15),"",ReferenceData!$W$15),"")</f>
        <v>0.60960360999999996</v>
      </c>
      <c r="X15">
        <f ca="1">IFERROR(IF(0=LEN(ReferenceData!$X$15),"",ReferenceData!$X$15),"")</f>
        <v>1.333881461</v>
      </c>
      <c r="Y15">
        <f ca="1">IFERROR(IF(0=LEN(ReferenceData!$Y$15),"",ReferenceData!$Y$15),"")</f>
        <v>1.131704034</v>
      </c>
      <c r="Z15" t="str">
        <f ca="1">IFERROR(IF(0=LEN(ReferenceData!$Z$15),"",ReferenceData!$Z$15),"")</f>
        <v/>
      </c>
      <c r="AA15" t="str">
        <f ca="1">IFERROR(IF(0=LEN(ReferenceData!$AA$15),"",ReferenceData!$AA$15),"")</f>
        <v/>
      </c>
      <c r="AB15" t="str">
        <f ca="1">IFERROR(IF(0=LEN(ReferenceData!$AB$15),"",ReferenceData!$AB$15),"")</f>
        <v/>
      </c>
      <c r="AC15" t="str">
        <f ca="1">IFERROR(IF(0=LEN(ReferenceData!$AC$15),"",ReferenceData!$AC$15),"")</f>
        <v/>
      </c>
      <c r="AD15" t="str">
        <f ca="1">IFERROR(IF(0=LEN(ReferenceData!$AD$15),"",ReferenceData!$AD$15),"")</f>
        <v/>
      </c>
      <c r="AE15" t="str">
        <f ca="1">IFERROR(IF(0=LEN(ReferenceData!$AE$15),"",ReferenceData!$AE$15),"")</f>
        <v/>
      </c>
      <c r="AF15" t="str">
        <f ca="1">IFERROR(IF(0=LEN(ReferenceData!$AF$15),"",ReferenceData!$AF$15),"")</f>
        <v/>
      </c>
      <c r="AG15" t="str">
        <f ca="1">IFERROR(IF(0=LEN(ReferenceData!$AG$15),"",ReferenceData!$AG$15),"")</f>
        <v/>
      </c>
      <c r="AH15" t="str">
        <f ca="1">IFERROR(IF(0=LEN(ReferenceData!$AH$15),"",ReferenceData!$AH$15),"")</f>
        <v/>
      </c>
      <c r="AI15" t="str">
        <f ca="1">IFERROR(IF(0=LEN(ReferenceData!$AI$15),"",ReferenceData!$AI$15),"")</f>
        <v/>
      </c>
      <c r="AJ15" t="str">
        <f ca="1">IFERROR(IF(0=LEN(ReferenceData!$AJ$15),"",ReferenceData!$AJ$15),"")</f>
        <v/>
      </c>
      <c r="AK15" t="str">
        <f ca="1">IFERROR(IF(0=LEN(ReferenceData!$AK$15),"",ReferenceData!$AK$15),"")</f>
        <v/>
      </c>
      <c r="AL15" t="str">
        <f ca="1">IFERROR(IF(0=LEN(ReferenceData!$AL$15),"",ReferenceData!$AL$15),"")</f>
        <v/>
      </c>
      <c r="AM15" t="str">
        <f ca="1">IFERROR(IF(0=LEN(ReferenceData!$AM$15),"",ReferenceData!$AM$15),"")</f>
        <v/>
      </c>
      <c r="AN15" t="str">
        <f ca="1">IFERROR(IF(0=LEN(ReferenceData!$AN$15),"",ReferenceData!$AN$15),"")</f>
        <v/>
      </c>
      <c r="AO15" t="str">
        <f ca="1">IFERROR(IF(0=LEN(ReferenceData!$AO$15),"",ReferenceData!$AO$15),"")</f>
        <v/>
      </c>
      <c r="AP15" t="str">
        <f ca="1">IFERROR(IF(0=LEN(ReferenceData!$AP$15),"",ReferenceData!$AP$15),"")</f>
        <v/>
      </c>
      <c r="AQ15" t="str">
        <f ca="1">IFERROR(IF(0=LEN(ReferenceData!$AQ$15),"",ReferenceData!$AQ$15),"")</f>
        <v/>
      </c>
      <c r="AR15" t="str">
        <f ca="1">IFERROR(IF(0=LEN(ReferenceData!$AR$15),"",ReferenceData!$AR$15),"")</f>
        <v/>
      </c>
      <c r="AS15" t="str">
        <f ca="1">IFERROR(IF(0=LEN(ReferenceData!$AS$15),"",ReferenceData!$AS$15),"")</f>
        <v/>
      </c>
      <c r="AT15" t="str">
        <f ca="1">IFERROR(IF(0=LEN(ReferenceData!$AT$15),"",ReferenceData!$AT$15),"")</f>
        <v/>
      </c>
      <c r="AU15" t="str">
        <f ca="1">IFERROR(IF(0=LEN(ReferenceData!$AU$15),"",ReferenceData!$AU$15),"")</f>
        <v/>
      </c>
      <c r="AV15" t="str">
        <f ca="1">IFERROR(IF(0=LEN(ReferenceData!$AV$15),"",ReferenceData!$AV$15),"")</f>
        <v/>
      </c>
      <c r="AW15" t="str">
        <f ca="1">IFERROR(IF(0=LEN(ReferenceData!$AW$15),"",ReferenceData!$AW$15),"")</f>
        <v/>
      </c>
      <c r="AX15" t="str">
        <f ca="1">IFERROR(IF(0=LEN(ReferenceData!$AX$15),"",ReferenceData!$AX$15),"")</f>
        <v/>
      </c>
      <c r="AY15" t="str">
        <f ca="1">IFERROR(IF(0=LEN(ReferenceData!$AY$15),"",ReferenceData!$AY$15),"")</f>
        <v/>
      </c>
      <c r="AZ15" t="str">
        <f ca="1">IFERROR(IF(0=LEN(ReferenceData!$AZ$15),"",ReferenceData!$AZ$15),"")</f>
        <v/>
      </c>
      <c r="BA15" t="str">
        <f ca="1">IFERROR(IF(0=LEN(ReferenceData!$BA$15),"",ReferenceData!$BA$15),"")</f>
        <v/>
      </c>
      <c r="BB15" t="str">
        <f ca="1">IFERROR(IF(0=LEN(ReferenceData!$BB$15),"",ReferenceData!$BB$15),"")</f>
        <v/>
      </c>
      <c r="BC15" t="str">
        <f ca="1">IFERROR(IF(0=LEN(ReferenceData!$BC$15),"",ReferenceData!$BC$15),"")</f>
        <v/>
      </c>
      <c r="BD15" t="str">
        <f ca="1">IFERROR(IF(0=LEN(ReferenceData!$BD$15),"",ReferenceData!$BD$15),"")</f>
        <v/>
      </c>
      <c r="BE15" t="str">
        <f ca="1">IFERROR(IF(0=LEN(ReferenceData!$BE$15),"",ReferenceData!$BE$15),"")</f>
        <v/>
      </c>
      <c r="BF15" t="str">
        <f ca="1">IFERROR(IF(0=LEN(ReferenceData!$BF$15),"",ReferenceData!$BF$15),"")</f>
        <v/>
      </c>
      <c r="BG15" t="str">
        <f ca="1">IFERROR(IF(0=LEN(ReferenceData!$BG$15),"",ReferenceData!$BG$15),"")</f>
        <v/>
      </c>
      <c r="BH15" t="str">
        <f ca="1">IFERROR(IF(0=LEN(ReferenceData!$BH$15),"",ReferenceData!$BH$15),"")</f>
        <v/>
      </c>
      <c r="BI15" t="str">
        <f ca="1">IFERROR(IF(0=LEN(ReferenceData!$BI$15),"",ReferenceData!$BI$15),"")</f>
        <v/>
      </c>
      <c r="BJ15" t="str">
        <f ca="1">IFERROR(IF(0=LEN(ReferenceData!$BJ$15),"",ReferenceData!$BJ$15),"")</f>
        <v/>
      </c>
      <c r="BK15" t="str">
        <f ca="1">IFERROR(IF(0=LEN(ReferenceData!$BK$15),"",ReferenceData!$BK$15),"")</f>
        <v/>
      </c>
      <c r="BL15" t="str">
        <f ca="1">IFERROR(IF(0=LEN(ReferenceData!$BL$15),"",ReferenceData!$BL$15),"")</f>
        <v/>
      </c>
      <c r="BM15" t="str">
        <f ca="1">IFERROR(IF(0=LEN(ReferenceData!$BM$15),"",ReferenceData!$BM$15),"")</f>
        <v/>
      </c>
    </row>
    <row r="16" spans="1:65" x14ac:dyDescent="0.25">
      <c r="A16" t="str">
        <f>IFERROR(IF(0=LEN(ReferenceData!$A$16),"",ReferenceData!$A$16),"")</f>
        <v xml:space="preserve">    Ford Motor Co</v>
      </c>
      <c r="B16" t="str">
        <f>IFERROR(IF(0=LEN(ReferenceData!$B$16),"",ReferenceData!$B$16),"")</f>
        <v>F US Equity</v>
      </c>
      <c r="C16" t="str">
        <f>IFERROR(IF(0=LEN(ReferenceData!$C$16),"",ReferenceData!$C$16),"")</f>
        <v>RR844</v>
      </c>
      <c r="D16" t="str">
        <f>IFERROR(IF(0=LEN(ReferenceData!$D$16),"",ReferenceData!$D$16),"")</f>
        <v>T12M_DIL_EPS_CONT_OPS</v>
      </c>
      <c r="E16" t="str">
        <f>IFERROR(IF(0=LEN(ReferenceData!$E$16),"",ReferenceData!$E$16),"")</f>
        <v>Dynamic</v>
      </c>
      <c r="F16" t="str">
        <f ca="1">IFERROR(IF(0=LEN(ReferenceData!$F$16),"",ReferenceData!$F$16),"")</f>
        <v/>
      </c>
      <c r="G16">
        <f ca="1">IFERROR(IF(0=LEN(ReferenceData!$G$16),"",ReferenceData!$G$16),"")</f>
        <v>1.26701</v>
      </c>
      <c r="H16">
        <f ca="1">IFERROR(IF(0=LEN(ReferenceData!$H$16),"",ReferenceData!$H$16),"")</f>
        <v>1.274459</v>
      </c>
      <c r="I16">
        <f ca="1">IFERROR(IF(0=LEN(ReferenceData!$I$16),"",ReferenceData!$I$16),"")</f>
        <v>1.40083</v>
      </c>
      <c r="J16">
        <f ca="1">IFERROR(IF(0=LEN(ReferenceData!$J$16),"",ReferenceData!$J$16),"")</f>
        <v>1.6850419999999999</v>
      </c>
      <c r="K16">
        <f ca="1">IFERROR(IF(0=LEN(ReferenceData!$K$16),"",ReferenceData!$K$16),"")</f>
        <v>1.648037</v>
      </c>
      <c r="L16">
        <f ca="1">IFERROR(IF(0=LEN(ReferenceData!$L$16),"",ReferenceData!$L$16),"")</f>
        <v>1.620692</v>
      </c>
      <c r="M16">
        <f ca="1">IFERROR(IF(0=LEN(ReferenceData!$M$16),"",ReferenceData!$M$16),"")</f>
        <v>1.4449419999999999</v>
      </c>
      <c r="N16">
        <f ca="1">IFERROR(IF(0=LEN(ReferenceData!$N$16),"",ReferenceData!$N$16),"")</f>
        <v>1.4053020000000001</v>
      </c>
      <c r="O16">
        <f ca="1">IFERROR(IF(0=LEN(ReferenceData!$O$16),"",ReferenceData!$O$16),"")</f>
        <v>1.647583</v>
      </c>
      <c r="P16">
        <f ca="1">IFERROR(IF(0=LEN(ReferenceData!$P$16),"",ReferenceData!$P$16),"")</f>
        <v>1.954758</v>
      </c>
      <c r="Q16">
        <f ca="1">IFERROR(IF(0=LEN(ReferenceData!$Q$16),"",ReferenceData!$Q$16),"")</f>
        <v>2.2372700000000001</v>
      </c>
      <c r="R16">
        <f ca="1">IFERROR(IF(0=LEN(ReferenceData!$R$16),"",ReferenceData!$R$16),"")</f>
        <v>2.2589540000000001</v>
      </c>
      <c r="S16">
        <f ca="1">IFERROR(IF(0=LEN(ReferenceData!$S$16),"",ReferenceData!$S$16),"")</f>
        <v>1.904857</v>
      </c>
      <c r="T16">
        <f ca="1">IFERROR(IF(0=LEN(ReferenceData!$T$16),"",ReferenceData!$T$16),"")</f>
        <v>1.962145</v>
      </c>
      <c r="U16">
        <f ca="1">IFERROR(IF(0=LEN(ReferenceData!$U$16),"",ReferenceData!$U$16),"")</f>
        <v>1.650072</v>
      </c>
      <c r="V16">
        <f ca="1">IFERROR(IF(0=LEN(ReferenceData!$V$16),"",ReferenceData!$V$16),"")</f>
        <v>1.4979150000000001</v>
      </c>
      <c r="W16">
        <f ca="1">IFERROR(IF(0=LEN(ReferenceData!$W$16),"",ReferenceData!$W$16),"")</f>
        <v>1.4647079999999999</v>
      </c>
      <c r="X16">
        <f ca="1">IFERROR(IF(0=LEN(ReferenceData!$X$16),"",ReferenceData!$X$16),"")</f>
        <v>1.605801</v>
      </c>
      <c r="Y16">
        <f ca="1">IFERROR(IF(0=LEN(ReferenceData!$Y$16),"",ReferenceData!$Y$16),"")</f>
        <v>1.7098340000000001</v>
      </c>
      <c r="Z16">
        <f ca="1">IFERROR(IF(0=LEN(ReferenceData!$Z$16),"",ReferenceData!$Z$16),"")</f>
        <v>1.6899029999999999</v>
      </c>
      <c r="AA16">
        <f ca="1">IFERROR(IF(0=LEN(ReferenceData!$AA$16),"",ReferenceData!$AA$16),"")</f>
        <v>1.833825</v>
      </c>
      <c r="AB16">
        <f ca="1">IFERROR(IF(0=LEN(ReferenceData!$AB$16),"",ReferenceData!$AB$16),"")</f>
        <v>1.4694700000000001</v>
      </c>
      <c r="AC16">
        <f ca="1">IFERROR(IF(0=LEN(ReferenceData!$AC$16),"",ReferenceData!$AC$16),"")</f>
        <v>1.4954019999999999</v>
      </c>
      <c r="AD16">
        <f ca="1">IFERROR(IF(0=LEN(ReferenceData!$AD$16),"",ReferenceData!$AD$16),"")</f>
        <v>1.454364</v>
      </c>
      <c r="AE16">
        <f ca="1">IFERROR(IF(0=LEN(ReferenceData!$AE$16),"",ReferenceData!$AE$16),"")</f>
        <v>1.441859</v>
      </c>
      <c r="AF16">
        <f ca="1">IFERROR(IF(0=LEN(ReferenceData!$AF$16),"",ReferenceData!$AF$16),"")</f>
        <v>1.269676</v>
      </c>
      <c r="AG16">
        <f ca="1">IFERROR(IF(0=LEN(ReferenceData!$AG$16),"",ReferenceData!$AG$16),"")</f>
        <v>1.3443609999999999</v>
      </c>
      <c r="AH16">
        <f ca="1">IFERROR(IF(0=LEN(ReferenceData!$AH$16),"",ReferenceData!$AH$16),"")</f>
        <v>1.6226389999999999</v>
      </c>
      <c r="AI16">
        <f ca="1">IFERROR(IF(0=LEN(ReferenceData!$AI$16),"",ReferenceData!$AI$16),"")</f>
        <v>1.863885</v>
      </c>
      <c r="AJ16">
        <f ca="1">IFERROR(IF(0=LEN(ReferenceData!$AJ$16),"",ReferenceData!$AJ$16),"")</f>
        <v>2.0212780000000001</v>
      </c>
      <c r="AK16">
        <f ca="1">IFERROR(IF(0=LEN(ReferenceData!$AK$16),"",ReferenceData!$AK$16),"")</f>
        <v>2.0337480000000001</v>
      </c>
      <c r="AL16">
        <f ca="1">IFERROR(IF(0=LEN(ReferenceData!$AL$16),"",ReferenceData!$AL$16),"")</f>
        <v>2.0657519999999998</v>
      </c>
      <c r="AM16">
        <f ca="1">IFERROR(IF(0=LEN(ReferenceData!$AM$16),"",ReferenceData!$AM$16),"")</f>
        <v>1.908496</v>
      </c>
      <c r="AN16">
        <f ca="1">IFERROR(IF(0=LEN(ReferenceData!$AN$16),"",ReferenceData!$AN$16),"")</f>
        <v>2.117715</v>
      </c>
      <c r="AO16">
        <f ca="1">IFERROR(IF(0=LEN(ReferenceData!$AO$16),"",ReferenceData!$AO$16),"")</f>
        <v>1.9108970000000001</v>
      </c>
      <c r="AP16">
        <f ca="1">IFERROR(IF(0=LEN(ReferenceData!$AP$16),"",ReferenceData!$AP$16),"")</f>
        <v>1.0155149999999999</v>
      </c>
      <c r="AQ16">
        <f ca="1">IFERROR(IF(0=LEN(ReferenceData!$AQ$16),"",ReferenceData!$AQ$16),"")</f>
        <v>-0.196882</v>
      </c>
      <c r="AR16">
        <f ca="1">IFERROR(IF(0=LEN(ReferenceData!$AR$16),"",ReferenceData!$AR$16),"")</f>
        <v>-2.6653790000000002</v>
      </c>
      <c r="AS16">
        <f ca="1">IFERROR(IF(0=LEN(ReferenceData!$AS$16),"",ReferenceData!$AS$16),"")</f>
        <v>-4.229895</v>
      </c>
      <c r="AT16">
        <f ca="1">IFERROR(IF(0=LEN(ReferenceData!$AT$16),"",ReferenceData!$AT$16),"")</f>
        <v>-4.6042639999999997</v>
      </c>
      <c r="AU16">
        <f ca="1">IFERROR(IF(0=LEN(ReferenceData!$AU$16),"",ReferenceData!$AU$16),"")</f>
        <v>-3.83</v>
      </c>
      <c r="AV16">
        <f ca="1">IFERROR(IF(0=LEN(ReferenceData!$AV$16),"",ReferenceData!$AV$16),"")</f>
        <v>-2.15</v>
      </c>
      <c r="AW16">
        <f ca="1">IFERROR(IF(0=LEN(ReferenceData!$AW$16),"",ReferenceData!$AW$16),"")</f>
        <v>-0.84</v>
      </c>
      <c r="AX16">
        <f ca="1">IFERROR(IF(0=LEN(ReferenceData!$AX$16),"",ReferenceData!$AX$16),"")</f>
        <v>-0.08</v>
      </c>
      <c r="AY16">
        <f ca="1">IFERROR(IF(0=LEN(ReferenceData!$AY$16),"",ReferenceData!$AY$16),"")</f>
        <v>-0.22</v>
      </c>
      <c r="AZ16">
        <f ca="1">IFERROR(IF(0=LEN(ReferenceData!$AZ$16),"",ReferenceData!$AZ$16),"")</f>
        <v>-1.02</v>
      </c>
      <c r="BA16">
        <f ca="1">IFERROR(IF(0=LEN(ReferenceData!$BA$16),"",ReferenceData!$BA$16),"")</f>
        <v>-1.46</v>
      </c>
      <c r="BB16">
        <f ca="1">IFERROR(IF(0=LEN(ReferenceData!$BB$16),"",ReferenceData!$BB$16),"")</f>
        <v>-1.64</v>
      </c>
      <c r="BC16">
        <f ca="1">IFERROR(IF(0=LEN(ReferenceData!$BC$16),"",ReferenceData!$BC$16),"")</f>
        <v>-1.5</v>
      </c>
      <c r="BD16">
        <f ca="1">IFERROR(IF(0=LEN(ReferenceData!$BD$16),"",ReferenceData!$BD$16),"")</f>
        <v>-0.19</v>
      </c>
      <c r="BE16">
        <f ca="1">IFERROR(IF(0=LEN(ReferenceData!$BE$16),"",ReferenceData!$BE$16),"")</f>
        <v>0.01</v>
      </c>
      <c r="BF16">
        <f ca="1">IFERROR(IF(0=LEN(ReferenceData!$BF$16),"",ReferenceData!$BF$16),"")</f>
        <v>0.53</v>
      </c>
      <c r="BG16">
        <f ca="1">IFERROR(IF(0=LEN(ReferenceData!$BG$16),"",ReferenceData!$BG$16),"")</f>
        <v>0.97</v>
      </c>
      <c r="BH16">
        <f ca="1">IFERROR(IF(0=LEN(ReferenceData!$BH$16),"",ReferenceData!$BH$16),"")</f>
        <v>0.97</v>
      </c>
      <c r="BI16">
        <f ca="1">IFERROR(IF(0=LEN(ReferenceData!$BI$16),"",ReferenceData!$BI$16),"")</f>
        <v>1.49</v>
      </c>
      <c r="BJ16">
        <f ca="1">IFERROR(IF(0=LEN(ReferenceData!$BJ$16),"",ReferenceData!$BJ$16),"")</f>
        <v>1.63</v>
      </c>
      <c r="BK16">
        <f ca="1">IFERROR(IF(0=LEN(ReferenceData!$BK$16),"",ReferenceData!$BK$16),"")</f>
        <v>2.11</v>
      </c>
      <c r="BL16">
        <f ca="1">IFERROR(IF(0=LEN(ReferenceData!$BL$16),"",ReferenceData!$BL$16),"")</f>
        <v>2.5249999999999999</v>
      </c>
      <c r="BM16">
        <f ca="1">IFERROR(IF(0=LEN(ReferenceData!$BM$16),"",ReferenceData!$BM$16),"")</f>
        <v>2.3849999999999998</v>
      </c>
    </row>
    <row r="17" spans="1:65" x14ac:dyDescent="0.25">
      <c r="A17" t="str">
        <f>IFERROR(IF(0=LEN(ReferenceData!$A$17),"",ReferenceData!$A$17),"")</f>
        <v xml:space="preserve">    Ford Otomotiv Sanayi AS</v>
      </c>
      <c r="B17" t="str">
        <f>IFERROR(IF(0=LEN(ReferenceData!$B$17),"",ReferenceData!$B$17),"")</f>
        <v>FROTOTRY EO Equity</v>
      </c>
      <c r="C17" t="str">
        <f>IFERROR(IF(0=LEN(ReferenceData!$C$17),"",ReferenceData!$C$17),"")</f>
        <v>RR844</v>
      </c>
      <c r="D17" t="str">
        <f>IFERROR(IF(0=LEN(ReferenceData!$D$17),"",ReferenceData!$D$17),"")</f>
        <v>T12M_DIL_EPS_CONT_OPS</v>
      </c>
      <c r="E17" t="str">
        <f>IFERROR(IF(0=LEN(ReferenceData!$E$17),"",ReferenceData!$E$17),"")</f>
        <v>Dynamic</v>
      </c>
      <c r="F17" t="str">
        <f ca="1">IFERROR(IF(0=LEN(ReferenceData!$F$17),"",ReferenceData!$F$17),"")</f>
        <v/>
      </c>
      <c r="G17">
        <f ca="1">IFERROR(IF(0=LEN(ReferenceData!$G$17),"",ReferenceData!$G$17),"")</f>
        <v>1.0247283780000001</v>
      </c>
      <c r="H17">
        <f ca="1">IFERROR(IF(0=LEN(ReferenceData!$H$17),"",ReferenceData!$H$17),"")</f>
        <v>1.189596171</v>
      </c>
      <c r="I17">
        <f ca="1">IFERROR(IF(0=LEN(ReferenceData!$I$17),"",ReferenceData!$I$17),"")</f>
        <v>1.3165174610000001</v>
      </c>
      <c r="J17">
        <f ca="1">IFERROR(IF(0=LEN(ReferenceData!$J$17),"",ReferenceData!$J$17),"")</f>
        <v>1.283737406</v>
      </c>
      <c r="K17">
        <f ca="1">IFERROR(IF(0=LEN(ReferenceData!$K$17),"",ReferenceData!$K$17),"")</f>
        <v>1.167872485</v>
      </c>
      <c r="L17">
        <f ca="1">IFERROR(IF(0=LEN(ReferenceData!$L$17),"",ReferenceData!$L$17),"")</f>
        <v>1.0570302</v>
      </c>
      <c r="M17">
        <f ca="1">IFERROR(IF(0=LEN(ReferenceData!$M$17),"",ReferenceData!$M$17),"")</f>
        <v>0.96057182299999999</v>
      </c>
      <c r="N17">
        <f ca="1">IFERROR(IF(0=LEN(ReferenceData!$N$17),"",ReferenceData!$N$17),"")</f>
        <v>0.922072805</v>
      </c>
      <c r="O17">
        <f ca="1">IFERROR(IF(0=LEN(ReferenceData!$O$17),"",ReferenceData!$O$17),"")</f>
        <v>0.90800049000000005</v>
      </c>
      <c r="P17">
        <f ca="1">IFERROR(IF(0=LEN(ReferenceData!$P$17),"",ReferenceData!$P$17),"")</f>
        <v>0.90151670500000003</v>
      </c>
      <c r="Q17">
        <f ca="1">IFERROR(IF(0=LEN(ReferenceData!$Q$17),"",ReferenceData!$Q$17),"")</f>
        <v>0.88738747299999998</v>
      </c>
      <c r="R17">
        <f ca="1">IFERROR(IF(0=LEN(ReferenceData!$R$17),"",ReferenceData!$R$17),"")</f>
        <v>0.819383168</v>
      </c>
      <c r="S17">
        <f ca="1">IFERROR(IF(0=LEN(ReferenceData!$S$17),"",ReferenceData!$S$17),"")</f>
        <v>0.88714754600000001</v>
      </c>
      <c r="T17">
        <f ca="1">IFERROR(IF(0=LEN(ReferenceData!$T$17),"",ReferenceData!$T$17),"")</f>
        <v>0.75729169200000002</v>
      </c>
      <c r="U17">
        <f ca="1">IFERROR(IF(0=LEN(ReferenceData!$U$17),"",ReferenceData!$U$17),"")</f>
        <v>0.78090033800000003</v>
      </c>
      <c r="V17">
        <f ca="1">IFERROR(IF(0=LEN(ReferenceData!$V$17),"",ReferenceData!$V$17),"")</f>
        <v>0.79654776000000005</v>
      </c>
      <c r="W17">
        <f ca="1">IFERROR(IF(0=LEN(ReferenceData!$W$17),"",ReferenceData!$W$17),"")</f>
        <v>0.779142008</v>
      </c>
      <c r="X17">
        <f ca="1">IFERROR(IF(0=LEN(ReferenceData!$X$17),"",ReferenceData!$X$17),"")</f>
        <v>0.81721511899999999</v>
      </c>
      <c r="Y17">
        <f ca="1">IFERROR(IF(0=LEN(ReferenceData!$Y$17),"",ReferenceData!$Y$17),"")</f>
        <v>0.77579695699999995</v>
      </c>
      <c r="Z17">
        <f ca="1">IFERROR(IF(0=LEN(ReferenceData!$Z$17),"",ReferenceData!$Z$17),"")</f>
        <v>0.95807500999999995</v>
      </c>
      <c r="AA17">
        <f ca="1">IFERROR(IF(0=LEN(ReferenceData!$AA$17),"",ReferenceData!$AA$17),"")</f>
        <v>0.96766051099999995</v>
      </c>
      <c r="AB17">
        <f ca="1">IFERROR(IF(0=LEN(ReferenceData!$AB$17),"",ReferenceData!$AB$17),"")</f>
        <v>1.1105437279999999</v>
      </c>
      <c r="AC17">
        <f ca="1">IFERROR(IF(0=LEN(ReferenceData!$AC$17),"",ReferenceData!$AC$17),"")</f>
        <v>1.2388242759999999</v>
      </c>
      <c r="AD17">
        <f ca="1">IFERROR(IF(0=LEN(ReferenceData!$AD$17),"",ReferenceData!$AD$17),"")</f>
        <v>1.100943327</v>
      </c>
      <c r="AE17">
        <f ca="1">IFERROR(IF(0=LEN(ReferenceData!$AE$17),"",ReferenceData!$AE$17),"")</f>
        <v>1.081547086</v>
      </c>
      <c r="AF17">
        <f ca="1">IFERROR(IF(0=LEN(ReferenceData!$AF$17),"",ReferenceData!$AF$17),"")</f>
        <v>1.0013074470000001</v>
      </c>
      <c r="AG17">
        <f ca="1">IFERROR(IF(0=LEN(ReferenceData!$AG$17),"",ReferenceData!$AG$17),"")</f>
        <v>1.0558929210000001</v>
      </c>
      <c r="AH17">
        <f ca="1">IFERROR(IF(0=LEN(ReferenceData!$AH$17),"",ReferenceData!$AH$17),"")</f>
        <v>1.12917731</v>
      </c>
      <c r="AI17">
        <f ca="1">IFERROR(IF(0=LEN(ReferenceData!$AI$17),"",ReferenceData!$AI$17),"")</f>
        <v>1.1787407519999999</v>
      </c>
      <c r="AJ17">
        <f ca="1">IFERROR(IF(0=LEN(ReferenceData!$AJ$17),"",ReferenceData!$AJ$17),"")</f>
        <v>1.3201919049999999</v>
      </c>
      <c r="AK17">
        <f ca="1">IFERROR(IF(0=LEN(ReferenceData!$AK$17),"",ReferenceData!$AK$17),"")</f>
        <v>1.2483164090000001</v>
      </c>
      <c r="AL17">
        <f ca="1">IFERROR(IF(0=LEN(ReferenceData!$AL$17),"",ReferenceData!$AL$17),"")</f>
        <v>1.1340296620000001</v>
      </c>
      <c r="AM17">
        <f ca="1">IFERROR(IF(0=LEN(ReferenceData!$AM$17),"",ReferenceData!$AM$17),"")</f>
        <v>0.95552670500000003</v>
      </c>
      <c r="AN17">
        <f ca="1">IFERROR(IF(0=LEN(ReferenceData!$AN$17),"",ReferenceData!$AN$17),"")</f>
        <v>0.81736578699999995</v>
      </c>
      <c r="AO17">
        <f ca="1">IFERROR(IF(0=LEN(ReferenceData!$AO$17),"",ReferenceData!$AO$17),"")</f>
        <v>0.78237028500000005</v>
      </c>
      <c r="AP17">
        <f ca="1">IFERROR(IF(0=LEN(ReferenceData!$AP$17),"",ReferenceData!$AP$17),"")</f>
        <v>0.70304850600000002</v>
      </c>
      <c r="AQ17">
        <f ca="1">IFERROR(IF(0=LEN(ReferenceData!$AQ$17),"",ReferenceData!$AQ$17),"")</f>
        <v>0.61518467499999996</v>
      </c>
      <c r="AR17" t="str">
        <f ca="1">IFERROR(IF(0=LEN(ReferenceData!$AR$17),"",ReferenceData!$AR$17),"")</f>
        <v/>
      </c>
      <c r="AS17" t="str">
        <f ca="1">IFERROR(IF(0=LEN(ReferenceData!$AS$17),"",ReferenceData!$AS$17),"")</f>
        <v/>
      </c>
      <c r="AT17" t="str">
        <f ca="1">IFERROR(IF(0=LEN(ReferenceData!$AT$17),"",ReferenceData!$AT$17),"")</f>
        <v/>
      </c>
      <c r="AU17" t="str">
        <f ca="1">IFERROR(IF(0=LEN(ReferenceData!$AU$17),"",ReferenceData!$AU$17),"")</f>
        <v/>
      </c>
      <c r="AV17" t="str">
        <f ca="1">IFERROR(IF(0=LEN(ReferenceData!$AV$17),"",ReferenceData!$AV$17),"")</f>
        <v/>
      </c>
      <c r="AW17" t="str">
        <f ca="1">IFERROR(IF(0=LEN(ReferenceData!$AW$17),"",ReferenceData!$AW$17),"")</f>
        <v/>
      </c>
      <c r="AX17" t="str">
        <f ca="1">IFERROR(IF(0=LEN(ReferenceData!$AX$17),"",ReferenceData!$AX$17),"")</f>
        <v/>
      </c>
      <c r="AY17" t="str">
        <f ca="1">IFERROR(IF(0=LEN(ReferenceData!$AY$17),"",ReferenceData!$AY$17),"")</f>
        <v/>
      </c>
      <c r="AZ17" t="str">
        <f ca="1">IFERROR(IF(0=LEN(ReferenceData!$AZ$17),"",ReferenceData!$AZ$17),"")</f>
        <v/>
      </c>
      <c r="BA17" t="str">
        <f ca="1">IFERROR(IF(0=LEN(ReferenceData!$BA$17),"",ReferenceData!$BA$17),"")</f>
        <v/>
      </c>
      <c r="BB17" t="str">
        <f ca="1">IFERROR(IF(0=LEN(ReferenceData!$BB$17),"",ReferenceData!$BB$17),"")</f>
        <v/>
      </c>
      <c r="BC17" t="str">
        <f ca="1">IFERROR(IF(0=LEN(ReferenceData!$BC$17),"",ReferenceData!$BC$17),"")</f>
        <v/>
      </c>
      <c r="BD17" t="str">
        <f ca="1">IFERROR(IF(0=LEN(ReferenceData!$BD$17),"",ReferenceData!$BD$17),"")</f>
        <v/>
      </c>
      <c r="BE17" t="str">
        <f ca="1">IFERROR(IF(0=LEN(ReferenceData!$BE$17),"",ReferenceData!$BE$17),"")</f>
        <v/>
      </c>
      <c r="BF17" t="str">
        <f ca="1">IFERROR(IF(0=LEN(ReferenceData!$BF$17),"",ReferenceData!$BF$17),"")</f>
        <v/>
      </c>
      <c r="BG17" t="str">
        <f ca="1">IFERROR(IF(0=LEN(ReferenceData!$BG$17),"",ReferenceData!$BG$17),"")</f>
        <v/>
      </c>
      <c r="BH17" t="str">
        <f ca="1">IFERROR(IF(0=LEN(ReferenceData!$BH$17),"",ReferenceData!$BH$17),"")</f>
        <v/>
      </c>
      <c r="BI17" t="str">
        <f ca="1">IFERROR(IF(0=LEN(ReferenceData!$BI$17),"",ReferenceData!$BI$17),"")</f>
        <v/>
      </c>
      <c r="BJ17" t="str">
        <f ca="1">IFERROR(IF(0=LEN(ReferenceData!$BJ$17),"",ReferenceData!$BJ$17),"")</f>
        <v/>
      </c>
      <c r="BK17" t="str">
        <f ca="1">IFERROR(IF(0=LEN(ReferenceData!$BK$17),"",ReferenceData!$BK$17),"")</f>
        <v/>
      </c>
      <c r="BL17" t="str">
        <f ca="1">IFERROR(IF(0=LEN(ReferenceData!$BL$17),"",ReferenceData!$BL$17),"")</f>
        <v/>
      </c>
      <c r="BM17" t="str">
        <f ca="1">IFERROR(IF(0=LEN(ReferenceData!$BM$17),"",ReferenceData!$BM$17),"")</f>
        <v/>
      </c>
    </row>
    <row r="18" spans="1:65" x14ac:dyDescent="0.25">
      <c r="A18" t="str">
        <f>IFERROR(IF(0=LEN(ReferenceData!$A$18),"",ReferenceData!$A$18),"")</f>
        <v xml:space="preserve">    GAZ PJSC</v>
      </c>
      <c r="B18" t="str">
        <f>IFERROR(IF(0=LEN(ReferenceData!$B$18),"",ReferenceData!$B$18),"")</f>
        <v>GAZA RM Equity</v>
      </c>
      <c r="C18" t="str">
        <f>IFERROR(IF(0=LEN(ReferenceData!$C$18),"",ReferenceData!$C$18),"")</f>
        <v>RR844</v>
      </c>
      <c r="D18" t="str">
        <f>IFERROR(IF(0=LEN(ReferenceData!$D$18),"",ReferenceData!$D$18),"")</f>
        <v>T12M_DIL_EPS_CONT_OPS</v>
      </c>
      <c r="E18" t="str">
        <f>IFERROR(IF(0=LEN(ReferenceData!$E$18),"",ReferenceData!$E$18),"")</f>
        <v>Dynamic</v>
      </c>
      <c r="F18" t="str">
        <f ca="1">IFERROR(IF(0=LEN(ReferenceData!$F$18),"",ReferenceData!$F$18),"")</f>
        <v/>
      </c>
      <c r="G18" t="str">
        <f ca="1">IFERROR(IF(0=LEN(ReferenceData!$G$18),"",ReferenceData!$G$18),"")</f>
        <v/>
      </c>
      <c r="H18" t="str">
        <f ca="1">IFERROR(IF(0=LEN(ReferenceData!$H$18),"",ReferenceData!$H$18),"")</f>
        <v/>
      </c>
      <c r="I18" t="str">
        <f ca="1">IFERROR(IF(0=LEN(ReferenceData!$I$18),"",ReferenceData!$I$18),"")</f>
        <v/>
      </c>
      <c r="J18" t="str">
        <f ca="1">IFERROR(IF(0=LEN(ReferenceData!$J$18),"",ReferenceData!$J$18),"")</f>
        <v/>
      </c>
      <c r="K18" t="str">
        <f ca="1">IFERROR(IF(0=LEN(ReferenceData!$K$18),"",ReferenceData!$K$18),"")</f>
        <v/>
      </c>
      <c r="L18" t="str">
        <f ca="1">IFERROR(IF(0=LEN(ReferenceData!$L$18),"",ReferenceData!$L$18),"")</f>
        <v/>
      </c>
      <c r="M18" t="str">
        <f ca="1">IFERROR(IF(0=LEN(ReferenceData!$M$18),"",ReferenceData!$M$18),"")</f>
        <v/>
      </c>
      <c r="N18" t="str">
        <f ca="1">IFERROR(IF(0=LEN(ReferenceData!$N$18),"",ReferenceData!$N$18),"")</f>
        <v/>
      </c>
      <c r="O18" t="str">
        <f ca="1">IFERROR(IF(0=LEN(ReferenceData!$O$18),"",ReferenceData!$O$18),"")</f>
        <v/>
      </c>
      <c r="P18" t="str">
        <f ca="1">IFERROR(IF(0=LEN(ReferenceData!$P$18),"",ReferenceData!$P$18),"")</f>
        <v/>
      </c>
      <c r="Q18" t="str">
        <f ca="1">IFERROR(IF(0=LEN(ReferenceData!$Q$18),"",ReferenceData!$Q$18),"")</f>
        <v/>
      </c>
      <c r="R18" t="str">
        <f ca="1">IFERROR(IF(0=LEN(ReferenceData!$R$18),"",ReferenceData!$R$18),"")</f>
        <v/>
      </c>
      <c r="S18" t="str">
        <f ca="1">IFERROR(IF(0=LEN(ReferenceData!$S$18),"",ReferenceData!$S$18),"")</f>
        <v/>
      </c>
      <c r="T18" t="str">
        <f ca="1">IFERROR(IF(0=LEN(ReferenceData!$T$18),"",ReferenceData!$T$18),"")</f>
        <v/>
      </c>
      <c r="U18" t="str">
        <f ca="1">IFERROR(IF(0=LEN(ReferenceData!$U$18),"",ReferenceData!$U$18),"")</f>
        <v/>
      </c>
      <c r="V18" t="str">
        <f ca="1">IFERROR(IF(0=LEN(ReferenceData!$V$18),"",ReferenceData!$V$18),"")</f>
        <v/>
      </c>
      <c r="W18" t="str">
        <f ca="1">IFERROR(IF(0=LEN(ReferenceData!$W$18),"",ReferenceData!$W$18),"")</f>
        <v/>
      </c>
      <c r="X18" t="str">
        <f ca="1">IFERROR(IF(0=LEN(ReferenceData!$X$18),"",ReferenceData!$X$18),"")</f>
        <v/>
      </c>
      <c r="Y18" t="str">
        <f ca="1">IFERROR(IF(0=LEN(ReferenceData!$Y$18),"",ReferenceData!$Y$18),"")</f>
        <v/>
      </c>
      <c r="Z18" t="str">
        <f ca="1">IFERROR(IF(0=LEN(ReferenceData!$Z$18),"",ReferenceData!$Z$18),"")</f>
        <v/>
      </c>
      <c r="AA18" t="str">
        <f ca="1">IFERROR(IF(0=LEN(ReferenceData!$AA$18),"",ReferenceData!$AA$18),"")</f>
        <v/>
      </c>
      <c r="AB18" t="str">
        <f ca="1">IFERROR(IF(0=LEN(ReferenceData!$AB$18),"",ReferenceData!$AB$18),"")</f>
        <v/>
      </c>
      <c r="AC18" t="str">
        <f ca="1">IFERROR(IF(0=LEN(ReferenceData!$AC$18),"",ReferenceData!$AC$18),"")</f>
        <v/>
      </c>
      <c r="AD18" t="str">
        <f ca="1">IFERROR(IF(0=LEN(ReferenceData!$AD$18),"",ReferenceData!$AD$18),"")</f>
        <v/>
      </c>
      <c r="AE18" t="str">
        <f ca="1">IFERROR(IF(0=LEN(ReferenceData!$AE$18),"",ReferenceData!$AE$18),"")</f>
        <v/>
      </c>
      <c r="AF18" t="str">
        <f ca="1">IFERROR(IF(0=LEN(ReferenceData!$AF$18),"",ReferenceData!$AF$18),"")</f>
        <v/>
      </c>
      <c r="AG18" t="str">
        <f ca="1">IFERROR(IF(0=LEN(ReferenceData!$AG$18),"",ReferenceData!$AG$18),"")</f>
        <v/>
      </c>
      <c r="AH18" t="str">
        <f ca="1">IFERROR(IF(0=LEN(ReferenceData!$AH$18),"",ReferenceData!$AH$18),"")</f>
        <v/>
      </c>
      <c r="AI18" t="str">
        <f ca="1">IFERROR(IF(0=LEN(ReferenceData!$AI$18),"",ReferenceData!$AI$18),"")</f>
        <v/>
      </c>
      <c r="AJ18" t="str">
        <f ca="1">IFERROR(IF(0=LEN(ReferenceData!$AJ$18),"",ReferenceData!$AJ$18),"")</f>
        <v/>
      </c>
      <c r="AK18" t="str">
        <f ca="1">IFERROR(IF(0=LEN(ReferenceData!$AK$18),"",ReferenceData!$AK$18),"")</f>
        <v/>
      </c>
      <c r="AL18" t="str">
        <f ca="1">IFERROR(IF(0=LEN(ReferenceData!$AL$18),"",ReferenceData!$AL$18),"")</f>
        <v/>
      </c>
      <c r="AM18" t="str">
        <f ca="1">IFERROR(IF(0=LEN(ReferenceData!$AM$18),"",ReferenceData!$AM$18),"")</f>
        <v/>
      </c>
      <c r="AN18" t="str">
        <f ca="1">IFERROR(IF(0=LEN(ReferenceData!$AN$18),"",ReferenceData!$AN$18),"")</f>
        <v/>
      </c>
      <c r="AO18" t="str">
        <f ca="1">IFERROR(IF(0=LEN(ReferenceData!$AO$18),"",ReferenceData!$AO$18),"")</f>
        <v/>
      </c>
      <c r="AP18" t="str">
        <f ca="1">IFERROR(IF(0=LEN(ReferenceData!$AP$18),"",ReferenceData!$AP$18),"")</f>
        <v/>
      </c>
      <c r="AQ18" t="str">
        <f ca="1">IFERROR(IF(0=LEN(ReferenceData!$AQ$18),"",ReferenceData!$AQ$18),"")</f>
        <v/>
      </c>
      <c r="AR18" t="str">
        <f ca="1">IFERROR(IF(0=LEN(ReferenceData!$AR$18),"",ReferenceData!$AR$18),"")</f>
        <v/>
      </c>
      <c r="AS18" t="str">
        <f ca="1">IFERROR(IF(0=LEN(ReferenceData!$AS$18),"",ReferenceData!$AS$18),"")</f>
        <v/>
      </c>
      <c r="AT18" t="str">
        <f ca="1">IFERROR(IF(0=LEN(ReferenceData!$AT$18),"",ReferenceData!$AT$18),"")</f>
        <v/>
      </c>
      <c r="AU18" t="str">
        <f ca="1">IFERROR(IF(0=LEN(ReferenceData!$AU$18),"",ReferenceData!$AU$18),"")</f>
        <v/>
      </c>
      <c r="AV18" t="str">
        <f ca="1">IFERROR(IF(0=LEN(ReferenceData!$AV$18),"",ReferenceData!$AV$18),"")</f>
        <v/>
      </c>
      <c r="AW18" t="str">
        <f ca="1">IFERROR(IF(0=LEN(ReferenceData!$AW$18),"",ReferenceData!$AW$18),"")</f>
        <v/>
      </c>
      <c r="AX18" t="str">
        <f ca="1">IFERROR(IF(0=LEN(ReferenceData!$AX$18),"",ReferenceData!$AX$18),"")</f>
        <v/>
      </c>
      <c r="AY18" t="str">
        <f ca="1">IFERROR(IF(0=LEN(ReferenceData!$AY$18),"",ReferenceData!$AY$18),"")</f>
        <v/>
      </c>
      <c r="AZ18" t="str">
        <f ca="1">IFERROR(IF(0=LEN(ReferenceData!$AZ$18),"",ReferenceData!$AZ$18),"")</f>
        <v/>
      </c>
      <c r="BA18" t="str">
        <f ca="1">IFERROR(IF(0=LEN(ReferenceData!$BA$18),"",ReferenceData!$BA$18),"")</f>
        <v/>
      </c>
      <c r="BB18" t="str">
        <f ca="1">IFERROR(IF(0=LEN(ReferenceData!$BB$18),"",ReferenceData!$BB$18),"")</f>
        <v/>
      </c>
      <c r="BC18" t="str">
        <f ca="1">IFERROR(IF(0=LEN(ReferenceData!$BC$18),"",ReferenceData!$BC$18),"")</f>
        <v/>
      </c>
      <c r="BD18" t="str">
        <f ca="1">IFERROR(IF(0=LEN(ReferenceData!$BD$18),"",ReferenceData!$BD$18),"")</f>
        <v/>
      </c>
      <c r="BE18" t="str">
        <f ca="1">IFERROR(IF(0=LEN(ReferenceData!$BE$18),"",ReferenceData!$BE$18),"")</f>
        <v/>
      </c>
      <c r="BF18" t="str">
        <f ca="1">IFERROR(IF(0=LEN(ReferenceData!$BF$18),"",ReferenceData!$BF$18),"")</f>
        <v/>
      </c>
      <c r="BG18" t="str">
        <f ca="1">IFERROR(IF(0=LEN(ReferenceData!$BG$18),"",ReferenceData!$BG$18),"")</f>
        <v/>
      </c>
      <c r="BH18" t="str">
        <f ca="1">IFERROR(IF(0=LEN(ReferenceData!$BH$18),"",ReferenceData!$BH$18),"")</f>
        <v/>
      </c>
      <c r="BI18" t="str">
        <f ca="1">IFERROR(IF(0=LEN(ReferenceData!$BI$18),"",ReferenceData!$BI$18),"")</f>
        <v/>
      </c>
      <c r="BJ18" t="str">
        <f ca="1">IFERROR(IF(0=LEN(ReferenceData!$BJ$18),"",ReferenceData!$BJ$18),"")</f>
        <v/>
      </c>
      <c r="BK18" t="str">
        <f ca="1">IFERROR(IF(0=LEN(ReferenceData!$BK$18),"",ReferenceData!$BK$18),"")</f>
        <v/>
      </c>
      <c r="BL18" t="str">
        <f ca="1">IFERROR(IF(0=LEN(ReferenceData!$BL$18),"",ReferenceData!$BL$18),"")</f>
        <v/>
      </c>
      <c r="BM18" t="str">
        <f ca="1">IFERROR(IF(0=LEN(ReferenceData!$BM$18),"",ReferenceData!$BM$18),"")</f>
        <v/>
      </c>
    </row>
    <row r="19" spans="1:65" x14ac:dyDescent="0.25">
      <c r="A19" t="str">
        <f>IFERROR(IF(0=LEN(ReferenceData!$A$19),"",ReferenceData!$A$19),"")</f>
        <v xml:space="preserve">    Geely Automobile Holdings Ltd</v>
      </c>
      <c r="B19" t="str">
        <f>IFERROR(IF(0=LEN(ReferenceData!$B$19),"",ReferenceData!$B$19),"")</f>
        <v>175 HK Equity</v>
      </c>
      <c r="C19" t="str">
        <f>IFERROR(IF(0=LEN(ReferenceData!$C$19),"",ReferenceData!$C$19),"")</f>
        <v>RR844</v>
      </c>
      <c r="D19" t="str">
        <f>IFERROR(IF(0=LEN(ReferenceData!$D$19),"",ReferenceData!$D$19),"")</f>
        <v>T12M_DIL_EPS_CONT_OPS</v>
      </c>
      <c r="E19" t="str">
        <f>IFERROR(IF(0=LEN(ReferenceData!$E$19),"",ReferenceData!$E$19),"")</f>
        <v>Dynamic</v>
      </c>
      <c r="F19" t="str">
        <f ca="1">IFERROR(IF(0=LEN(ReferenceData!$F$19),"",ReferenceData!$F$19),"")</f>
        <v/>
      </c>
      <c r="G19" t="str">
        <f ca="1">IFERROR(IF(0=LEN(ReferenceData!$G$19),"",ReferenceData!$G$19),"")</f>
        <v/>
      </c>
      <c r="H19" t="str">
        <f ca="1">IFERROR(IF(0=LEN(ReferenceData!$H$19),"",ReferenceData!$H$19),"")</f>
        <v/>
      </c>
      <c r="I19" t="str">
        <f ca="1">IFERROR(IF(0=LEN(ReferenceData!$I$19),"",ReferenceData!$I$19),"")</f>
        <v/>
      </c>
      <c r="J19" t="str">
        <f ca="1">IFERROR(IF(0=LEN(ReferenceData!$J$19),"",ReferenceData!$J$19),"")</f>
        <v/>
      </c>
      <c r="K19" t="str">
        <f ca="1">IFERROR(IF(0=LEN(ReferenceData!$K$19),"",ReferenceData!$K$19),"")</f>
        <v/>
      </c>
      <c r="L19" t="str">
        <f ca="1">IFERROR(IF(0=LEN(ReferenceData!$L$19),"",ReferenceData!$L$19),"")</f>
        <v/>
      </c>
      <c r="M19" t="str">
        <f ca="1">IFERROR(IF(0=LEN(ReferenceData!$M$19),"",ReferenceData!$M$19),"")</f>
        <v/>
      </c>
      <c r="N19" t="str">
        <f ca="1">IFERROR(IF(0=LEN(ReferenceData!$N$19),"",ReferenceData!$N$19),"")</f>
        <v/>
      </c>
      <c r="O19" t="str">
        <f ca="1">IFERROR(IF(0=LEN(ReferenceData!$O$19),"",ReferenceData!$O$19),"")</f>
        <v/>
      </c>
      <c r="P19" t="str">
        <f ca="1">IFERROR(IF(0=LEN(ReferenceData!$P$19),"",ReferenceData!$P$19),"")</f>
        <v/>
      </c>
      <c r="Q19" t="str">
        <f ca="1">IFERROR(IF(0=LEN(ReferenceData!$Q$19),"",ReferenceData!$Q$19),"")</f>
        <v/>
      </c>
      <c r="R19" t="str">
        <f ca="1">IFERROR(IF(0=LEN(ReferenceData!$R$19),"",ReferenceData!$R$19),"")</f>
        <v/>
      </c>
      <c r="S19" t="str">
        <f ca="1">IFERROR(IF(0=LEN(ReferenceData!$S$19),"",ReferenceData!$S$19),"")</f>
        <v/>
      </c>
      <c r="T19" t="str">
        <f ca="1">IFERROR(IF(0=LEN(ReferenceData!$T$19),"",ReferenceData!$T$19),"")</f>
        <v/>
      </c>
      <c r="U19" t="str">
        <f ca="1">IFERROR(IF(0=LEN(ReferenceData!$U$19),"",ReferenceData!$U$19),"")</f>
        <v/>
      </c>
      <c r="V19" t="str">
        <f ca="1">IFERROR(IF(0=LEN(ReferenceData!$V$19),"",ReferenceData!$V$19),"")</f>
        <v/>
      </c>
      <c r="W19" t="str">
        <f ca="1">IFERROR(IF(0=LEN(ReferenceData!$W$19),"",ReferenceData!$W$19),"")</f>
        <v/>
      </c>
      <c r="X19" t="str">
        <f ca="1">IFERROR(IF(0=LEN(ReferenceData!$X$19),"",ReferenceData!$X$19),"")</f>
        <v/>
      </c>
      <c r="Y19" t="str">
        <f ca="1">IFERROR(IF(0=LEN(ReferenceData!$Y$19),"",ReferenceData!$Y$19),"")</f>
        <v/>
      </c>
      <c r="Z19" t="str">
        <f ca="1">IFERROR(IF(0=LEN(ReferenceData!$Z$19),"",ReferenceData!$Z$19),"")</f>
        <v/>
      </c>
      <c r="AA19" t="str">
        <f ca="1">IFERROR(IF(0=LEN(ReferenceData!$AA$19),"",ReferenceData!$AA$19),"")</f>
        <v/>
      </c>
      <c r="AB19" t="str">
        <f ca="1">IFERROR(IF(0=LEN(ReferenceData!$AB$19),"",ReferenceData!$AB$19),"")</f>
        <v/>
      </c>
      <c r="AC19" t="str">
        <f ca="1">IFERROR(IF(0=LEN(ReferenceData!$AC$19),"",ReferenceData!$AC$19),"")</f>
        <v/>
      </c>
      <c r="AD19" t="str">
        <f ca="1">IFERROR(IF(0=LEN(ReferenceData!$AD$19),"",ReferenceData!$AD$19),"")</f>
        <v/>
      </c>
      <c r="AE19" t="str">
        <f ca="1">IFERROR(IF(0=LEN(ReferenceData!$AE$19),"",ReferenceData!$AE$19),"")</f>
        <v/>
      </c>
      <c r="AF19" t="str">
        <f ca="1">IFERROR(IF(0=LEN(ReferenceData!$AF$19),"",ReferenceData!$AF$19),"")</f>
        <v/>
      </c>
      <c r="AG19" t="str">
        <f ca="1">IFERROR(IF(0=LEN(ReferenceData!$AG$19),"",ReferenceData!$AG$19),"")</f>
        <v/>
      </c>
      <c r="AH19" t="str">
        <f ca="1">IFERROR(IF(0=LEN(ReferenceData!$AH$19),"",ReferenceData!$AH$19),"")</f>
        <v/>
      </c>
      <c r="AI19" t="str">
        <f ca="1">IFERROR(IF(0=LEN(ReferenceData!$AI$19),"",ReferenceData!$AI$19),"")</f>
        <v/>
      </c>
      <c r="AJ19" t="str">
        <f ca="1">IFERROR(IF(0=LEN(ReferenceData!$AJ$19),"",ReferenceData!$AJ$19),"")</f>
        <v/>
      </c>
      <c r="AK19" t="str">
        <f ca="1">IFERROR(IF(0=LEN(ReferenceData!$AK$19),"",ReferenceData!$AK$19),"")</f>
        <v/>
      </c>
      <c r="AL19" t="str">
        <f ca="1">IFERROR(IF(0=LEN(ReferenceData!$AL$19),"",ReferenceData!$AL$19),"")</f>
        <v/>
      </c>
      <c r="AM19" t="str">
        <f ca="1">IFERROR(IF(0=LEN(ReferenceData!$AM$19),"",ReferenceData!$AM$19),"")</f>
        <v/>
      </c>
      <c r="AN19" t="str">
        <f ca="1">IFERROR(IF(0=LEN(ReferenceData!$AN$19),"",ReferenceData!$AN$19),"")</f>
        <v/>
      </c>
      <c r="AO19" t="str">
        <f ca="1">IFERROR(IF(0=LEN(ReferenceData!$AO$19),"",ReferenceData!$AO$19),"")</f>
        <v/>
      </c>
      <c r="AP19" t="str">
        <f ca="1">IFERROR(IF(0=LEN(ReferenceData!$AP$19),"",ReferenceData!$AP$19),"")</f>
        <v/>
      </c>
      <c r="AQ19" t="str">
        <f ca="1">IFERROR(IF(0=LEN(ReferenceData!$AQ$19),"",ReferenceData!$AQ$19),"")</f>
        <v/>
      </c>
      <c r="AR19" t="str">
        <f ca="1">IFERROR(IF(0=LEN(ReferenceData!$AR$19),"",ReferenceData!$AR$19),"")</f>
        <v/>
      </c>
      <c r="AS19" t="str">
        <f ca="1">IFERROR(IF(0=LEN(ReferenceData!$AS$19),"",ReferenceData!$AS$19),"")</f>
        <v/>
      </c>
      <c r="AT19" t="str">
        <f ca="1">IFERROR(IF(0=LEN(ReferenceData!$AT$19),"",ReferenceData!$AT$19),"")</f>
        <v/>
      </c>
      <c r="AU19" t="str">
        <f ca="1">IFERROR(IF(0=LEN(ReferenceData!$AU$19),"",ReferenceData!$AU$19),"")</f>
        <v/>
      </c>
      <c r="AV19" t="str">
        <f ca="1">IFERROR(IF(0=LEN(ReferenceData!$AV$19),"",ReferenceData!$AV$19),"")</f>
        <v/>
      </c>
      <c r="AW19" t="str">
        <f ca="1">IFERROR(IF(0=LEN(ReferenceData!$AW$19),"",ReferenceData!$AW$19),"")</f>
        <v/>
      </c>
      <c r="AX19" t="str">
        <f ca="1">IFERROR(IF(0=LEN(ReferenceData!$AX$19),"",ReferenceData!$AX$19),"")</f>
        <v/>
      </c>
      <c r="AY19" t="str">
        <f ca="1">IFERROR(IF(0=LEN(ReferenceData!$AY$19),"",ReferenceData!$AY$19),"")</f>
        <v/>
      </c>
      <c r="AZ19" t="str">
        <f ca="1">IFERROR(IF(0=LEN(ReferenceData!$AZ$19),"",ReferenceData!$AZ$19),"")</f>
        <v/>
      </c>
      <c r="BA19" t="str">
        <f ca="1">IFERROR(IF(0=LEN(ReferenceData!$BA$19),"",ReferenceData!$BA$19),"")</f>
        <v/>
      </c>
      <c r="BB19" t="str">
        <f ca="1">IFERROR(IF(0=LEN(ReferenceData!$BB$19),"",ReferenceData!$BB$19),"")</f>
        <v/>
      </c>
      <c r="BC19" t="str">
        <f ca="1">IFERROR(IF(0=LEN(ReferenceData!$BC$19),"",ReferenceData!$BC$19),"")</f>
        <v/>
      </c>
      <c r="BD19" t="str">
        <f ca="1">IFERROR(IF(0=LEN(ReferenceData!$BD$19),"",ReferenceData!$BD$19),"")</f>
        <v/>
      </c>
      <c r="BE19" t="str">
        <f ca="1">IFERROR(IF(0=LEN(ReferenceData!$BE$19),"",ReferenceData!$BE$19),"")</f>
        <v/>
      </c>
      <c r="BF19" t="str">
        <f ca="1">IFERROR(IF(0=LEN(ReferenceData!$BF$19),"",ReferenceData!$BF$19),"")</f>
        <v/>
      </c>
      <c r="BG19" t="str">
        <f ca="1">IFERROR(IF(0=LEN(ReferenceData!$BG$19),"",ReferenceData!$BG$19),"")</f>
        <v/>
      </c>
      <c r="BH19" t="str">
        <f ca="1">IFERROR(IF(0=LEN(ReferenceData!$BH$19),"",ReferenceData!$BH$19),"")</f>
        <v/>
      </c>
      <c r="BI19" t="str">
        <f ca="1">IFERROR(IF(0=LEN(ReferenceData!$BI$19),"",ReferenceData!$BI$19),"")</f>
        <v/>
      </c>
      <c r="BJ19" t="str">
        <f ca="1">IFERROR(IF(0=LEN(ReferenceData!$BJ$19),"",ReferenceData!$BJ$19),"")</f>
        <v/>
      </c>
      <c r="BK19" t="str">
        <f ca="1">IFERROR(IF(0=LEN(ReferenceData!$BK$19),"",ReferenceData!$BK$19),"")</f>
        <v/>
      </c>
      <c r="BL19" t="str">
        <f ca="1">IFERROR(IF(0=LEN(ReferenceData!$BL$19),"",ReferenceData!$BL$19),"")</f>
        <v/>
      </c>
      <c r="BM19" t="str">
        <f ca="1">IFERROR(IF(0=LEN(ReferenceData!$BM$19),"",ReferenceData!$BM$19),"")</f>
        <v/>
      </c>
    </row>
    <row r="20" spans="1:65" x14ac:dyDescent="0.25">
      <c r="A20" t="str">
        <f>IFERROR(IF(0=LEN(ReferenceData!$A$20),"",ReferenceData!$A$20),"")</f>
        <v xml:space="preserve">    General Motors Co</v>
      </c>
      <c r="B20" t="str">
        <f>IFERROR(IF(0=LEN(ReferenceData!$B$20),"",ReferenceData!$B$20),"")</f>
        <v>GM US Equity</v>
      </c>
      <c r="C20" t="str">
        <f>IFERROR(IF(0=LEN(ReferenceData!$C$20),"",ReferenceData!$C$20),"")</f>
        <v>RR844</v>
      </c>
      <c r="D20" t="str">
        <f>IFERROR(IF(0=LEN(ReferenceData!$D$20),"",ReferenceData!$D$20),"")</f>
        <v>T12M_DIL_EPS_CONT_OPS</v>
      </c>
      <c r="E20" t="str">
        <f>IFERROR(IF(0=LEN(ReferenceData!$E$20),"",ReferenceData!$E$20),"")</f>
        <v>Dynamic</v>
      </c>
      <c r="F20" t="str">
        <f ca="1">IFERROR(IF(0=LEN(ReferenceData!$F$20),"",ReferenceData!$F$20),"")</f>
        <v/>
      </c>
      <c r="G20">
        <f ca="1">IFERROR(IF(0=LEN(ReferenceData!$G$20),"",ReferenceData!$G$20),"")</f>
        <v>7.4303679999999996</v>
      </c>
      <c r="H20">
        <f ca="1">IFERROR(IF(0=LEN(ReferenceData!$H$20),"",ReferenceData!$H$20),"")</f>
        <v>7.3074700000000004</v>
      </c>
      <c r="I20">
        <f ca="1">IFERROR(IF(0=LEN(ReferenceData!$I$20),"",ReferenceData!$I$20),"")</f>
        <v>6.760815</v>
      </c>
      <c r="J20">
        <f ca="1">IFERROR(IF(0=LEN(ReferenceData!$J$20),"",ReferenceData!$J$20),"")</f>
        <v>6.926628</v>
      </c>
      <c r="K20">
        <f ca="1">IFERROR(IF(0=LEN(ReferenceData!$K$20),"",ReferenceData!$K$20),"")</f>
        <v>6.9894119999999997</v>
      </c>
      <c r="L20">
        <f ca="1">IFERROR(IF(0=LEN(ReferenceData!$L$20),"",ReferenceData!$L$20),"")</f>
        <v>6.6226890000000003</v>
      </c>
      <c r="M20">
        <f ca="1">IFERROR(IF(0=LEN(ReferenceData!$M$20),"",ReferenceData!$M$20),"")</f>
        <v>7.0115610000000004</v>
      </c>
      <c r="N20">
        <f ca="1">IFERROR(IF(0=LEN(ReferenceData!$N$20),"",ReferenceData!$N$20),"")</f>
        <v>6.8423670000000003</v>
      </c>
      <c r="O20">
        <f ca="1">IFERROR(IF(0=LEN(ReferenceData!$O$20),"",ReferenceData!$O$20),"")</f>
        <v>6.4956719999999999</v>
      </c>
      <c r="P20">
        <f ca="1">IFERROR(IF(0=LEN(ReferenceData!$P$20),"",ReferenceData!$P$20),"")</f>
        <v>6.7616589999999999</v>
      </c>
      <c r="Q20">
        <f ca="1">IFERROR(IF(0=LEN(ReferenceData!$Q$20),"",ReferenceData!$Q$20),"")</f>
        <v>6.7122019999999996</v>
      </c>
      <c r="R20">
        <f ca="1">IFERROR(IF(0=LEN(ReferenceData!$R$20),"",ReferenceData!$R$20),"")</f>
        <v>5.9927169999999998</v>
      </c>
      <c r="S20">
        <f ca="1">IFERROR(IF(0=LEN(ReferenceData!$S$20),"",ReferenceData!$S$20),"")</f>
        <v>5.3513859999999998</v>
      </c>
      <c r="T20">
        <f ca="1">IFERROR(IF(0=LEN(ReferenceData!$T$20),"",ReferenceData!$T$20),"")</f>
        <v>2.982793</v>
      </c>
      <c r="U20">
        <f ca="1">IFERROR(IF(0=LEN(ReferenceData!$U$20),"",ReferenceData!$U$20),"")</f>
        <v>2.4280740000000001</v>
      </c>
      <c r="V20">
        <f ca="1">IFERROR(IF(0=LEN(ReferenceData!$V$20),"",ReferenceData!$V$20),"")</f>
        <v>1.9151590000000001</v>
      </c>
      <c r="W20">
        <f ca="1">IFERROR(IF(0=LEN(ReferenceData!$W$20),"",ReferenceData!$W$20),"")</f>
        <v>1.877723</v>
      </c>
      <c r="X20">
        <f ca="1">IFERROR(IF(0=LEN(ReferenceData!$X$20),"",ReferenceData!$X$20),"")</f>
        <v>3.3921260000000002</v>
      </c>
      <c r="Y20">
        <f ca="1">IFERROR(IF(0=LEN(ReferenceData!$Y$20),"",ReferenceData!$Y$20),"")</f>
        <v>2.7440479999999998</v>
      </c>
      <c r="Z20">
        <f ca="1">IFERROR(IF(0=LEN(ReferenceData!$Z$20),"",ReferenceData!$Z$20),"")</f>
        <v>3.1437970000000002</v>
      </c>
      <c r="AA20">
        <f ca="1">IFERROR(IF(0=LEN(ReferenceData!$AA$20),"",ReferenceData!$AA$20),"")</f>
        <v>3.1930700000000001</v>
      </c>
      <c r="AB20">
        <f ca="1">IFERROR(IF(0=LEN(ReferenceData!$AB$20),"",ReferenceData!$AB$20),"")</f>
        <v>2.8084060000000002</v>
      </c>
      <c r="AC20">
        <f ca="1">IFERROR(IF(0=LEN(ReferenceData!$AC$20),"",ReferenceData!$AC$20),"")</f>
        <v>3.2441589999999998</v>
      </c>
      <c r="AD20">
        <f ca="1">IFERROR(IF(0=LEN(ReferenceData!$AD$20),"",ReferenceData!$AD$20),"")</f>
        <v>3.340179</v>
      </c>
      <c r="AE20">
        <f ca="1">IFERROR(IF(0=LEN(ReferenceData!$AE$20),"",ReferenceData!$AE$20),"")</f>
        <v>3.5709040000000001</v>
      </c>
      <c r="AF20">
        <f ca="1">IFERROR(IF(0=LEN(ReferenceData!$AF$20),"",ReferenceData!$AF$20),"")</f>
        <v>3.2459199999999999</v>
      </c>
      <c r="AG20">
        <f ca="1">IFERROR(IF(0=LEN(ReferenceData!$AG$20),"",ReferenceData!$AG$20),"")</f>
        <v>3.4445269999999999</v>
      </c>
      <c r="AH20">
        <f ca="1">IFERROR(IF(0=LEN(ReferenceData!$AH$20),"",ReferenceData!$AH$20),"")</f>
        <v>3.9634490000000002</v>
      </c>
      <c r="AI20">
        <f ca="1">IFERROR(IF(0=LEN(ReferenceData!$AI$20),"",ReferenceData!$AI$20),"")</f>
        <v>4.3092160000000002</v>
      </c>
      <c r="AJ20">
        <f ca="1">IFERROR(IF(0=LEN(ReferenceData!$AJ$20),"",ReferenceData!$AJ$20),"")</f>
        <v>4.3332699999999997</v>
      </c>
      <c r="AK20">
        <f ca="1">IFERROR(IF(0=LEN(ReferenceData!$AK$20),"",ReferenceData!$AK$20),"")</f>
        <v>4.5525690000000001</v>
      </c>
      <c r="AL20">
        <f ca="1">IFERROR(IF(0=LEN(ReferenceData!$AL$20),"",ReferenceData!$AL$20),"")</f>
        <v>3.895292</v>
      </c>
      <c r="AM20">
        <f ca="1">IFERROR(IF(0=LEN(ReferenceData!$AM$20),"",ReferenceData!$AM$20),"")</f>
        <v>3.1599140000000001</v>
      </c>
      <c r="AN20">
        <f ca="1">IFERROR(IF(0=LEN(ReferenceData!$AN$20),"",ReferenceData!$AN$20),"")</f>
        <v>-5.682334</v>
      </c>
      <c r="AO20">
        <f ca="1">IFERROR(IF(0=LEN(ReferenceData!$AO$20),"",ReferenceData!$AO$20),"")</f>
        <v>97.327089999999998</v>
      </c>
      <c r="AP20">
        <f ca="1">IFERROR(IF(0=LEN(ReferenceData!$AP$20),"",ReferenceData!$AP$20),"")</f>
        <v>80.439818000000002</v>
      </c>
      <c r="AQ20">
        <f ca="1">IFERROR(IF(0=LEN(ReferenceData!$AQ$20),"",ReferenceData!$AQ$20),"")</f>
        <v>69.988111000000004</v>
      </c>
      <c r="AR20" t="str">
        <f ca="1">IFERROR(IF(0=LEN(ReferenceData!$AR$20),"",ReferenceData!$AR$20),"")</f>
        <v/>
      </c>
      <c r="AS20" t="str">
        <f ca="1">IFERROR(IF(0=LEN(ReferenceData!$AS$20),"",ReferenceData!$AS$20),"")</f>
        <v/>
      </c>
      <c r="AT20" t="str">
        <f ca="1">IFERROR(IF(0=LEN(ReferenceData!$AT$20),"",ReferenceData!$AT$20),"")</f>
        <v/>
      </c>
      <c r="AU20" t="str">
        <f ca="1">IFERROR(IF(0=LEN(ReferenceData!$AU$20),"",ReferenceData!$AU$20),"")</f>
        <v/>
      </c>
      <c r="AV20" t="str">
        <f ca="1">IFERROR(IF(0=LEN(ReferenceData!$AV$20),"",ReferenceData!$AV$20),"")</f>
        <v/>
      </c>
      <c r="AW20" t="str">
        <f ca="1">IFERROR(IF(0=LEN(ReferenceData!$AW$20),"",ReferenceData!$AW$20),"")</f>
        <v/>
      </c>
      <c r="AX20" t="str">
        <f ca="1">IFERROR(IF(0=LEN(ReferenceData!$AX$20),"",ReferenceData!$AX$20),"")</f>
        <v/>
      </c>
      <c r="AY20" t="str">
        <f ca="1">IFERROR(IF(0=LEN(ReferenceData!$AY$20),"",ReferenceData!$AY$20),"")</f>
        <v/>
      </c>
      <c r="AZ20" t="str">
        <f ca="1">IFERROR(IF(0=LEN(ReferenceData!$AZ$20),"",ReferenceData!$AZ$20),"")</f>
        <v/>
      </c>
      <c r="BA20" t="str">
        <f ca="1">IFERROR(IF(0=LEN(ReferenceData!$BA$20),"",ReferenceData!$BA$20),"")</f>
        <v/>
      </c>
      <c r="BB20" t="str">
        <f ca="1">IFERROR(IF(0=LEN(ReferenceData!$BB$20),"",ReferenceData!$BB$20),"")</f>
        <v/>
      </c>
      <c r="BC20" t="str">
        <f ca="1">IFERROR(IF(0=LEN(ReferenceData!$BC$20),"",ReferenceData!$BC$20),"")</f>
        <v/>
      </c>
      <c r="BD20" t="str">
        <f ca="1">IFERROR(IF(0=LEN(ReferenceData!$BD$20),"",ReferenceData!$BD$20),"")</f>
        <v/>
      </c>
      <c r="BE20" t="str">
        <f ca="1">IFERROR(IF(0=LEN(ReferenceData!$BE$20),"",ReferenceData!$BE$20),"")</f>
        <v/>
      </c>
      <c r="BF20" t="str">
        <f ca="1">IFERROR(IF(0=LEN(ReferenceData!$BF$20),"",ReferenceData!$BF$20),"")</f>
        <v/>
      </c>
      <c r="BG20" t="str">
        <f ca="1">IFERROR(IF(0=LEN(ReferenceData!$BG$20),"",ReferenceData!$BG$20),"")</f>
        <v/>
      </c>
      <c r="BH20" t="str">
        <f ca="1">IFERROR(IF(0=LEN(ReferenceData!$BH$20),"",ReferenceData!$BH$20),"")</f>
        <v/>
      </c>
      <c r="BI20" t="str">
        <f ca="1">IFERROR(IF(0=LEN(ReferenceData!$BI$20),"",ReferenceData!$BI$20),"")</f>
        <v/>
      </c>
      <c r="BJ20" t="str">
        <f ca="1">IFERROR(IF(0=LEN(ReferenceData!$BJ$20),"",ReferenceData!$BJ$20),"")</f>
        <v/>
      </c>
      <c r="BK20" t="str">
        <f ca="1">IFERROR(IF(0=LEN(ReferenceData!$BK$20),"",ReferenceData!$BK$20),"")</f>
        <v/>
      </c>
      <c r="BL20" t="str">
        <f ca="1">IFERROR(IF(0=LEN(ReferenceData!$BL$20),"",ReferenceData!$BL$20),"")</f>
        <v/>
      </c>
      <c r="BM20" t="str">
        <f ca="1">IFERROR(IF(0=LEN(ReferenceData!$BM$20),"",ReferenceData!$BM$20),"")</f>
        <v/>
      </c>
    </row>
    <row r="21" spans="1:65" x14ac:dyDescent="0.25">
      <c r="A21" t="str">
        <f>IFERROR(IF(0=LEN(ReferenceData!$A$21),"",ReferenceData!$A$21),"")</f>
        <v xml:space="preserve">    Great Wall Motor Co Ltd</v>
      </c>
      <c r="B21" t="str">
        <f>IFERROR(IF(0=LEN(ReferenceData!$B$21),"",ReferenceData!$B$21),"")</f>
        <v>2333 HK Equity</v>
      </c>
      <c r="C21" t="str">
        <f>IFERROR(IF(0=LEN(ReferenceData!$C$21),"",ReferenceData!$C$21),"")</f>
        <v>RR844</v>
      </c>
      <c r="D21" t="str">
        <f>IFERROR(IF(0=LEN(ReferenceData!$D$21),"",ReferenceData!$D$21),"")</f>
        <v>T12M_DIL_EPS_CONT_OPS</v>
      </c>
      <c r="E21" t="str">
        <f>IFERROR(IF(0=LEN(ReferenceData!$E$21),"",ReferenceData!$E$21),"")</f>
        <v>Dynamic</v>
      </c>
      <c r="F21" t="str">
        <f ca="1">IFERROR(IF(0=LEN(ReferenceData!$F$21),"",ReferenceData!$F$21),"")</f>
        <v/>
      </c>
      <c r="G21" t="str">
        <f ca="1">IFERROR(IF(0=LEN(ReferenceData!$G$21),"",ReferenceData!$G$21),"")</f>
        <v/>
      </c>
      <c r="H21">
        <f ca="1">IFERROR(IF(0=LEN(ReferenceData!$H$21),"",ReferenceData!$H$21),"")</f>
        <v>9.7459154000000006E-2</v>
      </c>
      <c r="I21">
        <f ca="1">IFERROR(IF(0=LEN(ReferenceData!$I$21),"",ReferenceData!$I$21),"")</f>
        <v>0.102521695</v>
      </c>
      <c r="J21">
        <f ca="1">IFERROR(IF(0=LEN(ReferenceData!$J$21),"",ReferenceData!$J$21),"")</f>
        <v>8.2081893000000003E-2</v>
      </c>
      <c r="K21">
        <f ca="1">IFERROR(IF(0=LEN(ReferenceData!$K$21),"",ReferenceData!$K$21),"")</f>
        <v>7.6483198000000002E-2</v>
      </c>
      <c r="L21">
        <f ca="1">IFERROR(IF(0=LEN(ReferenceData!$L$21),"",ReferenceData!$L$21),"")</f>
        <v>9.7784456000000006E-2</v>
      </c>
      <c r="M21">
        <f ca="1">IFERROR(IF(0=LEN(ReferenceData!$M$21),"",ReferenceData!$M$21),"")</f>
        <v>0.127727756</v>
      </c>
      <c r="N21">
        <f ca="1">IFERROR(IF(0=LEN(ReferenceData!$N$21),"",ReferenceData!$N$21),"")</f>
        <v>0.164176503</v>
      </c>
      <c r="O21">
        <f ca="1">IFERROR(IF(0=LEN(ReferenceData!$O$21),"",ReferenceData!$O$21),"")</f>
        <v>0.17379256700000001</v>
      </c>
      <c r="P21">
        <f ca="1">IFERROR(IF(0=LEN(ReferenceData!$P$21),"",ReferenceData!$P$21),"")</f>
        <v>0.15092552100000001</v>
      </c>
      <c r="Q21">
        <f ca="1">IFERROR(IF(0=LEN(ReferenceData!$Q$21),"",ReferenceData!$Q$21),"")</f>
        <v>0.13966187999999999</v>
      </c>
      <c r="R21">
        <f ca="1">IFERROR(IF(0=LEN(ReferenceData!$R$21),"",ReferenceData!$R$21),"")</f>
        <v>0.134111746</v>
      </c>
      <c r="S21">
        <f ca="1">IFERROR(IF(0=LEN(ReferenceData!$S$21),"",ReferenceData!$S$21),"")</f>
        <v>0.13820491900000001</v>
      </c>
      <c r="T21">
        <f ca="1">IFERROR(IF(0=LEN(ReferenceData!$T$21),"",ReferenceData!$T$21),"")</f>
        <v>0.15110627800000001</v>
      </c>
      <c r="U21">
        <f ca="1">IFERROR(IF(0=LEN(ReferenceData!$U$21),"",ReferenceData!$U$21),"")</f>
        <v>0.15469501799999999</v>
      </c>
      <c r="V21">
        <f ca="1">IFERROR(IF(0=LEN(ReferenceData!$V$21),"",ReferenceData!$V$21),"")</f>
        <v>0.15103762500000001</v>
      </c>
      <c r="W21">
        <f ca="1">IFERROR(IF(0=LEN(ReferenceData!$W$21),"",ReferenceData!$W$21),"")</f>
        <v>0.14272426299999999</v>
      </c>
      <c r="X21">
        <f ca="1">IFERROR(IF(0=LEN(ReferenceData!$X$21),"",ReferenceData!$X$21),"")</f>
        <v>0.13549924399999999</v>
      </c>
      <c r="Y21">
        <f ca="1">IFERROR(IF(0=LEN(ReferenceData!$Y$21),"",ReferenceData!$Y$21),"")</f>
        <v>0.14374759500000001</v>
      </c>
      <c r="Z21">
        <f ca="1">IFERROR(IF(0=LEN(ReferenceData!$Z$21),"",ReferenceData!$Z$21),"")</f>
        <v>0.148795279</v>
      </c>
      <c r="AA21">
        <f ca="1">IFERROR(IF(0=LEN(ReferenceData!$AA$21),"",ReferenceData!$AA$21),"")</f>
        <v>0.14547773</v>
      </c>
      <c r="AB21">
        <f ca="1">IFERROR(IF(0=LEN(ReferenceData!$AB$21),"",ReferenceData!$AB$21),"")</f>
        <v>0.14082635099999999</v>
      </c>
      <c r="AC21">
        <f ca="1">IFERROR(IF(0=LEN(ReferenceData!$AC$21),"",ReferenceData!$AC$21),"")</f>
        <v>0.12897581499999999</v>
      </c>
      <c r="AD21">
        <f ca="1">IFERROR(IF(0=LEN(ReferenceData!$AD$21),"",ReferenceData!$AD$21),"")</f>
        <v>0.11216475300000001</v>
      </c>
      <c r="AE21">
        <f ca="1">IFERROR(IF(0=LEN(ReferenceData!$AE$21),"",ReferenceData!$AE$21),"")</f>
        <v>9.8340179999999999E-2</v>
      </c>
      <c r="AF21" t="str">
        <f ca="1">IFERROR(IF(0=LEN(ReferenceData!$AF$21),"",ReferenceData!$AF$21),"")</f>
        <v/>
      </c>
      <c r="AG21" t="str">
        <f ca="1">IFERROR(IF(0=LEN(ReferenceData!$AG$21),"",ReferenceData!$AG$21),"")</f>
        <v/>
      </c>
      <c r="AH21" t="str">
        <f ca="1">IFERROR(IF(0=LEN(ReferenceData!$AH$21),"",ReferenceData!$AH$21),"")</f>
        <v/>
      </c>
      <c r="AI21" t="str">
        <f ca="1">IFERROR(IF(0=LEN(ReferenceData!$AI$21),"",ReferenceData!$AI$21),"")</f>
        <v/>
      </c>
      <c r="AJ21" t="str">
        <f ca="1">IFERROR(IF(0=LEN(ReferenceData!$AJ$21),"",ReferenceData!$AJ$21),"")</f>
        <v/>
      </c>
      <c r="AK21" t="str">
        <f ca="1">IFERROR(IF(0=LEN(ReferenceData!$AK$21),"",ReferenceData!$AK$21),"")</f>
        <v/>
      </c>
      <c r="AL21" t="str">
        <f ca="1">IFERROR(IF(0=LEN(ReferenceData!$AL$21),"",ReferenceData!$AL$21),"")</f>
        <v/>
      </c>
      <c r="AM21" t="str">
        <f ca="1">IFERROR(IF(0=LEN(ReferenceData!$AM$21),"",ReferenceData!$AM$21),"")</f>
        <v/>
      </c>
      <c r="AN21" t="str">
        <f ca="1">IFERROR(IF(0=LEN(ReferenceData!$AN$21),"",ReferenceData!$AN$21),"")</f>
        <v/>
      </c>
      <c r="AO21" t="str">
        <f ca="1">IFERROR(IF(0=LEN(ReferenceData!$AO$21),"",ReferenceData!$AO$21),"")</f>
        <v/>
      </c>
      <c r="AP21" t="str">
        <f ca="1">IFERROR(IF(0=LEN(ReferenceData!$AP$21),"",ReferenceData!$AP$21),"")</f>
        <v/>
      </c>
      <c r="AQ21" t="str">
        <f ca="1">IFERROR(IF(0=LEN(ReferenceData!$AQ$21),"",ReferenceData!$AQ$21),"")</f>
        <v/>
      </c>
      <c r="AR21" t="str">
        <f ca="1">IFERROR(IF(0=LEN(ReferenceData!$AR$21),"",ReferenceData!$AR$21),"")</f>
        <v/>
      </c>
      <c r="AS21" t="str">
        <f ca="1">IFERROR(IF(0=LEN(ReferenceData!$AS$21),"",ReferenceData!$AS$21),"")</f>
        <v/>
      </c>
      <c r="AT21" t="str">
        <f ca="1">IFERROR(IF(0=LEN(ReferenceData!$AT$21),"",ReferenceData!$AT$21),"")</f>
        <v/>
      </c>
      <c r="AU21" t="str">
        <f ca="1">IFERROR(IF(0=LEN(ReferenceData!$AU$21),"",ReferenceData!$AU$21),"")</f>
        <v/>
      </c>
      <c r="AV21" t="str">
        <f ca="1">IFERROR(IF(0=LEN(ReferenceData!$AV$21),"",ReferenceData!$AV$21),"")</f>
        <v/>
      </c>
      <c r="AW21" t="str">
        <f ca="1">IFERROR(IF(0=LEN(ReferenceData!$AW$21),"",ReferenceData!$AW$21),"")</f>
        <v/>
      </c>
      <c r="AX21" t="str">
        <f ca="1">IFERROR(IF(0=LEN(ReferenceData!$AX$21),"",ReferenceData!$AX$21),"")</f>
        <v/>
      </c>
      <c r="AY21" t="str">
        <f ca="1">IFERROR(IF(0=LEN(ReferenceData!$AY$21),"",ReferenceData!$AY$21),"")</f>
        <v/>
      </c>
      <c r="AZ21" t="str">
        <f ca="1">IFERROR(IF(0=LEN(ReferenceData!$AZ$21),"",ReferenceData!$AZ$21),"")</f>
        <v/>
      </c>
      <c r="BA21" t="str">
        <f ca="1">IFERROR(IF(0=LEN(ReferenceData!$BA$21),"",ReferenceData!$BA$21),"")</f>
        <v/>
      </c>
      <c r="BB21" t="str">
        <f ca="1">IFERROR(IF(0=LEN(ReferenceData!$BB$21),"",ReferenceData!$BB$21),"")</f>
        <v/>
      </c>
      <c r="BC21" t="str">
        <f ca="1">IFERROR(IF(0=LEN(ReferenceData!$BC$21),"",ReferenceData!$BC$21),"")</f>
        <v/>
      </c>
      <c r="BD21" t="str">
        <f ca="1">IFERROR(IF(0=LEN(ReferenceData!$BD$21),"",ReferenceData!$BD$21),"")</f>
        <v/>
      </c>
      <c r="BE21" t="str">
        <f ca="1">IFERROR(IF(0=LEN(ReferenceData!$BE$21),"",ReferenceData!$BE$21),"")</f>
        <v/>
      </c>
      <c r="BF21" t="str">
        <f ca="1">IFERROR(IF(0=LEN(ReferenceData!$BF$21),"",ReferenceData!$BF$21),"")</f>
        <v/>
      </c>
      <c r="BG21" t="str">
        <f ca="1">IFERROR(IF(0=LEN(ReferenceData!$BG$21),"",ReferenceData!$BG$21),"")</f>
        <v/>
      </c>
      <c r="BH21" t="str">
        <f ca="1">IFERROR(IF(0=LEN(ReferenceData!$BH$21),"",ReferenceData!$BH$21),"")</f>
        <v/>
      </c>
      <c r="BI21" t="str">
        <f ca="1">IFERROR(IF(0=LEN(ReferenceData!$BI$21),"",ReferenceData!$BI$21),"")</f>
        <v/>
      </c>
      <c r="BJ21" t="str">
        <f ca="1">IFERROR(IF(0=LEN(ReferenceData!$BJ$21),"",ReferenceData!$BJ$21),"")</f>
        <v/>
      </c>
      <c r="BK21" t="str">
        <f ca="1">IFERROR(IF(0=LEN(ReferenceData!$BK$21),"",ReferenceData!$BK$21),"")</f>
        <v/>
      </c>
      <c r="BL21" t="str">
        <f ca="1">IFERROR(IF(0=LEN(ReferenceData!$BL$21),"",ReferenceData!$BL$21),"")</f>
        <v/>
      </c>
      <c r="BM21" t="str">
        <f ca="1">IFERROR(IF(0=LEN(ReferenceData!$BM$21),"",ReferenceData!$BM$21),"")</f>
        <v/>
      </c>
    </row>
    <row r="22" spans="1:65" x14ac:dyDescent="0.25">
      <c r="A22" t="str">
        <f>IFERROR(IF(0=LEN(ReferenceData!$A$22),"",ReferenceData!$A$22),"")</f>
        <v xml:space="preserve">    Guangzhou Automobile Group Co Ltd</v>
      </c>
      <c r="B22" t="str">
        <f>IFERROR(IF(0=LEN(ReferenceData!$B$22),"",ReferenceData!$B$22),"")</f>
        <v>2238 HK Equity</v>
      </c>
      <c r="C22" t="str">
        <f>IFERROR(IF(0=LEN(ReferenceData!$C$22),"",ReferenceData!$C$22),"")</f>
        <v>RR844</v>
      </c>
      <c r="D22" t="str">
        <f>IFERROR(IF(0=LEN(ReferenceData!$D$22),"",ReferenceData!$D$22),"")</f>
        <v>T12M_DIL_EPS_CONT_OPS</v>
      </c>
      <c r="E22" t="str">
        <f>IFERROR(IF(0=LEN(ReferenceData!$E$22),"",ReferenceData!$E$22),"")</f>
        <v>Dynamic</v>
      </c>
      <c r="F22" t="str">
        <f ca="1">IFERROR(IF(0=LEN(ReferenceData!$F$22),"",ReferenceData!$F$22),"")</f>
        <v/>
      </c>
      <c r="G22" t="str">
        <f ca="1">IFERROR(IF(0=LEN(ReferenceData!$G$22),"",ReferenceData!$G$22),"")</f>
        <v/>
      </c>
      <c r="H22">
        <f ca="1">IFERROR(IF(0=LEN(ReferenceData!$H$22),"",ReferenceData!$H$22),"")</f>
        <v>0.166428715</v>
      </c>
      <c r="I22">
        <f ca="1">IFERROR(IF(0=LEN(ReferenceData!$I$22),"",ReferenceData!$I$22),"")</f>
        <v>0.17263439899999999</v>
      </c>
      <c r="J22">
        <f ca="1">IFERROR(IF(0=LEN(ReferenceData!$J$22),"",ReferenceData!$J$22),"")</f>
        <v>0.18645008199999999</v>
      </c>
      <c r="K22">
        <f ca="1">IFERROR(IF(0=LEN(ReferenceData!$K$22),"",ReferenceData!$K$22),"")</f>
        <v>0.18771396400000001</v>
      </c>
      <c r="L22">
        <f ca="1">IFERROR(IF(0=LEN(ReferenceData!$L$22),"",ReferenceData!$L$22),"")</f>
        <v>0.17246013099999999</v>
      </c>
      <c r="M22">
        <f ca="1">IFERROR(IF(0=LEN(ReferenceData!$M$22),"",ReferenceData!$M$22),"")</f>
        <v>0.15378371699999999</v>
      </c>
      <c r="N22">
        <f ca="1">IFERROR(IF(0=LEN(ReferenceData!$N$22),"",ReferenceData!$N$22),"")</f>
        <v>0.142045377</v>
      </c>
      <c r="O22">
        <f ca="1">IFERROR(IF(0=LEN(ReferenceData!$O$22),"",ReferenceData!$O$22),"")</f>
        <v>0.112746865</v>
      </c>
      <c r="P22">
        <f ca="1">IFERROR(IF(0=LEN(ReferenceData!$P$22),"",ReferenceData!$P$22),"")</f>
        <v>0.12547064499999999</v>
      </c>
      <c r="Q22">
        <f ca="1">IFERROR(IF(0=LEN(ReferenceData!$Q$22),"",ReferenceData!$Q$22),"")</f>
        <v>0.11570462400000001</v>
      </c>
      <c r="R22">
        <f ca="1">IFERROR(IF(0=LEN(ReferenceData!$R$22),"",ReferenceData!$R$22),"")</f>
        <v>9.9210153999999995E-2</v>
      </c>
      <c r="S22">
        <f ca="1">IFERROR(IF(0=LEN(ReferenceData!$S$22),"",ReferenceData!$S$22),"")</f>
        <v>7.6808119999999994E-2</v>
      </c>
      <c r="T22">
        <f ca="1">IFERROR(IF(0=LEN(ReferenceData!$T$22),"",ReferenceData!$T$22),"")</f>
        <v>6.1377828000000002E-2</v>
      </c>
      <c r="U22">
        <f ca="1">IFERROR(IF(0=LEN(ReferenceData!$U$22),"",ReferenceData!$U$22),"")</f>
        <v>5.4273861E-2</v>
      </c>
      <c r="V22">
        <f ca="1">IFERROR(IF(0=LEN(ReferenceData!$V$22),"",ReferenceData!$V$22),"")</f>
        <v>4.86445E-2</v>
      </c>
      <c r="W22">
        <f ca="1">IFERROR(IF(0=LEN(ReferenceData!$W$22),"",ReferenceData!$W$22),"")</f>
        <v>5.4660789000000001E-2</v>
      </c>
      <c r="X22">
        <f ca="1">IFERROR(IF(0=LEN(ReferenceData!$X$22),"",ReferenceData!$X$22),"")</f>
        <v>5.8301770000000003E-2</v>
      </c>
      <c r="Y22">
        <f ca="1">IFERROR(IF(0=LEN(ReferenceData!$Y$22),"",ReferenceData!$Y$22),"")</f>
        <v>6.7391718000000003E-2</v>
      </c>
      <c r="Z22">
        <f ca="1">IFERROR(IF(0=LEN(ReferenceData!$Z$22),"",ReferenceData!$Z$22),"")</f>
        <v>6.4953712999999996E-2</v>
      </c>
      <c r="AA22">
        <f ca="1">IFERROR(IF(0=LEN(ReferenceData!$AA$22),"",ReferenceData!$AA$22),"")</f>
        <v>5.7981913000000003E-2</v>
      </c>
      <c r="AB22">
        <f ca="1">IFERROR(IF(0=LEN(ReferenceData!$AB$22),"",ReferenceData!$AB$22),"")</f>
        <v>2.3374458000000001E-2</v>
      </c>
      <c r="AC22">
        <f ca="1">IFERROR(IF(0=LEN(ReferenceData!$AC$22),"",ReferenceData!$AC$22),"")</f>
        <v>1.1150086E-2</v>
      </c>
      <c r="AD22">
        <f ca="1">IFERROR(IF(0=LEN(ReferenceData!$AD$22),"",ReferenceData!$AD$22),"")</f>
        <v>1.3193712E-2</v>
      </c>
      <c r="AE22">
        <f ca="1">IFERROR(IF(0=LEN(ReferenceData!$AE$22),"",ReferenceData!$AE$22),"")</f>
        <v>2.0600340000000002E-2</v>
      </c>
      <c r="AF22">
        <f ca="1">IFERROR(IF(0=LEN(ReferenceData!$AF$22),"",ReferenceData!$AF$22),"")</f>
        <v>8.1557524000000006E-2</v>
      </c>
      <c r="AG22">
        <f ca="1">IFERROR(IF(0=LEN(ReferenceData!$AG$22),"",ReferenceData!$AG$22),"")</f>
        <v>9.1366536999999998E-2</v>
      </c>
      <c r="AH22">
        <f ca="1">IFERROR(IF(0=LEN(ReferenceData!$AH$22),"",ReferenceData!$AH$22),"")</f>
        <v>6.7864206999999996E-2</v>
      </c>
      <c r="AI22">
        <f ca="1">IFERROR(IF(0=LEN(ReferenceData!$AI$22),"",ReferenceData!$AI$22),"")</f>
        <v>6.4625906999999996E-2</v>
      </c>
      <c r="AJ22">
        <f ca="1">IFERROR(IF(0=LEN(ReferenceData!$AJ$22),"",ReferenceData!$AJ$22),"")</f>
        <v>3.6684089000000003E-2</v>
      </c>
      <c r="AK22">
        <f ca="1">IFERROR(IF(0=LEN(ReferenceData!$AK$22),"",ReferenceData!$AK$22),"")</f>
        <v>4.2513549999999997E-2</v>
      </c>
      <c r="AL22">
        <f ca="1">IFERROR(IF(0=LEN(ReferenceData!$AL$22),"",ReferenceData!$AL$22),"")</f>
        <v>7.5293252000000005E-2</v>
      </c>
      <c r="AM22">
        <f ca="1">IFERROR(IF(0=LEN(ReferenceData!$AM$22),"",ReferenceData!$AM$22),"")</f>
        <v>9.8444502000000003E-2</v>
      </c>
      <c r="AN22">
        <f ca="1">IFERROR(IF(0=LEN(ReferenceData!$AN$22),"",ReferenceData!$AN$22),"")</f>
        <v>9.886955E-2</v>
      </c>
      <c r="AO22">
        <f ca="1">IFERROR(IF(0=LEN(ReferenceData!$AO$22),"",ReferenceData!$AO$22),"")</f>
        <v>9.9341220999999993E-2</v>
      </c>
      <c r="AP22">
        <f ca="1">IFERROR(IF(0=LEN(ReferenceData!$AP$22),"",ReferenceData!$AP$22),"")</f>
        <v>8.4562874999999996E-2</v>
      </c>
      <c r="AQ22">
        <f ca="1">IFERROR(IF(0=LEN(ReferenceData!$AQ$22),"",ReferenceData!$AQ$22),"")</f>
        <v>5.8827132999999997E-2</v>
      </c>
      <c r="AR22" t="str">
        <f ca="1">IFERROR(IF(0=LEN(ReferenceData!$AR$22),"",ReferenceData!$AR$22),"")</f>
        <v/>
      </c>
      <c r="AS22" t="str">
        <f ca="1">IFERROR(IF(0=LEN(ReferenceData!$AS$22),"",ReferenceData!$AS$22),"")</f>
        <v/>
      </c>
      <c r="AT22" t="str">
        <f ca="1">IFERROR(IF(0=LEN(ReferenceData!$AT$22),"",ReferenceData!$AT$22),"")</f>
        <v/>
      </c>
      <c r="AU22" t="str">
        <f ca="1">IFERROR(IF(0=LEN(ReferenceData!$AU$22),"",ReferenceData!$AU$22),"")</f>
        <v/>
      </c>
      <c r="AV22" t="str">
        <f ca="1">IFERROR(IF(0=LEN(ReferenceData!$AV$22),"",ReferenceData!$AV$22),"")</f>
        <v/>
      </c>
      <c r="AW22" t="str">
        <f ca="1">IFERROR(IF(0=LEN(ReferenceData!$AW$22),"",ReferenceData!$AW$22),"")</f>
        <v/>
      </c>
      <c r="AX22" t="str">
        <f ca="1">IFERROR(IF(0=LEN(ReferenceData!$AX$22),"",ReferenceData!$AX$22),"")</f>
        <v/>
      </c>
      <c r="AY22" t="str">
        <f ca="1">IFERROR(IF(0=LEN(ReferenceData!$AY$22),"",ReferenceData!$AY$22),"")</f>
        <v/>
      </c>
      <c r="AZ22" t="str">
        <f ca="1">IFERROR(IF(0=LEN(ReferenceData!$AZ$22),"",ReferenceData!$AZ$22),"")</f>
        <v/>
      </c>
      <c r="BA22" t="str">
        <f ca="1">IFERROR(IF(0=LEN(ReferenceData!$BA$22),"",ReferenceData!$BA$22),"")</f>
        <v/>
      </c>
      <c r="BB22" t="str">
        <f ca="1">IFERROR(IF(0=LEN(ReferenceData!$BB$22),"",ReferenceData!$BB$22),"")</f>
        <v/>
      </c>
      <c r="BC22" t="str">
        <f ca="1">IFERROR(IF(0=LEN(ReferenceData!$BC$22),"",ReferenceData!$BC$22),"")</f>
        <v/>
      </c>
      <c r="BD22" t="str">
        <f ca="1">IFERROR(IF(0=LEN(ReferenceData!$BD$22),"",ReferenceData!$BD$22),"")</f>
        <v/>
      </c>
      <c r="BE22" t="str">
        <f ca="1">IFERROR(IF(0=LEN(ReferenceData!$BE$22),"",ReferenceData!$BE$22),"")</f>
        <v/>
      </c>
      <c r="BF22" t="str">
        <f ca="1">IFERROR(IF(0=LEN(ReferenceData!$BF$22),"",ReferenceData!$BF$22),"")</f>
        <v/>
      </c>
      <c r="BG22" t="str">
        <f ca="1">IFERROR(IF(0=LEN(ReferenceData!$BG$22),"",ReferenceData!$BG$22),"")</f>
        <v/>
      </c>
      <c r="BH22" t="str">
        <f ca="1">IFERROR(IF(0=LEN(ReferenceData!$BH$22),"",ReferenceData!$BH$22),"")</f>
        <v/>
      </c>
      <c r="BI22" t="str">
        <f ca="1">IFERROR(IF(0=LEN(ReferenceData!$BI$22),"",ReferenceData!$BI$22),"")</f>
        <v/>
      </c>
      <c r="BJ22" t="str">
        <f ca="1">IFERROR(IF(0=LEN(ReferenceData!$BJ$22),"",ReferenceData!$BJ$22),"")</f>
        <v/>
      </c>
      <c r="BK22" t="str">
        <f ca="1">IFERROR(IF(0=LEN(ReferenceData!$BK$22),"",ReferenceData!$BK$22),"")</f>
        <v/>
      </c>
      <c r="BL22" t="str">
        <f ca="1">IFERROR(IF(0=LEN(ReferenceData!$BL$22),"",ReferenceData!$BL$22),"")</f>
        <v/>
      </c>
      <c r="BM22" t="str">
        <f ca="1">IFERROR(IF(0=LEN(ReferenceData!$BM$22),"",ReferenceData!$BM$22),"")</f>
        <v/>
      </c>
    </row>
    <row r="23" spans="1:65" x14ac:dyDescent="0.25">
      <c r="A23" t="str">
        <f>IFERROR(IF(0=LEN(ReferenceData!$A$23),"",ReferenceData!$A$23),"")</f>
        <v xml:space="preserve">    Honda Motor Co Ltd</v>
      </c>
      <c r="B23" t="str">
        <f>IFERROR(IF(0=LEN(ReferenceData!$B$23),"",ReferenceData!$B$23),"")</f>
        <v>7267 JP Equity</v>
      </c>
      <c r="C23" t="str">
        <f>IFERROR(IF(0=LEN(ReferenceData!$C$23),"",ReferenceData!$C$23),"")</f>
        <v>RR844</v>
      </c>
      <c r="D23" t="str">
        <f>IFERROR(IF(0=LEN(ReferenceData!$D$23),"",ReferenceData!$D$23),"")</f>
        <v>T12M_DIL_EPS_CONT_OPS</v>
      </c>
      <c r="E23" t="str">
        <f>IFERROR(IF(0=LEN(ReferenceData!$E$23),"",ReferenceData!$E$23),"")</f>
        <v>Dynamic</v>
      </c>
      <c r="F23" t="str">
        <f ca="1">IFERROR(IF(0=LEN(ReferenceData!$F$23),"",ReferenceData!$F$23),"")</f>
        <v/>
      </c>
      <c r="G23">
        <f ca="1">IFERROR(IF(0=LEN(ReferenceData!$G$23),"",ReferenceData!$G$23),"")</f>
        <v>3.7463434059999998</v>
      </c>
      <c r="H23">
        <f ca="1">IFERROR(IF(0=LEN(ReferenceData!$H$23),"",ReferenceData!$H$23),"")</f>
        <v>5.7640384549999997</v>
      </c>
      <c r="I23">
        <f ca="1">IFERROR(IF(0=LEN(ReferenceData!$I$23),"",ReferenceData!$I$23),"")</f>
        <v>5.5613350690000001</v>
      </c>
      <c r="J23">
        <f ca="1">IFERROR(IF(0=LEN(ReferenceData!$J$23),"",ReferenceData!$J$23),"")</f>
        <v>5.3308906470000004</v>
      </c>
      <c r="K23">
        <f ca="1">IFERROR(IF(0=LEN(ReferenceData!$K$23),"",ReferenceData!$K$23),"")</f>
        <v>5.2470261770000004</v>
      </c>
      <c r="L23">
        <f ca="1">IFERROR(IF(0=LEN(ReferenceData!$L$23),"",ReferenceData!$L$23),"")</f>
        <v>3.2680523579999998</v>
      </c>
      <c r="M23">
        <f ca="1">IFERROR(IF(0=LEN(ReferenceData!$M$23),"",ReferenceData!$M$23),"")</f>
        <v>3.3535496220000001</v>
      </c>
      <c r="N23">
        <f ca="1">IFERROR(IF(0=LEN(ReferenceData!$N$23),"",ReferenceData!$N$23),"")</f>
        <v>3.2104867229999998</v>
      </c>
      <c r="O23">
        <f ca="1">IFERROR(IF(0=LEN(ReferenceData!$O$23),"",ReferenceData!$O$23),"")</f>
        <v>2.2849449079999999</v>
      </c>
      <c r="P23">
        <f ca="1">IFERROR(IF(0=LEN(ReferenceData!$P$23),"",ReferenceData!$P$23),"")</f>
        <v>2.0053620570000001</v>
      </c>
      <c r="Q23">
        <f ca="1">IFERROR(IF(0=LEN(ReferenceData!$Q$23),"",ReferenceData!$Q$23),"")</f>
        <v>1.6811761439999999</v>
      </c>
      <c r="R23">
        <f ca="1">IFERROR(IF(0=LEN(ReferenceData!$R$23),"",ReferenceData!$R$23),"")</f>
        <v>1.683770507</v>
      </c>
      <c r="S23">
        <f ca="1">IFERROR(IF(0=LEN(ReferenceData!$S$23),"",ReferenceData!$S$23),"")</f>
        <v>2.4657216979999999</v>
      </c>
      <c r="T23">
        <f ca="1">IFERROR(IF(0=LEN(ReferenceData!$T$23),"",ReferenceData!$T$23),"")</f>
        <v>2.6357238540000001</v>
      </c>
      <c r="U23">
        <f ca="1">IFERROR(IF(0=LEN(ReferenceData!$U$23),"",ReferenceData!$U$23),"")</f>
        <v>2.709655739</v>
      </c>
      <c r="V23">
        <f ca="1">IFERROR(IF(0=LEN(ReferenceData!$V$23),"",ReferenceData!$V$23),"")</f>
        <v>2.6749058689999998</v>
      </c>
      <c r="W23">
        <f ca="1">IFERROR(IF(0=LEN(ReferenceData!$W$23),"",ReferenceData!$W$23),"")</f>
        <v>3.144038251</v>
      </c>
      <c r="X23">
        <f ca="1">IFERROR(IF(0=LEN(ReferenceData!$X$23),"",ReferenceData!$X$23),"")</f>
        <v>3.2960136809999998</v>
      </c>
      <c r="Y23">
        <f ca="1">IFERROR(IF(0=LEN(ReferenceData!$Y$23),"",ReferenceData!$Y$23),"")</f>
        <v>3.3445669269999998</v>
      </c>
      <c r="Z23">
        <f ca="1">IFERROR(IF(0=LEN(ReferenceData!$Z$23),"",ReferenceData!$Z$23),"")</f>
        <v>3.1920997579999999</v>
      </c>
      <c r="AA23">
        <f ca="1">IFERROR(IF(0=LEN(ReferenceData!$AA$23),"",ReferenceData!$AA$23),"")</f>
        <v>2.838567437</v>
      </c>
      <c r="AB23">
        <f ca="1">IFERROR(IF(0=LEN(ReferenceData!$AB$23),"",ReferenceData!$AB$23),"")</f>
        <v>2.5021061339999999</v>
      </c>
      <c r="AC23">
        <f ca="1">IFERROR(IF(0=LEN(ReferenceData!$AC$23),"",ReferenceData!$AC$23),"")</f>
        <v>2.3899320030000002</v>
      </c>
      <c r="AD23">
        <f ca="1">IFERROR(IF(0=LEN(ReferenceData!$AD$23),"",ReferenceData!$AD$23),"")</f>
        <v>2.599215681</v>
      </c>
      <c r="AE23">
        <f ca="1">IFERROR(IF(0=LEN(ReferenceData!$AE$23),"",ReferenceData!$AE$23),"")</f>
        <v>2.563405736</v>
      </c>
      <c r="AF23">
        <f ca="1">IFERROR(IF(0=LEN(ReferenceData!$AF$23),"",ReferenceData!$AF$23),"")</f>
        <v>2.4102755459999998</v>
      </c>
      <c r="AG23">
        <f ca="1">IFERROR(IF(0=LEN(ReferenceData!$AG$23),"",ReferenceData!$AG$23),"")</f>
        <v>2.2836568700000002</v>
      </c>
      <c r="AH23">
        <f ca="1">IFERROR(IF(0=LEN(ReferenceData!$AH$23),"",ReferenceData!$AH$23),"")</f>
        <v>1.5426640410000001</v>
      </c>
      <c r="AI23">
        <f ca="1">IFERROR(IF(0=LEN(ReferenceData!$AI$23),"",ReferenceData!$AI$23),"")</f>
        <v>1.396915495</v>
      </c>
      <c r="AJ23">
        <f ca="1">IFERROR(IF(0=LEN(ReferenceData!$AJ$23),"",ReferenceData!$AJ$23),"")</f>
        <v>1.5729499650000001</v>
      </c>
      <c r="AK23">
        <f ca="1">IFERROR(IF(0=LEN(ReferenceData!$AK$23),"",ReferenceData!$AK$23),"")</f>
        <v>2.037895561</v>
      </c>
      <c r="AL23">
        <f ca="1">IFERROR(IF(0=LEN(ReferenceData!$AL$23),"",ReferenceData!$AL$23),"")</f>
        <v>3.5316463320000002</v>
      </c>
      <c r="AM23">
        <f ca="1">IFERROR(IF(0=LEN(ReferenceData!$AM$23),"",ReferenceData!$AM$23),"")</f>
        <v>3.5524409929999998</v>
      </c>
      <c r="AN23">
        <f ca="1">IFERROR(IF(0=LEN(ReferenceData!$AN$23),"",ReferenceData!$AN$23),"")</f>
        <v>3.802520989</v>
      </c>
      <c r="AO23">
        <f ca="1">IFERROR(IF(0=LEN(ReferenceData!$AO$23),"",ReferenceData!$AO$23),"")</f>
        <v>3.225773534</v>
      </c>
      <c r="AP23">
        <f ca="1">IFERROR(IF(0=LEN(ReferenceData!$AP$23),"",ReferenceData!$AP$23),"")</f>
        <v>1.610787127</v>
      </c>
      <c r="AQ23">
        <f ca="1">IFERROR(IF(0=LEN(ReferenceData!$AQ$23),"",ReferenceData!$AQ$23),"")</f>
        <v>0.13205562900000001</v>
      </c>
      <c r="AR23">
        <f ca="1">IFERROR(IF(0=LEN(ReferenceData!$AR$23),"",ReferenceData!$AR$23),"")</f>
        <v>-0.41115589800000002</v>
      </c>
      <c r="AS23">
        <f ca="1">IFERROR(IF(0=LEN(ReferenceData!$AS$23),"",ReferenceData!$AS$23),"")</f>
        <v>3.0675903000000001E-2</v>
      </c>
      <c r="AT23">
        <f ca="1">IFERROR(IF(0=LEN(ReferenceData!$AT$23),"",ReferenceData!$AT$23),"")</f>
        <v>0.97288591700000004</v>
      </c>
      <c r="AU23" t="str">
        <f ca="1">IFERROR(IF(0=LEN(ReferenceData!$AU$23),"",ReferenceData!$AU$23),"")</f>
        <v/>
      </c>
      <c r="AV23" t="str">
        <f ca="1">IFERROR(IF(0=LEN(ReferenceData!$AV$23),"",ReferenceData!$AV$23),"")</f>
        <v/>
      </c>
      <c r="AW23" t="str">
        <f ca="1">IFERROR(IF(0=LEN(ReferenceData!$AW$23),"",ReferenceData!$AW$23),"")</f>
        <v/>
      </c>
      <c r="AX23" t="str">
        <f ca="1">IFERROR(IF(0=LEN(ReferenceData!$AX$23),"",ReferenceData!$AX$23),"")</f>
        <v/>
      </c>
      <c r="AY23" t="str">
        <f ca="1">IFERROR(IF(0=LEN(ReferenceData!$AY$23),"",ReferenceData!$AY$23),"")</f>
        <v/>
      </c>
      <c r="AZ23" t="str">
        <f ca="1">IFERROR(IF(0=LEN(ReferenceData!$AZ$23),"",ReferenceData!$AZ$23),"")</f>
        <v/>
      </c>
      <c r="BA23" t="str">
        <f ca="1">IFERROR(IF(0=LEN(ReferenceData!$BA$23),"",ReferenceData!$BA$23),"")</f>
        <v/>
      </c>
      <c r="BB23" t="str">
        <f ca="1">IFERROR(IF(0=LEN(ReferenceData!$BB$23),"",ReferenceData!$BB$23),"")</f>
        <v/>
      </c>
      <c r="BC23" t="str">
        <f ca="1">IFERROR(IF(0=LEN(ReferenceData!$BC$23),"",ReferenceData!$BC$23),"")</f>
        <v/>
      </c>
      <c r="BD23" t="str">
        <f ca="1">IFERROR(IF(0=LEN(ReferenceData!$BD$23),"",ReferenceData!$BD$23),"")</f>
        <v/>
      </c>
      <c r="BE23" t="str">
        <f ca="1">IFERROR(IF(0=LEN(ReferenceData!$BE$23),"",ReferenceData!$BE$23),"")</f>
        <v/>
      </c>
      <c r="BF23" t="str">
        <f ca="1">IFERROR(IF(0=LEN(ReferenceData!$BF$23),"",ReferenceData!$BF$23),"")</f>
        <v/>
      </c>
      <c r="BG23" t="str">
        <f ca="1">IFERROR(IF(0=LEN(ReferenceData!$BG$23),"",ReferenceData!$BG$23),"")</f>
        <v/>
      </c>
      <c r="BH23" t="str">
        <f ca="1">IFERROR(IF(0=LEN(ReferenceData!$BH$23),"",ReferenceData!$BH$23),"")</f>
        <v/>
      </c>
      <c r="BI23" t="str">
        <f ca="1">IFERROR(IF(0=LEN(ReferenceData!$BI$23),"",ReferenceData!$BI$23),"")</f>
        <v/>
      </c>
      <c r="BJ23" t="str">
        <f ca="1">IFERROR(IF(0=LEN(ReferenceData!$BJ$23),"",ReferenceData!$BJ$23),"")</f>
        <v/>
      </c>
      <c r="BK23" t="str">
        <f ca="1">IFERROR(IF(0=LEN(ReferenceData!$BK$23),"",ReferenceData!$BK$23),"")</f>
        <v/>
      </c>
      <c r="BL23" t="str">
        <f ca="1">IFERROR(IF(0=LEN(ReferenceData!$BL$23),"",ReferenceData!$BL$23),"")</f>
        <v/>
      </c>
      <c r="BM23" t="str">
        <f ca="1">IFERROR(IF(0=LEN(ReferenceData!$BM$23),"",ReferenceData!$BM$23),"")</f>
        <v/>
      </c>
    </row>
    <row r="24" spans="1:65" x14ac:dyDescent="0.25">
      <c r="A24" t="str">
        <f>IFERROR(IF(0=LEN(ReferenceData!$A$24),"",ReferenceData!$A$24),"")</f>
        <v xml:space="preserve">    Hyundai Motor Co</v>
      </c>
      <c r="B24" t="str">
        <f>IFERROR(IF(0=LEN(ReferenceData!$B$24),"",ReferenceData!$B$24),"")</f>
        <v>005380 KS Equity</v>
      </c>
      <c r="C24" t="str">
        <f>IFERROR(IF(0=LEN(ReferenceData!$C$24),"",ReferenceData!$C$24),"")</f>
        <v>RR844</v>
      </c>
      <c r="D24" t="str">
        <f>IFERROR(IF(0=LEN(ReferenceData!$D$24),"",ReferenceData!$D$24),"")</f>
        <v>T12M_DIL_EPS_CONT_OPS</v>
      </c>
      <c r="E24" t="str">
        <f>IFERROR(IF(0=LEN(ReferenceData!$E$24),"",ReferenceData!$E$24),"")</f>
        <v>Dynamic</v>
      </c>
      <c r="F24" t="str">
        <f ca="1">IFERROR(IF(0=LEN(ReferenceData!$F$24),"",ReferenceData!$F$24),"")</f>
        <v/>
      </c>
      <c r="G24" t="str">
        <f ca="1">IFERROR(IF(0=LEN(ReferenceData!$G$24),"",ReferenceData!$G$24),"")</f>
        <v/>
      </c>
      <c r="H24">
        <f ca="1">IFERROR(IF(0=LEN(ReferenceData!$H$24),"",ReferenceData!$H$24),"")</f>
        <v>9.2733349280000006</v>
      </c>
      <c r="I24">
        <f ca="1">IFERROR(IF(0=LEN(ReferenceData!$I$24),"",ReferenceData!$I$24),"")</f>
        <v>11.774787529999999</v>
      </c>
      <c r="J24">
        <f ca="1">IFERROR(IF(0=LEN(ReferenceData!$J$24),"",ReferenceData!$J$24),"")</f>
        <v>13.24994066</v>
      </c>
      <c r="K24">
        <f ca="1">IFERROR(IF(0=LEN(ReferenceData!$K$24),"",ReferenceData!$K$24),"")</f>
        <v>15.13019004</v>
      </c>
      <c r="L24">
        <f ca="1">IFERROR(IF(0=LEN(ReferenceData!$L$24),"",ReferenceData!$L$24),"")</f>
        <v>15.275870530000001</v>
      </c>
      <c r="M24">
        <f ca="1">IFERROR(IF(0=LEN(ReferenceData!$M$24),"",ReferenceData!$M$24),"")</f>
        <v>15.305138149999999</v>
      </c>
      <c r="N24">
        <f ca="1">IFERROR(IF(0=LEN(ReferenceData!$N$24),"",ReferenceData!$N$24),"")</f>
        <v>16.776317370000001</v>
      </c>
      <c r="O24">
        <f ca="1">IFERROR(IF(0=LEN(ReferenceData!$O$24),"",ReferenceData!$O$24),"")</f>
        <v>16.962551019999999</v>
      </c>
      <c r="P24">
        <f ca="1">IFERROR(IF(0=LEN(ReferenceData!$P$24),"",ReferenceData!$P$24),"")</f>
        <v>18.675316890000001</v>
      </c>
      <c r="Q24">
        <f ca="1">IFERROR(IF(0=LEN(ReferenceData!$Q$24),"",ReferenceData!$Q$24),"")</f>
        <v>18.734690610000001</v>
      </c>
      <c r="R24">
        <f ca="1">IFERROR(IF(0=LEN(ReferenceData!$R$24),"",ReferenceData!$R$24),"")</f>
        <v>19.101226560000001</v>
      </c>
      <c r="S24">
        <f ca="1">IFERROR(IF(0=LEN(ReferenceData!$S$24),"",ReferenceData!$S$24),"")</f>
        <v>20.980624890000001</v>
      </c>
      <c r="T24">
        <f ca="1">IFERROR(IF(0=LEN(ReferenceData!$T$24),"",ReferenceData!$T$24),"")</f>
        <v>21.436698280000002</v>
      </c>
      <c r="U24">
        <f ca="1">IFERROR(IF(0=LEN(ReferenceData!$U$24),"",ReferenceData!$U$24),"")</f>
        <v>23.405018680000001</v>
      </c>
      <c r="V24">
        <f ca="1">IFERROR(IF(0=LEN(ReferenceData!$V$24),"",ReferenceData!$V$24),"")</f>
        <v>25.656638789999999</v>
      </c>
      <c r="W24">
        <f ca="1">IFERROR(IF(0=LEN(ReferenceData!$W$24),"",ReferenceData!$W$24),"")</f>
        <v>25.83947736</v>
      </c>
      <c r="X24">
        <f ca="1">IFERROR(IF(0=LEN(ReferenceData!$X$24),"",ReferenceData!$X$24),"")</f>
        <v>26.17937191</v>
      </c>
      <c r="Y24">
        <f ca="1">IFERROR(IF(0=LEN(ReferenceData!$Y$24),"",ReferenceData!$Y$24),"")</f>
        <v>27.840433669999999</v>
      </c>
      <c r="Z24">
        <f ca="1">IFERROR(IF(0=LEN(ReferenceData!$Z$24),"",ReferenceData!$Z$24),"")</f>
        <v>27.7536296</v>
      </c>
      <c r="AA24">
        <f ca="1">IFERROR(IF(0=LEN(ReferenceData!$AA$24),"",ReferenceData!$AA$24),"")</f>
        <v>27.432648709999999</v>
      </c>
      <c r="AB24">
        <f ca="1">IFERROR(IF(0=LEN(ReferenceData!$AB$24),"",ReferenceData!$AB$24),"")</f>
        <v>27.825591930000002</v>
      </c>
      <c r="AC24">
        <f ca="1">IFERROR(IF(0=LEN(ReferenceData!$AC$24),"",ReferenceData!$AC$24),"")</f>
        <v>27.251503150000001</v>
      </c>
      <c r="AD24">
        <f ca="1">IFERROR(IF(0=LEN(ReferenceData!$AD$24),"",ReferenceData!$AD$24),"")</f>
        <v>27.140941219999998</v>
      </c>
      <c r="AE24">
        <f ca="1">IFERROR(IF(0=LEN(ReferenceData!$AE$24),"",ReferenceData!$AE$24),"")</f>
        <v>28.28739006</v>
      </c>
      <c r="AF24">
        <f ca="1">IFERROR(IF(0=LEN(ReferenceData!$AF$24),"",ReferenceData!$AF$24),"")</f>
        <v>28.181677329999999</v>
      </c>
      <c r="AG24">
        <f ca="1">IFERROR(IF(0=LEN(ReferenceData!$AG$24),"",ReferenceData!$AG$24),"")</f>
        <v>27.72878176</v>
      </c>
      <c r="AH24">
        <f ca="1">IFERROR(IF(0=LEN(ReferenceData!$AH$24),"",ReferenceData!$AH$24),"")</f>
        <v>26.897622500000001</v>
      </c>
      <c r="AI24">
        <f ca="1">IFERROR(IF(0=LEN(ReferenceData!$AI$24),"",ReferenceData!$AI$24),"")</f>
        <v>25.457605619999999</v>
      </c>
      <c r="AJ24">
        <f ca="1">IFERROR(IF(0=LEN(ReferenceData!$AJ$24),"",ReferenceData!$AJ$24),"")</f>
        <v>23.776876789999999</v>
      </c>
      <c r="AK24">
        <f ca="1">IFERROR(IF(0=LEN(ReferenceData!$AK$24),"",ReferenceData!$AK$24),"")</f>
        <v>22.18914307</v>
      </c>
      <c r="AL24">
        <f ca="1">IFERROR(IF(0=LEN(ReferenceData!$AL$24),"",ReferenceData!$AL$24),"")</f>
        <v>20.181844219999999</v>
      </c>
      <c r="AM24">
        <f ca="1">IFERROR(IF(0=LEN(ReferenceData!$AM$24),"",ReferenceData!$AM$24),"")</f>
        <v>18.331876600000001</v>
      </c>
      <c r="AN24" t="str">
        <f ca="1">IFERROR(IF(0=LEN(ReferenceData!$AN$24),"",ReferenceData!$AN$24),"")</f>
        <v/>
      </c>
      <c r="AO24" t="str">
        <f ca="1">IFERROR(IF(0=LEN(ReferenceData!$AO$24),"",ReferenceData!$AO$24),"")</f>
        <v/>
      </c>
      <c r="AP24" t="str">
        <f ca="1">IFERROR(IF(0=LEN(ReferenceData!$AP$24),"",ReferenceData!$AP$24),"")</f>
        <v/>
      </c>
      <c r="AQ24" t="str">
        <f ca="1">IFERROR(IF(0=LEN(ReferenceData!$AQ$24),"",ReferenceData!$AQ$24),"")</f>
        <v/>
      </c>
      <c r="AR24" t="str">
        <f ca="1">IFERROR(IF(0=LEN(ReferenceData!$AR$24),"",ReferenceData!$AR$24),"")</f>
        <v/>
      </c>
      <c r="AS24" t="str">
        <f ca="1">IFERROR(IF(0=LEN(ReferenceData!$AS$24),"",ReferenceData!$AS$24),"")</f>
        <v/>
      </c>
      <c r="AT24" t="str">
        <f ca="1">IFERROR(IF(0=LEN(ReferenceData!$AT$24),"",ReferenceData!$AT$24),"")</f>
        <v/>
      </c>
      <c r="AU24" t="str">
        <f ca="1">IFERROR(IF(0=LEN(ReferenceData!$AU$24),"",ReferenceData!$AU$24),"")</f>
        <v/>
      </c>
      <c r="AV24" t="str">
        <f ca="1">IFERROR(IF(0=LEN(ReferenceData!$AV$24),"",ReferenceData!$AV$24),"")</f>
        <v/>
      </c>
      <c r="AW24" t="str">
        <f ca="1">IFERROR(IF(0=LEN(ReferenceData!$AW$24),"",ReferenceData!$AW$24),"")</f>
        <v/>
      </c>
      <c r="AX24" t="str">
        <f ca="1">IFERROR(IF(0=LEN(ReferenceData!$AX$24),"",ReferenceData!$AX$24),"")</f>
        <v/>
      </c>
      <c r="AY24" t="str">
        <f ca="1">IFERROR(IF(0=LEN(ReferenceData!$AY$24),"",ReferenceData!$AY$24),"")</f>
        <v/>
      </c>
      <c r="AZ24" t="str">
        <f ca="1">IFERROR(IF(0=LEN(ReferenceData!$AZ$24),"",ReferenceData!$AZ$24),"")</f>
        <v/>
      </c>
      <c r="BA24" t="str">
        <f ca="1">IFERROR(IF(0=LEN(ReferenceData!$BA$24),"",ReferenceData!$BA$24),"")</f>
        <v/>
      </c>
      <c r="BB24" t="str">
        <f ca="1">IFERROR(IF(0=LEN(ReferenceData!$BB$24),"",ReferenceData!$BB$24),"")</f>
        <v/>
      </c>
      <c r="BC24" t="str">
        <f ca="1">IFERROR(IF(0=LEN(ReferenceData!$BC$24),"",ReferenceData!$BC$24),"")</f>
        <v/>
      </c>
      <c r="BD24" t="str">
        <f ca="1">IFERROR(IF(0=LEN(ReferenceData!$BD$24),"",ReferenceData!$BD$24),"")</f>
        <v/>
      </c>
      <c r="BE24" t="str">
        <f ca="1">IFERROR(IF(0=LEN(ReferenceData!$BE$24),"",ReferenceData!$BE$24),"")</f>
        <v/>
      </c>
      <c r="BF24" t="str">
        <f ca="1">IFERROR(IF(0=LEN(ReferenceData!$BF$24),"",ReferenceData!$BF$24),"")</f>
        <v/>
      </c>
      <c r="BG24" t="str">
        <f ca="1">IFERROR(IF(0=LEN(ReferenceData!$BG$24),"",ReferenceData!$BG$24),"")</f>
        <v/>
      </c>
      <c r="BH24" t="str">
        <f ca="1">IFERROR(IF(0=LEN(ReferenceData!$BH$24),"",ReferenceData!$BH$24),"")</f>
        <v/>
      </c>
      <c r="BI24" t="str">
        <f ca="1">IFERROR(IF(0=LEN(ReferenceData!$BI$24),"",ReferenceData!$BI$24),"")</f>
        <v/>
      </c>
      <c r="BJ24" t="str">
        <f ca="1">IFERROR(IF(0=LEN(ReferenceData!$BJ$24),"",ReferenceData!$BJ$24),"")</f>
        <v/>
      </c>
      <c r="BK24" t="str">
        <f ca="1">IFERROR(IF(0=LEN(ReferenceData!$BK$24),"",ReferenceData!$BK$24),"")</f>
        <v/>
      </c>
      <c r="BL24" t="str">
        <f ca="1">IFERROR(IF(0=LEN(ReferenceData!$BL$24),"",ReferenceData!$BL$24),"")</f>
        <v/>
      </c>
      <c r="BM24" t="str">
        <f ca="1">IFERROR(IF(0=LEN(ReferenceData!$BM$24),"",ReferenceData!$BM$24),"")</f>
        <v/>
      </c>
    </row>
    <row r="25" spans="1:65" x14ac:dyDescent="0.25">
      <c r="A25" t="str">
        <f>IFERROR(IF(0=LEN(ReferenceData!$A$25),"",ReferenceData!$A$25),"")</f>
        <v xml:space="preserve">    Kia Motors Corp</v>
      </c>
      <c r="B25" t="str">
        <f>IFERROR(IF(0=LEN(ReferenceData!$B$25),"",ReferenceData!$B$25),"")</f>
        <v>000270 KS Equity</v>
      </c>
      <c r="C25" t="str">
        <f>IFERROR(IF(0=LEN(ReferenceData!$C$25),"",ReferenceData!$C$25),"")</f>
        <v>RR844</v>
      </c>
      <c r="D25" t="str">
        <f>IFERROR(IF(0=LEN(ReferenceData!$D$25),"",ReferenceData!$D$25),"")</f>
        <v>T12M_DIL_EPS_CONT_OPS</v>
      </c>
      <c r="E25" t="str">
        <f>IFERROR(IF(0=LEN(ReferenceData!$E$25),"",ReferenceData!$E$25),"")</f>
        <v>Dynamic</v>
      </c>
      <c r="F25" t="str">
        <f ca="1">IFERROR(IF(0=LEN(ReferenceData!$F$25),"",ReferenceData!$F$25),"")</f>
        <v/>
      </c>
      <c r="G25" t="str">
        <f ca="1">IFERROR(IF(0=LEN(ReferenceData!$G$25),"",ReferenceData!$G$25),"")</f>
        <v/>
      </c>
      <c r="H25">
        <f ca="1">IFERROR(IF(0=LEN(ReferenceData!$H$25),"",ReferenceData!$H$25),"")</f>
        <v>2.7290111019999999</v>
      </c>
      <c r="I25">
        <f ca="1">IFERROR(IF(0=LEN(ReferenceData!$I$25),"",ReferenceData!$I$25),"")</f>
        <v>1.3720441480000001</v>
      </c>
      <c r="J25">
        <f ca="1">IFERROR(IF(0=LEN(ReferenceData!$J$25),"",ReferenceData!$J$25),"")</f>
        <v>1.4156535779999999</v>
      </c>
      <c r="K25">
        <f ca="1">IFERROR(IF(0=LEN(ReferenceData!$K$25),"",ReferenceData!$K$25),"")</f>
        <v>2.1432156830000002</v>
      </c>
      <c r="L25">
        <f ca="1">IFERROR(IF(0=LEN(ReferenceData!$L$25),"",ReferenceData!$L$25),"")</f>
        <v>2.6566518650000002</v>
      </c>
      <c r="M25">
        <f ca="1">IFERROR(IF(0=LEN(ReferenceData!$M$25),"",ReferenceData!$M$25),"")</f>
        <v>4.7675746520000004</v>
      </c>
      <c r="N25">
        <f ca="1">IFERROR(IF(0=LEN(ReferenceData!$N$25),"",ReferenceData!$N$25),"")</f>
        <v>5.6942674880000004</v>
      </c>
      <c r="O25">
        <f ca="1">IFERROR(IF(0=LEN(ReferenceData!$O$25),"",ReferenceData!$O$25),"")</f>
        <v>6.0393989350000004</v>
      </c>
      <c r="P25">
        <f ca="1">IFERROR(IF(0=LEN(ReferenceData!$P$25),"",ReferenceData!$P$25),"")</f>
        <v>6.5102017700000001</v>
      </c>
      <c r="Q25">
        <f ca="1">IFERROR(IF(0=LEN(ReferenceData!$Q$25),"",ReferenceData!$Q$25),"")</f>
        <v>5.9567802859999999</v>
      </c>
      <c r="R25">
        <f ca="1">IFERROR(IF(0=LEN(ReferenceData!$R$25),"",ReferenceData!$R$25),"")</f>
        <v>5.8876571069999999</v>
      </c>
      <c r="S25">
        <f ca="1">IFERROR(IF(0=LEN(ReferenceData!$S$25),"",ReferenceData!$S$25),"")</f>
        <v>5.8861127639999999</v>
      </c>
      <c r="T25">
        <f ca="1">IFERROR(IF(0=LEN(ReferenceData!$T$25),"",ReferenceData!$T$25),"")</f>
        <v>5.6808859060000003</v>
      </c>
      <c r="U25">
        <f ca="1">IFERROR(IF(0=LEN(ReferenceData!$U$25),"",ReferenceData!$U$25),"")</f>
        <v>6.3590533239999996</v>
      </c>
      <c r="V25">
        <f ca="1">IFERROR(IF(0=LEN(ReferenceData!$V$25),"",ReferenceData!$V$25),"")</f>
        <v>7.0915393800000004</v>
      </c>
      <c r="W25">
        <f ca="1">IFERROR(IF(0=LEN(ReferenceData!$W$25),"",ReferenceData!$W$25),"")</f>
        <v>7.0845661880000002</v>
      </c>
      <c r="X25">
        <f ca="1">IFERROR(IF(0=LEN(ReferenceData!$X$25),"",ReferenceData!$X$25),"")</f>
        <v>7.9910308790000002</v>
      </c>
      <c r="Y25">
        <f ca="1">IFERROR(IF(0=LEN(ReferenceData!$Y$25),"",ReferenceData!$Y$25),"")</f>
        <v>8.4126493250000003</v>
      </c>
      <c r="Z25">
        <f ca="1">IFERROR(IF(0=LEN(ReferenceData!$Z$25),"",ReferenceData!$Z$25),"")</f>
        <v>8.5844831070000005</v>
      </c>
      <c r="AA25">
        <f ca="1">IFERROR(IF(0=LEN(ReferenceData!$AA$25),"",ReferenceData!$AA$25),"")</f>
        <v>8.3401028030000006</v>
      </c>
      <c r="AB25">
        <f ca="1">IFERROR(IF(0=LEN(ReferenceData!$AB$25),"",ReferenceData!$AB$25),"")</f>
        <v>8.1385938790000001</v>
      </c>
      <c r="AC25">
        <f ca="1">IFERROR(IF(0=LEN(ReferenceData!$AC$25),"",ReferenceData!$AC$25),"")</f>
        <v>7.9126943970000001</v>
      </c>
      <c r="AD25">
        <f ca="1">IFERROR(IF(0=LEN(ReferenceData!$AD$25),"",ReferenceData!$AD$25),"")</f>
        <v>7.6790196020000003</v>
      </c>
      <c r="AE25">
        <f ca="1">IFERROR(IF(0=LEN(ReferenceData!$AE$25),"",ReferenceData!$AE$25),"")</f>
        <v>8.4104047719999997</v>
      </c>
      <c r="AF25">
        <f ca="1">IFERROR(IF(0=LEN(ReferenceData!$AF$25),"",ReferenceData!$AF$25),"")</f>
        <v>8.3675596209999998</v>
      </c>
      <c r="AG25">
        <f ca="1">IFERROR(IF(0=LEN(ReferenceData!$AG$25),"",ReferenceData!$AG$25),"")</f>
        <v>8.0144768220000007</v>
      </c>
      <c r="AH25">
        <f ca="1">IFERROR(IF(0=LEN(ReferenceData!$AH$25),"",ReferenceData!$AH$25),"")</f>
        <v>8.178787711</v>
      </c>
      <c r="AI25">
        <f ca="1">IFERROR(IF(0=LEN(ReferenceData!$AI$25),"",ReferenceData!$AI$25),"")</f>
        <v>7.7062058369999997</v>
      </c>
      <c r="AJ25">
        <f ca="1">IFERROR(IF(0=LEN(ReferenceData!$AJ$25),"",ReferenceData!$AJ$25),"")</f>
        <v>7.8938634910000003</v>
      </c>
      <c r="AK25">
        <f ca="1">IFERROR(IF(0=LEN(ReferenceData!$AK$25),"",ReferenceData!$AK$25),"")</f>
        <v>7.9184891400000001</v>
      </c>
      <c r="AL25">
        <f ca="1">IFERROR(IF(0=LEN(ReferenceData!$AL$25),"",ReferenceData!$AL$25),"")</f>
        <v>6.7908764120000003</v>
      </c>
      <c r="AM25">
        <f ca="1">IFERROR(IF(0=LEN(ReferenceData!$AM$25),"",ReferenceData!$AM$25),"")</f>
        <v>5.8043286930000004</v>
      </c>
      <c r="AN25" t="str">
        <f ca="1">IFERROR(IF(0=LEN(ReferenceData!$AN$25),"",ReferenceData!$AN$25),"")</f>
        <v/>
      </c>
      <c r="AO25" t="str">
        <f ca="1">IFERROR(IF(0=LEN(ReferenceData!$AO$25),"",ReferenceData!$AO$25),"")</f>
        <v/>
      </c>
      <c r="AP25" t="str">
        <f ca="1">IFERROR(IF(0=LEN(ReferenceData!$AP$25),"",ReferenceData!$AP$25),"")</f>
        <v/>
      </c>
      <c r="AQ25" t="str">
        <f ca="1">IFERROR(IF(0=LEN(ReferenceData!$AQ$25),"",ReferenceData!$AQ$25),"")</f>
        <v/>
      </c>
      <c r="AR25" t="str">
        <f ca="1">IFERROR(IF(0=LEN(ReferenceData!$AR$25),"",ReferenceData!$AR$25),"")</f>
        <v/>
      </c>
      <c r="AS25" t="str">
        <f ca="1">IFERROR(IF(0=LEN(ReferenceData!$AS$25),"",ReferenceData!$AS$25),"")</f>
        <v/>
      </c>
      <c r="AT25" t="str">
        <f ca="1">IFERROR(IF(0=LEN(ReferenceData!$AT$25),"",ReferenceData!$AT$25),"")</f>
        <v/>
      </c>
      <c r="AU25" t="str">
        <f ca="1">IFERROR(IF(0=LEN(ReferenceData!$AU$25),"",ReferenceData!$AU$25),"")</f>
        <v/>
      </c>
      <c r="AV25" t="str">
        <f ca="1">IFERROR(IF(0=LEN(ReferenceData!$AV$25),"",ReferenceData!$AV$25),"")</f>
        <v/>
      </c>
      <c r="AW25" t="str">
        <f ca="1">IFERROR(IF(0=LEN(ReferenceData!$AW$25),"",ReferenceData!$AW$25),"")</f>
        <v/>
      </c>
      <c r="AX25" t="str">
        <f ca="1">IFERROR(IF(0=LEN(ReferenceData!$AX$25),"",ReferenceData!$AX$25),"")</f>
        <v/>
      </c>
      <c r="AY25" t="str">
        <f ca="1">IFERROR(IF(0=LEN(ReferenceData!$AY$25),"",ReferenceData!$AY$25),"")</f>
        <v/>
      </c>
      <c r="AZ25" t="str">
        <f ca="1">IFERROR(IF(0=LEN(ReferenceData!$AZ$25),"",ReferenceData!$AZ$25),"")</f>
        <v/>
      </c>
      <c r="BA25" t="str">
        <f ca="1">IFERROR(IF(0=LEN(ReferenceData!$BA$25),"",ReferenceData!$BA$25),"")</f>
        <v/>
      </c>
      <c r="BB25" t="str">
        <f ca="1">IFERROR(IF(0=LEN(ReferenceData!$BB$25),"",ReferenceData!$BB$25),"")</f>
        <v/>
      </c>
      <c r="BC25" t="str">
        <f ca="1">IFERROR(IF(0=LEN(ReferenceData!$BC$25),"",ReferenceData!$BC$25),"")</f>
        <v/>
      </c>
      <c r="BD25" t="str">
        <f ca="1">IFERROR(IF(0=LEN(ReferenceData!$BD$25),"",ReferenceData!$BD$25),"")</f>
        <v/>
      </c>
      <c r="BE25" t="str">
        <f ca="1">IFERROR(IF(0=LEN(ReferenceData!$BE$25),"",ReferenceData!$BE$25),"")</f>
        <v/>
      </c>
      <c r="BF25" t="str">
        <f ca="1">IFERROR(IF(0=LEN(ReferenceData!$BF$25),"",ReferenceData!$BF$25),"")</f>
        <v/>
      </c>
      <c r="BG25" t="str">
        <f ca="1">IFERROR(IF(0=LEN(ReferenceData!$BG$25),"",ReferenceData!$BG$25),"")</f>
        <v/>
      </c>
      <c r="BH25" t="str">
        <f ca="1">IFERROR(IF(0=LEN(ReferenceData!$BH$25),"",ReferenceData!$BH$25),"")</f>
        <v/>
      </c>
      <c r="BI25" t="str">
        <f ca="1">IFERROR(IF(0=LEN(ReferenceData!$BI$25),"",ReferenceData!$BI$25),"")</f>
        <v/>
      </c>
      <c r="BJ25" t="str">
        <f ca="1">IFERROR(IF(0=LEN(ReferenceData!$BJ$25),"",ReferenceData!$BJ$25),"")</f>
        <v/>
      </c>
      <c r="BK25" t="str">
        <f ca="1">IFERROR(IF(0=LEN(ReferenceData!$BK$25),"",ReferenceData!$BK$25),"")</f>
        <v/>
      </c>
      <c r="BL25" t="str">
        <f ca="1">IFERROR(IF(0=LEN(ReferenceData!$BL$25),"",ReferenceData!$BL$25),"")</f>
        <v/>
      </c>
      <c r="BM25" t="str">
        <f ca="1">IFERROR(IF(0=LEN(ReferenceData!$BM$25),"",ReferenceData!$BM$25),"")</f>
        <v/>
      </c>
    </row>
    <row r="26" spans="1:65" x14ac:dyDescent="0.25">
      <c r="A26" t="str">
        <f>IFERROR(IF(0=LEN(ReferenceData!$A$26),"",ReferenceData!$A$26),"")</f>
        <v xml:space="preserve">    Mazda Motor Corp</v>
      </c>
      <c r="B26" t="str">
        <f>IFERROR(IF(0=LEN(ReferenceData!$B$26),"",ReferenceData!$B$26),"")</f>
        <v>7261 JP Equity</v>
      </c>
      <c r="C26" t="str">
        <f>IFERROR(IF(0=LEN(ReferenceData!$C$26),"",ReferenceData!$C$26),"")</f>
        <v>RR844</v>
      </c>
      <c r="D26" t="str">
        <f>IFERROR(IF(0=LEN(ReferenceData!$D$26),"",ReferenceData!$D$26),"")</f>
        <v>T12M_DIL_EPS_CONT_OPS</v>
      </c>
      <c r="E26" t="str">
        <f>IFERROR(IF(0=LEN(ReferenceData!$E$26),"",ReferenceData!$E$26),"")</f>
        <v>Dynamic</v>
      </c>
      <c r="F26" t="str">
        <f ca="1">IFERROR(IF(0=LEN(ReferenceData!$F$26),"",ReferenceData!$F$26),"")</f>
        <v/>
      </c>
      <c r="G26">
        <f ca="1">IFERROR(IF(0=LEN(ReferenceData!$G$26),"",ReferenceData!$G$26),"")</f>
        <v>1.0227353260000001</v>
      </c>
      <c r="H26">
        <f ca="1">IFERROR(IF(0=LEN(ReferenceData!$H$26),"",ReferenceData!$H$26),"")</f>
        <v>1.153540928</v>
      </c>
      <c r="I26">
        <f ca="1">IFERROR(IF(0=LEN(ReferenceData!$I$26),"",ReferenceData!$I$26),"")</f>
        <v>1.528732647</v>
      </c>
      <c r="J26">
        <f ca="1">IFERROR(IF(0=LEN(ReferenceData!$J$26),"",ReferenceData!$J$26),"")</f>
        <v>1.8041961040000001</v>
      </c>
      <c r="K26">
        <f ca="1">IFERROR(IF(0=LEN(ReferenceData!$K$26),"",ReferenceData!$K$26),"")</f>
        <v>1.6017608750000001</v>
      </c>
      <c r="L26">
        <f ca="1">IFERROR(IF(0=LEN(ReferenceData!$L$26),"",ReferenceData!$L$26),"")</f>
        <v>1.6598624529999999</v>
      </c>
      <c r="M26">
        <f ca="1">IFERROR(IF(0=LEN(ReferenceData!$M$26),"",ReferenceData!$M$26),"")</f>
        <v>1.7555122620000001</v>
      </c>
      <c r="N26">
        <f ca="1">IFERROR(IF(0=LEN(ReferenceData!$N$26),"",ReferenceData!$N$26),"")</f>
        <v>1.5682310699999999</v>
      </c>
      <c r="O26">
        <f ca="1">IFERROR(IF(0=LEN(ReferenceData!$O$26),"",ReferenceData!$O$26),"")</f>
        <v>1.506812644</v>
      </c>
      <c r="P26">
        <f ca="1">IFERROR(IF(0=LEN(ReferenceData!$P$26),"",ReferenceData!$P$26),"")</f>
        <v>1.638542969</v>
      </c>
      <c r="Q26">
        <f ca="1">IFERROR(IF(0=LEN(ReferenceData!$Q$26),"",ReferenceData!$Q$26),"")</f>
        <v>1.823291553</v>
      </c>
      <c r="R26">
        <f ca="1">IFERROR(IF(0=LEN(ReferenceData!$R$26),"",ReferenceData!$R$26),"")</f>
        <v>1.9383043529999999</v>
      </c>
      <c r="S26">
        <f ca="1">IFERROR(IF(0=LEN(ReferenceData!$S$26),"",ReferenceData!$S$26),"")</f>
        <v>2.1483371280000001</v>
      </c>
      <c r="T26">
        <f ca="1">IFERROR(IF(0=LEN(ReferenceData!$T$26),"",ReferenceData!$T$26),"")</f>
        <v>2.2429646540000001</v>
      </c>
      <c r="U26">
        <f ca="1">IFERROR(IF(0=LEN(ReferenceData!$U$26),"",ReferenceData!$U$26),"")</f>
        <v>2.2197326099999999</v>
      </c>
      <c r="V26">
        <f ca="1">IFERROR(IF(0=LEN(ReferenceData!$V$26),"",ReferenceData!$V$26),"")</f>
        <v>2.5083882169999998</v>
      </c>
      <c r="W26">
        <f ca="1">IFERROR(IF(0=LEN(ReferenceData!$W$26),"",ReferenceData!$W$26),"")</f>
        <v>3.0921410909999998</v>
      </c>
      <c r="X26">
        <f ca="1">IFERROR(IF(0=LEN(ReferenceData!$X$26),"",ReferenceData!$X$26),"")</f>
        <v>3.4035199980000002</v>
      </c>
      <c r="Y26">
        <f ca="1">IFERROR(IF(0=LEN(ReferenceData!$Y$26),"",ReferenceData!$Y$26),"")</f>
        <v>3.0428979310000002</v>
      </c>
      <c r="Z26">
        <f ca="1">IFERROR(IF(0=LEN(ReferenceData!$Z$26),"",ReferenceData!$Z$26),"")</f>
        <v>2.3375383649999999</v>
      </c>
      <c r="AA26">
        <f ca="1">IFERROR(IF(0=LEN(ReferenceData!$AA$26),"",ReferenceData!$AA$26),"")</f>
        <v>1.53579091</v>
      </c>
      <c r="AB26">
        <f ca="1">IFERROR(IF(0=LEN(ReferenceData!$AB$26),"",ReferenceData!$AB$26),"")</f>
        <v>1.0415070340000001</v>
      </c>
      <c r="AC26">
        <f ca="1">IFERROR(IF(0=LEN(ReferenceData!$AC$26),"",ReferenceData!$AC$26),"")</f>
        <v>0.844291825</v>
      </c>
      <c r="AD26">
        <f ca="1">IFERROR(IF(0=LEN(ReferenceData!$AD$26),"",ReferenceData!$AD$26),"")</f>
        <v>0.65969487100000002</v>
      </c>
      <c r="AE26">
        <f ca="1">IFERROR(IF(0=LEN(ReferenceData!$AE$26),"",ReferenceData!$AE$26),"")</f>
        <v>0.80320605</v>
      </c>
      <c r="AF26">
        <f ca="1">IFERROR(IF(0=LEN(ReferenceData!$AF$26),"",ReferenceData!$AF$26),"")</f>
        <v>-2.1999112959999998</v>
      </c>
      <c r="AG26">
        <f ca="1">IFERROR(IF(0=LEN(ReferenceData!$AG$26),"",ReferenceData!$AG$26),"")</f>
        <v>-2.863128433</v>
      </c>
      <c r="AH26">
        <f ca="1">IFERROR(IF(0=LEN(ReferenceData!$AH$26),"",ReferenceData!$AH$26),"")</f>
        <v>-3.5464341959999999</v>
      </c>
      <c r="AI26">
        <f ca="1">IFERROR(IF(0=LEN(ReferenceData!$AI$26),"",ReferenceData!$AI$26),"")</f>
        <v>-5.9084993709999996</v>
      </c>
      <c r="AJ26">
        <f ca="1">IFERROR(IF(0=LEN(ReferenceData!$AJ$26),"",ReferenceData!$AJ$26),"")</f>
        <v>-3.3910927370000001</v>
      </c>
      <c r="AK26">
        <f ca="1">IFERROR(IF(0=LEN(ReferenceData!$AK$26),"",ReferenceData!$AK$26),"")</f>
        <v>-2.564313507</v>
      </c>
      <c r="AL26">
        <f ca="1">IFERROR(IF(0=LEN(ReferenceData!$AL$26),"",ReferenceData!$AL$26),"")</f>
        <v>-1.744285348</v>
      </c>
      <c r="AM26">
        <f ca="1">IFERROR(IF(0=LEN(ReferenceData!$AM$26),"",ReferenceData!$AM$26),"")</f>
        <v>0.53677958999999997</v>
      </c>
      <c r="AN26">
        <f ca="1">IFERROR(IF(0=LEN(ReferenceData!$AN$26),"",ReferenceData!$AN$26),"")</f>
        <v>0.76057087000000001</v>
      </c>
      <c r="AO26">
        <f ca="1">IFERROR(IF(0=LEN(ReferenceData!$AO$26),"",ReferenceData!$AO$26),"")</f>
        <v>0.55834170800000005</v>
      </c>
      <c r="AP26">
        <f ca="1">IFERROR(IF(0=LEN(ReferenceData!$AP$26),"",ReferenceData!$AP$26),"")</f>
        <v>-0.30847797799999999</v>
      </c>
      <c r="AQ26">
        <f ca="1">IFERROR(IF(0=LEN(ReferenceData!$AQ$26),"",ReferenceData!$AQ$26),"")</f>
        <v>-3.9976082810000002</v>
      </c>
      <c r="AR26">
        <f ca="1">IFERROR(IF(0=LEN(ReferenceData!$AR$26),"",ReferenceData!$AR$26),"")</f>
        <v>-4.0976133810000004</v>
      </c>
      <c r="AS26">
        <f ca="1">IFERROR(IF(0=LEN(ReferenceData!$AS$26),"",ReferenceData!$AS$26),"")</f>
        <v>-3.4578079690000001</v>
      </c>
      <c r="AT26">
        <f ca="1">IFERROR(IF(0=LEN(ReferenceData!$AT$26),"",ReferenceData!$AT$26),"")</f>
        <v>-2.0605482670000002</v>
      </c>
      <c r="AU26" t="str">
        <f ca="1">IFERROR(IF(0=LEN(ReferenceData!$AU$26),"",ReferenceData!$AU$26),"")</f>
        <v/>
      </c>
      <c r="AV26" t="str">
        <f ca="1">IFERROR(IF(0=LEN(ReferenceData!$AV$26),"",ReferenceData!$AV$26),"")</f>
        <v/>
      </c>
      <c r="AW26" t="str">
        <f ca="1">IFERROR(IF(0=LEN(ReferenceData!$AW$26),"",ReferenceData!$AW$26),"")</f>
        <v/>
      </c>
      <c r="AX26" t="str">
        <f ca="1">IFERROR(IF(0=LEN(ReferenceData!$AX$26),"",ReferenceData!$AX$26),"")</f>
        <v/>
      </c>
      <c r="AY26" t="str">
        <f ca="1">IFERROR(IF(0=LEN(ReferenceData!$AY$26),"",ReferenceData!$AY$26),"")</f>
        <v/>
      </c>
      <c r="AZ26" t="str">
        <f ca="1">IFERROR(IF(0=LEN(ReferenceData!$AZ$26),"",ReferenceData!$AZ$26),"")</f>
        <v/>
      </c>
      <c r="BA26" t="str">
        <f ca="1">IFERROR(IF(0=LEN(ReferenceData!$BA$26),"",ReferenceData!$BA$26),"")</f>
        <v/>
      </c>
      <c r="BB26" t="str">
        <f ca="1">IFERROR(IF(0=LEN(ReferenceData!$BB$26),"",ReferenceData!$BB$26),"")</f>
        <v/>
      </c>
      <c r="BC26" t="str">
        <f ca="1">IFERROR(IF(0=LEN(ReferenceData!$BC$26),"",ReferenceData!$BC$26),"")</f>
        <v/>
      </c>
      <c r="BD26" t="str">
        <f ca="1">IFERROR(IF(0=LEN(ReferenceData!$BD$26),"",ReferenceData!$BD$26),"")</f>
        <v/>
      </c>
      <c r="BE26" t="str">
        <f ca="1">IFERROR(IF(0=LEN(ReferenceData!$BE$26),"",ReferenceData!$BE$26),"")</f>
        <v/>
      </c>
      <c r="BF26" t="str">
        <f ca="1">IFERROR(IF(0=LEN(ReferenceData!$BF$26),"",ReferenceData!$BF$26),"")</f>
        <v/>
      </c>
      <c r="BG26" t="str">
        <f ca="1">IFERROR(IF(0=LEN(ReferenceData!$BG$26),"",ReferenceData!$BG$26),"")</f>
        <v/>
      </c>
      <c r="BH26" t="str">
        <f ca="1">IFERROR(IF(0=LEN(ReferenceData!$BH$26),"",ReferenceData!$BH$26),"")</f>
        <v/>
      </c>
      <c r="BI26" t="str">
        <f ca="1">IFERROR(IF(0=LEN(ReferenceData!$BI$26),"",ReferenceData!$BI$26),"")</f>
        <v/>
      </c>
      <c r="BJ26" t="str">
        <f ca="1">IFERROR(IF(0=LEN(ReferenceData!$BJ$26),"",ReferenceData!$BJ$26),"")</f>
        <v/>
      </c>
      <c r="BK26" t="str">
        <f ca="1">IFERROR(IF(0=LEN(ReferenceData!$BK$26),"",ReferenceData!$BK$26),"")</f>
        <v/>
      </c>
      <c r="BL26" t="str">
        <f ca="1">IFERROR(IF(0=LEN(ReferenceData!$BL$26),"",ReferenceData!$BL$26),"")</f>
        <v/>
      </c>
      <c r="BM26" t="str">
        <f ca="1">IFERROR(IF(0=LEN(ReferenceData!$BM$26),"",ReferenceData!$BM$26),"")</f>
        <v/>
      </c>
    </row>
    <row r="27" spans="1:65" x14ac:dyDescent="0.25">
      <c r="A27" t="str">
        <f>IFERROR(IF(0=LEN(ReferenceData!$A$27),"",ReferenceData!$A$27),"")</f>
        <v xml:space="preserve">    Mitsubishi Motors Corp</v>
      </c>
      <c r="B27" t="str">
        <f>IFERROR(IF(0=LEN(ReferenceData!$B$27),"",ReferenceData!$B$27),"")</f>
        <v>7211 JP Equity</v>
      </c>
      <c r="C27" t="str">
        <f>IFERROR(IF(0=LEN(ReferenceData!$C$27),"",ReferenceData!$C$27),"")</f>
        <v>RR844</v>
      </c>
      <c r="D27" t="str">
        <f>IFERROR(IF(0=LEN(ReferenceData!$D$27),"",ReferenceData!$D$27),"")</f>
        <v>T12M_DIL_EPS_CONT_OPS</v>
      </c>
      <c r="E27" t="str">
        <f>IFERROR(IF(0=LEN(ReferenceData!$E$27),"",ReferenceData!$E$27),"")</f>
        <v>Dynamic</v>
      </c>
      <c r="F27" t="str">
        <f ca="1">IFERROR(IF(0=LEN(ReferenceData!$F$27),"",ReferenceData!$F$27),"")</f>
        <v/>
      </c>
      <c r="G27">
        <f ca="1">IFERROR(IF(0=LEN(ReferenceData!$G$27),"",ReferenceData!$G$27),"")</f>
        <v>0.68577255500000001</v>
      </c>
      <c r="H27">
        <f ca="1">IFERROR(IF(0=LEN(ReferenceData!$H$27),"",ReferenceData!$H$27),"")</f>
        <v>0.71373199399999998</v>
      </c>
      <c r="I27">
        <f ca="1">IFERROR(IF(0=LEN(ReferenceData!$I$27),"",ReferenceData!$I$27),"")</f>
        <v>0.72235718699999996</v>
      </c>
      <c r="J27">
        <f ca="1">IFERROR(IF(0=LEN(ReferenceData!$J$27),"",ReferenceData!$J$27),"")</f>
        <v>0.69105771100000002</v>
      </c>
      <c r="K27">
        <f ca="1">IFERROR(IF(0=LEN(ReferenceData!$K$27),"",ReferenceData!$K$27),"")</f>
        <v>0.658445999</v>
      </c>
      <c r="L27">
        <f ca="1">IFERROR(IF(0=LEN(ReferenceData!$L$27),"",ReferenceData!$L$27),"")</f>
        <v>0.573139332</v>
      </c>
      <c r="M27">
        <f ca="1">IFERROR(IF(0=LEN(ReferenceData!$M$27),"",ReferenceData!$M$27),"")</f>
        <v>-0.423937542</v>
      </c>
      <c r="N27">
        <f ca="1">IFERROR(IF(0=LEN(ReferenceData!$N$27),"",ReferenceData!$N$27),"")</f>
        <v>-1.790764391</v>
      </c>
      <c r="O27">
        <f ca="1">IFERROR(IF(0=LEN(ReferenceData!$O$27),"",ReferenceData!$O$27),"")</f>
        <v>-1.8967199669999999</v>
      </c>
      <c r="P27">
        <f ca="1">IFERROR(IF(0=LEN(ReferenceData!$P$27),"",ReferenceData!$P$27),"")</f>
        <v>-1.569118564</v>
      </c>
      <c r="Q27">
        <f ca="1">IFERROR(IF(0=LEN(ReferenceData!$Q$27),"",ReferenceData!$Q$27),"")</f>
        <v>-0.45718233699999999</v>
      </c>
      <c r="R27">
        <f ca="1">IFERROR(IF(0=LEN(ReferenceData!$R$27),"",ReferenceData!$R$27),"")</f>
        <v>0.80964166500000001</v>
      </c>
      <c r="S27">
        <f ca="1">IFERROR(IF(0=LEN(ReferenceData!$S$27),"",ReferenceData!$S$27),"")</f>
        <v>0.97148565200000003</v>
      </c>
      <c r="T27">
        <f ca="1">IFERROR(IF(0=LEN(ReferenceData!$T$27),"",ReferenceData!$T$27),"")</f>
        <v>1.0118288090000001</v>
      </c>
      <c r="U27">
        <f ca="1">IFERROR(IF(0=LEN(ReferenceData!$U$27),"",ReferenceData!$U$27),"")</f>
        <v>1.098292831</v>
      </c>
      <c r="V27">
        <f ca="1">IFERROR(IF(0=LEN(ReferenceData!$V$27),"",ReferenceData!$V$27),"")</f>
        <v>1.2423877569999999</v>
      </c>
      <c r="W27">
        <f ca="1">IFERROR(IF(0=LEN(ReferenceData!$W$27),"",ReferenceData!$W$27),"")</f>
        <v>1.1248032939999999</v>
      </c>
      <c r="X27">
        <f ca="1">IFERROR(IF(0=LEN(ReferenceData!$X$27),"",ReferenceData!$X$27),"")</f>
        <v>1.2189296110000001</v>
      </c>
      <c r="Y27">
        <f ca="1">IFERROR(IF(0=LEN(ReferenceData!$Y$27),"",ReferenceData!$Y$27),"")</f>
        <v>1.2109314200000001</v>
      </c>
      <c r="Z27">
        <f ca="1">IFERROR(IF(0=LEN(ReferenceData!$Z$27),"",ReferenceData!$Z$27),"")</f>
        <v>1.103700938</v>
      </c>
      <c r="AA27">
        <f ca="1">IFERROR(IF(0=LEN(ReferenceData!$AA$27),"",ReferenceData!$AA$27),"")</f>
        <v>1.238347911</v>
      </c>
      <c r="AB27">
        <f ca="1">IFERROR(IF(0=LEN(ReferenceData!$AB$27),"",ReferenceData!$AB$27),"")</f>
        <v>0.74462955099999995</v>
      </c>
      <c r="AC27">
        <f ca="1">IFERROR(IF(0=LEN(ReferenceData!$AC$27),"",ReferenceData!$AC$27),"")</f>
        <v>0.541617193</v>
      </c>
      <c r="AD27">
        <f ca="1">IFERROR(IF(0=LEN(ReferenceData!$AD$27),"",ReferenceData!$AD$27),"")</f>
        <v>0.51698550200000004</v>
      </c>
      <c r="AE27">
        <f ca="1">IFERROR(IF(0=LEN(ReferenceData!$AE$27),"",ReferenceData!$AE$27),"")</f>
        <v>0.469951334</v>
      </c>
      <c r="AF27">
        <f ca="1">IFERROR(IF(0=LEN(ReferenceData!$AF$27),"",ReferenceData!$AF$27),"")</f>
        <v>0.61260718700000005</v>
      </c>
      <c r="AG27">
        <f ca="1">IFERROR(IF(0=LEN(ReferenceData!$AG$27),"",ReferenceData!$AG$27),"")</f>
        <v>0.56574981999999996</v>
      </c>
      <c r="AH27">
        <f ca="1">IFERROR(IF(0=LEN(ReferenceData!$AH$27),"",ReferenceData!$AH$27),"")</f>
        <v>0.46246583600000002</v>
      </c>
      <c r="AI27">
        <f ca="1">IFERROR(IF(0=LEN(ReferenceData!$AI$27),"",ReferenceData!$AI$27),"")</f>
        <v>0.31403850999999999</v>
      </c>
      <c r="AJ27">
        <f ca="1">IFERROR(IF(0=LEN(ReferenceData!$AJ$27),"",ReferenceData!$AJ$27),"")</f>
        <v>0.32415745299999998</v>
      </c>
      <c r="AK27">
        <f ca="1">IFERROR(IF(0=LEN(ReferenceData!$AK$27),"",ReferenceData!$AK$27),"")</f>
        <v>0.33711464499999999</v>
      </c>
      <c r="AL27">
        <f ca="1">IFERROR(IF(0=LEN(ReferenceData!$AL$27),"",ReferenceData!$AL$27),"")</f>
        <v>7.0713032999999995E-2</v>
      </c>
      <c r="AM27">
        <f ca="1">IFERROR(IF(0=LEN(ReferenceData!$AM$27),"",ReferenceData!$AM$27),"")</f>
        <v>0.120182684</v>
      </c>
      <c r="AN27">
        <f ca="1">IFERROR(IF(0=LEN(ReferenceData!$AN$27),"",ReferenceData!$AN$27),"")</f>
        <v>0.18601457199999999</v>
      </c>
      <c r="AO27">
        <f ca="1">IFERROR(IF(0=LEN(ReferenceData!$AO$27),"",ReferenceData!$AO$27),"")</f>
        <v>-9.1947427999999998E-2</v>
      </c>
      <c r="AP27">
        <f ca="1">IFERROR(IF(0=LEN(ReferenceData!$AP$27),"",ReferenceData!$AP$27),"")</f>
        <v>-0.41902193900000001</v>
      </c>
      <c r="AQ27">
        <f ca="1">IFERROR(IF(0=LEN(ReferenceData!$AQ$27),"",ReferenceData!$AQ$27),"")</f>
        <v>-1.136706411</v>
      </c>
      <c r="AR27">
        <f ca="1">IFERROR(IF(0=LEN(ReferenceData!$AR$27),"",ReferenceData!$AR$27),"")</f>
        <v>-1.52811264</v>
      </c>
      <c r="AS27">
        <f ca="1">IFERROR(IF(0=LEN(ReferenceData!$AS$27),"",ReferenceData!$AS$27),"")</f>
        <v>-1.2831407189999999</v>
      </c>
      <c r="AT27">
        <f ca="1">IFERROR(IF(0=LEN(ReferenceData!$AT$27),"",ReferenceData!$AT$27),"")</f>
        <v>-0.655956557</v>
      </c>
      <c r="AU27" t="str">
        <f ca="1">IFERROR(IF(0=LEN(ReferenceData!$AU$27),"",ReferenceData!$AU$27),"")</f>
        <v/>
      </c>
      <c r="AV27" t="str">
        <f ca="1">IFERROR(IF(0=LEN(ReferenceData!$AV$27),"",ReferenceData!$AV$27),"")</f>
        <v/>
      </c>
      <c r="AW27" t="str">
        <f ca="1">IFERROR(IF(0=LEN(ReferenceData!$AW$27),"",ReferenceData!$AW$27),"")</f>
        <v/>
      </c>
      <c r="AX27" t="str">
        <f ca="1">IFERROR(IF(0=LEN(ReferenceData!$AX$27),"",ReferenceData!$AX$27),"")</f>
        <v/>
      </c>
      <c r="AY27" t="str">
        <f ca="1">IFERROR(IF(0=LEN(ReferenceData!$AY$27),"",ReferenceData!$AY$27),"")</f>
        <v/>
      </c>
      <c r="AZ27" t="str">
        <f ca="1">IFERROR(IF(0=LEN(ReferenceData!$AZ$27),"",ReferenceData!$AZ$27),"")</f>
        <v/>
      </c>
      <c r="BA27" t="str">
        <f ca="1">IFERROR(IF(0=LEN(ReferenceData!$BA$27),"",ReferenceData!$BA$27),"")</f>
        <v/>
      </c>
      <c r="BB27" t="str">
        <f ca="1">IFERROR(IF(0=LEN(ReferenceData!$BB$27),"",ReferenceData!$BB$27),"")</f>
        <v/>
      </c>
      <c r="BC27" t="str">
        <f ca="1">IFERROR(IF(0=LEN(ReferenceData!$BC$27),"",ReferenceData!$BC$27),"")</f>
        <v/>
      </c>
      <c r="BD27" t="str">
        <f ca="1">IFERROR(IF(0=LEN(ReferenceData!$BD$27),"",ReferenceData!$BD$27),"")</f>
        <v/>
      </c>
      <c r="BE27" t="str">
        <f ca="1">IFERROR(IF(0=LEN(ReferenceData!$BE$27),"",ReferenceData!$BE$27),"")</f>
        <v/>
      </c>
      <c r="BF27" t="str">
        <f ca="1">IFERROR(IF(0=LEN(ReferenceData!$BF$27),"",ReferenceData!$BF$27),"")</f>
        <v/>
      </c>
      <c r="BG27" t="str">
        <f ca="1">IFERROR(IF(0=LEN(ReferenceData!$BG$27),"",ReferenceData!$BG$27),"")</f>
        <v/>
      </c>
      <c r="BH27" t="str">
        <f ca="1">IFERROR(IF(0=LEN(ReferenceData!$BH$27),"",ReferenceData!$BH$27),"")</f>
        <v/>
      </c>
      <c r="BI27" t="str">
        <f ca="1">IFERROR(IF(0=LEN(ReferenceData!$BI$27),"",ReferenceData!$BI$27),"")</f>
        <v/>
      </c>
      <c r="BJ27" t="str">
        <f ca="1">IFERROR(IF(0=LEN(ReferenceData!$BJ$27),"",ReferenceData!$BJ$27),"")</f>
        <v/>
      </c>
      <c r="BK27" t="str">
        <f ca="1">IFERROR(IF(0=LEN(ReferenceData!$BK$27),"",ReferenceData!$BK$27),"")</f>
        <v/>
      </c>
      <c r="BL27" t="str">
        <f ca="1">IFERROR(IF(0=LEN(ReferenceData!$BL$27),"",ReferenceData!$BL$27),"")</f>
        <v/>
      </c>
      <c r="BM27" t="str">
        <f ca="1">IFERROR(IF(0=LEN(ReferenceData!$BM$27),"",ReferenceData!$BM$27),"")</f>
        <v/>
      </c>
    </row>
    <row r="28" spans="1:65" x14ac:dyDescent="0.25">
      <c r="A28" t="str">
        <f>IFERROR(IF(0=LEN(ReferenceData!$A$28),"",ReferenceData!$A$28),"")</f>
        <v xml:space="preserve">    Nissan Motor Co Ltd</v>
      </c>
      <c r="B28" t="str">
        <f>IFERROR(IF(0=LEN(ReferenceData!$B$28),"",ReferenceData!$B$28),"")</f>
        <v>7201 JP Equity</v>
      </c>
      <c r="C28" t="str">
        <f>IFERROR(IF(0=LEN(ReferenceData!$C$28),"",ReferenceData!$C$28),"")</f>
        <v>RR844</v>
      </c>
      <c r="D28" t="str">
        <f>IFERROR(IF(0=LEN(ReferenceData!$D$28),"",ReferenceData!$D$28),"")</f>
        <v>T12M_DIL_EPS_CONT_OPS</v>
      </c>
      <c r="E28" t="str">
        <f>IFERROR(IF(0=LEN(ReferenceData!$E$28),"",ReferenceData!$E$28),"")</f>
        <v>Dynamic</v>
      </c>
      <c r="F28" t="str">
        <f ca="1">IFERROR(IF(0=LEN(ReferenceData!$F$28),"",ReferenceData!$F$28),"")</f>
        <v/>
      </c>
      <c r="G28">
        <f ca="1">IFERROR(IF(0=LEN(ReferenceData!$G$28),"",ReferenceData!$G$28),"")</f>
        <v>1.1717731739999999</v>
      </c>
      <c r="H28">
        <f ca="1">IFERROR(IF(0=LEN(ReferenceData!$H$28),"",ReferenceData!$H$28),"")</f>
        <v>1.7107083240000001</v>
      </c>
      <c r="I28">
        <f ca="1">IFERROR(IF(0=LEN(ReferenceData!$I$28),"",ReferenceData!$I$28),"")</f>
        <v>1.7379154409999999</v>
      </c>
      <c r="J28">
        <f ca="1">IFERROR(IF(0=LEN(ReferenceData!$J$28),"",ReferenceData!$J$28),"")</f>
        <v>1.7785139940000001</v>
      </c>
      <c r="K28">
        <f ca="1">IFERROR(IF(0=LEN(ReferenceData!$K$28),"",ReferenceData!$K$28),"")</f>
        <v>1.735271451</v>
      </c>
      <c r="L28">
        <f ca="1">IFERROR(IF(0=LEN(ReferenceData!$L$28),"",ReferenceData!$L$28),"")</f>
        <v>1.352084719</v>
      </c>
      <c r="M28">
        <f ca="1">IFERROR(IF(0=LEN(ReferenceData!$M$28),"",ReferenceData!$M$28),"")</f>
        <v>1.3717423609999999</v>
      </c>
      <c r="N28">
        <f ca="1">IFERROR(IF(0=LEN(ReferenceData!$N$28),"",ReferenceData!$N$28),"")</f>
        <v>1.3681311169999999</v>
      </c>
      <c r="O28">
        <f ca="1">IFERROR(IF(0=LEN(ReferenceData!$O$28),"",ReferenceData!$O$28),"")</f>
        <v>1.107783894</v>
      </c>
      <c r="P28">
        <f ca="1">IFERROR(IF(0=LEN(ReferenceData!$P$28),"",ReferenceData!$P$28),"")</f>
        <v>1.055521435</v>
      </c>
      <c r="Q28">
        <f ca="1">IFERROR(IF(0=LEN(ReferenceData!$Q$28),"",ReferenceData!$Q$28),"")</f>
        <v>1.0734211709999999</v>
      </c>
      <c r="R28">
        <f ca="1">IFERROR(IF(0=LEN(ReferenceData!$R$28),"",ReferenceData!$R$28),"")</f>
        <v>1.0702487439999999</v>
      </c>
      <c r="S28">
        <f ca="1">IFERROR(IF(0=LEN(ReferenceData!$S$28),"",ReferenceData!$S$28),"")</f>
        <v>1.1677622139999999</v>
      </c>
      <c r="T28">
        <f ca="1">IFERROR(IF(0=LEN(ReferenceData!$T$28),"",ReferenceData!$T$28),"")</f>
        <v>1.1353573729999999</v>
      </c>
      <c r="U28">
        <f ca="1">IFERROR(IF(0=LEN(ReferenceData!$U$28),"",ReferenceData!$U$28),"")</f>
        <v>1.0751048439999999</v>
      </c>
      <c r="V28">
        <f ca="1">IFERROR(IF(0=LEN(ReferenceData!$V$28),"",ReferenceData!$V$28),"")</f>
        <v>1.031809172</v>
      </c>
      <c r="W28">
        <f ca="1">IFERROR(IF(0=LEN(ReferenceData!$W$28),"",ReferenceData!$W$28),"")</f>
        <v>1.0391703290000001</v>
      </c>
      <c r="X28">
        <f ca="1">IFERROR(IF(0=LEN(ReferenceData!$X$28),"",ReferenceData!$X$28),"")</f>
        <v>1.0308220779999999</v>
      </c>
      <c r="Y28">
        <f ca="1">IFERROR(IF(0=LEN(ReferenceData!$Y$28),"",ReferenceData!$Y$28),"")</f>
        <v>1.0036143259999999</v>
      </c>
      <c r="Z28">
        <f ca="1">IFERROR(IF(0=LEN(ReferenceData!$Z$28),"",ReferenceData!$Z$28),"")</f>
        <v>0.94030938399999997</v>
      </c>
      <c r="AA28">
        <f ca="1">IFERROR(IF(0=LEN(ReferenceData!$AA$28),"",ReferenceData!$AA$28),"")</f>
        <v>0.95758137799999998</v>
      </c>
      <c r="AB28">
        <f ca="1">IFERROR(IF(0=LEN(ReferenceData!$AB$28),"",ReferenceData!$AB$28),"")</f>
        <v>0.93991687199999996</v>
      </c>
      <c r="AC28">
        <f ca="1">IFERROR(IF(0=LEN(ReferenceData!$AC$28),"",ReferenceData!$AC$28),"")</f>
        <v>0.99120522</v>
      </c>
      <c r="AD28">
        <f ca="1">IFERROR(IF(0=LEN(ReferenceData!$AD$28),"",ReferenceData!$AD$28),"")</f>
        <v>1.01406497</v>
      </c>
      <c r="AE28">
        <f ca="1">IFERROR(IF(0=LEN(ReferenceData!$AE$28),"",ReferenceData!$AE$28),"")</f>
        <v>0.89399710200000004</v>
      </c>
      <c r="AF28">
        <f ca="1">IFERROR(IF(0=LEN(ReferenceData!$AF$28),"",ReferenceData!$AF$28),"")</f>
        <v>0.99816300800000002</v>
      </c>
      <c r="AG28">
        <f ca="1">IFERROR(IF(0=LEN(ReferenceData!$AG$28),"",ReferenceData!$AG$28),"")</f>
        <v>0.97557137500000002</v>
      </c>
      <c r="AH28">
        <f ca="1">IFERROR(IF(0=LEN(ReferenceData!$AH$28),"",ReferenceData!$AH$28),"")</f>
        <v>1.0391027900000001</v>
      </c>
      <c r="AI28">
        <f ca="1">IFERROR(IF(0=LEN(ReferenceData!$AI$28),"",ReferenceData!$AI$28),"")</f>
        <v>1.042627974</v>
      </c>
      <c r="AJ28">
        <f ca="1">IFERROR(IF(0=LEN(ReferenceData!$AJ$28),"",ReferenceData!$AJ$28),"")</f>
        <v>1.0100939870000001</v>
      </c>
      <c r="AK28">
        <f ca="1">IFERROR(IF(0=LEN(ReferenceData!$AK$28),"",ReferenceData!$AK$28),"")</f>
        <v>0.98980256700000002</v>
      </c>
      <c r="AL28">
        <f ca="1">IFERROR(IF(0=LEN(ReferenceData!$AL$28),"",ReferenceData!$AL$28),"")</f>
        <v>0.99312290000000003</v>
      </c>
      <c r="AM28">
        <f ca="1">IFERROR(IF(0=LEN(ReferenceData!$AM$28),"",ReferenceData!$AM$28),"")</f>
        <v>0.83466747399999996</v>
      </c>
      <c r="AN28">
        <f ca="1">IFERROR(IF(0=LEN(ReferenceData!$AN$28),"",ReferenceData!$AN$28),"")</f>
        <v>0.73770907600000002</v>
      </c>
      <c r="AO28">
        <f ca="1">IFERROR(IF(0=LEN(ReferenceData!$AO$28),"",ReferenceData!$AO$28),"")</f>
        <v>0.53175566799999996</v>
      </c>
      <c r="AP28">
        <f ca="1">IFERROR(IF(0=LEN(ReferenceData!$AP$28),"",ReferenceData!$AP$28),"")</f>
        <v>0.208162721</v>
      </c>
      <c r="AQ28">
        <f ca="1">IFERROR(IF(0=LEN(ReferenceData!$AQ$28),"",ReferenceData!$AQ$28),"")</f>
        <v>-0.56478568399999995</v>
      </c>
      <c r="AR28">
        <f ca="1">IFERROR(IF(0=LEN(ReferenceData!$AR$28),"",ReferenceData!$AR$28),"")</f>
        <v>-0.90508060499999998</v>
      </c>
      <c r="AS28">
        <f ca="1">IFERROR(IF(0=LEN(ReferenceData!$AS$28),"",ReferenceData!$AS$28),"")</f>
        <v>-0.75648443899999995</v>
      </c>
      <c r="AT28">
        <f ca="1">IFERROR(IF(0=LEN(ReferenceData!$AT$28),"",ReferenceData!$AT$28),"")</f>
        <v>-0.56467441699999998</v>
      </c>
      <c r="AU28">
        <f ca="1">IFERROR(IF(0=LEN(ReferenceData!$AU$28),"",ReferenceData!$AU$28),"")</f>
        <v>0.44210174099999999</v>
      </c>
      <c r="AV28" t="str">
        <f ca="1">IFERROR(IF(0=LEN(ReferenceData!$AV$28),"",ReferenceData!$AV$28),"")</f>
        <v/>
      </c>
      <c r="AW28" t="str">
        <f ca="1">IFERROR(IF(0=LEN(ReferenceData!$AW$28),"",ReferenceData!$AW$28),"")</f>
        <v/>
      </c>
      <c r="AX28" t="str">
        <f ca="1">IFERROR(IF(0=LEN(ReferenceData!$AX$28),"",ReferenceData!$AX$28),"")</f>
        <v/>
      </c>
      <c r="AY28" t="str">
        <f ca="1">IFERROR(IF(0=LEN(ReferenceData!$AY$28),"",ReferenceData!$AY$28),"")</f>
        <v/>
      </c>
      <c r="AZ28" t="str">
        <f ca="1">IFERROR(IF(0=LEN(ReferenceData!$AZ$28),"",ReferenceData!$AZ$28),"")</f>
        <v/>
      </c>
      <c r="BA28" t="str">
        <f ca="1">IFERROR(IF(0=LEN(ReferenceData!$BA$28),"",ReferenceData!$BA$28),"")</f>
        <v/>
      </c>
      <c r="BB28" t="str">
        <f ca="1">IFERROR(IF(0=LEN(ReferenceData!$BB$28),"",ReferenceData!$BB$28),"")</f>
        <v/>
      </c>
      <c r="BC28" t="str">
        <f ca="1">IFERROR(IF(0=LEN(ReferenceData!$BC$28),"",ReferenceData!$BC$28),"")</f>
        <v/>
      </c>
      <c r="BD28" t="str">
        <f ca="1">IFERROR(IF(0=LEN(ReferenceData!$BD$28),"",ReferenceData!$BD$28),"")</f>
        <v/>
      </c>
      <c r="BE28" t="str">
        <f ca="1">IFERROR(IF(0=LEN(ReferenceData!$BE$28),"",ReferenceData!$BE$28),"")</f>
        <v/>
      </c>
      <c r="BF28" t="str">
        <f ca="1">IFERROR(IF(0=LEN(ReferenceData!$BF$28),"",ReferenceData!$BF$28),"")</f>
        <v/>
      </c>
      <c r="BG28" t="str">
        <f ca="1">IFERROR(IF(0=LEN(ReferenceData!$BG$28),"",ReferenceData!$BG$28),"")</f>
        <v/>
      </c>
      <c r="BH28" t="str">
        <f ca="1">IFERROR(IF(0=LEN(ReferenceData!$BH$28),"",ReferenceData!$BH$28),"")</f>
        <v/>
      </c>
      <c r="BI28" t="str">
        <f ca="1">IFERROR(IF(0=LEN(ReferenceData!$BI$28),"",ReferenceData!$BI$28),"")</f>
        <v/>
      </c>
      <c r="BJ28" t="str">
        <f ca="1">IFERROR(IF(0=LEN(ReferenceData!$BJ$28),"",ReferenceData!$BJ$28),"")</f>
        <v/>
      </c>
      <c r="BK28" t="str">
        <f ca="1">IFERROR(IF(0=LEN(ReferenceData!$BK$28),"",ReferenceData!$BK$28),"")</f>
        <v/>
      </c>
      <c r="BL28" t="str">
        <f ca="1">IFERROR(IF(0=LEN(ReferenceData!$BL$28),"",ReferenceData!$BL$28),"")</f>
        <v/>
      </c>
      <c r="BM28" t="str">
        <f ca="1">IFERROR(IF(0=LEN(ReferenceData!$BM$28),"",ReferenceData!$BM$28),"")</f>
        <v/>
      </c>
    </row>
    <row r="29" spans="1:65" x14ac:dyDescent="0.25">
      <c r="A29" t="str">
        <f>IFERROR(IF(0=LEN(ReferenceData!$A$29),"",ReferenceData!$A$29),"")</f>
        <v xml:space="preserve">    Peugeot SA</v>
      </c>
      <c r="B29" t="str">
        <f>IFERROR(IF(0=LEN(ReferenceData!$B$29),"",ReferenceData!$B$29),"")</f>
        <v>UG FP Equity</v>
      </c>
      <c r="C29" t="str">
        <f>IFERROR(IF(0=LEN(ReferenceData!$C$29),"",ReferenceData!$C$29),"")</f>
        <v>RR844</v>
      </c>
      <c r="D29" t="str">
        <f>IFERROR(IF(0=LEN(ReferenceData!$D$29),"",ReferenceData!$D$29),"")</f>
        <v>T12M_DIL_EPS_CONT_OPS</v>
      </c>
      <c r="E29" t="str">
        <f>IFERROR(IF(0=LEN(ReferenceData!$E$29),"",ReferenceData!$E$29),"")</f>
        <v>Dynamic</v>
      </c>
      <c r="F29" t="str">
        <f ca="1">IFERROR(IF(0=LEN(ReferenceData!$F$29),"",ReferenceData!$F$29),"")</f>
        <v/>
      </c>
      <c r="G29" t="str">
        <f ca="1">IFERROR(IF(0=LEN(ReferenceData!$G$29),"",ReferenceData!$G$29),"")</f>
        <v/>
      </c>
      <c r="H29" t="str">
        <f ca="1">IFERROR(IF(0=LEN(ReferenceData!$H$29),"",ReferenceData!$H$29),"")</f>
        <v/>
      </c>
      <c r="I29" t="str">
        <f ca="1">IFERROR(IF(0=LEN(ReferenceData!$I$29),"",ReferenceData!$I$29),"")</f>
        <v/>
      </c>
      <c r="J29" t="str">
        <f ca="1">IFERROR(IF(0=LEN(ReferenceData!$J$29),"",ReferenceData!$J$29),"")</f>
        <v/>
      </c>
      <c r="K29" t="str">
        <f ca="1">IFERROR(IF(0=LEN(ReferenceData!$K$29),"",ReferenceData!$K$29),"")</f>
        <v/>
      </c>
      <c r="L29" t="str">
        <f ca="1">IFERROR(IF(0=LEN(ReferenceData!$L$29),"",ReferenceData!$L$29),"")</f>
        <v/>
      </c>
      <c r="M29" t="str">
        <f ca="1">IFERROR(IF(0=LEN(ReferenceData!$M$29),"",ReferenceData!$M$29),"")</f>
        <v/>
      </c>
      <c r="N29" t="str">
        <f ca="1">IFERROR(IF(0=LEN(ReferenceData!$N$29),"",ReferenceData!$N$29),"")</f>
        <v/>
      </c>
      <c r="O29" t="str">
        <f ca="1">IFERROR(IF(0=LEN(ReferenceData!$O$29),"",ReferenceData!$O$29),"")</f>
        <v/>
      </c>
      <c r="P29" t="str">
        <f ca="1">IFERROR(IF(0=LEN(ReferenceData!$P$29),"",ReferenceData!$P$29),"")</f>
        <v/>
      </c>
      <c r="Q29" t="str">
        <f ca="1">IFERROR(IF(0=LEN(ReferenceData!$Q$29),"",ReferenceData!$Q$29),"")</f>
        <v/>
      </c>
      <c r="R29" t="str">
        <f ca="1">IFERROR(IF(0=LEN(ReferenceData!$R$29),"",ReferenceData!$R$29),"")</f>
        <v/>
      </c>
      <c r="S29" t="str">
        <f ca="1">IFERROR(IF(0=LEN(ReferenceData!$S$29),"",ReferenceData!$S$29),"")</f>
        <v/>
      </c>
      <c r="T29" t="str">
        <f ca="1">IFERROR(IF(0=LEN(ReferenceData!$T$29),"",ReferenceData!$T$29),"")</f>
        <v/>
      </c>
      <c r="U29" t="str">
        <f ca="1">IFERROR(IF(0=LEN(ReferenceData!$U$29),"",ReferenceData!$U$29),"")</f>
        <v/>
      </c>
      <c r="V29" t="str">
        <f ca="1">IFERROR(IF(0=LEN(ReferenceData!$V$29),"",ReferenceData!$V$29),"")</f>
        <v/>
      </c>
      <c r="W29" t="str">
        <f ca="1">IFERROR(IF(0=LEN(ReferenceData!$W$29),"",ReferenceData!$W$29),"")</f>
        <v/>
      </c>
      <c r="X29" t="str">
        <f ca="1">IFERROR(IF(0=LEN(ReferenceData!$X$29),"",ReferenceData!$X$29),"")</f>
        <v/>
      </c>
      <c r="Y29" t="str">
        <f ca="1">IFERROR(IF(0=LEN(ReferenceData!$Y$29),"",ReferenceData!$Y$29),"")</f>
        <v/>
      </c>
      <c r="Z29" t="str">
        <f ca="1">IFERROR(IF(0=LEN(ReferenceData!$Z$29),"",ReferenceData!$Z$29),"")</f>
        <v/>
      </c>
      <c r="AA29" t="str">
        <f ca="1">IFERROR(IF(0=LEN(ReferenceData!$AA$29),"",ReferenceData!$AA$29),"")</f>
        <v/>
      </c>
      <c r="AB29" t="str">
        <f ca="1">IFERROR(IF(0=LEN(ReferenceData!$AB$29),"",ReferenceData!$AB$29),"")</f>
        <v/>
      </c>
      <c r="AC29" t="str">
        <f ca="1">IFERROR(IF(0=LEN(ReferenceData!$AC$29),"",ReferenceData!$AC$29),"")</f>
        <v/>
      </c>
      <c r="AD29" t="str">
        <f ca="1">IFERROR(IF(0=LEN(ReferenceData!$AD$29),"",ReferenceData!$AD$29),"")</f>
        <v/>
      </c>
      <c r="AE29" t="str">
        <f ca="1">IFERROR(IF(0=LEN(ReferenceData!$AE$29),"",ReferenceData!$AE$29),"")</f>
        <v/>
      </c>
      <c r="AF29" t="str">
        <f ca="1">IFERROR(IF(0=LEN(ReferenceData!$AF$29),"",ReferenceData!$AF$29),"")</f>
        <v/>
      </c>
      <c r="AG29" t="str">
        <f ca="1">IFERROR(IF(0=LEN(ReferenceData!$AG$29),"",ReferenceData!$AG$29),"")</f>
        <v/>
      </c>
      <c r="AH29" t="str">
        <f ca="1">IFERROR(IF(0=LEN(ReferenceData!$AH$29),"",ReferenceData!$AH$29),"")</f>
        <v/>
      </c>
      <c r="AI29" t="str">
        <f ca="1">IFERROR(IF(0=LEN(ReferenceData!$AI$29),"",ReferenceData!$AI$29),"")</f>
        <v/>
      </c>
      <c r="AJ29" t="str">
        <f ca="1">IFERROR(IF(0=LEN(ReferenceData!$AJ$29),"",ReferenceData!$AJ$29),"")</f>
        <v/>
      </c>
      <c r="AK29" t="str">
        <f ca="1">IFERROR(IF(0=LEN(ReferenceData!$AK$29),"",ReferenceData!$AK$29),"")</f>
        <v/>
      </c>
      <c r="AL29" t="str">
        <f ca="1">IFERROR(IF(0=LEN(ReferenceData!$AL$29),"",ReferenceData!$AL$29),"")</f>
        <v/>
      </c>
      <c r="AM29" t="str">
        <f ca="1">IFERROR(IF(0=LEN(ReferenceData!$AM$29),"",ReferenceData!$AM$29),"")</f>
        <v/>
      </c>
      <c r="AN29" t="str">
        <f ca="1">IFERROR(IF(0=LEN(ReferenceData!$AN$29),"",ReferenceData!$AN$29),"")</f>
        <v/>
      </c>
      <c r="AO29" t="str">
        <f ca="1">IFERROR(IF(0=LEN(ReferenceData!$AO$29),"",ReferenceData!$AO$29),"")</f>
        <v/>
      </c>
      <c r="AP29" t="str">
        <f ca="1">IFERROR(IF(0=LEN(ReferenceData!$AP$29),"",ReferenceData!$AP$29),"")</f>
        <v/>
      </c>
      <c r="AQ29" t="str">
        <f ca="1">IFERROR(IF(0=LEN(ReferenceData!$AQ$29),"",ReferenceData!$AQ$29),"")</f>
        <v/>
      </c>
      <c r="AR29" t="str">
        <f ca="1">IFERROR(IF(0=LEN(ReferenceData!$AR$29),"",ReferenceData!$AR$29),"")</f>
        <v/>
      </c>
      <c r="AS29" t="str">
        <f ca="1">IFERROR(IF(0=LEN(ReferenceData!$AS$29),"",ReferenceData!$AS$29),"")</f>
        <v/>
      </c>
      <c r="AT29" t="str">
        <f ca="1">IFERROR(IF(0=LEN(ReferenceData!$AT$29),"",ReferenceData!$AT$29),"")</f>
        <v/>
      </c>
      <c r="AU29" t="str">
        <f ca="1">IFERROR(IF(0=LEN(ReferenceData!$AU$29),"",ReferenceData!$AU$29),"")</f>
        <v/>
      </c>
      <c r="AV29" t="str">
        <f ca="1">IFERROR(IF(0=LEN(ReferenceData!$AV$29),"",ReferenceData!$AV$29),"")</f>
        <v/>
      </c>
      <c r="AW29" t="str">
        <f ca="1">IFERROR(IF(0=LEN(ReferenceData!$AW$29),"",ReferenceData!$AW$29),"")</f>
        <v/>
      </c>
      <c r="AX29" t="str">
        <f ca="1">IFERROR(IF(0=LEN(ReferenceData!$AX$29),"",ReferenceData!$AX$29),"")</f>
        <v/>
      </c>
      <c r="AY29" t="str">
        <f ca="1">IFERROR(IF(0=LEN(ReferenceData!$AY$29),"",ReferenceData!$AY$29),"")</f>
        <v/>
      </c>
      <c r="AZ29" t="str">
        <f ca="1">IFERROR(IF(0=LEN(ReferenceData!$AZ$29),"",ReferenceData!$AZ$29),"")</f>
        <v/>
      </c>
      <c r="BA29" t="str">
        <f ca="1">IFERROR(IF(0=LEN(ReferenceData!$BA$29),"",ReferenceData!$BA$29),"")</f>
        <v/>
      </c>
      <c r="BB29" t="str">
        <f ca="1">IFERROR(IF(0=LEN(ReferenceData!$BB$29),"",ReferenceData!$BB$29),"")</f>
        <v/>
      </c>
      <c r="BC29" t="str">
        <f ca="1">IFERROR(IF(0=LEN(ReferenceData!$BC$29),"",ReferenceData!$BC$29),"")</f>
        <v/>
      </c>
      <c r="BD29" t="str">
        <f ca="1">IFERROR(IF(0=LEN(ReferenceData!$BD$29),"",ReferenceData!$BD$29),"")</f>
        <v/>
      </c>
      <c r="BE29" t="str">
        <f ca="1">IFERROR(IF(0=LEN(ReferenceData!$BE$29),"",ReferenceData!$BE$29),"")</f>
        <v/>
      </c>
      <c r="BF29" t="str">
        <f ca="1">IFERROR(IF(0=LEN(ReferenceData!$BF$29),"",ReferenceData!$BF$29),"")</f>
        <v/>
      </c>
      <c r="BG29" t="str">
        <f ca="1">IFERROR(IF(0=LEN(ReferenceData!$BG$29),"",ReferenceData!$BG$29),"")</f>
        <v/>
      </c>
      <c r="BH29" t="str">
        <f ca="1">IFERROR(IF(0=LEN(ReferenceData!$BH$29),"",ReferenceData!$BH$29),"")</f>
        <v/>
      </c>
      <c r="BI29" t="str">
        <f ca="1">IFERROR(IF(0=LEN(ReferenceData!$BI$29),"",ReferenceData!$BI$29),"")</f>
        <v/>
      </c>
      <c r="BJ29" t="str">
        <f ca="1">IFERROR(IF(0=LEN(ReferenceData!$BJ$29),"",ReferenceData!$BJ$29),"")</f>
        <v/>
      </c>
      <c r="BK29" t="str">
        <f ca="1">IFERROR(IF(0=LEN(ReferenceData!$BK$29),"",ReferenceData!$BK$29),"")</f>
        <v/>
      </c>
      <c r="BL29" t="str">
        <f ca="1">IFERROR(IF(0=LEN(ReferenceData!$BL$29),"",ReferenceData!$BL$29),"")</f>
        <v/>
      </c>
      <c r="BM29" t="str">
        <f ca="1">IFERROR(IF(0=LEN(ReferenceData!$BM$29),"",ReferenceData!$BM$29),"")</f>
        <v/>
      </c>
    </row>
    <row r="30" spans="1:65" x14ac:dyDescent="0.25">
      <c r="A30" t="str">
        <f>IFERROR(IF(0=LEN(ReferenceData!$A$30),"",ReferenceData!$A$30),"")</f>
        <v xml:space="preserve">    Renault SA</v>
      </c>
      <c r="B30" t="str">
        <f>IFERROR(IF(0=LEN(ReferenceData!$B$30),"",ReferenceData!$B$30),"")</f>
        <v>RNO FP Equity</v>
      </c>
      <c r="C30" t="str">
        <f>IFERROR(IF(0=LEN(ReferenceData!$C$30),"",ReferenceData!$C$30),"")</f>
        <v>RR844</v>
      </c>
      <c r="D30" t="str">
        <f>IFERROR(IF(0=LEN(ReferenceData!$D$30),"",ReferenceData!$D$30),"")</f>
        <v>T12M_DIL_EPS_CONT_OPS</v>
      </c>
      <c r="E30" t="str">
        <f>IFERROR(IF(0=LEN(ReferenceData!$E$30),"",ReferenceData!$E$30),"")</f>
        <v>Dynamic</v>
      </c>
      <c r="F30" t="str">
        <f ca="1">IFERROR(IF(0=LEN(ReferenceData!$F$30),"",ReferenceData!$F$30),"")</f>
        <v/>
      </c>
      <c r="G30" t="str">
        <f ca="1">IFERROR(IF(0=LEN(ReferenceData!$G$30),"",ReferenceData!$G$30),"")</f>
        <v/>
      </c>
      <c r="H30" t="str">
        <f ca="1">IFERROR(IF(0=LEN(ReferenceData!$H$30),"",ReferenceData!$H$30),"")</f>
        <v/>
      </c>
      <c r="I30" t="str">
        <f ca="1">IFERROR(IF(0=LEN(ReferenceData!$I$30),"",ReferenceData!$I$30),"")</f>
        <v/>
      </c>
      <c r="J30" t="str">
        <f ca="1">IFERROR(IF(0=LEN(ReferenceData!$J$30),"",ReferenceData!$J$30),"")</f>
        <v/>
      </c>
      <c r="K30" t="str">
        <f ca="1">IFERROR(IF(0=LEN(ReferenceData!$K$30),"",ReferenceData!$K$30),"")</f>
        <v/>
      </c>
      <c r="L30" t="str">
        <f ca="1">IFERROR(IF(0=LEN(ReferenceData!$L$30),"",ReferenceData!$L$30),"")</f>
        <v/>
      </c>
      <c r="M30" t="str">
        <f ca="1">IFERROR(IF(0=LEN(ReferenceData!$M$30),"",ReferenceData!$M$30),"")</f>
        <v/>
      </c>
      <c r="N30" t="str">
        <f ca="1">IFERROR(IF(0=LEN(ReferenceData!$N$30),"",ReferenceData!$N$30),"")</f>
        <v/>
      </c>
      <c r="O30" t="str">
        <f ca="1">IFERROR(IF(0=LEN(ReferenceData!$O$30),"",ReferenceData!$O$30),"")</f>
        <v/>
      </c>
      <c r="P30" t="str">
        <f ca="1">IFERROR(IF(0=LEN(ReferenceData!$P$30),"",ReferenceData!$P$30),"")</f>
        <v/>
      </c>
      <c r="Q30" t="str">
        <f ca="1">IFERROR(IF(0=LEN(ReferenceData!$Q$30),"",ReferenceData!$Q$30),"")</f>
        <v/>
      </c>
      <c r="R30" t="str">
        <f ca="1">IFERROR(IF(0=LEN(ReferenceData!$R$30),"",ReferenceData!$R$30),"")</f>
        <v/>
      </c>
      <c r="S30" t="str">
        <f ca="1">IFERROR(IF(0=LEN(ReferenceData!$S$30),"",ReferenceData!$S$30),"")</f>
        <v/>
      </c>
      <c r="T30" t="str">
        <f ca="1">IFERROR(IF(0=LEN(ReferenceData!$T$30),"",ReferenceData!$T$30),"")</f>
        <v/>
      </c>
      <c r="U30" t="str">
        <f ca="1">IFERROR(IF(0=LEN(ReferenceData!$U$30),"",ReferenceData!$U$30),"")</f>
        <v/>
      </c>
      <c r="V30" t="str">
        <f ca="1">IFERROR(IF(0=LEN(ReferenceData!$V$30),"",ReferenceData!$V$30),"")</f>
        <v/>
      </c>
      <c r="W30" t="str">
        <f ca="1">IFERROR(IF(0=LEN(ReferenceData!$W$30),"",ReferenceData!$W$30),"")</f>
        <v/>
      </c>
      <c r="X30" t="str">
        <f ca="1">IFERROR(IF(0=LEN(ReferenceData!$X$30),"",ReferenceData!$X$30),"")</f>
        <v/>
      </c>
      <c r="Y30" t="str">
        <f ca="1">IFERROR(IF(0=LEN(ReferenceData!$Y$30),"",ReferenceData!$Y$30),"")</f>
        <v/>
      </c>
      <c r="Z30" t="str">
        <f ca="1">IFERROR(IF(0=LEN(ReferenceData!$Z$30),"",ReferenceData!$Z$30),"")</f>
        <v/>
      </c>
      <c r="AA30" t="str">
        <f ca="1">IFERROR(IF(0=LEN(ReferenceData!$AA$30),"",ReferenceData!$AA$30),"")</f>
        <v/>
      </c>
      <c r="AB30" t="str">
        <f ca="1">IFERROR(IF(0=LEN(ReferenceData!$AB$30),"",ReferenceData!$AB$30),"")</f>
        <v/>
      </c>
      <c r="AC30" t="str">
        <f ca="1">IFERROR(IF(0=LEN(ReferenceData!$AC$30),"",ReferenceData!$AC$30),"")</f>
        <v/>
      </c>
      <c r="AD30" t="str">
        <f ca="1">IFERROR(IF(0=LEN(ReferenceData!$AD$30),"",ReferenceData!$AD$30),"")</f>
        <v/>
      </c>
      <c r="AE30" t="str">
        <f ca="1">IFERROR(IF(0=LEN(ReferenceData!$AE$30),"",ReferenceData!$AE$30),"")</f>
        <v/>
      </c>
      <c r="AF30" t="str">
        <f ca="1">IFERROR(IF(0=LEN(ReferenceData!$AF$30),"",ReferenceData!$AF$30),"")</f>
        <v/>
      </c>
      <c r="AG30" t="str">
        <f ca="1">IFERROR(IF(0=LEN(ReferenceData!$AG$30),"",ReferenceData!$AG$30),"")</f>
        <v/>
      </c>
      <c r="AH30" t="str">
        <f ca="1">IFERROR(IF(0=LEN(ReferenceData!$AH$30),"",ReferenceData!$AH$30),"")</f>
        <v/>
      </c>
      <c r="AI30" t="str">
        <f ca="1">IFERROR(IF(0=LEN(ReferenceData!$AI$30),"",ReferenceData!$AI$30),"")</f>
        <v/>
      </c>
      <c r="AJ30" t="str">
        <f ca="1">IFERROR(IF(0=LEN(ReferenceData!$AJ$30),"",ReferenceData!$AJ$30),"")</f>
        <v/>
      </c>
      <c r="AK30" t="str">
        <f ca="1">IFERROR(IF(0=LEN(ReferenceData!$AK$30),"",ReferenceData!$AK$30),"")</f>
        <v/>
      </c>
      <c r="AL30" t="str">
        <f ca="1">IFERROR(IF(0=LEN(ReferenceData!$AL$30),"",ReferenceData!$AL$30),"")</f>
        <v/>
      </c>
      <c r="AM30" t="str">
        <f ca="1">IFERROR(IF(0=LEN(ReferenceData!$AM$30),"",ReferenceData!$AM$30),"")</f>
        <v/>
      </c>
      <c r="AN30" t="str">
        <f ca="1">IFERROR(IF(0=LEN(ReferenceData!$AN$30),"",ReferenceData!$AN$30),"")</f>
        <v/>
      </c>
      <c r="AO30" t="str">
        <f ca="1">IFERROR(IF(0=LEN(ReferenceData!$AO$30),"",ReferenceData!$AO$30),"")</f>
        <v/>
      </c>
      <c r="AP30" t="str">
        <f ca="1">IFERROR(IF(0=LEN(ReferenceData!$AP$30),"",ReferenceData!$AP$30),"")</f>
        <v/>
      </c>
      <c r="AQ30" t="str">
        <f ca="1">IFERROR(IF(0=LEN(ReferenceData!$AQ$30),"",ReferenceData!$AQ$30),"")</f>
        <v/>
      </c>
      <c r="AR30" t="str">
        <f ca="1">IFERROR(IF(0=LEN(ReferenceData!$AR$30),"",ReferenceData!$AR$30),"")</f>
        <v/>
      </c>
      <c r="AS30" t="str">
        <f ca="1">IFERROR(IF(0=LEN(ReferenceData!$AS$30),"",ReferenceData!$AS$30),"")</f>
        <v/>
      </c>
      <c r="AT30" t="str">
        <f ca="1">IFERROR(IF(0=LEN(ReferenceData!$AT$30),"",ReferenceData!$AT$30),"")</f>
        <v/>
      </c>
      <c r="AU30" t="str">
        <f ca="1">IFERROR(IF(0=LEN(ReferenceData!$AU$30),"",ReferenceData!$AU$30),"")</f>
        <v/>
      </c>
      <c r="AV30" t="str">
        <f ca="1">IFERROR(IF(0=LEN(ReferenceData!$AV$30),"",ReferenceData!$AV$30),"")</f>
        <v/>
      </c>
      <c r="AW30" t="str">
        <f ca="1">IFERROR(IF(0=LEN(ReferenceData!$AW$30),"",ReferenceData!$AW$30),"")</f>
        <v/>
      </c>
      <c r="AX30" t="str">
        <f ca="1">IFERROR(IF(0=LEN(ReferenceData!$AX$30),"",ReferenceData!$AX$30),"")</f>
        <v/>
      </c>
      <c r="AY30" t="str">
        <f ca="1">IFERROR(IF(0=LEN(ReferenceData!$AY$30),"",ReferenceData!$AY$30),"")</f>
        <v/>
      </c>
      <c r="AZ30" t="str">
        <f ca="1">IFERROR(IF(0=LEN(ReferenceData!$AZ$30),"",ReferenceData!$AZ$30),"")</f>
        <v/>
      </c>
      <c r="BA30" t="str">
        <f ca="1">IFERROR(IF(0=LEN(ReferenceData!$BA$30),"",ReferenceData!$BA$30),"")</f>
        <v/>
      </c>
      <c r="BB30" t="str">
        <f ca="1">IFERROR(IF(0=LEN(ReferenceData!$BB$30),"",ReferenceData!$BB$30),"")</f>
        <v/>
      </c>
      <c r="BC30" t="str">
        <f ca="1">IFERROR(IF(0=LEN(ReferenceData!$BC$30),"",ReferenceData!$BC$30),"")</f>
        <v/>
      </c>
      <c r="BD30" t="str">
        <f ca="1">IFERROR(IF(0=LEN(ReferenceData!$BD$30),"",ReferenceData!$BD$30),"")</f>
        <v/>
      </c>
      <c r="BE30" t="str">
        <f ca="1">IFERROR(IF(0=LEN(ReferenceData!$BE$30),"",ReferenceData!$BE$30),"")</f>
        <v/>
      </c>
      <c r="BF30" t="str">
        <f ca="1">IFERROR(IF(0=LEN(ReferenceData!$BF$30),"",ReferenceData!$BF$30),"")</f>
        <v/>
      </c>
      <c r="BG30" t="str">
        <f ca="1">IFERROR(IF(0=LEN(ReferenceData!$BG$30),"",ReferenceData!$BG$30),"")</f>
        <v/>
      </c>
      <c r="BH30" t="str">
        <f ca="1">IFERROR(IF(0=LEN(ReferenceData!$BH$30),"",ReferenceData!$BH$30),"")</f>
        <v/>
      </c>
      <c r="BI30" t="str">
        <f ca="1">IFERROR(IF(0=LEN(ReferenceData!$BI$30),"",ReferenceData!$BI$30),"")</f>
        <v/>
      </c>
      <c r="BJ30" t="str">
        <f ca="1">IFERROR(IF(0=LEN(ReferenceData!$BJ$30),"",ReferenceData!$BJ$30),"")</f>
        <v/>
      </c>
      <c r="BK30" t="str">
        <f ca="1">IFERROR(IF(0=LEN(ReferenceData!$BK$30),"",ReferenceData!$BK$30),"")</f>
        <v/>
      </c>
      <c r="BL30" t="str">
        <f ca="1">IFERROR(IF(0=LEN(ReferenceData!$BL$30),"",ReferenceData!$BL$30),"")</f>
        <v/>
      </c>
      <c r="BM30" t="str">
        <f ca="1">IFERROR(IF(0=LEN(ReferenceData!$BM$30),"",ReferenceData!$BM$30),"")</f>
        <v/>
      </c>
    </row>
    <row r="31" spans="1:65" x14ac:dyDescent="0.25">
      <c r="A31" t="str">
        <f>IFERROR(IF(0=LEN(ReferenceData!$A$31),"",ReferenceData!$A$31),"")</f>
        <v xml:space="preserve">    SAIC Motor Corp Ltd</v>
      </c>
      <c r="B31" t="str">
        <f>IFERROR(IF(0=LEN(ReferenceData!$B$31),"",ReferenceData!$B$31),"")</f>
        <v>600104 CH Equity</v>
      </c>
      <c r="C31" t="str">
        <f>IFERROR(IF(0=LEN(ReferenceData!$C$31),"",ReferenceData!$C$31),"")</f>
        <v>RR844</v>
      </c>
      <c r="D31" t="str">
        <f>IFERROR(IF(0=LEN(ReferenceData!$D$31),"",ReferenceData!$D$31),"")</f>
        <v>T12M_DIL_EPS_CONT_OPS</v>
      </c>
      <c r="E31" t="str">
        <f>IFERROR(IF(0=LEN(ReferenceData!$E$31),"",ReferenceData!$E$31),"")</f>
        <v>Dynamic</v>
      </c>
      <c r="F31" t="str">
        <f ca="1">IFERROR(IF(0=LEN(ReferenceData!$F$31),"",ReferenceData!$F$31),"")</f>
        <v/>
      </c>
      <c r="G31" t="str">
        <f ca="1">IFERROR(IF(0=LEN(ReferenceData!$G$31),"",ReferenceData!$G$31),"")</f>
        <v/>
      </c>
      <c r="H31">
        <f ca="1">IFERROR(IF(0=LEN(ReferenceData!$H$31),"",ReferenceData!$H$31),"")</f>
        <v>0.486790536</v>
      </c>
      <c r="I31">
        <f ca="1">IFERROR(IF(0=LEN(ReferenceData!$I$31),"",ReferenceData!$I$31),"")</f>
        <v>0.49211444100000001</v>
      </c>
      <c r="J31">
        <f ca="1">IFERROR(IF(0=LEN(ReferenceData!$J$31),"",ReferenceData!$J$31),"")</f>
        <v>0.47095401799999997</v>
      </c>
      <c r="K31">
        <f ca="1">IFERROR(IF(0=LEN(ReferenceData!$K$31),"",ReferenceData!$K$31),"")</f>
        <v>0.44846909400000001</v>
      </c>
      <c r="L31">
        <f ca="1">IFERROR(IF(0=LEN(ReferenceData!$L$31),"",ReferenceData!$L$31),"")</f>
        <v>0.44565547100000003</v>
      </c>
      <c r="M31">
        <f ca="1">IFERROR(IF(0=LEN(ReferenceData!$M$31),"",ReferenceData!$M$31),"")</f>
        <v>0.44657635299999998</v>
      </c>
      <c r="N31">
        <f ca="1">IFERROR(IF(0=LEN(ReferenceData!$N$31),"",ReferenceData!$N$31),"")</f>
        <v>0.44910319500000001</v>
      </c>
      <c r="O31">
        <f ca="1">IFERROR(IF(0=LEN(ReferenceData!$O$31),"",ReferenceData!$O$31),"")</f>
        <v>0.45054206499999999</v>
      </c>
      <c r="P31">
        <f ca="1">IFERROR(IF(0=LEN(ReferenceData!$P$31),"",ReferenceData!$P$31),"")</f>
        <v>0.46581950300000002</v>
      </c>
      <c r="Q31">
        <f ca="1">IFERROR(IF(0=LEN(ReferenceData!$Q$31),"",ReferenceData!$Q$31),"")</f>
        <v>0.45672161700000002</v>
      </c>
      <c r="R31">
        <f ca="1">IFERROR(IF(0=LEN(ReferenceData!$R$31),"",ReferenceData!$R$31),"")</f>
        <v>0.45535974000000001</v>
      </c>
      <c r="S31">
        <f ca="1">IFERROR(IF(0=LEN(ReferenceData!$S$31),"",ReferenceData!$S$31),"")</f>
        <v>0.45801828500000002</v>
      </c>
      <c r="T31">
        <f ca="1">IFERROR(IF(0=LEN(ReferenceData!$T$31),"",ReferenceData!$T$31),"")</f>
        <v>0.45053422900000001</v>
      </c>
      <c r="U31">
        <f ca="1">IFERROR(IF(0=LEN(ReferenceData!$U$31),"",ReferenceData!$U$31),"")</f>
        <v>0.44951897200000002</v>
      </c>
      <c r="V31">
        <f ca="1">IFERROR(IF(0=LEN(ReferenceData!$V$31),"",ReferenceData!$V$31),"")</f>
        <v>0.44977488900000001</v>
      </c>
      <c r="W31">
        <f ca="1">IFERROR(IF(0=LEN(ReferenceData!$W$31),"",ReferenceData!$W$31),"")</f>
        <v>0.44489704800000002</v>
      </c>
      <c r="X31">
        <f ca="1">IFERROR(IF(0=LEN(ReferenceData!$X$31),"",ReferenceData!$X$31),"")</f>
        <v>0.43220874500000001</v>
      </c>
      <c r="Y31">
        <f ca="1">IFERROR(IF(0=LEN(ReferenceData!$Y$31),"",ReferenceData!$Y$31),"")</f>
        <v>0.417022952</v>
      </c>
      <c r="Z31">
        <f ca="1">IFERROR(IF(0=LEN(ReferenceData!$Z$31),"",ReferenceData!$Z$31),"")</f>
        <v>0.39442097500000001</v>
      </c>
      <c r="AA31">
        <f ca="1">IFERROR(IF(0=LEN(ReferenceData!$AA$31),"",ReferenceData!$AA$31),"")</f>
        <v>0.37504455399999997</v>
      </c>
      <c r="AB31">
        <f ca="1">IFERROR(IF(0=LEN(ReferenceData!$AB$31),"",ReferenceData!$AB$31),"")</f>
        <v>0.32689336400000002</v>
      </c>
      <c r="AC31">
        <f ca="1">IFERROR(IF(0=LEN(ReferenceData!$AC$31),"",ReferenceData!$AC$31),"")</f>
        <v>0.31409227699999998</v>
      </c>
      <c r="AD31">
        <f ca="1">IFERROR(IF(0=LEN(ReferenceData!$AD$31),"",ReferenceData!$AD$31),"")</f>
        <v>0.31450536800000001</v>
      </c>
      <c r="AE31">
        <f ca="1">IFERROR(IF(0=LEN(ReferenceData!$AE$31),"",ReferenceData!$AE$31),"")</f>
        <v>0.30934837900000001</v>
      </c>
      <c r="AF31">
        <f ca="1">IFERROR(IF(0=LEN(ReferenceData!$AF$31),"",ReferenceData!$AF$31),"")</f>
        <v>0.34644140800000001</v>
      </c>
      <c r="AG31">
        <f ca="1">IFERROR(IF(0=LEN(ReferenceData!$AG$31),"",ReferenceData!$AG$31),"")</f>
        <v>0.36334625700000001</v>
      </c>
      <c r="AH31">
        <f ca="1">IFERROR(IF(0=LEN(ReferenceData!$AH$31),"",ReferenceData!$AH$31),"")</f>
        <v>0.37417115499999998</v>
      </c>
      <c r="AI31">
        <f ca="1">IFERROR(IF(0=LEN(ReferenceData!$AI$31),"",ReferenceData!$AI$31),"")</f>
        <v>0.38123305000000002</v>
      </c>
      <c r="AJ31">
        <f ca="1">IFERROR(IF(0=LEN(ReferenceData!$AJ$31),"",ReferenceData!$AJ$31),"")</f>
        <v>0.39530558999999998</v>
      </c>
      <c r="AK31">
        <f ca="1">IFERROR(IF(0=LEN(ReferenceData!$AK$31),"",ReferenceData!$AK$31),"")</f>
        <v>0.36611468200000002</v>
      </c>
      <c r="AL31">
        <f ca="1">IFERROR(IF(0=LEN(ReferenceData!$AL$31),"",ReferenceData!$AL$31),"")</f>
        <v>0.33110194799999998</v>
      </c>
      <c r="AM31">
        <f ca="1">IFERROR(IF(0=LEN(ReferenceData!$AM$31),"",ReferenceData!$AM$31),"")</f>
        <v>0.292256026</v>
      </c>
      <c r="AN31">
        <f ca="1">IFERROR(IF(0=LEN(ReferenceData!$AN$31),"",ReferenceData!$AN$31),"")</f>
        <v>0.20731075400000001</v>
      </c>
      <c r="AO31">
        <f ca="1">IFERROR(IF(0=LEN(ReferenceData!$AO$31),"",ReferenceData!$AO$31),"")</f>
        <v>0.18974933399999999</v>
      </c>
      <c r="AP31">
        <f ca="1">IFERROR(IF(0=LEN(ReferenceData!$AP$31),"",ReferenceData!$AP$31),"")</f>
        <v>0.17002406</v>
      </c>
      <c r="AQ31">
        <f ca="1">IFERROR(IF(0=LEN(ReferenceData!$AQ$31),"",ReferenceData!$AQ$31),"")</f>
        <v>0.13247357700000001</v>
      </c>
      <c r="AR31" t="str">
        <f ca="1">IFERROR(IF(0=LEN(ReferenceData!$AR$31),"",ReferenceData!$AR$31),"")</f>
        <v/>
      </c>
      <c r="AS31" t="str">
        <f ca="1">IFERROR(IF(0=LEN(ReferenceData!$AS$31),"",ReferenceData!$AS$31),"")</f>
        <v/>
      </c>
      <c r="AT31" t="str">
        <f ca="1">IFERROR(IF(0=LEN(ReferenceData!$AT$31),"",ReferenceData!$AT$31),"")</f>
        <v/>
      </c>
      <c r="AU31" t="str">
        <f ca="1">IFERROR(IF(0=LEN(ReferenceData!$AU$31),"",ReferenceData!$AU$31),"")</f>
        <v/>
      </c>
      <c r="AV31" t="str">
        <f ca="1">IFERROR(IF(0=LEN(ReferenceData!$AV$31),"",ReferenceData!$AV$31),"")</f>
        <v/>
      </c>
      <c r="AW31" t="str">
        <f ca="1">IFERROR(IF(0=LEN(ReferenceData!$AW$31),"",ReferenceData!$AW$31),"")</f>
        <v/>
      </c>
      <c r="AX31" t="str">
        <f ca="1">IFERROR(IF(0=LEN(ReferenceData!$AX$31),"",ReferenceData!$AX$31),"")</f>
        <v/>
      </c>
      <c r="AY31" t="str">
        <f ca="1">IFERROR(IF(0=LEN(ReferenceData!$AY$31),"",ReferenceData!$AY$31),"")</f>
        <v/>
      </c>
      <c r="AZ31" t="str">
        <f ca="1">IFERROR(IF(0=LEN(ReferenceData!$AZ$31),"",ReferenceData!$AZ$31),"")</f>
        <v/>
      </c>
      <c r="BA31" t="str">
        <f ca="1">IFERROR(IF(0=LEN(ReferenceData!$BA$31),"",ReferenceData!$BA$31),"")</f>
        <v/>
      </c>
      <c r="BB31" t="str">
        <f ca="1">IFERROR(IF(0=LEN(ReferenceData!$BB$31),"",ReferenceData!$BB$31),"")</f>
        <v/>
      </c>
      <c r="BC31" t="str">
        <f ca="1">IFERROR(IF(0=LEN(ReferenceData!$BC$31),"",ReferenceData!$BC$31),"")</f>
        <v/>
      </c>
      <c r="BD31" t="str">
        <f ca="1">IFERROR(IF(0=LEN(ReferenceData!$BD$31),"",ReferenceData!$BD$31),"")</f>
        <v/>
      </c>
      <c r="BE31" t="str">
        <f ca="1">IFERROR(IF(0=LEN(ReferenceData!$BE$31),"",ReferenceData!$BE$31),"")</f>
        <v/>
      </c>
      <c r="BF31" t="str">
        <f ca="1">IFERROR(IF(0=LEN(ReferenceData!$BF$31),"",ReferenceData!$BF$31),"")</f>
        <v/>
      </c>
      <c r="BG31" t="str">
        <f ca="1">IFERROR(IF(0=LEN(ReferenceData!$BG$31),"",ReferenceData!$BG$31),"")</f>
        <v/>
      </c>
      <c r="BH31" t="str">
        <f ca="1">IFERROR(IF(0=LEN(ReferenceData!$BH$31),"",ReferenceData!$BH$31),"")</f>
        <v/>
      </c>
      <c r="BI31" t="str">
        <f ca="1">IFERROR(IF(0=LEN(ReferenceData!$BI$31),"",ReferenceData!$BI$31),"")</f>
        <v/>
      </c>
      <c r="BJ31" t="str">
        <f ca="1">IFERROR(IF(0=LEN(ReferenceData!$BJ$31),"",ReferenceData!$BJ$31),"")</f>
        <v/>
      </c>
      <c r="BK31" t="str">
        <f ca="1">IFERROR(IF(0=LEN(ReferenceData!$BK$31),"",ReferenceData!$BK$31),"")</f>
        <v/>
      </c>
      <c r="BL31" t="str">
        <f ca="1">IFERROR(IF(0=LEN(ReferenceData!$BL$31),"",ReferenceData!$BL$31),"")</f>
        <v/>
      </c>
      <c r="BM31" t="str">
        <f ca="1">IFERROR(IF(0=LEN(ReferenceData!$BM$31),"",ReferenceData!$BM$31),"")</f>
        <v/>
      </c>
    </row>
    <row r="32" spans="1:65" x14ac:dyDescent="0.25">
      <c r="A32" t="str">
        <f>IFERROR(IF(0=LEN(ReferenceData!$A$32),"",ReferenceData!$A$32),"")</f>
        <v xml:space="preserve">    Sanyang Motor Co Ltd</v>
      </c>
      <c r="B32" t="str">
        <f>IFERROR(IF(0=LEN(ReferenceData!$B$32),"",ReferenceData!$B$32),"")</f>
        <v>2206 TT Equity</v>
      </c>
      <c r="C32" t="str">
        <f>IFERROR(IF(0=LEN(ReferenceData!$C$32),"",ReferenceData!$C$32),"")</f>
        <v>RR844</v>
      </c>
      <c r="D32" t="str">
        <f>IFERROR(IF(0=LEN(ReferenceData!$D$32),"",ReferenceData!$D$32),"")</f>
        <v>T12M_DIL_EPS_CONT_OPS</v>
      </c>
      <c r="E32" t="str">
        <f>IFERROR(IF(0=LEN(ReferenceData!$E$32),"",ReferenceData!$E$32),"")</f>
        <v>Dynamic</v>
      </c>
      <c r="F32" t="str">
        <f ca="1">IFERROR(IF(0=LEN(ReferenceData!$F$32),"",ReferenceData!$F$32),"")</f>
        <v/>
      </c>
      <c r="G32" t="str">
        <f ca="1">IFERROR(IF(0=LEN(ReferenceData!$G$32),"",ReferenceData!$G$32),"")</f>
        <v/>
      </c>
      <c r="H32">
        <f ca="1">IFERROR(IF(0=LEN(ReferenceData!$H$32),"",ReferenceData!$H$32),"")</f>
        <v>1.5885489999999999E-2</v>
      </c>
      <c r="I32">
        <f ca="1">IFERROR(IF(0=LEN(ReferenceData!$I$32),"",ReferenceData!$I$32),"")</f>
        <v>1.7095440999999999E-2</v>
      </c>
      <c r="J32">
        <f ca="1">IFERROR(IF(0=LEN(ReferenceData!$J$32),"",ReferenceData!$J$32),"")</f>
        <v>2.8376345000000001E-2</v>
      </c>
      <c r="K32">
        <f ca="1">IFERROR(IF(0=LEN(ReferenceData!$K$32),"",ReferenceData!$K$32),"")</f>
        <v>1.9601942000000001E-2</v>
      </c>
      <c r="L32">
        <f ca="1">IFERROR(IF(0=LEN(ReferenceData!$L$32),"",ReferenceData!$L$32),"")</f>
        <v>1.9605628999999999E-2</v>
      </c>
      <c r="M32">
        <f ca="1">IFERROR(IF(0=LEN(ReferenceData!$M$32),"",ReferenceData!$M$32),"")</f>
        <v>-6.5987100000000003E-4</v>
      </c>
      <c r="N32">
        <f ca="1">IFERROR(IF(0=LEN(ReferenceData!$N$32),"",ReferenceData!$N$32),"")</f>
        <v>-1.4269291999999999E-2</v>
      </c>
      <c r="O32">
        <f ca="1">IFERROR(IF(0=LEN(ReferenceData!$O$32),"",ReferenceData!$O$32),"")</f>
        <v>-1.2961317999999999E-2</v>
      </c>
      <c r="P32">
        <f ca="1">IFERROR(IF(0=LEN(ReferenceData!$P$32),"",ReferenceData!$P$32),"")</f>
        <v>-1.5519386E-2</v>
      </c>
      <c r="Q32">
        <f ca="1">IFERROR(IF(0=LEN(ReferenceData!$Q$32),"",ReferenceData!$Q$32),"")</f>
        <v>0.100574715</v>
      </c>
      <c r="R32">
        <f ca="1">IFERROR(IF(0=LEN(ReferenceData!$R$32),"",ReferenceData!$R$32),"")</f>
        <v>0.110515751</v>
      </c>
      <c r="S32">
        <f ca="1">IFERROR(IF(0=LEN(ReferenceData!$S$32),"",ReferenceData!$S$32),"")</f>
        <v>0.112216813</v>
      </c>
      <c r="T32">
        <f ca="1">IFERROR(IF(0=LEN(ReferenceData!$T$32),"",ReferenceData!$T$32),"")</f>
        <v>0.12003423000000001</v>
      </c>
      <c r="U32">
        <f ca="1">IFERROR(IF(0=LEN(ReferenceData!$U$32),"",ReferenceData!$U$32),"")</f>
        <v>7.3413050000000002E-3</v>
      </c>
      <c r="V32">
        <f ca="1">IFERROR(IF(0=LEN(ReferenceData!$V$32),"",ReferenceData!$V$32),"")</f>
        <v>-1.9712071000000001E-2</v>
      </c>
      <c r="W32">
        <f ca="1">IFERROR(IF(0=LEN(ReferenceData!$W$32),"",ReferenceData!$W$32),"")</f>
        <v>-2.5980794000000001E-2</v>
      </c>
      <c r="X32">
        <f ca="1">IFERROR(IF(0=LEN(ReferenceData!$X$32),"",ReferenceData!$X$32),"")</f>
        <v>-4.2507351999999998E-2</v>
      </c>
      <c r="Y32">
        <f ca="1">IFERROR(IF(0=LEN(ReferenceData!$Y$32),"",ReferenceData!$Y$32),"")</f>
        <v>-4.03991E-2</v>
      </c>
      <c r="Z32">
        <f ca="1">IFERROR(IF(0=LEN(ReferenceData!$Z$32),"",ReferenceData!$Z$32),"")</f>
        <v>-1.9868038000000001E-2</v>
      </c>
      <c r="AA32">
        <f ca="1">IFERROR(IF(0=LEN(ReferenceData!$AA$32),"",ReferenceData!$AA$32),"")</f>
        <v>-1.5613821999999999E-2</v>
      </c>
      <c r="AB32">
        <f ca="1">IFERROR(IF(0=LEN(ReferenceData!$AB$32),"",ReferenceData!$AB$32),"")</f>
        <v>-9.3946299999999997E-4</v>
      </c>
      <c r="AC32">
        <f ca="1">IFERROR(IF(0=LEN(ReferenceData!$AC$32),"",ReferenceData!$AC$32),"")</f>
        <v>9.5946699999999996E-3</v>
      </c>
      <c r="AD32">
        <f ca="1">IFERROR(IF(0=LEN(ReferenceData!$AD$32),"",ReferenceData!$AD$32),"")</f>
        <v>1.0016778E-2</v>
      </c>
      <c r="AE32">
        <f ca="1">IFERROR(IF(0=LEN(ReferenceData!$AE$32),"",ReferenceData!$AE$32),"")</f>
        <v>1.7900643000000001E-2</v>
      </c>
      <c r="AF32">
        <f ca="1">IFERROR(IF(0=LEN(ReferenceData!$AF$32),"",ReferenceData!$AF$32),"")</f>
        <v>1.8867043999999999E-2</v>
      </c>
      <c r="AG32">
        <f ca="1">IFERROR(IF(0=LEN(ReferenceData!$AG$32),"",ReferenceData!$AG$32),"")</f>
        <v>2.4456569000000001E-2</v>
      </c>
      <c r="AH32">
        <f ca="1">IFERROR(IF(0=LEN(ReferenceData!$AH$32),"",ReferenceData!$AH$32),"")</f>
        <v>3.6492687000000003E-2</v>
      </c>
      <c r="AI32">
        <f ca="1">IFERROR(IF(0=LEN(ReferenceData!$AI$32),"",ReferenceData!$AI$32),"")</f>
        <v>4.3513492000000001E-2</v>
      </c>
      <c r="AJ32">
        <f ca="1">IFERROR(IF(0=LEN(ReferenceData!$AJ$32),"",ReferenceData!$AJ$32),"")</f>
        <v>4.7306496000000003E-2</v>
      </c>
      <c r="AK32">
        <f ca="1">IFERROR(IF(0=LEN(ReferenceData!$AK$32),"",ReferenceData!$AK$32),"")</f>
        <v>4.3423768000000001E-2</v>
      </c>
      <c r="AL32">
        <f ca="1">IFERROR(IF(0=LEN(ReferenceData!$AL$32),"",ReferenceData!$AL$32),"")</f>
        <v>3.2063912999999999E-2</v>
      </c>
      <c r="AM32">
        <f ca="1">IFERROR(IF(0=LEN(ReferenceData!$AM$32),"",ReferenceData!$AM$32),"")</f>
        <v>2.1465952E-2</v>
      </c>
      <c r="AN32">
        <f ca="1">IFERROR(IF(0=LEN(ReferenceData!$AN$32),"",ReferenceData!$AN$32),"")</f>
        <v>2.4737856999999999E-2</v>
      </c>
      <c r="AO32">
        <f ca="1">IFERROR(IF(0=LEN(ReferenceData!$AO$32),"",ReferenceData!$AO$32),"")</f>
        <v>2.0226672000000001E-2</v>
      </c>
      <c r="AP32">
        <f ca="1">IFERROR(IF(0=LEN(ReferenceData!$AP$32),"",ReferenceData!$AP$32),"")</f>
        <v>1.4433143000000001E-2</v>
      </c>
      <c r="AQ32">
        <f ca="1">IFERROR(IF(0=LEN(ReferenceData!$AQ$32),"",ReferenceData!$AQ$32),"")</f>
        <v>-2.9396069999999999E-3</v>
      </c>
      <c r="AR32" t="str">
        <f ca="1">IFERROR(IF(0=LEN(ReferenceData!$AR$32),"",ReferenceData!$AR$32),"")</f>
        <v/>
      </c>
      <c r="AS32" t="str">
        <f ca="1">IFERROR(IF(0=LEN(ReferenceData!$AS$32),"",ReferenceData!$AS$32),"")</f>
        <v/>
      </c>
      <c r="AT32" t="str">
        <f ca="1">IFERROR(IF(0=LEN(ReferenceData!$AT$32),"",ReferenceData!$AT$32),"")</f>
        <v/>
      </c>
      <c r="AU32" t="str">
        <f ca="1">IFERROR(IF(0=LEN(ReferenceData!$AU$32),"",ReferenceData!$AU$32),"")</f>
        <v/>
      </c>
      <c r="AV32" t="str">
        <f ca="1">IFERROR(IF(0=LEN(ReferenceData!$AV$32),"",ReferenceData!$AV$32),"")</f>
        <v/>
      </c>
      <c r="AW32" t="str">
        <f ca="1">IFERROR(IF(0=LEN(ReferenceData!$AW$32),"",ReferenceData!$AW$32),"")</f>
        <v/>
      </c>
      <c r="AX32" t="str">
        <f ca="1">IFERROR(IF(0=LEN(ReferenceData!$AX$32),"",ReferenceData!$AX$32),"")</f>
        <v/>
      </c>
      <c r="AY32" t="str">
        <f ca="1">IFERROR(IF(0=LEN(ReferenceData!$AY$32),"",ReferenceData!$AY$32),"")</f>
        <v/>
      </c>
      <c r="AZ32" t="str">
        <f ca="1">IFERROR(IF(0=LEN(ReferenceData!$AZ$32),"",ReferenceData!$AZ$32),"")</f>
        <v/>
      </c>
      <c r="BA32" t="str">
        <f ca="1">IFERROR(IF(0=LEN(ReferenceData!$BA$32),"",ReferenceData!$BA$32),"")</f>
        <v/>
      </c>
      <c r="BB32" t="str">
        <f ca="1">IFERROR(IF(0=LEN(ReferenceData!$BB$32),"",ReferenceData!$BB$32),"")</f>
        <v/>
      </c>
      <c r="BC32" t="str">
        <f ca="1">IFERROR(IF(0=LEN(ReferenceData!$BC$32),"",ReferenceData!$BC$32),"")</f>
        <v/>
      </c>
      <c r="BD32" t="str">
        <f ca="1">IFERROR(IF(0=LEN(ReferenceData!$BD$32),"",ReferenceData!$BD$32),"")</f>
        <v/>
      </c>
      <c r="BE32" t="str">
        <f ca="1">IFERROR(IF(0=LEN(ReferenceData!$BE$32),"",ReferenceData!$BE$32),"")</f>
        <v/>
      </c>
      <c r="BF32" t="str">
        <f ca="1">IFERROR(IF(0=LEN(ReferenceData!$BF$32),"",ReferenceData!$BF$32),"")</f>
        <v/>
      </c>
      <c r="BG32" t="str">
        <f ca="1">IFERROR(IF(0=LEN(ReferenceData!$BG$32),"",ReferenceData!$BG$32),"")</f>
        <v/>
      </c>
      <c r="BH32" t="str">
        <f ca="1">IFERROR(IF(0=LEN(ReferenceData!$BH$32),"",ReferenceData!$BH$32),"")</f>
        <v/>
      </c>
      <c r="BI32" t="str">
        <f ca="1">IFERROR(IF(0=LEN(ReferenceData!$BI$32),"",ReferenceData!$BI$32),"")</f>
        <v/>
      </c>
      <c r="BJ32" t="str">
        <f ca="1">IFERROR(IF(0=LEN(ReferenceData!$BJ$32),"",ReferenceData!$BJ$32),"")</f>
        <v/>
      </c>
      <c r="BK32" t="str">
        <f ca="1">IFERROR(IF(0=LEN(ReferenceData!$BK$32),"",ReferenceData!$BK$32),"")</f>
        <v/>
      </c>
      <c r="BL32" t="str">
        <f ca="1">IFERROR(IF(0=LEN(ReferenceData!$BL$32),"",ReferenceData!$BL$32),"")</f>
        <v/>
      </c>
      <c r="BM32" t="str">
        <f ca="1">IFERROR(IF(0=LEN(ReferenceData!$BM$32),"",ReferenceData!$BM$32),"")</f>
        <v/>
      </c>
    </row>
    <row r="33" spans="1:65" x14ac:dyDescent="0.25">
      <c r="A33" t="str">
        <f>IFERROR(IF(0=LEN(ReferenceData!$A$33),"",ReferenceData!$A$33),"")</f>
        <v xml:space="preserve">    Sollers PJSC</v>
      </c>
      <c r="B33" t="str">
        <f>IFERROR(IF(0=LEN(ReferenceData!$B$33),"",ReferenceData!$B$33),"")</f>
        <v>SVAV RM Equity</v>
      </c>
      <c r="C33" t="str">
        <f>IFERROR(IF(0=LEN(ReferenceData!$C$33),"",ReferenceData!$C$33),"")</f>
        <v>RR844</v>
      </c>
      <c r="D33" t="str">
        <f>IFERROR(IF(0=LEN(ReferenceData!$D$33),"",ReferenceData!$D$33),"")</f>
        <v>T12M_DIL_EPS_CONT_OPS</v>
      </c>
      <c r="E33" t="str">
        <f>IFERROR(IF(0=LEN(ReferenceData!$E$33),"",ReferenceData!$E$33),"")</f>
        <v>Dynamic</v>
      </c>
      <c r="F33" t="str">
        <f ca="1">IFERROR(IF(0=LEN(ReferenceData!$F$33),"",ReferenceData!$F$33),"")</f>
        <v/>
      </c>
      <c r="G33" t="str">
        <f ca="1">IFERROR(IF(0=LEN(ReferenceData!$G$33),"",ReferenceData!$G$33),"")</f>
        <v/>
      </c>
      <c r="H33" t="str">
        <f ca="1">IFERROR(IF(0=LEN(ReferenceData!$H$33),"",ReferenceData!$H$33),"")</f>
        <v/>
      </c>
      <c r="I33" t="str">
        <f ca="1">IFERROR(IF(0=LEN(ReferenceData!$I$33),"",ReferenceData!$I$33),"")</f>
        <v/>
      </c>
      <c r="J33" t="str">
        <f ca="1">IFERROR(IF(0=LEN(ReferenceData!$J$33),"",ReferenceData!$J$33),"")</f>
        <v/>
      </c>
      <c r="K33" t="str">
        <f ca="1">IFERROR(IF(0=LEN(ReferenceData!$K$33),"",ReferenceData!$K$33),"")</f>
        <v/>
      </c>
      <c r="L33" t="str">
        <f ca="1">IFERROR(IF(0=LEN(ReferenceData!$L$33),"",ReferenceData!$L$33),"")</f>
        <v/>
      </c>
      <c r="M33" t="str">
        <f ca="1">IFERROR(IF(0=LEN(ReferenceData!$M$33),"",ReferenceData!$M$33),"")</f>
        <v/>
      </c>
      <c r="N33" t="str">
        <f ca="1">IFERROR(IF(0=LEN(ReferenceData!$N$33),"",ReferenceData!$N$33),"")</f>
        <v/>
      </c>
      <c r="O33" t="str">
        <f ca="1">IFERROR(IF(0=LEN(ReferenceData!$O$33),"",ReferenceData!$O$33),"")</f>
        <v/>
      </c>
      <c r="P33" t="str">
        <f ca="1">IFERROR(IF(0=LEN(ReferenceData!$P$33),"",ReferenceData!$P$33),"")</f>
        <v/>
      </c>
      <c r="Q33" t="str">
        <f ca="1">IFERROR(IF(0=LEN(ReferenceData!$Q$33),"",ReferenceData!$Q$33),"")</f>
        <v/>
      </c>
      <c r="R33" t="str">
        <f ca="1">IFERROR(IF(0=LEN(ReferenceData!$R$33),"",ReferenceData!$R$33),"")</f>
        <v/>
      </c>
      <c r="S33" t="str">
        <f ca="1">IFERROR(IF(0=LEN(ReferenceData!$S$33),"",ReferenceData!$S$33),"")</f>
        <v/>
      </c>
      <c r="T33" t="str">
        <f ca="1">IFERROR(IF(0=LEN(ReferenceData!$T$33),"",ReferenceData!$T$33),"")</f>
        <v/>
      </c>
      <c r="U33" t="str">
        <f ca="1">IFERROR(IF(0=LEN(ReferenceData!$U$33),"",ReferenceData!$U$33),"")</f>
        <v/>
      </c>
      <c r="V33" t="str">
        <f ca="1">IFERROR(IF(0=LEN(ReferenceData!$V$33),"",ReferenceData!$V$33),"")</f>
        <v/>
      </c>
      <c r="W33" t="str">
        <f ca="1">IFERROR(IF(0=LEN(ReferenceData!$W$33),"",ReferenceData!$W$33),"")</f>
        <v/>
      </c>
      <c r="X33" t="str">
        <f ca="1">IFERROR(IF(0=LEN(ReferenceData!$X$33),"",ReferenceData!$X$33),"")</f>
        <v/>
      </c>
      <c r="Y33" t="str">
        <f ca="1">IFERROR(IF(0=LEN(ReferenceData!$Y$33),"",ReferenceData!$Y$33),"")</f>
        <v/>
      </c>
      <c r="Z33" t="str">
        <f ca="1">IFERROR(IF(0=LEN(ReferenceData!$Z$33),"",ReferenceData!$Z$33),"")</f>
        <v/>
      </c>
      <c r="AA33" t="str">
        <f ca="1">IFERROR(IF(0=LEN(ReferenceData!$AA$33),"",ReferenceData!$AA$33),"")</f>
        <v/>
      </c>
      <c r="AB33" t="str">
        <f ca="1">IFERROR(IF(0=LEN(ReferenceData!$AB$33),"",ReferenceData!$AB$33),"")</f>
        <v/>
      </c>
      <c r="AC33" t="str">
        <f ca="1">IFERROR(IF(0=LEN(ReferenceData!$AC$33),"",ReferenceData!$AC$33),"")</f>
        <v/>
      </c>
      <c r="AD33" t="str">
        <f ca="1">IFERROR(IF(0=LEN(ReferenceData!$AD$33),"",ReferenceData!$AD$33),"")</f>
        <v/>
      </c>
      <c r="AE33" t="str">
        <f ca="1">IFERROR(IF(0=LEN(ReferenceData!$AE$33),"",ReferenceData!$AE$33),"")</f>
        <v/>
      </c>
      <c r="AF33" t="str">
        <f ca="1">IFERROR(IF(0=LEN(ReferenceData!$AF$33),"",ReferenceData!$AF$33),"")</f>
        <v/>
      </c>
      <c r="AG33" t="str">
        <f ca="1">IFERROR(IF(0=LEN(ReferenceData!$AG$33),"",ReferenceData!$AG$33),"")</f>
        <v/>
      </c>
      <c r="AH33" t="str">
        <f ca="1">IFERROR(IF(0=LEN(ReferenceData!$AH$33),"",ReferenceData!$AH$33),"")</f>
        <v/>
      </c>
      <c r="AI33" t="str">
        <f ca="1">IFERROR(IF(0=LEN(ReferenceData!$AI$33),"",ReferenceData!$AI$33),"")</f>
        <v/>
      </c>
      <c r="AJ33" t="str">
        <f ca="1">IFERROR(IF(0=LEN(ReferenceData!$AJ$33),"",ReferenceData!$AJ$33),"")</f>
        <v/>
      </c>
      <c r="AK33" t="str">
        <f ca="1">IFERROR(IF(0=LEN(ReferenceData!$AK$33),"",ReferenceData!$AK$33),"")</f>
        <v/>
      </c>
      <c r="AL33" t="str">
        <f ca="1">IFERROR(IF(0=LEN(ReferenceData!$AL$33),"",ReferenceData!$AL$33),"")</f>
        <v/>
      </c>
      <c r="AM33" t="str">
        <f ca="1">IFERROR(IF(0=LEN(ReferenceData!$AM$33),"",ReferenceData!$AM$33),"")</f>
        <v/>
      </c>
      <c r="AN33" t="str">
        <f ca="1">IFERROR(IF(0=LEN(ReferenceData!$AN$33),"",ReferenceData!$AN$33),"")</f>
        <v/>
      </c>
      <c r="AO33" t="str">
        <f ca="1">IFERROR(IF(0=LEN(ReferenceData!$AO$33),"",ReferenceData!$AO$33),"")</f>
        <v/>
      </c>
      <c r="AP33" t="str">
        <f ca="1">IFERROR(IF(0=LEN(ReferenceData!$AP$33),"",ReferenceData!$AP$33),"")</f>
        <v/>
      </c>
      <c r="AQ33" t="str">
        <f ca="1">IFERROR(IF(0=LEN(ReferenceData!$AQ$33),"",ReferenceData!$AQ$33),"")</f>
        <v/>
      </c>
      <c r="AR33" t="str">
        <f ca="1">IFERROR(IF(0=LEN(ReferenceData!$AR$33),"",ReferenceData!$AR$33),"")</f>
        <v/>
      </c>
      <c r="AS33" t="str">
        <f ca="1">IFERROR(IF(0=LEN(ReferenceData!$AS$33),"",ReferenceData!$AS$33),"")</f>
        <v/>
      </c>
      <c r="AT33" t="str">
        <f ca="1">IFERROR(IF(0=LEN(ReferenceData!$AT$33),"",ReferenceData!$AT$33),"")</f>
        <v/>
      </c>
      <c r="AU33" t="str">
        <f ca="1">IFERROR(IF(0=LEN(ReferenceData!$AU$33),"",ReferenceData!$AU$33),"")</f>
        <v/>
      </c>
      <c r="AV33" t="str">
        <f ca="1">IFERROR(IF(0=LEN(ReferenceData!$AV$33),"",ReferenceData!$AV$33),"")</f>
        <v/>
      </c>
      <c r="AW33" t="str">
        <f ca="1">IFERROR(IF(0=LEN(ReferenceData!$AW$33),"",ReferenceData!$AW$33),"")</f>
        <v/>
      </c>
      <c r="AX33" t="str">
        <f ca="1">IFERROR(IF(0=LEN(ReferenceData!$AX$33),"",ReferenceData!$AX$33),"")</f>
        <v/>
      </c>
      <c r="AY33" t="str">
        <f ca="1">IFERROR(IF(0=LEN(ReferenceData!$AY$33),"",ReferenceData!$AY$33),"")</f>
        <v/>
      </c>
      <c r="AZ33" t="str">
        <f ca="1">IFERROR(IF(0=LEN(ReferenceData!$AZ$33),"",ReferenceData!$AZ$33),"")</f>
        <v/>
      </c>
      <c r="BA33" t="str">
        <f ca="1">IFERROR(IF(0=LEN(ReferenceData!$BA$33),"",ReferenceData!$BA$33),"")</f>
        <v/>
      </c>
      <c r="BB33" t="str">
        <f ca="1">IFERROR(IF(0=LEN(ReferenceData!$BB$33),"",ReferenceData!$BB$33),"")</f>
        <v/>
      </c>
      <c r="BC33" t="str">
        <f ca="1">IFERROR(IF(0=LEN(ReferenceData!$BC$33),"",ReferenceData!$BC$33),"")</f>
        <v/>
      </c>
      <c r="BD33" t="str">
        <f ca="1">IFERROR(IF(0=LEN(ReferenceData!$BD$33),"",ReferenceData!$BD$33),"")</f>
        <v/>
      </c>
      <c r="BE33" t="str">
        <f ca="1">IFERROR(IF(0=LEN(ReferenceData!$BE$33),"",ReferenceData!$BE$33),"")</f>
        <v/>
      </c>
      <c r="BF33" t="str">
        <f ca="1">IFERROR(IF(0=LEN(ReferenceData!$BF$33),"",ReferenceData!$BF$33),"")</f>
        <v/>
      </c>
      <c r="BG33" t="str">
        <f ca="1">IFERROR(IF(0=LEN(ReferenceData!$BG$33),"",ReferenceData!$BG$33),"")</f>
        <v/>
      </c>
      <c r="BH33" t="str">
        <f ca="1">IFERROR(IF(0=LEN(ReferenceData!$BH$33),"",ReferenceData!$BH$33),"")</f>
        <v/>
      </c>
      <c r="BI33" t="str">
        <f ca="1">IFERROR(IF(0=LEN(ReferenceData!$BI$33),"",ReferenceData!$BI$33),"")</f>
        <v/>
      </c>
      <c r="BJ33" t="str">
        <f ca="1">IFERROR(IF(0=LEN(ReferenceData!$BJ$33),"",ReferenceData!$BJ$33),"")</f>
        <v/>
      </c>
      <c r="BK33" t="str">
        <f ca="1">IFERROR(IF(0=LEN(ReferenceData!$BK$33),"",ReferenceData!$BK$33),"")</f>
        <v/>
      </c>
      <c r="BL33" t="str">
        <f ca="1">IFERROR(IF(0=LEN(ReferenceData!$BL$33),"",ReferenceData!$BL$33),"")</f>
        <v/>
      </c>
      <c r="BM33" t="str">
        <f ca="1">IFERROR(IF(0=LEN(ReferenceData!$BM$33),"",ReferenceData!$BM$33),"")</f>
        <v/>
      </c>
    </row>
    <row r="34" spans="1:65" x14ac:dyDescent="0.25">
      <c r="A34" t="str">
        <f>IFERROR(IF(0=LEN(ReferenceData!$A$34),"",ReferenceData!$A$34),"")</f>
        <v xml:space="preserve">    Ssangyong Motor Co</v>
      </c>
      <c r="B34" t="str">
        <f>IFERROR(IF(0=LEN(ReferenceData!$B$34),"",ReferenceData!$B$34),"")</f>
        <v>003620 KS Equity</v>
      </c>
      <c r="C34" t="str">
        <f>IFERROR(IF(0=LEN(ReferenceData!$C$34),"",ReferenceData!$C$34),"")</f>
        <v>RR844</v>
      </c>
      <c r="D34" t="str">
        <f>IFERROR(IF(0=LEN(ReferenceData!$D$34),"",ReferenceData!$D$34),"")</f>
        <v>T12M_DIL_EPS_CONT_OPS</v>
      </c>
      <c r="E34" t="str">
        <f>IFERROR(IF(0=LEN(ReferenceData!$E$34),"",ReferenceData!$E$34),"")</f>
        <v>Dynamic</v>
      </c>
      <c r="F34" t="str">
        <f ca="1">IFERROR(IF(0=LEN(ReferenceData!$F$34),"",ReferenceData!$F$34),"")</f>
        <v/>
      </c>
      <c r="G34" t="str">
        <f ca="1">IFERROR(IF(0=LEN(ReferenceData!$G$34),"",ReferenceData!$G$34),"")</f>
        <v/>
      </c>
      <c r="H34">
        <f ca="1">IFERROR(IF(0=LEN(ReferenceData!$H$34),"",ReferenceData!$H$34),"")</f>
        <v>-0.58011802400000001</v>
      </c>
      <c r="I34">
        <f ca="1">IFERROR(IF(0=LEN(ReferenceData!$I$34),"",ReferenceData!$I$34),"")</f>
        <v>-0.57506545499999995</v>
      </c>
      <c r="J34">
        <f ca="1">IFERROR(IF(0=LEN(ReferenceData!$J$34),"",ReferenceData!$J$34),"")</f>
        <v>-0.55910193600000002</v>
      </c>
      <c r="K34">
        <f ca="1">IFERROR(IF(0=LEN(ReferenceData!$K$34),"",ReferenceData!$K$34),"")</f>
        <v>-0.41954722100000003</v>
      </c>
      <c r="L34">
        <f ca="1">IFERROR(IF(0=LEN(ReferenceData!$L$34),"",ReferenceData!$L$34),"")</f>
        <v>-0.106676382</v>
      </c>
      <c r="M34">
        <f ca="1">IFERROR(IF(0=LEN(ReferenceData!$M$34),"",ReferenceData!$M$34),"")</f>
        <v>0.121351969</v>
      </c>
      <c r="N34">
        <f ca="1">IFERROR(IF(0=LEN(ReferenceData!$N$34),"",ReferenceData!$N$34),"")</f>
        <v>0.26015584800000002</v>
      </c>
      <c r="O34">
        <f ca="1">IFERROR(IF(0=LEN(ReferenceData!$O$34),"",ReferenceData!$O$34),"")</f>
        <v>0.35931252699999999</v>
      </c>
      <c r="P34">
        <f ca="1">IFERROR(IF(0=LEN(ReferenceData!$P$34),"",ReferenceData!$P$34),"")</f>
        <v>0.36275014100000003</v>
      </c>
      <c r="Q34">
        <f ca="1">IFERROR(IF(0=LEN(ReferenceData!$Q$34),"",ReferenceData!$Q$34),"")</f>
        <v>7.6457793999999996E-2</v>
      </c>
      <c r="R34">
        <f ca="1">IFERROR(IF(0=LEN(ReferenceData!$R$34),"",ReferenceData!$R$34),"")</f>
        <v>-0.18216406499999999</v>
      </c>
      <c r="S34">
        <f ca="1">IFERROR(IF(0=LEN(ReferenceData!$S$34),"",ReferenceData!$S$34),"")</f>
        <v>-0.40268619</v>
      </c>
      <c r="T34">
        <f ca="1">IFERROR(IF(0=LEN(ReferenceData!$T$34),"",ReferenceData!$T$34),"")</f>
        <v>-0.64525825999999997</v>
      </c>
      <c r="U34">
        <f ca="1">IFERROR(IF(0=LEN(ReferenceData!$U$34),"",ReferenceData!$U$34),"")</f>
        <v>-0.59422438200000005</v>
      </c>
      <c r="V34">
        <f ca="1">IFERROR(IF(0=LEN(ReferenceData!$V$34),"",ReferenceData!$V$34),"")</f>
        <v>-0.645715123</v>
      </c>
      <c r="W34">
        <f ca="1">IFERROR(IF(0=LEN(ReferenceData!$W$34),"",ReferenceData!$W$34),"")</f>
        <v>-0.35941321100000001</v>
      </c>
      <c r="X34">
        <f ca="1">IFERROR(IF(0=LEN(ReferenceData!$X$34),"",ReferenceData!$X$34),"")</f>
        <v>-0.249106358</v>
      </c>
      <c r="Y34">
        <f ca="1">IFERROR(IF(0=LEN(ReferenceData!$Y$34),"",ReferenceData!$Y$34),"")</f>
        <v>-0.121895318</v>
      </c>
      <c r="Z34">
        <f ca="1">IFERROR(IF(0=LEN(ReferenceData!$Z$34),"",ReferenceData!$Z$34),"")</f>
        <v>0.12502528399999999</v>
      </c>
      <c r="AA34">
        <f ca="1">IFERROR(IF(0=LEN(ReferenceData!$AA$34),"",ReferenceData!$AA$34),"")</f>
        <v>-1.4548111000000001E-2</v>
      </c>
      <c r="AB34">
        <f ca="1">IFERROR(IF(0=LEN(ReferenceData!$AB$34),"",ReferenceData!$AB$34),"")</f>
        <v>-0.29893654800000002</v>
      </c>
      <c r="AC34">
        <f ca="1">IFERROR(IF(0=LEN(ReferenceData!$AC$34),"",ReferenceData!$AC$34),"")</f>
        <v>-0.40550847800000001</v>
      </c>
      <c r="AD34">
        <f ca="1">IFERROR(IF(0=LEN(ReferenceData!$AD$34),"",ReferenceData!$AD$34),"")</f>
        <v>-0.61095793499999995</v>
      </c>
      <c r="AE34">
        <f ca="1">IFERROR(IF(0=LEN(ReferenceData!$AE$34),"",ReferenceData!$AE$34),"")</f>
        <v>-0.76303526600000005</v>
      </c>
      <c r="AF34" t="str">
        <f ca="1">IFERROR(IF(0=LEN(ReferenceData!$AF$34),"",ReferenceData!$AF$34),"")</f>
        <v/>
      </c>
      <c r="AG34" t="str">
        <f ca="1">IFERROR(IF(0=LEN(ReferenceData!$AG$34),"",ReferenceData!$AG$34),"")</f>
        <v/>
      </c>
      <c r="AH34" t="str">
        <f ca="1">IFERROR(IF(0=LEN(ReferenceData!$AH$34),"",ReferenceData!$AH$34),"")</f>
        <v/>
      </c>
      <c r="AI34" t="str">
        <f ca="1">IFERROR(IF(0=LEN(ReferenceData!$AI$34),"",ReferenceData!$AI$34),"")</f>
        <v/>
      </c>
      <c r="AJ34" t="str">
        <f ca="1">IFERROR(IF(0=LEN(ReferenceData!$AJ$34),"",ReferenceData!$AJ$34),"")</f>
        <v/>
      </c>
      <c r="AK34" t="str">
        <f ca="1">IFERROR(IF(0=LEN(ReferenceData!$AK$34),"",ReferenceData!$AK$34),"")</f>
        <v/>
      </c>
      <c r="AL34" t="str">
        <f ca="1">IFERROR(IF(0=LEN(ReferenceData!$AL$34),"",ReferenceData!$AL$34),"")</f>
        <v/>
      </c>
      <c r="AM34" t="str">
        <f ca="1">IFERROR(IF(0=LEN(ReferenceData!$AM$34),"",ReferenceData!$AM$34),"")</f>
        <v/>
      </c>
      <c r="AN34" t="str">
        <f ca="1">IFERROR(IF(0=LEN(ReferenceData!$AN$34),"",ReferenceData!$AN$34),"")</f>
        <v/>
      </c>
      <c r="AO34" t="str">
        <f ca="1">IFERROR(IF(0=LEN(ReferenceData!$AO$34),"",ReferenceData!$AO$34),"")</f>
        <v/>
      </c>
      <c r="AP34" t="str">
        <f ca="1">IFERROR(IF(0=LEN(ReferenceData!$AP$34),"",ReferenceData!$AP$34),"")</f>
        <v/>
      </c>
      <c r="AQ34" t="str">
        <f ca="1">IFERROR(IF(0=LEN(ReferenceData!$AQ$34),"",ReferenceData!$AQ$34),"")</f>
        <v/>
      </c>
      <c r="AR34" t="str">
        <f ca="1">IFERROR(IF(0=LEN(ReferenceData!$AR$34),"",ReferenceData!$AR$34),"")</f>
        <v/>
      </c>
      <c r="AS34" t="str">
        <f ca="1">IFERROR(IF(0=LEN(ReferenceData!$AS$34),"",ReferenceData!$AS$34),"")</f>
        <v/>
      </c>
      <c r="AT34" t="str">
        <f ca="1">IFERROR(IF(0=LEN(ReferenceData!$AT$34),"",ReferenceData!$AT$34),"")</f>
        <v/>
      </c>
      <c r="AU34" t="str">
        <f ca="1">IFERROR(IF(0=LEN(ReferenceData!$AU$34),"",ReferenceData!$AU$34),"")</f>
        <v/>
      </c>
      <c r="AV34" t="str">
        <f ca="1">IFERROR(IF(0=LEN(ReferenceData!$AV$34),"",ReferenceData!$AV$34),"")</f>
        <v/>
      </c>
      <c r="AW34" t="str">
        <f ca="1">IFERROR(IF(0=LEN(ReferenceData!$AW$34),"",ReferenceData!$AW$34),"")</f>
        <v/>
      </c>
      <c r="AX34" t="str">
        <f ca="1">IFERROR(IF(0=LEN(ReferenceData!$AX$34),"",ReferenceData!$AX$34),"")</f>
        <v/>
      </c>
      <c r="AY34" t="str">
        <f ca="1">IFERROR(IF(0=LEN(ReferenceData!$AY$34),"",ReferenceData!$AY$34),"")</f>
        <v/>
      </c>
      <c r="AZ34" t="str">
        <f ca="1">IFERROR(IF(0=LEN(ReferenceData!$AZ$34),"",ReferenceData!$AZ$34),"")</f>
        <v/>
      </c>
      <c r="BA34" t="str">
        <f ca="1">IFERROR(IF(0=LEN(ReferenceData!$BA$34),"",ReferenceData!$BA$34),"")</f>
        <v/>
      </c>
      <c r="BB34" t="str">
        <f ca="1">IFERROR(IF(0=LEN(ReferenceData!$BB$34),"",ReferenceData!$BB$34),"")</f>
        <v/>
      </c>
      <c r="BC34" t="str">
        <f ca="1">IFERROR(IF(0=LEN(ReferenceData!$BC$34),"",ReferenceData!$BC$34),"")</f>
        <v/>
      </c>
      <c r="BD34" t="str">
        <f ca="1">IFERROR(IF(0=LEN(ReferenceData!$BD$34),"",ReferenceData!$BD$34),"")</f>
        <v/>
      </c>
      <c r="BE34" t="str">
        <f ca="1">IFERROR(IF(0=LEN(ReferenceData!$BE$34),"",ReferenceData!$BE$34),"")</f>
        <v/>
      </c>
      <c r="BF34" t="str">
        <f ca="1">IFERROR(IF(0=LEN(ReferenceData!$BF$34),"",ReferenceData!$BF$34),"")</f>
        <v/>
      </c>
      <c r="BG34" t="str">
        <f ca="1">IFERROR(IF(0=LEN(ReferenceData!$BG$34),"",ReferenceData!$BG$34),"")</f>
        <v/>
      </c>
      <c r="BH34" t="str">
        <f ca="1">IFERROR(IF(0=LEN(ReferenceData!$BH$34),"",ReferenceData!$BH$34),"")</f>
        <v/>
      </c>
      <c r="BI34" t="str">
        <f ca="1">IFERROR(IF(0=LEN(ReferenceData!$BI$34),"",ReferenceData!$BI$34),"")</f>
        <v/>
      </c>
      <c r="BJ34" t="str">
        <f ca="1">IFERROR(IF(0=LEN(ReferenceData!$BJ$34),"",ReferenceData!$BJ$34),"")</f>
        <v/>
      </c>
      <c r="BK34" t="str">
        <f ca="1">IFERROR(IF(0=LEN(ReferenceData!$BK$34),"",ReferenceData!$BK$34),"")</f>
        <v/>
      </c>
      <c r="BL34" t="str">
        <f ca="1">IFERROR(IF(0=LEN(ReferenceData!$BL$34),"",ReferenceData!$BL$34),"")</f>
        <v/>
      </c>
      <c r="BM34" t="str">
        <f ca="1">IFERROR(IF(0=LEN(ReferenceData!$BM$34),"",ReferenceData!$BM$34),"")</f>
        <v/>
      </c>
    </row>
    <row r="35" spans="1:65" x14ac:dyDescent="0.25">
      <c r="A35" t="str">
        <f>IFERROR(IF(0=LEN(ReferenceData!$A$35),"",ReferenceData!$A$35),"")</f>
        <v xml:space="preserve">    Subaru Corp</v>
      </c>
      <c r="B35" t="str">
        <f>IFERROR(IF(0=LEN(ReferenceData!$B$35),"",ReferenceData!$B$35),"")</f>
        <v>7270 JP Equity</v>
      </c>
      <c r="C35" t="str">
        <f>IFERROR(IF(0=LEN(ReferenceData!$C$35),"",ReferenceData!$C$35),"")</f>
        <v>RR844</v>
      </c>
      <c r="D35" t="str">
        <f>IFERROR(IF(0=LEN(ReferenceData!$D$35),"",ReferenceData!$D$35),"")</f>
        <v>T12M_DIL_EPS_CONT_OPS</v>
      </c>
      <c r="E35" t="str">
        <f>IFERROR(IF(0=LEN(ReferenceData!$E$35),"",ReferenceData!$E$35),"")</f>
        <v>Dynamic</v>
      </c>
      <c r="F35" t="str">
        <f ca="1">IFERROR(IF(0=LEN(ReferenceData!$F$35),"",ReferenceData!$F$35),"")</f>
        <v/>
      </c>
      <c r="G35">
        <f ca="1">IFERROR(IF(0=LEN(ReferenceData!$G$35),"",ReferenceData!$G$35),"")</f>
        <v>2.1648696759999999</v>
      </c>
      <c r="H35">
        <f ca="1">IFERROR(IF(0=LEN(ReferenceData!$H$35),"",ReferenceData!$H$35),"")</f>
        <v>2.0893355499999999</v>
      </c>
      <c r="I35">
        <f ca="1">IFERROR(IF(0=LEN(ReferenceData!$I$35),"",ReferenceData!$I$35),"")</f>
        <v>2.1506308340000002</v>
      </c>
      <c r="J35">
        <f ca="1">IFERROR(IF(0=LEN(ReferenceData!$J$35),"",ReferenceData!$J$35),"")</f>
        <v>2.5959807019999999</v>
      </c>
      <c r="K35">
        <f ca="1">IFERROR(IF(0=LEN(ReferenceData!$K$35),"",ReferenceData!$K$35),"")</f>
        <v>2.7486430670000002</v>
      </c>
      <c r="L35">
        <f ca="1">IFERROR(IF(0=LEN(ReferenceData!$L$35),"",ReferenceData!$L$35),"")</f>
        <v>2.5253338030000001</v>
      </c>
      <c r="M35">
        <f ca="1">IFERROR(IF(0=LEN(ReferenceData!$M$35),"",ReferenceData!$M$35),"")</f>
        <v>3.4736085349999999</v>
      </c>
      <c r="N35">
        <f ca="1">IFERROR(IF(0=LEN(ReferenceData!$N$35),"",ReferenceData!$N$35),"")</f>
        <v>3.439750316</v>
      </c>
      <c r="O35">
        <f ca="1">IFERROR(IF(0=LEN(ReferenceData!$O$35),"",ReferenceData!$O$35),"")</f>
        <v>3.6548395149999999</v>
      </c>
      <c r="P35">
        <f ca="1">IFERROR(IF(0=LEN(ReferenceData!$P$35),"",ReferenceData!$P$35),"")</f>
        <v>4.6898275280000004</v>
      </c>
      <c r="Q35">
        <f ca="1">IFERROR(IF(0=LEN(ReferenceData!$Q$35),"",ReferenceData!$Q$35),"")</f>
        <v>4.8131911479999996</v>
      </c>
      <c r="R35">
        <f ca="1">IFERROR(IF(0=LEN(ReferenceData!$R$35),"",ReferenceData!$R$35),"")</f>
        <v>4.7279486740000003</v>
      </c>
      <c r="S35">
        <f ca="1">IFERROR(IF(0=LEN(ReferenceData!$S$35),"",ReferenceData!$S$35),"")</f>
        <v>4.3631752959999996</v>
      </c>
      <c r="T35">
        <f ca="1">IFERROR(IF(0=LEN(ReferenceData!$T$35),"",ReferenceData!$T$35),"")</f>
        <v>3.693538067</v>
      </c>
      <c r="U35">
        <f ca="1">IFERROR(IF(0=LEN(ReferenceData!$U$35),"",ReferenceData!$U$35),"")</f>
        <v>3.3099472259999998</v>
      </c>
      <c r="V35">
        <f ca="1">IFERROR(IF(0=LEN(ReferenceData!$V$35),"",ReferenceData!$V$35),"")</f>
        <v>3.0745602920000001</v>
      </c>
      <c r="W35">
        <f ca="1">IFERROR(IF(0=LEN(ReferenceData!$W$35),"",ReferenceData!$W$35),"")</f>
        <v>2.6323539779999998</v>
      </c>
      <c r="X35">
        <f ca="1">IFERROR(IF(0=LEN(ReferenceData!$X$35),"",ReferenceData!$X$35),"")</f>
        <v>2.4079237149999999</v>
      </c>
      <c r="Y35">
        <f ca="1">IFERROR(IF(0=LEN(ReferenceData!$Y$35),"",ReferenceData!$Y$35),"")</f>
        <v>2.3168496790000002</v>
      </c>
      <c r="Z35">
        <f ca="1">IFERROR(IF(0=LEN(ReferenceData!$Z$35),"",ReferenceData!$Z$35),"")</f>
        <v>2.289880761</v>
      </c>
      <c r="AA35">
        <f ca="1">IFERROR(IF(0=LEN(ReferenceData!$AA$35),"",ReferenceData!$AA$35),"")</f>
        <v>2.8969399560000002</v>
      </c>
      <c r="AB35">
        <f ca="1">IFERROR(IF(0=LEN(ReferenceData!$AB$35),"",ReferenceData!$AB$35),"")</f>
        <v>2.519812886</v>
      </c>
      <c r="AC35">
        <f ca="1">IFERROR(IF(0=LEN(ReferenceData!$AC$35),"",ReferenceData!$AC$35),"")</f>
        <v>2.2781452639999999</v>
      </c>
      <c r="AD35">
        <f ca="1">IFERROR(IF(0=LEN(ReferenceData!$AD$35),"",ReferenceData!$AD$35),"")</f>
        <v>1.8937033009999999</v>
      </c>
      <c r="AE35">
        <f ca="1">IFERROR(IF(0=LEN(ReferenceData!$AE$35),"",ReferenceData!$AE$35),"")</f>
        <v>0.94126987699999998</v>
      </c>
      <c r="AF35">
        <f ca="1">IFERROR(IF(0=LEN(ReferenceData!$AF$35),"",ReferenceData!$AF$35),"")</f>
        <v>0.79694811099999996</v>
      </c>
      <c r="AG35">
        <f ca="1">IFERROR(IF(0=LEN(ReferenceData!$AG$35),"",ReferenceData!$AG$35),"")</f>
        <v>0.47652914600000001</v>
      </c>
      <c r="AH35">
        <f ca="1">IFERROR(IF(0=LEN(ReferenceData!$AH$35),"",ReferenceData!$AH$35),"")</f>
        <v>0.47383420300000001</v>
      </c>
      <c r="AI35">
        <f ca="1">IFERROR(IF(0=LEN(ReferenceData!$AI$35),"",ReferenceData!$AI$35),"")</f>
        <v>0.36128743800000002</v>
      </c>
      <c r="AJ35">
        <f ca="1">IFERROR(IF(0=LEN(ReferenceData!$AJ$35),"",ReferenceData!$AJ$35),"")</f>
        <v>0.50449337400000005</v>
      </c>
      <c r="AK35">
        <f ca="1">IFERROR(IF(0=LEN(ReferenceData!$AK$35),"",ReferenceData!$AK$35),"")</f>
        <v>0.81474254000000002</v>
      </c>
      <c r="AL35">
        <f ca="1">IFERROR(IF(0=LEN(ReferenceData!$AL$35),"",ReferenceData!$AL$35),"")</f>
        <v>0.835320599</v>
      </c>
      <c r="AM35">
        <f ca="1">IFERROR(IF(0=LEN(ReferenceData!$AM$35),"",ReferenceData!$AM$35),"")</f>
        <v>0.995803667</v>
      </c>
      <c r="AN35">
        <f ca="1">IFERROR(IF(0=LEN(ReferenceData!$AN$35),"",ReferenceData!$AN$35),"")</f>
        <v>0.87891515899999995</v>
      </c>
      <c r="AO35">
        <f ca="1">IFERROR(IF(0=LEN(ReferenceData!$AO$35),"",ReferenceData!$AO$35),"")</f>
        <v>0.49253886400000002</v>
      </c>
      <c r="AP35">
        <f ca="1">IFERROR(IF(0=LEN(ReferenceData!$AP$35),"",ReferenceData!$AP$35),"")</f>
        <v>-4.4752152000000003E-2</v>
      </c>
      <c r="AQ35">
        <f ca="1">IFERROR(IF(0=LEN(ReferenceData!$AQ$35),"",ReferenceData!$AQ$35),"")</f>
        <v>-0.92342577199999998</v>
      </c>
      <c r="AR35">
        <f ca="1">IFERROR(IF(0=LEN(ReferenceData!$AR$35),"",ReferenceData!$AR$35),"")</f>
        <v>-1.2507518120000001</v>
      </c>
      <c r="AS35">
        <f ca="1">IFERROR(IF(0=LEN(ReferenceData!$AS$35),"",ReferenceData!$AS$35),"")</f>
        <v>-1.1551406470000001</v>
      </c>
      <c r="AT35">
        <f ca="1">IFERROR(IF(0=LEN(ReferenceData!$AT$35),"",ReferenceData!$AT$35),"")</f>
        <v>-0.86079815900000001</v>
      </c>
      <c r="AU35" t="str">
        <f ca="1">IFERROR(IF(0=LEN(ReferenceData!$AU$35),"",ReferenceData!$AU$35),"")</f>
        <v/>
      </c>
      <c r="AV35" t="str">
        <f ca="1">IFERROR(IF(0=LEN(ReferenceData!$AV$35),"",ReferenceData!$AV$35),"")</f>
        <v/>
      </c>
      <c r="AW35" t="str">
        <f ca="1">IFERROR(IF(0=LEN(ReferenceData!$AW$35),"",ReferenceData!$AW$35),"")</f>
        <v/>
      </c>
      <c r="AX35" t="str">
        <f ca="1">IFERROR(IF(0=LEN(ReferenceData!$AX$35),"",ReferenceData!$AX$35),"")</f>
        <v/>
      </c>
      <c r="AY35" t="str">
        <f ca="1">IFERROR(IF(0=LEN(ReferenceData!$AY$35),"",ReferenceData!$AY$35),"")</f>
        <v/>
      </c>
      <c r="AZ35" t="str">
        <f ca="1">IFERROR(IF(0=LEN(ReferenceData!$AZ$35),"",ReferenceData!$AZ$35),"")</f>
        <v/>
      </c>
      <c r="BA35" t="str">
        <f ca="1">IFERROR(IF(0=LEN(ReferenceData!$BA$35),"",ReferenceData!$BA$35),"")</f>
        <v/>
      </c>
      <c r="BB35" t="str">
        <f ca="1">IFERROR(IF(0=LEN(ReferenceData!$BB$35),"",ReferenceData!$BB$35),"")</f>
        <v/>
      </c>
      <c r="BC35" t="str">
        <f ca="1">IFERROR(IF(0=LEN(ReferenceData!$BC$35),"",ReferenceData!$BC$35),"")</f>
        <v/>
      </c>
      <c r="BD35" t="str">
        <f ca="1">IFERROR(IF(0=LEN(ReferenceData!$BD$35),"",ReferenceData!$BD$35),"")</f>
        <v/>
      </c>
      <c r="BE35" t="str">
        <f ca="1">IFERROR(IF(0=LEN(ReferenceData!$BE$35),"",ReferenceData!$BE$35),"")</f>
        <v/>
      </c>
      <c r="BF35" t="str">
        <f ca="1">IFERROR(IF(0=LEN(ReferenceData!$BF$35),"",ReferenceData!$BF$35),"")</f>
        <v/>
      </c>
      <c r="BG35" t="str">
        <f ca="1">IFERROR(IF(0=LEN(ReferenceData!$BG$35),"",ReferenceData!$BG$35),"")</f>
        <v/>
      </c>
      <c r="BH35" t="str">
        <f ca="1">IFERROR(IF(0=LEN(ReferenceData!$BH$35),"",ReferenceData!$BH$35),"")</f>
        <v/>
      </c>
      <c r="BI35" t="str">
        <f ca="1">IFERROR(IF(0=LEN(ReferenceData!$BI$35),"",ReferenceData!$BI$35),"")</f>
        <v/>
      </c>
      <c r="BJ35" t="str">
        <f ca="1">IFERROR(IF(0=LEN(ReferenceData!$BJ$35),"",ReferenceData!$BJ$35),"")</f>
        <v/>
      </c>
      <c r="BK35" t="str">
        <f ca="1">IFERROR(IF(0=LEN(ReferenceData!$BK$35),"",ReferenceData!$BK$35),"")</f>
        <v/>
      </c>
      <c r="BL35" t="str">
        <f ca="1">IFERROR(IF(0=LEN(ReferenceData!$BL$35),"",ReferenceData!$BL$35),"")</f>
        <v/>
      </c>
      <c r="BM35" t="str">
        <f ca="1">IFERROR(IF(0=LEN(ReferenceData!$BM$35),"",ReferenceData!$BM$35),"")</f>
        <v/>
      </c>
    </row>
    <row r="36" spans="1:65" x14ac:dyDescent="0.25">
      <c r="A36" t="str">
        <f>IFERROR(IF(0=LEN(ReferenceData!$A$36),"",ReferenceData!$A$36),"")</f>
        <v xml:space="preserve">    Suzuki Motor Corp</v>
      </c>
      <c r="B36" t="str">
        <f>IFERROR(IF(0=LEN(ReferenceData!$B$36),"",ReferenceData!$B$36),"")</f>
        <v>7269 JP Equity</v>
      </c>
      <c r="C36" t="str">
        <f>IFERROR(IF(0=LEN(ReferenceData!$C$36),"",ReferenceData!$C$36),"")</f>
        <v>RR844</v>
      </c>
      <c r="D36" t="str">
        <f>IFERROR(IF(0=LEN(ReferenceData!$D$36),"",ReferenceData!$D$36),"")</f>
        <v>T12M_DIL_EPS_CONT_OPS</v>
      </c>
      <c r="E36" t="str">
        <f>IFERROR(IF(0=LEN(ReferenceData!$E$36),"",ReferenceData!$E$36),"")</f>
        <v>Dynamic</v>
      </c>
      <c r="F36" t="str">
        <f ca="1">IFERROR(IF(0=LEN(ReferenceData!$F$36),"",ReferenceData!$F$36),"")</f>
        <v/>
      </c>
      <c r="G36">
        <f ca="1">IFERROR(IF(0=LEN(ReferenceData!$G$36),"",ReferenceData!$G$36),"")</f>
        <v>4.60462434</v>
      </c>
      <c r="H36">
        <f ca="1">IFERROR(IF(0=LEN(ReferenceData!$H$36),"",ReferenceData!$H$36),"")</f>
        <v>4.8989835900000003</v>
      </c>
      <c r="I36">
        <f ca="1">IFERROR(IF(0=LEN(ReferenceData!$I$36),"",ReferenceData!$I$36),"")</f>
        <v>4.7054524239999997</v>
      </c>
      <c r="J36">
        <f ca="1">IFERROR(IF(0=LEN(ReferenceData!$J$36),"",ReferenceData!$J$36),"")</f>
        <v>4.3199086260000001</v>
      </c>
      <c r="K36">
        <f ca="1">IFERROR(IF(0=LEN(ReferenceData!$K$36),"",ReferenceData!$K$36),"")</f>
        <v>4.2525891549999999</v>
      </c>
      <c r="L36">
        <f ca="1">IFERROR(IF(0=LEN(ReferenceData!$L$36),"",ReferenceData!$L$36),"")</f>
        <v>3.80120587</v>
      </c>
      <c r="M36">
        <f ca="1">IFERROR(IF(0=LEN(ReferenceData!$M$36),"",ReferenceData!$M$36),"")</f>
        <v>3.7785048950000002</v>
      </c>
      <c r="N36">
        <f ca="1">IFERROR(IF(0=LEN(ReferenceData!$N$36),"",ReferenceData!$N$36),"")</f>
        <v>3.2473013970000002</v>
      </c>
      <c r="O36">
        <f ca="1">IFERROR(IF(0=LEN(ReferenceData!$O$36),"",ReferenceData!$O$36),"")</f>
        <v>2.526042409</v>
      </c>
      <c r="P36">
        <f ca="1">IFERROR(IF(0=LEN(ReferenceData!$P$36),"",ReferenceData!$P$36),"")</f>
        <v>2.2484836389999998</v>
      </c>
      <c r="Q36">
        <f ca="1">IFERROR(IF(0=LEN(ReferenceData!$Q$36),"",ReferenceData!$Q$36),"")</f>
        <v>1.844285986</v>
      </c>
      <c r="R36">
        <f ca="1">IFERROR(IF(0=LEN(ReferenceData!$R$36),"",ReferenceData!$R$36),"")</f>
        <v>1.5480672879999999</v>
      </c>
      <c r="S36">
        <f ca="1">IFERROR(IF(0=LEN(ReferenceData!$S$36),"",ReferenceData!$S$36),"")</f>
        <v>1.513446697</v>
      </c>
      <c r="T36">
        <f ca="1">IFERROR(IF(0=LEN(ReferenceData!$T$36),"",ReferenceData!$T$36),"")</f>
        <v>1.4892060170000001</v>
      </c>
      <c r="U36">
        <f ca="1">IFERROR(IF(0=LEN(ReferenceData!$U$36),"",ReferenceData!$U$36),"")</f>
        <v>1.4352227339999999</v>
      </c>
      <c r="V36">
        <f ca="1">IFERROR(IF(0=LEN(ReferenceData!$V$36),"",ReferenceData!$V$36),"")</f>
        <v>1.5921761990000001</v>
      </c>
      <c r="W36">
        <f ca="1">IFERROR(IF(0=LEN(ReferenceData!$W$36),"",ReferenceData!$W$36),"")</f>
        <v>1.7855100559999999</v>
      </c>
      <c r="X36">
        <f ca="1">IFERROR(IF(0=LEN(ReferenceData!$X$36),"",ReferenceData!$X$36),"")</f>
        <v>1.851722168</v>
      </c>
      <c r="Y36">
        <f ca="1">IFERROR(IF(0=LEN(ReferenceData!$Y$36),"",ReferenceData!$Y$36),"")</f>
        <v>1.952197073</v>
      </c>
      <c r="Z36">
        <f ca="1">IFERROR(IF(0=LEN(ReferenceData!$Z$36),"",ReferenceData!$Z$36),"")</f>
        <v>1.779751562</v>
      </c>
      <c r="AA36">
        <f ca="1">IFERROR(IF(0=LEN(ReferenceData!$AA$36),"",ReferenceData!$AA$36),"")</f>
        <v>1.90786476</v>
      </c>
      <c r="AB36">
        <f ca="1">IFERROR(IF(0=LEN(ReferenceData!$AB$36),"",ReferenceData!$AB$36),"")</f>
        <v>1.798397638</v>
      </c>
      <c r="AC36">
        <f ca="1">IFERROR(IF(0=LEN(ReferenceData!$AC$36),"",ReferenceData!$AC$36),"")</f>
        <v>1.8408795120000001</v>
      </c>
      <c r="AD36">
        <f ca="1">IFERROR(IF(0=LEN(ReferenceData!$AD$36),"",ReferenceData!$AD$36),"")</f>
        <v>1.8394543109999999</v>
      </c>
      <c r="AE36">
        <f ca="1">IFERROR(IF(0=LEN(ReferenceData!$AE$36),"",ReferenceData!$AE$36),"")</f>
        <v>1.5908170370000001</v>
      </c>
      <c r="AF36">
        <f ca="1">IFERROR(IF(0=LEN(ReferenceData!$AF$36),"",ReferenceData!$AF$36),"")</f>
        <v>1.438572679</v>
      </c>
      <c r="AG36">
        <f ca="1">IFERROR(IF(0=LEN(ReferenceData!$AG$36),"",ReferenceData!$AG$36),"")</f>
        <v>1.5679926879999999</v>
      </c>
      <c r="AH36">
        <f ca="1">IFERROR(IF(0=LEN(ReferenceData!$AH$36),"",ReferenceData!$AH$36),"")</f>
        <v>1.358115473</v>
      </c>
      <c r="AI36">
        <f ca="1">IFERROR(IF(0=LEN(ReferenceData!$AI$36),"",ReferenceData!$AI$36),"")</f>
        <v>1.0811513909999999</v>
      </c>
      <c r="AJ36">
        <f ca="1">IFERROR(IF(0=LEN(ReferenceData!$AJ$36),"",ReferenceData!$AJ$36),"")</f>
        <v>1.151439264</v>
      </c>
      <c r="AK36">
        <f ca="1">IFERROR(IF(0=LEN(ReferenceData!$AK$36),"",ReferenceData!$AK$36),"")</f>
        <v>0.93981773099999999</v>
      </c>
      <c r="AL36">
        <f ca="1">IFERROR(IF(0=LEN(ReferenceData!$AL$36),"",ReferenceData!$AL$36),"")</f>
        <v>0.97877383699999998</v>
      </c>
      <c r="AM36">
        <f ca="1">IFERROR(IF(0=LEN(ReferenceData!$AM$36),"",ReferenceData!$AM$36),"")</f>
        <v>1.124062224</v>
      </c>
      <c r="AN36">
        <f ca="1">IFERROR(IF(0=LEN(ReferenceData!$AN$36),"",ReferenceData!$AN$36),"")</f>
        <v>0.96371602300000003</v>
      </c>
      <c r="AO36">
        <f ca="1">IFERROR(IF(0=LEN(ReferenceData!$AO$36),"",ReferenceData!$AO$36),"")</f>
        <v>0.87906312499999995</v>
      </c>
      <c r="AP36">
        <f ca="1">IFERROR(IF(0=LEN(ReferenceData!$AP$36),"",ReferenceData!$AP$36),"")</f>
        <v>0.59373564099999998</v>
      </c>
      <c r="AQ36">
        <f ca="1">IFERROR(IF(0=LEN(ReferenceData!$AQ$36),"",ReferenceData!$AQ$36),"")</f>
        <v>0.59449570100000004</v>
      </c>
      <c r="AR36">
        <f ca="1">IFERROR(IF(0=LEN(ReferenceData!$AR$36),"",ReferenceData!$AR$36),"")</f>
        <v>0.35767792300000001</v>
      </c>
      <c r="AS36">
        <f ca="1">IFERROR(IF(0=LEN(ReferenceData!$AS$36),"",ReferenceData!$AS$36),"")</f>
        <v>0.37895663600000001</v>
      </c>
      <c r="AT36">
        <f ca="1">IFERROR(IF(0=LEN(ReferenceData!$AT$36),"",ReferenceData!$AT$36),"")</f>
        <v>0.832770554</v>
      </c>
      <c r="AU36" t="str">
        <f ca="1">IFERROR(IF(0=LEN(ReferenceData!$AU$36),"",ReferenceData!$AU$36),"")</f>
        <v/>
      </c>
      <c r="AV36" t="str">
        <f ca="1">IFERROR(IF(0=LEN(ReferenceData!$AV$36),"",ReferenceData!$AV$36),"")</f>
        <v/>
      </c>
      <c r="AW36" t="str">
        <f ca="1">IFERROR(IF(0=LEN(ReferenceData!$AW$36),"",ReferenceData!$AW$36),"")</f>
        <v/>
      </c>
      <c r="AX36" t="str">
        <f ca="1">IFERROR(IF(0=LEN(ReferenceData!$AX$36),"",ReferenceData!$AX$36),"")</f>
        <v/>
      </c>
      <c r="AY36" t="str">
        <f ca="1">IFERROR(IF(0=LEN(ReferenceData!$AY$36),"",ReferenceData!$AY$36),"")</f>
        <v/>
      </c>
      <c r="AZ36" t="str">
        <f ca="1">IFERROR(IF(0=LEN(ReferenceData!$AZ$36),"",ReferenceData!$AZ$36),"")</f>
        <v/>
      </c>
      <c r="BA36" t="str">
        <f ca="1">IFERROR(IF(0=LEN(ReferenceData!$BA$36),"",ReferenceData!$BA$36),"")</f>
        <v/>
      </c>
      <c r="BB36" t="str">
        <f ca="1">IFERROR(IF(0=LEN(ReferenceData!$BB$36),"",ReferenceData!$BB$36),"")</f>
        <v/>
      </c>
      <c r="BC36" t="str">
        <f ca="1">IFERROR(IF(0=LEN(ReferenceData!$BC$36),"",ReferenceData!$BC$36),"")</f>
        <v/>
      </c>
      <c r="BD36" t="str">
        <f ca="1">IFERROR(IF(0=LEN(ReferenceData!$BD$36),"",ReferenceData!$BD$36),"")</f>
        <v/>
      </c>
      <c r="BE36" t="str">
        <f ca="1">IFERROR(IF(0=LEN(ReferenceData!$BE$36),"",ReferenceData!$BE$36),"")</f>
        <v/>
      </c>
      <c r="BF36" t="str">
        <f ca="1">IFERROR(IF(0=LEN(ReferenceData!$BF$36),"",ReferenceData!$BF$36),"")</f>
        <v/>
      </c>
      <c r="BG36" t="str">
        <f ca="1">IFERROR(IF(0=LEN(ReferenceData!$BG$36),"",ReferenceData!$BG$36),"")</f>
        <v/>
      </c>
      <c r="BH36" t="str">
        <f ca="1">IFERROR(IF(0=LEN(ReferenceData!$BH$36),"",ReferenceData!$BH$36),"")</f>
        <v/>
      </c>
      <c r="BI36" t="str">
        <f ca="1">IFERROR(IF(0=LEN(ReferenceData!$BI$36),"",ReferenceData!$BI$36),"")</f>
        <v/>
      </c>
      <c r="BJ36" t="str">
        <f ca="1">IFERROR(IF(0=LEN(ReferenceData!$BJ$36),"",ReferenceData!$BJ$36),"")</f>
        <v/>
      </c>
      <c r="BK36" t="str">
        <f ca="1">IFERROR(IF(0=LEN(ReferenceData!$BK$36),"",ReferenceData!$BK$36),"")</f>
        <v/>
      </c>
      <c r="BL36" t="str">
        <f ca="1">IFERROR(IF(0=LEN(ReferenceData!$BL$36),"",ReferenceData!$BL$36),"")</f>
        <v/>
      </c>
      <c r="BM36" t="str">
        <f ca="1">IFERROR(IF(0=LEN(ReferenceData!$BM$36),"",ReferenceData!$BM$36),"")</f>
        <v/>
      </c>
    </row>
    <row r="37" spans="1:65" x14ac:dyDescent="0.25">
      <c r="A37" t="str">
        <f>IFERROR(IF(0=LEN(ReferenceData!$A$37),"",ReferenceData!$A$37),"")</f>
        <v xml:space="preserve">    Tata Motors Ltd</v>
      </c>
      <c r="B37" t="str">
        <f>IFERROR(IF(0=LEN(ReferenceData!$B$37),"",ReferenceData!$B$37),"")</f>
        <v>TTMT IN Equity</v>
      </c>
      <c r="C37" t="str">
        <f>IFERROR(IF(0=LEN(ReferenceData!$C$37),"",ReferenceData!$C$37),"")</f>
        <v>RR844</v>
      </c>
      <c r="D37" t="str">
        <f>IFERROR(IF(0=LEN(ReferenceData!$D$37),"",ReferenceData!$D$37),"")</f>
        <v>T12M_DIL_EPS_CONT_OPS</v>
      </c>
      <c r="E37" t="str">
        <f>IFERROR(IF(0=LEN(ReferenceData!$E$37),"",ReferenceData!$E$37),"")</f>
        <v>Dynamic</v>
      </c>
      <c r="F37" t="str">
        <f ca="1">IFERROR(IF(0=LEN(ReferenceData!$F$37),"",ReferenceData!$F$37),"")</f>
        <v/>
      </c>
      <c r="G37">
        <f ca="1">IFERROR(IF(0=LEN(ReferenceData!$G$37),"",ReferenceData!$G$37),"")</f>
        <v>-0.30415230199999999</v>
      </c>
      <c r="H37">
        <f ca="1">IFERROR(IF(0=LEN(ReferenceData!$H$37),"",ReferenceData!$H$37),"")</f>
        <v>6.7468374999999997E-2</v>
      </c>
      <c r="I37">
        <f ca="1">IFERROR(IF(0=LEN(ReferenceData!$I$37),"",ReferenceData!$I$37),"")</f>
        <v>0.228448874</v>
      </c>
      <c r="J37">
        <f ca="1">IFERROR(IF(0=LEN(ReferenceData!$J$37),"",ReferenceData!$J$37),"")</f>
        <v>0.34702744000000002</v>
      </c>
      <c r="K37">
        <f ca="1">IFERROR(IF(0=LEN(ReferenceData!$K$37),"",ReferenceData!$K$37),"")</f>
        <v>0.38978664899999999</v>
      </c>
      <c r="L37">
        <f ca="1">IFERROR(IF(0=LEN(ReferenceData!$L$37),"",ReferenceData!$L$37),"")</f>
        <v>0.31535026999999999</v>
      </c>
      <c r="M37">
        <f ca="1">IFERROR(IF(0=LEN(ReferenceData!$M$37),"",ReferenceData!$M$37),"")</f>
        <v>0.23934165099999999</v>
      </c>
      <c r="N37">
        <f ca="1">IFERROR(IF(0=LEN(ReferenceData!$N$37),"",ReferenceData!$N$37),"")</f>
        <v>0.29279685100000002</v>
      </c>
      <c r="O37">
        <f ca="1">IFERROR(IF(0=LEN(ReferenceData!$O$37),"",ReferenceData!$O$37),"")</f>
        <v>0.31472089599999997</v>
      </c>
      <c r="P37">
        <f ca="1">IFERROR(IF(0=LEN(ReferenceData!$P$37),"",ReferenceData!$P$37),"")</f>
        <v>0.46881103800000001</v>
      </c>
      <c r="Q37">
        <f ca="1">IFERROR(IF(0=LEN(ReferenceData!$Q$37),"",ReferenceData!$Q$37),"")</f>
        <v>0.43079856999999999</v>
      </c>
      <c r="R37">
        <f ca="1">IFERROR(IF(0=LEN(ReferenceData!$R$37),"",ReferenceData!$R$37),"")</f>
        <v>0.59153150600000004</v>
      </c>
      <c r="S37">
        <f ca="1">IFERROR(IF(0=LEN(ReferenceData!$S$37),"",ReferenceData!$S$37),"")</f>
        <v>0.48480248300000001</v>
      </c>
      <c r="T37">
        <f ca="1">IFERROR(IF(0=LEN(ReferenceData!$T$37),"",ReferenceData!$T$37),"")</f>
        <v>0.53265900499999996</v>
      </c>
      <c r="U37">
        <f ca="1">IFERROR(IF(0=LEN(ReferenceData!$U$37),"",ReferenceData!$U$37),"")</f>
        <v>0.71002438599999995</v>
      </c>
      <c r="V37">
        <f ca="1">IFERROR(IF(0=LEN(ReferenceData!$V$37),"",ReferenceData!$V$37),"")</f>
        <v>0.73346892500000005</v>
      </c>
      <c r="W37">
        <f ca="1">IFERROR(IF(0=LEN(ReferenceData!$W$37),"",ReferenceData!$W$37),"")</f>
        <v>0.82441139600000002</v>
      </c>
      <c r="X37">
        <f ca="1">IFERROR(IF(0=LEN(ReferenceData!$X$37),"",ReferenceData!$X$37),"")</f>
        <v>0.87666951800000004</v>
      </c>
      <c r="Y37">
        <f ca="1">IFERROR(IF(0=LEN(ReferenceData!$Y$37),"",ReferenceData!$Y$37),"")</f>
        <v>0.89080536799999999</v>
      </c>
      <c r="Z37">
        <f ca="1">IFERROR(IF(0=LEN(ReferenceData!$Z$37),"",ReferenceData!$Z$37),"")</f>
        <v>0.71925279099999995</v>
      </c>
      <c r="AA37">
        <f ca="1">IFERROR(IF(0=LEN(ReferenceData!$AA$37),"",ReferenceData!$AA$37),"")</f>
        <v>0.74585148999999995</v>
      </c>
      <c r="AB37">
        <f ca="1">IFERROR(IF(0=LEN(ReferenceData!$AB$37),"",ReferenceData!$AB$37),"")</f>
        <v>0.59809098299999996</v>
      </c>
      <c r="AC37">
        <f ca="1">IFERROR(IF(0=LEN(ReferenceData!$AC$37),"",ReferenceData!$AC$37),"")</f>
        <v>0.52829870300000004</v>
      </c>
      <c r="AD37">
        <f ca="1">IFERROR(IF(0=LEN(ReferenceData!$AD$37),"",ReferenceData!$AD$37),"")</f>
        <v>0.56276352799999996</v>
      </c>
      <c r="AE37">
        <f ca="1">IFERROR(IF(0=LEN(ReferenceData!$AE$37),"",ReferenceData!$AE$37),"")</f>
        <v>0.71869556899999998</v>
      </c>
      <c r="AF37">
        <f ca="1">IFERROR(IF(0=LEN(ReferenceData!$AF$37),"",ReferenceData!$AF$37),"")</f>
        <v>0.826688741</v>
      </c>
      <c r="AG37">
        <f ca="1">IFERROR(IF(0=LEN(ReferenceData!$AG$37),"",ReferenceData!$AG$37),"")</f>
        <v>0.84992367499999999</v>
      </c>
      <c r="AH37">
        <f ca="1">IFERROR(IF(0=LEN(ReferenceData!$AH$37),"",ReferenceData!$AH$37),"")</f>
        <v>0.87054826799999996</v>
      </c>
      <c r="AI37">
        <f ca="1">IFERROR(IF(0=LEN(ReferenceData!$AI$37),"",ReferenceData!$AI$37),"")</f>
        <v>0.63420676799999998</v>
      </c>
      <c r="AJ37">
        <f ca="1">IFERROR(IF(0=LEN(ReferenceData!$AJ$37),"",ReferenceData!$AJ$37),"")</f>
        <v>0.59002750299999995</v>
      </c>
      <c r="AK37">
        <f ca="1">IFERROR(IF(0=LEN(ReferenceData!$AK$37),"",ReferenceData!$AK$37),"")</f>
        <v>0.62057195099999996</v>
      </c>
      <c r="AL37">
        <f ca="1">IFERROR(IF(0=LEN(ReferenceData!$AL$37),"",ReferenceData!$AL$37),"")</f>
        <v>0.62570844299999995</v>
      </c>
      <c r="AM37">
        <f ca="1">IFERROR(IF(0=LEN(ReferenceData!$AM$37),"",ReferenceData!$AM$37),"")</f>
        <v>0.57387752000000003</v>
      </c>
      <c r="AN37">
        <f ca="1">IFERROR(IF(0=LEN(ReferenceData!$AN$37),"",ReferenceData!$AN$37),"")</f>
        <v>0.45776610699999998</v>
      </c>
      <c r="AO37">
        <f ca="1">IFERROR(IF(0=LEN(ReferenceData!$AO$37),"",ReferenceData!$AO$37),"")</f>
        <v>0.285489147</v>
      </c>
      <c r="AP37">
        <f ca="1">IFERROR(IF(0=LEN(ReferenceData!$AP$37),"",ReferenceData!$AP$37),"")</f>
        <v>0.103696466</v>
      </c>
      <c r="AQ37">
        <f ca="1">IFERROR(IF(0=LEN(ReferenceData!$AQ$37),"",ReferenceData!$AQ$37),"")</f>
        <v>5.443013E-3</v>
      </c>
      <c r="AR37">
        <f ca="1">IFERROR(IF(0=LEN(ReferenceData!$AR$37),"",ReferenceData!$AR$37),"")</f>
        <v>-0.265730244</v>
      </c>
      <c r="AS37">
        <f ca="1">IFERROR(IF(0=LEN(ReferenceData!$AS$37),"",ReferenceData!$AS$37),"")</f>
        <v>-0.385085646</v>
      </c>
      <c r="AT37">
        <f ca="1">IFERROR(IF(0=LEN(ReferenceData!$AT$37),"",ReferenceData!$AT$37),"")</f>
        <v>-0.30065929200000002</v>
      </c>
      <c r="AU37" t="str">
        <f ca="1">IFERROR(IF(0=LEN(ReferenceData!$AU$37),"",ReferenceData!$AU$37),"")</f>
        <v/>
      </c>
      <c r="AV37" t="str">
        <f ca="1">IFERROR(IF(0=LEN(ReferenceData!$AV$37),"",ReferenceData!$AV$37),"")</f>
        <v/>
      </c>
      <c r="AW37" t="str">
        <f ca="1">IFERROR(IF(0=LEN(ReferenceData!$AW$37),"",ReferenceData!$AW$37),"")</f>
        <v/>
      </c>
      <c r="AX37" t="str">
        <f ca="1">IFERROR(IF(0=LEN(ReferenceData!$AX$37),"",ReferenceData!$AX$37),"")</f>
        <v/>
      </c>
      <c r="AY37" t="str">
        <f ca="1">IFERROR(IF(0=LEN(ReferenceData!$AY$37),"",ReferenceData!$AY$37),"")</f>
        <v/>
      </c>
      <c r="AZ37" t="str">
        <f ca="1">IFERROR(IF(0=LEN(ReferenceData!$AZ$37),"",ReferenceData!$AZ$37),"")</f>
        <v/>
      </c>
      <c r="BA37" t="str">
        <f ca="1">IFERROR(IF(0=LEN(ReferenceData!$BA$37),"",ReferenceData!$BA$37),"")</f>
        <v/>
      </c>
      <c r="BB37" t="str">
        <f ca="1">IFERROR(IF(0=LEN(ReferenceData!$BB$37),"",ReferenceData!$BB$37),"")</f>
        <v/>
      </c>
      <c r="BC37" t="str">
        <f ca="1">IFERROR(IF(0=LEN(ReferenceData!$BC$37),"",ReferenceData!$BC$37),"")</f>
        <v/>
      </c>
      <c r="BD37" t="str">
        <f ca="1">IFERROR(IF(0=LEN(ReferenceData!$BD$37),"",ReferenceData!$BD$37),"")</f>
        <v/>
      </c>
      <c r="BE37" t="str">
        <f ca="1">IFERROR(IF(0=LEN(ReferenceData!$BE$37),"",ReferenceData!$BE$37),"")</f>
        <v/>
      </c>
      <c r="BF37" t="str">
        <f ca="1">IFERROR(IF(0=LEN(ReferenceData!$BF$37),"",ReferenceData!$BF$37),"")</f>
        <v/>
      </c>
      <c r="BG37" t="str">
        <f ca="1">IFERROR(IF(0=LEN(ReferenceData!$BG$37),"",ReferenceData!$BG$37),"")</f>
        <v/>
      </c>
      <c r="BH37" t="str">
        <f ca="1">IFERROR(IF(0=LEN(ReferenceData!$BH$37),"",ReferenceData!$BH$37),"")</f>
        <v/>
      </c>
      <c r="BI37" t="str">
        <f ca="1">IFERROR(IF(0=LEN(ReferenceData!$BI$37),"",ReferenceData!$BI$37),"")</f>
        <v/>
      </c>
      <c r="BJ37" t="str">
        <f ca="1">IFERROR(IF(0=LEN(ReferenceData!$BJ$37),"",ReferenceData!$BJ$37),"")</f>
        <v/>
      </c>
      <c r="BK37" t="str">
        <f ca="1">IFERROR(IF(0=LEN(ReferenceData!$BK$37),"",ReferenceData!$BK$37),"")</f>
        <v/>
      </c>
      <c r="BL37" t="str">
        <f ca="1">IFERROR(IF(0=LEN(ReferenceData!$BL$37),"",ReferenceData!$BL$37),"")</f>
        <v/>
      </c>
      <c r="BM37" t="str">
        <f ca="1">IFERROR(IF(0=LEN(ReferenceData!$BM$37),"",ReferenceData!$BM$37),"")</f>
        <v/>
      </c>
    </row>
    <row r="38" spans="1:65" x14ac:dyDescent="0.25">
      <c r="A38" t="str">
        <f>IFERROR(IF(0=LEN(ReferenceData!$A$38),"",ReferenceData!$A$38),"")</f>
        <v xml:space="preserve">    Tesla Inc</v>
      </c>
      <c r="B38" t="str">
        <f>IFERROR(IF(0=LEN(ReferenceData!$B$38),"",ReferenceData!$B$38),"")</f>
        <v>TSLA US Equity</v>
      </c>
      <c r="C38" t="str">
        <f>IFERROR(IF(0=LEN(ReferenceData!$C$38),"",ReferenceData!$C$38),"")</f>
        <v>RR844</v>
      </c>
      <c r="D38" t="str">
        <f>IFERROR(IF(0=LEN(ReferenceData!$D$38),"",ReferenceData!$D$38),"")</f>
        <v>T12M_DIL_EPS_CONT_OPS</v>
      </c>
      <c r="E38" t="str">
        <f>IFERROR(IF(0=LEN(ReferenceData!$E$38),"",ReferenceData!$E$38),"")</f>
        <v>Dynamic</v>
      </c>
      <c r="F38" t="str">
        <f ca="1">IFERROR(IF(0=LEN(ReferenceData!$F$38),"",ReferenceData!$F$38),"")</f>
        <v/>
      </c>
      <c r="G38">
        <f ca="1">IFERROR(IF(0=LEN(ReferenceData!$G$38),"",ReferenceData!$G$38),"")</f>
        <v>-4.9591580000000004</v>
      </c>
      <c r="H38">
        <f ca="1">IFERROR(IF(0=LEN(ReferenceData!$H$38),"",ReferenceData!$H$38),"")</f>
        <v>-9.4321719999999996</v>
      </c>
      <c r="I38">
        <f ca="1">IFERROR(IF(0=LEN(ReferenceData!$I$38),"",ReferenceData!$I$38),"")</f>
        <v>-14.929188999999999</v>
      </c>
      <c r="J38">
        <f ca="1">IFERROR(IF(0=LEN(ReferenceData!$J$38),"",ReferenceData!$J$38),"")</f>
        <v>-13.179978999999999</v>
      </c>
      <c r="K38">
        <f ca="1">IFERROR(IF(0=LEN(ReferenceData!$K$38),"",ReferenceData!$K$38),"")</f>
        <v>-11.032825000000001</v>
      </c>
      <c r="L38">
        <f ca="1">IFERROR(IF(0=LEN(ReferenceData!$L$38),"",ReferenceData!$L$38),"")</f>
        <v>-8.5235269999999996</v>
      </c>
      <c r="M38">
        <f ca="1">IFERROR(IF(0=LEN(ReferenceData!$M$38),"",ReferenceData!$M$38),"")</f>
        <v>-4.8111629999999996</v>
      </c>
      <c r="N38">
        <f ca="1">IFERROR(IF(0=LEN(ReferenceData!$N$38),"",ReferenceData!$N$38),"")</f>
        <v>-4.9824380000000001</v>
      </c>
      <c r="O38">
        <f ca="1">IFERROR(IF(0=LEN(ReferenceData!$O$38),"",ReferenceData!$O$38),"")</f>
        <v>-5.180447</v>
      </c>
      <c r="P38">
        <f ca="1">IFERROR(IF(0=LEN(ReferenceData!$P$38),"",ReferenceData!$P$38),"")</f>
        <v>-6.4615090000000004</v>
      </c>
      <c r="Q38">
        <f ca="1">IFERROR(IF(0=LEN(ReferenceData!$Q$38),"",ReferenceData!$Q$38),"")</f>
        <v>-8.3840690000000002</v>
      </c>
      <c r="R38">
        <f ca="1">IFERROR(IF(0=LEN(ReferenceData!$R$38),"",ReferenceData!$R$38),"")</f>
        <v>-7.6717839999999997</v>
      </c>
      <c r="S38">
        <f ca="1">IFERROR(IF(0=LEN(ReferenceData!$S$38),"",ReferenceData!$S$38),"")</f>
        <v>-6.89</v>
      </c>
      <c r="T38">
        <f ca="1">IFERROR(IF(0=LEN(ReferenceData!$T$38),"",ReferenceData!$T$38),"")</f>
        <v>-5.31</v>
      </c>
      <c r="U38">
        <f ca="1">IFERROR(IF(0=LEN(ReferenceData!$U$38),"",ReferenceData!$U$38),"")</f>
        <v>-4.13</v>
      </c>
      <c r="V38">
        <f ca="1">IFERROR(IF(0=LEN(ReferenceData!$V$38),"",ReferenceData!$V$38),"")</f>
        <v>-3.18</v>
      </c>
      <c r="W38">
        <f ca="1">IFERROR(IF(0=LEN(ReferenceData!$W$38),"",ReferenceData!$W$38),"")</f>
        <v>-2.36</v>
      </c>
      <c r="X38">
        <f ca="1">IFERROR(IF(0=LEN(ReferenceData!$X$38),"",ReferenceData!$X$38),"")</f>
        <v>-1.63</v>
      </c>
      <c r="Y38">
        <f ca="1">IFERROR(IF(0=LEN(ReferenceData!$Y$38),"",ReferenceData!$Y$38),"")</f>
        <v>-1.35</v>
      </c>
      <c r="Z38">
        <f ca="1">IFERROR(IF(0=LEN(ReferenceData!$Z$38),"",ReferenceData!$Z$38),"")</f>
        <v>-0.97136299999999998</v>
      </c>
      <c r="AA38">
        <f ca="1">IFERROR(IF(0=LEN(ReferenceData!$AA$38),"",ReferenceData!$AA$38),"")</f>
        <v>-0.57136299999999995</v>
      </c>
      <c r="AB38">
        <f ca="1">IFERROR(IF(0=LEN(ReferenceData!$AB$38),"",ReferenceData!$AB$38),"")</f>
        <v>-1.231363</v>
      </c>
      <c r="AC38">
        <f ca="1">IFERROR(IF(0=LEN(ReferenceData!$AC$38),"",ReferenceData!$AC$38),"")</f>
        <v>-1.961363</v>
      </c>
      <c r="AD38">
        <f ca="1">IFERROR(IF(0=LEN(ReferenceData!$AD$38),"",ReferenceData!$AD$38),"")</f>
        <v>-2.84</v>
      </c>
      <c r="AE38">
        <f ca="1">IFERROR(IF(0=LEN(ReferenceData!$AE$38),"",ReferenceData!$AE$38),"")</f>
        <v>-3.7</v>
      </c>
      <c r="AF38">
        <f ca="1">IFERROR(IF(0=LEN(ReferenceData!$AF$38),"",ReferenceData!$AF$38),"")</f>
        <v>-3.69</v>
      </c>
      <c r="AG38">
        <f ca="1">IFERROR(IF(0=LEN(ReferenceData!$AG$38),"",ReferenceData!$AG$38),"")</f>
        <v>-3.27</v>
      </c>
      <c r="AH38">
        <f ca="1">IFERROR(IF(0=LEN(ReferenceData!$AH$38),"",ReferenceData!$AH$38),"")</f>
        <v>-2.87</v>
      </c>
      <c r="AI38">
        <f ca="1">IFERROR(IF(0=LEN(ReferenceData!$AI$38),"",ReferenceData!$AI$38),"")</f>
        <v>-2.52</v>
      </c>
      <c r="AJ38">
        <f ca="1">IFERROR(IF(0=LEN(ReferenceData!$AJ$38),"",ReferenceData!$AJ$38),"")</f>
        <v>-2.2799999999999998</v>
      </c>
      <c r="AK38">
        <f ca="1">IFERROR(IF(0=LEN(ReferenceData!$AK$38),"",ReferenceData!$AK$38),"")</f>
        <v>-2.0299999999999998</v>
      </c>
      <c r="AL38">
        <f ca="1">IFERROR(IF(0=LEN(ReferenceData!$AL$38),"",ReferenceData!$AL$38),"")</f>
        <v>-6.47</v>
      </c>
      <c r="AM38">
        <f ca="1">IFERROR(IF(0=LEN(ReferenceData!$AM$38),"",ReferenceData!$AM$38),"")</f>
        <v>-10</v>
      </c>
      <c r="AN38">
        <f ca="1">IFERROR(IF(0=LEN(ReferenceData!$AN$38),"",ReferenceData!$AN$38),"")</f>
        <v>-12.912311000000001</v>
      </c>
      <c r="AO38" t="str">
        <f ca="1">IFERROR(IF(0=LEN(ReferenceData!$AO$38),"",ReferenceData!$AO$38),"")</f>
        <v/>
      </c>
      <c r="AP38" t="str">
        <f ca="1">IFERROR(IF(0=LEN(ReferenceData!$AP$38),"",ReferenceData!$AP$38),"")</f>
        <v/>
      </c>
      <c r="AQ38" t="str">
        <f ca="1">IFERROR(IF(0=LEN(ReferenceData!$AQ$38),"",ReferenceData!$AQ$38),"")</f>
        <v/>
      </c>
      <c r="AR38" t="str">
        <f ca="1">IFERROR(IF(0=LEN(ReferenceData!$AR$38),"",ReferenceData!$AR$38),"")</f>
        <v/>
      </c>
      <c r="AS38" t="str">
        <f ca="1">IFERROR(IF(0=LEN(ReferenceData!$AS$38),"",ReferenceData!$AS$38),"")</f>
        <v/>
      </c>
      <c r="AT38" t="str">
        <f ca="1">IFERROR(IF(0=LEN(ReferenceData!$AT$38),"",ReferenceData!$AT$38),"")</f>
        <v/>
      </c>
      <c r="AU38" t="str">
        <f ca="1">IFERROR(IF(0=LEN(ReferenceData!$AU$38),"",ReferenceData!$AU$38),"")</f>
        <v/>
      </c>
      <c r="AV38" t="str">
        <f ca="1">IFERROR(IF(0=LEN(ReferenceData!$AV$38),"",ReferenceData!$AV$38),"")</f>
        <v/>
      </c>
      <c r="AW38" t="str">
        <f ca="1">IFERROR(IF(0=LEN(ReferenceData!$AW$38),"",ReferenceData!$AW$38),"")</f>
        <v/>
      </c>
      <c r="AX38" t="str">
        <f ca="1">IFERROR(IF(0=LEN(ReferenceData!$AX$38),"",ReferenceData!$AX$38),"")</f>
        <v/>
      </c>
      <c r="AY38" t="str">
        <f ca="1">IFERROR(IF(0=LEN(ReferenceData!$AY$38),"",ReferenceData!$AY$38),"")</f>
        <v/>
      </c>
      <c r="AZ38" t="str">
        <f ca="1">IFERROR(IF(0=LEN(ReferenceData!$AZ$38),"",ReferenceData!$AZ$38),"")</f>
        <v/>
      </c>
      <c r="BA38" t="str">
        <f ca="1">IFERROR(IF(0=LEN(ReferenceData!$BA$38),"",ReferenceData!$BA$38),"")</f>
        <v/>
      </c>
      <c r="BB38" t="str">
        <f ca="1">IFERROR(IF(0=LEN(ReferenceData!$BB$38),"",ReferenceData!$BB$38),"")</f>
        <v/>
      </c>
      <c r="BC38" t="str">
        <f ca="1">IFERROR(IF(0=LEN(ReferenceData!$BC$38),"",ReferenceData!$BC$38),"")</f>
        <v/>
      </c>
      <c r="BD38" t="str">
        <f ca="1">IFERROR(IF(0=LEN(ReferenceData!$BD$38),"",ReferenceData!$BD$38),"")</f>
        <v/>
      </c>
      <c r="BE38" t="str">
        <f ca="1">IFERROR(IF(0=LEN(ReferenceData!$BE$38),"",ReferenceData!$BE$38),"")</f>
        <v/>
      </c>
      <c r="BF38" t="str">
        <f ca="1">IFERROR(IF(0=LEN(ReferenceData!$BF$38),"",ReferenceData!$BF$38),"")</f>
        <v/>
      </c>
      <c r="BG38" t="str">
        <f ca="1">IFERROR(IF(0=LEN(ReferenceData!$BG$38),"",ReferenceData!$BG$38),"")</f>
        <v/>
      </c>
      <c r="BH38" t="str">
        <f ca="1">IFERROR(IF(0=LEN(ReferenceData!$BH$38),"",ReferenceData!$BH$38),"")</f>
        <v/>
      </c>
      <c r="BI38" t="str">
        <f ca="1">IFERROR(IF(0=LEN(ReferenceData!$BI$38),"",ReferenceData!$BI$38),"")</f>
        <v/>
      </c>
      <c r="BJ38" t="str">
        <f ca="1">IFERROR(IF(0=LEN(ReferenceData!$BJ$38),"",ReferenceData!$BJ$38),"")</f>
        <v/>
      </c>
      <c r="BK38" t="str">
        <f ca="1">IFERROR(IF(0=LEN(ReferenceData!$BK$38),"",ReferenceData!$BK$38),"")</f>
        <v/>
      </c>
      <c r="BL38" t="str">
        <f ca="1">IFERROR(IF(0=LEN(ReferenceData!$BL$38),"",ReferenceData!$BL$38),"")</f>
        <v/>
      </c>
      <c r="BM38" t="str">
        <f ca="1">IFERROR(IF(0=LEN(ReferenceData!$BM$38),"",ReferenceData!$BM$38),"")</f>
        <v/>
      </c>
    </row>
    <row r="39" spans="1:65" x14ac:dyDescent="0.25">
      <c r="A39" t="str">
        <f>IFERROR(IF(0=LEN(ReferenceData!$A$39),"",ReferenceData!$A$39),"")</f>
        <v xml:space="preserve">    Tianjin Faw Xiali Automobile Co Ltd</v>
      </c>
      <c r="B39" t="str">
        <f>IFERROR(IF(0=LEN(ReferenceData!$B$39),"",ReferenceData!$B$39),"")</f>
        <v>000927 CH Equity</v>
      </c>
      <c r="C39" t="str">
        <f>IFERROR(IF(0=LEN(ReferenceData!$C$39),"",ReferenceData!$C$39),"")</f>
        <v>RR844</v>
      </c>
      <c r="D39" t="str">
        <f>IFERROR(IF(0=LEN(ReferenceData!$D$39),"",ReferenceData!$D$39),"")</f>
        <v>T12M_DIL_EPS_CONT_OPS</v>
      </c>
      <c r="E39" t="str">
        <f>IFERROR(IF(0=LEN(ReferenceData!$E$39),"",ReferenceData!$E$39),"")</f>
        <v>Dynamic</v>
      </c>
      <c r="F39" t="str">
        <f ca="1">IFERROR(IF(0=LEN(ReferenceData!$F$39),"",ReferenceData!$F$39),"")</f>
        <v/>
      </c>
      <c r="G39" t="str">
        <f ca="1">IFERROR(IF(0=LEN(ReferenceData!$G$39),"",ReferenceData!$G$39),"")</f>
        <v/>
      </c>
      <c r="H39">
        <f ca="1">IFERROR(IF(0=LEN(ReferenceData!$H$39),"",ReferenceData!$H$39),"")</f>
        <v>-0.144359972</v>
      </c>
      <c r="I39">
        <f ca="1">IFERROR(IF(0=LEN(ReferenceData!$I$39),"",ReferenceData!$I$39),"")</f>
        <v>-0.153144002</v>
      </c>
      <c r="J39">
        <f ca="1">IFERROR(IF(0=LEN(ReferenceData!$J$39),"",ReferenceData!$J$39),"")</f>
        <v>-0.15077149100000001</v>
      </c>
      <c r="K39">
        <f ca="1">IFERROR(IF(0=LEN(ReferenceData!$K$39),"",ReferenceData!$K$39),"")</f>
        <v>-0.15198788899999999</v>
      </c>
      <c r="L39">
        <f ca="1">IFERROR(IF(0=LEN(ReferenceData!$L$39),"",ReferenceData!$L$39),"")</f>
        <v>-0.174751771</v>
      </c>
      <c r="M39">
        <f ca="1">IFERROR(IF(0=LEN(ReferenceData!$M$39),"",ReferenceData!$M$39),"")</f>
        <v>-0.163635276</v>
      </c>
      <c r="N39">
        <f ca="1">IFERROR(IF(0=LEN(ReferenceData!$N$39),"",ReferenceData!$N$39),"")</f>
        <v>-0.15945799099999999</v>
      </c>
      <c r="O39">
        <f ca="1">IFERROR(IF(0=LEN(ReferenceData!$O$39),"",ReferenceData!$O$39),"")</f>
        <v>-0.15223802</v>
      </c>
      <c r="P39">
        <f ca="1">IFERROR(IF(0=LEN(ReferenceData!$P$39),"",ReferenceData!$P$39),"")</f>
        <v>-6.9173265999999997E-2</v>
      </c>
      <c r="Q39">
        <f ca="1">IFERROR(IF(0=LEN(ReferenceData!$Q$39),"",ReferenceData!$Q$39),"")</f>
        <v>-7.0279438E-2</v>
      </c>
      <c r="R39">
        <f ca="1">IFERROR(IF(0=LEN(ReferenceData!$R$39),"",ReferenceData!$R$39),"")</f>
        <v>-6.3979643000000003E-2</v>
      </c>
      <c r="S39">
        <f ca="1">IFERROR(IF(0=LEN(ReferenceData!$S$39),"",ReferenceData!$S$39),"")</f>
        <v>-7.3454986E-2</v>
      </c>
      <c r="T39">
        <f ca="1">IFERROR(IF(0=LEN(ReferenceData!$T$39),"",ReferenceData!$T$39),"")</f>
        <v>-0.181646746</v>
      </c>
      <c r="U39">
        <f ca="1">IFERROR(IF(0=LEN(ReferenceData!$U$39),"",ReferenceData!$U$39),"")</f>
        <v>-0.17661199399999999</v>
      </c>
      <c r="V39">
        <f ca="1">IFERROR(IF(0=LEN(ReferenceData!$V$39),"",ReferenceData!$V$39),"")</f>
        <v>-0.168174136</v>
      </c>
      <c r="W39">
        <f ca="1">IFERROR(IF(0=LEN(ReferenceData!$W$39),"",ReferenceData!$W$39),"")</f>
        <v>-0.163956304</v>
      </c>
      <c r="X39">
        <f ca="1">IFERROR(IF(0=LEN(ReferenceData!$X$39),"",ReferenceData!$X$39),"")</f>
        <v>-0.104128094</v>
      </c>
      <c r="Y39">
        <f ca="1">IFERROR(IF(0=LEN(ReferenceData!$Y$39),"",ReferenceData!$Y$39),"")</f>
        <v>-8.8556304000000002E-2</v>
      </c>
      <c r="Z39">
        <f ca="1">IFERROR(IF(0=LEN(ReferenceData!$Z$39),"",ReferenceData!$Z$39),"")</f>
        <v>-7.9020198E-2</v>
      </c>
      <c r="AA39">
        <f ca="1">IFERROR(IF(0=LEN(ReferenceData!$AA$39),"",ReferenceData!$AA$39),"")</f>
        <v>-6.3398162999999993E-2</v>
      </c>
      <c r="AB39">
        <f ca="1">IFERROR(IF(0=LEN(ReferenceData!$AB$39),"",ReferenceData!$AB$39),"")</f>
        <v>-3.1834156000000002E-2</v>
      </c>
      <c r="AC39">
        <f ca="1">IFERROR(IF(0=LEN(ReferenceData!$AC$39),"",ReferenceData!$AC$39),"")</f>
        <v>-2.167697E-2</v>
      </c>
      <c r="AD39">
        <f ca="1">IFERROR(IF(0=LEN(ReferenceData!$AD$39),"",ReferenceData!$AD$39),"")</f>
        <v>-7.2459320000000001E-3</v>
      </c>
      <c r="AE39">
        <f ca="1">IFERROR(IF(0=LEN(ReferenceData!$AE$39),"",ReferenceData!$AE$39),"")</f>
        <v>3.8130759999999999E-3</v>
      </c>
      <c r="AF39">
        <f ca="1">IFERROR(IF(0=LEN(ReferenceData!$AF$39),"",ReferenceData!$AF$39),"")</f>
        <v>9.3617119999999995E-3</v>
      </c>
      <c r="AG39">
        <f ca="1">IFERROR(IF(0=LEN(ReferenceData!$AG$39),"",ReferenceData!$AG$39),"")</f>
        <v>1.6260789000000001E-2</v>
      </c>
      <c r="AH39">
        <f ca="1">IFERROR(IF(0=LEN(ReferenceData!$AH$39),"",ReferenceData!$AH$39),"")</f>
        <v>1.1189206E-2</v>
      </c>
      <c r="AI39">
        <f ca="1">IFERROR(IF(0=LEN(ReferenceData!$AI$39),"",ReferenceData!$AI$39),"")</f>
        <v>1.0853531E-2</v>
      </c>
      <c r="AJ39">
        <f ca="1">IFERROR(IF(0=LEN(ReferenceData!$AJ$39),"",ReferenceData!$AJ$39),"")</f>
        <v>1.1559346999999999E-2</v>
      </c>
      <c r="AK39">
        <f ca="1">IFERROR(IF(0=LEN(ReferenceData!$AK$39),"",ReferenceData!$AK$39),"")</f>
        <v>2.4242689000000001E-2</v>
      </c>
      <c r="AL39">
        <f ca="1">IFERROR(IF(0=LEN(ReferenceData!$AL$39),"",ReferenceData!$AL$39),"")</f>
        <v>3.2264292E-2</v>
      </c>
      <c r="AM39">
        <f ca="1">IFERROR(IF(0=LEN(ReferenceData!$AM$39),"",ReferenceData!$AM$39),"")</f>
        <v>4.6816021999999999E-2</v>
      </c>
      <c r="AN39">
        <f ca="1">IFERROR(IF(0=LEN(ReferenceData!$AN$39),"",ReferenceData!$AN$39),"")</f>
        <v>5.8394227E-2</v>
      </c>
      <c r="AO39">
        <f ca="1">IFERROR(IF(0=LEN(ReferenceData!$AO$39),"",ReferenceData!$AO$39),"")</f>
        <v>4.1640924000000003E-2</v>
      </c>
      <c r="AP39">
        <f ca="1">IFERROR(IF(0=LEN(ReferenceData!$AP$39),"",ReferenceData!$AP$39),"")</f>
        <v>4.6525855999999997E-2</v>
      </c>
      <c r="AQ39">
        <f ca="1">IFERROR(IF(0=LEN(ReferenceData!$AQ$39),"",ReferenceData!$AQ$39),"")</f>
        <v>1.9698529999999999E-2</v>
      </c>
      <c r="AR39">
        <f ca="1">IFERROR(IF(0=LEN(ReferenceData!$AR$39),"",ReferenceData!$AR$39),"")</f>
        <v>8.3572900000000001E-4</v>
      </c>
      <c r="AS39" t="str">
        <f ca="1">IFERROR(IF(0=LEN(ReferenceData!$AS$39),"",ReferenceData!$AS$39),"")</f>
        <v/>
      </c>
      <c r="AT39" t="str">
        <f ca="1">IFERROR(IF(0=LEN(ReferenceData!$AT$39),"",ReferenceData!$AT$39),"")</f>
        <v/>
      </c>
      <c r="AU39" t="str">
        <f ca="1">IFERROR(IF(0=LEN(ReferenceData!$AU$39),"",ReferenceData!$AU$39),"")</f>
        <v/>
      </c>
      <c r="AV39" t="str">
        <f ca="1">IFERROR(IF(0=LEN(ReferenceData!$AV$39),"",ReferenceData!$AV$39),"")</f>
        <v/>
      </c>
      <c r="AW39" t="str">
        <f ca="1">IFERROR(IF(0=LEN(ReferenceData!$AW$39),"",ReferenceData!$AW$39),"")</f>
        <v/>
      </c>
      <c r="AX39" t="str">
        <f ca="1">IFERROR(IF(0=LEN(ReferenceData!$AX$39),"",ReferenceData!$AX$39),"")</f>
        <v/>
      </c>
      <c r="AY39" t="str">
        <f ca="1">IFERROR(IF(0=LEN(ReferenceData!$AY$39),"",ReferenceData!$AY$39),"")</f>
        <v/>
      </c>
      <c r="AZ39" t="str">
        <f ca="1">IFERROR(IF(0=LEN(ReferenceData!$AZ$39),"",ReferenceData!$AZ$39),"")</f>
        <v/>
      </c>
      <c r="BA39" t="str">
        <f ca="1">IFERROR(IF(0=LEN(ReferenceData!$BA$39),"",ReferenceData!$BA$39),"")</f>
        <v/>
      </c>
      <c r="BB39" t="str">
        <f ca="1">IFERROR(IF(0=LEN(ReferenceData!$BB$39),"",ReferenceData!$BB$39),"")</f>
        <v/>
      </c>
      <c r="BC39" t="str">
        <f ca="1">IFERROR(IF(0=LEN(ReferenceData!$BC$39),"",ReferenceData!$BC$39),"")</f>
        <v/>
      </c>
      <c r="BD39" t="str">
        <f ca="1">IFERROR(IF(0=LEN(ReferenceData!$BD$39),"",ReferenceData!$BD$39),"")</f>
        <v/>
      </c>
      <c r="BE39" t="str">
        <f ca="1">IFERROR(IF(0=LEN(ReferenceData!$BE$39),"",ReferenceData!$BE$39),"")</f>
        <v/>
      </c>
      <c r="BF39" t="str">
        <f ca="1">IFERROR(IF(0=LEN(ReferenceData!$BF$39),"",ReferenceData!$BF$39),"")</f>
        <v/>
      </c>
      <c r="BG39" t="str">
        <f ca="1">IFERROR(IF(0=LEN(ReferenceData!$BG$39),"",ReferenceData!$BG$39),"")</f>
        <v/>
      </c>
      <c r="BH39" t="str">
        <f ca="1">IFERROR(IF(0=LEN(ReferenceData!$BH$39),"",ReferenceData!$BH$39),"")</f>
        <v/>
      </c>
      <c r="BI39" t="str">
        <f ca="1">IFERROR(IF(0=LEN(ReferenceData!$BI$39),"",ReferenceData!$BI$39),"")</f>
        <v/>
      </c>
      <c r="BJ39" t="str">
        <f ca="1">IFERROR(IF(0=LEN(ReferenceData!$BJ$39),"",ReferenceData!$BJ$39),"")</f>
        <v/>
      </c>
      <c r="BK39" t="str">
        <f ca="1">IFERROR(IF(0=LEN(ReferenceData!$BK$39),"",ReferenceData!$BK$39),"")</f>
        <v/>
      </c>
      <c r="BL39" t="str">
        <f ca="1">IFERROR(IF(0=LEN(ReferenceData!$BL$39),"",ReferenceData!$BL$39),"")</f>
        <v/>
      </c>
      <c r="BM39" t="str">
        <f ca="1">IFERROR(IF(0=LEN(ReferenceData!$BM$39),"",ReferenceData!$BM$39),"")</f>
        <v/>
      </c>
    </row>
    <row r="40" spans="1:65" x14ac:dyDescent="0.25">
      <c r="A40" t="str">
        <f>IFERROR(IF(0=LEN(ReferenceData!$A$40),"",ReferenceData!$A$40),"")</f>
        <v xml:space="preserve">    Tofas Turk Otomobil Fabrikasi AS</v>
      </c>
      <c r="B40" t="str">
        <f>IFERROR(IF(0=LEN(ReferenceData!$B$40),"",ReferenceData!$B$40),"")</f>
        <v>TOASOTRY EO Equity</v>
      </c>
      <c r="C40" t="str">
        <f>IFERROR(IF(0=LEN(ReferenceData!$C$40),"",ReferenceData!$C$40),"")</f>
        <v>RR844</v>
      </c>
      <c r="D40" t="str">
        <f>IFERROR(IF(0=LEN(ReferenceData!$D$40),"",ReferenceData!$D$40),"")</f>
        <v>T12M_DIL_EPS_CONT_OPS</v>
      </c>
      <c r="E40" t="str">
        <f>IFERROR(IF(0=LEN(ReferenceData!$E$40),"",ReferenceData!$E$40),"")</f>
        <v>Dynamic</v>
      </c>
      <c r="F40" t="str">
        <f ca="1">IFERROR(IF(0=LEN(ReferenceData!$F$40),"",ReferenceData!$F$40),"")</f>
        <v/>
      </c>
      <c r="G40">
        <f ca="1">IFERROR(IF(0=LEN(ReferenceData!$G$40),"",ReferenceData!$G$40),"")</f>
        <v>0.55589537</v>
      </c>
      <c r="H40">
        <f ca="1">IFERROR(IF(0=LEN(ReferenceData!$H$40),"",ReferenceData!$H$40),"")</f>
        <v>0.664556704</v>
      </c>
      <c r="I40">
        <f ca="1">IFERROR(IF(0=LEN(ReferenceData!$I$40),"",ReferenceData!$I$40),"")</f>
        <v>0.72600911999999995</v>
      </c>
      <c r="J40">
        <f ca="1">IFERROR(IF(0=LEN(ReferenceData!$J$40),"",ReferenceData!$J$40),"")</f>
        <v>0.73104128000000002</v>
      </c>
      <c r="K40">
        <f ca="1">IFERROR(IF(0=LEN(ReferenceData!$K$40),"",ReferenceData!$K$40),"")</f>
        <v>0.70240538500000005</v>
      </c>
      <c r="L40">
        <f ca="1">IFERROR(IF(0=LEN(ReferenceData!$L$40),"",ReferenceData!$L$40),"")</f>
        <v>0.64683123899999995</v>
      </c>
      <c r="M40">
        <f ca="1">IFERROR(IF(0=LEN(ReferenceData!$M$40),"",ReferenceData!$M$40),"")</f>
        <v>0.63131251799999999</v>
      </c>
      <c r="N40">
        <f ca="1">IFERROR(IF(0=LEN(ReferenceData!$N$40),"",ReferenceData!$N$40),"")</f>
        <v>0.62133108699999995</v>
      </c>
      <c r="O40">
        <f ca="1">IFERROR(IF(0=LEN(ReferenceData!$O$40),"",ReferenceData!$O$40),"")</f>
        <v>0.64066605600000004</v>
      </c>
      <c r="P40">
        <f ca="1">IFERROR(IF(0=LEN(ReferenceData!$P$40),"",ReferenceData!$P$40),"")</f>
        <v>0.64519974099999999</v>
      </c>
      <c r="Q40">
        <f ca="1">IFERROR(IF(0=LEN(ReferenceData!$Q$40),"",ReferenceData!$Q$40),"")</f>
        <v>0.62750817400000003</v>
      </c>
      <c r="R40">
        <f ca="1">IFERROR(IF(0=LEN(ReferenceData!$R$40),"",ReferenceData!$R$40),"")</f>
        <v>0.60843995100000003</v>
      </c>
      <c r="S40">
        <f ca="1">IFERROR(IF(0=LEN(ReferenceData!$S$40),"",ReferenceData!$S$40),"")</f>
        <v>0.61120507499999999</v>
      </c>
      <c r="T40">
        <f ca="1">IFERROR(IF(0=LEN(ReferenceData!$T$40),"",ReferenceData!$T$40),"")</f>
        <v>0.58997582699999995</v>
      </c>
      <c r="U40">
        <f ca="1">IFERROR(IF(0=LEN(ReferenceData!$U$40),"",ReferenceData!$U$40),"")</f>
        <v>0.59158146599999994</v>
      </c>
      <c r="V40">
        <f ca="1">IFERROR(IF(0=LEN(ReferenceData!$V$40),"",ReferenceData!$V$40),"")</f>
        <v>0.57332828599999996</v>
      </c>
      <c r="W40">
        <f ca="1">IFERROR(IF(0=LEN(ReferenceData!$W$40),"",ReferenceData!$W$40),"")</f>
        <v>0.52316914599999997</v>
      </c>
      <c r="X40">
        <f ca="1">IFERROR(IF(0=LEN(ReferenceData!$X$40),"",ReferenceData!$X$40),"")</f>
        <v>0.47777496899999999</v>
      </c>
      <c r="Y40">
        <f ca="1">IFERROR(IF(0=LEN(ReferenceData!$Y$40),"",ReferenceData!$Y$40),"")</f>
        <v>0.46941202100000001</v>
      </c>
      <c r="Z40">
        <f ca="1">IFERROR(IF(0=LEN(ReferenceData!$Z$40),"",ReferenceData!$Z$40),"")</f>
        <v>0.46198106</v>
      </c>
      <c r="AA40">
        <f ca="1">IFERROR(IF(0=LEN(ReferenceData!$AA$40),"",ReferenceData!$AA$40),"")</f>
        <v>0.45459787099999999</v>
      </c>
      <c r="AB40">
        <f ca="1">IFERROR(IF(0=LEN(ReferenceData!$AB$40),"",ReferenceData!$AB$40),"")</f>
        <v>0.474654454</v>
      </c>
      <c r="AC40">
        <f ca="1">IFERROR(IF(0=LEN(ReferenceData!$AC$40),"",ReferenceData!$AC$40),"")</f>
        <v>0.47832365999999998</v>
      </c>
      <c r="AD40">
        <f ca="1">IFERROR(IF(0=LEN(ReferenceData!$AD$40),"",ReferenceData!$AD$40),"")</f>
        <v>0.49769359000000002</v>
      </c>
      <c r="AE40">
        <f ca="1">IFERROR(IF(0=LEN(ReferenceData!$AE$40),"",ReferenceData!$AE$40),"")</f>
        <v>0.48780177400000002</v>
      </c>
      <c r="AF40">
        <f ca="1">IFERROR(IF(0=LEN(ReferenceData!$AF$40),"",ReferenceData!$AF$40),"")</f>
        <v>0.51152752700000004</v>
      </c>
      <c r="AG40">
        <f ca="1">IFERROR(IF(0=LEN(ReferenceData!$AG$40),"",ReferenceData!$AG$40),"")</f>
        <v>0.55205169499999995</v>
      </c>
      <c r="AH40">
        <f ca="1">IFERROR(IF(0=LEN(ReferenceData!$AH$40),"",ReferenceData!$AH$40),"")</f>
        <v>0.57783524500000005</v>
      </c>
      <c r="AI40">
        <f ca="1">IFERROR(IF(0=LEN(ReferenceData!$AI$40),"",ReferenceData!$AI$40),"")</f>
        <v>0.57992321000000002</v>
      </c>
      <c r="AJ40">
        <f ca="1">IFERROR(IF(0=LEN(ReferenceData!$AJ$40),"",ReferenceData!$AJ$40),"")</f>
        <v>0.58354650399999997</v>
      </c>
      <c r="AK40">
        <f ca="1">IFERROR(IF(0=LEN(ReferenceData!$AK$40),"",ReferenceData!$AK$40),"")</f>
        <v>0.53129622499999996</v>
      </c>
      <c r="AL40">
        <f ca="1">IFERROR(IF(0=LEN(ReferenceData!$AL$40),"",ReferenceData!$AL$40),"")</f>
        <v>0.45966055500000003</v>
      </c>
      <c r="AM40">
        <f ca="1">IFERROR(IF(0=LEN(ReferenceData!$AM$40),"",ReferenceData!$AM$40),"")</f>
        <v>0.51246967700000001</v>
      </c>
      <c r="AN40">
        <f ca="1">IFERROR(IF(0=LEN(ReferenceData!$AN$40),"",ReferenceData!$AN$40),"")</f>
        <v>0.50666011700000002</v>
      </c>
      <c r="AO40">
        <f ca="1">IFERROR(IF(0=LEN(ReferenceData!$AO$40),"",ReferenceData!$AO$40),"")</f>
        <v>0.575826952</v>
      </c>
      <c r="AP40">
        <f ca="1">IFERROR(IF(0=LEN(ReferenceData!$AP$40),"",ReferenceData!$AP$40),"")</f>
        <v>0.56569220899999995</v>
      </c>
      <c r="AQ40">
        <f ca="1">IFERROR(IF(0=LEN(ReferenceData!$AQ$40),"",ReferenceData!$AQ$40),"")</f>
        <v>0.44298774200000002</v>
      </c>
      <c r="AR40" t="str">
        <f ca="1">IFERROR(IF(0=LEN(ReferenceData!$AR$40),"",ReferenceData!$AR$40),"")</f>
        <v/>
      </c>
      <c r="AS40" t="str">
        <f ca="1">IFERROR(IF(0=LEN(ReferenceData!$AS$40),"",ReferenceData!$AS$40),"")</f>
        <v/>
      </c>
      <c r="AT40" t="str">
        <f ca="1">IFERROR(IF(0=LEN(ReferenceData!$AT$40),"",ReferenceData!$AT$40),"")</f>
        <v/>
      </c>
      <c r="AU40" t="str">
        <f ca="1">IFERROR(IF(0=LEN(ReferenceData!$AU$40),"",ReferenceData!$AU$40),"")</f>
        <v/>
      </c>
      <c r="AV40" t="str">
        <f ca="1">IFERROR(IF(0=LEN(ReferenceData!$AV$40),"",ReferenceData!$AV$40),"")</f>
        <v/>
      </c>
      <c r="AW40" t="str">
        <f ca="1">IFERROR(IF(0=LEN(ReferenceData!$AW$40),"",ReferenceData!$AW$40),"")</f>
        <v/>
      </c>
      <c r="AX40" t="str">
        <f ca="1">IFERROR(IF(0=LEN(ReferenceData!$AX$40),"",ReferenceData!$AX$40),"")</f>
        <v/>
      </c>
      <c r="AY40" t="str">
        <f ca="1">IFERROR(IF(0=LEN(ReferenceData!$AY$40),"",ReferenceData!$AY$40),"")</f>
        <v/>
      </c>
      <c r="AZ40" t="str">
        <f ca="1">IFERROR(IF(0=LEN(ReferenceData!$AZ$40),"",ReferenceData!$AZ$40),"")</f>
        <v/>
      </c>
      <c r="BA40" t="str">
        <f ca="1">IFERROR(IF(0=LEN(ReferenceData!$BA$40),"",ReferenceData!$BA$40),"")</f>
        <v/>
      </c>
      <c r="BB40" t="str">
        <f ca="1">IFERROR(IF(0=LEN(ReferenceData!$BB$40),"",ReferenceData!$BB$40),"")</f>
        <v/>
      </c>
      <c r="BC40" t="str">
        <f ca="1">IFERROR(IF(0=LEN(ReferenceData!$BC$40),"",ReferenceData!$BC$40),"")</f>
        <v/>
      </c>
      <c r="BD40" t="str">
        <f ca="1">IFERROR(IF(0=LEN(ReferenceData!$BD$40),"",ReferenceData!$BD$40),"")</f>
        <v/>
      </c>
      <c r="BE40" t="str">
        <f ca="1">IFERROR(IF(0=LEN(ReferenceData!$BE$40),"",ReferenceData!$BE$40),"")</f>
        <v/>
      </c>
      <c r="BF40" t="str">
        <f ca="1">IFERROR(IF(0=LEN(ReferenceData!$BF$40),"",ReferenceData!$BF$40),"")</f>
        <v/>
      </c>
      <c r="BG40" t="str">
        <f ca="1">IFERROR(IF(0=LEN(ReferenceData!$BG$40),"",ReferenceData!$BG$40),"")</f>
        <v/>
      </c>
      <c r="BH40" t="str">
        <f ca="1">IFERROR(IF(0=LEN(ReferenceData!$BH$40),"",ReferenceData!$BH$40),"")</f>
        <v/>
      </c>
      <c r="BI40" t="str">
        <f ca="1">IFERROR(IF(0=LEN(ReferenceData!$BI$40),"",ReferenceData!$BI$40),"")</f>
        <v/>
      </c>
      <c r="BJ40" t="str">
        <f ca="1">IFERROR(IF(0=LEN(ReferenceData!$BJ$40),"",ReferenceData!$BJ$40),"")</f>
        <v/>
      </c>
      <c r="BK40" t="str">
        <f ca="1">IFERROR(IF(0=LEN(ReferenceData!$BK$40),"",ReferenceData!$BK$40),"")</f>
        <v/>
      </c>
      <c r="BL40" t="str">
        <f ca="1">IFERROR(IF(0=LEN(ReferenceData!$BL$40),"",ReferenceData!$BL$40),"")</f>
        <v/>
      </c>
      <c r="BM40" t="str">
        <f ca="1">IFERROR(IF(0=LEN(ReferenceData!$BM$40),"",ReferenceData!$BM$40),"")</f>
        <v/>
      </c>
    </row>
    <row r="41" spans="1:65" x14ac:dyDescent="0.25">
      <c r="A41" t="str">
        <f>IFERROR(IF(0=LEN(ReferenceData!$A$41),"",ReferenceData!$A$41),"")</f>
        <v xml:space="preserve">    Toyota Motor Corp</v>
      </c>
      <c r="B41" t="str">
        <f>IFERROR(IF(0=LEN(ReferenceData!$B$41),"",ReferenceData!$B$41),"")</f>
        <v>7203 JP Equity</v>
      </c>
      <c r="C41" t="str">
        <f>IFERROR(IF(0=LEN(ReferenceData!$C$41),"",ReferenceData!$C$41),"")</f>
        <v>RR844</v>
      </c>
      <c r="D41" t="str">
        <f>IFERROR(IF(0=LEN(ReferenceData!$D$41),"",ReferenceData!$D$41),"")</f>
        <v>T12M_DIL_EPS_CONT_OPS</v>
      </c>
      <c r="E41" t="str">
        <f>IFERROR(IF(0=LEN(ReferenceData!$E$41),"",ReferenceData!$E$41),"")</f>
        <v>Dynamic</v>
      </c>
      <c r="F41" t="str">
        <f ca="1">IFERROR(IF(0=LEN(ReferenceData!$F$41),"",ReferenceData!$F$41),"")</f>
        <v/>
      </c>
      <c r="G41">
        <f ca="1">IFERROR(IF(0=LEN(ReferenceData!$G$41),"",ReferenceData!$G$41),"")</f>
        <v>6.7203090989999996</v>
      </c>
      <c r="H41">
        <f ca="1">IFERROR(IF(0=LEN(ReferenceData!$H$41),"",ReferenceData!$H$41),"")</f>
        <v>7.9303918859999998</v>
      </c>
      <c r="I41">
        <f ca="1">IFERROR(IF(0=LEN(ReferenceData!$I$41),"",ReferenceData!$I$41),"")</f>
        <v>7.7487299649999999</v>
      </c>
      <c r="J41">
        <f ca="1">IFERROR(IF(0=LEN(ReferenceData!$J$41),"",ReferenceData!$J$41),"")</f>
        <v>7.6046867100000002</v>
      </c>
      <c r="K41">
        <f ca="1">IFERROR(IF(0=LEN(ReferenceData!$K$41),"",ReferenceData!$K$41),"")</f>
        <v>7.2516133619999996</v>
      </c>
      <c r="L41">
        <f ca="1">IFERROR(IF(0=LEN(ReferenceData!$L$41),"",ReferenceData!$L$41),"")</f>
        <v>5.906887641</v>
      </c>
      <c r="M41">
        <f ca="1">IFERROR(IF(0=LEN(ReferenceData!$M$41),"",ReferenceData!$M$41),"")</f>
        <v>5.8126065569999996</v>
      </c>
      <c r="N41">
        <f ca="1">IFERROR(IF(0=LEN(ReferenceData!$N$41),"",ReferenceData!$N$41),"")</f>
        <v>5.6292671749999998</v>
      </c>
      <c r="O41">
        <f ca="1">IFERROR(IF(0=LEN(ReferenceData!$O$41),"",ReferenceData!$O$41),"")</f>
        <v>5.6630724929999996</v>
      </c>
      <c r="P41">
        <f ca="1">IFERROR(IF(0=LEN(ReferenceData!$P$41),"",ReferenceData!$P$41),"")</f>
        <v>5.8796009829999996</v>
      </c>
      <c r="Q41">
        <f ca="1">IFERROR(IF(0=LEN(ReferenceData!$Q$41),"",ReferenceData!$Q$41),"")</f>
        <v>6.1841452300000004</v>
      </c>
      <c r="R41">
        <f ca="1">IFERROR(IF(0=LEN(ReferenceData!$R$41),"",ReferenceData!$R$41),"")</f>
        <v>6.2130292420000002</v>
      </c>
      <c r="S41">
        <f ca="1">IFERROR(IF(0=LEN(ReferenceData!$S$41),"",ReferenceData!$S$41),"")</f>
        <v>6.1836821129999997</v>
      </c>
      <c r="T41">
        <f ca="1">IFERROR(IF(0=LEN(ReferenceData!$T$41),"",ReferenceData!$T$41),"")</f>
        <v>6.1995382299999999</v>
      </c>
      <c r="U41">
        <f ca="1">IFERROR(IF(0=LEN(ReferenceData!$U$41),"",ReferenceData!$U$41),"")</f>
        <v>6.2533748290000002</v>
      </c>
      <c r="V41">
        <f ca="1">IFERROR(IF(0=LEN(ReferenceData!$V$41),"",ReferenceData!$V$41),"")</f>
        <v>6.3470213439999998</v>
      </c>
      <c r="W41">
        <f ca="1">IFERROR(IF(0=LEN(ReferenceData!$W$41),"",ReferenceData!$W$41),"")</f>
        <v>6.2757434940000003</v>
      </c>
      <c r="X41">
        <f ca="1">IFERROR(IF(0=LEN(ReferenceData!$X$41),"",ReferenceData!$X$41),"")</f>
        <v>6.2354979640000003</v>
      </c>
      <c r="Y41">
        <f ca="1">IFERROR(IF(0=LEN(ReferenceData!$Y$41),"",ReferenceData!$Y$41),"")</f>
        <v>5.9949856219999997</v>
      </c>
      <c r="Z41">
        <f ca="1">IFERROR(IF(0=LEN(ReferenceData!$Z$41),"",ReferenceData!$Z$41),"")</f>
        <v>5.9723101740000004</v>
      </c>
      <c r="AA41">
        <f ca="1">IFERROR(IF(0=LEN(ReferenceData!$AA$41),"",ReferenceData!$AA$41),"")</f>
        <v>6.0115451889999996</v>
      </c>
      <c r="AB41">
        <f ca="1">IFERROR(IF(0=LEN(ReferenceData!$AB$41),"",ReferenceData!$AB$41),"")</f>
        <v>4.9161002470000001</v>
      </c>
      <c r="AC41">
        <f ca="1">IFERROR(IF(0=LEN(ReferenceData!$AC$41),"",ReferenceData!$AC$41),"")</f>
        <v>4.5662719159999998</v>
      </c>
      <c r="AD41">
        <f ca="1">IFERROR(IF(0=LEN(ReferenceData!$AD$41),"",ReferenceData!$AD$41),"")</f>
        <v>3.7580520700000002</v>
      </c>
      <c r="AE41">
        <f ca="1">IFERROR(IF(0=LEN(ReferenceData!$AE$41),"",ReferenceData!$AE$41),"")</f>
        <v>3.2635267940000001</v>
      </c>
      <c r="AF41">
        <f ca="1">IFERROR(IF(0=LEN(ReferenceData!$AF$41),"",ReferenceData!$AF$41),"")</f>
        <v>3.2305829149999998</v>
      </c>
      <c r="AG41">
        <f ca="1">IFERROR(IF(0=LEN(ReferenceData!$AG$41),"",ReferenceData!$AG$41),"")</f>
        <v>2.5176239570000001</v>
      </c>
      <c r="AH41">
        <f ca="1">IFERROR(IF(0=LEN(ReferenceData!$AH$41),"",ReferenceData!$AH$41),"")</f>
        <v>1.3508765110000001</v>
      </c>
      <c r="AI41">
        <f ca="1">IFERROR(IF(0=LEN(ReferenceData!$AI$41),"",ReferenceData!$AI$41),"")</f>
        <v>0.85175312800000003</v>
      </c>
      <c r="AJ41">
        <f ca="1">IFERROR(IF(0=LEN(ReferenceData!$AJ$41),"",ReferenceData!$AJ$41),"")</f>
        <v>0.89222336800000002</v>
      </c>
      <c r="AK41">
        <f ca="1">IFERROR(IF(0=LEN(ReferenceData!$AK$41),"",ReferenceData!$AK$41),"")</f>
        <v>0.94487346900000002</v>
      </c>
      <c r="AL41">
        <f ca="1">IFERROR(IF(0=LEN(ReferenceData!$AL$41),"",ReferenceData!$AL$41),"")</f>
        <v>1.6215328609999999</v>
      </c>
      <c r="AM41">
        <f ca="1">IFERROR(IF(0=LEN(ReferenceData!$AM$41),"",ReferenceData!$AM$41),"")</f>
        <v>1.905059399</v>
      </c>
      <c r="AN41">
        <f ca="1">IFERROR(IF(0=LEN(ReferenceData!$AN$41),"",ReferenceData!$AN$41),"")</f>
        <v>2.0757951509999999</v>
      </c>
      <c r="AO41">
        <f ca="1">IFERROR(IF(0=LEN(ReferenceData!$AO$41),"",ReferenceData!$AO$41),"")</f>
        <v>1.762230205</v>
      </c>
      <c r="AP41">
        <f ca="1">IFERROR(IF(0=LEN(ReferenceData!$AP$41),"",ReferenceData!$AP$41),"")</f>
        <v>0.821733343</v>
      </c>
      <c r="AQ41">
        <f ca="1">IFERROR(IF(0=LEN(ReferenceData!$AQ$41),"",ReferenceData!$AQ$41),"")</f>
        <v>-1.755955774</v>
      </c>
      <c r="AR41">
        <f ca="1">IFERROR(IF(0=LEN(ReferenceData!$AR$41),"",ReferenceData!$AR$41),"")</f>
        <v>-2.782874482</v>
      </c>
      <c r="AS41">
        <f ca="1">IFERROR(IF(0=LEN(ReferenceData!$AS$41),"",ReferenceData!$AS$41),"")</f>
        <v>-2.28018959</v>
      </c>
      <c r="AT41">
        <f ca="1">IFERROR(IF(0=LEN(ReferenceData!$AT$41),"",ReferenceData!$AT$41),"")</f>
        <v>-0.848756764</v>
      </c>
      <c r="AU41" t="str">
        <f ca="1">IFERROR(IF(0=LEN(ReferenceData!$AU$41),"",ReferenceData!$AU$41),"")</f>
        <v/>
      </c>
      <c r="AV41" t="str">
        <f ca="1">IFERROR(IF(0=LEN(ReferenceData!$AV$41),"",ReferenceData!$AV$41),"")</f>
        <v/>
      </c>
      <c r="AW41" t="str">
        <f ca="1">IFERROR(IF(0=LEN(ReferenceData!$AW$41),"",ReferenceData!$AW$41),"")</f>
        <v/>
      </c>
      <c r="AX41" t="str">
        <f ca="1">IFERROR(IF(0=LEN(ReferenceData!$AX$41),"",ReferenceData!$AX$41),"")</f>
        <v/>
      </c>
      <c r="AY41" t="str">
        <f ca="1">IFERROR(IF(0=LEN(ReferenceData!$AY$41),"",ReferenceData!$AY$41),"")</f>
        <v/>
      </c>
      <c r="AZ41" t="str">
        <f ca="1">IFERROR(IF(0=LEN(ReferenceData!$AZ$41),"",ReferenceData!$AZ$41),"")</f>
        <v/>
      </c>
      <c r="BA41" t="str">
        <f ca="1">IFERROR(IF(0=LEN(ReferenceData!$BA$41),"",ReferenceData!$BA$41),"")</f>
        <v/>
      </c>
      <c r="BB41" t="str">
        <f ca="1">IFERROR(IF(0=LEN(ReferenceData!$BB$41),"",ReferenceData!$BB$41),"")</f>
        <v/>
      </c>
      <c r="BC41" t="str">
        <f ca="1">IFERROR(IF(0=LEN(ReferenceData!$BC$41),"",ReferenceData!$BC$41),"")</f>
        <v/>
      </c>
      <c r="BD41" t="str">
        <f ca="1">IFERROR(IF(0=LEN(ReferenceData!$BD$41),"",ReferenceData!$BD$41),"")</f>
        <v/>
      </c>
      <c r="BE41" t="str">
        <f ca="1">IFERROR(IF(0=LEN(ReferenceData!$BE$41),"",ReferenceData!$BE$41),"")</f>
        <v/>
      </c>
      <c r="BF41" t="str">
        <f ca="1">IFERROR(IF(0=LEN(ReferenceData!$BF$41),"",ReferenceData!$BF$41),"")</f>
        <v/>
      </c>
      <c r="BG41" t="str">
        <f ca="1">IFERROR(IF(0=LEN(ReferenceData!$BG$41),"",ReferenceData!$BG$41),"")</f>
        <v/>
      </c>
      <c r="BH41" t="str">
        <f ca="1">IFERROR(IF(0=LEN(ReferenceData!$BH$41),"",ReferenceData!$BH$41),"")</f>
        <v/>
      </c>
      <c r="BI41" t="str">
        <f ca="1">IFERROR(IF(0=LEN(ReferenceData!$BI$41),"",ReferenceData!$BI$41),"")</f>
        <v/>
      </c>
      <c r="BJ41" t="str">
        <f ca="1">IFERROR(IF(0=LEN(ReferenceData!$BJ$41),"",ReferenceData!$BJ$41),"")</f>
        <v/>
      </c>
      <c r="BK41" t="str">
        <f ca="1">IFERROR(IF(0=LEN(ReferenceData!$BK$41),"",ReferenceData!$BK$41),"")</f>
        <v/>
      </c>
      <c r="BL41" t="str">
        <f ca="1">IFERROR(IF(0=LEN(ReferenceData!$BL$41),"",ReferenceData!$BL$41),"")</f>
        <v/>
      </c>
      <c r="BM41" t="str">
        <f ca="1">IFERROR(IF(0=LEN(ReferenceData!$BM$41),"",ReferenceData!$BM$41),"")</f>
        <v/>
      </c>
    </row>
    <row r="42" spans="1:65" x14ac:dyDescent="0.25">
      <c r="A42" t="str">
        <f>IFERROR(IF(0=LEN(ReferenceData!$A$42),"",ReferenceData!$A$42),"")</f>
        <v xml:space="preserve">    Volkswagen AG</v>
      </c>
      <c r="B42" t="str">
        <f>IFERROR(IF(0=LEN(ReferenceData!$B$42),"",ReferenceData!$B$42),"")</f>
        <v>VOW GR Equity</v>
      </c>
      <c r="C42" t="str">
        <f>IFERROR(IF(0=LEN(ReferenceData!$C$42),"",ReferenceData!$C$42),"")</f>
        <v>RR844</v>
      </c>
      <c r="D42" t="str">
        <f>IFERROR(IF(0=LEN(ReferenceData!$D$42),"",ReferenceData!$D$42),"")</f>
        <v>T12M_DIL_EPS_CONT_OPS</v>
      </c>
      <c r="E42" t="str">
        <f>IFERROR(IF(0=LEN(ReferenceData!$E$42),"",ReferenceData!$E$42),"")</f>
        <v>Dynamic</v>
      </c>
      <c r="F42" t="str">
        <f ca="1">IFERROR(IF(0=LEN(ReferenceData!$F$42),"",ReferenceData!$F$42),"")</f>
        <v/>
      </c>
      <c r="G42">
        <f ca="1">IFERROR(IF(0=LEN(ReferenceData!$G$42),"",ReferenceData!$G$42),"")</f>
        <v>33.277003190000002</v>
      </c>
      <c r="H42">
        <f ca="1">IFERROR(IF(0=LEN(ReferenceData!$H$42),"",ReferenceData!$H$42),"")</f>
        <v>37.462809129999997</v>
      </c>
      <c r="I42">
        <f ca="1">IFERROR(IF(0=LEN(ReferenceData!$I$42),"",ReferenceData!$I$42),"")</f>
        <v>36.729470480000003</v>
      </c>
      <c r="J42">
        <f ca="1">IFERROR(IF(0=LEN(ReferenceData!$J$42),"",ReferenceData!$J$42),"")</f>
        <v>33.00301572</v>
      </c>
      <c r="K42">
        <f ca="1">IFERROR(IF(0=LEN(ReferenceData!$K$42),"",ReferenceData!$K$42),"")</f>
        <v>32.080975600000002</v>
      </c>
      <c r="L42">
        <f ca="1">IFERROR(IF(0=LEN(ReferenceData!$L$42),"",ReferenceData!$L$42),"")</f>
        <v>27.89408117</v>
      </c>
      <c r="M42">
        <f ca="1">IFERROR(IF(0=LEN(ReferenceData!$M$42),"",ReferenceData!$M$42),"")</f>
        <v>27.507776360000001</v>
      </c>
      <c r="N42">
        <f ca="1">IFERROR(IF(0=LEN(ReferenceData!$N$42),"",ReferenceData!$N$42),"")</f>
        <v>27.93767193</v>
      </c>
      <c r="O42">
        <f ca="1">IFERROR(IF(0=LEN(ReferenceData!$O$42),"",ReferenceData!$O$42),"")</f>
        <v>25.058298000000001</v>
      </c>
      <c r="P42">
        <f ca="1">IFERROR(IF(0=LEN(ReferenceData!$P$42),"",ReferenceData!$P$42),"")</f>
        <v>23.833879230000001</v>
      </c>
      <c r="Q42">
        <f ca="1">IFERROR(IF(0=LEN(ReferenceData!$Q$42),"",ReferenceData!$Q$42),"")</f>
        <v>23.701764109999999</v>
      </c>
      <c r="R42">
        <f ca="1">IFERROR(IF(0=LEN(ReferenceData!$R$42),"",ReferenceData!$R$42),"")</f>
        <v>22.379103870000002</v>
      </c>
      <c r="S42">
        <f ca="1">IFERROR(IF(0=LEN(ReferenceData!$S$42),"",ReferenceData!$S$42),"")</f>
        <v>24.592627889999999</v>
      </c>
      <c r="T42">
        <f ca="1">IFERROR(IF(0=LEN(ReferenceData!$T$42),"",ReferenceData!$T$42),"")</f>
        <v>25.940223329999998</v>
      </c>
      <c r="U42">
        <f ca="1">IFERROR(IF(0=LEN(ReferenceData!$U$42),"",ReferenceData!$U$42),"")</f>
        <v>27.026646599999999</v>
      </c>
      <c r="V42">
        <f ca="1">IFERROR(IF(0=LEN(ReferenceData!$V$42),"",ReferenceData!$V$42),"")</f>
        <v>29.709940469999999</v>
      </c>
      <c r="W42">
        <f ca="1">IFERROR(IF(0=LEN(ReferenceData!$W$42),"",ReferenceData!$W$42),"")</f>
        <v>29.721705419999999</v>
      </c>
      <c r="X42">
        <f ca="1">IFERROR(IF(0=LEN(ReferenceData!$X$42),"",ReferenceData!$X$42),"")</f>
        <v>31.23967408</v>
      </c>
      <c r="Y42">
        <f ca="1">IFERROR(IF(0=LEN(ReferenceData!$Y$42),"",ReferenceData!$Y$42),"")</f>
        <v>28.454480060000002</v>
      </c>
      <c r="Z42">
        <f ca="1">IFERROR(IF(0=LEN(ReferenceData!$Z$42),"",ReferenceData!$Z$42),"")</f>
        <v>27.296091300000001</v>
      </c>
      <c r="AA42">
        <f ca="1">IFERROR(IF(0=LEN(ReferenceData!$AA$42),"",ReferenceData!$AA$42),"")</f>
        <v>26.109543309999999</v>
      </c>
      <c r="AB42">
        <f ca="1">IFERROR(IF(0=LEN(ReferenceData!$AB$42),"",ReferenceData!$AB$42),"")</f>
        <v>22.92589684</v>
      </c>
      <c r="AC42">
        <f ca="1">IFERROR(IF(0=LEN(ReferenceData!$AC$42),"",ReferenceData!$AC$42),"")</f>
        <v>49.019804950000001</v>
      </c>
      <c r="AD42">
        <f ca="1">IFERROR(IF(0=LEN(ReferenceData!$AD$42),"",ReferenceData!$AD$42),"")</f>
        <v>56.941267949999997</v>
      </c>
      <c r="AE42">
        <f ca="1">IFERROR(IF(0=LEN(ReferenceData!$AE$42),"",ReferenceData!$AE$42),"")</f>
        <v>60.091779209999999</v>
      </c>
      <c r="AF42">
        <f ca="1">IFERROR(IF(0=LEN(ReferenceData!$AF$42),"",ReferenceData!$AF$42),"")</f>
        <v>63.229287300000003</v>
      </c>
      <c r="AG42">
        <f ca="1">IFERROR(IF(0=LEN(ReferenceData!$AG$42),"",ReferenceData!$AG$42),"")</f>
        <v>53.05355771</v>
      </c>
      <c r="AH42">
        <f ca="1">IFERROR(IF(0=LEN(ReferenceData!$AH$42),"",ReferenceData!$AH$42),"")</f>
        <v>51.647731399999998</v>
      </c>
      <c r="AI42">
        <f ca="1">IFERROR(IF(0=LEN(ReferenceData!$AI$42),"",ReferenceData!$AI$42),"")</f>
        <v>47.607299740000002</v>
      </c>
      <c r="AJ42">
        <f ca="1">IFERROR(IF(0=LEN(ReferenceData!$AJ$42),"",ReferenceData!$AJ$42),"")</f>
        <v>51.703579349999998</v>
      </c>
      <c r="AK42">
        <f ca="1">IFERROR(IF(0=LEN(ReferenceData!$AK$42),"",ReferenceData!$AK$42),"")</f>
        <v>36.101826389999999</v>
      </c>
      <c r="AL42">
        <f ca="1">IFERROR(IF(0=LEN(ReferenceData!$AL$42),"",ReferenceData!$AL$42),"")</f>
        <v>25.255439639999999</v>
      </c>
      <c r="AM42">
        <f ca="1">IFERROR(IF(0=LEN(ReferenceData!$AM$42),"",ReferenceData!$AM$42),"")</f>
        <v>22.167185119999999</v>
      </c>
      <c r="AN42">
        <f ca="1">IFERROR(IF(0=LEN(ReferenceData!$AN$42),"",ReferenceData!$AN$42),"")</f>
        <v>13.26693588</v>
      </c>
      <c r="AO42">
        <f ca="1">IFERROR(IF(0=LEN(ReferenceData!$AO$42),"",ReferenceData!$AO$42),"")</f>
        <v>7.9133615099999997</v>
      </c>
      <c r="AP42">
        <f ca="1">IFERROR(IF(0=LEN(ReferenceData!$AP$42),"",ReferenceData!$AP$42),"")</f>
        <v>5.2634297999999999</v>
      </c>
      <c r="AQ42">
        <f ca="1">IFERROR(IF(0=LEN(ReferenceData!$AQ$42),"",ReferenceData!$AQ$42),"")</f>
        <v>4.642465788</v>
      </c>
      <c r="AR42">
        <f ca="1">IFERROR(IF(0=LEN(ReferenceData!$AR$42),"",ReferenceData!$AR$42),"")</f>
        <v>5.6177934660000002</v>
      </c>
      <c r="AS42">
        <f ca="1">IFERROR(IF(0=LEN(ReferenceData!$AS$42),"",ReferenceData!$AS$42),"")</f>
        <v>9.2307776070000003</v>
      </c>
      <c r="AT42">
        <f ca="1">IFERROR(IF(0=LEN(ReferenceData!$AT$42),"",ReferenceData!$AT$42),"")</f>
        <v>14.39011357</v>
      </c>
      <c r="AU42">
        <f ca="1">IFERROR(IF(0=LEN(ReferenceData!$AU$42),"",ReferenceData!$AU$42),"")</f>
        <v>17.31447842</v>
      </c>
      <c r="AV42">
        <f ca="1">IFERROR(IF(0=LEN(ReferenceData!$AV$42),"",ReferenceData!$AV$42),"")</f>
        <v>18.784751180000001</v>
      </c>
      <c r="AW42">
        <f ca="1">IFERROR(IF(0=LEN(ReferenceData!$AW$42),"",ReferenceData!$AW$42),"")</f>
        <v>17.44801343</v>
      </c>
      <c r="AX42">
        <f ca="1">IFERROR(IF(0=LEN(ReferenceData!$AX$42),"",ReferenceData!$AX$42),"")</f>
        <v>15.33512919</v>
      </c>
      <c r="AY42">
        <f ca="1">IFERROR(IF(0=LEN(ReferenceData!$AY$42),"",ReferenceData!$AY$42),"")</f>
        <v>14.201002409999999</v>
      </c>
      <c r="AZ42" t="str">
        <f ca="1">IFERROR(IF(0=LEN(ReferenceData!$AZ$42),"",ReferenceData!$AZ$42),"")</f>
        <v/>
      </c>
      <c r="BA42" t="str">
        <f ca="1">IFERROR(IF(0=LEN(ReferenceData!$BA$42),"",ReferenceData!$BA$42),"")</f>
        <v/>
      </c>
      <c r="BB42" t="str">
        <f ca="1">IFERROR(IF(0=LEN(ReferenceData!$BB$42),"",ReferenceData!$BB$42),"")</f>
        <v/>
      </c>
      <c r="BC42" t="str">
        <f ca="1">IFERROR(IF(0=LEN(ReferenceData!$BC$42),"",ReferenceData!$BC$42),"")</f>
        <v/>
      </c>
      <c r="BD42" t="str">
        <f ca="1">IFERROR(IF(0=LEN(ReferenceData!$BD$42),"",ReferenceData!$BD$42),"")</f>
        <v/>
      </c>
      <c r="BE42" t="str">
        <f ca="1">IFERROR(IF(0=LEN(ReferenceData!$BE$42),"",ReferenceData!$BE$42),"")</f>
        <v/>
      </c>
      <c r="BF42" t="str">
        <f ca="1">IFERROR(IF(0=LEN(ReferenceData!$BF$42),"",ReferenceData!$BF$42),"")</f>
        <v/>
      </c>
      <c r="BG42" t="str">
        <f ca="1">IFERROR(IF(0=LEN(ReferenceData!$BG$42),"",ReferenceData!$BG$42),"")</f>
        <v/>
      </c>
      <c r="BH42" t="str">
        <f ca="1">IFERROR(IF(0=LEN(ReferenceData!$BH$42),"",ReferenceData!$BH$42),"")</f>
        <v/>
      </c>
      <c r="BI42" t="str">
        <f ca="1">IFERROR(IF(0=LEN(ReferenceData!$BI$42),"",ReferenceData!$BI$42),"")</f>
        <v/>
      </c>
      <c r="BJ42" t="str">
        <f ca="1">IFERROR(IF(0=LEN(ReferenceData!$BJ$42),"",ReferenceData!$BJ$42),"")</f>
        <v/>
      </c>
      <c r="BK42" t="str">
        <f ca="1">IFERROR(IF(0=LEN(ReferenceData!$BK$42),"",ReferenceData!$BK$42),"")</f>
        <v/>
      </c>
      <c r="BL42">
        <f ca="1">IFERROR(IF(0=LEN(ReferenceData!$BL$42),"",ReferenceData!$BL$42),"")</f>
        <v>2.3116728979999999</v>
      </c>
      <c r="BM42" t="str">
        <f ca="1">IFERROR(IF(0=LEN(ReferenceData!$BM$42),"",ReferenceData!$BM$42),"")</f>
        <v/>
      </c>
    </row>
    <row r="43" spans="1:65" x14ac:dyDescent="0.25">
      <c r="A43" t="str">
        <f>IFERROR(IF(0=LEN(ReferenceData!$A$43),"",ReferenceData!$A$43),"")</f>
        <v xml:space="preserve">    Yulon Motor Co Ltd</v>
      </c>
      <c r="B43" t="str">
        <f>IFERROR(IF(0=LEN(ReferenceData!$B$43),"",ReferenceData!$B$43),"")</f>
        <v>2201 TT Equity</v>
      </c>
      <c r="C43" t="str">
        <f>IFERROR(IF(0=LEN(ReferenceData!$C$43),"",ReferenceData!$C$43),"")</f>
        <v>RR844</v>
      </c>
      <c r="D43" t="str">
        <f>IFERROR(IF(0=LEN(ReferenceData!$D$43),"",ReferenceData!$D$43),"")</f>
        <v>T12M_DIL_EPS_CONT_OPS</v>
      </c>
      <c r="E43" t="str">
        <f>IFERROR(IF(0=LEN(ReferenceData!$E$43),"",ReferenceData!$E$43),"")</f>
        <v>Dynamic</v>
      </c>
      <c r="F43" t="str">
        <f ca="1">IFERROR(IF(0=LEN(ReferenceData!$F$43),"",ReferenceData!$F$43),"")</f>
        <v/>
      </c>
      <c r="G43" t="str">
        <f ca="1">IFERROR(IF(0=LEN(ReferenceData!$G$43),"",ReferenceData!$G$43),"")</f>
        <v/>
      </c>
      <c r="H43">
        <f ca="1">IFERROR(IF(0=LEN(ReferenceData!$H$43),"",ReferenceData!$H$43),"")</f>
        <v>3.3298968999999998E-2</v>
      </c>
      <c r="I43">
        <f ca="1">IFERROR(IF(0=LEN(ReferenceData!$I$43),"",ReferenceData!$I$43),"")</f>
        <v>4.9604433000000003E-2</v>
      </c>
      <c r="J43">
        <f ca="1">IFERROR(IF(0=LEN(ReferenceData!$J$43),"",ReferenceData!$J$43),"")</f>
        <v>5.6149538999999998E-2</v>
      </c>
      <c r="K43">
        <f ca="1">IFERROR(IF(0=LEN(ReferenceData!$K$43),"",ReferenceData!$K$43),"")</f>
        <v>4.3495793999999997E-2</v>
      </c>
      <c r="L43">
        <f ca="1">IFERROR(IF(0=LEN(ReferenceData!$L$43),"",ReferenceData!$L$43),"")</f>
        <v>3.5792155999999999E-2</v>
      </c>
      <c r="M43">
        <f ca="1">IFERROR(IF(0=LEN(ReferenceData!$M$43),"",ReferenceData!$M$43),"")</f>
        <v>2.6294764000000002E-2</v>
      </c>
      <c r="N43">
        <f ca="1">IFERROR(IF(0=LEN(ReferenceData!$N$43),"",ReferenceData!$N$43),"")</f>
        <v>3.2310238999999998E-2</v>
      </c>
      <c r="O43">
        <f ca="1">IFERROR(IF(0=LEN(ReferenceData!$O$43),"",ReferenceData!$O$43),"")</f>
        <v>2.9040408E-2</v>
      </c>
      <c r="P43">
        <f ca="1">IFERROR(IF(0=LEN(ReferenceData!$P$43),"",ReferenceData!$P$43),"")</f>
        <v>7.6983855000000004E-2</v>
      </c>
      <c r="Q43">
        <f ca="1">IFERROR(IF(0=LEN(ReferenceData!$Q$43),"",ReferenceData!$Q$43),"")</f>
        <v>7.5262331000000002E-2</v>
      </c>
      <c r="R43">
        <f ca="1">IFERROR(IF(0=LEN(ReferenceData!$R$43),"",ReferenceData!$R$43),"")</f>
        <v>8.7298011999999994E-2</v>
      </c>
      <c r="S43">
        <f ca="1">IFERROR(IF(0=LEN(ReferenceData!$S$43),"",ReferenceData!$S$43),"")</f>
        <v>0.106958603</v>
      </c>
      <c r="T43">
        <f ca="1">IFERROR(IF(0=LEN(ReferenceData!$T$43),"",ReferenceData!$T$43),"")</f>
        <v>8.2962485000000002E-2</v>
      </c>
      <c r="U43">
        <f ca="1">IFERROR(IF(0=LEN(ReferenceData!$U$43),"",ReferenceData!$U$43),"")</f>
        <v>9.9848325000000002E-2</v>
      </c>
      <c r="V43">
        <f ca="1">IFERROR(IF(0=LEN(ReferenceData!$V$43),"",ReferenceData!$V$43),"")</f>
        <v>8.8419437000000004E-2</v>
      </c>
      <c r="W43">
        <f ca="1">IFERROR(IF(0=LEN(ReferenceData!$W$43),"",ReferenceData!$W$43),"")</f>
        <v>7.4757219E-2</v>
      </c>
      <c r="X43">
        <f ca="1">IFERROR(IF(0=LEN(ReferenceData!$X$43),"",ReferenceData!$X$43),"")</f>
        <v>6.7540076000000004E-2</v>
      </c>
      <c r="Y43">
        <f ca="1">IFERROR(IF(0=LEN(ReferenceData!$Y$43),"",ReferenceData!$Y$43),"")</f>
        <v>5.6045590999999999E-2</v>
      </c>
      <c r="Z43">
        <f ca="1">IFERROR(IF(0=LEN(ReferenceData!$Z$43),"",ReferenceData!$Z$43),"")</f>
        <v>6.2396306999999998E-2</v>
      </c>
      <c r="AA43">
        <f ca="1">IFERROR(IF(0=LEN(ReferenceData!$AA$43),"",ReferenceData!$AA$43),"")</f>
        <v>6.7722725999999997E-2</v>
      </c>
      <c r="AB43">
        <f ca="1">IFERROR(IF(0=LEN(ReferenceData!$AB$43),"",ReferenceData!$AB$43),"")</f>
        <v>7.1496299999999999E-2</v>
      </c>
      <c r="AC43">
        <f ca="1">IFERROR(IF(0=LEN(ReferenceData!$AC$43),"",ReferenceData!$AC$43),"")</f>
        <v>6.8393692000000006E-2</v>
      </c>
      <c r="AD43">
        <f ca="1">IFERROR(IF(0=LEN(ReferenceData!$AD$43),"",ReferenceData!$AD$43),"")</f>
        <v>6.9687940000000004E-2</v>
      </c>
      <c r="AE43">
        <f ca="1">IFERROR(IF(0=LEN(ReferenceData!$AE$43),"",ReferenceData!$AE$43),"")</f>
        <v>7.0468747999999998E-2</v>
      </c>
      <c r="AF43">
        <f ca="1">IFERROR(IF(0=LEN(ReferenceData!$AF$43),"",ReferenceData!$AF$43),"")</f>
        <v>6.9763868000000007E-2</v>
      </c>
      <c r="AG43">
        <f ca="1">IFERROR(IF(0=LEN(ReferenceData!$AG$43),"",ReferenceData!$AG$43),"")</f>
        <v>7.6811830999999997E-2</v>
      </c>
      <c r="AH43">
        <f ca="1">IFERROR(IF(0=LEN(ReferenceData!$AH$43),"",ReferenceData!$AH$43),"")</f>
        <v>7.2512931000000003E-2</v>
      </c>
      <c r="AI43">
        <f ca="1">IFERROR(IF(0=LEN(ReferenceData!$AI$43),"",ReferenceData!$AI$43),"")</f>
        <v>7.6258072999999996E-2</v>
      </c>
      <c r="AJ43">
        <f ca="1">IFERROR(IF(0=LEN(ReferenceData!$AJ$43),"",ReferenceData!$AJ$43),"")</f>
        <v>8.5324637999999994E-2</v>
      </c>
      <c r="AK43">
        <f ca="1">IFERROR(IF(0=LEN(ReferenceData!$AK$43),"",ReferenceData!$AK$43),"")</f>
        <v>8.1628067999999998E-2</v>
      </c>
      <c r="AL43">
        <f ca="1">IFERROR(IF(0=LEN(ReferenceData!$AL$43),"",ReferenceData!$AL$43),"")</f>
        <v>7.8586564999999997E-2</v>
      </c>
      <c r="AM43">
        <f ca="1">IFERROR(IF(0=LEN(ReferenceData!$AM$43),"",ReferenceData!$AM$43),"")</f>
        <v>7.1138837999999996E-2</v>
      </c>
      <c r="AN43">
        <f ca="1">IFERROR(IF(0=LEN(ReferenceData!$AN$43),"",ReferenceData!$AN$43),"")</f>
        <v>5.0956528000000001E-2</v>
      </c>
      <c r="AO43">
        <f ca="1">IFERROR(IF(0=LEN(ReferenceData!$AO$43),"",ReferenceData!$AO$43),"")</f>
        <v>4.7308264000000003E-2</v>
      </c>
      <c r="AP43">
        <f ca="1">IFERROR(IF(0=LEN(ReferenceData!$AP$43),"",ReferenceData!$AP$43),"")</f>
        <v>3.6822891000000003E-2</v>
      </c>
      <c r="AQ43">
        <f ca="1">IFERROR(IF(0=LEN(ReferenceData!$AQ$43),"",ReferenceData!$AQ$43),"")</f>
        <v>2.2258421E-2</v>
      </c>
      <c r="AR43" t="str">
        <f ca="1">IFERROR(IF(0=LEN(ReferenceData!$AR$43),"",ReferenceData!$AR$43),"")</f>
        <v/>
      </c>
      <c r="AS43" t="str">
        <f ca="1">IFERROR(IF(0=LEN(ReferenceData!$AS$43),"",ReferenceData!$AS$43),"")</f>
        <v/>
      </c>
      <c r="AT43" t="str">
        <f ca="1">IFERROR(IF(0=LEN(ReferenceData!$AT$43),"",ReferenceData!$AT$43),"")</f>
        <v/>
      </c>
      <c r="AU43" t="str">
        <f ca="1">IFERROR(IF(0=LEN(ReferenceData!$AU$43),"",ReferenceData!$AU$43),"")</f>
        <v/>
      </c>
      <c r="AV43" t="str">
        <f ca="1">IFERROR(IF(0=LEN(ReferenceData!$AV$43),"",ReferenceData!$AV$43),"")</f>
        <v/>
      </c>
      <c r="AW43" t="str">
        <f ca="1">IFERROR(IF(0=LEN(ReferenceData!$AW$43),"",ReferenceData!$AW$43),"")</f>
        <v/>
      </c>
      <c r="AX43" t="str">
        <f ca="1">IFERROR(IF(0=LEN(ReferenceData!$AX$43),"",ReferenceData!$AX$43),"")</f>
        <v/>
      </c>
      <c r="AY43" t="str">
        <f ca="1">IFERROR(IF(0=LEN(ReferenceData!$AY$43),"",ReferenceData!$AY$43),"")</f>
        <v/>
      </c>
      <c r="AZ43" t="str">
        <f ca="1">IFERROR(IF(0=LEN(ReferenceData!$AZ$43),"",ReferenceData!$AZ$43),"")</f>
        <v/>
      </c>
      <c r="BA43" t="str">
        <f ca="1">IFERROR(IF(0=LEN(ReferenceData!$BA$43),"",ReferenceData!$BA$43),"")</f>
        <v/>
      </c>
      <c r="BB43" t="str">
        <f ca="1">IFERROR(IF(0=LEN(ReferenceData!$BB$43),"",ReferenceData!$BB$43),"")</f>
        <v/>
      </c>
      <c r="BC43" t="str">
        <f ca="1">IFERROR(IF(0=LEN(ReferenceData!$BC$43),"",ReferenceData!$BC$43),"")</f>
        <v/>
      </c>
      <c r="BD43" t="str">
        <f ca="1">IFERROR(IF(0=LEN(ReferenceData!$BD$43),"",ReferenceData!$BD$43),"")</f>
        <v/>
      </c>
      <c r="BE43" t="str">
        <f ca="1">IFERROR(IF(0=LEN(ReferenceData!$BE$43),"",ReferenceData!$BE$43),"")</f>
        <v/>
      </c>
      <c r="BF43" t="str">
        <f ca="1">IFERROR(IF(0=LEN(ReferenceData!$BF$43),"",ReferenceData!$BF$43),"")</f>
        <v/>
      </c>
      <c r="BG43" t="str">
        <f ca="1">IFERROR(IF(0=LEN(ReferenceData!$BG$43),"",ReferenceData!$BG$43),"")</f>
        <v/>
      </c>
      <c r="BH43" t="str">
        <f ca="1">IFERROR(IF(0=LEN(ReferenceData!$BH$43),"",ReferenceData!$BH$43),"")</f>
        <v/>
      </c>
      <c r="BI43" t="str">
        <f ca="1">IFERROR(IF(0=LEN(ReferenceData!$BI$43),"",ReferenceData!$BI$43),"")</f>
        <v/>
      </c>
      <c r="BJ43" t="str">
        <f ca="1">IFERROR(IF(0=LEN(ReferenceData!$BJ$43),"",ReferenceData!$BJ$43),"")</f>
        <v/>
      </c>
      <c r="BK43" t="str">
        <f ca="1">IFERROR(IF(0=LEN(ReferenceData!$BK$43),"",ReferenceData!$BK$43),"")</f>
        <v/>
      </c>
      <c r="BL43" t="str">
        <f ca="1">IFERROR(IF(0=LEN(ReferenceData!$BL$43),"",ReferenceData!$BL$43),"")</f>
        <v/>
      </c>
      <c r="BM43" t="str">
        <f ca="1">IFERROR(IF(0=LEN(ReferenceData!$BM$43),"",ReferenceData!$BM$43),"")</f>
        <v/>
      </c>
    </row>
    <row r="44" spans="1:65" x14ac:dyDescent="0.25">
      <c r="A44" t="str">
        <f>IFERROR(IF(0=LEN(ReferenceData!$A$44),"",ReferenceData!$A$44),"")</f>
        <v>EPS FY1</v>
      </c>
      <c r="B44" t="str">
        <f>IFERROR(IF(0=LEN(ReferenceData!$B$44),"",ReferenceData!$B$44),"")</f>
        <v>BRAUTOCV Index</v>
      </c>
      <c r="C44" t="str">
        <f>IFERROR(IF(0=LEN(ReferenceData!$C$44),"",ReferenceData!$C$44),"")</f>
        <v/>
      </c>
      <c r="D44" t="str">
        <f>IFERROR(IF(0=LEN(ReferenceData!$D$44),"",ReferenceData!$D$44),"")</f>
        <v/>
      </c>
      <c r="E44" t="str">
        <f>IFERROR(IF(0=LEN(ReferenceData!$E$44),"",ReferenceData!$E$44),"")</f>
        <v>Average</v>
      </c>
      <c r="F44">
        <f ca="1">IFERROR(IF(0=LEN(ReferenceData!$F$44),"",ReferenceData!$F$44),"")</f>
        <v>3.8016176470588232</v>
      </c>
      <c r="G44">
        <f ca="1">IFERROR(IF(0=LEN(ReferenceData!$G$44),"",ReferenceData!$G$44),"")</f>
        <v>3.9836176470588232</v>
      </c>
      <c r="H44">
        <f ca="1">IFERROR(IF(0=LEN(ReferenceData!$H$44),"",ReferenceData!$H$44),"")</f>
        <v>4.2604545454545466</v>
      </c>
      <c r="I44">
        <f ca="1">IFERROR(IF(0=LEN(ReferenceData!$I$44),"",ReferenceData!$I$44),"")</f>
        <v>4.4366562499999995</v>
      </c>
      <c r="J44">
        <f ca="1">IFERROR(IF(0=LEN(ReferenceData!$J$44),"",ReferenceData!$J$44),"")</f>
        <v>4.5027941176470581</v>
      </c>
      <c r="K44">
        <f ca="1">IFERROR(IF(0=LEN(ReferenceData!$K$44),"",ReferenceData!$K$44),"")</f>
        <v>4.3110857142857144</v>
      </c>
      <c r="L44">
        <f ca="1">IFERROR(IF(0=LEN(ReferenceData!$L$44),"",ReferenceData!$L$44),"")</f>
        <v>4.3607941176470586</v>
      </c>
      <c r="M44">
        <f ca="1">IFERROR(IF(0=LEN(ReferenceData!$M$44),"",ReferenceData!$M$44),"")</f>
        <v>4.1267428571428582</v>
      </c>
      <c r="N44">
        <f ca="1">IFERROR(IF(0=LEN(ReferenceData!$N$44),"",ReferenceData!$N$44),"")</f>
        <v>4.2153823529411767</v>
      </c>
      <c r="O44">
        <f ca="1">IFERROR(IF(0=LEN(ReferenceData!$O$44),"",ReferenceData!$O$44),"")</f>
        <v>3.9171212121212124</v>
      </c>
      <c r="P44">
        <f ca="1">IFERROR(IF(0=LEN(ReferenceData!$P$44),"",ReferenceData!$P$44),"")</f>
        <v>4.6318529411764722</v>
      </c>
      <c r="Q44">
        <f ca="1">IFERROR(IF(0=LEN(ReferenceData!$Q$44),"",ReferenceData!$Q$44),"")</f>
        <v>4.2601818181818185</v>
      </c>
      <c r="R44">
        <f ca="1">IFERROR(IF(0=LEN(ReferenceData!$R$44),"",ReferenceData!$R$44),"")</f>
        <v>4.4135714285714283</v>
      </c>
      <c r="S44">
        <f ca="1">IFERROR(IF(0=LEN(ReferenceData!$S$44),"",ReferenceData!$S$44),"")</f>
        <v>5.188629629629629</v>
      </c>
      <c r="T44">
        <f ca="1">IFERROR(IF(0=LEN(ReferenceData!$T$44),"",ReferenceData!$T$44),"")</f>
        <v>5.5994000000000002</v>
      </c>
      <c r="U44">
        <f ca="1">IFERROR(IF(0=LEN(ReferenceData!$U$44),"",ReferenceData!$U$44),"")</f>
        <v>6.8249583333333339</v>
      </c>
      <c r="V44">
        <f ca="1">IFERROR(IF(0=LEN(ReferenceData!$V$44),"",ReferenceData!$V$44),"")</f>
        <v>5.7404800000000016</v>
      </c>
      <c r="W44">
        <f ca="1">IFERROR(IF(0=LEN(ReferenceData!$W$44),"",ReferenceData!$W$44),"")</f>
        <v>3.7476666666666669</v>
      </c>
      <c r="X44">
        <f ca="1">IFERROR(IF(0=LEN(ReferenceData!$X$44),"",ReferenceData!$X$44),"")</f>
        <v>6.4125555555555556</v>
      </c>
      <c r="Y44">
        <f ca="1">IFERROR(IF(0=LEN(ReferenceData!$Y$44),"",ReferenceData!$Y$44),"")</f>
        <v>5.8658181818181818</v>
      </c>
      <c r="Z44">
        <f ca="1">IFERROR(IF(0=LEN(ReferenceData!$Z$44),"",ReferenceData!$Z$44),"")</f>
        <v>8.0387500000000003</v>
      </c>
      <c r="AA44">
        <f ca="1">IFERROR(IF(0=LEN(ReferenceData!$AA$44),"",ReferenceData!$AA$44),"")</f>
        <v>10.398666666666665</v>
      </c>
      <c r="AB44">
        <f ca="1">IFERROR(IF(0=LEN(ReferenceData!$AB$44),"",ReferenceData!$AB$44),"")</f>
        <v>10.35</v>
      </c>
      <c r="AC44">
        <f ca="1">IFERROR(IF(0=LEN(ReferenceData!$AC$44),"",ReferenceData!$AC$44),"")</f>
        <v>7.3250000000000002</v>
      </c>
      <c r="AD44">
        <f ca="1">IFERROR(IF(0=LEN(ReferenceData!$AD$44),"",ReferenceData!$AD$44),"")</f>
        <v>7.96</v>
      </c>
      <c r="AE44">
        <f ca="1">IFERROR(IF(0=LEN(ReferenceData!$AE$44),"",ReferenceData!$AE$44),"")</f>
        <v>7.9249999999999998</v>
      </c>
      <c r="AF44">
        <f ca="1">IFERROR(IF(0=LEN(ReferenceData!$AF$44),"",ReferenceData!$AF$44),"")</f>
        <v>12.19</v>
      </c>
      <c r="AG44">
        <f ca="1">IFERROR(IF(0=LEN(ReferenceData!$AG$44),"",ReferenceData!$AG$44),"")</f>
        <v>11.8</v>
      </c>
      <c r="AH44">
        <f ca="1">IFERROR(IF(0=LEN(ReferenceData!$AH$44),"",ReferenceData!$AH$44),"")</f>
        <v>5.6539999999999999</v>
      </c>
      <c r="AI44" t="str">
        <f ca="1">IFERROR(IF(0=LEN(ReferenceData!$AI$44),"",ReferenceData!$AI$44),"")</f>
        <v/>
      </c>
      <c r="AJ44" t="str">
        <f ca="1">IFERROR(IF(0=LEN(ReferenceData!$AJ$44),"",ReferenceData!$AJ$44),"")</f>
        <v/>
      </c>
      <c r="AK44" t="str">
        <f ca="1">IFERROR(IF(0=LEN(ReferenceData!$AK$44),"",ReferenceData!$AK$44),"")</f>
        <v/>
      </c>
      <c r="AL44" t="str">
        <f ca="1">IFERROR(IF(0=LEN(ReferenceData!$AL$44),"",ReferenceData!$AL$44),"")</f>
        <v/>
      </c>
      <c r="AM44" t="str">
        <f ca="1">IFERROR(IF(0=LEN(ReferenceData!$AM$44),"",ReferenceData!$AM$44),"")</f>
        <v/>
      </c>
      <c r="AN44" t="str">
        <f ca="1">IFERROR(IF(0=LEN(ReferenceData!$AN$44),"",ReferenceData!$AN$44),"")</f>
        <v/>
      </c>
      <c r="AO44" t="str">
        <f ca="1">IFERROR(IF(0=LEN(ReferenceData!$AO$44),"",ReferenceData!$AO$44),"")</f>
        <v/>
      </c>
      <c r="AP44" t="str">
        <f ca="1">IFERROR(IF(0=LEN(ReferenceData!$AP$44),"",ReferenceData!$AP$44),"")</f>
        <v/>
      </c>
      <c r="AQ44" t="str">
        <f ca="1">IFERROR(IF(0=LEN(ReferenceData!$AQ$44),"",ReferenceData!$AQ$44),"")</f>
        <v/>
      </c>
      <c r="AR44" t="str">
        <f ca="1">IFERROR(IF(0=LEN(ReferenceData!$AR$44),"",ReferenceData!$AR$44),"")</f>
        <v/>
      </c>
      <c r="AS44" t="str">
        <f ca="1">IFERROR(IF(0=LEN(ReferenceData!$AS$44),"",ReferenceData!$AS$44),"")</f>
        <v/>
      </c>
      <c r="AT44" t="str">
        <f ca="1">IFERROR(IF(0=LEN(ReferenceData!$AT$44),"",ReferenceData!$AT$44),"")</f>
        <v/>
      </c>
      <c r="AU44" t="str">
        <f ca="1">IFERROR(IF(0=LEN(ReferenceData!$AU$44),"",ReferenceData!$AU$44),"")</f>
        <v/>
      </c>
      <c r="AV44" t="str">
        <f ca="1">IFERROR(IF(0=LEN(ReferenceData!$AV$44),"",ReferenceData!$AV$44),"")</f>
        <v/>
      </c>
      <c r="AW44" t="str">
        <f ca="1">IFERROR(IF(0=LEN(ReferenceData!$AW$44),"",ReferenceData!$AW$44),"")</f>
        <v/>
      </c>
      <c r="AX44" t="str">
        <f ca="1">IFERROR(IF(0=LEN(ReferenceData!$AX$44),"",ReferenceData!$AX$44),"")</f>
        <v/>
      </c>
      <c r="AY44" t="str">
        <f ca="1">IFERROR(IF(0=LEN(ReferenceData!$AY$44),"",ReferenceData!$AY$44),"")</f>
        <v/>
      </c>
      <c r="AZ44" t="str">
        <f ca="1">IFERROR(IF(0=LEN(ReferenceData!$AZ$44),"",ReferenceData!$AZ$44),"")</f>
        <v/>
      </c>
      <c r="BA44" t="str">
        <f ca="1">IFERROR(IF(0=LEN(ReferenceData!$BA$44),"",ReferenceData!$BA$44),"")</f>
        <v/>
      </c>
      <c r="BB44" t="str">
        <f ca="1">IFERROR(IF(0=LEN(ReferenceData!$BB$44),"",ReferenceData!$BB$44),"")</f>
        <v/>
      </c>
      <c r="BC44" t="str">
        <f ca="1">IFERROR(IF(0=LEN(ReferenceData!$BC$44),"",ReferenceData!$BC$44),"")</f>
        <v/>
      </c>
      <c r="BD44" t="str">
        <f ca="1">IFERROR(IF(0=LEN(ReferenceData!$BD$44),"",ReferenceData!$BD$44),"")</f>
        <v/>
      </c>
      <c r="BE44" t="str">
        <f ca="1">IFERROR(IF(0=LEN(ReferenceData!$BE$44),"",ReferenceData!$BE$44),"")</f>
        <v/>
      </c>
      <c r="BF44" t="str">
        <f ca="1">IFERROR(IF(0=LEN(ReferenceData!$BF$44),"",ReferenceData!$BF$44),"")</f>
        <v/>
      </c>
      <c r="BG44" t="str">
        <f ca="1">IFERROR(IF(0=LEN(ReferenceData!$BG$44),"",ReferenceData!$BG$44),"")</f>
        <v/>
      </c>
      <c r="BH44" t="str">
        <f ca="1">IFERROR(IF(0=LEN(ReferenceData!$BH$44),"",ReferenceData!$BH$44),"")</f>
        <v/>
      </c>
      <c r="BI44" t="str">
        <f ca="1">IFERROR(IF(0=LEN(ReferenceData!$BI$44),"",ReferenceData!$BI$44),"")</f>
        <v/>
      </c>
      <c r="BJ44" t="str">
        <f ca="1">IFERROR(IF(0=LEN(ReferenceData!$BJ$44),"",ReferenceData!$BJ$44),"")</f>
        <v/>
      </c>
      <c r="BK44" t="str">
        <f ca="1">IFERROR(IF(0=LEN(ReferenceData!$BK$44),"",ReferenceData!$BK$44),"")</f>
        <v/>
      </c>
      <c r="BL44" t="str">
        <f ca="1">IFERROR(IF(0=LEN(ReferenceData!$BL$44),"",ReferenceData!$BL$44),"")</f>
        <v/>
      </c>
      <c r="BM44" t="str">
        <f ca="1">IFERROR(IF(0=LEN(ReferenceData!$BM$44),"",ReferenceData!$BM$44),"")</f>
        <v/>
      </c>
    </row>
    <row r="45" spans="1:65" x14ac:dyDescent="0.25">
      <c r="A45" t="str">
        <f>IFERROR(IF(0=LEN(ReferenceData!$A$45),"",ReferenceData!$A$45),"")</f>
        <v xml:space="preserve">    AUDI AG</v>
      </c>
      <c r="B45" t="str">
        <f>IFERROR(IF(0=LEN(ReferenceData!$B$45),"",ReferenceData!$B$45),"")</f>
        <v>NSU GR Equity</v>
      </c>
      <c r="C45" t="str">
        <f>IFERROR(IF(0=LEN(ReferenceData!$C$45),"",ReferenceData!$C$45),"")</f>
        <v>EZ019</v>
      </c>
      <c r="D45" t="str">
        <f>IFERROR(IF(0=LEN(ReferenceData!$D$45),"",ReferenceData!$D$45),"")</f>
        <v>BEST_EEPS_CUR_YR</v>
      </c>
      <c r="E45" t="str">
        <f>IFERROR(IF(0=LEN(ReferenceData!$E$45),"",ReferenceData!$E$45),"")</f>
        <v>Dynamic</v>
      </c>
      <c r="F45" t="str">
        <f ca="1">IFERROR(IF(0=LEN(ReferenceData!$F$45),"",ReferenceData!$F$45),"")</f>
        <v/>
      </c>
      <c r="G45" t="str">
        <f ca="1">IFERROR(IF(0=LEN(ReferenceData!$G$45),"",ReferenceData!$G$45),"")</f>
        <v/>
      </c>
      <c r="H45" t="str">
        <f ca="1">IFERROR(IF(0=LEN(ReferenceData!$H$45),"",ReferenceData!$H$45),"")</f>
        <v/>
      </c>
      <c r="I45" t="str">
        <f ca="1">IFERROR(IF(0=LEN(ReferenceData!$I$45),"",ReferenceData!$I$45),"")</f>
        <v/>
      </c>
      <c r="J45" t="str">
        <f ca="1">IFERROR(IF(0=LEN(ReferenceData!$J$45),"",ReferenceData!$J$45),"")</f>
        <v/>
      </c>
      <c r="K45" t="str">
        <f ca="1">IFERROR(IF(0=LEN(ReferenceData!$K$45),"",ReferenceData!$K$45),"")</f>
        <v/>
      </c>
      <c r="L45" t="str">
        <f ca="1">IFERROR(IF(0=LEN(ReferenceData!$L$45),"",ReferenceData!$L$45),"")</f>
        <v/>
      </c>
      <c r="M45" t="str">
        <f ca="1">IFERROR(IF(0=LEN(ReferenceData!$M$45),"",ReferenceData!$M$45),"")</f>
        <v/>
      </c>
      <c r="N45" t="str">
        <f ca="1">IFERROR(IF(0=LEN(ReferenceData!$N$45),"",ReferenceData!$N$45),"")</f>
        <v/>
      </c>
      <c r="O45" t="str">
        <f ca="1">IFERROR(IF(0=LEN(ReferenceData!$O$45),"",ReferenceData!$O$45),"")</f>
        <v/>
      </c>
      <c r="P45" t="str">
        <f ca="1">IFERROR(IF(0=LEN(ReferenceData!$P$45),"",ReferenceData!$P$45),"")</f>
        <v/>
      </c>
      <c r="Q45" t="str">
        <f ca="1">IFERROR(IF(0=LEN(ReferenceData!$Q$45),"",ReferenceData!$Q$45),"")</f>
        <v/>
      </c>
      <c r="R45" t="str">
        <f ca="1">IFERROR(IF(0=LEN(ReferenceData!$R$45),"",ReferenceData!$R$45),"")</f>
        <v/>
      </c>
      <c r="S45" t="str">
        <f ca="1">IFERROR(IF(0=LEN(ReferenceData!$S$45),"",ReferenceData!$S$45),"")</f>
        <v/>
      </c>
      <c r="T45" t="str">
        <f ca="1">IFERROR(IF(0=LEN(ReferenceData!$T$45),"",ReferenceData!$T$45),"")</f>
        <v/>
      </c>
      <c r="U45" t="str">
        <f ca="1">IFERROR(IF(0=LEN(ReferenceData!$U$45),"",ReferenceData!$U$45),"")</f>
        <v/>
      </c>
      <c r="V45" t="str">
        <f ca="1">IFERROR(IF(0=LEN(ReferenceData!$V$45),"",ReferenceData!$V$45),"")</f>
        <v/>
      </c>
      <c r="W45" t="str">
        <f ca="1">IFERROR(IF(0=LEN(ReferenceData!$W$45),"",ReferenceData!$W$45),"")</f>
        <v/>
      </c>
      <c r="X45" t="str">
        <f ca="1">IFERROR(IF(0=LEN(ReferenceData!$X$45),"",ReferenceData!$X$45),"")</f>
        <v/>
      </c>
      <c r="Y45" t="str">
        <f ca="1">IFERROR(IF(0=LEN(ReferenceData!$Y$45),"",ReferenceData!$Y$45),"")</f>
        <v/>
      </c>
      <c r="Z45" t="str">
        <f ca="1">IFERROR(IF(0=LEN(ReferenceData!$Z$45),"",ReferenceData!$Z$45),"")</f>
        <v/>
      </c>
      <c r="AA45" t="str">
        <f ca="1">IFERROR(IF(0=LEN(ReferenceData!$AA$45),"",ReferenceData!$AA$45),"")</f>
        <v/>
      </c>
      <c r="AB45" t="str">
        <f ca="1">IFERROR(IF(0=LEN(ReferenceData!$AB$45),"",ReferenceData!$AB$45),"")</f>
        <v/>
      </c>
      <c r="AC45" t="str">
        <f ca="1">IFERROR(IF(0=LEN(ReferenceData!$AC$45),"",ReferenceData!$AC$45),"")</f>
        <v/>
      </c>
      <c r="AD45" t="str">
        <f ca="1">IFERROR(IF(0=LEN(ReferenceData!$AD$45),"",ReferenceData!$AD$45),"")</f>
        <v/>
      </c>
      <c r="AE45" t="str">
        <f ca="1">IFERROR(IF(0=LEN(ReferenceData!$AE$45),"",ReferenceData!$AE$45),"")</f>
        <v/>
      </c>
      <c r="AF45" t="str">
        <f ca="1">IFERROR(IF(0=LEN(ReferenceData!$AF$45),"",ReferenceData!$AF$45),"")</f>
        <v/>
      </c>
      <c r="AG45" t="str">
        <f ca="1">IFERROR(IF(0=LEN(ReferenceData!$AG$45),"",ReferenceData!$AG$45),"")</f>
        <v/>
      </c>
      <c r="AH45" t="str">
        <f ca="1">IFERROR(IF(0=LEN(ReferenceData!$AH$45),"",ReferenceData!$AH$45),"")</f>
        <v/>
      </c>
      <c r="AI45" t="str">
        <f ca="1">IFERROR(IF(0=LEN(ReferenceData!$AI$45),"",ReferenceData!$AI$45),"")</f>
        <v/>
      </c>
      <c r="AJ45" t="str">
        <f ca="1">IFERROR(IF(0=LEN(ReferenceData!$AJ$45),"",ReferenceData!$AJ$45),"")</f>
        <v/>
      </c>
      <c r="AK45" t="str">
        <f ca="1">IFERROR(IF(0=LEN(ReferenceData!$AK$45),"",ReferenceData!$AK$45),"")</f>
        <v/>
      </c>
      <c r="AL45" t="str">
        <f ca="1">IFERROR(IF(0=LEN(ReferenceData!$AL$45),"",ReferenceData!$AL$45),"")</f>
        <v/>
      </c>
      <c r="AM45" t="str">
        <f ca="1">IFERROR(IF(0=LEN(ReferenceData!$AM$45),"",ReferenceData!$AM$45),"")</f>
        <v/>
      </c>
      <c r="AN45" t="str">
        <f ca="1">IFERROR(IF(0=LEN(ReferenceData!$AN$45),"",ReferenceData!$AN$45),"")</f>
        <v/>
      </c>
      <c r="AO45" t="str">
        <f ca="1">IFERROR(IF(0=LEN(ReferenceData!$AO$45),"",ReferenceData!$AO$45),"")</f>
        <v/>
      </c>
      <c r="AP45" t="str">
        <f ca="1">IFERROR(IF(0=LEN(ReferenceData!$AP$45),"",ReferenceData!$AP$45),"")</f>
        <v/>
      </c>
      <c r="AQ45" t="str">
        <f ca="1">IFERROR(IF(0=LEN(ReferenceData!$AQ$45),"",ReferenceData!$AQ$45),"")</f>
        <v/>
      </c>
      <c r="AR45" t="str">
        <f ca="1">IFERROR(IF(0=LEN(ReferenceData!$AR$45),"",ReferenceData!$AR$45),"")</f>
        <v/>
      </c>
      <c r="AS45" t="str">
        <f ca="1">IFERROR(IF(0=LEN(ReferenceData!$AS$45),"",ReferenceData!$AS$45),"")</f>
        <v/>
      </c>
      <c r="AT45" t="str">
        <f ca="1">IFERROR(IF(0=LEN(ReferenceData!$AT$45),"",ReferenceData!$AT$45),"")</f>
        <v/>
      </c>
      <c r="AU45" t="str">
        <f ca="1">IFERROR(IF(0=LEN(ReferenceData!$AU$45),"",ReferenceData!$AU$45),"")</f>
        <v/>
      </c>
      <c r="AV45" t="str">
        <f ca="1">IFERROR(IF(0=LEN(ReferenceData!$AV$45),"",ReferenceData!$AV$45),"")</f>
        <v/>
      </c>
      <c r="AW45" t="str">
        <f ca="1">IFERROR(IF(0=LEN(ReferenceData!$AW$45),"",ReferenceData!$AW$45),"")</f>
        <v/>
      </c>
      <c r="AX45" t="str">
        <f ca="1">IFERROR(IF(0=LEN(ReferenceData!$AX$45),"",ReferenceData!$AX$45),"")</f>
        <v/>
      </c>
      <c r="AY45" t="str">
        <f ca="1">IFERROR(IF(0=LEN(ReferenceData!$AY$45),"",ReferenceData!$AY$45),"")</f>
        <v/>
      </c>
      <c r="AZ45" t="str">
        <f ca="1">IFERROR(IF(0=LEN(ReferenceData!$AZ$45),"",ReferenceData!$AZ$45),"")</f>
        <v/>
      </c>
      <c r="BA45" t="str">
        <f ca="1">IFERROR(IF(0=LEN(ReferenceData!$BA$45),"",ReferenceData!$BA$45),"")</f>
        <v/>
      </c>
      <c r="BB45" t="str">
        <f ca="1">IFERROR(IF(0=LEN(ReferenceData!$BB$45),"",ReferenceData!$BB$45),"")</f>
        <v/>
      </c>
      <c r="BC45" t="str">
        <f ca="1">IFERROR(IF(0=LEN(ReferenceData!$BC$45),"",ReferenceData!$BC$45),"")</f>
        <v/>
      </c>
      <c r="BD45" t="str">
        <f ca="1">IFERROR(IF(0=LEN(ReferenceData!$BD$45),"",ReferenceData!$BD$45),"")</f>
        <v/>
      </c>
      <c r="BE45" t="str">
        <f ca="1">IFERROR(IF(0=LEN(ReferenceData!$BE$45),"",ReferenceData!$BE$45),"")</f>
        <v/>
      </c>
      <c r="BF45" t="str">
        <f ca="1">IFERROR(IF(0=LEN(ReferenceData!$BF$45),"",ReferenceData!$BF$45),"")</f>
        <v/>
      </c>
      <c r="BG45" t="str">
        <f ca="1">IFERROR(IF(0=LEN(ReferenceData!$BG$45),"",ReferenceData!$BG$45),"")</f>
        <v/>
      </c>
      <c r="BH45" t="str">
        <f ca="1">IFERROR(IF(0=LEN(ReferenceData!$BH$45),"",ReferenceData!$BH$45),"")</f>
        <v/>
      </c>
      <c r="BI45" t="str">
        <f ca="1">IFERROR(IF(0=LEN(ReferenceData!$BI$45),"",ReferenceData!$BI$45),"")</f>
        <v/>
      </c>
      <c r="BJ45" t="str">
        <f ca="1">IFERROR(IF(0=LEN(ReferenceData!$BJ$45),"",ReferenceData!$BJ$45),"")</f>
        <v/>
      </c>
      <c r="BK45" t="str">
        <f ca="1">IFERROR(IF(0=LEN(ReferenceData!$BK$45),"",ReferenceData!$BK$45),"")</f>
        <v/>
      </c>
      <c r="BL45" t="str">
        <f ca="1">IFERROR(IF(0=LEN(ReferenceData!$BL$45),"",ReferenceData!$BL$45),"")</f>
        <v/>
      </c>
      <c r="BM45" t="str">
        <f ca="1">IFERROR(IF(0=LEN(ReferenceData!$BM$45),"",ReferenceData!$BM$45),"")</f>
        <v/>
      </c>
    </row>
    <row r="46" spans="1:65" x14ac:dyDescent="0.25">
      <c r="A46" t="str">
        <f>IFERROR(IF(0=LEN(ReferenceData!$A$46),"",ReferenceData!$A$46),"")</f>
        <v xml:space="preserve">    Avtovaz PJSC</v>
      </c>
      <c r="B46" t="str">
        <f>IFERROR(IF(0=LEN(ReferenceData!$B$46),"",ReferenceData!$B$46),"")</f>
        <v>AVAZ RM Equity</v>
      </c>
      <c r="C46" t="str">
        <f>IFERROR(IF(0=LEN(ReferenceData!$C$46),"",ReferenceData!$C$46),"")</f>
        <v>EZ019</v>
      </c>
      <c r="D46" t="str">
        <f>IFERROR(IF(0=LEN(ReferenceData!$D$46),"",ReferenceData!$D$46),"")</f>
        <v>BEST_EEPS_CUR_YR</v>
      </c>
      <c r="E46" t="str">
        <f>IFERROR(IF(0=LEN(ReferenceData!$E$46),"",ReferenceData!$E$46),"")</f>
        <v>Dynamic</v>
      </c>
      <c r="F46" t="str">
        <f ca="1">IFERROR(IF(0=LEN(ReferenceData!$F$46),"",ReferenceData!$F$46),"")</f>
        <v/>
      </c>
      <c r="G46" t="str">
        <f ca="1">IFERROR(IF(0=LEN(ReferenceData!$G$46),"",ReferenceData!$G$46),"")</f>
        <v/>
      </c>
      <c r="H46" t="str">
        <f ca="1">IFERROR(IF(0=LEN(ReferenceData!$H$46),"",ReferenceData!$H$46),"")</f>
        <v/>
      </c>
      <c r="I46" t="str">
        <f ca="1">IFERROR(IF(0=LEN(ReferenceData!$I$46),"",ReferenceData!$I$46),"")</f>
        <v/>
      </c>
      <c r="J46" t="str">
        <f ca="1">IFERROR(IF(0=LEN(ReferenceData!$J$46),"",ReferenceData!$J$46),"")</f>
        <v/>
      </c>
      <c r="K46" t="str">
        <f ca="1">IFERROR(IF(0=LEN(ReferenceData!$K$46),"",ReferenceData!$K$46),"")</f>
        <v/>
      </c>
      <c r="L46" t="str">
        <f ca="1">IFERROR(IF(0=LEN(ReferenceData!$L$46),"",ReferenceData!$L$46),"")</f>
        <v/>
      </c>
      <c r="M46" t="str">
        <f ca="1">IFERROR(IF(0=LEN(ReferenceData!$M$46),"",ReferenceData!$M$46),"")</f>
        <v/>
      </c>
      <c r="N46" t="str">
        <f ca="1">IFERROR(IF(0=LEN(ReferenceData!$N$46),"",ReferenceData!$N$46),"")</f>
        <v/>
      </c>
      <c r="O46" t="str">
        <f ca="1">IFERROR(IF(0=LEN(ReferenceData!$O$46),"",ReferenceData!$O$46),"")</f>
        <v/>
      </c>
      <c r="P46" t="str">
        <f ca="1">IFERROR(IF(0=LEN(ReferenceData!$P$46),"",ReferenceData!$P$46),"")</f>
        <v/>
      </c>
      <c r="Q46" t="str">
        <f ca="1">IFERROR(IF(0=LEN(ReferenceData!$Q$46),"",ReferenceData!$Q$46),"")</f>
        <v/>
      </c>
      <c r="R46">
        <f ca="1">IFERROR(IF(0=LEN(ReferenceData!$R$46),"",ReferenceData!$R$46),"")</f>
        <v>8.3000000000000004E-2</v>
      </c>
      <c r="S46">
        <f ca="1">IFERROR(IF(0=LEN(ReferenceData!$S$46),"",ReferenceData!$S$46),"")</f>
        <v>8.1000000000000003E-2</v>
      </c>
      <c r="T46" t="str">
        <f ca="1">IFERROR(IF(0=LEN(ReferenceData!$T$46),"",ReferenceData!$T$46),"")</f>
        <v/>
      </c>
      <c r="U46" t="str">
        <f ca="1">IFERROR(IF(0=LEN(ReferenceData!$U$46),"",ReferenceData!$U$46),"")</f>
        <v/>
      </c>
      <c r="V46">
        <f ca="1">IFERROR(IF(0=LEN(ReferenceData!$V$46),"",ReferenceData!$V$46),"")</f>
        <v>0.1</v>
      </c>
      <c r="W46">
        <f ca="1">IFERROR(IF(0=LEN(ReferenceData!$W$46),"",ReferenceData!$W$46),"")</f>
        <v>9.1999999999999998E-2</v>
      </c>
      <c r="X46" t="str">
        <f ca="1">IFERROR(IF(0=LEN(ReferenceData!$X$46),"",ReferenceData!$X$46),"")</f>
        <v/>
      </c>
      <c r="Y46">
        <f ca="1">IFERROR(IF(0=LEN(ReferenceData!$Y$46),"",ReferenceData!$Y$46),"")</f>
        <v>0.16900000000000001</v>
      </c>
      <c r="Z46">
        <f ca="1">IFERROR(IF(0=LEN(ReferenceData!$Z$46),"",ReferenceData!$Z$46),"")</f>
        <v>0.16700000000000001</v>
      </c>
      <c r="AA46" t="str">
        <f ca="1">IFERROR(IF(0=LEN(ReferenceData!$AA$46),"",ReferenceData!$AA$46),"")</f>
        <v/>
      </c>
      <c r="AB46" t="str">
        <f ca="1">IFERROR(IF(0=LEN(ReferenceData!$AB$46),"",ReferenceData!$AB$46),"")</f>
        <v/>
      </c>
      <c r="AC46" t="str">
        <f ca="1">IFERROR(IF(0=LEN(ReferenceData!$AC$46),"",ReferenceData!$AC$46),"")</f>
        <v/>
      </c>
      <c r="AD46" t="str">
        <f ca="1">IFERROR(IF(0=LEN(ReferenceData!$AD$46),"",ReferenceData!$AD$46),"")</f>
        <v/>
      </c>
      <c r="AE46" t="str">
        <f ca="1">IFERROR(IF(0=LEN(ReferenceData!$AE$46),"",ReferenceData!$AE$46),"")</f>
        <v/>
      </c>
      <c r="AF46" t="str">
        <f ca="1">IFERROR(IF(0=LEN(ReferenceData!$AF$46),"",ReferenceData!$AF$46),"")</f>
        <v/>
      </c>
      <c r="AG46" t="str">
        <f ca="1">IFERROR(IF(0=LEN(ReferenceData!$AG$46),"",ReferenceData!$AG$46),"")</f>
        <v/>
      </c>
      <c r="AH46" t="str">
        <f ca="1">IFERROR(IF(0=LEN(ReferenceData!$AH$46),"",ReferenceData!$AH$46),"")</f>
        <v/>
      </c>
      <c r="AI46" t="str">
        <f ca="1">IFERROR(IF(0=LEN(ReferenceData!$AI$46),"",ReferenceData!$AI$46),"")</f>
        <v/>
      </c>
      <c r="AJ46" t="str">
        <f ca="1">IFERROR(IF(0=LEN(ReferenceData!$AJ$46),"",ReferenceData!$AJ$46),"")</f>
        <v/>
      </c>
      <c r="AK46" t="str">
        <f ca="1">IFERROR(IF(0=LEN(ReferenceData!$AK$46),"",ReferenceData!$AK$46),"")</f>
        <v/>
      </c>
      <c r="AL46" t="str">
        <f ca="1">IFERROR(IF(0=LEN(ReferenceData!$AL$46),"",ReferenceData!$AL$46),"")</f>
        <v/>
      </c>
      <c r="AM46" t="str">
        <f ca="1">IFERROR(IF(0=LEN(ReferenceData!$AM$46),"",ReferenceData!$AM$46),"")</f>
        <v/>
      </c>
      <c r="AN46" t="str">
        <f ca="1">IFERROR(IF(0=LEN(ReferenceData!$AN$46),"",ReferenceData!$AN$46),"")</f>
        <v/>
      </c>
      <c r="AO46" t="str">
        <f ca="1">IFERROR(IF(0=LEN(ReferenceData!$AO$46),"",ReferenceData!$AO$46),"")</f>
        <v/>
      </c>
      <c r="AP46" t="str">
        <f ca="1">IFERROR(IF(0=LEN(ReferenceData!$AP$46),"",ReferenceData!$AP$46),"")</f>
        <v/>
      </c>
      <c r="AQ46" t="str">
        <f ca="1">IFERROR(IF(0=LEN(ReferenceData!$AQ$46),"",ReferenceData!$AQ$46),"")</f>
        <v/>
      </c>
      <c r="AR46" t="str">
        <f ca="1">IFERROR(IF(0=LEN(ReferenceData!$AR$46),"",ReferenceData!$AR$46),"")</f>
        <v/>
      </c>
      <c r="AS46" t="str">
        <f ca="1">IFERROR(IF(0=LEN(ReferenceData!$AS$46),"",ReferenceData!$AS$46),"")</f>
        <v/>
      </c>
      <c r="AT46" t="str">
        <f ca="1">IFERROR(IF(0=LEN(ReferenceData!$AT$46),"",ReferenceData!$AT$46),"")</f>
        <v/>
      </c>
      <c r="AU46" t="str">
        <f ca="1">IFERROR(IF(0=LEN(ReferenceData!$AU$46),"",ReferenceData!$AU$46),"")</f>
        <v/>
      </c>
      <c r="AV46" t="str">
        <f ca="1">IFERROR(IF(0=LEN(ReferenceData!$AV$46),"",ReferenceData!$AV$46),"")</f>
        <v/>
      </c>
      <c r="AW46" t="str">
        <f ca="1">IFERROR(IF(0=LEN(ReferenceData!$AW$46),"",ReferenceData!$AW$46),"")</f>
        <v/>
      </c>
      <c r="AX46" t="str">
        <f ca="1">IFERROR(IF(0=LEN(ReferenceData!$AX$46),"",ReferenceData!$AX$46),"")</f>
        <v/>
      </c>
      <c r="AY46" t="str">
        <f ca="1">IFERROR(IF(0=LEN(ReferenceData!$AY$46),"",ReferenceData!$AY$46),"")</f>
        <v/>
      </c>
      <c r="AZ46" t="str">
        <f ca="1">IFERROR(IF(0=LEN(ReferenceData!$AZ$46),"",ReferenceData!$AZ$46),"")</f>
        <v/>
      </c>
      <c r="BA46" t="str">
        <f ca="1">IFERROR(IF(0=LEN(ReferenceData!$BA$46),"",ReferenceData!$BA$46),"")</f>
        <v/>
      </c>
      <c r="BB46" t="str">
        <f ca="1">IFERROR(IF(0=LEN(ReferenceData!$BB$46),"",ReferenceData!$BB$46),"")</f>
        <v/>
      </c>
      <c r="BC46" t="str">
        <f ca="1">IFERROR(IF(0=LEN(ReferenceData!$BC$46),"",ReferenceData!$BC$46),"")</f>
        <v/>
      </c>
      <c r="BD46" t="str">
        <f ca="1">IFERROR(IF(0=LEN(ReferenceData!$BD$46),"",ReferenceData!$BD$46),"")</f>
        <v/>
      </c>
      <c r="BE46" t="str">
        <f ca="1">IFERROR(IF(0=LEN(ReferenceData!$BE$46),"",ReferenceData!$BE$46),"")</f>
        <v/>
      </c>
      <c r="BF46" t="str">
        <f ca="1">IFERROR(IF(0=LEN(ReferenceData!$BF$46),"",ReferenceData!$BF$46),"")</f>
        <v/>
      </c>
      <c r="BG46" t="str">
        <f ca="1">IFERROR(IF(0=LEN(ReferenceData!$BG$46),"",ReferenceData!$BG$46),"")</f>
        <v/>
      </c>
      <c r="BH46" t="str">
        <f ca="1">IFERROR(IF(0=LEN(ReferenceData!$BH$46),"",ReferenceData!$BH$46),"")</f>
        <v/>
      </c>
      <c r="BI46" t="str">
        <f ca="1">IFERROR(IF(0=LEN(ReferenceData!$BI$46),"",ReferenceData!$BI$46),"")</f>
        <v/>
      </c>
      <c r="BJ46" t="str">
        <f ca="1">IFERROR(IF(0=LEN(ReferenceData!$BJ$46),"",ReferenceData!$BJ$46),"")</f>
        <v/>
      </c>
      <c r="BK46" t="str">
        <f ca="1">IFERROR(IF(0=LEN(ReferenceData!$BK$46),"",ReferenceData!$BK$46),"")</f>
        <v/>
      </c>
      <c r="BL46" t="str">
        <f ca="1">IFERROR(IF(0=LEN(ReferenceData!$BL$46),"",ReferenceData!$BL$46),"")</f>
        <v/>
      </c>
      <c r="BM46" t="str">
        <f ca="1">IFERROR(IF(0=LEN(ReferenceData!$BM$46),"",ReferenceData!$BM$46),"")</f>
        <v/>
      </c>
    </row>
    <row r="47" spans="1:65" x14ac:dyDescent="0.25">
      <c r="A47" t="str">
        <f>IFERROR(IF(0=LEN(ReferenceData!$A$47),"",ReferenceData!$A$47),"")</f>
        <v xml:space="preserve">    Bayerische Motoren Werke AG</v>
      </c>
      <c r="B47" t="str">
        <f>IFERROR(IF(0=LEN(ReferenceData!$B$47),"",ReferenceData!$B$47),"")</f>
        <v>BMW GR Equity</v>
      </c>
      <c r="C47" t="str">
        <f>IFERROR(IF(0=LEN(ReferenceData!$C$47),"",ReferenceData!$C$47),"")</f>
        <v>EZ019</v>
      </c>
      <c r="D47" t="str">
        <f>IFERROR(IF(0=LEN(ReferenceData!$D$47),"",ReferenceData!$D$47),"")</f>
        <v>BEST_EEPS_CUR_YR</v>
      </c>
      <c r="E47" t="str">
        <f>IFERROR(IF(0=LEN(ReferenceData!$E$47),"",ReferenceData!$E$47),"")</f>
        <v>Dynamic</v>
      </c>
      <c r="F47">
        <f ca="1">IFERROR(IF(0=LEN(ReferenceData!$F$47),"",ReferenceData!$F$47),"")</f>
        <v>11.976000000000001</v>
      </c>
      <c r="G47">
        <f ca="1">IFERROR(IF(0=LEN(ReferenceData!$G$47),"",ReferenceData!$G$47),"")</f>
        <v>11.96</v>
      </c>
      <c r="H47">
        <f ca="1">IFERROR(IF(0=LEN(ReferenceData!$H$47),"",ReferenceData!$H$47),"")</f>
        <v>12.199</v>
      </c>
      <c r="I47">
        <f ca="1">IFERROR(IF(0=LEN(ReferenceData!$I$47),"",ReferenceData!$I$47),"")</f>
        <v>13.115</v>
      </c>
      <c r="J47">
        <f ca="1">IFERROR(IF(0=LEN(ReferenceData!$J$47),"",ReferenceData!$J$47),"")</f>
        <v>13.724</v>
      </c>
      <c r="K47">
        <f ca="1">IFERROR(IF(0=LEN(ReferenceData!$K$47),"",ReferenceData!$K$47),"")</f>
        <v>13.118</v>
      </c>
      <c r="L47">
        <f ca="1">IFERROR(IF(0=LEN(ReferenceData!$L$47),"",ReferenceData!$L$47),"")</f>
        <v>12.87</v>
      </c>
      <c r="M47">
        <f ca="1">IFERROR(IF(0=LEN(ReferenceData!$M$47),"",ReferenceData!$M$47),"")</f>
        <v>12.08</v>
      </c>
      <c r="N47">
        <f ca="1">IFERROR(IF(0=LEN(ReferenceData!$N$47),"",ReferenceData!$N$47),"")</f>
        <v>11.189</v>
      </c>
      <c r="O47">
        <f ca="1">IFERROR(IF(0=LEN(ReferenceData!$O$47),"",ReferenceData!$O$47),"")</f>
        <v>10.747</v>
      </c>
      <c r="P47">
        <f ca="1">IFERROR(IF(0=LEN(ReferenceData!$P$47),"",ReferenceData!$P$47),"")</f>
        <v>10.92</v>
      </c>
      <c r="Q47">
        <f ca="1">IFERROR(IF(0=LEN(ReferenceData!$Q$47),"",ReferenceData!$Q$47),"")</f>
        <v>10.909000000000001</v>
      </c>
      <c r="R47">
        <f ca="1">IFERROR(IF(0=LEN(ReferenceData!$R$47),"",ReferenceData!$R$47),"")</f>
        <v>11.356</v>
      </c>
      <c r="S47">
        <f ca="1">IFERROR(IF(0=LEN(ReferenceData!$S$47),"",ReferenceData!$S$47),"")</f>
        <v>11.028</v>
      </c>
      <c r="T47">
        <f ca="1">IFERROR(IF(0=LEN(ReferenceData!$T$47),"",ReferenceData!$T$47),"")</f>
        <v>11.266</v>
      </c>
      <c r="U47">
        <f ca="1">IFERROR(IF(0=LEN(ReferenceData!$U$47),"",ReferenceData!$U$47),"")</f>
        <v>12.465</v>
      </c>
      <c r="V47">
        <f ca="1">IFERROR(IF(0=LEN(ReferenceData!$V$47),"",ReferenceData!$V$47),"")</f>
        <v>11.932</v>
      </c>
      <c r="W47">
        <f ca="1">IFERROR(IF(0=LEN(ReferenceData!$W$47),"",ReferenceData!$W$47),"")</f>
        <v>12.919</v>
      </c>
      <c r="X47">
        <f ca="1">IFERROR(IF(0=LEN(ReferenceData!$X$47),"",ReferenceData!$X$47),"")</f>
        <v>14.021000000000001</v>
      </c>
      <c r="Y47">
        <f ca="1">IFERROR(IF(0=LEN(ReferenceData!$Y$47),"",ReferenceData!$Y$47),"")</f>
        <v>14.606</v>
      </c>
      <c r="Z47">
        <f ca="1">IFERROR(IF(0=LEN(ReferenceData!$Z$47),"",ReferenceData!$Z$47),"")</f>
        <v>15.816000000000001</v>
      </c>
      <c r="AA47">
        <f ca="1">IFERROR(IF(0=LEN(ReferenceData!$AA$47),"",ReferenceData!$AA$47),"")</f>
        <v>13.926</v>
      </c>
      <c r="AB47" t="str">
        <f ca="1">IFERROR(IF(0=LEN(ReferenceData!$AB$47),"",ReferenceData!$AB$47),"")</f>
        <v/>
      </c>
      <c r="AC47" t="str">
        <f ca="1">IFERROR(IF(0=LEN(ReferenceData!$AC$47),"",ReferenceData!$AC$47),"")</f>
        <v/>
      </c>
      <c r="AD47" t="str">
        <f ca="1">IFERROR(IF(0=LEN(ReferenceData!$AD$47),"",ReferenceData!$AD$47),"")</f>
        <v/>
      </c>
      <c r="AE47" t="str">
        <f ca="1">IFERROR(IF(0=LEN(ReferenceData!$AE$47),"",ReferenceData!$AE$47),"")</f>
        <v/>
      </c>
      <c r="AF47" t="str">
        <f ca="1">IFERROR(IF(0=LEN(ReferenceData!$AF$47),"",ReferenceData!$AF$47),"")</f>
        <v/>
      </c>
      <c r="AG47" t="str">
        <f ca="1">IFERROR(IF(0=LEN(ReferenceData!$AG$47),"",ReferenceData!$AG$47),"")</f>
        <v/>
      </c>
      <c r="AH47" t="str">
        <f ca="1">IFERROR(IF(0=LEN(ReferenceData!$AH$47),"",ReferenceData!$AH$47),"")</f>
        <v/>
      </c>
      <c r="AI47" t="str">
        <f ca="1">IFERROR(IF(0=LEN(ReferenceData!$AI$47),"",ReferenceData!$AI$47),"")</f>
        <v/>
      </c>
      <c r="AJ47" t="str">
        <f ca="1">IFERROR(IF(0=LEN(ReferenceData!$AJ$47),"",ReferenceData!$AJ$47),"")</f>
        <v/>
      </c>
      <c r="AK47" t="str">
        <f ca="1">IFERROR(IF(0=LEN(ReferenceData!$AK$47),"",ReferenceData!$AK$47),"")</f>
        <v/>
      </c>
      <c r="AL47" t="str">
        <f ca="1">IFERROR(IF(0=LEN(ReferenceData!$AL$47),"",ReferenceData!$AL$47),"")</f>
        <v/>
      </c>
      <c r="AM47" t="str">
        <f ca="1">IFERROR(IF(0=LEN(ReferenceData!$AM$47),"",ReferenceData!$AM$47),"")</f>
        <v/>
      </c>
      <c r="AN47" t="str">
        <f ca="1">IFERROR(IF(0=LEN(ReferenceData!$AN$47),"",ReferenceData!$AN$47),"")</f>
        <v/>
      </c>
      <c r="AO47" t="str">
        <f ca="1">IFERROR(IF(0=LEN(ReferenceData!$AO$47),"",ReferenceData!$AO$47),"")</f>
        <v/>
      </c>
      <c r="AP47" t="str">
        <f ca="1">IFERROR(IF(0=LEN(ReferenceData!$AP$47),"",ReferenceData!$AP$47),"")</f>
        <v/>
      </c>
      <c r="AQ47" t="str">
        <f ca="1">IFERROR(IF(0=LEN(ReferenceData!$AQ$47),"",ReferenceData!$AQ$47),"")</f>
        <v/>
      </c>
      <c r="AR47" t="str">
        <f ca="1">IFERROR(IF(0=LEN(ReferenceData!$AR$47),"",ReferenceData!$AR$47),"")</f>
        <v/>
      </c>
      <c r="AS47" t="str">
        <f ca="1">IFERROR(IF(0=LEN(ReferenceData!$AS$47),"",ReferenceData!$AS$47),"")</f>
        <v/>
      </c>
      <c r="AT47" t="str">
        <f ca="1">IFERROR(IF(0=LEN(ReferenceData!$AT$47),"",ReferenceData!$AT$47),"")</f>
        <v/>
      </c>
      <c r="AU47" t="str">
        <f ca="1">IFERROR(IF(0=LEN(ReferenceData!$AU$47),"",ReferenceData!$AU$47),"")</f>
        <v/>
      </c>
      <c r="AV47" t="str">
        <f ca="1">IFERROR(IF(0=LEN(ReferenceData!$AV$47),"",ReferenceData!$AV$47),"")</f>
        <v/>
      </c>
      <c r="AW47" t="str">
        <f ca="1">IFERROR(IF(0=LEN(ReferenceData!$AW$47),"",ReferenceData!$AW$47),"")</f>
        <v/>
      </c>
      <c r="AX47" t="str">
        <f ca="1">IFERROR(IF(0=LEN(ReferenceData!$AX$47),"",ReferenceData!$AX$47),"")</f>
        <v/>
      </c>
      <c r="AY47" t="str">
        <f ca="1">IFERROR(IF(0=LEN(ReferenceData!$AY$47),"",ReferenceData!$AY$47),"")</f>
        <v/>
      </c>
      <c r="AZ47" t="str">
        <f ca="1">IFERROR(IF(0=LEN(ReferenceData!$AZ$47),"",ReferenceData!$AZ$47),"")</f>
        <v/>
      </c>
      <c r="BA47" t="str">
        <f ca="1">IFERROR(IF(0=LEN(ReferenceData!$BA$47),"",ReferenceData!$BA$47),"")</f>
        <v/>
      </c>
      <c r="BB47" t="str">
        <f ca="1">IFERROR(IF(0=LEN(ReferenceData!$BB$47),"",ReferenceData!$BB$47),"")</f>
        <v/>
      </c>
      <c r="BC47" t="str">
        <f ca="1">IFERROR(IF(0=LEN(ReferenceData!$BC$47),"",ReferenceData!$BC$47),"")</f>
        <v/>
      </c>
      <c r="BD47" t="str">
        <f ca="1">IFERROR(IF(0=LEN(ReferenceData!$BD$47),"",ReferenceData!$BD$47),"")</f>
        <v/>
      </c>
      <c r="BE47" t="str">
        <f ca="1">IFERROR(IF(0=LEN(ReferenceData!$BE$47),"",ReferenceData!$BE$47),"")</f>
        <v/>
      </c>
      <c r="BF47" t="str">
        <f ca="1">IFERROR(IF(0=LEN(ReferenceData!$BF$47),"",ReferenceData!$BF$47),"")</f>
        <v/>
      </c>
      <c r="BG47" t="str">
        <f ca="1">IFERROR(IF(0=LEN(ReferenceData!$BG$47),"",ReferenceData!$BG$47),"")</f>
        <v/>
      </c>
      <c r="BH47" t="str">
        <f ca="1">IFERROR(IF(0=LEN(ReferenceData!$BH$47),"",ReferenceData!$BH$47),"")</f>
        <v/>
      </c>
      <c r="BI47" t="str">
        <f ca="1">IFERROR(IF(0=LEN(ReferenceData!$BI$47),"",ReferenceData!$BI$47),"")</f>
        <v/>
      </c>
      <c r="BJ47" t="str">
        <f ca="1">IFERROR(IF(0=LEN(ReferenceData!$BJ$47),"",ReferenceData!$BJ$47),"")</f>
        <v/>
      </c>
      <c r="BK47" t="str">
        <f ca="1">IFERROR(IF(0=LEN(ReferenceData!$BK$47),"",ReferenceData!$BK$47),"")</f>
        <v/>
      </c>
      <c r="BL47" t="str">
        <f ca="1">IFERROR(IF(0=LEN(ReferenceData!$BL$47),"",ReferenceData!$BL$47),"")</f>
        <v/>
      </c>
      <c r="BM47" t="str">
        <f ca="1">IFERROR(IF(0=LEN(ReferenceData!$BM$47),"",ReferenceData!$BM$47),"")</f>
        <v/>
      </c>
    </row>
    <row r="48" spans="1:65" x14ac:dyDescent="0.25">
      <c r="A48" t="str">
        <f>IFERROR(IF(0=LEN(ReferenceData!$A$48),"",ReferenceData!$A$48),"")</f>
        <v xml:space="preserve">    Brilliance China Automotive Holdings Ltd</v>
      </c>
      <c r="B48" t="str">
        <f>IFERROR(IF(0=LEN(ReferenceData!$B$48),"",ReferenceData!$B$48),"")</f>
        <v>1114 HK Equity</v>
      </c>
      <c r="C48" t="str">
        <f>IFERROR(IF(0=LEN(ReferenceData!$C$48),"",ReferenceData!$C$48),"")</f>
        <v>EZ019</v>
      </c>
      <c r="D48" t="str">
        <f>IFERROR(IF(0=LEN(ReferenceData!$D$48),"",ReferenceData!$D$48),"")</f>
        <v>BEST_EEPS_CUR_YR</v>
      </c>
      <c r="E48" t="str">
        <f>IFERROR(IF(0=LEN(ReferenceData!$E$48),"",ReferenceData!$E$48),"")</f>
        <v>Dynamic</v>
      </c>
      <c r="F48">
        <f ca="1">IFERROR(IF(0=LEN(ReferenceData!$F$48),"",ReferenceData!$F$48),"")</f>
        <v>0.189</v>
      </c>
      <c r="G48">
        <f ca="1">IFERROR(IF(0=LEN(ReferenceData!$G$48),"",ReferenceData!$G$48),"")</f>
        <v>0.186</v>
      </c>
      <c r="H48">
        <f ca="1">IFERROR(IF(0=LEN(ReferenceData!$H$48),"",ReferenceData!$H$48),"")</f>
        <v>0.19600000000000001</v>
      </c>
      <c r="I48">
        <f ca="1">IFERROR(IF(0=LEN(ReferenceData!$I$48),"",ReferenceData!$I$48),"")</f>
        <v>0.20399999999999999</v>
      </c>
      <c r="J48">
        <f ca="1">IFERROR(IF(0=LEN(ReferenceData!$J$48),"",ReferenceData!$J$48),"")</f>
        <v>0.22500000000000001</v>
      </c>
      <c r="K48">
        <f ca="1">IFERROR(IF(0=LEN(ReferenceData!$K$48),"",ReferenceData!$K$48),"")</f>
        <v>0.23499999999999999</v>
      </c>
      <c r="L48">
        <f ca="1">IFERROR(IF(0=LEN(ReferenceData!$L$48),"",ReferenceData!$L$48),"")</f>
        <v>0.23200000000000001</v>
      </c>
      <c r="M48">
        <f ca="1">IFERROR(IF(0=LEN(ReferenceData!$M$48),"",ReferenceData!$M$48),"")</f>
        <v>0.185</v>
      </c>
      <c r="N48">
        <f ca="1">IFERROR(IF(0=LEN(ReferenceData!$N$48),"",ReferenceData!$N$48),"")</f>
        <v>0.17699999999999999</v>
      </c>
      <c r="O48">
        <f ca="1">IFERROR(IF(0=LEN(ReferenceData!$O$48),"",ReferenceData!$O$48),"")</f>
        <v>0.14899999999999999</v>
      </c>
      <c r="P48">
        <f ca="1">IFERROR(IF(0=LEN(ReferenceData!$P$48),"",ReferenceData!$P$48),"")</f>
        <v>0.154</v>
      </c>
      <c r="Q48">
        <f ca="1">IFERROR(IF(0=LEN(ReferenceData!$Q$48),"",ReferenceData!$Q$48),"")</f>
        <v>0.154</v>
      </c>
      <c r="R48">
        <f ca="1">IFERROR(IF(0=LEN(ReferenceData!$R$48),"",ReferenceData!$R$48),"")</f>
        <v>0.17</v>
      </c>
      <c r="S48">
        <f ca="1">IFERROR(IF(0=LEN(ReferenceData!$S$48),"",ReferenceData!$S$48),"")</f>
        <v>0.23400000000000001</v>
      </c>
      <c r="T48">
        <f ca="1">IFERROR(IF(0=LEN(ReferenceData!$T$48),"",ReferenceData!$T$48),"")</f>
        <v>0.23799999999999999</v>
      </c>
      <c r="U48">
        <f ca="1">IFERROR(IF(0=LEN(ReferenceData!$U$48),"",ReferenceData!$U$48),"")</f>
        <v>0.315</v>
      </c>
      <c r="V48">
        <f ca="1">IFERROR(IF(0=LEN(ReferenceData!$V$48),"",ReferenceData!$V$48),"")</f>
        <v>0.33800000000000002</v>
      </c>
      <c r="W48">
        <f ca="1">IFERROR(IF(0=LEN(ReferenceData!$W$48),"",ReferenceData!$W$48),"")</f>
        <v>0.34699999999999998</v>
      </c>
      <c r="X48" t="str">
        <f ca="1">IFERROR(IF(0=LEN(ReferenceData!$X$48),"",ReferenceData!$X$48),"")</f>
        <v/>
      </c>
      <c r="Y48" t="str">
        <f ca="1">IFERROR(IF(0=LEN(ReferenceData!$Y$48),"",ReferenceData!$Y$48),"")</f>
        <v/>
      </c>
      <c r="Z48" t="str">
        <f ca="1">IFERROR(IF(0=LEN(ReferenceData!$Z$48),"",ReferenceData!$Z$48),"")</f>
        <v/>
      </c>
      <c r="AA48" t="str">
        <f ca="1">IFERROR(IF(0=LEN(ReferenceData!$AA$48),"",ReferenceData!$AA$48),"")</f>
        <v/>
      </c>
      <c r="AB48" t="str">
        <f ca="1">IFERROR(IF(0=LEN(ReferenceData!$AB$48),"",ReferenceData!$AB$48),"")</f>
        <v/>
      </c>
      <c r="AC48" t="str">
        <f ca="1">IFERROR(IF(0=LEN(ReferenceData!$AC$48),"",ReferenceData!$AC$48),"")</f>
        <v/>
      </c>
      <c r="AD48" t="str">
        <f ca="1">IFERROR(IF(0=LEN(ReferenceData!$AD$48),"",ReferenceData!$AD$48),"")</f>
        <v/>
      </c>
      <c r="AE48" t="str">
        <f ca="1">IFERROR(IF(0=LEN(ReferenceData!$AE$48),"",ReferenceData!$AE$48),"")</f>
        <v/>
      </c>
      <c r="AF48" t="str">
        <f ca="1">IFERROR(IF(0=LEN(ReferenceData!$AF$48),"",ReferenceData!$AF$48),"")</f>
        <v/>
      </c>
      <c r="AG48" t="str">
        <f ca="1">IFERROR(IF(0=LEN(ReferenceData!$AG$48),"",ReferenceData!$AG$48),"")</f>
        <v/>
      </c>
      <c r="AH48" t="str">
        <f ca="1">IFERROR(IF(0=LEN(ReferenceData!$AH$48),"",ReferenceData!$AH$48),"")</f>
        <v/>
      </c>
      <c r="AI48" t="str">
        <f ca="1">IFERROR(IF(0=LEN(ReferenceData!$AI$48),"",ReferenceData!$AI$48),"")</f>
        <v/>
      </c>
      <c r="AJ48" t="str">
        <f ca="1">IFERROR(IF(0=LEN(ReferenceData!$AJ$48),"",ReferenceData!$AJ$48),"")</f>
        <v/>
      </c>
      <c r="AK48" t="str">
        <f ca="1">IFERROR(IF(0=LEN(ReferenceData!$AK$48),"",ReferenceData!$AK$48),"")</f>
        <v/>
      </c>
      <c r="AL48" t="str">
        <f ca="1">IFERROR(IF(0=LEN(ReferenceData!$AL$48),"",ReferenceData!$AL$48),"")</f>
        <v/>
      </c>
      <c r="AM48" t="str">
        <f ca="1">IFERROR(IF(0=LEN(ReferenceData!$AM$48),"",ReferenceData!$AM$48),"")</f>
        <v/>
      </c>
      <c r="AN48" t="str">
        <f ca="1">IFERROR(IF(0=LEN(ReferenceData!$AN$48),"",ReferenceData!$AN$48),"")</f>
        <v/>
      </c>
      <c r="AO48" t="str">
        <f ca="1">IFERROR(IF(0=LEN(ReferenceData!$AO$48),"",ReferenceData!$AO$48),"")</f>
        <v/>
      </c>
      <c r="AP48" t="str">
        <f ca="1">IFERROR(IF(0=LEN(ReferenceData!$AP$48),"",ReferenceData!$AP$48),"")</f>
        <v/>
      </c>
      <c r="AQ48" t="str">
        <f ca="1">IFERROR(IF(0=LEN(ReferenceData!$AQ$48),"",ReferenceData!$AQ$48),"")</f>
        <v/>
      </c>
      <c r="AR48" t="str">
        <f ca="1">IFERROR(IF(0=LEN(ReferenceData!$AR$48),"",ReferenceData!$AR$48),"")</f>
        <v/>
      </c>
      <c r="AS48" t="str">
        <f ca="1">IFERROR(IF(0=LEN(ReferenceData!$AS$48),"",ReferenceData!$AS$48),"")</f>
        <v/>
      </c>
      <c r="AT48" t="str">
        <f ca="1">IFERROR(IF(0=LEN(ReferenceData!$AT$48),"",ReferenceData!$AT$48),"")</f>
        <v/>
      </c>
      <c r="AU48" t="str">
        <f ca="1">IFERROR(IF(0=LEN(ReferenceData!$AU$48),"",ReferenceData!$AU$48),"")</f>
        <v/>
      </c>
      <c r="AV48" t="str">
        <f ca="1">IFERROR(IF(0=LEN(ReferenceData!$AV$48),"",ReferenceData!$AV$48),"")</f>
        <v/>
      </c>
      <c r="AW48" t="str">
        <f ca="1">IFERROR(IF(0=LEN(ReferenceData!$AW$48),"",ReferenceData!$AW$48),"")</f>
        <v/>
      </c>
      <c r="AX48" t="str">
        <f ca="1">IFERROR(IF(0=LEN(ReferenceData!$AX$48),"",ReferenceData!$AX$48),"")</f>
        <v/>
      </c>
      <c r="AY48" t="str">
        <f ca="1">IFERROR(IF(0=LEN(ReferenceData!$AY$48),"",ReferenceData!$AY$48),"")</f>
        <v/>
      </c>
      <c r="AZ48" t="str">
        <f ca="1">IFERROR(IF(0=LEN(ReferenceData!$AZ$48),"",ReferenceData!$AZ$48),"")</f>
        <v/>
      </c>
      <c r="BA48" t="str">
        <f ca="1">IFERROR(IF(0=LEN(ReferenceData!$BA$48),"",ReferenceData!$BA$48),"")</f>
        <v/>
      </c>
      <c r="BB48" t="str">
        <f ca="1">IFERROR(IF(0=LEN(ReferenceData!$BB$48),"",ReferenceData!$BB$48),"")</f>
        <v/>
      </c>
      <c r="BC48" t="str">
        <f ca="1">IFERROR(IF(0=LEN(ReferenceData!$BC$48),"",ReferenceData!$BC$48),"")</f>
        <v/>
      </c>
      <c r="BD48" t="str">
        <f ca="1">IFERROR(IF(0=LEN(ReferenceData!$BD$48),"",ReferenceData!$BD$48),"")</f>
        <v/>
      </c>
      <c r="BE48" t="str">
        <f ca="1">IFERROR(IF(0=LEN(ReferenceData!$BE$48),"",ReferenceData!$BE$48),"")</f>
        <v/>
      </c>
      <c r="BF48" t="str">
        <f ca="1">IFERROR(IF(0=LEN(ReferenceData!$BF$48),"",ReferenceData!$BF$48),"")</f>
        <v/>
      </c>
      <c r="BG48" t="str">
        <f ca="1">IFERROR(IF(0=LEN(ReferenceData!$BG$48),"",ReferenceData!$BG$48),"")</f>
        <v/>
      </c>
      <c r="BH48" t="str">
        <f ca="1">IFERROR(IF(0=LEN(ReferenceData!$BH$48),"",ReferenceData!$BH$48),"")</f>
        <v/>
      </c>
      <c r="BI48" t="str">
        <f ca="1">IFERROR(IF(0=LEN(ReferenceData!$BI$48),"",ReferenceData!$BI$48),"")</f>
        <v/>
      </c>
      <c r="BJ48" t="str">
        <f ca="1">IFERROR(IF(0=LEN(ReferenceData!$BJ$48),"",ReferenceData!$BJ$48),"")</f>
        <v/>
      </c>
      <c r="BK48" t="str">
        <f ca="1">IFERROR(IF(0=LEN(ReferenceData!$BK$48),"",ReferenceData!$BK$48),"")</f>
        <v/>
      </c>
      <c r="BL48" t="str">
        <f ca="1">IFERROR(IF(0=LEN(ReferenceData!$BL$48),"",ReferenceData!$BL$48),"")</f>
        <v/>
      </c>
      <c r="BM48" t="str">
        <f ca="1">IFERROR(IF(0=LEN(ReferenceData!$BM$48),"",ReferenceData!$BM$48),"")</f>
        <v/>
      </c>
    </row>
    <row r="49" spans="1:65" x14ac:dyDescent="0.25">
      <c r="A49" t="str">
        <f>IFERROR(IF(0=LEN(ReferenceData!$A$49),"",ReferenceData!$A$49),"")</f>
        <v xml:space="preserve">    BYD Co Ltd</v>
      </c>
      <c r="B49" t="str">
        <f>IFERROR(IF(0=LEN(ReferenceData!$B$49),"",ReferenceData!$B$49),"")</f>
        <v>1211 HK Equity</v>
      </c>
      <c r="C49" t="str">
        <f>IFERROR(IF(0=LEN(ReferenceData!$C$49),"",ReferenceData!$C$49),"")</f>
        <v>EZ019</v>
      </c>
      <c r="D49" t="str">
        <f>IFERROR(IF(0=LEN(ReferenceData!$D$49),"",ReferenceData!$D$49),"")</f>
        <v>BEST_EEPS_CUR_YR</v>
      </c>
      <c r="E49" t="str">
        <f>IFERROR(IF(0=LEN(ReferenceData!$E$49),"",ReferenceData!$E$49),"")</f>
        <v>Dynamic</v>
      </c>
      <c r="F49">
        <f ca="1">IFERROR(IF(0=LEN(ReferenceData!$F$49),"",ReferenceData!$F$49),"")</f>
        <v>0.16800000000000001</v>
      </c>
      <c r="G49">
        <f ca="1">IFERROR(IF(0=LEN(ReferenceData!$G$49),"",ReferenceData!$G$49),"")</f>
        <v>0.16900000000000001</v>
      </c>
      <c r="H49">
        <f ca="1">IFERROR(IF(0=LEN(ReferenceData!$H$49),"",ReferenceData!$H$49),"")</f>
        <v>0.19600000000000001</v>
      </c>
      <c r="I49">
        <f ca="1">IFERROR(IF(0=LEN(ReferenceData!$I$49),"",ReferenceData!$I$49),"")</f>
        <v>0.24199999999999999</v>
      </c>
      <c r="J49">
        <f ca="1">IFERROR(IF(0=LEN(ReferenceData!$J$49),"",ReferenceData!$J$49),"")</f>
        <v>0.33</v>
      </c>
      <c r="K49">
        <f ca="1">IFERROR(IF(0=LEN(ReferenceData!$K$49),"",ReferenceData!$K$49),"")</f>
        <v>0.372</v>
      </c>
      <c r="L49">
        <f ca="1">IFERROR(IF(0=LEN(ReferenceData!$L$49),"",ReferenceData!$L$49),"")</f>
        <v>0.374</v>
      </c>
      <c r="M49">
        <f ca="1">IFERROR(IF(0=LEN(ReferenceData!$M$49),"",ReferenceData!$M$49),"")</f>
        <v>0.34599999999999997</v>
      </c>
      <c r="N49">
        <f ca="1">IFERROR(IF(0=LEN(ReferenceData!$N$49),"",ReferenceData!$N$49),"")</f>
        <v>0.34499999999999997</v>
      </c>
      <c r="O49">
        <f ca="1">IFERROR(IF(0=LEN(ReferenceData!$O$49),"",ReferenceData!$O$49),"")</f>
        <v>0.38100000000000001</v>
      </c>
      <c r="P49">
        <f ca="1">IFERROR(IF(0=LEN(ReferenceData!$P$49),"",ReferenceData!$P$49),"")</f>
        <v>0.374</v>
      </c>
      <c r="Q49">
        <f ca="1">IFERROR(IF(0=LEN(ReferenceData!$Q$49),"",ReferenceData!$Q$49),"")</f>
        <v>0.317</v>
      </c>
      <c r="R49">
        <f ca="1">IFERROR(IF(0=LEN(ReferenceData!$R$49),"",ReferenceData!$R$49),"")</f>
        <v>0.29199999999999998</v>
      </c>
      <c r="S49" t="str">
        <f ca="1">IFERROR(IF(0=LEN(ReferenceData!$S$49),"",ReferenceData!$S$49),"")</f>
        <v/>
      </c>
      <c r="T49" t="str">
        <f ca="1">IFERROR(IF(0=LEN(ReferenceData!$T$49),"",ReferenceData!$T$49),"")</f>
        <v/>
      </c>
      <c r="U49" t="str">
        <f ca="1">IFERROR(IF(0=LEN(ReferenceData!$U$49),"",ReferenceData!$U$49),"")</f>
        <v/>
      </c>
      <c r="V49" t="str">
        <f ca="1">IFERROR(IF(0=LEN(ReferenceData!$V$49),"",ReferenceData!$V$49),"")</f>
        <v/>
      </c>
      <c r="W49" t="str">
        <f ca="1">IFERROR(IF(0=LEN(ReferenceData!$W$49),"",ReferenceData!$W$49),"")</f>
        <v/>
      </c>
      <c r="X49" t="str">
        <f ca="1">IFERROR(IF(0=LEN(ReferenceData!$X$49),"",ReferenceData!$X$49),"")</f>
        <v/>
      </c>
      <c r="Y49" t="str">
        <f ca="1">IFERROR(IF(0=LEN(ReferenceData!$Y$49),"",ReferenceData!$Y$49),"")</f>
        <v/>
      </c>
      <c r="Z49" t="str">
        <f ca="1">IFERROR(IF(0=LEN(ReferenceData!$Z$49),"",ReferenceData!$Z$49),"")</f>
        <v/>
      </c>
      <c r="AA49" t="str">
        <f ca="1">IFERROR(IF(0=LEN(ReferenceData!$AA$49),"",ReferenceData!$AA$49),"")</f>
        <v/>
      </c>
      <c r="AB49" t="str">
        <f ca="1">IFERROR(IF(0=LEN(ReferenceData!$AB$49),"",ReferenceData!$AB$49),"")</f>
        <v/>
      </c>
      <c r="AC49" t="str">
        <f ca="1">IFERROR(IF(0=LEN(ReferenceData!$AC$49),"",ReferenceData!$AC$49),"")</f>
        <v/>
      </c>
      <c r="AD49" t="str">
        <f ca="1">IFERROR(IF(0=LEN(ReferenceData!$AD$49),"",ReferenceData!$AD$49),"")</f>
        <v/>
      </c>
      <c r="AE49" t="str">
        <f ca="1">IFERROR(IF(0=LEN(ReferenceData!$AE$49),"",ReferenceData!$AE$49),"")</f>
        <v/>
      </c>
      <c r="AF49" t="str">
        <f ca="1">IFERROR(IF(0=LEN(ReferenceData!$AF$49),"",ReferenceData!$AF$49),"")</f>
        <v/>
      </c>
      <c r="AG49" t="str">
        <f ca="1">IFERROR(IF(0=LEN(ReferenceData!$AG$49),"",ReferenceData!$AG$49),"")</f>
        <v/>
      </c>
      <c r="AH49" t="str">
        <f ca="1">IFERROR(IF(0=LEN(ReferenceData!$AH$49),"",ReferenceData!$AH$49),"")</f>
        <v/>
      </c>
      <c r="AI49" t="str">
        <f ca="1">IFERROR(IF(0=LEN(ReferenceData!$AI$49),"",ReferenceData!$AI$49),"")</f>
        <v/>
      </c>
      <c r="AJ49" t="str">
        <f ca="1">IFERROR(IF(0=LEN(ReferenceData!$AJ$49),"",ReferenceData!$AJ$49),"")</f>
        <v/>
      </c>
      <c r="AK49" t="str">
        <f ca="1">IFERROR(IF(0=LEN(ReferenceData!$AK$49),"",ReferenceData!$AK$49),"")</f>
        <v/>
      </c>
      <c r="AL49" t="str">
        <f ca="1">IFERROR(IF(0=LEN(ReferenceData!$AL$49),"",ReferenceData!$AL$49),"")</f>
        <v/>
      </c>
      <c r="AM49" t="str">
        <f ca="1">IFERROR(IF(0=LEN(ReferenceData!$AM$49),"",ReferenceData!$AM$49),"")</f>
        <v/>
      </c>
      <c r="AN49" t="str">
        <f ca="1">IFERROR(IF(0=LEN(ReferenceData!$AN$49),"",ReferenceData!$AN$49),"")</f>
        <v/>
      </c>
      <c r="AO49" t="str">
        <f ca="1">IFERROR(IF(0=LEN(ReferenceData!$AO$49),"",ReferenceData!$AO$49),"")</f>
        <v/>
      </c>
      <c r="AP49" t="str">
        <f ca="1">IFERROR(IF(0=LEN(ReferenceData!$AP$49),"",ReferenceData!$AP$49),"")</f>
        <v/>
      </c>
      <c r="AQ49" t="str">
        <f ca="1">IFERROR(IF(0=LEN(ReferenceData!$AQ$49),"",ReferenceData!$AQ$49),"")</f>
        <v/>
      </c>
      <c r="AR49" t="str">
        <f ca="1">IFERROR(IF(0=LEN(ReferenceData!$AR$49),"",ReferenceData!$AR$49),"")</f>
        <v/>
      </c>
      <c r="AS49" t="str">
        <f ca="1">IFERROR(IF(0=LEN(ReferenceData!$AS$49),"",ReferenceData!$AS$49),"")</f>
        <v/>
      </c>
      <c r="AT49" t="str">
        <f ca="1">IFERROR(IF(0=LEN(ReferenceData!$AT$49),"",ReferenceData!$AT$49),"")</f>
        <v/>
      </c>
      <c r="AU49" t="str">
        <f ca="1">IFERROR(IF(0=LEN(ReferenceData!$AU$49),"",ReferenceData!$AU$49),"")</f>
        <v/>
      </c>
      <c r="AV49" t="str">
        <f ca="1">IFERROR(IF(0=LEN(ReferenceData!$AV$49),"",ReferenceData!$AV$49),"")</f>
        <v/>
      </c>
      <c r="AW49" t="str">
        <f ca="1">IFERROR(IF(0=LEN(ReferenceData!$AW$49),"",ReferenceData!$AW$49),"")</f>
        <v/>
      </c>
      <c r="AX49" t="str">
        <f ca="1">IFERROR(IF(0=LEN(ReferenceData!$AX$49),"",ReferenceData!$AX$49),"")</f>
        <v/>
      </c>
      <c r="AY49" t="str">
        <f ca="1">IFERROR(IF(0=LEN(ReferenceData!$AY$49),"",ReferenceData!$AY$49),"")</f>
        <v/>
      </c>
      <c r="AZ49" t="str">
        <f ca="1">IFERROR(IF(0=LEN(ReferenceData!$AZ$49),"",ReferenceData!$AZ$49),"")</f>
        <v/>
      </c>
      <c r="BA49" t="str">
        <f ca="1">IFERROR(IF(0=LEN(ReferenceData!$BA$49),"",ReferenceData!$BA$49),"")</f>
        <v/>
      </c>
      <c r="BB49" t="str">
        <f ca="1">IFERROR(IF(0=LEN(ReferenceData!$BB$49),"",ReferenceData!$BB$49),"")</f>
        <v/>
      </c>
      <c r="BC49" t="str">
        <f ca="1">IFERROR(IF(0=LEN(ReferenceData!$BC$49),"",ReferenceData!$BC$49),"")</f>
        <v/>
      </c>
      <c r="BD49" t="str">
        <f ca="1">IFERROR(IF(0=LEN(ReferenceData!$BD$49),"",ReferenceData!$BD$49),"")</f>
        <v/>
      </c>
      <c r="BE49" t="str">
        <f ca="1">IFERROR(IF(0=LEN(ReferenceData!$BE$49),"",ReferenceData!$BE$49),"")</f>
        <v/>
      </c>
      <c r="BF49" t="str">
        <f ca="1">IFERROR(IF(0=LEN(ReferenceData!$BF$49),"",ReferenceData!$BF$49),"")</f>
        <v/>
      </c>
      <c r="BG49" t="str">
        <f ca="1">IFERROR(IF(0=LEN(ReferenceData!$BG$49),"",ReferenceData!$BG$49),"")</f>
        <v/>
      </c>
      <c r="BH49" t="str">
        <f ca="1">IFERROR(IF(0=LEN(ReferenceData!$BH$49),"",ReferenceData!$BH$49),"")</f>
        <v/>
      </c>
      <c r="BI49" t="str">
        <f ca="1">IFERROR(IF(0=LEN(ReferenceData!$BI$49),"",ReferenceData!$BI$49),"")</f>
        <v/>
      </c>
      <c r="BJ49" t="str">
        <f ca="1">IFERROR(IF(0=LEN(ReferenceData!$BJ$49),"",ReferenceData!$BJ$49),"")</f>
        <v/>
      </c>
      <c r="BK49" t="str">
        <f ca="1">IFERROR(IF(0=LEN(ReferenceData!$BK$49),"",ReferenceData!$BK$49),"")</f>
        <v/>
      </c>
      <c r="BL49" t="str">
        <f ca="1">IFERROR(IF(0=LEN(ReferenceData!$BL$49),"",ReferenceData!$BL$49),"")</f>
        <v/>
      </c>
      <c r="BM49" t="str">
        <f ca="1">IFERROR(IF(0=LEN(ReferenceData!$BM$49),"",ReferenceData!$BM$49),"")</f>
        <v/>
      </c>
    </row>
    <row r="50" spans="1:65" x14ac:dyDescent="0.25">
      <c r="A50" t="str">
        <f>IFERROR(IF(0=LEN(ReferenceData!$A$50),"",ReferenceData!$A$50),"")</f>
        <v xml:space="preserve">    Chongqing Changan Automobile Co Ltd</v>
      </c>
      <c r="B50" t="str">
        <f>IFERROR(IF(0=LEN(ReferenceData!$B$50),"",ReferenceData!$B$50),"")</f>
        <v>200625 CH Equity</v>
      </c>
      <c r="C50" t="str">
        <f>IFERROR(IF(0=LEN(ReferenceData!$C$50),"",ReferenceData!$C$50),"")</f>
        <v>EZ019</v>
      </c>
      <c r="D50" t="str">
        <f>IFERROR(IF(0=LEN(ReferenceData!$D$50),"",ReferenceData!$D$50),"")</f>
        <v>BEST_EEPS_CUR_YR</v>
      </c>
      <c r="E50" t="str">
        <f>IFERROR(IF(0=LEN(ReferenceData!$E$50),"",ReferenceData!$E$50),"")</f>
        <v>Dynamic</v>
      </c>
      <c r="F50">
        <f ca="1">IFERROR(IF(0=LEN(ReferenceData!$F$50),"",ReferenceData!$F$50),"")</f>
        <v>5.6000000000000001E-2</v>
      </c>
      <c r="G50">
        <f ca="1">IFERROR(IF(0=LEN(ReferenceData!$G$50),"",ReferenceData!$G$50),"")</f>
        <v>0.08</v>
      </c>
      <c r="H50">
        <f ca="1">IFERROR(IF(0=LEN(ReferenceData!$H$50),"",ReferenceData!$H$50),"")</f>
        <v>0.14399999999999999</v>
      </c>
      <c r="I50">
        <f ca="1">IFERROR(IF(0=LEN(ReferenceData!$I$50),"",ReferenceData!$I$50),"")</f>
        <v>0.23100000000000001</v>
      </c>
      <c r="J50">
        <f ca="1">IFERROR(IF(0=LEN(ReferenceData!$J$50),"",ReferenceData!$J$50),"")</f>
        <v>0.29499999999999998</v>
      </c>
      <c r="K50">
        <f ca="1">IFERROR(IF(0=LEN(ReferenceData!$K$50),"",ReferenceData!$K$50),"")</f>
        <v>0.29599999999999999</v>
      </c>
      <c r="L50">
        <f ca="1">IFERROR(IF(0=LEN(ReferenceData!$L$50),"",ReferenceData!$L$50),"")</f>
        <v>0.317</v>
      </c>
      <c r="M50">
        <f ca="1">IFERROR(IF(0=LEN(ReferenceData!$M$50),"",ReferenceData!$M$50),"")</f>
        <v>0.34499999999999997</v>
      </c>
      <c r="N50">
        <f ca="1">IFERROR(IF(0=LEN(ReferenceData!$N$50),"",ReferenceData!$N$50),"")</f>
        <v>0.35199999999999998</v>
      </c>
      <c r="O50">
        <f ca="1">IFERROR(IF(0=LEN(ReferenceData!$O$50),"",ReferenceData!$O$50),"")</f>
        <v>0.35</v>
      </c>
      <c r="P50">
        <f ca="1">IFERROR(IF(0=LEN(ReferenceData!$P$50),"",ReferenceData!$P$50),"")</f>
        <v>0.39300000000000002</v>
      </c>
      <c r="Q50">
        <f ca="1">IFERROR(IF(0=LEN(ReferenceData!$Q$50),"",ReferenceData!$Q$50),"")</f>
        <v>0.39500000000000002</v>
      </c>
      <c r="R50">
        <f ca="1">IFERROR(IF(0=LEN(ReferenceData!$R$50),"",ReferenceData!$R$50),"")</f>
        <v>0.29099999999999998</v>
      </c>
      <c r="S50">
        <f ca="1">IFERROR(IF(0=LEN(ReferenceData!$S$50),"",ReferenceData!$S$50),"")</f>
        <v>0.313</v>
      </c>
      <c r="T50">
        <f ca="1">IFERROR(IF(0=LEN(ReferenceData!$T$50),"",ReferenceData!$T$50),"")</f>
        <v>0.28999999999999998</v>
      </c>
      <c r="U50">
        <f ca="1">IFERROR(IF(0=LEN(ReferenceData!$U$50),"",ReferenceData!$U$50),"")</f>
        <v>0.505</v>
      </c>
      <c r="V50">
        <f ca="1">IFERROR(IF(0=LEN(ReferenceData!$V$50),"",ReferenceData!$V$50),"")</f>
        <v>0.47899999999999998</v>
      </c>
      <c r="W50" t="str">
        <f ca="1">IFERROR(IF(0=LEN(ReferenceData!$W$50),"",ReferenceData!$W$50),"")</f>
        <v/>
      </c>
      <c r="X50" t="str">
        <f ca="1">IFERROR(IF(0=LEN(ReferenceData!$X$50),"",ReferenceData!$X$50),"")</f>
        <v/>
      </c>
      <c r="Y50" t="str">
        <f ca="1">IFERROR(IF(0=LEN(ReferenceData!$Y$50),"",ReferenceData!$Y$50),"")</f>
        <v/>
      </c>
      <c r="Z50" t="str">
        <f ca="1">IFERROR(IF(0=LEN(ReferenceData!$Z$50),"",ReferenceData!$Z$50),"")</f>
        <v/>
      </c>
      <c r="AA50" t="str">
        <f ca="1">IFERROR(IF(0=LEN(ReferenceData!$AA$50),"",ReferenceData!$AA$50),"")</f>
        <v/>
      </c>
      <c r="AB50" t="str">
        <f ca="1">IFERROR(IF(0=LEN(ReferenceData!$AB$50),"",ReferenceData!$AB$50),"")</f>
        <v/>
      </c>
      <c r="AC50" t="str">
        <f ca="1">IFERROR(IF(0=LEN(ReferenceData!$AC$50),"",ReferenceData!$AC$50),"")</f>
        <v/>
      </c>
      <c r="AD50" t="str">
        <f ca="1">IFERROR(IF(0=LEN(ReferenceData!$AD$50),"",ReferenceData!$AD$50),"")</f>
        <v/>
      </c>
      <c r="AE50" t="str">
        <f ca="1">IFERROR(IF(0=LEN(ReferenceData!$AE$50),"",ReferenceData!$AE$50),"")</f>
        <v/>
      </c>
      <c r="AF50" t="str">
        <f ca="1">IFERROR(IF(0=LEN(ReferenceData!$AF$50),"",ReferenceData!$AF$50),"")</f>
        <v/>
      </c>
      <c r="AG50" t="str">
        <f ca="1">IFERROR(IF(0=LEN(ReferenceData!$AG$50),"",ReferenceData!$AG$50),"")</f>
        <v/>
      </c>
      <c r="AH50" t="str">
        <f ca="1">IFERROR(IF(0=LEN(ReferenceData!$AH$50),"",ReferenceData!$AH$50),"")</f>
        <v/>
      </c>
      <c r="AI50" t="str">
        <f ca="1">IFERROR(IF(0=LEN(ReferenceData!$AI$50),"",ReferenceData!$AI$50),"")</f>
        <v/>
      </c>
      <c r="AJ50" t="str">
        <f ca="1">IFERROR(IF(0=LEN(ReferenceData!$AJ$50),"",ReferenceData!$AJ$50),"")</f>
        <v/>
      </c>
      <c r="AK50" t="str">
        <f ca="1">IFERROR(IF(0=LEN(ReferenceData!$AK$50),"",ReferenceData!$AK$50),"")</f>
        <v/>
      </c>
      <c r="AL50" t="str">
        <f ca="1">IFERROR(IF(0=LEN(ReferenceData!$AL$50),"",ReferenceData!$AL$50),"")</f>
        <v/>
      </c>
      <c r="AM50" t="str">
        <f ca="1">IFERROR(IF(0=LEN(ReferenceData!$AM$50),"",ReferenceData!$AM$50),"")</f>
        <v/>
      </c>
      <c r="AN50" t="str">
        <f ca="1">IFERROR(IF(0=LEN(ReferenceData!$AN$50),"",ReferenceData!$AN$50),"")</f>
        <v/>
      </c>
      <c r="AO50" t="str">
        <f ca="1">IFERROR(IF(0=LEN(ReferenceData!$AO$50),"",ReferenceData!$AO$50),"")</f>
        <v/>
      </c>
      <c r="AP50" t="str">
        <f ca="1">IFERROR(IF(0=LEN(ReferenceData!$AP$50),"",ReferenceData!$AP$50),"")</f>
        <v/>
      </c>
      <c r="AQ50" t="str">
        <f ca="1">IFERROR(IF(0=LEN(ReferenceData!$AQ$50),"",ReferenceData!$AQ$50),"")</f>
        <v/>
      </c>
      <c r="AR50" t="str">
        <f ca="1">IFERROR(IF(0=LEN(ReferenceData!$AR$50),"",ReferenceData!$AR$50),"")</f>
        <v/>
      </c>
      <c r="AS50" t="str">
        <f ca="1">IFERROR(IF(0=LEN(ReferenceData!$AS$50),"",ReferenceData!$AS$50),"")</f>
        <v/>
      </c>
      <c r="AT50" t="str">
        <f ca="1">IFERROR(IF(0=LEN(ReferenceData!$AT$50),"",ReferenceData!$AT$50),"")</f>
        <v/>
      </c>
      <c r="AU50" t="str">
        <f ca="1">IFERROR(IF(0=LEN(ReferenceData!$AU$50),"",ReferenceData!$AU$50),"")</f>
        <v/>
      </c>
      <c r="AV50" t="str">
        <f ca="1">IFERROR(IF(0=LEN(ReferenceData!$AV$50),"",ReferenceData!$AV$50),"")</f>
        <v/>
      </c>
      <c r="AW50" t="str">
        <f ca="1">IFERROR(IF(0=LEN(ReferenceData!$AW$50),"",ReferenceData!$AW$50),"")</f>
        <v/>
      </c>
      <c r="AX50" t="str">
        <f ca="1">IFERROR(IF(0=LEN(ReferenceData!$AX$50),"",ReferenceData!$AX$50),"")</f>
        <v/>
      </c>
      <c r="AY50" t="str">
        <f ca="1">IFERROR(IF(0=LEN(ReferenceData!$AY$50),"",ReferenceData!$AY$50),"")</f>
        <v/>
      </c>
      <c r="AZ50" t="str">
        <f ca="1">IFERROR(IF(0=LEN(ReferenceData!$AZ$50),"",ReferenceData!$AZ$50),"")</f>
        <v/>
      </c>
      <c r="BA50" t="str">
        <f ca="1">IFERROR(IF(0=LEN(ReferenceData!$BA$50),"",ReferenceData!$BA$50),"")</f>
        <v/>
      </c>
      <c r="BB50" t="str">
        <f ca="1">IFERROR(IF(0=LEN(ReferenceData!$BB$50),"",ReferenceData!$BB$50),"")</f>
        <v/>
      </c>
      <c r="BC50" t="str">
        <f ca="1">IFERROR(IF(0=LEN(ReferenceData!$BC$50),"",ReferenceData!$BC$50),"")</f>
        <v/>
      </c>
      <c r="BD50" t="str">
        <f ca="1">IFERROR(IF(0=LEN(ReferenceData!$BD$50),"",ReferenceData!$BD$50),"")</f>
        <v/>
      </c>
      <c r="BE50" t="str">
        <f ca="1">IFERROR(IF(0=LEN(ReferenceData!$BE$50),"",ReferenceData!$BE$50),"")</f>
        <v/>
      </c>
      <c r="BF50" t="str">
        <f ca="1">IFERROR(IF(0=LEN(ReferenceData!$BF$50),"",ReferenceData!$BF$50),"")</f>
        <v/>
      </c>
      <c r="BG50" t="str">
        <f ca="1">IFERROR(IF(0=LEN(ReferenceData!$BG$50),"",ReferenceData!$BG$50),"")</f>
        <v/>
      </c>
      <c r="BH50" t="str">
        <f ca="1">IFERROR(IF(0=LEN(ReferenceData!$BH$50),"",ReferenceData!$BH$50),"")</f>
        <v/>
      </c>
      <c r="BI50" t="str">
        <f ca="1">IFERROR(IF(0=LEN(ReferenceData!$BI$50),"",ReferenceData!$BI$50),"")</f>
        <v/>
      </c>
      <c r="BJ50" t="str">
        <f ca="1">IFERROR(IF(0=LEN(ReferenceData!$BJ$50),"",ReferenceData!$BJ$50),"")</f>
        <v/>
      </c>
      <c r="BK50" t="str">
        <f ca="1">IFERROR(IF(0=LEN(ReferenceData!$BK$50),"",ReferenceData!$BK$50),"")</f>
        <v/>
      </c>
      <c r="BL50" t="str">
        <f ca="1">IFERROR(IF(0=LEN(ReferenceData!$BL$50),"",ReferenceData!$BL$50),"")</f>
        <v/>
      </c>
      <c r="BM50" t="str">
        <f ca="1">IFERROR(IF(0=LEN(ReferenceData!$BM$50),"",ReferenceData!$BM$50),"")</f>
        <v/>
      </c>
    </row>
    <row r="51" spans="1:65" x14ac:dyDescent="0.25">
      <c r="A51" t="str">
        <f>IFERROR(IF(0=LEN(ReferenceData!$A$51),"",ReferenceData!$A$51),"")</f>
        <v xml:space="preserve">    Daihatsu Motor Co Ltd</v>
      </c>
      <c r="B51" t="str">
        <f>IFERROR(IF(0=LEN(ReferenceData!$B$51),"",ReferenceData!$B$51),"")</f>
        <v>7262 JP Equity</v>
      </c>
      <c r="C51" t="str">
        <f>IFERROR(IF(0=LEN(ReferenceData!$C$51),"",ReferenceData!$C$51),"")</f>
        <v>EZ019</v>
      </c>
      <c r="D51" t="str">
        <f>IFERROR(IF(0=LEN(ReferenceData!$D$51),"",ReferenceData!$D$51),"")</f>
        <v>BEST_EEPS_CUR_YR</v>
      </c>
      <c r="E51" t="str">
        <f>IFERROR(IF(0=LEN(ReferenceData!$E$51),"",ReferenceData!$E$51),"")</f>
        <v>Dynamic</v>
      </c>
      <c r="F51" t="str">
        <f ca="1">IFERROR(IF(0=LEN(ReferenceData!$F$51),"",ReferenceData!$F$51),"")</f>
        <v/>
      </c>
      <c r="G51" t="str">
        <f ca="1">IFERROR(IF(0=LEN(ReferenceData!$G$51),"",ReferenceData!$G$51),"")</f>
        <v/>
      </c>
      <c r="H51" t="str">
        <f ca="1">IFERROR(IF(0=LEN(ReferenceData!$H$51),"",ReferenceData!$H$51),"")</f>
        <v/>
      </c>
      <c r="I51" t="str">
        <f ca="1">IFERROR(IF(0=LEN(ReferenceData!$I$51),"",ReferenceData!$I$51),"")</f>
        <v/>
      </c>
      <c r="J51" t="str">
        <f ca="1">IFERROR(IF(0=LEN(ReferenceData!$J$51),"",ReferenceData!$J$51),"")</f>
        <v/>
      </c>
      <c r="K51" t="str">
        <f ca="1">IFERROR(IF(0=LEN(ReferenceData!$K$51),"",ReferenceData!$K$51),"")</f>
        <v/>
      </c>
      <c r="L51" t="str">
        <f ca="1">IFERROR(IF(0=LEN(ReferenceData!$L$51),"",ReferenceData!$L$51),"")</f>
        <v/>
      </c>
      <c r="M51" t="str">
        <f ca="1">IFERROR(IF(0=LEN(ReferenceData!$M$51),"",ReferenceData!$M$51),"")</f>
        <v/>
      </c>
      <c r="N51" t="str">
        <f ca="1">IFERROR(IF(0=LEN(ReferenceData!$N$51),"",ReferenceData!$N$51),"")</f>
        <v/>
      </c>
      <c r="O51" t="str">
        <f ca="1">IFERROR(IF(0=LEN(ReferenceData!$O$51),"",ReferenceData!$O$51),"")</f>
        <v/>
      </c>
      <c r="P51">
        <f ca="1">IFERROR(IF(0=LEN(ReferenceData!$P$51),"",ReferenceData!$P$51),"")</f>
        <v>1.052</v>
      </c>
      <c r="Q51">
        <f ca="1">IFERROR(IF(0=LEN(ReferenceData!$Q$51),"",ReferenceData!$Q$51),"")</f>
        <v>1.1339999999999999</v>
      </c>
      <c r="R51">
        <f ca="1">IFERROR(IF(0=LEN(ReferenceData!$R$51),"",ReferenceData!$R$51),"")</f>
        <v>1.02</v>
      </c>
      <c r="S51">
        <f ca="1">IFERROR(IF(0=LEN(ReferenceData!$S$51),"",ReferenceData!$S$51),"")</f>
        <v>0.96199999999999997</v>
      </c>
      <c r="T51">
        <f ca="1">IFERROR(IF(0=LEN(ReferenceData!$T$51),"",ReferenceData!$T$51),"")</f>
        <v>1.202</v>
      </c>
      <c r="U51">
        <f ca="1">IFERROR(IF(0=LEN(ReferenceData!$U$51),"",ReferenceData!$U$51),"")</f>
        <v>1.278</v>
      </c>
      <c r="V51">
        <f ca="1">IFERROR(IF(0=LEN(ReferenceData!$V$51),"",ReferenceData!$V$51),"")</f>
        <v>1.3</v>
      </c>
      <c r="W51">
        <f ca="1">IFERROR(IF(0=LEN(ReferenceData!$W$51),"",ReferenceData!$W$51),"")</f>
        <v>1.446</v>
      </c>
      <c r="X51">
        <f ca="1">IFERROR(IF(0=LEN(ReferenceData!$X$51),"",ReferenceData!$X$51),"")</f>
        <v>1.899</v>
      </c>
      <c r="Y51">
        <f ca="1">IFERROR(IF(0=LEN(ReferenceData!$Y$51),"",ReferenceData!$Y$51),"")</f>
        <v>1.968</v>
      </c>
      <c r="Z51">
        <f ca="1">IFERROR(IF(0=LEN(ReferenceData!$Z$51),"",ReferenceData!$Z$51),"")</f>
        <v>2.0489999999999999</v>
      </c>
      <c r="AA51">
        <f ca="1">IFERROR(IF(0=LEN(ReferenceData!$AA$51),"",ReferenceData!$AA$51),"")</f>
        <v>2.15</v>
      </c>
      <c r="AB51" t="str">
        <f ca="1">IFERROR(IF(0=LEN(ReferenceData!$AB$51),"",ReferenceData!$AB$51),"")</f>
        <v/>
      </c>
      <c r="AC51" t="str">
        <f ca="1">IFERROR(IF(0=LEN(ReferenceData!$AC$51),"",ReferenceData!$AC$51),"")</f>
        <v/>
      </c>
      <c r="AD51" t="str">
        <f ca="1">IFERROR(IF(0=LEN(ReferenceData!$AD$51),"",ReferenceData!$AD$51),"")</f>
        <v/>
      </c>
      <c r="AE51" t="str">
        <f ca="1">IFERROR(IF(0=LEN(ReferenceData!$AE$51),"",ReferenceData!$AE$51),"")</f>
        <v/>
      </c>
      <c r="AF51" t="str">
        <f ca="1">IFERROR(IF(0=LEN(ReferenceData!$AF$51),"",ReferenceData!$AF$51),"")</f>
        <v/>
      </c>
      <c r="AG51" t="str">
        <f ca="1">IFERROR(IF(0=LEN(ReferenceData!$AG$51),"",ReferenceData!$AG$51),"")</f>
        <v/>
      </c>
      <c r="AH51" t="str">
        <f ca="1">IFERROR(IF(0=LEN(ReferenceData!$AH$51),"",ReferenceData!$AH$51),"")</f>
        <v/>
      </c>
      <c r="AI51" t="str">
        <f ca="1">IFERROR(IF(0=LEN(ReferenceData!$AI$51),"",ReferenceData!$AI$51),"")</f>
        <v/>
      </c>
      <c r="AJ51" t="str">
        <f ca="1">IFERROR(IF(0=LEN(ReferenceData!$AJ$51),"",ReferenceData!$AJ$51),"")</f>
        <v/>
      </c>
      <c r="AK51" t="str">
        <f ca="1">IFERROR(IF(0=LEN(ReferenceData!$AK$51),"",ReferenceData!$AK$51),"")</f>
        <v/>
      </c>
      <c r="AL51" t="str">
        <f ca="1">IFERROR(IF(0=LEN(ReferenceData!$AL$51),"",ReferenceData!$AL$51),"")</f>
        <v/>
      </c>
      <c r="AM51" t="str">
        <f ca="1">IFERROR(IF(0=LEN(ReferenceData!$AM$51),"",ReferenceData!$AM$51),"")</f>
        <v/>
      </c>
      <c r="AN51" t="str">
        <f ca="1">IFERROR(IF(0=LEN(ReferenceData!$AN$51),"",ReferenceData!$AN$51),"")</f>
        <v/>
      </c>
      <c r="AO51" t="str">
        <f ca="1">IFERROR(IF(0=LEN(ReferenceData!$AO$51),"",ReferenceData!$AO$51),"")</f>
        <v/>
      </c>
      <c r="AP51" t="str">
        <f ca="1">IFERROR(IF(0=LEN(ReferenceData!$AP$51),"",ReferenceData!$AP$51),"")</f>
        <v/>
      </c>
      <c r="AQ51" t="str">
        <f ca="1">IFERROR(IF(0=LEN(ReferenceData!$AQ$51),"",ReferenceData!$AQ$51),"")</f>
        <v/>
      </c>
      <c r="AR51" t="str">
        <f ca="1">IFERROR(IF(0=LEN(ReferenceData!$AR$51),"",ReferenceData!$AR$51),"")</f>
        <v/>
      </c>
      <c r="AS51" t="str">
        <f ca="1">IFERROR(IF(0=LEN(ReferenceData!$AS$51),"",ReferenceData!$AS$51),"")</f>
        <v/>
      </c>
      <c r="AT51" t="str">
        <f ca="1">IFERROR(IF(0=LEN(ReferenceData!$AT$51),"",ReferenceData!$AT$51),"")</f>
        <v/>
      </c>
      <c r="AU51" t="str">
        <f ca="1">IFERROR(IF(0=LEN(ReferenceData!$AU$51),"",ReferenceData!$AU$51),"")</f>
        <v/>
      </c>
      <c r="AV51" t="str">
        <f ca="1">IFERROR(IF(0=LEN(ReferenceData!$AV$51),"",ReferenceData!$AV$51),"")</f>
        <v/>
      </c>
      <c r="AW51" t="str">
        <f ca="1">IFERROR(IF(0=LEN(ReferenceData!$AW$51),"",ReferenceData!$AW$51),"")</f>
        <v/>
      </c>
      <c r="AX51" t="str">
        <f ca="1">IFERROR(IF(0=LEN(ReferenceData!$AX$51),"",ReferenceData!$AX$51),"")</f>
        <v/>
      </c>
      <c r="AY51" t="str">
        <f ca="1">IFERROR(IF(0=LEN(ReferenceData!$AY$51),"",ReferenceData!$AY$51),"")</f>
        <v/>
      </c>
      <c r="AZ51" t="str">
        <f ca="1">IFERROR(IF(0=LEN(ReferenceData!$AZ$51),"",ReferenceData!$AZ$51),"")</f>
        <v/>
      </c>
      <c r="BA51" t="str">
        <f ca="1">IFERROR(IF(0=LEN(ReferenceData!$BA$51),"",ReferenceData!$BA$51),"")</f>
        <v/>
      </c>
      <c r="BB51" t="str">
        <f ca="1">IFERROR(IF(0=LEN(ReferenceData!$BB$51),"",ReferenceData!$BB$51),"")</f>
        <v/>
      </c>
      <c r="BC51" t="str">
        <f ca="1">IFERROR(IF(0=LEN(ReferenceData!$BC$51),"",ReferenceData!$BC$51),"")</f>
        <v/>
      </c>
      <c r="BD51" t="str">
        <f ca="1">IFERROR(IF(0=LEN(ReferenceData!$BD$51),"",ReferenceData!$BD$51),"")</f>
        <v/>
      </c>
      <c r="BE51" t="str">
        <f ca="1">IFERROR(IF(0=LEN(ReferenceData!$BE$51),"",ReferenceData!$BE$51),"")</f>
        <v/>
      </c>
      <c r="BF51" t="str">
        <f ca="1">IFERROR(IF(0=LEN(ReferenceData!$BF$51),"",ReferenceData!$BF$51),"")</f>
        <v/>
      </c>
      <c r="BG51" t="str">
        <f ca="1">IFERROR(IF(0=LEN(ReferenceData!$BG$51),"",ReferenceData!$BG$51),"")</f>
        <v/>
      </c>
      <c r="BH51" t="str">
        <f ca="1">IFERROR(IF(0=LEN(ReferenceData!$BH$51),"",ReferenceData!$BH$51),"")</f>
        <v/>
      </c>
      <c r="BI51" t="str">
        <f ca="1">IFERROR(IF(0=LEN(ReferenceData!$BI$51),"",ReferenceData!$BI$51),"")</f>
        <v/>
      </c>
      <c r="BJ51" t="str">
        <f ca="1">IFERROR(IF(0=LEN(ReferenceData!$BJ$51),"",ReferenceData!$BJ$51),"")</f>
        <v/>
      </c>
      <c r="BK51" t="str">
        <f ca="1">IFERROR(IF(0=LEN(ReferenceData!$BK$51),"",ReferenceData!$BK$51),"")</f>
        <v/>
      </c>
      <c r="BL51" t="str">
        <f ca="1">IFERROR(IF(0=LEN(ReferenceData!$BL$51),"",ReferenceData!$BL$51),"")</f>
        <v/>
      </c>
      <c r="BM51" t="str">
        <f ca="1">IFERROR(IF(0=LEN(ReferenceData!$BM$51),"",ReferenceData!$BM$51),"")</f>
        <v/>
      </c>
    </row>
    <row r="52" spans="1:65" x14ac:dyDescent="0.25">
      <c r="A52" t="str">
        <f>IFERROR(IF(0=LEN(ReferenceData!$A$52),"",ReferenceData!$A$52),"")</f>
        <v xml:space="preserve">    Daimler AG</v>
      </c>
      <c r="B52" t="str">
        <f>IFERROR(IF(0=LEN(ReferenceData!$B$52),"",ReferenceData!$B$52),"")</f>
        <v>DAI GR Equity</v>
      </c>
      <c r="C52" t="str">
        <f>IFERROR(IF(0=LEN(ReferenceData!$C$52),"",ReferenceData!$C$52),"")</f>
        <v>EZ019</v>
      </c>
      <c r="D52" t="str">
        <f>IFERROR(IF(0=LEN(ReferenceData!$D$52),"",ReferenceData!$D$52),"")</f>
        <v>BEST_EEPS_CUR_YR</v>
      </c>
      <c r="E52" t="str">
        <f>IFERROR(IF(0=LEN(ReferenceData!$E$52),"",ReferenceData!$E$52),"")</f>
        <v>Dynamic</v>
      </c>
      <c r="F52">
        <f ca="1">IFERROR(IF(0=LEN(ReferenceData!$F$52),"",ReferenceData!$F$52),"")</f>
        <v>8.9060000000000006</v>
      </c>
      <c r="G52">
        <f ca="1">IFERROR(IF(0=LEN(ReferenceData!$G$52),"",ReferenceData!$G$52),"")</f>
        <v>9.5239999999999991</v>
      </c>
      <c r="H52">
        <f ca="1">IFERROR(IF(0=LEN(ReferenceData!$H$52),"",ReferenceData!$H$52),"")</f>
        <v>10.603999999999999</v>
      </c>
      <c r="I52">
        <f ca="1">IFERROR(IF(0=LEN(ReferenceData!$I$52),"",ReferenceData!$I$52),"")</f>
        <v>10.96</v>
      </c>
      <c r="J52">
        <f ca="1">IFERROR(IF(0=LEN(ReferenceData!$J$52),"",ReferenceData!$J$52),"")</f>
        <v>11.888</v>
      </c>
      <c r="K52">
        <f ca="1">IFERROR(IF(0=LEN(ReferenceData!$K$52),"",ReferenceData!$K$52),"")</f>
        <v>10.981</v>
      </c>
      <c r="L52">
        <f ca="1">IFERROR(IF(0=LEN(ReferenceData!$L$52),"",ReferenceData!$L$52),"")</f>
        <v>10.673</v>
      </c>
      <c r="M52">
        <f ca="1">IFERROR(IF(0=LEN(ReferenceData!$M$52),"",ReferenceData!$M$52),"")</f>
        <v>10.057</v>
      </c>
      <c r="N52">
        <f ca="1">IFERROR(IF(0=LEN(ReferenceData!$N$52),"",ReferenceData!$N$52),"")</f>
        <v>9.2910000000000004</v>
      </c>
      <c r="O52">
        <f ca="1">IFERROR(IF(0=LEN(ReferenceData!$O$52),"",ReferenceData!$O$52),"")</f>
        <v>7.3410000000000002</v>
      </c>
      <c r="P52">
        <f ca="1">IFERROR(IF(0=LEN(ReferenceData!$P$52),"",ReferenceData!$P$52),"")</f>
        <v>10.566000000000001</v>
      </c>
      <c r="Q52">
        <f ca="1">IFERROR(IF(0=LEN(ReferenceData!$Q$52),"",ReferenceData!$Q$52),"")</f>
        <v>7.992</v>
      </c>
      <c r="R52">
        <f ca="1">IFERROR(IF(0=LEN(ReferenceData!$R$52),"",ReferenceData!$R$52),"")</f>
        <v>10.31</v>
      </c>
      <c r="S52">
        <f ca="1">IFERROR(IF(0=LEN(ReferenceData!$S$52),"",ReferenceData!$S$52),"")</f>
        <v>10.098000000000001</v>
      </c>
      <c r="T52">
        <f ca="1">IFERROR(IF(0=LEN(ReferenceData!$T$52),"",ReferenceData!$T$52),"")</f>
        <v>9.8819999999999997</v>
      </c>
      <c r="U52">
        <f ca="1">IFERROR(IF(0=LEN(ReferenceData!$U$52),"",ReferenceData!$U$52),"")</f>
        <v>9.375</v>
      </c>
      <c r="V52">
        <f ca="1">IFERROR(IF(0=LEN(ReferenceData!$V$52),"",ReferenceData!$V$52),"")</f>
        <v>9.5250000000000004</v>
      </c>
      <c r="W52" t="str">
        <f ca="1">IFERROR(IF(0=LEN(ReferenceData!$W$52),"",ReferenceData!$W$52),"")</f>
        <v/>
      </c>
      <c r="X52" t="str">
        <f ca="1">IFERROR(IF(0=LEN(ReferenceData!$X$52),"",ReferenceData!$X$52),"")</f>
        <v/>
      </c>
      <c r="Y52" t="str">
        <f ca="1">IFERROR(IF(0=LEN(ReferenceData!$Y$52),"",ReferenceData!$Y$52),"")</f>
        <v/>
      </c>
      <c r="Z52" t="str">
        <f ca="1">IFERROR(IF(0=LEN(ReferenceData!$Z$52),"",ReferenceData!$Z$52),"")</f>
        <v/>
      </c>
      <c r="AA52" t="str">
        <f ca="1">IFERROR(IF(0=LEN(ReferenceData!$AA$52),"",ReferenceData!$AA$52),"")</f>
        <v/>
      </c>
      <c r="AB52" t="str">
        <f ca="1">IFERROR(IF(0=LEN(ReferenceData!$AB$52),"",ReferenceData!$AB$52),"")</f>
        <v/>
      </c>
      <c r="AC52" t="str">
        <f ca="1">IFERROR(IF(0=LEN(ReferenceData!$AC$52),"",ReferenceData!$AC$52),"")</f>
        <v/>
      </c>
      <c r="AD52" t="str">
        <f ca="1">IFERROR(IF(0=LEN(ReferenceData!$AD$52),"",ReferenceData!$AD$52),"")</f>
        <v/>
      </c>
      <c r="AE52" t="str">
        <f ca="1">IFERROR(IF(0=LEN(ReferenceData!$AE$52),"",ReferenceData!$AE$52),"")</f>
        <v/>
      </c>
      <c r="AF52" t="str">
        <f ca="1">IFERROR(IF(0=LEN(ReferenceData!$AF$52),"",ReferenceData!$AF$52),"")</f>
        <v/>
      </c>
      <c r="AG52" t="str">
        <f ca="1">IFERROR(IF(0=LEN(ReferenceData!$AG$52),"",ReferenceData!$AG$52),"")</f>
        <v/>
      </c>
      <c r="AH52" t="str">
        <f ca="1">IFERROR(IF(0=LEN(ReferenceData!$AH$52),"",ReferenceData!$AH$52),"")</f>
        <v/>
      </c>
      <c r="AI52" t="str">
        <f ca="1">IFERROR(IF(0=LEN(ReferenceData!$AI$52),"",ReferenceData!$AI$52),"")</f>
        <v/>
      </c>
      <c r="AJ52" t="str">
        <f ca="1">IFERROR(IF(0=LEN(ReferenceData!$AJ$52),"",ReferenceData!$AJ$52),"")</f>
        <v/>
      </c>
      <c r="AK52" t="str">
        <f ca="1">IFERROR(IF(0=LEN(ReferenceData!$AK$52),"",ReferenceData!$AK$52),"")</f>
        <v/>
      </c>
      <c r="AL52" t="str">
        <f ca="1">IFERROR(IF(0=LEN(ReferenceData!$AL$52),"",ReferenceData!$AL$52),"")</f>
        <v/>
      </c>
      <c r="AM52" t="str">
        <f ca="1">IFERROR(IF(0=LEN(ReferenceData!$AM$52),"",ReferenceData!$AM$52),"")</f>
        <v/>
      </c>
      <c r="AN52" t="str">
        <f ca="1">IFERROR(IF(0=LEN(ReferenceData!$AN$52),"",ReferenceData!$AN$52),"")</f>
        <v/>
      </c>
      <c r="AO52" t="str">
        <f ca="1">IFERROR(IF(0=LEN(ReferenceData!$AO$52),"",ReferenceData!$AO$52),"")</f>
        <v/>
      </c>
      <c r="AP52" t="str">
        <f ca="1">IFERROR(IF(0=LEN(ReferenceData!$AP$52),"",ReferenceData!$AP$52),"")</f>
        <v/>
      </c>
      <c r="AQ52" t="str">
        <f ca="1">IFERROR(IF(0=LEN(ReferenceData!$AQ$52),"",ReferenceData!$AQ$52),"")</f>
        <v/>
      </c>
      <c r="AR52" t="str">
        <f ca="1">IFERROR(IF(0=LEN(ReferenceData!$AR$52),"",ReferenceData!$AR$52),"")</f>
        <v/>
      </c>
      <c r="AS52" t="str">
        <f ca="1">IFERROR(IF(0=LEN(ReferenceData!$AS$52),"",ReferenceData!$AS$52),"")</f>
        <v/>
      </c>
      <c r="AT52" t="str">
        <f ca="1">IFERROR(IF(0=LEN(ReferenceData!$AT$52),"",ReferenceData!$AT$52),"")</f>
        <v/>
      </c>
      <c r="AU52" t="str">
        <f ca="1">IFERROR(IF(0=LEN(ReferenceData!$AU$52),"",ReferenceData!$AU$52),"")</f>
        <v/>
      </c>
      <c r="AV52" t="str">
        <f ca="1">IFERROR(IF(0=LEN(ReferenceData!$AV$52),"",ReferenceData!$AV$52),"")</f>
        <v/>
      </c>
      <c r="AW52" t="str">
        <f ca="1">IFERROR(IF(0=LEN(ReferenceData!$AW$52),"",ReferenceData!$AW$52),"")</f>
        <v/>
      </c>
      <c r="AX52" t="str">
        <f ca="1">IFERROR(IF(0=LEN(ReferenceData!$AX$52),"",ReferenceData!$AX$52),"")</f>
        <v/>
      </c>
      <c r="AY52" t="str">
        <f ca="1">IFERROR(IF(0=LEN(ReferenceData!$AY$52),"",ReferenceData!$AY$52),"")</f>
        <v/>
      </c>
      <c r="AZ52" t="str">
        <f ca="1">IFERROR(IF(0=LEN(ReferenceData!$AZ$52),"",ReferenceData!$AZ$52),"")</f>
        <v/>
      </c>
      <c r="BA52" t="str">
        <f ca="1">IFERROR(IF(0=LEN(ReferenceData!$BA$52),"",ReferenceData!$BA$52),"")</f>
        <v/>
      </c>
      <c r="BB52" t="str">
        <f ca="1">IFERROR(IF(0=LEN(ReferenceData!$BB$52),"",ReferenceData!$BB$52),"")</f>
        <v/>
      </c>
      <c r="BC52" t="str">
        <f ca="1">IFERROR(IF(0=LEN(ReferenceData!$BC$52),"",ReferenceData!$BC$52),"")</f>
        <v/>
      </c>
      <c r="BD52" t="str">
        <f ca="1">IFERROR(IF(0=LEN(ReferenceData!$BD$52),"",ReferenceData!$BD$52),"")</f>
        <v/>
      </c>
      <c r="BE52" t="str">
        <f ca="1">IFERROR(IF(0=LEN(ReferenceData!$BE$52),"",ReferenceData!$BE$52),"")</f>
        <v/>
      </c>
      <c r="BF52" t="str">
        <f ca="1">IFERROR(IF(0=LEN(ReferenceData!$BF$52),"",ReferenceData!$BF$52),"")</f>
        <v/>
      </c>
      <c r="BG52" t="str">
        <f ca="1">IFERROR(IF(0=LEN(ReferenceData!$BG$52),"",ReferenceData!$BG$52),"")</f>
        <v/>
      </c>
      <c r="BH52" t="str">
        <f ca="1">IFERROR(IF(0=LEN(ReferenceData!$BH$52),"",ReferenceData!$BH$52),"")</f>
        <v/>
      </c>
      <c r="BI52" t="str">
        <f ca="1">IFERROR(IF(0=LEN(ReferenceData!$BI$52),"",ReferenceData!$BI$52),"")</f>
        <v/>
      </c>
      <c r="BJ52" t="str">
        <f ca="1">IFERROR(IF(0=LEN(ReferenceData!$BJ$52),"",ReferenceData!$BJ$52),"")</f>
        <v/>
      </c>
      <c r="BK52" t="str">
        <f ca="1">IFERROR(IF(0=LEN(ReferenceData!$BK$52),"",ReferenceData!$BK$52),"")</f>
        <v/>
      </c>
      <c r="BL52" t="str">
        <f ca="1">IFERROR(IF(0=LEN(ReferenceData!$BL$52),"",ReferenceData!$BL$52),"")</f>
        <v/>
      </c>
      <c r="BM52" t="str">
        <f ca="1">IFERROR(IF(0=LEN(ReferenceData!$BM$52),"",ReferenceData!$BM$52),"")</f>
        <v/>
      </c>
    </row>
    <row r="53" spans="1:65" x14ac:dyDescent="0.25">
      <c r="A53" t="str">
        <f>IFERROR(IF(0=LEN(ReferenceData!$A$53),"",ReferenceData!$A$53),"")</f>
        <v xml:space="preserve">    Dongfeng Motor Group Co Ltd</v>
      </c>
      <c r="B53" t="str">
        <f>IFERROR(IF(0=LEN(ReferenceData!$B$53),"",ReferenceData!$B$53),"")</f>
        <v>489 HK Equity</v>
      </c>
      <c r="C53" t="str">
        <f>IFERROR(IF(0=LEN(ReferenceData!$C$53),"",ReferenceData!$C$53),"")</f>
        <v>EZ019</v>
      </c>
      <c r="D53" t="str">
        <f>IFERROR(IF(0=LEN(ReferenceData!$D$53),"",ReferenceData!$D$53),"")</f>
        <v>BEST_EEPS_CUR_YR</v>
      </c>
      <c r="E53" t="str">
        <f>IFERROR(IF(0=LEN(ReferenceData!$E$53),"",ReferenceData!$E$53),"")</f>
        <v>Dynamic</v>
      </c>
      <c r="F53">
        <f ca="1">IFERROR(IF(0=LEN(ReferenceData!$F$53),"",ReferenceData!$F$53),"")</f>
        <v>0.245</v>
      </c>
      <c r="G53">
        <f ca="1">IFERROR(IF(0=LEN(ReferenceData!$G$53),"",ReferenceData!$G$53),"")</f>
        <v>0.24</v>
      </c>
      <c r="H53">
        <f ca="1">IFERROR(IF(0=LEN(ReferenceData!$H$53),"",ReferenceData!$H$53),"")</f>
        <v>0.245</v>
      </c>
      <c r="I53">
        <f ca="1">IFERROR(IF(0=LEN(ReferenceData!$I$53),"",ReferenceData!$I$53),"")</f>
        <v>0.24399999999999999</v>
      </c>
      <c r="J53">
        <f ca="1">IFERROR(IF(0=LEN(ReferenceData!$J$53),"",ReferenceData!$J$53),"")</f>
        <v>0.255</v>
      </c>
      <c r="K53">
        <f ca="1">IFERROR(IF(0=LEN(ReferenceData!$K$53),"",ReferenceData!$K$53),"")</f>
        <v>0.247</v>
      </c>
      <c r="L53">
        <f ca="1">IFERROR(IF(0=LEN(ReferenceData!$L$53),"",ReferenceData!$L$53),"")</f>
        <v>0.24399999999999999</v>
      </c>
      <c r="M53">
        <f ca="1">IFERROR(IF(0=LEN(ReferenceData!$M$53),"",ReferenceData!$M$53),"")</f>
        <v>0.23100000000000001</v>
      </c>
      <c r="N53">
        <f ca="1">IFERROR(IF(0=LEN(ReferenceData!$N$53),"",ReferenceData!$N$53),"")</f>
        <v>0.22500000000000001</v>
      </c>
      <c r="O53">
        <f ca="1">IFERROR(IF(0=LEN(ReferenceData!$O$53),"",ReferenceData!$O$53),"")</f>
        <v>0.219</v>
      </c>
      <c r="P53">
        <f ca="1">IFERROR(IF(0=LEN(ReferenceData!$P$53),"",ReferenceData!$P$53),"")</f>
        <v>0.23200000000000001</v>
      </c>
      <c r="Q53">
        <f ca="1">IFERROR(IF(0=LEN(ReferenceData!$Q$53),"",ReferenceData!$Q$53),"")</f>
        <v>0.23300000000000001</v>
      </c>
      <c r="R53">
        <f ca="1">IFERROR(IF(0=LEN(ReferenceData!$R$53),"",ReferenceData!$R$53),"")</f>
        <v>0.22500000000000001</v>
      </c>
      <c r="S53">
        <f ca="1">IFERROR(IF(0=LEN(ReferenceData!$S$53),"",ReferenceData!$S$53),"")</f>
        <v>0.184</v>
      </c>
      <c r="T53">
        <f ca="1">IFERROR(IF(0=LEN(ReferenceData!$T$53),"",ReferenceData!$T$53),"")</f>
        <v>0.156</v>
      </c>
      <c r="U53">
        <f ca="1">IFERROR(IF(0=LEN(ReferenceData!$U$53),"",ReferenceData!$U$53),"")</f>
        <v>0.28999999999999998</v>
      </c>
      <c r="V53">
        <f ca="1">IFERROR(IF(0=LEN(ReferenceData!$V$53),"",ReferenceData!$V$53),"")</f>
        <v>0.315</v>
      </c>
      <c r="W53">
        <f ca="1">IFERROR(IF(0=LEN(ReferenceData!$W$53),"",ReferenceData!$W$53),"")</f>
        <v>0.35</v>
      </c>
      <c r="X53" t="str">
        <f ca="1">IFERROR(IF(0=LEN(ReferenceData!$X$53),"",ReferenceData!$X$53),"")</f>
        <v/>
      </c>
      <c r="Y53" t="str">
        <f ca="1">IFERROR(IF(0=LEN(ReferenceData!$Y$53),"",ReferenceData!$Y$53),"")</f>
        <v/>
      </c>
      <c r="Z53" t="str">
        <f ca="1">IFERROR(IF(0=LEN(ReferenceData!$Z$53),"",ReferenceData!$Z$53),"")</f>
        <v/>
      </c>
      <c r="AA53" t="str">
        <f ca="1">IFERROR(IF(0=LEN(ReferenceData!$AA$53),"",ReferenceData!$AA$53),"")</f>
        <v/>
      </c>
      <c r="AB53" t="str">
        <f ca="1">IFERROR(IF(0=LEN(ReferenceData!$AB$53),"",ReferenceData!$AB$53),"")</f>
        <v/>
      </c>
      <c r="AC53" t="str">
        <f ca="1">IFERROR(IF(0=LEN(ReferenceData!$AC$53),"",ReferenceData!$AC$53),"")</f>
        <v/>
      </c>
      <c r="AD53" t="str">
        <f ca="1">IFERROR(IF(0=LEN(ReferenceData!$AD$53),"",ReferenceData!$AD$53),"")</f>
        <v/>
      </c>
      <c r="AE53" t="str">
        <f ca="1">IFERROR(IF(0=LEN(ReferenceData!$AE$53),"",ReferenceData!$AE$53),"")</f>
        <v/>
      </c>
      <c r="AF53" t="str">
        <f ca="1">IFERROR(IF(0=LEN(ReferenceData!$AF$53),"",ReferenceData!$AF$53),"")</f>
        <v/>
      </c>
      <c r="AG53" t="str">
        <f ca="1">IFERROR(IF(0=LEN(ReferenceData!$AG$53),"",ReferenceData!$AG$53),"")</f>
        <v/>
      </c>
      <c r="AH53" t="str">
        <f ca="1">IFERROR(IF(0=LEN(ReferenceData!$AH$53),"",ReferenceData!$AH$53),"")</f>
        <v/>
      </c>
      <c r="AI53" t="str">
        <f ca="1">IFERROR(IF(0=LEN(ReferenceData!$AI$53),"",ReferenceData!$AI$53),"")</f>
        <v/>
      </c>
      <c r="AJ53" t="str">
        <f ca="1">IFERROR(IF(0=LEN(ReferenceData!$AJ$53),"",ReferenceData!$AJ$53),"")</f>
        <v/>
      </c>
      <c r="AK53" t="str">
        <f ca="1">IFERROR(IF(0=LEN(ReferenceData!$AK$53),"",ReferenceData!$AK$53),"")</f>
        <v/>
      </c>
      <c r="AL53" t="str">
        <f ca="1">IFERROR(IF(0=LEN(ReferenceData!$AL$53),"",ReferenceData!$AL$53),"")</f>
        <v/>
      </c>
      <c r="AM53" t="str">
        <f ca="1">IFERROR(IF(0=LEN(ReferenceData!$AM$53),"",ReferenceData!$AM$53),"")</f>
        <v/>
      </c>
      <c r="AN53" t="str">
        <f ca="1">IFERROR(IF(0=LEN(ReferenceData!$AN$53),"",ReferenceData!$AN$53),"")</f>
        <v/>
      </c>
      <c r="AO53" t="str">
        <f ca="1">IFERROR(IF(0=LEN(ReferenceData!$AO$53),"",ReferenceData!$AO$53),"")</f>
        <v/>
      </c>
      <c r="AP53" t="str">
        <f ca="1">IFERROR(IF(0=LEN(ReferenceData!$AP$53),"",ReferenceData!$AP$53),"")</f>
        <v/>
      </c>
      <c r="AQ53" t="str">
        <f ca="1">IFERROR(IF(0=LEN(ReferenceData!$AQ$53),"",ReferenceData!$AQ$53),"")</f>
        <v/>
      </c>
      <c r="AR53" t="str">
        <f ca="1">IFERROR(IF(0=LEN(ReferenceData!$AR$53),"",ReferenceData!$AR$53),"")</f>
        <v/>
      </c>
      <c r="AS53" t="str">
        <f ca="1">IFERROR(IF(0=LEN(ReferenceData!$AS$53),"",ReferenceData!$AS$53),"")</f>
        <v/>
      </c>
      <c r="AT53" t="str">
        <f ca="1">IFERROR(IF(0=LEN(ReferenceData!$AT$53),"",ReferenceData!$AT$53),"")</f>
        <v/>
      </c>
      <c r="AU53" t="str">
        <f ca="1">IFERROR(IF(0=LEN(ReferenceData!$AU$53),"",ReferenceData!$AU$53),"")</f>
        <v/>
      </c>
      <c r="AV53" t="str">
        <f ca="1">IFERROR(IF(0=LEN(ReferenceData!$AV$53),"",ReferenceData!$AV$53),"")</f>
        <v/>
      </c>
      <c r="AW53" t="str">
        <f ca="1">IFERROR(IF(0=LEN(ReferenceData!$AW$53),"",ReferenceData!$AW$53),"")</f>
        <v/>
      </c>
      <c r="AX53" t="str">
        <f ca="1">IFERROR(IF(0=LEN(ReferenceData!$AX$53),"",ReferenceData!$AX$53),"")</f>
        <v/>
      </c>
      <c r="AY53" t="str">
        <f ca="1">IFERROR(IF(0=LEN(ReferenceData!$AY$53),"",ReferenceData!$AY$53),"")</f>
        <v/>
      </c>
      <c r="AZ53" t="str">
        <f ca="1">IFERROR(IF(0=LEN(ReferenceData!$AZ$53),"",ReferenceData!$AZ$53),"")</f>
        <v/>
      </c>
      <c r="BA53" t="str">
        <f ca="1">IFERROR(IF(0=LEN(ReferenceData!$BA$53),"",ReferenceData!$BA$53),"")</f>
        <v/>
      </c>
      <c r="BB53" t="str">
        <f ca="1">IFERROR(IF(0=LEN(ReferenceData!$BB$53),"",ReferenceData!$BB$53),"")</f>
        <v/>
      </c>
      <c r="BC53" t="str">
        <f ca="1">IFERROR(IF(0=LEN(ReferenceData!$BC$53),"",ReferenceData!$BC$53),"")</f>
        <v/>
      </c>
      <c r="BD53" t="str">
        <f ca="1">IFERROR(IF(0=LEN(ReferenceData!$BD$53),"",ReferenceData!$BD$53),"")</f>
        <v/>
      </c>
      <c r="BE53" t="str">
        <f ca="1">IFERROR(IF(0=LEN(ReferenceData!$BE$53),"",ReferenceData!$BE$53),"")</f>
        <v/>
      </c>
      <c r="BF53" t="str">
        <f ca="1">IFERROR(IF(0=LEN(ReferenceData!$BF$53),"",ReferenceData!$BF$53),"")</f>
        <v/>
      </c>
      <c r="BG53" t="str">
        <f ca="1">IFERROR(IF(0=LEN(ReferenceData!$BG$53),"",ReferenceData!$BG$53),"")</f>
        <v/>
      </c>
      <c r="BH53" t="str">
        <f ca="1">IFERROR(IF(0=LEN(ReferenceData!$BH$53),"",ReferenceData!$BH$53),"")</f>
        <v/>
      </c>
      <c r="BI53" t="str">
        <f ca="1">IFERROR(IF(0=LEN(ReferenceData!$BI$53),"",ReferenceData!$BI$53),"")</f>
        <v/>
      </c>
      <c r="BJ53" t="str">
        <f ca="1">IFERROR(IF(0=LEN(ReferenceData!$BJ$53),"",ReferenceData!$BJ$53),"")</f>
        <v/>
      </c>
      <c r="BK53" t="str">
        <f ca="1">IFERROR(IF(0=LEN(ReferenceData!$BK$53),"",ReferenceData!$BK$53),"")</f>
        <v/>
      </c>
      <c r="BL53" t="str">
        <f ca="1">IFERROR(IF(0=LEN(ReferenceData!$BL$53),"",ReferenceData!$BL$53),"")</f>
        <v/>
      </c>
      <c r="BM53" t="str">
        <f ca="1">IFERROR(IF(0=LEN(ReferenceData!$BM$53),"",ReferenceData!$BM$53),"")</f>
        <v/>
      </c>
    </row>
    <row r="54" spans="1:65" x14ac:dyDescent="0.25">
      <c r="A54" t="str">
        <f>IFERROR(IF(0=LEN(ReferenceData!$A$54),"",ReferenceData!$A$54),"")</f>
        <v xml:space="preserve">    DRB-Hicom Bhd</v>
      </c>
      <c r="B54" t="str">
        <f>IFERROR(IF(0=LEN(ReferenceData!$B$54),"",ReferenceData!$B$54),"")</f>
        <v>DRB MK Equity</v>
      </c>
      <c r="C54" t="str">
        <f>IFERROR(IF(0=LEN(ReferenceData!$C$54),"",ReferenceData!$C$54),"")</f>
        <v>EZ019</v>
      </c>
      <c r="D54" t="str">
        <f>IFERROR(IF(0=LEN(ReferenceData!$D$54),"",ReferenceData!$D$54),"")</f>
        <v>BEST_EEPS_CUR_YR</v>
      </c>
      <c r="E54" t="str">
        <f>IFERROR(IF(0=LEN(ReferenceData!$E$54),"",ReferenceData!$E$54),"")</f>
        <v>Dynamic</v>
      </c>
      <c r="F54">
        <f ca="1">IFERROR(IF(0=LEN(ReferenceData!$F$54),"",ReferenceData!$F$54),"")</f>
        <v>1E-3</v>
      </c>
      <c r="G54">
        <f ca="1">IFERROR(IF(0=LEN(ReferenceData!$G$54),"",ReferenceData!$G$54),"")</f>
        <v>-1E-3</v>
      </c>
      <c r="H54">
        <f ca="1">IFERROR(IF(0=LEN(ReferenceData!$H$54),"",ReferenceData!$H$54),"")</f>
        <v>7.0000000000000001E-3</v>
      </c>
      <c r="I54">
        <f ca="1">IFERROR(IF(0=LEN(ReferenceData!$I$54),"",ReferenceData!$I$54),"")</f>
        <v>1.9E-2</v>
      </c>
      <c r="J54">
        <f ca="1">IFERROR(IF(0=LEN(ReferenceData!$J$54),"",ReferenceData!$J$54),"")</f>
        <v>4.0000000000000001E-3</v>
      </c>
      <c r="K54">
        <f ca="1">IFERROR(IF(0=LEN(ReferenceData!$K$54),"",ReferenceData!$K$54),"")</f>
        <v>3.0000000000000001E-3</v>
      </c>
      <c r="L54">
        <f ca="1">IFERROR(IF(0=LEN(ReferenceData!$L$54),"",ReferenceData!$L$54),"")</f>
        <v>-1E-3</v>
      </c>
      <c r="M54">
        <f ca="1">IFERROR(IF(0=LEN(ReferenceData!$M$54),"",ReferenceData!$M$54),"")</f>
        <v>4.0000000000000001E-3</v>
      </c>
      <c r="N54">
        <f ca="1">IFERROR(IF(0=LEN(ReferenceData!$N$54),"",ReferenceData!$N$54),"")</f>
        <v>-2E-3</v>
      </c>
      <c r="O54">
        <f ca="1">IFERROR(IF(0=LEN(ReferenceData!$O$54),"",ReferenceData!$O$54),"")</f>
        <v>1.2999999999999999E-2</v>
      </c>
      <c r="P54">
        <f ca="1">IFERROR(IF(0=LEN(ReferenceData!$P$54),"",ReferenceData!$P$54),"")</f>
        <v>1.4999999999999999E-2</v>
      </c>
      <c r="Q54">
        <f ca="1">IFERROR(IF(0=LEN(ReferenceData!$Q$54),"",ReferenceData!$Q$54),"")</f>
        <v>1.7999999999999999E-2</v>
      </c>
      <c r="R54" t="str">
        <f ca="1">IFERROR(IF(0=LEN(ReferenceData!$R$54),"",ReferenceData!$R$54),"")</f>
        <v/>
      </c>
      <c r="S54" t="str">
        <f ca="1">IFERROR(IF(0=LEN(ReferenceData!$S$54),"",ReferenceData!$S$54),"")</f>
        <v/>
      </c>
      <c r="T54" t="str">
        <f ca="1">IFERROR(IF(0=LEN(ReferenceData!$T$54),"",ReferenceData!$T$54),"")</f>
        <v/>
      </c>
      <c r="U54" t="str">
        <f ca="1">IFERROR(IF(0=LEN(ReferenceData!$U$54),"",ReferenceData!$U$54),"")</f>
        <v/>
      </c>
      <c r="V54" t="str">
        <f ca="1">IFERROR(IF(0=LEN(ReferenceData!$V$54),"",ReferenceData!$V$54),"")</f>
        <v/>
      </c>
      <c r="W54" t="str">
        <f ca="1">IFERROR(IF(0=LEN(ReferenceData!$W$54),"",ReferenceData!$W$54),"")</f>
        <v/>
      </c>
      <c r="X54" t="str">
        <f ca="1">IFERROR(IF(0=LEN(ReferenceData!$X$54),"",ReferenceData!$X$54),"")</f>
        <v/>
      </c>
      <c r="Y54" t="str">
        <f ca="1">IFERROR(IF(0=LEN(ReferenceData!$Y$54),"",ReferenceData!$Y$54),"")</f>
        <v/>
      </c>
      <c r="Z54" t="str">
        <f ca="1">IFERROR(IF(0=LEN(ReferenceData!$Z$54),"",ReferenceData!$Z$54),"")</f>
        <v/>
      </c>
      <c r="AA54" t="str">
        <f ca="1">IFERROR(IF(0=LEN(ReferenceData!$AA$54),"",ReferenceData!$AA$54),"")</f>
        <v/>
      </c>
      <c r="AB54" t="str">
        <f ca="1">IFERROR(IF(0=LEN(ReferenceData!$AB$54),"",ReferenceData!$AB$54),"")</f>
        <v/>
      </c>
      <c r="AC54" t="str">
        <f ca="1">IFERROR(IF(0=LEN(ReferenceData!$AC$54),"",ReferenceData!$AC$54),"")</f>
        <v/>
      </c>
      <c r="AD54" t="str">
        <f ca="1">IFERROR(IF(0=LEN(ReferenceData!$AD$54),"",ReferenceData!$AD$54),"")</f>
        <v/>
      </c>
      <c r="AE54" t="str">
        <f ca="1">IFERROR(IF(0=LEN(ReferenceData!$AE$54),"",ReferenceData!$AE$54),"")</f>
        <v/>
      </c>
      <c r="AF54" t="str">
        <f ca="1">IFERROR(IF(0=LEN(ReferenceData!$AF$54),"",ReferenceData!$AF$54),"")</f>
        <v/>
      </c>
      <c r="AG54" t="str">
        <f ca="1">IFERROR(IF(0=LEN(ReferenceData!$AG$54),"",ReferenceData!$AG$54),"")</f>
        <v/>
      </c>
      <c r="AH54" t="str">
        <f ca="1">IFERROR(IF(0=LEN(ReferenceData!$AH$54),"",ReferenceData!$AH$54),"")</f>
        <v/>
      </c>
      <c r="AI54" t="str">
        <f ca="1">IFERROR(IF(0=LEN(ReferenceData!$AI$54),"",ReferenceData!$AI$54),"")</f>
        <v/>
      </c>
      <c r="AJ54" t="str">
        <f ca="1">IFERROR(IF(0=LEN(ReferenceData!$AJ$54),"",ReferenceData!$AJ$54),"")</f>
        <v/>
      </c>
      <c r="AK54" t="str">
        <f ca="1">IFERROR(IF(0=LEN(ReferenceData!$AK$54),"",ReferenceData!$AK$54),"")</f>
        <v/>
      </c>
      <c r="AL54" t="str">
        <f ca="1">IFERROR(IF(0=LEN(ReferenceData!$AL$54),"",ReferenceData!$AL$54),"")</f>
        <v/>
      </c>
      <c r="AM54" t="str">
        <f ca="1">IFERROR(IF(0=LEN(ReferenceData!$AM$54),"",ReferenceData!$AM$54),"")</f>
        <v/>
      </c>
      <c r="AN54" t="str">
        <f ca="1">IFERROR(IF(0=LEN(ReferenceData!$AN$54),"",ReferenceData!$AN$54),"")</f>
        <v/>
      </c>
      <c r="AO54" t="str">
        <f ca="1">IFERROR(IF(0=LEN(ReferenceData!$AO$54),"",ReferenceData!$AO$54),"")</f>
        <v/>
      </c>
      <c r="AP54" t="str">
        <f ca="1">IFERROR(IF(0=LEN(ReferenceData!$AP$54),"",ReferenceData!$AP$54),"")</f>
        <v/>
      </c>
      <c r="AQ54" t="str">
        <f ca="1">IFERROR(IF(0=LEN(ReferenceData!$AQ$54),"",ReferenceData!$AQ$54),"")</f>
        <v/>
      </c>
      <c r="AR54" t="str">
        <f ca="1">IFERROR(IF(0=LEN(ReferenceData!$AR$54),"",ReferenceData!$AR$54),"")</f>
        <v/>
      </c>
      <c r="AS54" t="str">
        <f ca="1">IFERROR(IF(0=LEN(ReferenceData!$AS$54),"",ReferenceData!$AS$54),"")</f>
        <v/>
      </c>
      <c r="AT54" t="str">
        <f ca="1">IFERROR(IF(0=LEN(ReferenceData!$AT$54),"",ReferenceData!$AT$54),"")</f>
        <v/>
      </c>
      <c r="AU54" t="str">
        <f ca="1">IFERROR(IF(0=LEN(ReferenceData!$AU$54),"",ReferenceData!$AU$54),"")</f>
        <v/>
      </c>
      <c r="AV54" t="str">
        <f ca="1">IFERROR(IF(0=LEN(ReferenceData!$AV$54),"",ReferenceData!$AV$54),"")</f>
        <v/>
      </c>
      <c r="AW54" t="str">
        <f ca="1">IFERROR(IF(0=LEN(ReferenceData!$AW$54),"",ReferenceData!$AW$54),"")</f>
        <v/>
      </c>
      <c r="AX54" t="str">
        <f ca="1">IFERROR(IF(0=LEN(ReferenceData!$AX$54),"",ReferenceData!$AX$54),"")</f>
        <v/>
      </c>
      <c r="AY54" t="str">
        <f ca="1">IFERROR(IF(0=LEN(ReferenceData!$AY$54),"",ReferenceData!$AY$54),"")</f>
        <v/>
      </c>
      <c r="AZ54" t="str">
        <f ca="1">IFERROR(IF(0=LEN(ReferenceData!$AZ$54),"",ReferenceData!$AZ$54),"")</f>
        <v/>
      </c>
      <c r="BA54" t="str">
        <f ca="1">IFERROR(IF(0=LEN(ReferenceData!$BA$54),"",ReferenceData!$BA$54),"")</f>
        <v/>
      </c>
      <c r="BB54" t="str">
        <f ca="1">IFERROR(IF(0=LEN(ReferenceData!$BB$54),"",ReferenceData!$BB$54),"")</f>
        <v/>
      </c>
      <c r="BC54" t="str">
        <f ca="1">IFERROR(IF(0=LEN(ReferenceData!$BC$54),"",ReferenceData!$BC$54),"")</f>
        <v/>
      </c>
      <c r="BD54" t="str">
        <f ca="1">IFERROR(IF(0=LEN(ReferenceData!$BD$54),"",ReferenceData!$BD$54),"")</f>
        <v/>
      </c>
      <c r="BE54" t="str">
        <f ca="1">IFERROR(IF(0=LEN(ReferenceData!$BE$54),"",ReferenceData!$BE$54),"")</f>
        <v/>
      </c>
      <c r="BF54" t="str">
        <f ca="1">IFERROR(IF(0=LEN(ReferenceData!$BF$54),"",ReferenceData!$BF$54),"")</f>
        <v/>
      </c>
      <c r="BG54" t="str">
        <f ca="1">IFERROR(IF(0=LEN(ReferenceData!$BG$54),"",ReferenceData!$BG$54),"")</f>
        <v/>
      </c>
      <c r="BH54" t="str">
        <f ca="1">IFERROR(IF(0=LEN(ReferenceData!$BH$54),"",ReferenceData!$BH$54),"")</f>
        <v/>
      </c>
      <c r="BI54" t="str">
        <f ca="1">IFERROR(IF(0=LEN(ReferenceData!$BI$54),"",ReferenceData!$BI$54),"")</f>
        <v/>
      </c>
      <c r="BJ54" t="str">
        <f ca="1">IFERROR(IF(0=LEN(ReferenceData!$BJ$54),"",ReferenceData!$BJ$54),"")</f>
        <v/>
      </c>
      <c r="BK54" t="str">
        <f ca="1">IFERROR(IF(0=LEN(ReferenceData!$BK$54),"",ReferenceData!$BK$54),"")</f>
        <v/>
      </c>
      <c r="BL54" t="str">
        <f ca="1">IFERROR(IF(0=LEN(ReferenceData!$BL$54),"",ReferenceData!$BL$54),"")</f>
        <v/>
      </c>
      <c r="BM54" t="str">
        <f ca="1">IFERROR(IF(0=LEN(ReferenceData!$BM$54),"",ReferenceData!$BM$54),"")</f>
        <v/>
      </c>
    </row>
    <row r="55" spans="1:65" x14ac:dyDescent="0.25">
      <c r="A55" t="str">
        <f>IFERROR(IF(0=LEN(ReferenceData!$A$55),"",ReferenceData!$A$55),"")</f>
        <v xml:space="preserve">    FAW CAR Co Ltd</v>
      </c>
      <c r="B55" t="str">
        <f>IFERROR(IF(0=LEN(ReferenceData!$B$55),"",ReferenceData!$B$55),"")</f>
        <v>000800 CH Equity</v>
      </c>
      <c r="C55" t="str">
        <f>IFERROR(IF(0=LEN(ReferenceData!$C$55),"",ReferenceData!$C$55),"")</f>
        <v>EZ019</v>
      </c>
      <c r="D55" t="str">
        <f>IFERROR(IF(0=LEN(ReferenceData!$D$55),"",ReferenceData!$D$55),"")</f>
        <v>BEST_EEPS_CUR_YR</v>
      </c>
      <c r="E55" t="str">
        <f>IFERROR(IF(0=LEN(ReferenceData!$E$55),"",ReferenceData!$E$55),"")</f>
        <v>Dynamic</v>
      </c>
      <c r="F55" t="str">
        <f ca="1">IFERROR(IF(0=LEN(ReferenceData!$F$55),"",ReferenceData!$F$55),"")</f>
        <v/>
      </c>
      <c r="G55" t="str">
        <f ca="1">IFERROR(IF(0=LEN(ReferenceData!$G$55),"",ReferenceData!$G$55),"")</f>
        <v/>
      </c>
      <c r="H55" t="str">
        <f ca="1">IFERROR(IF(0=LEN(ReferenceData!$H$55),"",ReferenceData!$H$55),"")</f>
        <v/>
      </c>
      <c r="I55" t="str">
        <f ca="1">IFERROR(IF(0=LEN(ReferenceData!$I$55),"",ReferenceData!$I$55),"")</f>
        <v/>
      </c>
      <c r="J55" t="str">
        <f ca="1">IFERROR(IF(0=LEN(ReferenceData!$J$55),"",ReferenceData!$J$55),"")</f>
        <v/>
      </c>
      <c r="K55">
        <f ca="1">IFERROR(IF(0=LEN(ReferenceData!$K$55),"",ReferenceData!$K$55),"")</f>
        <v>3.7999999999999999E-2</v>
      </c>
      <c r="L55">
        <f ca="1">IFERROR(IF(0=LEN(ReferenceData!$L$55),"",ReferenceData!$L$55),"")</f>
        <v>3.6999999999999998E-2</v>
      </c>
      <c r="M55">
        <f ca="1">IFERROR(IF(0=LEN(ReferenceData!$M$55),"",ReferenceData!$M$55),"")</f>
        <v>3.5000000000000003E-2</v>
      </c>
      <c r="N55">
        <f ca="1">IFERROR(IF(0=LEN(ReferenceData!$N$55),"",ReferenceData!$N$55),"")</f>
        <v>3.5000000000000003E-2</v>
      </c>
      <c r="O55">
        <f ca="1">IFERROR(IF(0=LEN(ReferenceData!$O$55),"",ReferenceData!$O$55),"")</f>
        <v>4.0000000000000001E-3</v>
      </c>
      <c r="P55">
        <f ca="1">IFERROR(IF(0=LEN(ReferenceData!$P$55),"",ReferenceData!$P$55),"")</f>
        <v>4.0000000000000001E-3</v>
      </c>
      <c r="Q55">
        <f ca="1">IFERROR(IF(0=LEN(ReferenceData!$Q$55),"",ReferenceData!$Q$55),"")</f>
        <v>4.0000000000000001E-3</v>
      </c>
      <c r="R55" t="str">
        <f ca="1">IFERROR(IF(0=LEN(ReferenceData!$R$55),"",ReferenceData!$R$55),"")</f>
        <v/>
      </c>
      <c r="S55" t="str">
        <f ca="1">IFERROR(IF(0=LEN(ReferenceData!$S$55),"",ReferenceData!$S$55),"")</f>
        <v/>
      </c>
      <c r="T55" t="str">
        <f ca="1">IFERROR(IF(0=LEN(ReferenceData!$T$55),"",ReferenceData!$T$55),"")</f>
        <v/>
      </c>
      <c r="U55" t="str">
        <f ca="1">IFERROR(IF(0=LEN(ReferenceData!$U$55),"",ReferenceData!$U$55),"")</f>
        <v/>
      </c>
      <c r="V55" t="str">
        <f ca="1">IFERROR(IF(0=LEN(ReferenceData!$V$55),"",ReferenceData!$V$55),"")</f>
        <v/>
      </c>
      <c r="W55" t="str">
        <f ca="1">IFERROR(IF(0=LEN(ReferenceData!$W$55),"",ReferenceData!$W$55),"")</f>
        <v/>
      </c>
      <c r="X55" t="str">
        <f ca="1">IFERROR(IF(0=LEN(ReferenceData!$X$55),"",ReferenceData!$X$55),"")</f>
        <v/>
      </c>
      <c r="Y55" t="str">
        <f ca="1">IFERROR(IF(0=LEN(ReferenceData!$Y$55),"",ReferenceData!$Y$55),"")</f>
        <v/>
      </c>
      <c r="Z55" t="str">
        <f ca="1">IFERROR(IF(0=LEN(ReferenceData!$Z$55),"",ReferenceData!$Z$55),"")</f>
        <v/>
      </c>
      <c r="AA55" t="str">
        <f ca="1">IFERROR(IF(0=LEN(ReferenceData!$AA$55),"",ReferenceData!$AA$55),"")</f>
        <v/>
      </c>
      <c r="AB55" t="str">
        <f ca="1">IFERROR(IF(0=LEN(ReferenceData!$AB$55),"",ReferenceData!$AB$55),"")</f>
        <v/>
      </c>
      <c r="AC55" t="str">
        <f ca="1">IFERROR(IF(0=LEN(ReferenceData!$AC$55),"",ReferenceData!$AC$55),"")</f>
        <v/>
      </c>
      <c r="AD55" t="str">
        <f ca="1">IFERROR(IF(0=LEN(ReferenceData!$AD$55),"",ReferenceData!$AD$55),"")</f>
        <v/>
      </c>
      <c r="AE55" t="str">
        <f ca="1">IFERROR(IF(0=LEN(ReferenceData!$AE$55),"",ReferenceData!$AE$55),"")</f>
        <v/>
      </c>
      <c r="AF55" t="str">
        <f ca="1">IFERROR(IF(0=LEN(ReferenceData!$AF$55),"",ReferenceData!$AF$55),"")</f>
        <v/>
      </c>
      <c r="AG55" t="str">
        <f ca="1">IFERROR(IF(0=LEN(ReferenceData!$AG$55),"",ReferenceData!$AG$55),"")</f>
        <v/>
      </c>
      <c r="AH55" t="str">
        <f ca="1">IFERROR(IF(0=LEN(ReferenceData!$AH$55),"",ReferenceData!$AH$55),"")</f>
        <v/>
      </c>
      <c r="AI55" t="str">
        <f ca="1">IFERROR(IF(0=LEN(ReferenceData!$AI$55),"",ReferenceData!$AI$55),"")</f>
        <v/>
      </c>
      <c r="AJ55" t="str">
        <f ca="1">IFERROR(IF(0=LEN(ReferenceData!$AJ$55),"",ReferenceData!$AJ$55),"")</f>
        <v/>
      </c>
      <c r="AK55" t="str">
        <f ca="1">IFERROR(IF(0=LEN(ReferenceData!$AK$55),"",ReferenceData!$AK$55),"")</f>
        <v/>
      </c>
      <c r="AL55" t="str">
        <f ca="1">IFERROR(IF(0=LEN(ReferenceData!$AL$55),"",ReferenceData!$AL$55),"")</f>
        <v/>
      </c>
      <c r="AM55" t="str">
        <f ca="1">IFERROR(IF(0=LEN(ReferenceData!$AM$55),"",ReferenceData!$AM$55),"")</f>
        <v/>
      </c>
      <c r="AN55" t="str">
        <f ca="1">IFERROR(IF(0=LEN(ReferenceData!$AN$55),"",ReferenceData!$AN$55),"")</f>
        <v/>
      </c>
      <c r="AO55" t="str">
        <f ca="1">IFERROR(IF(0=LEN(ReferenceData!$AO$55),"",ReferenceData!$AO$55),"")</f>
        <v/>
      </c>
      <c r="AP55" t="str">
        <f ca="1">IFERROR(IF(0=LEN(ReferenceData!$AP$55),"",ReferenceData!$AP$55),"")</f>
        <v/>
      </c>
      <c r="AQ55" t="str">
        <f ca="1">IFERROR(IF(0=LEN(ReferenceData!$AQ$55),"",ReferenceData!$AQ$55),"")</f>
        <v/>
      </c>
      <c r="AR55" t="str">
        <f ca="1">IFERROR(IF(0=LEN(ReferenceData!$AR$55),"",ReferenceData!$AR$55),"")</f>
        <v/>
      </c>
      <c r="AS55" t="str">
        <f ca="1">IFERROR(IF(0=LEN(ReferenceData!$AS$55),"",ReferenceData!$AS$55),"")</f>
        <v/>
      </c>
      <c r="AT55" t="str">
        <f ca="1">IFERROR(IF(0=LEN(ReferenceData!$AT$55),"",ReferenceData!$AT$55),"")</f>
        <v/>
      </c>
      <c r="AU55" t="str">
        <f ca="1">IFERROR(IF(0=LEN(ReferenceData!$AU$55),"",ReferenceData!$AU$55),"")</f>
        <v/>
      </c>
      <c r="AV55" t="str">
        <f ca="1">IFERROR(IF(0=LEN(ReferenceData!$AV$55),"",ReferenceData!$AV$55),"")</f>
        <v/>
      </c>
      <c r="AW55" t="str">
        <f ca="1">IFERROR(IF(0=LEN(ReferenceData!$AW$55),"",ReferenceData!$AW$55),"")</f>
        <v/>
      </c>
      <c r="AX55" t="str">
        <f ca="1">IFERROR(IF(0=LEN(ReferenceData!$AX$55),"",ReferenceData!$AX$55),"")</f>
        <v/>
      </c>
      <c r="AY55" t="str">
        <f ca="1">IFERROR(IF(0=LEN(ReferenceData!$AY$55),"",ReferenceData!$AY$55),"")</f>
        <v/>
      </c>
      <c r="AZ55" t="str">
        <f ca="1">IFERROR(IF(0=LEN(ReferenceData!$AZ$55),"",ReferenceData!$AZ$55),"")</f>
        <v/>
      </c>
      <c r="BA55" t="str">
        <f ca="1">IFERROR(IF(0=LEN(ReferenceData!$BA$55),"",ReferenceData!$BA$55),"")</f>
        <v/>
      </c>
      <c r="BB55" t="str">
        <f ca="1">IFERROR(IF(0=LEN(ReferenceData!$BB$55),"",ReferenceData!$BB$55),"")</f>
        <v/>
      </c>
      <c r="BC55" t="str">
        <f ca="1">IFERROR(IF(0=LEN(ReferenceData!$BC$55),"",ReferenceData!$BC$55),"")</f>
        <v/>
      </c>
      <c r="BD55" t="str">
        <f ca="1">IFERROR(IF(0=LEN(ReferenceData!$BD$55),"",ReferenceData!$BD$55),"")</f>
        <v/>
      </c>
      <c r="BE55" t="str">
        <f ca="1">IFERROR(IF(0=LEN(ReferenceData!$BE$55),"",ReferenceData!$BE$55),"")</f>
        <v/>
      </c>
      <c r="BF55" t="str">
        <f ca="1">IFERROR(IF(0=LEN(ReferenceData!$BF$55),"",ReferenceData!$BF$55),"")</f>
        <v/>
      </c>
      <c r="BG55" t="str">
        <f ca="1">IFERROR(IF(0=LEN(ReferenceData!$BG$55),"",ReferenceData!$BG$55),"")</f>
        <v/>
      </c>
      <c r="BH55" t="str">
        <f ca="1">IFERROR(IF(0=LEN(ReferenceData!$BH$55),"",ReferenceData!$BH$55),"")</f>
        <v/>
      </c>
      <c r="BI55" t="str">
        <f ca="1">IFERROR(IF(0=LEN(ReferenceData!$BI$55),"",ReferenceData!$BI$55),"")</f>
        <v/>
      </c>
      <c r="BJ55" t="str">
        <f ca="1">IFERROR(IF(0=LEN(ReferenceData!$BJ$55),"",ReferenceData!$BJ$55),"")</f>
        <v/>
      </c>
      <c r="BK55" t="str">
        <f ca="1">IFERROR(IF(0=LEN(ReferenceData!$BK$55),"",ReferenceData!$BK$55),"")</f>
        <v/>
      </c>
      <c r="BL55" t="str">
        <f ca="1">IFERROR(IF(0=LEN(ReferenceData!$BL$55),"",ReferenceData!$BL$55),"")</f>
        <v/>
      </c>
      <c r="BM55" t="str">
        <f ca="1">IFERROR(IF(0=LEN(ReferenceData!$BM$55),"",ReferenceData!$BM$55),"")</f>
        <v/>
      </c>
    </row>
    <row r="56" spans="1:65" x14ac:dyDescent="0.25">
      <c r="A56" t="str">
        <f>IFERROR(IF(0=LEN(ReferenceData!$A$56),"",ReferenceData!$A$56),"")</f>
        <v xml:space="preserve">    Fiat Chrysler Automobiles NV</v>
      </c>
      <c r="B56" t="str">
        <f>IFERROR(IF(0=LEN(ReferenceData!$B$56),"",ReferenceData!$B$56),"")</f>
        <v>FCAU US Equity</v>
      </c>
      <c r="C56" t="str">
        <f>IFERROR(IF(0=LEN(ReferenceData!$C$56),"",ReferenceData!$C$56),"")</f>
        <v>EZ019</v>
      </c>
      <c r="D56" t="str">
        <f>IFERROR(IF(0=LEN(ReferenceData!$D$56),"",ReferenceData!$D$56),"")</f>
        <v>BEST_EEPS_CUR_YR</v>
      </c>
      <c r="E56" t="str">
        <f>IFERROR(IF(0=LEN(ReferenceData!$E$56),"",ReferenceData!$E$56),"")</f>
        <v>Dynamic</v>
      </c>
      <c r="F56">
        <f ca="1">IFERROR(IF(0=LEN(ReferenceData!$F$56),"",ReferenceData!$F$56),"")</f>
        <v>3.29</v>
      </c>
      <c r="G56">
        <f ca="1">IFERROR(IF(0=LEN(ReferenceData!$G$56),"",ReferenceData!$G$56),"")</f>
        <v>3.6789999999999998</v>
      </c>
      <c r="H56">
        <f ca="1">IFERROR(IF(0=LEN(ReferenceData!$H$56),"",ReferenceData!$H$56),"")</f>
        <v>3.9380000000000002</v>
      </c>
      <c r="I56">
        <f ca="1">IFERROR(IF(0=LEN(ReferenceData!$I$56),"",ReferenceData!$I$56),"")</f>
        <v>4.0679999999999996</v>
      </c>
      <c r="J56">
        <f ca="1">IFERROR(IF(0=LEN(ReferenceData!$J$56),"",ReferenceData!$J$56),"")</f>
        <v>4.1500000000000004</v>
      </c>
      <c r="K56">
        <f ca="1">IFERROR(IF(0=LEN(ReferenceData!$K$56),"",ReferenceData!$K$56),"")</f>
        <v>3.3010000000000002</v>
      </c>
      <c r="L56">
        <f ca="1">IFERROR(IF(0=LEN(ReferenceData!$L$56),"",ReferenceData!$L$56),"")</f>
        <v>3.1469999999999998</v>
      </c>
      <c r="M56">
        <f ca="1">IFERROR(IF(0=LEN(ReferenceData!$M$56),"",ReferenceData!$M$56),"")</f>
        <v>2.8479999999999999</v>
      </c>
      <c r="N56">
        <f ca="1">IFERROR(IF(0=LEN(ReferenceData!$N$56),"",ReferenceData!$N$56),"")</f>
        <v>2.5880000000000001</v>
      </c>
      <c r="O56">
        <f ca="1">IFERROR(IF(0=LEN(ReferenceData!$O$56),"",ReferenceData!$O$56),"")</f>
        <v>2.5870000000000002</v>
      </c>
      <c r="P56">
        <f ca="1">IFERROR(IF(0=LEN(ReferenceData!$P$56),"",ReferenceData!$P$56),"")</f>
        <v>2.2599999999999998</v>
      </c>
      <c r="Q56">
        <f ca="1">IFERROR(IF(0=LEN(ReferenceData!$Q$56),"",ReferenceData!$Q$56),"")</f>
        <v>0.85799999999999998</v>
      </c>
      <c r="R56">
        <f ca="1">IFERROR(IF(0=LEN(ReferenceData!$R$56),"",ReferenceData!$R$56),"")</f>
        <v>0.41299999999999998</v>
      </c>
      <c r="S56">
        <f ca="1">IFERROR(IF(0=LEN(ReferenceData!$S$56),"",ReferenceData!$S$56),"")</f>
        <v>5.0659999999999998</v>
      </c>
      <c r="T56">
        <f ca="1">IFERROR(IF(0=LEN(ReferenceData!$T$56),"",ReferenceData!$T$56),"")</f>
        <v>5.47</v>
      </c>
      <c r="U56">
        <f ca="1">IFERROR(IF(0=LEN(ReferenceData!$U$56),"",ReferenceData!$U$56),"")</f>
        <v>12.303000000000001</v>
      </c>
      <c r="V56" t="str">
        <f ca="1">IFERROR(IF(0=LEN(ReferenceData!$V$56),"",ReferenceData!$V$56),"")</f>
        <v/>
      </c>
      <c r="W56" t="str">
        <f ca="1">IFERROR(IF(0=LEN(ReferenceData!$W$56),"",ReferenceData!$W$56),"")</f>
        <v/>
      </c>
      <c r="X56" t="str">
        <f ca="1">IFERROR(IF(0=LEN(ReferenceData!$X$56),"",ReferenceData!$X$56),"")</f>
        <v/>
      </c>
      <c r="Y56" t="str">
        <f ca="1">IFERROR(IF(0=LEN(ReferenceData!$Y$56),"",ReferenceData!$Y$56),"")</f>
        <v/>
      </c>
      <c r="Z56" t="str">
        <f ca="1">IFERROR(IF(0=LEN(ReferenceData!$Z$56),"",ReferenceData!$Z$56),"")</f>
        <v/>
      </c>
      <c r="AA56" t="str">
        <f ca="1">IFERROR(IF(0=LEN(ReferenceData!$AA$56),"",ReferenceData!$AA$56),"")</f>
        <v/>
      </c>
      <c r="AB56" t="str">
        <f ca="1">IFERROR(IF(0=LEN(ReferenceData!$AB$56),"",ReferenceData!$AB$56),"")</f>
        <v/>
      </c>
      <c r="AC56" t="str">
        <f ca="1">IFERROR(IF(0=LEN(ReferenceData!$AC$56),"",ReferenceData!$AC$56),"")</f>
        <v/>
      </c>
      <c r="AD56" t="str">
        <f ca="1">IFERROR(IF(0=LEN(ReferenceData!$AD$56),"",ReferenceData!$AD$56),"")</f>
        <v/>
      </c>
      <c r="AE56" t="str">
        <f ca="1">IFERROR(IF(0=LEN(ReferenceData!$AE$56),"",ReferenceData!$AE$56),"")</f>
        <v/>
      </c>
      <c r="AF56" t="str">
        <f ca="1">IFERROR(IF(0=LEN(ReferenceData!$AF$56),"",ReferenceData!$AF$56),"")</f>
        <v/>
      </c>
      <c r="AG56" t="str">
        <f ca="1">IFERROR(IF(0=LEN(ReferenceData!$AG$56),"",ReferenceData!$AG$56),"")</f>
        <v/>
      </c>
      <c r="AH56" t="str">
        <f ca="1">IFERROR(IF(0=LEN(ReferenceData!$AH$56),"",ReferenceData!$AH$56),"")</f>
        <v/>
      </c>
      <c r="AI56" t="str">
        <f ca="1">IFERROR(IF(0=LEN(ReferenceData!$AI$56),"",ReferenceData!$AI$56),"")</f>
        <v/>
      </c>
      <c r="AJ56" t="str">
        <f ca="1">IFERROR(IF(0=LEN(ReferenceData!$AJ$56),"",ReferenceData!$AJ$56),"")</f>
        <v/>
      </c>
      <c r="AK56" t="str">
        <f ca="1">IFERROR(IF(0=LEN(ReferenceData!$AK$56),"",ReferenceData!$AK$56),"")</f>
        <v/>
      </c>
      <c r="AL56" t="str">
        <f ca="1">IFERROR(IF(0=LEN(ReferenceData!$AL$56),"",ReferenceData!$AL$56),"")</f>
        <v/>
      </c>
      <c r="AM56" t="str">
        <f ca="1">IFERROR(IF(0=LEN(ReferenceData!$AM$56),"",ReferenceData!$AM$56),"")</f>
        <v/>
      </c>
      <c r="AN56" t="str">
        <f ca="1">IFERROR(IF(0=LEN(ReferenceData!$AN$56),"",ReferenceData!$AN$56),"")</f>
        <v/>
      </c>
      <c r="AO56" t="str">
        <f ca="1">IFERROR(IF(0=LEN(ReferenceData!$AO$56),"",ReferenceData!$AO$56),"")</f>
        <v/>
      </c>
      <c r="AP56" t="str">
        <f ca="1">IFERROR(IF(0=LEN(ReferenceData!$AP$56),"",ReferenceData!$AP$56),"")</f>
        <v/>
      </c>
      <c r="AQ56" t="str">
        <f ca="1">IFERROR(IF(0=LEN(ReferenceData!$AQ$56),"",ReferenceData!$AQ$56),"")</f>
        <v/>
      </c>
      <c r="AR56" t="str">
        <f ca="1">IFERROR(IF(0=LEN(ReferenceData!$AR$56),"",ReferenceData!$AR$56),"")</f>
        <v/>
      </c>
      <c r="AS56" t="str">
        <f ca="1">IFERROR(IF(0=LEN(ReferenceData!$AS$56),"",ReferenceData!$AS$56),"")</f>
        <v/>
      </c>
      <c r="AT56" t="str">
        <f ca="1">IFERROR(IF(0=LEN(ReferenceData!$AT$56),"",ReferenceData!$AT$56),"")</f>
        <v/>
      </c>
      <c r="AU56" t="str">
        <f ca="1">IFERROR(IF(0=LEN(ReferenceData!$AU$56),"",ReferenceData!$AU$56),"")</f>
        <v/>
      </c>
      <c r="AV56" t="str">
        <f ca="1">IFERROR(IF(0=LEN(ReferenceData!$AV$56),"",ReferenceData!$AV$56),"")</f>
        <v/>
      </c>
      <c r="AW56" t="str">
        <f ca="1">IFERROR(IF(0=LEN(ReferenceData!$AW$56),"",ReferenceData!$AW$56),"")</f>
        <v/>
      </c>
      <c r="AX56" t="str">
        <f ca="1">IFERROR(IF(0=LEN(ReferenceData!$AX$56),"",ReferenceData!$AX$56),"")</f>
        <v/>
      </c>
      <c r="AY56" t="str">
        <f ca="1">IFERROR(IF(0=LEN(ReferenceData!$AY$56),"",ReferenceData!$AY$56),"")</f>
        <v/>
      </c>
      <c r="AZ56" t="str">
        <f ca="1">IFERROR(IF(0=LEN(ReferenceData!$AZ$56),"",ReferenceData!$AZ$56),"")</f>
        <v/>
      </c>
      <c r="BA56" t="str">
        <f ca="1">IFERROR(IF(0=LEN(ReferenceData!$BA$56),"",ReferenceData!$BA$56),"")</f>
        <v/>
      </c>
      <c r="BB56" t="str">
        <f ca="1">IFERROR(IF(0=LEN(ReferenceData!$BB$56),"",ReferenceData!$BB$56),"")</f>
        <v/>
      </c>
      <c r="BC56" t="str">
        <f ca="1">IFERROR(IF(0=LEN(ReferenceData!$BC$56),"",ReferenceData!$BC$56),"")</f>
        <v/>
      </c>
      <c r="BD56" t="str">
        <f ca="1">IFERROR(IF(0=LEN(ReferenceData!$BD$56),"",ReferenceData!$BD$56),"")</f>
        <v/>
      </c>
      <c r="BE56" t="str">
        <f ca="1">IFERROR(IF(0=LEN(ReferenceData!$BE$56),"",ReferenceData!$BE$56),"")</f>
        <v/>
      </c>
      <c r="BF56" t="str">
        <f ca="1">IFERROR(IF(0=LEN(ReferenceData!$BF$56),"",ReferenceData!$BF$56),"")</f>
        <v/>
      </c>
      <c r="BG56" t="str">
        <f ca="1">IFERROR(IF(0=LEN(ReferenceData!$BG$56),"",ReferenceData!$BG$56),"")</f>
        <v/>
      </c>
      <c r="BH56" t="str">
        <f ca="1">IFERROR(IF(0=LEN(ReferenceData!$BH$56),"",ReferenceData!$BH$56),"")</f>
        <v/>
      </c>
      <c r="BI56" t="str">
        <f ca="1">IFERROR(IF(0=LEN(ReferenceData!$BI$56),"",ReferenceData!$BI$56),"")</f>
        <v/>
      </c>
      <c r="BJ56" t="str">
        <f ca="1">IFERROR(IF(0=LEN(ReferenceData!$BJ$56),"",ReferenceData!$BJ$56),"")</f>
        <v/>
      </c>
      <c r="BK56" t="str">
        <f ca="1">IFERROR(IF(0=LEN(ReferenceData!$BK$56),"",ReferenceData!$BK$56),"")</f>
        <v/>
      </c>
      <c r="BL56" t="str">
        <f ca="1">IFERROR(IF(0=LEN(ReferenceData!$BL$56),"",ReferenceData!$BL$56),"")</f>
        <v/>
      </c>
      <c r="BM56" t="str">
        <f ca="1">IFERROR(IF(0=LEN(ReferenceData!$BM$56),"",ReferenceData!$BM$56),"")</f>
        <v/>
      </c>
    </row>
    <row r="57" spans="1:65" x14ac:dyDescent="0.25">
      <c r="A57" t="str">
        <f>IFERROR(IF(0=LEN(ReferenceData!$A$57),"",ReferenceData!$A$57),"")</f>
        <v xml:space="preserve">    Ford Motor Co</v>
      </c>
      <c r="B57" t="str">
        <f>IFERROR(IF(0=LEN(ReferenceData!$B$57),"",ReferenceData!$B$57),"")</f>
        <v>F US Equity</v>
      </c>
      <c r="C57" t="str">
        <f>IFERROR(IF(0=LEN(ReferenceData!$C$57),"",ReferenceData!$C$57),"")</f>
        <v>EZ019</v>
      </c>
      <c r="D57" t="str">
        <f>IFERROR(IF(0=LEN(ReferenceData!$D$57),"",ReferenceData!$D$57),"")</f>
        <v>BEST_EEPS_CUR_YR</v>
      </c>
      <c r="E57" t="str">
        <f>IFERROR(IF(0=LEN(ReferenceData!$E$57),"",ReferenceData!$E$57),"")</f>
        <v>Dynamic</v>
      </c>
      <c r="F57">
        <f ca="1">IFERROR(IF(0=LEN(ReferenceData!$F$57),"",ReferenceData!$F$57),"")</f>
        <v>1.1830000000000001</v>
      </c>
      <c r="G57">
        <f ca="1">IFERROR(IF(0=LEN(ReferenceData!$G$57),"",ReferenceData!$G$57),"")</f>
        <v>1.3080000000000001</v>
      </c>
      <c r="H57">
        <f ca="1">IFERROR(IF(0=LEN(ReferenceData!$H$57),"",ReferenceData!$H$57),"")</f>
        <v>1.3879999999999999</v>
      </c>
      <c r="I57">
        <f ca="1">IFERROR(IF(0=LEN(ReferenceData!$I$57),"",ReferenceData!$I$57),"")</f>
        <v>1.528</v>
      </c>
      <c r="J57">
        <f ca="1">IFERROR(IF(0=LEN(ReferenceData!$J$57),"",ReferenceData!$J$57),"")</f>
        <v>1.508</v>
      </c>
      <c r="K57">
        <f ca="1">IFERROR(IF(0=LEN(ReferenceData!$K$57),"",ReferenceData!$K$57),"")</f>
        <v>1.633</v>
      </c>
      <c r="L57">
        <f ca="1">IFERROR(IF(0=LEN(ReferenceData!$L$57),"",ReferenceData!$L$57),"")</f>
        <v>1.5429999999999999</v>
      </c>
      <c r="M57">
        <f ca="1">IFERROR(IF(0=LEN(ReferenceData!$M$57),"",ReferenceData!$M$57),"")</f>
        <v>1.702</v>
      </c>
      <c r="N57">
        <f ca="1">IFERROR(IF(0=LEN(ReferenceData!$N$57),"",ReferenceData!$N$57),"")</f>
        <v>1.7290000000000001</v>
      </c>
      <c r="O57">
        <f ca="1">IFERROR(IF(0=LEN(ReferenceData!$O$57),"",ReferenceData!$O$57),"")</f>
        <v>1.63</v>
      </c>
      <c r="P57">
        <f ca="1">IFERROR(IF(0=LEN(ReferenceData!$P$57),"",ReferenceData!$P$57),"")</f>
        <v>1.87</v>
      </c>
      <c r="Q57" t="str">
        <f ca="1">IFERROR(IF(0=LEN(ReferenceData!$Q$57),"",ReferenceData!$Q$57),"")</f>
        <v/>
      </c>
      <c r="R57" t="str">
        <f ca="1">IFERROR(IF(0=LEN(ReferenceData!$R$57),"",ReferenceData!$R$57),"")</f>
        <v/>
      </c>
      <c r="S57">
        <f ca="1">IFERROR(IF(0=LEN(ReferenceData!$S$57),"",ReferenceData!$S$57),"")</f>
        <v>1.87</v>
      </c>
      <c r="T57" t="str">
        <f ca="1">IFERROR(IF(0=LEN(ReferenceData!$T$57),"",ReferenceData!$T$57),"")</f>
        <v/>
      </c>
      <c r="U57" t="str">
        <f ca="1">IFERROR(IF(0=LEN(ReferenceData!$U$57),"",ReferenceData!$U$57),"")</f>
        <v/>
      </c>
      <c r="V57" t="str">
        <f ca="1">IFERROR(IF(0=LEN(ReferenceData!$V$57),"",ReferenceData!$V$57),"")</f>
        <v/>
      </c>
      <c r="W57" t="str">
        <f ca="1">IFERROR(IF(0=LEN(ReferenceData!$W$57),"",ReferenceData!$W$57),"")</f>
        <v/>
      </c>
      <c r="X57" t="str">
        <f ca="1">IFERROR(IF(0=LEN(ReferenceData!$X$57),"",ReferenceData!$X$57),"")</f>
        <v/>
      </c>
      <c r="Y57" t="str">
        <f ca="1">IFERROR(IF(0=LEN(ReferenceData!$Y$57),"",ReferenceData!$Y$57),"")</f>
        <v/>
      </c>
      <c r="Z57" t="str">
        <f ca="1">IFERROR(IF(0=LEN(ReferenceData!$Z$57),"",ReferenceData!$Z$57),"")</f>
        <v/>
      </c>
      <c r="AA57" t="str">
        <f ca="1">IFERROR(IF(0=LEN(ReferenceData!$AA$57),"",ReferenceData!$AA$57),"")</f>
        <v/>
      </c>
      <c r="AB57" t="str">
        <f ca="1">IFERROR(IF(0=LEN(ReferenceData!$AB$57),"",ReferenceData!$AB$57),"")</f>
        <v/>
      </c>
      <c r="AC57" t="str">
        <f ca="1">IFERROR(IF(0=LEN(ReferenceData!$AC$57),"",ReferenceData!$AC$57),"")</f>
        <v/>
      </c>
      <c r="AD57" t="str">
        <f ca="1">IFERROR(IF(0=LEN(ReferenceData!$AD$57),"",ReferenceData!$AD$57),"")</f>
        <v/>
      </c>
      <c r="AE57" t="str">
        <f ca="1">IFERROR(IF(0=LEN(ReferenceData!$AE$57),"",ReferenceData!$AE$57),"")</f>
        <v/>
      </c>
      <c r="AF57" t="str">
        <f ca="1">IFERROR(IF(0=LEN(ReferenceData!$AF$57),"",ReferenceData!$AF$57),"")</f>
        <v/>
      </c>
      <c r="AG57" t="str">
        <f ca="1">IFERROR(IF(0=LEN(ReferenceData!$AG$57),"",ReferenceData!$AG$57),"")</f>
        <v/>
      </c>
      <c r="AH57" t="str">
        <f ca="1">IFERROR(IF(0=LEN(ReferenceData!$AH$57),"",ReferenceData!$AH$57),"")</f>
        <v/>
      </c>
      <c r="AI57" t="str">
        <f ca="1">IFERROR(IF(0=LEN(ReferenceData!$AI$57),"",ReferenceData!$AI$57),"")</f>
        <v/>
      </c>
      <c r="AJ57" t="str">
        <f ca="1">IFERROR(IF(0=LEN(ReferenceData!$AJ$57),"",ReferenceData!$AJ$57),"")</f>
        <v/>
      </c>
      <c r="AK57" t="str">
        <f ca="1">IFERROR(IF(0=LEN(ReferenceData!$AK$57),"",ReferenceData!$AK$57),"")</f>
        <v/>
      </c>
      <c r="AL57" t="str">
        <f ca="1">IFERROR(IF(0=LEN(ReferenceData!$AL$57),"",ReferenceData!$AL$57),"")</f>
        <v/>
      </c>
      <c r="AM57" t="str">
        <f ca="1">IFERROR(IF(0=LEN(ReferenceData!$AM$57),"",ReferenceData!$AM$57),"")</f>
        <v/>
      </c>
      <c r="AN57" t="str">
        <f ca="1">IFERROR(IF(0=LEN(ReferenceData!$AN$57),"",ReferenceData!$AN$57),"")</f>
        <v/>
      </c>
      <c r="AO57" t="str">
        <f ca="1">IFERROR(IF(0=LEN(ReferenceData!$AO$57),"",ReferenceData!$AO$57),"")</f>
        <v/>
      </c>
      <c r="AP57" t="str">
        <f ca="1">IFERROR(IF(0=LEN(ReferenceData!$AP$57),"",ReferenceData!$AP$57),"")</f>
        <v/>
      </c>
      <c r="AQ57" t="str">
        <f ca="1">IFERROR(IF(0=LEN(ReferenceData!$AQ$57),"",ReferenceData!$AQ$57),"")</f>
        <v/>
      </c>
      <c r="AR57" t="str">
        <f ca="1">IFERROR(IF(0=LEN(ReferenceData!$AR$57),"",ReferenceData!$AR$57),"")</f>
        <v/>
      </c>
      <c r="AS57" t="str">
        <f ca="1">IFERROR(IF(0=LEN(ReferenceData!$AS$57),"",ReferenceData!$AS$57),"")</f>
        <v/>
      </c>
      <c r="AT57" t="str">
        <f ca="1">IFERROR(IF(0=LEN(ReferenceData!$AT$57),"",ReferenceData!$AT$57),"")</f>
        <v/>
      </c>
      <c r="AU57" t="str">
        <f ca="1">IFERROR(IF(0=LEN(ReferenceData!$AU$57),"",ReferenceData!$AU$57),"")</f>
        <v/>
      </c>
      <c r="AV57" t="str">
        <f ca="1">IFERROR(IF(0=LEN(ReferenceData!$AV$57),"",ReferenceData!$AV$57),"")</f>
        <v/>
      </c>
      <c r="AW57" t="str">
        <f ca="1">IFERROR(IF(0=LEN(ReferenceData!$AW$57),"",ReferenceData!$AW$57),"")</f>
        <v/>
      </c>
      <c r="AX57" t="str">
        <f ca="1">IFERROR(IF(0=LEN(ReferenceData!$AX$57),"",ReferenceData!$AX$57),"")</f>
        <v/>
      </c>
      <c r="AY57" t="str">
        <f ca="1">IFERROR(IF(0=LEN(ReferenceData!$AY$57),"",ReferenceData!$AY$57),"")</f>
        <v/>
      </c>
      <c r="AZ57" t="str">
        <f ca="1">IFERROR(IF(0=LEN(ReferenceData!$AZ$57),"",ReferenceData!$AZ$57),"")</f>
        <v/>
      </c>
      <c r="BA57" t="str">
        <f ca="1">IFERROR(IF(0=LEN(ReferenceData!$BA$57),"",ReferenceData!$BA$57),"")</f>
        <v/>
      </c>
      <c r="BB57" t="str">
        <f ca="1">IFERROR(IF(0=LEN(ReferenceData!$BB$57),"",ReferenceData!$BB$57),"")</f>
        <v/>
      </c>
      <c r="BC57" t="str">
        <f ca="1">IFERROR(IF(0=LEN(ReferenceData!$BC$57),"",ReferenceData!$BC$57),"")</f>
        <v/>
      </c>
      <c r="BD57" t="str">
        <f ca="1">IFERROR(IF(0=LEN(ReferenceData!$BD$57),"",ReferenceData!$BD$57),"")</f>
        <v/>
      </c>
      <c r="BE57" t="str">
        <f ca="1">IFERROR(IF(0=LEN(ReferenceData!$BE$57),"",ReferenceData!$BE$57),"")</f>
        <v/>
      </c>
      <c r="BF57" t="str">
        <f ca="1">IFERROR(IF(0=LEN(ReferenceData!$BF$57),"",ReferenceData!$BF$57),"")</f>
        <v/>
      </c>
      <c r="BG57" t="str">
        <f ca="1">IFERROR(IF(0=LEN(ReferenceData!$BG$57),"",ReferenceData!$BG$57),"")</f>
        <v/>
      </c>
      <c r="BH57" t="str">
        <f ca="1">IFERROR(IF(0=LEN(ReferenceData!$BH$57),"",ReferenceData!$BH$57),"")</f>
        <v/>
      </c>
      <c r="BI57" t="str">
        <f ca="1">IFERROR(IF(0=LEN(ReferenceData!$BI$57),"",ReferenceData!$BI$57),"")</f>
        <v/>
      </c>
      <c r="BJ57" t="str">
        <f ca="1">IFERROR(IF(0=LEN(ReferenceData!$BJ$57),"",ReferenceData!$BJ$57),"")</f>
        <v/>
      </c>
      <c r="BK57" t="str">
        <f ca="1">IFERROR(IF(0=LEN(ReferenceData!$BK$57),"",ReferenceData!$BK$57),"")</f>
        <v/>
      </c>
      <c r="BL57" t="str">
        <f ca="1">IFERROR(IF(0=LEN(ReferenceData!$BL$57),"",ReferenceData!$BL$57),"")</f>
        <v/>
      </c>
      <c r="BM57" t="str">
        <f ca="1">IFERROR(IF(0=LEN(ReferenceData!$BM$57),"",ReferenceData!$BM$57),"")</f>
        <v/>
      </c>
    </row>
    <row r="58" spans="1:65" x14ac:dyDescent="0.25">
      <c r="A58" t="str">
        <f>IFERROR(IF(0=LEN(ReferenceData!$A$58),"",ReferenceData!$A$58),"")</f>
        <v xml:space="preserve">    Ford Otomotiv Sanayi AS</v>
      </c>
      <c r="B58" t="str">
        <f>IFERROR(IF(0=LEN(ReferenceData!$B$58),"",ReferenceData!$B$58),"")</f>
        <v>FROTOTRY EO Equity</v>
      </c>
      <c r="C58" t="str">
        <f>IFERROR(IF(0=LEN(ReferenceData!$C$58),"",ReferenceData!$C$58),"")</f>
        <v>EZ019</v>
      </c>
      <c r="D58" t="str">
        <f>IFERROR(IF(0=LEN(ReferenceData!$D$58),"",ReferenceData!$D$58),"")</f>
        <v>BEST_EEPS_CUR_YR</v>
      </c>
      <c r="E58" t="str">
        <f>IFERROR(IF(0=LEN(ReferenceData!$E$58),"",ReferenceData!$E$58),"")</f>
        <v>Dynamic</v>
      </c>
      <c r="F58">
        <f ca="1">IFERROR(IF(0=LEN(ReferenceData!$F$58),"",ReferenceData!$F$58),"")</f>
        <v>1.2230000000000001</v>
      </c>
      <c r="G58">
        <f ca="1">IFERROR(IF(0=LEN(ReferenceData!$G$58),"",ReferenceData!$G$58),"")</f>
        <v>1.2470000000000001</v>
      </c>
      <c r="H58">
        <f ca="1">IFERROR(IF(0=LEN(ReferenceData!$H$58),"",ReferenceData!$H$58),"")</f>
        <v>0.98</v>
      </c>
      <c r="I58">
        <f ca="1">IFERROR(IF(0=LEN(ReferenceData!$I$58),"",ReferenceData!$I$58),"")</f>
        <v>1.1930000000000001</v>
      </c>
      <c r="J58">
        <f ca="1">IFERROR(IF(0=LEN(ReferenceData!$J$58),"",ReferenceData!$J$58),"")</f>
        <v>1.3360000000000001</v>
      </c>
      <c r="K58">
        <f ca="1">IFERROR(IF(0=LEN(ReferenceData!$K$58),"",ReferenceData!$K$58),"")</f>
        <v>1.2470000000000001</v>
      </c>
      <c r="L58">
        <f ca="1">IFERROR(IF(0=LEN(ReferenceData!$L$58),"",ReferenceData!$L$58),"")</f>
        <v>1.226</v>
      </c>
      <c r="M58">
        <f ca="1">IFERROR(IF(0=LEN(ReferenceData!$M$58),"",ReferenceData!$M$58),"")</f>
        <v>1.1679999999999999</v>
      </c>
      <c r="N58">
        <f ca="1">IFERROR(IF(0=LEN(ReferenceData!$N$58),"",ReferenceData!$N$58),"")</f>
        <v>1.1000000000000001</v>
      </c>
      <c r="O58">
        <f ca="1">IFERROR(IF(0=LEN(ReferenceData!$O$58),"",ReferenceData!$O$58),"")</f>
        <v>1.2569999999999999</v>
      </c>
      <c r="P58">
        <f ca="1">IFERROR(IF(0=LEN(ReferenceData!$P$58),"",ReferenceData!$P$58),"")</f>
        <v>1.377</v>
      </c>
      <c r="Q58">
        <f ca="1">IFERROR(IF(0=LEN(ReferenceData!$Q$58),"",ReferenceData!$Q$58),"")</f>
        <v>1.36</v>
      </c>
      <c r="R58">
        <f ca="1">IFERROR(IF(0=LEN(ReferenceData!$R$58),"",ReferenceData!$R$58),"")</f>
        <v>1.306</v>
      </c>
      <c r="S58">
        <f ca="1">IFERROR(IF(0=LEN(ReferenceData!$S$58),"",ReferenceData!$S$58),"")</f>
        <v>1.3260000000000001</v>
      </c>
      <c r="T58" t="str">
        <f ca="1">IFERROR(IF(0=LEN(ReferenceData!$T$58),"",ReferenceData!$T$58),"")</f>
        <v/>
      </c>
      <c r="U58" t="str">
        <f ca="1">IFERROR(IF(0=LEN(ReferenceData!$U$58),"",ReferenceData!$U$58),"")</f>
        <v/>
      </c>
      <c r="V58">
        <f ca="1">IFERROR(IF(0=LEN(ReferenceData!$V$58),"",ReferenceData!$V$58),"")</f>
        <v>1.4570000000000001</v>
      </c>
      <c r="W58" t="str">
        <f ca="1">IFERROR(IF(0=LEN(ReferenceData!$W$58),"",ReferenceData!$W$58),"")</f>
        <v/>
      </c>
      <c r="X58" t="str">
        <f ca="1">IFERROR(IF(0=LEN(ReferenceData!$X$58),"",ReferenceData!$X$58),"")</f>
        <v/>
      </c>
      <c r="Y58" t="str">
        <f ca="1">IFERROR(IF(0=LEN(ReferenceData!$Y$58),"",ReferenceData!$Y$58),"")</f>
        <v/>
      </c>
      <c r="Z58" t="str">
        <f ca="1">IFERROR(IF(0=LEN(ReferenceData!$Z$58),"",ReferenceData!$Z$58),"")</f>
        <v/>
      </c>
      <c r="AA58" t="str">
        <f ca="1">IFERROR(IF(0=LEN(ReferenceData!$AA$58),"",ReferenceData!$AA$58),"")</f>
        <v/>
      </c>
      <c r="AB58" t="str">
        <f ca="1">IFERROR(IF(0=LEN(ReferenceData!$AB$58),"",ReferenceData!$AB$58),"")</f>
        <v/>
      </c>
      <c r="AC58" t="str">
        <f ca="1">IFERROR(IF(0=LEN(ReferenceData!$AC$58),"",ReferenceData!$AC$58),"")</f>
        <v/>
      </c>
      <c r="AD58" t="str">
        <f ca="1">IFERROR(IF(0=LEN(ReferenceData!$AD$58),"",ReferenceData!$AD$58),"")</f>
        <v/>
      </c>
      <c r="AE58" t="str">
        <f ca="1">IFERROR(IF(0=LEN(ReferenceData!$AE$58),"",ReferenceData!$AE$58),"")</f>
        <v/>
      </c>
      <c r="AF58" t="str">
        <f ca="1">IFERROR(IF(0=LEN(ReferenceData!$AF$58),"",ReferenceData!$AF$58),"")</f>
        <v/>
      </c>
      <c r="AG58" t="str">
        <f ca="1">IFERROR(IF(0=LEN(ReferenceData!$AG$58),"",ReferenceData!$AG$58),"")</f>
        <v/>
      </c>
      <c r="AH58" t="str">
        <f ca="1">IFERROR(IF(0=LEN(ReferenceData!$AH$58),"",ReferenceData!$AH$58),"")</f>
        <v/>
      </c>
      <c r="AI58" t="str">
        <f ca="1">IFERROR(IF(0=LEN(ReferenceData!$AI$58),"",ReferenceData!$AI$58),"")</f>
        <v/>
      </c>
      <c r="AJ58" t="str">
        <f ca="1">IFERROR(IF(0=LEN(ReferenceData!$AJ$58),"",ReferenceData!$AJ$58),"")</f>
        <v/>
      </c>
      <c r="AK58" t="str">
        <f ca="1">IFERROR(IF(0=LEN(ReferenceData!$AK$58),"",ReferenceData!$AK$58),"")</f>
        <v/>
      </c>
      <c r="AL58" t="str">
        <f ca="1">IFERROR(IF(0=LEN(ReferenceData!$AL$58),"",ReferenceData!$AL$58),"")</f>
        <v/>
      </c>
      <c r="AM58" t="str">
        <f ca="1">IFERROR(IF(0=LEN(ReferenceData!$AM$58),"",ReferenceData!$AM$58),"")</f>
        <v/>
      </c>
      <c r="AN58" t="str">
        <f ca="1">IFERROR(IF(0=LEN(ReferenceData!$AN$58),"",ReferenceData!$AN$58),"")</f>
        <v/>
      </c>
      <c r="AO58" t="str">
        <f ca="1">IFERROR(IF(0=LEN(ReferenceData!$AO$58),"",ReferenceData!$AO$58),"")</f>
        <v/>
      </c>
      <c r="AP58" t="str">
        <f ca="1">IFERROR(IF(0=LEN(ReferenceData!$AP$58),"",ReferenceData!$AP$58),"")</f>
        <v/>
      </c>
      <c r="AQ58" t="str">
        <f ca="1">IFERROR(IF(0=LEN(ReferenceData!$AQ$58),"",ReferenceData!$AQ$58),"")</f>
        <v/>
      </c>
      <c r="AR58" t="str">
        <f ca="1">IFERROR(IF(0=LEN(ReferenceData!$AR$58),"",ReferenceData!$AR$58),"")</f>
        <v/>
      </c>
      <c r="AS58" t="str">
        <f ca="1">IFERROR(IF(0=LEN(ReferenceData!$AS$58),"",ReferenceData!$AS$58),"")</f>
        <v/>
      </c>
      <c r="AT58" t="str">
        <f ca="1">IFERROR(IF(0=LEN(ReferenceData!$AT$58),"",ReferenceData!$AT$58),"")</f>
        <v/>
      </c>
      <c r="AU58" t="str">
        <f ca="1">IFERROR(IF(0=LEN(ReferenceData!$AU$58),"",ReferenceData!$AU$58),"")</f>
        <v/>
      </c>
      <c r="AV58" t="str">
        <f ca="1">IFERROR(IF(0=LEN(ReferenceData!$AV$58),"",ReferenceData!$AV$58),"")</f>
        <v/>
      </c>
      <c r="AW58" t="str">
        <f ca="1">IFERROR(IF(0=LEN(ReferenceData!$AW$58),"",ReferenceData!$AW$58),"")</f>
        <v/>
      </c>
      <c r="AX58" t="str">
        <f ca="1">IFERROR(IF(0=LEN(ReferenceData!$AX$58),"",ReferenceData!$AX$58),"")</f>
        <v/>
      </c>
      <c r="AY58" t="str">
        <f ca="1">IFERROR(IF(0=LEN(ReferenceData!$AY$58),"",ReferenceData!$AY$58),"")</f>
        <v/>
      </c>
      <c r="AZ58" t="str">
        <f ca="1">IFERROR(IF(0=LEN(ReferenceData!$AZ$58),"",ReferenceData!$AZ$58),"")</f>
        <v/>
      </c>
      <c r="BA58" t="str">
        <f ca="1">IFERROR(IF(0=LEN(ReferenceData!$BA$58),"",ReferenceData!$BA$58),"")</f>
        <v/>
      </c>
      <c r="BB58" t="str">
        <f ca="1">IFERROR(IF(0=LEN(ReferenceData!$BB$58),"",ReferenceData!$BB$58),"")</f>
        <v/>
      </c>
      <c r="BC58" t="str">
        <f ca="1">IFERROR(IF(0=LEN(ReferenceData!$BC$58),"",ReferenceData!$BC$58),"")</f>
        <v/>
      </c>
      <c r="BD58" t="str">
        <f ca="1">IFERROR(IF(0=LEN(ReferenceData!$BD$58),"",ReferenceData!$BD$58),"")</f>
        <v/>
      </c>
      <c r="BE58" t="str">
        <f ca="1">IFERROR(IF(0=LEN(ReferenceData!$BE$58),"",ReferenceData!$BE$58),"")</f>
        <v/>
      </c>
      <c r="BF58" t="str">
        <f ca="1">IFERROR(IF(0=LEN(ReferenceData!$BF$58),"",ReferenceData!$BF$58),"")</f>
        <v/>
      </c>
      <c r="BG58" t="str">
        <f ca="1">IFERROR(IF(0=LEN(ReferenceData!$BG$58),"",ReferenceData!$BG$58),"")</f>
        <v/>
      </c>
      <c r="BH58" t="str">
        <f ca="1">IFERROR(IF(0=LEN(ReferenceData!$BH$58),"",ReferenceData!$BH$58),"")</f>
        <v/>
      </c>
      <c r="BI58" t="str">
        <f ca="1">IFERROR(IF(0=LEN(ReferenceData!$BI$58),"",ReferenceData!$BI$58),"")</f>
        <v/>
      </c>
      <c r="BJ58" t="str">
        <f ca="1">IFERROR(IF(0=LEN(ReferenceData!$BJ$58),"",ReferenceData!$BJ$58),"")</f>
        <v/>
      </c>
      <c r="BK58" t="str">
        <f ca="1">IFERROR(IF(0=LEN(ReferenceData!$BK$58),"",ReferenceData!$BK$58),"")</f>
        <v/>
      </c>
      <c r="BL58" t="str">
        <f ca="1">IFERROR(IF(0=LEN(ReferenceData!$BL$58),"",ReferenceData!$BL$58),"")</f>
        <v/>
      </c>
      <c r="BM58" t="str">
        <f ca="1">IFERROR(IF(0=LEN(ReferenceData!$BM$58),"",ReferenceData!$BM$58),"")</f>
        <v/>
      </c>
    </row>
    <row r="59" spans="1:65" x14ac:dyDescent="0.25">
      <c r="A59" t="str">
        <f>IFERROR(IF(0=LEN(ReferenceData!$A$59),"",ReferenceData!$A$59),"")</f>
        <v xml:space="preserve">    GAZ PJSC</v>
      </c>
      <c r="B59" t="str">
        <f>IFERROR(IF(0=LEN(ReferenceData!$B$59),"",ReferenceData!$B$59),"")</f>
        <v>GAZA RM Equity</v>
      </c>
      <c r="C59" t="str">
        <f>IFERROR(IF(0=LEN(ReferenceData!$C$59),"",ReferenceData!$C$59),"")</f>
        <v>EZ019</v>
      </c>
      <c r="D59" t="str">
        <f>IFERROR(IF(0=LEN(ReferenceData!$D$59),"",ReferenceData!$D$59),"")</f>
        <v>BEST_EEPS_CUR_YR</v>
      </c>
      <c r="E59" t="str">
        <f>IFERROR(IF(0=LEN(ReferenceData!$E$59),"",ReferenceData!$E$59),"")</f>
        <v>Dynamic</v>
      </c>
      <c r="F59" t="str">
        <f ca="1">IFERROR(IF(0=LEN(ReferenceData!$F$59),"",ReferenceData!$F$59),"")</f>
        <v/>
      </c>
      <c r="G59" t="str">
        <f ca="1">IFERROR(IF(0=LEN(ReferenceData!$G$59),"",ReferenceData!$G$59),"")</f>
        <v/>
      </c>
      <c r="H59" t="str">
        <f ca="1">IFERROR(IF(0=LEN(ReferenceData!$H$59),"",ReferenceData!$H$59),"")</f>
        <v/>
      </c>
      <c r="I59" t="str">
        <f ca="1">IFERROR(IF(0=LEN(ReferenceData!$I$59),"",ReferenceData!$I$59),"")</f>
        <v/>
      </c>
      <c r="J59" t="str">
        <f ca="1">IFERROR(IF(0=LEN(ReferenceData!$J$59),"",ReferenceData!$J$59),"")</f>
        <v/>
      </c>
      <c r="K59" t="str">
        <f ca="1">IFERROR(IF(0=LEN(ReferenceData!$K$59),"",ReferenceData!$K$59),"")</f>
        <v/>
      </c>
      <c r="L59" t="str">
        <f ca="1">IFERROR(IF(0=LEN(ReferenceData!$L$59),"",ReferenceData!$L$59),"")</f>
        <v/>
      </c>
      <c r="M59" t="str">
        <f ca="1">IFERROR(IF(0=LEN(ReferenceData!$M$59),"",ReferenceData!$M$59),"")</f>
        <v/>
      </c>
      <c r="N59" t="str">
        <f ca="1">IFERROR(IF(0=LEN(ReferenceData!$N$59),"",ReferenceData!$N$59),"")</f>
        <v/>
      </c>
      <c r="O59" t="str">
        <f ca="1">IFERROR(IF(0=LEN(ReferenceData!$O$59),"",ReferenceData!$O$59),"")</f>
        <v/>
      </c>
      <c r="P59" t="str">
        <f ca="1">IFERROR(IF(0=LEN(ReferenceData!$P$59),"",ReferenceData!$P$59),"")</f>
        <v/>
      </c>
      <c r="Q59" t="str">
        <f ca="1">IFERROR(IF(0=LEN(ReferenceData!$Q$59),"",ReferenceData!$Q$59),"")</f>
        <v/>
      </c>
      <c r="R59" t="str">
        <f ca="1">IFERROR(IF(0=LEN(ReferenceData!$R$59),"",ReferenceData!$R$59),"")</f>
        <v/>
      </c>
      <c r="S59" t="str">
        <f ca="1">IFERROR(IF(0=LEN(ReferenceData!$S$59),"",ReferenceData!$S$59),"")</f>
        <v/>
      </c>
      <c r="T59" t="str">
        <f ca="1">IFERROR(IF(0=LEN(ReferenceData!$T$59),"",ReferenceData!$T$59),"")</f>
        <v/>
      </c>
      <c r="U59" t="str">
        <f ca="1">IFERROR(IF(0=LEN(ReferenceData!$U$59),"",ReferenceData!$U$59),"")</f>
        <v/>
      </c>
      <c r="V59" t="str">
        <f ca="1">IFERROR(IF(0=LEN(ReferenceData!$V$59),"",ReferenceData!$V$59),"")</f>
        <v/>
      </c>
      <c r="W59" t="str">
        <f ca="1">IFERROR(IF(0=LEN(ReferenceData!$W$59),"",ReferenceData!$W$59),"")</f>
        <v/>
      </c>
      <c r="X59" t="str">
        <f ca="1">IFERROR(IF(0=LEN(ReferenceData!$X$59),"",ReferenceData!$X$59),"")</f>
        <v/>
      </c>
      <c r="Y59" t="str">
        <f ca="1">IFERROR(IF(0=LEN(ReferenceData!$Y$59),"",ReferenceData!$Y$59),"")</f>
        <v/>
      </c>
      <c r="Z59" t="str">
        <f ca="1">IFERROR(IF(0=LEN(ReferenceData!$Z$59),"",ReferenceData!$Z$59),"")</f>
        <v/>
      </c>
      <c r="AA59" t="str">
        <f ca="1">IFERROR(IF(0=LEN(ReferenceData!$AA$59),"",ReferenceData!$AA$59),"")</f>
        <v/>
      </c>
      <c r="AB59" t="str">
        <f ca="1">IFERROR(IF(0=LEN(ReferenceData!$AB$59),"",ReferenceData!$AB$59),"")</f>
        <v/>
      </c>
      <c r="AC59" t="str">
        <f ca="1">IFERROR(IF(0=LEN(ReferenceData!$AC$59),"",ReferenceData!$AC$59),"")</f>
        <v/>
      </c>
      <c r="AD59" t="str">
        <f ca="1">IFERROR(IF(0=LEN(ReferenceData!$AD$59),"",ReferenceData!$AD$59),"")</f>
        <v/>
      </c>
      <c r="AE59" t="str">
        <f ca="1">IFERROR(IF(0=LEN(ReferenceData!$AE$59),"",ReferenceData!$AE$59),"")</f>
        <v/>
      </c>
      <c r="AF59" t="str">
        <f ca="1">IFERROR(IF(0=LEN(ReferenceData!$AF$59),"",ReferenceData!$AF$59),"")</f>
        <v/>
      </c>
      <c r="AG59" t="str">
        <f ca="1">IFERROR(IF(0=LEN(ReferenceData!$AG$59),"",ReferenceData!$AG$59),"")</f>
        <v/>
      </c>
      <c r="AH59" t="str">
        <f ca="1">IFERROR(IF(0=LEN(ReferenceData!$AH$59),"",ReferenceData!$AH$59),"")</f>
        <v/>
      </c>
      <c r="AI59" t="str">
        <f ca="1">IFERROR(IF(0=LEN(ReferenceData!$AI$59),"",ReferenceData!$AI$59),"")</f>
        <v/>
      </c>
      <c r="AJ59" t="str">
        <f ca="1">IFERROR(IF(0=LEN(ReferenceData!$AJ$59),"",ReferenceData!$AJ$59),"")</f>
        <v/>
      </c>
      <c r="AK59" t="str">
        <f ca="1">IFERROR(IF(0=LEN(ReferenceData!$AK$59),"",ReferenceData!$AK$59),"")</f>
        <v/>
      </c>
      <c r="AL59" t="str">
        <f ca="1">IFERROR(IF(0=LEN(ReferenceData!$AL$59),"",ReferenceData!$AL$59),"")</f>
        <v/>
      </c>
      <c r="AM59" t="str">
        <f ca="1">IFERROR(IF(0=LEN(ReferenceData!$AM$59),"",ReferenceData!$AM$59),"")</f>
        <v/>
      </c>
      <c r="AN59" t="str">
        <f ca="1">IFERROR(IF(0=LEN(ReferenceData!$AN$59),"",ReferenceData!$AN$59),"")</f>
        <v/>
      </c>
      <c r="AO59" t="str">
        <f ca="1">IFERROR(IF(0=LEN(ReferenceData!$AO$59),"",ReferenceData!$AO$59),"")</f>
        <v/>
      </c>
      <c r="AP59" t="str">
        <f ca="1">IFERROR(IF(0=LEN(ReferenceData!$AP$59),"",ReferenceData!$AP$59),"")</f>
        <v/>
      </c>
      <c r="AQ59" t="str">
        <f ca="1">IFERROR(IF(0=LEN(ReferenceData!$AQ$59),"",ReferenceData!$AQ$59),"")</f>
        <v/>
      </c>
      <c r="AR59" t="str">
        <f ca="1">IFERROR(IF(0=LEN(ReferenceData!$AR$59),"",ReferenceData!$AR$59),"")</f>
        <v/>
      </c>
      <c r="AS59" t="str">
        <f ca="1">IFERROR(IF(0=LEN(ReferenceData!$AS$59),"",ReferenceData!$AS$59),"")</f>
        <v/>
      </c>
      <c r="AT59" t="str">
        <f ca="1">IFERROR(IF(0=LEN(ReferenceData!$AT$59),"",ReferenceData!$AT$59),"")</f>
        <v/>
      </c>
      <c r="AU59" t="str">
        <f ca="1">IFERROR(IF(0=LEN(ReferenceData!$AU$59),"",ReferenceData!$AU$59),"")</f>
        <v/>
      </c>
      <c r="AV59" t="str">
        <f ca="1">IFERROR(IF(0=LEN(ReferenceData!$AV$59),"",ReferenceData!$AV$59),"")</f>
        <v/>
      </c>
      <c r="AW59" t="str">
        <f ca="1">IFERROR(IF(0=LEN(ReferenceData!$AW$59),"",ReferenceData!$AW$59),"")</f>
        <v/>
      </c>
      <c r="AX59" t="str">
        <f ca="1">IFERROR(IF(0=LEN(ReferenceData!$AX$59),"",ReferenceData!$AX$59),"")</f>
        <v/>
      </c>
      <c r="AY59" t="str">
        <f ca="1">IFERROR(IF(0=LEN(ReferenceData!$AY$59),"",ReferenceData!$AY$59),"")</f>
        <v/>
      </c>
      <c r="AZ59" t="str">
        <f ca="1">IFERROR(IF(0=LEN(ReferenceData!$AZ$59),"",ReferenceData!$AZ$59),"")</f>
        <v/>
      </c>
      <c r="BA59" t="str">
        <f ca="1">IFERROR(IF(0=LEN(ReferenceData!$BA$59),"",ReferenceData!$BA$59),"")</f>
        <v/>
      </c>
      <c r="BB59" t="str">
        <f ca="1">IFERROR(IF(0=LEN(ReferenceData!$BB$59),"",ReferenceData!$BB$59),"")</f>
        <v/>
      </c>
      <c r="BC59" t="str">
        <f ca="1">IFERROR(IF(0=LEN(ReferenceData!$BC$59),"",ReferenceData!$BC$59),"")</f>
        <v/>
      </c>
      <c r="BD59" t="str">
        <f ca="1">IFERROR(IF(0=LEN(ReferenceData!$BD$59),"",ReferenceData!$BD$59),"")</f>
        <v/>
      </c>
      <c r="BE59" t="str">
        <f ca="1">IFERROR(IF(0=LEN(ReferenceData!$BE$59),"",ReferenceData!$BE$59),"")</f>
        <v/>
      </c>
      <c r="BF59" t="str">
        <f ca="1">IFERROR(IF(0=LEN(ReferenceData!$BF$59),"",ReferenceData!$BF$59),"")</f>
        <v/>
      </c>
      <c r="BG59" t="str">
        <f ca="1">IFERROR(IF(0=LEN(ReferenceData!$BG$59),"",ReferenceData!$BG$59),"")</f>
        <v/>
      </c>
      <c r="BH59" t="str">
        <f ca="1">IFERROR(IF(0=LEN(ReferenceData!$BH$59),"",ReferenceData!$BH$59),"")</f>
        <v/>
      </c>
      <c r="BI59" t="str">
        <f ca="1">IFERROR(IF(0=LEN(ReferenceData!$BI$59),"",ReferenceData!$BI$59),"")</f>
        <v/>
      </c>
      <c r="BJ59" t="str">
        <f ca="1">IFERROR(IF(0=LEN(ReferenceData!$BJ$59),"",ReferenceData!$BJ$59),"")</f>
        <v/>
      </c>
      <c r="BK59" t="str">
        <f ca="1">IFERROR(IF(0=LEN(ReferenceData!$BK$59),"",ReferenceData!$BK$59),"")</f>
        <v/>
      </c>
      <c r="BL59" t="str">
        <f ca="1">IFERROR(IF(0=LEN(ReferenceData!$BL$59),"",ReferenceData!$BL$59),"")</f>
        <v/>
      </c>
      <c r="BM59" t="str">
        <f ca="1">IFERROR(IF(0=LEN(ReferenceData!$BM$59),"",ReferenceData!$BM$59),"")</f>
        <v/>
      </c>
    </row>
    <row r="60" spans="1:65" x14ac:dyDescent="0.25">
      <c r="A60" t="str">
        <f>IFERROR(IF(0=LEN(ReferenceData!$A$60),"",ReferenceData!$A$60),"")</f>
        <v xml:space="preserve">    Geely Automobile Holdings Ltd</v>
      </c>
      <c r="B60" t="str">
        <f>IFERROR(IF(0=LEN(ReferenceData!$B$60),"",ReferenceData!$B$60),"")</f>
        <v>175 HK Equity</v>
      </c>
      <c r="C60" t="str">
        <f>IFERROR(IF(0=LEN(ReferenceData!$C$60),"",ReferenceData!$C$60),"")</f>
        <v>EZ019</v>
      </c>
      <c r="D60" t="str">
        <f>IFERROR(IF(0=LEN(ReferenceData!$D$60),"",ReferenceData!$D$60),"")</f>
        <v>BEST_EEPS_CUR_YR</v>
      </c>
      <c r="E60" t="str">
        <f>IFERROR(IF(0=LEN(ReferenceData!$E$60),"",ReferenceData!$E$60),"")</f>
        <v>Dynamic</v>
      </c>
      <c r="F60">
        <f ca="1">IFERROR(IF(0=LEN(ReferenceData!$F$60),"",ReferenceData!$F$60),"")</f>
        <v>0.20699999999999999</v>
      </c>
      <c r="G60">
        <f ca="1">IFERROR(IF(0=LEN(ReferenceData!$G$60),"",ReferenceData!$G$60),"")</f>
        <v>0.218</v>
      </c>
      <c r="H60">
        <f ca="1">IFERROR(IF(0=LEN(ReferenceData!$H$60),"",ReferenceData!$H$60),"")</f>
        <v>0.224</v>
      </c>
      <c r="I60">
        <f ca="1">IFERROR(IF(0=LEN(ReferenceData!$I$60),"",ReferenceData!$I$60),"")</f>
        <v>0.22900000000000001</v>
      </c>
      <c r="J60">
        <f ca="1">IFERROR(IF(0=LEN(ReferenceData!$J$60),"",ReferenceData!$J$60),"")</f>
        <v>0.23899999999999999</v>
      </c>
      <c r="K60">
        <f ca="1">IFERROR(IF(0=LEN(ReferenceData!$K$60),"",ReferenceData!$K$60),"")</f>
        <v>0.22</v>
      </c>
      <c r="L60">
        <f ca="1">IFERROR(IF(0=LEN(ReferenceData!$L$60),"",ReferenceData!$L$60),"")</f>
        <v>0.19900000000000001</v>
      </c>
      <c r="M60">
        <f ca="1">IFERROR(IF(0=LEN(ReferenceData!$M$60),"",ReferenceData!$M$60),"")</f>
        <v>0.16900000000000001</v>
      </c>
      <c r="N60">
        <f ca="1">IFERROR(IF(0=LEN(ReferenceData!$N$60),"",ReferenceData!$N$60),"")</f>
        <v>0.15</v>
      </c>
      <c r="O60">
        <f ca="1">IFERROR(IF(0=LEN(ReferenceData!$O$60),"",ReferenceData!$O$60),"")</f>
        <v>0.123</v>
      </c>
      <c r="P60">
        <f ca="1">IFERROR(IF(0=LEN(ReferenceData!$P$60),"",ReferenceData!$P$60),"")</f>
        <v>0.109</v>
      </c>
      <c r="Q60">
        <f ca="1">IFERROR(IF(0=LEN(ReferenceData!$Q$60),"",ReferenceData!$Q$60),"")</f>
        <v>7.5999999999999998E-2</v>
      </c>
      <c r="R60">
        <f ca="1">IFERROR(IF(0=LEN(ReferenceData!$R$60),"",ReferenceData!$R$60),"")</f>
        <v>7.4999999999999997E-2</v>
      </c>
      <c r="S60" t="str">
        <f ca="1">IFERROR(IF(0=LEN(ReferenceData!$S$60),"",ReferenceData!$S$60),"")</f>
        <v/>
      </c>
      <c r="T60">
        <f ca="1">IFERROR(IF(0=LEN(ReferenceData!$T$60),"",ReferenceData!$T$60),"")</f>
        <v>5.5E-2</v>
      </c>
      <c r="U60">
        <f ca="1">IFERROR(IF(0=LEN(ReferenceData!$U$60),"",ReferenceData!$U$60),"")</f>
        <v>5.6000000000000001E-2</v>
      </c>
      <c r="V60">
        <f ca="1">IFERROR(IF(0=LEN(ReferenceData!$V$60),"",ReferenceData!$V$60),"")</f>
        <v>0.04</v>
      </c>
      <c r="W60">
        <f ca="1">IFERROR(IF(0=LEN(ReferenceData!$W$60),"",ReferenceData!$W$60),"")</f>
        <v>4.1000000000000002E-2</v>
      </c>
      <c r="X60" t="str">
        <f ca="1">IFERROR(IF(0=LEN(ReferenceData!$X$60),"",ReferenceData!$X$60),"")</f>
        <v/>
      </c>
      <c r="Y60" t="str">
        <f ca="1">IFERROR(IF(0=LEN(ReferenceData!$Y$60),"",ReferenceData!$Y$60),"")</f>
        <v/>
      </c>
      <c r="Z60" t="str">
        <f ca="1">IFERROR(IF(0=LEN(ReferenceData!$Z$60),"",ReferenceData!$Z$60),"")</f>
        <v/>
      </c>
      <c r="AA60" t="str">
        <f ca="1">IFERROR(IF(0=LEN(ReferenceData!$AA$60),"",ReferenceData!$AA$60),"")</f>
        <v/>
      </c>
      <c r="AB60" t="str">
        <f ca="1">IFERROR(IF(0=LEN(ReferenceData!$AB$60),"",ReferenceData!$AB$60),"")</f>
        <v/>
      </c>
      <c r="AC60" t="str">
        <f ca="1">IFERROR(IF(0=LEN(ReferenceData!$AC$60),"",ReferenceData!$AC$60),"")</f>
        <v/>
      </c>
      <c r="AD60" t="str">
        <f ca="1">IFERROR(IF(0=LEN(ReferenceData!$AD$60),"",ReferenceData!$AD$60),"")</f>
        <v/>
      </c>
      <c r="AE60" t="str">
        <f ca="1">IFERROR(IF(0=LEN(ReferenceData!$AE$60),"",ReferenceData!$AE$60),"")</f>
        <v/>
      </c>
      <c r="AF60" t="str">
        <f ca="1">IFERROR(IF(0=LEN(ReferenceData!$AF$60),"",ReferenceData!$AF$60),"")</f>
        <v/>
      </c>
      <c r="AG60" t="str">
        <f ca="1">IFERROR(IF(0=LEN(ReferenceData!$AG$60),"",ReferenceData!$AG$60),"")</f>
        <v/>
      </c>
      <c r="AH60" t="str">
        <f ca="1">IFERROR(IF(0=LEN(ReferenceData!$AH$60),"",ReferenceData!$AH$60),"")</f>
        <v/>
      </c>
      <c r="AI60" t="str">
        <f ca="1">IFERROR(IF(0=LEN(ReferenceData!$AI$60),"",ReferenceData!$AI$60),"")</f>
        <v/>
      </c>
      <c r="AJ60" t="str">
        <f ca="1">IFERROR(IF(0=LEN(ReferenceData!$AJ$60),"",ReferenceData!$AJ$60),"")</f>
        <v/>
      </c>
      <c r="AK60" t="str">
        <f ca="1">IFERROR(IF(0=LEN(ReferenceData!$AK$60),"",ReferenceData!$AK$60),"")</f>
        <v/>
      </c>
      <c r="AL60" t="str">
        <f ca="1">IFERROR(IF(0=LEN(ReferenceData!$AL$60),"",ReferenceData!$AL$60),"")</f>
        <v/>
      </c>
      <c r="AM60" t="str">
        <f ca="1">IFERROR(IF(0=LEN(ReferenceData!$AM$60),"",ReferenceData!$AM$60),"")</f>
        <v/>
      </c>
      <c r="AN60" t="str">
        <f ca="1">IFERROR(IF(0=LEN(ReferenceData!$AN$60),"",ReferenceData!$AN$60),"")</f>
        <v/>
      </c>
      <c r="AO60" t="str">
        <f ca="1">IFERROR(IF(0=LEN(ReferenceData!$AO$60),"",ReferenceData!$AO$60),"")</f>
        <v/>
      </c>
      <c r="AP60" t="str">
        <f ca="1">IFERROR(IF(0=LEN(ReferenceData!$AP$60),"",ReferenceData!$AP$60),"")</f>
        <v/>
      </c>
      <c r="AQ60" t="str">
        <f ca="1">IFERROR(IF(0=LEN(ReferenceData!$AQ$60),"",ReferenceData!$AQ$60),"")</f>
        <v/>
      </c>
      <c r="AR60" t="str">
        <f ca="1">IFERROR(IF(0=LEN(ReferenceData!$AR$60),"",ReferenceData!$AR$60),"")</f>
        <v/>
      </c>
      <c r="AS60" t="str">
        <f ca="1">IFERROR(IF(0=LEN(ReferenceData!$AS$60),"",ReferenceData!$AS$60),"")</f>
        <v/>
      </c>
      <c r="AT60" t="str">
        <f ca="1">IFERROR(IF(0=LEN(ReferenceData!$AT$60),"",ReferenceData!$AT$60),"")</f>
        <v/>
      </c>
      <c r="AU60" t="str">
        <f ca="1">IFERROR(IF(0=LEN(ReferenceData!$AU$60),"",ReferenceData!$AU$60),"")</f>
        <v/>
      </c>
      <c r="AV60" t="str">
        <f ca="1">IFERROR(IF(0=LEN(ReferenceData!$AV$60),"",ReferenceData!$AV$60),"")</f>
        <v/>
      </c>
      <c r="AW60" t="str">
        <f ca="1">IFERROR(IF(0=LEN(ReferenceData!$AW$60),"",ReferenceData!$AW$60),"")</f>
        <v/>
      </c>
      <c r="AX60" t="str">
        <f ca="1">IFERROR(IF(0=LEN(ReferenceData!$AX$60),"",ReferenceData!$AX$60),"")</f>
        <v/>
      </c>
      <c r="AY60" t="str">
        <f ca="1">IFERROR(IF(0=LEN(ReferenceData!$AY$60),"",ReferenceData!$AY$60),"")</f>
        <v/>
      </c>
      <c r="AZ60" t="str">
        <f ca="1">IFERROR(IF(0=LEN(ReferenceData!$AZ$60),"",ReferenceData!$AZ$60),"")</f>
        <v/>
      </c>
      <c r="BA60" t="str">
        <f ca="1">IFERROR(IF(0=LEN(ReferenceData!$BA$60),"",ReferenceData!$BA$60),"")</f>
        <v/>
      </c>
      <c r="BB60" t="str">
        <f ca="1">IFERROR(IF(0=LEN(ReferenceData!$BB$60),"",ReferenceData!$BB$60),"")</f>
        <v/>
      </c>
      <c r="BC60" t="str">
        <f ca="1">IFERROR(IF(0=LEN(ReferenceData!$BC$60),"",ReferenceData!$BC$60),"")</f>
        <v/>
      </c>
      <c r="BD60" t="str">
        <f ca="1">IFERROR(IF(0=LEN(ReferenceData!$BD$60),"",ReferenceData!$BD$60),"")</f>
        <v/>
      </c>
      <c r="BE60" t="str">
        <f ca="1">IFERROR(IF(0=LEN(ReferenceData!$BE$60),"",ReferenceData!$BE$60),"")</f>
        <v/>
      </c>
      <c r="BF60" t="str">
        <f ca="1">IFERROR(IF(0=LEN(ReferenceData!$BF$60),"",ReferenceData!$BF$60),"")</f>
        <v/>
      </c>
      <c r="BG60" t="str">
        <f ca="1">IFERROR(IF(0=LEN(ReferenceData!$BG$60),"",ReferenceData!$BG$60),"")</f>
        <v/>
      </c>
      <c r="BH60" t="str">
        <f ca="1">IFERROR(IF(0=LEN(ReferenceData!$BH$60),"",ReferenceData!$BH$60),"")</f>
        <v/>
      </c>
      <c r="BI60" t="str">
        <f ca="1">IFERROR(IF(0=LEN(ReferenceData!$BI$60),"",ReferenceData!$BI$60),"")</f>
        <v/>
      </c>
      <c r="BJ60" t="str">
        <f ca="1">IFERROR(IF(0=LEN(ReferenceData!$BJ$60),"",ReferenceData!$BJ$60),"")</f>
        <v/>
      </c>
      <c r="BK60" t="str">
        <f ca="1">IFERROR(IF(0=LEN(ReferenceData!$BK$60),"",ReferenceData!$BK$60),"")</f>
        <v/>
      </c>
      <c r="BL60" t="str">
        <f ca="1">IFERROR(IF(0=LEN(ReferenceData!$BL$60),"",ReferenceData!$BL$60),"")</f>
        <v/>
      </c>
      <c r="BM60" t="str">
        <f ca="1">IFERROR(IF(0=LEN(ReferenceData!$BM$60),"",ReferenceData!$BM$60),"")</f>
        <v/>
      </c>
    </row>
    <row r="61" spans="1:65" x14ac:dyDescent="0.25">
      <c r="A61" t="str">
        <f>IFERROR(IF(0=LEN(ReferenceData!$A$61),"",ReferenceData!$A$61),"")</f>
        <v xml:space="preserve">    General Motors Co</v>
      </c>
      <c r="B61" t="str">
        <f>IFERROR(IF(0=LEN(ReferenceData!$B$61),"",ReferenceData!$B$61),"")</f>
        <v>GM US Equity</v>
      </c>
      <c r="C61" t="str">
        <f>IFERROR(IF(0=LEN(ReferenceData!$C$61),"",ReferenceData!$C$61),"")</f>
        <v>EZ019</v>
      </c>
      <c r="D61" t="str">
        <f>IFERROR(IF(0=LEN(ReferenceData!$D$61),"",ReferenceData!$D$61),"")</f>
        <v>BEST_EEPS_CUR_YR</v>
      </c>
      <c r="E61" t="str">
        <f>IFERROR(IF(0=LEN(ReferenceData!$E$61),"",ReferenceData!$E$61),"")</f>
        <v>Dynamic</v>
      </c>
      <c r="F61">
        <f ca="1">IFERROR(IF(0=LEN(ReferenceData!$F$61),"",ReferenceData!$F$61),"")</f>
        <v>6.5540000000000003</v>
      </c>
      <c r="G61">
        <f ca="1">IFERROR(IF(0=LEN(ReferenceData!$G$61),"",ReferenceData!$G$61),"")</f>
        <v>6.0140000000000002</v>
      </c>
      <c r="H61">
        <f ca="1">IFERROR(IF(0=LEN(ReferenceData!$H$61),"",ReferenceData!$H$61),"")</f>
        <v>5.976</v>
      </c>
      <c r="I61">
        <f ca="1">IFERROR(IF(0=LEN(ReferenceData!$I$61),"",ReferenceData!$I$61),"")</f>
        <v>6.44</v>
      </c>
      <c r="J61">
        <f ca="1">IFERROR(IF(0=LEN(ReferenceData!$J$61),"",ReferenceData!$J$61),"")</f>
        <v>6.327</v>
      </c>
      <c r="K61">
        <f ca="1">IFERROR(IF(0=LEN(ReferenceData!$K$61),"",ReferenceData!$K$61),"")</f>
        <v>5.7489999999999997</v>
      </c>
      <c r="L61">
        <f ca="1">IFERROR(IF(0=LEN(ReferenceData!$L$61),"",ReferenceData!$L$61),"")</f>
        <v>5.649</v>
      </c>
      <c r="M61">
        <f ca="1">IFERROR(IF(0=LEN(ReferenceData!$M$61),"",ReferenceData!$M$61),"")</f>
        <v>5.5389999999999997</v>
      </c>
      <c r="N61">
        <f ca="1">IFERROR(IF(0=LEN(ReferenceData!$N$61),"",ReferenceData!$N$61),"")</f>
        <v>5.4210000000000003</v>
      </c>
      <c r="O61">
        <f ca="1">IFERROR(IF(0=LEN(ReferenceData!$O$61),"",ReferenceData!$O$61),"")</f>
        <v>5.21</v>
      </c>
      <c r="P61">
        <f ca="1">IFERROR(IF(0=LEN(ReferenceData!$P$61),"",ReferenceData!$P$61),"")</f>
        <v>5.3170000000000002</v>
      </c>
      <c r="Q61">
        <f ca="1">IFERROR(IF(0=LEN(ReferenceData!$Q$61),"",ReferenceData!$Q$61),"")</f>
        <v>5.42</v>
      </c>
      <c r="R61" t="str">
        <f ca="1">IFERROR(IF(0=LEN(ReferenceData!$R$61),"",ReferenceData!$R$61),"")</f>
        <v/>
      </c>
      <c r="S61">
        <f ca="1">IFERROR(IF(0=LEN(ReferenceData!$S$61),"",ReferenceData!$S$61),"")</f>
        <v>5.27</v>
      </c>
      <c r="T61" t="str">
        <f ca="1">IFERROR(IF(0=LEN(ReferenceData!$T$61),"",ReferenceData!$T$61),"")</f>
        <v/>
      </c>
      <c r="U61" t="str">
        <f ca="1">IFERROR(IF(0=LEN(ReferenceData!$U$61),"",ReferenceData!$U$61),"")</f>
        <v/>
      </c>
      <c r="V61" t="str">
        <f ca="1">IFERROR(IF(0=LEN(ReferenceData!$V$61),"",ReferenceData!$V$61),"")</f>
        <v/>
      </c>
      <c r="W61" t="str">
        <f ca="1">IFERROR(IF(0=LEN(ReferenceData!$W$61),"",ReferenceData!$W$61),"")</f>
        <v/>
      </c>
      <c r="X61" t="str">
        <f ca="1">IFERROR(IF(0=LEN(ReferenceData!$X$61),"",ReferenceData!$X$61),"")</f>
        <v/>
      </c>
      <c r="Y61" t="str">
        <f ca="1">IFERROR(IF(0=LEN(ReferenceData!$Y$61),"",ReferenceData!$Y$61),"")</f>
        <v/>
      </c>
      <c r="Z61" t="str">
        <f ca="1">IFERROR(IF(0=LEN(ReferenceData!$Z$61),"",ReferenceData!$Z$61),"")</f>
        <v/>
      </c>
      <c r="AA61" t="str">
        <f ca="1">IFERROR(IF(0=LEN(ReferenceData!$AA$61),"",ReferenceData!$AA$61),"")</f>
        <v/>
      </c>
      <c r="AB61" t="str">
        <f ca="1">IFERROR(IF(0=LEN(ReferenceData!$AB$61),"",ReferenceData!$AB$61),"")</f>
        <v/>
      </c>
      <c r="AC61" t="str">
        <f ca="1">IFERROR(IF(0=LEN(ReferenceData!$AC$61),"",ReferenceData!$AC$61),"")</f>
        <v/>
      </c>
      <c r="AD61" t="str">
        <f ca="1">IFERROR(IF(0=LEN(ReferenceData!$AD$61),"",ReferenceData!$AD$61),"")</f>
        <v/>
      </c>
      <c r="AE61" t="str">
        <f ca="1">IFERROR(IF(0=LEN(ReferenceData!$AE$61),"",ReferenceData!$AE$61),"")</f>
        <v/>
      </c>
      <c r="AF61" t="str">
        <f ca="1">IFERROR(IF(0=LEN(ReferenceData!$AF$61),"",ReferenceData!$AF$61),"")</f>
        <v/>
      </c>
      <c r="AG61" t="str">
        <f ca="1">IFERROR(IF(0=LEN(ReferenceData!$AG$61),"",ReferenceData!$AG$61),"")</f>
        <v/>
      </c>
      <c r="AH61" t="str">
        <f ca="1">IFERROR(IF(0=LEN(ReferenceData!$AH$61),"",ReferenceData!$AH$61),"")</f>
        <v/>
      </c>
      <c r="AI61" t="str">
        <f ca="1">IFERROR(IF(0=LEN(ReferenceData!$AI$61),"",ReferenceData!$AI$61),"")</f>
        <v/>
      </c>
      <c r="AJ61" t="str">
        <f ca="1">IFERROR(IF(0=LEN(ReferenceData!$AJ$61),"",ReferenceData!$AJ$61),"")</f>
        <v/>
      </c>
      <c r="AK61" t="str">
        <f ca="1">IFERROR(IF(0=LEN(ReferenceData!$AK$61),"",ReferenceData!$AK$61),"")</f>
        <v/>
      </c>
      <c r="AL61" t="str">
        <f ca="1">IFERROR(IF(0=LEN(ReferenceData!$AL$61),"",ReferenceData!$AL$61),"")</f>
        <v/>
      </c>
      <c r="AM61" t="str">
        <f ca="1">IFERROR(IF(0=LEN(ReferenceData!$AM$61),"",ReferenceData!$AM$61),"")</f>
        <v/>
      </c>
      <c r="AN61" t="str">
        <f ca="1">IFERROR(IF(0=LEN(ReferenceData!$AN$61),"",ReferenceData!$AN$61),"")</f>
        <v/>
      </c>
      <c r="AO61" t="str">
        <f ca="1">IFERROR(IF(0=LEN(ReferenceData!$AO$61),"",ReferenceData!$AO$61),"")</f>
        <v/>
      </c>
      <c r="AP61" t="str">
        <f ca="1">IFERROR(IF(0=LEN(ReferenceData!$AP$61),"",ReferenceData!$AP$61),"")</f>
        <v/>
      </c>
      <c r="AQ61" t="str">
        <f ca="1">IFERROR(IF(0=LEN(ReferenceData!$AQ$61),"",ReferenceData!$AQ$61),"")</f>
        <v/>
      </c>
      <c r="AR61" t="str">
        <f ca="1">IFERROR(IF(0=LEN(ReferenceData!$AR$61),"",ReferenceData!$AR$61),"")</f>
        <v/>
      </c>
      <c r="AS61" t="str">
        <f ca="1">IFERROR(IF(0=LEN(ReferenceData!$AS$61),"",ReferenceData!$AS$61),"")</f>
        <v/>
      </c>
      <c r="AT61" t="str">
        <f ca="1">IFERROR(IF(0=LEN(ReferenceData!$AT$61),"",ReferenceData!$AT$61),"")</f>
        <v/>
      </c>
      <c r="AU61" t="str">
        <f ca="1">IFERROR(IF(0=LEN(ReferenceData!$AU$61),"",ReferenceData!$AU$61),"")</f>
        <v/>
      </c>
      <c r="AV61" t="str">
        <f ca="1">IFERROR(IF(0=LEN(ReferenceData!$AV$61),"",ReferenceData!$AV$61),"")</f>
        <v/>
      </c>
      <c r="AW61" t="str">
        <f ca="1">IFERROR(IF(0=LEN(ReferenceData!$AW$61),"",ReferenceData!$AW$61),"")</f>
        <v/>
      </c>
      <c r="AX61" t="str">
        <f ca="1">IFERROR(IF(0=LEN(ReferenceData!$AX$61),"",ReferenceData!$AX$61),"")</f>
        <v/>
      </c>
      <c r="AY61" t="str">
        <f ca="1">IFERROR(IF(0=LEN(ReferenceData!$AY$61),"",ReferenceData!$AY$61),"")</f>
        <v/>
      </c>
      <c r="AZ61" t="str">
        <f ca="1">IFERROR(IF(0=LEN(ReferenceData!$AZ$61),"",ReferenceData!$AZ$61),"")</f>
        <v/>
      </c>
      <c r="BA61" t="str">
        <f ca="1">IFERROR(IF(0=LEN(ReferenceData!$BA$61),"",ReferenceData!$BA$61),"")</f>
        <v/>
      </c>
      <c r="BB61" t="str">
        <f ca="1">IFERROR(IF(0=LEN(ReferenceData!$BB$61),"",ReferenceData!$BB$61),"")</f>
        <v/>
      </c>
      <c r="BC61" t="str">
        <f ca="1">IFERROR(IF(0=LEN(ReferenceData!$BC$61),"",ReferenceData!$BC$61),"")</f>
        <v/>
      </c>
      <c r="BD61" t="str">
        <f ca="1">IFERROR(IF(0=LEN(ReferenceData!$BD$61),"",ReferenceData!$BD$61),"")</f>
        <v/>
      </c>
      <c r="BE61" t="str">
        <f ca="1">IFERROR(IF(0=LEN(ReferenceData!$BE$61),"",ReferenceData!$BE$61),"")</f>
        <v/>
      </c>
      <c r="BF61" t="str">
        <f ca="1">IFERROR(IF(0=LEN(ReferenceData!$BF$61),"",ReferenceData!$BF$61),"")</f>
        <v/>
      </c>
      <c r="BG61" t="str">
        <f ca="1">IFERROR(IF(0=LEN(ReferenceData!$BG$61),"",ReferenceData!$BG$61),"")</f>
        <v/>
      </c>
      <c r="BH61" t="str">
        <f ca="1">IFERROR(IF(0=LEN(ReferenceData!$BH$61),"",ReferenceData!$BH$61),"")</f>
        <v/>
      </c>
      <c r="BI61" t="str">
        <f ca="1">IFERROR(IF(0=LEN(ReferenceData!$BI$61),"",ReferenceData!$BI$61),"")</f>
        <v/>
      </c>
      <c r="BJ61" t="str">
        <f ca="1">IFERROR(IF(0=LEN(ReferenceData!$BJ$61),"",ReferenceData!$BJ$61),"")</f>
        <v/>
      </c>
      <c r="BK61" t="str">
        <f ca="1">IFERROR(IF(0=LEN(ReferenceData!$BK$61),"",ReferenceData!$BK$61),"")</f>
        <v/>
      </c>
      <c r="BL61" t="str">
        <f ca="1">IFERROR(IF(0=LEN(ReferenceData!$BL$61),"",ReferenceData!$BL$61),"")</f>
        <v/>
      </c>
      <c r="BM61" t="str">
        <f ca="1">IFERROR(IF(0=LEN(ReferenceData!$BM$61),"",ReferenceData!$BM$61),"")</f>
        <v/>
      </c>
    </row>
    <row r="62" spans="1:65" x14ac:dyDescent="0.25">
      <c r="A62" t="str">
        <f>IFERROR(IF(0=LEN(ReferenceData!$A$62),"",ReferenceData!$A$62),"")</f>
        <v xml:space="preserve">    Great Wall Motor Co Ltd</v>
      </c>
      <c r="B62" t="str">
        <f>IFERROR(IF(0=LEN(ReferenceData!$B$62),"",ReferenceData!$B$62),"")</f>
        <v>2333 HK Equity</v>
      </c>
      <c r="C62" t="str">
        <f>IFERROR(IF(0=LEN(ReferenceData!$C$62),"",ReferenceData!$C$62),"")</f>
        <v>EZ019</v>
      </c>
      <c r="D62" t="str">
        <f>IFERROR(IF(0=LEN(ReferenceData!$D$62),"",ReferenceData!$D$62),"")</f>
        <v>BEST_EEPS_CUR_YR</v>
      </c>
      <c r="E62" t="str">
        <f>IFERROR(IF(0=LEN(ReferenceData!$E$62),"",ReferenceData!$E$62),"")</f>
        <v>Dynamic</v>
      </c>
      <c r="F62">
        <f ca="1">IFERROR(IF(0=LEN(ReferenceData!$F$62),"",ReferenceData!$F$62),"")</f>
        <v>8.6999999999999994E-2</v>
      </c>
      <c r="G62">
        <f ca="1">IFERROR(IF(0=LEN(ReferenceData!$G$62),"",ReferenceData!$G$62),"")</f>
        <v>8.3000000000000004E-2</v>
      </c>
      <c r="H62">
        <f ca="1">IFERROR(IF(0=LEN(ReferenceData!$H$62),"",ReferenceData!$H$62),"")</f>
        <v>0.107</v>
      </c>
      <c r="I62">
        <f ca="1">IFERROR(IF(0=LEN(ReferenceData!$I$62),"",ReferenceData!$I$62),"")</f>
        <v>0.128</v>
      </c>
      <c r="J62">
        <f ca="1">IFERROR(IF(0=LEN(ReferenceData!$J$62),"",ReferenceData!$J$62),"")</f>
        <v>0.13</v>
      </c>
      <c r="K62">
        <f ca="1">IFERROR(IF(0=LEN(ReferenceData!$K$62),"",ReferenceData!$K$62),"")</f>
        <v>0.13700000000000001</v>
      </c>
      <c r="L62">
        <f ca="1">IFERROR(IF(0=LEN(ReferenceData!$L$62),"",ReferenceData!$L$62),"")</f>
        <v>0.151</v>
      </c>
      <c r="M62">
        <f ca="1">IFERROR(IF(0=LEN(ReferenceData!$M$62),"",ReferenceData!$M$62),"")</f>
        <v>0.17</v>
      </c>
      <c r="N62">
        <f ca="1">IFERROR(IF(0=LEN(ReferenceData!$N$62),"",ReferenceData!$N$62),"")</f>
        <v>0.17599999999999999</v>
      </c>
      <c r="O62">
        <f ca="1">IFERROR(IF(0=LEN(ReferenceData!$O$62),"",ReferenceData!$O$62),"")</f>
        <v>0.14699999999999999</v>
      </c>
      <c r="P62">
        <f ca="1">IFERROR(IF(0=LEN(ReferenceData!$P$62),"",ReferenceData!$P$62),"")</f>
        <v>0.14799999999999999</v>
      </c>
      <c r="Q62">
        <f ca="1">IFERROR(IF(0=LEN(ReferenceData!$Q$62),"",ReferenceData!$Q$62),"")</f>
        <v>0.13600000000000001</v>
      </c>
      <c r="R62">
        <f ca="1">IFERROR(IF(0=LEN(ReferenceData!$R$62),"",ReferenceData!$R$62),"")</f>
        <v>0.13300000000000001</v>
      </c>
      <c r="S62">
        <f ca="1">IFERROR(IF(0=LEN(ReferenceData!$S$62),"",ReferenceData!$S$62),"")</f>
        <v>0.107</v>
      </c>
      <c r="T62">
        <f ca="1">IFERROR(IF(0=LEN(ReferenceData!$T$62),"",ReferenceData!$T$62),"")</f>
        <v>0.105</v>
      </c>
      <c r="U62">
        <f ca="1">IFERROR(IF(0=LEN(ReferenceData!$U$62),"",ReferenceData!$U$62),"")</f>
        <v>0.248</v>
      </c>
      <c r="V62">
        <f ca="1">IFERROR(IF(0=LEN(ReferenceData!$V$62),"",ReferenceData!$V$62),"")</f>
        <v>0.21199999999999999</v>
      </c>
      <c r="W62">
        <f ca="1">IFERROR(IF(0=LEN(ReferenceData!$W$62),"",ReferenceData!$W$62),"")</f>
        <v>0.17799999999999999</v>
      </c>
      <c r="X62" t="str">
        <f ca="1">IFERROR(IF(0=LEN(ReferenceData!$X$62),"",ReferenceData!$X$62),"")</f>
        <v/>
      </c>
      <c r="Y62" t="str">
        <f ca="1">IFERROR(IF(0=LEN(ReferenceData!$Y$62),"",ReferenceData!$Y$62),"")</f>
        <v/>
      </c>
      <c r="Z62" t="str">
        <f ca="1">IFERROR(IF(0=LEN(ReferenceData!$Z$62),"",ReferenceData!$Z$62),"")</f>
        <v/>
      </c>
      <c r="AA62" t="str">
        <f ca="1">IFERROR(IF(0=LEN(ReferenceData!$AA$62),"",ReferenceData!$AA$62),"")</f>
        <v/>
      </c>
      <c r="AB62" t="str">
        <f ca="1">IFERROR(IF(0=LEN(ReferenceData!$AB$62),"",ReferenceData!$AB$62),"")</f>
        <v/>
      </c>
      <c r="AC62" t="str">
        <f ca="1">IFERROR(IF(0=LEN(ReferenceData!$AC$62),"",ReferenceData!$AC$62),"")</f>
        <v/>
      </c>
      <c r="AD62" t="str">
        <f ca="1">IFERROR(IF(0=LEN(ReferenceData!$AD$62),"",ReferenceData!$AD$62),"")</f>
        <v/>
      </c>
      <c r="AE62" t="str">
        <f ca="1">IFERROR(IF(0=LEN(ReferenceData!$AE$62),"",ReferenceData!$AE$62),"")</f>
        <v/>
      </c>
      <c r="AF62" t="str">
        <f ca="1">IFERROR(IF(0=LEN(ReferenceData!$AF$62),"",ReferenceData!$AF$62),"")</f>
        <v/>
      </c>
      <c r="AG62" t="str">
        <f ca="1">IFERROR(IF(0=LEN(ReferenceData!$AG$62),"",ReferenceData!$AG$62),"")</f>
        <v/>
      </c>
      <c r="AH62" t="str">
        <f ca="1">IFERROR(IF(0=LEN(ReferenceData!$AH$62),"",ReferenceData!$AH$62),"")</f>
        <v/>
      </c>
      <c r="AI62" t="str">
        <f ca="1">IFERROR(IF(0=LEN(ReferenceData!$AI$62),"",ReferenceData!$AI$62),"")</f>
        <v/>
      </c>
      <c r="AJ62" t="str">
        <f ca="1">IFERROR(IF(0=LEN(ReferenceData!$AJ$62),"",ReferenceData!$AJ$62),"")</f>
        <v/>
      </c>
      <c r="AK62" t="str">
        <f ca="1">IFERROR(IF(0=LEN(ReferenceData!$AK$62),"",ReferenceData!$AK$62),"")</f>
        <v/>
      </c>
      <c r="AL62" t="str">
        <f ca="1">IFERROR(IF(0=LEN(ReferenceData!$AL$62),"",ReferenceData!$AL$62),"")</f>
        <v/>
      </c>
      <c r="AM62" t="str">
        <f ca="1">IFERROR(IF(0=LEN(ReferenceData!$AM$62),"",ReferenceData!$AM$62),"")</f>
        <v/>
      </c>
      <c r="AN62" t="str">
        <f ca="1">IFERROR(IF(0=LEN(ReferenceData!$AN$62),"",ReferenceData!$AN$62),"")</f>
        <v/>
      </c>
      <c r="AO62" t="str">
        <f ca="1">IFERROR(IF(0=LEN(ReferenceData!$AO$62),"",ReferenceData!$AO$62),"")</f>
        <v/>
      </c>
      <c r="AP62" t="str">
        <f ca="1">IFERROR(IF(0=LEN(ReferenceData!$AP$62),"",ReferenceData!$AP$62),"")</f>
        <v/>
      </c>
      <c r="AQ62" t="str">
        <f ca="1">IFERROR(IF(0=LEN(ReferenceData!$AQ$62),"",ReferenceData!$AQ$62),"")</f>
        <v/>
      </c>
      <c r="AR62" t="str">
        <f ca="1">IFERROR(IF(0=LEN(ReferenceData!$AR$62),"",ReferenceData!$AR$62),"")</f>
        <v/>
      </c>
      <c r="AS62" t="str">
        <f ca="1">IFERROR(IF(0=LEN(ReferenceData!$AS$62),"",ReferenceData!$AS$62),"")</f>
        <v/>
      </c>
      <c r="AT62" t="str">
        <f ca="1">IFERROR(IF(0=LEN(ReferenceData!$AT$62),"",ReferenceData!$AT$62),"")</f>
        <v/>
      </c>
      <c r="AU62" t="str">
        <f ca="1">IFERROR(IF(0=LEN(ReferenceData!$AU$62),"",ReferenceData!$AU$62),"")</f>
        <v/>
      </c>
      <c r="AV62" t="str">
        <f ca="1">IFERROR(IF(0=LEN(ReferenceData!$AV$62),"",ReferenceData!$AV$62),"")</f>
        <v/>
      </c>
      <c r="AW62" t="str">
        <f ca="1">IFERROR(IF(0=LEN(ReferenceData!$AW$62),"",ReferenceData!$AW$62),"")</f>
        <v/>
      </c>
      <c r="AX62" t="str">
        <f ca="1">IFERROR(IF(0=LEN(ReferenceData!$AX$62),"",ReferenceData!$AX$62),"")</f>
        <v/>
      </c>
      <c r="AY62" t="str">
        <f ca="1">IFERROR(IF(0=LEN(ReferenceData!$AY$62),"",ReferenceData!$AY$62),"")</f>
        <v/>
      </c>
      <c r="AZ62" t="str">
        <f ca="1">IFERROR(IF(0=LEN(ReferenceData!$AZ$62),"",ReferenceData!$AZ$62),"")</f>
        <v/>
      </c>
      <c r="BA62" t="str">
        <f ca="1">IFERROR(IF(0=LEN(ReferenceData!$BA$62),"",ReferenceData!$BA$62),"")</f>
        <v/>
      </c>
      <c r="BB62" t="str">
        <f ca="1">IFERROR(IF(0=LEN(ReferenceData!$BB$62),"",ReferenceData!$BB$62),"")</f>
        <v/>
      </c>
      <c r="BC62" t="str">
        <f ca="1">IFERROR(IF(0=LEN(ReferenceData!$BC$62),"",ReferenceData!$BC$62),"")</f>
        <v/>
      </c>
      <c r="BD62" t="str">
        <f ca="1">IFERROR(IF(0=LEN(ReferenceData!$BD$62),"",ReferenceData!$BD$62),"")</f>
        <v/>
      </c>
      <c r="BE62" t="str">
        <f ca="1">IFERROR(IF(0=LEN(ReferenceData!$BE$62),"",ReferenceData!$BE$62),"")</f>
        <v/>
      </c>
      <c r="BF62" t="str">
        <f ca="1">IFERROR(IF(0=LEN(ReferenceData!$BF$62),"",ReferenceData!$BF$62),"")</f>
        <v/>
      </c>
      <c r="BG62" t="str">
        <f ca="1">IFERROR(IF(0=LEN(ReferenceData!$BG$62),"",ReferenceData!$BG$62),"")</f>
        <v/>
      </c>
      <c r="BH62" t="str">
        <f ca="1">IFERROR(IF(0=LEN(ReferenceData!$BH$62),"",ReferenceData!$BH$62),"")</f>
        <v/>
      </c>
      <c r="BI62" t="str">
        <f ca="1">IFERROR(IF(0=LEN(ReferenceData!$BI$62),"",ReferenceData!$BI$62),"")</f>
        <v/>
      </c>
      <c r="BJ62" t="str">
        <f ca="1">IFERROR(IF(0=LEN(ReferenceData!$BJ$62),"",ReferenceData!$BJ$62),"")</f>
        <v/>
      </c>
      <c r="BK62" t="str">
        <f ca="1">IFERROR(IF(0=LEN(ReferenceData!$BK$62),"",ReferenceData!$BK$62),"")</f>
        <v/>
      </c>
      <c r="BL62" t="str">
        <f ca="1">IFERROR(IF(0=LEN(ReferenceData!$BL$62),"",ReferenceData!$BL$62),"")</f>
        <v/>
      </c>
      <c r="BM62" t="str">
        <f ca="1">IFERROR(IF(0=LEN(ReferenceData!$BM$62),"",ReferenceData!$BM$62),"")</f>
        <v/>
      </c>
    </row>
    <row r="63" spans="1:65" x14ac:dyDescent="0.25">
      <c r="A63" t="str">
        <f>IFERROR(IF(0=LEN(ReferenceData!$A$63),"",ReferenceData!$A$63),"")</f>
        <v xml:space="preserve">    Guangzhou Automobile Group Co Ltd</v>
      </c>
      <c r="B63" t="str">
        <f>IFERROR(IF(0=LEN(ReferenceData!$B$63),"",ReferenceData!$B$63),"")</f>
        <v>2238 HK Equity</v>
      </c>
      <c r="C63" t="str">
        <f>IFERROR(IF(0=LEN(ReferenceData!$C$63),"",ReferenceData!$C$63),"")</f>
        <v>EZ019</v>
      </c>
      <c r="D63" t="str">
        <f>IFERROR(IF(0=LEN(ReferenceData!$D$63),"",ReferenceData!$D$63),"")</f>
        <v>BEST_EEPS_CUR_YR</v>
      </c>
      <c r="E63" t="str">
        <f>IFERROR(IF(0=LEN(ReferenceData!$E$63),"",ReferenceData!$E$63),"")</f>
        <v>Dynamic</v>
      </c>
      <c r="F63">
        <f ca="1">IFERROR(IF(0=LEN(ReferenceData!$F$63),"",ReferenceData!$F$63),"")</f>
        <v>0.17699999999999999</v>
      </c>
      <c r="G63">
        <f ca="1">IFERROR(IF(0=LEN(ReferenceData!$G$63),"",ReferenceData!$G$63),"")</f>
        <v>0.17599999999999999</v>
      </c>
      <c r="H63">
        <f ca="1">IFERROR(IF(0=LEN(ReferenceData!$H$63),"",ReferenceData!$H$63),"")</f>
        <v>0.18099999999999999</v>
      </c>
      <c r="I63">
        <f ca="1">IFERROR(IF(0=LEN(ReferenceData!$I$63),"",ReferenceData!$I$63),"")</f>
        <v>0.20399999999999999</v>
      </c>
      <c r="J63">
        <f ca="1">IFERROR(IF(0=LEN(ReferenceData!$J$63),"",ReferenceData!$J$63),"")</f>
        <v>0.214</v>
      </c>
      <c r="K63">
        <f ca="1">IFERROR(IF(0=LEN(ReferenceData!$K$63),"",ReferenceData!$K$63),"")</f>
        <v>0.21</v>
      </c>
      <c r="L63">
        <f ca="1">IFERROR(IF(0=LEN(ReferenceData!$L$63),"",ReferenceData!$L$63),"")</f>
        <v>0.19400000000000001</v>
      </c>
      <c r="M63">
        <f ca="1">IFERROR(IF(0=LEN(ReferenceData!$M$63),"",ReferenceData!$M$63),"")</f>
        <v>0.16900000000000001</v>
      </c>
      <c r="N63">
        <f ca="1">IFERROR(IF(0=LEN(ReferenceData!$N$63),"",ReferenceData!$N$63),"")</f>
        <v>0.14799999999999999</v>
      </c>
      <c r="O63">
        <f ca="1">IFERROR(IF(0=LEN(ReferenceData!$O$63),"",ReferenceData!$O$63),"")</f>
        <v>0.13900000000000001</v>
      </c>
      <c r="P63">
        <f ca="1">IFERROR(IF(0=LEN(ReferenceData!$P$63),"",ReferenceData!$P$63),"")</f>
        <v>0.14499999999999999</v>
      </c>
      <c r="Q63">
        <f ca="1">IFERROR(IF(0=LEN(ReferenceData!$Q$63),"",ReferenceData!$Q$63),"")</f>
        <v>0.127</v>
      </c>
      <c r="R63">
        <f ca="1">IFERROR(IF(0=LEN(ReferenceData!$R$63),"",ReferenceData!$R$63),"")</f>
        <v>0.104</v>
      </c>
      <c r="S63">
        <f ca="1">IFERROR(IF(0=LEN(ReferenceData!$S$63),"",ReferenceData!$S$63),"")</f>
        <v>6.7000000000000004E-2</v>
      </c>
      <c r="T63">
        <f ca="1">IFERROR(IF(0=LEN(ReferenceData!$T$63),"",ReferenceData!$T$63),"")</f>
        <v>4.1000000000000002E-2</v>
      </c>
      <c r="U63">
        <f ca="1">IFERROR(IF(0=LEN(ReferenceData!$U$63),"",ReferenceData!$U$63),"")</f>
        <v>9.4E-2</v>
      </c>
      <c r="V63">
        <f ca="1">IFERROR(IF(0=LEN(ReferenceData!$V$63),"",ReferenceData!$V$63),"")</f>
        <v>0.109</v>
      </c>
      <c r="W63" t="str">
        <f ca="1">IFERROR(IF(0=LEN(ReferenceData!$W$63),"",ReferenceData!$W$63),"")</f>
        <v/>
      </c>
      <c r="X63" t="str">
        <f ca="1">IFERROR(IF(0=LEN(ReferenceData!$X$63),"",ReferenceData!$X$63),"")</f>
        <v/>
      </c>
      <c r="Y63" t="str">
        <f ca="1">IFERROR(IF(0=LEN(ReferenceData!$Y$63),"",ReferenceData!$Y$63),"")</f>
        <v/>
      </c>
      <c r="Z63" t="str">
        <f ca="1">IFERROR(IF(0=LEN(ReferenceData!$Z$63),"",ReferenceData!$Z$63),"")</f>
        <v/>
      </c>
      <c r="AA63" t="str">
        <f ca="1">IFERROR(IF(0=LEN(ReferenceData!$AA$63),"",ReferenceData!$AA$63),"")</f>
        <v/>
      </c>
      <c r="AB63" t="str">
        <f ca="1">IFERROR(IF(0=LEN(ReferenceData!$AB$63),"",ReferenceData!$AB$63),"")</f>
        <v/>
      </c>
      <c r="AC63" t="str">
        <f ca="1">IFERROR(IF(0=LEN(ReferenceData!$AC$63),"",ReferenceData!$AC$63),"")</f>
        <v/>
      </c>
      <c r="AD63" t="str">
        <f ca="1">IFERROR(IF(0=LEN(ReferenceData!$AD$63),"",ReferenceData!$AD$63),"")</f>
        <v/>
      </c>
      <c r="AE63" t="str">
        <f ca="1">IFERROR(IF(0=LEN(ReferenceData!$AE$63),"",ReferenceData!$AE$63),"")</f>
        <v/>
      </c>
      <c r="AF63" t="str">
        <f ca="1">IFERROR(IF(0=LEN(ReferenceData!$AF$63),"",ReferenceData!$AF$63),"")</f>
        <v/>
      </c>
      <c r="AG63" t="str">
        <f ca="1">IFERROR(IF(0=LEN(ReferenceData!$AG$63),"",ReferenceData!$AG$63),"")</f>
        <v/>
      </c>
      <c r="AH63" t="str">
        <f ca="1">IFERROR(IF(0=LEN(ReferenceData!$AH$63),"",ReferenceData!$AH$63),"")</f>
        <v/>
      </c>
      <c r="AI63" t="str">
        <f ca="1">IFERROR(IF(0=LEN(ReferenceData!$AI$63),"",ReferenceData!$AI$63),"")</f>
        <v/>
      </c>
      <c r="AJ63" t="str">
        <f ca="1">IFERROR(IF(0=LEN(ReferenceData!$AJ$63),"",ReferenceData!$AJ$63),"")</f>
        <v/>
      </c>
      <c r="AK63" t="str">
        <f ca="1">IFERROR(IF(0=LEN(ReferenceData!$AK$63),"",ReferenceData!$AK$63),"")</f>
        <v/>
      </c>
      <c r="AL63" t="str">
        <f ca="1">IFERROR(IF(0=LEN(ReferenceData!$AL$63),"",ReferenceData!$AL$63),"")</f>
        <v/>
      </c>
      <c r="AM63" t="str">
        <f ca="1">IFERROR(IF(0=LEN(ReferenceData!$AM$63),"",ReferenceData!$AM$63),"")</f>
        <v/>
      </c>
      <c r="AN63" t="str">
        <f ca="1">IFERROR(IF(0=LEN(ReferenceData!$AN$63),"",ReferenceData!$AN$63),"")</f>
        <v/>
      </c>
      <c r="AO63" t="str">
        <f ca="1">IFERROR(IF(0=LEN(ReferenceData!$AO$63),"",ReferenceData!$AO$63),"")</f>
        <v/>
      </c>
      <c r="AP63" t="str">
        <f ca="1">IFERROR(IF(0=LEN(ReferenceData!$AP$63),"",ReferenceData!$AP$63),"")</f>
        <v/>
      </c>
      <c r="AQ63" t="str">
        <f ca="1">IFERROR(IF(0=LEN(ReferenceData!$AQ$63),"",ReferenceData!$AQ$63),"")</f>
        <v/>
      </c>
      <c r="AR63" t="str">
        <f ca="1">IFERROR(IF(0=LEN(ReferenceData!$AR$63),"",ReferenceData!$AR$63),"")</f>
        <v/>
      </c>
      <c r="AS63" t="str">
        <f ca="1">IFERROR(IF(0=LEN(ReferenceData!$AS$63),"",ReferenceData!$AS$63),"")</f>
        <v/>
      </c>
      <c r="AT63" t="str">
        <f ca="1">IFERROR(IF(0=LEN(ReferenceData!$AT$63),"",ReferenceData!$AT$63),"")</f>
        <v/>
      </c>
      <c r="AU63" t="str">
        <f ca="1">IFERROR(IF(0=LEN(ReferenceData!$AU$63),"",ReferenceData!$AU$63),"")</f>
        <v/>
      </c>
      <c r="AV63" t="str">
        <f ca="1">IFERROR(IF(0=LEN(ReferenceData!$AV$63),"",ReferenceData!$AV$63),"")</f>
        <v/>
      </c>
      <c r="AW63" t="str">
        <f ca="1">IFERROR(IF(0=LEN(ReferenceData!$AW$63),"",ReferenceData!$AW$63),"")</f>
        <v/>
      </c>
      <c r="AX63" t="str">
        <f ca="1">IFERROR(IF(0=LEN(ReferenceData!$AX$63),"",ReferenceData!$AX$63),"")</f>
        <v/>
      </c>
      <c r="AY63" t="str">
        <f ca="1">IFERROR(IF(0=LEN(ReferenceData!$AY$63),"",ReferenceData!$AY$63),"")</f>
        <v/>
      </c>
      <c r="AZ63" t="str">
        <f ca="1">IFERROR(IF(0=LEN(ReferenceData!$AZ$63),"",ReferenceData!$AZ$63),"")</f>
        <v/>
      </c>
      <c r="BA63" t="str">
        <f ca="1">IFERROR(IF(0=LEN(ReferenceData!$BA$63),"",ReferenceData!$BA$63),"")</f>
        <v/>
      </c>
      <c r="BB63" t="str">
        <f ca="1">IFERROR(IF(0=LEN(ReferenceData!$BB$63),"",ReferenceData!$BB$63),"")</f>
        <v/>
      </c>
      <c r="BC63" t="str">
        <f ca="1">IFERROR(IF(0=LEN(ReferenceData!$BC$63),"",ReferenceData!$BC$63),"")</f>
        <v/>
      </c>
      <c r="BD63" t="str">
        <f ca="1">IFERROR(IF(0=LEN(ReferenceData!$BD$63),"",ReferenceData!$BD$63),"")</f>
        <v/>
      </c>
      <c r="BE63" t="str">
        <f ca="1">IFERROR(IF(0=LEN(ReferenceData!$BE$63),"",ReferenceData!$BE$63),"")</f>
        <v/>
      </c>
      <c r="BF63" t="str">
        <f ca="1">IFERROR(IF(0=LEN(ReferenceData!$BF$63),"",ReferenceData!$BF$63),"")</f>
        <v/>
      </c>
      <c r="BG63" t="str">
        <f ca="1">IFERROR(IF(0=LEN(ReferenceData!$BG$63),"",ReferenceData!$BG$63),"")</f>
        <v/>
      </c>
      <c r="BH63" t="str">
        <f ca="1">IFERROR(IF(0=LEN(ReferenceData!$BH$63),"",ReferenceData!$BH$63),"")</f>
        <v/>
      </c>
      <c r="BI63" t="str">
        <f ca="1">IFERROR(IF(0=LEN(ReferenceData!$BI$63),"",ReferenceData!$BI$63),"")</f>
        <v/>
      </c>
      <c r="BJ63" t="str">
        <f ca="1">IFERROR(IF(0=LEN(ReferenceData!$BJ$63),"",ReferenceData!$BJ$63),"")</f>
        <v/>
      </c>
      <c r="BK63" t="str">
        <f ca="1">IFERROR(IF(0=LEN(ReferenceData!$BK$63),"",ReferenceData!$BK$63),"")</f>
        <v/>
      </c>
      <c r="BL63" t="str">
        <f ca="1">IFERROR(IF(0=LEN(ReferenceData!$BL$63),"",ReferenceData!$BL$63),"")</f>
        <v/>
      </c>
      <c r="BM63" t="str">
        <f ca="1">IFERROR(IF(0=LEN(ReferenceData!$BM$63),"",ReferenceData!$BM$63),"")</f>
        <v/>
      </c>
    </row>
    <row r="64" spans="1:65" x14ac:dyDescent="0.25">
      <c r="A64" t="str">
        <f>IFERROR(IF(0=LEN(ReferenceData!$A$64),"",ReferenceData!$A$64),"")</f>
        <v xml:space="preserve">    Honda Motor Co Ltd</v>
      </c>
      <c r="B64" t="str">
        <f>IFERROR(IF(0=LEN(ReferenceData!$B$64),"",ReferenceData!$B$64),"")</f>
        <v>7267 JP Equity</v>
      </c>
      <c r="C64" t="str">
        <f>IFERROR(IF(0=LEN(ReferenceData!$C$64),"",ReferenceData!$C$64),"")</f>
        <v>EZ019</v>
      </c>
      <c r="D64" t="str">
        <f>IFERROR(IF(0=LEN(ReferenceData!$D$64),"",ReferenceData!$D$64),"")</f>
        <v>BEST_EEPS_CUR_YR</v>
      </c>
      <c r="E64" t="str">
        <f>IFERROR(IF(0=LEN(ReferenceData!$E$64),"",ReferenceData!$E$64),"")</f>
        <v>Dynamic</v>
      </c>
      <c r="F64">
        <f ca="1">IFERROR(IF(0=LEN(ReferenceData!$F$64),"",ReferenceData!$F$64),"")</f>
        <v>3.7330000000000001</v>
      </c>
      <c r="G64">
        <f ca="1">IFERROR(IF(0=LEN(ReferenceData!$G$64),"",ReferenceData!$G$64),"")</f>
        <v>3.6309999999999998</v>
      </c>
      <c r="H64">
        <f ca="1">IFERROR(IF(0=LEN(ReferenceData!$H$64),"",ReferenceData!$H$64),"")</f>
        <v>3.552</v>
      </c>
      <c r="I64">
        <f ca="1">IFERROR(IF(0=LEN(ReferenceData!$I$64),"",ReferenceData!$I$64),"")</f>
        <v>3.657</v>
      </c>
      <c r="J64">
        <f ca="1">IFERROR(IF(0=LEN(ReferenceData!$J$64),"",ReferenceData!$J$64),"")</f>
        <v>4.0019999999999998</v>
      </c>
      <c r="K64">
        <f ca="1">IFERROR(IF(0=LEN(ReferenceData!$K$64),"",ReferenceData!$K$64),"")</f>
        <v>3.5819999999999999</v>
      </c>
      <c r="L64">
        <f ca="1">IFERROR(IF(0=LEN(ReferenceData!$L$64),"",ReferenceData!$L$64),"")</f>
        <v>3.355</v>
      </c>
      <c r="M64">
        <f ca="1">IFERROR(IF(0=LEN(ReferenceData!$M$64),"",ReferenceData!$M$64),"")</f>
        <v>3.339</v>
      </c>
      <c r="N64">
        <f ca="1">IFERROR(IF(0=LEN(ReferenceData!$N$64),"",ReferenceData!$N$64),"")</f>
        <v>3.33</v>
      </c>
      <c r="O64">
        <f ca="1">IFERROR(IF(0=LEN(ReferenceData!$O$64),"",ReferenceData!$O$64),"")</f>
        <v>2.9790000000000001</v>
      </c>
      <c r="P64">
        <f ca="1">IFERROR(IF(0=LEN(ReferenceData!$P$64),"",ReferenceData!$P$64),"")</f>
        <v>3.2949999999999999</v>
      </c>
      <c r="Q64">
        <f ca="1">IFERROR(IF(0=LEN(ReferenceData!$Q$64),"",ReferenceData!$Q$64),"")</f>
        <v>3.4340000000000002</v>
      </c>
      <c r="R64">
        <f ca="1">IFERROR(IF(0=LEN(ReferenceData!$R$64),"",ReferenceData!$R$64),"")</f>
        <v>3.952</v>
      </c>
      <c r="S64">
        <f ca="1">IFERROR(IF(0=LEN(ReferenceData!$S$64),"",ReferenceData!$S$64),"")</f>
        <v>4.2629999999999999</v>
      </c>
      <c r="T64">
        <f ca="1">IFERROR(IF(0=LEN(ReferenceData!$T$64),"",ReferenceData!$T$64),"")</f>
        <v>3.63</v>
      </c>
      <c r="U64">
        <f ca="1">IFERROR(IF(0=LEN(ReferenceData!$U$64),"",ReferenceData!$U$64),"")</f>
        <v>3.97</v>
      </c>
      <c r="V64">
        <f ca="1">IFERROR(IF(0=LEN(ReferenceData!$V$64),"",ReferenceData!$V$64),"")</f>
        <v>4.0090000000000003</v>
      </c>
      <c r="W64">
        <f ca="1">IFERROR(IF(0=LEN(ReferenceData!$W$64),"",ReferenceData!$W$64),"")</f>
        <v>4.1959999999999997</v>
      </c>
      <c r="X64">
        <f ca="1">IFERROR(IF(0=LEN(ReferenceData!$X$64),"",ReferenceData!$X$64),"")</f>
        <v>4.76</v>
      </c>
      <c r="Y64">
        <f ca="1">IFERROR(IF(0=LEN(ReferenceData!$Y$64),"",ReferenceData!$Y$64),"")</f>
        <v>4.8760000000000003</v>
      </c>
      <c r="Z64" t="str">
        <f ca="1">IFERROR(IF(0=LEN(ReferenceData!$Z$64),"",ReferenceData!$Z$64),"")</f>
        <v/>
      </c>
      <c r="AA64" t="str">
        <f ca="1">IFERROR(IF(0=LEN(ReferenceData!$AA$64),"",ReferenceData!$AA$64),"")</f>
        <v/>
      </c>
      <c r="AB64" t="str">
        <f ca="1">IFERROR(IF(0=LEN(ReferenceData!$AB$64),"",ReferenceData!$AB$64),"")</f>
        <v/>
      </c>
      <c r="AC64" t="str">
        <f ca="1">IFERROR(IF(0=LEN(ReferenceData!$AC$64),"",ReferenceData!$AC$64),"")</f>
        <v/>
      </c>
      <c r="AD64" t="str">
        <f ca="1">IFERROR(IF(0=LEN(ReferenceData!$AD$64),"",ReferenceData!$AD$64),"")</f>
        <v/>
      </c>
      <c r="AE64" t="str">
        <f ca="1">IFERROR(IF(0=LEN(ReferenceData!$AE$64),"",ReferenceData!$AE$64),"")</f>
        <v/>
      </c>
      <c r="AF64" t="str">
        <f ca="1">IFERROR(IF(0=LEN(ReferenceData!$AF$64),"",ReferenceData!$AF$64),"")</f>
        <v/>
      </c>
      <c r="AG64" t="str">
        <f ca="1">IFERROR(IF(0=LEN(ReferenceData!$AG$64),"",ReferenceData!$AG$64),"")</f>
        <v/>
      </c>
      <c r="AH64" t="str">
        <f ca="1">IFERROR(IF(0=LEN(ReferenceData!$AH$64),"",ReferenceData!$AH$64),"")</f>
        <v/>
      </c>
      <c r="AI64" t="str">
        <f ca="1">IFERROR(IF(0=LEN(ReferenceData!$AI$64),"",ReferenceData!$AI$64),"")</f>
        <v/>
      </c>
      <c r="AJ64" t="str">
        <f ca="1">IFERROR(IF(0=LEN(ReferenceData!$AJ$64),"",ReferenceData!$AJ$64),"")</f>
        <v/>
      </c>
      <c r="AK64" t="str">
        <f ca="1">IFERROR(IF(0=LEN(ReferenceData!$AK$64),"",ReferenceData!$AK$64),"")</f>
        <v/>
      </c>
      <c r="AL64" t="str">
        <f ca="1">IFERROR(IF(0=LEN(ReferenceData!$AL$64),"",ReferenceData!$AL$64),"")</f>
        <v/>
      </c>
      <c r="AM64" t="str">
        <f ca="1">IFERROR(IF(0=LEN(ReferenceData!$AM$64),"",ReferenceData!$AM$64),"")</f>
        <v/>
      </c>
      <c r="AN64" t="str">
        <f ca="1">IFERROR(IF(0=LEN(ReferenceData!$AN$64),"",ReferenceData!$AN$64),"")</f>
        <v/>
      </c>
      <c r="AO64" t="str">
        <f ca="1">IFERROR(IF(0=LEN(ReferenceData!$AO$64),"",ReferenceData!$AO$64),"")</f>
        <v/>
      </c>
      <c r="AP64" t="str">
        <f ca="1">IFERROR(IF(0=LEN(ReferenceData!$AP$64),"",ReferenceData!$AP$64),"")</f>
        <v/>
      </c>
      <c r="AQ64" t="str">
        <f ca="1">IFERROR(IF(0=LEN(ReferenceData!$AQ$64),"",ReferenceData!$AQ$64),"")</f>
        <v/>
      </c>
      <c r="AR64" t="str">
        <f ca="1">IFERROR(IF(0=LEN(ReferenceData!$AR$64),"",ReferenceData!$AR$64),"")</f>
        <v/>
      </c>
      <c r="AS64" t="str">
        <f ca="1">IFERROR(IF(0=LEN(ReferenceData!$AS$64),"",ReferenceData!$AS$64),"")</f>
        <v/>
      </c>
      <c r="AT64" t="str">
        <f ca="1">IFERROR(IF(0=LEN(ReferenceData!$AT$64),"",ReferenceData!$AT$64),"")</f>
        <v/>
      </c>
      <c r="AU64" t="str">
        <f ca="1">IFERROR(IF(0=LEN(ReferenceData!$AU$64),"",ReferenceData!$AU$64),"")</f>
        <v/>
      </c>
      <c r="AV64" t="str">
        <f ca="1">IFERROR(IF(0=LEN(ReferenceData!$AV$64),"",ReferenceData!$AV$64),"")</f>
        <v/>
      </c>
      <c r="AW64" t="str">
        <f ca="1">IFERROR(IF(0=LEN(ReferenceData!$AW$64),"",ReferenceData!$AW$64),"")</f>
        <v/>
      </c>
      <c r="AX64" t="str">
        <f ca="1">IFERROR(IF(0=LEN(ReferenceData!$AX$64),"",ReferenceData!$AX$64),"")</f>
        <v/>
      </c>
      <c r="AY64" t="str">
        <f ca="1">IFERROR(IF(0=LEN(ReferenceData!$AY$64),"",ReferenceData!$AY$64),"")</f>
        <v/>
      </c>
      <c r="AZ64" t="str">
        <f ca="1">IFERROR(IF(0=LEN(ReferenceData!$AZ$64),"",ReferenceData!$AZ$64),"")</f>
        <v/>
      </c>
      <c r="BA64" t="str">
        <f ca="1">IFERROR(IF(0=LEN(ReferenceData!$BA$64),"",ReferenceData!$BA$64),"")</f>
        <v/>
      </c>
      <c r="BB64" t="str">
        <f ca="1">IFERROR(IF(0=LEN(ReferenceData!$BB$64),"",ReferenceData!$BB$64),"")</f>
        <v/>
      </c>
      <c r="BC64" t="str">
        <f ca="1">IFERROR(IF(0=LEN(ReferenceData!$BC$64),"",ReferenceData!$BC$64),"")</f>
        <v/>
      </c>
      <c r="BD64" t="str">
        <f ca="1">IFERROR(IF(0=LEN(ReferenceData!$BD$64),"",ReferenceData!$BD$64),"")</f>
        <v/>
      </c>
      <c r="BE64" t="str">
        <f ca="1">IFERROR(IF(0=LEN(ReferenceData!$BE$64),"",ReferenceData!$BE$64),"")</f>
        <v/>
      </c>
      <c r="BF64" t="str">
        <f ca="1">IFERROR(IF(0=LEN(ReferenceData!$BF$64),"",ReferenceData!$BF$64),"")</f>
        <v/>
      </c>
      <c r="BG64" t="str">
        <f ca="1">IFERROR(IF(0=LEN(ReferenceData!$BG$64),"",ReferenceData!$BG$64),"")</f>
        <v/>
      </c>
      <c r="BH64" t="str">
        <f ca="1">IFERROR(IF(0=LEN(ReferenceData!$BH$64),"",ReferenceData!$BH$64),"")</f>
        <v/>
      </c>
      <c r="BI64" t="str">
        <f ca="1">IFERROR(IF(0=LEN(ReferenceData!$BI$64),"",ReferenceData!$BI$64),"")</f>
        <v/>
      </c>
      <c r="BJ64" t="str">
        <f ca="1">IFERROR(IF(0=LEN(ReferenceData!$BJ$64),"",ReferenceData!$BJ$64),"")</f>
        <v/>
      </c>
      <c r="BK64" t="str">
        <f ca="1">IFERROR(IF(0=LEN(ReferenceData!$BK$64),"",ReferenceData!$BK$64),"")</f>
        <v/>
      </c>
      <c r="BL64" t="str">
        <f ca="1">IFERROR(IF(0=LEN(ReferenceData!$BL$64),"",ReferenceData!$BL$64),"")</f>
        <v/>
      </c>
      <c r="BM64" t="str">
        <f ca="1">IFERROR(IF(0=LEN(ReferenceData!$BM$64),"",ReferenceData!$BM$64),"")</f>
        <v/>
      </c>
    </row>
    <row r="65" spans="1:65" x14ac:dyDescent="0.25">
      <c r="A65" t="str">
        <f>IFERROR(IF(0=LEN(ReferenceData!$A$65),"",ReferenceData!$A$65),"")</f>
        <v xml:space="preserve">    Hyundai Motor Co</v>
      </c>
      <c r="B65" t="str">
        <f>IFERROR(IF(0=LEN(ReferenceData!$B$65),"",ReferenceData!$B$65),"")</f>
        <v>005380 KS Equity</v>
      </c>
      <c r="C65" t="str">
        <f>IFERROR(IF(0=LEN(ReferenceData!$C$65),"",ReferenceData!$C$65),"")</f>
        <v>EZ019</v>
      </c>
      <c r="D65" t="str">
        <f>IFERROR(IF(0=LEN(ReferenceData!$D$65),"",ReferenceData!$D$65),"")</f>
        <v>BEST_EEPS_CUR_YR</v>
      </c>
      <c r="E65" t="str">
        <f>IFERROR(IF(0=LEN(ReferenceData!$E$65),"",ReferenceData!$E$65),"")</f>
        <v>Dynamic</v>
      </c>
      <c r="F65">
        <f ca="1">IFERROR(IF(0=LEN(ReferenceData!$F$65),"",ReferenceData!$F$65),"")</f>
        <v>12.117000000000001</v>
      </c>
      <c r="G65">
        <f ca="1">IFERROR(IF(0=LEN(ReferenceData!$G$65),"",ReferenceData!$G$65),"")</f>
        <v>13.079000000000001</v>
      </c>
      <c r="H65">
        <f ca="1">IFERROR(IF(0=LEN(ReferenceData!$H$65),"",ReferenceData!$H$65),"")</f>
        <v>15.693</v>
      </c>
      <c r="I65">
        <f ca="1">IFERROR(IF(0=LEN(ReferenceData!$I$65),"",ReferenceData!$I$65),"")</f>
        <v>16.327000000000002</v>
      </c>
      <c r="J65">
        <f ca="1">IFERROR(IF(0=LEN(ReferenceData!$J$65),"",ReferenceData!$J$65),"")</f>
        <v>18.282</v>
      </c>
      <c r="K65">
        <f ca="1">IFERROR(IF(0=LEN(ReferenceData!$K$65),"",ReferenceData!$K$65),"")</f>
        <v>20.742000000000001</v>
      </c>
      <c r="L65">
        <f ca="1">IFERROR(IF(0=LEN(ReferenceData!$L$65),"",ReferenceData!$L$65),"")</f>
        <v>19.327000000000002</v>
      </c>
      <c r="M65">
        <f ca="1">IFERROR(IF(0=LEN(ReferenceData!$M$65),"",ReferenceData!$M$65),"")</f>
        <v>21.677</v>
      </c>
      <c r="N65">
        <f ca="1">IFERROR(IF(0=LEN(ReferenceData!$N$65),"",ReferenceData!$N$65),"")</f>
        <v>21.931000000000001</v>
      </c>
      <c r="O65">
        <f ca="1">IFERROR(IF(0=LEN(ReferenceData!$O$65),"",ReferenceData!$O$65),"")</f>
        <v>22.399000000000001</v>
      </c>
      <c r="P65">
        <f ca="1">IFERROR(IF(0=LEN(ReferenceData!$P$65),"",ReferenceData!$P$65),"")</f>
        <v>24.111999999999998</v>
      </c>
      <c r="Q65">
        <f ca="1">IFERROR(IF(0=LEN(ReferenceData!$Q$65),"",ReferenceData!$Q$65),"")</f>
        <v>23.395</v>
      </c>
      <c r="R65">
        <f ca="1">IFERROR(IF(0=LEN(ReferenceData!$R$65),"",ReferenceData!$R$65),"")</f>
        <v>23.535</v>
      </c>
      <c r="S65">
        <f ca="1">IFERROR(IF(0=LEN(ReferenceData!$S$65),"",ReferenceData!$S$65),"")</f>
        <v>26.966000000000001</v>
      </c>
      <c r="T65">
        <f ca="1">IFERROR(IF(0=LEN(ReferenceData!$T$65),"",ReferenceData!$T$65),"")</f>
        <v>28.061</v>
      </c>
      <c r="U65">
        <f ca="1">IFERROR(IF(0=LEN(ReferenceData!$U$65),"",ReferenceData!$U$65),"")</f>
        <v>32.573999999999998</v>
      </c>
      <c r="V65">
        <f ca="1">IFERROR(IF(0=LEN(ReferenceData!$V$65),"",ReferenceData!$V$65),"")</f>
        <v>33.091000000000001</v>
      </c>
      <c r="W65" t="str">
        <f ca="1">IFERROR(IF(0=LEN(ReferenceData!$W$65),"",ReferenceData!$W$65),"")</f>
        <v/>
      </c>
      <c r="X65" t="str">
        <f ca="1">IFERROR(IF(0=LEN(ReferenceData!$X$65),"",ReferenceData!$X$65),"")</f>
        <v/>
      </c>
      <c r="Y65" t="str">
        <f ca="1">IFERROR(IF(0=LEN(ReferenceData!$Y$65),"",ReferenceData!$Y$65),"")</f>
        <v/>
      </c>
      <c r="Z65" t="str">
        <f ca="1">IFERROR(IF(0=LEN(ReferenceData!$Z$65),"",ReferenceData!$Z$65),"")</f>
        <v/>
      </c>
      <c r="AA65" t="str">
        <f ca="1">IFERROR(IF(0=LEN(ReferenceData!$AA$65),"",ReferenceData!$AA$65),"")</f>
        <v/>
      </c>
      <c r="AB65" t="str">
        <f ca="1">IFERROR(IF(0=LEN(ReferenceData!$AB$65),"",ReferenceData!$AB$65),"")</f>
        <v/>
      </c>
      <c r="AC65" t="str">
        <f ca="1">IFERROR(IF(0=LEN(ReferenceData!$AC$65),"",ReferenceData!$AC$65),"")</f>
        <v/>
      </c>
      <c r="AD65" t="str">
        <f ca="1">IFERROR(IF(0=LEN(ReferenceData!$AD$65),"",ReferenceData!$AD$65),"")</f>
        <v/>
      </c>
      <c r="AE65" t="str">
        <f ca="1">IFERROR(IF(0=LEN(ReferenceData!$AE$65),"",ReferenceData!$AE$65),"")</f>
        <v/>
      </c>
      <c r="AF65" t="str">
        <f ca="1">IFERROR(IF(0=LEN(ReferenceData!$AF$65),"",ReferenceData!$AF$65),"")</f>
        <v/>
      </c>
      <c r="AG65" t="str">
        <f ca="1">IFERROR(IF(0=LEN(ReferenceData!$AG$65),"",ReferenceData!$AG$65),"")</f>
        <v/>
      </c>
      <c r="AH65" t="str">
        <f ca="1">IFERROR(IF(0=LEN(ReferenceData!$AH$65),"",ReferenceData!$AH$65),"")</f>
        <v/>
      </c>
      <c r="AI65" t="str">
        <f ca="1">IFERROR(IF(0=LEN(ReferenceData!$AI$65),"",ReferenceData!$AI$65),"")</f>
        <v/>
      </c>
      <c r="AJ65" t="str">
        <f ca="1">IFERROR(IF(0=LEN(ReferenceData!$AJ$65),"",ReferenceData!$AJ$65),"")</f>
        <v/>
      </c>
      <c r="AK65" t="str">
        <f ca="1">IFERROR(IF(0=LEN(ReferenceData!$AK$65),"",ReferenceData!$AK$65),"")</f>
        <v/>
      </c>
      <c r="AL65" t="str">
        <f ca="1">IFERROR(IF(0=LEN(ReferenceData!$AL$65),"",ReferenceData!$AL$65),"")</f>
        <v/>
      </c>
      <c r="AM65" t="str">
        <f ca="1">IFERROR(IF(0=LEN(ReferenceData!$AM$65),"",ReferenceData!$AM$65),"")</f>
        <v/>
      </c>
      <c r="AN65" t="str">
        <f ca="1">IFERROR(IF(0=LEN(ReferenceData!$AN$65),"",ReferenceData!$AN$65),"")</f>
        <v/>
      </c>
      <c r="AO65" t="str">
        <f ca="1">IFERROR(IF(0=LEN(ReferenceData!$AO$65),"",ReferenceData!$AO$65),"")</f>
        <v/>
      </c>
      <c r="AP65" t="str">
        <f ca="1">IFERROR(IF(0=LEN(ReferenceData!$AP$65),"",ReferenceData!$AP$65),"")</f>
        <v/>
      </c>
      <c r="AQ65" t="str">
        <f ca="1">IFERROR(IF(0=LEN(ReferenceData!$AQ$65),"",ReferenceData!$AQ$65),"")</f>
        <v/>
      </c>
      <c r="AR65" t="str">
        <f ca="1">IFERROR(IF(0=LEN(ReferenceData!$AR$65),"",ReferenceData!$AR$65),"")</f>
        <v/>
      </c>
      <c r="AS65" t="str">
        <f ca="1">IFERROR(IF(0=LEN(ReferenceData!$AS$65),"",ReferenceData!$AS$65),"")</f>
        <v/>
      </c>
      <c r="AT65" t="str">
        <f ca="1">IFERROR(IF(0=LEN(ReferenceData!$AT$65),"",ReferenceData!$AT$65),"")</f>
        <v/>
      </c>
      <c r="AU65" t="str">
        <f ca="1">IFERROR(IF(0=LEN(ReferenceData!$AU$65),"",ReferenceData!$AU$65),"")</f>
        <v/>
      </c>
      <c r="AV65" t="str">
        <f ca="1">IFERROR(IF(0=LEN(ReferenceData!$AV$65),"",ReferenceData!$AV$65),"")</f>
        <v/>
      </c>
      <c r="AW65" t="str">
        <f ca="1">IFERROR(IF(0=LEN(ReferenceData!$AW$65),"",ReferenceData!$AW$65),"")</f>
        <v/>
      </c>
      <c r="AX65" t="str">
        <f ca="1">IFERROR(IF(0=LEN(ReferenceData!$AX$65),"",ReferenceData!$AX$65),"")</f>
        <v/>
      </c>
      <c r="AY65" t="str">
        <f ca="1">IFERROR(IF(0=LEN(ReferenceData!$AY$65),"",ReferenceData!$AY$65),"")</f>
        <v/>
      </c>
      <c r="AZ65" t="str">
        <f ca="1">IFERROR(IF(0=LEN(ReferenceData!$AZ$65),"",ReferenceData!$AZ$65),"")</f>
        <v/>
      </c>
      <c r="BA65" t="str">
        <f ca="1">IFERROR(IF(0=LEN(ReferenceData!$BA$65),"",ReferenceData!$BA$65),"")</f>
        <v/>
      </c>
      <c r="BB65" t="str">
        <f ca="1">IFERROR(IF(0=LEN(ReferenceData!$BB$65),"",ReferenceData!$BB$65),"")</f>
        <v/>
      </c>
      <c r="BC65" t="str">
        <f ca="1">IFERROR(IF(0=LEN(ReferenceData!$BC$65),"",ReferenceData!$BC$65),"")</f>
        <v/>
      </c>
      <c r="BD65" t="str">
        <f ca="1">IFERROR(IF(0=LEN(ReferenceData!$BD$65),"",ReferenceData!$BD$65),"")</f>
        <v/>
      </c>
      <c r="BE65" t="str">
        <f ca="1">IFERROR(IF(0=LEN(ReferenceData!$BE$65),"",ReferenceData!$BE$65),"")</f>
        <v/>
      </c>
      <c r="BF65" t="str">
        <f ca="1">IFERROR(IF(0=LEN(ReferenceData!$BF$65),"",ReferenceData!$BF$65),"")</f>
        <v/>
      </c>
      <c r="BG65" t="str">
        <f ca="1">IFERROR(IF(0=LEN(ReferenceData!$BG$65),"",ReferenceData!$BG$65),"")</f>
        <v/>
      </c>
      <c r="BH65" t="str">
        <f ca="1">IFERROR(IF(0=LEN(ReferenceData!$BH$65),"",ReferenceData!$BH$65),"")</f>
        <v/>
      </c>
      <c r="BI65" t="str">
        <f ca="1">IFERROR(IF(0=LEN(ReferenceData!$BI$65),"",ReferenceData!$BI$65),"")</f>
        <v/>
      </c>
      <c r="BJ65" t="str">
        <f ca="1">IFERROR(IF(0=LEN(ReferenceData!$BJ$65),"",ReferenceData!$BJ$65),"")</f>
        <v/>
      </c>
      <c r="BK65" t="str">
        <f ca="1">IFERROR(IF(0=LEN(ReferenceData!$BK$65),"",ReferenceData!$BK$65),"")</f>
        <v/>
      </c>
      <c r="BL65" t="str">
        <f ca="1">IFERROR(IF(0=LEN(ReferenceData!$BL$65),"",ReferenceData!$BL$65),"")</f>
        <v/>
      </c>
      <c r="BM65" t="str">
        <f ca="1">IFERROR(IF(0=LEN(ReferenceData!$BM$65),"",ReferenceData!$BM$65),"")</f>
        <v/>
      </c>
    </row>
    <row r="66" spans="1:65" x14ac:dyDescent="0.25">
      <c r="A66" t="str">
        <f>IFERROR(IF(0=LEN(ReferenceData!$A$66),"",ReferenceData!$A$66),"")</f>
        <v xml:space="preserve">    Kia Motors Corp</v>
      </c>
      <c r="B66" t="str">
        <f>IFERROR(IF(0=LEN(ReferenceData!$B$66),"",ReferenceData!$B$66),"")</f>
        <v>000270 KS Equity</v>
      </c>
      <c r="C66" t="str">
        <f>IFERROR(IF(0=LEN(ReferenceData!$C$66),"",ReferenceData!$C$66),"")</f>
        <v>EZ019</v>
      </c>
      <c r="D66" t="str">
        <f>IFERROR(IF(0=LEN(ReferenceData!$D$66),"",ReferenceData!$D$66),"")</f>
        <v>BEST_EEPS_CUR_YR</v>
      </c>
      <c r="E66" t="str">
        <f>IFERROR(IF(0=LEN(ReferenceData!$E$66),"",ReferenceData!$E$66),"")</f>
        <v>Dynamic</v>
      </c>
      <c r="F66">
        <f ca="1">IFERROR(IF(0=LEN(ReferenceData!$F$66),"",ReferenceData!$F$66),"")</f>
        <v>4.1059999999999999</v>
      </c>
      <c r="G66">
        <f ca="1">IFERROR(IF(0=LEN(ReferenceData!$G$66),"",ReferenceData!$G$66),"")</f>
        <v>4.26</v>
      </c>
      <c r="H66">
        <f ca="1">IFERROR(IF(0=LEN(ReferenceData!$H$66),"",ReferenceData!$H$66),"")</f>
        <v>4.8209999999999997</v>
      </c>
      <c r="I66">
        <f ca="1">IFERROR(IF(0=LEN(ReferenceData!$I$66),"",ReferenceData!$I$66),"")</f>
        <v>4.8730000000000002</v>
      </c>
      <c r="J66">
        <f ca="1">IFERROR(IF(0=LEN(ReferenceData!$J$66),"",ReferenceData!$J$66),"")</f>
        <v>5.2080000000000002</v>
      </c>
      <c r="K66">
        <f ca="1">IFERROR(IF(0=LEN(ReferenceData!$K$66),"",ReferenceData!$K$66),"")</f>
        <v>6.008</v>
      </c>
      <c r="L66">
        <f ca="1">IFERROR(IF(0=LEN(ReferenceData!$L$66),"",ReferenceData!$L$66),"")</f>
        <v>5.8049999999999997</v>
      </c>
      <c r="M66">
        <f ca="1">IFERROR(IF(0=LEN(ReferenceData!$M$66),"",ReferenceData!$M$66),"")</f>
        <v>6.4219999999999997</v>
      </c>
      <c r="N66">
        <f ca="1">IFERROR(IF(0=LEN(ReferenceData!$N$66),"",ReferenceData!$N$66),"")</f>
        <v>7.0339999999999998</v>
      </c>
      <c r="O66">
        <f ca="1">IFERROR(IF(0=LEN(ReferenceData!$O$66),"",ReferenceData!$O$66),"")</f>
        <v>6.9089999999999998</v>
      </c>
      <c r="P66">
        <f ca="1">IFERROR(IF(0=LEN(ReferenceData!$P$66),"",ReferenceData!$P$66),"")</f>
        <v>7.9370000000000003</v>
      </c>
      <c r="Q66">
        <f ca="1">IFERROR(IF(0=LEN(ReferenceData!$Q$66),"",ReferenceData!$Q$66),"")</f>
        <v>5.3609999999999998</v>
      </c>
      <c r="R66">
        <f ca="1">IFERROR(IF(0=LEN(ReferenceData!$R$66),"",ReferenceData!$R$66),"")</f>
        <v>5.9029999999999996</v>
      </c>
      <c r="S66">
        <f ca="1">IFERROR(IF(0=LEN(ReferenceData!$S$66),"",ReferenceData!$S$66),"")</f>
        <v>6.19</v>
      </c>
      <c r="T66">
        <f ca="1">IFERROR(IF(0=LEN(ReferenceData!$T$66),"",ReferenceData!$T$66),"")</f>
        <v>6.1740000000000004</v>
      </c>
      <c r="U66">
        <f ca="1">IFERROR(IF(0=LEN(ReferenceData!$U$66),"",ReferenceData!$U$66),"")</f>
        <v>7.26</v>
      </c>
      <c r="V66">
        <f ca="1">IFERROR(IF(0=LEN(ReferenceData!$V$66),"",ReferenceData!$V$66),"")</f>
        <v>8.1720000000000006</v>
      </c>
      <c r="W66" t="str">
        <f ca="1">IFERROR(IF(0=LEN(ReferenceData!$W$66),"",ReferenceData!$W$66),"")</f>
        <v/>
      </c>
      <c r="X66" t="str">
        <f ca="1">IFERROR(IF(0=LEN(ReferenceData!$X$66),"",ReferenceData!$X$66),"")</f>
        <v/>
      </c>
      <c r="Y66" t="str">
        <f ca="1">IFERROR(IF(0=LEN(ReferenceData!$Y$66),"",ReferenceData!$Y$66),"")</f>
        <v/>
      </c>
      <c r="Z66" t="str">
        <f ca="1">IFERROR(IF(0=LEN(ReferenceData!$Z$66),"",ReferenceData!$Z$66),"")</f>
        <v/>
      </c>
      <c r="AA66" t="str">
        <f ca="1">IFERROR(IF(0=LEN(ReferenceData!$AA$66),"",ReferenceData!$AA$66),"")</f>
        <v/>
      </c>
      <c r="AB66" t="str">
        <f ca="1">IFERROR(IF(0=LEN(ReferenceData!$AB$66),"",ReferenceData!$AB$66),"")</f>
        <v/>
      </c>
      <c r="AC66" t="str">
        <f ca="1">IFERROR(IF(0=LEN(ReferenceData!$AC$66),"",ReferenceData!$AC$66),"")</f>
        <v/>
      </c>
      <c r="AD66" t="str">
        <f ca="1">IFERROR(IF(0=LEN(ReferenceData!$AD$66),"",ReferenceData!$AD$66),"")</f>
        <v/>
      </c>
      <c r="AE66" t="str">
        <f ca="1">IFERROR(IF(0=LEN(ReferenceData!$AE$66),"",ReferenceData!$AE$66),"")</f>
        <v/>
      </c>
      <c r="AF66" t="str">
        <f ca="1">IFERROR(IF(0=LEN(ReferenceData!$AF$66),"",ReferenceData!$AF$66),"")</f>
        <v/>
      </c>
      <c r="AG66" t="str">
        <f ca="1">IFERROR(IF(0=LEN(ReferenceData!$AG$66),"",ReferenceData!$AG$66),"")</f>
        <v/>
      </c>
      <c r="AH66" t="str">
        <f ca="1">IFERROR(IF(0=LEN(ReferenceData!$AH$66),"",ReferenceData!$AH$66),"")</f>
        <v/>
      </c>
      <c r="AI66" t="str">
        <f ca="1">IFERROR(IF(0=LEN(ReferenceData!$AI$66),"",ReferenceData!$AI$66),"")</f>
        <v/>
      </c>
      <c r="AJ66" t="str">
        <f ca="1">IFERROR(IF(0=LEN(ReferenceData!$AJ$66),"",ReferenceData!$AJ$66),"")</f>
        <v/>
      </c>
      <c r="AK66" t="str">
        <f ca="1">IFERROR(IF(0=LEN(ReferenceData!$AK$66),"",ReferenceData!$AK$66),"")</f>
        <v/>
      </c>
      <c r="AL66" t="str">
        <f ca="1">IFERROR(IF(0=LEN(ReferenceData!$AL$66),"",ReferenceData!$AL$66),"")</f>
        <v/>
      </c>
      <c r="AM66" t="str">
        <f ca="1">IFERROR(IF(0=LEN(ReferenceData!$AM$66),"",ReferenceData!$AM$66),"")</f>
        <v/>
      </c>
      <c r="AN66" t="str">
        <f ca="1">IFERROR(IF(0=LEN(ReferenceData!$AN$66),"",ReferenceData!$AN$66),"")</f>
        <v/>
      </c>
      <c r="AO66" t="str">
        <f ca="1">IFERROR(IF(0=LEN(ReferenceData!$AO$66),"",ReferenceData!$AO$66),"")</f>
        <v/>
      </c>
      <c r="AP66" t="str">
        <f ca="1">IFERROR(IF(0=LEN(ReferenceData!$AP$66),"",ReferenceData!$AP$66),"")</f>
        <v/>
      </c>
      <c r="AQ66" t="str">
        <f ca="1">IFERROR(IF(0=LEN(ReferenceData!$AQ$66),"",ReferenceData!$AQ$66),"")</f>
        <v/>
      </c>
      <c r="AR66" t="str">
        <f ca="1">IFERROR(IF(0=LEN(ReferenceData!$AR$66),"",ReferenceData!$AR$66),"")</f>
        <v/>
      </c>
      <c r="AS66" t="str">
        <f ca="1">IFERROR(IF(0=LEN(ReferenceData!$AS$66),"",ReferenceData!$AS$66),"")</f>
        <v/>
      </c>
      <c r="AT66" t="str">
        <f ca="1">IFERROR(IF(0=LEN(ReferenceData!$AT$66),"",ReferenceData!$AT$66),"")</f>
        <v/>
      </c>
      <c r="AU66" t="str">
        <f ca="1">IFERROR(IF(0=LEN(ReferenceData!$AU$66),"",ReferenceData!$AU$66),"")</f>
        <v/>
      </c>
      <c r="AV66" t="str">
        <f ca="1">IFERROR(IF(0=LEN(ReferenceData!$AV$66),"",ReferenceData!$AV$66),"")</f>
        <v/>
      </c>
      <c r="AW66" t="str">
        <f ca="1">IFERROR(IF(0=LEN(ReferenceData!$AW$66),"",ReferenceData!$AW$66),"")</f>
        <v/>
      </c>
      <c r="AX66" t="str">
        <f ca="1">IFERROR(IF(0=LEN(ReferenceData!$AX$66),"",ReferenceData!$AX$66),"")</f>
        <v/>
      </c>
      <c r="AY66" t="str">
        <f ca="1">IFERROR(IF(0=LEN(ReferenceData!$AY$66),"",ReferenceData!$AY$66),"")</f>
        <v/>
      </c>
      <c r="AZ66" t="str">
        <f ca="1">IFERROR(IF(0=LEN(ReferenceData!$AZ$66),"",ReferenceData!$AZ$66),"")</f>
        <v/>
      </c>
      <c r="BA66" t="str">
        <f ca="1">IFERROR(IF(0=LEN(ReferenceData!$BA$66),"",ReferenceData!$BA$66),"")</f>
        <v/>
      </c>
      <c r="BB66" t="str">
        <f ca="1">IFERROR(IF(0=LEN(ReferenceData!$BB$66),"",ReferenceData!$BB$66),"")</f>
        <v/>
      </c>
      <c r="BC66" t="str">
        <f ca="1">IFERROR(IF(0=LEN(ReferenceData!$BC$66),"",ReferenceData!$BC$66),"")</f>
        <v/>
      </c>
      <c r="BD66" t="str">
        <f ca="1">IFERROR(IF(0=LEN(ReferenceData!$BD$66),"",ReferenceData!$BD$66),"")</f>
        <v/>
      </c>
      <c r="BE66" t="str">
        <f ca="1">IFERROR(IF(0=LEN(ReferenceData!$BE$66),"",ReferenceData!$BE$66),"")</f>
        <v/>
      </c>
      <c r="BF66" t="str">
        <f ca="1">IFERROR(IF(0=LEN(ReferenceData!$BF$66),"",ReferenceData!$BF$66),"")</f>
        <v/>
      </c>
      <c r="BG66" t="str">
        <f ca="1">IFERROR(IF(0=LEN(ReferenceData!$BG$66),"",ReferenceData!$BG$66),"")</f>
        <v/>
      </c>
      <c r="BH66" t="str">
        <f ca="1">IFERROR(IF(0=LEN(ReferenceData!$BH$66),"",ReferenceData!$BH$66),"")</f>
        <v/>
      </c>
      <c r="BI66" t="str">
        <f ca="1">IFERROR(IF(0=LEN(ReferenceData!$BI$66),"",ReferenceData!$BI$66),"")</f>
        <v/>
      </c>
      <c r="BJ66" t="str">
        <f ca="1">IFERROR(IF(0=LEN(ReferenceData!$BJ$66),"",ReferenceData!$BJ$66),"")</f>
        <v/>
      </c>
      <c r="BK66" t="str">
        <f ca="1">IFERROR(IF(0=LEN(ReferenceData!$BK$66),"",ReferenceData!$BK$66),"")</f>
        <v/>
      </c>
      <c r="BL66" t="str">
        <f ca="1">IFERROR(IF(0=LEN(ReferenceData!$BL$66),"",ReferenceData!$BL$66),"")</f>
        <v/>
      </c>
      <c r="BM66" t="str">
        <f ca="1">IFERROR(IF(0=LEN(ReferenceData!$BM$66),"",ReferenceData!$BM$66),"")</f>
        <v/>
      </c>
    </row>
    <row r="67" spans="1:65" x14ac:dyDescent="0.25">
      <c r="A67" t="str">
        <f>IFERROR(IF(0=LEN(ReferenceData!$A$67),"",ReferenceData!$A$67),"")</f>
        <v xml:space="preserve">    Mazda Motor Corp</v>
      </c>
      <c r="B67" t="str">
        <f>IFERROR(IF(0=LEN(ReferenceData!$B$67),"",ReferenceData!$B$67),"")</f>
        <v>7261 JP Equity</v>
      </c>
      <c r="C67" t="str">
        <f>IFERROR(IF(0=LEN(ReferenceData!$C$67),"",ReferenceData!$C$67),"")</f>
        <v>EZ019</v>
      </c>
      <c r="D67" t="str">
        <f>IFERROR(IF(0=LEN(ReferenceData!$D$67),"",ReferenceData!$D$67),"")</f>
        <v>BEST_EEPS_CUR_YR</v>
      </c>
      <c r="E67" t="str">
        <f>IFERROR(IF(0=LEN(ReferenceData!$E$67),"",ReferenceData!$E$67),"")</f>
        <v>Dynamic</v>
      </c>
      <c r="F67">
        <f ca="1">IFERROR(IF(0=LEN(ReferenceData!$F$67),"",ReferenceData!$F$67),"")</f>
        <v>0.83899999999999997</v>
      </c>
      <c r="G67">
        <f ca="1">IFERROR(IF(0=LEN(ReferenceData!$G$67),"",ReferenceData!$G$67),"")</f>
        <v>0.83399999999999996</v>
      </c>
      <c r="H67">
        <f ca="1">IFERROR(IF(0=LEN(ReferenceData!$H$67),"",ReferenceData!$H$67),"")</f>
        <v>1.151</v>
      </c>
      <c r="I67">
        <f ca="1">IFERROR(IF(0=LEN(ReferenceData!$I$67),"",ReferenceData!$I$67),"")</f>
        <v>1.3089999999999999</v>
      </c>
      <c r="J67">
        <f ca="1">IFERROR(IF(0=LEN(ReferenceData!$J$67),"",ReferenceData!$J$67),"")</f>
        <v>1.6879999999999999</v>
      </c>
      <c r="K67">
        <f ca="1">IFERROR(IF(0=LEN(ReferenceData!$K$67),"",ReferenceData!$K$67),"")</f>
        <v>1.7450000000000001</v>
      </c>
      <c r="L67">
        <f ca="1">IFERROR(IF(0=LEN(ReferenceData!$L$67),"",ReferenceData!$L$67),"")</f>
        <v>1.954</v>
      </c>
      <c r="M67">
        <f ca="1">IFERROR(IF(0=LEN(ReferenceData!$M$67),"",ReferenceData!$M$67),"")</f>
        <v>1.923</v>
      </c>
      <c r="N67">
        <f ca="1">IFERROR(IF(0=LEN(ReferenceData!$N$67),"",ReferenceData!$N$67),"")</f>
        <v>2.2490000000000001</v>
      </c>
      <c r="O67">
        <f ca="1">IFERROR(IF(0=LEN(ReferenceData!$O$67),"",ReferenceData!$O$67),"")</f>
        <v>2.1480000000000001</v>
      </c>
      <c r="P67">
        <f ca="1">IFERROR(IF(0=LEN(ReferenceData!$P$67),"",ReferenceData!$P$67),"")</f>
        <v>2.4209999999999998</v>
      </c>
      <c r="Q67">
        <f ca="1">IFERROR(IF(0=LEN(ReferenceData!$Q$67),"",ReferenceData!$Q$67),"")</f>
        <v>2.6549999999999998</v>
      </c>
      <c r="R67">
        <f ca="1">IFERROR(IF(0=LEN(ReferenceData!$R$67),"",ReferenceData!$R$67),"")</f>
        <v>2.77</v>
      </c>
      <c r="S67">
        <f ca="1">IFERROR(IF(0=LEN(ReferenceData!$S$67),"",ReferenceData!$S$67),"")</f>
        <v>3.2669999999999999</v>
      </c>
      <c r="T67">
        <f ca="1">IFERROR(IF(0=LEN(ReferenceData!$T$67),"",ReferenceData!$T$67),"")</f>
        <v>2.8650000000000002</v>
      </c>
      <c r="U67">
        <f ca="1">IFERROR(IF(0=LEN(ReferenceData!$U$67),"",ReferenceData!$U$67),"")</f>
        <v>3.03</v>
      </c>
      <c r="V67">
        <f ca="1">IFERROR(IF(0=LEN(ReferenceData!$V$67),"",ReferenceData!$V$67),"")</f>
        <v>2.68</v>
      </c>
      <c r="W67">
        <f ca="1">IFERROR(IF(0=LEN(ReferenceData!$W$67),"",ReferenceData!$W$67),"")</f>
        <v>3.0990000000000002</v>
      </c>
      <c r="X67">
        <f ca="1">IFERROR(IF(0=LEN(ReferenceData!$X$67),"",ReferenceData!$X$67),"")</f>
        <v>3.4729999999999999</v>
      </c>
      <c r="Y67">
        <f ca="1">IFERROR(IF(0=LEN(ReferenceData!$Y$67),"",ReferenceData!$Y$67),"")</f>
        <v>3.2309999999999999</v>
      </c>
      <c r="Z67" t="str">
        <f ca="1">IFERROR(IF(0=LEN(ReferenceData!$Z$67),"",ReferenceData!$Z$67),"")</f>
        <v/>
      </c>
      <c r="AA67" t="str">
        <f ca="1">IFERROR(IF(0=LEN(ReferenceData!$AA$67),"",ReferenceData!$AA$67),"")</f>
        <v/>
      </c>
      <c r="AB67" t="str">
        <f ca="1">IFERROR(IF(0=LEN(ReferenceData!$AB$67),"",ReferenceData!$AB$67),"")</f>
        <v/>
      </c>
      <c r="AC67" t="str">
        <f ca="1">IFERROR(IF(0=LEN(ReferenceData!$AC$67),"",ReferenceData!$AC$67),"")</f>
        <v/>
      </c>
      <c r="AD67" t="str">
        <f ca="1">IFERROR(IF(0=LEN(ReferenceData!$AD$67),"",ReferenceData!$AD$67),"")</f>
        <v/>
      </c>
      <c r="AE67" t="str">
        <f ca="1">IFERROR(IF(0=LEN(ReferenceData!$AE$67),"",ReferenceData!$AE$67),"")</f>
        <v/>
      </c>
      <c r="AF67" t="str">
        <f ca="1">IFERROR(IF(0=LEN(ReferenceData!$AF$67),"",ReferenceData!$AF$67),"")</f>
        <v/>
      </c>
      <c r="AG67" t="str">
        <f ca="1">IFERROR(IF(0=LEN(ReferenceData!$AG$67),"",ReferenceData!$AG$67),"")</f>
        <v/>
      </c>
      <c r="AH67" t="str">
        <f ca="1">IFERROR(IF(0=LEN(ReferenceData!$AH$67),"",ReferenceData!$AH$67),"")</f>
        <v/>
      </c>
      <c r="AI67" t="str">
        <f ca="1">IFERROR(IF(0=LEN(ReferenceData!$AI$67),"",ReferenceData!$AI$67),"")</f>
        <v/>
      </c>
      <c r="AJ67" t="str">
        <f ca="1">IFERROR(IF(0=LEN(ReferenceData!$AJ$67),"",ReferenceData!$AJ$67),"")</f>
        <v/>
      </c>
      <c r="AK67" t="str">
        <f ca="1">IFERROR(IF(0=LEN(ReferenceData!$AK$67),"",ReferenceData!$AK$67),"")</f>
        <v/>
      </c>
      <c r="AL67" t="str">
        <f ca="1">IFERROR(IF(0=LEN(ReferenceData!$AL$67),"",ReferenceData!$AL$67),"")</f>
        <v/>
      </c>
      <c r="AM67" t="str">
        <f ca="1">IFERROR(IF(0=LEN(ReferenceData!$AM$67),"",ReferenceData!$AM$67),"")</f>
        <v/>
      </c>
      <c r="AN67" t="str">
        <f ca="1">IFERROR(IF(0=LEN(ReferenceData!$AN$67),"",ReferenceData!$AN$67),"")</f>
        <v/>
      </c>
      <c r="AO67" t="str">
        <f ca="1">IFERROR(IF(0=LEN(ReferenceData!$AO$67),"",ReferenceData!$AO$67),"")</f>
        <v/>
      </c>
      <c r="AP67" t="str">
        <f ca="1">IFERROR(IF(0=LEN(ReferenceData!$AP$67),"",ReferenceData!$AP$67),"")</f>
        <v/>
      </c>
      <c r="AQ67" t="str">
        <f ca="1">IFERROR(IF(0=LEN(ReferenceData!$AQ$67),"",ReferenceData!$AQ$67),"")</f>
        <v/>
      </c>
      <c r="AR67" t="str">
        <f ca="1">IFERROR(IF(0=LEN(ReferenceData!$AR$67),"",ReferenceData!$AR$67),"")</f>
        <v/>
      </c>
      <c r="AS67" t="str">
        <f ca="1">IFERROR(IF(0=LEN(ReferenceData!$AS$67),"",ReferenceData!$AS$67),"")</f>
        <v/>
      </c>
      <c r="AT67" t="str">
        <f ca="1">IFERROR(IF(0=LEN(ReferenceData!$AT$67),"",ReferenceData!$AT$67),"")</f>
        <v/>
      </c>
      <c r="AU67" t="str">
        <f ca="1">IFERROR(IF(0=LEN(ReferenceData!$AU$67),"",ReferenceData!$AU$67),"")</f>
        <v/>
      </c>
      <c r="AV67" t="str">
        <f ca="1">IFERROR(IF(0=LEN(ReferenceData!$AV$67),"",ReferenceData!$AV$67),"")</f>
        <v/>
      </c>
      <c r="AW67" t="str">
        <f ca="1">IFERROR(IF(0=LEN(ReferenceData!$AW$67),"",ReferenceData!$AW$67),"")</f>
        <v/>
      </c>
      <c r="AX67" t="str">
        <f ca="1">IFERROR(IF(0=LEN(ReferenceData!$AX$67),"",ReferenceData!$AX$67),"")</f>
        <v/>
      </c>
      <c r="AY67" t="str">
        <f ca="1">IFERROR(IF(0=LEN(ReferenceData!$AY$67),"",ReferenceData!$AY$67),"")</f>
        <v/>
      </c>
      <c r="AZ67" t="str">
        <f ca="1">IFERROR(IF(0=LEN(ReferenceData!$AZ$67),"",ReferenceData!$AZ$67),"")</f>
        <v/>
      </c>
      <c r="BA67" t="str">
        <f ca="1">IFERROR(IF(0=LEN(ReferenceData!$BA$67),"",ReferenceData!$BA$67),"")</f>
        <v/>
      </c>
      <c r="BB67" t="str">
        <f ca="1">IFERROR(IF(0=LEN(ReferenceData!$BB$67),"",ReferenceData!$BB$67),"")</f>
        <v/>
      </c>
      <c r="BC67" t="str">
        <f ca="1">IFERROR(IF(0=LEN(ReferenceData!$BC$67),"",ReferenceData!$BC$67),"")</f>
        <v/>
      </c>
      <c r="BD67" t="str">
        <f ca="1">IFERROR(IF(0=LEN(ReferenceData!$BD$67),"",ReferenceData!$BD$67),"")</f>
        <v/>
      </c>
      <c r="BE67" t="str">
        <f ca="1">IFERROR(IF(0=LEN(ReferenceData!$BE$67),"",ReferenceData!$BE$67),"")</f>
        <v/>
      </c>
      <c r="BF67" t="str">
        <f ca="1">IFERROR(IF(0=LEN(ReferenceData!$BF$67),"",ReferenceData!$BF$67),"")</f>
        <v/>
      </c>
      <c r="BG67" t="str">
        <f ca="1">IFERROR(IF(0=LEN(ReferenceData!$BG$67),"",ReferenceData!$BG$67),"")</f>
        <v/>
      </c>
      <c r="BH67" t="str">
        <f ca="1">IFERROR(IF(0=LEN(ReferenceData!$BH$67),"",ReferenceData!$BH$67),"")</f>
        <v/>
      </c>
      <c r="BI67" t="str">
        <f ca="1">IFERROR(IF(0=LEN(ReferenceData!$BI$67),"",ReferenceData!$BI$67),"")</f>
        <v/>
      </c>
      <c r="BJ67" t="str">
        <f ca="1">IFERROR(IF(0=LEN(ReferenceData!$BJ$67),"",ReferenceData!$BJ$67),"")</f>
        <v/>
      </c>
      <c r="BK67" t="str">
        <f ca="1">IFERROR(IF(0=LEN(ReferenceData!$BK$67),"",ReferenceData!$BK$67),"")</f>
        <v/>
      </c>
      <c r="BL67" t="str">
        <f ca="1">IFERROR(IF(0=LEN(ReferenceData!$BL$67),"",ReferenceData!$BL$67),"")</f>
        <v/>
      </c>
      <c r="BM67" t="str">
        <f ca="1">IFERROR(IF(0=LEN(ReferenceData!$BM$67),"",ReferenceData!$BM$67),"")</f>
        <v/>
      </c>
    </row>
    <row r="68" spans="1:65" x14ac:dyDescent="0.25">
      <c r="A68" t="str">
        <f>IFERROR(IF(0=LEN(ReferenceData!$A$68),"",ReferenceData!$A$68),"")</f>
        <v xml:space="preserve">    Mitsubishi Motors Corp</v>
      </c>
      <c r="B68" t="str">
        <f>IFERROR(IF(0=LEN(ReferenceData!$B$68),"",ReferenceData!$B$68),"")</f>
        <v>7211 JP Equity</v>
      </c>
      <c r="C68" t="str">
        <f>IFERROR(IF(0=LEN(ReferenceData!$C$68),"",ReferenceData!$C$68),"")</f>
        <v>EZ019</v>
      </c>
      <c r="D68" t="str">
        <f>IFERROR(IF(0=LEN(ReferenceData!$D$68),"",ReferenceData!$D$68),"")</f>
        <v>BEST_EEPS_CUR_YR</v>
      </c>
      <c r="E68" t="str">
        <f>IFERROR(IF(0=LEN(ReferenceData!$E$68),"",ReferenceData!$E$68),"")</f>
        <v>Dynamic</v>
      </c>
      <c r="F68">
        <f ca="1">IFERROR(IF(0=LEN(ReferenceData!$F$68),"",ReferenceData!$F$68),"")</f>
        <v>0.67</v>
      </c>
      <c r="G68">
        <f ca="1">IFERROR(IF(0=LEN(ReferenceData!$G$68),"",ReferenceData!$G$68),"")</f>
        <v>0.67700000000000005</v>
      </c>
      <c r="H68">
        <f ca="1">IFERROR(IF(0=LEN(ReferenceData!$H$68),"",ReferenceData!$H$68),"")</f>
        <v>0.68400000000000005</v>
      </c>
      <c r="I68">
        <f ca="1">IFERROR(IF(0=LEN(ReferenceData!$I$68),"",ReferenceData!$I$68),"")</f>
        <v>0.69</v>
      </c>
      <c r="J68">
        <f ca="1">IFERROR(IF(0=LEN(ReferenceData!$J$68),"",ReferenceData!$J$68),"")</f>
        <v>0.64500000000000002</v>
      </c>
      <c r="K68">
        <f ca="1">IFERROR(IF(0=LEN(ReferenceData!$K$68),"",ReferenceData!$K$68),"")</f>
        <v>0.61599999999999999</v>
      </c>
      <c r="L68">
        <f ca="1">IFERROR(IF(0=LEN(ReferenceData!$L$68),"",ReferenceData!$L$68),"")</f>
        <v>0.59499999999999997</v>
      </c>
      <c r="M68">
        <f ca="1">IFERROR(IF(0=LEN(ReferenceData!$M$68),"",ReferenceData!$M$68),"")</f>
        <v>0.49</v>
      </c>
      <c r="N68">
        <f ca="1">IFERROR(IF(0=LEN(ReferenceData!$N$68),"",ReferenceData!$N$68),"")</f>
        <v>0.54700000000000004</v>
      </c>
      <c r="O68">
        <f ca="1">IFERROR(IF(0=LEN(ReferenceData!$O$68),"",ReferenceData!$O$68),"")</f>
        <v>0.42399999999999999</v>
      </c>
      <c r="P68">
        <f ca="1">IFERROR(IF(0=LEN(ReferenceData!$P$68),"",ReferenceData!$P$68),"")</f>
        <v>0.433</v>
      </c>
      <c r="Q68">
        <f ca="1">IFERROR(IF(0=LEN(ReferenceData!$Q$68),"",ReferenceData!$Q$68),"")</f>
        <v>0.53600000000000003</v>
      </c>
      <c r="R68" t="str">
        <f ca="1">IFERROR(IF(0=LEN(ReferenceData!$R$68),"",ReferenceData!$R$68),"")</f>
        <v/>
      </c>
      <c r="S68" t="str">
        <f ca="1">IFERROR(IF(0=LEN(ReferenceData!$S$68),"",ReferenceData!$S$68),"")</f>
        <v/>
      </c>
      <c r="T68" t="str">
        <f ca="1">IFERROR(IF(0=LEN(ReferenceData!$T$68),"",ReferenceData!$T$68),"")</f>
        <v/>
      </c>
      <c r="U68" t="str">
        <f ca="1">IFERROR(IF(0=LEN(ReferenceData!$U$68),"",ReferenceData!$U$68),"")</f>
        <v/>
      </c>
      <c r="V68" t="str">
        <f ca="1">IFERROR(IF(0=LEN(ReferenceData!$V$68),"",ReferenceData!$V$68),"")</f>
        <v/>
      </c>
      <c r="W68" t="str">
        <f ca="1">IFERROR(IF(0=LEN(ReferenceData!$W$68),"",ReferenceData!$W$68),"")</f>
        <v/>
      </c>
      <c r="X68" t="str">
        <f ca="1">IFERROR(IF(0=LEN(ReferenceData!$X$68),"",ReferenceData!$X$68),"")</f>
        <v/>
      </c>
      <c r="Y68" t="str">
        <f ca="1">IFERROR(IF(0=LEN(ReferenceData!$Y$68),"",ReferenceData!$Y$68),"")</f>
        <v/>
      </c>
      <c r="Z68" t="str">
        <f ca="1">IFERROR(IF(0=LEN(ReferenceData!$Z$68),"",ReferenceData!$Z$68),"")</f>
        <v/>
      </c>
      <c r="AA68" t="str">
        <f ca="1">IFERROR(IF(0=LEN(ReferenceData!$AA$68),"",ReferenceData!$AA$68),"")</f>
        <v/>
      </c>
      <c r="AB68" t="str">
        <f ca="1">IFERROR(IF(0=LEN(ReferenceData!$AB$68),"",ReferenceData!$AB$68),"")</f>
        <v/>
      </c>
      <c r="AC68" t="str">
        <f ca="1">IFERROR(IF(0=LEN(ReferenceData!$AC$68),"",ReferenceData!$AC$68),"")</f>
        <v/>
      </c>
      <c r="AD68" t="str">
        <f ca="1">IFERROR(IF(0=LEN(ReferenceData!$AD$68),"",ReferenceData!$AD$68),"")</f>
        <v/>
      </c>
      <c r="AE68" t="str">
        <f ca="1">IFERROR(IF(0=LEN(ReferenceData!$AE$68),"",ReferenceData!$AE$68),"")</f>
        <v/>
      </c>
      <c r="AF68" t="str">
        <f ca="1">IFERROR(IF(0=LEN(ReferenceData!$AF$68),"",ReferenceData!$AF$68),"")</f>
        <v/>
      </c>
      <c r="AG68" t="str">
        <f ca="1">IFERROR(IF(0=LEN(ReferenceData!$AG$68),"",ReferenceData!$AG$68),"")</f>
        <v/>
      </c>
      <c r="AH68" t="str">
        <f ca="1">IFERROR(IF(0=LEN(ReferenceData!$AH$68),"",ReferenceData!$AH$68),"")</f>
        <v/>
      </c>
      <c r="AI68" t="str">
        <f ca="1">IFERROR(IF(0=LEN(ReferenceData!$AI$68),"",ReferenceData!$AI$68),"")</f>
        <v/>
      </c>
      <c r="AJ68" t="str">
        <f ca="1">IFERROR(IF(0=LEN(ReferenceData!$AJ$68),"",ReferenceData!$AJ$68),"")</f>
        <v/>
      </c>
      <c r="AK68" t="str">
        <f ca="1">IFERROR(IF(0=LEN(ReferenceData!$AK$68),"",ReferenceData!$AK$68),"")</f>
        <v/>
      </c>
      <c r="AL68" t="str">
        <f ca="1">IFERROR(IF(0=LEN(ReferenceData!$AL$68),"",ReferenceData!$AL$68),"")</f>
        <v/>
      </c>
      <c r="AM68" t="str">
        <f ca="1">IFERROR(IF(0=LEN(ReferenceData!$AM$68),"",ReferenceData!$AM$68),"")</f>
        <v/>
      </c>
      <c r="AN68" t="str">
        <f ca="1">IFERROR(IF(0=LEN(ReferenceData!$AN$68),"",ReferenceData!$AN$68),"")</f>
        <v/>
      </c>
      <c r="AO68" t="str">
        <f ca="1">IFERROR(IF(0=LEN(ReferenceData!$AO$68),"",ReferenceData!$AO$68),"")</f>
        <v/>
      </c>
      <c r="AP68" t="str">
        <f ca="1">IFERROR(IF(0=LEN(ReferenceData!$AP$68),"",ReferenceData!$AP$68),"")</f>
        <v/>
      </c>
      <c r="AQ68" t="str">
        <f ca="1">IFERROR(IF(0=LEN(ReferenceData!$AQ$68),"",ReferenceData!$AQ$68),"")</f>
        <v/>
      </c>
      <c r="AR68" t="str">
        <f ca="1">IFERROR(IF(0=LEN(ReferenceData!$AR$68),"",ReferenceData!$AR$68),"")</f>
        <v/>
      </c>
      <c r="AS68" t="str">
        <f ca="1">IFERROR(IF(0=LEN(ReferenceData!$AS$68),"",ReferenceData!$AS$68),"")</f>
        <v/>
      </c>
      <c r="AT68" t="str">
        <f ca="1">IFERROR(IF(0=LEN(ReferenceData!$AT$68),"",ReferenceData!$AT$68),"")</f>
        <v/>
      </c>
      <c r="AU68" t="str">
        <f ca="1">IFERROR(IF(0=LEN(ReferenceData!$AU$68),"",ReferenceData!$AU$68),"")</f>
        <v/>
      </c>
      <c r="AV68" t="str">
        <f ca="1">IFERROR(IF(0=LEN(ReferenceData!$AV$68),"",ReferenceData!$AV$68),"")</f>
        <v/>
      </c>
      <c r="AW68" t="str">
        <f ca="1">IFERROR(IF(0=LEN(ReferenceData!$AW$68),"",ReferenceData!$AW$68),"")</f>
        <v/>
      </c>
      <c r="AX68" t="str">
        <f ca="1">IFERROR(IF(0=LEN(ReferenceData!$AX$68),"",ReferenceData!$AX$68),"")</f>
        <v/>
      </c>
      <c r="AY68" t="str">
        <f ca="1">IFERROR(IF(0=LEN(ReferenceData!$AY$68),"",ReferenceData!$AY$68),"")</f>
        <v/>
      </c>
      <c r="AZ68" t="str">
        <f ca="1">IFERROR(IF(0=LEN(ReferenceData!$AZ$68),"",ReferenceData!$AZ$68),"")</f>
        <v/>
      </c>
      <c r="BA68" t="str">
        <f ca="1">IFERROR(IF(0=LEN(ReferenceData!$BA$68),"",ReferenceData!$BA$68),"")</f>
        <v/>
      </c>
      <c r="BB68" t="str">
        <f ca="1">IFERROR(IF(0=LEN(ReferenceData!$BB$68),"",ReferenceData!$BB$68),"")</f>
        <v/>
      </c>
      <c r="BC68" t="str">
        <f ca="1">IFERROR(IF(0=LEN(ReferenceData!$BC$68),"",ReferenceData!$BC$68),"")</f>
        <v/>
      </c>
      <c r="BD68" t="str">
        <f ca="1">IFERROR(IF(0=LEN(ReferenceData!$BD$68),"",ReferenceData!$BD$68),"")</f>
        <v/>
      </c>
      <c r="BE68" t="str">
        <f ca="1">IFERROR(IF(0=LEN(ReferenceData!$BE$68),"",ReferenceData!$BE$68),"")</f>
        <v/>
      </c>
      <c r="BF68" t="str">
        <f ca="1">IFERROR(IF(0=LEN(ReferenceData!$BF$68),"",ReferenceData!$BF$68),"")</f>
        <v/>
      </c>
      <c r="BG68" t="str">
        <f ca="1">IFERROR(IF(0=LEN(ReferenceData!$BG$68),"",ReferenceData!$BG$68),"")</f>
        <v/>
      </c>
      <c r="BH68" t="str">
        <f ca="1">IFERROR(IF(0=LEN(ReferenceData!$BH$68),"",ReferenceData!$BH$68),"")</f>
        <v/>
      </c>
      <c r="BI68" t="str">
        <f ca="1">IFERROR(IF(0=LEN(ReferenceData!$BI$68),"",ReferenceData!$BI$68),"")</f>
        <v/>
      </c>
      <c r="BJ68" t="str">
        <f ca="1">IFERROR(IF(0=LEN(ReferenceData!$BJ$68),"",ReferenceData!$BJ$68),"")</f>
        <v/>
      </c>
      <c r="BK68" t="str">
        <f ca="1">IFERROR(IF(0=LEN(ReferenceData!$BK$68),"",ReferenceData!$BK$68),"")</f>
        <v/>
      </c>
      <c r="BL68" t="str">
        <f ca="1">IFERROR(IF(0=LEN(ReferenceData!$BL$68),"",ReferenceData!$BL$68),"")</f>
        <v/>
      </c>
      <c r="BM68" t="str">
        <f ca="1">IFERROR(IF(0=LEN(ReferenceData!$BM$68),"",ReferenceData!$BM$68),"")</f>
        <v/>
      </c>
    </row>
    <row r="69" spans="1:65" x14ac:dyDescent="0.25">
      <c r="A69" t="str">
        <f>IFERROR(IF(0=LEN(ReferenceData!$A$69),"",ReferenceData!$A$69),"")</f>
        <v xml:space="preserve">    Nissan Motor Co Ltd</v>
      </c>
      <c r="B69" t="str">
        <f>IFERROR(IF(0=LEN(ReferenceData!$B$69),"",ReferenceData!$B$69),"")</f>
        <v>7201 JP Equity</v>
      </c>
      <c r="C69" t="str">
        <f>IFERROR(IF(0=LEN(ReferenceData!$C$69),"",ReferenceData!$C$69),"")</f>
        <v>EZ019</v>
      </c>
      <c r="D69" t="str">
        <f>IFERROR(IF(0=LEN(ReferenceData!$D$69),"",ReferenceData!$D$69),"")</f>
        <v>BEST_EEPS_CUR_YR</v>
      </c>
      <c r="E69" t="str">
        <f>IFERROR(IF(0=LEN(ReferenceData!$E$69),"",ReferenceData!$E$69),"")</f>
        <v>Dynamic</v>
      </c>
      <c r="F69">
        <f ca="1">IFERROR(IF(0=LEN(ReferenceData!$F$69),"",ReferenceData!$F$69),"")</f>
        <v>1.1200000000000001</v>
      </c>
      <c r="G69">
        <f ca="1">IFERROR(IF(0=LEN(ReferenceData!$G$69),"",ReferenceData!$G$69),"")</f>
        <v>1.1879999999999999</v>
      </c>
      <c r="H69">
        <f ca="1">IFERROR(IF(0=LEN(ReferenceData!$H$69),"",ReferenceData!$H$69),"")</f>
        <v>1.2150000000000001</v>
      </c>
      <c r="I69">
        <f ca="1">IFERROR(IF(0=LEN(ReferenceData!$I$69),"",ReferenceData!$I$69),"")</f>
        <v>1.282</v>
      </c>
      <c r="J69">
        <f ca="1">IFERROR(IF(0=LEN(ReferenceData!$J$69),"",ReferenceData!$J$69),"")</f>
        <v>1.395</v>
      </c>
      <c r="K69">
        <f ca="1">IFERROR(IF(0=LEN(ReferenceData!$K$69),"",ReferenceData!$K$69),"")</f>
        <v>1.3979999999999999</v>
      </c>
      <c r="L69">
        <f ca="1">IFERROR(IF(0=LEN(ReferenceData!$L$69),"",ReferenceData!$L$69),"")</f>
        <v>1.421</v>
      </c>
      <c r="M69">
        <f ca="1">IFERROR(IF(0=LEN(ReferenceData!$M$69),"",ReferenceData!$M$69),"")</f>
        <v>1.452</v>
      </c>
      <c r="N69">
        <f ca="1">IFERROR(IF(0=LEN(ReferenceData!$N$69),"",ReferenceData!$N$69),"")</f>
        <v>1.5589999999999999</v>
      </c>
      <c r="O69">
        <f ca="1">IFERROR(IF(0=LEN(ReferenceData!$O$69),"",ReferenceData!$O$69),"")</f>
        <v>1.458</v>
      </c>
      <c r="P69">
        <f ca="1">IFERROR(IF(0=LEN(ReferenceData!$P$69),"",ReferenceData!$P$69),"")</f>
        <v>1.5649999999999999</v>
      </c>
      <c r="Q69">
        <f ca="1">IFERROR(IF(0=LEN(ReferenceData!$Q$69),"",ReferenceData!$Q$69),"")</f>
        <v>1.6479999999999999</v>
      </c>
      <c r="R69">
        <f ca="1">IFERROR(IF(0=LEN(ReferenceData!$R$69),"",ReferenceData!$R$69),"")</f>
        <v>1.6180000000000001</v>
      </c>
      <c r="S69">
        <f ca="1">IFERROR(IF(0=LEN(ReferenceData!$S$69),"",ReferenceData!$S$69),"")</f>
        <v>1.5760000000000001</v>
      </c>
      <c r="T69">
        <f ca="1">IFERROR(IF(0=LEN(ReferenceData!$T$69),"",ReferenceData!$T$69),"")</f>
        <v>1.5740000000000001</v>
      </c>
      <c r="U69">
        <f ca="1">IFERROR(IF(0=LEN(ReferenceData!$U$69),"",ReferenceData!$U$69),"")</f>
        <v>1.571</v>
      </c>
      <c r="V69">
        <f ca="1">IFERROR(IF(0=LEN(ReferenceData!$V$69),"",ReferenceData!$V$69),"")</f>
        <v>1.41</v>
      </c>
      <c r="W69">
        <f ca="1">IFERROR(IF(0=LEN(ReferenceData!$W$69),"",ReferenceData!$W$69),"")</f>
        <v>1.4650000000000001</v>
      </c>
      <c r="X69">
        <f ca="1">IFERROR(IF(0=LEN(ReferenceData!$X$69),"",ReferenceData!$X$69),"")</f>
        <v>1.579</v>
      </c>
      <c r="Y69">
        <f ca="1">IFERROR(IF(0=LEN(ReferenceData!$Y$69),"",ReferenceData!$Y$69),"")</f>
        <v>1.605</v>
      </c>
      <c r="Z69" t="str">
        <f ca="1">IFERROR(IF(0=LEN(ReferenceData!$Z$69),"",ReferenceData!$Z$69),"")</f>
        <v/>
      </c>
      <c r="AA69" t="str">
        <f ca="1">IFERROR(IF(0=LEN(ReferenceData!$AA$69),"",ReferenceData!$AA$69),"")</f>
        <v/>
      </c>
      <c r="AB69" t="str">
        <f ca="1">IFERROR(IF(0=LEN(ReferenceData!$AB$69),"",ReferenceData!$AB$69),"")</f>
        <v/>
      </c>
      <c r="AC69" t="str">
        <f ca="1">IFERROR(IF(0=LEN(ReferenceData!$AC$69),"",ReferenceData!$AC$69),"")</f>
        <v/>
      </c>
      <c r="AD69" t="str">
        <f ca="1">IFERROR(IF(0=LEN(ReferenceData!$AD$69),"",ReferenceData!$AD$69),"")</f>
        <v/>
      </c>
      <c r="AE69" t="str">
        <f ca="1">IFERROR(IF(0=LEN(ReferenceData!$AE$69),"",ReferenceData!$AE$69),"")</f>
        <v/>
      </c>
      <c r="AF69" t="str">
        <f ca="1">IFERROR(IF(0=LEN(ReferenceData!$AF$69),"",ReferenceData!$AF$69),"")</f>
        <v/>
      </c>
      <c r="AG69" t="str">
        <f ca="1">IFERROR(IF(0=LEN(ReferenceData!$AG$69),"",ReferenceData!$AG$69),"")</f>
        <v/>
      </c>
      <c r="AH69" t="str">
        <f ca="1">IFERROR(IF(0=LEN(ReferenceData!$AH$69),"",ReferenceData!$AH$69),"")</f>
        <v/>
      </c>
      <c r="AI69" t="str">
        <f ca="1">IFERROR(IF(0=LEN(ReferenceData!$AI$69),"",ReferenceData!$AI$69),"")</f>
        <v/>
      </c>
      <c r="AJ69" t="str">
        <f ca="1">IFERROR(IF(0=LEN(ReferenceData!$AJ$69),"",ReferenceData!$AJ$69),"")</f>
        <v/>
      </c>
      <c r="AK69" t="str">
        <f ca="1">IFERROR(IF(0=LEN(ReferenceData!$AK$69),"",ReferenceData!$AK$69),"")</f>
        <v/>
      </c>
      <c r="AL69" t="str">
        <f ca="1">IFERROR(IF(0=LEN(ReferenceData!$AL$69),"",ReferenceData!$AL$69),"")</f>
        <v/>
      </c>
      <c r="AM69" t="str">
        <f ca="1">IFERROR(IF(0=LEN(ReferenceData!$AM$69),"",ReferenceData!$AM$69),"")</f>
        <v/>
      </c>
      <c r="AN69" t="str">
        <f ca="1">IFERROR(IF(0=LEN(ReferenceData!$AN$69),"",ReferenceData!$AN$69),"")</f>
        <v/>
      </c>
      <c r="AO69" t="str">
        <f ca="1">IFERROR(IF(0=LEN(ReferenceData!$AO$69),"",ReferenceData!$AO$69),"")</f>
        <v/>
      </c>
      <c r="AP69" t="str">
        <f ca="1">IFERROR(IF(0=LEN(ReferenceData!$AP$69),"",ReferenceData!$AP$69),"")</f>
        <v/>
      </c>
      <c r="AQ69" t="str">
        <f ca="1">IFERROR(IF(0=LEN(ReferenceData!$AQ$69),"",ReferenceData!$AQ$69),"")</f>
        <v/>
      </c>
      <c r="AR69" t="str">
        <f ca="1">IFERROR(IF(0=LEN(ReferenceData!$AR$69),"",ReferenceData!$AR$69),"")</f>
        <v/>
      </c>
      <c r="AS69" t="str">
        <f ca="1">IFERROR(IF(0=LEN(ReferenceData!$AS$69),"",ReferenceData!$AS$69),"")</f>
        <v/>
      </c>
      <c r="AT69" t="str">
        <f ca="1">IFERROR(IF(0=LEN(ReferenceData!$AT$69),"",ReferenceData!$AT$69),"")</f>
        <v/>
      </c>
      <c r="AU69" t="str">
        <f ca="1">IFERROR(IF(0=LEN(ReferenceData!$AU$69),"",ReferenceData!$AU$69),"")</f>
        <v/>
      </c>
      <c r="AV69" t="str">
        <f ca="1">IFERROR(IF(0=LEN(ReferenceData!$AV$69),"",ReferenceData!$AV$69),"")</f>
        <v/>
      </c>
      <c r="AW69" t="str">
        <f ca="1">IFERROR(IF(0=LEN(ReferenceData!$AW$69),"",ReferenceData!$AW$69),"")</f>
        <v/>
      </c>
      <c r="AX69" t="str">
        <f ca="1">IFERROR(IF(0=LEN(ReferenceData!$AX$69),"",ReferenceData!$AX$69),"")</f>
        <v/>
      </c>
      <c r="AY69" t="str">
        <f ca="1">IFERROR(IF(0=LEN(ReferenceData!$AY$69),"",ReferenceData!$AY$69),"")</f>
        <v/>
      </c>
      <c r="AZ69" t="str">
        <f ca="1">IFERROR(IF(0=LEN(ReferenceData!$AZ$69),"",ReferenceData!$AZ$69),"")</f>
        <v/>
      </c>
      <c r="BA69" t="str">
        <f ca="1">IFERROR(IF(0=LEN(ReferenceData!$BA$69),"",ReferenceData!$BA$69),"")</f>
        <v/>
      </c>
      <c r="BB69" t="str">
        <f ca="1">IFERROR(IF(0=LEN(ReferenceData!$BB$69),"",ReferenceData!$BB$69),"")</f>
        <v/>
      </c>
      <c r="BC69" t="str">
        <f ca="1">IFERROR(IF(0=LEN(ReferenceData!$BC$69),"",ReferenceData!$BC$69),"")</f>
        <v/>
      </c>
      <c r="BD69" t="str">
        <f ca="1">IFERROR(IF(0=LEN(ReferenceData!$BD$69),"",ReferenceData!$BD$69),"")</f>
        <v/>
      </c>
      <c r="BE69" t="str">
        <f ca="1">IFERROR(IF(0=LEN(ReferenceData!$BE$69),"",ReferenceData!$BE$69),"")</f>
        <v/>
      </c>
      <c r="BF69" t="str">
        <f ca="1">IFERROR(IF(0=LEN(ReferenceData!$BF$69),"",ReferenceData!$BF$69),"")</f>
        <v/>
      </c>
      <c r="BG69" t="str">
        <f ca="1">IFERROR(IF(0=LEN(ReferenceData!$BG$69),"",ReferenceData!$BG$69),"")</f>
        <v/>
      </c>
      <c r="BH69" t="str">
        <f ca="1">IFERROR(IF(0=LEN(ReferenceData!$BH$69),"",ReferenceData!$BH$69),"")</f>
        <v/>
      </c>
      <c r="BI69" t="str">
        <f ca="1">IFERROR(IF(0=LEN(ReferenceData!$BI$69),"",ReferenceData!$BI$69),"")</f>
        <v/>
      </c>
      <c r="BJ69" t="str">
        <f ca="1">IFERROR(IF(0=LEN(ReferenceData!$BJ$69),"",ReferenceData!$BJ$69),"")</f>
        <v/>
      </c>
      <c r="BK69" t="str">
        <f ca="1">IFERROR(IF(0=LEN(ReferenceData!$BK$69),"",ReferenceData!$BK$69),"")</f>
        <v/>
      </c>
      <c r="BL69" t="str">
        <f ca="1">IFERROR(IF(0=LEN(ReferenceData!$BL$69),"",ReferenceData!$BL$69),"")</f>
        <v/>
      </c>
      <c r="BM69" t="str">
        <f ca="1">IFERROR(IF(0=LEN(ReferenceData!$BM$69),"",ReferenceData!$BM$69),"")</f>
        <v/>
      </c>
    </row>
    <row r="70" spans="1:65" x14ac:dyDescent="0.25">
      <c r="A70" t="str">
        <f>IFERROR(IF(0=LEN(ReferenceData!$A$70),"",ReferenceData!$A$70),"")</f>
        <v xml:space="preserve">    Peugeot SA</v>
      </c>
      <c r="B70" t="str">
        <f>IFERROR(IF(0=LEN(ReferenceData!$B$70),"",ReferenceData!$B$70),"")</f>
        <v>UG FP Equity</v>
      </c>
      <c r="C70" t="str">
        <f>IFERROR(IF(0=LEN(ReferenceData!$C$70),"",ReferenceData!$C$70),"")</f>
        <v>EZ019</v>
      </c>
      <c r="D70" t="str">
        <f>IFERROR(IF(0=LEN(ReferenceData!$D$70),"",ReferenceData!$D$70),"")</f>
        <v>BEST_EEPS_CUR_YR</v>
      </c>
      <c r="E70" t="str">
        <f>IFERROR(IF(0=LEN(ReferenceData!$E$70),"",ReferenceData!$E$70),"")</f>
        <v>Dynamic</v>
      </c>
      <c r="F70">
        <f ca="1">IFERROR(IF(0=LEN(ReferenceData!$F$70),"",ReferenceData!$F$70),"")</f>
        <v>4.1840000000000002</v>
      </c>
      <c r="G70">
        <f ca="1">IFERROR(IF(0=LEN(ReferenceData!$G$70),"",ReferenceData!$G$70),"")</f>
        <v>4.4219999999999997</v>
      </c>
      <c r="H70">
        <f ca="1">IFERROR(IF(0=LEN(ReferenceData!$H$70),"",ReferenceData!$H$70),"")</f>
        <v>4.6479999999999997</v>
      </c>
      <c r="I70">
        <f ca="1">IFERROR(IF(0=LEN(ReferenceData!$I$70),"",ReferenceData!$I$70),"")</f>
        <v>3.5179999999999998</v>
      </c>
      <c r="J70">
        <f ca="1">IFERROR(IF(0=LEN(ReferenceData!$J$70),"",ReferenceData!$J$70),"")</f>
        <v>3.4870000000000001</v>
      </c>
      <c r="K70">
        <f ca="1">IFERROR(IF(0=LEN(ReferenceData!$K$70),"",ReferenceData!$K$70),"")</f>
        <v>3.0590000000000002</v>
      </c>
      <c r="L70">
        <f ca="1">IFERROR(IF(0=LEN(ReferenceData!$L$70),"",ReferenceData!$L$70),"")</f>
        <v>3.29</v>
      </c>
      <c r="M70">
        <f ca="1">IFERROR(IF(0=LEN(ReferenceData!$M$70),"",ReferenceData!$M$70),"")</f>
        <v>2.9590000000000001</v>
      </c>
      <c r="N70">
        <f ca="1">IFERROR(IF(0=LEN(ReferenceData!$N$70),"",ReferenceData!$N$70),"")</f>
        <v>2.8050000000000002</v>
      </c>
      <c r="O70">
        <f ca="1">IFERROR(IF(0=LEN(ReferenceData!$O$70),"",ReferenceData!$O$70),"")</f>
        <v>2.48</v>
      </c>
      <c r="P70">
        <f ca="1">IFERROR(IF(0=LEN(ReferenceData!$P$70),"",ReferenceData!$P$70),"")</f>
        <v>2.4590000000000001</v>
      </c>
      <c r="Q70">
        <f ca="1">IFERROR(IF(0=LEN(ReferenceData!$Q$70),"",ReferenceData!$Q$70),"")</f>
        <v>2.605</v>
      </c>
      <c r="R70" t="str">
        <f ca="1">IFERROR(IF(0=LEN(ReferenceData!$R$70),"",ReferenceData!$R$70),"")</f>
        <v/>
      </c>
      <c r="S70" t="str">
        <f ca="1">IFERROR(IF(0=LEN(ReferenceData!$S$70),"",ReferenceData!$S$70),"")</f>
        <v/>
      </c>
      <c r="T70">
        <f ca="1">IFERROR(IF(0=LEN(ReferenceData!$T$70),"",ReferenceData!$T$70),"")</f>
        <v>3.0219999999999998</v>
      </c>
      <c r="U70">
        <f ca="1">IFERROR(IF(0=LEN(ReferenceData!$U$70),"",ReferenceData!$U$70),"")</f>
        <v>3.02</v>
      </c>
      <c r="V70" t="str">
        <f ca="1">IFERROR(IF(0=LEN(ReferenceData!$V$70),"",ReferenceData!$V$70),"")</f>
        <v/>
      </c>
      <c r="W70" t="str">
        <f ca="1">IFERROR(IF(0=LEN(ReferenceData!$W$70),"",ReferenceData!$W$70),"")</f>
        <v/>
      </c>
      <c r="X70" t="str">
        <f ca="1">IFERROR(IF(0=LEN(ReferenceData!$X$70),"",ReferenceData!$X$70),"")</f>
        <v/>
      </c>
      <c r="Y70" t="str">
        <f ca="1">IFERROR(IF(0=LEN(ReferenceData!$Y$70),"",ReferenceData!$Y$70),"")</f>
        <v/>
      </c>
      <c r="Z70" t="str">
        <f ca="1">IFERROR(IF(0=LEN(ReferenceData!$Z$70),"",ReferenceData!$Z$70),"")</f>
        <v/>
      </c>
      <c r="AA70" t="str">
        <f ca="1">IFERROR(IF(0=LEN(ReferenceData!$AA$70),"",ReferenceData!$AA$70),"")</f>
        <v/>
      </c>
      <c r="AB70" t="str">
        <f ca="1">IFERROR(IF(0=LEN(ReferenceData!$AB$70),"",ReferenceData!$AB$70),"")</f>
        <v/>
      </c>
      <c r="AC70" t="str">
        <f ca="1">IFERROR(IF(0=LEN(ReferenceData!$AC$70),"",ReferenceData!$AC$70),"")</f>
        <v/>
      </c>
      <c r="AD70" t="str">
        <f ca="1">IFERROR(IF(0=LEN(ReferenceData!$AD$70),"",ReferenceData!$AD$70),"")</f>
        <v/>
      </c>
      <c r="AE70" t="str">
        <f ca="1">IFERROR(IF(0=LEN(ReferenceData!$AE$70),"",ReferenceData!$AE$70),"")</f>
        <v/>
      </c>
      <c r="AF70" t="str">
        <f ca="1">IFERROR(IF(0=LEN(ReferenceData!$AF$70),"",ReferenceData!$AF$70),"")</f>
        <v/>
      </c>
      <c r="AG70" t="str">
        <f ca="1">IFERROR(IF(0=LEN(ReferenceData!$AG$70),"",ReferenceData!$AG$70),"")</f>
        <v/>
      </c>
      <c r="AH70">
        <f ca="1">IFERROR(IF(0=LEN(ReferenceData!$AH$70),"",ReferenceData!$AH$70),"")</f>
        <v>5.6539999999999999</v>
      </c>
      <c r="AI70" t="str">
        <f ca="1">IFERROR(IF(0=LEN(ReferenceData!$AI$70),"",ReferenceData!$AI$70),"")</f>
        <v/>
      </c>
      <c r="AJ70" t="str">
        <f ca="1">IFERROR(IF(0=LEN(ReferenceData!$AJ$70),"",ReferenceData!$AJ$70),"")</f>
        <v/>
      </c>
      <c r="AK70" t="str">
        <f ca="1">IFERROR(IF(0=LEN(ReferenceData!$AK$70),"",ReferenceData!$AK$70),"")</f>
        <v/>
      </c>
      <c r="AL70" t="str">
        <f ca="1">IFERROR(IF(0=LEN(ReferenceData!$AL$70),"",ReferenceData!$AL$70),"")</f>
        <v/>
      </c>
      <c r="AM70" t="str">
        <f ca="1">IFERROR(IF(0=LEN(ReferenceData!$AM$70),"",ReferenceData!$AM$70),"")</f>
        <v/>
      </c>
      <c r="AN70" t="str">
        <f ca="1">IFERROR(IF(0=LEN(ReferenceData!$AN$70),"",ReferenceData!$AN$70),"")</f>
        <v/>
      </c>
      <c r="AO70" t="str">
        <f ca="1">IFERROR(IF(0=LEN(ReferenceData!$AO$70),"",ReferenceData!$AO$70),"")</f>
        <v/>
      </c>
      <c r="AP70" t="str">
        <f ca="1">IFERROR(IF(0=LEN(ReferenceData!$AP$70),"",ReferenceData!$AP$70),"")</f>
        <v/>
      </c>
      <c r="AQ70" t="str">
        <f ca="1">IFERROR(IF(0=LEN(ReferenceData!$AQ$70),"",ReferenceData!$AQ$70),"")</f>
        <v/>
      </c>
      <c r="AR70" t="str">
        <f ca="1">IFERROR(IF(0=LEN(ReferenceData!$AR$70),"",ReferenceData!$AR$70),"")</f>
        <v/>
      </c>
      <c r="AS70" t="str">
        <f ca="1">IFERROR(IF(0=LEN(ReferenceData!$AS$70),"",ReferenceData!$AS$70),"")</f>
        <v/>
      </c>
      <c r="AT70" t="str">
        <f ca="1">IFERROR(IF(0=LEN(ReferenceData!$AT$70),"",ReferenceData!$AT$70),"")</f>
        <v/>
      </c>
      <c r="AU70" t="str">
        <f ca="1">IFERROR(IF(0=LEN(ReferenceData!$AU$70),"",ReferenceData!$AU$70),"")</f>
        <v/>
      </c>
      <c r="AV70" t="str">
        <f ca="1">IFERROR(IF(0=LEN(ReferenceData!$AV$70),"",ReferenceData!$AV$70),"")</f>
        <v/>
      </c>
      <c r="AW70" t="str">
        <f ca="1">IFERROR(IF(0=LEN(ReferenceData!$AW$70),"",ReferenceData!$AW$70),"")</f>
        <v/>
      </c>
      <c r="AX70" t="str">
        <f ca="1">IFERROR(IF(0=LEN(ReferenceData!$AX$70),"",ReferenceData!$AX$70),"")</f>
        <v/>
      </c>
      <c r="AY70" t="str">
        <f ca="1">IFERROR(IF(0=LEN(ReferenceData!$AY$70),"",ReferenceData!$AY$70),"")</f>
        <v/>
      </c>
      <c r="AZ70" t="str">
        <f ca="1">IFERROR(IF(0=LEN(ReferenceData!$AZ$70),"",ReferenceData!$AZ$70),"")</f>
        <v/>
      </c>
      <c r="BA70" t="str">
        <f ca="1">IFERROR(IF(0=LEN(ReferenceData!$BA$70),"",ReferenceData!$BA$70),"")</f>
        <v/>
      </c>
      <c r="BB70" t="str">
        <f ca="1">IFERROR(IF(0=LEN(ReferenceData!$BB$70),"",ReferenceData!$BB$70),"")</f>
        <v/>
      </c>
      <c r="BC70" t="str">
        <f ca="1">IFERROR(IF(0=LEN(ReferenceData!$BC$70),"",ReferenceData!$BC$70),"")</f>
        <v/>
      </c>
      <c r="BD70" t="str">
        <f ca="1">IFERROR(IF(0=LEN(ReferenceData!$BD$70),"",ReferenceData!$BD$70),"")</f>
        <v/>
      </c>
      <c r="BE70" t="str">
        <f ca="1">IFERROR(IF(0=LEN(ReferenceData!$BE$70),"",ReferenceData!$BE$70),"")</f>
        <v/>
      </c>
      <c r="BF70" t="str">
        <f ca="1">IFERROR(IF(0=LEN(ReferenceData!$BF$70),"",ReferenceData!$BF$70),"")</f>
        <v/>
      </c>
      <c r="BG70" t="str">
        <f ca="1">IFERROR(IF(0=LEN(ReferenceData!$BG$70),"",ReferenceData!$BG$70),"")</f>
        <v/>
      </c>
      <c r="BH70" t="str">
        <f ca="1">IFERROR(IF(0=LEN(ReferenceData!$BH$70),"",ReferenceData!$BH$70),"")</f>
        <v/>
      </c>
      <c r="BI70" t="str">
        <f ca="1">IFERROR(IF(0=LEN(ReferenceData!$BI$70),"",ReferenceData!$BI$70),"")</f>
        <v/>
      </c>
      <c r="BJ70" t="str">
        <f ca="1">IFERROR(IF(0=LEN(ReferenceData!$BJ$70),"",ReferenceData!$BJ$70),"")</f>
        <v/>
      </c>
      <c r="BK70" t="str">
        <f ca="1">IFERROR(IF(0=LEN(ReferenceData!$BK$70),"",ReferenceData!$BK$70),"")</f>
        <v/>
      </c>
      <c r="BL70" t="str">
        <f ca="1">IFERROR(IF(0=LEN(ReferenceData!$BL$70),"",ReferenceData!$BL$70),"")</f>
        <v/>
      </c>
      <c r="BM70" t="str">
        <f ca="1">IFERROR(IF(0=LEN(ReferenceData!$BM$70),"",ReferenceData!$BM$70),"")</f>
        <v/>
      </c>
    </row>
    <row r="71" spans="1:65" x14ac:dyDescent="0.25">
      <c r="A71" t="str">
        <f>IFERROR(IF(0=LEN(ReferenceData!$A$71),"",ReferenceData!$A$71),"")</f>
        <v xml:space="preserve">    Renault SA</v>
      </c>
      <c r="B71" t="str">
        <f>IFERROR(IF(0=LEN(ReferenceData!$B$71),"",ReferenceData!$B$71),"")</f>
        <v>RNO FP Equity</v>
      </c>
      <c r="C71" t="str">
        <f>IFERROR(IF(0=LEN(ReferenceData!$C$71),"",ReferenceData!$C$71),"")</f>
        <v>EZ019</v>
      </c>
      <c r="D71" t="str">
        <f>IFERROR(IF(0=LEN(ReferenceData!$D$71),"",ReferenceData!$D$71),"")</f>
        <v>BEST_EEPS_CUR_YR</v>
      </c>
      <c r="E71" t="str">
        <f>IFERROR(IF(0=LEN(ReferenceData!$E$71),"",ReferenceData!$E$71),"")</f>
        <v>Dynamic</v>
      </c>
      <c r="F71">
        <f ca="1">IFERROR(IF(0=LEN(ReferenceData!$F$71),"",ReferenceData!$F$71),"")</f>
        <v>15.492000000000001</v>
      </c>
      <c r="G71">
        <f ca="1">IFERROR(IF(0=LEN(ReferenceData!$G$71),"",ReferenceData!$G$71),"")</f>
        <v>17.271999999999998</v>
      </c>
      <c r="H71">
        <f ca="1">IFERROR(IF(0=LEN(ReferenceData!$H$71),"",ReferenceData!$H$71),"")</f>
        <v>18.466000000000001</v>
      </c>
      <c r="I71">
        <f ca="1">IFERROR(IF(0=LEN(ReferenceData!$I$71),"",ReferenceData!$I$71),"")</f>
        <v>18.734000000000002</v>
      </c>
      <c r="J71">
        <f ca="1">IFERROR(IF(0=LEN(ReferenceData!$J$71),"",ReferenceData!$J$71),"")</f>
        <v>20.335999999999999</v>
      </c>
      <c r="K71">
        <f ca="1">IFERROR(IF(0=LEN(ReferenceData!$K$71),"",ReferenceData!$K$71),"")</f>
        <v>19.047000000000001</v>
      </c>
      <c r="L71">
        <f ca="1">IFERROR(IF(0=LEN(ReferenceData!$L$71),"",ReferenceData!$L$71),"")</f>
        <v>19.013000000000002</v>
      </c>
      <c r="M71">
        <f ca="1">IFERROR(IF(0=LEN(ReferenceData!$M$71),"",ReferenceData!$M$71),"")</f>
        <v>17.547999999999998</v>
      </c>
      <c r="N71">
        <f ca="1">IFERROR(IF(0=LEN(ReferenceData!$N$71),"",ReferenceData!$N$71),"")</f>
        <v>16.93</v>
      </c>
      <c r="O71">
        <f ca="1">IFERROR(IF(0=LEN(ReferenceData!$O$71),"",ReferenceData!$O$71),"")</f>
        <v>14.03</v>
      </c>
      <c r="P71">
        <f ca="1">IFERROR(IF(0=LEN(ReferenceData!$P$71),"",ReferenceData!$P$71),"")</f>
        <v>13.909000000000001</v>
      </c>
      <c r="Q71">
        <f ca="1">IFERROR(IF(0=LEN(ReferenceData!$Q$71),"",ReferenceData!$Q$71),"")</f>
        <v>11.678000000000001</v>
      </c>
      <c r="R71">
        <f ca="1">IFERROR(IF(0=LEN(ReferenceData!$R$71),"",ReferenceData!$R$71),"")</f>
        <v>9.0489999999999995</v>
      </c>
      <c r="S71" t="str">
        <f ca="1">IFERROR(IF(0=LEN(ReferenceData!$S$71),"",ReferenceData!$S$71),"")</f>
        <v/>
      </c>
      <c r="T71">
        <f ca="1">IFERROR(IF(0=LEN(ReferenceData!$T$71),"",ReferenceData!$T$71),"")</f>
        <v>11.179</v>
      </c>
      <c r="U71">
        <f ca="1">IFERROR(IF(0=LEN(ReferenceData!$U$71),"",ReferenceData!$U$71),"")</f>
        <v>12.881</v>
      </c>
      <c r="V71" t="str">
        <f ca="1">IFERROR(IF(0=LEN(ReferenceData!$V$71),"",ReferenceData!$V$71),"")</f>
        <v/>
      </c>
      <c r="W71" t="str">
        <f ca="1">IFERROR(IF(0=LEN(ReferenceData!$W$71),"",ReferenceData!$W$71),"")</f>
        <v/>
      </c>
      <c r="X71" t="str">
        <f ca="1">IFERROR(IF(0=LEN(ReferenceData!$X$71),"",ReferenceData!$X$71),"")</f>
        <v/>
      </c>
      <c r="Y71" t="str">
        <f ca="1">IFERROR(IF(0=LEN(ReferenceData!$Y$71),"",ReferenceData!$Y$71),"")</f>
        <v/>
      </c>
      <c r="Z71" t="str">
        <f ca="1">IFERROR(IF(0=LEN(ReferenceData!$Z$71),"",ReferenceData!$Z$71),"")</f>
        <v/>
      </c>
      <c r="AA71" t="str">
        <f ca="1">IFERROR(IF(0=LEN(ReferenceData!$AA$71),"",ReferenceData!$AA$71),"")</f>
        <v/>
      </c>
      <c r="AB71" t="str">
        <f ca="1">IFERROR(IF(0=LEN(ReferenceData!$AB$71),"",ReferenceData!$AB$71),"")</f>
        <v/>
      </c>
      <c r="AC71" t="str">
        <f ca="1">IFERROR(IF(0=LEN(ReferenceData!$AC$71),"",ReferenceData!$AC$71),"")</f>
        <v/>
      </c>
      <c r="AD71" t="str">
        <f ca="1">IFERROR(IF(0=LEN(ReferenceData!$AD$71),"",ReferenceData!$AD$71),"")</f>
        <v/>
      </c>
      <c r="AE71" t="str">
        <f ca="1">IFERROR(IF(0=LEN(ReferenceData!$AE$71),"",ReferenceData!$AE$71),"")</f>
        <v/>
      </c>
      <c r="AF71" t="str">
        <f ca="1">IFERROR(IF(0=LEN(ReferenceData!$AF$71),"",ReferenceData!$AF$71),"")</f>
        <v/>
      </c>
      <c r="AG71" t="str">
        <f ca="1">IFERROR(IF(0=LEN(ReferenceData!$AG$71),"",ReferenceData!$AG$71),"")</f>
        <v/>
      </c>
      <c r="AH71" t="str">
        <f ca="1">IFERROR(IF(0=LEN(ReferenceData!$AH$71),"",ReferenceData!$AH$71),"")</f>
        <v/>
      </c>
      <c r="AI71" t="str">
        <f ca="1">IFERROR(IF(0=LEN(ReferenceData!$AI$71),"",ReferenceData!$AI$71),"")</f>
        <v/>
      </c>
      <c r="AJ71" t="str">
        <f ca="1">IFERROR(IF(0=LEN(ReferenceData!$AJ$71),"",ReferenceData!$AJ$71),"")</f>
        <v/>
      </c>
      <c r="AK71" t="str">
        <f ca="1">IFERROR(IF(0=LEN(ReferenceData!$AK$71),"",ReferenceData!$AK$71),"")</f>
        <v/>
      </c>
      <c r="AL71" t="str">
        <f ca="1">IFERROR(IF(0=LEN(ReferenceData!$AL$71),"",ReferenceData!$AL$71),"")</f>
        <v/>
      </c>
      <c r="AM71" t="str">
        <f ca="1">IFERROR(IF(0=LEN(ReferenceData!$AM$71),"",ReferenceData!$AM$71),"")</f>
        <v/>
      </c>
      <c r="AN71" t="str">
        <f ca="1">IFERROR(IF(0=LEN(ReferenceData!$AN$71),"",ReferenceData!$AN$71),"")</f>
        <v/>
      </c>
      <c r="AO71" t="str">
        <f ca="1">IFERROR(IF(0=LEN(ReferenceData!$AO$71),"",ReferenceData!$AO$71),"")</f>
        <v/>
      </c>
      <c r="AP71" t="str">
        <f ca="1">IFERROR(IF(0=LEN(ReferenceData!$AP$71),"",ReferenceData!$AP$71),"")</f>
        <v/>
      </c>
      <c r="AQ71" t="str">
        <f ca="1">IFERROR(IF(0=LEN(ReferenceData!$AQ$71),"",ReferenceData!$AQ$71),"")</f>
        <v/>
      </c>
      <c r="AR71" t="str">
        <f ca="1">IFERROR(IF(0=LEN(ReferenceData!$AR$71),"",ReferenceData!$AR$71),"")</f>
        <v/>
      </c>
      <c r="AS71" t="str">
        <f ca="1">IFERROR(IF(0=LEN(ReferenceData!$AS$71),"",ReferenceData!$AS$71),"")</f>
        <v/>
      </c>
      <c r="AT71" t="str">
        <f ca="1">IFERROR(IF(0=LEN(ReferenceData!$AT$71),"",ReferenceData!$AT$71),"")</f>
        <v/>
      </c>
      <c r="AU71" t="str">
        <f ca="1">IFERROR(IF(0=LEN(ReferenceData!$AU$71),"",ReferenceData!$AU$71),"")</f>
        <v/>
      </c>
      <c r="AV71" t="str">
        <f ca="1">IFERROR(IF(0=LEN(ReferenceData!$AV$71),"",ReferenceData!$AV$71),"")</f>
        <v/>
      </c>
      <c r="AW71" t="str">
        <f ca="1">IFERROR(IF(0=LEN(ReferenceData!$AW$71),"",ReferenceData!$AW$71),"")</f>
        <v/>
      </c>
      <c r="AX71" t="str">
        <f ca="1">IFERROR(IF(0=LEN(ReferenceData!$AX$71),"",ReferenceData!$AX$71),"")</f>
        <v/>
      </c>
      <c r="AY71" t="str">
        <f ca="1">IFERROR(IF(0=LEN(ReferenceData!$AY$71),"",ReferenceData!$AY$71),"")</f>
        <v/>
      </c>
      <c r="AZ71" t="str">
        <f ca="1">IFERROR(IF(0=LEN(ReferenceData!$AZ$71),"",ReferenceData!$AZ$71),"")</f>
        <v/>
      </c>
      <c r="BA71" t="str">
        <f ca="1">IFERROR(IF(0=LEN(ReferenceData!$BA$71),"",ReferenceData!$BA$71),"")</f>
        <v/>
      </c>
      <c r="BB71" t="str">
        <f ca="1">IFERROR(IF(0=LEN(ReferenceData!$BB$71),"",ReferenceData!$BB$71),"")</f>
        <v/>
      </c>
      <c r="BC71" t="str">
        <f ca="1">IFERROR(IF(0=LEN(ReferenceData!$BC$71),"",ReferenceData!$BC$71),"")</f>
        <v/>
      </c>
      <c r="BD71" t="str">
        <f ca="1">IFERROR(IF(0=LEN(ReferenceData!$BD$71),"",ReferenceData!$BD$71),"")</f>
        <v/>
      </c>
      <c r="BE71" t="str">
        <f ca="1">IFERROR(IF(0=LEN(ReferenceData!$BE$71),"",ReferenceData!$BE$71),"")</f>
        <v/>
      </c>
      <c r="BF71" t="str">
        <f ca="1">IFERROR(IF(0=LEN(ReferenceData!$BF$71),"",ReferenceData!$BF$71),"")</f>
        <v/>
      </c>
      <c r="BG71" t="str">
        <f ca="1">IFERROR(IF(0=LEN(ReferenceData!$BG$71),"",ReferenceData!$BG$71),"")</f>
        <v/>
      </c>
      <c r="BH71" t="str">
        <f ca="1">IFERROR(IF(0=LEN(ReferenceData!$BH$71),"",ReferenceData!$BH$71),"")</f>
        <v/>
      </c>
      <c r="BI71" t="str">
        <f ca="1">IFERROR(IF(0=LEN(ReferenceData!$BI$71),"",ReferenceData!$BI$71),"")</f>
        <v/>
      </c>
      <c r="BJ71" t="str">
        <f ca="1">IFERROR(IF(0=LEN(ReferenceData!$BJ$71),"",ReferenceData!$BJ$71),"")</f>
        <v/>
      </c>
      <c r="BK71" t="str">
        <f ca="1">IFERROR(IF(0=LEN(ReferenceData!$BK$71),"",ReferenceData!$BK$71),"")</f>
        <v/>
      </c>
      <c r="BL71" t="str">
        <f ca="1">IFERROR(IF(0=LEN(ReferenceData!$BL$71),"",ReferenceData!$BL$71),"")</f>
        <v/>
      </c>
      <c r="BM71" t="str">
        <f ca="1">IFERROR(IF(0=LEN(ReferenceData!$BM$71),"",ReferenceData!$BM$71),"")</f>
        <v/>
      </c>
    </row>
    <row r="72" spans="1:65" x14ac:dyDescent="0.25">
      <c r="A72" t="str">
        <f>IFERROR(IF(0=LEN(ReferenceData!$A$72),"",ReferenceData!$A$72),"")</f>
        <v xml:space="preserve">    SAIC Motor Corp Ltd</v>
      </c>
      <c r="B72" t="str">
        <f>IFERROR(IF(0=LEN(ReferenceData!$B$72),"",ReferenceData!$B$72),"")</f>
        <v>600104 CH Equity</v>
      </c>
      <c r="C72" t="str">
        <f>IFERROR(IF(0=LEN(ReferenceData!$C$72),"",ReferenceData!$C$72),"")</f>
        <v>EZ019</v>
      </c>
      <c r="D72" t="str">
        <f>IFERROR(IF(0=LEN(ReferenceData!$D$72),"",ReferenceData!$D$72),"")</f>
        <v>BEST_EEPS_CUR_YR</v>
      </c>
      <c r="E72" t="str">
        <f>IFERROR(IF(0=LEN(ReferenceData!$E$72),"",ReferenceData!$E$72),"")</f>
        <v>Dynamic</v>
      </c>
      <c r="F72">
        <f ca="1">IFERROR(IF(0=LEN(ReferenceData!$F$72),"",ReferenceData!$F$72),"")</f>
        <v>0.46899999999999997</v>
      </c>
      <c r="G72">
        <f ca="1">IFERROR(IF(0=LEN(ReferenceData!$G$72),"",ReferenceData!$G$72),"")</f>
        <v>0.46200000000000002</v>
      </c>
      <c r="H72">
        <f ca="1">IFERROR(IF(0=LEN(ReferenceData!$H$72),"",ReferenceData!$H$72),"")</f>
        <v>0.47299999999999998</v>
      </c>
      <c r="I72">
        <f ca="1">IFERROR(IF(0=LEN(ReferenceData!$I$72),"",ReferenceData!$I$72),"")</f>
        <v>0.48699999999999999</v>
      </c>
      <c r="J72">
        <f ca="1">IFERROR(IF(0=LEN(ReferenceData!$J$72),"",ReferenceData!$J$72),"")</f>
        <v>0.52400000000000002</v>
      </c>
      <c r="K72">
        <f ca="1">IFERROR(IF(0=LEN(ReferenceData!$K$72),"",ReferenceData!$K$72),"")</f>
        <v>0.51500000000000001</v>
      </c>
      <c r="L72">
        <f ca="1">IFERROR(IF(0=LEN(ReferenceData!$L$72),"",ReferenceData!$L$72),"")</f>
        <v>0.51100000000000001</v>
      </c>
      <c r="M72">
        <f ca="1">IFERROR(IF(0=LEN(ReferenceData!$M$72),"",ReferenceData!$M$72),"")</f>
        <v>0.504</v>
      </c>
      <c r="N72">
        <f ca="1">IFERROR(IF(0=LEN(ReferenceData!$N$72),"",ReferenceData!$N$72),"")</f>
        <v>0.49099999999999999</v>
      </c>
      <c r="O72">
        <f ca="1">IFERROR(IF(0=LEN(ReferenceData!$O$72),"",ReferenceData!$O$72),"")</f>
        <v>0.48299999999999998</v>
      </c>
      <c r="P72">
        <f ca="1">IFERROR(IF(0=LEN(ReferenceData!$P$72),"",ReferenceData!$P$72),"")</f>
        <v>0.47699999999999998</v>
      </c>
      <c r="Q72">
        <f ca="1">IFERROR(IF(0=LEN(ReferenceData!$Q$72),"",ReferenceData!$Q$72),"")</f>
        <v>0.47299999999999998</v>
      </c>
      <c r="R72">
        <f ca="1">IFERROR(IF(0=LEN(ReferenceData!$R$72),"",ReferenceData!$R$72),"")</f>
        <v>0.40100000000000002</v>
      </c>
      <c r="S72">
        <f ca="1">IFERROR(IF(0=LEN(ReferenceData!$S$72),"",ReferenceData!$S$72),"")</f>
        <v>0.34200000000000003</v>
      </c>
      <c r="T72">
        <f ca="1">IFERROR(IF(0=LEN(ReferenceData!$T$72),"",ReferenceData!$T$72),"")</f>
        <v>0.29899999999999999</v>
      </c>
      <c r="U72">
        <f ca="1">IFERROR(IF(0=LEN(ReferenceData!$U$72),"",ReferenceData!$U$72),"")</f>
        <v>0.53600000000000003</v>
      </c>
      <c r="V72">
        <f ca="1">IFERROR(IF(0=LEN(ReferenceData!$V$72),"",ReferenceData!$V$72),"")</f>
        <v>0.65800000000000003</v>
      </c>
      <c r="W72">
        <f ca="1">IFERROR(IF(0=LEN(ReferenceData!$W$72),"",ReferenceData!$W$72),"")</f>
        <v>0.60299999999999998</v>
      </c>
      <c r="X72" t="str">
        <f ca="1">IFERROR(IF(0=LEN(ReferenceData!$X$72),"",ReferenceData!$X$72),"")</f>
        <v/>
      </c>
      <c r="Y72" t="str">
        <f ca="1">IFERROR(IF(0=LEN(ReferenceData!$Y$72),"",ReferenceData!$Y$72),"")</f>
        <v/>
      </c>
      <c r="Z72" t="str">
        <f ca="1">IFERROR(IF(0=LEN(ReferenceData!$Z$72),"",ReferenceData!$Z$72),"")</f>
        <v/>
      </c>
      <c r="AA72" t="str">
        <f ca="1">IFERROR(IF(0=LEN(ReferenceData!$AA$72),"",ReferenceData!$AA$72),"")</f>
        <v/>
      </c>
      <c r="AB72" t="str">
        <f ca="1">IFERROR(IF(0=LEN(ReferenceData!$AB$72),"",ReferenceData!$AB$72),"")</f>
        <v/>
      </c>
      <c r="AC72" t="str">
        <f ca="1">IFERROR(IF(0=LEN(ReferenceData!$AC$72),"",ReferenceData!$AC$72),"")</f>
        <v/>
      </c>
      <c r="AD72" t="str">
        <f ca="1">IFERROR(IF(0=LEN(ReferenceData!$AD$72),"",ReferenceData!$AD$72),"")</f>
        <v/>
      </c>
      <c r="AE72" t="str">
        <f ca="1">IFERROR(IF(0=LEN(ReferenceData!$AE$72),"",ReferenceData!$AE$72),"")</f>
        <v/>
      </c>
      <c r="AF72" t="str">
        <f ca="1">IFERROR(IF(0=LEN(ReferenceData!$AF$72),"",ReferenceData!$AF$72),"")</f>
        <v/>
      </c>
      <c r="AG72" t="str">
        <f ca="1">IFERROR(IF(0=LEN(ReferenceData!$AG$72),"",ReferenceData!$AG$72),"")</f>
        <v/>
      </c>
      <c r="AH72" t="str">
        <f ca="1">IFERROR(IF(0=LEN(ReferenceData!$AH$72),"",ReferenceData!$AH$72),"")</f>
        <v/>
      </c>
      <c r="AI72" t="str">
        <f ca="1">IFERROR(IF(0=LEN(ReferenceData!$AI$72),"",ReferenceData!$AI$72),"")</f>
        <v/>
      </c>
      <c r="AJ72" t="str">
        <f ca="1">IFERROR(IF(0=LEN(ReferenceData!$AJ$72),"",ReferenceData!$AJ$72),"")</f>
        <v/>
      </c>
      <c r="AK72" t="str">
        <f ca="1">IFERROR(IF(0=LEN(ReferenceData!$AK$72),"",ReferenceData!$AK$72),"")</f>
        <v/>
      </c>
      <c r="AL72" t="str">
        <f ca="1">IFERROR(IF(0=LEN(ReferenceData!$AL$72),"",ReferenceData!$AL$72),"")</f>
        <v/>
      </c>
      <c r="AM72" t="str">
        <f ca="1">IFERROR(IF(0=LEN(ReferenceData!$AM$72),"",ReferenceData!$AM$72),"")</f>
        <v/>
      </c>
      <c r="AN72" t="str">
        <f ca="1">IFERROR(IF(0=LEN(ReferenceData!$AN$72),"",ReferenceData!$AN$72),"")</f>
        <v/>
      </c>
      <c r="AO72" t="str">
        <f ca="1">IFERROR(IF(0=LEN(ReferenceData!$AO$72),"",ReferenceData!$AO$72),"")</f>
        <v/>
      </c>
      <c r="AP72" t="str">
        <f ca="1">IFERROR(IF(0=LEN(ReferenceData!$AP$72),"",ReferenceData!$AP$72),"")</f>
        <v/>
      </c>
      <c r="AQ72" t="str">
        <f ca="1">IFERROR(IF(0=LEN(ReferenceData!$AQ$72),"",ReferenceData!$AQ$72),"")</f>
        <v/>
      </c>
      <c r="AR72" t="str">
        <f ca="1">IFERROR(IF(0=LEN(ReferenceData!$AR$72),"",ReferenceData!$AR$72),"")</f>
        <v/>
      </c>
      <c r="AS72" t="str">
        <f ca="1">IFERROR(IF(0=LEN(ReferenceData!$AS$72),"",ReferenceData!$AS$72),"")</f>
        <v/>
      </c>
      <c r="AT72" t="str">
        <f ca="1">IFERROR(IF(0=LEN(ReferenceData!$AT$72),"",ReferenceData!$AT$72),"")</f>
        <v/>
      </c>
      <c r="AU72" t="str">
        <f ca="1">IFERROR(IF(0=LEN(ReferenceData!$AU$72),"",ReferenceData!$AU$72),"")</f>
        <v/>
      </c>
      <c r="AV72" t="str">
        <f ca="1">IFERROR(IF(0=LEN(ReferenceData!$AV$72),"",ReferenceData!$AV$72),"")</f>
        <v/>
      </c>
      <c r="AW72" t="str">
        <f ca="1">IFERROR(IF(0=LEN(ReferenceData!$AW$72),"",ReferenceData!$AW$72),"")</f>
        <v/>
      </c>
      <c r="AX72" t="str">
        <f ca="1">IFERROR(IF(0=LEN(ReferenceData!$AX$72),"",ReferenceData!$AX$72),"")</f>
        <v/>
      </c>
      <c r="AY72" t="str">
        <f ca="1">IFERROR(IF(0=LEN(ReferenceData!$AY$72),"",ReferenceData!$AY$72),"")</f>
        <v/>
      </c>
      <c r="AZ72" t="str">
        <f ca="1">IFERROR(IF(0=LEN(ReferenceData!$AZ$72),"",ReferenceData!$AZ$72),"")</f>
        <v/>
      </c>
      <c r="BA72" t="str">
        <f ca="1">IFERROR(IF(0=LEN(ReferenceData!$BA$72),"",ReferenceData!$BA$72),"")</f>
        <v/>
      </c>
      <c r="BB72" t="str">
        <f ca="1">IFERROR(IF(0=LEN(ReferenceData!$BB$72),"",ReferenceData!$BB$72),"")</f>
        <v/>
      </c>
      <c r="BC72" t="str">
        <f ca="1">IFERROR(IF(0=LEN(ReferenceData!$BC$72),"",ReferenceData!$BC$72),"")</f>
        <v/>
      </c>
      <c r="BD72" t="str">
        <f ca="1">IFERROR(IF(0=LEN(ReferenceData!$BD$72),"",ReferenceData!$BD$72),"")</f>
        <v/>
      </c>
      <c r="BE72" t="str">
        <f ca="1">IFERROR(IF(0=LEN(ReferenceData!$BE$72),"",ReferenceData!$BE$72),"")</f>
        <v/>
      </c>
      <c r="BF72" t="str">
        <f ca="1">IFERROR(IF(0=LEN(ReferenceData!$BF$72),"",ReferenceData!$BF$72),"")</f>
        <v/>
      </c>
      <c r="BG72" t="str">
        <f ca="1">IFERROR(IF(0=LEN(ReferenceData!$BG$72),"",ReferenceData!$BG$72),"")</f>
        <v/>
      </c>
      <c r="BH72" t="str">
        <f ca="1">IFERROR(IF(0=LEN(ReferenceData!$BH$72),"",ReferenceData!$BH$72),"")</f>
        <v/>
      </c>
      <c r="BI72" t="str">
        <f ca="1">IFERROR(IF(0=LEN(ReferenceData!$BI$72),"",ReferenceData!$BI$72),"")</f>
        <v/>
      </c>
      <c r="BJ72" t="str">
        <f ca="1">IFERROR(IF(0=LEN(ReferenceData!$BJ$72),"",ReferenceData!$BJ$72),"")</f>
        <v/>
      </c>
      <c r="BK72" t="str">
        <f ca="1">IFERROR(IF(0=LEN(ReferenceData!$BK$72),"",ReferenceData!$BK$72),"")</f>
        <v/>
      </c>
      <c r="BL72" t="str">
        <f ca="1">IFERROR(IF(0=LEN(ReferenceData!$BL$72),"",ReferenceData!$BL$72),"")</f>
        <v/>
      </c>
      <c r="BM72" t="str">
        <f ca="1">IFERROR(IF(0=LEN(ReferenceData!$BM$72),"",ReferenceData!$BM$72),"")</f>
        <v/>
      </c>
    </row>
    <row r="73" spans="1:65" x14ac:dyDescent="0.25">
      <c r="A73" t="str">
        <f>IFERROR(IF(0=LEN(ReferenceData!$A$73),"",ReferenceData!$A$73),"")</f>
        <v xml:space="preserve">    Sanyang Motor Co Ltd</v>
      </c>
      <c r="B73" t="str">
        <f>IFERROR(IF(0=LEN(ReferenceData!$B$73),"",ReferenceData!$B$73),"")</f>
        <v>2206 TT Equity</v>
      </c>
      <c r="C73" t="str">
        <f>IFERROR(IF(0=LEN(ReferenceData!$C$73),"",ReferenceData!$C$73),"")</f>
        <v>EZ019</v>
      </c>
      <c r="D73" t="str">
        <f>IFERROR(IF(0=LEN(ReferenceData!$D$73),"",ReferenceData!$D$73),"")</f>
        <v>BEST_EEPS_CUR_YR</v>
      </c>
      <c r="E73" t="str">
        <f>IFERROR(IF(0=LEN(ReferenceData!$E$73),"",ReferenceData!$E$73),"")</f>
        <v>Dynamic</v>
      </c>
      <c r="F73">
        <f ca="1">IFERROR(IF(0=LEN(ReferenceData!$F$73),"",ReferenceData!$F$73),"")</f>
        <v>6.8000000000000005E-2</v>
      </c>
      <c r="G73">
        <f ca="1">IFERROR(IF(0=LEN(ReferenceData!$G$73),"",ReferenceData!$G$73),"")</f>
        <v>6.8000000000000005E-2</v>
      </c>
      <c r="H73">
        <f ca="1">IFERROR(IF(0=LEN(ReferenceData!$H$73),"",ReferenceData!$H$73),"")</f>
        <v>3.2000000000000001E-2</v>
      </c>
      <c r="I73" t="str">
        <f ca="1">IFERROR(IF(0=LEN(ReferenceData!$I$73),"",ReferenceData!$I$73),"")</f>
        <v/>
      </c>
      <c r="J73" t="str">
        <f ca="1">IFERROR(IF(0=LEN(ReferenceData!$J$73),"",ReferenceData!$J$73),"")</f>
        <v/>
      </c>
      <c r="K73" t="str">
        <f ca="1">IFERROR(IF(0=LEN(ReferenceData!$K$73),"",ReferenceData!$K$73),"")</f>
        <v/>
      </c>
      <c r="L73" t="str">
        <f ca="1">IFERROR(IF(0=LEN(ReferenceData!$L$73),"",ReferenceData!$L$73),"")</f>
        <v/>
      </c>
      <c r="M73" t="str">
        <f ca="1">IFERROR(IF(0=LEN(ReferenceData!$M$73),"",ReferenceData!$M$73),"")</f>
        <v/>
      </c>
      <c r="N73" t="str">
        <f ca="1">IFERROR(IF(0=LEN(ReferenceData!$N$73),"",ReferenceData!$N$73),"")</f>
        <v/>
      </c>
      <c r="O73" t="str">
        <f ca="1">IFERROR(IF(0=LEN(ReferenceData!$O$73),"",ReferenceData!$O$73),"")</f>
        <v/>
      </c>
      <c r="P73" t="str">
        <f ca="1">IFERROR(IF(0=LEN(ReferenceData!$P$73),"",ReferenceData!$P$73),"")</f>
        <v/>
      </c>
      <c r="Q73" t="str">
        <f ca="1">IFERROR(IF(0=LEN(ReferenceData!$Q$73),"",ReferenceData!$Q$73),"")</f>
        <v/>
      </c>
      <c r="R73" t="str">
        <f ca="1">IFERROR(IF(0=LEN(ReferenceData!$R$73),"",ReferenceData!$R$73),"")</f>
        <v/>
      </c>
      <c r="S73" t="str">
        <f ca="1">IFERROR(IF(0=LEN(ReferenceData!$S$73),"",ReferenceData!$S$73),"")</f>
        <v/>
      </c>
      <c r="T73" t="str">
        <f ca="1">IFERROR(IF(0=LEN(ReferenceData!$T$73),"",ReferenceData!$T$73),"")</f>
        <v/>
      </c>
      <c r="U73" t="str">
        <f ca="1">IFERROR(IF(0=LEN(ReferenceData!$U$73),"",ReferenceData!$U$73),"")</f>
        <v/>
      </c>
      <c r="V73" t="str">
        <f ca="1">IFERROR(IF(0=LEN(ReferenceData!$V$73),"",ReferenceData!$V$73),"")</f>
        <v/>
      </c>
      <c r="W73" t="str">
        <f ca="1">IFERROR(IF(0=LEN(ReferenceData!$W$73),"",ReferenceData!$W$73),"")</f>
        <v/>
      </c>
      <c r="X73" t="str">
        <f ca="1">IFERROR(IF(0=LEN(ReferenceData!$X$73),"",ReferenceData!$X$73),"")</f>
        <v/>
      </c>
      <c r="Y73" t="str">
        <f ca="1">IFERROR(IF(0=LEN(ReferenceData!$Y$73),"",ReferenceData!$Y$73),"")</f>
        <v/>
      </c>
      <c r="Z73" t="str">
        <f ca="1">IFERROR(IF(0=LEN(ReferenceData!$Z$73),"",ReferenceData!$Z$73),"")</f>
        <v/>
      </c>
      <c r="AA73" t="str">
        <f ca="1">IFERROR(IF(0=LEN(ReferenceData!$AA$73),"",ReferenceData!$AA$73),"")</f>
        <v/>
      </c>
      <c r="AB73" t="str">
        <f ca="1">IFERROR(IF(0=LEN(ReferenceData!$AB$73),"",ReferenceData!$AB$73),"")</f>
        <v/>
      </c>
      <c r="AC73" t="str">
        <f ca="1">IFERROR(IF(0=LEN(ReferenceData!$AC$73),"",ReferenceData!$AC$73),"")</f>
        <v/>
      </c>
      <c r="AD73" t="str">
        <f ca="1">IFERROR(IF(0=LEN(ReferenceData!$AD$73),"",ReferenceData!$AD$73),"")</f>
        <v/>
      </c>
      <c r="AE73" t="str">
        <f ca="1">IFERROR(IF(0=LEN(ReferenceData!$AE$73),"",ReferenceData!$AE$73),"")</f>
        <v/>
      </c>
      <c r="AF73" t="str">
        <f ca="1">IFERROR(IF(0=LEN(ReferenceData!$AF$73),"",ReferenceData!$AF$73),"")</f>
        <v/>
      </c>
      <c r="AG73" t="str">
        <f ca="1">IFERROR(IF(0=LEN(ReferenceData!$AG$73),"",ReferenceData!$AG$73),"")</f>
        <v/>
      </c>
      <c r="AH73" t="str">
        <f ca="1">IFERROR(IF(0=LEN(ReferenceData!$AH$73),"",ReferenceData!$AH$73),"")</f>
        <v/>
      </c>
      <c r="AI73" t="str">
        <f ca="1">IFERROR(IF(0=LEN(ReferenceData!$AI$73),"",ReferenceData!$AI$73),"")</f>
        <v/>
      </c>
      <c r="AJ73" t="str">
        <f ca="1">IFERROR(IF(0=LEN(ReferenceData!$AJ$73),"",ReferenceData!$AJ$73),"")</f>
        <v/>
      </c>
      <c r="AK73" t="str">
        <f ca="1">IFERROR(IF(0=LEN(ReferenceData!$AK$73),"",ReferenceData!$AK$73),"")</f>
        <v/>
      </c>
      <c r="AL73" t="str">
        <f ca="1">IFERROR(IF(0=LEN(ReferenceData!$AL$73),"",ReferenceData!$AL$73),"")</f>
        <v/>
      </c>
      <c r="AM73" t="str">
        <f ca="1">IFERROR(IF(0=LEN(ReferenceData!$AM$73),"",ReferenceData!$AM$73),"")</f>
        <v/>
      </c>
      <c r="AN73" t="str">
        <f ca="1">IFERROR(IF(0=LEN(ReferenceData!$AN$73),"",ReferenceData!$AN$73),"")</f>
        <v/>
      </c>
      <c r="AO73" t="str">
        <f ca="1">IFERROR(IF(0=LEN(ReferenceData!$AO$73),"",ReferenceData!$AO$73),"")</f>
        <v/>
      </c>
      <c r="AP73" t="str">
        <f ca="1">IFERROR(IF(0=LEN(ReferenceData!$AP$73),"",ReferenceData!$AP$73),"")</f>
        <v/>
      </c>
      <c r="AQ73" t="str">
        <f ca="1">IFERROR(IF(0=LEN(ReferenceData!$AQ$73),"",ReferenceData!$AQ$73),"")</f>
        <v/>
      </c>
      <c r="AR73" t="str">
        <f ca="1">IFERROR(IF(0=LEN(ReferenceData!$AR$73),"",ReferenceData!$AR$73),"")</f>
        <v/>
      </c>
      <c r="AS73" t="str">
        <f ca="1">IFERROR(IF(0=LEN(ReferenceData!$AS$73),"",ReferenceData!$AS$73),"")</f>
        <v/>
      </c>
      <c r="AT73" t="str">
        <f ca="1">IFERROR(IF(0=LEN(ReferenceData!$AT$73),"",ReferenceData!$AT$73),"")</f>
        <v/>
      </c>
      <c r="AU73" t="str">
        <f ca="1">IFERROR(IF(0=LEN(ReferenceData!$AU$73),"",ReferenceData!$AU$73),"")</f>
        <v/>
      </c>
      <c r="AV73" t="str">
        <f ca="1">IFERROR(IF(0=LEN(ReferenceData!$AV$73),"",ReferenceData!$AV$73),"")</f>
        <v/>
      </c>
      <c r="AW73" t="str">
        <f ca="1">IFERROR(IF(0=LEN(ReferenceData!$AW$73),"",ReferenceData!$AW$73),"")</f>
        <v/>
      </c>
      <c r="AX73" t="str">
        <f ca="1">IFERROR(IF(0=LEN(ReferenceData!$AX$73),"",ReferenceData!$AX$73),"")</f>
        <v/>
      </c>
      <c r="AY73" t="str">
        <f ca="1">IFERROR(IF(0=LEN(ReferenceData!$AY$73),"",ReferenceData!$AY$73),"")</f>
        <v/>
      </c>
      <c r="AZ73" t="str">
        <f ca="1">IFERROR(IF(0=LEN(ReferenceData!$AZ$73),"",ReferenceData!$AZ$73),"")</f>
        <v/>
      </c>
      <c r="BA73" t="str">
        <f ca="1">IFERROR(IF(0=LEN(ReferenceData!$BA$73),"",ReferenceData!$BA$73),"")</f>
        <v/>
      </c>
      <c r="BB73" t="str">
        <f ca="1">IFERROR(IF(0=LEN(ReferenceData!$BB$73),"",ReferenceData!$BB$73),"")</f>
        <v/>
      </c>
      <c r="BC73" t="str">
        <f ca="1">IFERROR(IF(0=LEN(ReferenceData!$BC$73),"",ReferenceData!$BC$73),"")</f>
        <v/>
      </c>
      <c r="BD73" t="str">
        <f ca="1">IFERROR(IF(0=LEN(ReferenceData!$BD$73),"",ReferenceData!$BD$73),"")</f>
        <v/>
      </c>
      <c r="BE73" t="str">
        <f ca="1">IFERROR(IF(0=LEN(ReferenceData!$BE$73),"",ReferenceData!$BE$73),"")</f>
        <v/>
      </c>
      <c r="BF73" t="str">
        <f ca="1">IFERROR(IF(0=LEN(ReferenceData!$BF$73),"",ReferenceData!$BF$73),"")</f>
        <v/>
      </c>
      <c r="BG73" t="str">
        <f ca="1">IFERROR(IF(0=LEN(ReferenceData!$BG$73),"",ReferenceData!$BG$73),"")</f>
        <v/>
      </c>
      <c r="BH73" t="str">
        <f ca="1">IFERROR(IF(0=LEN(ReferenceData!$BH$73),"",ReferenceData!$BH$73),"")</f>
        <v/>
      </c>
      <c r="BI73" t="str">
        <f ca="1">IFERROR(IF(0=LEN(ReferenceData!$BI$73),"",ReferenceData!$BI$73),"")</f>
        <v/>
      </c>
      <c r="BJ73" t="str">
        <f ca="1">IFERROR(IF(0=LEN(ReferenceData!$BJ$73),"",ReferenceData!$BJ$73),"")</f>
        <v/>
      </c>
      <c r="BK73" t="str">
        <f ca="1">IFERROR(IF(0=LEN(ReferenceData!$BK$73),"",ReferenceData!$BK$73),"")</f>
        <v/>
      </c>
      <c r="BL73" t="str">
        <f ca="1">IFERROR(IF(0=LEN(ReferenceData!$BL$73),"",ReferenceData!$BL$73),"")</f>
        <v/>
      </c>
      <c r="BM73" t="str">
        <f ca="1">IFERROR(IF(0=LEN(ReferenceData!$BM$73),"",ReferenceData!$BM$73),"")</f>
        <v/>
      </c>
    </row>
    <row r="74" spans="1:65" x14ac:dyDescent="0.25">
      <c r="A74" t="str">
        <f>IFERROR(IF(0=LEN(ReferenceData!$A$74),"",ReferenceData!$A$74),"")</f>
        <v xml:space="preserve">    Sollers PJSC</v>
      </c>
      <c r="B74" t="str">
        <f>IFERROR(IF(0=LEN(ReferenceData!$B$74),"",ReferenceData!$B$74),"")</f>
        <v>SVAV RM Equity</v>
      </c>
      <c r="C74" t="str">
        <f>IFERROR(IF(0=LEN(ReferenceData!$C$74),"",ReferenceData!$C$74),"")</f>
        <v>EZ019</v>
      </c>
      <c r="D74" t="str">
        <f>IFERROR(IF(0=LEN(ReferenceData!$D$74),"",ReferenceData!$D$74),"")</f>
        <v>BEST_EEPS_CUR_YR</v>
      </c>
      <c r="E74" t="str">
        <f>IFERROR(IF(0=LEN(ReferenceData!$E$74),"",ReferenceData!$E$74),"")</f>
        <v>Dynamic</v>
      </c>
      <c r="F74">
        <f ca="1">IFERROR(IF(0=LEN(ReferenceData!$F$74),"",ReferenceData!$F$74),"")</f>
        <v>0.97599999999999998</v>
      </c>
      <c r="G74">
        <f ca="1">IFERROR(IF(0=LEN(ReferenceData!$G$74),"",ReferenceData!$G$74),"")</f>
        <v>0.96499999999999997</v>
      </c>
      <c r="H74">
        <f ca="1">IFERROR(IF(0=LEN(ReferenceData!$H$74),"",ReferenceData!$H$74),"")</f>
        <v>0.92300000000000004</v>
      </c>
      <c r="I74">
        <f ca="1">IFERROR(IF(0=LEN(ReferenceData!$I$74),"",ReferenceData!$I$74),"")</f>
        <v>0.72399999999999998</v>
      </c>
      <c r="J74">
        <f ca="1">IFERROR(IF(0=LEN(ReferenceData!$J$74),"",ReferenceData!$J$74),"")</f>
        <v>2.9940000000000002</v>
      </c>
      <c r="K74">
        <f ca="1">IFERROR(IF(0=LEN(ReferenceData!$K$74),"",ReferenceData!$K$74),"")</f>
        <v>3.0910000000000002</v>
      </c>
      <c r="L74">
        <f ca="1">IFERROR(IF(0=LEN(ReferenceData!$L$74),"",ReferenceData!$L$74),"")</f>
        <v>3.0939999999999999</v>
      </c>
      <c r="M74">
        <f ca="1">IFERROR(IF(0=LEN(ReferenceData!$M$74),"",ReferenceData!$M$74),"")</f>
        <v>3.0630000000000002</v>
      </c>
      <c r="N74">
        <f ca="1">IFERROR(IF(0=LEN(ReferenceData!$N$74),"",ReferenceData!$N$74),"")</f>
        <v>3.1139999999999999</v>
      </c>
      <c r="O74">
        <f ca="1">IFERROR(IF(0=LEN(ReferenceData!$O$74),"",ReferenceData!$O$74),"")</f>
        <v>3.101</v>
      </c>
      <c r="P74">
        <f ca="1">IFERROR(IF(0=LEN(ReferenceData!$P$74),"",ReferenceData!$P$74),"")</f>
        <v>3.012</v>
      </c>
      <c r="Q74">
        <f ca="1">IFERROR(IF(0=LEN(ReferenceData!$Q$74),"",ReferenceData!$Q$74),"")</f>
        <v>3.3180000000000001</v>
      </c>
      <c r="R74">
        <f ca="1">IFERROR(IF(0=LEN(ReferenceData!$R$74),"",ReferenceData!$R$74),"")</f>
        <v>1.9810000000000001</v>
      </c>
      <c r="S74">
        <f ca="1">IFERROR(IF(0=LEN(ReferenceData!$S$74),"",ReferenceData!$S$74),"")</f>
        <v>1.919</v>
      </c>
      <c r="T74">
        <f ca="1">IFERROR(IF(0=LEN(ReferenceData!$T$74),"",ReferenceData!$T$74),"")</f>
        <v>2.1059999999999999</v>
      </c>
      <c r="U74" t="str">
        <f ca="1">IFERROR(IF(0=LEN(ReferenceData!$U$74),"",ReferenceData!$U$74),"")</f>
        <v/>
      </c>
      <c r="V74">
        <f ca="1">IFERROR(IF(0=LEN(ReferenceData!$V$74),"",ReferenceData!$V$74),"")</f>
        <v>4.5359999999999996</v>
      </c>
      <c r="W74" t="str">
        <f ca="1">IFERROR(IF(0=LEN(ReferenceData!$W$74),"",ReferenceData!$W$74),"")</f>
        <v/>
      </c>
      <c r="X74">
        <f ca="1">IFERROR(IF(0=LEN(ReferenceData!$X$74),"",ReferenceData!$X$74),"")</f>
        <v>6.6310000000000002</v>
      </c>
      <c r="Y74">
        <f ca="1">IFERROR(IF(0=LEN(ReferenceData!$Y$74),"",ReferenceData!$Y$74),"")</f>
        <v>7.7359999999999998</v>
      </c>
      <c r="Z74" t="str">
        <f ca="1">IFERROR(IF(0=LEN(ReferenceData!$Z$74),"",ReferenceData!$Z$74),"")</f>
        <v/>
      </c>
      <c r="AA74" t="str">
        <f ca="1">IFERROR(IF(0=LEN(ReferenceData!$AA$74),"",ReferenceData!$AA$74),"")</f>
        <v/>
      </c>
      <c r="AB74" t="str">
        <f ca="1">IFERROR(IF(0=LEN(ReferenceData!$AB$74),"",ReferenceData!$AB$74),"")</f>
        <v/>
      </c>
      <c r="AC74" t="str">
        <f ca="1">IFERROR(IF(0=LEN(ReferenceData!$AC$74),"",ReferenceData!$AC$74),"")</f>
        <v/>
      </c>
      <c r="AD74" t="str">
        <f ca="1">IFERROR(IF(0=LEN(ReferenceData!$AD$74),"",ReferenceData!$AD$74),"")</f>
        <v/>
      </c>
      <c r="AE74" t="str">
        <f ca="1">IFERROR(IF(0=LEN(ReferenceData!$AE$74),"",ReferenceData!$AE$74),"")</f>
        <v/>
      </c>
      <c r="AF74" t="str">
        <f ca="1">IFERROR(IF(0=LEN(ReferenceData!$AF$74),"",ReferenceData!$AF$74),"")</f>
        <v/>
      </c>
      <c r="AG74" t="str">
        <f ca="1">IFERROR(IF(0=LEN(ReferenceData!$AG$74),"",ReferenceData!$AG$74),"")</f>
        <v/>
      </c>
      <c r="AH74" t="str">
        <f ca="1">IFERROR(IF(0=LEN(ReferenceData!$AH$74),"",ReferenceData!$AH$74),"")</f>
        <v/>
      </c>
      <c r="AI74" t="str">
        <f ca="1">IFERROR(IF(0=LEN(ReferenceData!$AI$74),"",ReferenceData!$AI$74),"")</f>
        <v/>
      </c>
      <c r="AJ74" t="str">
        <f ca="1">IFERROR(IF(0=LEN(ReferenceData!$AJ$74),"",ReferenceData!$AJ$74),"")</f>
        <v/>
      </c>
      <c r="AK74" t="str">
        <f ca="1">IFERROR(IF(0=LEN(ReferenceData!$AK$74),"",ReferenceData!$AK$74),"")</f>
        <v/>
      </c>
      <c r="AL74" t="str">
        <f ca="1">IFERROR(IF(0=LEN(ReferenceData!$AL$74),"",ReferenceData!$AL$74),"")</f>
        <v/>
      </c>
      <c r="AM74" t="str">
        <f ca="1">IFERROR(IF(0=LEN(ReferenceData!$AM$74),"",ReferenceData!$AM$74),"")</f>
        <v/>
      </c>
      <c r="AN74" t="str">
        <f ca="1">IFERROR(IF(0=LEN(ReferenceData!$AN$74),"",ReferenceData!$AN$74),"")</f>
        <v/>
      </c>
      <c r="AO74" t="str">
        <f ca="1">IFERROR(IF(0=LEN(ReferenceData!$AO$74),"",ReferenceData!$AO$74),"")</f>
        <v/>
      </c>
      <c r="AP74" t="str">
        <f ca="1">IFERROR(IF(0=LEN(ReferenceData!$AP$74),"",ReferenceData!$AP$74),"")</f>
        <v/>
      </c>
      <c r="AQ74" t="str">
        <f ca="1">IFERROR(IF(0=LEN(ReferenceData!$AQ$74),"",ReferenceData!$AQ$74),"")</f>
        <v/>
      </c>
      <c r="AR74" t="str">
        <f ca="1">IFERROR(IF(0=LEN(ReferenceData!$AR$74),"",ReferenceData!$AR$74),"")</f>
        <v/>
      </c>
      <c r="AS74" t="str">
        <f ca="1">IFERROR(IF(0=LEN(ReferenceData!$AS$74),"",ReferenceData!$AS$74),"")</f>
        <v/>
      </c>
      <c r="AT74" t="str">
        <f ca="1">IFERROR(IF(0=LEN(ReferenceData!$AT$74),"",ReferenceData!$AT$74),"")</f>
        <v/>
      </c>
      <c r="AU74" t="str">
        <f ca="1">IFERROR(IF(0=LEN(ReferenceData!$AU$74),"",ReferenceData!$AU$74),"")</f>
        <v/>
      </c>
      <c r="AV74" t="str">
        <f ca="1">IFERROR(IF(0=LEN(ReferenceData!$AV$74),"",ReferenceData!$AV$74),"")</f>
        <v/>
      </c>
      <c r="AW74" t="str">
        <f ca="1">IFERROR(IF(0=LEN(ReferenceData!$AW$74),"",ReferenceData!$AW$74),"")</f>
        <v/>
      </c>
      <c r="AX74" t="str">
        <f ca="1">IFERROR(IF(0=LEN(ReferenceData!$AX$74),"",ReferenceData!$AX$74),"")</f>
        <v/>
      </c>
      <c r="AY74" t="str">
        <f ca="1">IFERROR(IF(0=LEN(ReferenceData!$AY$74),"",ReferenceData!$AY$74),"")</f>
        <v/>
      </c>
      <c r="AZ74" t="str">
        <f ca="1">IFERROR(IF(0=LEN(ReferenceData!$AZ$74),"",ReferenceData!$AZ$74),"")</f>
        <v/>
      </c>
      <c r="BA74" t="str">
        <f ca="1">IFERROR(IF(0=LEN(ReferenceData!$BA$74),"",ReferenceData!$BA$74),"")</f>
        <v/>
      </c>
      <c r="BB74" t="str">
        <f ca="1">IFERROR(IF(0=LEN(ReferenceData!$BB$74),"",ReferenceData!$BB$74),"")</f>
        <v/>
      </c>
      <c r="BC74" t="str">
        <f ca="1">IFERROR(IF(0=LEN(ReferenceData!$BC$74),"",ReferenceData!$BC$74),"")</f>
        <v/>
      </c>
      <c r="BD74" t="str">
        <f ca="1">IFERROR(IF(0=LEN(ReferenceData!$BD$74),"",ReferenceData!$BD$74),"")</f>
        <v/>
      </c>
      <c r="BE74" t="str">
        <f ca="1">IFERROR(IF(0=LEN(ReferenceData!$BE$74),"",ReferenceData!$BE$74),"")</f>
        <v/>
      </c>
      <c r="BF74" t="str">
        <f ca="1">IFERROR(IF(0=LEN(ReferenceData!$BF$74),"",ReferenceData!$BF$74),"")</f>
        <v/>
      </c>
      <c r="BG74" t="str">
        <f ca="1">IFERROR(IF(0=LEN(ReferenceData!$BG$74),"",ReferenceData!$BG$74),"")</f>
        <v/>
      </c>
      <c r="BH74" t="str">
        <f ca="1">IFERROR(IF(0=LEN(ReferenceData!$BH$74),"",ReferenceData!$BH$74),"")</f>
        <v/>
      </c>
      <c r="BI74" t="str">
        <f ca="1">IFERROR(IF(0=LEN(ReferenceData!$BI$74),"",ReferenceData!$BI$74),"")</f>
        <v/>
      </c>
      <c r="BJ74" t="str">
        <f ca="1">IFERROR(IF(0=LEN(ReferenceData!$BJ$74),"",ReferenceData!$BJ$74),"")</f>
        <v/>
      </c>
      <c r="BK74" t="str">
        <f ca="1">IFERROR(IF(0=LEN(ReferenceData!$BK$74),"",ReferenceData!$BK$74),"")</f>
        <v/>
      </c>
      <c r="BL74" t="str">
        <f ca="1">IFERROR(IF(0=LEN(ReferenceData!$BL$74),"",ReferenceData!$BL$74),"")</f>
        <v/>
      </c>
      <c r="BM74" t="str">
        <f ca="1">IFERROR(IF(0=LEN(ReferenceData!$BM$74),"",ReferenceData!$BM$74),"")</f>
        <v/>
      </c>
    </row>
    <row r="75" spans="1:65" x14ac:dyDescent="0.25">
      <c r="A75" t="str">
        <f>IFERROR(IF(0=LEN(ReferenceData!$A$75),"",ReferenceData!$A$75),"")</f>
        <v xml:space="preserve">    Ssangyong Motor Co</v>
      </c>
      <c r="B75" t="str">
        <f>IFERROR(IF(0=LEN(ReferenceData!$B$75),"",ReferenceData!$B$75),"")</f>
        <v>003620 KS Equity</v>
      </c>
      <c r="C75" t="str">
        <f>IFERROR(IF(0=LEN(ReferenceData!$C$75),"",ReferenceData!$C$75),"")</f>
        <v>EZ019</v>
      </c>
      <c r="D75" t="str">
        <f>IFERROR(IF(0=LEN(ReferenceData!$D$75),"",ReferenceData!$D$75),"")</f>
        <v>BEST_EEPS_CUR_YR</v>
      </c>
      <c r="E75" t="str">
        <f>IFERROR(IF(0=LEN(ReferenceData!$E$75),"",ReferenceData!$E$75),"")</f>
        <v>Dynamic</v>
      </c>
      <c r="F75">
        <f ca="1">IFERROR(IF(0=LEN(ReferenceData!$F$75),"",ReferenceData!$F$75),"")</f>
        <v>-1.9E-2</v>
      </c>
      <c r="G75">
        <f ca="1">IFERROR(IF(0=LEN(ReferenceData!$G$75),"",ReferenceData!$G$75),"")</f>
        <v>-0.14599999999999999</v>
      </c>
      <c r="H75" t="str">
        <f ca="1">IFERROR(IF(0=LEN(ReferenceData!$H$75),"",ReferenceData!$H$75),"")</f>
        <v/>
      </c>
      <c r="I75" t="str">
        <f ca="1">IFERROR(IF(0=LEN(ReferenceData!$I$75),"",ReferenceData!$I$75),"")</f>
        <v/>
      </c>
      <c r="J75">
        <f ca="1">IFERROR(IF(0=LEN(ReferenceData!$J$75),"",ReferenceData!$J$75),"")</f>
        <v>0.32500000000000001</v>
      </c>
      <c r="K75">
        <f ca="1">IFERROR(IF(0=LEN(ReferenceData!$K$75),"",ReferenceData!$K$75),"")</f>
        <v>0.31900000000000001</v>
      </c>
      <c r="L75">
        <f ca="1">IFERROR(IF(0=LEN(ReferenceData!$L$75),"",ReferenceData!$L$75),"")</f>
        <v>0.49299999999999999</v>
      </c>
      <c r="M75">
        <f ca="1">IFERROR(IF(0=LEN(ReferenceData!$M$75),"",ReferenceData!$M$75),"")</f>
        <v>0.47099999999999997</v>
      </c>
      <c r="N75">
        <f ca="1">IFERROR(IF(0=LEN(ReferenceData!$N$75),"",ReferenceData!$N$75),"")</f>
        <v>0.39200000000000002</v>
      </c>
      <c r="O75" t="str">
        <f ca="1">IFERROR(IF(0=LEN(ReferenceData!$O$75),"",ReferenceData!$O$75),"")</f>
        <v/>
      </c>
      <c r="P75" t="str">
        <f ca="1">IFERROR(IF(0=LEN(ReferenceData!$P$75),"",ReferenceData!$P$75),"")</f>
        <v/>
      </c>
      <c r="Q75" t="str">
        <f ca="1">IFERROR(IF(0=LEN(ReferenceData!$Q$75),"",ReferenceData!$Q$75),"")</f>
        <v/>
      </c>
      <c r="R75" t="str">
        <f ca="1">IFERROR(IF(0=LEN(ReferenceData!$R$75),"",ReferenceData!$R$75),"")</f>
        <v/>
      </c>
      <c r="S75" t="str">
        <f ca="1">IFERROR(IF(0=LEN(ReferenceData!$S$75),"",ReferenceData!$S$75),"")</f>
        <v/>
      </c>
      <c r="T75" t="str">
        <f ca="1">IFERROR(IF(0=LEN(ReferenceData!$T$75),"",ReferenceData!$T$75),"")</f>
        <v/>
      </c>
      <c r="U75" t="str">
        <f ca="1">IFERROR(IF(0=LEN(ReferenceData!$U$75),"",ReferenceData!$U$75),"")</f>
        <v/>
      </c>
      <c r="V75" t="str">
        <f ca="1">IFERROR(IF(0=LEN(ReferenceData!$V$75),"",ReferenceData!$V$75),"")</f>
        <v/>
      </c>
      <c r="W75" t="str">
        <f ca="1">IFERROR(IF(0=LEN(ReferenceData!$W$75),"",ReferenceData!$W$75),"")</f>
        <v/>
      </c>
      <c r="X75" t="str">
        <f ca="1">IFERROR(IF(0=LEN(ReferenceData!$X$75),"",ReferenceData!$X$75),"")</f>
        <v/>
      </c>
      <c r="Y75" t="str">
        <f ca="1">IFERROR(IF(0=LEN(ReferenceData!$Y$75),"",ReferenceData!$Y$75),"")</f>
        <v/>
      </c>
      <c r="Z75" t="str">
        <f ca="1">IFERROR(IF(0=LEN(ReferenceData!$Z$75),"",ReferenceData!$Z$75),"")</f>
        <v/>
      </c>
      <c r="AA75" t="str">
        <f ca="1">IFERROR(IF(0=LEN(ReferenceData!$AA$75),"",ReferenceData!$AA$75),"")</f>
        <v/>
      </c>
      <c r="AB75" t="str">
        <f ca="1">IFERROR(IF(0=LEN(ReferenceData!$AB$75),"",ReferenceData!$AB$75),"")</f>
        <v/>
      </c>
      <c r="AC75" t="str">
        <f ca="1">IFERROR(IF(0=LEN(ReferenceData!$AC$75),"",ReferenceData!$AC$75),"")</f>
        <v/>
      </c>
      <c r="AD75" t="str">
        <f ca="1">IFERROR(IF(0=LEN(ReferenceData!$AD$75),"",ReferenceData!$AD$75),"")</f>
        <v/>
      </c>
      <c r="AE75" t="str">
        <f ca="1">IFERROR(IF(0=LEN(ReferenceData!$AE$75),"",ReferenceData!$AE$75),"")</f>
        <v/>
      </c>
      <c r="AF75" t="str">
        <f ca="1">IFERROR(IF(0=LEN(ReferenceData!$AF$75),"",ReferenceData!$AF$75),"")</f>
        <v/>
      </c>
      <c r="AG75" t="str">
        <f ca="1">IFERROR(IF(0=LEN(ReferenceData!$AG$75),"",ReferenceData!$AG$75),"")</f>
        <v/>
      </c>
      <c r="AH75" t="str">
        <f ca="1">IFERROR(IF(0=LEN(ReferenceData!$AH$75),"",ReferenceData!$AH$75),"")</f>
        <v/>
      </c>
      <c r="AI75" t="str">
        <f ca="1">IFERROR(IF(0=LEN(ReferenceData!$AI$75),"",ReferenceData!$AI$75),"")</f>
        <v/>
      </c>
      <c r="AJ75" t="str">
        <f ca="1">IFERROR(IF(0=LEN(ReferenceData!$AJ$75),"",ReferenceData!$AJ$75),"")</f>
        <v/>
      </c>
      <c r="AK75" t="str">
        <f ca="1">IFERROR(IF(0=LEN(ReferenceData!$AK$75),"",ReferenceData!$AK$75),"")</f>
        <v/>
      </c>
      <c r="AL75" t="str">
        <f ca="1">IFERROR(IF(0=LEN(ReferenceData!$AL$75),"",ReferenceData!$AL$75),"")</f>
        <v/>
      </c>
      <c r="AM75" t="str">
        <f ca="1">IFERROR(IF(0=LEN(ReferenceData!$AM$75),"",ReferenceData!$AM$75),"")</f>
        <v/>
      </c>
      <c r="AN75" t="str">
        <f ca="1">IFERROR(IF(0=LEN(ReferenceData!$AN$75),"",ReferenceData!$AN$75),"")</f>
        <v/>
      </c>
      <c r="AO75" t="str">
        <f ca="1">IFERROR(IF(0=LEN(ReferenceData!$AO$75),"",ReferenceData!$AO$75),"")</f>
        <v/>
      </c>
      <c r="AP75" t="str">
        <f ca="1">IFERROR(IF(0=LEN(ReferenceData!$AP$75),"",ReferenceData!$AP$75),"")</f>
        <v/>
      </c>
      <c r="AQ75" t="str">
        <f ca="1">IFERROR(IF(0=LEN(ReferenceData!$AQ$75),"",ReferenceData!$AQ$75),"")</f>
        <v/>
      </c>
      <c r="AR75" t="str">
        <f ca="1">IFERROR(IF(0=LEN(ReferenceData!$AR$75),"",ReferenceData!$AR$75),"")</f>
        <v/>
      </c>
      <c r="AS75" t="str">
        <f ca="1">IFERROR(IF(0=LEN(ReferenceData!$AS$75),"",ReferenceData!$AS$75),"")</f>
        <v/>
      </c>
      <c r="AT75" t="str">
        <f ca="1">IFERROR(IF(0=LEN(ReferenceData!$AT$75),"",ReferenceData!$AT$75),"")</f>
        <v/>
      </c>
      <c r="AU75" t="str">
        <f ca="1">IFERROR(IF(0=LEN(ReferenceData!$AU$75),"",ReferenceData!$AU$75),"")</f>
        <v/>
      </c>
      <c r="AV75" t="str">
        <f ca="1">IFERROR(IF(0=LEN(ReferenceData!$AV$75),"",ReferenceData!$AV$75),"")</f>
        <v/>
      </c>
      <c r="AW75" t="str">
        <f ca="1">IFERROR(IF(0=LEN(ReferenceData!$AW$75),"",ReferenceData!$AW$75),"")</f>
        <v/>
      </c>
      <c r="AX75" t="str">
        <f ca="1">IFERROR(IF(0=LEN(ReferenceData!$AX$75),"",ReferenceData!$AX$75),"")</f>
        <v/>
      </c>
      <c r="AY75" t="str">
        <f ca="1">IFERROR(IF(0=LEN(ReferenceData!$AY$75),"",ReferenceData!$AY$75),"")</f>
        <v/>
      </c>
      <c r="AZ75" t="str">
        <f ca="1">IFERROR(IF(0=LEN(ReferenceData!$AZ$75),"",ReferenceData!$AZ$75),"")</f>
        <v/>
      </c>
      <c r="BA75" t="str">
        <f ca="1">IFERROR(IF(0=LEN(ReferenceData!$BA$75),"",ReferenceData!$BA$75),"")</f>
        <v/>
      </c>
      <c r="BB75" t="str">
        <f ca="1">IFERROR(IF(0=LEN(ReferenceData!$BB$75),"",ReferenceData!$BB$75),"")</f>
        <v/>
      </c>
      <c r="BC75" t="str">
        <f ca="1">IFERROR(IF(0=LEN(ReferenceData!$BC$75),"",ReferenceData!$BC$75),"")</f>
        <v/>
      </c>
      <c r="BD75" t="str">
        <f ca="1">IFERROR(IF(0=LEN(ReferenceData!$BD$75),"",ReferenceData!$BD$75),"")</f>
        <v/>
      </c>
      <c r="BE75" t="str">
        <f ca="1">IFERROR(IF(0=LEN(ReferenceData!$BE$75),"",ReferenceData!$BE$75),"")</f>
        <v/>
      </c>
      <c r="BF75" t="str">
        <f ca="1">IFERROR(IF(0=LEN(ReferenceData!$BF$75),"",ReferenceData!$BF$75),"")</f>
        <v/>
      </c>
      <c r="BG75" t="str">
        <f ca="1">IFERROR(IF(0=LEN(ReferenceData!$BG$75),"",ReferenceData!$BG$75),"")</f>
        <v/>
      </c>
      <c r="BH75" t="str">
        <f ca="1">IFERROR(IF(0=LEN(ReferenceData!$BH$75),"",ReferenceData!$BH$75),"")</f>
        <v/>
      </c>
      <c r="BI75" t="str">
        <f ca="1">IFERROR(IF(0=LEN(ReferenceData!$BI$75),"",ReferenceData!$BI$75),"")</f>
        <v/>
      </c>
      <c r="BJ75" t="str">
        <f ca="1">IFERROR(IF(0=LEN(ReferenceData!$BJ$75),"",ReferenceData!$BJ$75),"")</f>
        <v/>
      </c>
      <c r="BK75" t="str">
        <f ca="1">IFERROR(IF(0=LEN(ReferenceData!$BK$75),"",ReferenceData!$BK$75),"")</f>
        <v/>
      </c>
      <c r="BL75" t="str">
        <f ca="1">IFERROR(IF(0=LEN(ReferenceData!$BL$75),"",ReferenceData!$BL$75),"")</f>
        <v/>
      </c>
      <c r="BM75" t="str">
        <f ca="1">IFERROR(IF(0=LEN(ReferenceData!$BM$75),"",ReferenceData!$BM$75),"")</f>
        <v/>
      </c>
    </row>
    <row r="76" spans="1:65" x14ac:dyDescent="0.25">
      <c r="A76" t="str">
        <f>IFERROR(IF(0=LEN(ReferenceData!$A$76),"",ReferenceData!$A$76),"")</f>
        <v xml:space="preserve">    Subaru Corp</v>
      </c>
      <c r="B76" t="str">
        <f>IFERROR(IF(0=LEN(ReferenceData!$B$76),"",ReferenceData!$B$76),"")</f>
        <v>7270 JP Equity</v>
      </c>
      <c r="C76" t="str">
        <f>IFERROR(IF(0=LEN(ReferenceData!$C$76),"",ReferenceData!$C$76),"")</f>
        <v>EZ019</v>
      </c>
      <c r="D76" t="str">
        <f>IFERROR(IF(0=LEN(ReferenceData!$D$76),"",ReferenceData!$D$76),"")</f>
        <v>BEST_EEPS_CUR_YR</v>
      </c>
      <c r="E76" t="str">
        <f>IFERROR(IF(0=LEN(ReferenceData!$E$76),"",ReferenceData!$E$76),"")</f>
        <v>Dynamic</v>
      </c>
      <c r="F76">
        <f ca="1">IFERROR(IF(0=LEN(ReferenceData!$F$76),"",ReferenceData!$F$76),"")</f>
        <v>1.8979999999999999</v>
      </c>
      <c r="G76">
        <f ca="1">IFERROR(IF(0=LEN(ReferenceData!$G$76),"",ReferenceData!$G$76),"")</f>
        <v>2.0649999999999999</v>
      </c>
      <c r="H76">
        <f ca="1">IFERROR(IF(0=LEN(ReferenceData!$H$76),"",ReferenceData!$H$76),"")</f>
        <v>3.028</v>
      </c>
      <c r="I76">
        <f ca="1">IFERROR(IF(0=LEN(ReferenceData!$I$76),"",ReferenceData!$I$76),"")</f>
        <v>3.1219999999999999</v>
      </c>
      <c r="J76">
        <f ca="1">IFERROR(IF(0=LEN(ReferenceData!$J$76),"",ReferenceData!$J$76),"")</f>
        <v>3.5960000000000001</v>
      </c>
      <c r="K76">
        <f ca="1">IFERROR(IF(0=LEN(ReferenceData!$K$76),"",ReferenceData!$K$76),"")</f>
        <v>3.6320000000000001</v>
      </c>
      <c r="L76">
        <f ca="1">IFERROR(IF(0=LEN(ReferenceData!$L$76),"",ReferenceData!$L$76),"")</f>
        <v>4.0819999999999999</v>
      </c>
      <c r="M76">
        <f ca="1">IFERROR(IF(0=LEN(ReferenceData!$M$76),"",ReferenceData!$M$76),"")</f>
        <v>3.9670000000000001</v>
      </c>
      <c r="N76">
        <f ca="1">IFERROR(IF(0=LEN(ReferenceData!$N$76),"",ReferenceData!$N$76),"")</f>
        <v>4.867</v>
      </c>
      <c r="O76">
        <f ca="1">IFERROR(IF(0=LEN(ReferenceData!$O$76),"",ReferenceData!$O$76),"")</f>
        <v>4.4029999999999996</v>
      </c>
      <c r="P76">
        <f ca="1">IFERROR(IF(0=LEN(ReferenceData!$P$76),"",ReferenceData!$P$76),"")</f>
        <v>4.5629999999999997</v>
      </c>
      <c r="Q76">
        <f ca="1">IFERROR(IF(0=LEN(ReferenceData!$Q$76),"",ReferenceData!$Q$76),"")</f>
        <v>4.8330000000000002</v>
      </c>
      <c r="R76">
        <f ca="1">IFERROR(IF(0=LEN(ReferenceData!$R$76),"",ReferenceData!$R$76),"")</f>
        <v>4.7149999999999999</v>
      </c>
      <c r="S76">
        <f ca="1">IFERROR(IF(0=LEN(ReferenceData!$S$76),"",ReferenceData!$S$76),"")</f>
        <v>4.74</v>
      </c>
      <c r="T76">
        <f ca="1">IFERROR(IF(0=LEN(ReferenceData!$T$76),"",ReferenceData!$T$76),"")</f>
        <v>4.7009999999999996</v>
      </c>
      <c r="U76">
        <f ca="1">IFERROR(IF(0=LEN(ReferenceData!$U$76),"",ReferenceData!$U$76),"")</f>
        <v>4.835</v>
      </c>
      <c r="V76">
        <f ca="1">IFERROR(IF(0=LEN(ReferenceData!$V$76),"",ReferenceData!$V$76),"")</f>
        <v>4.7030000000000003</v>
      </c>
      <c r="W76">
        <f ca="1">IFERROR(IF(0=LEN(ReferenceData!$W$76),"",ReferenceData!$W$76),"")</f>
        <v>4.8819999999999997</v>
      </c>
      <c r="X76" t="str">
        <f ca="1">IFERROR(IF(0=LEN(ReferenceData!$X$76),"",ReferenceData!$X$76),"")</f>
        <v/>
      </c>
      <c r="Y76">
        <f ca="1">IFERROR(IF(0=LEN(ReferenceData!$Y$76),"",ReferenceData!$Y$76),"")</f>
        <v>4.6269999999999998</v>
      </c>
      <c r="Z76" t="str">
        <f ca="1">IFERROR(IF(0=LEN(ReferenceData!$Z$76),"",ReferenceData!$Z$76),"")</f>
        <v/>
      </c>
      <c r="AA76" t="str">
        <f ca="1">IFERROR(IF(0=LEN(ReferenceData!$AA$76),"",ReferenceData!$AA$76),"")</f>
        <v/>
      </c>
      <c r="AB76" t="str">
        <f ca="1">IFERROR(IF(0=LEN(ReferenceData!$AB$76),"",ReferenceData!$AB$76),"")</f>
        <v/>
      </c>
      <c r="AC76" t="str">
        <f ca="1">IFERROR(IF(0=LEN(ReferenceData!$AC$76),"",ReferenceData!$AC$76),"")</f>
        <v/>
      </c>
      <c r="AD76" t="str">
        <f ca="1">IFERROR(IF(0=LEN(ReferenceData!$AD$76),"",ReferenceData!$AD$76),"")</f>
        <v/>
      </c>
      <c r="AE76" t="str">
        <f ca="1">IFERROR(IF(0=LEN(ReferenceData!$AE$76),"",ReferenceData!$AE$76),"")</f>
        <v/>
      </c>
      <c r="AF76" t="str">
        <f ca="1">IFERROR(IF(0=LEN(ReferenceData!$AF$76),"",ReferenceData!$AF$76),"")</f>
        <v/>
      </c>
      <c r="AG76" t="str">
        <f ca="1">IFERROR(IF(0=LEN(ReferenceData!$AG$76),"",ReferenceData!$AG$76),"")</f>
        <v/>
      </c>
      <c r="AH76" t="str">
        <f ca="1">IFERROR(IF(0=LEN(ReferenceData!$AH$76),"",ReferenceData!$AH$76),"")</f>
        <v/>
      </c>
      <c r="AI76" t="str">
        <f ca="1">IFERROR(IF(0=LEN(ReferenceData!$AI$76),"",ReferenceData!$AI$76),"")</f>
        <v/>
      </c>
      <c r="AJ76" t="str">
        <f ca="1">IFERROR(IF(0=LEN(ReferenceData!$AJ$76),"",ReferenceData!$AJ$76),"")</f>
        <v/>
      </c>
      <c r="AK76" t="str">
        <f ca="1">IFERROR(IF(0=LEN(ReferenceData!$AK$76),"",ReferenceData!$AK$76),"")</f>
        <v/>
      </c>
      <c r="AL76" t="str">
        <f ca="1">IFERROR(IF(0=LEN(ReferenceData!$AL$76),"",ReferenceData!$AL$76),"")</f>
        <v/>
      </c>
      <c r="AM76" t="str">
        <f ca="1">IFERROR(IF(0=LEN(ReferenceData!$AM$76),"",ReferenceData!$AM$76),"")</f>
        <v/>
      </c>
      <c r="AN76" t="str">
        <f ca="1">IFERROR(IF(0=LEN(ReferenceData!$AN$76),"",ReferenceData!$AN$76),"")</f>
        <v/>
      </c>
      <c r="AO76" t="str">
        <f ca="1">IFERROR(IF(0=LEN(ReferenceData!$AO$76),"",ReferenceData!$AO$76),"")</f>
        <v/>
      </c>
      <c r="AP76" t="str">
        <f ca="1">IFERROR(IF(0=LEN(ReferenceData!$AP$76),"",ReferenceData!$AP$76),"")</f>
        <v/>
      </c>
      <c r="AQ76" t="str">
        <f ca="1">IFERROR(IF(0=LEN(ReferenceData!$AQ$76),"",ReferenceData!$AQ$76),"")</f>
        <v/>
      </c>
      <c r="AR76" t="str">
        <f ca="1">IFERROR(IF(0=LEN(ReferenceData!$AR$76),"",ReferenceData!$AR$76),"")</f>
        <v/>
      </c>
      <c r="AS76" t="str">
        <f ca="1">IFERROR(IF(0=LEN(ReferenceData!$AS$76),"",ReferenceData!$AS$76),"")</f>
        <v/>
      </c>
      <c r="AT76" t="str">
        <f ca="1">IFERROR(IF(0=LEN(ReferenceData!$AT$76),"",ReferenceData!$AT$76),"")</f>
        <v/>
      </c>
      <c r="AU76" t="str">
        <f ca="1">IFERROR(IF(0=LEN(ReferenceData!$AU$76),"",ReferenceData!$AU$76),"")</f>
        <v/>
      </c>
      <c r="AV76" t="str">
        <f ca="1">IFERROR(IF(0=LEN(ReferenceData!$AV$76),"",ReferenceData!$AV$76),"")</f>
        <v/>
      </c>
      <c r="AW76" t="str">
        <f ca="1">IFERROR(IF(0=LEN(ReferenceData!$AW$76),"",ReferenceData!$AW$76),"")</f>
        <v/>
      </c>
      <c r="AX76" t="str">
        <f ca="1">IFERROR(IF(0=LEN(ReferenceData!$AX$76),"",ReferenceData!$AX$76),"")</f>
        <v/>
      </c>
      <c r="AY76" t="str">
        <f ca="1">IFERROR(IF(0=LEN(ReferenceData!$AY$76),"",ReferenceData!$AY$76),"")</f>
        <v/>
      </c>
      <c r="AZ76" t="str">
        <f ca="1">IFERROR(IF(0=LEN(ReferenceData!$AZ$76),"",ReferenceData!$AZ$76),"")</f>
        <v/>
      </c>
      <c r="BA76" t="str">
        <f ca="1">IFERROR(IF(0=LEN(ReferenceData!$BA$76),"",ReferenceData!$BA$76),"")</f>
        <v/>
      </c>
      <c r="BB76" t="str">
        <f ca="1">IFERROR(IF(0=LEN(ReferenceData!$BB$76),"",ReferenceData!$BB$76),"")</f>
        <v/>
      </c>
      <c r="BC76" t="str">
        <f ca="1">IFERROR(IF(0=LEN(ReferenceData!$BC$76),"",ReferenceData!$BC$76),"")</f>
        <v/>
      </c>
      <c r="BD76" t="str">
        <f ca="1">IFERROR(IF(0=LEN(ReferenceData!$BD$76),"",ReferenceData!$BD$76),"")</f>
        <v/>
      </c>
      <c r="BE76" t="str">
        <f ca="1">IFERROR(IF(0=LEN(ReferenceData!$BE$76),"",ReferenceData!$BE$76),"")</f>
        <v/>
      </c>
      <c r="BF76" t="str">
        <f ca="1">IFERROR(IF(0=LEN(ReferenceData!$BF$76),"",ReferenceData!$BF$76),"")</f>
        <v/>
      </c>
      <c r="BG76" t="str">
        <f ca="1">IFERROR(IF(0=LEN(ReferenceData!$BG$76),"",ReferenceData!$BG$76),"")</f>
        <v/>
      </c>
      <c r="BH76" t="str">
        <f ca="1">IFERROR(IF(0=LEN(ReferenceData!$BH$76),"",ReferenceData!$BH$76),"")</f>
        <v/>
      </c>
      <c r="BI76" t="str">
        <f ca="1">IFERROR(IF(0=LEN(ReferenceData!$BI$76),"",ReferenceData!$BI$76),"")</f>
        <v/>
      </c>
      <c r="BJ76" t="str">
        <f ca="1">IFERROR(IF(0=LEN(ReferenceData!$BJ$76),"",ReferenceData!$BJ$76),"")</f>
        <v/>
      </c>
      <c r="BK76" t="str">
        <f ca="1">IFERROR(IF(0=LEN(ReferenceData!$BK$76),"",ReferenceData!$BK$76),"")</f>
        <v/>
      </c>
      <c r="BL76" t="str">
        <f ca="1">IFERROR(IF(0=LEN(ReferenceData!$BL$76),"",ReferenceData!$BL$76),"")</f>
        <v/>
      </c>
      <c r="BM76" t="str">
        <f ca="1">IFERROR(IF(0=LEN(ReferenceData!$BM$76),"",ReferenceData!$BM$76),"")</f>
        <v/>
      </c>
    </row>
    <row r="77" spans="1:65" x14ac:dyDescent="0.25">
      <c r="A77" t="str">
        <f>IFERROR(IF(0=LEN(ReferenceData!$A$77),"",ReferenceData!$A$77),"")</f>
        <v xml:space="preserve">    Suzuki Motor Corp</v>
      </c>
      <c r="B77" t="str">
        <f>IFERROR(IF(0=LEN(ReferenceData!$B$77),"",ReferenceData!$B$77),"")</f>
        <v>7269 JP Equity</v>
      </c>
      <c r="C77" t="str">
        <f>IFERROR(IF(0=LEN(ReferenceData!$C$77),"",ReferenceData!$C$77),"")</f>
        <v>EZ019</v>
      </c>
      <c r="D77" t="str">
        <f>IFERROR(IF(0=LEN(ReferenceData!$D$77),"",ReferenceData!$D$77),"")</f>
        <v>BEST_EEPS_CUR_YR</v>
      </c>
      <c r="E77" t="str">
        <f>IFERROR(IF(0=LEN(ReferenceData!$E$77),"",ReferenceData!$E$77),"")</f>
        <v>Dynamic</v>
      </c>
      <c r="F77">
        <f ca="1">IFERROR(IF(0=LEN(ReferenceData!$F$77),"",ReferenceData!$F$77),"")</f>
        <v>4.7560000000000002</v>
      </c>
      <c r="G77">
        <f ca="1">IFERROR(IF(0=LEN(ReferenceData!$G$77),"",ReferenceData!$G$77),"")</f>
        <v>4.79</v>
      </c>
      <c r="H77">
        <f ca="1">IFERROR(IF(0=LEN(ReferenceData!$H$77),"",ReferenceData!$H$77),"")</f>
        <v>5.032</v>
      </c>
      <c r="I77">
        <f ca="1">IFERROR(IF(0=LEN(ReferenceData!$I$77),"",ReferenceData!$I$77),"")</f>
        <v>4.6849999999999996</v>
      </c>
      <c r="J77">
        <f ca="1">IFERROR(IF(0=LEN(ReferenceData!$J$77),"",ReferenceData!$J$77),"")</f>
        <v>4.7169999999999996</v>
      </c>
      <c r="K77">
        <f ca="1">IFERROR(IF(0=LEN(ReferenceData!$K$77),"",ReferenceData!$K$77),"")</f>
        <v>4.3129999999999997</v>
      </c>
      <c r="L77">
        <f ca="1">IFERROR(IF(0=LEN(ReferenceData!$L$77),"",ReferenceData!$L$77),"")</f>
        <v>4.1970000000000001</v>
      </c>
      <c r="M77">
        <f ca="1">IFERROR(IF(0=LEN(ReferenceData!$M$77),"",ReferenceData!$M$77),"")</f>
        <v>3.6909999999999998</v>
      </c>
      <c r="N77">
        <f ca="1">IFERROR(IF(0=LEN(ReferenceData!$N$77),"",ReferenceData!$N$77),"")</f>
        <v>3.1080000000000001</v>
      </c>
      <c r="O77">
        <f ca="1">IFERROR(IF(0=LEN(ReferenceData!$O$77),"",ReferenceData!$O$77),"")</f>
        <v>2.7429999999999999</v>
      </c>
      <c r="P77">
        <f ca="1">IFERROR(IF(0=LEN(ReferenceData!$P$77),"",ReferenceData!$P$77),"")</f>
        <v>2.7229999999999999</v>
      </c>
      <c r="Q77">
        <f ca="1">IFERROR(IF(0=LEN(ReferenceData!$Q$77),"",ReferenceData!$Q$77),"")</f>
        <v>2.6160000000000001</v>
      </c>
      <c r="R77">
        <f ca="1">IFERROR(IF(0=LEN(ReferenceData!$R$77),"",ReferenceData!$R$77),"")</f>
        <v>2.5390000000000001</v>
      </c>
      <c r="S77">
        <f ca="1">IFERROR(IF(0=LEN(ReferenceData!$S$77),"",ReferenceData!$S$77),"")</f>
        <v>2.9319999999999999</v>
      </c>
      <c r="T77">
        <f ca="1">IFERROR(IF(0=LEN(ReferenceData!$T$77),"",ReferenceData!$T$77),"")</f>
        <v>2.2989999999999999</v>
      </c>
      <c r="U77">
        <f ca="1">IFERROR(IF(0=LEN(ReferenceData!$U$77),"",ReferenceData!$U$77),"")</f>
        <v>2.2749999999999999</v>
      </c>
      <c r="V77">
        <f ca="1">IFERROR(IF(0=LEN(ReferenceData!$V$77),"",ReferenceData!$V$77),"")</f>
        <v>2.4430000000000001</v>
      </c>
      <c r="W77">
        <f ca="1">IFERROR(IF(0=LEN(ReferenceData!$W$77),"",ReferenceData!$W$77),"")</f>
        <v>2.46</v>
      </c>
      <c r="X77" t="str">
        <f ca="1">IFERROR(IF(0=LEN(ReferenceData!$X$77),"",ReferenceData!$X$77),"")</f>
        <v/>
      </c>
      <c r="Y77">
        <f ca="1">IFERROR(IF(0=LEN(ReferenceData!$Y$77),"",ReferenceData!$Y$77),"")</f>
        <v>2.899</v>
      </c>
      <c r="Z77" t="str">
        <f ca="1">IFERROR(IF(0=LEN(ReferenceData!$Z$77),"",ReferenceData!$Z$77),"")</f>
        <v/>
      </c>
      <c r="AA77" t="str">
        <f ca="1">IFERROR(IF(0=LEN(ReferenceData!$AA$77),"",ReferenceData!$AA$77),"")</f>
        <v/>
      </c>
      <c r="AB77" t="str">
        <f ca="1">IFERROR(IF(0=LEN(ReferenceData!$AB$77),"",ReferenceData!$AB$77),"")</f>
        <v/>
      </c>
      <c r="AC77" t="str">
        <f ca="1">IFERROR(IF(0=LEN(ReferenceData!$AC$77),"",ReferenceData!$AC$77),"")</f>
        <v/>
      </c>
      <c r="AD77" t="str">
        <f ca="1">IFERROR(IF(0=LEN(ReferenceData!$AD$77),"",ReferenceData!$AD$77),"")</f>
        <v/>
      </c>
      <c r="AE77" t="str">
        <f ca="1">IFERROR(IF(0=LEN(ReferenceData!$AE$77),"",ReferenceData!$AE$77),"")</f>
        <v/>
      </c>
      <c r="AF77" t="str">
        <f ca="1">IFERROR(IF(0=LEN(ReferenceData!$AF$77),"",ReferenceData!$AF$77),"")</f>
        <v/>
      </c>
      <c r="AG77" t="str">
        <f ca="1">IFERROR(IF(0=LEN(ReferenceData!$AG$77),"",ReferenceData!$AG$77),"")</f>
        <v/>
      </c>
      <c r="AH77" t="str">
        <f ca="1">IFERROR(IF(0=LEN(ReferenceData!$AH$77),"",ReferenceData!$AH$77),"")</f>
        <v/>
      </c>
      <c r="AI77" t="str">
        <f ca="1">IFERROR(IF(0=LEN(ReferenceData!$AI$77),"",ReferenceData!$AI$77),"")</f>
        <v/>
      </c>
      <c r="AJ77" t="str">
        <f ca="1">IFERROR(IF(0=LEN(ReferenceData!$AJ$77),"",ReferenceData!$AJ$77),"")</f>
        <v/>
      </c>
      <c r="AK77" t="str">
        <f ca="1">IFERROR(IF(0=LEN(ReferenceData!$AK$77),"",ReferenceData!$AK$77),"")</f>
        <v/>
      </c>
      <c r="AL77" t="str">
        <f ca="1">IFERROR(IF(0=LEN(ReferenceData!$AL$77),"",ReferenceData!$AL$77),"")</f>
        <v/>
      </c>
      <c r="AM77" t="str">
        <f ca="1">IFERROR(IF(0=LEN(ReferenceData!$AM$77),"",ReferenceData!$AM$77),"")</f>
        <v/>
      </c>
      <c r="AN77" t="str">
        <f ca="1">IFERROR(IF(0=LEN(ReferenceData!$AN$77),"",ReferenceData!$AN$77),"")</f>
        <v/>
      </c>
      <c r="AO77" t="str">
        <f ca="1">IFERROR(IF(0=LEN(ReferenceData!$AO$77),"",ReferenceData!$AO$77),"")</f>
        <v/>
      </c>
      <c r="AP77" t="str">
        <f ca="1">IFERROR(IF(0=LEN(ReferenceData!$AP$77),"",ReferenceData!$AP$77),"")</f>
        <v/>
      </c>
      <c r="AQ77" t="str">
        <f ca="1">IFERROR(IF(0=LEN(ReferenceData!$AQ$77),"",ReferenceData!$AQ$77),"")</f>
        <v/>
      </c>
      <c r="AR77" t="str">
        <f ca="1">IFERROR(IF(0=LEN(ReferenceData!$AR$77),"",ReferenceData!$AR$77),"")</f>
        <v/>
      </c>
      <c r="AS77" t="str">
        <f ca="1">IFERROR(IF(0=LEN(ReferenceData!$AS$77),"",ReferenceData!$AS$77),"")</f>
        <v/>
      </c>
      <c r="AT77" t="str">
        <f ca="1">IFERROR(IF(0=LEN(ReferenceData!$AT$77),"",ReferenceData!$AT$77),"")</f>
        <v/>
      </c>
      <c r="AU77" t="str">
        <f ca="1">IFERROR(IF(0=LEN(ReferenceData!$AU$77),"",ReferenceData!$AU$77),"")</f>
        <v/>
      </c>
      <c r="AV77" t="str">
        <f ca="1">IFERROR(IF(0=LEN(ReferenceData!$AV$77),"",ReferenceData!$AV$77),"")</f>
        <v/>
      </c>
      <c r="AW77" t="str">
        <f ca="1">IFERROR(IF(0=LEN(ReferenceData!$AW$77),"",ReferenceData!$AW$77),"")</f>
        <v/>
      </c>
      <c r="AX77" t="str">
        <f ca="1">IFERROR(IF(0=LEN(ReferenceData!$AX$77),"",ReferenceData!$AX$77),"")</f>
        <v/>
      </c>
      <c r="AY77" t="str">
        <f ca="1">IFERROR(IF(0=LEN(ReferenceData!$AY$77),"",ReferenceData!$AY$77),"")</f>
        <v/>
      </c>
      <c r="AZ77" t="str">
        <f ca="1">IFERROR(IF(0=LEN(ReferenceData!$AZ$77),"",ReferenceData!$AZ$77),"")</f>
        <v/>
      </c>
      <c r="BA77" t="str">
        <f ca="1">IFERROR(IF(0=LEN(ReferenceData!$BA$77),"",ReferenceData!$BA$77),"")</f>
        <v/>
      </c>
      <c r="BB77" t="str">
        <f ca="1">IFERROR(IF(0=LEN(ReferenceData!$BB$77),"",ReferenceData!$BB$77),"")</f>
        <v/>
      </c>
      <c r="BC77" t="str">
        <f ca="1">IFERROR(IF(0=LEN(ReferenceData!$BC$77),"",ReferenceData!$BC$77),"")</f>
        <v/>
      </c>
      <c r="BD77" t="str">
        <f ca="1">IFERROR(IF(0=LEN(ReferenceData!$BD$77),"",ReferenceData!$BD$77),"")</f>
        <v/>
      </c>
      <c r="BE77" t="str">
        <f ca="1">IFERROR(IF(0=LEN(ReferenceData!$BE$77),"",ReferenceData!$BE$77),"")</f>
        <v/>
      </c>
      <c r="BF77" t="str">
        <f ca="1">IFERROR(IF(0=LEN(ReferenceData!$BF$77),"",ReferenceData!$BF$77),"")</f>
        <v/>
      </c>
      <c r="BG77" t="str">
        <f ca="1">IFERROR(IF(0=LEN(ReferenceData!$BG$77),"",ReferenceData!$BG$77),"")</f>
        <v/>
      </c>
      <c r="BH77" t="str">
        <f ca="1">IFERROR(IF(0=LEN(ReferenceData!$BH$77),"",ReferenceData!$BH$77),"")</f>
        <v/>
      </c>
      <c r="BI77" t="str">
        <f ca="1">IFERROR(IF(0=LEN(ReferenceData!$BI$77),"",ReferenceData!$BI$77),"")</f>
        <v/>
      </c>
      <c r="BJ77" t="str">
        <f ca="1">IFERROR(IF(0=LEN(ReferenceData!$BJ$77),"",ReferenceData!$BJ$77),"")</f>
        <v/>
      </c>
      <c r="BK77" t="str">
        <f ca="1">IFERROR(IF(0=LEN(ReferenceData!$BK$77),"",ReferenceData!$BK$77),"")</f>
        <v/>
      </c>
      <c r="BL77" t="str">
        <f ca="1">IFERROR(IF(0=LEN(ReferenceData!$BL$77),"",ReferenceData!$BL$77),"")</f>
        <v/>
      </c>
      <c r="BM77" t="str">
        <f ca="1">IFERROR(IF(0=LEN(ReferenceData!$BM$77),"",ReferenceData!$BM$77),"")</f>
        <v/>
      </c>
    </row>
    <row r="78" spans="1:65" x14ac:dyDescent="0.25">
      <c r="A78" t="str">
        <f>IFERROR(IF(0=LEN(ReferenceData!$A$78),"",ReferenceData!$A$78),"")</f>
        <v xml:space="preserve">    Tata Motors Ltd</v>
      </c>
      <c r="B78" t="str">
        <f>IFERROR(IF(0=LEN(ReferenceData!$B$78),"",ReferenceData!$B$78),"")</f>
        <v>TTMT IN Equity</v>
      </c>
      <c r="C78" t="str">
        <f>IFERROR(IF(0=LEN(ReferenceData!$C$78),"",ReferenceData!$C$78),"")</f>
        <v>EZ019</v>
      </c>
      <c r="D78" t="str">
        <f>IFERROR(IF(0=LEN(ReferenceData!$D$78),"",ReferenceData!$D$78),"")</f>
        <v>BEST_EEPS_CUR_YR</v>
      </c>
      <c r="E78" t="str">
        <f>IFERROR(IF(0=LEN(ReferenceData!$E$78),"",ReferenceData!$E$78),"")</f>
        <v>Dynamic</v>
      </c>
      <c r="F78">
        <f ca="1">IFERROR(IF(0=LEN(ReferenceData!$F$78),"",ReferenceData!$F$78),"")</f>
        <v>-0.02</v>
      </c>
      <c r="G78">
        <f ca="1">IFERROR(IF(0=LEN(ReferenceData!$G$78),"",ReferenceData!$G$78),"")</f>
        <v>0.127</v>
      </c>
      <c r="H78">
        <f ca="1">IFERROR(IF(0=LEN(ReferenceData!$H$78),"",ReferenceData!$H$78),"")</f>
        <v>0.33300000000000002</v>
      </c>
      <c r="I78">
        <f ca="1">IFERROR(IF(0=LEN(ReferenceData!$I$78),"",ReferenceData!$I$78),"")</f>
        <v>0.45500000000000002</v>
      </c>
      <c r="J78">
        <f ca="1">IFERROR(IF(0=LEN(ReferenceData!$J$78),"",ReferenceData!$J$78),"")</f>
        <v>0.61499999999999999</v>
      </c>
      <c r="K78">
        <f ca="1">IFERROR(IF(0=LEN(ReferenceData!$K$78),"",ReferenceData!$K$78),"")</f>
        <v>0.71199999999999997</v>
      </c>
      <c r="L78">
        <f ca="1">IFERROR(IF(0=LEN(ReferenceData!$L$78),"",ReferenceData!$L$78),"")</f>
        <v>0.68899999999999995</v>
      </c>
      <c r="M78">
        <f ca="1">IFERROR(IF(0=LEN(ReferenceData!$M$78),"",ReferenceData!$M$78),"")</f>
        <v>0.80500000000000005</v>
      </c>
      <c r="N78">
        <f ca="1">IFERROR(IF(0=LEN(ReferenceData!$N$78),"",ReferenceData!$N$78),"")</f>
        <v>0.84799999999999998</v>
      </c>
      <c r="O78">
        <f ca="1">IFERROR(IF(0=LEN(ReferenceData!$O$78),"",ReferenceData!$O$78),"")</f>
        <v>0.93799999999999994</v>
      </c>
      <c r="P78">
        <f ca="1">IFERROR(IF(0=LEN(ReferenceData!$P$78),"",ReferenceData!$P$78),"")</f>
        <v>1.0149999999999999</v>
      </c>
      <c r="Q78">
        <f ca="1">IFERROR(IF(0=LEN(ReferenceData!$Q$78),"",ReferenceData!$Q$78),"")</f>
        <v>0.93200000000000005</v>
      </c>
      <c r="R78">
        <f ca="1">IFERROR(IF(0=LEN(ReferenceData!$R$78),"",ReferenceData!$R$78),"")</f>
        <v>0.60399999999999998</v>
      </c>
      <c r="S78">
        <f ca="1">IFERROR(IF(0=LEN(ReferenceData!$S$78),"",ReferenceData!$S$78),"")</f>
        <v>1.389</v>
      </c>
      <c r="T78">
        <f ca="1">IFERROR(IF(0=LEN(ReferenceData!$T$78),"",ReferenceData!$T$78),"")</f>
        <v>1.4</v>
      </c>
      <c r="U78">
        <f ca="1">IFERROR(IF(0=LEN(ReferenceData!$U$78),"",ReferenceData!$U$78),"")</f>
        <v>1.4430000000000001</v>
      </c>
      <c r="V78">
        <f ca="1">IFERROR(IF(0=LEN(ReferenceData!$V$78),"",ReferenceData!$V$78),"")</f>
        <v>1.833</v>
      </c>
      <c r="W78" t="str">
        <f ca="1">IFERROR(IF(0=LEN(ReferenceData!$W$78),"",ReferenceData!$W$78),"")</f>
        <v/>
      </c>
      <c r="X78">
        <f ca="1">IFERROR(IF(0=LEN(ReferenceData!$X$78),"",ReferenceData!$X$78),"")</f>
        <v>1.877</v>
      </c>
      <c r="Y78" t="str">
        <f ca="1">IFERROR(IF(0=LEN(ReferenceData!$Y$78),"",ReferenceData!$Y$78),"")</f>
        <v/>
      </c>
      <c r="Z78" t="str">
        <f ca="1">IFERROR(IF(0=LEN(ReferenceData!$Z$78),"",ReferenceData!$Z$78),"")</f>
        <v/>
      </c>
      <c r="AA78" t="str">
        <f ca="1">IFERROR(IF(0=LEN(ReferenceData!$AA$78),"",ReferenceData!$AA$78),"")</f>
        <v/>
      </c>
      <c r="AB78" t="str">
        <f ca="1">IFERROR(IF(0=LEN(ReferenceData!$AB$78),"",ReferenceData!$AB$78),"")</f>
        <v/>
      </c>
      <c r="AC78" t="str">
        <f ca="1">IFERROR(IF(0=LEN(ReferenceData!$AC$78),"",ReferenceData!$AC$78),"")</f>
        <v/>
      </c>
      <c r="AD78" t="str">
        <f ca="1">IFERROR(IF(0=LEN(ReferenceData!$AD$78),"",ReferenceData!$AD$78),"")</f>
        <v/>
      </c>
      <c r="AE78" t="str">
        <f ca="1">IFERROR(IF(0=LEN(ReferenceData!$AE$78),"",ReferenceData!$AE$78),"")</f>
        <v/>
      </c>
      <c r="AF78" t="str">
        <f ca="1">IFERROR(IF(0=LEN(ReferenceData!$AF$78),"",ReferenceData!$AF$78),"")</f>
        <v/>
      </c>
      <c r="AG78" t="str">
        <f ca="1">IFERROR(IF(0=LEN(ReferenceData!$AG$78),"",ReferenceData!$AG$78),"")</f>
        <v/>
      </c>
      <c r="AH78" t="str">
        <f ca="1">IFERROR(IF(0=LEN(ReferenceData!$AH$78),"",ReferenceData!$AH$78),"")</f>
        <v/>
      </c>
      <c r="AI78" t="str">
        <f ca="1">IFERROR(IF(0=LEN(ReferenceData!$AI$78),"",ReferenceData!$AI$78),"")</f>
        <v/>
      </c>
      <c r="AJ78" t="str">
        <f ca="1">IFERROR(IF(0=LEN(ReferenceData!$AJ$78),"",ReferenceData!$AJ$78),"")</f>
        <v/>
      </c>
      <c r="AK78" t="str">
        <f ca="1">IFERROR(IF(0=LEN(ReferenceData!$AK$78),"",ReferenceData!$AK$78),"")</f>
        <v/>
      </c>
      <c r="AL78" t="str">
        <f ca="1">IFERROR(IF(0=LEN(ReferenceData!$AL$78),"",ReferenceData!$AL$78),"")</f>
        <v/>
      </c>
      <c r="AM78" t="str">
        <f ca="1">IFERROR(IF(0=LEN(ReferenceData!$AM$78),"",ReferenceData!$AM$78),"")</f>
        <v/>
      </c>
      <c r="AN78" t="str">
        <f ca="1">IFERROR(IF(0=LEN(ReferenceData!$AN$78),"",ReferenceData!$AN$78),"")</f>
        <v/>
      </c>
      <c r="AO78" t="str">
        <f ca="1">IFERROR(IF(0=LEN(ReferenceData!$AO$78),"",ReferenceData!$AO$78),"")</f>
        <v/>
      </c>
      <c r="AP78" t="str">
        <f ca="1">IFERROR(IF(0=LEN(ReferenceData!$AP$78),"",ReferenceData!$AP$78),"")</f>
        <v/>
      </c>
      <c r="AQ78" t="str">
        <f ca="1">IFERROR(IF(0=LEN(ReferenceData!$AQ$78),"",ReferenceData!$AQ$78),"")</f>
        <v/>
      </c>
      <c r="AR78" t="str">
        <f ca="1">IFERROR(IF(0=LEN(ReferenceData!$AR$78),"",ReferenceData!$AR$78),"")</f>
        <v/>
      </c>
      <c r="AS78" t="str">
        <f ca="1">IFERROR(IF(0=LEN(ReferenceData!$AS$78),"",ReferenceData!$AS$78),"")</f>
        <v/>
      </c>
      <c r="AT78" t="str">
        <f ca="1">IFERROR(IF(0=LEN(ReferenceData!$AT$78),"",ReferenceData!$AT$78),"")</f>
        <v/>
      </c>
      <c r="AU78" t="str">
        <f ca="1">IFERROR(IF(0=LEN(ReferenceData!$AU$78),"",ReferenceData!$AU$78),"")</f>
        <v/>
      </c>
      <c r="AV78" t="str">
        <f ca="1">IFERROR(IF(0=LEN(ReferenceData!$AV$78),"",ReferenceData!$AV$78),"")</f>
        <v/>
      </c>
      <c r="AW78" t="str">
        <f ca="1">IFERROR(IF(0=LEN(ReferenceData!$AW$78),"",ReferenceData!$AW$78),"")</f>
        <v/>
      </c>
      <c r="AX78" t="str">
        <f ca="1">IFERROR(IF(0=LEN(ReferenceData!$AX$78),"",ReferenceData!$AX$78),"")</f>
        <v/>
      </c>
      <c r="AY78" t="str">
        <f ca="1">IFERROR(IF(0=LEN(ReferenceData!$AY$78),"",ReferenceData!$AY$78),"")</f>
        <v/>
      </c>
      <c r="AZ78" t="str">
        <f ca="1">IFERROR(IF(0=LEN(ReferenceData!$AZ$78),"",ReferenceData!$AZ$78),"")</f>
        <v/>
      </c>
      <c r="BA78" t="str">
        <f ca="1">IFERROR(IF(0=LEN(ReferenceData!$BA$78),"",ReferenceData!$BA$78),"")</f>
        <v/>
      </c>
      <c r="BB78" t="str">
        <f ca="1">IFERROR(IF(0=LEN(ReferenceData!$BB$78),"",ReferenceData!$BB$78),"")</f>
        <v/>
      </c>
      <c r="BC78" t="str">
        <f ca="1">IFERROR(IF(0=LEN(ReferenceData!$BC$78),"",ReferenceData!$BC$78),"")</f>
        <v/>
      </c>
      <c r="BD78" t="str">
        <f ca="1">IFERROR(IF(0=LEN(ReferenceData!$BD$78),"",ReferenceData!$BD$78),"")</f>
        <v/>
      </c>
      <c r="BE78" t="str">
        <f ca="1">IFERROR(IF(0=LEN(ReferenceData!$BE$78),"",ReferenceData!$BE$78),"")</f>
        <v/>
      </c>
      <c r="BF78" t="str">
        <f ca="1">IFERROR(IF(0=LEN(ReferenceData!$BF$78),"",ReferenceData!$BF$78),"")</f>
        <v/>
      </c>
      <c r="BG78" t="str">
        <f ca="1">IFERROR(IF(0=LEN(ReferenceData!$BG$78),"",ReferenceData!$BG$78),"")</f>
        <v/>
      </c>
      <c r="BH78" t="str">
        <f ca="1">IFERROR(IF(0=LEN(ReferenceData!$BH$78),"",ReferenceData!$BH$78),"")</f>
        <v/>
      </c>
      <c r="BI78" t="str">
        <f ca="1">IFERROR(IF(0=LEN(ReferenceData!$BI$78),"",ReferenceData!$BI$78),"")</f>
        <v/>
      </c>
      <c r="BJ78" t="str">
        <f ca="1">IFERROR(IF(0=LEN(ReferenceData!$BJ$78),"",ReferenceData!$BJ$78),"")</f>
        <v/>
      </c>
      <c r="BK78" t="str">
        <f ca="1">IFERROR(IF(0=LEN(ReferenceData!$BK$78),"",ReferenceData!$BK$78),"")</f>
        <v/>
      </c>
      <c r="BL78" t="str">
        <f ca="1">IFERROR(IF(0=LEN(ReferenceData!$BL$78),"",ReferenceData!$BL$78),"")</f>
        <v/>
      </c>
      <c r="BM78" t="str">
        <f ca="1">IFERROR(IF(0=LEN(ReferenceData!$BM$78),"",ReferenceData!$BM$78),"")</f>
        <v/>
      </c>
    </row>
    <row r="79" spans="1:65" x14ac:dyDescent="0.25">
      <c r="A79" t="str">
        <f>IFERROR(IF(0=LEN(ReferenceData!$A$79),"",ReferenceData!$A$79),"")</f>
        <v xml:space="preserve">    Tesla Inc</v>
      </c>
      <c r="B79" t="str">
        <f>IFERROR(IF(0=LEN(ReferenceData!$B$79),"",ReferenceData!$B$79),"")</f>
        <v>TSLA US Equity</v>
      </c>
      <c r="C79" t="str">
        <f>IFERROR(IF(0=LEN(ReferenceData!$C$79),"",ReferenceData!$C$79),"")</f>
        <v>EZ019</v>
      </c>
      <c r="D79" t="str">
        <f>IFERROR(IF(0=LEN(ReferenceData!$D$79),"",ReferenceData!$D$79),"")</f>
        <v>BEST_EEPS_CUR_YR</v>
      </c>
      <c r="E79" t="str">
        <f>IFERROR(IF(0=LEN(ReferenceData!$E$79),"",ReferenceData!$E$79),"")</f>
        <v>Dynamic</v>
      </c>
      <c r="F79">
        <f ca="1">IFERROR(IF(0=LEN(ReferenceData!$F$79),"",ReferenceData!$F$79),"")</f>
        <v>5.6909999999999998</v>
      </c>
      <c r="G79">
        <f ca="1">IFERROR(IF(0=LEN(ReferenceData!$G$79),"",ReferenceData!$G$79),"")</f>
        <v>6.6319999999999997</v>
      </c>
      <c r="H79">
        <f ca="1">IFERROR(IF(0=LEN(ReferenceData!$H$79),"",ReferenceData!$H$79),"")</f>
        <v>3.0840000000000001</v>
      </c>
      <c r="I79">
        <f ca="1">IFERROR(IF(0=LEN(ReferenceData!$I$79),"",ReferenceData!$I$79),"")</f>
        <v>2.1680000000000001</v>
      </c>
      <c r="J79">
        <f ca="1">IFERROR(IF(0=LEN(ReferenceData!$J$79),"",ReferenceData!$J$79),"")</f>
        <v>2.1459999999999999</v>
      </c>
      <c r="K79">
        <f ca="1">IFERROR(IF(0=LEN(ReferenceData!$K$79),"",ReferenceData!$K$79),"")</f>
        <v>4.2889999999999997</v>
      </c>
      <c r="L79">
        <f ca="1">IFERROR(IF(0=LEN(ReferenceData!$L$79),"",ReferenceData!$L$79),"")</f>
        <v>6.4720000000000004</v>
      </c>
      <c r="M79">
        <f ca="1">IFERROR(IF(0=LEN(ReferenceData!$M$79),"",ReferenceData!$M$79),"")</f>
        <v>5.4930000000000003</v>
      </c>
      <c r="N79">
        <f ca="1">IFERROR(IF(0=LEN(ReferenceData!$N$79),"",ReferenceData!$N$79),"")</f>
        <v>7.7530000000000001</v>
      </c>
      <c r="O79">
        <f ca="1">IFERROR(IF(0=LEN(ReferenceData!$O$79),"",ReferenceData!$O$79),"")</f>
        <v>6.1180000000000003</v>
      </c>
      <c r="P79">
        <f ca="1">IFERROR(IF(0=LEN(ReferenceData!$P$79),"",ReferenceData!$P$79),"")</f>
        <v>9.6199999999999992</v>
      </c>
      <c r="Q79">
        <f ca="1">IFERROR(IF(0=LEN(ReferenceData!$Q$79),"",ReferenceData!$Q$79),"")</f>
        <v>11.131</v>
      </c>
      <c r="R79">
        <f ca="1">IFERROR(IF(0=LEN(ReferenceData!$R$79),"",ReferenceData!$R$79),"")</f>
        <v>9.2710000000000008</v>
      </c>
      <c r="S79">
        <f ca="1">IFERROR(IF(0=LEN(ReferenceData!$S$79),"",ReferenceData!$S$79),"")</f>
        <v>11.03</v>
      </c>
      <c r="T79">
        <f ca="1">IFERROR(IF(0=LEN(ReferenceData!$T$79),"",ReferenceData!$T$79),"")</f>
        <v>10.978</v>
      </c>
      <c r="U79">
        <f ca="1">IFERROR(IF(0=LEN(ReferenceData!$U$79),"",ReferenceData!$U$79),"")</f>
        <v>12.66</v>
      </c>
      <c r="V79">
        <f ca="1">IFERROR(IF(0=LEN(ReferenceData!$V$79),"",ReferenceData!$V$79),"")</f>
        <v>13.95</v>
      </c>
      <c r="W79">
        <f ca="1">IFERROR(IF(0=LEN(ReferenceData!$W$79),"",ReferenceData!$W$79),"")</f>
        <v>15.755000000000001</v>
      </c>
      <c r="X79">
        <f ca="1">IFERROR(IF(0=LEN(ReferenceData!$X$79),"",ReferenceData!$X$79),"")</f>
        <v>14.917999999999999</v>
      </c>
      <c r="Y79">
        <f ca="1">IFERROR(IF(0=LEN(ReferenceData!$Y$79),"",ReferenceData!$Y$79),"")</f>
        <v>13.95</v>
      </c>
      <c r="Z79">
        <f ca="1">IFERROR(IF(0=LEN(ReferenceData!$Z$79),"",ReferenceData!$Z$79),"")</f>
        <v>14.122999999999999</v>
      </c>
      <c r="AA79">
        <f ca="1">IFERROR(IF(0=LEN(ReferenceData!$AA$79),"",ReferenceData!$AA$79),"")</f>
        <v>15.12</v>
      </c>
      <c r="AB79">
        <f ca="1">IFERROR(IF(0=LEN(ReferenceData!$AB$79),"",ReferenceData!$AB$79),"")</f>
        <v>10.35</v>
      </c>
      <c r="AC79">
        <f ca="1">IFERROR(IF(0=LEN(ReferenceData!$AC$79),"",ReferenceData!$AC$79),"")</f>
        <v>7.3250000000000002</v>
      </c>
      <c r="AD79">
        <f ca="1">IFERROR(IF(0=LEN(ReferenceData!$AD$79),"",ReferenceData!$AD$79),"")</f>
        <v>7.96</v>
      </c>
      <c r="AE79">
        <f ca="1">IFERROR(IF(0=LEN(ReferenceData!$AE$79),"",ReferenceData!$AE$79),"")</f>
        <v>7.9249999999999998</v>
      </c>
      <c r="AF79">
        <f ca="1">IFERROR(IF(0=LEN(ReferenceData!$AF$79),"",ReferenceData!$AF$79),"")</f>
        <v>12.19</v>
      </c>
      <c r="AG79">
        <f ca="1">IFERROR(IF(0=LEN(ReferenceData!$AG$79),"",ReferenceData!$AG$79),"")</f>
        <v>11.8</v>
      </c>
      <c r="AH79" t="str">
        <f ca="1">IFERROR(IF(0=LEN(ReferenceData!$AH$79),"",ReferenceData!$AH$79),"")</f>
        <v/>
      </c>
      <c r="AI79" t="str">
        <f ca="1">IFERROR(IF(0=LEN(ReferenceData!$AI$79),"",ReferenceData!$AI$79),"")</f>
        <v/>
      </c>
      <c r="AJ79" t="str">
        <f ca="1">IFERROR(IF(0=LEN(ReferenceData!$AJ$79),"",ReferenceData!$AJ$79),"")</f>
        <v/>
      </c>
      <c r="AK79" t="str">
        <f ca="1">IFERROR(IF(0=LEN(ReferenceData!$AK$79),"",ReferenceData!$AK$79),"")</f>
        <v/>
      </c>
      <c r="AL79" t="str">
        <f ca="1">IFERROR(IF(0=LEN(ReferenceData!$AL$79),"",ReferenceData!$AL$79),"")</f>
        <v/>
      </c>
      <c r="AM79" t="str">
        <f ca="1">IFERROR(IF(0=LEN(ReferenceData!$AM$79),"",ReferenceData!$AM$79),"")</f>
        <v/>
      </c>
      <c r="AN79" t="str">
        <f ca="1">IFERROR(IF(0=LEN(ReferenceData!$AN$79),"",ReferenceData!$AN$79),"")</f>
        <v/>
      </c>
      <c r="AO79" t="str">
        <f ca="1">IFERROR(IF(0=LEN(ReferenceData!$AO$79),"",ReferenceData!$AO$79),"")</f>
        <v/>
      </c>
      <c r="AP79" t="str">
        <f ca="1">IFERROR(IF(0=LEN(ReferenceData!$AP$79),"",ReferenceData!$AP$79),"")</f>
        <v/>
      </c>
      <c r="AQ79" t="str">
        <f ca="1">IFERROR(IF(0=LEN(ReferenceData!$AQ$79),"",ReferenceData!$AQ$79),"")</f>
        <v/>
      </c>
      <c r="AR79" t="str">
        <f ca="1">IFERROR(IF(0=LEN(ReferenceData!$AR$79),"",ReferenceData!$AR$79),"")</f>
        <v/>
      </c>
      <c r="AS79" t="str">
        <f ca="1">IFERROR(IF(0=LEN(ReferenceData!$AS$79),"",ReferenceData!$AS$79),"")</f>
        <v/>
      </c>
      <c r="AT79" t="str">
        <f ca="1">IFERROR(IF(0=LEN(ReferenceData!$AT$79),"",ReferenceData!$AT$79),"")</f>
        <v/>
      </c>
      <c r="AU79" t="str">
        <f ca="1">IFERROR(IF(0=LEN(ReferenceData!$AU$79),"",ReferenceData!$AU$79),"")</f>
        <v/>
      </c>
      <c r="AV79" t="str">
        <f ca="1">IFERROR(IF(0=LEN(ReferenceData!$AV$79),"",ReferenceData!$AV$79),"")</f>
        <v/>
      </c>
      <c r="AW79" t="str">
        <f ca="1">IFERROR(IF(0=LEN(ReferenceData!$AW$79),"",ReferenceData!$AW$79),"")</f>
        <v/>
      </c>
      <c r="AX79" t="str">
        <f ca="1">IFERROR(IF(0=LEN(ReferenceData!$AX$79),"",ReferenceData!$AX$79),"")</f>
        <v/>
      </c>
      <c r="AY79" t="str">
        <f ca="1">IFERROR(IF(0=LEN(ReferenceData!$AY$79),"",ReferenceData!$AY$79),"")</f>
        <v/>
      </c>
      <c r="AZ79" t="str">
        <f ca="1">IFERROR(IF(0=LEN(ReferenceData!$AZ$79),"",ReferenceData!$AZ$79),"")</f>
        <v/>
      </c>
      <c r="BA79" t="str">
        <f ca="1">IFERROR(IF(0=LEN(ReferenceData!$BA$79),"",ReferenceData!$BA$79),"")</f>
        <v/>
      </c>
      <c r="BB79" t="str">
        <f ca="1">IFERROR(IF(0=LEN(ReferenceData!$BB$79),"",ReferenceData!$BB$79),"")</f>
        <v/>
      </c>
      <c r="BC79" t="str">
        <f ca="1">IFERROR(IF(0=LEN(ReferenceData!$BC$79),"",ReferenceData!$BC$79),"")</f>
        <v/>
      </c>
      <c r="BD79" t="str">
        <f ca="1">IFERROR(IF(0=LEN(ReferenceData!$BD$79),"",ReferenceData!$BD$79),"")</f>
        <v/>
      </c>
      <c r="BE79" t="str">
        <f ca="1">IFERROR(IF(0=LEN(ReferenceData!$BE$79),"",ReferenceData!$BE$79),"")</f>
        <v/>
      </c>
      <c r="BF79" t="str">
        <f ca="1">IFERROR(IF(0=LEN(ReferenceData!$BF$79),"",ReferenceData!$BF$79),"")</f>
        <v/>
      </c>
      <c r="BG79" t="str">
        <f ca="1">IFERROR(IF(0=LEN(ReferenceData!$BG$79),"",ReferenceData!$BG$79),"")</f>
        <v/>
      </c>
      <c r="BH79" t="str">
        <f ca="1">IFERROR(IF(0=LEN(ReferenceData!$BH$79),"",ReferenceData!$BH$79),"")</f>
        <v/>
      </c>
      <c r="BI79" t="str">
        <f ca="1">IFERROR(IF(0=LEN(ReferenceData!$BI$79),"",ReferenceData!$BI$79),"")</f>
        <v/>
      </c>
      <c r="BJ79" t="str">
        <f ca="1">IFERROR(IF(0=LEN(ReferenceData!$BJ$79),"",ReferenceData!$BJ$79),"")</f>
        <v/>
      </c>
      <c r="BK79" t="str">
        <f ca="1">IFERROR(IF(0=LEN(ReferenceData!$BK$79),"",ReferenceData!$BK$79),"")</f>
        <v/>
      </c>
      <c r="BL79" t="str">
        <f ca="1">IFERROR(IF(0=LEN(ReferenceData!$BL$79),"",ReferenceData!$BL$79),"")</f>
        <v/>
      </c>
      <c r="BM79" t="str">
        <f ca="1">IFERROR(IF(0=LEN(ReferenceData!$BM$79),"",ReferenceData!$BM$79),"")</f>
        <v/>
      </c>
    </row>
    <row r="80" spans="1:65" x14ac:dyDescent="0.25">
      <c r="A80" t="str">
        <f>IFERROR(IF(0=LEN(ReferenceData!$A$80),"",ReferenceData!$A$80),"")</f>
        <v xml:space="preserve">    Tianjin Faw Xiali Automobile Co Ltd</v>
      </c>
      <c r="B80" t="str">
        <f>IFERROR(IF(0=LEN(ReferenceData!$B$80),"",ReferenceData!$B$80),"")</f>
        <v>000927 CH Equity</v>
      </c>
      <c r="C80" t="str">
        <f>IFERROR(IF(0=LEN(ReferenceData!$C$80),"",ReferenceData!$C$80),"")</f>
        <v>EZ019</v>
      </c>
      <c r="D80" t="str">
        <f>IFERROR(IF(0=LEN(ReferenceData!$D$80),"",ReferenceData!$D$80),"")</f>
        <v>BEST_EEPS_CUR_YR</v>
      </c>
      <c r="E80" t="str">
        <f>IFERROR(IF(0=LEN(ReferenceData!$E$80),"",ReferenceData!$E$80),"")</f>
        <v>Dynamic</v>
      </c>
      <c r="F80" t="str">
        <f ca="1">IFERROR(IF(0=LEN(ReferenceData!$F$80),"",ReferenceData!$F$80),"")</f>
        <v/>
      </c>
      <c r="G80" t="str">
        <f ca="1">IFERROR(IF(0=LEN(ReferenceData!$G$80),"",ReferenceData!$G$80),"")</f>
        <v/>
      </c>
      <c r="H80" t="str">
        <f ca="1">IFERROR(IF(0=LEN(ReferenceData!$H$80),"",ReferenceData!$H$80),"")</f>
        <v/>
      </c>
      <c r="I80" t="str">
        <f ca="1">IFERROR(IF(0=LEN(ReferenceData!$I$80),"",ReferenceData!$I$80),"")</f>
        <v/>
      </c>
      <c r="J80">
        <f ca="1">IFERROR(IF(0=LEN(ReferenceData!$J$80),"",ReferenceData!$J$80),"")</f>
        <v>-9.5000000000000001E-2</v>
      </c>
      <c r="K80">
        <f ca="1">IFERROR(IF(0=LEN(ReferenceData!$K$80),"",ReferenceData!$K$80),"")</f>
        <v>-9.0999999999999998E-2</v>
      </c>
      <c r="L80">
        <f ca="1">IFERROR(IF(0=LEN(ReferenceData!$L$80),"",ReferenceData!$L$80),"")</f>
        <v>-0.09</v>
      </c>
      <c r="M80">
        <f ca="1">IFERROR(IF(0=LEN(ReferenceData!$M$80),"",ReferenceData!$M$80),"")</f>
        <v>-8.7999999999999995E-2</v>
      </c>
      <c r="N80" t="str">
        <f ca="1">IFERROR(IF(0=LEN(ReferenceData!$N$80),"",ReferenceData!$N$80),"")</f>
        <v/>
      </c>
      <c r="O80" t="str">
        <f ca="1">IFERROR(IF(0=LEN(ReferenceData!$O$80),"",ReferenceData!$O$80),"")</f>
        <v/>
      </c>
      <c r="P80" t="str">
        <f ca="1">IFERROR(IF(0=LEN(ReferenceData!$P$80),"",ReferenceData!$P$80),"")</f>
        <v/>
      </c>
      <c r="Q80" t="str">
        <f ca="1">IFERROR(IF(0=LEN(ReferenceData!$Q$80),"",ReferenceData!$Q$80),"")</f>
        <v/>
      </c>
      <c r="R80" t="str">
        <f ca="1">IFERROR(IF(0=LEN(ReferenceData!$R$80),"",ReferenceData!$R$80),"")</f>
        <v/>
      </c>
      <c r="S80" t="str">
        <f ca="1">IFERROR(IF(0=LEN(ReferenceData!$S$80),"",ReferenceData!$S$80),"")</f>
        <v/>
      </c>
      <c r="T80" t="str">
        <f ca="1">IFERROR(IF(0=LEN(ReferenceData!$T$80),"",ReferenceData!$T$80),"")</f>
        <v/>
      </c>
      <c r="U80" t="str">
        <f ca="1">IFERROR(IF(0=LEN(ReferenceData!$U$80),"",ReferenceData!$U$80),"")</f>
        <v/>
      </c>
      <c r="V80" t="str">
        <f ca="1">IFERROR(IF(0=LEN(ReferenceData!$V$80),"",ReferenceData!$V$80),"")</f>
        <v/>
      </c>
      <c r="W80" t="str">
        <f ca="1">IFERROR(IF(0=LEN(ReferenceData!$W$80),"",ReferenceData!$W$80),"")</f>
        <v/>
      </c>
      <c r="X80" t="str">
        <f ca="1">IFERROR(IF(0=LEN(ReferenceData!$X$80),"",ReferenceData!$X$80),"")</f>
        <v/>
      </c>
      <c r="Y80" t="str">
        <f ca="1">IFERROR(IF(0=LEN(ReferenceData!$Y$80),"",ReferenceData!$Y$80),"")</f>
        <v/>
      </c>
      <c r="Z80" t="str">
        <f ca="1">IFERROR(IF(0=LEN(ReferenceData!$Z$80),"",ReferenceData!$Z$80),"")</f>
        <v/>
      </c>
      <c r="AA80" t="str">
        <f ca="1">IFERROR(IF(0=LEN(ReferenceData!$AA$80),"",ReferenceData!$AA$80),"")</f>
        <v/>
      </c>
      <c r="AB80" t="str">
        <f ca="1">IFERROR(IF(0=LEN(ReferenceData!$AB$80),"",ReferenceData!$AB$80),"")</f>
        <v/>
      </c>
      <c r="AC80" t="str">
        <f ca="1">IFERROR(IF(0=LEN(ReferenceData!$AC$80),"",ReferenceData!$AC$80),"")</f>
        <v/>
      </c>
      <c r="AD80" t="str">
        <f ca="1">IFERROR(IF(0=LEN(ReferenceData!$AD$80),"",ReferenceData!$AD$80),"")</f>
        <v/>
      </c>
      <c r="AE80" t="str">
        <f ca="1">IFERROR(IF(0=LEN(ReferenceData!$AE$80),"",ReferenceData!$AE$80),"")</f>
        <v/>
      </c>
      <c r="AF80" t="str">
        <f ca="1">IFERROR(IF(0=LEN(ReferenceData!$AF$80),"",ReferenceData!$AF$80),"")</f>
        <v/>
      </c>
      <c r="AG80" t="str">
        <f ca="1">IFERROR(IF(0=LEN(ReferenceData!$AG$80),"",ReferenceData!$AG$80),"")</f>
        <v/>
      </c>
      <c r="AH80" t="str">
        <f ca="1">IFERROR(IF(0=LEN(ReferenceData!$AH$80),"",ReferenceData!$AH$80),"")</f>
        <v/>
      </c>
      <c r="AI80" t="str">
        <f ca="1">IFERROR(IF(0=LEN(ReferenceData!$AI$80),"",ReferenceData!$AI$80),"")</f>
        <v/>
      </c>
      <c r="AJ80" t="str">
        <f ca="1">IFERROR(IF(0=LEN(ReferenceData!$AJ$80),"",ReferenceData!$AJ$80),"")</f>
        <v/>
      </c>
      <c r="AK80" t="str">
        <f ca="1">IFERROR(IF(0=LEN(ReferenceData!$AK$80),"",ReferenceData!$AK$80),"")</f>
        <v/>
      </c>
      <c r="AL80" t="str">
        <f ca="1">IFERROR(IF(0=LEN(ReferenceData!$AL$80),"",ReferenceData!$AL$80),"")</f>
        <v/>
      </c>
      <c r="AM80" t="str">
        <f ca="1">IFERROR(IF(0=LEN(ReferenceData!$AM$80),"",ReferenceData!$AM$80),"")</f>
        <v/>
      </c>
      <c r="AN80" t="str">
        <f ca="1">IFERROR(IF(0=LEN(ReferenceData!$AN$80),"",ReferenceData!$AN$80),"")</f>
        <v/>
      </c>
      <c r="AO80" t="str">
        <f ca="1">IFERROR(IF(0=LEN(ReferenceData!$AO$80),"",ReferenceData!$AO$80),"")</f>
        <v/>
      </c>
      <c r="AP80" t="str">
        <f ca="1">IFERROR(IF(0=LEN(ReferenceData!$AP$80),"",ReferenceData!$AP$80),"")</f>
        <v/>
      </c>
      <c r="AQ80" t="str">
        <f ca="1">IFERROR(IF(0=LEN(ReferenceData!$AQ$80),"",ReferenceData!$AQ$80),"")</f>
        <v/>
      </c>
      <c r="AR80" t="str">
        <f ca="1">IFERROR(IF(0=LEN(ReferenceData!$AR$80),"",ReferenceData!$AR$80),"")</f>
        <v/>
      </c>
      <c r="AS80" t="str">
        <f ca="1">IFERROR(IF(0=LEN(ReferenceData!$AS$80),"",ReferenceData!$AS$80),"")</f>
        <v/>
      </c>
      <c r="AT80" t="str">
        <f ca="1">IFERROR(IF(0=LEN(ReferenceData!$AT$80),"",ReferenceData!$AT$80),"")</f>
        <v/>
      </c>
      <c r="AU80" t="str">
        <f ca="1">IFERROR(IF(0=LEN(ReferenceData!$AU$80),"",ReferenceData!$AU$80),"")</f>
        <v/>
      </c>
      <c r="AV80" t="str">
        <f ca="1">IFERROR(IF(0=LEN(ReferenceData!$AV$80),"",ReferenceData!$AV$80),"")</f>
        <v/>
      </c>
      <c r="AW80" t="str">
        <f ca="1">IFERROR(IF(0=LEN(ReferenceData!$AW$80),"",ReferenceData!$AW$80),"")</f>
        <v/>
      </c>
      <c r="AX80" t="str">
        <f ca="1">IFERROR(IF(0=LEN(ReferenceData!$AX$80),"",ReferenceData!$AX$80),"")</f>
        <v/>
      </c>
      <c r="AY80" t="str">
        <f ca="1">IFERROR(IF(0=LEN(ReferenceData!$AY$80),"",ReferenceData!$AY$80),"")</f>
        <v/>
      </c>
      <c r="AZ80" t="str">
        <f ca="1">IFERROR(IF(0=LEN(ReferenceData!$AZ$80),"",ReferenceData!$AZ$80),"")</f>
        <v/>
      </c>
      <c r="BA80" t="str">
        <f ca="1">IFERROR(IF(0=LEN(ReferenceData!$BA$80),"",ReferenceData!$BA$80),"")</f>
        <v/>
      </c>
      <c r="BB80" t="str">
        <f ca="1">IFERROR(IF(0=LEN(ReferenceData!$BB$80),"",ReferenceData!$BB$80),"")</f>
        <v/>
      </c>
      <c r="BC80" t="str">
        <f ca="1">IFERROR(IF(0=LEN(ReferenceData!$BC$80),"",ReferenceData!$BC$80),"")</f>
        <v/>
      </c>
      <c r="BD80" t="str">
        <f ca="1">IFERROR(IF(0=LEN(ReferenceData!$BD$80),"",ReferenceData!$BD$80),"")</f>
        <v/>
      </c>
      <c r="BE80" t="str">
        <f ca="1">IFERROR(IF(0=LEN(ReferenceData!$BE$80),"",ReferenceData!$BE$80),"")</f>
        <v/>
      </c>
      <c r="BF80" t="str">
        <f ca="1">IFERROR(IF(0=LEN(ReferenceData!$BF$80),"",ReferenceData!$BF$80),"")</f>
        <v/>
      </c>
      <c r="BG80" t="str">
        <f ca="1">IFERROR(IF(0=LEN(ReferenceData!$BG$80),"",ReferenceData!$BG$80),"")</f>
        <v/>
      </c>
      <c r="BH80" t="str">
        <f ca="1">IFERROR(IF(0=LEN(ReferenceData!$BH$80),"",ReferenceData!$BH$80),"")</f>
        <v/>
      </c>
      <c r="BI80" t="str">
        <f ca="1">IFERROR(IF(0=LEN(ReferenceData!$BI$80),"",ReferenceData!$BI$80),"")</f>
        <v/>
      </c>
      <c r="BJ80" t="str">
        <f ca="1">IFERROR(IF(0=LEN(ReferenceData!$BJ$80),"",ReferenceData!$BJ$80),"")</f>
        <v/>
      </c>
      <c r="BK80" t="str">
        <f ca="1">IFERROR(IF(0=LEN(ReferenceData!$BK$80),"",ReferenceData!$BK$80),"")</f>
        <v/>
      </c>
      <c r="BL80" t="str">
        <f ca="1">IFERROR(IF(0=LEN(ReferenceData!$BL$80),"",ReferenceData!$BL$80),"")</f>
        <v/>
      </c>
      <c r="BM80" t="str">
        <f ca="1">IFERROR(IF(0=LEN(ReferenceData!$BM$80),"",ReferenceData!$BM$80),"")</f>
        <v/>
      </c>
    </row>
    <row r="81" spans="1:65" x14ac:dyDescent="0.25">
      <c r="A81" t="str">
        <f>IFERROR(IF(0=LEN(ReferenceData!$A$81),"",ReferenceData!$A$81),"")</f>
        <v xml:space="preserve">    Tofas Turk Otomobil Fabrikasi AS</v>
      </c>
      <c r="B81" t="str">
        <f>IFERROR(IF(0=LEN(ReferenceData!$B$81),"",ReferenceData!$B$81),"")</f>
        <v>TOASOTRY EO Equity</v>
      </c>
      <c r="C81" t="str">
        <f>IFERROR(IF(0=LEN(ReferenceData!$C$81),"",ReferenceData!$C$81),"")</f>
        <v>EZ019</v>
      </c>
      <c r="D81" t="str">
        <f>IFERROR(IF(0=LEN(ReferenceData!$D$81),"",ReferenceData!$D$81),"")</f>
        <v>BEST_EEPS_CUR_YR</v>
      </c>
      <c r="E81" t="str">
        <f>IFERROR(IF(0=LEN(ReferenceData!$E$81),"",ReferenceData!$E$81),"")</f>
        <v>Dynamic</v>
      </c>
      <c r="F81">
        <f ca="1">IFERROR(IF(0=LEN(ReferenceData!$F$81),"",ReferenceData!$F$81),"")</f>
        <v>0.58599999999999997</v>
      </c>
      <c r="G81">
        <f ca="1">IFERROR(IF(0=LEN(ReferenceData!$G$81),"",ReferenceData!$G$81),"")</f>
        <v>0.627</v>
      </c>
      <c r="H81">
        <f ca="1">IFERROR(IF(0=LEN(ReferenceData!$H$81),"",ReferenceData!$H$81),"")</f>
        <v>0.48</v>
      </c>
      <c r="I81">
        <f ca="1">IFERROR(IF(0=LEN(ReferenceData!$I$81),"",ReferenceData!$I$81),"")</f>
        <v>0.63</v>
      </c>
      <c r="J81">
        <f ca="1">IFERROR(IF(0=LEN(ReferenceData!$J$81),"",ReferenceData!$J$81),"")</f>
        <v>0.73099999999999998</v>
      </c>
      <c r="K81">
        <f ca="1">IFERROR(IF(0=LEN(ReferenceData!$K$81),"",ReferenceData!$K$81),"")</f>
        <v>0.76400000000000001</v>
      </c>
      <c r="L81">
        <f ca="1">IFERROR(IF(0=LEN(ReferenceData!$L$81),"",ReferenceData!$L$81),"")</f>
        <v>0.79100000000000004</v>
      </c>
      <c r="M81">
        <f ca="1">IFERROR(IF(0=LEN(ReferenceData!$M$81),"",ReferenceData!$M$81),"")</f>
        <v>0.78800000000000003</v>
      </c>
      <c r="N81">
        <f ca="1">IFERROR(IF(0=LEN(ReferenceData!$N$81),"",ReferenceData!$N$81),"")</f>
        <v>0.71099999999999997</v>
      </c>
      <c r="O81">
        <f ca="1">IFERROR(IF(0=LEN(ReferenceData!$O$81),"",ReferenceData!$O$81),"")</f>
        <v>0.77300000000000002</v>
      </c>
      <c r="P81">
        <f ca="1">IFERROR(IF(0=LEN(ReferenceData!$P$81),"",ReferenceData!$P$81),"")</f>
        <v>0.79</v>
      </c>
      <c r="Q81">
        <f ca="1">IFERROR(IF(0=LEN(ReferenceData!$Q$81),"",ReferenceData!$Q$81),"")</f>
        <v>0.79700000000000004</v>
      </c>
      <c r="R81">
        <f ca="1">IFERROR(IF(0=LEN(ReferenceData!$R$81),"",ReferenceData!$R$81),"")</f>
        <v>0.74399999999999999</v>
      </c>
      <c r="S81">
        <f ca="1">IFERROR(IF(0=LEN(ReferenceData!$S$81),"",ReferenceData!$S$81),"")</f>
        <v>0.73399999999999999</v>
      </c>
      <c r="T81" t="str">
        <f ca="1">IFERROR(IF(0=LEN(ReferenceData!$T$81),"",ReferenceData!$T$81),"")</f>
        <v/>
      </c>
      <c r="U81" t="str">
        <f ca="1">IFERROR(IF(0=LEN(ReferenceData!$U$81),"",ReferenceData!$U$81),"")</f>
        <v/>
      </c>
      <c r="V81">
        <f ca="1">IFERROR(IF(0=LEN(ReferenceData!$V$81),"",ReferenceData!$V$81),"")</f>
        <v>0.749</v>
      </c>
      <c r="W81" t="str">
        <f ca="1">IFERROR(IF(0=LEN(ReferenceData!$W$81),"",ReferenceData!$W$81),"")</f>
        <v/>
      </c>
      <c r="X81" t="str">
        <f ca="1">IFERROR(IF(0=LEN(ReferenceData!$X$81),"",ReferenceData!$X$81),"")</f>
        <v/>
      </c>
      <c r="Y81" t="str">
        <f ca="1">IFERROR(IF(0=LEN(ReferenceData!$Y$81),"",ReferenceData!$Y$81),"")</f>
        <v/>
      </c>
      <c r="Z81" t="str">
        <f ca="1">IFERROR(IF(0=LEN(ReferenceData!$Z$81),"",ReferenceData!$Z$81),"")</f>
        <v/>
      </c>
      <c r="AA81" t="str">
        <f ca="1">IFERROR(IF(0=LEN(ReferenceData!$AA$81),"",ReferenceData!$AA$81),"")</f>
        <v/>
      </c>
      <c r="AB81" t="str">
        <f ca="1">IFERROR(IF(0=LEN(ReferenceData!$AB$81),"",ReferenceData!$AB$81),"")</f>
        <v/>
      </c>
      <c r="AC81" t="str">
        <f ca="1">IFERROR(IF(0=LEN(ReferenceData!$AC$81),"",ReferenceData!$AC$81),"")</f>
        <v/>
      </c>
      <c r="AD81" t="str">
        <f ca="1">IFERROR(IF(0=LEN(ReferenceData!$AD$81),"",ReferenceData!$AD$81),"")</f>
        <v/>
      </c>
      <c r="AE81" t="str">
        <f ca="1">IFERROR(IF(0=LEN(ReferenceData!$AE$81),"",ReferenceData!$AE$81),"")</f>
        <v/>
      </c>
      <c r="AF81" t="str">
        <f ca="1">IFERROR(IF(0=LEN(ReferenceData!$AF$81),"",ReferenceData!$AF$81),"")</f>
        <v/>
      </c>
      <c r="AG81" t="str">
        <f ca="1">IFERROR(IF(0=LEN(ReferenceData!$AG$81),"",ReferenceData!$AG$81),"")</f>
        <v/>
      </c>
      <c r="AH81" t="str">
        <f ca="1">IFERROR(IF(0=LEN(ReferenceData!$AH$81),"",ReferenceData!$AH$81),"")</f>
        <v/>
      </c>
      <c r="AI81" t="str">
        <f ca="1">IFERROR(IF(0=LEN(ReferenceData!$AI$81),"",ReferenceData!$AI$81),"")</f>
        <v/>
      </c>
      <c r="AJ81" t="str">
        <f ca="1">IFERROR(IF(0=LEN(ReferenceData!$AJ$81),"",ReferenceData!$AJ$81),"")</f>
        <v/>
      </c>
      <c r="AK81" t="str">
        <f ca="1">IFERROR(IF(0=LEN(ReferenceData!$AK$81),"",ReferenceData!$AK$81),"")</f>
        <v/>
      </c>
      <c r="AL81" t="str">
        <f ca="1">IFERROR(IF(0=LEN(ReferenceData!$AL$81),"",ReferenceData!$AL$81),"")</f>
        <v/>
      </c>
      <c r="AM81" t="str">
        <f ca="1">IFERROR(IF(0=LEN(ReferenceData!$AM$81),"",ReferenceData!$AM$81),"")</f>
        <v/>
      </c>
      <c r="AN81" t="str">
        <f ca="1">IFERROR(IF(0=LEN(ReferenceData!$AN$81),"",ReferenceData!$AN$81),"")</f>
        <v/>
      </c>
      <c r="AO81" t="str">
        <f ca="1">IFERROR(IF(0=LEN(ReferenceData!$AO$81),"",ReferenceData!$AO$81),"")</f>
        <v/>
      </c>
      <c r="AP81" t="str">
        <f ca="1">IFERROR(IF(0=LEN(ReferenceData!$AP$81),"",ReferenceData!$AP$81),"")</f>
        <v/>
      </c>
      <c r="AQ81" t="str">
        <f ca="1">IFERROR(IF(0=LEN(ReferenceData!$AQ$81),"",ReferenceData!$AQ$81),"")</f>
        <v/>
      </c>
      <c r="AR81" t="str">
        <f ca="1">IFERROR(IF(0=LEN(ReferenceData!$AR$81),"",ReferenceData!$AR$81),"")</f>
        <v/>
      </c>
      <c r="AS81" t="str">
        <f ca="1">IFERROR(IF(0=LEN(ReferenceData!$AS$81),"",ReferenceData!$AS$81),"")</f>
        <v/>
      </c>
      <c r="AT81" t="str">
        <f ca="1">IFERROR(IF(0=LEN(ReferenceData!$AT$81),"",ReferenceData!$AT$81),"")</f>
        <v/>
      </c>
      <c r="AU81" t="str">
        <f ca="1">IFERROR(IF(0=LEN(ReferenceData!$AU$81),"",ReferenceData!$AU$81),"")</f>
        <v/>
      </c>
      <c r="AV81" t="str">
        <f ca="1">IFERROR(IF(0=LEN(ReferenceData!$AV$81),"",ReferenceData!$AV$81),"")</f>
        <v/>
      </c>
      <c r="AW81" t="str">
        <f ca="1">IFERROR(IF(0=LEN(ReferenceData!$AW$81),"",ReferenceData!$AW$81),"")</f>
        <v/>
      </c>
      <c r="AX81" t="str">
        <f ca="1">IFERROR(IF(0=LEN(ReferenceData!$AX$81),"",ReferenceData!$AX$81),"")</f>
        <v/>
      </c>
      <c r="AY81" t="str">
        <f ca="1">IFERROR(IF(0=LEN(ReferenceData!$AY$81),"",ReferenceData!$AY$81),"")</f>
        <v/>
      </c>
      <c r="AZ81" t="str">
        <f ca="1">IFERROR(IF(0=LEN(ReferenceData!$AZ$81),"",ReferenceData!$AZ$81),"")</f>
        <v/>
      </c>
      <c r="BA81" t="str">
        <f ca="1">IFERROR(IF(0=LEN(ReferenceData!$BA$81),"",ReferenceData!$BA$81),"")</f>
        <v/>
      </c>
      <c r="BB81" t="str">
        <f ca="1">IFERROR(IF(0=LEN(ReferenceData!$BB$81),"",ReferenceData!$BB$81),"")</f>
        <v/>
      </c>
      <c r="BC81" t="str">
        <f ca="1">IFERROR(IF(0=LEN(ReferenceData!$BC$81),"",ReferenceData!$BC$81),"")</f>
        <v/>
      </c>
      <c r="BD81" t="str">
        <f ca="1">IFERROR(IF(0=LEN(ReferenceData!$BD$81),"",ReferenceData!$BD$81),"")</f>
        <v/>
      </c>
      <c r="BE81" t="str">
        <f ca="1">IFERROR(IF(0=LEN(ReferenceData!$BE$81),"",ReferenceData!$BE$81),"")</f>
        <v/>
      </c>
      <c r="BF81" t="str">
        <f ca="1">IFERROR(IF(0=LEN(ReferenceData!$BF$81),"",ReferenceData!$BF$81),"")</f>
        <v/>
      </c>
      <c r="BG81" t="str">
        <f ca="1">IFERROR(IF(0=LEN(ReferenceData!$BG$81),"",ReferenceData!$BG$81),"")</f>
        <v/>
      </c>
      <c r="BH81" t="str">
        <f ca="1">IFERROR(IF(0=LEN(ReferenceData!$BH$81),"",ReferenceData!$BH$81),"")</f>
        <v/>
      </c>
      <c r="BI81" t="str">
        <f ca="1">IFERROR(IF(0=LEN(ReferenceData!$BI$81),"",ReferenceData!$BI$81),"")</f>
        <v/>
      </c>
      <c r="BJ81" t="str">
        <f ca="1">IFERROR(IF(0=LEN(ReferenceData!$BJ$81),"",ReferenceData!$BJ$81),"")</f>
        <v/>
      </c>
      <c r="BK81" t="str">
        <f ca="1">IFERROR(IF(0=LEN(ReferenceData!$BK$81),"",ReferenceData!$BK$81),"")</f>
        <v/>
      </c>
      <c r="BL81" t="str">
        <f ca="1">IFERROR(IF(0=LEN(ReferenceData!$BL$81),"",ReferenceData!$BL$81),"")</f>
        <v/>
      </c>
      <c r="BM81" t="str">
        <f ca="1">IFERROR(IF(0=LEN(ReferenceData!$BM$81),"",ReferenceData!$BM$81),"")</f>
        <v/>
      </c>
    </row>
    <row r="82" spans="1:65" x14ac:dyDescent="0.25">
      <c r="A82" t="str">
        <f>IFERROR(IF(0=LEN(ReferenceData!$A$82),"",ReferenceData!$A$82),"")</f>
        <v xml:space="preserve">    Toyota Motor Corp</v>
      </c>
      <c r="B82" t="str">
        <f>IFERROR(IF(0=LEN(ReferenceData!$B$82),"",ReferenceData!$B$82),"")</f>
        <v>7203 JP Equity</v>
      </c>
      <c r="C82" t="str">
        <f>IFERROR(IF(0=LEN(ReferenceData!$C$82),"",ReferenceData!$C$82),"")</f>
        <v>EZ019</v>
      </c>
      <c r="D82" t="str">
        <f>IFERROR(IF(0=LEN(ReferenceData!$D$82),"",ReferenceData!$D$82),"")</f>
        <v>BEST_EEPS_CUR_YR</v>
      </c>
      <c r="E82" t="str">
        <f>IFERROR(IF(0=LEN(ReferenceData!$E$82),"",ReferenceData!$E$82),"")</f>
        <v>Dynamic</v>
      </c>
      <c r="F82">
        <f ca="1">IFERROR(IF(0=LEN(ReferenceData!$F$82),"",ReferenceData!$F$82),"")</f>
        <v>6.8680000000000003</v>
      </c>
      <c r="G82">
        <f ca="1">IFERROR(IF(0=LEN(ReferenceData!$G$82),"",ReferenceData!$G$82),"")</f>
        <v>7.2850000000000001</v>
      </c>
      <c r="H82">
        <f ca="1">IFERROR(IF(0=LEN(ReferenceData!$H$82),"",ReferenceData!$H$82),"")</f>
        <v>7.0449999999999999</v>
      </c>
      <c r="I82">
        <f ca="1">IFERROR(IF(0=LEN(ReferenceData!$I$82),"",ReferenceData!$I$82),"")</f>
        <v>7.1280000000000001</v>
      </c>
      <c r="J82">
        <f ca="1">IFERROR(IF(0=LEN(ReferenceData!$J$82),"",ReferenceData!$J$82),"")</f>
        <v>6.8319999999999999</v>
      </c>
      <c r="K82">
        <f ca="1">IFERROR(IF(0=LEN(ReferenceData!$K$82),"",ReferenceData!$K$82),"")</f>
        <v>6.1909999999999998</v>
      </c>
      <c r="L82">
        <f ca="1">IFERROR(IF(0=LEN(ReferenceData!$L$82),"",ReferenceData!$L$82),"")</f>
        <v>5.95</v>
      </c>
      <c r="M82">
        <f ca="1">IFERROR(IF(0=LEN(ReferenceData!$M$82),"",ReferenceData!$M$82),"")</f>
        <v>5.7709999999999999</v>
      </c>
      <c r="N82">
        <f ca="1">IFERROR(IF(0=LEN(ReferenceData!$N$82),"",ReferenceData!$N$82),"")</f>
        <v>6.4329999999999998</v>
      </c>
      <c r="O82">
        <f ca="1">IFERROR(IF(0=LEN(ReferenceData!$O$82),"",ReferenceData!$O$82),"")</f>
        <v>5.8929999999999998</v>
      </c>
      <c r="P82">
        <f ca="1">IFERROR(IF(0=LEN(ReferenceData!$P$82),"",ReferenceData!$P$82),"")</f>
        <v>6.4560000000000004</v>
      </c>
      <c r="Q82">
        <f ca="1">IFERROR(IF(0=LEN(ReferenceData!$Q$82),"",ReferenceData!$Q$82),"")</f>
        <v>6.7949999999999999</v>
      </c>
      <c r="R82">
        <f ca="1">IFERROR(IF(0=LEN(ReferenceData!$R$82),"",ReferenceData!$R$82),"")</f>
        <v>7.5049999999999999</v>
      </c>
      <c r="S82">
        <f ca="1">IFERROR(IF(0=LEN(ReferenceData!$S$82),"",ReferenceData!$S$82),"")</f>
        <v>7.8849999999999998</v>
      </c>
      <c r="T82">
        <f ca="1">IFERROR(IF(0=LEN(ReferenceData!$T$82),"",ReferenceData!$T$82),"")</f>
        <v>8.0280000000000005</v>
      </c>
      <c r="U82">
        <f ca="1">IFERROR(IF(0=LEN(ReferenceData!$U$82),"",ReferenceData!$U$82),"")</f>
        <v>7.843</v>
      </c>
      <c r="V82">
        <f ca="1">IFERROR(IF(0=LEN(ReferenceData!$V$82),"",ReferenceData!$V$82),"")</f>
        <v>8.0820000000000007</v>
      </c>
      <c r="W82">
        <f ca="1">IFERROR(IF(0=LEN(ReferenceData!$W$82),"",ReferenceData!$W$82),"")</f>
        <v>8.3819999999999997</v>
      </c>
      <c r="X82">
        <f ca="1">IFERROR(IF(0=LEN(ReferenceData!$X$82),"",ReferenceData!$X$82),"")</f>
        <v>8.5549999999999997</v>
      </c>
      <c r="Y82">
        <f ca="1">IFERROR(IF(0=LEN(ReferenceData!$Y$82),"",ReferenceData!$Y$82),"")</f>
        <v>8.8569999999999993</v>
      </c>
      <c r="Z82" t="str">
        <f ca="1">IFERROR(IF(0=LEN(ReferenceData!$Z$82),"",ReferenceData!$Z$82),"")</f>
        <v/>
      </c>
      <c r="AA82" t="str">
        <f ca="1">IFERROR(IF(0=LEN(ReferenceData!$AA$82),"",ReferenceData!$AA$82),"")</f>
        <v/>
      </c>
      <c r="AB82" t="str">
        <f ca="1">IFERROR(IF(0=LEN(ReferenceData!$AB$82),"",ReferenceData!$AB$82),"")</f>
        <v/>
      </c>
      <c r="AC82" t="str">
        <f ca="1">IFERROR(IF(0=LEN(ReferenceData!$AC$82),"",ReferenceData!$AC$82),"")</f>
        <v/>
      </c>
      <c r="AD82" t="str">
        <f ca="1">IFERROR(IF(0=LEN(ReferenceData!$AD$82),"",ReferenceData!$AD$82),"")</f>
        <v/>
      </c>
      <c r="AE82" t="str">
        <f ca="1">IFERROR(IF(0=LEN(ReferenceData!$AE$82),"",ReferenceData!$AE$82),"")</f>
        <v/>
      </c>
      <c r="AF82" t="str">
        <f ca="1">IFERROR(IF(0=LEN(ReferenceData!$AF$82),"",ReferenceData!$AF$82),"")</f>
        <v/>
      </c>
      <c r="AG82" t="str">
        <f ca="1">IFERROR(IF(0=LEN(ReferenceData!$AG$82),"",ReferenceData!$AG$82),"")</f>
        <v/>
      </c>
      <c r="AH82" t="str">
        <f ca="1">IFERROR(IF(0=LEN(ReferenceData!$AH$82),"",ReferenceData!$AH$82),"")</f>
        <v/>
      </c>
      <c r="AI82" t="str">
        <f ca="1">IFERROR(IF(0=LEN(ReferenceData!$AI$82),"",ReferenceData!$AI$82),"")</f>
        <v/>
      </c>
      <c r="AJ82" t="str">
        <f ca="1">IFERROR(IF(0=LEN(ReferenceData!$AJ$82),"",ReferenceData!$AJ$82),"")</f>
        <v/>
      </c>
      <c r="AK82" t="str">
        <f ca="1">IFERROR(IF(0=LEN(ReferenceData!$AK$82),"",ReferenceData!$AK$82),"")</f>
        <v/>
      </c>
      <c r="AL82" t="str">
        <f ca="1">IFERROR(IF(0=LEN(ReferenceData!$AL$82),"",ReferenceData!$AL$82),"")</f>
        <v/>
      </c>
      <c r="AM82" t="str">
        <f ca="1">IFERROR(IF(0=LEN(ReferenceData!$AM$82),"",ReferenceData!$AM$82),"")</f>
        <v/>
      </c>
      <c r="AN82" t="str">
        <f ca="1">IFERROR(IF(0=LEN(ReferenceData!$AN$82),"",ReferenceData!$AN$82),"")</f>
        <v/>
      </c>
      <c r="AO82" t="str">
        <f ca="1">IFERROR(IF(0=LEN(ReferenceData!$AO$82),"",ReferenceData!$AO$82),"")</f>
        <v/>
      </c>
      <c r="AP82" t="str">
        <f ca="1">IFERROR(IF(0=LEN(ReferenceData!$AP$82),"",ReferenceData!$AP$82),"")</f>
        <v/>
      </c>
      <c r="AQ82" t="str">
        <f ca="1">IFERROR(IF(0=LEN(ReferenceData!$AQ$82),"",ReferenceData!$AQ$82),"")</f>
        <v/>
      </c>
      <c r="AR82" t="str">
        <f ca="1">IFERROR(IF(0=LEN(ReferenceData!$AR$82),"",ReferenceData!$AR$82),"")</f>
        <v/>
      </c>
      <c r="AS82" t="str">
        <f ca="1">IFERROR(IF(0=LEN(ReferenceData!$AS$82),"",ReferenceData!$AS$82),"")</f>
        <v/>
      </c>
      <c r="AT82" t="str">
        <f ca="1">IFERROR(IF(0=LEN(ReferenceData!$AT$82),"",ReferenceData!$AT$82),"")</f>
        <v/>
      </c>
      <c r="AU82" t="str">
        <f ca="1">IFERROR(IF(0=LEN(ReferenceData!$AU$82),"",ReferenceData!$AU$82),"")</f>
        <v/>
      </c>
      <c r="AV82" t="str">
        <f ca="1">IFERROR(IF(0=LEN(ReferenceData!$AV$82),"",ReferenceData!$AV$82),"")</f>
        <v/>
      </c>
      <c r="AW82" t="str">
        <f ca="1">IFERROR(IF(0=LEN(ReferenceData!$AW$82),"",ReferenceData!$AW$82),"")</f>
        <v/>
      </c>
      <c r="AX82" t="str">
        <f ca="1">IFERROR(IF(0=LEN(ReferenceData!$AX$82),"",ReferenceData!$AX$82),"")</f>
        <v/>
      </c>
      <c r="AY82" t="str">
        <f ca="1">IFERROR(IF(0=LEN(ReferenceData!$AY$82),"",ReferenceData!$AY$82),"")</f>
        <v/>
      </c>
      <c r="AZ82" t="str">
        <f ca="1">IFERROR(IF(0=LEN(ReferenceData!$AZ$82),"",ReferenceData!$AZ$82),"")</f>
        <v/>
      </c>
      <c r="BA82" t="str">
        <f ca="1">IFERROR(IF(0=LEN(ReferenceData!$BA$82),"",ReferenceData!$BA$82),"")</f>
        <v/>
      </c>
      <c r="BB82" t="str">
        <f ca="1">IFERROR(IF(0=LEN(ReferenceData!$BB$82),"",ReferenceData!$BB$82),"")</f>
        <v/>
      </c>
      <c r="BC82" t="str">
        <f ca="1">IFERROR(IF(0=LEN(ReferenceData!$BC$82),"",ReferenceData!$BC$82),"")</f>
        <v/>
      </c>
      <c r="BD82" t="str">
        <f ca="1">IFERROR(IF(0=LEN(ReferenceData!$BD$82),"",ReferenceData!$BD$82),"")</f>
        <v/>
      </c>
      <c r="BE82" t="str">
        <f ca="1">IFERROR(IF(0=LEN(ReferenceData!$BE$82),"",ReferenceData!$BE$82),"")</f>
        <v/>
      </c>
      <c r="BF82" t="str">
        <f ca="1">IFERROR(IF(0=LEN(ReferenceData!$BF$82),"",ReferenceData!$BF$82),"")</f>
        <v/>
      </c>
      <c r="BG82" t="str">
        <f ca="1">IFERROR(IF(0=LEN(ReferenceData!$BG$82),"",ReferenceData!$BG$82),"")</f>
        <v/>
      </c>
      <c r="BH82" t="str">
        <f ca="1">IFERROR(IF(0=LEN(ReferenceData!$BH$82),"",ReferenceData!$BH$82),"")</f>
        <v/>
      </c>
      <c r="BI82" t="str">
        <f ca="1">IFERROR(IF(0=LEN(ReferenceData!$BI$82),"",ReferenceData!$BI$82),"")</f>
        <v/>
      </c>
      <c r="BJ82" t="str">
        <f ca="1">IFERROR(IF(0=LEN(ReferenceData!$BJ$82),"",ReferenceData!$BJ$82),"")</f>
        <v/>
      </c>
      <c r="BK82" t="str">
        <f ca="1">IFERROR(IF(0=LEN(ReferenceData!$BK$82),"",ReferenceData!$BK$82),"")</f>
        <v/>
      </c>
      <c r="BL82" t="str">
        <f ca="1">IFERROR(IF(0=LEN(ReferenceData!$BL$82),"",ReferenceData!$BL$82),"")</f>
        <v/>
      </c>
      <c r="BM82" t="str">
        <f ca="1">IFERROR(IF(0=LEN(ReferenceData!$BM$82),"",ReferenceData!$BM$82),"")</f>
        <v/>
      </c>
    </row>
    <row r="83" spans="1:65" x14ac:dyDescent="0.25">
      <c r="A83" t="str">
        <f>IFERROR(IF(0=LEN(ReferenceData!$A$83),"",ReferenceData!$A$83),"")</f>
        <v xml:space="preserve">    Volkswagen AG</v>
      </c>
      <c r="B83" t="str">
        <f>IFERROR(IF(0=LEN(ReferenceData!$B$83),"",ReferenceData!$B$83),"")</f>
        <v>VOW GR Equity</v>
      </c>
      <c r="C83" t="str">
        <f>IFERROR(IF(0=LEN(ReferenceData!$C$83),"",ReferenceData!$C$83),"")</f>
        <v>EZ019</v>
      </c>
      <c r="D83" t="str">
        <f>IFERROR(IF(0=LEN(ReferenceData!$D$83),"",ReferenceData!$D$83),"")</f>
        <v>BEST_EEPS_CUR_YR</v>
      </c>
      <c r="E83" t="str">
        <f>IFERROR(IF(0=LEN(ReferenceData!$E$83),"",ReferenceData!$E$83),"")</f>
        <v>Dynamic</v>
      </c>
      <c r="F83">
        <f ca="1">IFERROR(IF(0=LEN(ReferenceData!$F$83),"",ReferenceData!$F$83),"")</f>
        <v>31.408000000000001</v>
      </c>
      <c r="G83">
        <f ca="1">IFERROR(IF(0=LEN(ReferenceData!$G$83),"",ReferenceData!$G$83),"")</f>
        <v>32.271000000000001</v>
      </c>
      <c r="H83">
        <f ca="1">IFERROR(IF(0=LEN(ReferenceData!$H$83),"",ReferenceData!$H$83),"")</f>
        <v>33.494999999999997</v>
      </c>
      <c r="I83">
        <f ca="1">IFERROR(IF(0=LEN(ReferenceData!$I$83),"",ReferenceData!$I$83),"")</f>
        <v>33.322000000000003</v>
      </c>
      <c r="J83">
        <f ca="1">IFERROR(IF(0=LEN(ReferenceData!$J$83),"",ReferenceData!$J$83),"")</f>
        <v>34.982999999999997</v>
      </c>
      <c r="K83">
        <f ca="1">IFERROR(IF(0=LEN(ReferenceData!$K$83),"",ReferenceData!$K$83),"")</f>
        <v>33.110999999999997</v>
      </c>
      <c r="L83">
        <f ca="1">IFERROR(IF(0=LEN(ReferenceData!$L$83),"",ReferenceData!$L$83),"")</f>
        <v>30.463000000000001</v>
      </c>
      <c r="M83">
        <f ca="1">IFERROR(IF(0=LEN(ReferenceData!$M$83),"",ReferenceData!$M$83),"")</f>
        <v>29.045999999999999</v>
      </c>
      <c r="N83">
        <f ca="1">IFERROR(IF(0=LEN(ReferenceData!$N$83),"",ReferenceData!$N$83),"")</f>
        <v>26.231999999999999</v>
      </c>
      <c r="O83">
        <f ca="1">IFERROR(IF(0=LEN(ReferenceData!$O$83),"",ReferenceData!$O$83),"")</f>
        <v>21.625</v>
      </c>
      <c r="P83">
        <f ca="1">IFERROR(IF(0=LEN(ReferenceData!$P$83),"",ReferenceData!$P$83),"")</f>
        <v>37.697000000000003</v>
      </c>
      <c r="Q83">
        <f ca="1">IFERROR(IF(0=LEN(ReferenceData!$Q$83),"",ReferenceData!$Q$83),"")</f>
        <v>29.184000000000001</v>
      </c>
      <c r="R83">
        <f ca="1">IFERROR(IF(0=LEN(ReferenceData!$R$83),"",ReferenceData!$R$83),"")</f>
        <v>23.215</v>
      </c>
      <c r="S83">
        <f ca="1">IFERROR(IF(0=LEN(ReferenceData!$S$83),"",ReferenceData!$S$83),"")</f>
        <v>30.254000000000001</v>
      </c>
      <c r="T83">
        <f ca="1">IFERROR(IF(0=LEN(ReferenceData!$T$83),"",ReferenceData!$T$83),"")</f>
        <v>24.963999999999999</v>
      </c>
      <c r="U83">
        <f ca="1">IFERROR(IF(0=LEN(ReferenceData!$U$83),"",ReferenceData!$U$83),"")</f>
        <v>32.972000000000001</v>
      </c>
      <c r="V83">
        <f ca="1">IFERROR(IF(0=LEN(ReferenceData!$V$83),"",ReferenceData!$V$83),"")</f>
        <v>31.388999999999999</v>
      </c>
      <c r="W83" t="str">
        <f ca="1">IFERROR(IF(0=LEN(ReferenceData!$W$83),"",ReferenceData!$W$83),"")</f>
        <v/>
      </c>
      <c r="X83" t="str">
        <f ca="1">IFERROR(IF(0=LEN(ReferenceData!$X$83),"",ReferenceData!$X$83),"")</f>
        <v/>
      </c>
      <c r="Y83" t="str">
        <f ca="1">IFERROR(IF(0=LEN(ReferenceData!$Y$83),"",ReferenceData!$Y$83),"")</f>
        <v/>
      </c>
      <c r="Z83" t="str">
        <f ca="1">IFERROR(IF(0=LEN(ReferenceData!$Z$83),"",ReferenceData!$Z$83),"")</f>
        <v/>
      </c>
      <c r="AA83" t="str">
        <f ca="1">IFERROR(IF(0=LEN(ReferenceData!$AA$83),"",ReferenceData!$AA$83),"")</f>
        <v/>
      </c>
      <c r="AB83" t="str">
        <f ca="1">IFERROR(IF(0=LEN(ReferenceData!$AB$83),"",ReferenceData!$AB$83),"")</f>
        <v/>
      </c>
      <c r="AC83" t="str">
        <f ca="1">IFERROR(IF(0=LEN(ReferenceData!$AC$83),"",ReferenceData!$AC$83),"")</f>
        <v/>
      </c>
      <c r="AD83" t="str">
        <f ca="1">IFERROR(IF(0=LEN(ReferenceData!$AD$83),"",ReferenceData!$AD$83),"")</f>
        <v/>
      </c>
      <c r="AE83" t="str">
        <f ca="1">IFERROR(IF(0=LEN(ReferenceData!$AE$83),"",ReferenceData!$AE$83),"")</f>
        <v/>
      </c>
      <c r="AF83" t="str">
        <f ca="1">IFERROR(IF(0=LEN(ReferenceData!$AF$83),"",ReferenceData!$AF$83),"")</f>
        <v/>
      </c>
      <c r="AG83" t="str">
        <f ca="1">IFERROR(IF(0=LEN(ReferenceData!$AG$83),"",ReferenceData!$AG$83),"")</f>
        <v/>
      </c>
      <c r="AH83" t="str">
        <f ca="1">IFERROR(IF(0=LEN(ReferenceData!$AH$83),"",ReferenceData!$AH$83),"")</f>
        <v/>
      </c>
      <c r="AI83" t="str">
        <f ca="1">IFERROR(IF(0=LEN(ReferenceData!$AI$83),"",ReferenceData!$AI$83),"")</f>
        <v/>
      </c>
      <c r="AJ83" t="str">
        <f ca="1">IFERROR(IF(0=LEN(ReferenceData!$AJ$83),"",ReferenceData!$AJ$83),"")</f>
        <v/>
      </c>
      <c r="AK83" t="str">
        <f ca="1">IFERROR(IF(0=LEN(ReferenceData!$AK$83),"",ReferenceData!$AK$83),"")</f>
        <v/>
      </c>
      <c r="AL83" t="str">
        <f ca="1">IFERROR(IF(0=LEN(ReferenceData!$AL$83),"",ReferenceData!$AL$83),"")</f>
        <v/>
      </c>
      <c r="AM83" t="str">
        <f ca="1">IFERROR(IF(0=LEN(ReferenceData!$AM$83),"",ReferenceData!$AM$83),"")</f>
        <v/>
      </c>
      <c r="AN83" t="str">
        <f ca="1">IFERROR(IF(0=LEN(ReferenceData!$AN$83),"",ReferenceData!$AN$83),"")</f>
        <v/>
      </c>
      <c r="AO83" t="str">
        <f ca="1">IFERROR(IF(0=LEN(ReferenceData!$AO$83),"",ReferenceData!$AO$83),"")</f>
        <v/>
      </c>
      <c r="AP83" t="str">
        <f ca="1">IFERROR(IF(0=LEN(ReferenceData!$AP$83),"",ReferenceData!$AP$83),"")</f>
        <v/>
      </c>
      <c r="AQ83" t="str">
        <f ca="1">IFERROR(IF(0=LEN(ReferenceData!$AQ$83),"",ReferenceData!$AQ$83),"")</f>
        <v/>
      </c>
      <c r="AR83" t="str">
        <f ca="1">IFERROR(IF(0=LEN(ReferenceData!$AR$83),"",ReferenceData!$AR$83),"")</f>
        <v/>
      </c>
      <c r="AS83" t="str">
        <f ca="1">IFERROR(IF(0=LEN(ReferenceData!$AS$83),"",ReferenceData!$AS$83),"")</f>
        <v/>
      </c>
      <c r="AT83" t="str">
        <f ca="1">IFERROR(IF(0=LEN(ReferenceData!$AT$83),"",ReferenceData!$AT$83),"")</f>
        <v/>
      </c>
      <c r="AU83" t="str">
        <f ca="1">IFERROR(IF(0=LEN(ReferenceData!$AU$83),"",ReferenceData!$AU$83),"")</f>
        <v/>
      </c>
      <c r="AV83" t="str">
        <f ca="1">IFERROR(IF(0=LEN(ReferenceData!$AV$83),"",ReferenceData!$AV$83),"")</f>
        <v/>
      </c>
      <c r="AW83" t="str">
        <f ca="1">IFERROR(IF(0=LEN(ReferenceData!$AW$83),"",ReferenceData!$AW$83),"")</f>
        <v/>
      </c>
      <c r="AX83" t="str">
        <f ca="1">IFERROR(IF(0=LEN(ReferenceData!$AX$83),"",ReferenceData!$AX$83),"")</f>
        <v/>
      </c>
      <c r="AY83" t="str">
        <f ca="1">IFERROR(IF(0=LEN(ReferenceData!$AY$83),"",ReferenceData!$AY$83),"")</f>
        <v/>
      </c>
      <c r="AZ83" t="str">
        <f ca="1">IFERROR(IF(0=LEN(ReferenceData!$AZ$83),"",ReferenceData!$AZ$83),"")</f>
        <v/>
      </c>
      <c r="BA83" t="str">
        <f ca="1">IFERROR(IF(0=LEN(ReferenceData!$BA$83),"",ReferenceData!$BA$83),"")</f>
        <v/>
      </c>
      <c r="BB83" t="str">
        <f ca="1">IFERROR(IF(0=LEN(ReferenceData!$BB$83),"",ReferenceData!$BB$83),"")</f>
        <v/>
      </c>
      <c r="BC83" t="str">
        <f ca="1">IFERROR(IF(0=LEN(ReferenceData!$BC$83),"",ReferenceData!$BC$83),"")</f>
        <v/>
      </c>
      <c r="BD83" t="str">
        <f ca="1">IFERROR(IF(0=LEN(ReferenceData!$BD$83),"",ReferenceData!$BD$83),"")</f>
        <v/>
      </c>
      <c r="BE83" t="str">
        <f ca="1">IFERROR(IF(0=LEN(ReferenceData!$BE$83),"",ReferenceData!$BE$83),"")</f>
        <v/>
      </c>
      <c r="BF83" t="str">
        <f ca="1">IFERROR(IF(0=LEN(ReferenceData!$BF$83),"",ReferenceData!$BF$83),"")</f>
        <v/>
      </c>
      <c r="BG83" t="str">
        <f ca="1">IFERROR(IF(0=LEN(ReferenceData!$BG$83),"",ReferenceData!$BG$83),"")</f>
        <v/>
      </c>
      <c r="BH83" t="str">
        <f ca="1">IFERROR(IF(0=LEN(ReferenceData!$BH$83),"",ReferenceData!$BH$83),"")</f>
        <v/>
      </c>
      <c r="BI83" t="str">
        <f ca="1">IFERROR(IF(0=LEN(ReferenceData!$BI$83),"",ReferenceData!$BI$83),"")</f>
        <v/>
      </c>
      <c r="BJ83" t="str">
        <f ca="1">IFERROR(IF(0=LEN(ReferenceData!$BJ$83),"",ReferenceData!$BJ$83),"")</f>
        <v/>
      </c>
      <c r="BK83" t="str">
        <f ca="1">IFERROR(IF(0=LEN(ReferenceData!$BK$83),"",ReferenceData!$BK$83),"")</f>
        <v/>
      </c>
      <c r="BL83" t="str">
        <f ca="1">IFERROR(IF(0=LEN(ReferenceData!$BL$83),"",ReferenceData!$BL$83),"")</f>
        <v/>
      </c>
      <c r="BM83" t="str">
        <f ca="1">IFERROR(IF(0=LEN(ReferenceData!$BM$83),"",ReferenceData!$BM$83),"")</f>
        <v/>
      </c>
    </row>
    <row r="84" spans="1:65" x14ac:dyDescent="0.25">
      <c r="A84" t="str">
        <f>IFERROR(IF(0=LEN(ReferenceData!$A$84),"",ReferenceData!$A$84),"")</f>
        <v xml:space="preserve">    Yulon Motor Co Ltd</v>
      </c>
      <c r="B84" t="str">
        <f>IFERROR(IF(0=LEN(ReferenceData!$B$84),"",ReferenceData!$B$84),"")</f>
        <v>2201 TT Equity</v>
      </c>
      <c r="C84" t="str">
        <f>IFERROR(IF(0=LEN(ReferenceData!$C$84),"",ReferenceData!$C$84),"")</f>
        <v>EZ019</v>
      </c>
      <c r="D84" t="str">
        <f>IFERROR(IF(0=LEN(ReferenceData!$D$84),"",ReferenceData!$D$84),"")</f>
        <v>BEST_EEPS_CUR_YR</v>
      </c>
      <c r="E84" t="str">
        <f>IFERROR(IF(0=LEN(ReferenceData!$E$84),"",ReferenceData!$E$84),"")</f>
        <v>Dynamic</v>
      </c>
      <c r="F84">
        <f ca="1">IFERROR(IF(0=LEN(ReferenceData!$F$84),"",ReferenceData!$F$84),"")</f>
        <v>5.0999999999999997E-2</v>
      </c>
      <c r="G84">
        <f ca="1">IFERROR(IF(0=LEN(ReferenceData!$G$84),"",ReferenceData!$G$84),"")</f>
        <v>5.0999999999999997E-2</v>
      </c>
      <c r="H84">
        <f ca="1">IFERROR(IF(0=LEN(ReferenceData!$H$84),"",ReferenceData!$H$84),"")</f>
        <v>5.5E-2</v>
      </c>
      <c r="I84">
        <f ca="1">IFERROR(IF(0=LEN(ReferenceData!$I$84),"",ReferenceData!$I$84),"")</f>
        <v>5.7000000000000002E-2</v>
      </c>
      <c r="J84">
        <f ca="1">IFERROR(IF(0=LEN(ReferenceData!$J$84),"",ReferenceData!$J$84),"")</f>
        <v>5.8999999999999997E-2</v>
      </c>
      <c r="K84">
        <f ca="1">IFERROR(IF(0=LEN(ReferenceData!$K$84),"",ReferenceData!$K$84),"")</f>
        <v>5.8000000000000003E-2</v>
      </c>
      <c r="L84" t="str">
        <f ca="1">IFERROR(IF(0=LEN(ReferenceData!$L$84),"",ReferenceData!$L$84),"")</f>
        <v/>
      </c>
      <c r="M84">
        <f ca="1">IFERROR(IF(0=LEN(ReferenceData!$M$84),"",ReferenceData!$M$84),"")</f>
        <v>6.7000000000000004E-2</v>
      </c>
      <c r="N84">
        <f ca="1">IFERROR(IF(0=LEN(ReferenceData!$N$84),"",ReferenceData!$N$84),"")</f>
        <v>6.5000000000000002E-2</v>
      </c>
      <c r="O84">
        <f ca="1">IFERROR(IF(0=LEN(ReferenceData!$O$84),"",ReferenceData!$O$84),"")</f>
        <v>6.4000000000000001E-2</v>
      </c>
      <c r="P84">
        <f ca="1">IFERROR(IF(0=LEN(ReferenceData!$P$84),"",ReferenceData!$P$84),"")</f>
        <v>6.3E-2</v>
      </c>
      <c r="Q84">
        <f ca="1">IFERROR(IF(0=LEN(ReferenceData!$Q$84),"",ReferenceData!$Q$84),"")</f>
        <v>6.2E-2</v>
      </c>
      <c r="R84" t="str">
        <f ca="1">IFERROR(IF(0=LEN(ReferenceData!$R$84),"",ReferenceData!$R$84),"")</f>
        <v/>
      </c>
      <c r="S84" t="str">
        <f ca="1">IFERROR(IF(0=LEN(ReferenceData!$S$84),"",ReferenceData!$S$84),"")</f>
        <v/>
      </c>
      <c r="T84" t="str">
        <f ca="1">IFERROR(IF(0=LEN(ReferenceData!$T$84),"",ReferenceData!$T$84),"")</f>
        <v/>
      </c>
      <c r="U84" t="str">
        <f ca="1">IFERROR(IF(0=LEN(ReferenceData!$U$84),"",ReferenceData!$U$84),"")</f>
        <v/>
      </c>
      <c r="V84" t="str">
        <f ca="1">IFERROR(IF(0=LEN(ReferenceData!$V$84),"",ReferenceData!$V$84),"")</f>
        <v/>
      </c>
      <c r="W84" t="str">
        <f ca="1">IFERROR(IF(0=LEN(ReferenceData!$W$84),"",ReferenceData!$W$84),"")</f>
        <v/>
      </c>
      <c r="X84" t="str">
        <f ca="1">IFERROR(IF(0=LEN(ReferenceData!$X$84),"",ReferenceData!$X$84),"")</f>
        <v/>
      </c>
      <c r="Y84" t="str">
        <f ca="1">IFERROR(IF(0=LEN(ReferenceData!$Y$84),"",ReferenceData!$Y$84),"")</f>
        <v/>
      </c>
      <c r="Z84" t="str">
        <f ca="1">IFERROR(IF(0=LEN(ReferenceData!$Z$84),"",ReferenceData!$Z$84),"")</f>
        <v/>
      </c>
      <c r="AA84" t="str">
        <f ca="1">IFERROR(IF(0=LEN(ReferenceData!$AA$84),"",ReferenceData!$AA$84),"")</f>
        <v/>
      </c>
      <c r="AB84" t="str">
        <f ca="1">IFERROR(IF(0=LEN(ReferenceData!$AB$84),"",ReferenceData!$AB$84),"")</f>
        <v/>
      </c>
      <c r="AC84" t="str">
        <f ca="1">IFERROR(IF(0=LEN(ReferenceData!$AC$84),"",ReferenceData!$AC$84),"")</f>
        <v/>
      </c>
      <c r="AD84" t="str">
        <f ca="1">IFERROR(IF(0=LEN(ReferenceData!$AD$84),"",ReferenceData!$AD$84),"")</f>
        <v/>
      </c>
      <c r="AE84" t="str">
        <f ca="1">IFERROR(IF(0=LEN(ReferenceData!$AE$84),"",ReferenceData!$AE$84),"")</f>
        <v/>
      </c>
      <c r="AF84" t="str">
        <f ca="1">IFERROR(IF(0=LEN(ReferenceData!$AF$84),"",ReferenceData!$AF$84),"")</f>
        <v/>
      </c>
      <c r="AG84" t="str">
        <f ca="1">IFERROR(IF(0=LEN(ReferenceData!$AG$84),"",ReferenceData!$AG$84),"")</f>
        <v/>
      </c>
      <c r="AH84" t="str">
        <f ca="1">IFERROR(IF(0=LEN(ReferenceData!$AH$84),"",ReferenceData!$AH$84),"")</f>
        <v/>
      </c>
      <c r="AI84" t="str">
        <f ca="1">IFERROR(IF(0=LEN(ReferenceData!$AI$84),"",ReferenceData!$AI$84),"")</f>
        <v/>
      </c>
      <c r="AJ84" t="str">
        <f ca="1">IFERROR(IF(0=LEN(ReferenceData!$AJ$84),"",ReferenceData!$AJ$84),"")</f>
        <v/>
      </c>
      <c r="AK84" t="str">
        <f ca="1">IFERROR(IF(0=LEN(ReferenceData!$AK$84),"",ReferenceData!$AK$84),"")</f>
        <v/>
      </c>
      <c r="AL84" t="str">
        <f ca="1">IFERROR(IF(0=LEN(ReferenceData!$AL$84),"",ReferenceData!$AL$84),"")</f>
        <v/>
      </c>
      <c r="AM84" t="str">
        <f ca="1">IFERROR(IF(0=LEN(ReferenceData!$AM$84),"",ReferenceData!$AM$84),"")</f>
        <v/>
      </c>
      <c r="AN84" t="str">
        <f ca="1">IFERROR(IF(0=LEN(ReferenceData!$AN$84),"",ReferenceData!$AN$84),"")</f>
        <v/>
      </c>
      <c r="AO84" t="str">
        <f ca="1">IFERROR(IF(0=LEN(ReferenceData!$AO$84),"",ReferenceData!$AO$84),"")</f>
        <v/>
      </c>
      <c r="AP84" t="str">
        <f ca="1">IFERROR(IF(0=LEN(ReferenceData!$AP$84),"",ReferenceData!$AP$84),"")</f>
        <v/>
      </c>
      <c r="AQ84" t="str">
        <f ca="1">IFERROR(IF(0=LEN(ReferenceData!$AQ$84),"",ReferenceData!$AQ$84),"")</f>
        <v/>
      </c>
      <c r="AR84" t="str">
        <f ca="1">IFERROR(IF(0=LEN(ReferenceData!$AR$84),"",ReferenceData!$AR$84),"")</f>
        <v/>
      </c>
      <c r="AS84" t="str">
        <f ca="1">IFERROR(IF(0=LEN(ReferenceData!$AS$84),"",ReferenceData!$AS$84),"")</f>
        <v/>
      </c>
      <c r="AT84" t="str">
        <f ca="1">IFERROR(IF(0=LEN(ReferenceData!$AT$84),"",ReferenceData!$AT$84),"")</f>
        <v/>
      </c>
      <c r="AU84" t="str">
        <f ca="1">IFERROR(IF(0=LEN(ReferenceData!$AU$84),"",ReferenceData!$AU$84),"")</f>
        <v/>
      </c>
      <c r="AV84" t="str">
        <f ca="1">IFERROR(IF(0=LEN(ReferenceData!$AV$84),"",ReferenceData!$AV$84),"")</f>
        <v/>
      </c>
      <c r="AW84" t="str">
        <f ca="1">IFERROR(IF(0=LEN(ReferenceData!$AW$84),"",ReferenceData!$AW$84),"")</f>
        <v/>
      </c>
      <c r="AX84" t="str">
        <f ca="1">IFERROR(IF(0=LEN(ReferenceData!$AX$84),"",ReferenceData!$AX$84),"")</f>
        <v/>
      </c>
      <c r="AY84" t="str">
        <f ca="1">IFERROR(IF(0=LEN(ReferenceData!$AY$84),"",ReferenceData!$AY$84),"")</f>
        <v/>
      </c>
      <c r="AZ84" t="str">
        <f ca="1">IFERROR(IF(0=LEN(ReferenceData!$AZ$84),"",ReferenceData!$AZ$84),"")</f>
        <v/>
      </c>
      <c r="BA84" t="str">
        <f ca="1">IFERROR(IF(0=LEN(ReferenceData!$BA$84),"",ReferenceData!$BA$84),"")</f>
        <v/>
      </c>
      <c r="BB84" t="str">
        <f ca="1">IFERROR(IF(0=LEN(ReferenceData!$BB$84),"",ReferenceData!$BB$84),"")</f>
        <v/>
      </c>
      <c r="BC84" t="str">
        <f ca="1">IFERROR(IF(0=LEN(ReferenceData!$BC$84),"",ReferenceData!$BC$84),"")</f>
        <v/>
      </c>
      <c r="BD84" t="str">
        <f ca="1">IFERROR(IF(0=LEN(ReferenceData!$BD$84),"",ReferenceData!$BD$84),"")</f>
        <v/>
      </c>
      <c r="BE84" t="str">
        <f ca="1">IFERROR(IF(0=LEN(ReferenceData!$BE$84),"",ReferenceData!$BE$84),"")</f>
        <v/>
      </c>
      <c r="BF84" t="str">
        <f ca="1">IFERROR(IF(0=LEN(ReferenceData!$BF$84),"",ReferenceData!$BF$84),"")</f>
        <v/>
      </c>
      <c r="BG84" t="str">
        <f ca="1">IFERROR(IF(0=LEN(ReferenceData!$BG$84),"",ReferenceData!$BG$84),"")</f>
        <v/>
      </c>
      <c r="BH84" t="str">
        <f ca="1">IFERROR(IF(0=LEN(ReferenceData!$BH$84),"",ReferenceData!$BH$84),"")</f>
        <v/>
      </c>
      <c r="BI84" t="str">
        <f ca="1">IFERROR(IF(0=LEN(ReferenceData!$BI$84),"",ReferenceData!$BI$84),"")</f>
        <v/>
      </c>
      <c r="BJ84" t="str">
        <f ca="1">IFERROR(IF(0=LEN(ReferenceData!$BJ$84),"",ReferenceData!$BJ$84),"")</f>
        <v/>
      </c>
      <c r="BK84" t="str">
        <f ca="1">IFERROR(IF(0=LEN(ReferenceData!$BK$84),"",ReferenceData!$BK$84),"")</f>
        <v/>
      </c>
      <c r="BL84" t="str">
        <f ca="1">IFERROR(IF(0=LEN(ReferenceData!$BL$84),"",ReferenceData!$BL$84),"")</f>
        <v/>
      </c>
      <c r="BM84" t="str">
        <f ca="1">IFERROR(IF(0=LEN(ReferenceData!$BM$84),"",ReferenceData!$BM$84),"")</f>
        <v/>
      </c>
    </row>
    <row r="85" spans="1:65" x14ac:dyDescent="0.25">
      <c r="A85" t="str">
        <f>IFERROR(IF(0=LEN(ReferenceData!$A$85),"",ReferenceData!$A$85),"")</f>
        <v>EPS FY2</v>
      </c>
      <c r="B85" t="str">
        <f>IFERROR(IF(0=LEN(ReferenceData!$B$85),"",ReferenceData!$B$85),"")</f>
        <v>BRAUTOCV Index</v>
      </c>
      <c r="C85" t="str">
        <f>IFERROR(IF(0=LEN(ReferenceData!$C$85),"",ReferenceData!$C$85),"")</f>
        <v/>
      </c>
      <c r="D85" t="str">
        <f>IFERROR(IF(0=LEN(ReferenceData!$D$85),"",ReferenceData!$D$85),"")</f>
        <v/>
      </c>
      <c r="E85" t="str">
        <f>IFERROR(IF(0=LEN(ReferenceData!$E$85),"",ReferenceData!$E$85),"")</f>
        <v>Average</v>
      </c>
      <c r="F85">
        <f ca="1">IFERROR(IF(0=LEN(ReferenceData!$F$85),"",ReferenceData!$F$85),"")</f>
        <v>4.1547352941176481</v>
      </c>
      <c r="G85">
        <f ca="1">IFERROR(IF(0=LEN(ReferenceData!$G$85),"",ReferenceData!$G$85),"")</f>
        <v>4.491848484848485</v>
      </c>
      <c r="H85">
        <f ca="1">IFERROR(IF(0=LEN(ReferenceData!$H$85),"",ReferenceData!$H$85),"")</f>
        <v>4.8655937500000004</v>
      </c>
      <c r="I85">
        <f ca="1">IFERROR(IF(0=LEN(ReferenceData!$I$85),"",ReferenceData!$I$85),"")</f>
        <v>5.0320967741935485</v>
      </c>
      <c r="J85">
        <f ca="1">IFERROR(IF(0=LEN(ReferenceData!$J$85),"",ReferenceData!$J$85),"")</f>
        <v>5.2732903225806442</v>
      </c>
      <c r="K85">
        <f ca="1">IFERROR(IF(0=LEN(ReferenceData!$K$85),"",ReferenceData!$K$85),"")</f>
        <v>4.8331212121212124</v>
      </c>
      <c r="L85">
        <f ca="1">IFERROR(IF(0=LEN(ReferenceData!$L$85),"",ReferenceData!$L$85),"")</f>
        <v>4.9207187500000007</v>
      </c>
      <c r="M85">
        <f ca="1">IFERROR(IF(0=LEN(ReferenceData!$M$85),"",ReferenceData!$M$85),"")</f>
        <v>4.7276875</v>
      </c>
      <c r="N85">
        <f ca="1">IFERROR(IF(0=LEN(ReferenceData!$N$85),"",ReferenceData!$N$85),"")</f>
        <v>4.8746</v>
      </c>
      <c r="O85">
        <f ca="1">IFERROR(IF(0=LEN(ReferenceData!$O$85),"",ReferenceData!$O$85),"")</f>
        <v>5.1435714285714296</v>
      </c>
      <c r="P85">
        <f ca="1">IFERROR(IF(0=LEN(ReferenceData!$P$85),"",ReferenceData!$P$85),"")</f>
        <v>7.1275000000000004</v>
      </c>
      <c r="Q85">
        <f ca="1">IFERROR(IF(0=LEN(ReferenceData!$Q$85),"",ReferenceData!$Q$85),"")</f>
        <v>7.1483333333333325</v>
      </c>
      <c r="R85">
        <f ca="1">IFERROR(IF(0=LEN(ReferenceData!$R$85),"",ReferenceData!$R$85),"")</f>
        <v>6.0977857142857141</v>
      </c>
      <c r="S85">
        <f ca="1">IFERROR(IF(0=LEN(ReferenceData!$S$85),"",ReferenceData!$S$85),"")</f>
        <v>4.7107857142857146</v>
      </c>
      <c r="T85">
        <f ca="1">IFERROR(IF(0=LEN(ReferenceData!$T$85),"",ReferenceData!$T$85),"")</f>
        <v>5.0218333333333325</v>
      </c>
      <c r="U85">
        <f ca="1">IFERROR(IF(0=LEN(ReferenceData!$U$85),"",ReferenceData!$U$85),"")</f>
        <v>5.378400000000001</v>
      </c>
      <c r="V85">
        <f ca="1">IFERROR(IF(0=LEN(ReferenceData!$V$85),"",ReferenceData!$V$85),"")</f>
        <v>6.4475999999999996</v>
      </c>
      <c r="W85">
        <f ca="1">IFERROR(IF(0=LEN(ReferenceData!$W$85),"",ReferenceData!$W$85),"")</f>
        <v>9.9494999999999987</v>
      </c>
      <c r="X85">
        <f ca="1">IFERROR(IF(0=LEN(ReferenceData!$X$85),"",ReferenceData!$X$85),"")</f>
        <v>10.129999999999999</v>
      </c>
      <c r="Y85">
        <f ca="1">IFERROR(IF(0=LEN(ReferenceData!$Y$85),"",ReferenceData!$Y$85),"")</f>
        <v>9.2724999999999991</v>
      </c>
      <c r="Z85">
        <f ca="1">IFERROR(IF(0=LEN(ReferenceData!$Z$85),"",ReferenceData!$Z$85),"")</f>
        <v>9.3985000000000003</v>
      </c>
      <c r="AA85">
        <f ca="1">IFERROR(IF(0=LEN(ReferenceData!$AA$85),"",ReferenceData!$AA$85),"")</f>
        <v>16.88</v>
      </c>
      <c r="AB85">
        <f ca="1">IFERROR(IF(0=LEN(ReferenceData!$AB$85),"",ReferenceData!$AB$85),"")</f>
        <v>11.622999999999999</v>
      </c>
      <c r="AC85">
        <f ca="1">IFERROR(IF(0=LEN(ReferenceData!$AC$85),"",ReferenceData!$AC$85),"")</f>
        <v>7.98</v>
      </c>
      <c r="AD85">
        <f ca="1">IFERROR(IF(0=LEN(ReferenceData!$AD$85),"",ReferenceData!$AD$85),"")</f>
        <v>8.5649999999999995</v>
      </c>
      <c r="AE85">
        <f ca="1">IFERROR(IF(0=LEN(ReferenceData!$AE$85),"",ReferenceData!$AE$85),"")</f>
        <v>8.5250000000000004</v>
      </c>
      <c r="AF85">
        <f ca="1">IFERROR(IF(0=LEN(ReferenceData!$AF$85),"",ReferenceData!$AF$85),"")</f>
        <v>13.15</v>
      </c>
      <c r="AG85">
        <f ca="1">IFERROR(IF(0=LEN(ReferenceData!$AG$85),"",ReferenceData!$AG$85),"")</f>
        <v>12.75</v>
      </c>
      <c r="AH85">
        <f ca="1">IFERROR(IF(0=LEN(ReferenceData!$AH$85),"",ReferenceData!$AH$85),"")</f>
        <v>5.681</v>
      </c>
      <c r="AI85" t="str">
        <f ca="1">IFERROR(IF(0=LEN(ReferenceData!$AI$85),"",ReferenceData!$AI$85),"")</f>
        <v/>
      </c>
      <c r="AJ85" t="str">
        <f ca="1">IFERROR(IF(0=LEN(ReferenceData!$AJ$85),"",ReferenceData!$AJ$85),"")</f>
        <v/>
      </c>
      <c r="AK85" t="str">
        <f ca="1">IFERROR(IF(0=LEN(ReferenceData!$AK$85),"",ReferenceData!$AK$85),"")</f>
        <v/>
      </c>
      <c r="AL85" t="str">
        <f ca="1">IFERROR(IF(0=LEN(ReferenceData!$AL$85),"",ReferenceData!$AL$85),"")</f>
        <v/>
      </c>
      <c r="AM85" t="str">
        <f ca="1">IFERROR(IF(0=LEN(ReferenceData!$AM$85),"",ReferenceData!$AM$85),"")</f>
        <v/>
      </c>
      <c r="AN85" t="str">
        <f ca="1">IFERROR(IF(0=LEN(ReferenceData!$AN$85),"",ReferenceData!$AN$85),"")</f>
        <v/>
      </c>
      <c r="AO85" t="str">
        <f ca="1">IFERROR(IF(0=LEN(ReferenceData!$AO$85),"",ReferenceData!$AO$85),"")</f>
        <v/>
      </c>
      <c r="AP85" t="str">
        <f ca="1">IFERROR(IF(0=LEN(ReferenceData!$AP$85),"",ReferenceData!$AP$85),"")</f>
        <v/>
      </c>
      <c r="AQ85" t="str">
        <f ca="1">IFERROR(IF(0=LEN(ReferenceData!$AQ$85),"",ReferenceData!$AQ$85),"")</f>
        <v/>
      </c>
      <c r="AR85" t="str">
        <f ca="1">IFERROR(IF(0=LEN(ReferenceData!$AR$85),"",ReferenceData!$AR$85),"")</f>
        <v/>
      </c>
      <c r="AS85" t="str">
        <f ca="1">IFERROR(IF(0=LEN(ReferenceData!$AS$85),"",ReferenceData!$AS$85),"")</f>
        <v/>
      </c>
      <c r="AT85" t="str">
        <f ca="1">IFERROR(IF(0=LEN(ReferenceData!$AT$85),"",ReferenceData!$AT$85),"")</f>
        <v/>
      </c>
      <c r="AU85" t="str">
        <f ca="1">IFERROR(IF(0=LEN(ReferenceData!$AU$85),"",ReferenceData!$AU$85),"")</f>
        <v/>
      </c>
      <c r="AV85" t="str">
        <f ca="1">IFERROR(IF(0=LEN(ReferenceData!$AV$85),"",ReferenceData!$AV$85),"")</f>
        <v/>
      </c>
      <c r="AW85" t="str">
        <f ca="1">IFERROR(IF(0=LEN(ReferenceData!$AW$85),"",ReferenceData!$AW$85),"")</f>
        <v/>
      </c>
      <c r="AX85" t="str">
        <f ca="1">IFERROR(IF(0=LEN(ReferenceData!$AX$85),"",ReferenceData!$AX$85),"")</f>
        <v/>
      </c>
      <c r="AY85" t="str">
        <f ca="1">IFERROR(IF(0=LEN(ReferenceData!$AY$85),"",ReferenceData!$AY$85),"")</f>
        <v/>
      </c>
      <c r="AZ85" t="str">
        <f ca="1">IFERROR(IF(0=LEN(ReferenceData!$AZ$85),"",ReferenceData!$AZ$85),"")</f>
        <v/>
      </c>
      <c r="BA85" t="str">
        <f ca="1">IFERROR(IF(0=LEN(ReferenceData!$BA$85),"",ReferenceData!$BA$85),"")</f>
        <v/>
      </c>
      <c r="BB85" t="str">
        <f ca="1">IFERROR(IF(0=LEN(ReferenceData!$BB$85),"",ReferenceData!$BB$85),"")</f>
        <v/>
      </c>
      <c r="BC85" t="str">
        <f ca="1">IFERROR(IF(0=LEN(ReferenceData!$BC$85),"",ReferenceData!$BC$85),"")</f>
        <v/>
      </c>
      <c r="BD85" t="str">
        <f ca="1">IFERROR(IF(0=LEN(ReferenceData!$BD$85),"",ReferenceData!$BD$85),"")</f>
        <v/>
      </c>
      <c r="BE85" t="str">
        <f ca="1">IFERROR(IF(0=LEN(ReferenceData!$BE$85),"",ReferenceData!$BE$85),"")</f>
        <v/>
      </c>
      <c r="BF85" t="str">
        <f ca="1">IFERROR(IF(0=LEN(ReferenceData!$BF$85),"",ReferenceData!$BF$85),"")</f>
        <v/>
      </c>
      <c r="BG85" t="str">
        <f ca="1">IFERROR(IF(0=LEN(ReferenceData!$BG$85),"",ReferenceData!$BG$85),"")</f>
        <v/>
      </c>
      <c r="BH85" t="str">
        <f ca="1">IFERROR(IF(0=LEN(ReferenceData!$BH$85),"",ReferenceData!$BH$85),"")</f>
        <v/>
      </c>
      <c r="BI85" t="str">
        <f ca="1">IFERROR(IF(0=LEN(ReferenceData!$BI$85),"",ReferenceData!$BI$85),"")</f>
        <v/>
      </c>
      <c r="BJ85" t="str">
        <f ca="1">IFERROR(IF(0=LEN(ReferenceData!$BJ$85),"",ReferenceData!$BJ$85),"")</f>
        <v/>
      </c>
      <c r="BK85" t="str">
        <f ca="1">IFERROR(IF(0=LEN(ReferenceData!$BK$85),"",ReferenceData!$BK$85),"")</f>
        <v/>
      </c>
      <c r="BL85" t="str">
        <f ca="1">IFERROR(IF(0=LEN(ReferenceData!$BL$85),"",ReferenceData!$BL$85),"")</f>
        <v/>
      </c>
      <c r="BM85" t="str">
        <f ca="1">IFERROR(IF(0=LEN(ReferenceData!$BM$85),"",ReferenceData!$BM$85),"")</f>
        <v/>
      </c>
    </row>
    <row r="86" spans="1:65" x14ac:dyDescent="0.25">
      <c r="A86" t="str">
        <f>IFERROR(IF(0=LEN(ReferenceData!$A$86),"",ReferenceData!$A$86),"")</f>
        <v xml:space="preserve">    AUDI AG</v>
      </c>
      <c r="B86" t="str">
        <f>IFERROR(IF(0=LEN(ReferenceData!$B$86),"",ReferenceData!$B$86),"")</f>
        <v>NSU GR Equity</v>
      </c>
      <c r="C86" t="str">
        <f>IFERROR(IF(0=LEN(ReferenceData!$C$86),"",ReferenceData!$C$86),"")</f>
        <v>EZ021</v>
      </c>
      <c r="D86" t="str">
        <f>IFERROR(IF(0=LEN(ReferenceData!$D$86),"",ReferenceData!$D$86),"")</f>
        <v>BEST_EPS_NXT_YR</v>
      </c>
      <c r="E86" t="str">
        <f>IFERROR(IF(0=LEN(ReferenceData!$E$86),"",ReferenceData!$E$86),"")</f>
        <v>Dynamic</v>
      </c>
      <c r="F86" t="str">
        <f ca="1">IFERROR(IF(0=LEN(ReferenceData!$F$86),"",ReferenceData!$F$86),"")</f>
        <v/>
      </c>
      <c r="G86" t="str">
        <f ca="1">IFERROR(IF(0=LEN(ReferenceData!$G$86),"",ReferenceData!$G$86),"")</f>
        <v/>
      </c>
      <c r="H86" t="str">
        <f ca="1">IFERROR(IF(0=LEN(ReferenceData!$H$86),"",ReferenceData!$H$86),"")</f>
        <v/>
      </c>
      <c r="I86" t="str">
        <f ca="1">IFERROR(IF(0=LEN(ReferenceData!$I$86),"",ReferenceData!$I$86),"")</f>
        <v/>
      </c>
      <c r="J86" t="str">
        <f ca="1">IFERROR(IF(0=LEN(ReferenceData!$J$86),"",ReferenceData!$J$86),"")</f>
        <v/>
      </c>
      <c r="K86" t="str">
        <f ca="1">IFERROR(IF(0=LEN(ReferenceData!$K$86),"",ReferenceData!$K$86),"")</f>
        <v/>
      </c>
      <c r="L86" t="str">
        <f ca="1">IFERROR(IF(0=LEN(ReferenceData!$L$86),"",ReferenceData!$L$86),"")</f>
        <v/>
      </c>
      <c r="M86" t="str">
        <f ca="1">IFERROR(IF(0=LEN(ReferenceData!$M$86),"",ReferenceData!$M$86),"")</f>
        <v/>
      </c>
      <c r="N86" t="str">
        <f ca="1">IFERROR(IF(0=LEN(ReferenceData!$N$86),"",ReferenceData!$N$86),"")</f>
        <v/>
      </c>
      <c r="O86" t="str">
        <f ca="1">IFERROR(IF(0=LEN(ReferenceData!$O$86),"",ReferenceData!$O$86),"")</f>
        <v/>
      </c>
      <c r="P86" t="str">
        <f ca="1">IFERROR(IF(0=LEN(ReferenceData!$P$86),"",ReferenceData!$P$86),"")</f>
        <v/>
      </c>
      <c r="Q86" t="str">
        <f ca="1">IFERROR(IF(0=LEN(ReferenceData!$Q$86),"",ReferenceData!$Q$86),"")</f>
        <v/>
      </c>
      <c r="R86" t="str">
        <f ca="1">IFERROR(IF(0=LEN(ReferenceData!$R$86),"",ReferenceData!$R$86),"")</f>
        <v/>
      </c>
      <c r="S86" t="str">
        <f ca="1">IFERROR(IF(0=LEN(ReferenceData!$S$86),"",ReferenceData!$S$86),"")</f>
        <v/>
      </c>
      <c r="T86" t="str">
        <f ca="1">IFERROR(IF(0=LEN(ReferenceData!$T$86),"",ReferenceData!$T$86),"")</f>
        <v/>
      </c>
      <c r="U86" t="str">
        <f ca="1">IFERROR(IF(0=LEN(ReferenceData!$U$86),"",ReferenceData!$U$86),"")</f>
        <v/>
      </c>
      <c r="V86" t="str">
        <f ca="1">IFERROR(IF(0=LEN(ReferenceData!$V$86),"",ReferenceData!$V$86),"")</f>
        <v/>
      </c>
      <c r="W86" t="str">
        <f ca="1">IFERROR(IF(0=LEN(ReferenceData!$W$86),"",ReferenceData!$W$86),"")</f>
        <v/>
      </c>
      <c r="X86" t="str">
        <f ca="1">IFERROR(IF(0=LEN(ReferenceData!$X$86),"",ReferenceData!$X$86),"")</f>
        <v/>
      </c>
      <c r="Y86" t="str">
        <f ca="1">IFERROR(IF(0=LEN(ReferenceData!$Y$86),"",ReferenceData!$Y$86),"")</f>
        <v/>
      </c>
      <c r="Z86" t="str">
        <f ca="1">IFERROR(IF(0=LEN(ReferenceData!$Z$86),"",ReferenceData!$Z$86),"")</f>
        <v/>
      </c>
      <c r="AA86" t="str">
        <f ca="1">IFERROR(IF(0=LEN(ReferenceData!$AA$86),"",ReferenceData!$AA$86),"")</f>
        <v/>
      </c>
      <c r="AB86" t="str">
        <f ca="1">IFERROR(IF(0=LEN(ReferenceData!$AB$86),"",ReferenceData!$AB$86),"")</f>
        <v/>
      </c>
      <c r="AC86" t="str">
        <f ca="1">IFERROR(IF(0=LEN(ReferenceData!$AC$86),"",ReferenceData!$AC$86),"")</f>
        <v/>
      </c>
      <c r="AD86" t="str">
        <f ca="1">IFERROR(IF(0=LEN(ReferenceData!$AD$86),"",ReferenceData!$AD$86),"")</f>
        <v/>
      </c>
      <c r="AE86" t="str">
        <f ca="1">IFERROR(IF(0=LEN(ReferenceData!$AE$86),"",ReferenceData!$AE$86),"")</f>
        <v/>
      </c>
      <c r="AF86" t="str">
        <f ca="1">IFERROR(IF(0=LEN(ReferenceData!$AF$86),"",ReferenceData!$AF$86),"")</f>
        <v/>
      </c>
      <c r="AG86" t="str">
        <f ca="1">IFERROR(IF(0=LEN(ReferenceData!$AG$86),"",ReferenceData!$AG$86),"")</f>
        <v/>
      </c>
      <c r="AH86" t="str">
        <f ca="1">IFERROR(IF(0=LEN(ReferenceData!$AH$86),"",ReferenceData!$AH$86),"")</f>
        <v/>
      </c>
      <c r="AI86" t="str">
        <f ca="1">IFERROR(IF(0=LEN(ReferenceData!$AI$86),"",ReferenceData!$AI$86),"")</f>
        <v/>
      </c>
      <c r="AJ86" t="str">
        <f ca="1">IFERROR(IF(0=LEN(ReferenceData!$AJ$86),"",ReferenceData!$AJ$86),"")</f>
        <v/>
      </c>
      <c r="AK86" t="str">
        <f ca="1">IFERROR(IF(0=LEN(ReferenceData!$AK$86),"",ReferenceData!$AK$86),"")</f>
        <v/>
      </c>
      <c r="AL86" t="str">
        <f ca="1">IFERROR(IF(0=LEN(ReferenceData!$AL$86),"",ReferenceData!$AL$86),"")</f>
        <v/>
      </c>
      <c r="AM86" t="str">
        <f ca="1">IFERROR(IF(0=LEN(ReferenceData!$AM$86),"",ReferenceData!$AM$86),"")</f>
        <v/>
      </c>
      <c r="AN86" t="str">
        <f ca="1">IFERROR(IF(0=LEN(ReferenceData!$AN$86),"",ReferenceData!$AN$86),"")</f>
        <v/>
      </c>
      <c r="AO86" t="str">
        <f ca="1">IFERROR(IF(0=LEN(ReferenceData!$AO$86),"",ReferenceData!$AO$86),"")</f>
        <v/>
      </c>
      <c r="AP86" t="str">
        <f ca="1">IFERROR(IF(0=LEN(ReferenceData!$AP$86),"",ReferenceData!$AP$86),"")</f>
        <v/>
      </c>
      <c r="AQ86" t="str">
        <f ca="1">IFERROR(IF(0=LEN(ReferenceData!$AQ$86),"",ReferenceData!$AQ$86),"")</f>
        <v/>
      </c>
      <c r="AR86" t="str">
        <f ca="1">IFERROR(IF(0=LEN(ReferenceData!$AR$86),"",ReferenceData!$AR$86),"")</f>
        <v/>
      </c>
      <c r="AS86" t="str">
        <f ca="1">IFERROR(IF(0=LEN(ReferenceData!$AS$86),"",ReferenceData!$AS$86),"")</f>
        <v/>
      </c>
      <c r="AT86" t="str">
        <f ca="1">IFERROR(IF(0=LEN(ReferenceData!$AT$86),"",ReferenceData!$AT$86),"")</f>
        <v/>
      </c>
      <c r="AU86" t="str">
        <f ca="1">IFERROR(IF(0=LEN(ReferenceData!$AU$86),"",ReferenceData!$AU$86),"")</f>
        <v/>
      </c>
      <c r="AV86" t="str">
        <f ca="1">IFERROR(IF(0=LEN(ReferenceData!$AV$86),"",ReferenceData!$AV$86),"")</f>
        <v/>
      </c>
      <c r="AW86" t="str">
        <f ca="1">IFERROR(IF(0=LEN(ReferenceData!$AW$86),"",ReferenceData!$AW$86),"")</f>
        <v/>
      </c>
      <c r="AX86" t="str">
        <f ca="1">IFERROR(IF(0=LEN(ReferenceData!$AX$86),"",ReferenceData!$AX$86),"")</f>
        <v/>
      </c>
      <c r="AY86" t="str">
        <f ca="1">IFERROR(IF(0=LEN(ReferenceData!$AY$86),"",ReferenceData!$AY$86),"")</f>
        <v/>
      </c>
      <c r="AZ86" t="str">
        <f ca="1">IFERROR(IF(0=LEN(ReferenceData!$AZ$86),"",ReferenceData!$AZ$86),"")</f>
        <v/>
      </c>
      <c r="BA86" t="str">
        <f ca="1">IFERROR(IF(0=LEN(ReferenceData!$BA$86),"",ReferenceData!$BA$86),"")</f>
        <v/>
      </c>
      <c r="BB86" t="str">
        <f ca="1">IFERROR(IF(0=LEN(ReferenceData!$BB$86),"",ReferenceData!$BB$86),"")</f>
        <v/>
      </c>
      <c r="BC86" t="str">
        <f ca="1">IFERROR(IF(0=LEN(ReferenceData!$BC$86),"",ReferenceData!$BC$86),"")</f>
        <v/>
      </c>
      <c r="BD86" t="str">
        <f ca="1">IFERROR(IF(0=LEN(ReferenceData!$BD$86),"",ReferenceData!$BD$86),"")</f>
        <v/>
      </c>
      <c r="BE86" t="str">
        <f ca="1">IFERROR(IF(0=LEN(ReferenceData!$BE$86),"",ReferenceData!$BE$86),"")</f>
        <v/>
      </c>
      <c r="BF86" t="str">
        <f ca="1">IFERROR(IF(0=LEN(ReferenceData!$BF$86),"",ReferenceData!$BF$86),"")</f>
        <v/>
      </c>
      <c r="BG86" t="str">
        <f ca="1">IFERROR(IF(0=LEN(ReferenceData!$BG$86),"",ReferenceData!$BG$86),"")</f>
        <v/>
      </c>
      <c r="BH86" t="str">
        <f ca="1">IFERROR(IF(0=LEN(ReferenceData!$BH$86),"",ReferenceData!$BH$86),"")</f>
        <v/>
      </c>
      <c r="BI86" t="str">
        <f ca="1">IFERROR(IF(0=LEN(ReferenceData!$BI$86),"",ReferenceData!$BI$86),"")</f>
        <v/>
      </c>
      <c r="BJ86" t="str">
        <f ca="1">IFERROR(IF(0=LEN(ReferenceData!$BJ$86),"",ReferenceData!$BJ$86),"")</f>
        <v/>
      </c>
      <c r="BK86" t="str">
        <f ca="1">IFERROR(IF(0=LEN(ReferenceData!$BK$86),"",ReferenceData!$BK$86),"")</f>
        <v/>
      </c>
      <c r="BL86" t="str">
        <f ca="1">IFERROR(IF(0=LEN(ReferenceData!$BL$86),"",ReferenceData!$BL$86),"")</f>
        <v/>
      </c>
      <c r="BM86" t="str">
        <f ca="1">IFERROR(IF(0=LEN(ReferenceData!$BM$86),"",ReferenceData!$BM$86),"")</f>
        <v/>
      </c>
    </row>
    <row r="87" spans="1:65" x14ac:dyDescent="0.25">
      <c r="A87" t="str">
        <f>IFERROR(IF(0=LEN(ReferenceData!$A$87),"",ReferenceData!$A$87),"")</f>
        <v xml:space="preserve">    Avtovaz PJSC</v>
      </c>
      <c r="B87" t="str">
        <f>IFERROR(IF(0=LEN(ReferenceData!$B$87),"",ReferenceData!$B$87),"")</f>
        <v>AVAZ RM Equity</v>
      </c>
      <c r="C87" t="str">
        <f>IFERROR(IF(0=LEN(ReferenceData!$C$87),"",ReferenceData!$C$87),"")</f>
        <v>EZ021</v>
      </c>
      <c r="D87" t="str">
        <f>IFERROR(IF(0=LEN(ReferenceData!$D$87),"",ReferenceData!$D$87),"")</f>
        <v>BEST_EPS_NXT_YR</v>
      </c>
      <c r="E87" t="str">
        <f>IFERROR(IF(0=LEN(ReferenceData!$E$87),"",ReferenceData!$E$87),"")</f>
        <v>Dynamic</v>
      </c>
      <c r="F87" t="str">
        <f ca="1">IFERROR(IF(0=LEN(ReferenceData!$F$87),"",ReferenceData!$F$87),"")</f>
        <v/>
      </c>
      <c r="G87" t="str">
        <f ca="1">IFERROR(IF(0=LEN(ReferenceData!$G$87),"",ReferenceData!$G$87),"")</f>
        <v/>
      </c>
      <c r="H87" t="str">
        <f ca="1">IFERROR(IF(0=LEN(ReferenceData!$H$87),"",ReferenceData!$H$87),"")</f>
        <v/>
      </c>
      <c r="I87" t="str">
        <f ca="1">IFERROR(IF(0=LEN(ReferenceData!$I$87),"",ReferenceData!$I$87),"")</f>
        <v/>
      </c>
      <c r="J87" t="str">
        <f ca="1">IFERROR(IF(0=LEN(ReferenceData!$J$87),"",ReferenceData!$J$87),"")</f>
        <v/>
      </c>
      <c r="K87" t="str">
        <f ca="1">IFERROR(IF(0=LEN(ReferenceData!$K$87),"",ReferenceData!$K$87),"")</f>
        <v/>
      </c>
      <c r="L87" t="str">
        <f ca="1">IFERROR(IF(0=LEN(ReferenceData!$L$87),"",ReferenceData!$L$87),"")</f>
        <v/>
      </c>
      <c r="M87" t="str">
        <f ca="1">IFERROR(IF(0=LEN(ReferenceData!$M$87),"",ReferenceData!$M$87),"")</f>
        <v/>
      </c>
      <c r="N87" t="str">
        <f ca="1">IFERROR(IF(0=LEN(ReferenceData!$N$87),"",ReferenceData!$N$87),"")</f>
        <v/>
      </c>
      <c r="O87" t="str">
        <f ca="1">IFERROR(IF(0=LEN(ReferenceData!$O$87),"",ReferenceData!$O$87),"")</f>
        <v/>
      </c>
      <c r="P87" t="str">
        <f ca="1">IFERROR(IF(0=LEN(ReferenceData!$P$87),"",ReferenceData!$P$87),"")</f>
        <v/>
      </c>
      <c r="Q87" t="str">
        <f ca="1">IFERROR(IF(0=LEN(ReferenceData!$Q$87),"",ReferenceData!$Q$87),"")</f>
        <v/>
      </c>
      <c r="R87">
        <f ca="1">IFERROR(IF(0=LEN(ReferenceData!$R$87),"",ReferenceData!$R$87),"")</f>
        <v>0.11899999999999999</v>
      </c>
      <c r="S87">
        <f ca="1">IFERROR(IF(0=LEN(ReferenceData!$S$87),"",ReferenceData!$S$87),"")</f>
        <v>0.125</v>
      </c>
      <c r="T87" t="str">
        <f ca="1">IFERROR(IF(0=LEN(ReferenceData!$T$87),"",ReferenceData!$T$87),"")</f>
        <v/>
      </c>
      <c r="U87" t="str">
        <f ca="1">IFERROR(IF(0=LEN(ReferenceData!$U$87),"",ReferenceData!$U$87),"")</f>
        <v/>
      </c>
      <c r="V87">
        <f ca="1">IFERROR(IF(0=LEN(ReferenceData!$V$87),"",ReferenceData!$V$87),"")</f>
        <v>0.1</v>
      </c>
      <c r="W87" t="str">
        <f ca="1">IFERROR(IF(0=LEN(ReferenceData!$W$87),"",ReferenceData!$W$87),"")</f>
        <v/>
      </c>
      <c r="X87" t="str">
        <f ca="1">IFERROR(IF(0=LEN(ReferenceData!$X$87),"",ReferenceData!$X$87),"")</f>
        <v/>
      </c>
      <c r="Y87" t="str">
        <f ca="1">IFERROR(IF(0=LEN(ReferenceData!$Y$87),"",ReferenceData!$Y$87),"")</f>
        <v/>
      </c>
      <c r="Z87" t="str">
        <f ca="1">IFERROR(IF(0=LEN(ReferenceData!$Z$87),"",ReferenceData!$Z$87),"")</f>
        <v/>
      </c>
      <c r="AA87" t="str">
        <f ca="1">IFERROR(IF(0=LEN(ReferenceData!$AA$87),"",ReferenceData!$AA$87),"")</f>
        <v/>
      </c>
      <c r="AB87" t="str">
        <f ca="1">IFERROR(IF(0=LEN(ReferenceData!$AB$87),"",ReferenceData!$AB$87),"")</f>
        <v/>
      </c>
      <c r="AC87" t="str">
        <f ca="1">IFERROR(IF(0=LEN(ReferenceData!$AC$87),"",ReferenceData!$AC$87),"")</f>
        <v/>
      </c>
      <c r="AD87" t="str">
        <f ca="1">IFERROR(IF(0=LEN(ReferenceData!$AD$87),"",ReferenceData!$AD$87),"")</f>
        <v/>
      </c>
      <c r="AE87" t="str">
        <f ca="1">IFERROR(IF(0=LEN(ReferenceData!$AE$87),"",ReferenceData!$AE$87),"")</f>
        <v/>
      </c>
      <c r="AF87" t="str">
        <f ca="1">IFERROR(IF(0=LEN(ReferenceData!$AF$87),"",ReferenceData!$AF$87),"")</f>
        <v/>
      </c>
      <c r="AG87" t="str">
        <f ca="1">IFERROR(IF(0=LEN(ReferenceData!$AG$87),"",ReferenceData!$AG$87),"")</f>
        <v/>
      </c>
      <c r="AH87" t="str">
        <f ca="1">IFERROR(IF(0=LEN(ReferenceData!$AH$87),"",ReferenceData!$AH$87),"")</f>
        <v/>
      </c>
      <c r="AI87" t="str">
        <f ca="1">IFERROR(IF(0=LEN(ReferenceData!$AI$87),"",ReferenceData!$AI$87),"")</f>
        <v/>
      </c>
      <c r="AJ87" t="str">
        <f ca="1">IFERROR(IF(0=LEN(ReferenceData!$AJ$87),"",ReferenceData!$AJ$87),"")</f>
        <v/>
      </c>
      <c r="AK87" t="str">
        <f ca="1">IFERROR(IF(0=LEN(ReferenceData!$AK$87),"",ReferenceData!$AK$87),"")</f>
        <v/>
      </c>
      <c r="AL87" t="str">
        <f ca="1">IFERROR(IF(0=LEN(ReferenceData!$AL$87),"",ReferenceData!$AL$87),"")</f>
        <v/>
      </c>
      <c r="AM87" t="str">
        <f ca="1">IFERROR(IF(0=LEN(ReferenceData!$AM$87),"",ReferenceData!$AM$87),"")</f>
        <v/>
      </c>
      <c r="AN87" t="str">
        <f ca="1">IFERROR(IF(0=LEN(ReferenceData!$AN$87),"",ReferenceData!$AN$87),"")</f>
        <v/>
      </c>
      <c r="AO87" t="str">
        <f ca="1">IFERROR(IF(0=LEN(ReferenceData!$AO$87),"",ReferenceData!$AO$87),"")</f>
        <v/>
      </c>
      <c r="AP87" t="str">
        <f ca="1">IFERROR(IF(0=LEN(ReferenceData!$AP$87),"",ReferenceData!$AP$87),"")</f>
        <v/>
      </c>
      <c r="AQ87" t="str">
        <f ca="1">IFERROR(IF(0=LEN(ReferenceData!$AQ$87),"",ReferenceData!$AQ$87),"")</f>
        <v/>
      </c>
      <c r="AR87" t="str">
        <f ca="1">IFERROR(IF(0=LEN(ReferenceData!$AR$87),"",ReferenceData!$AR$87),"")</f>
        <v/>
      </c>
      <c r="AS87" t="str">
        <f ca="1">IFERROR(IF(0=LEN(ReferenceData!$AS$87),"",ReferenceData!$AS$87),"")</f>
        <v/>
      </c>
      <c r="AT87" t="str">
        <f ca="1">IFERROR(IF(0=LEN(ReferenceData!$AT$87),"",ReferenceData!$AT$87),"")</f>
        <v/>
      </c>
      <c r="AU87" t="str">
        <f ca="1">IFERROR(IF(0=LEN(ReferenceData!$AU$87),"",ReferenceData!$AU$87),"")</f>
        <v/>
      </c>
      <c r="AV87" t="str">
        <f ca="1">IFERROR(IF(0=LEN(ReferenceData!$AV$87),"",ReferenceData!$AV$87),"")</f>
        <v/>
      </c>
      <c r="AW87" t="str">
        <f ca="1">IFERROR(IF(0=LEN(ReferenceData!$AW$87),"",ReferenceData!$AW$87),"")</f>
        <v/>
      </c>
      <c r="AX87" t="str">
        <f ca="1">IFERROR(IF(0=LEN(ReferenceData!$AX$87),"",ReferenceData!$AX$87),"")</f>
        <v/>
      </c>
      <c r="AY87" t="str">
        <f ca="1">IFERROR(IF(0=LEN(ReferenceData!$AY$87),"",ReferenceData!$AY$87),"")</f>
        <v/>
      </c>
      <c r="AZ87" t="str">
        <f ca="1">IFERROR(IF(0=LEN(ReferenceData!$AZ$87),"",ReferenceData!$AZ$87),"")</f>
        <v/>
      </c>
      <c r="BA87" t="str">
        <f ca="1">IFERROR(IF(0=LEN(ReferenceData!$BA$87),"",ReferenceData!$BA$87),"")</f>
        <v/>
      </c>
      <c r="BB87" t="str">
        <f ca="1">IFERROR(IF(0=LEN(ReferenceData!$BB$87),"",ReferenceData!$BB$87),"")</f>
        <v/>
      </c>
      <c r="BC87" t="str">
        <f ca="1">IFERROR(IF(0=LEN(ReferenceData!$BC$87),"",ReferenceData!$BC$87),"")</f>
        <v/>
      </c>
      <c r="BD87" t="str">
        <f ca="1">IFERROR(IF(0=LEN(ReferenceData!$BD$87),"",ReferenceData!$BD$87),"")</f>
        <v/>
      </c>
      <c r="BE87" t="str">
        <f ca="1">IFERROR(IF(0=LEN(ReferenceData!$BE$87),"",ReferenceData!$BE$87),"")</f>
        <v/>
      </c>
      <c r="BF87" t="str">
        <f ca="1">IFERROR(IF(0=LEN(ReferenceData!$BF$87),"",ReferenceData!$BF$87),"")</f>
        <v/>
      </c>
      <c r="BG87" t="str">
        <f ca="1">IFERROR(IF(0=LEN(ReferenceData!$BG$87),"",ReferenceData!$BG$87),"")</f>
        <v/>
      </c>
      <c r="BH87" t="str">
        <f ca="1">IFERROR(IF(0=LEN(ReferenceData!$BH$87),"",ReferenceData!$BH$87),"")</f>
        <v/>
      </c>
      <c r="BI87" t="str">
        <f ca="1">IFERROR(IF(0=LEN(ReferenceData!$BI$87),"",ReferenceData!$BI$87),"")</f>
        <v/>
      </c>
      <c r="BJ87" t="str">
        <f ca="1">IFERROR(IF(0=LEN(ReferenceData!$BJ$87),"",ReferenceData!$BJ$87),"")</f>
        <v/>
      </c>
      <c r="BK87" t="str">
        <f ca="1">IFERROR(IF(0=LEN(ReferenceData!$BK$87),"",ReferenceData!$BK$87),"")</f>
        <v/>
      </c>
      <c r="BL87" t="str">
        <f ca="1">IFERROR(IF(0=LEN(ReferenceData!$BL$87),"",ReferenceData!$BL$87),"")</f>
        <v/>
      </c>
      <c r="BM87" t="str">
        <f ca="1">IFERROR(IF(0=LEN(ReferenceData!$BM$87),"",ReferenceData!$BM$87),"")</f>
        <v/>
      </c>
    </row>
    <row r="88" spans="1:65" x14ac:dyDescent="0.25">
      <c r="A88" t="str">
        <f>IFERROR(IF(0=LEN(ReferenceData!$A$88),"",ReferenceData!$A$88),"")</f>
        <v xml:space="preserve">    Bayerische Motoren Werke AG</v>
      </c>
      <c r="B88" t="str">
        <f>IFERROR(IF(0=LEN(ReferenceData!$B$88),"",ReferenceData!$B$88),"")</f>
        <v>BMW GR Equity</v>
      </c>
      <c r="C88" t="str">
        <f>IFERROR(IF(0=LEN(ReferenceData!$C$88),"",ReferenceData!$C$88),"")</f>
        <v>EZ021</v>
      </c>
      <c r="D88" t="str">
        <f>IFERROR(IF(0=LEN(ReferenceData!$D$88),"",ReferenceData!$D$88),"")</f>
        <v>BEST_EPS_NXT_YR</v>
      </c>
      <c r="E88" t="str">
        <f>IFERROR(IF(0=LEN(ReferenceData!$E$88),"",ReferenceData!$E$88),"")</f>
        <v>Dynamic</v>
      </c>
      <c r="F88">
        <f ca="1">IFERROR(IF(0=LEN(ReferenceData!$F$88),"",ReferenceData!$F$88),"")</f>
        <v>11.869</v>
      </c>
      <c r="G88">
        <f ca="1">IFERROR(IF(0=LEN(ReferenceData!$G$88),"",ReferenceData!$G$88),"")</f>
        <v>12.381</v>
      </c>
      <c r="H88">
        <f ca="1">IFERROR(IF(0=LEN(ReferenceData!$H$88),"",ReferenceData!$H$88),"")</f>
        <v>12.872</v>
      </c>
      <c r="I88">
        <f ca="1">IFERROR(IF(0=LEN(ReferenceData!$I$88),"",ReferenceData!$I$88),"")</f>
        <v>13.664999999999999</v>
      </c>
      <c r="J88">
        <f ca="1">IFERROR(IF(0=LEN(ReferenceData!$J$88),"",ReferenceData!$J$88),"")</f>
        <v>14.632999999999999</v>
      </c>
      <c r="K88">
        <f ca="1">IFERROR(IF(0=LEN(ReferenceData!$K$88),"",ReferenceData!$K$88),"")</f>
        <v>13.6</v>
      </c>
      <c r="L88">
        <f ca="1">IFERROR(IF(0=LEN(ReferenceData!$L$88),"",ReferenceData!$L$88),"")</f>
        <v>13.269</v>
      </c>
      <c r="M88">
        <f ca="1">IFERROR(IF(0=LEN(ReferenceData!$M$88),"",ReferenceData!$M$88),"")</f>
        <v>12.497999999999999</v>
      </c>
      <c r="N88">
        <f ca="1">IFERROR(IF(0=LEN(ReferenceData!$N$88),"",ReferenceData!$N$88),"")</f>
        <v>11.476000000000001</v>
      </c>
      <c r="O88">
        <f ca="1">IFERROR(IF(0=LEN(ReferenceData!$O$88),"",ReferenceData!$O$88),"")</f>
        <v>9.7080000000000002</v>
      </c>
      <c r="P88">
        <f ca="1">IFERROR(IF(0=LEN(ReferenceData!$P$88),"",ReferenceData!$P$88),"")</f>
        <v>11.515000000000001</v>
      </c>
      <c r="Q88">
        <f ca="1">IFERROR(IF(0=LEN(ReferenceData!$Q$88),"",ReferenceData!$Q$88),"")</f>
        <v>9.766</v>
      </c>
      <c r="R88">
        <f ca="1">IFERROR(IF(0=LEN(ReferenceData!$R$88),"",ReferenceData!$R$88),"")</f>
        <v>11.476000000000001</v>
      </c>
      <c r="S88">
        <f ca="1">IFERROR(IF(0=LEN(ReferenceData!$S$88),"",ReferenceData!$S$88),"")</f>
        <v>11.05</v>
      </c>
      <c r="T88">
        <f ca="1">IFERROR(IF(0=LEN(ReferenceData!$T$88),"",ReferenceData!$T$88),"")</f>
        <v>11.757999999999999</v>
      </c>
      <c r="U88">
        <f ca="1">IFERROR(IF(0=LEN(ReferenceData!$U$88),"",ReferenceData!$U$88),"")</f>
        <v>11.766</v>
      </c>
      <c r="V88">
        <f ca="1">IFERROR(IF(0=LEN(ReferenceData!$V$88),"",ReferenceData!$V$88),"")</f>
        <v>10.487</v>
      </c>
      <c r="W88" t="str">
        <f ca="1">IFERROR(IF(0=LEN(ReferenceData!$W$88),"",ReferenceData!$W$88),"")</f>
        <v/>
      </c>
      <c r="X88" t="str">
        <f ca="1">IFERROR(IF(0=LEN(ReferenceData!$X$88),"",ReferenceData!$X$88),"")</f>
        <v/>
      </c>
      <c r="Y88" t="str">
        <f ca="1">IFERROR(IF(0=LEN(ReferenceData!$Y$88),"",ReferenceData!$Y$88),"")</f>
        <v/>
      </c>
      <c r="Z88" t="str">
        <f ca="1">IFERROR(IF(0=LEN(ReferenceData!$Z$88),"",ReferenceData!$Z$88),"")</f>
        <v/>
      </c>
      <c r="AA88" t="str">
        <f ca="1">IFERROR(IF(0=LEN(ReferenceData!$AA$88),"",ReferenceData!$AA$88),"")</f>
        <v/>
      </c>
      <c r="AB88" t="str">
        <f ca="1">IFERROR(IF(0=LEN(ReferenceData!$AB$88),"",ReferenceData!$AB$88),"")</f>
        <v/>
      </c>
      <c r="AC88" t="str">
        <f ca="1">IFERROR(IF(0=LEN(ReferenceData!$AC$88),"",ReferenceData!$AC$88),"")</f>
        <v/>
      </c>
      <c r="AD88" t="str">
        <f ca="1">IFERROR(IF(0=LEN(ReferenceData!$AD$88),"",ReferenceData!$AD$88),"")</f>
        <v/>
      </c>
      <c r="AE88" t="str">
        <f ca="1">IFERROR(IF(0=LEN(ReferenceData!$AE$88),"",ReferenceData!$AE$88),"")</f>
        <v/>
      </c>
      <c r="AF88" t="str">
        <f ca="1">IFERROR(IF(0=LEN(ReferenceData!$AF$88),"",ReferenceData!$AF$88),"")</f>
        <v/>
      </c>
      <c r="AG88" t="str">
        <f ca="1">IFERROR(IF(0=LEN(ReferenceData!$AG$88),"",ReferenceData!$AG$88),"")</f>
        <v/>
      </c>
      <c r="AH88" t="str">
        <f ca="1">IFERROR(IF(0=LEN(ReferenceData!$AH$88),"",ReferenceData!$AH$88),"")</f>
        <v/>
      </c>
      <c r="AI88" t="str">
        <f ca="1">IFERROR(IF(0=LEN(ReferenceData!$AI$88),"",ReferenceData!$AI$88),"")</f>
        <v/>
      </c>
      <c r="AJ88" t="str">
        <f ca="1">IFERROR(IF(0=LEN(ReferenceData!$AJ$88),"",ReferenceData!$AJ$88),"")</f>
        <v/>
      </c>
      <c r="AK88" t="str">
        <f ca="1">IFERROR(IF(0=LEN(ReferenceData!$AK$88),"",ReferenceData!$AK$88),"")</f>
        <v/>
      </c>
      <c r="AL88" t="str">
        <f ca="1">IFERROR(IF(0=LEN(ReferenceData!$AL$88),"",ReferenceData!$AL$88),"")</f>
        <v/>
      </c>
      <c r="AM88" t="str">
        <f ca="1">IFERROR(IF(0=LEN(ReferenceData!$AM$88),"",ReferenceData!$AM$88),"")</f>
        <v/>
      </c>
      <c r="AN88" t="str">
        <f ca="1">IFERROR(IF(0=LEN(ReferenceData!$AN$88),"",ReferenceData!$AN$88),"")</f>
        <v/>
      </c>
      <c r="AO88" t="str">
        <f ca="1">IFERROR(IF(0=LEN(ReferenceData!$AO$88),"",ReferenceData!$AO$88),"")</f>
        <v/>
      </c>
      <c r="AP88" t="str">
        <f ca="1">IFERROR(IF(0=LEN(ReferenceData!$AP$88),"",ReferenceData!$AP$88),"")</f>
        <v/>
      </c>
      <c r="AQ88" t="str">
        <f ca="1">IFERROR(IF(0=LEN(ReferenceData!$AQ$88),"",ReferenceData!$AQ$88),"")</f>
        <v/>
      </c>
      <c r="AR88" t="str">
        <f ca="1">IFERROR(IF(0=LEN(ReferenceData!$AR$88),"",ReferenceData!$AR$88),"")</f>
        <v/>
      </c>
      <c r="AS88" t="str">
        <f ca="1">IFERROR(IF(0=LEN(ReferenceData!$AS$88),"",ReferenceData!$AS$88),"")</f>
        <v/>
      </c>
      <c r="AT88" t="str">
        <f ca="1">IFERROR(IF(0=LEN(ReferenceData!$AT$88),"",ReferenceData!$AT$88),"")</f>
        <v/>
      </c>
      <c r="AU88" t="str">
        <f ca="1">IFERROR(IF(0=LEN(ReferenceData!$AU$88),"",ReferenceData!$AU$88),"")</f>
        <v/>
      </c>
      <c r="AV88" t="str">
        <f ca="1">IFERROR(IF(0=LEN(ReferenceData!$AV$88),"",ReferenceData!$AV$88),"")</f>
        <v/>
      </c>
      <c r="AW88" t="str">
        <f ca="1">IFERROR(IF(0=LEN(ReferenceData!$AW$88),"",ReferenceData!$AW$88),"")</f>
        <v/>
      </c>
      <c r="AX88" t="str">
        <f ca="1">IFERROR(IF(0=LEN(ReferenceData!$AX$88),"",ReferenceData!$AX$88),"")</f>
        <v/>
      </c>
      <c r="AY88" t="str">
        <f ca="1">IFERROR(IF(0=LEN(ReferenceData!$AY$88),"",ReferenceData!$AY$88),"")</f>
        <v/>
      </c>
      <c r="AZ88" t="str">
        <f ca="1">IFERROR(IF(0=LEN(ReferenceData!$AZ$88),"",ReferenceData!$AZ$88),"")</f>
        <v/>
      </c>
      <c r="BA88" t="str">
        <f ca="1">IFERROR(IF(0=LEN(ReferenceData!$BA$88),"",ReferenceData!$BA$88),"")</f>
        <v/>
      </c>
      <c r="BB88" t="str">
        <f ca="1">IFERROR(IF(0=LEN(ReferenceData!$BB$88),"",ReferenceData!$BB$88),"")</f>
        <v/>
      </c>
      <c r="BC88" t="str">
        <f ca="1">IFERROR(IF(0=LEN(ReferenceData!$BC$88),"",ReferenceData!$BC$88),"")</f>
        <v/>
      </c>
      <c r="BD88" t="str">
        <f ca="1">IFERROR(IF(0=LEN(ReferenceData!$BD$88),"",ReferenceData!$BD$88),"")</f>
        <v/>
      </c>
      <c r="BE88" t="str">
        <f ca="1">IFERROR(IF(0=LEN(ReferenceData!$BE$88),"",ReferenceData!$BE$88),"")</f>
        <v/>
      </c>
      <c r="BF88" t="str">
        <f ca="1">IFERROR(IF(0=LEN(ReferenceData!$BF$88),"",ReferenceData!$BF$88),"")</f>
        <v/>
      </c>
      <c r="BG88" t="str">
        <f ca="1">IFERROR(IF(0=LEN(ReferenceData!$BG$88),"",ReferenceData!$BG$88),"")</f>
        <v/>
      </c>
      <c r="BH88" t="str">
        <f ca="1">IFERROR(IF(0=LEN(ReferenceData!$BH$88),"",ReferenceData!$BH$88),"")</f>
        <v/>
      </c>
      <c r="BI88" t="str">
        <f ca="1">IFERROR(IF(0=LEN(ReferenceData!$BI$88),"",ReferenceData!$BI$88),"")</f>
        <v/>
      </c>
      <c r="BJ88" t="str">
        <f ca="1">IFERROR(IF(0=LEN(ReferenceData!$BJ$88),"",ReferenceData!$BJ$88),"")</f>
        <v/>
      </c>
      <c r="BK88" t="str">
        <f ca="1">IFERROR(IF(0=LEN(ReferenceData!$BK$88),"",ReferenceData!$BK$88),"")</f>
        <v/>
      </c>
      <c r="BL88" t="str">
        <f ca="1">IFERROR(IF(0=LEN(ReferenceData!$BL$88),"",ReferenceData!$BL$88),"")</f>
        <v/>
      </c>
      <c r="BM88" t="str">
        <f ca="1">IFERROR(IF(0=LEN(ReferenceData!$BM$88),"",ReferenceData!$BM$88),"")</f>
        <v/>
      </c>
    </row>
    <row r="89" spans="1:65" x14ac:dyDescent="0.25">
      <c r="A89" t="str">
        <f>IFERROR(IF(0=LEN(ReferenceData!$A$89),"",ReferenceData!$A$89),"")</f>
        <v xml:space="preserve">    Brilliance China Automotive Holdings Ltd</v>
      </c>
      <c r="B89" t="str">
        <f>IFERROR(IF(0=LEN(ReferenceData!$B$89),"",ReferenceData!$B$89),"")</f>
        <v>1114 HK Equity</v>
      </c>
      <c r="C89" t="str">
        <f>IFERROR(IF(0=LEN(ReferenceData!$C$89),"",ReferenceData!$C$89),"")</f>
        <v>EZ021</v>
      </c>
      <c r="D89" t="str">
        <f>IFERROR(IF(0=LEN(ReferenceData!$D$89),"",ReferenceData!$D$89),"")</f>
        <v>BEST_EPS_NXT_YR</v>
      </c>
      <c r="E89" t="str">
        <f>IFERROR(IF(0=LEN(ReferenceData!$E$89),"",ReferenceData!$E$89),"")</f>
        <v>Dynamic</v>
      </c>
      <c r="F89">
        <f ca="1">IFERROR(IF(0=LEN(ReferenceData!$F$89),"",ReferenceData!$F$89),"")</f>
        <v>0.221</v>
      </c>
      <c r="G89">
        <f ca="1">IFERROR(IF(0=LEN(ReferenceData!$G$89),"",ReferenceData!$G$89),"")</f>
        <v>0.22</v>
      </c>
      <c r="H89">
        <f ca="1">IFERROR(IF(0=LEN(ReferenceData!$H$89),"",ReferenceData!$H$89),"")</f>
        <v>0.23699999999999999</v>
      </c>
      <c r="I89">
        <f ca="1">IFERROR(IF(0=LEN(ReferenceData!$I$89),"",ReferenceData!$I$89),"")</f>
        <v>0.25800000000000001</v>
      </c>
      <c r="J89">
        <f ca="1">IFERROR(IF(0=LEN(ReferenceData!$J$89),"",ReferenceData!$J$89),"")</f>
        <v>0.28799999999999998</v>
      </c>
      <c r="K89">
        <f ca="1">IFERROR(IF(0=LEN(ReferenceData!$K$89),"",ReferenceData!$K$89),"")</f>
        <v>0.29599999999999999</v>
      </c>
      <c r="L89">
        <f ca="1">IFERROR(IF(0=LEN(ReferenceData!$L$89),"",ReferenceData!$L$89),"")</f>
        <v>0.28899999999999998</v>
      </c>
      <c r="M89">
        <f ca="1">IFERROR(IF(0=LEN(ReferenceData!$M$89),"",ReferenceData!$M$89),"")</f>
        <v>0.22800000000000001</v>
      </c>
      <c r="N89">
        <f ca="1">IFERROR(IF(0=LEN(ReferenceData!$N$89),"",ReferenceData!$N$89),"")</f>
        <v>0.224</v>
      </c>
      <c r="O89">
        <f ca="1">IFERROR(IF(0=LEN(ReferenceData!$O$89),"",ReferenceData!$O$89),"")</f>
        <v>0.19600000000000001</v>
      </c>
      <c r="P89" t="str">
        <f ca="1">IFERROR(IF(0=LEN(ReferenceData!$P$89),"",ReferenceData!$P$89),"")</f>
        <v/>
      </c>
      <c r="Q89" t="str">
        <f ca="1">IFERROR(IF(0=LEN(ReferenceData!$Q$89),"",ReferenceData!$Q$89),"")</f>
        <v/>
      </c>
      <c r="R89" t="str">
        <f ca="1">IFERROR(IF(0=LEN(ReferenceData!$R$89),"",ReferenceData!$R$89),"")</f>
        <v/>
      </c>
      <c r="S89" t="str">
        <f ca="1">IFERROR(IF(0=LEN(ReferenceData!$S$89),"",ReferenceData!$S$89),"")</f>
        <v/>
      </c>
      <c r="T89" t="str">
        <f ca="1">IFERROR(IF(0=LEN(ReferenceData!$T$89),"",ReferenceData!$T$89),"")</f>
        <v/>
      </c>
      <c r="U89" t="str">
        <f ca="1">IFERROR(IF(0=LEN(ReferenceData!$U$89),"",ReferenceData!$U$89),"")</f>
        <v/>
      </c>
      <c r="V89" t="str">
        <f ca="1">IFERROR(IF(0=LEN(ReferenceData!$V$89),"",ReferenceData!$V$89),"")</f>
        <v/>
      </c>
      <c r="W89" t="str">
        <f ca="1">IFERROR(IF(0=LEN(ReferenceData!$W$89),"",ReferenceData!$W$89),"")</f>
        <v/>
      </c>
      <c r="X89" t="str">
        <f ca="1">IFERROR(IF(0=LEN(ReferenceData!$X$89),"",ReferenceData!$X$89),"")</f>
        <v/>
      </c>
      <c r="Y89" t="str">
        <f ca="1">IFERROR(IF(0=LEN(ReferenceData!$Y$89),"",ReferenceData!$Y$89),"")</f>
        <v/>
      </c>
      <c r="Z89" t="str">
        <f ca="1">IFERROR(IF(0=LEN(ReferenceData!$Z$89),"",ReferenceData!$Z$89),"")</f>
        <v/>
      </c>
      <c r="AA89" t="str">
        <f ca="1">IFERROR(IF(0=LEN(ReferenceData!$AA$89),"",ReferenceData!$AA$89),"")</f>
        <v/>
      </c>
      <c r="AB89" t="str">
        <f ca="1">IFERROR(IF(0=LEN(ReferenceData!$AB$89),"",ReferenceData!$AB$89),"")</f>
        <v/>
      </c>
      <c r="AC89" t="str">
        <f ca="1">IFERROR(IF(0=LEN(ReferenceData!$AC$89),"",ReferenceData!$AC$89),"")</f>
        <v/>
      </c>
      <c r="AD89" t="str">
        <f ca="1">IFERROR(IF(0=LEN(ReferenceData!$AD$89),"",ReferenceData!$AD$89),"")</f>
        <v/>
      </c>
      <c r="AE89" t="str">
        <f ca="1">IFERROR(IF(0=LEN(ReferenceData!$AE$89),"",ReferenceData!$AE$89),"")</f>
        <v/>
      </c>
      <c r="AF89" t="str">
        <f ca="1">IFERROR(IF(0=LEN(ReferenceData!$AF$89),"",ReferenceData!$AF$89),"")</f>
        <v/>
      </c>
      <c r="AG89" t="str">
        <f ca="1">IFERROR(IF(0=LEN(ReferenceData!$AG$89),"",ReferenceData!$AG$89),"")</f>
        <v/>
      </c>
      <c r="AH89" t="str">
        <f ca="1">IFERROR(IF(0=LEN(ReferenceData!$AH$89),"",ReferenceData!$AH$89),"")</f>
        <v/>
      </c>
      <c r="AI89" t="str">
        <f ca="1">IFERROR(IF(0=LEN(ReferenceData!$AI$89),"",ReferenceData!$AI$89),"")</f>
        <v/>
      </c>
      <c r="AJ89" t="str">
        <f ca="1">IFERROR(IF(0=LEN(ReferenceData!$AJ$89),"",ReferenceData!$AJ$89),"")</f>
        <v/>
      </c>
      <c r="AK89" t="str">
        <f ca="1">IFERROR(IF(0=LEN(ReferenceData!$AK$89),"",ReferenceData!$AK$89),"")</f>
        <v/>
      </c>
      <c r="AL89" t="str">
        <f ca="1">IFERROR(IF(0=LEN(ReferenceData!$AL$89),"",ReferenceData!$AL$89),"")</f>
        <v/>
      </c>
      <c r="AM89" t="str">
        <f ca="1">IFERROR(IF(0=LEN(ReferenceData!$AM$89),"",ReferenceData!$AM$89),"")</f>
        <v/>
      </c>
      <c r="AN89" t="str">
        <f ca="1">IFERROR(IF(0=LEN(ReferenceData!$AN$89),"",ReferenceData!$AN$89),"")</f>
        <v/>
      </c>
      <c r="AO89" t="str">
        <f ca="1">IFERROR(IF(0=LEN(ReferenceData!$AO$89),"",ReferenceData!$AO$89),"")</f>
        <v/>
      </c>
      <c r="AP89" t="str">
        <f ca="1">IFERROR(IF(0=LEN(ReferenceData!$AP$89),"",ReferenceData!$AP$89),"")</f>
        <v/>
      </c>
      <c r="AQ89" t="str">
        <f ca="1">IFERROR(IF(0=LEN(ReferenceData!$AQ$89),"",ReferenceData!$AQ$89),"")</f>
        <v/>
      </c>
      <c r="AR89" t="str">
        <f ca="1">IFERROR(IF(0=LEN(ReferenceData!$AR$89),"",ReferenceData!$AR$89),"")</f>
        <v/>
      </c>
      <c r="AS89" t="str">
        <f ca="1">IFERROR(IF(0=LEN(ReferenceData!$AS$89),"",ReferenceData!$AS$89),"")</f>
        <v/>
      </c>
      <c r="AT89" t="str">
        <f ca="1">IFERROR(IF(0=LEN(ReferenceData!$AT$89),"",ReferenceData!$AT$89),"")</f>
        <v/>
      </c>
      <c r="AU89" t="str">
        <f ca="1">IFERROR(IF(0=LEN(ReferenceData!$AU$89),"",ReferenceData!$AU$89),"")</f>
        <v/>
      </c>
      <c r="AV89" t="str">
        <f ca="1">IFERROR(IF(0=LEN(ReferenceData!$AV$89),"",ReferenceData!$AV$89),"")</f>
        <v/>
      </c>
      <c r="AW89" t="str">
        <f ca="1">IFERROR(IF(0=LEN(ReferenceData!$AW$89),"",ReferenceData!$AW$89),"")</f>
        <v/>
      </c>
      <c r="AX89" t="str">
        <f ca="1">IFERROR(IF(0=LEN(ReferenceData!$AX$89),"",ReferenceData!$AX$89),"")</f>
        <v/>
      </c>
      <c r="AY89" t="str">
        <f ca="1">IFERROR(IF(0=LEN(ReferenceData!$AY$89),"",ReferenceData!$AY$89),"")</f>
        <v/>
      </c>
      <c r="AZ89" t="str">
        <f ca="1">IFERROR(IF(0=LEN(ReferenceData!$AZ$89),"",ReferenceData!$AZ$89),"")</f>
        <v/>
      </c>
      <c r="BA89" t="str">
        <f ca="1">IFERROR(IF(0=LEN(ReferenceData!$BA$89),"",ReferenceData!$BA$89),"")</f>
        <v/>
      </c>
      <c r="BB89" t="str">
        <f ca="1">IFERROR(IF(0=LEN(ReferenceData!$BB$89),"",ReferenceData!$BB$89),"")</f>
        <v/>
      </c>
      <c r="BC89" t="str">
        <f ca="1">IFERROR(IF(0=LEN(ReferenceData!$BC$89),"",ReferenceData!$BC$89),"")</f>
        <v/>
      </c>
      <c r="BD89" t="str">
        <f ca="1">IFERROR(IF(0=LEN(ReferenceData!$BD$89),"",ReferenceData!$BD$89),"")</f>
        <v/>
      </c>
      <c r="BE89" t="str">
        <f ca="1">IFERROR(IF(0=LEN(ReferenceData!$BE$89),"",ReferenceData!$BE$89),"")</f>
        <v/>
      </c>
      <c r="BF89" t="str">
        <f ca="1">IFERROR(IF(0=LEN(ReferenceData!$BF$89),"",ReferenceData!$BF$89),"")</f>
        <v/>
      </c>
      <c r="BG89" t="str">
        <f ca="1">IFERROR(IF(0=LEN(ReferenceData!$BG$89),"",ReferenceData!$BG$89),"")</f>
        <v/>
      </c>
      <c r="BH89" t="str">
        <f ca="1">IFERROR(IF(0=LEN(ReferenceData!$BH$89),"",ReferenceData!$BH$89),"")</f>
        <v/>
      </c>
      <c r="BI89" t="str">
        <f ca="1">IFERROR(IF(0=LEN(ReferenceData!$BI$89),"",ReferenceData!$BI$89),"")</f>
        <v/>
      </c>
      <c r="BJ89" t="str">
        <f ca="1">IFERROR(IF(0=LEN(ReferenceData!$BJ$89),"",ReferenceData!$BJ$89),"")</f>
        <v/>
      </c>
      <c r="BK89" t="str">
        <f ca="1">IFERROR(IF(0=LEN(ReferenceData!$BK$89),"",ReferenceData!$BK$89),"")</f>
        <v/>
      </c>
      <c r="BL89" t="str">
        <f ca="1">IFERROR(IF(0=LEN(ReferenceData!$BL$89),"",ReferenceData!$BL$89),"")</f>
        <v/>
      </c>
      <c r="BM89" t="str">
        <f ca="1">IFERROR(IF(0=LEN(ReferenceData!$BM$89),"",ReferenceData!$BM$89),"")</f>
        <v/>
      </c>
    </row>
    <row r="90" spans="1:65" x14ac:dyDescent="0.25">
      <c r="A90" t="str">
        <f>IFERROR(IF(0=LEN(ReferenceData!$A$90),"",ReferenceData!$A$90),"")</f>
        <v xml:space="preserve">    BYD Co Ltd</v>
      </c>
      <c r="B90" t="str">
        <f>IFERROR(IF(0=LEN(ReferenceData!$B$90),"",ReferenceData!$B$90),"")</f>
        <v>1211 HK Equity</v>
      </c>
      <c r="C90" t="str">
        <f>IFERROR(IF(0=LEN(ReferenceData!$C$90),"",ReferenceData!$C$90),"")</f>
        <v>EZ021</v>
      </c>
      <c r="D90" t="str">
        <f>IFERROR(IF(0=LEN(ReferenceData!$D$90),"",ReferenceData!$D$90),"")</f>
        <v>BEST_EPS_NXT_YR</v>
      </c>
      <c r="E90" t="str">
        <f>IFERROR(IF(0=LEN(ReferenceData!$E$90),"",ReferenceData!$E$90),"")</f>
        <v>Dynamic</v>
      </c>
      <c r="F90">
        <f ca="1">IFERROR(IF(0=LEN(ReferenceData!$F$90),"",ReferenceData!$F$90),"")</f>
        <v>0.22500000000000001</v>
      </c>
      <c r="G90">
        <f ca="1">IFERROR(IF(0=LEN(ReferenceData!$G$90),"",ReferenceData!$G$90),"")</f>
        <v>0.23100000000000001</v>
      </c>
      <c r="H90">
        <f ca="1">IFERROR(IF(0=LEN(ReferenceData!$H$90),"",ReferenceData!$H$90),"")</f>
        <v>0.251</v>
      </c>
      <c r="I90">
        <f ca="1">IFERROR(IF(0=LEN(ReferenceData!$I$90),"",ReferenceData!$I$90),"")</f>
        <v>0.318</v>
      </c>
      <c r="J90">
        <f ca="1">IFERROR(IF(0=LEN(ReferenceData!$J$90),"",ReferenceData!$J$90),"")</f>
        <v>0.41499999999999998</v>
      </c>
      <c r="K90">
        <f ca="1">IFERROR(IF(0=LEN(ReferenceData!$K$90),"",ReferenceData!$K$90),"")</f>
        <v>0.45100000000000001</v>
      </c>
      <c r="L90">
        <f ca="1">IFERROR(IF(0=LEN(ReferenceData!$L$90),"",ReferenceData!$L$90),"")</f>
        <v>0.44800000000000001</v>
      </c>
      <c r="M90">
        <f ca="1">IFERROR(IF(0=LEN(ReferenceData!$M$90),"",ReferenceData!$M$90),"")</f>
        <v>0.39800000000000002</v>
      </c>
      <c r="N90">
        <f ca="1">IFERROR(IF(0=LEN(ReferenceData!$N$90),"",ReferenceData!$N$90),"")</f>
        <v>0.38800000000000001</v>
      </c>
      <c r="O90" t="str">
        <f ca="1">IFERROR(IF(0=LEN(ReferenceData!$O$90),"",ReferenceData!$O$90),"")</f>
        <v/>
      </c>
      <c r="P90" t="str">
        <f ca="1">IFERROR(IF(0=LEN(ReferenceData!$P$90),"",ReferenceData!$P$90),"")</f>
        <v/>
      </c>
      <c r="Q90" t="str">
        <f ca="1">IFERROR(IF(0=LEN(ReferenceData!$Q$90),"",ReferenceData!$Q$90),"")</f>
        <v/>
      </c>
      <c r="R90" t="str">
        <f ca="1">IFERROR(IF(0=LEN(ReferenceData!$R$90),"",ReferenceData!$R$90),"")</f>
        <v/>
      </c>
      <c r="S90" t="str">
        <f ca="1">IFERROR(IF(0=LEN(ReferenceData!$S$90),"",ReferenceData!$S$90),"")</f>
        <v/>
      </c>
      <c r="T90" t="str">
        <f ca="1">IFERROR(IF(0=LEN(ReferenceData!$T$90),"",ReferenceData!$T$90),"")</f>
        <v/>
      </c>
      <c r="U90" t="str">
        <f ca="1">IFERROR(IF(0=LEN(ReferenceData!$U$90),"",ReferenceData!$U$90),"")</f>
        <v/>
      </c>
      <c r="V90" t="str">
        <f ca="1">IFERROR(IF(0=LEN(ReferenceData!$V$90),"",ReferenceData!$V$90),"")</f>
        <v/>
      </c>
      <c r="W90" t="str">
        <f ca="1">IFERROR(IF(0=LEN(ReferenceData!$W$90),"",ReferenceData!$W$90),"")</f>
        <v/>
      </c>
      <c r="X90" t="str">
        <f ca="1">IFERROR(IF(0=LEN(ReferenceData!$X$90),"",ReferenceData!$X$90),"")</f>
        <v/>
      </c>
      <c r="Y90" t="str">
        <f ca="1">IFERROR(IF(0=LEN(ReferenceData!$Y$90),"",ReferenceData!$Y$90),"")</f>
        <v/>
      </c>
      <c r="Z90" t="str">
        <f ca="1">IFERROR(IF(0=LEN(ReferenceData!$Z$90),"",ReferenceData!$Z$90),"")</f>
        <v/>
      </c>
      <c r="AA90" t="str">
        <f ca="1">IFERROR(IF(0=LEN(ReferenceData!$AA$90),"",ReferenceData!$AA$90),"")</f>
        <v/>
      </c>
      <c r="AB90" t="str">
        <f ca="1">IFERROR(IF(0=LEN(ReferenceData!$AB$90),"",ReferenceData!$AB$90),"")</f>
        <v/>
      </c>
      <c r="AC90" t="str">
        <f ca="1">IFERROR(IF(0=LEN(ReferenceData!$AC$90),"",ReferenceData!$AC$90),"")</f>
        <v/>
      </c>
      <c r="AD90" t="str">
        <f ca="1">IFERROR(IF(0=LEN(ReferenceData!$AD$90),"",ReferenceData!$AD$90),"")</f>
        <v/>
      </c>
      <c r="AE90" t="str">
        <f ca="1">IFERROR(IF(0=LEN(ReferenceData!$AE$90),"",ReferenceData!$AE$90),"")</f>
        <v/>
      </c>
      <c r="AF90" t="str">
        <f ca="1">IFERROR(IF(0=LEN(ReferenceData!$AF$90),"",ReferenceData!$AF$90),"")</f>
        <v/>
      </c>
      <c r="AG90" t="str">
        <f ca="1">IFERROR(IF(0=LEN(ReferenceData!$AG$90),"",ReferenceData!$AG$90),"")</f>
        <v/>
      </c>
      <c r="AH90" t="str">
        <f ca="1">IFERROR(IF(0=LEN(ReferenceData!$AH$90),"",ReferenceData!$AH$90),"")</f>
        <v/>
      </c>
      <c r="AI90" t="str">
        <f ca="1">IFERROR(IF(0=LEN(ReferenceData!$AI$90),"",ReferenceData!$AI$90),"")</f>
        <v/>
      </c>
      <c r="AJ90" t="str">
        <f ca="1">IFERROR(IF(0=LEN(ReferenceData!$AJ$90),"",ReferenceData!$AJ$90),"")</f>
        <v/>
      </c>
      <c r="AK90" t="str">
        <f ca="1">IFERROR(IF(0=LEN(ReferenceData!$AK$90),"",ReferenceData!$AK$90),"")</f>
        <v/>
      </c>
      <c r="AL90" t="str">
        <f ca="1">IFERROR(IF(0=LEN(ReferenceData!$AL$90),"",ReferenceData!$AL$90),"")</f>
        <v/>
      </c>
      <c r="AM90" t="str">
        <f ca="1">IFERROR(IF(0=LEN(ReferenceData!$AM$90),"",ReferenceData!$AM$90),"")</f>
        <v/>
      </c>
      <c r="AN90" t="str">
        <f ca="1">IFERROR(IF(0=LEN(ReferenceData!$AN$90),"",ReferenceData!$AN$90),"")</f>
        <v/>
      </c>
      <c r="AO90" t="str">
        <f ca="1">IFERROR(IF(0=LEN(ReferenceData!$AO$90),"",ReferenceData!$AO$90),"")</f>
        <v/>
      </c>
      <c r="AP90" t="str">
        <f ca="1">IFERROR(IF(0=LEN(ReferenceData!$AP$90),"",ReferenceData!$AP$90),"")</f>
        <v/>
      </c>
      <c r="AQ90" t="str">
        <f ca="1">IFERROR(IF(0=LEN(ReferenceData!$AQ$90),"",ReferenceData!$AQ$90),"")</f>
        <v/>
      </c>
      <c r="AR90" t="str">
        <f ca="1">IFERROR(IF(0=LEN(ReferenceData!$AR$90),"",ReferenceData!$AR$90),"")</f>
        <v/>
      </c>
      <c r="AS90" t="str">
        <f ca="1">IFERROR(IF(0=LEN(ReferenceData!$AS$90),"",ReferenceData!$AS$90),"")</f>
        <v/>
      </c>
      <c r="AT90" t="str">
        <f ca="1">IFERROR(IF(0=LEN(ReferenceData!$AT$90),"",ReferenceData!$AT$90),"")</f>
        <v/>
      </c>
      <c r="AU90" t="str">
        <f ca="1">IFERROR(IF(0=LEN(ReferenceData!$AU$90),"",ReferenceData!$AU$90),"")</f>
        <v/>
      </c>
      <c r="AV90" t="str">
        <f ca="1">IFERROR(IF(0=LEN(ReferenceData!$AV$90),"",ReferenceData!$AV$90),"")</f>
        <v/>
      </c>
      <c r="AW90" t="str">
        <f ca="1">IFERROR(IF(0=LEN(ReferenceData!$AW$90),"",ReferenceData!$AW$90),"")</f>
        <v/>
      </c>
      <c r="AX90" t="str">
        <f ca="1">IFERROR(IF(0=LEN(ReferenceData!$AX$90),"",ReferenceData!$AX$90),"")</f>
        <v/>
      </c>
      <c r="AY90" t="str">
        <f ca="1">IFERROR(IF(0=LEN(ReferenceData!$AY$90),"",ReferenceData!$AY$90),"")</f>
        <v/>
      </c>
      <c r="AZ90" t="str">
        <f ca="1">IFERROR(IF(0=LEN(ReferenceData!$AZ$90),"",ReferenceData!$AZ$90),"")</f>
        <v/>
      </c>
      <c r="BA90" t="str">
        <f ca="1">IFERROR(IF(0=LEN(ReferenceData!$BA$90),"",ReferenceData!$BA$90),"")</f>
        <v/>
      </c>
      <c r="BB90" t="str">
        <f ca="1">IFERROR(IF(0=LEN(ReferenceData!$BB$90),"",ReferenceData!$BB$90),"")</f>
        <v/>
      </c>
      <c r="BC90" t="str">
        <f ca="1">IFERROR(IF(0=LEN(ReferenceData!$BC$90),"",ReferenceData!$BC$90),"")</f>
        <v/>
      </c>
      <c r="BD90" t="str">
        <f ca="1">IFERROR(IF(0=LEN(ReferenceData!$BD$90),"",ReferenceData!$BD$90),"")</f>
        <v/>
      </c>
      <c r="BE90" t="str">
        <f ca="1">IFERROR(IF(0=LEN(ReferenceData!$BE$90),"",ReferenceData!$BE$90),"")</f>
        <v/>
      </c>
      <c r="BF90" t="str">
        <f ca="1">IFERROR(IF(0=LEN(ReferenceData!$BF$90),"",ReferenceData!$BF$90),"")</f>
        <v/>
      </c>
      <c r="BG90" t="str">
        <f ca="1">IFERROR(IF(0=LEN(ReferenceData!$BG$90),"",ReferenceData!$BG$90),"")</f>
        <v/>
      </c>
      <c r="BH90" t="str">
        <f ca="1">IFERROR(IF(0=LEN(ReferenceData!$BH$90),"",ReferenceData!$BH$90),"")</f>
        <v/>
      </c>
      <c r="BI90" t="str">
        <f ca="1">IFERROR(IF(0=LEN(ReferenceData!$BI$90),"",ReferenceData!$BI$90),"")</f>
        <v/>
      </c>
      <c r="BJ90" t="str">
        <f ca="1">IFERROR(IF(0=LEN(ReferenceData!$BJ$90),"",ReferenceData!$BJ$90),"")</f>
        <v/>
      </c>
      <c r="BK90" t="str">
        <f ca="1">IFERROR(IF(0=LEN(ReferenceData!$BK$90),"",ReferenceData!$BK$90),"")</f>
        <v/>
      </c>
      <c r="BL90" t="str">
        <f ca="1">IFERROR(IF(0=LEN(ReferenceData!$BL$90),"",ReferenceData!$BL$90),"")</f>
        <v/>
      </c>
      <c r="BM90" t="str">
        <f ca="1">IFERROR(IF(0=LEN(ReferenceData!$BM$90),"",ReferenceData!$BM$90),"")</f>
        <v/>
      </c>
    </row>
    <row r="91" spans="1:65" x14ac:dyDescent="0.25">
      <c r="A91" t="str">
        <f>IFERROR(IF(0=LEN(ReferenceData!$A$91),"",ReferenceData!$A$91),"")</f>
        <v xml:space="preserve">    Chongqing Changan Automobile Co Ltd</v>
      </c>
      <c r="B91" t="str">
        <f>IFERROR(IF(0=LEN(ReferenceData!$B$91),"",ReferenceData!$B$91),"")</f>
        <v>200625 CH Equity</v>
      </c>
      <c r="C91" t="str">
        <f>IFERROR(IF(0=LEN(ReferenceData!$C$91),"",ReferenceData!$C$91),"")</f>
        <v>EZ021</v>
      </c>
      <c r="D91" t="str">
        <f>IFERROR(IF(0=LEN(ReferenceData!$D$91),"",ReferenceData!$D$91),"")</f>
        <v>BEST_EPS_NXT_YR</v>
      </c>
      <c r="E91" t="str">
        <f>IFERROR(IF(0=LEN(ReferenceData!$E$91),"",ReferenceData!$E$91),"")</f>
        <v>Dynamic</v>
      </c>
      <c r="F91">
        <f ca="1">IFERROR(IF(0=LEN(ReferenceData!$F$91),"",ReferenceData!$F$91),"")</f>
        <v>8.6999999999999994E-2</v>
      </c>
      <c r="G91">
        <f ca="1">IFERROR(IF(0=LEN(ReferenceData!$G$91),"",ReferenceData!$G$91),"")</f>
        <v>0.108</v>
      </c>
      <c r="H91">
        <f ca="1">IFERROR(IF(0=LEN(ReferenceData!$H$91),"",ReferenceData!$H$91),"")</f>
        <v>0.16600000000000001</v>
      </c>
      <c r="I91">
        <f ca="1">IFERROR(IF(0=LEN(ReferenceData!$I$91),"",ReferenceData!$I$91),"")</f>
        <v>0.23</v>
      </c>
      <c r="J91">
        <f ca="1">IFERROR(IF(0=LEN(ReferenceData!$J$91),"",ReferenceData!$J$91),"")</f>
        <v>0.318</v>
      </c>
      <c r="K91">
        <f ca="1">IFERROR(IF(0=LEN(ReferenceData!$K$91),"",ReferenceData!$K$91),"")</f>
        <v>0.30599999999999999</v>
      </c>
      <c r="L91">
        <f ca="1">IFERROR(IF(0=LEN(ReferenceData!$L$91),"",ReferenceData!$L$91),"")</f>
        <v>0.32600000000000001</v>
      </c>
      <c r="M91">
        <f ca="1">IFERROR(IF(0=LEN(ReferenceData!$M$91),"",ReferenceData!$M$91),"")</f>
        <v>0.35099999999999998</v>
      </c>
      <c r="N91">
        <f ca="1">IFERROR(IF(0=LEN(ReferenceData!$N$91),"",ReferenceData!$N$91),"")</f>
        <v>0.34</v>
      </c>
      <c r="O91">
        <f ca="1">IFERROR(IF(0=LEN(ReferenceData!$O$91),"",ReferenceData!$O$91),"")</f>
        <v>0.34100000000000003</v>
      </c>
      <c r="P91">
        <f ca="1">IFERROR(IF(0=LEN(ReferenceData!$P$91),"",ReferenceData!$P$91),"")</f>
        <v>0.435</v>
      </c>
      <c r="Q91" t="str">
        <f ca="1">IFERROR(IF(0=LEN(ReferenceData!$Q$91),"",ReferenceData!$Q$91),"")</f>
        <v/>
      </c>
      <c r="R91" t="str">
        <f ca="1">IFERROR(IF(0=LEN(ReferenceData!$R$91),"",ReferenceData!$R$91),"")</f>
        <v/>
      </c>
      <c r="S91" t="str">
        <f ca="1">IFERROR(IF(0=LEN(ReferenceData!$S$91),"",ReferenceData!$S$91),"")</f>
        <v/>
      </c>
      <c r="T91" t="str">
        <f ca="1">IFERROR(IF(0=LEN(ReferenceData!$T$91),"",ReferenceData!$T$91),"")</f>
        <v/>
      </c>
      <c r="U91" t="str">
        <f ca="1">IFERROR(IF(0=LEN(ReferenceData!$U$91),"",ReferenceData!$U$91),"")</f>
        <v/>
      </c>
      <c r="V91" t="str">
        <f ca="1">IFERROR(IF(0=LEN(ReferenceData!$V$91),"",ReferenceData!$V$91),"")</f>
        <v/>
      </c>
      <c r="W91" t="str">
        <f ca="1">IFERROR(IF(0=LEN(ReferenceData!$W$91),"",ReferenceData!$W$91),"")</f>
        <v/>
      </c>
      <c r="X91" t="str">
        <f ca="1">IFERROR(IF(0=LEN(ReferenceData!$X$91),"",ReferenceData!$X$91),"")</f>
        <v/>
      </c>
      <c r="Y91" t="str">
        <f ca="1">IFERROR(IF(0=LEN(ReferenceData!$Y$91),"",ReferenceData!$Y$91),"")</f>
        <v/>
      </c>
      <c r="Z91" t="str">
        <f ca="1">IFERROR(IF(0=LEN(ReferenceData!$Z$91),"",ReferenceData!$Z$91),"")</f>
        <v/>
      </c>
      <c r="AA91" t="str">
        <f ca="1">IFERROR(IF(0=LEN(ReferenceData!$AA$91),"",ReferenceData!$AA$91),"")</f>
        <v/>
      </c>
      <c r="AB91" t="str">
        <f ca="1">IFERROR(IF(0=LEN(ReferenceData!$AB$91),"",ReferenceData!$AB$91),"")</f>
        <v/>
      </c>
      <c r="AC91" t="str">
        <f ca="1">IFERROR(IF(0=LEN(ReferenceData!$AC$91),"",ReferenceData!$AC$91),"")</f>
        <v/>
      </c>
      <c r="AD91" t="str">
        <f ca="1">IFERROR(IF(0=LEN(ReferenceData!$AD$91),"",ReferenceData!$AD$91),"")</f>
        <v/>
      </c>
      <c r="AE91" t="str">
        <f ca="1">IFERROR(IF(0=LEN(ReferenceData!$AE$91),"",ReferenceData!$AE$91),"")</f>
        <v/>
      </c>
      <c r="AF91" t="str">
        <f ca="1">IFERROR(IF(0=LEN(ReferenceData!$AF$91),"",ReferenceData!$AF$91),"")</f>
        <v/>
      </c>
      <c r="AG91" t="str">
        <f ca="1">IFERROR(IF(0=LEN(ReferenceData!$AG$91),"",ReferenceData!$AG$91),"")</f>
        <v/>
      </c>
      <c r="AH91" t="str">
        <f ca="1">IFERROR(IF(0=LEN(ReferenceData!$AH$91),"",ReferenceData!$AH$91),"")</f>
        <v/>
      </c>
      <c r="AI91" t="str">
        <f ca="1">IFERROR(IF(0=LEN(ReferenceData!$AI$91),"",ReferenceData!$AI$91),"")</f>
        <v/>
      </c>
      <c r="AJ91" t="str">
        <f ca="1">IFERROR(IF(0=LEN(ReferenceData!$AJ$91),"",ReferenceData!$AJ$91),"")</f>
        <v/>
      </c>
      <c r="AK91" t="str">
        <f ca="1">IFERROR(IF(0=LEN(ReferenceData!$AK$91),"",ReferenceData!$AK$91),"")</f>
        <v/>
      </c>
      <c r="AL91" t="str">
        <f ca="1">IFERROR(IF(0=LEN(ReferenceData!$AL$91),"",ReferenceData!$AL$91),"")</f>
        <v/>
      </c>
      <c r="AM91" t="str">
        <f ca="1">IFERROR(IF(0=LEN(ReferenceData!$AM$91),"",ReferenceData!$AM$91),"")</f>
        <v/>
      </c>
      <c r="AN91" t="str">
        <f ca="1">IFERROR(IF(0=LEN(ReferenceData!$AN$91),"",ReferenceData!$AN$91),"")</f>
        <v/>
      </c>
      <c r="AO91" t="str">
        <f ca="1">IFERROR(IF(0=LEN(ReferenceData!$AO$91),"",ReferenceData!$AO$91),"")</f>
        <v/>
      </c>
      <c r="AP91" t="str">
        <f ca="1">IFERROR(IF(0=LEN(ReferenceData!$AP$91),"",ReferenceData!$AP$91),"")</f>
        <v/>
      </c>
      <c r="AQ91" t="str">
        <f ca="1">IFERROR(IF(0=LEN(ReferenceData!$AQ$91),"",ReferenceData!$AQ$91),"")</f>
        <v/>
      </c>
      <c r="AR91" t="str">
        <f ca="1">IFERROR(IF(0=LEN(ReferenceData!$AR$91),"",ReferenceData!$AR$91),"")</f>
        <v/>
      </c>
      <c r="AS91" t="str">
        <f ca="1">IFERROR(IF(0=LEN(ReferenceData!$AS$91),"",ReferenceData!$AS$91),"")</f>
        <v/>
      </c>
      <c r="AT91" t="str">
        <f ca="1">IFERROR(IF(0=LEN(ReferenceData!$AT$91),"",ReferenceData!$AT$91),"")</f>
        <v/>
      </c>
      <c r="AU91" t="str">
        <f ca="1">IFERROR(IF(0=LEN(ReferenceData!$AU$91),"",ReferenceData!$AU$91),"")</f>
        <v/>
      </c>
      <c r="AV91" t="str">
        <f ca="1">IFERROR(IF(0=LEN(ReferenceData!$AV$91),"",ReferenceData!$AV$91),"")</f>
        <v/>
      </c>
      <c r="AW91" t="str">
        <f ca="1">IFERROR(IF(0=LEN(ReferenceData!$AW$91),"",ReferenceData!$AW$91),"")</f>
        <v/>
      </c>
      <c r="AX91" t="str">
        <f ca="1">IFERROR(IF(0=LEN(ReferenceData!$AX$91),"",ReferenceData!$AX$91),"")</f>
        <v/>
      </c>
      <c r="AY91" t="str">
        <f ca="1">IFERROR(IF(0=LEN(ReferenceData!$AY$91),"",ReferenceData!$AY$91),"")</f>
        <v/>
      </c>
      <c r="AZ91" t="str">
        <f ca="1">IFERROR(IF(0=LEN(ReferenceData!$AZ$91),"",ReferenceData!$AZ$91),"")</f>
        <v/>
      </c>
      <c r="BA91" t="str">
        <f ca="1">IFERROR(IF(0=LEN(ReferenceData!$BA$91),"",ReferenceData!$BA$91),"")</f>
        <v/>
      </c>
      <c r="BB91" t="str">
        <f ca="1">IFERROR(IF(0=LEN(ReferenceData!$BB$91),"",ReferenceData!$BB$91),"")</f>
        <v/>
      </c>
      <c r="BC91" t="str">
        <f ca="1">IFERROR(IF(0=LEN(ReferenceData!$BC$91),"",ReferenceData!$BC$91),"")</f>
        <v/>
      </c>
      <c r="BD91" t="str">
        <f ca="1">IFERROR(IF(0=LEN(ReferenceData!$BD$91),"",ReferenceData!$BD$91),"")</f>
        <v/>
      </c>
      <c r="BE91" t="str">
        <f ca="1">IFERROR(IF(0=LEN(ReferenceData!$BE$91),"",ReferenceData!$BE$91),"")</f>
        <v/>
      </c>
      <c r="BF91" t="str">
        <f ca="1">IFERROR(IF(0=LEN(ReferenceData!$BF$91),"",ReferenceData!$BF$91),"")</f>
        <v/>
      </c>
      <c r="BG91" t="str">
        <f ca="1">IFERROR(IF(0=LEN(ReferenceData!$BG$91),"",ReferenceData!$BG$91),"")</f>
        <v/>
      </c>
      <c r="BH91" t="str">
        <f ca="1">IFERROR(IF(0=LEN(ReferenceData!$BH$91),"",ReferenceData!$BH$91),"")</f>
        <v/>
      </c>
      <c r="BI91" t="str">
        <f ca="1">IFERROR(IF(0=LEN(ReferenceData!$BI$91),"",ReferenceData!$BI$91),"")</f>
        <v/>
      </c>
      <c r="BJ91" t="str">
        <f ca="1">IFERROR(IF(0=LEN(ReferenceData!$BJ$91),"",ReferenceData!$BJ$91),"")</f>
        <v/>
      </c>
      <c r="BK91" t="str">
        <f ca="1">IFERROR(IF(0=LEN(ReferenceData!$BK$91),"",ReferenceData!$BK$91),"")</f>
        <v/>
      </c>
      <c r="BL91" t="str">
        <f ca="1">IFERROR(IF(0=LEN(ReferenceData!$BL$91),"",ReferenceData!$BL$91),"")</f>
        <v/>
      </c>
      <c r="BM91" t="str">
        <f ca="1">IFERROR(IF(0=LEN(ReferenceData!$BM$91),"",ReferenceData!$BM$91),"")</f>
        <v/>
      </c>
    </row>
    <row r="92" spans="1:65" x14ac:dyDescent="0.25">
      <c r="A92" t="str">
        <f>IFERROR(IF(0=LEN(ReferenceData!$A$92),"",ReferenceData!$A$92),"")</f>
        <v xml:space="preserve">    Daihatsu Motor Co Ltd</v>
      </c>
      <c r="B92" t="str">
        <f>IFERROR(IF(0=LEN(ReferenceData!$B$92),"",ReferenceData!$B$92),"")</f>
        <v>7262 JP Equity</v>
      </c>
      <c r="C92" t="str">
        <f>IFERROR(IF(0=LEN(ReferenceData!$C$92),"",ReferenceData!$C$92),"")</f>
        <v>EZ021</v>
      </c>
      <c r="D92" t="str">
        <f>IFERROR(IF(0=LEN(ReferenceData!$D$92),"",ReferenceData!$D$92),"")</f>
        <v>BEST_EPS_NXT_YR</v>
      </c>
      <c r="E92" t="str">
        <f>IFERROR(IF(0=LEN(ReferenceData!$E$92),"",ReferenceData!$E$92),"")</f>
        <v>Dynamic</v>
      </c>
      <c r="F92" t="str">
        <f ca="1">IFERROR(IF(0=LEN(ReferenceData!$F$92),"",ReferenceData!$F$92),"")</f>
        <v/>
      </c>
      <c r="G92" t="str">
        <f ca="1">IFERROR(IF(0=LEN(ReferenceData!$G$92),"",ReferenceData!$G$92),"")</f>
        <v/>
      </c>
      <c r="H92" t="str">
        <f ca="1">IFERROR(IF(0=LEN(ReferenceData!$H$92),"",ReferenceData!$H$92),"")</f>
        <v/>
      </c>
      <c r="I92" t="str">
        <f ca="1">IFERROR(IF(0=LEN(ReferenceData!$I$92),"",ReferenceData!$I$92),"")</f>
        <v/>
      </c>
      <c r="J92" t="str">
        <f ca="1">IFERROR(IF(0=LEN(ReferenceData!$J$92),"",ReferenceData!$J$92),"")</f>
        <v/>
      </c>
      <c r="K92" t="str">
        <f ca="1">IFERROR(IF(0=LEN(ReferenceData!$K$92),"",ReferenceData!$K$92),"")</f>
        <v/>
      </c>
      <c r="L92" t="str">
        <f ca="1">IFERROR(IF(0=LEN(ReferenceData!$L$92),"",ReferenceData!$L$92),"")</f>
        <v/>
      </c>
      <c r="M92" t="str">
        <f ca="1">IFERROR(IF(0=LEN(ReferenceData!$M$92),"",ReferenceData!$M$92),"")</f>
        <v/>
      </c>
      <c r="N92" t="str">
        <f ca="1">IFERROR(IF(0=LEN(ReferenceData!$N$92),"",ReferenceData!$N$92),"")</f>
        <v/>
      </c>
      <c r="O92" t="str">
        <f ca="1">IFERROR(IF(0=LEN(ReferenceData!$O$92),"",ReferenceData!$O$92),"")</f>
        <v/>
      </c>
      <c r="P92">
        <f ca="1">IFERROR(IF(0=LEN(ReferenceData!$P$92),"",ReferenceData!$P$92),"")</f>
        <v>1.165</v>
      </c>
      <c r="Q92">
        <f ca="1">IFERROR(IF(0=LEN(ReferenceData!$Q$92),"",ReferenceData!$Q$92),"")</f>
        <v>1.242</v>
      </c>
      <c r="R92">
        <f ca="1">IFERROR(IF(0=LEN(ReferenceData!$R$92),"",ReferenceData!$R$92),"")</f>
        <v>1.105</v>
      </c>
      <c r="S92">
        <f ca="1">IFERROR(IF(0=LEN(ReferenceData!$S$92),"",ReferenceData!$S$92),"")</f>
        <v>1.0349999999999999</v>
      </c>
      <c r="T92">
        <f ca="1">IFERROR(IF(0=LEN(ReferenceData!$T$92),"",ReferenceData!$T$92),"")</f>
        <v>1.28</v>
      </c>
      <c r="U92">
        <f ca="1">IFERROR(IF(0=LEN(ReferenceData!$U$92),"",ReferenceData!$U$92),"")</f>
        <v>1.333</v>
      </c>
      <c r="V92">
        <f ca="1">IFERROR(IF(0=LEN(ReferenceData!$V$92),"",ReferenceData!$V$92),"")</f>
        <v>1.288</v>
      </c>
      <c r="W92">
        <f ca="1">IFERROR(IF(0=LEN(ReferenceData!$W$92),"",ReferenceData!$W$92),"")</f>
        <v>1.589</v>
      </c>
      <c r="X92">
        <f ca="1">IFERROR(IF(0=LEN(ReferenceData!$X$92),"",ReferenceData!$X$92),"")</f>
        <v>2.38</v>
      </c>
      <c r="Y92">
        <f ca="1">IFERROR(IF(0=LEN(ReferenceData!$Y$92),"",ReferenceData!$Y$92),"")</f>
        <v>2.09</v>
      </c>
      <c r="Z92">
        <f ca="1">IFERROR(IF(0=LEN(ReferenceData!$Z$92),"",ReferenceData!$Z$92),"")</f>
        <v>1.857</v>
      </c>
      <c r="AA92" t="str">
        <f ca="1">IFERROR(IF(0=LEN(ReferenceData!$AA$92),"",ReferenceData!$AA$92),"")</f>
        <v/>
      </c>
      <c r="AB92" t="str">
        <f ca="1">IFERROR(IF(0=LEN(ReferenceData!$AB$92),"",ReferenceData!$AB$92),"")</f>
        <v/>
      </c>
      <c r="AC92" t="str">
        <f ca="1">IFERROR(IF(0=LEN(ReferenceData!$AC$92),"",ReferenceData!$AC$92),"")</f>
        <v/>
      </c>
      <c r="AD92" t="str">
        <f ca="1">IFERROR(IF(0=LEN(ReferenceData!$AD$92),"",ReferenceData!$AD$92),"")</f>
        <v/>
      </c>
      <c r="AE92" t="str">
        <f ca="1">IFERROR(IF(0=LEN(ReferenceData!$AE$92),"",ReferenceData!$AE$92),"")</f>
        <v/>
      </c>
      <c r="AF92" t="str">
        <f ca="1">IFERROR(IF(0=LEN(ReferenceData!$AF$92),"",ReferenceData!$AF$92),"")</f>
        <v/>
      </c>
      <c r="AG92" t="str">
        <f ca="1">IFERROR(IF(0=LEN(ReferenceData!$AG$92),"",ReferenceData!$AG$92),"")</f>
        <v/>
      </c>
      <c r="AH92" t="str">
        <f ca="1">IFERROR(IF(0=LEN(ReferenceData!$AH$92),"",ReferenceData!$AH$92),"")</f>
        <v/>
      </c>
      <c r="AI92" t="str">
        <f ca="1">IFERROR(IF(0=LEN(ReferenceData!$AI$92),"",ReferenceData!$AI$92),"")</f>
        <v/>
      </c>
      <c r="AJ92" t="str">
        <f ca="1">IFERROR(IF(0=LEN(ReferenceData!$AJ$92),"",ReferenceData!$AJ$92),"")</f>
        <v/>
      </c>
      <c r="AK92" t="str">
        <f ca="1">IFERROR(IF(0=LEN(ReferenceData!$AK$92),"",ReferenceData!$AK$92),"")</f>
        <v/>
      </c>
      <c r="AL92" t="str">
        <f ca="1">IFERROR(IF(0=LEN(ReferenceData!$AL$92),"",ReferenceData!$AL$92),"")</f>
        <v/>
      </c>
      <c r="AM92" t="str">
        <f ca="1">IFERROR(IF(0=LEN(ReferenceData!$AM$92),"",ReferenceData!$AM$92),"")</f>
        <v/>
      </c>
      <c r="AN92" t="str">
        <f ca="1">IFERROR(IF(0=LEN(ReferenceData!$AN$92),"",ReferenceData!$AN$92),"")</f>
        <v/>
      </c>
      <c r="AO92" t="str">
        <f ca="1">IFERROR(IF(0=LEN(ReferenceData!$AO$92),"",ReferenceData!$AO$92),"")</f>
        <v/>
      </c>
      <c r="AP92" t="str">
        <f ca="1">IFERROR(IF(0=LEN(ReferenceData!$AP$92),"",ReferenceData!$AP$92),"")</f>
        <v/>
      </c>
      <c r="AQ92" t="str">
        <f ca="1">IFERROR(IF(0=LEN(ReferenceData!$AQ$92),"",ReferenceData!$AQ$92),"")</f>
        <v/>
      </c>
      <c r="AR92" t="str">
        <f ca="1">IFERROR(IF(0=LEN(ReferenceData!$AR$92),"",ReferenceData!$AR$92),"")</f>
        <v/>
      </c>
      <c r="AS92" t="str">
        <f ca="1">IFERROR(IF(0=LEN(ReferenceData!$AS$92),"",ReferenceData!$AS$92),"")</f>
        <v/>
      </c>
      <c r="AT92" t="str">
        <f ca="1">IFERROR(IF(0=LEN(ReferenceData!$AT$92),"",ReferenceData!$AT$92),"")</f>
        <v/>
      </c>
      <c r="AU92" t="str">
        <f ca="1">IFERROR(IF(0=LEN(ReferenceData!$AU$92),"",ReferenceData!$AU$92),"")</f>
        <v/>
      </c>
      <c r="AV92" t="str">
        <f ca="1">IFERROR(IF(0=LEN(ReferenceData!$AV$92),"",ReferenceData!$AV$92),"")</f>
        <v/>
      </c>
      <c r="AW92" t="str">
        <f ca="1">IFERROR(IF(0=LEN(ReferenceData!$AW$92),"",ReferenceData!$AW$92),"")</f>
        <v/>
      </c>
      <c r="AX92" t="str">
        <f ca="1">IFERROR(IF(0=LEN(ReferenceData!$AX$92),"",ReferenceData!$AX$92),"")</f>
        <v/>
      </c>
      <c r="AY92" t="str">
        <f ca="1">IFERROR(IF(0=LEN(ReferenceData!$AY$92),"",ReferenceData!$AY$92),"")</f>
        <v/>
      </c>
      <c r="AZ92" t="str">
        <f ca="1">IFERROR(IF(0=LEN(ReferenceData!$AZ$92),"",ReferenceData!$AZ$92),"")</f>
        <v/>
      </c>
      <c r="BA92" t="str">
        <f ca="1">IFERROR(IF(0=LEN(ReferenceData!$BA$92),"",ReferenceData!$BA$92),"")</f>
        <v/>
      </c>
      <c r="BB92" t="str">
        <f ca="1">IFERROR(IF(0=LEN(ReferenceData!$BB$92),"",ReferenceData!$BB$92),"")</f>
        <v/>
      </c>
      <c r="BC92" t="str">
        <f ca="1">IFERROR(IF(0=LEN(ReferenceData!$BC$92),"",ReferenceData!$BC$92),"")</f>
        <v/>
      </c>
      <c r="BD92" t="str">
        <f ca="1">IFERROR(IF(0=LEN(ReferenceData!$BD$92),"",ReferenceData!$BD$92),"")</f>
        <v/>
      </c>
      <c r="BE92" t="str">
        <f ca="1">IFERROR(IF(0=LEN(ReferenceData!$BE$92),"",ReferenceData!$BE$92),"")</f>
        <v/>
      </c>
      <c r="BF92" t="str">
        <f ca="1">IFERROR(IF(0=LEN(ReferenceData!$BF$92),"",ReferenceData!$BF$92),"")</f>
        <v/>
      </c>
      <c r="BG92" t="str">
        <f ca="1">IFERROR(IF(0=LEN(ReferenceData!$BG$92),"",ReferenceData!$BG$92),"")</f>
        <v/>
      </c>
      <c r="BH92" t="str">
        <f ca="1">IFERROR(IF(0=LEN(ReferenceData!$BH$92),"",ReferenceData!$BH$92),"")</f>
        <v/>
      </c>
      <c r="BI92" t="str">
        <f ca="1">IFERROR(IF(0=LEN(ReferenceData!$BI$92),"",ReferenceData!$BI$92),"")</f>
        <v/>
      </c>
      <c r="BJ92" t="str">
        <f ca="1">IFERROR(IF(0=LEN(ReferenceData!$BJ$92),"",ReferenceData!$BJ$92),"")</f>
        <v/>
      </c>
      <c r="BK92" t="str">
        <f ca="1">IFERROR(IF(0=LEN(ReferenceData!$BK$92),"",ReferenceData!$BK$92),"")</f>
        <v/>
      </c>
      <c r="BL92" t="str">
        <f ca="1">IFERROR(IF(0=LEN(ReferenceData!$BL$92),"",ReferenceData!$BL$92),"")</f>
        <v/>
      </c>
      <c r="BM92" t="str">
        <f ca="1">IFERROR(IF(0=LEN(ReferenceData!$BM$92),"",ReferenceData!$BM$92),"")</f>
        <v/>
      </c>
    </row>
    <row r="93" spans="1:65" x14ac:dyDescent="0.25">
      <c r="A93" t="str">
        <f>IFERROR(IF(0=LEN(ReferenceData!$A$93),"",ReferenceData!$A$93),"")</f>
        <v xml:space="preserve">    Daimler AG</v>
      </c>
      <c r="B93" t="str">
        <f>IFERROR(IF(0=LEN(ReferenceData!$B$93),"",ReferenceData!$B$93),"")</f>
        <v>DAI GR Equity</v>
      </c>
      <c r="C93" t="str">
        <f>IFERROR(IF(0=LEN(ReferenceData!$C$93),"",ReferenceData!$C$93),"")</f>
        <v>EZ021</v>
      </c>
      <c r="D93" t="str">
        <f>IFERROR(IF(0=LEN(ReferenceData!$D$93),"",ReferenceData!$D$93),"")</f>
        <v>BEST_EPS_NXT_YR</v>
      </c>
      <c r="E93" t="str">
        <f>IFERROR(IF(0=LEN(ReferenceData!$E$93),"",ReferenceData!$E$93),"")</f>
        <v>Dynamic</v>
      </c>
      <c r="F93">
        <f ca="1">IFERROR(IF(0=LEN(ReferenceData!$F$93),"",ReferenceData!$F$93),"")</f>
        <v>9.0410000000000004</v>
      </c>
      <c r="G93">
        <f ca="1">IFERROR(IF(0=LEN(ReferenceData!$G$93),"",ReferenceData!$G$93),"")</f>
        <v>9.6</v>
      </c>
      <c r="H93">
        <f ca="1">IFERROR(IF(0=LEN(ReferenceData!$H$93),"",ReferenceData!$H$93),"")</f>
        <v>10.862</v>
      </c>
      <c r="I93">
        <f ca="1">IFERROR(IF(0=LEN(ReferenceData!$I$93),"",ReferenceData!$I$93),"")</f>
        <v>11.105</v>
      </c>
      <c r="J93">
        <f ca="1">IFERROR(IF(0=LEN(ReferenceData!$J$93),"",ReferenceData!$J$93),"")</f>
        <v>12.028</v>
      </c>
      <c r="K93">
        <f ca="1">IFERROR(IF(0=LEN(ReferenceData!$K$93),"",ReferenceData!$K$93),"")</f>
        <v>11.172000000000001</v>
      </c>
      <c r="L93">
        <f ca="1">IFERROR(IF(0=LEN(ReferenceData!$L$93),"",ReferenceData!$L$93),"")</f>
        <v>11.368</v>
      </c>
      <c r="M93">
        <f ca="1">IFERROR(IF(0=LEN(ReferenceData!$M$93),"",ReferenceData!$M$93),"")</f>
        <v>10.098000000000001</v>
      </c>
      <c r="N93">
        <f ca="1">IFERROR(IF(0=LEN(ReferenceData!$N$93),"",ReferenceData!$N$93),"")</f>
        <v>7.0620000000000003</v>
      </c>
      <c r="O93">
        <f ca="1">IFERROR(IF(0=LEN(ReferenceData!$O$93),"",ReferenceData!$O$93),"")</f>
        <v>9.7759999999999998</v>
      </c>
      <c r="P93">
        <f ca="1">IFERROR(IF(0=LEN(ReferenceData!$P$93),"",ReferenceData!$P$93),"")</f>
        <v>10.662000000000001</v>
      </c>
      <c r="Q93">
        <f ca="1">IFERROR(IF(0=LEN(ReferenceData!$Q$93),"",ReferenceData!$Q$93),"")</f>
        <v>9.2279999999999998</v>
      </c>
      <c r="R93" t="str">
        <f ca="1">IFERROR(IF(0=LEN(ReferenceData!$R$93),"",ReferenceData!$R$93),"")</f>
        <v/>
      </c>
      <c r="S93" t="str">
        <f ca="1">IFERROR(IF(0=LEN(ReferenceData!$S$93),"",ReferenceData!$S$93),"")</f>
        <v/>
      </c>
      <c r="T93" t="str">
        <f ca="1">IFERROR(IF(0=LEN(ReferenceData!$T$93),"",ReferenceData!$T$93),"")</f>
        <v/>
      </c>
      <c r="U93" t="str">
        <f ca="1">IFERROR(IF(0=LEN(ReferenceData!$U$93),"",ReferenceData!$U$93),"")</f>
        <v/>
      </c>
      <c r="V93" t="str">
        <f ca="1">IFERROR(IF(0=LEN(ReferenceData!$V$93),"",ReferenceData!$V$93),"")</f>
        <v/>
      </c>
      <c r="W93" t="str">
        <f ca="1">IFERROR(IF(0=LEN(ReferenceData!$W$93),"",ReferenceData!$W$93),"")</f>
        <v/>
      </c>
      <c r="X93" t="str">
        <f ca="1">IFERROR(IF(0=LEN(ReferenceData!$X$93),"",ReferenceData!$X$93),"")</f>
        <v/>
      </c>
      <c r="Y93" t="str">
        <f ca="1">IFERROR(IF(0=LEN(ReferenceData!$Y$93),"",ReferenceData!$Y$93),"")</f>
        <v/>
      </c>
      <c r="Z93" t="str">
        <f ca="1">IFERROR(IF(0=LEN(ReferenceData!$Z$93),"",ReferenceData!$Z$93),"")</f>
        <v/>
      </c>
      <c r="AA93" t="str">
        <f ca="1">IFERROR(IF(0=LEN(ReferenceData!$AA$93),"",ReferenceData!$AA$93),"")</f>
        <v/>
      </c>
      <c r="AB93" t="str">
        <f ca="1">IFERROR(IF(0=LEN(ReferenceData!$AB$93),"",ReferenceData!$AB$93),"")</f>
        <v/>
      </c>
      <c r="AC93" t="str">
        <f ca="1">IFERROR(IF(0=LEN(ReferenceData!$AC$93),"",ReferenceData!$AC$93),"")</f>
        <v/>
      </c>
      <c r="AD93" t="str">
        <f ca="1">IFERROR(IF(0=LEN(ReferenceData!$AD$93),"",ReferenceData!$AD$93),"")</f>
        <v/>
      </c>
      <c r="AE93" t="str">
        <f ca="1">IFERROR(IF(0=LEN(ReferenceData!$AE$93),"",ReferenceData!$AE$93),"")</f>
        <v/>
      </c>
      <c r="AF93" t="str">
        <f ca="1">IFERROR(IF(0=LEN(ReferenceData!$AF$93),"",ReferenceData!$AF$93),"")</f>
        <v/>
      </c>
      <c r="AG93" t="str">
        <f ca="1">IFERROR(IF(0=LEN(ReferenceData!$AG$93),"",ReferenceData!$AG$93),"")</f>
        <v/>
      </c>
      <c r="AH93" t="str">
        <f ca="1">IFERROR(IF(0=LEN(ReferenceData!$AH$93),"",ReferenceData!$AH$93),"")</f>
        <v/>
      </c>
      <c r="AI93" t="str">
        <f ca="1">IFERROR(IF(0=LEN(ReferenceData!$AI$93),"",ReferenceData!$AI$93),"")</f>
        <v/>
      </c>
      <c r="AJ93" t="str">
        <f ca="1">IFERROR(IF(0=LEN(ReferenceData!$AJ$93),"",ReferenceData!$AJ$93),"")</f>
        <v/>
      </c>
      <c r="AK93" t="str">
        <f ca="1">IFERROR(IF(0=LEN(ReferenceData!$AK$93),"",ReferenceData!$AK$93),"")</f>
        <v/>
      </c>
      <c r="AL93" t="str">
        <f ca="1">IFERROR(IF(0=LEN(ReferenceData!$AL$93),"",ReferenceData!$AL$93),"")</f>
        <v/>
      </c>
      <c r="AM93" t="str">
        <f ca="1">IFERROR(IF(0=LEN(ReferenceData!$AM$93),"",ReferenceData!$AM$93),"")</f>
        <v/>
      </c>
      <c r="AN93" t="str">
        <f ca="1">IFERROR(IF(0=LEN(ReferenceData!$AN$93),"",ReferenceData!$AN$93),"")</f>
        <v/>
      </c>
      <c r="AO93" t="str">
        <f ca="1">IFERROR(IF(0=LEN(ReferenceData!$AO$93),"",ReferenceData!$AO$93),"")</f>
        <v/>
      </c>
      <c r="AP93" t="str">
        <f ca="1">IFERROR(IF(0=LEN(ReferenceData!$AP$93),"",ReferenceData!$AP$93),"")</f>
        <v/>
      </c>
      <c r="AQ93" t="str">
        <f ca="1">IFERROR(IF(0=LEN(ReferenceData!$AQ$93),"",ReferenceData!$AQ$93),"")</f>
        <v/>
      </c>
      <c r="AR93" t="str">
        <f ca="1">IFERROR(IF(0=LEN(ReferenceData!$AR$93),"",ReferenceData!$AR$93),"")</f>
        <v/>
      </c>
      <c r="AS93" t="str">
        <f ca="1">IFERROR(IF(0=LEN(ReferenceData!$AS$93),"",ReferenceData!$AS$93),"")</f>
        <v/>
      </c>
      <c r="AT93" t="str">
        <f ca="1">IFERROR(IF(0=LEN(ReferenceData!$AT$93),"",ReferenceData!$AT$93),"")</f>
        <v/>
      </c>
      <c r="AU93" t="str">
        <f ca="1">IFERROR(IF(0=LEN(ReferenceData!$AU$93),"",ReferenceData!$AU$93),"")</f>
        <v/>
      </c>
      <c r="AV93" t="str">
        <f ca="1">IFERROR(IF(0=LEN(ReferenceData!$AV$93),"",ReferenceData!$AV$93),"")</f>
        <v/>
      </c>
      <c r="AW93" t="str">
        <f ca="1">IFERROR(IF(0=LEN(ReferenceData!$AW$93),"",ReferenceData!$AW$93),"")</f>
        <v/>
      </c>
      <c r="AX93" t="str">
        <f ca="1">IFERROR(IF(0=LEN(ReferenceData!$AX$93),"",ReferenceData!$AX$93),"")</f>
        <v/>
      </c>
      <c r="AY93" t="str">
        <f ca="1">IFERROR(IF(0=LEN(ReferenceData!$AY$93),"",ReferenceData!$AY$93),"")</f>
        <v/>
      </c>
      <c r="AZ93" t="str">
        <f ca="1">IFERROR(IF(0=LEN(ReferenceData!$AZ$93),"",ReferenceData!$AZ$93),"")</f>
        <v/>
      </c>
      <c r="BA93" t="str">
        <f ca="1">IFERROR(IF(0=LEN(ReferenceData!$BA$93),"",ReferenceData!$BA$93),"")</f>
        <v/>
      </c>
      <c r="BB93" t="str">
        <f ca="1">IFERROR(IF(0=LEN(ReferenceData!$BB$93),"",ReferenceData!$BB$93),"")</f>
        <v/>
      </c>
      <c r="BC93" t="str">
        <f ca="1">IFERROR(IF(0=LEN(ReferenceData!$BC$93),"",ReferenceData!$BC$93),"")</f>
        <v/>
      </c>
      <c r="BD93" t="str">
        <f ca="1">IFERROR(IF(0=LEN(ReferenceData!$BD$93),"",ReferenceData!$BD$93),"")</f>
        <v/>
      </c>
      <c r="BE93" t="str">
        <f ca="1">IFERROR(IF(0=LEN(ReferenceData!$BE$93),"",ReferenceData!$BE$93),"")</f>
        <v/>
      </c>
      <c r="BF93" t="str">
        <f ca="1">IFERROR(IF(0=LEN(ReferenceData!$BF$93),"",ReferenceData!$BF$93),"")</f>
        <v/>
      </c>
      <c r="BG93" t="str">
        <f ca="1">IFERROR(IF(0=LEN(ReferenceData!$BG$93),"",ReferenceData!$BG$93),"")</f>
        <v/>
      </c>
      <c r="BH93" t="str">
        <f ca="1">IFERROR(IF(0=LEN(ReferenceData!$BH$93),"",ReferenceData!$BH$93),"")</f>
        <v/>
      </c>
      <c r="BI93" t="str">
        <f ca="1">IFERROR(IF(0=LEN(ReferenceData!$BI$93),"",ReferenceData!$BI$93),"")</f>
        <v/>
      </c>
      <c r="BJ93" t="str">
        <f ca="1">IFERROR(IF(0=LEN(ReferenceData!$BJ$93),"",ReferenceData!$BJ$93),"")</f>
        <v/>
      </c>
      <c r="BK93" t="str">
        <f ca="1">IFERROR(IF(0=LEN(ReferenceData!$BK$93),"",ReferenceData!$BK$93),"")</f>
        <v/>
      </c>
      <c r="BL93" t="str">
        <f ca="1">IFERROR(IF(0=LEN(ReferenceData!$BL$93),"",ReferenceData!$BL$93),"")</f>
        <v/>
      </c>
      <c r="BM93" t="str">
        <f ca="1">IFERROR(IF(0=LEN(ReferenceData!$BM$93),"",ReferenceData!$BM$93),"")</f>
        <v/>
      </c>
    </row>
    <row r="94" spans="1:65" x14ac:dyDescent="0.25">
      <c r="A94" t="str">
        <f>IFERROR(IF(0=LEN(ReferenceData!$A$94),"",ReferenceData!$A$94),"")</f>
        <v xml:space="preserve">    Dongfeng Motor Group Co Ltd</v>
      </c>
      <c r="B94" t="str">
        <f>IFERROR(IF(0=LEN(ReferenceData!$B$94),"",ReferenceData!$B$94),"")</f>
        <v>489 HK Equity</v>
      </c>
      <c r="C94" t="str">
        <f>IFERROR(IF(0=LEN(ReferenceData!$C$94),"",ReferenceData!$C$94),"")</f>
        <v>EZ021</v>
      </c>
      <c r="D94" t="str">
        <f>IFERROR(IF(0=LEN(ReferenceData!$D$94),"",ReferenceData!$D$94),"")</f>
        <v>BEST_EPS_NXT_YR</v>
      </c>
      <c r="E94" t="str">
        <f>IFERROR(IF(0=LEN(ReferenceData!$E$94),"",ReferenceData!$E$94),"")</f>
        <v>Dynamic</v>
      </c>
      <c r="F94">
        <f ca="1">IFERROR(IF(0=LEN(ReferenceData!$F$94),"",ReferenceData!$F$94),"")</f>
        <v>0.24299999999999999</v>
      </c>
      <c r="G94">
        <f ca="1">IFERROR(IF(0=LEN(ReferenceData!$G$94),"",ReferenceData!$G$94),"")</f>
        <v>0.24099999999999999</v>
      </c>
      <c r="H94">
        <f ca="1">IFERROR(IF(0=LEN(ReferenceData!$H$94),"",ReferenceData!$H$94),"")</f>
        <v>0.248</v>
      </c>
      <c r="I94">
        <f ca="1">IFERROR(IF(0=LEN(ReferenceData!$I$94),"",ReferenceData!$I$94),"")</f>
        <v>0.253</v>
      </c>
      <c r="J94">
        <f ca="1">IFERROR(IF(0=LEN(ReferenceData!$J$94),"",ReferenceData!$J$94),"")</f>
        <v>0.26300000000000001</v>
      </c>
      <c r="K94">
        <f ca="1">IFERROR(IF(0=LEN(ReferenceData!$K$94),"",ReferenceData!$K$94),"")</f>
        <v>0.255</v>
      </c>
      <c r="L94">
        <f ca="1">IFERROR(IF(0=LEN(ReferenceData!$L$94),"",ReferenceData!$L$94),"")</f>
        <v>0.251</v>
      </c>
      <c r="M94">
        <f ca="1">IFERROR(IF(0=LEN(ReferenceData!$M$94),"",ReferenceData!$M$94),"")</f>
        <v>0.24399999999999999</v>
      </c>
      <c r="N94">
        <f ca="1">IFERROR(IF(0=LEN(ReferenceData!$N$94),"",ReferenceData!$N$94),"")</f>
        <v>0.23699999999999999</v>
      </c>
      <c r="O94">
        <f ca="1">IFERROR(IF(0=LEN(ReferenceData!$O$94),"",ReferenceData!$O$94),"")</f>
        <v>0.193</v>
      </c>
      <c r="P94" t="str">
        <f ca="1">IFERROR(IF(0=LEN(ReferenceData!$P$94),"",ReferenceData!$P$94),"")</f>
        <v/>
      </c>
      <c r="Q94" t="str">
        <f ca="1">IFERROR(IF(0=LEN(ReferenceData!$Q$94),"",ReferenceData!$Q$94),"")</f>
        <v/>
      </c>
      <c r="R94" t="str">
        <f ca="1">IFERROR(IF(0=LEN(ReferenceData!$R$94),"",ReferenceData!$R$94),"")</f>
        <v/>
      </c>
      <c r="S94" t="str">
        <f ca="1">IFERROR(IF(0=LEN(ReferenceData!$S$94),"",ReferenceData!$S$94),"")</f>
        <v/>
      </c>
      <c r="T94" t="str">
        <f ca="1">IFERROR(IF(0=LEN(ReferenceData!$T$94),"",ReferenceData!$T$94),"")</f>
        <v/>
      </c>
      <c r="U94" t="str">
        <f ca="1">IFERROR(IF(0=LEN(ReferenceData!$U$94),"",ReferenceData!$U$94),"")</f>
        <v/>
      </c>
      <c r="V94" t="str">
        <f ca="1">IFERROR(IF(0=LEN(ReferenceData!$V$94),"",ReferenceData!$V$94),"")</f>
        <v/>
      </c>
      <c r="W94" t="str">
        <f ca="1">IFERROR(IF(0=LEN(ReferenceData!$W$94),"",ReferenceData!$W$94),"")</f>
        <v/>
      </c>
      <c r="X94" t="str">
        <f ca="1">IFERROR(IF(0=LEN(ReferenceData!$X$94),"",ReferenceData!$X$94),"")</f>
        <v/>
      </c>
      <c r="Y94" t="str">
        <f ca="1">IFERROR(IF(0=LEN(ReferenceData!$Y$94),"",ReferenceData!$Y$94),"")</f>
        <v/>
      </c>
      <c r="Z94" t="str">
        <f ca="1">IFERROR(IF(0=LEN(ReferenceData!$Z$94),"",ReferenceData!$Z$94),"")</f>
        <v/>
      </c>
      <c r="AA94" t="str">
        <f ca="1">IFERROR(IF(0=LEN(ReferenceData!$AA$94),"",ReferenceData!$AA$94),"")</f>
        <v/>
      </c>
      <c r="AB94" t="str">
        <f ca="1">IFERROR(IF(0=LEN(ReferenceData!$AB$94),"",ReferenceData!$AB$94),"")</f>
        <v/>
      </c>
      <c r="AC94" t="str">
        <f ca="1">IFERROR(IF(0=LEN(ReferenceData!$AC$94),"",ReferenceData!$AC$94),"")</f>
        <v/>
      </c>
      <c r="AD94" t="str">
        <f ca="1">IFERROR(IF(0=LEN(ReferenceData!$AD$94),"",ReferenceData!$AD$94),"")</f>
        <v/>
      </c>
      <c r="AE94" t="str">
        <f ca="1">IFERROR(IF(0=LEN(ReferenceData!$AE$94),"",ReferenceData!$AE$94),"")</f>
        <v/>
      </c>
      <c r="AF94" t="str">
        <f ca="1">IFERROR(IF(0=LEN(ReferenceData!$AF$94),"",ReferenceData!$AF$94),"")</f>
        <v/>
      </c>
      <c r="AG94" t="str">
        <f ca="1">IFERROR(IF(0=LEN(ReferenceData!$AG$94),"",ReferenceData!$AG$94),"")</f>
        <v/>
      </c>
      <c r="AH94" t="str">
        <f ca="1">IFERROR(IF(0=LEN(ReferenceData!$AH$94),"",ReferenceData!$AH$94),"")</f>
        <v/>
      </c>
      <c r="AI94" t="str">
        <f ca="1">IFERROR(IF(0=LEN(ReferenceData!$AI$94),"",ReferenceData!$AI$94),"")</f>
        <v/>
      </c>
      <c r="AJ94" t="str">
        <f ca="1">IFERROR(IF(0=LEN(ReferenceData!$AJ$94),"",ReferenceData!$AJ$94),"")</f>
        <v/>
      </c>
      <c r="AK94" t="str">
        <f ca="1">IFERROR(IF(0=LEN(ReferenceData!$AK$94),"",ReferenceData!$AK$94),"")</f>
        <v/>
      </c>
      <c r="AL94" t="str">
        <f ca="1">IFERROR(IF(0=LEN(ReferenceData!$AL$94),"",ReferenceData!$AL$94),"")</f>
        <v/>
      </c>
      <c r="AM94" t="str">
        <f ca="1">IFERROR(IF(0=LEN(ReferenceData!$AM$94),"",ReferenceData!$AM$94),"")</f>
        <v/>
      </c>
      <c r="AN94" t="str">
        <f ca="1">IFERROR(IF(0=LEN(ReferenceData!$AN$94),"",ReferenceData!$AN$94),"")</f>
        <v/>
      </c>
      <c r="AO94" t="str">
        <f ca="1">IFERROR(IF(0=LEN(ReferenceData!$AO$94),"",ReferenceData!$AO$94),"")</f>
        <v/>
      </c>
      <c r="AP94" t="str">
        <f ca="1">IFERROR(IF(0=LEN(ReferenceData!$AP$94),"",ReferenceData!$AP$94),"")</f>
        <v/>
      </c>
      <c r="AQ94" t="str">
        <f ca="1">IFERROR(IF(0=LEN(ReferenceData!$AQ$94),"",ReferenceData!$AQ$94),"")</f>
        <v/>
      </c>
      <c r="AR94" t="str">
        <f ca="1">IFERROR(IF(0=LEN(ReferenceData!$AR$94),"",ReferenceData!$AR$94),"")</f>
        <v/>
      </c>
      <c r="AS94" t="str">
        <f ca="1">IFERROR(IF(0=LEN(ReferenceData!$AS$94),"",ReferenceData!$AS$94),"")</f>
        <v/>
      </c>
      <c r="AT94" t="str">
        <f ca="1">IFERROR(IF(0=LEN(ReferenceData!$AT$94),"",ReferenceData!$AT$94),"")</f>
        <v/>
      </c>
      <c r="AU94" t="str">
        <f ca="1">IFERROR(IF(0=LEN(ReferenceData!$AU$94),"",ReferenceData!$AU$94),"")</f>
        <v/>
      </c>
      <c r="AV94" t="str">
        <f ca="1">IFERROR(IF(0=LEN(ReferenceData!$AV$94),"",ReferenceData!$AV$94),"")</f>
        <v/>
      </c>
      <c r="AW94" t="str">
        <f ca="1">IFERROR(IF(0=LEN(ReferenceData!$AW$94),"",ReferenceData!$AW$94),"")</f>
        <v/>
      </c>
      <c r="AX94" t="str">
        <f ca="1">IFERROR(IF(0=LEN(ReferenceData!$AX$94),"",ReferenceData!$AX$94),"")</f>
        <v/>
      </c>
      <c r="AY94" t="str">
        <f ca="1">IFERROR(IF(0=LEN(ReferenceData!$AY$94),"",ReferenceData!$AY$94),"")</f>
        <v/>
      </c>
      <c r="AZ94" t="str">
        <f ca="1">IFERROR(IF(0=LEN(ReferenceData!$AZ$94),"",ReferenceData!$AZ$94),"")</f>
        <v/>
      </c>
      <c r="BA94" t="str">
        <f ca="1">IFERROR(IF(0=LEN(ReferenceData!$BA$94),"",ReferenceData!$BA$94),"")</f>
        <v/>
      </c>
      <c r="BB94" t="str">
        <f ca="1">IFERROR(IF(0=LEN(ReferenceData!$BB$94),"",ReferenceData!$BB$94),"")</f>
        <v/>
      </c>
      <c r="BC94" t="str">
        <f ca="1">IFERROR(IF(0=LEN(ReferenceData!$BC$94),"",ReferenceData!$BC$94),"")</f>
        <v/>
      </c>
      <c r="BD94" t="str">
        <f ca="1">IFERROR(IF(0=LEN(ReferenceData!$BD$94),"",ReferenceData!$BD$94),"")</f>
        <v/>
      </c>
      <c r="BE94" t="str">
        <f ca="1">IFERROR(IF(0=LEN(ReferenceData!$BE$94),"",ReferenceData!$BE$94),"")</f>
        <v/>
      </c>
      <c r="BF94" t="str">
        <f ca="1">IFERROR(IF(0=LEN(ReferenceData!$BF$94),"",ReferenceData!$BF$94),"")</f>
        <v/>
      </c>
      <c r="BG94" t="str">
        <f ca="1">IFERROR(IF(0=LEN(ReferenceData!$BG$94),"",ReferenceData!$BG$94),"")</f>
        <v/>
      </c>
      <c r="BH94" t="str">
        <f ca="1">IFERROR(IF(0=LEN(ReferenceData!$BH$94),"",ReferenceData!$BH$94),"")</f>
        <v/>
      </c>
      <c r="BI94" t="str">
        <f ca="1">IFERROR(IF(0=LEN(ReferenceData!$BI$94),"",ReferenceData!$BI$94),"")</f>
        <v/>
      </c>
      <c r="BJ94" t="str">
        <f ca="1">IFERROR(IF(0=LEN(ReferenceData!$BJ$94),"",ReferenceData!$BJ$94),"")</f>
        <v/>
      </c>
      <c r="BK94" t="str">
        <f ca="1">IFERROR(IF(0=LEN(ReferenceData!$BK$94),"",ReferenceData!$BK$94),"")</f>
        <v/>
      </c>
      <c r="BL94" t="str">
        <f ca="1">IFERROR(IF(0=LEN(ReferenceData!$BL$94),"",ReferenceData!$BL$94),"")</f>
        <v/>
      </c>
      <c r="BM94" t="str">
        <f ca="1">IFERROR(IF(0=LEN(ReferenceData!$BM$94),"",ReferenceData!$BM$94),"")</f>
        <v/>
      </c>
    </row>
    <row r="95" spans="1:65" x14ac:dyDescent="0.25">
      <c r="A95" t="str">
        <f>IFERROR(IF(0=LEN(ReferenceData!$A$95),"",ReferenceData!$A$95),"")</f>
        <v xml:space="preserve">    DRB-Hicom Bhd</v>
      </c>
      <c r="B95" t="str">
        <f>IFERROR(IF(0=LEN(ReferenceData!$B$95),"",ReferenceData!$B$95),"")</f>
        <v>DRB MK Equity</v>
      </c>
      <c r="C95" t="str">
        <f>IFERROR(IF(0=LEN(ReferenceData!$C$95),"",ReferenceData!$C$95),"")</f>
        <v>EZ021</v>
      </c>
      <c r="D95" t="str">
        <f>IFERROR(IF(0=LEN(ReferenceData!$D$95),"",ReferenceData!$D$95),"")</f>
        <v>BEST_EPS_NXT_YR</v>
      </c>
      <c r="E95" t="str">
        <f>IFERROR(IF(0=LEN(ReferenceData!$E$95),"",ReferenceData!$E$95),"")</f>
        <v>Dynamic</v>
      </c>
      <c r="F95">
        <f ca="1">IFERROR(IF(0=LEN(ReferenceData!$F$95),"",ReferenceData!$F$95),"")</f>
        <v>1.7999999999999999E-2</v>
      </c>
      <c r="G95">
        <f ca="1">IFERROR(IF(0=LEN(ReferenceData!$G$95),"",ReferenceData!$G$95),"")</f>
        <v>1.7999999999999999E-2</v>
      </c>
      <c r="H95">
        <f ca="1">IFERROR(IF(0=LEN(ReferenceData!$H$95),"",ReferenceData!$H$95),"")</f>
        <v>1.9E-2</v>
      </c>
      <c r="I95">
        <f ca="1">IFERROR(IF(0=LEN(ReferenceData!$I$95),"",ReferenceData!$I$95),"")</f>
        <v>2.4E-2</v>
      </c>
      <c r="J95">
        <f ca="1">IFERROR(IF(0=LEN(ReferenceData!$J$95),"",ReferenceData!$J$95),"")</f>
        <v>1.0999999999999999E-2</v>
      </c>
      <c r="K95">
        <f ca="1">IFERROR(IF(0=LEN(ReferenceData!$K$95),"",ReferenceData!$K$95),"")</f>
        <v>0.01</v>
      </c>
      <c r="L95">
        <f ca="1">IFERROR(IF(0=LEN(ReferenceData!$L$95),"",ReferenceData!$L$95),"")</f>
        <v>1.2999999999999999E-2</v>
      </c>
      <c r="M95">
        <f ca="1">IFERROR(IF(0=LEN(ReferenceData!$M$95),"",ReferenceData!$M$95),"")</f>
        <v>2.5000000000000001E-2</v>
      </c>
      <c r="N95" t="str">
        <f ca="1">IFERROR(IF(0=LEN(ReferenceData!$N$95),"",ReferenceData!$N$95),"")</f>
        <v/>
      </c>
      <c r="O95" t="str">
        <f ca="1">IFERROR(IF(0=LEN(ReferenceData!$O$95),"",ReferenceData!$O$95),"")</f>
        <v/>
      </c>
      <c r="P95" t="str">
        <f ca="1">IFERROR(IF(0=LEN(ReferenceData!$P$95),"",ReferenceData!$P$95),"")</f>
        <v/>
      </c>
      <c r="Q95" t="str">
        <f ca="1">IFERROR(IF(0=LEN(ReferenceData!$Q$95),"",ReferenceData!$Q$95),"")</f>
        <v/>
      </c>
      <c r="R95" t="str">
        <f ca="1">IFERROR(IF(0=LEN(ReferenceData!$R$95),"",ReferenceData!$R$95),"")</f>
        <v/>
      </c>
      <c r="S95" t="str">
        <f ca="1">IFERROR(IF(0=LEN(ReferenceData!$S$95),"",ReferenceData!$S$95),"")</f>
        <v/>
      </c>
      <c r="T95" t="str">
        <f ca="1">IFERROR(IF(0=LEN(ReferenceData!$T$95),"",ReferenceData!$T$95),"")</f>
        <v/>
      </c>
      <c r="U95" t="str">
        <f ca="1">IFERROR(IF(0=LEN(ReferenceData!$U$95),"",ReferenceData!$U$95),"")</f>
        <v/>
      </c>
      <c r="V95" t="str">
        <f ca="1">IFERROR(IF(0=LEN(ReferenceData!$V$95),"",ReferenceData!$V$95),"")</f>
        <v/>
      </c>
      <c r="W95" t="str">
        <f ca="1">IFERROR(IF(0=LEN(ReferenceData!$W$95),"",ReferenceData!$W$95),"")</f>
        <v/>
      </c>
      <c r="X95" t="str">
        <f ca="1">IFERROR(IF(0=LEN(ReferenceData!$X$95),"",ReferenceData!$X$95),"")</f>
        <v/>
      </c>
      <c r="Y95" t="str">
        <f ca="1">IFERROR(IF(0=LEN(ReferenceData!$Y$95),"",ReferenceData!$Y$95),"")</f>
        <v/>
      </c>
      <c r="Z95" t="str">
        <f ca="1">IFERROR(IF(0=LEN(ReferenceData!$Z$95),"",ReferenceData!$Z$95),"")</f>
        <v/>
      </c>
      <c r="AA95" t="str">
        <f ca="1">IFERROR(IF(0=LEN(ReferenceData!$AA$95),"",ReferenceData!$AA$95),"")</f>
        <v/>
      </c>
      <c r="AB95" t="str">
        <f ca="1">IFERROR(IF(0=LEN(ReferenceData!$AB$95),"",ReferenceData!$AB$95),"")</f>
        <v/>
      </c>
      <c r="AC95" t="str">
        <f ca="1">IFERROR(IF(0=LEN(ReferenceData!$AC$95),"",ReferenceData!$AC$95),"")</f>
        <v/>
      </c>
      <c r="AD95" t="str">
        <f ca="1">IFERROR(IF(0=LEN(ReferenceData!$AD$95),"",ReferenceData!$AD$95),"")</f>
        <v/>
      </c>
      <c r="AE95" t="str">
        <f ca="1">IFERROR(IF(0=LEN(ReferenceData!$AE$95),"",ReferenceData!$AE$95),"")</f>
        <v/>
      </c>
      <c r="AF95" t="str">
        <f ca="1">IFERROR(IF(0=LEN(ReferenceData!$AF$95),"",ReferenceData!$AF$95),"")</f>
        <v/>
      </c>
      <c r="AG95" t="str">
        <f ca="1">IFERROR(IF(0=LEN(ReferenceData!$AG$95),"",ReferenceData!$AG$95),"")</f>
        <v/>
      </c>
      <c r="AH95" t="str">
        <f ca="1">IFERROR(IF(0=LEN(ReferenceData!$AH$95),"",ReferenceData!$AH$95),"")</f>
        <v/>
      </c>
      <c r="AI95" t="str">
        <f ca="1">IFERROR(IF(0=LEN(ReferenceData!$AI$95),"",ReferenceData!$AI$95),"")</f>
        <v/>
      </c>
      <c r="AJ95" t="str">
        <f ca="1">IFERROR(IF(0=LEN(ReferenceData!$AJ$95),"",ReferenceData!$AJ$95),"")</f>
        <v/>
      </c>
      <c r="AK95" t="str">
        <f ca="1">IFERROR(IF(0=LEN(ReferenceData!$AK$95),"",ReferenceData!$AK$95),"")</f>
        <v/>
      </c>
      <c r="AL95" t="str">
        <f ca="1">IFERROR(IF(0=LEN(ReferenceData!$AL$95),"",ReferenceData!$AL$95),"")</f>
        <v/>
      </c>
      <c r="AM95" t="str">
        <f ca="1">IFERROR(IF(0=LEN(ReferenceData!$AM$95),"",ReferenceData!$AM$95),"")</f>
        <v/>
      </c>
      <c r="AN95" t="str">
        <f ca="1">IFERROR(IF(0=LEN(ReferenceData!$AN$95),"",ReferenceData!$AN$95),"")</f>
        <v/>
      </c>
      <c r="AO95" t="str">
        <f ca="1">IFERROR(IF(0=LEN(ReferenceData!$AO$95),"",ReferenceData!$AO$95),"")</f>
        <v/>
      </c>
      <c r="AP95" t="str">
        <f ca="1">IFERROR(IF(0=LEN(ReferenceData!$AP$95),"",ReferenceData!$AP$95),"")</f>
        <v/>
      </c>
      <c r="AQ95" t="str">
        <f ca="1">IFERROR(IF(0=LEN(ReferenceData!$AQ$95),"",ReferenceData!$AQ$95),"")</f>
        <v/>
      </c>
      <c r="AR95" t="str">
        <f ca="1">IFERROR(IF(0=LEN(ReferenceData!$AR$95),"",ReferenceData!$AR$95),"")</f>
        <v/>
      </c>
      <c r="AS95" t="str">
        <f ca="1">IFERROR(IF(0=LEN(ReferenceData!$AS$95),"",ReferenceData!$AS$95),"")</f>
        <v/>
      </c>
      <c r="AT95" t="str">
        <f ca="1">IFERROR(IF(0=LEN(ReferenceData!$AT$95),"",ReferenceData!$AT$95),"")</f>
        <v/>
      </c>
      <c r="AU95" t="str">
        <f ca="1">IFERROR(IF(0=LEN(ReferenceData!$AU$95),"",ReferenceData!$AU$95),"")</f>
        <v/>
      </c>
      <c r="AV95" t="str">
        <f ca="1">IFERROR(IF(0=LEN(ReferenceData!$AV$95),"",ReferenceData!$AV$95),"")</f>
        <v/>
      </c>
      <c r="AW95" t="str">
        <f ca="1">IFERROR(IF(0=LEN(ReferenceData!$AW$95),"",ReferenceData!$AW$95),"")</f>
        <v/>
      </c>
      <c r="AX95" t="str">
        <f ca="1">IFERROR(IF(0=LEN(ReferenceData!$AX$95),"",ReferenceData!$AX$95),"")</f>
        <v/>
      </c>
      <c r="AY95" t="str">
        <f ca="1">IFERROR(IF(0=LEN(ReferenceData!$AY$95),"",ReferenceData!$AY$95),"")</f>
        <v/>
      </c>
      <c r="AZ95" t="str">
        <f ca="1">IFERROR(IF(0=LEN(ReferenceData!$AZ$95),"",ReferenceData!$AZ$95),"")</f>
        <v/>
      </c>
      <c r="BA95" t="str">
        <f ca="1">IFERROR(IF(0=LEN(ReferenceData!$BA$95),"",ReferenceData!$BA$95),"")</f>
        <v/>
      </c>
      <c r="BB95" t="str">
        <f ca="1">IFERROR(IF(0=LEN(ReferenceData!$BB$95),"",ReferenceData!$BB$95),"")</f>
        <v/>
      </c>
      <c r="BC95" t="str">
        <f ca="1">IFERROR(IF(0=LEN(ReferenceData!$BC$95),"",ReferenceData!$BC$95),"")</f>
        <v/>
      </c>
      <c r="BD95" t="str">
        <f ca="1">IFERROR(IF(0=LEN(ReferenceData!$BD$95),"",ReferenceData!$BD$95),"")</f>
        <v/>
      </c>
      <c r="BE95" t="str">
        <f ca="1">IFERROR(IF(0=LEN(ReferenceData!$BE$95),"",ReferenceData!$BE$95),"")</f>
        <v/>
      </c>
      <c r="BF95" t="str">
        <f ca="1">IFERROR(IF(0=LEN(ReferenceData!$BF$95),"",ReferenceData!$BF$95),"")</f>
        <v/>
      </c>
      <c r="BG95" t="str">
        <f ca="1">IFERROR(IF(0=LEN(ReferenceData!$BG$95),"",ReferenceData!$BG$95),"")</f>
        <v/>
      </c>
      <c r="BH95" t="str">
        <f ca="1">IFERROR(IF(0=LEN(ReferenceData!$BH$95),"",ReferenceData!$BH$95),"")</f>
        <v/>
      </c>
      <c r="BI95" t="str">
        <f ca="1">IFERROR(IF(0=LEN(ReferenceData!$BI$95),"",ReferenceData!$BI$95),"")</f>
        <v/>
      </c>
      <c r="BJ95" t="str">
        <f ca="1">IFERROR(IF(0=LEN(ReferenceData!$BJ$95),"",ReferenceData!$BJ$95),"")</f>
        <v/>
      </c>
      <c r="BK95" t="str">
        <f ca="1">IFERROR(IF(0=LEN(ReferenceData!$BK$95),"",ReferenceData!$BK$95),"")</f>
        <v/>
      </c>
      <c r="BL95" t="str">
        <f ca="1">IFERROR(IF(0=LEN(ReferenceData!$BL$95),"",ReferenceData!$BL$95),"")</f>
        <v/>
      </c>
      <c r="BM95" t="str">
        <f ca="1">IFERROR(IF(0=LEN(ReferenceData!$BM$95),"",ReferenceData!$BM$95),"")</f>
        <v/>
      </c>
    </row>
    <row r="96" spans="1:65" x14ac:dyDescent="0.25">
      <c r="A96" t="str">
        <f>IFERROR(IF(0=LEN(ReferenceData!$A$96),"",ReferenceData!$A$96),"")</f>
        <v xml:space="preserve">    FAW CAR Co Ltd</v>
      </c>
      <c r="B96" t="str">
        <f>IFERROR(IF(0=LEN(ReferenceData!$B$96),"",ReferenceData!$B$96),"")</f>
        <v>000800 CH Equity</v>
      </c>
      <c r="C96" t="str">
        <f>IFERROR(IF(0=LEN(ReferenceData!$C$96),"",ReferenceData!$C$96),"")</f>
        <v>EZ021</v>
      </c>
      <c r="D96" t="str">
        <f>IFERROR(IF(0=LEN(ReferenceData!$D$96),"",ReferenceData!$D$96),"")</f>
        <v>BEST_EPS_NXT_YR</v>
      </c>
      <c r="E96" t="str">
        <f>IFERROR(IF(0=LEN(ReferenceData!$E$96),"",ReferenceData!$E$96),"")</f>
        <v>Dynamic</v>
      </c>
      <c r="F96" t="str">
        <f ca="1">IFERROR(IF(0=LEN(ReferenceData!$F$96),"",ReferenceData!$F$96),"")</f>
        <v/>
      </c>
      <c r="G96" t="str">
        <f ca="1">IFERROR(IF(0=LEN(ReferenceData!$G$96),"",ReferenceData!$G$96),"")</f>
        <v/>
      </c>
      <c r="H96" t="str">
        <f ca="1">IFERROR(IF(0=LEN(ReferenceData!$H$96),"",ReferenceData!$H$96),"")</f>
        <v/>
      </c>
      <c r="I96" t="str">
        <f ca="1">IFERROR(IF(0=LEN(ReferenceData!$I$96),"",ReferenceData!$I$96),"")</f>
        <v/>
      </c>
      <c r="J96" t="str">
        <f ca="1">IFERROR(IF(0=LEN(ReferenceData!$J$96),"",ReferenceData!$J$96),"")</f>
        <v/>
      </c>
      <c r="K96">
        <f ca="1">IFERROR(IF(0=LEN(ReferenceData!$K$96),"",ReferenceData!$K$96),"")</f>
        <v>4.2000000000000003E-2</v>
      </c>
      <c r="L96">
        <f ca="1">IFERROR(IF(0=LEN(ReferenceData!$L$96),"",ReferenceData!$L$96),"")</f>
        <v>4.1000000000000002E-2</v>
      </c>
      <c r="M96">
        <f ca="1">IFERROR(IF(0=LEN(ReferenceData!$M$96),"",ReferenceData!$M$96),"")</f>
        <v>3.7999999999999999E-2</v>
      </c>
      <c r="N96" t="str">
        <f ca="1">IFERROR(IF(0=LEN(ReferenceData!$N$96),"",ReferenceData!$N$96),"")</f>
        <v/>
      </c>
      <c r="O96" t="str">
        <f ca="1">IFERROR(IF(0=LEN(ReferenceData!$O$96),"",ReferenceData!$O$96),"")</f>
        <v/>
      </c>
      <c r="P96" t="str">
        <f ca="1">IFERROR(IF(0=LEN(ReferenceData!$P$96),"",ReferenceData!$P$96),"")</f>
        <v/>
      </c>
      <c r="Q96" t="str">
        <f ca="1">IFERROR(IF(0=LEN(ReferenceData!$Q$96),"",ReferenceData!$Q$96),"")</f>
        <v/>
      </c>
      <c r="R96" t="str">
        <f ca="1">IFERROR(IF(0=LEN(ReferenceData!$R$96),"",ReferenceData!$R$96),"")</f>
        <v/>
      </c>
      <c r="S96" t="str">
        <f ca="1">IFERROR(IF(0=LEN(ReferenceData!$S$96),"",ReferenceData!$S$96),"")</f>
        <v/>
      </c>
      <c r="T96" t="str">
        <f ca="1">IFERROR(IF(0=LEN(ReferenceData!$T$96),"",ReferenceData!$T$96),"")</f>
        <v/>
      </c>
      <c r="U96" t="str">
        <f ca="1">IFERROR(IF(0=LEN(ReferenceData!$U$96),"",ReferenceData!$U$96),"")</f>
        <v/>
      </c>
      <c r="V96" t="str">
        <f ca="1">IFERROR(IF(0=LEN(ReferenceData!$V$96),"",ReferenceData!$V$96),"")</f>
        <v/>
      </c>
      <c r="W96" t="str">
        <f ca="1">IFERROR(IF(0=LEN(ReferenceData!$W$96),"",ReferenceData!$W$96),"")</f>
        <v/>
      </c>
      <c r="X96" t="str">
        <f ca="1">IFERROR(IF(0=LEN(ReferenceData!$X$96),"",ReferenceData!$X$96),"")</f>
        <v/>
      </c>
      <c r="Y96" t="str">
        <f ca="1">IFERROR(IF(0=LEN(ReferenceData!$Y$96),"",ReferenceData!$Y$96),"")</f>
        <v/>
      </c>
      <c r="Z96" t="str">
        <f ca="1">IFERROR(IF(0=LEN(ReferenceData!$Z$96),"",ReferenceData!$Z$96),"")</f>
        <v/>
      </c>
      <c r="AA96" t="str">
        <f ca="1">IFERROR(IF(0=LEN(ReferenceData!$AA$96),"",ReferenceData!$AA$96),"")</f>
        <v/>
      </c>
      <c r="AB96" t="str">
        <f ca="1">IFERROR(IF(0=LEN(ReferenceData!$AB$96),"",ReferenceData!$AB$96),"")</f>
        <v/>
      </c>
      <c r="AC96" t="str">
        <f ca="1">IFERROR(IF(0=LEN(ReferenceData!$AC$96),"",ReferenceData!$AC$96),"")</f>
        <v/>
      </c>
      <c r="AD96" t="str">
        <f ca="1">IFERROR(IF(0=LEN(ReferenceData!$AD$96),"",ReferenceData!$AD$96),"")</f>
        <v/>
      </c>
      <c r="AE96" t="str">
        <f ca="1">IFERROR(IF(0=LEN(ReferenceData!$AE$96),"",ReferenceData!$AE$96),"")</f>
        <v/>
      </c>
      <c r="AF96" t="str">
        <f ca="1">IFERROR(IF(0=LEN(ReferenceData!$AF$96),"",ReferenceData!$AF$96),"")</f>
        <v/>
      </c>
      <c r="AG96" t="str">
        <f ca="1">IFERROR(IF(0=LEN(ReferenceData!$AG$96),"",ReferenceData!$AG$96),"")</f>
        <v/>
      </c>
      <c r="AH96" t="str">
        <f ca="1">IFERROR(IF(0=LEN(ReferenceData!$AH$96),"",ReferenceData!$AH$96),"")</f>
        <v/>
      </c>
      <c r="AI96" t="str">
        <f ca="1">IFERROR(IF(0=LEN(ReferenceData!$AI$96),"",ReferenceData!$AI$96),"")</f>
        <v/>
      </c>
      <c r="AJ96" t="str">
        <f ca="1">IFERROR(IF(0=LEN(ReferenceData!$AJ$96),"",ReferenceData!$AJ$96),"")</f>
        <v/>
      </c>
      <c r="AK96" t="str">
        <f ca="1">IFERROR(IF(0=LEN(ReferenceData!$AK$96),"",ReferenceData!$AK$96),"")</f>
        <v/>
      </c>
      <c r="AL96" t="str">
        <f ca="1">IFERROR(IF(0=LEN(ReferenceData!$AL$96),"",ReferenceData!$AL$96),"")</f>
        <v/>
      </c>
      <c r="AM96" t="str">
        <f ca="1">IFERROR(IF(0=LEN(ReferenceData!$AM$96),"",ReferenceData!$AM$96),"")</f>
        <v/>
      </c>
      <c r="AN96" t="str">
        <f ca="1">IFERROR(IF(0=LEN(ReferenceData!$AN$96),"",ReferenceData!$AN$96),"")</f>
        <v/>
      </c>
      <c r="AO96" t="str">
        <f ca="1">IFERROR(IF(0=LEN(ReferenceData!$AO$96),"",ReferenceData!$AO$96),"")</f>
        <v/>
      </c>
      <c r="AP96" t="str">
        <f ca="1">IFERROR(IF(0=LEN(ReferenceData!$AP$96),"",ReferenceData!$AP$96),"")</f>
        <v/>
      </c>
      <c r="AQ96" t="str">
        <f ca="1">IFERROR(IF(0=LEN(ReferenceData!$AQ$96),"",ReferenceData!$AQ$96),"")</f>
        <v/>
      </c>
      <c r="AR96" t="str">
        <f ca="1">IFERROR(IF(0=LEN(ReferenceData!$AR$96),"",ReferenceData!$AR$96),"")</f>
        <v/>
      </c>
      <c r="AS96" t="str">
        <f ca="1">IFERROR(IF(0=LEN(ReferenceData!$AS$96),"",ReferenceData!$AS$96),"")</f>
        <v/>
      </c>
      <c r="AT96" t="str">
        <f ca="1">IFERROR(IF(0=LEN(ReferenceData!$AT$96),"",ReferenceData!$AT$96),"")</f>
        <v/>
      </c>
      <c r="AU96" t="str">
        <f ca="1">IFERROR(IF(0=LEN(ReferenceData!$AU$96),"",ReferenceData!$AU$96),"")</f>
        <v/>
      </c>
      <c r="AV96" t="str">
        <f ca="1">IFERROR(IF(0=LEN(ReferenceData!$AV$96),"",ReferenceData!$AV$96),"")</f>
        <v/>
      </c>
      <c r="AW96" t="str">
        <f ca="1">IFERROR(IF(0=LEN(ReferenceData!$AW$96),"",ReferenceData!$AW$96),"")</f>
        <v/>
      </c>
      <c r="AX96" t="str">
        <f ca="1">IFERROR(IF(0=LEN(ReferenceData!$AX$96),"",ReferenceData!$AX$96),"")</f>
        <v/>
      </c>
      <c r="AY96" t="str">
        <f ca="1">IFERROR(IF(0=LEN(ReferenceData!$AY$96),"",ReferenceData!$AY$96),"")</f>
        <v/>
      </c>
      <c r="AZ96" t="str">
        <f ca="1">IFERROR(IF(0=LEN(ReferenceData!$AZ$96),"",ReferenceData!$AZ$96),"")</f>
        <v/>
      </c>
      <c r="BA96" t="str">
        <f ca="1">IFERROR(IF(0=LEN(ReferenceData!$BA$96),"",ReferenceData!$BA$96),"")</f>
        <v/>
      </c>
      <c r="BB96" t="str">
        <f ca="1">IFERROR(IF(0=LEN(ReferenceData!$BB$96),"",ReferenceData!$BB$96),"")</f>
        <v/>
      </c>
      <c r="BC96" t="str">
        <f ca="1">IFERROR(IF(0=LEN(ReferenceData!$BC$96),"",ReferenceData!$BC$96),"")</f>
        <v/>
      </c>
      <c r="BD96" t="str">
        <f ca="1">IFERROR(IF(0=LEN(ReferenceData!$BD$96),"",ReferenceData!$BD$96),"")</f>
        <v/>
      </c>
      <c r="BE96" t="str">
        <f ca="1">IFERROR(IF(0=LEN(ReferenceData!$BE$96),"",ReferenceData!$BE$96),"")</f>
        <v/>
      </c>
      <c r="BF96" t="str">
        <f ca="1">IFERROR(IF(0=LEN(ReferenceData!$BF$96),"",ReferenceData!$BF$96),"")</f>
        <v/>
      </c>
      <c r="BG96" t="str">
        <f ca="1">IFERROR(IF(0=LEN(ReferenceData!$BG$96),"",ReferenceData!$BG$96),"")</f>
        <v/>
      </c>
      <c r="BH96" t="str">
        <f ca="1">IFERROR(IF(0=LEN(ReferenceData!$BH$96),"",ReferenceData!$BH$96),"")</f>
        <v/>
      </c>
      <c r="BI96" t="str">
        <f ca="1">IFERROR(IF(0=LEN(ReferenceData!$BI$96),"",ReferenceData!$BI$96),"")</f>
        <v/>
      </c>
      <c r="BJ96" t="str">
        <f ca="1">IFERROR(IF(0=LEN(ReferenceData!$BJ$96),"",ReferenceData!$BJ$96),"")</f>
        <v/>
      </c>
      <c r="BK96" t="str">
        <f ca="1">IFERROR(IF(0=LEN(ReferenceData!$BK$96),"",ReferenceData!$BK$96),"")</f>
        <v/>
      </c>
      <c r="BL96" t="str">
        <f ca="1">IFERROR(IF(0=LEN(ReferenceData!$BL$96),"",ReferenceData!$BL$96),"")</f>
        <v/>
      </c>
      <c r="BM96" t="str">
        <f ca="1">IFERROR(IF(0=LEN(ReferenceData!$BM$96),"",ReferenceData!$BM$96),"")</f>
        <v/>
      </c>
    </row>
    <row r="97" spans="1:65" x14ac:dyDescent="0.25">
      <c r="A97" t="str">
        <f>IFERROR(IF(0=LEN(ReferenceData!$A$97),"",ReferenceData!$A$97),"")</f>
        <v xml:space="preserve">    Fiat Chrysler Automobiles NV</v>
      </c>
      <c r="B97" t="str">
        <f>IFERROR(IF(0=LEN(ReferenceData!$B$97),"",ReferenceData!$B$97),"")</f>
        <v>FCAU US Equity</v>
      </c>
      <c r="C97" t="str">
        <f>IFERROR(IF(0=LEN(ReferenceData!$C$97),"",ReferenceData!$C$97),"")</f>
        <v>EZ021</v>
      </c>
      <c r="D97" t="str">
        <f>IFERROR(IF(0=LEN(ReferenceData!$D$97),"",ReferenceData!$D$97),"")</f>
        <v>BEST_EPS_NXT_YR</v>
      </c>
      <c r="E97" t="str">
        <f>IFERROR(IF(0=LEN(ReferenceData!$E$97),"",ReferenceData!$E$97),"")</f>
        <v>Dynamic</v>
      </c>
      <c r="F97">
        <f ca="1">IFERROR(IF(0=LEN(ReferenceData!$F$97),"",ReferenceData!$F$97),"")</f>
        <v>3.5859999999999999</v>
      </c>
      <c r="G97">
        <f ca="1">IFERROR(IF(0=LEN(ReferenceData!$G$97),"",ReferenceData!$G$97),"")</f>
        <v>4.0140000000000002</v>
      </c>
      <c r="H97">
        <f ca="1">IFERROR(IF(0=LEN(ReferenceData!$H$97),"",ReferenceData!$H$97),"")</f>
        <v>4.3079999999999998</v>
      </c>
      <c r="I97">
        <f ca="1">IFERROR(IF(0=LEN(ReferenceData!$I$97),"",ReferenceData!$I$97),"")</f>
        <v>4.3879999999999999</v>
      </c>
      <c r="J97">
        <f ca="1">IFERROR(IF(0=LEN(ReferenceData!$J$97),"",ReferenceData!$J$97),"")</f>
        <v>4.343</v>
      </c>
      <c r="K97">
        <f ca="1">IFERROR(IF(0=LEN(ReferenceData!$K$97),"",ReferenceData!$K$97),"")</f>
        <v>3.109</v>
      </c>
      <c r="L97">
        <f ca="1">IFERROR(IF(0=LEN(ReferenceData!$L$97),"",ReferenceData!$L$97),"")</f>
        <v>2.7389999999999999</v>
      </c>
      <c r="M97">
        <f ca="1">IFERROR(IF(0=LEN(ReferenceData!$M$97),"",ReferenceData!$M$97),"")</f>
        <v>2.5779999999999998</v>
      </c>
      <c r="N97">
        <f ca="1">IFERROR(IF(0=LEN(ReferenceData!$N$97),"",ReferenceData!$N$97),"")</f>
        <v>2.4319999999999999</v>
      </c>
      <c r="O97">
        <f ca="1">IFERROR(IF(0=LEN(ReferenceData!$O$97),"",ReferenceData!$O$97),"")</f>
        <v>2.589</v>
      </c>
      <c r="P97">
        <f ca="1">IFERROR(IF(0=LEN(ReferenceData!$P$97),"",ReferenceData!$P$97),"")</f>
        <v>2.847</v>
      </c>
      <c r="Q97">
        <f ca="1">IFERROR(IF(0=LEN(ReferenceData!$Q$97),"",ReferenceData!$Q$97),"")</f>
        <v>0.316</v>
      </c>
      <c r="R97">
        <f ca="1">IFERROR(IF(0=LEN(ReferenceData!$R$97),"",ReferenceData!$R$97),"")</f>
        <v>-0.76100000000000001</v>
      </c>
      <c r="S97">
        <f ca="1">IFERROR(IF(0=LEN(ReferenceData!$S$97),"",ReferenceData!$S$97),"")</f>
        <v>0.73199999999999998</v>
      </c>
      <c r="T97">
        <f ca="1">IFERROR(IF(0=LEN(ReferenceData!$T$97),"",ReferenceData!$T$97),"")</f>
        <v>1.637</v>
      </c>
      <c r="U97" t="str">
        <f ca="1">IFERROR(IF(0=LEN(ReferenceData!$U$97),"",ReferenceData!$U$97),"")</f>
        <v/>
      </c>
      <c r="V97" t="str">
        <f ca="1">IFERROR(IF(0=LEN(ReferenceData!$V$97),"",ReferenceData!$V$97),"")</f>
        <v/>
      </c>
      <c r="W97" t="str">
        <f ca="1">IFERROR(IF(0=LEN(ReferenceData!$W$97),"",ReferenceData!$W$97),"")</f>
        <v/>
      </c>
      <c r="X97" t="str">
        <f ca="1">IFERROR(IF(0=LEN(ReferenceData!$X$97),"",ReferenceData!$X$97),"")</f>
        <v/>
      </c>
      <c r="Y97" t="str">
        <f ca="1">IFERROR(IF(0=LEN(ReferenceData!$Y$97),"",ReferenceData!$Y$97),"")</f>
        <v/>
      </c>
      <c r="Z97" t="str">
        <f ca="1">IFERROR(IF(0=LEN(ReferenceData!$Z$97),"",ReferenceData!$Z$97),"")</f>
        <v/>
      </c>
      <c r="AA97" t="str">
        <f ca="1">IFERROR(IF(0=LEN(ReferenceData!$AA$97),"",ReferenceData!$AA$97),"")</f>
        <v/>
      </c>
      <c r="AB97" t="str">
        <f ca="1">IFERROR(IF(0=LEN(ReferenceData!$AB$97),"",ReferenceData!$AB$97),"")</f>
        <v/>
      </c>
      <c r="AC97" t="str">
        <f ca="1">IFERROR(IF(0=LEN(ReferenceData!$AC$97),"",ReferenceData!$AC$97),"")</f>
        <v/>
      </c>
      <c r="AD97" t="str">
        <f ca="1">IFERROR(IF(0=LEN(ReferenceData!$AD$97),"",ReferenceData!$AD$97),"")</f>
        <v/>
      </c>
      <c r="AE97" t="str">
        <f ca="1">IFERROR(IF(0=LEN(ReferenceData!$AE$97),"",ReferenceData!$AE$97),"")</f>
        <v/>
      </c>
      <c r="AF97" t="str">
        <f ca="1">IFERROR(IF(0=LEN(ReferenceData!$AF$97),"",ReferenceData!$AF$97),"")</f>
        <v/>
      </c>
      <c r="AG97" t="str">
        <f ca="1">IFERROR(IF(0=LEN(ReferenceData!$AG$97),"",ReferenceData!$AG$97),"")</f>
        <v/>
      </c>
      <c r="AH97" t="str">
        <f ca="1">IFERROR(IF(0=LEN(ReferenceData!$AH$97),"",ReferenceData!$AH$97),"")</f>
        <v/>
      </c>
      <c r="AI97" t="str">
        <f ca="1">IFERROR(IF(0=LEN(ReferenceData!$AI$97),"",ReferenceData!$AI$97),"")</f>
        <v/>
      </c>
      <c r="AJ97" t="str">
        <f ca="1">IFERROR(IF(0=LEN(ReferenceData!$AJ$97),"",ReferenceData!$AJ$97),"")</f>
        <v/>
      </c>
      <c r="AK97" t="str">
        <f ca="1">IFERROR(IF(0=LEN(ReferenceData!$AK$97),"",ReferenceData!$AK$97),"")</f>
        <v/>
      </c>
      <c r="AL97" t="str">
        <f ca="1">IFERROR(IF(0=LEN(ReferenceData!$AL$97),"",ReferenceData!$AL$97),"")</f>
        <v/>
      </c>
      <c r="AM97" t="str">
        <f ca="1">IFERROR(IF(0=LEN(ReferenceData!$AM$97),"",ReferenceData!$AM$97),"")</f>
        <v/>
      </c>
      <c r="AN97" t="str">
        <f ca="1">IFERROR(IF(0=LEN(ReferenceData!$AN$97),"",ReferenceData!$AN$97),"")</f>
        <v/>
      </c>
      <c r="AO97" t="str">
        <f ca="1">IFERROR(IF(0=LEN(ReferenceData!$AO$97),"",ReferenceData!$AO$97),"")</f>
        <v/>
      </c>
      <c r="AP97" t="str">
        <f ca="1">IFERROR(IF(0=LEN(ReferenceData!$AP$97),"",ReferenceData!$AP$97),"")</f>
        <v/>
      </c>
      <c r="AQ97" t="str">
        <f ca="1">IFERROR(IF(0=LEN(ReferenceData!$AQ$97),"",ReferenceData!$AQ$97),"")</f>
        <v/>
      </c>
      <c r="AR97" t="str">
        <f ca="1">IFERROR(IF(0=LEN(ReferenceData!$AR$97),"",ReferenceData!$AR$97),"")</f>
        <v/>
      </c>
      <c r="AS97" t="str">
        <f ca="1">IFERROR(IF(0=LEN(ReferenceData!$AS$97),"",ReferenceData!$AS$97),"")</f>
        <v/>
      </c>
      <c r="AT97" t="str">
        <f ca="1">IFERROR(IF(0=LEN(ReferenceData!$AT$97),"",ReferenceData!$AT$97),"")</f>
        <v/>
      </c>
      <c r="AU97" t="str">
        <f ca="1">IFERROR(IF(0=LEN(ReferenceData!$AU$97),"",ReferenceData!$AU$97),"")</f>
        <v/>
      </c>
      <c r="AV97" t="str">
        <f ca="1">IFERROR(IF(0=LEN(ReferenceData!$AV$97),"",ReferenceData!$AV$97),"")</f>
        <v/>
      </c>
      <c r="AW97" t="str">
        <f ca="1">IFERROR(IF(0=LEN(ReferenceData!$AW$97),"",ReferenceData!$AW$97),"")</f>
        <v/>
      </c>
      <c r="AX97" t="str">
        <f ca="1">IFERROR(IF(0=LEN(ReferenceData!$AX$97),"",ReferenceData!$AX$97),"")</f>
        <v/>
      </c>
      <c r="AY97" t="str">
        <f ca="1">IFERROR(IF(0=LEN(ReferenceData!$AY$97),"",ReferenceData!$AY$97),"")</f>
        <v/>
      </c>
      <c r="AZ97" t="str">
        <f ca="1">IFERROR(IF(0=LEN(ReferenceData!$AZ$97),"",ReferenceData!$AZ$97),"")</f>
        <v/>
      </c>
      <c r="BA97" t="str">
        <f ca="1">IFERROR(IF(0=LEN(ReferenceData!$BA$97),"",ReferenceData!$BA$97),"")</f>
        <v/>
      </c>
      <c r="BB97" t="str">
        <f ca="1">IFERROR(IF(0=LEN(ReferenceData!$BB$97),"",ReferenceData!$BB$97),"")</f>
        <v/>
      </c>
      <c r="BC97" t="str">
        <f ca="1">IFERROR(IF(0=LEN(ReferenceData!$BC$97),"",ReferenceData!$BC$97),"")</f>
        <v/>
      </c>
      <c r="BD97" t="str">
        <f ca="1">IFERROR(IF(0=LEN(ReferenceData!$BD$97),"",ReferenceData!$BD$97),"")</f>
        <v/>
      </c>
      <c r="BE97" t="str">
        <f ca="1">IFERROR(IF(0=LEN(ReferenceData!$BE$97),"",ReferenceData!$BE$97),"")</f>
        <v/>
      </c>
      <c r="BF97" t="str">
        <f ca="1">IFERROR(IF(0=LEN(ReferenceData!$BF$97),"",ReferenceData!$BF$97),"")</f>
        <v/>
      </c>
      <c r="BG97" t="str">
        <f ca="1">IFERROR(IF(0=LEN(ReferenceData!$BG$97),"",ReferenceData!$BG$97),"")</f>
        <v/>
      </c>
      <c r="BH97" t="str">
        <f ca="1">IFERROR(IF(0=LEN(ReferenceData!$BH$97),"",ReferenceData!$BH$97),"")</f>
        <v/>
      </c>
      <c r="BI97" t="str">
        <f ca="1">IFERROR(IF(0=LEN(ReferenceData!$BI$97),"",ReferenceData!$BI$97),"")</f>
        <v/>
      </c>
      <c r="BJ97" t="str">
        <f ca="1">IFERROR(IF(0=LEN(ReferenceData!$BJ$97),"",ReferenceData!$BJ$97),"")</f>
        <v/>
      </c>
      <c r="BK97" t="str">
        <f ca="1">IFERROR(IF(0=LEN(ReferenceData!$BK$97),"",ReferenceData!$BK$97),"")</f>
        <v/>
      </c>
      <c r="BL97" t="str">
        <f ca="1">IFERROR(IF(0=LEN(ReferenceData!$BL$97),"",ReferenceData!$BL$97),"")</f>
        <v/>
      </c>
      <c r="BM97" t="str">
        <f ca="1">IFERROR(IF(0=LEN(ReferenceData!$BM$97),"",ReferenceData!$BM$97),"")</f>
        <v/>
      </c>
    </row>
    <row r="98" spans="1:65" x14ac:dyDescent="0.25">
      <c r="A98" t="str">
        <f>IFERROR(IF(0=LEN(ReferenceData!$A$98),"",ReferenceData!$A$98),"")</f>
        <v xml:space="preserve">    Ford Motor Co</v>
      </c>
      <c r="B98" t="str">
        <f>IFERROR(IF(0=LEN(ReferenceData!$B$98),"",ReferenceData!$B$98),"")</f>
        <v>F US Equity</v>
      </c>
      <c r="C98" t="str">
        <f>IFERROR(IF(0=LEN(ReferenceData!$C$98),"",ReferenceData!$C$98),"")</f>
        <v>EZ021</v>
      </c>
      <c r="D98" t="str">
        <f>IFERROR(IF(0=LEN(ReferenceData!$D$98),"",ReferenceData!$D$98),"")</f>
        <v>BEST_EPS_NXT_YR</v>
      </c>
      <c r="E98" t="str">
        <f>IFERROR(IF(0=LEN(ReferenceData!$E$98),"",ReferenceData!$E$98),"")</f>
        <v>Dynamic</v>
      </c>
      <c r="F98">
        <f ca="1">IFERROR(IF(0=LEN(ReferenceData!$F$98),"",ReferenceData!$F$98),"")</f>
        <v>1.32</v>
      </c>
      <c r="G98">
        <f ca="1">IFERROR(IF(0=LEN(ReferenceData!$G$98),"",ReferenceData!$G$98),"")</f>
        <v>1.544</v>
      </c>
      <c r="H98">
        <f ca="1">IFERROR(IF(0=LEN(ReferenceData!$H$98),"",ReferenceData!$H$98),"")</f>
        <v>1.573</v>
      </c>
      <c r="I98">
        <f ca="1">IFERROR(IF(0=LEN(ReferenceData!$I$98),"",ReferenceData!$I$98),"")</f>
        <v>1.665</v>
      </c>
      <c r="J98">
        <f ca="1">IFERROR(IF(0=LEN(ReferenceData!$J$98),"",ReferenceData!$J$98),"")</f>
        <v>1.577</v>
      </c>
      <c r="K98">
        <f ca="1">IFERROR(IF(0=LEN(ReferenceData!$K$98),"",ReferenceData!$K$98),"")</f>
        <v>1.627</v>
      </c>
      <c r="L98">
        <f ca="1">IFERROR(IF(0=LEN(ReferenceData!$L$98),"",ReferenceData!$L$98),"")</f>
        <v>1.643</v>
      </c>
      <c r="M98">
        <f ca="1">IFERROR(IF(0=LEN(ReferenceData!$M$98),"",ReferenceData!$M$98),"")</f>
        <v>1.85</v>
      </c>
      <c r="N98">
        <f ca="1">IFERROR(IF(0=LEN(ReferenceData!$N$98),"",ReferenceData!$N$98),"")</f>
        <v>1.95</v>
      </c>
      <c r="O98">
        <f ca="1">IFERROR(IF(0=LEN(ReferenceData!$O$98),"",ReferenceData!$O$98),"")</f>
        <v>1.91</v>
      </c>
      <c r="P98">
        <f ca="1">IFERROR(IF(0=LEN(ReferenceData!$P$98),"",ReferenceData!$P$98),"")</f>
        <v>2.02</v>
      </c>
      <c r="Q98" t="str">
        <f ca="1">IFERROR(IF(0=LEN(ReferenceData!$Q$98),"",ReferenceData!$Q$98),"")</f>
        <v/>
      </c>
      <c r="R98" t="str">
        <f ca="1">IFERROR(IF(0=LEN(ReferenceData!$R$98),"",ReferenceData!$R$98),"")</f>
        <v/>
      </c>
      <c r="S98" t="str">
        <f ca="1">IFERROR(IF(0=LEN(ReferenceData!$S$98),"",ReferenceData!$S$98),"")</f>
        <v/>
      </c>
      <c r="T98" t="str">
        <f ca="1">IFERROR(IF(0=LEN(ReferenceData!$T$98),"",ReferenceData!$T$98),"")</f>
        <v/>
      </c>
      <c r="U98" t="str">
        <f ca="1">IFERROR(IF(0=LEN(ReferenceData!$U$98),"",ReferenceData!$U$98),"")</f>
        <v/>
      </c>
      <c r="V98" t="str">
        <f ca="1">IFERROR(IF(0=LEN(ReferenceData!$V$98),"",ReferenceData!$V$98),"")</f>
        <v/>
      </c>
      <c r="W98" t="str">
        <f ca="1">IFERROR(IF(0=LEN(ReferenceData!$W$98),"",ReferenceData!$W$98),"")</f>
        <v/>
      </c>
      <c r="X98" t="str">
        <f ca="1">IFERROR(IF(0=LEN(ReferenceData!$X$98),"",ReferenceData!$X$98),"")</f>
        <v/>
      </c>
      <c r="Y98" t="str">
        <f ca="1">IFERROR(IF(0=LEN(ReferenceData!$Y$98),"",ReferenceData!$Y$98),"")</f>
        <v/>
      </c>
      <c r="Z98" t="str">
        <f ca="1">IFERROR(IF(0=LEN(ReferenceData!$Z$98),"",ReferenceData!$Z$98),"")</f>
        <v/>
      </c>
      <c r="AA98" t="str">
        <f ca="1">IFERROR(IF(0=LEN(ReferenceData!$AA$98),"",ReferenceData!$AA$98),"")</f>
        <v/>
      </c>
      <c r="AB98" t="str">
        <f ca="1">IFERROR(IF(0=LEN(ReferenceData!$AB$98),"",ReferenceData!$AB$98),"")</f>
        <v/>
      </c>
      <c r="AC98" t="str">
        <f ca="1">IFERROR(IF(0=LEN(ReferenceData!$AC$98),"",ReferenceData!$AC$98),"")</f>
        <v/>
      </c>
      <c r="AD98" t="str">
        <f ca="1">IFERROR(IF(0=LEN(ReferenceData!$AD$98),"",ReferenceData!$AD$98),"")</f>
        <v/>
      </c>
      <c r="AE98" t="str">
        <f ca="1">IFERROR(IF(0=LEN(ReferenceData!$AE$98),"",ReferenceData!$AE$98),"")</f>
        <v/>
      </c>
      <c r="AF98" t="str">
        <f ca="1">IFERROR(IF(0=LEN(ReferenceData!$AF$98),"",ReferenceData!$AF$98),"")</f>
        <v/>
      </c>
      <c r="AG98" t="str">
        <f ca="1">IFERROR(IF(0=LEN(ReferenceData!$AG$98),"",ReferenceData!$AG$98),"")</f>
        <v/>
      </c>
      <c r="AH98" t="str">
        <f ca="1">IFERROR(IF(0=LEN(ReferenceData!$AH$98),"",ReferenceData!$AH$98),"")</f>
        <v/>
      </c>
      <c r="AI98" t="str">
        <f ca="1">IFERROR(IF(0=LEN(ReferenceData!$AI$98),"",ReferenceData!$AI$98),"")</f>
        <v/>
      </c>
      <c r="AJ98" t="str">
        <f ca="1">IFERROR(IF(0=LEN(ReferenceData!$AJ$98),"",ReferenceData!$AJ$98),"")</f>
        <v/>
      </c>
      <c r="AK98" t="str">
        <f ca="1">IFERROR(IF(0=LEN(ReferenceData!$AK$98),"",ReferenceData!$AK$98),"")</f>
        <v/>
      </c>
      <c r="AL98" t="str">
        <f ca="1">IFERROR(IF(0=LEN(ReferenceData!$AL$98),"",ReferenceData!$AL$98),"")</f>
        <v/>
      </c>
      <c r="AM98" t="str">
        <f ca="1">IFERROR(IF(0=LEN(ReferenceData!$AM$98),"",ReferenceData!$AM$98),"")</f>
        <v/>
      </c>
      <c r="AN98" t="str">
        <f ca="1">IFERROR(IF(0=LEN(ReferenceData!$AN$98),"",ReferenceData!$AN$98),"")</f>
        <v/>
      </c>
      <c r="AO98" t="str">
        <f ca="1">IFERROR(IF(0=LEN(ReferenceData!$AO$98),"",ReferenceData!$AO$98),"")</f>
        <v/>
      </c>
      <c r="AP98" t="str">
        <f ca="1">IFERROR(IF(0=LEN(ReferenceData!$AP$98),"",ReferenceData!$AP$98),"")</f>
        <v/>
      </c>
      <c r="AQ98" t="str">
        <f ca="1">IFERROR(IF(0=LEN(ReferenceData!$AQ$98),"",ReferenceData!$AQ$98),"")</f>
        <v/>
      </c>
      <c r="AR98" t="str">
        <f ca="1">IFERROR(IF(0=LEN(ReferenceData!$AR$98),"",ReferenceData!$AR$98),"")</f>
        <v/>
      </c>
      <c r="AS98" t="str">
        <f ca="1">IFERROR(IF(0=LEN(ReferenceData!$AS$98),"",ReferenceData!$AS$98),"")</f>
        <v/>
      </c>
      <c r="AT98" t="str">
        <f ca="1">IFERROR(IF(0=LEN(ReferenceData!$AT$98),"",ReferenceData!$AT$98),"")</f>
        <v/>
      </c>
      <c r="AU98" t="str">
        <f ca="1">IFERROR(IF(0=LEN(ReferenceData!$AU$98),"",ReferenceData!$AU$98),"")</f>
        <v/>
      </c>
      <c r="AV98" t="str">
        <f ca="1">IFERROR(IF(0=LEN(ReferenceData!$AV$98),"",ReferenceData!$AV$98),"")</f>
        <v/>
      </c>
      <c r="AW98" t="str">
        <f ca="1">IFERROR(IF(0=LEN(ReferenceData!$AW$98),"",ReferenceData!$AW$98),"")</f>
        <v/>
      </c>
      <c r="AX98" t="str">
        <f ca="1">IFERROR(IF(0=LEN(ReferenceData!$AX$98),"",ReferenceData!$AX$98),"")</f>
        <v/>
      </c>
      <c r="AY98" t="str">
        <f ca="1">IFERROR(IF(0=LEN(ReferenceData!$AY$98),"",ReferenceData!$AY$98),"")</f>
        <v/>
      </c>
      <c r="AZ98" t="str">
        <f ca="1">IFERROR(IF(0=LEN(ReferenceData!$AZ$98),"",ReferenceData!$AZ$98),"")</f>
        <v/>
      </c>
      <c r="BA98" t="str">
        <f ca="1">IFERROR(IF(0=LEN(ReferenceData!$BA$98),"",ReferenceData!$BA$98),"")</f>
        <v/>
      </c>
      <c r="BB98" t="str">
        <f ca="1">IFERROR(IF(0=LEN(ReferenceData!$BB$98),"",ReferenceData!$BB$98),"")</f>
        <v/>
      </c>
      <c r="BC98" t="str">
        <f ca="1">IFERROR(IF(0=LEN(ReferenceData!$BC$98),"",ReferenceData!$BC$98),"")</f>
        <v/>
      </c>
      <c r="BD98" t="str">
        <f ca="1">IFERROR(IF(0=LEN(ReferenceData!$BD$98),"",ReferenceData!$BD$98),"")</f>
        <v/>
      </c>
      <c r="BE98" t="str">
        <f ca="1">IFERROR(IF(0=LEN(ReferenceData!$BE$98),"",ReferenceData!$BE$98),"")</f>
        <v/>
      </c>
      <c r="BF98" t="str">
        <f ca="1">IFERROR(IF(0=LEN(ReferenceData!$BF$98),"",ReferenceData!$BF$98),"")</f>
        <v/>
      </c>
      <c r="BG98" t="str">
        <f ca="1">IFERROR(IF(0=LEN(ReferenceData!$BG$98),"",ReferenceData!$BG$98),"")</f>
        <v/>
      </c>
      <c r="BH98" t="str">
        <f ca="1">IFERROR(IF(0=LEN(ReferenceData!$BH$98),"",ReferenceData!$BH$98),"")</f>
        <v/>
      </c>
      <c r="BI98" t="str">
        <f ca="1">IFERROR(IF(0=LEN(ReferenceData!$BI$98),"",ReferenceData!$BI$98),"")</f>
        <v/>
      </c>
      <c r="BJ98" t="str">
        <f ca="1">IFERROR(IF(0=LEN(ReferenceData!$BJ$98),"",ReferenceData!$BJ$98),"")</f>
        <v/>
      </c>
      <c r="BK98" t="str">
        <f ca="1">IFERROR(IF(0=LEN(ReferenceData!$BK$98),"",ReferenceData!$BK$98),"")</f>
        <v/>
      </c>
      <c r="BL98" t="str">
        <f ca="1">IFERROR(IF(0=LEN(ReferenceData!$BL$98),"",ReferenceData!$BL$98),"")</f>
        <v/>
      </c>
      <c r="BM98" t="str">
        <f ca="1">IFERROR(IF(0=LEN(ReferenceData!$BM$98),"",ReferenceData!$BM$98),"")</f>
        <v/>
      </c>
    </row>
    <row r="99" spans="1:65" x14ac:dyDescent="0.25">
      <c r="A99" t="str">
        <f>IFERROR(IF(0=LEN(ReferenceData!$A$99),"",ReferenceData!$A$99),"")</f>
        <v xml:space="preserve">    Ford Otomotiv Sanayi AS</v>
      </c>
      <c r="B99" t="str">
        <f>IFERROR(IF(0=LEN(ReferenceData!$B$99),"",ReferenceData!$B$99),"")</f>
        <v>FROTOTRY EO Equity</v>
      </c>
      <c r="C99" t="str">
        <f>IFERROR(IF(0=LEN(ReferenceData!$C$99),"",ReferenceData!$C$99),"")</f>
        <v>EZ021</v>
      </c>
      <c r="D99" t="str">
        <f>IFERROR(IF(0=LEN(ReferenceData!$D$99),"",ReferenceData!$D$99),"")</f>
        <v>BEST_EPS_NXT_YR</v>
      </c>
      <c r="E99" t="str">
        <f>IFERROR(IF(0=LEN(ReferenceData!$E$99),"",ReferenceData!$E$99),"")</f>
        <v>Dynamic</v>
      </c>
      <c r="F99">
        <f ca="1">IFERROR(IF(0=LEN(ReferenceData!$F$99),"",ReferenceData!$F$99),"")</f>
        <v>1.462</v>
      </c>
      <c r="G99">
        <f ca="1">IFERROR(IF(0=LEN(ReferenceData!$G$99),"",ReferenceData!$G$99),"")</f>
        <v>1.5049999999999999</v>
      </c>
      <c r="H99">
        <f ca="1">IFERROR(IF(0=LEN(ReferenceData!$H$99),"",ReferenceData!$H$99),"")</f>
        <v>1.167</v>
      </c>
      <c r="I99">
        <f ca="1">IFERROR(IF(0=LEN(ReferenceData!$I$99),"",ReferenceData!$I$99),"")</f>
        <v>1.357</v>
      </c>
      <c r="J99">
        <f ca="1">IFERROR(IF(0=LEN(ReferenceData!$J$99),"",ReferenceData!$J$99),"")</f>
        <v>1.5169999999999999</v>
      </c>
      <c r="K99">
        <f ca="1">IFERROR(IF(0=LEN(ReferenceData!$K$99),"",ReferenceData!$K$99),"")</f>
        <v>1.3520000000000001</v>
      </c>
      <c r="L99">
        <f ca="1">IFERROR(IF(0=LEN(ReferenceData!$L$99),"",ReferenceData!$L$99),"")</f>
        <v>1.393</v>
      </c>
      <c r="M99">
        <f ca="1">IFERROR(IF(0=LEN(ReferenceData!$M$99),"",ReferenceData!$M$99),"")</f>
        <v>1.339</v>
      </c>
      <c r="N99">
        <f ca="1">IFERROR(IF(0=LEN(ReferenceData!$N$99),"",ReferenceData!$N$99),"")</f>
        <v>1.3120000000000001</v>
      </c>
      <c r="O99">
        <f ca="1">IFERROR(IF(0=LEN(ReferenceData!$O$99),"",ReferenceData!$O$99),"")</f>
        <v>1.399</v>
      </c>
      <c r="P99">
        <f ca="1">IFERROR(IF(0=LEN(ReferenceData!$P$99),"",ReferenceData!$P$99),"")</f>
        <v>1.526</v>
      </c>
      <c r="Q99">
        <f ca="1">IFERROR(IF(0=LEN(ReferenceData!$Q$99),"",ReferenceData!$Q$99),"")</f>
        <v>1.5089999999999999</v>
      </c>
      <c r="R99" t="str">
        <f ca="1">IFERROR(IF(0=LEN(ReferenceData!$R$99),"",ReferenceData!$R$99),"")</f>
        <v/>
      </c>
      <c r="S99" t="str">
        <f ca="1">IFERROR(IF(0=LEN(ReferenceData!$S$99),"",ReferenceData!$S$99),"")</f>
        <v/>
      </c>
      <c r="T99" t="str">
        <f ca="1">IFERROR(IF(0=LEN(ReferenceData!$T$99),"",ReferenceData!$T$99),"")</f>
        <v/>
      </c>
      <c r="U99" t="str">
        <f ca="1">IFERROR(IF(0=LEN(ReferenceData!$U$99),"",ReferenceData!$U$99),"")</f>
        <v/>
      </c>
      <c r="V99" t="str">
        <f ca="1">IFERROR(IF(0=LEN(ReferenceData!$V$99),"",ReferenceData!$V$99),"")</f>
        <v/>
      </c>
      <c r="W99" t="str">
        <f ca="1">IFERROR(IF(0=LEN(ReferenceData!$W$99),"",ReferenceData!$W$99),"")</f>
        <v/>
      </c>
      <c r="X99" t="str">
        <f ca="1">IFERROR(IF(0=LEN(ReferenceData!$X$99),"",ReferenceData!$X$99),"")</f>
        <v/>
      </c>
      <c r="Y99" t="str">
        <f ca="1">IFERROR(IF(0=LEN(ReferenceData!$Y$99),"",ReferenceData!$Y$99),"")</f>
        <v/>
      </c>
      <c r="Z99" t="str">
        <f ca="1">IFERROR(IF(0=LEN(ReferenceData!$Z$99),"",ReferenceData!$Z$99),"")</f>
        <v/>
      </c>
      <c r="AA99" t="str">
        <f ca="1">IFERROR(IF(0=LEN(ReferenceData!$AA$99),"",ReferenceData!$AA$99),"")</f>
        <v/>
      </c>
      <c r="AB99" t="str">
        <f ca="1">IFERROR(IF(0=LEN(ReferenceData!$AB$99),"",ReferenceData!$AB$99),"")</f>
        <v/>
      </c>
      <c r="AC99" t="str">
        <f ca="1">IFERROR(IF(0=LEN(ReferenceData!$AC$99),"",ReferenceData!$AC$99),"")</f>
        <v/>
      </c>
      <c r="AD99" t="str">
        <f ca="1">IFERROR(IF(0=LEN(ReferenceData!$AD$99),"",ReferenceData!$AD$99),"")</f>
        <v/>
      </c>
      <c r="AE99" t="str">
        <f ca="1">IFERROR(IF(0=LEN(ReferenceData!$AE$99),"",ReferenceData!$AE$99),"")</f>
        <v/>
      </c>
      <c r="AF99" t="str">
        <f ca="1">IFERROR(IF(0=LEN(ReferenceData!$AF$99),"",ReferenceData!$AF$99),"")</f>
        <v/>
      </c>
      <c r="AG99" t="str">
        <f ca="1">IFERROR(IF(0=LEN(ReferenceData!$AG$99),"",ReferenceData!$AG$99),"")</f>
        <v/>
      </c>
      <c r="AH99" t="str">
        <f ca="1">IFERROR(IF(0=LEN(ReferenceData!$AH$99),"",ReferenceData!$AH$99),"")</f>
        <v/>
      </c>
      <c r="AI99" t="str">
        <f ca="1">IFERROR(IF(0=LEN(ReferenceData!$AI$99),"",ReferenceData!$AI$99),"")</f>
        <v/>
      </c>
      <c r="AJ99" t="str">
        <f ca="1">IFERROR(IF(0=LEN(ReferenceData!$AJ$99),"",ReferenceData!$AJ$99),"")</f>
        <v/>
      </c>
      <c r="AK99" t="str">
        <f ca="1">IFERROR(IF(0=LEN(ReferenceData!$AK$99),"",ReferenceData!$AK$99),"")</f>
        <v/>
      </c>
      <c r="AL99" t="str">
        <f ca="1">IFERROR(IF(0=LEN(ReferenceData!$AL$99),"",ReferenceData!$AL$99),"")</f>
        <v/>
      </c>
      <c r="AM99" t="str">
        <f ca="1">IFERROR(IF(0=LEN(ReferenceData!$AM$99),"",ReferenceData!$AM$99),"")</f>
        <v/>
      </c>
      <c r="AN99" t="str">
        <f ca="1">IFERROR(IF(0=LEN(ReferenceData!$AN$99),"",ReferenceData!$AN$99),"")</f>
        <v/>
      </c>
      <c r="AO99" t="str">
        <f ca="1">IFERROR(IF(0=LEN(ReferenceData!$AO$99),"",ReferenceData!$AO$99),"")</f>
        <v/>
      </c>
      <c r="AP99" t="str">
        <f ca="1">IFERROR(IF(0=LEN(ReferenceData!$AP$99),"",ReferenceData!$AP$99),"")</f>
        <v/>
      </c>
      <c r="AQ99" t="str">
        <f ca="1">IFERROR(IF(0=LEN(ReferenceData!$AQ$99),"",ReferenceData!$AQ$99),"")</f>
        <v/>
      </c>
      <c r="AR99" t="str">
        <f ca="1">IFERROR(IF(0=LEN(ReferenceData!$AR$99),"",ReferenceData!$AR$99),"")</f>
        <v/>
      </c>
      <c r="AS99" t="str">
        <f ca="1">IFERROR(IF(0=LEN(ReferenceData!$AS$99),"",ReferenceData!$AS$99),"")</f>
        <v/>
      </c>
      <c r="AT99" t="str">
        <f ca="1">IFERROR(IF(0=LEN(ReferenceData!$AT$99),"",ReferenceData!$AT$99),"")</f>
        <v/>
      </c>
      <c r="AU99" t="str">
        <f ca="1">IFERROR(IF(0=LEN(ReferenceData!$AU$99),"",ReferenceData!$AU$99),"")</f>
        <v/>
      </c>
      <c r="AV99" t="str">
        <f ca="1">IFERROR(IF(0=LEN(ReferenceData!$AV$99),"",ReferenceData!$AV$99),"")</f>
        <v/>
      </c>
      <c r="AW99" t="str">
        <f ca="1">IFERROR(IF(0=LEN(ReferenceData!$AW$99),"",ReferenceData!$AW$99),"")</f>
        <v/>
      </c>
      <c r="AX99" t="str">
        <f ca="1">IFERROR(IF(0=LEN(ReferenceData!$AX$99),"",ReferenceData!$AX$99),"")</f>
        <v/>
      </c>
      <c r="AY99" t="str">
        <f ca="1">IFERROR(IF(0=LEN(ReferenceData!$AY$99),"",ReferenceData!$AY$99),"")</f>
        <v/>
      </c>
      <c r="AZ99" t="str">
        <f ca="1">IFERROR(IF(0=LEN(ReferenceData!$AZ$99),"",ReferenceData!$AZ$99),"")</f>
        <v/>
      </c>
      <c r="BA99" t="str">
        <f ca="1">IFERROR(IF(0=LEN(ReferenceData!$BA$99),"",ReferenceData!$BA$99),"")</f>
        <v/>
      </c>
      <c r="BB99" t="str">
        <f ca="1">IFERROR(IF(0=LEN(ReferenceData!$BB$99),"",ReferenceData!$BB$99),"")</f>
        <v/>
      </c>
      <c r="BC99" t="str">
        <f ca="1">IFERROR(IF(0=LEN(ReferenceData!$BC$99),"",ReferenceData!$BC$99),"")</f>
        <v/>
      </c>
      <c r="BD99" t="str">
        <f ca="1">IFERROR(IF(0=LEN(ReferenceData!$BD$99),"",ReferenceData!$BD$99),"")</f>
        <v/>
      </c>
      <c r="BE99" t="str">
        <f ca="1">IFERROR(IF(0=LEN(ReferenceData!$BE$99),"",ReferenceData!$BE$99),"")</f>
        <v/>
      </c>
      <c r="BF99" t="str">
        <f ca="1">IFERROR(IF(0=LEN(ReferenceData!$BF$99),"",ReferenceData!$BF$99),"")</f>
        <v/>
      </c>
      <c r="BG99" t="str">
        <f ca="1">IFERROR(IF(0=LEN(ReferenceData!$BG$99),"",ReferenceData!$BG$99),"")</f>
        <v/>
      </c>
      <c r="BH99" t="str">
        <f ca="1">IFERROR(IF(0=LEN(ReferenceData!$BH$99),"",ReferenceData!$BH$99),"")</f>
        <v/>
      </c>
      <c r="BI99" t="str">
        <f ca="1">IFERROR(IF(0=LEN(ReferenceData!$BI$99),"",ReferenceData!$BI$99),"")</f>
        <v/>
      </c>
      <c r="BJ99" t="str">
        <f ca="1">IFERROR(IF(0=LEN(ReferenceData!$BJ$99),"",ReferenceData!$BJ$99),"")</f>
        <v/>
      </c>
      <c r="BK99" t="str">
        <f ca="1">IFERROR(IF(0=LEN(ReferenceData!$BK$99),"",ReferenceData!$BK$99),"")</f>
        <v/>
      </c>
      <c r="BL99" t="str">
        <f ca="1">IFERROR(IF(0=LEN(ReferenceData!$BL$99),"",ReferenceData!$BL$99),"")</f>
        <v/>
      </c>
      <c r="BM99" t="str">
        <f ca="1">IFERROR(IF(0=LEN(ReferenceData!$BM$99),"",ReferenceData!$BM$99),"")</f>
        <v/>
      </c>
    </row>
    <row r="100" spans="1:65" x14ac:dyDescent="0.25">
      <c r="A100" t="str">
        <f>IFERROR(IF(0=LEN(ReferenceData!$A$100),"",ReferenceData!$A$100),"")</f>
        <v xml:space="preserve">    GAZ PJSC</v>
      </c>
      <c r="B100" t="str">
        <f>IFERROR(IF(0=LEN(ReferenceData!$B$100),"",ReferenceData!$B$100),"")</f>
        <v>GAZA RM Equity</v>
      </c>
      <c r="C100" t="str">
        <f>IFERROR(IF(0=LEN(ReferenceData!$C$100),"",ReferenceData!$C$100),"")</f>
        <v>EZ021</v>
      </c>
      <c r="D100" t="str">
        <f>IFERROR(IF(0=LEN(ReferenceData!$D$100),"",ReferenceData!$D$100),"")</f>
        <v>BEST_EPS_NXT_YR</v>
      </c>
      <c r="E100" t="str">
        <f>IFERROR(IF(0=LEN(ReferenceData!$E$100),"",ReferenceData!$E$100),"")</f>
        <v>Dynamic</v>
      </c>
      <c r="F100" t="str">
        <f ca="1">IFERROR(IF(0=LEN(ReferenceData!$F$100),"",ReferenceData!$F$100),"")</f>
        <v/>
      </c>
      <c r="G100" t="str">
        <f ca="1">IFERROR(IF(0=LEN(ReferenceData!$G$100),"",ReferenceData!$G$100),"")</f>
        <v/>
      </c>
      <c r="H100" t="str">
        <f ca="1">IFERROR(IF(0=LEN(ReferenceData!$H$100),"",ReferenceData!$H$100),"")</f>
        <v/>
      </c>
      <c r="I100" t="str">
        <f ca="1">IFERROR(IF(0=LEN(ReferenceData!$I$100),"",ReferenceData!$I$100),"")</f>
        <v/>
      </c>
      <c r="J100" t="str">
        <f ca="1">IFERROR(IF(0=LEN(ReferenceData!$J$100),"",ReferenceData!$J$100),"")</f>
        <v/>
      </c>
      <c r="K100" t="str">
        <f ca="1">IFERROR(IF(0=LEN(ReferenceData!$K$100),"",ReferenceData!$K$100),"")</f>
        <v/>
      </c>
      <c r="L100" t="str">
        <f ca="1">IFERROR(IF(0=LEN(ReferenceData!$L$100),"",ReferenceData!$L$100),"")</f>
        <v/>
      </c>
      <c r="M100" t="str">
        <f ca="1">IFERROR(IF(0=LEN(ReferenceData!$M$100),"",ReferenceData!$M$100),"")</f>
        <v/>
      </c>
      <c r="N100" t="str">
        <f ca="1">IFERROR(IF(0=LEN(ReferenceData!$N$100),"",ReferenceData!$N$100),"")</f>
        <v/>
      </c>
      <c r="O100" t="str">
        <f ca="1">IFERROR(IF(0=LEN(ReferenceData!$O$100),"",ReferenceData!$O$100),"")</f>
        <v/>
      </c>
      <c r="P100" t="str">
        <f ca="1">IFERROR(IF(0=LEN(ReferenceData!$P$100),"",ReferenceData!$P$100),"")</f>
        <v/>
      </c>
      <c r="Q100" t="str">
        <f ca="1">IFERROR(IF(0=LEN(ReferenceData!$Q$100),"",ReferenceData!$Q$100),"")</f>
        <v/>
      </c>
      <c r="R100" t="str">
        <f ca="1">IFERROR(IF(0=LEN(ReferenceData!$R$100),"",ReferenceData!$R$100),"")</f>
        <v/>
      </c>
      <c r="S100" t="str">
        <f ca="1">IFERROR(IF(0=LEN(ReferenceData!$S$100),"",ReferenceData!$S$100),"")</f>
        <v/>
      </c>
      <c r="T100" t="str">
        <f ca="1">IFERROR(IF(0=LEN(ReferenceData!$T$100),"",ReferenceData!$T$100),"")</f>
        <v/>
      </c>
      <c r="U100" t="str">
        <f ca="1">IFERROR(IF(0=LEN(ReferenceData!$U$100),"",ReferenceData!$U$100),"")</f>
        <v/>
      </c>
      <c r="V100" t="str">
        <f ca="1">IFERROR(IF(0=LEN(ReferenceData!$V$100),"",ReferenceData!$V$100),"")</f>
        <v/>
      </c>
      <c r="W100" t="str">
        <f ca="1">IFERROR(IF(0=LEN(ReferenceData!$W$100),"",ReferenceData!$W$100),"")</f>
        <v/>
      </c>
      <c r="X100" t="str">
        <f ca="1">IFERROR(IF(0=LEN(ReferenceData!$X$100),"",ReferenceData!$X$100),"")</f>
        <v/>
      </c>
      <c r="Y100" t="str">
        <f ca="1">IFERROR(IF(0=LEN(ReferenceData!$Y$100),"",ReferenceData!$Y$100),"")</f>
        <v/>
      </c>
      <c r="Z100" t="str">
        <f ca="1">IFERROR(IF(0=LEN(ReferenceData!$Z$100),"",ReferenceData!$Z$100),"")</f>
        <v/>
      </c>
      <c r="AA100" t="str">
        <f ca="1">IFERROR(IF(0=LEN(ReferenceData!$AA$100),"",ReferenceData!$AA$100),"")</f>
        <v/>
      </c>
      <c r="AB100" t="str">
        <f ca="1">IFERROR(IF(0=LEN(ReferenceData!$AB$100),"",ReferenceData!$AB$100),"")</f>
        <v/>
      </c>
      <c r="AC100" t="str">
        <f ca="1">IFERROR(IF(0=LEN(ReferenceData!$AC$100),"",ReferenceData!$AC$100),"")</f>
        <v/>
      </c>
      <c r="AD100" t="str">
        <f ca="1">IFERROR(IF(0=LEN(ReferenceData!$AD$100),"",ReferenceData!$AD$100),"")</f>
        <v/>
      </c>
      <c r="AE100" t="str">
        <f ca="1">IFERROR(IF(0=LEN(ReferenceData!$AE$100),"",ReferenceData!$AE$100),"")</f>
        <v/>
      </c>
      <c r="AF100" t="str">
        <f ca="1">IFERROR(IF(0=LEN(ReferenceData!$AF$100),"",ReferenceData!$AF$100),"")</f>
        <v/>
      </c>
      <c r="AG100" t="str">
        <f ca="1">IFERROR(IF(0=LEN(ReferenceData!$AG$100),"",ReferenceData!$AG$100),"")</f>
        <v/>
      </c>
      <c r="AH100" t="str">
        <f ca="1">IFERROR(IF(0=LEN(ReferenceData!$AH$100),"",ReferenceData!$AH$100),"")</f>
        <v/>
      </c>
      <c r="AI100" t="str">
        <f ca="1">IFERROR(IF(0=LEN(ReferenceData!$AI$100),"",ReferenceData!$AI$100),"")</f>
        <v/>
      </c>
      <c r="AJ100" t="str">
        <f ca="1">IFERROR(IF(0=LEN(ReferenceData!$AJ$100),"",ReferenceData!$AJ$100),"")</f>
        <v/>
      </c>
      <c r="AK100" t="str">
        <f ca="1">IFERROR(IF(0=LEN(ReferenceData!$AK$100),"",ReferenceData!$AK$100),"")</f>
        <v/>
      </c>
      <c r="AL100" t="str">
        <f ca="1">IFERROR(IF(0=LEN(ReferenceData!$AL$100),"",ReferenceData!$AL$100),"")</f>
        <v/>
      </c>
      <c r="AM100" t="str">
        <f ca="1">IFERROR(IF(0=LEN(ReferenceData!$AM$100),"",ReferenceData!$AM$100),"")</f>
        <v/>
      </c>
      <c r="AN100" t="str">
        <f ca="1">IFERROR(IF(0=LEN(ReferenceData!$AN$100),"",ReferenceData!$AN$100),"")</f>
        <v/>
      </c>
      <c r="AO100" t="str">
        <f ca="1">IFERROR(IF(0=LEN(ReferenceData!$AO$100),"",ReferenceData!$AO$100),"")</f>
        <v/>
      </c>
      <c r="AP100" t="str">
        <f ca="1">IFERROR(IF(0=LEN(ReferenceData!$AP$100),"",ReferenceData!$AP$100),"")</f>
        <v/>
      </c>
      <c r="AQ100" t="str">
        <f ca="1">IFERROR(IF(0=LEN(ReferenceData!$AQ$100),"",ReferenceData!$AQ$100),"")</f>
        <v/>
      </c>
      <c r="AR100" t="str">
        <f ca="1">IFERROR(IF(0=LEN(ReferenceData!$AR$100),"",ReferenceData!$AR$100),"")</f>
        <v/>
      </c>
      <c r="AS100" t="str">
        <f ca="1">IFERROR(IF(0=LEN(ReferenceData!$AS$100),"",ReferenceData!$AS$100),"")</f>
        <v/>
      </c>
      <c r="AT100" t="str">
        <f ca="1">IFERROR(IF(0=LEN(ReferenceData!$AT$100),"",ReferenceData!$AT$100),"")</f>
        <v/>
      </c>
      <c r="AU100" t="str">
        <f ca="1">IFERROR(IF(0=LEN(ReferenceData!$AU$100),"",ReferenceData!$AU$100),"")</f>
        <v/>
      </c>
      <c r="AV100" t="str">
        <f ca="1">IFERROR(IF(0=LEN(ReferenceData!$AV$100),"",ReferenceData!$AV$100),"")</f>
        <v/>
      </c>
      <c r="AW100" t="str">
        <f ca="1">IFERROR(IF(0=LEN(ReferenceData!$AW$100),"",ReferenceData!$AW$100),"")</f>
        <v/>
      </c>
      <c r="AX100" t="str">
        <f ca="1">IFERROR(IF(0=LEN(ReferenceData!$AX$100),"",ReferenceData!$AX$100),"")</f>
        <v/>
      </c>
      <c r="AY100" t="str">
        <f ca="1">IFERROR(IF(0=LEN(ReferenceData!$AY$100),"",ReferenceData!$AY$100),"")</f>
        <v/>
      </c>
      <c r="AZ100" t="str">
        <f ca="1">IFERROR(IF(0=LEN(ReferenceData!$AZ$100),"",ReferenceData!$AZ$100),"")</f>
        <v/>
      </c>
      <c r="BA100" t="str">
        <f ca="1">IFERROR(IF(0=LEN(ReferenceData!$BA$100),"",ReferenceData!$BA$100),"")</f>
        <v/>
      </c>
      <c r="BB100" t="str">
        <f ca="1">IFERROR(IF(0=LEN(ReferenceData!$BB$100),"",ReferenceData!$BB$100),"")</f>
        <v/>
      </c>
      <c r="BC100" t="str">
        <f ca="1">IFERROR(IF(0=LEN(ReferenceData!$BC$100),"",ReferenceData!$BC$100),"")</f>
        <v/>
      </c>
      <c r="BD100" t="str">
        <f ca="1">IFERROR(IF(0=LEN(ReferenceData!$BD$100),"",ReferenceData!$BD$100),"")</f>
        <v/>
      </c>
      <c r="BE100" t="str">
        <f ca="1">IFERROR(IF(0=LEN(ReferenceData!$BE$100),"",ReferenceData!$BE$100),"")</f>
        <v/>
      </c>
      <c r="BF100" t="str">
        <f ca="1">IFERROR(IF(0=LEN(ReferenceData!$BF$100),"",ReferenceData!$BF$100),"")</f>
        <v/>
      </c>
      <c r="BG100" t="str">
        <f ca="1">IFERROR(IF(0=LEN(ReferenceData!$BG$100),"",ReferenceData!$BG$100),"")</f>
        <v/>
      </c>
      <c r="BH100" t="str">
        <f ca="1">IFERROR(IF(0=LEN(ReferenceData!$BH$100),"",ReferenceData!$BH$100),"")</f>
        <v/>
      </c>
      <c r="BI100" t="str">
        <f ca="1">IFERROR(IF(0=LEN(ReferenceData!$BI$100),"",ReferenceData!$BI$100),"")</f>
        <v/>
      </c>
      <c r="BJ100" t="str">
        <f ca="1">IFERROR(IF(0=LEN(ReferenceData!$BJ$100),"",ReferenceData!$BJ$100),"")</f>
        <v/>
      </c>
      <c r="BK100" t="str">
        <f ca="1">IFERROR(IF(0=LEN(ReferenceData!$BK$100),"",ReferenceData!$BK$100),"")</f>
        <v/>
      </c>
      <c r="BL100" t="str">
        <f ca="1">IFERROR(IF(0=LEN(ReferenceData!$BL$100),"",ReferenceData!$BL$100),"")</f>
        <v/>
      </c>
      <c r="BM100" t="str">
        <f ca="1">IFERROR(IF(0=LEN(ReferenceData!$BM$100),"",ReferenceData!$BM$100),"")</f>
        <v/>
      </c>
    </row>
    <row r="101" spans="1:65" x14ac:dyDescent="0.25">
      <c r="A101" t="str">
        <f>IFERROR(IF(0=LEN(ReferenceData!$A$101),"",ReferenceData!$A$101),"")</f>
        <v xml:space="preserve">    Geely Automobile Holdings Ltd</v>
      </c>
      <c r="B101" t="str">
        <f>IFERROR(IF(0=LEN(ReferenceData!$B$101),"",ReferenceData!$B$101),"")</f>
        <v>175 HK Equity</v>
      </c>
      <c r="C101" t="str">
        <f>IFERROR(IF(0=LEN(ReferenceData!$C$101),"",ReferenceData!$C$101),"")</f>
        <v>EZ021</v>
      </c>
      <c r="D101" t="str">
        <f>IFERROR(IF(0=LEN(ReferenceData!$D$101),"",ReferenceData!$D$101),"")</f>
        <v>BEST_EPS_NXT_YR</v>
      </c>
      <c r="E101" t="str">
        <f>IFERROR(IF(0=LEN(ReferenceData!$E$101),"",ReferenceData!$E$101),"")</f>
        <v>Dynamic</v>
      </c>
      <c r="F101">
        <f ca="1">IFERROR(IF(0=LEN(ReferenceData!$F$101),"",ReferenceData!$F$101),"")</f>
        <v>0.218</v>
      </c>
      <c r="G101">
        <f ca="1">IFERROR(IF(0=LEN(ReferenceData!$G$101),"",ReferenceData!$G$101),"")</f>
        <v>0.26500000000000001</v>
      </c>
      <c r="H101">
        <f ca="1">IFERROR(IF(0=LEN(ReferenceData!$H$101),"",ReferenceData!$H$101),"")</f>
        <v>0.27800000000000002</v>
      </c>
      <c r="I101">
        <f ca="1">IFERROR(IF(0=LEN(ReferenceData!$I$101),"",ReferenceData!$I$101),"")</f>
        <v>0.3</v>
      </c>
      <c r="J101">
        <f ca="1">IFERROR(IF(0=LEN(ReferenceData!$J$101),"",ReferenceData!$J$101),"")</f>
        <v>0.31</v>
      </c>
      <c r="K101">
        <f ca="1">IFERROR(IF(0=LEN(ReferenceData!$K$101),"",ReferenceData!$K$101),"")</f>
        <v>0.28799999999999998</v>
      </c>
      <c r="L101">
        <f ca="1">IFERROR(IF(0=LEN(ReferenceData!$L$101),"",ReferenceData!$L$101),"")</f>
        <v>0.245</v>
      </c>
      <c r="M101">
        <f ca="1">IFERROR(IF(0=LEN(ReferenceData!$M$101),"",ReferenceData!$M$101),"")</f>
        <v>0.20499999999999999</v>
      </c>
      <c r="N101">
        <f ca="1">IFERROR(IF(0=LEN(ReferenceData!$N$101),"",ReferenceData!$N$101),"")</f>
        <v>0.186</v>
      </c>
      <c r="O101">
        <f ca="1">IFERROR(IF(0=LEN(ReferenceData!$O$101),"",ReferenceData!$O$101),"")</f>
        <v>6.2E-2</v>
      </c>
      <c r="P101">
        <f ca="1">IFERROR(IF(0=LEN(ReferenceData!$P$101),"",ReferenceData!$P$101),"")</f>
        <v>6.3E-2</v>
      </c>
      <c r="Q101" t="str">
        <f ca="1">IFERROR(IF(0=LEN(ReferenceData!$Q$101),"",ReferenceData!$Q$101),"")</f>
        <v/>
      </c>
      <c r="R101" t="str">
        <f ca="1">IFERROR(IF(0=LEN(ReferenceData!$R$101),"",ReferenceData!$R$101),"")</f>
        <v/>
      </c>
      <c r="S101" t="str">
        <f ca="1">IFERROR(IF(0=LEN(ReferenceData!$S$101),"",ReferenceData!$S$101),"")</f>
        <v/>
      </c>
      <c r="T101" t="str">
        <f ca="1">IFERROR(IF(0=LEN(ReferenceData!$T$101),"",ReferenceData!$T$101),"")</f>
        <v/>
      </c>
      <c r="U101" t="str">
        <f ca="1">IFERROR(IF(0=LEN(ReferenceData!$U$101),"",ReferenceData!$U$101),"")</f>
        <v/>
      </c>
      <c r="V101" t="str">
        <f ca="1">IFERROR(IF(0=LEN(ReferenceData!$V$101),"",ReferenceData!$V$101),"")</f>
        <v/>
      </c>
      <c r="W101" t="str">
        <f ca="1">IFERROR(IF(0=LEN(ReferenceData!$W$101),"",ReferenceData!$W$101),"")</f>
        <v/>
      </c>
      <c r="X101" t="str">
        <f ca="1">IFERROR(IF(0=LEN(ReferenceData!$X$101),"",ReferenceData!$X$101),"")</f>
        <v/>
      </c>
      <c r="Y101" t="str">
        <f ca="1">IFERROR(IF(0=LEN(ReferenceData!$Y$101),"",ReferenceData!$Y$101),"")</f>
        <v/>
      </c>
      <c r="Z101" t="str">
        <f ca="1">IFERROR(IF(0=LEN(ReferenceData!$Z$101),"",ReferenceData!$Z$101),"")</f>
        <v/>
      </c>
      <c r="AA101" t="str">
        <f ca="1">IFERROR(IF(0=LEN(ReferenceData!$AA$101),"",ReferenceData!$AA$101),"")</f>
        <v/>
      </c>
      <c r="AB101" t="str">
        <f ca="1">IFERROR(IF(0=LEN(ReferenceData!$AB$101),"",ReferenceData!$AB$101),"")</f>
        <v/>
      </c>
      <c r="AC101" t="str">
        <f ca="1">IFERROR(IF(0=LEN(ReferenceData!$AC$101),"",ReferenceData!$AC$101),"")</f>
        <v/>
      </c>
      <c r="AD101" t="str">
        <f ca="1">IFERROR(IF(0=LEN(ReferenceData!$AD$101),"",ReferenceData!$AD$101),"")</f>
        <v/>
      </c>
      <c r="AE101" t="str">
        <f ca="1">IFERROR(IF(0=LEN(ReferenceData!$AE$101),"",ReferenceData!$AE$101),"")</f>
        <v/>
      </c>
      <c r="AF101" t="str">
        <f ca="1">IFERROR(IF(0=LEN(ReferenceData!$AF$101),"",ReferenceData!$AF$101),"")</f>
        <v/>
      </c>
      <c r="AG101" t="str">
        <f ca="1">IFERROR(IF(0=LEN(ReferenceData!$AG$101),"",ReferenceData!$AG$101),"")</f>
        <v/>
      </c>
      <c r="AH101" t="str">
        <f ca="1">IFERROR(IF(0=LEN(ReferenceData!$AH$101),"",ReferenceData!$AH$101),"")</f>
        <v/>
      </c>
      <c r="AI101" t="str">
        <f ca="1">IFERROR(IF(0=LEN(ReferenceData!$AI$101),"",ReferenceData!$AI$101),"")</f>
        <v/>
      </c>
      <c r="AJ101" t="str">
        <f ca="1">IFERROR(IF(0=LEN(ReferenceData!$AJ$101),"",ReferenceData!$AJ$101),"")</f>
        <v/>
      </c>
      <c r="AK101" t="str">
        <f ca="1">IFERROR(IF(0=LEN(ReferenceData!$AK$101),"",ReferenceData!$AK$101),"")</f>
        <v/>
      </c>
      <c r="AL101" t="str">
        <f ca="1">IFERROR(IF(0=LEN(ReferenceData!$AL$101),"",ReferenceData!$AL$101),"")</f>
        <v/>
      </c>
      <c r="AM101" t="str">
        <f ca="1">IFERROR(IF(0=LEN(ReferenceData!$AM$101),"",ReferenceData!$AM$101),"")</f>
        <v/>
      </c>
      <c r="AN101" t="str">
        <f ca="1">IFERROR(IF(0=LEN(ReferenceData!$AN$101),"",ReferenceData!$AN$101),"")</f>
        <v/>
      </c>
      <c r="AO101" t="str">
        <f ca="1">IFERROR(IF(0=LEN(ReferenceData!$AO$101),"",ReferenceData!$AO$101),"")</f>
        <v/>
      </c>
      <c r="AP101" t="str">
        <f ca="1">IFERROR(IF(0=LEN(ReferenceData!$AP$101),"",ReferenceData!$AP$101),"")</f>
        <v/>
      </c>
      <c r="AQ101" t="str">
        <f ca="1">IFERROR(IF(0=LEN(ReferenceData!$AQ$101),"",ReferenceData!$AQ$101),"")</f>
        <v/>
      </c>
      <c r="AR101" t="str">
        <f ca="1">IFERROR(IF(0=LEN(ReferenceData!$AR$101),"",ReferenceData!$AR$101),"")</f>
        <v/>
      </c>
      <c r="AS101" t="str">
        <f ca="1">IFERROR(IF(0=LEN(ReferenceData!$AS$101),"",ReferenceData!$AS$101),"")</f>
        <v/>
      </c>
      <c r="AT101" t="str">
        <f ca="1">IFERROR(IF(0=LEN(ReferenceData!$AT$101),"",ReferenceData!$AT$101),"")</f>
        <v/>
      </c>
      <c r="AU101" t="str">
        <f ca="1">IFERROR(IF(0=LEN(ReferenceData!$AU$101),"",ReferenceData!$AU$101),"")</f>
        <v/>
      </c>
      <c r="AV101" t="str">
        <f ca="1">IFERROR(IF(0=LEN(ReferenceData!$AV$101),"",ReferenceData!$AV$101),"")</f>
        <v/>
      </c>
      <c r="AW101" t="str">
        <f ca="1">IFERROR(IF(0=LEN(ReferenceData!$AW$101),"",ReferenceData!$AW$101),"")</f>
        <v/>
      </c>
      <c r="AX101" t="str">
        <f ca="1">IFERROR(IF(0=LEN(ReferenceData!$AX$101),"",ReferenceData!$AX$101),"")</f>
        <v/>
      </c>
      <c r="AY101" t="str">
        <f ca="1">IFERROR(IF(0=LEN(ReferenceData!$AY$101),"",ReferenceData!$AY$101),"")</f>
        <v/>
      </c>
      <c r="AZ101" t="str">
        <f ca="1">IFERROR(IF(0=LEN(ReferenceData!$AZ$101),"",ReferenceData!$AZ$101),"")</f>
        <v/>
      </c>
      <c r="BA101" t="str">
        <f ca="1">IFERROR(IF(0=LEN(ReferenceData!$BA$101),"",ReferenceData!$BA$101),"")</f>
        <v/>
      </c>
      <c r="BB101" t="str">
        <f ca="1">IFERROR(IF(0=LEN(ReferenceData!$BB$101),"",ReferenceData!$BB$101),"")</f>
        <v/>
      </c>
      <c r="BC101" t="str">
        <f ca="1">IFERROR(IF(0=LEN(ReferenceData!$BC$101),"",ReferenceData!$BC$101),"")</f>
        <v/>
      </c>
      <c r="BD101" t="str">
        <f ca="1">IFERROR(IF(0=LEN(ReferenceData!$BD$101),"",ReferenceData!$BD$101),"")</f>
        <v/>
      </c>
      <c r="BE101" t="str">
        <f ca="1">IFERROR(IF(0=LEN(ReferenceData!$BE$101),"",ReferenceData!$BE$101),"")</f>
        <v/>
      </c>
      <c r="BF101" t="str">
        <f ca="1">IFERROR(IF(0=LEN(ReferenceData!$BF$101),"",ReferenceData!$BF$101),"")</f>
        <v/>
      </c>
      <c r="BG101" t="str">
        <f ca="1">IFERROR(IF(0=LEN(ReferenceData!$BG$101),"",ReferenceData!$BG$101),"")</f>
        <v/>
      </c>
      <c r="BH101" t="str">
        <f ca="1">IFERROR(IF(0=LEN(ReferenceData!$BH$101),"",ReferenceData!$BH$101),"")</f>
        <v/>
      </c>
      <c r="BI101" t="str">
        <f ca="1">IFERROR(IF(0=LEN(ReferenceData!$BI$101),"",ReferenceData!$BI$101),"")</f>
        <v/>
      </c>
      <c r="BJ101" t="str">
        <f ca="1">IFERROR(IF(0=LEN(ReferenceData!$BJ$101),"",ReferenceData!$BJ$101),"")</f>
        <v/>
      </c>
      <c r="BK101" t="str">
        <f ca="1">IFERROR(IF(0=LEN(ReferenceData!$BK$101),"",ReferenceData!$BK$101),"")</f>
        <v/>
      </c>
      <c r="BL101" t="str">
        <f ca="1">IFERROR(IF(0=LEN(ReferenceData!$BL$101),"",ReferenceData!$BL$101),"")</f>
        <v/>
      </c>
      <c r="BM101" t="str">
        <f ca="1">IFERROR(IF(0=LEN(ReferenceData!$BM$101),"",ReferenceData!$BM$101),"")</f>
        <v/>
      </c>
    </row>
    <row r="102" spans="1:65" x14ac:dyDescent="0.25">
      <c r="A102" t="str">
        <f>IFERROR(IF(0=LEN(ReferenceData!$A$102),"",ReferenceData!$A$102),"")</f>
        <v xml:space="preserve">    General Motors Co</v>
      </c>
      <c r="B102" t="str">
        <f>IFERROR(IF(0=LEN(ReferenceData!$B$102),"",ReferenceData!$B$102),"")</f>
        <v>GM US Equity</v>
      </c>
      <c r="C102" t="str">
        <f>IFERROR(IF(0=LEN(ReferenceData!$C$102),"",ReferenceData!$C$102),"")</f>
        <v>EZ021</v>
      </c>
      <c r="D102" t="str">
        <f>IFERROR(IF(0=LEN(ReferenceData!$D$102),"",ReferenceData!$D$102),"")</f>
        <v>BEST_EPS_NXT_YR</v>
      </c>
      <c r="E102" t="str">
        <f>IFERROR(IF(0=LEN(ReferenceData!$E$102),"",ReferenceData!$E$102),"")</f>
        <v>Dynamic</v>
      </c>
      <c r="F102">
        <f ca="1">IFERROR(IF(0=LEN(ReferenceData!$F$102),"",ReferenceData!$F$102),"")</f>
        <v>6.32</v>
      </c>
      <c r="G102">
        <f ca="1">IFERROR(IF(0=LEN(ReferenceData!$G$102),"",ReferenceData!$G$102),"")</f>
        <v>5.9249999999999998</v>
      </c>
      <c r="H102">
        <f ca="1">IFERROR(IF(0=LEN(ReferenceData!$H$102),"",ReferenceData!$H$102),"")</f>
        <v>5.702</v>
      </c>
      <c r="I102">
        <f ca="1">IFERROR(IF(0=LEN(ReferenceData!$I$102),"",ReferenceData!$I$102),"")</f>
        <v>6.1779999999999999</v>
      </c>
      <c r="J102">
        <f ca="1">IFERROR(IF(0=LEN(ReferenceData!$J$102),"",ReferenceData!$J$102),"")</f>
        <v>6.0830000000000002</v>
      </c>
      <c r="K102">
        <f ca="1">IFERROR(IF(0=LEN(ReferenceData!$K$102),"",ReferenceData!$K$102),"")</f>
        <v>6.2869999999999999</v>
      </c>
      <c r="L102">
        <f ca="1">IFERROR(IF(0=LEN(ReferenceData!$L$102),"",ReferenceData!$L$102),"")</f>
        <v>5.6180000000000003</v>
      </c>
      <c r="M102">
        <f ca="1">IFERROR(IF(0=LEN(ReferenceData!$M$102),"",ReferenceData!$M$102),"")</f>
        <v>5.75</v>
      </c>
      <c r="N102">
        <f ca="1">IFERROR(IF(0=LEN(ReferenceData!$N$102),"",ReferenceData!$N$102),"")</f>
        <v>6.0350000000000001</v>
      </c>
      <c r="O102">
        <f ca="1">IFERROR(IF(0=LEN(ReferenceData!$O$102),"",ReferenceData!$O$102),"")</f>
        <v>5.4649999999999999</v>
      </c>
      <c r="P102">
        <f ca="1">IFERROR(IF(0=LEN(ReferenceData!$P$102),"",ReferenceData!$P$102),"")</f>
        <v>5.69</v>
      </c>
      <c r="Q102">
        <f ca="1">IFERROR(IF(0=LEN(ReferenceData!$Q$102),"",ReferenceData!$Q$102),"")</f>
        <v>5.85</v>
      </c>
      <c r="R102" t="str">
        <f ca="1">IFERROR(IF(0=LEN(ReferenceData!$R$102),"",ReferenceData!$R$102),"")</f>
        <v/>
      </c>
      <c r="S102">
        <f ca="1">IFERROR(IF(0=LEN(ReferenceData!$S$102),"",ReferenceData!$S$102),"")</f>
        <v>6.31</v>
      </c>
      <c r="T102" t="str">
        <f ca="1">IFERROR(IF(0=LEN(ReferenceData!$T$102),"",ReferenceData!$T$102),"")</f>
        <v/>
      </c>
      <c r="U102" t="str">
        <f ca="1">IFERROR(IF(0=LEN(ReferenceData!$U$102),"",ReferenceData!$U$102),"")</f>
        <v/>
      </c>
      <c r="V102" t="str">
        <f ca="1">IFERROR(IF(0=LEN(ReferenceData!$V$102),"",ReferenceData!$V$102),"")</f>
        <v/>
      </c>
      <c r="W102" t="str">
        <f ca="1">IFERROR(IF(0=LEN(ReferenceData!$W$102),"",ReferenceData!$W$102),"")</f>
        <v/>
      </c>
      <c r="X102" t="str">
        <f ca="1">IFERROR(IF(0=LEN(ReferenceData!$X$102),"",ReferenceData!$X$102),"")</f>
        <v/>
      </c>
      <c r="Y102" t="str">
        <f ca="1">IFERROR(IF(0=LEN(ReferenceData!$Y$102),"",ReferenceData!$Y$102),"")</f>
        <v/>
      </c>
      <c r="Z102" t="str">
        <f ca="1">IFERROR(IF(0=LEN(ReferenceData!$Z$102),"",ReferenceData!$Z$102),"")</f>
        <v/>
      </c>
      <c r="AA102" t="str">
        <f ca="1">IFERROR(IF(0=LEN(ReferenceData!$AA$102),"",ReferenceData!$AA$102),"")</f>
        <v/>
      </c>
      <c r="AB102" t="str">
        <f ca="1">IFERROR(IF(0=LEN(ReferenceData!$AB$102),"",ReferenceData!$AB$102),"")</f>
        <v/>
      </c>
      <c r="AC102" t="str">
        <f ca="1">IFERROR(IF(0=LEN(ReferenceData!$AC$102),"",ReferenceData!$AC$102),"")</f>
        <v/>
      </c>
      <c r="AD102" t="str">
        <f ca="1">IFERROR(IF(0=LEN(ReferenceData!$AD$102),"",ReferenceData!$AD$102),"")</f>
        <v/>
      </c>
      <c r="AE102" t="str">
        <f ca="1">IFERROR(IF(0=LEN(ReferenceData!$AE$102),"",ReferenceData!$AE$102),"")</f>
        <v/>
      </c>
      <c r="AF102" t="str">
        <f ca="1">IFERROR(IF(0=LEN(ReferenceData!$AF$102),"",ReferenceData!$AF$102),"")</f>
        <v/>
      </c>
      <c r="AG102" t="str">
        <f ca="1">IFERROR(IF(0=LEN(ReferenceData!$AG$102),"",ReferenceData!$AG$102),"")</f>
        <v/>
      </c>
      <c r="AH102" t="str">
        <f ca="1">IFERROR(IF(0=LEN(ReferenceData!$AH$102),"",ReferenceData!$AH$102),"")</f>
        <v/>
      </c>
      <c r="AI102" t="str">
        <f ca="1">IFERROR(IF(0=LEN(ReferenceData!$AI$102),"",ReferenceData!$AI$102),"")</f>
        <v/>
      </c>
      <c r="AJ102" t="str">
        <f ca="1">IFERROR(IF(0=LEN(ReferenceData!$AJ$102),"",ReferenceData!$AJ$102),"")</f>
        <v/>
      </c>
      <c r="AK102" t="str">
        <f ca="1">IFERROR(IF(0=LEN(ReferenceData!$AK$102),"",ReferenceData!$AK$102),"")</f>
        <v/>
      </c>
      <c r="AL102" t="str">
        <f ca="1">IFERROR(IF(0=LEN(ReferenceData!$AL$102),"",ReferenceData!$AL$102),"")</f>
        <v/>
      </c>
      <c r="AM102" t="str">
        <f ca="1">IFERROR(IF(0=LEN(ReferenceData!$AM$102),"",ReferenceData!$AM$102),"")</f>
        <v/>
      </c>
      <c r="AN102" t="str">
        <f ca="1">IFERROR(IF(0=LEN(ReferenceData!$AN$102),"",ReferenceData!$AN$102),"")</f>
        <v/>
      </c>
      <c r="AO102" t="str">
        <f ca="1">IFERROR(IF(0=LEN(ReferenceData!$AO$102),"",ReferenceData!$AO$102),"")</f>
        <v/>
      </c>
      <c r="AP102" t="str">
        <f ca="1">IFERROR(IF(0=LEN(ReferenceData!$AP$102),"",ReferenceData!$AP$102),"")</f>
        <v/>
      </c>
      <c r="AQ102" t="str">
        <f ca="1">IFERROR(IF(0=LEN(ReferenceData!$AQ$102),"",ReferenceData!$AQ$102),"")</f>
        <v/>
      </c>
      <c r="AR102" t="str">
        <f ca="1">IFERROR(IF(0=LEN(ReferenceData!$AR$102),"",ReferenceData!$AR$102),"")</f>
        <v/>
      </c>
      <c r="AS102" t="str">
        <f ca="1">IFERROR(IF(0=LEN(ReferenceData!$AS$102),"",ReferenceData!$AS$102),"")</f>
        <v/>
      </c>
      <c r="AT102" t="str">
        <f ca="1">IFERROR(IF(0=LEN(ReferenceData!$AT$102),"",ReferenceData!$AT$102),"")</f>
        <v/>
      </c>
      <c r="AU102" t="str">
        <f ca="1">IFERROR(IF(0=LEN(ReferenceData!$AU$102),"",ReferenceData!$AU$102),"")</f>
        <v/>
      </c>
      <c r="AV102" t="str">
        <f ca="1">IFERROR(IF(0=LEN(ReferenceData!$AV$102),"",ReferenceData!$AV$102),"")</f>
        <v/>
      </c>
      <c r="AW102" t="str">
        <f ca="1">IFERROR(IF(0=LEN(ReferenceData!$AW$102),"",ReferenceData!$AW$102),"")</f>
        <v/>
      </c>
      <c r="AX102" t="str">
        <f ca="1">IFERROR(IF(0=LEN(ReferenceData!$AX$102),"",ReferenceData!$AX$102),"")</f>
        <v/>
      </c>
      <c r="AY102" t="str">
        <f ca="1">IFERROR(IF(0=LEN(ReferenceData!$AY$102),"",ReferenceData!$AY$102),"")</f>
        <v/>
      </c>
      <c r="AZ102" t="str">
        <f ca="1">IFERROR(IF(0=LEN(ReferenceData!$AZ$102),"",ReferenceData!$AZ$102),"")</f>
        <v/>
      </c>
      <c r="BA102" t="str">
        <f ca="1">IFERROR(IF(0=LEN(ReferenceData!$BA$102),"",ReferenceData!$BA$102),"")</f>
        <v/>
      </c>
      <c r="BB102" t="str">
        <f ca="1">IFERROR(IF(0=LEN(ReferenceData!$BB$102),"",ReferenceData!$BB$102),"")</f>
        <v/>
      </c>
      <c r="BC102" t="str">
        <f ca="1">IFERROR(IF(0=LEN(ReferenceData!$BC$102),"",ReferenceData!$BC$102),"")</f>
        <v/>
      </c>
      <c r="BD102" t="str">
        <f ca="1">IFERROR(IF(0=LEN(ReferenceData!$BD$102),"",ReferenceData!$BD$102),"")</f>
        <v/>
      </c>
      <c r="BE102" t="str">
        <f ca="1">IFERROR(IF(0=LEN(ReferenceData!$BE$102),"",ReferenceData!$BE$102),"")</f>
        <v/>
      </c>
      <c r="BF102" t="str">
        <f ca="1">IFERROR(IF(0=LEN(ReferenceData!$BF$102),"",ReferenceData!$BF$102),"")</f>
        <v/>
      </c>
      <c r="BG102" t="str">
        <f ca="1">IFERROR(IF(0=LEN(ReferenceData!$BG$102),"",ReferenceData!$BG$102),"")</f>
        <v/>
      </c>
      <c r="BH102" t="str">
        <f ca="1">IFERROR(IF(0=LEN(ReferenceData!$BH$102),"",ReferenceData!$BH$102),"")</f>
        <v/>
      </c>
      <c r="BI102" t="str">
        <f ca="1">IFERROR(IF(0=LEN(ReferenceData!$BI$102),"",ReferenceData!$BI$102),"")</f>
        <v/>
      </c>
      <c r="BJ102" t="str">
        <f ca="1">IFERROR(IF(0=LEN(ReferenceData!$BJ$102),"",ReferenceData!$BJ$102),"")</f>
        <v/>
      </c>
      <c r="BK102" t="str">
        <f ca="1">IFERROR(IF(0=LEN(ReferenceData!$BK$102),"",ReferenceData!$BK$102),"")</f>
        <v/>
      </c>
      <c r="BL102" t="str">
        <f ca="1">IFERROR(IF(0=LEN(ReferenceData!$BL$102),"",ReferenceData!$BL$102),"")</f>
        <v/>
      </c>
      <c r="BM102" t="str">
        <f ca="1">IFERROR(IF(0=LEN(ReferenceData!$BM$102),"",ReferenceData!$BM$102),"")</f>
        <v/>
      </c>
    </row>
    <row r="103" spans="1:65" x14ac:dyDescent="0.25">
      <c r="A103" t="str">
        <f>IFERROR(IF(0=LEN(ReferenceData!$A$103),"",ReferenceData!$A$103),"")</f>
        <v xml:space="preserve">    Great Wall Motor Co Ltd</v>
      </c>
      <c r="B103" t="str">
        <f>IFERROR(IF(0=LEN(ReferenceData!$B$103),"",ReferenceData!$B$103),"")</f>
        <v>2333 HK Equity</v>
      </c>
      <c r="C103" t="str">
        <f>IFERROR(IF(0=LEN(ReferenceData!$C$103),"",ReferenceData!$C$103),"")</f>
        <v>EZ021</v>
      </c>
      <c r="D103" t="str">
        <f>IFERROR(IF(0=LEN(ReferenceData!$D$103),"",ReferenceData!$D$103),"")</f>
        <v>BEST_EPS_NXT_YR</v>
      </c>
      <c r="E103" t="str">
        <f>IFERROR(IF(0=LEN(ReferenceData!$E$103),"",ReferenceData!$E$103),"")</f>
        <v>Dynamic</v>
      </c>
      <c r="F103">
        <f ca="1">IFERROR(IF(0=LEN(ReferenceData!$F$103),"",ReferenceData!$F$103),"")</f>
        <v>8.7999999999999995E-2</v>
      </c>
      <c r="G103">
        <f ca="1">IFERROR(IF(0=LEN(ReferenceData!$G$103),"",ReferenceData!$G$103),"")</f>
        <v>8.6999999999999994E-2</v>
      </c>
      <c r="H103">
        <f ca="1">IFERROR(IF(0=LEN(ReferenceData!$H$103),"",ReferenceData!$H$103),"")</f>
        <v>0.11</v>
      </c>
      <c r="I103">
        <f ca="1">IFERROR(IF(0=LEN(ReferenceData!$I$103),"",ReferenceData!$I$103),"")</f>
        <v>0.14599999999999999</v>
      </c>
      <c r="J103">
        <f ca="1">IFERROR(IF(0=LEN(ReferenceData!$J$103),"",ReferenceData!$J$103),"")</f>
        <v>0.15</v>
      </c>
      <c r="K103">
        <f ca="1">IFERROR(IF(0=LEN(ReferenceData!$K$103),"",ReferenceData!$K$103),"")</f>
        <v>0.156</v>
      </c>
      <c r="L103">
        <f ca="1">IFERROR(IF(0=LEN(ReferenceData!$L$103),"",ReferenceData!$L$103),"")</f>
        <v>0.16600000000000001</v>
      </c>
      <c r="M103">
        <f ca="1">IFERROR(IF(0=LEN(ReferenceData!$M$103),"",ReferenceData!$M$103),"")</f>
        <v>0.17799999999999999</v>
      </c>
      <c r="N103">
        <f ca="1">IFERROR(IF(0=LEN(ReferenceData!$N$103),"",ReferenceData!$N$103),"")</f>
        <v>0.18099999999999999</v>
      </c>
      <c r="O103">
        <f ca="1">IFERROR(IF(0=LEN(ReferenceData!$O$103),"",ReferenceData!$O$103),"")</f>
        <v>0.104</v>
      </c>
      <c r="P103" t="str">
        <f ca="1">IFERROR(IF(0=LEN(ReferenceData!$P$103),"",ReferenceData!$P$103),"")</f>
        <v/>
      </c>
      <c r="Q103" t="str">
        <f ca="1">IFERROR(IF(0=LEN(ReferenceData!$Q$103),"",ReferenceData!$Q$103),"")</f>
        <v/>
      </c>
      <c r="R103" t="str">
        <f ca="1">IFERROR(IF(0=LEN(ReferenceData!$R$103),"",ReferenceData!$R$103),"")</f>
        <v/>
      </c>
      <c r="S103" t="str">
        <f ca="1">IFERROR(IF(0=LEN(ReferenceData!$S$103),"",ReferenceData!$S$103),"")</f>
        <v/>
      </c>
      <c r="T103" t="str">
        <f ca="1">IFERROR(IF(0=LEN(ReferenceData!$T$103),"",ReferenceData!$T$103),"")</f>
        <v/>
      </c>
      <c r="U103" t="str">
        <f ca="1">IFERROR(IF(0=LEN(ReferenceData!$U$103),"",ReferenceData!$U$103),"")</f>
        <v/>
      </c>
      <c r="V103" t="str">
        <f ca="1">IFERROR(IF(0=LEN(ReferenceData!$V$103),"",ReferenceData!$V$103),"")</f>
        <v/>
      </c>
      <c r="W103" t="str">
        <f ca="1">IFERROR(IF(0=LEN(ReferenceData!$W$103),"",ReferenceData!$W$103),"")</f>
        <v/>
      </c>
      <c r="X103" t="str">
        <f ca="1">IFERROR(IF(0=LEN(ReferenceData!$X$103),"",ReferenceData!$X$103),"")</f>
        <v/>
      </c>
      <c r="Y103" t="str">
        <f ca="1">IFERROR(IF(0=LEN(ReferenceData!$Y$103),"",ReferenceData!$Y$103),"")</f>
        <v/>
      </c>
      <c r="Z103" t="str">
        <f ca="1">IFERROR(IF(0=LEN(ReferenceData!$Z$103),"",ReferenceData!$Z$103),"")</f>
        <v/>
      </c>
      <c r="AA103" t="str">
        <f ca="1">IFERROR(IF(0=LEN(ReferenceData!$AA$103),"",ReferenceData!$AA$103),"")</f>
        <v/>
      </c>
      <c r="AB103" t="str">
        <f ca="1">IFERROR(IF(0=LEN(ReferenceData!$AB$103),"",ReferenceData!$AB$103),"")</f>
        <v/>
      </c>
      <c r="AC103" t="str">
        <f ca="1">IFERROR(IF(0=LEN(ReferenceData!$AC$103),"",ReferenceData!$AC$103),"")</f>
        <v/>
      </c>
      <c r="AD103" t="str">
        <f ca="1">IFERROR(IF(0=LEN(ReferenceData!$AD$103),"",ReferenceData!$AD$103),"")</f>
        <v/>
      </c>
      <c r="AE103" t="str">
        <f ca="1">IFERROR(IF(0=LEN(ReferenceData!$AE$103),"",ReferenceData!$AE$103),"")</f>
        <v/>
      </c>
      <c r="AF103" t="str">
        <f ca="1">IFERROR(IF(0=LEN(ReferenceData!$AF$103),"",ReferenceData!$AF$103),"")</f>
        <v/>
      </c>
      <c r="AG103" t="str">
        <f ca="1">IFERROR(IF(0=LEN(ReferenceData!$AG$103),"",ReferenceData!$AG$103),"")</f>
        <v/>
      </c>
      <c r="AH103" t="str">
        <f ca="1">IFERROR(IF(0=LEN(ReferenceData!$AH$103),"",ReferenceData!$AH$103),"")</f>
        <v/>
      </c>
      <c r="AI103" t="str">
        <f ca="1">IFERROR(IF(0=LEN(ReferenceData!$AI$103),"",ReferenceData!$AI$103),"")</f>
        <v/>
      </c>
      <c r="AJ103" t="str">
        <f ca="1">IFERROR(IF(0=LEN(ReferenceData!$AJ$103),"",ReferenceData!$AJ$103),"")</f>
        <v/>
      </c>
      <c r="AK103" t="str">
        <f ca="1">IFERROR(IF(0=LEN(ReferenceData!$AK$103),"",ReferenceData!$AK$103),"")</f>
        <v/>
      </c>
      <c r="AL103" t="str">
        <f ca="1">IFERROR(IF(0=LEN(ReferenceData!$AL$103),"",ReferenceData!$AL$103),"")</f>
        <v/>
      </c>
      <c r="AM103" t="str">
        <f ca="1">IFERROR(IF(0=LEN(ReferenceData!$AM$103),"",ReferenceData!$AM$103),"")</f>
        <v/>
      </c>
      <c r="AN103" t="str">
        <f ca="1">IFERROR(IF(0=LEN(ReferenceData!$AN$103),"",ReferenceData!$AN$103),"")</f>
        <v/>
      </c>
      <c r="AO103" t="str">
        <f ca="1">IFERROR(IF(0=LEN(ReferenceData!$AO$103),"",ReferenceData!$AO$103),"")</f>
        <v/>
      </c>
      <c r="AP103" t="str">
        <f ca="1">IFERROR(IF(0=LEN(ReferenceData!$AP$103),"",ReferenceData!$AP$103),"")</f>
        <v/>
      </c>
      <c r="AQ103" t="str">
        <f ca="1">IFERROR(IF(0=LEN(ReferenceData!$AQ$103),"",ReferenceData!$AQ$103),"")</f>
        <v/>
      </c>
      <c r="AR103" t="str">
        <f ca="1">IFERROR(IF(0=LEN(ReferenceData!$AR$103),"",ReferenceData!$AR$103),"")</f>
        <v/>
      </c>
      <c r="AS103" t="str">
        <f ca="1">IFERROR(IF(0=LEN(ReferenceData!$AS$103),"",ReferenceData!$AS$103),"")</f>
        <v/>
      </c>
      <c r="AT103" t="str">
        <f ca="1">IFERROR(IF(0=LEN(ReferenceData!$AT$103),"",ReferenceData!$AT$103),"")</f>
        <v/>
      </c>
      <c r="AU103" t="str">
        <f ca="1">IFERROR(IF(0=LEN(ReferenceData!$AU$103),"",ReferenceData!$AU$103),"")</f>
        <v/>
      </c>
      <c r="AV103" t="str">
        <f ca="1">IFERROR(IF(0=LEN(ReferenceData!$AV$103),"",ReferenceData!$AV$103),"")</f>
        <v/>
      </c>
      <c r="AW103" t="str">
        <f ca="1">IFERROR(IF(0=LEN(ReferenceData!$AW$103),"",ReferenceData!$AW$103),"")</f>
        <v/>
      </c>
      <c r="AX103" t="str">
        <f ca="1">IFERROR(IF(0=LEN(ReferenceData!$AX$103),"",ReferenceData!$AX$103),"")</f>
        <v/>
      </c>
      <c r="AY103" t="str">
        <f ca="1">IFERROR(IF(0=LEN(ReferenceData!$AY$103),"",ReferenceData!$AY$103),"")</f>
        <v/>
      </c>
      <c r="AZ103" t="str">
        <f ca="1">IFERROR(IF(0=LEN(ReferenceData!$AZ$103),"",ReferenceData!$AZ$103),"")</f>
        <v/>
      </c>
      <c r="BA103" t="str">
        <f ca="1">IFERROR(IF(0=LEN(ReferenceData!$BA$103),"",ReferenceData!$BA$103),"")</f>
        <v/>
      </c>
      <c r="BB103" t="str">
        <f ca="1">IFERROR(IF(0=LEN(ReferenceData!$BB$103),"",ReferenceData!$BB$103),"")</f>
        <v/>
      </c>
      <c r="BC103" t="str">
        <f ca="1">IFERROR(IF(0=LEN(ReferenceData!$BC$103),"",ReferenceData!$BC$103),"")</f>
        <v/>
      </c>
      <c r="BD103" t="str">
        <f ca="1">IFERROR(IF(0=LEN(ReferenceData!$BD$103),"",ReferenceData!$BD$103),"")</f>
        <v/>
      </c>
      <c r="BE103" t="str">
        <f ca="1">IFERROR(IF(0=LEN(ReferenceData!$BE$103),"",ReferenceData!$BE$103),"")</f>
        <v/>
      </c>
      <c r="BF103" t="str">
        <f ca="1">IFERROR(IF(0=LEN(ReferenceData!$BF$103),"",ReferenceData!$BF$103),"")</f>
        <v/>
      </c>
      <c r="BG103" t="str">
        <f ca="1">IFERROR(IF(0=LEN(ReferenceData!$BG$103),"",ReferenceData!$BG$103),"")</f>
        <v/>
      </c>
      <c r="BH103" t="str">
        <f ca="1">IFERROR(IF(0=LEN(ReferenceData!$BH$103),"",ReferenceData!$BH$103),"")</f>
        <v/>
      </c>
      <c r="BI103" t="str">
        <f ca="1">IFERROR(IF(0=LEN(ReferenceData!$BI$103),"",ReferenceData!$BI$103),"")</f>
        <v/>
      </c>
      <c r="BJ103" t="str">
        <f ca="1">IFERROR(IF(0=LEN(ReferenceData!$BJ$103),"",ReferenceData!$BJ$103),"")</f>
        <v/>
      </c>
      <c r="BK103" t="str">
        <f ca="1">IFERROR(IF(0=LEN(ReferenceData!$BK$103),"",ReferenceData!$BK$103),"")</f>
        <v/>
      </c>
      <c r="BL103" t="str">
        <f ca="1">IFERROR(IF(0=LEN(ReferenceData!$BL$103),"",ReferenceData!$BL$103),"")</f>
        <v/>
      </c>
      <c r="BM103" t="str">
        <f ca="1">IFERROR(IF(0=LEN(ReferenceData!$BM$103),"",ReferenceData!$BM$103),"")</f>
        <v/>
      </c>
    </row>
    <row r="104" spans="1:65" x14ac:dyDescent="0.25">
      <c r="A104" t="str">
        <f>IFERROR(IF(0=LEN(ReferenceData!$A$104),"",ReferenceData!$A$104),"")</f>
        <v xml:space="preserve">    Guangzhou Automobile Group Co Ltd</v>
      </c>
      <c r="B104" t="str">
        <f>IFERROR(IF(0=LEN(ReferenceData!$B$104),"",ReferenceData!$B$104),"")</f>
        <v>2238 HK Equity</v>
      </c>
      <c r="C104" t="str">
        <f>IFERROR(IF(0=LEN(ReferenceData!$C$104),"",ReferenceData!$C$104),"")</f>
        <v>EZ021</v>
      </c>
      <c r="D104" t="str">
        <f>IFERROR(IF(0=LEN(ReferenceData!$D$104),"",ReferenceData!$D$104),"")</f>
        <v>BEST_EPS_NXT_YR</v>
      </c>
      <c r="E104" t="str">
        <f>IFERROR(IF(0=LEN(ReferenceData!$E$104),"",ReferenceData!$E$104),"")</f>
        <v>Dynamic</v>
      </c>
      <c r="F104">
        <f ca="1">IFERROR(IF(0=LEN(ReferenceData!$F$104),"",ReferenceData!$F$104),"")</f>
        <v>0.19400000000000001</v>
      </c>
      <c r="G104">
        <f ca="1">IFERROR(IF(0=LEN(ReferenceData!$G$104),"",ReferenceData!$G$104),"")</f>
        <v>0.19400000000000001</v>
      </c>
      <c r="H104">
        <f ca="1">IFERROR(IF(0=LEN(ReferenceData!$H$104),"",ReferenceData!$H$104),"")</f>
        <v>0.20100000000000001</v>
      </c>
      <c r="I104">
        <f ca="1">IFERROR(IF(0=LEN(ReferenceData!$I$104),"",ReferenceData!$I$104),"")</f>
        <v>0.22900000000000001</v>
      </c>
      <c r="J104">
        <f ca="1">IFERROR(IF(0=LEN(ReferenceData!$J$104),"",ReferenceData!$J$104),"")</f>
        <v>0.24099999999999999</v>
      </c>
      <c r="K104">
        <f ca="1">IFERROR(IF(0=LEN(ReferenceData!$K$104),"",ReferenceData!$K$104),"")</f>
        <v>0.23300000000000001</v>
      </c>
      <c r="L104">
        <f ca="1">IFERROR(IF(0=LEN(ReferenceData!$L$104),"",ReferenceData!$L$104),"")</f>
        <v>0.20899999999999999</v>
      </c>
      <c r="M104">
        <f ca="1">IFERROR(IF(0=LEN(ReferenceData!$M$104),"",ReferenceData!$M$104),"")</f>
        <v>0.187</v>
      </c>
      <c r="N104">
        <f ca="1">IFERROR(IF(0=LEN(ReferenceData!$N$104),"",ReferenceData!$N$104),"")</f>
        <v>0.156</v>
      </c>
      <c r="O104">
        <f ca="1">IFERROR(IF(0=LEN(ReferenceData!$O$104),"",ReferenceData!$O$104),"")</f>
        <v>0.128</v>
      </c>
      <c r="P104" t="str">
        <f ca="1">IFERROR(IF(0=LEN(ReferenceData!$P$104),"",ReferenceData!$P$104),"")</f>
        <v/>
      </c>
      <c r="Q104" t="str">
        <f ca="1">IFERROR(IF(0=LEN(ReferenceData!$Q$104),"",ReferenceData!$Q$104),"")</f>
        <v/>
      </c>
      <c r="R104" t="str">
        <f ca="1">IFERROR(IF(0=LEN(ReferenceData!$R$104),"",ReferenceData!$R$104),"")</f>
        <v/>
      </c>
      <c r="S104" t="str">
        <f ca="1">IFERROR(IF(0=LEN(ReferenceData!$S$104),"",ReferenceData!$S$104),"")</f>
        <v/>
      </c>
      <c r="T104" t="str">
        <f ca="1">IFERROR(IF(0=LEN(ReferenceData!$T$104),"",ReferenceData!$T$104),"")</f>
        <v/>
      </c>
      <c r="U104" t="str">
        <f ca="1">IFERROR(IF(0=LEN(ReferenceData!$U$104),"",ReferenceData!$U$104),"")</f>
        <v/>
      </c>
      <c r="V104" t="str">
        <f ca="1">IFERROR(IF(0=LEN(ReferenceData!$V$104),"",ReferenceData!$V$104),"")</f>
        <v/>
      </c>
      <c r="W104" t="str">
        <f ca="1">IFERROR(IF(0=LEN(ReferenceData!$W$104),"",ReferenceData!$W$104),"")</f>
        <v/>
      </c>
      <c r="X104" t="str">
        <f ca="1">IFERROR(IF(0=LEN(ReferenceData!$X$104),"",ReferenceData!$X$104),"")</f>
        <v/>
      </c>
      <c r="Y104" t="str">
        <f ca="1">IFERROR(IF(0=LEN(ReferenceData!$Y$104),"",ReferenceData!$Y$104),"")</f>
        <v/>
      </c>
      <c r="Z104" t="str">
        <f ca="1">IFERROR(IF(0=LEN(ReferenceData!$Z$104),"",ReferenceData!$Z$104),"")</f>
        <v/>
      </c>
      <c r="AA104" t="str">
        <f ca="1">IFERROR(IF(0=LEN(ReferenceData!$AA$104),"",ReferenceData!$AA$104),"")</f>
        <v/>
      </c>
      <c r="AB104" t="str">
        <f ca="1">IFERROR(IF(0=LEN(ReferenceData!$AB$104),"",ReferenceData!$AB$104),"")</f>
        <v/>
      </c>
      <c r="AC104" t="str">
        <f ca="1">IFERROR(IF(0=LEN(ReferenceData!$AC$104),"",ReferenceData!$AC$104),"")</f>
        <v/>
      </c>
      <c r="AD104" t="str">
        <f ca="1">IFERROR(IF(0=LEN(ReferenceData!$AD$104),"",ReferenceData!$AD$104),"")</f>
        <v/>
      </c>
      <c r="AE104" t="str">
        <f ca="1">IFERROR(IF(0=LEN(ReferenceData!$AE$104),"",ReferenceData!$AE$104),"")</f>
        <v/>
      </c>
      <c r="AF104" t="str">
        <f ca="1">IFERROR(IF(0=LEN(ReferenceData!$AF$104),"",ReferenceData!$AF$104),"")</f>
        <v/>
      </c>
      <c r="AG104" t="str">
        <f ca="1">IFERROR(IF(0=LEN(ReferenceData!$AG$104),"",ReferenceData!$AG$104),"")</f>
        <v/>
      </c>
      <c r="AH104" t="str">
        <f ca="1">IFERROR(IF(0=LEN(ReferenceData!$AH$104),"",ReferenceData!$AH$104),"")</f>
        <v/>
      </c>
      <c r="AI104" t="str">
        <f ca="1">IFERROR(IF(0=LEN(ReferenceData!$AI$104),"",ReferenceData!$AI$104),"")</f>
        <v/>
      </c>
      <c r="AJ104" t="str">
        <f ca="1">IFERROR(IF(0=LEN(ReferenceData!$AJ$104),"",ReferenceData!$AJ$104),"")</f>
        <v/>
      </c>
      <c r="AK104" t="str">
        <f ca="1">IFERROR(IF(0=LEN(ReferenceData!$AK$104),"",ReferenceData!$AK$104),"")</f>
        <v/>
      </c>
      <c r="AL104" t="str">
        <f ca="1">IFERROR(IF(0=LEN(ReferenceData!$AL$104),"",ReferenceData!$AL$104),"")</f>
        <v/>
      </c>
      <c r="AM104" t="str">
        <f ca="1">IFERROR(IF(0=LEN(ReferenceData!$AM$104),"",ReferenceData!$AM$104),"")</f>
        <v/>
      </c>
      <c r="AN104" t="str">
        <f ca="1">IFERROR(IF(0=LEN(ReferenceData!$AN$104),"",ReferenceData!$AN$104),"")</f>
        <v/>
      </c>
      <c r="AO104" t="str">
        <f ca="1">IFERROR(IF(0=LEN(ReferenceData!$AO$104),"",ReferenceData!$AO$104),"")</f>
        <v/>
      </c>
      <c r="AP104" t="str">
        <f ca="1">IFERROR(IF(0=LEN(ReferenceData!$AP$104),"",ReferenceData!$AP$104),"")</f>
        <v/>
      </c>
      <c r="AQ104" t="str">
        <f ca="1">IFERROR(IF(0=LEN(ReferenceData!$AQ$104),"",ReferenceData!$AQ$104),"")</f>
        <v/>
      </c>
      <c r="AR104" t="str">
        <f ca="1">IFERROR(IF(0=LEN(ReferenceData!$AR$104),"",ReferenceData!$AR$104),"")</f>
        <v/>
      </c>
      <c r="AS104" t="str">
        <f ca="1">IFERROR(IF(0=LEN(ReferenceData!$AS$104),"",ReferenceData!$AS$104),"")</f>
        <v/>
      </c>
      <c r="AT104" t="str">
        <f ca="1">IFERROR(IF(0=LEN(ReferenceData!$AT$104),"",ReferenceData!$AT$104),"")</f>
        <v/>
      </c>
      <c r="AU104" t="str">
        <f ca="1">IFERROR(IF(0=LEN(ReferenceData!$AU$104),"",ReferenceData!$AU$104),"")</f>
        <v/>
      </c>
      <c r="AV104" t="str">
        <f ca="1">IFERROR(IF(0=LEN(ReferenceData!$AV$104),"",ReferenceData!$AV$104),"")</f>
        <v/>
      </c>
      <c r="AW104" t="str">
        <f ca="1">IFERROR(IF(0=LEN(ReferenceData!$AW$104),"",ReferenceData!$AW$104),"")</f>
        <v/>
      </c>
      <c r="AX104" t="str">
        <f ca="1">IFERROR(IF(0=LEN(ReferenceData!$AX$104),"",ReferenceData!$AX$104),"")</f>
        <v/>
      </c>
      <c r="AY104" t="str">
        <f ca="1">IFERROR(IF(0=LEN(ReferenceData!$AY$104),"",ReferenceData!$AY$104),"")</f>
        <v/>
      </c>
      <c r="AZ104" t="str">
        <f ca="1">IFERROR(IF(0=LEN(ReferenceData!$AZ$104),"",ReferenceData!$AZ$104),"")</f>
        <v/>
      </c>
      <c r="BA104" t="str">
        <f ca="1">IFERROR(IF(0=LEN(ReferenceData!$BA$104),"",ReferenceData!$BA$104),"")</f>
        <v/>
      </c>
      <c r="BB104" t="str">
        <f ca="1">IFERROR(IF(0=LEN(ReferenceData!$BB$104),"",ReferenceData!$BB$104),"")</f>
        <v/>
      </c>
      <c r="BC104" t="str">
        <f ca="1">IFERROR(IF(0=LEN(ReferenceData!$BC$104),"",ReferenceData!$BC$104),"")</f>
        <v/>
      </c>
      <c r="BD104" t="str">
        <f ca="1">IFERROR(IF(0=LEN(ReferenceData!$BD$104),"",ReferenceData!$BD$104),"")</f>
        <v/>
      </c>
      <c r="BE104" t="str">
        <f ca="1">IFERROR(IF(0=LEN(ReferenceData!$BE$104),"",ReferenceData!$BE$104),"")</f>
        <v/>
      </c>
      <c r="BF104" t="str">
        <f ca="1">IFERROR(IF(0=LEN(ReferenceData!$BF$104),"",ReferenceData!$BF$104),"")</f>
        <v/>
      </c>
      <c r="BG104" t="str">
        <f ca="1">IFERROR(IF(0=LEN(ReferenceData!$BG$104),"",ReferenceData!$BG$104),"")</f>
        <v/>
      </c>
      <c r="BH104" t="str">
        <f ca="1">IFERROR(IF(0=LEN(ReferenceData!$BH$104),"",ReferenceData!$BH$104),"")</f>
        <v/>
      </c>
      <c r="BI104" t="str">
        <f ca="1">IFERROR(IF(0=LEN(ReferenceData!$BI$104),"",ReferenceData!$BI$104),"")</f>
        <v/>
      </c>
      <c r="BJ104" t="str">
        <f ca="1">IFERROR(IF(0=LEN(ReferenceData!$BJ$104),"",ReferenceData!$BJ$104),"")</f>
        <v/>
      </c>
      <c r="BK104" t="str">
        <f ca="1">IFERROR(IF(0=LEN(ReferenceData!$BK$104),"",ReferenceData!$BK$104),"")</f>
        <v/>
      </c>
      <c r="BL104" t="str">
        <f ca="1">IFERROR(IF(0=LEN(ReferenceData!$BL$104),"",ReferenceData!$BL$104),"")</f>
        <v/>
      </c>
      <c r="BM104" t="str">
        <f ca="1">IFERROR(IF(0=LEN(ReferenceData!$BM$104),"",ReferenceData!$BM$104),"")</f>
        <v/>
      </c>
    </row>
    <row r="105" spans="1:65" x14ac:dyDescent="0.25">
      <c r="A105" t="str">
        <f>IFERROR(IF(0=LEN(ReferenceData!$A$105),"",ReferenceData!$A$105),"")</f>
        <v xml:space="preserve">    Honda Motor Co Ltd</v>
      </c>
      <c r="B105" t="str">
        <f>IFERROR(IF(0=LEN(ReferenceData!$B$105),"",ReferenceData!$B$105),"")</f>
        <v>7267 JP Equity</v>
      </c>
      <c r="C105" t="str">
        <f>IFERROR(IF(0=LEN(ReferenceData!$C$105),"",ReferenceData!$C$105),"")</f>
        <v>EZ021</v>
      </c>
      <c r="D105" t="str">
        <f>IFERROR(IF(0=LEN(ReferenceData!$D$105),"",ReferenceData!$D$105),"")</f>
        <v>BEST_EPS_NXT_YR</v>
      </c>
      <c r="E105" t="str">
        <f>IFERROR(IF(0=LEN(ReferenceData!$E$105),"",ReferenceData!$E$105),"")</f>
        <v>Dynamic</v>
      </c>
      <c r="F105">
        <f ca="1">IFERROR(IF(0=LEN(ReferenceData!$F$105),"",ReferenceData!$F$105),"")</f>
        <v>3.8530000000000002</v>
      </c>
      <c r="G105">
        <f ca="1">IFERROR(IF(0=LEN(ReferenceData!$G$105),"",ReferenceData!$G$105),"")</f>
        <v>3.7869999999999999</v>
      </c>
      <c r="H105">
        <f ca="1">IFERROR(IF(0=LEN(ReferenceData!$H$105),"",ReferenceData!$H$105),"")</f>
        <v>3.8109999999999999</v>
      </c>
      <c r="I105">
        <f ca="1">IFERROR(IF(0=LEN(ReferenceData!$I$105),"",ReferenceData!$I$105),"")</f>
        <v>3.9689999999999999</v>
      </c>
      <c r="J105">
        <f ca="1">IFERROR(IF(0=LEN(ReferenceData!$J$105),"",ReferenceData!$J$105),"")</f>
        <v>4.3360000000000003</v>
      </c>
      <c r="K105">
        <f ca="1">IFERROR(IF(0=LEN(ReferenceData!$K$105),"",ReferenceData!$K$105),"")</f>
        <v>3.86</v>
      </c>
      <c r="L105">
        <f ca="1">IFERROR(IF(0=LEN(ReferenceData!$L$105),"",ReferenceData!$L$105),"")</f>
        <v>3.633</v>
      </c>
      <c r="M105">
        <f ca="1">IFERROR(IF(0=LEN(ReferenceData!$M$105),"",ReferenceData!$M$105),"")</f>
        <v>3.665</v>
      </c>
      <c r="N105">
        <f ca="1">IFERROR(IF(0=LEN(ReferenceData!$N$105),"",ReferenceData!$N$105),"")</f>
        <v>4.5439999999999996</v>
      </c>
      <c r="O105">
        <f ca="1">IFERROR(IF(0=LEN(ReferenceData!$O$105),"",ReferenceData!$O$105),"")</f>
        <v>4.1360000000000001</v>
      </c>
      <c r="P105">
        <f ca="1">IFERROR(IF(0=LEN(ReferenceData!$P$105),"",ReferenceData!$P$105),"")</f>
        <v>3.8420000000000001</v>
      </c>
      <c r="Q105">
        <f ca="1">IFERROR(IF(0=LEN(ReferenceData!$Q$105),"",ReferenceData!$Q$105),"")</f>
        <v>4.1779999999999999</v>
      </c>
      <c r="R105">
        <f ca="1">IFERROR(IF(0=LEN(ReferenceData!$R$105),"",ReferenceData!$R$105),"")</f>
        <v>3.605</v>
      </c>
      <c r="S105">
        <f ca="1">IFERROR(IF(0=LEN(ReferenceData!$S$105),"",ReferenceData!$S$105),"")</f>
        <v>3.835</v>
      </c>
      <c r="T105">
        <f ca="1">IFERROR(IF(0=LEN(ReferenceData!$T$105),"",ReferenceData!$T$105),"")</f>
        <v>3.8130000000000002</v>
      </c>
      <c r="U105">
        <f ca="1">IFERROR(IF(0=LEN(ReferenceData!$U$105),"",ReferenceData!$U$105),"")</f>
        <v>3.9809999999999999</v>
      </c>
      <c r="V105" t="str">
        <f ca="1">IFERROR(IF(0=LEN(ReferenceData!$V$105),"",ReferenceData!$V$105),"")</f>
        <v/>
      </c>
      <c r="W105" t="str">
        <f ca="1">IFERROR(IF(0=LEN(ReferenceData!$W$105),"",ReferenceData!$W$105),"")</f>
        <v/>
      </c>
      <c r="X105" t="str">
        <f ca="1">IFERROR(IF(0=LEN(ReferenceData!$X$105),"",ReferenceData!$X$105),"")</f>
        <v/>
      </c>
      <c r="Y105" t="str">
        <f ca="1">IFERROR(IF(0=LEN(ReferenceData!$Y$105),"",ReferenceData!$Y$105),"")</f>
        <v/>
      </c>
      <c r="Z105" t="str">
        <f ca="1">IFERROR(IF(0=LEN(ReferenceData!$Z$105),"",ReferenceData!$Z$105),"")</f>
        <v/>
      </c>
      <c r="AA105" t="str">
        <f ca="1">IFERROR(IF(0=LEN(ReferenceData!$AA$105),"",ReferenceData!$AA$105),"")</f>
        <v/>
      </c>
      <c r="AB105" t="str">
        <f ca="1">IFERROR(IF(0=LEN(ReferenceData!$AB$105),"",ReferenceData!$AB$105),"")</f>
        <v/>
      </c>
      <c r="AC105" t="str">
        <f ca="1">IFERROR(IF(0=LEN(ReferenceData!$AC$105),"",ReferenceData!$AC$105),"")</f>
        <v/>
      </c>
      <c r="AD105" t="str">
        <f ca="1">IFERROR(IF(0=LEN(ReferenceData!$AD$105),"",ReferenceData!$AD$105),"")</f>
        <v/>
      </c>
      <c r="AE105" t="str">
        <f ca="1">IFERROR(IF(0=LEN(ReferenceData!$AE$105),"",ReferenceData!$AE$105),"")</f>
        <v/>
      </c>
      <c r="AF105" t="str">
        <f ca="1">IFERROR(IF(0=LEN(ReferenceData!$AF$105),"",ReferenceData!$AF$105),"")</f>
        <v/>
      </c>
      <c r="AG105" t="str">
        <f ca="1">IFERROR(IF(0=LEN(ReferenceData!$AG$105),"",ReferenceData!$AG$105),"")</f>
        <v/>
      </c>
      <c r="AH105" t="str">
        <f ca="1">IFERROR(IF(0=LEN(ReferenceData!$AH$105),"",ReferenceData!$AH$105),"")</f>
        <v/>
      </c>
      <c r="AI105" t="str">
        <f ca="1">IFERROR(IF(0=LEN(ReferenceData!$AI$105),"",ReferenceData!$AI$105),"")</f>
        <v/>
      </c>
      <c r="AJ105" t="str">
        <f ca="1">IFERROR(IF(0=LEN(ReferenceData!$AJ$105),"",ReferenceData!$AJ$105),"")</f>
        <v/>
      </c>
      <c r="AK105" t="str">
        <f ca="1">IFERROR(IF(0=LEN(ReferenceData!$AK$105),"",ReferenceData!$AK$105),"")</f>
        <v/>
      </c>
      <c r="AL105" t="str">
        <f ca="1">IFERROR(IF(0=LEN(ReferenceData!$AL$105),"",ReferenceData!$AL$105),"")</f>
        <v/>
      </c>
      <c r="AM105" t="str">
        <f ca="1">IFERROR(IF(0=LEN(ReferenceData!$AM$105),"",ReferenceData!$AM$105),"")</f>
        <v/>
      </c>
      <c r="AN105" t="str">
        <f ca="1">IFERROR(IF(0=LEN(ReferenceData!$AN$105),"",ReferenceData!$AN$105),"")</f>
        <v/>
      </c>
      <c r="AO105" t="str">
        <f ca="1">IFERROR(IF(0=LEN(ReferenceData!$AO$105),"",ReferenceData!$AO$105),"")</f>
        <v/>
      </c>
      <c r="AP105" t="str">
        <f ca="1">IFERROR(IF(0=LEN(ReferenceData!$AP$105),"",ReferenceData!$AP$105),"")</f>
        <v/>
      </c>
      <c r="AQ105" t="str">
        <f ca="1">IFERROR(IF(0=LEN(ReferenceData!$AQ$105),"",ReferenceData!$AQ$105),"")</f>
        <v/>
      </c>
      <c r="AR105" t="str">
        <f ca="1">IFERROR(IF(0=LEN(ReferenceData!$AR$105),"",ReferenceData!$AR$105),"")</f>
        <v/>
      </c>
      <c r="AS105" t="str">
        <f ca="1">IFERROR(IF(0=LEN(ReferenceData!$AS$105),"",ReferenceData!$AS$105),"")</f>
        <v/>
      </c>
      <c r="AT105" t="str">
        <f ca="1">IFERROR(IF(0=LEN(ReferenceData!$AT$105),"",ReferenceData!$AT$105),"")</f>
        <v/>
      </c>
      <c r="AU105" t="str">
        <f ca="1">IFERROR(IF(0=LEN(ReferenceData!$AU$105),"",ReferenceData!$AU$105),"")</f>
        <v/>
      </c>
      <c r="AV105" t="str">
        <f ca="1">IFERROR(IF(0=LEN(ReferenceData!$AV$105),"",ReferenceData!$AV$105),"")</f>
        <v/>
      </c>
      <c r="AW105" t="str">
        <f ca="1">IFERROR(IF(0=LEN(ReferenceData!$AW$105),"",ReferenceData!$AW$105),"")</f>
        <v/>
      </c>
      <c r="AX105" t="str">
        <f ca="1">IFERROR(IF(0=LEN(ReferenceData!$AX$105),"",ReferenceData!$AX$105),"")</f>
        <v/>
      </c>
      <c r="AY105" t="str">
        <f ca="1">IFERROR(IF(0=LEN(ReferenceData!$AY$105),"",ReferenceData!$AY$105),"")</f>
        <v/>
      </c>
      <c r="AZ105" t="str">
        <f ca="1">IFERROR(IF(0=LEN(ReferenceData!$AZ$105),"",ReferenceData!$AZ$105),"")</f>
        <v/>
      </c>
      <c r="BA105" t="str">
        <f ca="1">IFERROR(IF(0=LEN(ReferenceData!$BA$105),"",ReferenceData!$BA$105),"")</f>
        <v/>
      </c>
      <c r="BB105" t="str">
        <f ca="1">IFERROR(IF(0=LEN(ReferenceData!$BB$105),"",ReferenceData!$BB$105),"")</f>
        <v/>
      </c>
      <c r="BC105" t="str">
        <f ca="1">IFERROR(IF(0=LEN(ReferenceData!$BC$105),"",ReferenceData!$BC$105),"")</f>
        <v/>
      </c>
      <c r="BD105" t="str">
        <f ca="1">IFERROR(IF(0=LEN(ReferenceData!$BD$105),"",ReferenceData!$BD$105),"")</f>
        <v/>
      </c>
      <c r="BE105" t="str">
        <f ca="1">IFERROR(IF(0=LEN(ReferenceData!$BE$105),"",ReferenceData!$BE$105),"")</f>
        <v/>
      </c>
      <c r="BF105" t="str">
        <f ca="1">IFERROR(IF(0=LEN(ReferenceData!$BF$105),"",ReferenceData!$BF$105),"")</f>
        <v/>
      </c>
      <c r="BG105" t="str">
        <f ca="1">IFERROR(IF(0=LEN(ReferenceData!$BG$105),"",ReferenceData!$BG$105),"")</f>
        <v/>
      </c>
      <c r="BH105" t="str">
        <f ca="1">IFERROR(IF(0=LEN(ReferenceData!$BH$105),"",ReferenceData!$BH$105),"")</f>
        <v/>
      </c>
      <c r="BI105" t="str">
        <f ca="1">IFERROR(IF(0=LEN(ReferenceData!$BI$105),"",ReferenceData!$BI$105),"")</f>
        <v/>
      </c>
      <c r="BJ105" t="str">
        <f ca="1">IFERROR(IF(0=LEN(ReferenceData!$BJ$105),"",ReferenceData!$BJ$105),"")</f>
        <v/>
      </c>
      <c r="BK105" t="str">
        <f ca="1">IFERROR(IF(0=LEN(ReferenceData!$BK$105),"",ReferenceData!$BK$105),"")</f>
        <v/>
      </c>
      <c r="BL105" t="str">
        <f ca="1">IFERROR(IF(0=LEN(ReferenceData!$BL$105),"",ReferenceData!$BL$105),"")</f>
        <v/>
      </c>
      <c r="BM105" t="str">
        <f ca="1">IFERROR(IF(0=LEN(ReferenceData!$BM$105),"",ReferenceData!$BM$105),"")</f>
        <v/>
      </c>
    </row>
    <row r="106" spans="1:65" x14ac:dyDescent="0.25">
      <c r="A106" t="str">
        <f>IFERROR(IF(0=LEN(ReferenceData!$A$106),"",ReferenceData!$A$106),"")</f>
        <v xml:space="preserve">    Hyundai Motor Co</v>
      </c>
      <c r="B106" t="str">
        <f>IFERROR(IF(0=LEN(ReferenceData!$B$106),"",ReferenceData!$B$106),"")</f>
        <v>005380 KS Equity</v>
      </c>
      <c r="C106" t="str">
        <f>IFERROR(IF(0=LEN(ReferenceData!$C$106),"",ReferenceData!$C$106),"")</f>
        <v>EZ021</v>
      </c>
      <c r="D106" t="str">
        <f>IFERROR(IF(0=LEN(ReferenceData!$D$106),"",ReferenceData!$D$106),"")</f>
        <v>BEST_EPS_NXT_YR</v>
      </c>
      <c r="E106" t="str">
        <f>IFERROR(IF(0=LEN(ReferenceData!$E$106),"",ReferenceData!$E$106),"")</f>
        <v>Dynamic</v>
      </c>
      <c r="F106">
        <f ca="1">IFERROR(IF(0=LEN(ReferenceData!$F$106),"",ReferenceData!$F$106),"")</f>
        <v>14.144</v>
      </c>
      <c r="G106">
        <f ca="1">IFERROR(IF(0=LEN(ReferenceData!$G$106),"",ReferenceData!$G$106),"")</f>
        <v>14.831</v>
      </c>
      <c r="H106">
        <f ca="1">IFERROR(IF(0=LEN(ReferenceData!$H$106),"",ReferenceData!$H$106),"")</f>
        <v>17.526</v>
      </c>
      <c r="I106">
        <f ca="1">IFERROR(IF(0=LEN(ReferenceData!$I$106),"",ReferenceData!$I$106),"")</f>
        <v>18.196999999999999</v>
      </c>
      <c r="J106">
        <f ca="1">IFERROR(IF(0=LEN(ReferenceData!$J$106),"",ReferenceData!$J$106),"")</f>
        <v>19.905000000000001</v>
      </c>
      <c r="K106">
        <f ca="1">IFERROR(IF(0=LEN(ReferenceData!$K$106),"",ReferenceData!$K$106),"")</f>
        <v>22.244</v>
      </c>
      <c r="L106">
        <f ca="1">IFERROR(IF(0=LEN(ReferenceData!$L$106),"",ReferenceData!$L$106),"")</f>
        <v>22.547999999999998</v>
      </c>
      <c r="M106">
        <f ca="1">IFERROR(IF(0=LEN(ReferenceData!$M$106),"",ReferenceData!$M$106),"")</f>
        <v>23.834</v>
      </c>
      <c r="N106">
        <f ca="1">IFERROR(IF(0=LEN(ReferenceData!$N$106),"",ReferenceData!$N$106),"")</f>
        <v>23.597000000000001</v>
      </c>
      <c r="O106">
        <f ca="1">IFERROR(IF(0=LEN(ReferenceData!$O$106),"",ReferenceData!$O$106),"")</f>
        <v>25.143000000000001</v>
      </c>
      <c r="P106">
        <f ca="1">IFERROR(IF(0=LEN(ReferenceData!$P$106),"",ReferenceData!$P$106),"")</f>
        <v>29.954000000000001</v>
      </c>
      <c r="Q106">
        <f ca="1">IFERROR(IF(0=LEN(ReferenceData!$Q$106),"",ReferenceData!$Q$106),"")</f>
        <v>24.934999999999999</v>
      </c>
      <c r="R106">
        <f ca="1">IFERROR(IF(0=LEN(ReferenceData!$R$106),"",ReferenceData!$R$106),"")</f>
        <v>25.957000000000001</v>
      </c>
      <c r="S106" t="str">
        <f ca="1">IFERROR(IF(0=LEN(ReferenceData!$S$106),"",ReferenceData!$S$106),"")</f>
        <v/>
      </c>
      <c r="T106" t="str">
        <f ca="1">IFERROR(IF(0=LEN(ReferenceData!$T$106),"",ReferenceData!$T$106),"")</f>
        <v/>
      </c>
      <c r="U106" t="str">
        <f ca="1">IFERROR(IF(0=LEN(ReferenceData!$U$106),"",ReferenceData!$U$106),"")</f>
        <v/>
      </c>
      <c r="V106" t="str">
        <f ca="1">IFERROR(IF(0=LEN(ReferenceData!$V$106),"",ReferenceData!$V$106),"")</f>
        <v/>
      </c>
      <c r="W106" t="str">
        <f ca="1">IFERROR(IF(0=LEN(ReferenceData!$W$106),"",ReferenceData!$W$106),"")</f>
        <v/>
      </c>
      <c r="X106" t="str">
        <f ca="1">IFERROR(IF(0=LEN(ReferenceData!$X$106),"",ReferenceData!$X$106),"")</f>
        <v/>
      </c>
      <c r="Y106" t="str">
        <f ca="1">IFERROR(IF(0=LEN(ReferenceData!$Y$106),"",ReferenceData!$Y$106),"")</f>
        <v/>
      </c>
      <c r="Z106" t="str">
        <f ca="1">IFERROR(IF(0=LEN(ReferenceData!$Z$106),"",ReferenceData!$Z$106),"")</f>
        <v/>
      </c>
      <c r="AA106" t="str">
        <f ca="1">IFERROR(IF(0=LEN(ReferenceData!$AA$106),"",ReferenceData!$AA$106),"")</f>
        <v/>
      </c>
      <c r="AB106" t="str">
        <f ca="1">IFERROR(IF(0=LEN(ReferenceData!$AB$106),"",ReferenceData!$AB$106),"")</f>
        <v/>
      </c>
      <c r="AC106" t="str">
        <f ca="1">IFERROR(IF(0=LEN(ReferenceData!$AC$106),"",ReferenceData!$AC$106),"")</f>
        <v/>
      </c>
      <c r="AD106" t="str">
        <f ca="1">IFERROR(IF(0=LEN(ReferenceData!$AD$106),"",ReferenceData!$AD$106),"")</f>
        <v/>
      </c>
      <c r="AE106" t="str">
        <f ca="1">IFERROR(IF(0=LEN(ReferenceData!$AE$106),"",ReferenceData!$AE$106),"")</f>
        <v/>
      </c>
      <c r="AF106" t="str">
        <f ca="1">IFERROR(IF(0=LEN(ReferenceData!$AF$106),"",ReferenceData!$AF$106),"")</f>
        <v/>
      </c>
      <c r="AG106" t="str">
        <f ca="1">IFERROR(IF(0=LEN(ReferenceData!$AG$106),"",ReferenceData!$AG$106),"")</f>
        <v/>
      </c>
      <c r="AH106" t="str">
        <f ca="1">IFERROR(IF(0=LEN(ReferenceData!$AH$106),"",ReferenceData!$AH$106),"")</f>
        <v/>
      </c>
      <c r="AI106" t="str">
        <f ca="1">IFERROR(IF(0=LEN(ReferenceData!$AI$106),"",ReferenceData!$AI$106),"")</f>
        <v/>
      </c>
      <c r="AJ106" t="str">
        <f ca="1">IFERROR(IF(0=LEN(ReferenceData!$AJ$106),"",ReferenceData!$AJ$106),"")</f>
        <v/>
      </c>
      <c r="AK106" t="str">
        <f ca="1">IFERROR(IF(0=LEN(ReferenceData!$AK$106),"",ReferenceData!$AK$106),"")</f>
        <v/>
      </c>
      <c r="AL106" t="str">
        <f ca="1">IFERROR(IF(0=LEN(ReferenceData!$AL$106),"",ReferenceData!$AL$106),"")</f>
        <v/>
      </c>
      <c r="AM106" t="str">
        <f ca="1">IFERROR(IF(0=LEN(ReferenceData!$AM$106),"",ReferenceData!$AM$106),"")</f>
        <v/>
      </c>
      <c r="AN106" t="str">
        <f ca="1">IFERROR(IF(0=LEN(ReferenceData!$AN$106),"",ReferenceData!$AN$106),"")</f>
        <v/>
      </c>
      <c r="AO106" t="str">
        <f ca="1">IFERROR(IF(0=LEN(ReferenceData!$AO$106),"",ReferenceData!$AO$106),"")</f>
        <v/>
      </c>
      <c r="AP106" t="str">
        <f ca="1">IFERROR(IF(0=LEN(ReferenceData!$AP$106),"",ReferenceData!$AP$106),"")</f>
        <v/>
      </c>
      <c r="AQ106" t="str">
        <f ca="1">IFERROR(IF(0=LEN(ReferenceData!$AQ$106),"",ReferenceData!$AQ$106),"")</f>
        <v/>
      </c>
      <c r="AR106" t="str">
        <f ca="1">IFERROR(IF(0=LEN(ReferenceData!$AR$106),"",ReferenceData!$AR$106),"")</f>
        <v/>
      </c>
      <c r="AS106" t="str">
        <f ca="1">IFERROR(IF(0=LEN(ReferenceData!$AS$106),"",ReferenceData!$AS$106),"")</f>
        <v/>
      </c>
      <c r="AT106" t="str">
        <f ca="1">IFERROR(IF(0=LEN(ReferenceData!$AT$106),"",ReferenceData!$AT$106),"")</f>
        <v/>
      </c>
      <c r="AU106" t="str">
        <f ca="1">IFERROR(IF(0=LEN(ReferenceData!$AU$106),"",ReferenceData!$AU$106),"")</f>
        <v/>
      </c>
      <c r="AV106" t="str">
        <f ca="1">IFERROR(IF(0=LEN(ReferenceData!$AV$106),"",ReferenceData!$AV$106),"")</f>
        <v/>
      </c>
      <c r="AW106" t="str">
        <f ca="1">IFERROR(IF(0=LEN(ReferenceData!$AW$106),"",ReferenceData!$AW$106),"")</f>
        <v/>
      </c>
      <c r="AX106" t="str">
        <f ca="1">IFERROR(IF(0=LEN(ReferenceData!$AX$106),"",ReferenceData!$AX$106),"")</f>
        <v/>
      </c>
      <c r="AY106" t="str">
        <f ca="1">IFERROR(IF(0=LEN(ReferenceData!$AY$106),"",ReferenceData!$AY$106),"")</f>
        <v/>
      </c>
      <c r="AZ106" t="str">
        <f ca="1">IFERROR(IF(0=LEN(ReferenceData!$AZ$106),"",ReferenceData!$AZ$106),"")</f>
        <v/>
      </c>
      <c r="BA106" t="str">
        <f ca="1">IFERROR(IF(0=LEN(ReferenceData!$BA$106),"",ReferenceData!$BA$106),"")</f>
        <v/>
      </c>
      <c r="BB106" t="str">
        <f ca="1">IFERROR(IF(0=LEN(ReferenceData!$BB$106),"",ReferenceData!$BB$106),"")</f>
        <v/>
      </c>
      <c r="BC106" t="str">
        <f ca="1">IFERROR(IF(0=LEN(ReferenceData!$BC$106),"",ReferenceData!$BC$106),"")</f>
        <v/>
      </c>
      <c r="BD106" t="str">
        <f ca="1">IFERROR(IF(0=LEN(ReferenceData!$BD$106),"",ReferenceData!$BD$106),"")</f>
        <v/>
      </c>
      <c r="BE106" t="str">
        <f ca="1">IFERROR(IF(0=LEN(ReferenceData!$BE$106),"",ReferenceData!$BE$106),"")</f>
        <v/>
      </c>
      <c r="BF106" t="str">
        <f ca="1">IFERROR(IF(0=LEN(ReferenceData!$BF$106),"",ReferenceData!$BF$106),"")</f>
        <v/>
      </c>
      <c r="BG106" t="str">
        <f ca="1">IFERROR(IF(0=LEN(ReferenceData!$BG$106),"",ReferenceData!$BG$106),"")</f>
        <v/>
      </c>
      <c r="BH106" t="str">
        <f ca="1">IFERROR(IF(0=LEN(ReferenceData!$BH$106),"",ReferenceData!$BH$106),"")</f>
        <v/>
      </c>
      <c r="BI106" t="str">
        <f ca="1">IFERROR(IF(0=LEN(ReferenceData!$BI$106),"",ReferenceData!$BI$106),"")</f>
        <v/>
      </c>
      <c r="BJ106" t="str">
        <f ca="1">IFERROR(IF(0=LEN(ReferenceData!$BJ$106),"",ReferenceData!$BJ$106),"")</f>
        <v/>
      </c>
      <c r="BK106" t="str">
        <f ca="1">IFERROR(IF(0=LEN(ReferenceData!$BK$106),"",ReferenceData!$BK$106),"")</f>
        <v/>
      </c>
      <c r="BL106" t="str">
        <f ca="1">IFERROR(IF(0=LEN(ReferenceData!$BL$106),"",ReferenceData!$BL$106),"")</f>
        <v/>
      </c>
      <c r="BM106" t="str">
        <f ca="1">IFERROR(IF(0=LEN(ReferenceData!$BM$106),"",ReferenceData!$BM$106),"")</f>
        <v/>
      </c>
    </row>
    <row r="107" spans="1:65" x14ac:dyDescent="0.25">
      <c r="A107" t="str">
        <f>IFERROR(IF(0=LEN(ReferenceData!$A$107),"",ReferenceData!$A$107),"")</f>
        <v xml:space="preserve">    Kia Motors Corp</v>
      </c>
      <c r="B107" t="str">
        <f>IFERROR(IF(0=LEN(ReferenceData!$B$107),"",ReferenceData!$B$107),"")</f>
        <v>000270 KS Equity</v>
      </c>
      <c r="C107" t="str">
        <f>IFERROR(IF(0=LEN(ReferenceData!$C$107),"",ReferenceData!$C$107),"")</f>
        <v>EZ021</v>
      </c>
      <c r="D107" t="str">
        <f>IFERROR(IF(0=LEN(ReferenceData!$D$107),"",ReferenceData!$D$107),"")</f>
        <v>BEST_EPS_NXT_YR</v>
      </c>
      <c r="E107" t="str">
        <f>IFERROR(IF(0=LEN(ReferenceData!$E$107),"",ReferenceData!$E$107),"")</f>
        <v>Dynamic</v>
      </c>
      <c r="F107">
        <f ca="1">IFERROR(IF(0=LEN(ReferenceData!$F$107),"",ReferenceData!$F$107),"")</f>
        <v>4.5999999999999996</v>
      </c>
      <c r="G107">
        <f ca="1">IFERROR(IF(0=LEN(ReferenceData!$G$107),"",ReferenceData!$G$107),"")</f>
        <v>4.7779999999999996</v>
      </c>
      <c r="H107">
        <f ca="1">IFERROR(IF(0=LEN(ReferenceData!$H$107),"",ReferenceData!$H$107),"")</f>
        <v>5.43</v>
      </c>
      <c r="I107">
        <f ca="1">IFERROR(IF(0=LEN(ReferenceData!$I$107),"",ReferenceData!$I$107),"")</f>
        <v>5.431</v>
      </c>
      <c r="J107">
        <f ca="1">IFERROR(IF(0=LEN(ReferenceData!$J$107),"",ReferenceData!$J$107),"")</f>
        <v>5.5279999999999996</v>
      </c>
      <c r="K107">
        <f ca="1">IFERROR(IF(0=LEN(ReferenceData!$K$107),"",ReferenceData!$K$107),"")</f>
        <v>6.1749999999999998</v>
      </c>
      <c r="L107">
        <f ca="1">IFERROR(IF(0=LEN(ReferenceData!$L$107),"",ReferenceData!$L$107),"")</f>
        <v>6.1909999999999998</v>
      </c>
      <c r="M107">
        <f ca="1">IFERROR(IF(0=LEN(ReferenceData!$M$107),"",ReferenceData!$M$107),"")</f>
        <v>6.202</v>
      </c>
      <c r="N107">
        <f ca="1">IFERROR(IF(0=LEN(ReferenceData!$N$107),"",ReferenceData!$N$107),"")</f>
        <v>6.524</v>
      </c>
      <c r="O107">
        <f ca="1">IFERROR(IF(0=LEN(ReferenceData!$O$107),"",ReferenceData!$O$107),"")</f>
        <v>7.18</v>
      </c>
      <c r="P107">
        <f ca="1">IFERROR(IF(0=LEN(ReferenceData!$P$107),"",ReferenceData!$P$107),"")</f>
        <v>8.6270000000000007</v>
      </c>
      <c r="Q107">
        <f ca="1">IFERROR(IF(0=LEN(ReferenceData!$Q$107),"",ReferenceData!$Q$107),"")</f>
        <v>5.4660000000000002</v>
      </c>
      <c r="R107">
        <f ca="1">IFERROR(IF(0=LEN(ReferenceData!$R$107),"",ReferenceData!$R$107),"")</f>
        <v>6.923</v>
      </c>
      <c r="S107" t="str">
        <f ca="1">IFERROR(IF(0=LEN(ReferenceData!$S$107),"",ReferenceData!$S$107),"")</f>
        <v/>
      </c>
      <c r="T107" t="str">
        <f ca="1">IFERROR(IF(0=LEN(ReferenceData!$T$107),"",ReferenceData!$T$107),"")</f>
        <v/>
      </c>
      <c r="U107" t="str">
        <f ca="1">IFERROR(IF(0=LEN(ReferenceData!$U$107),"",ReferenceData!$U$107),"")</f>
        <v/>
      </c>
      <c r="V107" t="str">
        <f ca="1">IFERROR(IF(0=LEN(ReferenceData!$V$107),"",ReferenceData!$V$107),"")</f>
        <v/>
      </c>
      <c r="W107" t="str">
        <f ca="1">IFERROR(IF(0=LEN(ReferenceData!$W$107),"",ReferenceData!$W$107),"")</f>
        <v/>
      </c>
      <c r="X107" t="str">
        <f ca="1">IFERROR(IF(0=LEN(ReferenceData!$X$107),"",ReferenceData!$X$107),"")</f>
        <v/>
      </c>
      <c r="Y107" t="str">
        <f ca="1">IFERROR(IF(0=LEN(ReferenceData!$Y$107),"",ReferenceData!$Y$107),"")</f>
        <v/>
      </c>
      <c r="Z107" t="str">
        <f ca="1">IFERROR(IF(0=LEN(ReferenceData!$Z$107),"",ReferenceData!$Z$107),"")</f>
        <v/>
      </c>
      <c r="AA107" t="str">
        <f ca="1">IFERROR(IF(0=LEN(ReferenceData!$AA$107),"",ReferenceData!$AA$107),"")</f>
        <v/>
      </c>
      <c r="AB107" t="str">
        <f ca="1">IFERROR(IF(0=LEN(ReferenceData!$AB$107),"",ReferenceData!$AB$107),"")</f>
        <v/>
      </c>
      <c r="AC107" t="str">
        <f ca="1">IFERROR(IF(0=LEN(ReferenceData!$AC$107),"",ReferenceData!$AC$107),"")</f>
        <v/>
      </c>
      <c r="AD107" t="str">
        <f ca="1">IFERROR(IF(0=LEN(ReferenceData!$AD$107),"",ReferenceData!$AD$107),"")</f>
        <v/>
      </c>
      <c r="AE107" t="str">
        <f ca="1">IFERROR(IF(0=LEN(ReferenceData!$AE$107),"",ReferenceData!$AE$107),"")</f>
        <v/>
      </c>
      <c r="AF107" t="str">
        <f ca="1">IFERROR(IF(0=LEN(ReferenceData!$AF$107),"",ReferenceData!$AF$107),"")</f>
        <v/>
      </c>
      <c r="AG107" t="str">
        <f ca="1">IFERROR(IF(0=LEN(ReferenceData!$AG$107),"",ReferenceData!$AG$107),"")</f>
        <v/>
      </c>
      <c r="AH107" t="str">
        <f ca="1">IFERROR(IF(0=LEN(ReferenceData!$AH$107),"",ReferenceData!$AH$107),"")</f>
        <v/>
      </c>
      <c r="AI107" t="str">
        <f ca="1">IFERROR(IF(0=LEN(ReferenceData!$AI$107),"",ReferenceData!$AI$107),"")</f>
        <v/>
      </c>
      <c r="AJ107" t="str">
        <f ca="1">IFERROR(IF(0=LEN(ReferenceData!$AJ$107),"",ReferenceData!$AJ$107),"")</f>
        <v/>
      </c>
      <c r="AK107" t="str">
        <f ca="1">IFERROR(IF(0=LEN(ReferenceData!$AK$107),"",ReferenceData!$AK$107),"")</f>
        <v/>
      </c>
      <c r="AL107" t="str">
        <f ca="1">IFERROR(IF(0=LEN(ReferenceData!$AL$107),"",ReferenceData!$AL$107),"")</f>
        <v/>
      </c>
      <c r="AM107" t="str">
        <f ca="1">IFERROR(IF(0=LEN(ReferenceData!$AM$107),"",ReferenceData!$AM$107),"")</f>
        <v/>
      </c>
      <c r="AN107" t="str">
        <f ca="1">IFERROR(IF(0=LEN(ReferenceData!$AN$107),"",ReferenceData!$AN$107),"")</f>
        <v/>
      </c>
      <c r="AO107" t="str">
        <f ca="1">IFERROR(IF(0=LEN(ReferenceData!$AO$107),"",ReferenceData!$AO$107),"")</f>
        <v/>
      </c>
      <c r="AP107" t="str">
        <f ca="1">IFERROR(IF(0=LEN(ReferenceData!$AP$107),"",ReferenceData!$AP$107),"")</f>
        <v/>
      </c>
      <c r="AQ107" t="str">
        <f ca="1">IFERROR(IF(0=LEN(ReferenceData!$AQ$107),"",ReferenceData!$AQ$107),"")</f>
        <v/>
      </c>
      <c r="AR107" t="str">
        <f ca="1">IFERROR(IF(0=LEN(ReferenceData!$AR$107),"",ReferenceData!$AR$107),"")</f>
        <v/>
      </c>
      <c r="AS107" t="str">
        <f ca="1">IFERROR(IF(0=LEN(ReferenceData!$AS$107),"",ReferenceData!$AS$107),"")</f>
        <v/>
      </c>
      <c r="AT107" t="str">
        <f ca="1">IFERROR(IF(0=LEN(ReferenceData!$AT$107),"",ReferenceData!$AT$107),"")</f>
        <v/>
      </c>
      <c r="AU107" t="str">
        <f ca="1">IFERROR(IF(0=LEN(ReferenceData!$AU$107),"",ReferenceData!$AU$107),"")</f>
        <v/>
      </c>
      <c r="AV107" t="str">
        <f ca="1">IFERROR(IF(0=LEN(ReferenceData!$AV$107),"",ReferenceData!$AV$107),"")</f>
        <v/>
      </c>
      <c r="AW107" t="str">
        <f ca="1">IFERROR(IF(0=LEN(ReferenceData!$AW$107),"",ReferenceData!$AW$107),"")</f>
        <v/>
      </c>
      <c r="AX107" t="str">
        <f ca="1">IFERROR(IF(0=LEN(ReferenceData!$AX$107),"",ReferenceData!$AX$107),"")</f>
        <v/>
      </c>
      <c r="AY107" t="str">
        <f ca="1">IFERROR(IF(0=LEN(ReferenceData!$AY$107),"",ReferenceData!$AY$107),"")</f>
        <v/>
      </c>
      <c r="AZ107" t="str">
        <f ca="1">IFERROR(IF(0=LEN(ReferenceData!$AZ$107),"",ReferenceData!$AZ$107),"")</f>
        <v/>
      </c>
      <c r="BA107" t="str">
        <f ca="1">IFERROR(IF(0=LEN(ReferenceData!$BA$107),"",ReferenceData!$BA$107),"")</f>
        <v/>
      </c>
      <c r="BB107" t="str">
        <f ca="1">IFERROR(IF(0=LEN(ReferenceData!$BB$107),"",ReferenceData!$BB$107),"")</f>
        <v/>
      </c>
      <c r="BC107" t="str">
        <f ca="1">IFERROR(IF(0=LEN(ReferenceData!$BC$107),"",ReferenceData!$BC$107),"")</f>
        <v/>
      </c>
      <c r="BD107" t="str">
        <f ca="1">IFERROR(IF(0=LEN(ReferenceData!$BD$107),"",ReferenceData!$BD$107),"")</f>
        <v/>
      </c>
      <c r="BE107" t="str">
        <f ca="1">IFERROR(IF(0=LEN(ReferenceData!$BE$107),"",ReferenceData!$BE$107),"")</f>
        <v/>
      </c>
      <c r="BF107" t="str">
        <f ca="1">IFERROR(IF(0=LEN(ReferenceData!$BF$107),"",ReferenceData!$BF$107),"")</f>
        <v/>
      </c>
      <c r="BG107" t="str">
        <f ca="1">IFERROR(IF(0=LEN(ReferenceData!$BG$107),"",ReferenceData!$BG$107),"")</f>
        <v/>
      </c>
      <c r="BH107" t="str">
        <f ca="1">IFERROR(IF(0=LEN(ReferenceData!$BH$107),"",ReferenceData!$BH$107),"")</f>
        <v/>
      </c>
      <c r="BI107" t="str">
        <f ca="1">IFERROR(IF(0=LEN(ReferenceData!$BI$107),"",ReferenceData!$BI$107),"")</f>
        <v/>
      </c>
      <c r="BJ107" t="str">
        <f ca="1">IFERROR(IF(0=LEN(ReferenceData!$BJ$107),"",ReferenceData!$BJ$107),"")</f>
        <v/>
      </c>
      <c r="BK107" t="str">
        <f ca="1">IFERROR(IF(0=LEN(ReferenceData!$BK$107),"",ReferenceData!$BK$107),"")</f>
        <v/>
      </c>
      <c r="BL107" t="str">
        <f ca="1">IFERROR(IF(0=LEN(ReferenceData!$BL$107),"",ReferenceData!$BL$107),"")</f>
        <v/>
      </c>
      <c r="BM107" t="str">
        <f ca="1">IFERROR(IF(0=LEN(ReferenceData!$BM$107),"",ReferenceData!$BM$107),"")</f>
        <v/>
      </c>
    </row>
    <row r="108" spans="1:65" x14ac:dyDescent="0.25">
      <c r="A108" t="str">
        <f>IFERROR(IF(0=LEN(ReferenceData!$A$108),"",ReferenceData!$A$108),"")</f>
        <v xml:space="preserve">    Mazda Motor Corp</v>
      </c>
      <c r="B108" t="str">
        <f>IFERROR(IF(0=LEN(ReferenceData!$B$108),"",ReferenceData!$B$108),"")</f>
        <v>7261 JP Equity</v>
      </c>
      <c r="C108" t="str">
        <f>IFERROR(IF(0=LEN(ReferenceData!$C$108),"",ReferenceData!$C$108),"")</f>
        <v>EZ021</v>
      </c>
      <c r="D108" t="str">
        <f>IFERROR(IF(0=LEN(ReferenceData!$D$108),"",ReferenceData!$D$108),"")</f>
        <v>BEST_EPS_NXT_YR</v>
      </c>
      <c r="E108" t="str">
        <f>IFERROR(IF(0=LEN(ReferenceData!$E$108),"",ReferenceData!$E$108),"")</f>
        <v>Dynamic</v>
      </c>
      <c r="F108">
        <f ca="1">IFERROR(IF(0=LEN(ReferenceData!$F$108),"",ReferenceData!$F$108),"")</f>
        <v>1.258</v>
      </c>
      <c r="G108">
        <f ca="1">IFERROR(IF(0=LEN(ReferenceData!$G$108),"",ReferenceData!$G$108),"")</f>
        <v>1.26</v>
      </c>
      <c r="H108">
        <f ca="1">IFERROR(IF(0=LEN(ReferenceData!$H$108),"",ReferenceData!$H$108),"")</f>
        <v>1.4239999999999999</v>
      </c>
      <c r="I108">
        <f ca="1">IFERROR(IF(0=LEN(ReferenceData!$I$108),"",ReferenceData!$I$108),"")</f>
        <v>1.5009999999999999</v>
      </c>
      <c r="J108">
        <f ca="1">IFERROR(IF(0=LEN(ReferenceData!$J$108),"",ReferenceData!$J$108),"")</f>
        <v>1.9</v>
      </c>
      <c r="K108">
        <f ca="1">IFERROR(IF(0=LEN(ReferenceData!$K$108),"",ReferenceData!$K$108),"")</f>
        <v>1.964</v>
      </c>
      <c r="L108">
        <f ca="1">IFERROR(IF(0=LEN(ReferenceData!$L$108),"",ReferenceData!$L$108),"")</f>
        <v>2.1669999999999998</v>
      </c>
      <c r="M108">
        <f ca="1">IFERROR(IF(0=LEN(ReferenceData!$M$108),"",ReferenceData!$M$108),"")</f>
        <v>2.109</v>
      </c>
      <c r="N108">
        <f ca="1">IFERROR(IF(0=LEN(ReferenceData!$N$108),"",ReferenceData!$N$108),"")</f>
        <v>2.669</v>
      </c>
      <c r="O108">
        <f ca="1">IFERROR(IF(0=LEN(ReferenceData!$O$108),"",ReferenceData!$O$108),"")</f>
        <v>2.4609999999999999</v>
      </c>
      <c r="P108">
        <f ca="1">IFERROR(IF(0=LEN(ReferenceData!$P$108),"",ReferenceData!$P$108),"")</f>
        <v>2.6640000000000001</v>
      </c>
      <c r="Q108">
        <f ca="1">IFERROR(IF(0=LEN(ReferenceData!$Q$108),"",ReferenceData!$Q$108),"")</f>
        <v>2.7429999999999999</v>
      </c>
      <c r="R108">
        <f ca="1">IFERROR(IF(0=LEN(ReferenceData!$R$108),"",ReferenceData!$R$108),"")</f>
        <v>2.7280000000000002</v>
      </c>
      <c r="S108">
        <f ca="1">IFERROR(IF(0=LEN(ReferenceData!$S$108),"",ReferenceData!$S$108),"")</f>
        <v>2.9529999999999998</v>
      </c>
      <c r="T108">
        <f ca="1">IFERROR(IF(0=LEN(ReferenceData!$T$108),"",ReferenceData!$T$108),"")</f>
        <v>2.9489999999999998</v>
      </c>
      <c r="U108">
        <f ca="1">IFERROR(IF(0=LEN(ReferenceData!$U$108),"",ReferenceData!$U$108),"")</f>
        <v>2.9249999999999998</v>
      </c>
      <c r="V108" t="str">
        <f ca="1">IFERROR(IF(0=LEN(ReferenceData!$V$108),"",ReferenceData!$V$108),"")</f>
        <v/>
      </c>
      <c r="W108" t="str">
        <f ca="1">IFERROR(IF(0=LEN(ReferenceData!$W$108),"",ReferenceData!$W$108),"")</f>
        <v/>
      </c>
      <c r="X108" t="str">
        <f ca="1">IFERROR(IF(0=LEN(ReferenceData!$X$108),"",ReferenceData!$X$108),"")</f>
        <v/>
      </c>
      <c r="Y108" t="str">
        <f ca="1">IFERROR(IF(0=LEN(ReferenceData!$Y$108),"",ReferenceData!$Y$108),"")</f>
        <v/>
      </c>
      <c r="Z108" t="str">
        <f ca="1">IFERROR(IF(0=LEN(ReferenceData!$Z$108),"",ReferenceData!$Z$108),"")</f>
        <v/>
      </c>
      <c r="AA108" t="str">
        <f ca="1">IFERROR(IF(0=LEN(ReferenceData!$AA$108),"",ReferenceData!$AA$108),"")</f>
        <v/>
      </c>
      <c r="AB108" t="str">
        <f ca="1">IFERROR(IF(0=LEN(ReferenceData!$AB$108),"",ReferenceData!$AB$108),"")</f>
        <v/>
      </c>
      <c r="AC108" t="str">
        <f ca="1">IFERROR(IF(0=LEN(ReferenceData!$AC$108),"",ReferenceData!$AC$108),"")</f>
        <v/>
      </c>
      <c r="AD108" t="str">
        <f ca="1">IFERROR(IF(0=LEN(ReferenceData!$AD$108),"",ReferenceData!$AD$108),"")</f>
        <v/>
      </c>
      <c r="AE108" t="str">
        <f ca="1">IFERROR(IF(0=LEN(ReferenceData!$AE$108),"",ReferenceData!$AE$108),"")</f>
        <v/>
      </c>
      <c r="AF108" t="str">
        <f ca="1">IFERROR(IF(0=LEN(ReferenceData!$AF$108),"",ReferenceData!$AF$108),"")</f>
        <v/>
      </c>
      <c r="AG108" t="str">
        <f ca="1">IFERROR(IF(0=LEN(ReferenceData!$AG$108),"",ReferenceData!$AG$108),"")</f>
        <v/>
      </c>
      <c r="AH108" t="str">
        <f ca="1">IFERROR(IF(0=LEN(ReferenceData!$AH$108),"",ReferenceData!$AH$108),"")</f>
        <v/>
      </c>
      <c r="AI108" t="str">
        <f ca="1">IFERROR(IF(0=LEN(ReferenceData!$AI$108),"",ReferenceData!$AI$108),"")</f>
        <v/>
      </c>
      <c r="AJ108" t="str">
        <f ca="1">IFERROR(IF(0=LEN(ReferenceData!$AJ$108),"",ReferenceData!$AJ$108),"")</f>
        <v/>
      </c>
      <c r="AK108" t="str">
        <f ca="1">IFERROR(IF(0=LEN(ReferenceData!$AK$108),"",ReferenceData!$AK$108),"")</f>
        <v/>
      </c>
      <c r="AL108" t="str">
        <f ca="1">IFERROR(IF(0=LEN(ReferenceData!$AL$108),"",ReferenceData!$AL$108),"")</f>
        <v/>
      </c>
      <c r="AM108" t="str">
        <f ca="1">IFERROR(IF(0=LEN(ReferenceData!$AM$108),"",ReferenceData!$AM$108),"")</f>
        <v/>
      </c>
      <c r="AN108" t="str">
        <f ca="1">IFERROR(IF(0=LEN(ReferenceData!$AN$108),"",ReferenceData!$AN$108),"")</f>
        <v/>
      </c>
      <c r="AO108" t="str">
        <f ca="1">IFERROR(IF(0=LEN(ReferenceData!$AO$108),"",ReferenceData!$AO$108),"")</f>
        <v/>
      </c>
      <c r="AP108" t="str">
        <f ca="1">IFERROR(IF(0=LEN(ReferenceData!$AP$108),"",ReferenceData!$AP$108),"")</f>
        <v/>
      </c>
      <c r="AQ108" t="str">
        <f ca="1">IFERROR(IF(0=LEN(ReferenceData!$AQ$108),"",ReferenceData!$AQ$108),"")</f>
        <v/>
      </c>
      <c r="AR108" t="str">
        <f ca="1">IFERROR(IF(0=LEN(ReferenceData!$AR$108),"",ReferenceData!$AR$108),"")</f>
        <v/>
      </c>
      <c r="AS108" t="str">
        <f ca="1">IFERROR(IF(0=LEN(ReferenceData!$AS$108),"",ReferenceData!$AS$108),"")</f>
        <v/>
      </c>
      <c r="AT108" t="str">
        <f ca="1">IFERROR(IF(0=LEN(ReferenceData!$AT$108),"",ReferenceData!$AT$108),"")</f>
        <v/>
      </c>
      <c r="AU108" t="str">
        <f ca="1">IFERROR(IF(0=LEN(ReferenceData!$AU$108),"",ReferenceData!$AU$108),"")</f>
        <v/>
      </c>
      <c r="AV108" t="str">
        <f ca="1">IFERROR(IF(0=LEN(ReferenceData!$AV$108),"",ReferenceData!$AV$108),"")</f>
        <v/>
      </c>
      <c r="AW108" t="str">
        <f ca="1">IFERROR(IF(0=LEN(ReferenceData!$AW$108),"",ReferenceData!$AW$108),"")</f>
        <v/>
      </c>
      <c r="AX108" t="str">
        <f ca="1">IFERROR(IF(0=LEN(ReferenceData!$AX$108),"",ReferenceData!$AX$108),"")</f>
        <v/>
      </c>
      <c r="AY108" t="str">
        <f ca="1">IFERROR(IF(0=LEN(ReferenceData!$AY$108),"",ReferenceData!$AY$108),"")</f>
        <v/>
      </c>
      <c r="AZ108" t="str">
        <f ca="1">IFERROR(IF(0=LEN(ReferenceData!$AZ$108),"",ReferenceData!$AZ$108),"")</f>
        <v/>
      </c>
      <c r="BA108" t="str">
        <f ca="1">IFERROR(IF(0=LEN(ReferenceData!$BA$108),"",ReferenceData!$BA$108),"")</f>
        <v/>
      </c>
      <c r="BB108" t="str">
        <f ca="1">IFERROR(IF(0=LEN(ReferenceData!$BB$108),"",ReferenceData!$BB$108),"")</f>
        <v/>
      </c>
      <c r="BC108" t="str">
        <f ca="1">IFERROR(IF(0=LEN(ReferenceData!$BC$108),"",ReferenceData!$BC$108),"")</f>
        <v/>
      </c>
      <c r="BD108" t="str">
        <f ca="1">IFERROR(IF(0=LEN(ReferenceData!$BD$108),"",ReferenceData!$BD$108),"")</f>
        <v/>
      </c>
      <c r="BE108" t="str">
        <f ca="1">IFERROR(IF(0=LEN(ReferenceData!$BE$108),"",ReferenceData!$BE$108),"")</f>
        <v/>
      </c>
      <c r="BF108" t="str">
        <f ca="1">IFERROR(IF(0=LEN(ReferenceData!$BF$108),"",ReferenceData!$BF$108),"")</f>
        <v/>
      </c>
      <c r="BG108" t="str">
        <f ca="1">IFERROR(IF(0=LEN(ReferenceData!$BG$108),"",ReferenceData!$BG$108),"")</f>
        <v/>
      </c>
      <c r="BH108" t="str">
        <f ca="1">IFERROR(IF(0=LEN(ReferenceData!$BH$108),"",ReferenceData!$BH$108),"")</f>
        <v/>
      </c>
      <c r="BI108" t="str">
        <f ca="1">IFERROR(IF(0=LEN(ReferenceData!$BI$108),"",ReferenceData!$BI$108),"")</f>
        <v/>
      </c>
      <c r="BJ108" t="str">
        <f ca="1">IFERROR(IF(0=LEN(ReferenceData!$BJ$108),"",ReferenceData!$BJ$108),"")</f>
        <v/>
      </c>
      <c r="BK108" t="str">
        <f ca="1">IFERROR(IF(0=LEN(ReferenceData!$BK$108),"",ReferenceData!$BK$108),"")</f>
        <v/>
      </c>
      <c r="BL108" t="str">
        <f ca="1">IFERROR(IF(0=LEN(ReferenceData!$BL$108),"",ReferenceData!$BL$108),"")</f>
        <v/>
      </c>
      <c r="BM108" t="str">
        <f ca="1">IFERROR(IF(0=LEN(ReferenceData!$BM$108),"",ReferenceData!$BM$108),"")</f>
        <v/>
      </c>
    </row>
    <row r="109" spans="1:65" x14ac:dyDescent="0.25">
      <c r="A109" t="str">
        <f>IFERROR(IF(0=LEN(ReferenceData!$A$109),"",ReferenceData!$A$109),"")</f>
        <v xml:space="preserve">    Mitsubishi Motors Corp</v>
      </c>
      <c r="B109" t="str">
        <f>IFERROR(IF(0=LEN(ReferenceData!$B$109),"",ReferenceData!$B$109),"")</f>
        <v>7211 JP Equity</v>
      </c>
      <c r="C109" t="str">
        <f>IFERROR(IF(0=LEN(ReferenceData!$C$109),"",ReferenceData!$C$109),"")</f>
        <v>EZ021</v>
      </c>
      <c r="D109" t="str">
        <f>IFERROR(IF(0=LEN(ReferenceData!$D$109),"",ReferenceData!$D$109),"")</f>
        <v>BEST_EPS_NXT_YR</v>
      </c>
      <c r="E109" t="str">
        <f>IFERROR(IF(0=LEN(ReferenceData!$E$109),"",ReferenceData!$E$109),"")</f>
        <v>Dynamic</v>
      </c>
      <c r="F109">
        <f ca="1">IFERROR(IF(0=LEN(ReferenceData!$F$109),"",ReferenceData!$F$109),"")</f>
        <v>0.73899999999999999</v>
      </c>
      <c r="G109">
        <f ca="1">IFERROR(IF(0=LEN(ReferenceData!$G$109),"",ReferenceData!$G$109),"")</f>
        <v>0.76</v>
      </c>
      <c r="H109">
        <f ca="1">IFERROR(IF(0=LEN(ReferenceData!$H$109),"",ReferenceData!$H$109),"")</f>
        <v>0.76800000000000002</v>
      </c>
      <c r="I109">
        <f ca="1">IFERROR(IF(0=LEN(ReferenceData!$I$109),"",ReferenceData!$I$109),"")</f>
        <v>0.79</v>
      </c>
      <c r="J109">
        <f ca="1">IFERROR(IF(0=LEN(ReferenceData!$J$109),"",ReferenceData!$J$109),"")</f>
        <v>0.72799999999999998</v>
      </c>
      <c r="K109">
        <f ca="1">IFERROR(IF(0=LEN(ReferenceData!$K$109),"",ReferenceData!$K$109),"")</f>
        <v>0.70899999999999996</v>
      </c>
      <c r="L109">
        <f ca="1">IFERROR(IF(0=LEN(ReferenceData!$L$109),"",ReferenceData!$L$109),"")</f>
        <v>0.66700000000000004</v>
      </c>
      <c r="M109">
        <f ca="1">IFERROR(IF(0=LEN(ReferenceData!$M$109),"",ReferenceData!$M$109),"")</f>
        <v>0.55500000000000005</v>
      </c>
      <c r="N109">
        <f ca="1">IFERROR(IF(0=LEN(ReferenceData!$N$109),"",ReferenceData!$N$109),"")</f>
        <v>1</v>
      </c>
      <c r="O109">
        <f ca="1">IFERROR(IF(0=LEN(ReferenceData!$O$109),"",ReferenceData!$O$109),"")</f>
        <v>0.90100000000000002</v>
      </c>
      <c r="P109">
        <f ca="1">IFERROR(IF(0=LEN(ReferenceData!$P$109),"",ReferenceData!$P$109),"")</f>
        <v>0.89600000000000002</v>
      </c>
      <c r="Q109">
        <f ca="1">IFERROR(IF(0=LEN(ReferenceData!$Q$109),"",ReferenceData!$Q$109),"")</f>
        <v>1.056</v>
      </c>
      <c r="R109" t="str">
        <f ca="1">IFERROR(IF(0=LEN(ReferenceData!$R$109),"",ReferenceData!$R$109),"")</f>
        <v/>
      </c>
      <c r="S109" t="str">
        <f ca="1">IFERROR(IF(0=LEN(ReferenceData!$S$109),"",ReferenceData!$S$109),"")</f>
        <v/>
      </c>
      <c r="T109" t="str">
        <f ca="1">IFERROR(IF(0=LEN(ReferenceData!$T$109),"",ReferenceData!$T$109),"")</f>
        <v/>
      </c>
      <c r="U109" t="str">
        <f ca="1">IFERROR(IF(0=LEN(ReferenceData!$U$109),"",ReferenceData!$U$109),"")</f>
        <v/>
      </c>
      <c r="V109" t="str">
        <f ca="1">IFERROR(IF(0=LEN(ReferenceData!$V$109),"",ReferenceData!$V$109),"")</f>
        <v/>
      </c>
      <c r="W109" t="str">
        <f ca="1">IFERROR(IF(0=LEN(ReferenceData!$W$109),"",ReferenceData!$W$109),"")</f>
        <v/>
      </c>
      <c r="X109" t="str">
        <f ca="1">IFERROR(IF(0=LEN(ReferenceData!$X$109),"",ReferenceData!$X$109),"")</f>
        <v/>
      </c>
      <c r="Y109" t="str">
        <f ca="1">IFERROR(IF(0=LEN(ReferenceData!$Y$109),"",ReferenceData!$Y$109),"")</f>
        <v/>
      </c>
      <c r="Z109" t="str">
        <f ca="1">IFERROR(IF(0=LEN(ReferenceData!$Z$109),"",ReferenceData!$Z$109),"")</f>
        <v/>
      </c>
      <c r="AA109" t="str">
        <f ca="1">IFERROR(IF(0=LEN(ReferenceData!$AA$109),"",ReferenceData!$AA$109),"")</f>
        <v/>
      </c>
      <c r="AB109" t="str">
        <f ca="1">IFERROR(IF(0=LEN(ReferenceData!$AB$109),"",ReferenceData!$AB$109),"")</f>
        <v/>
      </c>
      <c r="AC109" t="str">
        <f ca="1">IFERROR(IF(0=LEN(ReferenceData!$AC$109),"",ReferenceData!$AC$109),"")</f>
        <v/>
      </c>
      <c r="AD109" t="str">
        <f ca="1">IFERROR(IF(0=LEN(ReferenceData!$AD$109),"",ReferenceData!$AD$109),"")</f>
        <v/>
      </c>
      <c r="AE109" t="str">
        <f ca="1">IFERROR(IF(0=LEN(ReferenceData!$AE$109),"",ReferenceData!$AE$109),"")</f>
        <v/>
      </c>
      <c r="AF109" t="str">
        <f ca="1">IFERROR(IF(0=LEN(ReferenceData!$AF$109),"",ReferenceData!$AF$109),"")</f>
        <v/>
      </c>
      <c r="AG109" t="str">
        <f ca="1">IFERROR(IF(0=LEN(ReferenceData!$AG$109),"",ReferenceData!$AG$109),"")</f>
        <v/>
      </c>
      <c r="AH109" t="str">
        <f ca="1">IFERROR(IF(0=LEN(ReferenceData!$AH$109),"",ReferenceData!$AH$109),"")</f>
        <v/>
      </c>
      <c r="AI109" t="str">
        <f ca="1">IFERROR(IF(0=LEN(ReferenceData!$AI$109),"",ReferenceData!$AI$109),"")</f>
        <v/>
      </c>
      <c r="AJ109" t="str">
        <f ca="1">IFERROR(IF(0=LEN(ReferenceData!$AJ$109),"",ReferenceData!$AJ$109),"")</f>
        <v/>
      </c>
      <c r="AK109" t="str">
        <f ca="1">IFERROR(IF(0=LEN(ReferenceData!$AK$109),"",ReferenceData!$AK$109),"")</f>
        <v/>
      </c>
      <c r="AL109" t="str">
        <f ca="1">IFERROR(IF(0=LEN(ReferenceData!$AL$109),"",ReferenceData!$AL$109),"")</f>
        <v/>
      </c>
      <c r="AM109" t="str">
        <f ca="1">IFERROR(IF(0=LEN(ReferenceData!$AM$109),"",ReferenceData!$AM$109),"")</f>
        <v/>
      </c>
      <c r="AN109" t="str">
        <f ca="1">IFERROR(IF(0=LEN(ReferenceData!$AN$109),"",ReferenceData!$AN$109),"")</f>
        <v/>
      </c>
      <c r="AO109" t="str">
        <f ca="1">IFERROR(IF(0=LEN(ReferenceData!$AO$109),"",ReferenceData!$AO$109),"")</f>
        <v/>
      </c>
      <c r="AP109" t="str">
        <f ca="1">IFERROR(IF(0=LEN(ReferenceData!$AP$109),"",ReferenceData!$AP$109),"")</f>
        <v/>
      </c>
      <c r="AQ109" t="str">
        <f ca="1">IFERROR(IF(0=LEN(ReferenceData!$AQ$109),"",ReferenceData!$AQ$109),"")</f>
        <v/>
      </c>
      <c r="AR109" t="str">
        <f ca="1">IFERROR(IF(0=LEN(ReferenceData!$AR$109),"",ReferenceData!$AR$109),"")</f>
        <v/>
      </c>
      <c r="AS109" t="str">
        <f ca="1">IFERROR(IF(0=LEN(ReferenceData!$AS$109),"",ReferenceData!$AS$109),"")</f>
        <v/>
      </c>
      <c r="AT109" t="str">
        <f ca="1">IFERROR(IF(0=LEN(ReferenceData!$AT$109),"",ReferenceData!$AT$109),"")</f>
        <v/>
      </c>
      <c r="AU109" t="str">
        <f ca="1">IFERROR(IF(0=LEN(ReferenceData!$AU$109),"",ReferenceData!$AU$109),"")</f>
        <v/>
      </c>
      <c r="AV109" t="str">
        <f ca="1">IFERROR(IF(0=LEN(ReferenceData!$AV$109),"",ReferenceData!$AV$109),"")</f>
        <v/>
      </c>
      <c r="AW109" t="str">
        <f ca="1">IFERROR(IF(0=LEN(ReferenceData!$AW$109),"",ReferenceData!$AW$109),"")</f>
        <v/>
      </c>
      <c r="AX109" t="str">
        <f ca="1">IFERROR(IF(0=LEN(ReferenceData!$AX$109),"",ReferenceData!$AX$109),"")</f>
        <v/>
      </c>
      <c r="AY109" t="str">
        <f ca="1">IFERROR(IF(0=LEN(ReferenceData!$AY$109),"",ReferenceData!$AY$109),"")</f>
        <v/>
      </c>
      <c r="AZ109" t="str">
        <f ca="1">IFERROR(IF(0=LEN(ReferenceData!$AZ$109),"",ReferenceData!$AZ$109),"")</f>
        <v/>
      </c>
      <c r="BA109" t="str">
        <f ca="1">IFERROR(IF(0=LEN(ReferenceData!$BA$109),"",ReferenceData!$BA$109),"")</f>
        <v/>
      </c>
      <c r="BB109" t="str">
        <f ca="1">IFERROR(IF(0=LEN(ReferenceData!$BB$109),"",ReferenceData!$BB$109),"")</f>
        <v/>
      </c>
      <c r="BC109" t="str">
        <f ca="1">IFERROR(IF(0=LEN(ReferenceData!$BC$109),"",ReferenceData!$BC$109),"")</f>
        <v/>
      </c>
      <c r="BD109" t="str">
        <f ca="1">IFERROR(IF(0=LEN(ReferenceData!$BD$109),"",ReferenceData!$BD$109),"")</f>
        <v/>
      </c>
      <c r="BE109" t="str">
        <f ca="1">IFERROR(IF(0=LEN(ReferenceData!$BE$109),"",ReferenceData!$BE$109),"")</f>
        <v/>
      </c>
      <c r="BF109" t="str">
        <f ca="1">IFERROR(IF(0=LEN(ReferenceData!$BF$109),"",ReferenceData!$BF$109),"")</f>
        <v/>
      </c>
      <c r="BG109" t="str">
        <f ca="1">IFERROR(IF(0=LEN(ReferenceData!$BG$109),"",ReferenceData!$BG$109),"")</f>
        <v/>
      </c>
      <c r="BH109" t="str">
        <f ca="1">IFERROR(IF(0=LEN(ReferenceData!$BH$109),"",ReferenceData!$BH$109),"")</f>
        <v/>
      </c>
      <c r="BI109" t="str">
        <f ca="1">IFERROR(IF(0=LEN(ReferenceData!$BI$109),"",ReferenceData!$BI$109),"")</f>
        <v/>
      </c>
      <c r="BJ109" t="str">
        <f ca="1">IFERROR(IF(0=LEN(ReferenceData!$BJ$109),"",ReferenceData!$BJ$109),"")</f>
        <v/>
      </c>
      <c r="BK109" t="str">
        <f ca="1">IFERROR(IF(0=LEN(ReferenceData!$BK$109),"",ReferenceData!$BK$109),"")</f>
        <v/>
      </c>
      <c r="BL109" t="str">
        <f ca="1">IFERROR(IF(0=LEN(ReferenceData!$BL$109),"",ReferenceData!$BL$109),"")</f>
        <v/>
      </c>
      <c r="BM109" t="str">
        <f ca="1">IFERROR(IF(0=LEN(ReferenceData!$BM$109),"",ReferenceData!$BM$109),"")</f>
        <v/>
      </c>
    </row>
    <row r="110" spans="1:65" x14ac:dyDescent="0.25">
      <c r="A110" t="str">
        <f>IFERROR(IF(0=LEN(ReferenceData!$A$110),"",ReferenceData!$A$110),"")</f>
        <v xml:space="preserve">    Nissan Motor Co Ltd</v>
      </c>
      <c r="B110" t="str">
        <f>IFERROR(IF(0=LEN(ReferenceData!$B$110),"",ReferenceData!$B$110),"")</f>
        <v>7201 JP Equity</v>
      </c>
      <c r="C110" t="str">
        <f>IFERROR(IF(0=LEN(ReferenceData!$C$110),"",ReferenceData!$C$110),"")</f>
        <v>EZ021</v>
      </c>
      <c r="D110" t="str">
        <f>IFERROR(IF(0=LEN(ReferenceData!$D$110),"",ReferenceData!$D$110),"")</f>
        <v>BEST_EPS_NXT_YR</v>
      </c>
      <c r="E110" t="str">
        <f>IFERROR(IF(0=LEN(ReferenceData!$E$110),"",ReferenceData!$E$110),"")</f>
        <v>Dynamic</v>
      </c>
      <c r="F110">
        <f ca="1">IFERROR(IF(0=LEN(ReferenceData!$F$110),"",ReferenceData!$F$110),"")</f>
        <v>1.2070000000000001</v>
      </c>
      <c r="G110">
        <f ca="1">IFERROR(IF(0=LEN(ReferenceData!$G$110),"",ReferenceData!$G$110),"")</f>
        <v>1.2809999999999999</v>
      </c>
      <c r="H110">
        <f ca="1">IFERROR(IF(0=LEN(ReferenceData!$H$110),"",ReferenceData!$H$110),"")</f>
        <v>1.335</v>
      </c>
      <c r="I110">
        <f ca="1">IFERROR(IF(0=LEN(ReferenceData!$I$110),"",ReferenceData!$I$110),"")</f>
        <v>1.403</v>
      </c>
      <c r="J110">
        <f ca="1">IFERROR(IF(0=LEN(ReferenceData!$J$110),"",ReferenceData!$J$110),"")</f>
        <v>1.52</v>
      </c>
      <c r="K110">
        <f ca="1">IFERROR(IF(0=LEN(ReferenceData!$K$110),"",ReferenceData!$K$110),"")</f>
        <v>1.4910000000000001</v>
      </c>
      <c r="L110">
        <f ca="1">IFERROR(IF(0=LEN(ReferenceData!$L$110),"",ReferenceData!$L$110),"")</f>
        <v>1.516</v>
      </c>
      <c r="M110">
        <f ca="1">IFERROR(IF(0=LEN(ReferenceData!$M$110),"",ReferenceData!$M$110),"")</f>
        <v>1.552</v>
      </c>
      <c r="N110">
        <f ca="1">IFERROR(IF(0=LEN(ReferenceData!$N$110),"",ReferenceData!$N$110),"")</f>
        <v>1.992</v>
      </c>
      <c r="O110">
        <f ca="1">IFERROR(IF(0=LEN(ReferenceData!$O$110),"",ReferenceData!$O$110),"")</f>
        <v>1.9059999999999999</v>
      </c>
      <c r="P110">
        <f ca="1">IFERROR(IF(0=LEN(ReferenceData!$P$110),"",ReferenceData!$P$110),"")</f>
        <v>2.0659999999999998</v>
      </c>
      <c r="Q110">
        <f ca="1">IFERROR(IF(0=LEN(ReferenceData!$Q$110),"",ReferenceData!$Q$110),"")</f>
        <v>1.9419999999999999</v>
      </c>
      <c r="R110">
        <f ca="1">IFERROR(IF(0=LEN(ReferenceData!$R$110),"",ReferenceData!$R$110),"")</f>
        <v>1.3</v>
      </c>
      <c r="S110">
        <f ca="1">IFERROR(IF(0=LEN(ReferenceData!$S$110),"",ReferenceData!$S$110),"")</f>
        <v>1.5129999999999999</v>
      </c>
      <c r="T110">
        <f ca="1">IFERROR(IF(0=LEN(ReferenceData!$T$110),"",ReferenceData!$T$110),"")</f>
        <v>1.395</v>
      </c>
      <c r="U110">
        <f ca="1">IFERROR(IF(0=LEN(ReferenceData!$U$110),"",ReferenceData!$U$110),"")</f>
        <v>1.466</v>
      </c>
      <c r="V110" t="str">
        <f ca="1">IFERROR(IF(0=LEN(ReferenceData!$V$110),"",ReferenceData!$V$110),"")</f>
        <v/>
      </c>
      <c r="W110" t="str">
        <f ca="1">IFERROR(IF(0=LEN(ReferenceData!$W$110),"",ReferenceData!$W$110),"")</f>
        <v/>
      </c>
      <c r="X110" t="str">
        <f ca="1">IFERROR(IF(0=LEN(ReferenceData!$X$110),"",ReferenceData!$X$110),"")</f>
        <v/>
      </c>
      <c r="Y110" t="str">
        <f ca="1">IFERROR(IF(0=LEN(ReferenceData!$Y$110),"",ReferenceData!$Y$110),"")</f>
        <v/>
      </c>
      <c r="Z110" t="str">
        <f ca="1">IFERROR(IF(0=LEN(ReferenceData!$Z$110),"",ReferenceData!$Z$110),"")</f>
        <v/>
      </c>
      <c r="AA110" t="str">
        <f ca="1">IFERROR(IF(0=LEN(ReferenceData!$AA$110),"",ReferenceData!$AA$110),"")</f>
        <v/>
      </c>
      <c r="AB110" t="str">
        <f ca="1">IFERROR(IF(0=LEN(ReferenceData!$AB$110),"",ReferenceData!$AB$110),"")</f>
        <v/>
      </c>
      <c r="AC110" t="str">
        <f ca="1">IFERROR(IF(0=LEN(ReferenceData!$AC$110),"",ReferenceData!$AC$110),"")</f>
        <v/>
      </c>
      <c r="AD110" t="str">
        <f ca="1">IFERROR(IF(0=LEN(ReferenceData!$AD$110),"",ReferenceData!$AD$110),"")</f>
        <v/>
      </c>
      <c r="AE110" t="str">
        <f ca="1">IFERROR(IF(0=LEN(ReferenceData!$AE$110),"",ReferenceData!$AE$110),"")</f>
        <v/>
      </c>
      <c r="AF110" t="str">
        <f ca="1">IFERROR(IF(0=LEN(ReferenceData!$AF$110),"",ReferenceData!$AF$110),"")</f>
        <v/>
      </c>
      <c r="AG110" t="str">
        <f ca="1">IFERROR(IF(0=LEN(ReferenceData!$AG$110),"",ReferenceData!$AG$110),"")</f>
        <v/>
      </c>
      <c r="AH110" t="str">
        <f ca="1">IFERROR(IF(0=LEN(ReferenceData!$AH$110),"",ReferenceData!$AH$110),"")</f>
        <v/>
      </c>
      <c r="AI110" t="str">
        <f ca="1">IFERROR(IF(0=LEN(ReferenceData!$AI$110),"",ReferenceData!$AI$110),"")</f>
        <v/>
      </c>
      <c r="AJ110" t="str">
        <f ca="1">IFERROR(IF(0=LEN(ReferenceData!$AJ$110),"",ReferenceData!$AJ$110),"")</f>
        <v/>
      </c>
      <c r="AK110" t="str">
        <f ca="1">IFERROR(IF(0=LEN(ReferenceData!$AK$110),"",ReferenceData!$AK$110),"")</f>
        <v/>
      </c>
      <c r="AL110" t="str">
        <f ca="1">IFERROR(IF(0=LEN(ReferenceData!$AL$110),"",ReferenceData!$AL$110),"")</f>
        <v/>
      </c>
      <c r="AM110" t="str">
        <f ca="1">IFERROR(IF(0=LEN(ReferenceData!$AM$110),"",ReferenceData!$AM$110),"")</f>
        <v/>
      </c>
      <c r="AN110" t="str">
        <f ca="1">IFERROR(IF(0=LEN(ReferenceData!$AN$110),"",ReferenceData!$AN$110),"")</f>
        <v/>
      </c>
      <c r="AO110" t="str">
        <f ca="1">IFERROR(IF(0=LEN(ReferenceData!$AO$110),"",ReferenceData!$AO$110),"")</f>
        <v/>
      </c>
      <c r="AP110" t="str">
        <f ca="1">IFERROR(IF(0=LEN(ReferenceData!$AP$110),"",ReferenceData!$AP$110),"")</f>
        <v/>
      </c>
      <c r="AQ110" t="str">
        <f ca="1">IFERROR(IF(0=LEN(ReferenceData!$AQ$110),"",ReferenceData!$AQ$110),"")</f>
        <v/>
      </c>
      <c r="AR110" t="str">
        <f ca="1">IFERROR(IF(0=LEN(ReferenceData!$AR$110),"",ReferenceData!$AR$110),"")</f>
        <v/>
      </c>
      <c r="AS110" t="str">
        <f ca="1">IFERROR(IF(0=LEN(ReferenceData!$AS$110),"",ReferenceData!$AS$110),"")</f>
        <v/>
      </c>
      <c r="AT110" t="str">
        <f ca="1">IFERROR(IF(0=LEN(ReferenceData!$AT$110),"",ReferenceData!$AT$110),"")</f>
        <v/>
      </c>
      <c r="AU110" t="str">
        <f ca="1">IFERROR(IF(0=LEN(ReferenceData!$AU$110),"",ReferenceData!$AU$110),"")</f>
        <v/>
      </c>
      <c r="AV110" t="str">
        <f ca="1">IFERROR(IF(0=LEN(ReferenceData!$AV$110),"",ReferenceData!$AV$110),"")</f>
        <v/>
      </c>
      <c r="AW110" t="str">
        <f ca="1">IFERROR(IF(0=LEN(ReferenceData!$AW$110),"",ReferenceData!$AW$110),"")</f>
        <v/>
      </c>
      <c r="AX110" t="str">
        <f ca="1">IFERROR(IF(0=LEN(ReferenceData!$AX$110),"",ReferenceData!$AX$110),"")</f>
        <v/>
      </c>
      <c r="AY110" t="str">
        <f ca="1">IFERROR(IF(0=LEN(ReferenceData!$AY$110),"",ReferenceData!$AY$110),"")</f>
        <v/>
      </c>
      <c r="AZ110" t="str">
        <f ca="1">IFERROR(IF(0=LEN(ReferenceData!$AZ$110),"",ReferenceData!$AZ$110),"")</f>
        <v/>
      </c>
      <c r="BA110" t="str">
        <f ca="1">IFERROR(IF(0=LEN(ReferenceData!$BA$110),"",ReferenceData!$BA$110),"")</f>
        <v/>
      </c>
      <c r="BB110" t="str">
        <f ca="1">IFERROR(IF(0=LEN(ReferenceData!$BB$110),"",ReferenceData!$BB$110),"")</f>
        <v/>
      </c>
      <c r="BC110" t="str">
        <f ca="1">IFERROR(IF(0=LEN(ReferenceData!$BC$110),"",ReferenceData!$BC$110),"")</f>
        <v/>
      </c>
      <c r="BD110" t="str">
        <f ca="1">IFERROR(IF(0=LEN(ReferenceData!$BD$110),"",ReferenceData!$BD$110),"")</f>
        <v/>
      </c>
      <c r="BE110" t="str">
        <f ca="1">IFERROR(IF(0=LEN(ReferenceData!$BE$110),"",ReferenceData!$BE$110),"")</f>
        <v/>
      </c>
      <c r="BF110" t="str">
        <f ca="1">IFERROR(IF(0=LEN(ReferenceData!$BF$110),"",ReferenceData!$BF$110),"")</f>
        <v/>
      </c>
      <c r="BG110" t="str">
        <f ca="1">IFERROR(IF(0=LEN(ReferenceData!$BG$110),"",ReferenceData!$BG$110),"")</f>
        <v/>
      </c>
      <c r="BH110" t="str">
        <f ca="1">IFERROR(IF(0=LEN(ReferenceData!$BH$110),"",ReferenceData!$BH$110),"")</f>
        <v/>
      </c>
      <c r="BI110" t="str">
        <f ca="1">IFERROR(IF(0=LEN(ReferenceData!$BI$110),"",ReferenceData!$BI$110),"")</f>
        <v/>
      </c>
      <c r="BJ110" t="str">
        <f ca="1">IFERROR(IF(0=LEN(ReferenceData!$BJ$110),"",ReferenceData!$BJ$110),"")</f>
        <v/>
      </c>
      <c r="BK110" t="str">
        <f ca="1">IFERROR(IF(0=LEN(ReferenceData!$BK$110),"",ReferenceData!$BK$110),"")</f>
        <v/>
      </c>
      <c r="BL110" t="str">
        <f ca="1">IFERROR(IF(0=LEN(ReferenceData!$BL$110),"",ReferenceData!$BL$110),"")</f>
        <v/>
      </c>
      <c r="BM110" t="str">
        <f ca="1">IFERROR(IF(0=LEN(ReferenceData!$BM$110),"",ReferenceData!$BM$110),"")</f>
        <v/>
      </c>
    </row>
    <row r="111" spans="1:65" x14ac:dyDescent="0.25">
      <c r="A111" t="str">
        <f>IFERROR(IF(0=LEN(ReferenceData!$A$111),"",ReferenceData!$A$111),"")</f>
        <v xml:space="preserve">    Peugeot SA</v>
      </c>
      <c r="B111" t="str">
        <f>IFERROR(IF(0=LEN(ReferenceData!$B$111),"",ReferenceData!$B$111),"")</f>
        <v>UG FP Equity</v>
      </c>
      <c r="C111" t="str">
        <f>IFERROR(IF(0=LEN(ReferenceData!$C$111),"",ReferenceData!$C$111),"")</f>
        <v>EZ021</v>
      </c>
      <c r="D111" t="str">
        <f>IFERROR(IF(0=LEN(ReferenceData!$D$111),"",ReferenceData!$D$111),"")</f>
        <v>BEST_EPS_NXT_YR</v>
      </c>
      <c r="E111" t="str">
        <f>IFERROR(IF(0=LEN(ReferenceData!$E$111),"",ReferenceData!$E$111),"")</f>
        <v>Dynamic</v>
      </c>
      <c r="F111">
        <f ca="1">IFERROR(IF(0=LEN(ReferenceData!$F$111),"",ReferenceData!$F$111),"")</f>
        <v>4.4390000000000001</v>
      </c>
      <c r="G111">
        <f ca="1">IFERROR(IF(0=LEN(ReferenceData!$G$111),"",ReferenceData!$G$111),"")</f>
        <v>4.4160000000000004</v>
      </c>
      <c r="H111">
        <f ca="1">IFERROR(IF(0=LEN(ReferenceData!$H$111),"",ReferenceData!$H$111),"")</f>
        <v>4.702</v>
      </c>
      <c r="I111">
        <f ca="1">IFERROR(IF(0=LEN(ReferenceData!$I$111),"",ReferenceData!$I$111),"")</f>
        <v>3.6850000000000001</v>
      </c>
      <c r="J111">
        <f ca="1">IFERROR(IF(0=LEN(ReferenceData!$J$111),"",ReferenceData!$J$111),"")</f>
        <v>3.782</v>
      </c>
      <c r="K111">
        <f ca="1">IFERROR(IF(0=LEN(ReferenceData!$K$111),"",ReferenceData!$K$111),"")</f>
        <v>3.5350000000000001</v>
      </c>
      <c r="L111">
        <f ca="1">IFERROR(IF(0=LEN(ReferenceData!$L$111),"",ReferenceData!$L$111),"")</f>
        <v>3.464</v>
      </c>
      <c r="M111">
        <f ca="1">IFERROR(IF(0=LEN(ReferenceData!$M$111),"",ReferenceData!$M$111),"")</f>
        <v>2.786</v>
      </c>
      <c r="N111">
        <f ca="1">IFERROR(IF(0=LEN(ReferenceData!$N$111),"",ReferenceData!$N$111),"")</f>
        <v>2.669</v>
      </c>
      <c r="O111">
        <f ca="1">IFERROR(IF(0=LEN(ReferenceData!$O$111),"",ReferenceData!$O$111),"")</f>
        <v>3.0739999999999998</v>
      </c>
      <c r="P111">
        <f ca="1">IFERROR(IF(0=LEN(ReferenceData!$P$111),"",ReferenceData!$P$111),"")</f>
        <v>2.581</v>
      </c>
      <c r="Q111">
        <f ca="1">IFERROR(IF(0=LEN(ReferenceData!$Q$111),"",ReferenceData!$Q$111),"")</f>
        <v>2.8260000000000001</v>
      </c>
      <c r="R111" t="str">
        <f ca="1">IFERROR(IF(0=LEN(ReferenceData!$R$111),"",ReferenceData!$R$111),"")</f>
        <v/>
      </c>
      <c r="S111" t="str">
        <f ca="1">IFERROR(IF(0=LEN(ReferenceData!$S$111),"",ReferenceData!$S$111),"")</f>
        <v/>
      </c>
      <c r="T111" t="str">
        <f ca="1">IFERROR(IF(0=LEN(ReferenceData!$T$111),"",ReferenceData!$T$111),"")</f>
        <v/>
      </c>
      <c r="U111" t="str">
        <f ca="1">IFERROR(IF(0=LEN(ReferenceData!$U$111),"",ReferenceData!$U$111),"")</f>
        <v/>
      </c>
      <c r="V111" t="str">
        <f ca="1">IFERROR(IF(0=LEN(ReferenceData!$V$111),"",ReferenceData!$V$111),"")</f>
        <v/>
      </c>
      <c r="W111" t="str">
        <f ca="1">IFERROR(IF(0=LEN(ReferenceData!$W$111),"",ReferenceData!$W$111),"")</f>
        <v/>
      </c>
      <c r="X111" t="str">
        <f ca="1">IFERROR(IF(0=LEN(ReferenceData!$X$111),"",ReferenceData!$X$111),"")</f>
        <v/>
      </c>
      <c r="Y111" t="str">
        <f ca="1">IFERROR(IF(0=LEN(ReferenceData!$Y$111),"",ReferenceData!$Y$111),"")</f>
        <v/>
      </c>
      <c r="Z111" t="str">
        <f ca="1">IFERROR(IF(0=LEN(ReferenceData!$Z$111),"",ReferenceData!$Z$111),"")</f>
        <v/>
      </c>
      <c r="AA111" t="str">
        <f ca="1">IFERROR(IF(0=LEN(ReferenceData!$AA$111),"",ReferenceData!$AA$111),"")</f>
        <v/>
      </c>
      <c r="AB111" t="str">
        <f ca="1">IFERROR(IF(0=LEN(ReferenceData!$AB$111),"",ReferenceData!$AB$111),"")</f>
        <v/>
      </c>
      <c r="AC111" t="str">
        <f ca="1">IFERROR(IF(0=LEN(ReferenceData!$AC$111),"",ReferenceData!$AC$111),"")</f>
        <v/>
      </c>
      <c r="AD111" t="str">
        <f ca="1">IFERROR(IF(0=LEN(ReferenceData!$AD$111),"",ReferenceData!$AD$111),"")</f>
        <v/>
      </c>
      <c r="AE111" t="str">
        <f ca="1">IFERROR(IF(0=LEN(ReferenceData!$AE$111),"",ReferenceData!$AE$111),"")</f>
        <v/>
      </c>
      <c r="AF111" t="str">
        <f ca="1">IFERROR(IF(0=LEN(ReferenceData!$AF$111),"",ReferenceData!$AF$111),"")</f>
        <v/>
      </c>
      <c r="AG111" t="str">
        <f ca="1">IFERROR(IF(0=LEN(ReferenceData!$AG$111),"",ReferenceData!$AG$111),"")</f>
        <v/>
      </c>
      <c r="AH111">
        <f ca="1">IFERROR(IF(0=LEN(ReferenceData!$AH$111),"",ReferenceData!$AH$111),"")</f>
        <v>5.681</v>
      </c>
      <c r="AI111" t="str">
        <f ca="1">IFERROR(IF(0=LEN(ReferenceData!$AI$111),"",ReferenceData!$AI$111),"")</f>
        <v/>
      </c>
      <c r="AJ111" t="str">
        <f ca="1">IFERROR(IF(0=LEN(ReferenceData!$AJ$111),"",ReferenceData!$AJ$111),"")</f>
        <v/>
      </c>
      <c r="AK111" t="str">
        <f ca="1">IFERROR(IF(0=LEN(ReferenceData!$AK$111),"",ReferenceData!$AK$111),"")</f>
        <v/>
      </c>
      <c r="AL111" t="str">
        <f ca="1">IFERROR(IF(0=LEN(ReferenceData!$AL$111),"",ReferenceData!$AL$111),"")</f>
        <v/>
      </c>
      <c r="AM111" t="str">
        <f ca="1">IFERROR(IF(0=LEN(ReferenceData!$AM$111),"",ReferenceData!$AM$111),"")</f>
        <v/>
      </c>
      <c r="AN111" t="str">
        <f ca="1">IFERROR(IF(0=LEN(ReferenceData!$AN$111),"",ReferenceData!$AN$111),"")</f>
        <v/>
      </c>
      <c r="AO111" t="str">
        <f ca="1">IFERROR(IF(0=LEN(ReferenceData!$AO$111),"",ReferenceData!$AO$111),"")</f>
        <v/>
      </c>
      <c r="AP111" t="str">
        <f ca="1">IFERROR(IF(0=LEN(ReferenceData!$AP$111),"",ReferenceData!$AP$111),"")</f>
        <v/>
      </c>
      <c r="AQ111" t="str">
        <f ca="1">IFERROR(IF(0=LEN(ReferenceData!$AQ$111),"",ReferenceData!$AQ$111),"")</f>
        <v/>
      </c>
      <c r="AR111" t="str">
        <f ca="1">IFERROR(IF(0=LEN(ReferenceData!$AR$111),"",ReferenceData!$AR$111),"")</f>
        <v/>
      </c>
      <c r="AS111" t="str">
        <f ca="1">IFERROR(IF(0=LEN(ReferenceData!$AS$111),"",ReferenceData!$AS$111),"")</f>
        <v/>
      </c>
      <c r="AT111" t="str">
        <f ca="1">IFERROR(IF(0=LEN(ReferenceData!$AT$111),"",ReferenceData!$AT$111),"")</f>
        <v/>
      </c>
      <c r="AU111" t="str">
        <f ca="1">IFERROR(IF(0=LEN(ReferenceData!$AU$111),"",ReferenceData!$AU$111),"")</f>
        <v/>
      </c>
      <c r="AV111" t="str">
        <f ca="1">IFERROR(IF(0=LEN(ReferenceData!$AV$111),"",ReferenceData!$AV$111),"")</f>
        <v/>
      </c>
      <c r="AW111" t="str">
        <f ca="1">IFERROR(IF(0=LEN(ReferenceData!$AW$111),"",ReferenceData!$AW$111),"")</f>
        <v/>
      </c>
      <c r="AX111" t="str">
        <f ca="1">IFERROR(IF(0=LEN(ReferenceData!$AX$111),"",ReferenceData!$AX$111),"")</f>
        <v/>
      </c>
      <c r="AY111" t="str">
        <f ca="1">IFERROR(IF(0=LEN(ReferenceData!$AY$111),"",ReferenceData!$AY$111),"")</f>
        <v/>
      </c>
      <c r="AZ111" t="str">
        <f ca="1">IFERROR(IF(0=LEN(ReferenceData!$AZ$111),"",ReferenceData!$AZ$111),"")</f>
        <v/>
      </c>
      <c r="BA111" t="str">
        <f ca="1">IFERROR(IF(0=LEN(ReferenceData!$BA$111),"",ReferenceData!$BA$111),"")</f>
        <v/>
      </c>
      <c r="BB111" t="str">
        <f ca="1">IFERROR(IF(0=LEN(ReferenceData!$BB$111),"",ReferenceData!$BB$111),"")</f>
        <v/>
      </c>
      <c r="BC111" t="str">
        <f ca="1">IFERROR(IF(0=LEN(ReferenceData!$BC$111),"",ReferenceData!$BC$111),"")</f>
        <v/>
      </c>
      <c r="BD111" t="str">
        <f ca="1">IFERROR(IF(0=LEN(ReferenceData!$BD$111),"",ReferenceData!$BD$111),"")</f>
        <v/>
      </c>
      <c r="BE111" t="str">
        <f ca="1">IFERROR(IF(0=LEN(ReferenceData!$BE$111),"",ReferenceData!$BE$111),"")</f>
        <v/>
      </c>
      <c r="BF111" t="str">
        <f ca="1">IFERROR(IF(0=LEN(ReferenceData!$BF$111),"",ReferenceData!$BF$111),"")</f>
        <v/>
      </c>
      <c r="BG111" t="str">
        <f ca="1">IFERROR(IF(0=LEN(ReferenceData!$BG$111),"",ReferenceData!$BG$111),"")</f>
        <v/>
      </c>
      <c r="BH111" t="str">
        <f ca="1">IFERROR(IF(0=LEN(ReferenceData!$BH$111),"",ReferenceData!$BH$111),"")</f>
        <v/>
      </c>
      <c r="BI111" t="str">
        <f ca="1">IFERROR(IF(0=LEN(ReferenceData!$BI$111),"",ReferenceData!$BI$111),"")</f>
        <v/>
      </c>
      <c r="BJ111" t="str">
        <f ca="1">IFERROR(IF(0=LEN(ReferenceData!$BJ$111),"",ReferenceData!$BJ$111),"")</f>
        <v/>
      </c>
      <c r="BK111" t="str">
        <f ca="1">IFERROR(IF(0=LEN(ReferenceData!$BK$111),"",ReferenceData!$BK$111),"")</f>
        <v/>
      </c>
      <c r="BL111" t="str">
        <f ca="1">IFERROR(IF(0=LEN(ReferenceData!$BL$111),"",ReferenceData!$BL$111),"")</f>
        <v/>
      </c>
      <c r="BM111" t="str">
        <f ca="1">IFERROR(IF(0=LEN(ReferenceData!$BM$111),"",ReferenceData!$BM$111),"")</f>
        <v/>
      </c>
    </row>
    <row r="112" spans="1:65" x14ac:dyDescent="0.25">
      <c r="A112" t="str">
        <f>IFERROR(IF(0=LEN(ReferenceData!$A$112),"",ReferenceData!$A$112),"")</f>
        <v xml:space="preserve">    Renault SA</v>
      </c>
      <c r="B112" t="str">
        <f>IFERROR(IF(0=LEN(ReferenceData!$B$112),"",ReferenceData!$B$112),"")</f>
        <v>RNO FP Equity</v>
      </c>
      <c r="C112" t="str">
        <f>IFERROR(IF(0=LEN(ReferenceData!$C$112),"",ReferenceData!$C$112),"")</f>
        <v>EZ021</v>
      </c>
      <c r="D112" t="str">
        <f>IFERROR(IF(0=LEN(ReferenceData!$D$112),"",ReferenceData!$D$112),"")</f>
        <v>BEST_EPS_NXT_YR</v>
      </c>
      <c r="E112" t="str">
        <f>IFERROR(IF(0=LEN(ReferenceData!$E$112),"",ReferenceData!$E$112),"")</f>
        <v>Dynamic</v>
      </c>
      <c r="F112">
        <f ca="1">IFERROR(IF(0=LEN(ReferenceData!$F$112),"",ReferenceData!$F$112),"")</f>
        <v>15.885999999999999</v>
      </c>
      <c r="G112">
        <f ca="1">IFERROR(IF(0=LEN(ReferenceData!$G$112),"",ReferenceData!$G$112),"")</f>
        <v>17.913</v>
      </c>
      <c r="H112">
        <f ca="1">IFERROR(IF(0=LEN(ReferenceData!$H$112),"",ReferenceData!$H$112),"")</f>
        <v>19.135000000000002</v>
      </c>
      <c r="I112">
        <f ca="1">IFERROR(IF(0=LEN(ReferenceData!$I$112),"",ReferenceData!$I$112),"")</f>
        <v>19.056999999999999</v>
      </c>
      <c r="J112">
        <f ca="1">IFERROR(IF(0=LEN(ReferenceData!$J$112),"",ReferenceData!$J$112),"")</f>
        <v>20.395</v>
      </c>
      <c r="K112">
        <f ca="1">IFERROR(IF(0=LEN(ReferenceData!$K$112),"",ReferenceData!$K$112),"")</f>
        <v>18.814</v>
      </c>
      <c r="L112">
        <f ca="1">IFERROR(IF(0=LEN(ReferenceData!$L$112),"",ReferenceData!$L$112),"")</f>
        <v>18.497</v>
      </c>
      <c r="M112">
        <f ca="1">IFERROR(IF(0=LEN(ReferenceData!$M$112),"",ReferenceData!$M$112),"")</f>
        <v>17.036000000000001</v>
      </c>
      <c r="N112">
        <f ca="1">IFERROR(IF(0=LEN(ReferenceData!$N$112),"",ReferenceData!$N$112),"")</f>
        <v>17.103000000000002</v>
      </c>
      <c r="O112">
        <f ca="1">IFERROR(IF(0=LEN(ReferenceData!$O$112),"",ReferenceData!$O$112),"")</f>
        <v>13.864000000000001</v>
      </c>
      <c r="P112">
        <f ca="1">IFERROR(IF(0=LEN(ReferenceData!$P$112),"",ReferenceData!$P$112),"")</f>
        <v>13.94</v>
      </c>
      <c r="Q112">
        <f ca="1">IFERROR(IF(0=LEN(ReferenceData!$Q$112),"",ReferenceData!$Q$112),"")</f>
        <v>14.427</v>
      </c>
      <c r="R112" t="str">
        <f ca="1">IFERROR(IF(0=LEN(ReferenceData!$R$112),"",ReferenceData!$R$112),"")</f>
        <v/>
      </c>
      <c r="S112" t="str">
        <f ca="1">IFERROR(IF(0=LEN(ReferenceData!$S$112),"",ReferenceData!$S$112),"")</f>
        <v/>
      </c>
      <c r="T112" t="str">
        <f ca="1">IFERROR(IF(0=LEN(ReferenceData!$T$112),"",ReferenceData!$T$112),"")</f>
        <v/>
      </c>
      <c r="U112" t="str">
        <f ca="1">IFERROR(IF(0=LEN(ReferenceData!$U$112),"",ReferenceData!$U$112),"")</f>
        <v/>
      </c>
      <c r="V112" t="str">
        <f ca="1">IFERROR(IF(0=LEN(ReferenceData!$V$112),"",ReferenceData!$V$112),"")</f>
        <v/>
      </c>
      <c r="W112" t="str">
        <f ca="1">IFERROR(IF(0=LEN(ReferenceData!$W$112),"",ReferenceData!$W$112),"")</f>
        <v/>
      </c>
      <c r="X112" t="str">
        <f ca="1">IFERROR(IF(0=LEN(ReferenceData!$X$112),"",ReferenceData!$X$112),"")</f>
        <v/>
      </c>
      <c r="Y112" t="str">
        <f ca="1">IFERROR(IF(0=LEN(ReferenceData!$Y$112),"",ReferenceData!$Y$112),"")</f>
        <v/>
      </c>
      <c r="Z112" t="str">
        <f ca="1">IFERROR(IF(0=LEN(ReferenceData!$Z$112),"",ReferenceData!$Z$112),"")</f>
        <v/>
      </c>
      <c r="AA112" t="str">
        <f ca="1">IFERROR(IF(0=LEN(ReferenceData!$AA$112),"",ReferenceData!$AA$112),"")</f>
        <v/>
      </c>
      <c r="AB112" t="str">
        <f ca="1">IFERROR(IF(0=LEN(ReferenceData!$AB$112),"",ReferenceData!$AB$112),"")</f>
        <v/>
      </c>
      <c r="AC112" t="str">
        <f ca="1">IFERROR(IF(0=LEN(ReferenceData!$AC$112),"",ReferenceData!$AC$112),"")</f>
        <v/>
      </c>
      <c r="AD112" t="str">
        <f ca="1">IFERROR(IF(0=LEN(ReferenceData!$AD$112),"",ReferenceData!$AD$112),"")</f>
        <v/>
      </c>
      <c r="AE112" t="str">
        <f ca="1">IFERROR(IF(0=LEN(ReferenceData!$AE$112),"",ReferenceData!$AE$112),"")</f>
        <v/>
      </c>
      <c r="AF112" t="str">
        <f ca="1">IFERROR(IF(0=LEN(ReferenceData!$AF$112),"",ReferenceData!$AF$112),"")</f>
        <v/>
      </c>
      <c r="AG112" t="str">
        <f ca="1">IFERROR(IF(0=LEN(ReferenceData!$AG$112),"",ReferenceData!$AG$112),"")</f>
        <v/>
      </c>
      <c r="AH112" t="str">
        <f ca="1">IFERROR(IF(0=LEN(ReferenceData!$AH$112),"",ReferenceData!$AH$112),"")</f>
        <v/>
      </c>
      <c r="AI112" t="str">
        <f ca="1">IFERROR(IF(0=LEN(ReferenceData!$AI$112),"",ReferenceData!$AI$112),"")</f>
        <v/>
      </c>
      <c r="AJ112" t="str">
        <f ca="1">IFERROR(IF(0=LEN(ReferenceData!$AJ$112),"",ReferenceData!$AJ$112),"")</f>
        <v/>
      </c>
      <c r="AK112" t="str">
        <f ca="1">IFERROR(IF(0=LEN(ReferenceData!$AK$112),"",ReferenceData!$AK$112),"")</f>
        <v/>
      </c>
      <c r="AL112" t="str">
        <f ca="1">IFERROR(IF(0=LEN(ReferenceData!$AL$112),"",ReferenceData!$AL$112),"")</f>
        <v/>
      </c>
      <c r="AM112" t="str">
        <f ca="1">IFERROR(IF(0=LEN(ReferenceData!$AM$112),"",ReferenceData!$AM$112),"")</f>
        <v/>
      </c>
      <c r="AN112" t="str">
        <f ca="1">IFERROR(IF(0=LEN(ReferenceData!$AN$112),"",ReferenceData!$AN$112),"")</f>
        <v/>
      </c>
      <c r="AO112" t="str">
        <f ca="1">IFERROR(IF(0=LEN(ReferenceData!$AO$112),"",ReferenceData!$AO$112),"")</f>
        <v/>
      </c>
      <c r="AP112" t="str">
        <f ca="1">IFERROR(IF(0=LEN(ReferenceData!$AP$112),"",ReferenceData!$AP$112),"")</f>
        <v/>
      </c>
      <c r="AQ112" t="str">
        <f ca="1">IFERROR(IF(0=LEN(ReferenceData!$AQ$112),"",ReferenceData!$AQ$112),"")</f>
        <v/>
      </c>
      <c r="AR112" t="str">
        <f ca="1">IFERROR(IF(0=LEN(ReferenceData!$AR$112),"",ReferenceData!$AR$112),"")</f>
        <v/>
      </c>
      <c r="AS112" t="str">
        <f ca="1">IFERROR(IF(0=LEN(ReferenceData!$AS$112),"",ReferenceData!$AS$112),"")</f>
        <v/>
      </c>
      <c r="AT112" t="str">
        <f ca="1">IFERROR(IF(0=LEN(ReferenceData!$AT$112),"",ReferenceData!$AT$112),"")</f>
        <v/>
      </c>
      <c r="AU112" t="str">
        <f ca="1">IFERROR(IF(0=LEN(ReferenceData!$AU$112),"",ReferenceData!$AU$112),"")</f>
        <v/>
      </c>
      <c r="AV112" t="str">
        <f ca="1">IFERROR(IF(0=LEN(ReferenceData!$AV$112),"",ReferenceData!$AV$112),"")</f>
        <v/>
      </c>
      <c r="AW112" t="str">
        <f ca="1">IFERROR(IF(0=LEN(ReferenceData!$AW$112),"",ReferenceData!$AW$112),"")</f>
        <v/>
      </c>
      <c r="AX112" t="str">
        <f ca="1">IFERROR(IF(0=LEN(ReferenceData!$AX$112),"",ReferenceData!$AX$112),"")</f>
        <v/>
      </c>
      <c r="AY112" t="str">
        <f ca="1">IFERROR(IF(0=LEN(ReferenceData!$AY$112),"",ReferenceData!$AY$112),"")</f>
        <v/>
      </c>
      <c r="AZ112" t="str">
        <f ca="1">IFERROR(IF(0=LEN(ReferenceData!$AZ$112),"",ReferenceData!$AZ$112),"")</f>
        <v/>
      </c>
      <c r="BA112" t="str">
        <f ca="1">IFERROR(IF(0=LEN(ReferenceData!$BA$112),"",ReferenceData!$BA$112),"")</f>
        <v/>
      </c>
      <c r="BB112" t="str">
        <f ca="1">IFERROR(IF(0=LEN(ReferenceData!$BB$112),"",ReferenceData!$BB$112),"")</f>
        <v/>
      </c>
      <c r="BC112" t="str">
        <f ca="1">IFERROR(IF(0=LEN(ReferenceData!$BC$112),"",ReferenceData!$BC$112),"")</f>
        <v/>
      </c>
      <c r="BD112" t="str">
        <f ca="1">IFERROR(IF(0=LEN(ReferenceData!$BD$112),"",ReferenceData!$BD$112),"")</f>
        <v/>
      </c>
      <c r="BE112" t="str">
        <f ca="1">IFERROR(IF(0=LEN(ReferenceData!$BE$112),"",ReferenceData!$BE$112),"")</f>
        <v/>
      </c>
      <c r="BF112" t="str">
        <f ca="1">IFERROR(IF(0=LEN(ReferenceData!$BF$112),"",ReferenceData!$BF$112),"")</f>
        <v/>
      </c>
      <c r="BG112" t="str">
        <f ca="1">IFERROR(IF(0=LEN(ReferenceData!$BG$112),"",ReferenceData!$BG$112),"")</f>
        <v/>
      </c>
      <c r="BH112" t="str">
        <f ca="1">IFERROR(IF(0=LEN(ReferenceData!$BH$112),"",ReferenceData!$BH$112),"")</f>
        <v/>
      </c>
      <c r="BI112" t="str">
        <f ca="1">IFERROR(IF(0=LEN(ReferenceData!$BI$112),"",ReferenceData!$BI$112),"")</f>
        <v/>
      </c>
      <c r="BJ112" t="str">
        <f ca="1">IFERROR(IF(0=LEN(ReferenceData!$BJ$112),"",ReferenceData!$BJ$112),"")</f>
        <v/>
      </c>
      <c r="BK112" t="str">
        <f ca="1">IFERROR(IF(0=LEN(ReferenceData!$BK$112),"",ReferenceData!$BK$112),"")</f>
        <v/>
      </c>
      <c r="BL112" t="str">
        <f ca="1">IFERROR(IF(0=LEN(ReferenceData!$BL$112),"",ReferenceData!$BL$112),"")</f>
        <v/>
      </c>
      <c r="BM112" t="str">
        <f ca="1">IFERROR(IF(0=LEN(ReferenceData!$BM$112),"",ReferenceData!$BM$112),"")</f>
        <v/>
      </c>
    </row>
    <row r="113" spans="1:65" x14ac:dyDescent="0.25">
      <c r="A113" t="str">
        <f>IFERROR(IF(0=LEN(ReferenceData!$A$113),"",ReferenceData!$A$113),"")</f>
        <v xml:space="preserve">    SAIC Motor Corp Ltd</v>
      </c>
      <c r="B113" t="str">
        <f>IFERROR(IF(0=LEN(ReferenceData!$B$113),"",ReferenceData!$B$113),"")</f>
        <v>600104 CH Equity</v>
      </c>
      <c r="C113" t="str">
        <f>IFERROR(IF(0=LEN(ReferenceData!$C$113),"",ReferenceData!$C$113),"")</f>
        <v>EZ021</v>
      </c>
      <c r="D113" t="str">
        <f>IFERROR(IF(0=LEN(ReferenceData!$D$113),"",ReferenceData!$D$113),"")</f>
        <v>BEST_EPS_NXT_YR</v>
      </c>
      <c r="E113" t="str">
        <f>IFERROR(IF(0=LEN(ReferenceData!$E$113),"",ReferenceData!$E$113),"")</f>
        <v>Dynamic</v>
      </c>
      <c r="F113">
        <f ca="1">IFERROR(IF(0=LEN(ReferenceData!$F$113),"",ReferenceData!$F$113),"")</f>
        <v>0.496</v>
      </c>
      <c r="G113">
        <f ca="1">IFERROR(IF(0=LEN(ReferenceData!$G$113),"",ReferenceData!$G$113),"")</f>
        <v>0.495</v>
      </c>
      <c r="H113">
        <f ca="1">IFERROR(IF(0=LEN(ReferenceData!$H$113),"",ReferenceData!$H$113),"")</f>
        <v>0.51200000000000001</v>
      </c>
      <c r="I113">
        <f ca="1">IFERROR(IF(0=LEN(ReferenceData!$I$113),"",ReferenceData!$I$113),"")</f>
        <v>0.53</v>
      </c>
      <c r="J113">
        <f ca="1">IFERROR(IF(0=LEN(ReferenceData!$J$113),"",ReferenceData!$J$113),"")</f>
        <v>0.56999999999999995</v>
      </c>
      <c r="K113">
        <f ca="1">IFERROR(IF(0=LEN(ReferenceData!$K$113),"",ReferenceData!$K$113),"")</f>
        <v>0.56299999999999994</v>
      </c>
      <c r="L113">
        <f ca="1">IFERROR(IF(0=LEN(ReferenceData!$L$113),"",ReferenceData!$L$113),"")</f>
        <v>0.56200000000000006</v>
      </c>
      <c r="M113">
        <f ca="1">IFERROR(IF(0=LEN(ReferenceData!$M$113),"",ReferenceData!$M$113),"")</f>
        <v>0.54400000000000004</v>
      </c>
      <c r="N113">
        <f ca="1">IFERROR(IF(0=LEN(ReferenceData!$N$113),"",ReferenceData!$N$113),"")</f>
        <v>0.45500000000000002</v>
      </c>
      <c r="O113">
        <f ca="1">IFERROR(IF(0=LEN(ReferenceData!$O$113),"",ReferenceData!$O$113),"")</f>
        <v>0.45500000000000002</v>
      </c>
      <c r="P113" t="str">
        <f ca="1">IFERROR(IF(0=LEN(ReferenceData!$P$113),"",ReferenceData!$P$113),"")</f>
        <v/>
      </c>
      <c r="Q113" t="str">
        <f ca="1">IFERROR(IF(0=LEN(ReferenceData!$Q$113),"",ReferenceData!$Q$113),"")</f>
        <v/>
      </c>
      <c r="R113" t="str">
        <f ca="1">IFERROR(IF(0=LEN(ReferenceData!$R$113),"",ReferenceData!$R$113),"")</f>
        <v/>
      </c>
      <c r="S113" t="str">
        <f ca="1">IFERROR(IF(0=LEN(ReferenceData!$S$113),"",ReferenceData!$S$113),"")</f>
        <v/>
      </c>
      <c r="T113" t="str">
        <f ca="1">IFERROR(IF(0=LEN(ReferenceData!$T$113),"",ReferenceData!$T$113),"")</f>
        <v/>
      </c>
      <c r="U113" t="str">
        <f ca="1">IFERROR(IF(0=LEN(ReferenceData!$U$113),"",ReferenceData!$U$113),"")</f>
        <v/>
      </c>
      <c r="V113" t="str">
        <f ca="1">IFERROR(IF(0=LEN(ReferenceData!$V$113),"",ReferenceData!$V$113),"")</f>
        <v/>
      </c>
      <c r="W113" t="str">
        <f ca="1">IFERROR(IF(0=LEN(ReferenceData!$W$113),"",ReferenceData!$W$113),"")</f>
        <v/>
      </c>
      <c r="X113" t="str">
        <f ca="1">IFERROR(IF(0=LEN(ReferenceData!$X$113),"",ReferenceData!$X$113),"")</f>
        <v/>
      </c>
      <c r="Y113" t="str">
        <f ca="1">IFERROR(IF(0=LEN(ReferenceData!$Y$113),"",ReferenceData!$Y$113),"")</f>
        <v/>
      </c>
      <c r="Z113" t="str">
        <f ca="1">IFERROR(IF(0=LEN(ReferenceData!$Z$113),"",ReferenceData!$Z$113),"")</f>
        <v/>
      </c>
      <c r="AA113" t="str">
        <f ca="1">IFERROR(IF(0=LEN(ReferenceData!$AA$113),"",ReferenceData!$AA$113),"")</f>
        <v/>
      </c>
      <c r="AB113" t="str">
        <f ca="1">IFERROR(IF(0=LEN(ReferenceData!$AB$113),"",ReferenceData!$AB$113),"")</f>
        <v/>
      </c>
      <c r="AC113" t="str">
        <f ca="1">IFERROR(IF(0=LEN(ReferenceData!$AC$113),"",ReferenceData!$AC$113),"")</f>
        <v/>
      </c>
      <c r="AD113" t="str">
        <f ca="1">IFERROR(IF(0=LEN(ReferenceData!$AD$113),"",ReferenceData!$AD$113),"")</f>
        <v/>
      </c>
      <c r="AE113" t="str">
        <f ca="1">IFERROR(IF(0=LEN(ReferenceData!$AE$113),"",ReferenceData!$AE$113),"")</f>
        <v/>
      </c>
      <c r="AF113" t="str">
        <f ca="1">IFERROR(IF(0=LEN(ReferenceData!$AF$113),"",ReferenceData!$AF$113),"")</f>
        <v/>
      </c>
      <c r="AG113" t="str">
        <f ca="1">IFERROR(IF(0=LEN(ReferenceData!$AG$113),"",ReferenceData!$AG$113),"")</f>
        <v/>
      </c>
      <c r="AH113" t="str">
        <f ca="1">IFERROR(IF(0=LEN(ReferenceData!$AH$113),"",ReferenceData!$AH$113),"")</f>
        <v/>
      </c>
      <c r="AI113" t="str">
        <f ca="1">IFERROR(IF(0=LEN(ReferenceData!$AI$113),"",ReferenceData!$AI$113),"")</f>
        <v/>
      </c>
      <c r="AJ113" t="str">
        <f ca="1">IFERROR(IF(0=LEN(ReferenceData!$AJ$113),"",ReferenceData!$AJ$113),"")</f>
        <v/>
      </c>
      <c r="AK113" t="str">
        <f ca="1">IFERROR(IF(0=LEN(ReferenceData!$AK$113),"",ReferenceData!$AK$113),"")</f>
        <v/>
      </c>
      <c r="AL113" t="str">
        <f ca="1">IFERROR(IF(0=LEN(ReferenceData!$AL$113),"",ReferenceData!$AL$113),"")</f>
        <v/>
      </c>
      <c r="AM113" t="str">
        <f ca="1">IFERROR(IF(0=LEN(ReferenceData!$AM$113),"",ReferenceData!$AM$113),"")</f>
        <v/>
      </c>
      <c r="AN113" t="str">
        <f ca="1">IFERROR(IF(0=LEN(ReferenceData!$AN$113),"",ReferenceData!$AN$113),"")</f>
        <v/>
      </c>
      <c r="AO113" t="str">
        <f ca="1">IFERROR(IF(0=LEN(ReferenceData!$AO$113),"",ReferenceData!$AO$113),"")</f>
        <v/>
      </c>
      <c r="AP113" t="str">
        <f ca="1">IFERROR(IF(0=LEN(ReferenceData!$AP$113),"",ReferenceData!$AP$113),"")</f>
        <v/>
      </c>
      <c r="AQ113" t="str">
        <f ca="1">IFERROR(IF(0=LEN(ReferenceData!$AQ$113),"",ReferenceData!$AQ$113),"")</f>
        <v/>
      </c>
      <c r="AR113" t="str">
        <f ca="1">IFERROR(IF(0=LEN(ReferenceData!$AR$113),"",ReferenceData!$AR$113),"")</f>
        <v/>
      </c>
      <c r="AS113" t="str">
        <f ca="1">IFERROR(IF(0=LEN(ReferenceData!$AS$113),"",ReferenceData!$AS$113),"")</f>
        <v/>
      </c>
      <c r="AT113" t="str">
        <f ca="1">IFERROR(IF(0=LEN(ReferenceData!$AT$113),"",ReferenceData!$AT$113),"")</f>
        <v/>
      </c>
      <c r="AU113" t="str">
        <f ca="1">IFERROR(IF(0=LEN(ReferenceData!$AU$113),"",ReferenceData!$AU$113),"")</f>
        <v/>
      </c>
      <c r="AV113" t="str">
        <f ca="1">IFERROR(IF(0=LEN(ReferenceData!$AV$113),"",ReferenceData!$AV$113),"")</f>
        <v/>
      </c>
      <c r="AW113" t="str">
        <f ca="1">IFERROR(IF(0=LEN(ReferenceData!$AW$113),"",ReferenceData!$AW$113),"")</f>
        <v/>
      </c>
      <c r="AX113" t="str">
        <f ca="1">IFERROR(IF(0=LEN(ReferenceData!$AX$113),"",ReferenceData!$AX$113),"")</f>
        <v/>
      </c>
      <c r="AY113" t="str">
        <f ca="1">IFERROR(IF(0=LEN(ReferenceData!$AY$113),"",ReferenceData!$AY$113),"")</f>
        <v/>
      </c>
      <c r="AZ113" t="str">
        <f ca="1">IFERROR(IF(0=LEN(ReferenceData!$AZ$113),"",ReferenceData!$AZ$113),"")</f>
        <v/>
      </c>
      <c r="BA113" t="str">
        <f ca="1">IFERROR(IF(0=LEN(ReferenceData!$BA$113),"",ReferenceData!$BA$113),"")</f>
        <v/>
      </c>
      <c r="BB113" t="str">
        <f ca="1">IFERROR(IF(0=LEN(ReferenceData!$BB$113),"",ReferenceData!$BB$113),"")</f>
        <v/>
      </c>
      <c r="BC113" t="str">
        <f ca="1">IFERROR(IF(0=LEN(ReferenceData!$BC$113),"",ReferenceData!$BC$113),"")</f>
        <v/>
      </c>
      <c r="BD113" t="str">
        <f ca="1">IFERROR(IF(0=LEN(ReferenceData!$BD$113),"",ReferenceData!$BD$113),"")</f>
        <v/>
      </c>
      <c r="BE113" t="str">
        <f ca="1">IFERROR(IF(0=LEN(ReferenceData!$BE$113),"",ReferenceData!$BE$113),"")</f>
        <v/>
      </c>
      <c r="BF113" t="str">
        <f ca="1">IFERROR(IF(0=LEN(ReferenceData!$BF$113),"",ReferenceData!$BF$113),"")</f>
        <v/>
      </c>
      <c r="BG113" t="str">
        <f ca="1">IFERROR(IF(0=LEN(ReferenceData!$BG$113),"",ReferenceData!$BG$113),"")</f>
        <v/>
      </c>
      <c r="BH113" t="str">
        <f ca="1">IFERROR(IF(0=LEN(ReferenceData!$BH$113),"",ReferenceData!$BH$113),"")</f>
        <v/>
      </c>
      <c r="BI113" t="str">
        <f ca="1">IFERROR(IF(0=LEN(ReferenceData!$BI$113),"",ReferenceData!$BI$113),"")</f>
        <v/>
      </c>
      <c r="BJ113" t="str">
        <f ca="1">IFERROR(IF(0=LEN(ReferenceData!$BJ$113),"",ReferenceData!$BJ$113),"")</f>
        <v/>
      </c>
      <c r="BK113" t="str">
        <f ca="1">IFERROR(IF(0=LEN(ReferenceData!$BK$113),"",ReferenceData!$BK$113),"")</f>
        <v/>
      </c>
      <c r="BL113" t="str">
        <f ca="1">IFERROR(IF(0=LEN(ReferenceData!$BL$113),"",ReferenceData!$BL$113),"")</f>
        <v/>
      </c>
      <c r="BM113" t="str">
        <f ca="1">IFERROR(IF(0=LEN(ReferenceData!$BM$113),"",ReferenceData!$BM$113),"")</f>
        <v/>
      </c>
    </row>
    <row r="114" spans="1:65" x14ac:dyDescent="0.25">
      <c r="A114" t="str">
        <f>IFERROR(IF(0=LEN(ReferenceData!$A$114),"",ReferenceData!$A$114),"")</f>
        <v xml:space="preserve">    Sanyang Motor Co Ltd</v>
      </c>
      <c r="B114" t="str">
        <f>IFERROR(IF(0=LEN(ReferenceData!$B$114),"",ReferenceData!$B$114),"")</f>
        <v>2206 TT Equity</v>
      </c>
      <c r="C114" t="str">
        <f>IFERROR(IF(0=LEN(ReferenceData!$C$114),"",ReferenceData!$C$114),"")</f>
        <v>EZ021</v>
      </c>
      <c r="D114" t="str">
        <f>IFERROR(IF(0=LEN(ReferenceData!$D$114),"",ReferenceData!$D$114),"")</f>
        <v>BEST_EPS_NXT_YR</v>
      </c>
      <c r="E114" t="str">
        <f>IFERROR(IF(0=LEN(ReferenceData!$E$114),"",ReferenceData!$E$114),"")</f>
        <v>Dynamic</v>
      </c>
      <c r="F114">
        <f ca="1">IFERROR(IF(0=LEN(ReferenceData!$F$114),"",ReferenceData!$F$114),"")</f>
        <v>2.5999999999999999E-2</v>
      </c>
      <c r="G114">
        <f ca="1">IFERROR(IF(0=LEN(ReferenceData!$G$114),"",ReferenceData!$G$114),"")</f>
        <v>2.5999999999999999E-2</v>
      </c>
      <c r="H114" t="str">
        <f ca="1">IFERROR(IF(0=LEN(ReferenceData!$H$114),"",ReferenceData!$H$114),"")</f>
        <v/>
      </c>
      <c r="I114" t="str">
        <f ca="1">IFERROR(IF(0=LEN(ReferenceData!$I$114),"",ReferenceData!$I$114),"")</f>
        <v/>
      </c>
      <c r="J114" t="str">
        <f ca="1">IFERROR(IF(0=LEN(ReferenceData!$J$114),"",ReferenceData!$J$114),"")</f>
        <v/>
      </c>
      <c r="K114" t="str">
        <f ca="1">IFERROR(IF(0=LEN(ReferenceData!$K$114),"",ReferenceData!$K$114),"")</f>
        <v/>
      </c>
      <c r="L114" t="str">
        <f ca="1">IFERROR(IF(0=LEN(ReferenceData!$L$114),"",ReferenceData!$L$114),"")</f>
        <v/>
      </c>
      <c r="M114" t="str">
        <f ca="1">IFERROR(IF(0=LEN(ReferenceData!$M$114),"",ReferenceData!$M$114),"")</f>
        <v/>
      </c>
      <c r="N114" t="str">
        <f ca="1">IFERROR(IF(0=LEN(ReferenceData!$N$114),"",ReferenceData!$N$114),"")</f>
        <v/>
      </c>
      <c r="O114" t="str">
        <f ca="1">IFERROR(IF(0=LEN(ReferenceData!$O$114),"",ReferenceData!$O$114),"")</f>
        <v/>
      </c>
      <c r="P114" t="str">
        <f ca="1">IFERROR(IF(0=LEN(ReferenceData!$P$114),"",ReferenceData!$P$114),"")</f>
        <v/>
      </c>
      <c r="Q114" t="str">
        <f ca="1">IFERROR(IF(0=LEN(ReferenceData!$Q$114),"",ReferenceData!$Q$114),"")</f>
        <v/>
      </c>
      <c r="R114" t="str">
        <f ca="1">IFERROR(IF(0=LEN(ReferenceData!$R$114),"",ReferenceData!$R$114),"")</f>
        <v/>
      </c>
      <c r="S114" t="str">
        <f ca="1">IFERROR(IF(0=LEN(ReferenceData!$S$114),"",ReferenceData!$S$114),"")</f>
        <v/>
      </c>
      <c r="T114" t="str">
        <f ca="1">IFERROR(IF(0=LEN(ReferenceData!$T$114),"",ReferenceData!$T$114),"")</f>
        <v/>
      </c>
      <c r="U114" t="str">
        <f ca="1">IFERROR(IF(0=LEN(ReferenceData!$U$114),"",ReferenceData!$U$114),"")</f>
        <v/>
      </c>
      <c r="V114" t="str">
        <f ca="1">IFERROR(IF(0=LEN(ReferenceData!$V$114),"",ReferenceData!$V$114),"")</f>
        <v/>
      </c>
      <c r="W114" t="str">
        <f ca="1">IFERROR(IF(0=LEN(ReferenceData!$W$114),"",ReferenceData!$W$114),"")</f>
        <v/>
      </c>
      <c r="X114" t="str">
        <f ca="1">IFERROR(IF(0=LEN(ReferenceData!$X$114),"",ReferenceData!$X$114),"")</f>
        <v/>
      </c>
      <c r="Y114" t="str">
        <f ca="1">IFERROR(IF(0=LEN(ReferenceData!$Y$114),"",ReferenceData!$Y$114),"")</f>
        <v/>
      </c>
      <c r="Z114" t="str">
        <f ca="1">IFERROR(IF(0=LEN(ReferenceData!$Z$114),"",ReferenceData!$Z$114),"")</f>
        <v/>
      </c>
      <c r="AA114" t="str">
        <f ca="1">IFERROR(IF(0=LEN(ReferenceData!$AA$114),"",ReferenceData!$AA$114),"")</f>
        <v/>
      </c>
      <c r="AB114" t="str">
        <f ca="1">IFERROR(IF(0=LEN(ReferenceData!$AB$114),"",ReferenceData!$AB$114),"")</f>
        <v/>
      </c>
      <c r="AC114" t="str">
        <f ca="1">IFERROR(IF(0=LEN(ReferenceData!$AC$114),"",ReferenceData!$AC$114),"")</f>
        <v/>
      </c>
      <c r="AD114" t="str">
        <f ca="1">IFERROR(IF(0=LEN(ReferenceData!$AD$114),"",ReferenceData!$AD$114),"")</f>
        <v/>
      </c>
      <c r="AE114" t="str">
        <f ca="1">IFERROR(IF(0=LEN(ReferenceData!$AE$114),"",ReferenceData!$AE$114),"")</f>
        <v/>
      </c>
      <c r="AF114" t="str">
        <f ca="1">IFERROR(IF(0=LEN(ReferenceData!$AF$114),"",ReferenceData!$AF$114),"")</f>
        <v/>
      </c>
      <c r="AG114" t="str">
        <f ca="1">IFERROR(IF(0=LEN(ReferenceData!$AG$114),"",ReferenceData!$AG$114),"")</f>
        <v/>
      </c>
      <c r="AH114" t="str">
        <f ca="1">IFERROR(IF(0=LEN(ReferenceData!$AH$114),"",ReferenceData!$AH$114),"")</f>
        <v/>
      </c>
      <c r="AI114" t="str">
        <f ca="1">IFERROR(IF(0=LEN(ReferenceData!$AI$114),"",ReferenceData!$AI$114),"")</f>
        <v/>
      </c>
      <c r="AJ114" t="str">
        <f ca="1">IFERROR(IF(0=LEN(ReferenceData!$AJ$114),"",ReferenceData!$AJ$114),"")</f>
        <v/>
      </c>
      <c r="AK114" t="str">
        <f ca="1">IFERROR(IF(0=LEN(ReferenceData!$AK$114),"",ReferenceData!$AK$114),"")</f>
        <v/>
      </c>
      <c r="AL114" t="str">
        <f ca="1">IFERROR(IF(0=LEN(ReferenceData!$AL$114),"",ReferenceData!$AL$114),"")</f>
        <v/>
      </c>
      <c r="AM114" t="str">
        <f ca="1">IFERROR(IF(0=LEN(ReferenceData!$AM$114),"",ReferenceData!$AM$114),"")</f>
        <v/>
      </c>
      <c r="AN114" t="str">
        <f ca="1">IFERROR(IF(0=LEN(ReferenceData!$AN$114),"",ReferenceData!$AN$114),"")</f>
        <v/>
      </c>
      <c r="AO114" t="str">
        <f ca="1">IFERROR(IF(0=LEN(ReferenceData!$AO$114),"",ReferenceData!$AO$114),"")</f>
        <v/>
      </c>
      <c r="AP114" t="str">
        <f ca="1">IFERROR(IF(0=LEN(ReferenceData!$AP$114),"",ReferenceData!$AP$114),"")</f>
        <v/>
      </c>
      <c r="AQ114" t="str">
        <f ca="1">IFERROR(IF(0=LEN(ReferenceData!$AQ$114),"",ReferenceData!$AQ$114),"")</f>
        <v/>
      </c>
      <c r="AR114" t="str">
        <f ca="1">IFERROR(IF(0=LEN(ReferenceData!$AR$114),"",ReferenceData!$AR$114),"")</f>
        <v/>
      </c>
      <c r="AS114" t="str">
        <f ca="1">IFERROR(IF(0=LEN(ReferenceData!$AS$114),"",ReferenceData!$AS$114),"")</f>
        <v/>
      </c>
      <c r="AT114" t="str">
        <f ca="1">IFERROR(IF(0=LEN(ReferenceData!$AT$114),"",ReferenceData!$AT$114),"")</f>
        <v/>
      </c>
      <c r="AU114" t="str">
        <f ca="1">IFERROR(IF(0=LEN(ReferenceData!$AU$114),"",ReferenceData!$AU$114),"")</f>
        <v/>
      </c>
      <c r="AV114" t="str">
        <f ca="1">IFERROR(IF(0=LEN(ReferenceData!$AV$114),"",ReferenceData!$AV$114),"")</f>
        <v/>
      </c>
      <c r="AW114" t="str">
        <f ca="1">IFERROR(IF(0=LEN(ReferenceData!$AW$114),"",ReferenceData!$AW$114),"")</f>
        <v/>
      </c>
      <c r="AX114" t="str">
        <f ca="1">IFERROR(IF(0=LEN(ReferenceData!$AX$114),"",ReferenceData!$AX$114),"")</f>
        <v/>
      </c>
      <c r="AY114" t="str">
        <f ca="1">IFERROR(IF(0=LEN(ReferenceData!$AY$114),"",ReferenceData!$AY$114),"")</f>
        <v/>
      </c>
      <c r="AZ114" t="str">
        <f ca="1">IFERROR(IF(0=LEN(ReferenceData!$AZ$114),"",ReferenceData!$AZ$114),"")</f>
        <v/>
      </c>
      <c r="BA114" t="str">
        <f ca="1">IFERROR(IF(0=LEN(ReferenceData!$BA$114),"",ReferenceData!$BA$114),"")</f>
        <v/>
      </c>
      <c r="BB114" t="str">
        <f ca="1">IFERROR(IF(0=LEN(ReferenceData!$BB$114),"",ReferenceData!$BB$114),"")</f>
        <v/>
      </c>
      <c r="BC114" t="str">
        <f ca="1">IFERROR(IF(0=LEN(ReferenceData!$BC$114),"",ReferenceData!$BC$114),"")</f>
        <v/>
      </c>
      <c r="BD114" t="str">
        <f ca="1">IFERROR(IF(0=LEN(ReferenceData!$BD$114),"",ReferenceData!$BD$114),"")</f>
        <v/>
      </c>
      <c r="BE114" t="str">
        <f ca="1">IFERROR(IF(0=LEN(ReferenceData!$BE$114),"",ReferenceData!$BE$114),"")</f>
        <v/>
      </c>
      <c r="BF114" t="str">
        <f ca="1">IFERROR(IF(0=LEN(ReferenceData!$BF$114),"",ReferenceData!$BF$114),"")</f>
        <v/>
      </c>
      <c r="BG114" t="str">
        <f ca="1">IFERROR(IF(0=LEN(ReferenceData!$BG$114),"",ReferenceData!$BG$114),"")</f>
        <v/>
      </c>
      <c r="BH114" t="str">
        <f ca="1">IFERROR(IF(0=LEN(ReferenceData!$BH$114),"",ReferenceData!$BH$114),"")</f>
        <v/>
      </c>
      <c r="BI114" t="str">
        <f ca="1">IFERROR(IF(0=LEN(ReferenceData!$BI$114),"",ReferenceData!$BI$114),"")</f>
        <v/>
      </c>
      <c r="BJ114" t="str">
        <f ca="1">IFERROR(IF(0=LEN(ReferenceData!$BJ$114),"",ReferenceData!$BJ$114),"")</f>
        <v/>
      </c>
      <c r="BK114" t="str">
        <f ca="1">IFERROR(IF(0=LEN(ReferenceData!$BK$114),"",ReferenceData!$BK$114),"")</f>
        <v/>
      </c>
      <c r="BL114" t="str">
        <f ca="1">IFERROR(IF(0=LEN(ReferenceData!$BL$114),"",ReferenceData!$BL$114),"")</f>
        <v/>
      </c>
      <c r="BM114" t="str">
        <f ca="1">IFERROR(IF(0=LEN(ReferenceData!$BM$114),"",ReferenceData!$BM$114),"")</f>
        <v/>
      </c>
    </row>
    <row r="115" spans="1:65" x14ac:dyDescent="0.25">
      <c r="A115" t="str">
        <f>IFERROR(IF(0=LEN(ReferenceData!$A$115),"",ReferenceData!$A$115),"")</f>
        <v xml:space="preserve">    Sollers PJSC</v>
      </c>
      <c r="B115" t="str">
        <f>IFERROR(IF(0=LEN(ReferenceData!$B$115),"",ReferenceData!$B$115),"")</f>
        <v>SVAV RM Equity</v>
      </c>
      <c r="C115" t="str">
        <f>IFERROR(IF(0=LEN(ReferenceData!$C$115),"",ReferenceData!$C$115),"")</f>
        <v>EZ021</v>
      </c>
      <c r="D115" t="str">
        <f>IFERROR(IF(0=LEN(ReferenceData!$D$115),"",ReferenceData!$D$115),"")</f>
        <v>BEST_EPS_NXT_YR</v>
      </c>
      <c r="E115" t="str">
        <f>IFERROR(IF(0=LEN(ReferenceData!$E$115),"",ReferenceData!$E$115),"")</f>
        <v>Dynamic</v>
      </c>
      <c r="F115">
        <f ca="1">IFERROR(IF(0=LEN(ReferenceData!$F$115),"",ReferenceData!$F$115),"")</f>
        <v>0.47199999999999998</v>
      </c>
      <c r="G115">
        <f ca="1">IFERROR(IF(0=LEN(ReferenceData!$G$115),"",ReferenceData!$G$115),"")</f>
        <v>0.46700000000000003</v>
      </c>
      <c r="H115">
        <f ca="1">IFERROR(IF(0=LEN(ReferenceData!$H$115),"",ReferenceData!$H$115),"")</f>
        <v>0.44600000000000001</v>
      </c>
      <c r="I115">
        <f ca="1">IFERROR(IF(0=LEN(ReferenceData!$I$115),"",ReferenceData!$I$115),"")</f>
        <v>0.78100000000000003</v>
      </c>
      <c r="J115">
        <f ca="1">IFERROR(IF(0=LEN(ReferenceData!$J$115),"",ReferenceData!$J$115),"")</f>
        <v>1.3380000000000001</v>
      </c>
      <c r="K115">
        <f ca="1">IFERROR(IF(0=LEN(ReferenceData!$K$115),"",ReferenceData!$K$115),"")</f>
        <v>1.706</v>
      </c>
      <c r="L115">
        <f ca="1">IFERROR(IF(0=LEN(ReferenceData!$L$115),"",ReferenceData!$L$115),"")</f>
        <v>1.7769999999999999</v>
      </c>
      <c r="M115">
        <f ca="1">IFERROR(IF(0=LEN(ReferenceData!$M$115),"",ReferenceData!$M$115),"")</f>
        <v>1.754</v>
      </c>
      <c r="N115">
        <f ca="1">IFERROR(IF(0=LEN(ReferenceData!$N$115),"",ReferenceData!$N$115),"")</f>
        <v>1.8129999999999999</v>
      </c>
      <c r="O115">
        <f ca="1">IFERROR(IF(0=LEN(ReferenceData!$O$115),"",ReferenceData!$O$115),"")</f>
        <v>1.635</v>
      </c>
      <c r="P115">
        <f ca="1">IFERROR(IF(0=LEN(ReferenceData!$P$115),"",ReferenceData!$P$115),"")</f>
        <v>1.607</v>
      </c>
      <c r="Q115">
        <f ca="1">IFERROR(IF(0=LEN(ReferenceData!$Q$115),"",ReferenceData!$Q$115),"")</f>
        <v>2.5760000000000001</v>
      </c>
      <c r="R115">
        <f ca="1">IFERROR(IF(0=LEN(ReferenceData!$R$115),"",ReferenceData!$R$115),"")</f>
        <v>2.419</v>
      </c>
      <c r="S115">
        <f ca="1">IFERROR(IF(0=LEN(ReferenceData!$S$115),"",ReferenceData!$S$115),"")</f>
        <v>2.5379999999999998</v>
      </c>
      <c r="T115">
        <f ca="1">IFERROR(IF(0=LEN(ReferenceData!$T$115),"",ReferenceData!$T$115),"")</f>
        <v>2.573</v>
      </c>
      <c r="U115" t="str">
        <f ca="1">IFERROR(IF(0=LEN(ReferenceData!$U$115),"",ReferenceData!$U$115),"")</f>
        <v/>
      </c>
      <c r="V115">
        <f ca="1">IFERROR(IF(0=LEN(ReferenceData!$V$115),"",ReferenceData!$V$115),"")</f>
        <v>4.5359999999999996</v>
      </c>
      <c r="W115" t="str">
        <f ca="1">IFERROR(IF(0=LEN(ReferenceData!$W$115),"",ReferenceData!$W$115),"")</f>
        <v/>
      </c>
      <c r="X115" t="str">
        <f ca="1">IFERROR(IF(0=LEN(ReferenceData!$X$115),"",ReferenceData!$X$115),"")</f>
        <v/>
      </c>
      <c r="Y115" t="str">
        <f ca="1">IFERROR(IF(0=LEN(ReferenceData!$Y$115),"",ReferenceData!$Y$115),"")</f>
        <v/>
      </c>
      <c r="Z115" t="str">
        <f ca="1">IFERROR(IF(0=LEN(ReferenceData!$Z$115),"",ReferenceData!$Z$115),"")</f>
        <v/>
      </c>
      <c r="AA115" t="str">
        <f ca="1">IFERROR(IF(0=LEN(ReferenceData!$AA$115),"",ReferenceData!$AA$115),"")</f>
        <v/>
      </c>
      <c r="AB115" t="str">
        <f ca="1">IFERROR(IF(0=LEN(ReferenceData!$AB$115),"",ReferenceData!$AB$115),"")</f>
        <v/>
      </c>
      <c r="AC115" t="str">
        <f ca="1">IFERROR(IF(0=LEN(ReferenceData!$AC$115),"",ReferenceData!$AC$115),"")</f>
        <v/>
      </c>
      <c r="AD115" t="str">
        <f ca="1">IFERROR(IF(0=LEN(ReferenceData!$AD$115),"",ReferenceData!$AD$115),"")</f>
        <v/>
      </c>
      <c r="AE115" t="str">
        <f ca="1">IFERROR(IF(0=LEN(ReferenceData!$AE$115),"",ReferenceData!$AE$115),"")</f>
        <v/>
      </c>
      <c r="AF115" t="str">
        <f ca="1">IFERROR(IF(0=LEN(ReferenceData!$AF$115),"",ReferenceData!$AF$115),"")</f>
        <v/>
      </c>
      <c r="AG115" t="str">
        <f ca="1">IFERROR(IF(0=LEN(ReferenceData!$AG$115),"",ReferenceData!$AG$115),"")</f>
        <v/>
      </c>
      <c r="AH115" t="str">
        <f ca="1">IFERROR(IF(0=LEN(ReferenceData!$AH$115),"",ReferenceData!$AH$115),"")</f>
        <v/>
      </c>
      <c r="AI115" t="str">
        <f ca="1">IFERROR(IF(0=LEN(ReferenceData!$AI$115),"",ReferenceData!$AI$115),"")</f>
        <v/>
      </c>
      <c r="AJ115" t="str">
        <f ca="1">IFERROR(IF(0=LEN(ReferenceData!$AJ$115),"",ReferenceData!$AJ$115),"")</f>
        <v/>
      </c>
      <c r="AK115" t="str">
        <f ca="1">IFERROR(IF(0=LEN(ReferenceData!$AK$115),"",ReferenceData!$AK$115),"")</f>
        <v/>
      </c>
      <c r="AL115" t="str">
        <f ca="1">IFERROR(IF(0=LEN(ReferenceData!$AL$115),"",ReferenceData!$AL$115),"")</f>
        <v/>
      </c>
      <c r="AM115" t="str">
        <f ca="1">IFERROR(IF(0=LEN(ReferenceData!$AM$115),"",ReferenceData!$AM$115),"")</f>
        <v/>
      </c>
      <c r="AN115" t="str">
        <f ca="1">IFERROR(IF(0=LEN(ReferenceData!$AN$115),"",ReferenceData!$AN$115),"")</f>
        <v/>
      </c>
      <c r="AO115" t="str">
        <f ca="1">IFERROR(IF(0=LEN(ReferenceData!$AO$115),"",ReferenceData!$AO$115),"")</f>
        <v/>
      </c>
      <c r="AP115" t="str">
        <f ca="1">IFERROR(IF(0=LEN(ReferenceData!$AP$115),"",ReferenceData!$AP$115),"")</f>
        <v/>
      </c>
      <c r="AQ115" t="str">
        <f ca="1">IFERROR(IF(0=LEN(ReferenceData!$AQ$115),"",ReferenceData!$AQ$115),"")</f>
        <v/>
      </c>
      <c r="AR115" t="str">
        <f ca="1">IFERROR(IF(0=LEN(ReferenceData!$AR$115),"",ReferenceData!$AR$115),"")</f>
        <v/>
      </c>
      <c r="AS115" t="str">
        <f ca="1">IFERROR(IF(0=LEN(ReferenceData!$AS$115),"",ReferenceData!$AS$115),"")</f>
        <v/>
      </c>
      <c r="AT115" t="str">
        <f ca="1">IFERROR(IF(0=LEN(ReferenceData!$AT$115),"",ReferenceData!$AT$115),"")</f>
        <v/>
      </c>
      <c r="AU115" t="str">
        <f ca="1">IFERROR(IF(0=LEN(ReferenceData!$AU$115),"",ReferenceData!$AU$115),"")</f>
        <v/>
      </c>
      <c r="AV115" t="str">
        <f ca="1">IFERROR(IF(0=LEN(ReferenceData!$AV$115),"",ReferenceData!$AV$115),"")</f>
        <v/>
      </c>
      <c r="AW115" t="str">
        <f ca="1">IFERROR(IF(0=LEN(ReferenceData!$AW$115),"",ReferenceData!$AW$115),"")</f>
        <v/>
      </c>
      <c r="AX115" t="str">
        <f ca="1">IFERROR(IF(0=LEN(ReferenceData!$AX$115),"",ReferenceData!$AX$115),"")</f>
        <v/>
      </c>
      <c r="AY115" t="str">
        <f ca="1">IFERROR(IF(0=LEN(ReferenceData!$AY$115),"",ReferenceData!$AY$115),"")</f>
        <v/>
      </c>
      <c r="AZ115" t="str">
        <f ca="1">IFERROR(IF(0=LEN(ReferenceData!$AZ$115),"",ReferenceData!$AZ$115),"")</f>
        <v/>
      </c>
      <c r="BA115" t="str">
        <f ca="1">IFERROR(IF(0=LEN(ReferenceData!$BA$115),"",ReferenceData!$BA$115),"")</f>
        <v/>
      </c>
      <c r="BB115" t="str">
        <f ca="1">IFERROR(IF(0=LEN(ReferenceData!$BB$115),"",ReferenceData!$BB$115),"")</f>
        <v/>
      </c>
      <c r="BC115" t="str">
        <f ca="1">IFERROR(IF(0=LEN(ReferenceData!$BC$115),"",ReferenceData!$BC$115),"")</f>
        <v/>
      </c>
      <c r="BD115" t="str">
        <f ca="1">IFERROR(IF(0=LEN(ReferenceData!$BD$115),"",ReferenceData!$BD$115),"")</f>
        <v/>
      </c>
      <c r="BE115" t="str">
        <f ca="1">IFERROR(IF(0=LEN(ReferenceData!$BE$115),"",ReferenceData!$BE$115),"")</f>
        <v/>
      </c>
      <c r="BF115" t="str">
        <f ca="1">IFERROR(IF(0=LEN(ReferenceData!$BF$115),"",ReferenceData!$BF$115),"")</f>
        <v/>
      </c>
      <c r="BG115" t="str">
        <f ca="1">IFERROR(IF(0=LEN(ReferenceData!$BG$115),"",ReferenceData!$BG$115),"")</f>
        <v/>
      </c>
      <c r="BH115" t="str">
        <f ca="1">IFERROR(IF(0=LEN(ReferenceData!$BH$115),"",ReferenceData!$BH$115),"")</f>
        <v/>
      </c>
      <c r="BI115" t="str">
        <f ca="1">IFERROR(IF(0=LEN(ReferenceData!$BI$115),"",ReferenceData!$BI$115),"")</f>
        <v/>
      </c>
      <c r="BJ115" t="str">
        <f ca="1">IFERROR(IF(0=LEN(ReferenceData!$BJ$115),"",ReferenceData!$BJ$115),"")</f>
        <v/>
      </c>
      <c r="BK115" t="str">
        <f ca="1">IFERROR(IF(0=LEN(ReferenceData!$BK$115),"",ReferenceData!$BK$115),"")</f>
        <v/>
      </c>
      <c r="BL115" t="str">
        <f ca="1">IFERROR(IF(0=LEN(ReferenceData!$BL$115),"",ReferenceData!$BL$115),"")</f>
        <v/>
      </c>
      <c r="BM115" t="str">
        <f ca="1">IFERROR(IF(0=LEN(ReferenceData!$BM$115),"",ReferenceData!$BM$115),"")</f>
        <v/>
      </c>
    </row>
    <row r="116" spans="1:65" x14ac:dyDescent="0.25">
      <c r="A116" t="str">
        <f>IFERROR(IF(0=LEN(ReferenceData!$A$116),"",ReferenceData!$A$116),"")</f>
        <v xml:space="preserve">    Ssangyong Motor Co</v>
      </c>
      <c r="B116" t="str">
        <f>IFERROR(IF(0=LEN(ReferenceData!$B$116),"",ReferenceData!$B$116),"")</f>
        <v>003620 KS Equity</v>
      </c>
      <c r="C116" t="str">
        <f>IFERROR(IF(0=LEN(ReferenceData!$C$116),"",ReferenceData!$C$116),"")</f>
        <v>EZ021</v>
      </c>
      <c r="D116" t="str">
        <f>IFERROR(IF(0=LEN(ReferenceData!$D$116),"",ReferenceData!$D$116),"")</f>
        <v>BEST_EPS_NXT_YR</v>
      </c>
      <c r="E116" t="str">
        <f>IFERROR(IF(0=LEN(ReferenceData!$E$116),"",ReferenceData!$E$116),"")</f>
        <v>Dynamic</v>
      </c>
      <c r="F116">
        <f ca="1">IFERROR(IF(0=LEN(ReferenceData!$F$116),"",ReferenceData!$F$116),"")</f>
        <v>0.379</v>
      </c>
      <c r="G116" t="str">
        <f ca="1">IFERROR(IF(0=LEN(ReferenceData!$G$116),"",ReferenceData!$G$116),"")</f>
        <v/>
      </c>
      <c r="H116" t="str">
        <f ca="1">IFERROR(IF(0=LEN(ReferenceData!$H$116),"",ReferenceData!$H$116),"")</f>
        <v/>
      </c>
      <c r="I116" t="str">
        <f ca="1">IFERROR(IF(0=LEN(ReferenceData!$I$116),"",ReferenceData!$I$116),"")</f>
        <v/>
      </c>
      <c r="J116" t="str">
        <f ca="1">IFERROR(IF(0=LEN(ReferenceData!$J$116),"",ReferenceData!$J$116),"")</f>
        <v/>
      </c>
      <c r="K116">
        <f ca="1">IFERROR(IF(0=LEN(ReferenceData!$K$116),"",ReferenceData!$K$116),"")</f>
        <v>0.57699999999999996</v>
      </c>
      <c r="L116" t="str">
        <f ca="1">IFERROR(IF(0=LEN(ReferenceData!$L$116),"",ReferenceData!$L$116),"")</f>
        <v/>
      </c>
      <c r="M116" t="str">
        <f ca="1">IFERROR(IF(0=LEN(ReferenceData!$M$116),"",ReferenceData!$M$116),"")</f>
        <v/>
      </c>
      <c r="N116" t="str">
        <f ca="1">IFERROR(IF(0=LEN(ReferenceData!$N$116),"",ReferenceData!$N$116),"")</f>
        <v/>
      </c>
      <c r="O116" t="str">
        <f ca="1">IFERROR(IF(0=LEN(ReferenceData!$O$116),"",ReferenceData!$O$116),"")</f>
        <v/>
      </c>
      <c r="P116" t="str">
        <f ca="1">IFERROR(IF(0=LEN(ReferenceData!$P$116),"",ReferenceData!$P$116),"")</f>
        <v/>
      </c>
      <c r="Q116" t="str">
        <f ca="1">IFERROR(IF(0=LEN(ReferenceData!$Q$116),"",ReferenceData!$Q$116),"")</f>
        <v/>
      </c>
      <c r="R116" t="str">
        <f ca="1">IFERROR(IF(0=LEN(ReferenceData!$R$116),"",ReferenceData!$R$116),"")</f>
        <v/>
      </c>
      <c r="S116" t="str">
        <f ca="1">IFERROR(IF(0=LEN(ReferenceData!$S$116),"",ReferenceData!$S$116),"")</f>
        <v/>
      </c>
      <c r="T116" t="str">
        <f ca="1">IFERROR(IF(0=LEN(ReferenceData!$T$116),"",ReferenceData!$T$116),"")</f>
        <v/>
      </c>
      <c r="U116" t="str">
        <f ca="1">IFERROR(IF(0=LEN(ReferenceData!$U$116),"",ReferenceData!$U$116),"")</f>
        <v/>
      </c>
      <c r="V116" t="str">
        <f ca="1">IFERROR(IF(0=LEN(ReferenceData!$V$116),"",ReferenceData!$V$116),"")</f>
        <v/>
      </c>
      <c r="W116" t="str">
        <f ca="1">IFERROR(IF(0=LEN(ReferenceData!$W$116),"",ReferenceData!$W$116),"")</f>
        <v/>
      </c>
      <c r="X116" t="str">
        <f ca="1">IFERROR(IF(0=LEN(ReferenceData!$X$116),"",ReferenceData!$X$116),"")</f>
        <v/>
      </c>
      <c r="Y116" t="str">
        <f ca="1">IFERROR(IF(0=LEN(ReferenceData!$Y$116),"",ReferenceData!$Y$116),"")</f>
        <v/>
      </c>
      <c r="Z116" t="str">
        <f ca="1">IFERROR(IF(0=LEN(ReferenceData!$Z$116),"",ReferenceData!$Z$116),"")</f>
        <v/>
      </c>
      <c r="AA116" t="str">
        <f ca="1">IFERROR(IF(0=LEN(ReferenceData!$AA$116),"",ReferenceData!$AA$116),"")</f>
        <v/>
      </c>
      <c r="AB116" t="str">
        <f ca="1">IFERROR(IF(0=LEN(ReferenceData!$AB$116),"",ReferenceData!$AB$116),"")</f>
        <v/>
      </c>
      <c r="AC116" t="str">
        <f ca="1">IFERROR(IF(0=LEN(ReferenceData!$AC$116),"",ReferenceData!$AC$116),"")</f>
        <v/>
      </c>
      <c r="AD116" t="str">
        <f ca="1">IFERROR(IF(0=LEN(ReferenceData!$AD$116),"",ReferenceData!$AD$116),"")</f>
        <v/>
      </c>
      <c r="AE116" t="str">
        <f ca="1">IFERROR(IF(0=LEN(ReferenceData!$AE$116),"",ReferenceData!$AE$116),"")</f>
        <v/>
      </c>
      <c r="AF116" t="str">
        <f ca="1">IFERROR(IF(0=LEN(ReferenceData!$AF$116),"",ReferenceData!$AF$116),"")</f>
        <v/>
      </c>
      <c r="AG116" t="str">
        <f ca="1">IFERROR(IF(0=LEN(ReferenceData!$AG$116),"",ReferenceData!$AG$116),"")</f>
        <v/>
      </c>
      <c r="AH116" t="str">
        <f ca="1">IFERROR(IF(0=LEN(ReferenceData!$AH$116),"",ReferenceData!$AH$116),"")</f>
        <v/>
      </c>
      <c r="AI116" t="str">
        <f ca="1">IFERROR(IF(0=LEN(ReferenceData!$AI$116),"",ReferenceData!$AI$116),"")</f>
        <v/>
      </c>
      <c r="AJ116" t="str">
        <f ca="1">IFERROR(IF(0=LEN(ReferenceData!$AJ$116),"",ReferenceData!$AJ$116),"")</f>
        <v/>
      </c>
      <c r="AK116" t="str">
        <f ca="1">IFERROR(IF(0=LEN(ReferenceData!$AK$116),"",ReferenceData!$AK$116),"")</f>
        <v/>
      </c>
      <c r="AL116" t="str">
        <f ca="1">IFERROR(IF(0=LEN(ReferenceData!$AL$116),"",ReferenceData!$AL$116),"")</f>
        <v/>
      </c>
      <c r="AM116" t="str">
        <f ca="1">IFERROR(IF(0=LEN(ReferenceData!$AM$116),"",ReferenceData!$AM$116),"")</f>
        <v/>
      </c>
      <c r="AN116" t="str">
        <f ca="1">IFERROR(IF(0=LEN(ReferenceData!$AN$116),"",ReferenceData!$AN$116),"")</f>
        <v/>
      </c>
      <c r="AO116" t="str">
        <f ca="1">IFERROR(IF(0=LEN(ReferenceData!$AO$116),"",ReferenceData!$AO$116),"")</f>
        <v/>
      </c>
      <c r="AP116" t="str">
        <f ca="1">IFERROR(IF(0=LEN(ReferenceData!$AP$116),"",ReferenceData!$AP$116),"")</f>
        <v/>
      </c>
      <c r="AQ116" t="str">
        <f ca="1">IFERROR(IF(0=LEN(ReferenceData!$AQ$116),"",ReferenceData!$AQ$116),"")</f>
        <v/>
      </c>
      <c r="AR116" t="str">
        <f ca="1">IFERROR(IF(0=LEN(ReferenceData!$AR$116),"",ReferenceData!$AR$116),"")</f>
        <v/>
      </c>
      <c r="AS116" t="str">
        <f ca="1">IFERROR(IF(0=LEN(ReferenceData!$AS$116),"",ReferenceData!$AS$116),"")</f>
        <v/>
      </c>
      <c r="AT116" t="str">
        <f ca="1">IFERROR(IF(0=LEN(ReferenceData!$AT$116),"",ReferenceData!$AT$116),"")</f>
        <v/>
      </c>
      <c r="AU116" t="str">
        <f ca="1">IFERROR(IF(0=LEN(ReferenceData!$AU$116),"",ReferenceData!$AU$116),"")</f>
        <v/>
      </c>
      <c r="AV116" t="str">
        <f ca="1">IFERROR(IF(0=LEN(ReferenceData!$AV$116),"",ReferenceData!$AV$116),"")</f>
        <v/>
      </c>
      <c r="AW116" t="str">
        <f ca="1">IFERROR(IF(0=LEN(ReferenceData!$AW$116),"",ReferenceData!$AW$116),"")</f>
        <v/>
      </c>
      <c r="AX116" t="str">
        <f ca="1">IFERROR(IF(0=LEN(ReferenceData!$AX$116),"",ReferenceData!$AX$116),"")</f>
        <v/>
      </c>
      <c r="AY116" t="str">
        <f ca="1">IFERROR(IF(0=LEN(ReferenceData!$AY$116),"",ReferenceData!$AY$116),"")</f>
        <v/>
      </c>
      <c r="AZ116" t="str">
        <f ca="1">IFERROR(IF(0=LEN(ReferenceData!$AZ$116),"",ReferenceData!$AZ$116),"")</f>
        <v/>
      </c>
      <c r="BA116" t="str">
        <f ca="1">IFERROR(IF(0=LEN(ReferenceData!$BA$116),"",ReferenceData!$BA$116),"")</f>
        <v/>
      </c>
      <c r="BB116" t="str">
        <f ca="1">IFERROR(IF(0=LEN(ReferenceData!$BB$116),"",ReferenceData!$BB$116),"")</f>
        <v/>
      </c>
      <c r="BC116" t="str">
        <f ca="1">IFERROR(IF(0=LEN(ReferenceData!$BC$116),"",ReferenceData!$BC$116),"")</f>
        <v/>
      </c>
      <c r="BD116" t="str">
        <f ca="1">IFERROR(IF(0=LEN(ReferenceData!$BD$116),"",ReferenceData!$BD$116),"")</f>
        <v/>
      </c>
      <c r="BE116" t="str">
        <f ca="1">IFERROR(IF(0=LEN(ReferenceData!$BE$116),"",ReferenceData!$BE$116),"")</f>
        <v/>
      </c>
      <c r="BF116" t="str">
        <f ca="1">IFERROR(IF(0=LEN(ReferenceData!$BF$116),"",ReferenceData!$BF$116),"")</f>
        <v/>
      </c>
      <c r="BG116" t="str">
        <f ca="1">IFERROR(IF(0=LEN(ReferenceData!$BG$116),"",ReferenceData!$BG$116),"")</f>
        <v/>
      </c>
      <c r="BH116" t="str">
        <f ca="1">IFERROR(IF(0=LEN(ReferenceData!$BH$116),"",ReferenceData!$BH$116),"")</f>
        <v/>
      </c>
      <c r="BI116" t="str">
        <f ca="1">IFERROR(IF(0=LEN(ReferenceData!$BI$116),"",ReferenceData!$BI$116),"")</f>
        <v/>
      </c>
      <c r="BJ116" t="str">
        <f ca="1">IFERROR(IF(0=LEN(ReferenceData!$BJ$116),"",ReferenceData!$BJ$116),"")</f>
        <v/>
      </c>
      <c r="BK116" t="str">
        <f ca="1">IFERROR(IF(0=LEN(ReferenceData!$BK$116),"",ReferenceData!$BK$116),"")</f>
        <v/>
      </c>
      <c r="BL116" t="str">
        <f ca="1">IFERROR(IF(0=LEN(ReferenceData!$BL$116),"",ReferenceData!$BL$116),"")</f>
        <v/>
      </c>
      <c r="BM116" t="str">
        <f ca="1">IFERROR(IF(0=LEN(ReferenceData!$BM$116),"",ReferenceData!$BM$116),"")</f>
        <v/>
      </c>
    </row>
    <row r="117" spans="1:65" x14ac:dyDescent="0.25">
      <c r="A117" t="str">
        <f>IFERROR(IF(0=LEN(ReferenceData!$A$117),"",ReferenceData!$A$117),"")</f>
        <v xml:space="preserve">    Subaru Corp</v>
      </c>
      <c r="B117" t="str">
        <f>IFERROR(IF(0=LEN(ReferenceData!$B$117),"",ReferenceData!$B$117),"")</f>
        <v>7270 JP Equity</v>
      </c>
      <c r="C117" t="str">
        <f>IFERROR(IF(0=LEN(ReferenceData!$C$117),"",ReferenceData!$C$117),"")</f>
        <v>EZ021</v>
      </c>
      <c r="D117" t="str">
        <f>IFERROR(IF(0=LEN(ReferenceData!$D$117),"",ReferenceData!$D$117),"")</f>
        <v>BEST_EPS_NXT_YR</v>
      </c>
      <c r="E117" t="str">
        <f>IFERROR(IF(0=LEN(ReferenceData!$E$117),"",ReferenceData!$E$117),"")</f>
        <v>Dynamic</v>
      </c>
      <c r="F117">
        <f ca="1">IFERROR(IF(0=LEN(ReferenceData!$F$117),"",ReferenceData!$F$117),"")</f>
        <v>2.87</v>
      </c>
      <c r="G117">
        <f ca="1">IFERROR(IF(0=LEN(ReferenceData!$G$117),"",ReferenceData!$G$117),"")</f>
        <v>3.0219999999999998</v>
      </c>
      <c r="H117">
        <f ca="1">IFERROR(IF(0=LEN(ReferenceData!$H$117),"",ReferenceData!$H$117),"")</f>
        <v>3.4089999999999998</v>
      </c>
      <c r="I117">
        <f ca="1">IFERROR(IF(0=LEN(ReferenceData!$I$117),"",ReferenceData!$I$117),"")</f>
        <v>3.4969999999999999</v>
      </c>
      <c r="J117">
        <f ca="1">IFERROR(IF(0=LEN(ReferenceData!$J$117),"",ReferenceData!$J$117),"")</f>
        <v>3.8639999999999999</v>
      </c>
      <c r="K117">
        <f ca="1">IFERROR(IF(0=LEN(ReferenceData!$K$117),"",ReferenceData!$K$117),"")</f>
        <v>3.8279999999999998</v>
      </c>
      <c r="L117">
        <f ca="1">IFERROR(IF(0=LEN(ReferenceData!$L$117),"",ReferenceData!$L$117),"")</f>
        <v>4.2919999999999998</v>
      </c>
      <c r="M117">
        <f ca="1">IFERROR(IF(0=LEN(ReferenceData!$M$117),"",ReferenceData!$M$117),"")</f>
        <v>4.2519999999999998</v>
      </c>
      <c r="N117">
        <f ca="1">IFERROR(IF(0=LEN(ReferenceData!$N$117),"",ReferenceData!$N$117),"")</f>
        <v>5.891</v>
      </c>
      <c r="O117">
        <f ca="1">IFERROR(IF(0=LEN(ReferenceData!$O$117),"",ReferenceData!$O$117),"")</f>
        <v>4.8410000000000002</v>
      </c>
      <c r="P117">
        <f ca="1">IFERROR(IF(0=LEN(ReferenceData!$P$117),"",ReferenceData!$P$117),"")</f>
        <v>5.125</v>
      </c>
      <c r="Q117">
        <f ca="1">IFERROR(IF(0=LEN(ReferenceData!$Q$117),"",ReferenceData!$Q$117),"")</f>
        <v>5.08</v>
      </c>
      <c r="R117">
        <f ca="1">IFERROR(IF(0=LEN(ReferenceData!$R$117),"",ReferenceData!$R$117),"")</f>
        <v>5.0250000000000004</v>
      </c>
      <c r="S117">
        <f ca="1">IFERROR(IF(0=LEN(ReferenceData!$S$117),"",ReferenceData!$S$117),"")</f>
        <v>4.9329999999999998</v>
      </c>
      <c r="T117">
        <f ca="1">IFERROR(IF(0=LEN(ReferenceData!$T$117),"",ReferenceData!$T$117),"")</f>
        <v>4.8940000000000001</v>
      </c>
      <c r="U117">
        <f ca="1">IFERROR(IF(0=LEN(ReferenceData!$U$117),"",ReferenceData!$U$117),"")</f>
        <v>5.0220000000000002</v>
      </c>
      <c r="V117" t="str">
        <f ca="1">IFERROR(IF(0=LEN(ReferenceData!$V$117),"",ReferenceData!$V$117),"")</f>
        <v/>
      </c>
      <c r="W117" t="str">
        <f ca="1">IFERROR(IF(0=LEN(ReferenceData!$W$117),"",ReferenceData!$W$117),"")</f>
        <v/>
      </c>
      <c r="X117" t="str">
        <f ca="1">IFERROR(IF(0=LEN(ReferenceData!$X$117),"",ReferenceData!$X$117),"")</f>
        <v/>
      </c>
      <c r="Y117" t="str">
        <f ca="1">IFERROR(IF(0=LEN(ReferenceData!$Y$117),"",ReferenceData!$Y$117),"")</f>
        <v/>
      </c>
      <c r="Z117" t="str">
        <f ca="1">IFERROR(IF(0=LEN(ReferenceData!$Z$117),"",ReferenceData!$Z$117),"")</f>
        <v/>
      </c>
      <c r="AA117" t="str">
        <f ca="1">IFERROR(IF(0=LEN(ReferenceData!$AA$117),"",ReferenceData!$AA$117),"")</f>
        <v/>
      </c>
      <c r="AB117" t="str">
        <f ca="1">IFERROR(IF(0=LEN(ReferenceData!$AB$117),"",ReferenceData!$AB$117),"")</f>
        <v/>
      </c>
      <c r="AC117" t="str">
        <f ca="1">IFERROR(IF(0=LEN(ReferenceData!$AC$117),"",ReferenceData!$AC$117),"")</f>
        <v/>
      </c>
      <c r="AD117" t="str">
        <f ca="1">IFERROR(IF(0=LEN(ReferenceData!$AD$117),"",ReferenceData!$AD$117),"")</f>
        <v/>
      </c>
      <c r="AE117" t="str">
        <f ca="1">IFERROR(IF(0=LEN(ReferenceData!$AE$117),"",ReferenceData!$AE$117),"")</f>
        <v/>
      </c>
      <c r="AF117" t="str">
        <f ca="1">IFERROR(IF(0=LEN(ReferenceData!$AF$117),"",ReferenceData!$AF$117),"")</f>
        <v/>
      </c>
      <c r="AG117" t="str">
        <f ca="1">IFERROR(IF(0=LEN(ReferenceData!$AG$117),"",ReferenceData!$AG$117),"")</f>
        <v/>
      </c>
      <c r="AH117" t="str">
        <f ca="1">IFERROR(IF(0=LEN(ReferenceData!$AH$117),"",ReferenceData!$AH$117),"")</f>
        <v/>
      </c>
      <c r="AI117" t="str">
        <f ca="1">IFERROR(IF(0=LEN(ReferenceData!$AI$117),"",ReferenceData!$AI$117),"")</f>
        <v/>
      </c>
      <c r="AJ117" t="str">
        <f ca="1">IFERROR(IF(0=LEN(ReferenceData!$AJ$117),"",ReferenceData!$AJ$117),"")</f>
        <v/>
      </c>
      <c r="AK117" t="str">
        <f ca="1">IFERROR(IF(0=LEN(ReferenceData!$AK$117),"",ReferenceData!$AK$117),"")</f>
        <v/>
      </c>
      <c r="AL117" t="str">
        <f ca="1">IFERROR(IF(0=LEN(ReferenceData!$AL$117),"",ReferenceData!$AL$117),"")</f>
        <v/>
      </c>
      <c r="AM117" t="str">
        <f ca="1">IFERROR(IF(0=LEN(ReferenceData!$AM$117),"",ReferenceData!$AM$117),"")</f>
        <v/>
      </c>
      <c r="AN117" t="str">
        <f ca="1">IFERROR(IF(0=LEN(ReferenceData!$AN$117),"",ReferenceData!$AN$117),"")</f>
        <v/>
      </c>
      <c r="AO117" t="str">
        <f ca="1">IFERROR(IF(0=LEN(ReferenceData!$AO$117),"",ReferenceData!$AO$117),"")</f>
        <v/>
      </c>
      <c r="AP117" t="str">
        <f ca="1">IFERROR(IF(0=LEN(ReferenceData!$AP$117),"",ReferenceData!$AP$117),"")</f>
        <v/>
      </c>
      <c r="AQ117" t="str">
        <f ca="1">IFERROR(IF(0=LEN(ReferenceData!$AQ$117),"",ReferenceData!$AQ$117),"")</f>
        <v/>
      </c>
      <c r="AR117" t="str">
        <f ca="1">IFERROR(IF(0=LEN(ReferenceData!$AR$117),"",ReferenceData!$AR$117),"")</f>
        <v/>
      </c>
      <c r="AS117" t="str">
        <f ca="1">IFERROR(IF(0=LEN(ReferenceData!$AS$117),"",ReferenceData!$AS$117),"")</f>
        <v/>
      </c>
      <c r="AT117" t="str">
        <f ca="1">IFERROR(IF(0=LEN(ReferenceData!$AT$117),"",ReferenceData!$AT$117),"")</f>
        <v/>
      </c>
      <c r="AU117" t="str">
        <f ca="1">IFERROR(IF(0=LEN(ReferenceData!$AU$117),"",ReferenceData!$AU$117),"")</f>
        <v/>
      </c>
      <c r="AV117" t="str">
        <f ca="1">IFERROR(IF(0=LEN(ReferenceData!$AV$117),"",ReferenceData!$AV$117),"")</f>
        <v/>
      </c>
      <c r="AW117" t="str">
        <f ca="1">IFERROR(IF(0=LEN(ReferenceData!$AW$117),"",ReferenceData!$AW$117),"")</f>
        <v/>
      </c>
      <c r="AX117" t="str">
        <f ca="1">IFERROR(IF(0=LEN(ReferenceData!$AX$117),"",ReferenceData!$AX$117),"")</f>
        <v/>
      </c>
      <c r="AY117" t="str">
        <f ca="1">IFERROR(IF(0=LEN(ReferenceData!$AY$117),"",ReferenceData!$AY$117),"")</f>
        <v/>
      </c>
      <c r="AZ117" t="str">
        <f ca="1">IFERROR(IF(0=LEN(ReferenceData!$AZ$117),"",ReferenceData!$AZ$117),"")</f>
        <v/>
      </c>
      <c r="BA117" t="str">
        <f ca="1">IFERROR(IF(0=LEN(ReferenceData!$BA$117),"",ReferenceData!$BA$117),"")</f>
        <v/>
      </c>
      <c r="BB117" t="str">
        <f ca="1">IFERROR(IF(0=LEN(ReferenceData!$BB$117),"",ReferenceData!$BB$117),"")</f>
        <v/>
      </c>
      <c r="BC117" t="str">
        <f ca="1">IFERROR(IF(0=LEN(ReferenceData!$BC$117),"",ReferenceData!$BC$117),"")</f>
        <v/>
      </c>
      <c r="BD117" t="str">
        <f ca="1">IFERROR(IF(0=LEN(ReferenceData!$BD$117),"",ReferenceData!$BD$117),"")</f>
        <v/>
      </c>
      <c r="BE117" t="str">
        <f ca="1">IFERROR(IF(0=LEN(ReferenceData!$BE$117),"",ReferenceData!$BE$117),"")</f>
        <v/>
      </c>
      <c r="BF117" t="str">
        <f ca="1">IFERROR(IF(0=LEN(ReferenceData!$BF$117),"",ReferenceData!$BF$117),"")</f>
        <v/>
      </c>
      <c r="BG117" t="str">
        <f ca="1">IFERROR(IF(0=LEN(ReferenceData!$BG$117),"",ReferenceData!$BG$117),"")</f>
        <v/>
      </c>
      <c r="BH117" t="str">
        <f ca="1">IFERROR(IF(0=LEN(ReferenceData!$BH$117),"",ReferenceData!$BH$117),"")</f>
        <v/>
      </c>
      <c r="BI117" t="str">
        <f ca="1">IFERROR(IF(0=LEN(ReferenceData!$BI$117),"",ReferenceData!$BI$117),"")</f>
        <v/>
      </c>
      <c r="BJ117" t="str">
        <f ca="1">IFERROR(IF(0=LEN(ReferenceData!$BJ$117),"",ReferenceData!$BJ$117),"")</f>
        <v/>
      </c>
      <c r="BK117" t="str">
        <f ca="1">IFERROR(IF(0=LEN(ReferenceData!$BK$117),"",ReferenceData!$BK$117),"")</f>
        <v/>
      </c>
      <c r="BL117" t="str">
        <f ca="1">IFERROR(IF(0=LEN(ReferenceData!$BL$117),"",ReferenceData!$BL$117),"")</f>
        <v/>
      </c>
      <c r="BM117" t="str">
        <f ca="1">IFERROR(IF(0=LEN(ReferenceData!$BM$117),"",ReferenceData!$BM$117),"")</f>
        <v/>
      </c>
    </row>
    <row r="118" spans="1:65" x14ac:dyDescent="0.25">
      <c r="A118" t="str">
        <f>IFERROR(IF(0=LEN(ReferenceData!$A$118),"",ReferenceData!$A$118),"")</f>
        <v xml:space="preserve">    Suzuki Motor Corp</v>
      </c>
      <c r="B118" t="str">
        <f>IFERROR(IF(0=LEN(ReferenceData!$B$118),"",ReferenceData!$B$118),"")</f>
        <v>7269 JP Equity</v>
      </c>
      <c r="C118" t="str">
        <f>IFERROR(IF(0=LEN(ReferenceData!$C$118),"",ReferenceData!$C$118),"")</f>
        <v>EZ021</v>
      </c>
      <c r="D118" t="str">
        <f>IFERROR(IF(0=LEN(ReferenceData!$D$118),"",ReferenceData!$D$118),"")</f>
        <v>BEST_EPS_NXT_YR</v>
      </c>
      <c r="E118" t="str">
        <f>IFERROR(IF(0=LEN(ReferenceData!$E$118),"",ReferenceData!$E$118),"")</f>
        <v>Dynamic</v>
      </c>
      <c r="F118">
        <f ca="1">IFERROR(IF(0=LEN(ReferenceData!$F$118),"",ReferenceData!$F$118),"")</f>
        <v>4.8719999999999999</v>
      </c>
      <c r="G118">
        <f ca="1">IFERROR(IF(0=LEN(ReferenceData!$G$118),"",ReferenceData!$G$118),"")</f>
        <v>4.8979999999999997</v>
      </c>
      <c r="H118">
        <f ca="1">IFERROR(IF(0=LEN(ReferenceData!$H$118),"",ReferenceData!$H$118),"")</f>
        <v>5.28</v>
      </c>
      <c r="I118">
        <f ca="1">IFERROR(IF(0=LEN(ReferenceData!$I$118),"",ReferenceData!$I$118),"")</f>
        <v>5.0060000000000002</v>
      </c>
      <c r="J118">
        <f ca="1">IFERROR(IF(0=LEN(ReferenceData!$J$118),"",ReferenceData!$J$118),"")</f>
        <v>4.9550000000000001</v>
      </c>
      <c r="K118">
        <f ca="1">IFERROR(IF(0=LEN(ReferenceData!$K$118),"",ReferenceData!$K$118),"")</f>
        <v>4.5910000000000002</v>
      </c>
      <c r="L118">
        <f ca="1">IFERROR(IF(0=LEN(ReferenceData!$L$118),"",ReferenceData!$L$118),"")</f>
        <v>4.47</v>
      </c>
      <c r="M118">
        <f ca="1">IFERROR(IF(0=LEN(ReferenceData!$M$118),"",ReferenceData!$M$118),"")</f>
        <v>4.0549999999999997</v>
      </c>
      <c r="N118">
        <f ca="1">IFERROR(IF(0=LEN(ReferenceData!$N$118),"",ReferenceData!$N$118),"")</f>
        <v>3.444</v>
      </c>
      <c r="O118">
        <f ca="1">IFERROR(IF(0=LEN(ReferenceData!$O$118),"",ReferenceData!$O$118),"")</f>
        <v>3.43</v>
      </c>
      <c r="P118">
        <f ca="1">IFERROR(IF(0=LEN(ReferenceData!$P$118),"",ReferenceData!$P$118),"")</f>
        <v>2.7669999999999999</v>
      </c>
      <c r="Q118">
        <f ca="1">IFERROR(IF(0=LEN(ReferenceData!$Q$118),"",ReferenceData!$Q$118),"")</f>
        <v>2.5009999999999999</v>
      </c>
      <c r="R118">
        <f ca="1">IFERROR(IF(0=LEN(ReferenceData!$R$118),"",ReferenceData!$R$118),"")</f>
        <v>2.3450000000000002</v>
      </c>
      <c r="S118">
        <f ca="1">IFERROR(IF(0=LEN(ReferenceData!$S$118),"",ReferenceData!$S$118),"")</f>
        <v>2.9889999999999999</v>
      </c>
      <c r="T118">
        <f ca="1">IFERROR(IF(0=LEN(ReferenceData!$T$118),"",ReferenceData!$T$118),"")</f>
        <v>2.4830000000000001</v>
      </c>
      <c r="U118">
        <f ca="1">IFERROR(IF(0=LEN(ReferenceData!$U$118),"",ReferenceData!$U$118),"")</f>
        <v>2.3180000000000001</v>
      </c>
      <c r="V118" t="str">
        <f ca="1">IFERROR(IF(0=LEN(ReferenceData!$V$118),"",ReferenceData!$V$118),"")</f>
        <v/>
      </c>
      <c r="W118" t="str">
        <f ca="1">IFERROR(IF(0=LEN(ReferenceData!$W$118),"",ReferenceData!$W$118),"")</f>
        <v/>
      </c>
      <c r="X118" t="str">
        <f ca="1">IFERROR(IF(0=LEN(ReferenceData!$X$118),"",ReferenceData!$X$118),"")</f>
        <v/>
      </c>
      <c r="Y118" t="str">
        <f ca="1">IFERROR(IF(0=LEN(ReferenceData!$Y$118),"",ReferenceData!$Y$118),"")</f>
        <v/>
      </c>
      <c r="Z118" t="str">
        <f ca="1">IFERROR(IF(0=LEN(ReferenceData!$Z$118),"",ReferenceData!$Z$118),"")</f>
        <v/>
      </c>
      <c r="AA118" t="str">
        <f ca="1">IFERROR(IF(0=LEN(ReferenceData!$AA$118),"",ReferenceData!$AA$118),"")</f>
        <v/>
      </c>
      <c r="AB118" t="str">
        <f ca="1">IFERROR(IF(0=LEN(ReferenceData!$AB$118),"",ReferenceData!$AB$118),"")</f>
        <v/>
      </c>
      <c r="AC118" t="str">
        <f ca="1">IFERROR(IF(0=LEN(ReferenceData!$AC$118),"",ReferenceData!$AC$118),"")</f>
        <v/>
      </c>
      <c r="AD118" t="str">
        <f ca="1">IFERROR(IF(0=LEN(ReferenceData!$AD$118),"",ReferenceData!$AD$118),"")</f>
        <v/>
      </c>
      <c r="AE118" t="str">
        <f ca="1">IFERROR(IF(0=LEN(ReferenceData!$AE$118),"",ReferenceData!$AE$118),"")</f>
        <v/>
      </c>
      <c r="AF118" t="str">
        <f ca="1">IFERROR(IF(0=LEN(ReferenceData!$AF$118),"",ReferenceData!$AF$118),"")</f>
        <v/>
      </c>
      <c r="AG118" t="str">
        <f ca="1">IFERROR(IF(0=LEN(ReferenceData!$AG$118),"",ReferenceData!$AG$118),"")</f>
        <v/>
      </c>
      <c r="AH118" t="str">
        <f ca="1">IFERROR(IF(0=LEN(ReferenceData!$AH$118),"",ReferenceData!$AH$118),"")</f>
        <v/>
      </c>
      <c r="AI118" t="str">
        <f ca="1">IFERROR(IF(0=LEN(ReferenceData!$AI$118),"",ReferenceData!$AI$118),"")</f>
        <v/>
      </c>
      <c r="AJ118" t="str">
        <f ca="1">IFERROR(IF(0=LEN(ReferenceData!$AJ$118),"",ReferenceData!$AJ$118),"")</f>
        <v/>
      </c>
      <c r="AK118" t="str">
        <f ca="1">IFERROR(IF(0=LEN(ReferenceData!$AK$118),"",ReferenceData!$AK$118),"")</f>
        <v/>
      </c>
      <c r="AL118" t="str">
        <f ca="1">IFERROR(IF(0=LEN(ReferenceData!$AL$118),"",ReferenceData!$AL$118),"")</f>
        <v/>
      </c>
      <c r="AM118" t="str">
        <f ca="1">IFERROR(IF(0=LEN(ReferenceData!$AM$118),"",ReferenceData!$AM$118),"")</f>
        <v/>
      </c>
      <c r="AN118" t="str">
        <f ca="1">IFERROR(IF(0=LEN(ReferenceData!$AN$118),"",ReferenceData!$AN$118),"")</f>
        <v/>
      </c>
      <c r="AO118" t="str">
        <f ca="1">IFERROR(IF(0=LEN(ReferenceData!$AO$118),"",ReferenceData!$AO$118),"")</f>
        <v/>
      </c>
      <c r="AP118" t="str">
        <f ca="1">IFERROR(IF(0=LEN(ReferenceData!$AP$118),"",ReferenceData!$AP$118),"")</f>
        <v/>
      </c>
      <c r="AQ118" t="str">
        <f ca="1">IFERROR(IF(0=LEN(ReferenceData!$AQ$118),"",ReferenceData!$AQ$118),"")</f>
        <v/>
      </c>
      <c r="AR118" t="str">
        <f ca="1">IFERROR(IF(0=LEN(ReferenceData!$AR$118),"",ReferenceData!$AR$118),"")</f>
        <v/>
      </c>
      <c r="AS118" t="str">
        <f ca="1">IFERROR(IF(0=LEN(ReferenceData!$AS$118),"",ReferenceData!$AS$118),"")</f>
        <v/>
      </c>
      <c r="AT118" t="str">
        <f ca="1">IFERROR(IF(0=LEN(ReferenceData!$AT$118),"",ReferenceData!$AT$118),"")</f>
        <v/>
      </c>
      <c r="AU118" t="str">
        <f ca="1">IFERROR(IF(0=LEN(ReferenceData!$AU$118),"",ReferenceData!$AU$118),"")</f>
        <v/>
      </c>
      <c r="AV118" t="str">
        <f ca="1">IFERROR(IF(0=LEN(ReferenceData!$AV$118),"",ReferenceData!$AV$118),"")</f>
        <v/>
      </c>
      <c r="AW118" t="str">
        <f ca="1">IFERROR(IF(0=LEN(ReferenceData!$AW$118),"",ReferenceData!$AW$118),"")</f>
        <v/>
      </c>
      <c r="AX118" t="str">
        <f ca="1">IFERROR(IF(0=LEN(ReferenceData!$AX$118),"",ReferenceData!$AX$118),"")</f>
        <v/>
      </c>
      <c r="AY118" t="str">
        <f ca="1">IFERROR(IF(0=LEN(ReferenceData!$AY$118),"",ReferenceData!$AY$118),"")</f>
        <v/>
      </c>
      <c r="AZ118" t="str">
        <f ca="1">IFERROR(IF(0=LEN(ReferenceData!$AZ$118),"",ReferenceData!$AZ$118),"")</f>
        <v/>
      </c>
      <c r="BA118" t="str">
        <f ca="1">IFERROR(IF(0=LEN(ReferenceData!$BA$118),"",ReferenceData!$BA$118),"")</f>
        <v/>
      </c>
      <c r="BB118" t="str">
        <f ca="1">IFERROR(IF(0=LEN(ReferenceData!$BB$118),"",ReferenceData!$BB$118),"")</f>
        <v/>
      </c>
      <c r="BC118" t="str">
        <f ca="1">IFERROR(IF(0=LEN(ReferenceData!$BC$118),"",ReferenceData!$BC$118),"")</f>
        <v/>
      </c>
      <c r="BD118" t="str">
        <f ca="1">IFERROR(IF(0=LEN(ReferenceData!$BD$118),"",ReferenceData!$BD$118),"")</f>
        <v/>
      </c>
      <c r="BE118" t="str">
        <f ca="1">IFERROR(IF(0=LEN(ReferenceData!$BE$118),"",ReferenceData!$BE$118),"")</f>
        <v/>
      </c>
      <c r="BF118" t="str">
        <f ca="1">IFERROR(IF(0=LEN(ReferenceData!$BF$118),"",ReferenceData!$BF$118),"")</f>
        <v/>
      </c>
      <c r="BG118" t="str">
        <f ca="1">IFERROR(IF(0=LEN(ReferenceData!$BG$118),"",ReferenceData!$BG$118),"")</f>
        <v/>
      </c>
      <c r="BH118" t="str">
        <f ca="1">IFERROR(IF(0=LEN(ReferenceData!$BH$118),"",ReferenceData!$BH$118),"")</f>
        <v/>
      </c>
      <c r="BI118" t="str">
        <f ca="1">IFERROR(IF(0=LEN(ReferenceData!$BI$118),"",ReferenceData!$BI$118),"")</f>
        <v/>
      </c>
      <c r="BJ118" t="str">
        <f ca="1">IFERROR(IF(0=LEN(ReferenceData!$BJ$118),"",ReferenceData!$BJ$118),"")</f>
        <v/>
      </c>
      <c r="BK118" t="str">
        <f ca="1">IFERROR(IF(0=LEN(ReferenceData!$BK$118),"",ReferenceData!$BK$118),"")</f>
        <v/>
      </c>
      <c r="BL118" t="str">
        <f ca="1">IFERROR(IF(0=LEN(ReferenceData!$BL$118),"",ReferenceData!$BL$118),"")</f>
        <v/>
      </c>
      <c r="BM118" t="str">
        <f ca="1">IFERROR(IF(0=LEN(ReferenceData!$BM$118),"",ReferenceData!$BM$118),"")</f>
        <v/>
      </c>
    </row>
    <row r="119" spans="1:65" x14ac:dyDescent="0.25">
      <c r="A119" t="str">
        <f>IFERROR(IF(0=LEN(ReferenceData!$A$119),"",ReferenceData!$A$119),"")</f>
        <v xml:space="preserve">    Tata Motors Ltd</v>
      </c>
      <c r="B119" t="str">
        <f>IFERROR(IF(0=LEN(ReferenceData!$B$119),"",ReferenceData!$B$119),"")</f>
        <v>TTMT IN Equity</v>
      </c>
      <c r="C119" t="str">
        <f>IFERROR(IF(0=LEN(ReferenceData!$C$119),"",ReferenceData!$C$119),"")</f>
        <v>EZ021</v>
      </c>
      <c r="D119" t="str">
        <f>IFERROR(IF(0=LEN(ReferenceData!$D$119),"",ReferenceData!$D$119),"")</f>
        <v>BEST_EPS_NXT_YR</v>
      </c>
      <c r="E119" t="str">
        <f>IFERROR(IF(0=LEN(ReferenceData!$E$119),"",ReferenceData!$E$119),"")</f>
        <v>Dynamic</v>
      </c>
      <c r="F119">
        <f ca="1">IFERROR(IF(0=LEN(ReferenceData!$F$119),"",ReferenceData!$F$119),"")</f>
        <v>0.248</v>
      </c>
      <c r="G119">
        <f ca="1">IFERROR(IF(0=LEN(ReferenceData!$G$119),"",ReferenceData!$G$119),"")</f>
        <v>0.33</v>
      </c>
      <c r="H119">
        <f ca="1">IFERROR(IF(0=LEN(ReferenceData!$H$119),"",ReferenceData!$H$119),"")</f>
        <v>0.47</v>
      </c>
      <c r="I119">
        <f ca="1">IFERROR(IF(0=LEN(ReferenceData!$I$119),"",ReferenceData!$I$119),"")</f>
        <v>0.57599999999999996</v>
      </c>
      <c r="J119">
        <f ca="1">IFERROR(IF(0=LEN(ReferenceData!$J$119),"",ReferenceData!$J$119),"")</f>
        <v>0.75800000000000001</v>
      </c>
      <c r="K119">
        <f ca="1">IFERROR(IF(0=LEN(ReferenceData!$K$119),"",ReferenceData!$K$119),"")</f>
        <v>0.82199999999999995</v>
      </c>
      <c r="L119">
        <f ca="1">IFERROR(IF(0=LEN(ReferenceData!$L$119),"",ReferenceData!$L$119),"")</f>
        <v>0.76400000000000001</v>
      </c>
      <c r="M119">
        <f ca="1">IFERROR(IF(0=LEN(ReferenceData!$M$119),"",ReferenceData!$M$119),"")</f>
        <v>0.96699999999999997</v>
      </c>
      <c r="N119">
        <f ca="1">IFERROR(IF(0=LEN(ReferenceData!$N$119),"",ReferenceData!$N$119),"")</f>
        <v>0.90800000000000003</v>
      </c>
      <c r="O119" t="str">
        <f ca="1">IFERROR(IF(0=LEN(ReferenceData!$O$119),"",ReferenceData!$O$119),"")</f>
        <v/>
      </c>
      <c r="P119" t="str">
        <f ca="1">IFERROR(IF(0=LEN(ReferenceData!$P$119),"",ReferenceData!$P$119),"")</f>
        <v/>
      </c>
      <c r="Q119" t="str">
        <f ca="1">IFERROR(IF(0=LEN(ReferenceData!$Q$119),"",ReferenceData!$Q$119),"")</f>
        <v/>
      </c>
      <c r="R119" t="str">
        <f ca="1">IFERROR(IF(0=LEN(ReferenceData!$R$119),"",ReferenceData!$R$119),"")</f>
        <v/>
      </c>
      <c r="S119">
        <f ca="1">IFERROR(IF(0=LEN(ReferenceData!$S$119),"",ReferenceData!$S$119),"")</f>
        <v>1.5169999999999999</v>
      </c>
      <c r="T119">
        <f ca="1">IFERROR(IF(0=LEN(ReferenceData!$T$119),"",ReferenceData!$T$119),"")</f>
        <v>1.726</v>
      </c>
      <c r="U119">
        <f ca="1">IFERROR(IF(0=LEN(ReferenceData!$U$119),"",ReferenceData!$U$119),"")</f>
        <v>1.7150000000000001</v>
      </c>
      <c r="V119" t="str">
        <f ca="1">IFERROR(IF(0=LEN(ReferenceData!$V$119),"",ReferenceData!$V$119),"")</f>
        <v/>
      </c>
      <c r="W119" t="str">
        <f ca="1">IFERROR(IF(0=LEN(ReferenceData!$W$119),"",ReferenceData!$W$119),"")</f>
        <v/>
      </c>
      <c r="X119" t="str">
        <f ca="1">IFERROR(IF(0=LEN(ReferenceData!$X$119),"",ReferenceData!$X$119),"")</f>
        <v/>
      </c>
      <c r="Y119" t="str">
        <f ca="1">IFERROR(IF(0=LEN(ReferenceData!$Y$119),"",ReferenceData!$Y$119),"")</f>
        <v/>
      </c>
      <c r="Z119" t="str">
        <f ca="1">IFERROR(IF(0=LEN(ReferenceData!$Z$119),"",ReferenceData!$Z$119),"")</f>
        <v/>
      </c>
      <c r="AA119" t="str">
        <f ca="1">IFERROR(IF(0=LEN(ReferenceData!$AA$119),"",ReferenceData!$AA$119),"")</f>
        <v/>
      </c>
      <c r="AB119" t="str">
        <f ca="1">IFERROR(IF(0=LEN(ReferenceData!$AB$119),"",ReferenceData!$AB$119),"")</f>
        <v/>
      </c>
      <c r="AC119" t="str">
        <f ca="1">IFERROR(IF(0=LEN(ReferenceData!$AC$119),"",ReferenceData!$AC$119),"")</f>
        <v/>
      </c>
      <c r="AD119" t="str">
        <f ca="1">IFERROR(IF(0=LEN(ReferenceData!$AD$119),"",ReferenceData!$AD$119),"")</f>
        <v/>
      </c>
      <c r="AE119" t="str">
        <f ca="1">IFERROR(IF(0=LEN(ReferenceData!$AE$119),"",ReferenceData!$AE$119),"")</f>
        <v/>
      </c>
      <c r="AF119" t="str">
        <f ca="1">IFERROR(IF(0=LEN(ReferenceData!$AF$119),"",ReferenceData!$AF$119),"")</f>
        <v/>
      </c>
      <c r="AG119" t="str">
        <f ca="1">IFERROR(IF(0=LEN(ReferenceData!$AG$119),"",ReferenceData!$AG$119),"")</f>
        <v/>
      </c>
      <c r="AH119" t="str">
        <f ca="1">IFERROR(IF(0=LEN(ReferenceData!$AH$119),"",ReferenceData!$AH$119),"")</f>
        <v/>
      </c>
      <c r="AI119" t="str">
        <f ca="1">IFERROR(IF(0=LEN(ReferenceData!$AI$119),"",ReferenceData!$AI$119),"")</f>
        <v/>
      </c>
      <c r="AJ119" t="str">
        <f ca="1">IFERROR(IF(0=LEN(ReferenceData!$AJ$119),"",ReferenceData!$AJ$119),"")</f>
        <v/>
      </c>
      <c r="AK119" t="str">
        <f ca="1">IFERROR(IF(0=LEN(ReferenceData!$AK$119),"",ReferenceData!$AK$119),"")</f>
        <v/>
      </c>
      <c r="AL119" t="str">
        <f ca="1">IFERROR(IF(0=LEN(ReferenceData!$AL$119),"",ReferenceData!$AL$119),"")</f>
        <v/>
      </c>
      <c r="AM119" t="str">
        <f ca="1">IFERROR(IF(0=LEN(ReferenceData!$AM$119),"",ReferenceData!$AM$119),"")</f>
        <v/>
      </c>
      <c r="AN119" t="str">
        <f ca="1">IFERROR(IF(0=LEN(ReferenceData!$AN$119),"",ReferenceData!$AN$119),"")</f>
        <v/>
      </c>
      <c r="AO119" t="str">
        <f ca="1">IFERROR(IF(0=LEN(ReferenceData!$AO$119),"",ReferenceData!$AO$119),"")</f>
        <v/>
      </c>
      <c r="AP119" t="str">
        <f ca="1">IFERROR(IF(0=LEN(ReferenceData!$AP$119),"",ReferenceData!$AP$119),"")</f>
        <v/>
      </c>
      <c r="AQ119" t="str">
        <f ca="1">IFERROR(IF(0=LEN(ReferenceData!$AQ$119),"",ReferenceData!$AQ$119),"")</f>
        <v/>
      </c>
      <c r="AR119" t="str">
        <f ca="1">IFERROR(IF(0=LEN(ReferenceData!$AR$119),"",ReferenceData!$AR$119),"")</f>
        <v/>
      </c>
      <c r="AS119" t="str">
        <f ca="1">IFERROR(IF(0=LEN(ReferenceData!$AS$119),"",ReferenceData!$AS$119),"")</f>
        <v/>
      </c>
      <c r="AT119" t="str">
        <f ca="1">IFERROR(IF(0=LEN(ReferenceData!$AT$119),"",ReferenceData!$AT$119),"")</f>
        <v/>
      </c>
      <c r="AU119" t="str">
        <f ca="1">IFERROR(IF(0=LEN(ReferenceData!$AU$119),"",ReferenceData!$AU$119),"")</f>
        <v/>
      </c>
      <c r="AV119" t="str">
        <f ca="1">IFERROR(IF(0=LEN(ReferenceData!$AV$119),"",ReferenceData!$AV$119),"")</f>
        <v/>
      </c>
      <c r="AW119" t="str">
        <f ca="1">IFERROR(IF(0=LEN(ReferenceData!$AW$119),"",ReferenceData!$AW$119),"")</f>
        <v/>
      </c>
      <c r="AX119" t="str">
        <f ca="1">IFERROR(IF(0=LEN(ReferenceData!$AX$119),"",ReferenceData!$AX$119),"")</f>
        <v/>
      </c>
      <c r="AY119" t="str">
        <f ca="1">IFERROR(IF(0=LEN(ReferenceData!$AY$119),"",ReferenceData!$AY$119),"")</f>
        <v/>
      </c>
      <c r="AZ119" t="str">
        <f ca="1">IFERROR(IF(0=LEN(ReferenceData!$AZ$119),"",ReferenceData!$AZ$119),"")</f>
        <v/>
      </c>
      <c r="BA119" t="str">
        <f ca="1">IFERROR(IF(0=LEN(ReferenceData!$BA$119),"",ReferenceData!$BA$119),"")</f>
        <v/>
      </c>
      <c r="BB119" t="str">
        <f ca="1">IFERROR(IF(0=LEN(ReferenceData!$BB$119),"",ReferenceData!$BB$119),"")</f>
        <v/>
      </c>
      <c r="BC119" t="str">
        <f ca="1">IFERROR(IF(0=LEN(ReferenceData!$BC$119),"",ReferenceData!$BC$119),"")</f>
        <v/>
      </c>
      <c r="BD119" t="str">
        <f ca="1">IFERROR(IF(0=LEN(ReferenceData!$BD$119),"",ReferenceData!$BD$119),"")</f>
        <v/>
      </c>
      <c r="BE119" t="str">
        <f ca="1">IFERROR(IF(0=LEN(ReferenceData!$BE$119),"",ReferenceData!$BE$119),"")</f>
        <v/>
      </c>
      <c r="BF119" t="str">
        <f ca="1">IFERROR(IF(0=LEN(ReferenceData!$BF$119),"",ReferenceData!$BF$119),"")</f>
        <v/>
      </c>
      <c r="BG119" t="str">
        <f ca="1">IFERROR(IF(0=LEN(ReferenceData!$BG$119),"",ReferenceData!$BG$119),"")</f>
        <v/>
      </c>
      <c r="BH119" t="str">
        <f ca="1">IFERROR(IF(0=LEN(ReferenceData!$BH$119),"",ReferenceData!$BH$119),"")</f>
        <v/>
      </c>
      <c r="BI119" t="str">
        <f ca="1">IFERROR(IF(0=LEN(ReferenceData!$BI$119),"",ReferenceData!$BI$119),"")</f>
        <v/>
      </c>
      <c r="BJ119" t="str">
        <f ca="1">IFERROR(IF(0=LEN(ReferenceData!$BJ$119),"",ReferenceData!$BJ$119),"")</f>
        <v/>
      </c>
      <c r="BK119" t="str">
        <f ca="1">IFERROR(IF(0=LEN(ReferenceData!$BK$119),"",ReferenceData!$BK$119),"")</f>
        <v/>
      </c>
      <c r="BL119" t="str">
        <f ca="1">IFERROR(IF(0=LEN(ReferenceData!$BL$119),"",ReferenceData!$BL$119),"")</f>
        <v/>
      </c>
      <c r="BM119" t="str">
        <f ca="1">IFERROR(IF(0=LEN(ReferenceData!$BM$119),"",ReferenceData!$BM$119),"")</f>
        <v/>
      </c>
    </row>
    <row r="120" spans="1:65" x14ac:dyDescent="0.25">
      <c r="A120" t="str">
        <f>IFERROR(IF(0=LEN(ReferenceData!$A$120),"",ReferenceData!$A$120),"")</f>
        <v xml:space="preserve">    Tesla Inc</v>
      </c>
      <c r="B120" t="str">
        <f>IFERROR(IF(0=LEN(ReferenceData!$B$120),"",ReferenceData!$B$120),"")</f>
        <v>TSLA US Equity</v>
      </c>
      <c r="C120" t="str">
        <f>IFERROR(IF(0=LEN(ReferenceData!$C$120),"",ReferenceData!$C$120),"")</f>
        <v>EZ021</v>
      </c>
      <c r="D120" t="str">
        <f>IFERROR(IF(0=LEN(ReferenceData!$D$120),"",ReferenceData!$D$120),"")</f>
        <v>BEST_EPS_NXT_YR</v>
      </c>
      <c r="E120" t="str">
        <f>IFERROR(IF(0=LEN(ReferenceData!$E$120),"",ReferenceData!$E$120),"")</f>
        <v>Dynamic</v>
      </c>
      <c r="F120">
        <f ca="1">IFERROR(IF(0=LEN(ReferenceData!$F$120),"",ReferenceData!$F$120),"")</f>
        <v>9.9090000000000007</v>
      </c>
      <c r="G120">
        <f ca="1">IFERROR(IF(0=LEN(ReferenceData!$G$120),"",ReferenceData!$G$120),"")</f>
        <v>11.417999999999999</v>
      </c>
      <c r="H120">
        <f ca="1">IFERROR(IF(0=LEN(ReferenceData!$H$120),"",ReferenceData!$H$120),"")</f>
        <v>9.5719999999999992</v>
      </c>
      <c r="I120">
        <f ca="1">IFERROR(IF(0=LEN(ReferenceData!$I$120),"",ReferenceData!$I$120),"")</f>
        <v>8.8859999999999992</v>
      </c>
      <c r="J120">
        <f ca="1">IFERROR(IF(0=LEN(ReferenceData!$J$120),"",ReferenceData!$J$120),"")</f>
        <v>8.891</v>
      </c>
      <c r="K120">
        <f ca="1">IFERROR(IF(0=LEN(ReferenceData!$K$120),"",ReferenceData!$K$120),"")</f>
        <v>11.195</v>
      </c>
      <c r="L120">
        <f ca="1">IFERROR(IF(0=LEN(ReferenceData!$L$120),"",ReferenceData!$L$120),"")</f>
        <v>13.946999999999999</v>
      </c>
      <c r="M120">
        <f ca="1">IFERROR(IF(0=LEN(ReferenceData!$M$120),"",ReferenceData!$M$120),"")</f>
        <v>12.282999999999999</v>
      </c>
      <c r="N120">
        <f ca="1">IFERROR(IF(0=LEN(ReferenceData!$N$120),"",ReferenceData!$N$120),"")</f>
        <v>11.776999999999999</v>
      </c>
      <c r="O120">
        <f ca="1">IFERROR(IF(0=LEN(ReferenceData!$O$120),"",ReferenceData!$O$120),"")</f>
        <v>10.042999999999999</v>
      </c>
      <c r="P120">
        <f ca="1">IFERROR(IF(0=LEN(ReferenceData!$P$120),"",ReferenceData!$P$120),"")</f>
        <v>15.023999999999999</v>
      </c>
      <c r="Q120">
        <f ca="1">IFERROR(IF(0=LEN(ReferenceData!$Q$120),"",ReferenceData!$Q$120),"")</f>
        <v>16.071999999999999</v>
      </c>
      <c r="R120">
        <f ca="1">IFERROR(IF(0=LEN(ReferenceData!$R$120),"",ReferenceData!$R$120),"")</f>
        <v>14.718999999999999</v>
      </c>
      <c r="S120">
        <f ca="1">IFERROR(IF(0=LEN(ReferenceData!$S$120),"",ReferenceData!$S$120),"")</f>
        <v>17.562999999999999</v>
      </c>
      <c r="T120">
        <f ca="1">IFERROR(IF(0=LEN(ReferenceData!$T$120),"",ReferenceData!$T$120),"")</f>
        <v>16.937000000000001</v>
      </c>
      <c r="U120">
        <f ca="1">IFERROR(IF(0=LEN(ReferenceData!$U$120),"",ReferenceData!$U$120),"")</f>
        <v>14.425000000000001</v>
      </c>
      <c r="V120">
        <f ca="1">IFERROR(IF(0=LEN(ReferenceData!$V$120),"",ReferenceData!$V$120),"")</f>
        <v>15.827</v>
      </c>
      <c r="W120">
        <f ca="1">IFERROR(IF(0=LEN(ReferenceData!$W$120),"",ReferenceData!$W$120),"")</f>
        <v>18.309999999999999</v>
      </c>
      <c r="X120">
        <f ca="1">IFERROR(IF(0=LEN(ReferenceData!$X$120),"",ReferenceData!$X$120),"")</f>
        <v>17.88</v>
      </c>
      <c r="Y120">
        <f ca="1">IFERROR(IF(0=LEN(ReferenceData!$Y$120),"",ReferenceData!$Y$120),"")</f>
        <v>16.454999999999998</v>
      </c>
      <c r="Z120">
        <f ca="1">IFERROR(IF(0=LEN(ReferenceData!$Z$120),"",ReferenceData!$Z$120),"")</f>
        <v>16.940000000000001</v>
      </c>
      <c r="AA120">
        <f ca="1">IFERROR(IF(0=LEN(ReferenceData!$AA$120),"",ReferenceData!$AA$120),"")</f>
        <v>16.88</v>
      </c>
      <c r="AB120">
        <f ca="1">IFERROR(IF(0=LEN(ReferenceData!$AB$120),"",ReferenceData!$AB$120),"")</f>
        <v>11.622999999999999</v>
      </c>
      <c r="AC120">
        <f ca="1">IFERROR(IF(0=LEN(ReferenceData!$AC$120),"",ReferenceData!$AC$120),"")</f>
        <v>7.98</v>
      </c>
      <c r="AD120">
        <f ca="1">IFERROR(IF(0=LEN(ReferenceData!$AD$120),"",ReferenceData!$AD$120),"")</f>
        <v>8.5649999999999995</v>
      </c>
      <c r="AE120">
        <f ca="1">IFERROR(IF(0=LEN(ReferenceData!$AE$120),"",ReferenceData!$AE$120),"")</f>
        <v>8.5250000000000004</v>
      </c>
      <c r="AF120">
        <f ca="1">IFERROR(IF(0=LEN(ReferenceData!$AF$120),"",ReferenceData!$AF$120),"")</f>
        <v>13.15</v>
      </c>
      <c r="AG120">
        <f ca="1">IFERROR(IF(0=LEN(ReferenceData!$AG$120),"",ReferenceData!$AG$120),"")</f>
        <v>12.75</v>
      </c>
      <c r="AH120" t="str">
        <f ca="1">IFERROR(IF(0=LEN(ReferenceData!$AH$120),"",ReferenceData!$AH$120),"")</f>
        <v/>
      </c>
      <c r="AI120" t="str">
        <f ca="1">IFERROR(IF(0=LEN(ReferenceData!$AI$120),"",ReferenceData!$AI$120),"")</f>
        <v/>
      </c>
      <c r="AJ120" t="str">
        <f ca="1">IFERROR(IF(0=LEN(ReferenceData!$AJ$120),"",ReferenceData!$AJ$120),"")</f>
        <v/>
      </c>
      <c r="AK120" t="str">
        <f ca="1">IFERROR(IF(0=LEN(ReferenceData!$AK$120),"",ReferenceData!$AK$120),"")</f>
        <v/>
      </c>
      <c r="AL120" t="str">
        <f ca="1">IFERROR(IF(0=LEN(ReferenceData!$AL$120),"",ReferenceData!$AL$120),"")</f>
        <v/>
      </c>
      <c r="AM120" t="str">
        <f ca="1">IFERROR(IF(0=LEN(ReferenceData!$AM$120),"",ReferenceData!$AM$120),"")</f>
        <v/>
      </c>
      <c r="AN120" t="str">
        <f ca="1">IFERROR(IF(0=LEN(ReferenceData!$AN$120),"",ReferenceData!$AN$120),"")</f>
        <v/>
      </c>
      <c r="AO120" t="str">
        <f ca="1">IFERROR(IF(0=LEN(ReferenceData!$AO$120),"",ReferenceData!$AO$120),"")</f>
        <v/>
      </c>
      <c r="AP120" t="str">
        <f ca="1">IFERROR(IF(0=LEN(ReferenceData!$AP$120),"",ReferenceData!$AP$120),"")</f>
        <v/>
      </c>
      <c r="AQ120" t="str">
        <f ca="1">IFERROR(IF(0=LEN(ReferenceData!$AQ$120),"",ReferenceData!$AQ$120),"")</f>
        <v/>
      </c>
      <c r="AR120" t="str">
        <f ca="1">IFERROR(IF(0=LEN(ReferenceData!$AR$120),"",ReferenceData!$AR$120),"")</f>
        <v/>
      </c>
      <c r="AS120" t="str">
        <f ca="1">IFERROR(IF(0=LEN(ReferenceData!$AS$120),"",ReferenceData!$AS$120),"")</f>
        <v/>
      </c>
      <c r="AT120" t="str">
        <f ca="1">IFERROR(IF(0=LEN(ReferenceData!$AT$120),"",ReferenceData!$AT$120),"")</f>
        <v/>
      </c>
      <c r="AU120" t="str">
        <f ca="1">IFERROR(IF(0=LEN(ReferenceData!$AU$120),"",ReferenceData!$AU$120),"")</f>
        <v/>
      </c>
      <c r="AV120" t="str">
        <f ca="1">IFERROR(IF(0=LEN(ReferenceData!$AV$120),"",ReferenceData!$AV$120),"")</f>
        <v/>
      </c>
      <c r="AW120" t="str">
        <f ca="1">IFERROR(IF(0=LEN(ReferenceData!$AW$120),"",ReferenceData!$AW$120),"")</f>
        <v/>
      </c>
      <c r="AX120" t="str">
        <f ca="1">IFERROR(IF(0=LEN(ReferenceData!$AX$120),"",ReferenceData!$AX$120),"")</f>
        <v/>
      </c>
      <c r="AY120" t="str">
        <f ca="1">IFERROR(IF(0=LEN(ReferenceData!$AY$120),"",ReferenceData!$AY$120),"")</f>
        <v/>
      </c>
      <c r="AZ120" t="str">
        <f ca="1">IFERROR(IF(0=LEN(ReferenceData!$AZ$120),"",ReferenceData!$AZ$120),"")</f>
        <v/>
      </c>
      <c r="BA120" t="str">
        <f ca="1">IFERROR(IF(0=LEN(ReferenceData!$BA$120),"",ReferenceData!$BA$120),"")</f>
        <v/>
      </c>
      <c r="BB120" t="str">
        <f ca="1">IFERROR(IF(0=LEN(ReferenceData!$BB$120),"",ReferenceData!$BB$120),"")</f>
        <v/>
      </c>
      <c r="BC120" t="str">
        <f ca="1">IFERROR(IF(0=LEN(ReferenceData!$BC$120),"",ReferenceData!$BC$120),"")</f>
        <v/>
      </c>
      <c r="BD120" t="str">
        <f ca="1">IFERROR(IF(0=LEN(ReferenceData!$BD$120),"",ReferenceData!$BD$120),"")</f>
        <v/>
      </c>
      <c r="BE120" t="str">
        <f ca="1">IFERROR(IF(0=LEN(ReferenceData!$BE$120),"",ReferenceData!$BE$120),"")</f>
        <v/>
      </c>
      <c r="BF120" t="str">
        <f ca="1">IFERROR(IF(0=LEN(ReferenceData!$BF$120),"",ReferenceData!$BF$120),"")</f>
        <v/>
      </c>
      <c r="BG120" t="str">
        <f ca="1">IFERROR(IF(0=LEN(ReferenceData!$BG$120),"",ReferenceData!$BG$120),"")</f>
        <v/>
      </c>
      <c r="BH120" t="str">
        <f ca="1">IFERROR(IF(0=LEN(ReferenceData!$BH$120),"",ReferenceData!$BH$120),"")</f>
        <v/>
      </c>
      <c r="BI120" t="str">
        <f ca="1">IFERROR(IF(0=LEN(ReferenceData!$BI$120),"",ReferenceData!$BI$120),"")</f>
        <v/>
      </c>
      <c r="BJ120" t="str">
        <f ca="1">IFERROR(IF(0=LEN(ReferenceData!$BJ$120),"",ReferenceData!$BJ$120),"")</f>
        <v/>
      </c>
      <c r="BK120" t="str">
        <f ca="1">IFERROR(IF(0=LEN(ReferenceData!$BK$120),"",ReferenceData!$BK$120),"")</f>
        <v/>
      </c>
      <c r="BL120" t="str">
        <f ca="1">IFERROR(IF(0=LEN(ReferenceData!$BL$120),"",ReferenceData!$BL$120),"")</f>
        <v/>
      </c>
      <c r="BM120" t="str">
        <f ca="1">IFERROR(IF(0=LEN(ReferenceData!$BM$120),"",ReferenceData!$BM$120),"")</f>
        <v/>
      </c>
    </row>
    <row r="121" spans="1:65" x14ac:dyDescent="0.25">
      <c r="A121" t="str">
        <f>IFERROR(IF(0=LEN(ReferenceData!$A$121),"",ReferenceData!$A$121),"")</f>
        <v xml:space="preserve">    Tianjin Faw Xiali Automobile Co Ltd</v>
      </c>
      <c r="B121" t="str">
        <f>IFERROR(IF(0=LEN(ReferenceData!$B$121),"",ReferenceData!$B$121),"")</f>
        <v>000927 CH Equity</v>
      </c>
      <c r="C121" t="str">
        <f>IFERROR(IF(0=LEN(ReferenceData!$C$121),"",ReferenceData!$C$121),"")</f>
        <v>EZ021</v>
      </c>
      <c r="D121" t="str">
        <f>IFERROR(IF(0=LEN(ReferenceData!$D$121),"",ReferenceData!$D$121),"")</f>
        <v>BEST_EPS_NXT_YR</v>
      </c>
      <c r="E121" t="str">
        <f>IFERROR(IF(0=LEN(ReferenceData!$E$121),"",ReferenceData!$E$121),"")</f>
        <v>Dynamic</v>
      </c>
      <c r="F121" t="str">
        <f ca="1">IFERROR(IF(0=LEN(ReferenceData!$F$121),"",ReferenceData!$F$121),"")</f>
        <v/>
      </c>
      <c r="G121" t="str">
        <f ca="1">IFERROR(IF(0=LEN(ReferenceData!$G$121),"",ReferenceData!$G$121),"")</f>
        <v/>
      </c>
      <c r="H121" t="str">
        <f ca="1">IFERROR(IF(0=LEN(ReferenceData!$H$121),"",ReferenceData!$H$121),"")</f>
        <v/>
      </c>
      <c r="I121" t="str">
        <f ca="1">IFERROR(IF(0=LEN(ReferenceData!$I$121),"",ReferenceData!$I$121),"")</f>
        <v/>
      </c>
      <c r="J121" t="str">
        <f ca="1">IFERROR(IF(0=LEN(ReferenceData!$J$121),"",ReferenceData!$J$121),"")</f>
        <v/>
      </c>
      <c r="K121" t="str">
        <f ca="1">IFERROR(IF(0=LEN(ReferenceData!$K$121),"",ReferenceData!$K$121),"")</f>
        <v/>
      </c>
      <c r="L121" t="str">
        <f ca="1">IFERROR(IF(0=LEN(ReferenceData!$L$121),"",ReferenceData!$L$121),"")</f>
        <v/>
      </c>
      <c r="M121" t="str">
        <f ca="1">IFERROR(IF(0=LEN(ReferenceData!$M$121),"",ReferenceData!$M$121),"")</f>
        <v/>
      </c>
      <c r="N121" t="str">
        <f ca="1">IFERROR(IF(0=LEN(ReferenceData!$N$121),"",ReferenceData!$N$121),"")</f>
        <v/>
      </c>
      <c r="O121" t="str">
        <f ca="1">IFERROR(IF(0=LEN(ReferenceData!$O$121),"",ReferenceData!$O$121),"")</f>
        <v/>
      </c>
      <c r="P121" t="str">
        <f ca="1">IFERROR(IF(0=LEN(ReferenceData!$P$121),"",ReferenceData!$P$121),"")</f>
        <v/>
      </c>
      <c r="Q121" t="str">
        <f ca="1">IFERROR(IF(0=LEN(ReferenceData!$Q$121),"",ReferenceData!$Q$121),"")</f>
        <v/>
      </c>
      <c r="R121" t="str">
        <f ca="1">IFERROR(IF(0=LEN(ReferenceData!$R$121),"",ReferenceData!$R$121),"")</f>
        <v/>
      </c>
      <c r="S121" t="str">
        <f ca="1">IFERROR(IF(0=LEN(ReferenceData!$S$121),"",ReferenceData!$S$121),"")</f>
        <v/>
      </c>
      <c r="T121" t="str">
        <f ca="1">IFERROR(IF(0=LEN(ReferenceData!$T$121),"",ReferenceData!$T$121),"")</f>
        <v/>
      </c>
      <c r="U121" t="str">
        <f ca="1">IFERROR(IF(0=LEN(ReferenceData!$U$121),"",ReferenceData!$U$121),"")</f>
        <v/>
      </c>
      <c r="V121" t="str">
        <f ca="1">IFERROR(IF(0=LEN(ReferenceData!$V$121),"",ReferenceData!$V$121),"")</f>
        <v/>
      </c>
      <c r="W121" t="str">
        <f ca="1">IFERROR(IF(0=LEN(ReferenceData!$W$121),"",ReferenceData!$W$121),"")</f>
        <v/>
      </c>
      <c r="X121" t="str">
        <f ca="1">IFERROR(IF(0=LEN(ReferenceData!$X$121),"",ReferenceData!$X$121),"")</f>
        <v/>
      </c>
      <c r="Y121" t="str">
        <f ca="1">IFERROR(IF(0=LEN(ReferenceData!$Y$121),"",ReferenceData!$Y$121),"")</f>
        <v/>
      </c>
      <c r="Z121" t="str">
        <f ca="1">IFERROR(IF(0=LEN(ReferenceData!$Z$121),"",ReferenceData!$Z$121),"")</f>
        <v/>
      </c>
      <c r="AA121" t="str">
        <f ca="1">IFERROR(IF(0=LEN(ReferenceData!$AA$121),"",ReferenceData!$AA$121),"")</f>
        <v/>
      </c>
      <c r="AB121" t="str">
        <f ca="1">IFERROR(IF(0=LEN(ReferenceData!$AB$121),"",ReferenceData!$AB$121),"")</f>
        <v/>
      </c>
      <c r="AC121" t="str">
        <f ca="1">IFERROR(IF(0=LEN(ReferenceData!$AC$121),"",ReferenceData!$AC$121),"")</f>
        <v/>
      </c>
      <c r="AD121" t="str">
        <f ca="1">IFERROR(IF(0=LEN(ReferenceData!$AD$121),"",ReferenceData!$AD$121),"")</f>
        <v/>
      </c>
      <c r="AE121" t="str">
        <f ca="1">IFERROR(IF(0=LEN(ReferenceData!$AE$121),"",ReferenceData!$AE$121),"")</f>
        <v/>
      </c>
      <c r="AF121" t="str">
        <f ca="1">IFERROR(IF(0=LEN(ReferenceData!$AF$121),"",ReferenceData!$AF$121),"")</f>
        <v/>
      </c>
      <c r="AG121" t="str">
        <f ca="1">IFERROR(IF(0=LEN(ReferenceData!$AG$121),"",ReferenceData!$AG$121),"")</f>
        <v/>
      </c>
      <c r="AH121" t="str">
        <f ca="1">IFERROR(IF(0=LEN(ReferenceData!$AH$121),"",ReferenceData!$AH$121),"")</f>
        <v/>
      </c>
      <c r="AI121" t="str">
        <f ca="1">IFERROR(IF(0=LEN(ReferenceData!$AI$121),"",ReferenceData!$AI$121),"")</f>
        <v/>
      </c>
      <c r="AJ121" t="str">
        <f ca="1">IFERROR(IF(0=LEN(ReferenceData!$AJ$121),"",ReferenceData!$AJ$121),"")</f>
        <v/>
      </c>
      <c r="AK121" t="str">
        <f ca="1">IFERROR(IF(0=LEN(ReferenceData!$AK$121),"",ReferenceData!$AK$121),"")</f>
        <v/>
      </c>
      <c r="AL121" t="str">
        <f ca="1">IFERROR(IF(0=LEN(ReferenceData!$AL$121),"",ReferenceData!$AL$121),"")</f>
        <v/>
      </c>
      <c r="AM121" t="str">
        <f ca="1">IFERROR(IF(0=LEN(ReferenceData!$AM$121),"",ReferenceData!$AM$121),"")</f>
        <v/>
      </c>
      <c r="AN121" t="str">
        <f ca="1">IFERROR(IF(0=LEN(ReferenceData!$AN$121),"",ReferenceData!$AN$121),"")</f>
        <v/>
      </c>
      <c r="AO121" t="str">
        <f ca="1">IFERROR(IF(0=LEN(ReferenceData!$AO$121),"",ReferenceData!$AO$121),"")</f>
        <v/>
      </c>
      <c r="AP121" t="str">
        <f ca="1">IFERROR(IF(0=LEN(ReferenceData!$AP$121),"",ReferenceData!$AP$121),"")</f>
        <v/>
      </c>
      <c r="AQ121" t="str">
        <f ca="1">IFERROR(IF(0=LEN(ReferenceData!$AQ$121),"",ReferenceData!$AQ$121),"")</f>
        <v/>
      </c>
      <c r="AR121" t="str">
        <f ca="1">IFERROR(IF(0=LEN(ReferenceData!$AR$121),"",ReferenceData!$AR$121),"")</f>
        <v/>
      </c>
      <c r="AS121" t="str">
        <f ca="1">IFERROR(IF(0=LEN(ReferenceData!$AS$121),"",ReferenceData!$AS$121),"")</f>
        <v/>
      </c>
      <c r="AT121" t="str">
        <f ca="1">IFERROR(IF(0=LEN(ReferenceData!$AT$121),"",ReferenceData!$AT$121),"")</f>
        <v/>
      </c>
      <c r="AU121" t="str">
        <f ca="1">IFERROR(IF(0=LEN(ReferenceData!$AU$121),"",ReferenceData!$AU$121),"")</f>
        <v/>
      </c>
      <c r="AV121" t="str">
        <f ca="1">IFERROR(IF(0=LEN(ReferenceData!$AV$121),"",ReferenceData!$AV$121),"")</f>
        <v/>
      </c>
      <c r="AW121" t="str">
        <f ca="1">IFERROR(IF(0=LEN(ReferenceData!$AW$121),"",ReferenceData!$AW$121),"")</f>
        <v/>
      </c>
      <c r="AX121" t="str">
        <f ca="1">IFERROR(IF(0=LEN(ReferenceData!$AX$121),"",ReferenceData!$AX$121),"")</f>
        <v/>
      </c>
      <c r="AY121" t="str">
        <f ca="1">IFERROR(IF(0=LEN(ReferenceData!$AY$121),"",ReferenceData!$AY$121),"")</f>
        <v/>
      </c>
      <c r="AZ121" t="str">
        <f ca="1">IFERROR(IF(0=LEN(ReferenceData!$AZ$121),"",ReferenceData!$AZ$121),"")</f>
        <v/>
      </c>
      <c r="BA121" t="str">
        <f ca="1">IFERROR(IF(0=LEN(ReferenceData!$BA$121),"",ReferenceData!$BA$121),"")</f>
        <v/>
      </c>
      <c r="BB121" t="str">
        <f ca="1">IFERROR(IF(0=LEN(ReferenceData!$BB$121),"",ReferenceData!$BB$121),"")</f>
        <v/>
      </c>
      <c r="BC121" t="str">
        <f ca="1">IFERROR(IF(0=LEN(ReferenceData!$BC$121),"",ReferenceData!$BC$121),"")</f>
        <v/>
      </c>
      <c r="BD121" t="str">
        <f ca="1">IFERROR(IF(0=LEN(ReferenceData!$BD$121),"",ReferenceData!$BD$121),"")</f>
        <v/>
      </c>
      <c r="BE121" t="str">
        <f ca="1">IFERROR(IF(0=LEN(ReferenceData!$BE$121),"",ReferenceData!$BE$121),"")</f>
        <v/>
      </c>
      <c r="BF121" t="str">
        <f ca="1">IFERROR(IF(0=LEN(ReferenceData!$BF$121),"",ReferenceData!$BF$121),"")</f>
        <v/>
      </c>
      <c r="BG121" t="str">
        <f ca="1">IFERROR(IF(0=LEN(ReferenceData!$BG$121),"",ReferenceData!$BG$121),"")</f>
        <v/>
      </c>
      <c r="BH121" t="str">
        <f ca="1">IFERROR(IF(0=LEN(ReferenceData!$BH$121),"",ReferenceData!$BH$121),"")</f>
        <v/>
      </c>
      <c r="BI121" t="str">
        <f ca="1">IFERROR(IF(0=LEN(ReferenceData!$BI$121),"",ReferenceData!$BI$121),"")</f>
        <v/>
      </c>
      <c r="BJ121" t="str">
        <f ca="1">IFERROR(IF(0=LEN(ReferenceData!$BJ$121),"",ReferenceData!$BJ$121),"")</f>
        <v/>
      </c>
      <c r="BK121" t="str">
        <f ca="1">IFERROR(IF(0=LEN(ReferenceData!$BK$121),"",ReferenceData!$BK$121),"")</f>
        <v/>
      </c>
      <c r="BL121" t="str">
        <f ca="1">IFERROR(IF(0=LEN(ReferenceData!$BL$121),"",ReferenceData!$BL$121),"")</f>
        <v/>
      </c>
      <c r="BM121" t="str">
        <f ca="1">IFERROR(IF(0=LEN(ReferenceData!$BM$121),"",ReferenceData!$BM$121),"")</f>
        <v/>
      </c>
    </row>
    <row r="122" spans="1:65" x14ac:dyDescent="0.25">
      <c r="A122" t="str">
        <f>IFERROR(IF(0=LEN(ReferenceData!$A$122),"",ReferenceData!$A$122),"")</f>
        <v xml:space="preserve">    Tofas Turk Otomobil Fabrikasi AS</v>
      </c>
      <c r="B122" t="str">
        <f>IFERROR(IF(0=LEN(ReferenceData!$B$122),"",ReferenceData!$B$122),"")</f>
        <v>TOASOTRY EO Equity</v>
      </c>
      <c r="C122" t="str">
        <f>IFERROR(IF(0=LEN(ReferenceData!$C$122),"",ReferenceData!$C$122),"")</f>
        <v>EZ021</v>
      </c>
      <c r="D122" t="str">
        <f>IFERROR(IF(0=LEN(ReferenceData!$D$122),"",ReferenceData!$D$122),"")</f>
        <v>BEST_EPS_NXT_YR</v>
      </c>
      <c r="E122" t="str">
        <f>IFERROR(IF(0=LEN(ReferenceData!$E$122),"",ReferenceData!$E$122),"")</f>
        <v>Dynamic</v>
      </c>
      <c r="F122">
        <f ca="1">IFERROR(IF(0=LEN(ReferenceData!$F$122),"",ReferenceData!$F$122),"")</f>
        <v>0.68300000000000005</v>
      </c>
      <c r="G122">
        <f ca="1">IFERROR(IF(0=LEN(ReferenceData!$G$122),"",ReferenceData!$G$122),"")</f>
        <v>0.72299999999999998</v>
      </c>
      <c r="H122">
        <f ca="1">IFERROR(IF(0=LEN(ReferenceData!$H$122),"",ReferenceData!$H$122),"")</f>
        <v>0.55800000000000005</v>
      </c>
      <c r="I122">
        <f ca="1">IFERROR(IF(0=LEN(ReferenceData!$I$122),"",ReferenceData!$I$122),"")</f>
        <v>0.73099999999999998</v>
      </c>
      <c r="J122">
        <f ca="1">IFERROR(IF(0=LEN(ReferenceData!$J$122),"",ReferenceData!$J$122),"")</f>
        <v>0.84299999999999997</v>
      </c>
      <c r="K122">
        <f ca="1">IFERROR(IF(0=LEN(ReferenceData!$K$122),"",ReferenceData!$K$122),"")</f>
        <v>0.89400000000000002</v>
      </c>
      <c r="L122">
        <f ca="1">IFERROR(IF(0=LEN(ReferenceData!$L$122),"",ReferenceData!$L$122),"")</f>
        <v>0.93600000000000005</v>
      </c>
      <c r="M122">
        <f ca="1">IFERROR(IF(0=LEN(ReferenceData!$M$122),"",ReferenceData!$M$122),"")</f>
        <v>0.95899999999999996</v>
      </c>
      <c r="N122">
        <f ca="1">IFERROR(IF(0=LEN(ReferenceData!$N$122),"",ReferenceData!$N$122),"")</f>
        <v>0.81399999999999995</v>
      </c>
      <c r="O122">
        <f ca="1">IFERROR(IF(0=LEN(ReferenceData!$O$122),"",ReferenceData!$O$122),"")</f>
        <v>0.79400000000000004</v>
      </c>
      <c r="P122">
        <f ca="1">IFERROR(IF(0=LEN(ReferenceData!$P$122),"",ReferenceData!$P$122),"")</f>
        <v>0.83399999999999996</v>
      </c>
      <c r="Q122">
        <f ca="1">IFERROR(IF(0=LEN(ReferenceData!$Q$122),"",ReferenceData!$Q$122),"")</f>
        <v>0.85099999999999998</v>
      </c>
      <c r="R122" t="str">
        <f ca="1">IFERROR(IF(0=LEN(ReferenceData!$R$122),"",ReferenceData!$R$122),"")</f>
        <v/>
      </c>
      <c r="S122" t="str">
        <f ca="1">IFERROR(IF(0=LEN(ReferenceData!$S$122),"",ReferenceData!$S$122),"")</f>
        <v/>
      </c>
      <c r="T122" t="str">
        <f ca="1">IFERROR(IF(0=LEN(ReferenceData!$T$122),"",ReferenceData!$T$122),"")</f>
        <v/>
      </c>
      <c r="U122" t="str">
        <f ca="1">IFERROR(IF(0=LEN(ReferenceData!$U$122),"",ReferenceData!$U$122),"")</f>
        <v/>
      </c>
      <c r="V122" t="str">
        <f ca="1">IFERROR(IF(0=LEN(ReferenceData!$V$122),"",ReferenceData!$V$122),"")</f>
        <v/>
      </c>
      <c r="W122" t="str">
        <f ca="1">IFERROR(IF(0=LEN(ReferenceData!$W$122),"",ReferenceData!$W$122),"")</f>
        <v/>
      </c>
      <c r="X122" t="str">
        <f ca="1">IFERROR(IF(0=LEN(ReferenceData!$X$122),"",ReferenceData!$X$122),"")</f>
        <v/>
      </c>
      <c r="Y122" t="str">
        <f ca="1">IFERROR(IF(0=LEN(ReferenceData!$Y$122),"",ReferenceData!$Y$122),"")</f>
        <v/>
      </c>
      <c r="Z122" t="str">
        <f ca="1">IFERROR(IF(0=LEN(ReferenceData!$Z$122),"",ReferenceData!$Z$122),"")</f>
        <v/>
      </c>
      <c r="AA122" t="str">
        <f ca="1">IFERROR(IF(0=LEN(ReferenceData!$AA$122),"",ReferenceData!$AA$122),"")</f>
        <v/>
      </c>
      <c r="AB122" t="str">
        <f ca="1">IFERROR(IF(0=LEN(ReferenceData!$AB$122),"",ReferenceData!$AB$122),"")</f>
        <v/>
      </c>
      <c r="AC122" t="str">
        <f ca="1">IFERROR(IF(0=LEN(ReferenceData!$AC$122),"",ReferenceData!$AC$122),"")</f>
        <v/>
      </c>
      <c r="AD122" t="str">
        <f ca="1">IFERROR(IF(0=LEN(ReferenceData!$AD$122),"",ReferenceData!$AD$122),"")</f>
        <v/>
      </c>
      <c r="AE122" t="str">
        <f ca="1">IFERROR(IF(0=LEN(ReferenceData!$AE$122),"",ReferenceData!$AE$122),"")</f>
        <v/>
      </c>
      <c r="AF122" t="str">
        <f ca="1">IFERROR(IF(0=LEN(ReferenceData!$AF$122),"",ReferenceData!$AF$122),"")</f>
        <v/>
      </c>
      <c r="AG122" t="str">
        <f ca="1">IFERROR(IF(0=LEN(ReferenceData!$AG$122),"",ReferenceData!$AG$122),"")</f>
        <v/>
      </c>
      <c r="AH122" t="str">
        <f ca="1">IFERROR(IF(0=LEN(ReferenceData!$AH$122),"",ReferenceData!$AH$122),"")</f>
        <v/>
      </c>
      <c r="AI122" t="str">
        <f ca="1">IFERROR(IF(0=LEN(ReferenceData!$AI$122),"",ReferenceData!$AI$122),"")</f>
        <v/>
      </c>
      <c r="AJ122" t="str">
        <f ca="1">IFERROR(IF(0=LEN(ReferenceData!$AJ$122),"",ReferenceData!$AJ$122),"")</f>
        <v/>
      </c>
      <c r="AK122" t="str">
        <f ca="1">IFERROR(IF(0=LEN(ReferenceData!$AK$122),"",ReferenceData!$AK$122),"")</f>
        <v/>
      </c>
      <c r="AL122" t="str">
        <f ca="1">IFERROR(IF(0=LEN(ReferenceData!$AL$122),"",ReferenceData!$AL$122),"")</f>
        <v/>
      </c>
      <c r="AM122" t="str">
        <f ca="1">IFERROR(IF(0=LEN(ReferenceData!$AM$122),"",ReferenceData!$AM$122),"")</f>
        <v/>
      </c>
      <c r="AN122" t="str">
        <f ca="1">IFERROR(IF(0=LEN(ReferenceData!$AN$122),"",ReferenceData!$AN$122),"")</f>
        <v/>
      </c>
      <c r="AO122" t="str">
        <f ca="1">IFERROR(IF(0=LEN(ReferenceData!$AO$122),"",ReferenceData!$AO$122),"")</f>
        <v/>
      </c>
      <c r="AP122" t="str">
        <f ca="1">IFERROR(IF(0=LEN(ReferenceData!$AP$122),"",ReferenceData!$AP$122),"")</f>
        <v/>
      </c>
      <c r="AQ122" t="str">
        <f ca="1">IFERROR(IF(0=LEN(ReferenceData!$AQ$122),"",ReferenceData!$AQ$122),"")</f>
        <v/>
      </c>
      <c r="AR122" t="str">
        <f ca="1">IFERROR(IF(0=LEN(ReferenceData!$AR$122),"",ReferenceData!$AR$122),"")</f>
        <v/>
      </c>
      <c r="AS122" t="str">
        <f ca="1">IFERROR(IF(0=LEN(ReferenceData!$AS$122),"",ReferenceData!$AS$122),"")</f>
        <v/>
      </c>
      <c r="AT122" t="str">
        <f ca="1">IFERROR(IF(0=LEN(ReferenceData!$AT$122),"",ReferenceData!$AT$122),"")</f>
        <v/>
      </c>
      <c r="AU122" t="str">
        <f ca="1">IFERROR(IF(0=LEN(ReferenceData!$AU$122),"",ReferenceData!$AU$122),"")</f>
        <v/>
      </c>
      <c r="AV122" t="str">
        <f ca="1">IFERROR(IF(0=LEN(ReferenceData!$AV$122),"",ReferenceData!$AV$122),"")</f>
        <v/>
      </c>
      <c r="AW122" t="str">
        <f ca="1">IFERROR(IF(0=LEN(ReferenceData!$AW$122),"",ReferenceData!$AW$122),"")</f>
        <v/>
      </c>
      <c r="AX122" t="str">
        <f ca="1">IFERROR(IF(0=LEN(ReferenceData!$AX$122),"",ReferenceData!$AX$122),"")</f>
        <v/>
      </c>
      <c r="AY122" t="str">
        <f ca="1">IFERROR(IF(0=LEN(ReferenceData!$AY$122),"",ReferenceData!$AY$122),"")</f>
        <v/>
      </c>
      <c r="AZ122" t="str">
        <f ca="1">IFERROR(IF(0=LEN(ReferenceData!$AZ$122),"",ReferenceData!$AZ$122),"")</f>
        <v/>
      </c>
      <c r="BA122" t="str">
        <f ca="1">IFERROR(IF(0=LEN(ReferenceData!$BA$122),"",ReferenceData!$BA$122),"")</f>
        <v/>
      </c>
      <c r="BB122" t="str">
        <f ca="1">IFERROR(IF(0=LEN(ReferenceData!$BB$122),"",ReferenceData!$BB$122),"")</f>
        <v/>
      </c>
      <c r="BC122" t="str">
        <f ca="1">IFERROR(IF(0=LEN(ReferenceData!$BC$122),"",ReferenceData!$BC$122),"")</f>
        <v/>
      </c>
      <c r="BD122" t="str">
        <f ca="1">IFERROR(IF(0=LEN(ReferenceData!$BD$122),"",ReferenceData!$BD$122),"")</f>
        <v/>
      </c>
      <c r="BE122" t="str">
        <f ca="1">IFERROR(IF(0=LEN(ReferenceData!$BE$122),"",ReferenceData!$BE$122),"")</f>
        <v/>
      </c>
      <c r="BF122" t="str">
        <f ca="1">IFERROR(IF(0=LEN(ReferenceData!$BF$122),"",ReferenceData!$BF$122),"")</f>
        <v/>
      </c>
      <c r="BG122" t="str">
        <f ca="1">IFERROR(IF(0=LEN(ReferenceData!$BG$122),"",ReferenceData!$BG$122),"")</f>
        <v/>
      </c>
      <c r="BH122" t="str">
        <f ca="1">IFERROR(IF(0=LEN(ReferenceData!$BH$122),"",ReferenceData!$BH$122),"")</f>
        <v/>
      </c>
      <c r="BI122" t="str">
        <f ca="1">IFERROR(IF(0=LEN(ReferenceData!$BI$122),"",ReferenceData!$BI$122),"")</f>
        <v/>
      </c>
      <c r="BJ122" t="str">
        <f ca="1">IFERROR(IF(0=LEN(ReferenceData!$BJ$122),"",ReferenceData!$BJ$122),"")</f>
        <v/>
      </c>
      <c r="BK122" t="str">
        <f ca="1">IFERROR(IF(0=LEN(ReferenceData!$BK$122),"",ReferenceData!$BK$122),"")</f>
        <v/>
      </c>
      <c r="BL122" t="str">
        <f ca="1">IFERROR(IF(0=LEN(ReferenceData!$BL$122),"",ReferenceData!$BL$122),"")</f>
        <v/>
      </c>
      <c r="BM122" t="str">
        <f ca="1">IFERROR(IF(0=LEN(ReferenceData!$BM$122),"",ReferenceData!$BM$122),"")</f>
        <v/>
      </c>
    </row>
    <row r="123" spans="1:65" x14ac:dyDescent="0.25">
      <c r="A123" t="str">
        <f>IFERROR(IF(0=LEN(ReferenceData!$A$123),"",ReferenceData!$A$123),"")</f>
        <v xml:space="preserve">    Toyota Motor Corp</v>
      </c>
      <c r="B123" t="str">
        <f>IFERROR(IF(0=LEN(ReferenceData!$B$123),"",ReferenceData!$B$123),"")</f>
        <v>7203 JP Equity</v>
      </c>
      <c r="C123" t="str">
        <f>IFERROR(IF(0=LEN(ReferenceData!$C$123),"",ReferenceData!$C$123),"")</f>
        <v>EZ021</v>
      </c>
      <c r="D123" t="str">
        <f>IFERROR(IF(0=LEN(ReferenceData!$D$123),"",ReferenceData!$D$123),"")</f>
        <v>BEST_EPS_NXT_YR</v>
      </c>
      <c r="E123" t="str">
        <f>IFERROR(IF(0=LEN(ReferenceData!$E$123),"",ReferenceData!$E$123),"")</f>
        <v>Dynamic</v>
      </c>
      <c r="F123">
        <f ca="1">IFERROR(IF(0=LEN(ReferenceData!$F$123),"",ReferenceData!$F$123),"")</f>
        <v>7.7060000000000004</v>
      </c>
      <c r="G123">
        <f ca="1">IFERROR(IF(0=LEN(ReferenceData!$G$123),"",ReferenceData!$G$123),"")</f>
        <v>7.6340000000000003</v>
      </c>
      <c r="H123">
        <f ca="1">IFERROR(IF(0=LEN(ReferenceData!$H$123),"",ReferenceData!$H$123),"")</f>
        <v>7.5119999999999996</v>
      </c>
      <c r="I123">
        <f ca="1">IFERROR(IF(0=LEN(ReferenceData!$I$123),"",ReferenceData!$I$123),"")</f>
        <v>7.63</v>
      </c>
      <c r="J123">
        <f ca="1">IFERROR(IF(0=LEN(ReferenceData!$J$123),"",ReferenceData!$J$123),"")</f>
        <v>7.3170000000000002</v>
      </c>
      <c r="K123">
        <f ca="1">IFERROR(IF(0=LEN(ReferenceData!$K$123),"",ReferenceData!$K$123),"")</f>
        <v>6.6479999999999997</v>
      </c>
      <c r="L123">
        <f ca="1">IFERROR(IF(0=LEN(ReferenceData!$L$123),"",ReferenceData!$L$123),"")</f>
        <v>6.3760000000000003</v>
      </c>
      <c r="M123">
        <f ca="1">IFERROR(IF(0=LEN(ReferenceData!$M$123),"",ReferenceData!$M$123),"")</f>
        <v>6.1340000000000003</v>
      </c>
      <c r="N123">
        <f ca="1">IFERROR(IF(0=LEN(ReferenceData!$N$123),"",ReferenceData!$N$123),"")</f>
        <v>7.4470000000000001</v>
      </c>
      <c r="O123">
        <f ca="1">IFERROR(IF(0=LEN(ReferenceData!$O$123),"",ReferenceData!$O$123),"")</f>
        <v>6.9029999999999996</v>
      </c>
      <c r="P123">
        <f ca="1">IFERROR(IF(0=LEN(ReferenceData!$P$123),"",ReferenceData!$P$123),"")</f>
        <v>6.9269999999999996</v>
      </c>
      <c r="Q123">
        <f ca="1">IFERROR(IF(0=LEN(ReferenceData!$Q$123),"",ReferenceData!$Q$123),"")</f>
        <v>7.1079999999999997</v>
      </c>
      <c r="R123">
        <f ca="1">IFERROR(IF(0=LEN(ReferenceData!$R$123),"",ReferenceData!$R$123),"")</f>
        <v>8.4090000000000007</v>
      </c>
      <c r="S123">
        <f ca="1">IFERROR(IF(0=LEN(ReferenceData!$S$123),"",ReferenceData!$S$123),"")</f>
        <v>8.8580000000000005</v>
      </c>
      <c r="T123">
        <f ca="1">IFERROR(IF(0=LEN(ReferenceData!$T$123),"",ReferenceData!$T$123),"")</f>
        <v>8.8170000000000002</v>
      </c>
      <c r="U123">
        <f ca="1">IFERROR(IF(0=LEN(ReferenceData!$U$123),"",ReferenceData!$U$123),"")</f>
        <v>8.8330000000000002</v>
      </c>
      <c r="V123" t="str">
        <f ca="1">IFERROR(IF(0=LEN(ReferenceData!$V$123),"",ReferenceData!$V$123),"")</f>
        <v/>
      </c>
      <c r="W123" t="str">
        <f ca="1">IFERROR(IF(0=LEN(ReferenceData!$W$123),"",ReferenceData!$W$123),"")</f>
        <v/>
      </c>
      <c r="X123" t="str">
        <f ca="1">IFERROR(IF(0=LEN(ReferenceData!$X$123),"",ReferenceData!$X$123),"")</f>
        <v/>
      </c>
      <c r="Y123" t="str">
        <f ca="1">IFERROR(IF(0=LEN(ReferenceData!$Y$123),"",ReferenceData!$Y$123),"")</f>
        <v/>
      </c>
      <c r="Z123" t="str">
        <f ca="1">IFERROR(IF(0=LEN(ReferenceData!$Z$123),"",ReferenceData!$Z$123),"")</f>
        <v/>
      </c>
      <c r="AA123" t="str">
        <f ca="1">IFERROR(IF(0=LEN(ReferenceData!$AA$123),"",ReferenceData!$AA$123),"")</f>
        <v/>
      </c>
      <c r="AB123" t="str">
        <f ca="1">IFERROR(IF(0=LEN(ReferenceData!$AB$123),"",ReferenceData!$AB$123),"")</f>
        <v/>
      </c>
      <c r="AC123" t="str">
        <f ca="1">IFERROR(IF(0=LEN(ReferenceData!$AC$123),"",ReferenceData!$AC$123),"")</f>
        <v/>
      </c>
      <c r="AD123" t="str">
        <f ca="1">IFERROR(IF(0=LEN(ReferenceData!$AD$123),"",ReferenceData!$AD$123),"")</f>
        <v/>
      </c>
      <c r="AE123" t="str">
        <f ca="1">IFERROR(IF(0=LEN(ReferenceData!$AE$123),"",ReferenceData!$AE$123),"")</f>
        <v/>
      </c>
      <c r="AF123" t="str">
        <f ca="1">IFERROR(IF(0=LEN(ReferenceData!$AF$123),"",ReferenceData!$AF$123),"")</f>
        <v/>
      </c>
      <c r="AG123" t="str">
        <f ca="1">IFERROR(IF(0=LEN(ReferenceData!$AG$123),"",ReferenceData!$AG$123),"")</f>
        <v/>
      </c>
      <c r="AH123" t="str">
        <f ca="1">IFERROR(IF(0=LEN(ReferenceData!$AH$123),"",ReferenceData!$AH$123),"")</f>
        <v/>
      </c>
      <c r="AI123" t="str">
        <f ca="1">IFERROR(IF(0=LEN(ReferenceData!$AI$123),"",ReferenceData!$AI$123),"")</f>
        <v/>
      </c>
      <c r="AJ123" t="str">
        <f ca="1">IFERROR(IF(0=LEN(ReferenceData!$AJ$123),"",ReferenceData!$AJ$123),"")</f>
        <v/>
      </c>
      <c r="AK123" t="str">
        <f ca="1">IFERROR(IF(0=LEN(ReferenceData!$AK$123),"",ReferenceData!$AK$123),"")</f>
        <v/>
      </c>
      <c r="AL123" t="str">
        <f ca="1">IFERROR(IF(0=LEN(ReferenceData!$AL$123),"",ReferenceData!$AL$123),"")</f>
        <v/>
      </c>
      <c r="AM123" t="str">
        <f ca="1">IFERROR(IF(0=LEN(ReferenceData!$AM$123),"",ReferenceData!$AM$123),"")</f>
        <v/>
      </c>
      <c r="AN123" t="str">
        <f ca="1">IFERROR(IF(0=LEN(ReferenceData!$AN$123),"",ReferenceData!$AN$123),"")</f>
        <v/>
      </c>
      <c r="AO123" t="str">
        <f ca="1">IFERROR(IF(0=LEN(ReferenceData!$AO$123),"",ReferenceData!$AO$123),"")</f>
        <v/>
      </c>
      <c r="AP123" t="str">
        <f ca="1">IFERROR(IF(0=LEN(ReferenceData!$AP$123),"",ReferenceData!$AP$123),"")</f>
        <v/>
      </c>
      <c r="AQ123" t="str">
        <f ca="1">IFERROR(IF(0=LEN(ReferenceData!$AQ$123),"",ReferenceData!$AQ$123),"")</f>
        <v/>
      </c>
      <c r="AR123" t="str">
        <f ca="1">IFERROR(IF(0=LEN(ReferenceData!$AR$123),"",ReferenceData!$AR$123),"")</f>
        <v/>
      </c>
      <c r="AS123" t="str">
        <f ca="1">IFERROR(IF(0=LEN(ReferenceData!$AS$123),"",ReferenceData!$AS$123),"")</f>
        <v/>
      </c>
      <c r="AT123" t="str">
        <f ca="1">IFERROR(IF(0=LEN(ReferenceData!$AT$123),"",ReferenceData!$AT$123),"")</f>
        <v/>
      </c>
      <c r="AU123" t="str">
        <f ca="1">IFERROR(IF(0=LEN(ReferenceData!$AU$123),"",ReferenceData!$AU$123),"")</f>
        <v/>
      </c>
      <c r="AV123" t="str">
        <f ca="1">IFERROR(IF(0=LEN(ReferenceData!$AV$123),"",ReferenceData!$AV$123),"")</f>
        <v/>
      </c>
      <c r="AW123" t="str">
        <f ca="1">IFERROR(IF(0=LEN(ReferenceData!$AW$123),"",ReferenceData!$AW$123),"")</f>
        <v/>
      </c>
      <c r="AX123" t="str">
        <f ca="1">IFERROR(IF(0=LEN(ReferenceData!$AX$123),"",ReferenceData!$AX$123),"")</f>
        <v/>
      </c>
      <c r="AY123" t="str">
        <f ca="1">IFERROR(IF(0=LEN(ReferenceData!$AY$123),"",ReferenceData!$AY$123),"")</f>
        <v/>
      </c>
      <c r="AZ123" t="str">
        <f ca="1">IFERROR(IF(0=LEN(ReferenceData!$AZ$123),"",ReferenceData!$AZ$123),"")</f>
        <v/>
      </c>
      <c r="BA123" t="str">
        <f ca="1">IFERROR(IF(0=LEN(ReferenceData!$BA$123),"",ReferenceData!$BA$123),"")</f>
        <v/>
      </c>
      <c r="BB123" t="str">
        <f ca="1">IFERROR(IF(0=LEN(ReferenceData!$BB$123),"",ReferenceData!$BB$123),"")</f>
        <v/>
      </c>
      <c r="BC123" t="str">
        <f ca="1">IFERROR(IF(0=LEN(ReferenceData!$BC$123),"",ReferenceData!$BC$123),"")</f>
        <v/>
      </c>
      <c r="BD123" t="str">
        <f ca="1">IFERROR(IF(0=LEN(ReferenceData!$BD$123),"",ReferenceData!$BD$123),"")</f>
        <v/>
      </c>
      <c r="BE123" t="str">
        <f ca="1">IFERROR(IF(0=LEN(ReferenceData!$BE$123),"",ReferenceData!$BE$123),"")</f>
        <v/>
      </c>
      <c r="BF123" t="str">
        <f ca="1">IFERROR(IF(0=LEN(ReferenceData!$BF$123),"",ReferenceData!$BF$123),"")</f>
        <v/>
      </c>
      <c r="BG123" t="str">
        <f ca="1">IFERROR(IF(0=LEN(ReferenceData!$BG$123),"",ReferenceData!$BG$123),"")</f>
        <v/>
      </c>
      <c r="BH123" t="str">
        <f ca="1">IFERROR(IF(0=LEN(ReferenceData!$BH$123),"",ReferenceData!$BH$123),"")</f>
        <v/>
      </c>
      <c r="BI123" t="str">
        <f ca="1">IFERROR(IF(0=LEN(ReferenceData!$BI$123),"",ReferenceData!$BI$123),"")</f>
        <v/>
      </c>
      <c r="BJ123" t="str">
        <f ca="1">IFERROR(IF(0=LEN(ReferenceData!$BJ$123),"",ReferenceData!$BJ$123),"")</f>
        <v/>
      </c>
      <c r="BK123" t="str">
        <f ca="1">IFERROR(IF(0=LEN(ReferenceData!$BK$123),"",ReferenceData!$BK$123),"")</f>
        <v/>
      </c>
      <c r="BL123" t="str">
        <f ca="1">IFERROR(IF(0=LEN(ReferenceData!$BL$123),"",ReferenceData!$BL$123),"")</f>
        <v/>
      </c>
      <c r="BM123" t="str">
        <f ca="1">IFERROR(IF(0=LEN(ReferenceData!$BM$123),"",ReferenceData!$BM$123),"")</f>
        <v/>
      </c>
    </row>
    <row r="124" spans="1:65" x14ac:dyDescent="0.25">
      <c r="A124" t="str">
        <f>IFERROR(IF(0=LEN(ReferenceData!$A$124),"",ReferenceData!$A$124),"")</f>
        <v xml:space="preserve">    Volkswagen AG</v>
      </c>
      <c r="B124" t="str">
        <f>IFERROR(IF(0=LEN(ReferenceData!$B$124),"",ReferenceData!$B$124),"")</f>
        <v>VOW GR Equity</v>
      </c>
      <c r="C124" t="str">
        <f>IFERROR(IF(0=LEN(ReferenceData!$C$124),"",ReferenceData!$C$124),"")</f>
        <v>EZ021</v>
      </c>
      <c r="D124" t="str">
        <f>IFERROR(IF(0=LEN(ReferenceData!$D$124),"",ReferenceData!$D$124),"")</f>
        <v>BEST_EPS_NXT_YR</v>
      </c>
      <c r="E124" t="str">
        <f>IFERROR(IF(0=LEN(ReferenceData!$E$124),"",ReferenceData!$E$124),"")</f>
        <v>Dynamic</v>
      </c>
      <c r="F124">
        <f ca="1">IFERROR(IF(0=LEN(ReferenceData!$F$124),"",ReferenceData!$F$124),"")</f>
        <v>32.533999999999999</v>
      </c>
      <c r="G124">
        <f ca="1">IFERROR(IF(0=LEN(ReferenceData!$G$124),"",ReferenceData!$G$124),"")</f>
        <v>33.811</v>
      </c>
      <c r="H124">
        <f ca="1">IFERROR(IF(0=LEN(ReferenceData!$H$124),"",ReferenceData!$H$124),"")</f>
        <v>35.770000000000003</v>
      </c>
      <c r="I124">
        <f ca="1">IFERROR(IF(0=LEN(ReferenceData!$I$124),"",ReferenceData!$I$124),"")</f>
        <v>34.209000000000003</v>
      </c>
      <c r="J124">
        <f ca="1">IFERROR(IF(0=LEN(ReferenceData!$J$124),"",ReferenceData!$J$124),"")</f>
        <v>34.664999999999999</v>
      </c>
      <c r="K124">
        <f ca="1">IFERROR(IF(0=LEN(ReferenceData!$K$124),"",ReferenceData!$K$124),"")</f>
        <v>30.693000000000001</v>
      </c>
      <c r="L124">
        <f ca="1">IFERROR(IF(0=LEN(ReferenceData!$L$124),"",ReferenceData!$L$124),"")</f>
        <v>27.638000000000002</v>
      </c>
      <c r="M124">
        <f ca="1">IFERROR(IF(0=LEN(ReferenceData!$M$124),"",ReferenceData!$M$124),"")</f>
        <v>26.632000000000001</v>
      </c>
      <c r="N124">
        <f ca="1">IFERROR(IF(0=LEN(ReferenceData!$N$124),"",ReferenceData!$N$124),"")</f>
        <v>21.611999999999998</v>
      </c>
      <c r="O124">
        <f ca="1">IFERROR(IF(0=LEN(ReferenceData!$O$124),"",ReferenceData!$O$124),"")</f>
        <v>25.382999999999999</v>
      </c>
      <c r="P124">
        <f ca="1">IFERROR(IF(0=LEN(ReferenceData!$P$124),"",ReferenceData!$P$124),"")</f>
        <v>38.283000000000001</v>
      </c>
      <c r="Q124">
        <f ca="1">IFERROR(IF(0=LEN(ReferenceData!$Q$124),"",ReferenceData!$Q$124),"")</f>
        <v>30.443000000000001</v>
      </c>
      <c r="R124" t="str">
        <f ca="1">IFERROR(IF(0=LEN(ReferenceData!$R$124),"",ReferenceData!$R$124),"")</f>
        <v/>
      </c>
      <c r="S124" t="str">
        <f ca="1">IFERROR(IF(0=LEN(ReferenceData!$S$124),"",ReferenceData!$S$124),"")</f>
        <v/>
      </c>
      <c r="T124" t="str">
        <f ca="1">IFERROR(IF(0=LEN(ReferenceData!$T$124),"",ReferenceData!$T$124),"")</f>
        <v/>
      </c>
      <c r="U124" t="str">
        <f ca="1">IFERROR(IF(0=LEN(ReferenceData!$U$124),"",ReferenceData!$U$124),"")</f>
        <v/>
      </c>
      <c r="V124" t="str">
        <f ca="1">IFERROR(IF(0=LEN(ReferenceData!$V$124),"",ReferenceData!$V$124),"")</f>
        <v/>
      </c>
      <c r="W124" t="str">
        <f ca="1">IFERROR(IF(0=LEN(ReferenceData!$W$124),"",ReferenceData!$W$124),"")</f>
        <v/>
      </c>
      <c r="X124" t="str">
        <f ca="1">IFERROR(IF(0=LEN(ReferenceData!$X$124),"",ReferenceData!$X$124),"")</f>
        <v/>
      </c>
      <c r="Y124" t="str">
        <f ca="1">IFERROR(IF(0=LEN(ReferenceData!$Y$124),"",ReferenceData!$Y$124),"")</f>
        <v/>
      </c>
      <c r="Z124" t="str">
        <f ca="1">IFERROR(IF(0=LEN(ReferenceData!$Z$124),"",ReferenceData!$Z$124),"")</f>
        <v/>
      </c>
      <c r="AA124" t="str">
        <f ca="1">IFERROR(IF(0=LEN(ReferenceData!$AA$124),"",ReferenceData!$AA$124),"")</f>
        <v/>
      </c>
      <c r="AB124" t="str">
        <f ca="1">IFERROR(IF(0=LEN(ReferenceData!$AB$124),"",ReferenceData!$AB$124),"")</f>
        <v/>
      </c>
      <c r="AC124" t="str">
        <f ca="1">IFERROR(IF(0=LEN(ReferenceData!$AC$124),"",ReferenceData!$AC$124),"")</f>
        <v/>
      </c>
      <c r="AD124" t="str">
        <f ca="1">IFERROR(IF(0=LEN(ReferenceData!$AD$124),"",ReferenceData!$AD$124),"")</f>
        <v/>
      </c>
      <c r="AE124" t="str">
        <f ca="1">IFERROR(IF(0=LEN(ReferenceData!$AE$124),"",ReferenceData!$AE$124),"")</f>
        <v/>
      </c>
      <c r="AF124" t="str">
        <f ca="1">IFERROR(IF(0=LEN(ReferenceData!$AF$124),"",ReferenceData!$AF$124),"")</f>
        <v/>
      </c>
      <c r="AG124" t="str">
        <f ca="1">IFERROR(IF(0=LEN(ReferenceData!$AG$124),"",ReferenceData!$AG$124),"")</f>
        <v/>
      </c>
      <c r="AH124" t="str">
        <f ca="1">IFERROR(IF(0=LEN(ReferenceData!$AH$124),"",ReferenceData!$AH$124),"")</f>
        <v/>
      </c>
      <c r="AI124" t="str">
        <f ca="1">IFERROR(IF(0=LEN(ReferenceData!$AI$124),"",ReferenceData!$AI$124),"")</f>
        <v/>
      </c>
      <c r="AJ124" t="str">
        <f ca="1">IFERROR(IF(0=LEN(ReferenceData!$AJ$124),"",ReferenceData!$AJ$124),"")</f>
        <v/>
      </c>
      <c r="AK124" t="str">
        <f ca="1">IFERROR(IF(0=LEN(ReferenceData!$AK$124),"",ReferenceData!$AK$124),"")</f>
        <v/>
      </c>
      <c r="AL124" t="str">
        <f ca="1">IFERROR(IF(0=LEN(ReferenceData!$AL$124),"",ReferenceData!$AL$124),"")</f>
        <v/>
      </c>
      <c r="AM124" t="str">
        <f ca="1">IFERROR(IF(0=LEN(ReferenceData!$AM$124),"",ReferenceData!$AM$124),"")</f>
        <v/>
      </c>
      <c r="AN124" t="str">
        <f ca="1">IFERROR(IF(0=LEN(ReferenceData!$AN$124),"",ReferenceData!$AN$124),"")</f>
        <v/>
      </c>
      <c r="AO124" t="str">
        <f ca="1">IFERROR(IF(0=LEN(ReferenceData!$AO$124),"",ReferenceData!$AO$124),"")</f>
        <v/>
      </c>
      <c r="AP124" t="str">
        <f ca="1">IFERROR(IF(0=LEN(ReferenceData!$AP$124),"",ReferenceData!$AP$124),"")</f>
        <v/>
      </c>
      <c r="AQ124" t="str">
        <f ca="1">IFERROR(IF(0=LEN(ReferenceData!$AQ$124),"",ReferenceData!$AQ$124),"")</f>
        <v/>
      </c>
      <c r="AR124" t="str">
        <f ca="1">IFERROR(IF(0=LEN(ReferenceData!$AR$124),"",ReferenceData!$AR$124),"")</f>
        <v/>
      </c>
      <c r="AS124" t="str">
        <f ca="1">IFERROR(IF(0=LEN(ReferenceData!$AS$124),"",ReferenceData!$AS$124),"")</f>
        <v/>
      </c>
      <c r="AT124" t="str">
        <f ca="1">IFERROR(IF(0=LEN(ReferenceData!$AT$124),"",ReferenceData!$AT$124),"")</f>
        <v/>
      </c>
      <c r="AU124" t="str">
        <f ca="1">IFERROR(IF(0=LEN(ReferenceData!$AU$124),"",ReferenceData!$AU$124),"")</f>
        <v/>
      </c>
      <c r="AV124" t="str">
        <f ca="1">IFERROR(IF(0=LEN(ReferenceData!$AV$124),"",ReferenceData!$AV$124),"")</f>
        <v/>
      </c>
      <c r="AW124" t="str">
        <f ca="1">IFERROR(IF(0=LEN(ReferenceData!$AW$124),"",ReferenceData!$AW$124),"")</f>
        <v/>
      </c>
      <c r="AX124" t="str">
        <f ca="1">IFERROR(IF(0=LEN(ReferenceData!$AX$124),"",ReferenceData!$AX$124),"")</f>
        <v/>
      </c>
      <c r="AY124" t="str">
        <f ca="1">IFERROR(IF(0=LEN(ReferenceData!$AY$124),"",ReferenceData!$AY$124),"")</f>
        <v/>
      </c>
      <c r="AZ124" t="str">
        <f ca="1">IFERROR(IF(0=LEN(ReferenceData!$AZ$124),"",ReferenceData!$AZ$124),"")</f>
        <v/>
      </c>
      <c r="BA124" t="str">
        <f ca="1">IFERROR(IF(0=LEN(ReferenceData!$BA$124),"",ReferenceData!$BA$124),"")</f>
        <v/>
      </c>
      <c r="BB124" t="str">
        <f ca="1">IFERROR(IF(0=LEN(ReferenceData!$BB$124),"",ReferenceData!$BB$124),"")</f>
        <v/>
      </c>
      <c r="BC124" t="str">
        <f ca="1">IFERROR(IF(0=LEN(ReferenceData!$BC$124),"",ReferenceData!$BC$124),"")</f>
        <v/>
      </c>
      <c r="BD124" t="str">
        <f ca="1">IFERROR(IF(0=LEN(ReferenceData!$BD$124),"",ReferenceData!$BD$124),"")</f>
        <v/>
      </c>
      <c r="BE124" t="str">
        <f ca="1">IFERROR(IF(0=LEN(ReferenceData!$BE$124),"",ReferenceData!$BE$124),"")</f>
        <v/>
      </c>
      <c r="BF124" t="str">
        <f ca="1">IFERROR(IF(0=LEN(ReferenceData!$BF$124),"",ReferenceData!$BF$124),"")</f>
        <v/>
      </c>
      <c r="BG124" t="str">
        <f ca="1">IFERROR(IF(0=LEN(ReferenceData!$BG$124),"",ReferenceData!$BG$124),"")</f>
        <v/>
      </c>
      <c r="BH124" t="str">
        <f ca="1">IFERROR(IF(0=LEN(ReferenceData!$BH$124),"",ReferenceData!$BH$124),"")</f>
        <v/>
      </c>
      <c r="BI124" t="str">
        <f ca="1">IFERROR(IF(0=LEN(ReferenceData!$BI$124),"",ReferenceData!$BI$124),"")</f>
        <v/>
      </c>
      <c r="BJ124" t="str">
        <f ca="1">IFERROR(IF(0=LEN(ReferenceData!$BJ$124),"",ReferenceData!$BJ$124),"")</f>
        <v/>
      </c>
      <c r="BK124" t="str">
        <f ca="1">IFERROR(IF(0=LEN(ReferenceData!$BK$124),"",ReferenceData!$BK$124),"")</f>
        <v/>
      </c>
      <c r="BL124" t="str">
        <f ca="1">IFERROR(IF(0=LEN(ReferenceData!$BL$124),"",ReferenceData!$BL$124),"")</f>
        <v/>
      </c>
      <c r="BM124" t="str">
        <f ca="1">IFERROR(IF(0=LEN(ReferenceData!$BM$124),"",ReferenceData!$BM$124),"")</f>
        <v/>
      </c>
    </row>
    <row r="125" spans="1:65" x14ac:dyDescent="0.25">
      <c r="A125" t="str">
        <f>IFERROR(IF(0=LEN(ReferenceData!$A$125),"",ReferenceData!$A$125),"")</f>
        <v xml:space="preserve">    Yulon Motor Co Ltd</v>
      </c>
      <c r="B125" t="str">
        <f>IFERROR(IF(0=LEN(ReferenceData!$B$125),"",ReferenceData!$B$125),"")</f>
        <v>2201 TT Equity</v>
      </c>
      <c r="C125" t="str">
        <f>IFERROR(IF(0=LEN(ReferenceData!$C$125),"",ReferenceData!$C$125),"")</f>
        <v>EZ021</v>
      </c>
      <c r="D125" t="str">
        <f>IFERROR(IF(0=LEN(ReferenceData!$D$125),"",ReferenceData!$D$125),"")</f>
        <v>BEST_EPS_NXT_YR</v>
      </c>
      <c r="E125" t="str">
        <f>IFERROR(IF(0=LEN(ReferenceData!$E$125),"",ReferenceData!$E$125),"")</f>
        <v>Dynamic</v>
      </c>
      <c r="F125">
        <f ca="1">IFERROR(IF(0=LEN(ReferenceData!$F$125),"",ReferenceData!$F$125),"")</f>
        <v>4.8000000000000001E-2</v>
      </c>
      <c r="G125">
        <f ca="1">IFERROR(IF(0=LEN(ReferenceData!$G$125),"",ReferenceData!$G$125),"")</f>
        <v>4.8000000000000001E-2</v>
      </c>
      <c r="H125">
        <f ca="1">IFERROR(IF(0=LEN(ReferenceData!$H$125),"",ReferenceData!$H$125),"")</f>
        <v>4.4999999999999998E-2</v>
      </c>
      <c r="I125" t="str">
        <f ca="1">IFERROR(IF(0=LEN(ReferenceData!$I$125),"",ReferenceData!$I$125),"")</f>
        <v/>
      </c>
      <c r="J125" t="str">
        <f ca="1">IFERROR(IF(0=LEN(ReferenceData!$J$125),"",ReferenceData!$J$125),"")</f>
        <v/>
      </c>
      <c r="K125" t="str">
        <f ca="1">IFERROR(IF(0=LEN(ReferenceData!$K$125),"",ReferenceData!$K$125),"")</f>
        <v/>
      </c>
      <c r="L125" t="str">
        <f ca="1">IFERROR(IF(0=LEN(ReferenceData!$L$125),"",ReferenceData!$L$125),"")</f>
        <v/>
      </c>
      <c r="M125" t="str">
        <f ca="1">IFERROR(IF(0=LEN(ReferenceData!$M$125),"",ReferenceData!$M$125),"")</f>
        <v/>
      </c>
      <c r="N125" t="str">
        <f ca="1">IFERROR(IF(0=LEN(ReferenceData!$N$125),"",ReferenceData!$N$125),"")</f>
        <v/>
      </c>
      <c r="O125" t="str">
        <f ca="1">IFERROR(IF(0=LEN(ReferenceData!$O$125),"",ReferenceData!$O$125),"")</f>
        <v/>
      </c>
      <c r="P125" t="str">
        <f ca="1">IFERROR(IF(0=LEN(ReferenceData!$P$125),"",ReferenceData!$P$125),"")</f>
        <v/>
      </c>
      <c r="Q125" t="str">
        <f ca="1">IFERROR(IF(0=LEN(ReferenceData!$Q$125),"",ReferenceData!$Q$125),"")</f>
        <v/>
      </c>
      <c r="R125" t="str">
        <f ca="1">IFERROR(IF(0=LEN(ReferenceData!$R$125),"",ReferenceData!$R$125),"")</f>
        <v/>
      </c>
      <c r="S125" t="str">
        <f ca="1">IFERROR(IF(0=LEN(ReferenceData!$S$125),"",ReferenceData!$S$125),"")</f>
        <v/>
      </c>
      <c r="T125" t="str">
        <f ca="1">IFERROR(IF(0=LEN(ReferenceData!$T$125),"",ReferenceData!$T$125),"")</f>
        <v/>
      </c>
      <c r="U125" t="str">
        <f ca="1">IFERROR(IF(0=LEN(ReferenceData!$U$125),"",ReferenceData!$U$125),"")</f>
        <v/>
      </c>
      <c r="V125" t="str">
        <f ca="1">IFERROR(IF(0=LEN(ReferenceData!$V$125),"",ReferenceData!$V$125),"")</f>
        <v/>
      </c>
      <c r="W125" t="str">
        <f ca="1">IFERROR(IF(0=LEN(ReferenceData!$W$125),"",ReferenceData!$W$125),"")</f>
        <v/>
      </c>
      <c r="X125" t="str">
        <f ca="1">IFERROR(IF(0=LEN(ReferenceData!$X$125),"",ReferenceData!$X$125),"")</f>
        <v/>
      </c>
      <c r="Y125" t="str">
        <f ca="1">IFERROR(IF(0=LEN(ReferenceData!$Y$125),"",ReferenceData!$Y$125),"")</f>
        <v/>
      </c>
      <c r="Z125" t="str">
        <f ca="1">IFERROR(IF(0=LEN(ReferenceData!$Z$125),"",ReferenceData!$Z$125),"")</f>
        <v/>
      </c>
      <c r="AA125" t="str">
        <f ca="1">IFERROR(IF(0=LEN(ReferenceData!$AA$125),"",ReferenceData!$AA$125),"")</f>
        <v/>
      </c>
      <c r="AB125" t="str">
        <f ca="1">IFERROR(IF(0=LEN(ReferenceData!$AB$125),"",ReferenceData!$AB$125),"")</f>
        <v/>
      </c>
      <c r="AC125" t="str">
        <f ca="1">IFERROR(IF(0=LEN(ReferenceData!$AC$125),"",ReferenceData!$AC$125),"")</f>
        <v/>
      </c>
      <c r="AD125" t="str">
        <f ca="1">IFERROR(IF(0=LEN(ReferenceData!$AD$125),"",ReferenceData!$AD$125),"")</f>
        <v/>
      </c>
      <c r="AE125" t="str">
        <f ca="1">IFERROR(IF(0=LEN(ReferenceData!$AE$125),"",ReferenceData!$AE$125),"")</f>
        <v/>
      </c>
      <c r="AF125" t="str">
        <f ca="1">IFERROR(IF(0=LEN(ReferenceData!$AF$125),"",ReferenceData!$AF$125),"")</f>
        <v/>
      </c>
      <c r="AG125" t="str">
        <f ca="1">IFERROR(IF(0=LEN(ReferenceData!$AG$125),"",ReferenceData!$AG$125),"")</f>
        <v/>
      </c>
      <c r="AH125" t="str">
        <f ca="1">IFERROR(IF(0=LEN(ReferenceData!$AH$125),"",ReferenceData!$AH$125),"")</f>
        <v/>
      </c>
      <c r="AI125" t="str">
        <f ca="1">IFERROR(IF(0=LEN(ReferenceData!$AI$125),"",ReferenceData!$AI$125),"")</f>
        <v/>
      </c>
      <c r="AJ125" t="str">
        <f ca="1">IFERROR(IF(0=LEN(ReferenceData!$AJ$125),"",ReferenceData!$AJ$125),"")</f>
        <v/>
      </c>
      <c r="AK125" t="str">
        <f ca="1">IFERROR(IF(0=LEN(ReferenceData!$AK$125),"",ReferenceData!$AK$125),"")</f>
        <v/>
      </c>
      <c r="AL125" t="str">
        <f ca="1">IFERROR(IF(0=LEN(ReferenceData!$AL$125),"",ReferenceData!$AL$125),"")</f>
        <v/>
      </c>
      <c r="AM125" t="str">
        <f ca="1">IFERROR(IF(0=LEN(ReferenceData!$AM$125),"",ReferenceData!$AM$125),"")</f>
        <v/>
      </c>
      <c r="AN125" t="str">
        <f ca="1">IFERROR(IF(0=LEN(ReferenceData!$AN$125),"",ReferenceData!$AN$125),"")</f>
        <v/>
      </c>
      <c r="AO125" t="str">
        <f ca="1">IFERROR(IF(0=LEN(ReferenceData!$AO$125),"",ReferenceData!$AO$125),"")</f>
        <v/>
      </c>
      <c r="AP125" t="str">
        <f ca="1">IFERROR(IF(0=LEN(ReferenceData!$AP$125),"",ReferenceData!$AP$125),"")</f>
        <v/>
      </c>
      <c r="AQ125" t="str">
        <f ca="1">IFERROR(IF(0=LEN(ReferenceData!$AQ$125),"",ReferenceData!$AQ$125),"")</f>
        <v/>
      </c>
      <c r="AR125" t="str">
        <f ca="1">IFERROR(IF(0=LEN(ReferenceData!$AR$125),"",ReferenceData!$AR$125),"")</f>
        <v/>
      </c>
      <c r="AS125" t="str">
        <f ca="1">IFERROR(IF(0=LEN(ReferenceData!$AS$125),"",ReferenceData!$AS$125),"")</f>
        <v/>
      </c>
      <c r="AT125" t="str">
        <f ca="1">IFERROR(IF(0=LEN(ReferenceData!$AT$125),"",ReferenceData!$AT$125),"")</f>
        <v/>
      </c>
      <c r="AU125" t="str">
        <f ca="1">IFERROR(IF(0=LEN(ReferenceData!$AU$125),"",ReferenceData!$AU$125),"")</f>
        <v/>
      </c>
      <c r="AV125" t="str">
        <f ca="1">IFERROR(IF(0=LEN(ReferenceData!$AV$125),"",ReferenceData!$AV$125),"")</f>
        <v/>
      </c>
      <c r="AW125" t="str">
        <f ca="1">IFERROR(IF(0=LEN(ReferenceData!$AW$125),"",ReferenceData!$AW$125),"")</f>
        <v/>
      </c>
      <c r="AX125" t="str">
        <f ca="1">IFERROR(IF(0=LEN(ReferenceData!$AX$125),"",ReferenceData!$AX$125),"")</f>
        <v/>
      </c>
      <c r="AY125" t="str">
        <f ca="1">IFERROR(IF(0=LEN(ReferenceData!$AY$125),"",ReferenceData!$AY$125),"")</f>
        <v/>
      </c>
      <c r="AZ125" t="str">
        <f ca="1">IFERROR(IF(0=LEN(ReferenceData!$AZ$125),"",ReferenceData!$AZ$125),"")</f>
        <v/>
      </c>
      <c r="BA125" t="str">
        <f ca="1">IFERROR(IF(0=LEN(ReferenceData!$BA$125),"",ReferenceData!$BA$125),"")</f>
        <v/>
      </c>
      <c r="BB125" t="str">
        <f ca="1">IFERROR(IF(0=LEN(ReferenceData!$BB$125),"",ReferenceData!$BB$125),"")</f>
        <v/>
      </c>
      <c r="BC125" t="str">
        <f ca="1">IFERROR(IF(0=LEN(ReferenceData!$BC$125),"",ReferenceData!$BC$125),"")</f>
        <v/>
      </c>
      <c r="BD125" t="str">
        <f ca="1">IFERROR(IF(0=LEN(ReferenceData!$BD$125),"",ReferenceData!$BD$125),"")</f>
        <v/>
      </c>
      <c r="BE125" t="str">
        <f ca="1">IFERROR(IF(0=LEN(ReferenceData!$BE$125),"",ReferenceData!$BE$125),"")</f>
        <v/>
      </c>
      <c r="BF125" t="str">
        <f ca="1">IFERROR(IF(0=LEN(ReferenceData!$BF$125),"",ReferenceData!$BF$125),"")</f>
        <v/>
      </c>
      <c r="BG125" t="str">
        <f ca="1">IFERROR(IF(0=LEN(ReferenceData!$BG$125),"",ReferenceData!$BG$125),"")</f>
        <v/>
      </c>
      <c r="BH125" t="str">
        <f ca="1">IFERROR(IF(0=LEN(ReferenceData!$BH$125),"",ReferenceData!$BH$125),"")</f>
        <v/>
      </c>
      <c r="BI125" t="str">
        <f ca="1">IFERROR(IF(0=LEN(ReferenceData!$BI$125),"",ReferenceData!$BI$125),"")</f>
        <v/>
      </c>
      <c r="BJ125" t="str">
        <f ca="1">IFERROR(IF(0=LEN(ReferenceData!$BJ$125),"",ReferenceData!$BJ$125),"")</f>
        <v/>
      </c>
      <c r="BK125" t="str">
        <f ca="1">IFERROR(IF(0=LEN(ReferenceData!$BK$125),"",ReferenceData!$BK$125),"")</f>
        <v/>
      </c>
      <c r="BL125" t="str">
        <f ca="1">IFERROR(IF(0=LEN(ReferenceData!$BL$125),"",ReferenceData!$BL$125),"")</f>
        <v/>
      </c>
      <c r="BM125" t="str">
        <f ca="1">IFERROR(IF(0=LEN(ReferenceData!$BM$125),"",ReferenceData!$BM$125),"")</f>
        <v/>
      </c>
    </row>
    <row r="126" spans="1:65" x14ac:dyDescent="0.25">
      <c r="A126" t="str">
        <f>IFERROR(IF(0=LEN(ReferenceData!$A$126),"",ReferenceData!$A$126),"")</f>
        <v>T12M EBITDA</v>
      </c>
      <c r="B126" t="str">
        <f>IFERROR(IF(0=LEN(ReferenceData!$B$126),"",ReferenceData!$B$126),"")</f>
        <v/>
      </c>
      <c r="C126" t="str">
        <f>IFERROR(IF(0=LEN(ReferenceData!$C$126),"",ReferenceData!$C$126),"")</f>
        <v/>
      </c>
      <c r="D126" t="str">
        <f>IFERROR(IF(0=LEN(ReferenceData!$D$126),"",ReferenceData!$D$126),"")</f>
        <v/>
      </c>
      <c r="E126" t="str">
        <f>IFERROR(IF(0=LEN(ReferenceData!$E$126),"",ReferenceData!$E$126),"")</f>
        <v>Average</v>
      </c>
      <c r="F126" t="str">
        <f ca="1">IFERROR(IF(0=LEN(ReferenceData!$F$126),"",ReferenceData!$F$126),"")</f>
        <v/>
      </c>
      <c r="G126">
        <f ca="1">IFERROR(IF(0=LEN(ReferenceData!$G$126),"",ReferenceData!$G$126),"")</f>
        <v>9712.3306586400013</v>
      </c>
      <c r="H126">
        <f ca="1">IFERROR(IF(0=LEN(ReferenceData!$H$126),"",ReferenceData!$H$126),"")</f>
        <v>9675.5681025313042</v>
      </c>
      <c r="I126">
        <f ca="1">IFERROR(IF(0=LEN(ReferenceData!$I$126),"",ReferenceData!$I$126),"")</f>
        <v>9718.4431874921738</v>
      </c>
      <c r="J126">
        <f ca="1">IFERROR(IF(0=LEN(ReferenceData!$J$126),"",ReferenceData!$J$126),"")</f>
        <v>9799.8899021065208</v>
      </c>
      <c r="K126">
        <f ca="1">IFERROR(IF(0=LEN(ReferenceData!$K$126),"",ReferenceData!$K$126),"")</f>
        <v>9622.1265138756535</v>
      </c>
      <c r="L126">
        <f ca="1">IFERROR(IF(0=LEN(ReferenceData!$L$126),"",ReferenceData!$L$126),"")</f>
        <v>9088.2635013299969</v>
      </c>
      <c r="M126">
        <f ca="1">IFERROR(IF(0=LEN(ReferenceData!$M$126),"",ReferenceData!$M$126),"")</f>
        <v>9217.7183030769556</v>
      </c>
      <c r="N126">
        <f ca="1">IFERROR(IF(0=LEN(ReferenceData!$N$126),"",ReferenceData!$N$126),"")</f>
        <v>9052.6747697156516</v>
      </c>
      <c r="O126">
        <f ca="1">IFERROR(IF(0=LEN(ReferenceData!$O$126),"",ReferenceData!$O$126),"")</f>
        <v>8874.3368174969564</v>
      </c>
      <c r="P126">
        <f ca="1">IFERROR(IF(0=LEN(ReferenceData!$P$126),"",ReferenceData!$P$126),"")</f>
        <v>8574.3298703930432</v>
      </c>
      <c r="Q126">
        <f ca="1">IFERROR(IF(0=LEN(ReferenceData!$Q$126),"",ReferenceData!$Q$126),"")</f>
        <v>8228.0099798687843</v>
      </c>
      <c r="R126">
        <f ca="1">IFERROR(IF(0=LEN(ReferenceData!$R$126),"",ReferenceData!$R$126),"")</f>
        <v>7902.181725079583</v>
      </c>
      <c r="S126">
        <f ca="1">IFERROR(IF(0=LEN(ReferenceData!$S$126),"",ReferenceData!$S$126),"")</f>
        <v>7847.0184245250011</v>
      </c>
      <c r="T126">
        <f ca="1">IFERROR(IF(0=LEN(ReferenceData!$T$126),"",ReferenceData!$T$126),"")</f>
        <v>8205.8626395370829</v>
      </c>
      <c r="U126">
        <f ca="1">IFERROR(IF(0=LEN(ReferenceData!$U$126),"",ReferenceData!$U$126),"")</f>
        <v>8566.4917785737089</v>
      </c>
      <c r="V126">
        <f ca="1">IFERROR(IF(0=LEN(ReferenceData!$V$126),"",ReferenceData!$V$126),"")</f>
        <v>8597.0748810240821</v>
      </c>
      <c r="W126">
        <f ca="1">IFERROR(IF(0=LEN(ReferenceData!$W$126),"",ReferenceData!$W$126),"")</f>
        <v>8567.8413617777896</v>
      </c>
      <c r="X126">
        <f ca="1">IFERROR(IF(0=LEN(ReferenceData!$X$126),"",ReferenceData!$X$126),"")</f>
        <v>8667.4100902418249</v>
      </c>
      <c r="Y126">
        <f ca="1">IFERROR(IF(0=LEN(ReferenceData!$Y$126),"",ReferenceData!$Y$126),"")</f>
        <v>8604.5964426354767</v>
      </c>
      <c r="Z126">
        <f ca="1">IFERROR(IF(0=LEN(ReferenceData!$Z$126),"",ReferenceData!$Z$126),"")</f>
        <v>8448.5774277695218</v>
      </c>
      <c r="AA126">
        <f ca="1">IFERROR(IF(0=LEN(ReferenceData!$AA$126),"",ReferenceData!$AA$126),"")</f>
        <v>8432.4604883056509</v>
      </c>
      <c r="AB126">
        <f ca="1">IFERROR(IF(0=LEN(ReferenceData!$AB$126),"",ReferenceData!$AB$126),"")</f>
        <v>6361.8879968686961</v>
      </c>
      <c r="AC126">
        <f ca="1">IFERROR(IF(0=LEN(ReferenceData!$AC$126),"",ReferenceData!$AC$126),"")</f>
        <v>6070.951240943913</v>
      </c>
      <c r="AD126">
        <f ca="1">IFERROR(IF(0=LEN(ReferenceData!$AD$126),"",ReferenceData!$AD$126),"")</f>
        <v>5974.83682937913</v>
      </c>
      <c r="AE126">
        <f ca="1">IFERROR(IF(0=LEN(ReferenceData!$AE$126),"",ReferenceData!$AE$126),"")</f>
        <v>5862.6619758534771</v>
      </c>
      <c r="AF126">
        <f ca="1">IFERROR(IF(0=LEN(ReferenceData!$AF$126),"",ReferenceData!$AF$126),"")</f>
        <v>7789.6870512740898</v>
      </c>
      <c r="AG126">
        <f ca="1">IFERROR(IF(0=LEN(ReferenceData!$AG$126),"",ReferenceData!$AG$126),"")</f>
        <v>7678.8279091499999</v>
      </c>
      <c r="AH126">
        <f ca="1">IFERROR(IF(0=LEN(ReferenceData!$AH$126),"",ReferenceData!$AH$126),"")</f>
        <v>7395.2921988509097</v>
      </c>
      <c r="AI126">
        <f ca="1">IFERROR(IF(0=LEN(ReferenceData!$AI$126),"",ReferenceData!$AI$126),"")</f>
        <v>6780.6655426282605</v>
      </c>
      <c r="AJ126">
        <f ca="1">IFERROR(IF(0=LEN(ReferenceData!$AJ$126),"",ReferenceData!$AJ$126),"")</f>
        <v>6704.4381126786948</v>
      </c>
      <c r="AK126">
        <f ca="1">IFERROR(IF(0=LEN(ReferenceData!$AK$126),"",ReferenceData!$AK$126),"")</f>
        <v>6703.3403902856517</v>
      </c>
      <c r="AL126">
        <f ca="1">IFERROR(IF(0=LEN(ReferenceData!$AL$126),"",ReferenceData!$AL$126),"")</f>
        <v>6790.1707019534788</v>
      </c>
      <c r="AM126">
        <f ca="1">IFERROR(IF(0=LEN(ReferenceData!$AM$126),"",ReferenceData!$AM$126),"")</f>
        <v>6603.7612101452178</v>
      </c>
      <c r="AN126">
        <f ca="1">IFERROR(IF(0=LEN(ReferenceData!$AN$126),"",ReferenceData!$AN$126),"")</f>
        <v>6795.1398986419981</v>
      </c>
      <c r="AO126">
        <f ca="1">IFERROR(IF(0=LEN(ReferenceData!$AO$126),"",ReferenceData!$AO$126),"")</f>
        <v>6451.1262339405266</v>
      </c>
      <c r="AP126">
        <f ca="1">IFERROR(IF(0=LEN(ReferenceData!$AP$126),"",ReferenceData!$AP$126),"")</f>
        <v>4822.7476568573693</v>
      </c>
      <c r="AQ126">
        <f ca="1">IFERROR(IF(0=LEN(ReferenceData!$AQ$126),"",ReferenceData!$AQ$126),"")</f>
        <v>3050.588069671579</v>
      </c>
      <c r="AR126">
        <f ca="1">IFERROR(IF(0=LEN(ReferenceData!$AR$126),"",ReferenceData!$AR$126),"")</f>
        <v>2863.9188817244444</v>
      </c>
      <c r="AS126">
        <f ca="1">IFERROR(IF(0=LEN(ReferenceData!$AS$126),"",ReferenceData!$AS$126),"")</f>
        <v>3482.9625611864444</v>
      </c>
      <c r="AT126">
        <f ca="1">IFERROR(IF(0=LEN(ReferenceData!$AT$126),"",ReferenceData!$AT$126),"")</f>
        <v>4347.2640703449997</v>
      </c>
      <c r="AU126">
        <f ca="1">IFERROR(IF(0=LEN(ReferenceData!$AU$126),"",ReferenceData!$AU$126),"")</f>
        <v>6069.5849731376911</v>
      </c>
      <c r="AV126">
        <f ca="1">IFERROR(IF(0=LEN(ReferenceData!$AV$126),"",ReferenceData!$AV$126),"")</f>
        <v>8398.618534563635</v>
      </c>
      <c r="AW126">
        <f ca="1">IFERROR(IF(0=LEN(ReferenceData!$AW$126),"",ReferenceData!$AW$126),"")</f>
        <v>8178.3826851545455</v>
      </c>
      <c r="AX126">
        <f ca="1">IFERROR(IF(0=LEN(ReferenceData!$AX$126),"",ReferenceData!$AX$126),"")</f>
        <v>8577.4623713454566</v>
      </c>
      <c r="AY126">
        <f ca="1">IFERROR(IF(0=LEN(ReferenceData!$AY$126),"",ReferenceData!$AY$126),"")</f>
        <v>8477.6339994090922</v>
      </c>
      <c r="AZ126">
        <f ca="1">IFERROR(IF(0=LEN(ReferenceData!$AZ$126),"",ReferenceData!$AZ$126),"")</f>
        <v>7191.5487408416666</v>
      </c>
      <c r="BA126">
        <f ca="1">IFERROR(IF(0=LEN(ReferenceData!$BA$126),"",ReferenceData!$BA$126),"")</f>
        <v>6453.4413046299996</v>
      </c>
      <c r="BB126">
        <f ca="1">IFERROR(IF(0=LEN(ReferenceData!$BB$126),"",ReferenceData!$BB$126),"")</f>
        <v>6165.3540935166675</v>
      </c>
      <c r="BC126">
        <f ca="1">IFERROR(IF(0=LEN(ReferenceData!$BC$126),"",ReferenceData!$BC$126),"")</f>
        <v>5634.6435742350004</v>
      </c>
      <c r="BD126">
        <f ca="1">IFERROR(IF(0=LEN(ReferenceData!$BD$126),"",ReferenceData!$BD$126),"")</f>
        <v>5572.0219416241671</v>
      </c>
      <c r="BE126">
        <f ca="1">IFERROR(IF(0=LEN(ReferenceData!$BE$126),"",ReferenceData!$BE$126),"")</f>
        <v>5922.9691406391676</v>
      </c>
      <c r="BF126">
        <f ca="1">IFERROR(IF(0=LEN(ReferenceData!$BF$126),"",ReferenceData!$BF$126),"")</f>
        <v>5926.7733076325012</v>
      </c>
      <c r="BG126">
        <f ca="1">IFERROR(IF(0=LEN(ReferenceData!$BG$126),"",ReferenceData!$BG$126),"")</f>
        <v>5152.794963737857</v>
      </c>
      <c r="BH126">
        <f ca="1">IFERROR(IF(0=LEN(ReferenceData!$BH$126),"",ReferenceData!$BH$126),"")</f>
        <v>6043.761950791667</v>
      </c>
      <c r="BI126">
        <f ca="1">IFERROR(IF(0=LEN(ReferenceData!$BI$126),"",ReferenceData!$BI$126),"")</f>
        <v>7153.7393891327265</v>
      </c>
      <c r="BJ126">
        <f ca="1">IFERROR(IF(0=LEN(ReferenceData!$BJ$126),"",ReferenceData!$BJ$126),"")</f>
        <v>7089.6783782327266</v>
      </c>
      <c r="BK126">
        <f ca="1">IFERROR(IF(0=LEN(ReferenceData!$BK$126),"",ReferenceData!$BK$126),"")</f>
        <v>7852.7898026477778</v>
      </c>
      <c r="BL126">
        <f ca="1">IFERROR(IF(0=LEN(ReferenceData!$BL$126),"",ReferenceData!$BL$126),"")</f>
        <v>7828.1500404388889</v>
      </c>
      <c r="BM126">
        <f ca="1">IFERROR(IF(0=LEN(ReferenceData!$BM$126),"",ReferenceData!$BM$126),"")</f>
        <v>7692.5250803977788</v>
      </c>
    </row>
    <row r="127" spans="1:65" x14ac:dyDescent="0.25">
      <c r="A127" t="str">
        <f>IFERROR(IF(0=LEN(ReferenceData!$A$127),"",ReferenceData!$A$127),"")</f>
        <v xml:space="preserve">    AUDI AG</v>
      </c>
      <c r="B127" t="str">
        <f>IFERROR(IF(0=LEN(ReferenceData!$B$127),"",ReferenceData!$B$127),"")</f>
        <v>NSU GR Equity</v>
      </c>
      <c r="C127" t="str">
        <f>IFERROR(IF(0=LEN(ReferenceData!$C$127),"",ReferenceData!$C$127),"")</f>
        <v>RR841</v>
      </c>
      <c r="D127" t="str">
        <f>IFERROR(IF(0=LEN(ReferenceData!$D$127),"",ReferenceData!$D$127),"")</f>
        <v>TRAIL_12M_EBITDA</v>
      </c>
      <c r="E127" t="str">
        <f>IFERROR(IF(0=LEN(ReferenceData!$E$127),"",ReferenceData!$E$127),"")</f>
        <v>Dynamic</v>
      </c>
      <c r="F127" t="str">
        <f ca="1">IFERROR(IF(0=LEN(ReferenceData!$F$127),"",ReferenceData!$F$127),"")</f>
        <v/>
      </c>
      <c r="G127" t="str">
        <f ca="1">IFERROR(IF(0=LEN(ReferenceData!$G$127),"",ReferenceData!$G$127),"")</f>
        <v/>
      </c>
      <c r="H127" t="str">
        <f ca="1">IFERROR(IF(0=LEN(ReferenceData!$H$127),"",ReferenceData!$H$127),"")</f>
        <v/>
      </c>
      <c r="I127" t="str">
        <f ca="1">IFERROR(IF(0=LEN(ReferenceData!$I$127),"",ReferenceData!$I$127),"")</f>
        <v/>
      </c>
      <c r="J127" t="str">
        <f ca="1">IFERROR(IF(0=LEN(ReferenceData!$J$127),"",ReferenceData!$J$127),"")</f>
        <v/>
      </c>
      <c r="K127" t="str">
        <f ca="1">IFERROR(IF(0=LEN(ReferenceData!$K$127),"",ReferenceData!$K$127),"")</f>
        <v/>
      </c>
      <c r="L127" t="str">
        <f ca="1">IFERROR(IF(0=LEN(ReferenceData!$L$127),"",ReferenceData!$L$127),"")</f>
        <v/>
      </c>
      <c r="M127" t="str">
        <f ca="1">IFERROR(IF(0=LEN(ReferenceData!$M$127),"",ReferenceData!$M$127),"")</f>
        <v/>
      </c>
      <c r="N127" t="str">
        <f ca="1">IFERROR(IF(0=LEN(ReferenceData!$N$127),"",ReferenceData!$N$127),"")</f>
        <v/>
      </c>
      <c r="O127" t="str">
        <f ca="1">IFERROR(IF(0=LEN(ReferenceData!$O$127),"",ReferenceData!$O$127),"")</f>
        <v/>
      </c>
      <c r="P127" t="str">
        <f ca="1">IFERROR(IF(0=LEN(ReferenceData!$P$127),"",ReferenceData!$P$127),"")</f>
        <v/>
      </c>
      <c r="Q127" t="str">
        <f ca="1">IFERROR(IF(0=LEN(ReferenceData!$Q$127),"",ReferenceData!$Q$127),"")</f>
        <v/>
      </c>
      <c r="R127" t="str">
        <f ca="1">IFERROR(IF(0=LEN(ReferenceData!$R$127),"",ReferenceData!$R$127),"")</f>
        <v/>
      </c>
      <c r="S127" t="str">
        <f ca="1">IFERROR(IF(0=LEN(ReferenceData!$S$127),"",ReferenceData!$S$127),"")</f>
        <v/>
      </c>
      <c r="T127" t="str">
        <f ca="1">IFERROR(IF(0=LEN(ReferenceData!$T$127),"",ReferenceData!$T$127),"")</f>
        <v/>
      </c>
      <c r="U127" t="str">
        <f ca="1">IFERROR(IF(0=LEN(ReferenceData!$U$127),"",ReferenceData!$U$127),"")</f>
        <v/>
      </c>
      <c r="V127" t="str">
        <f ca="1">IFERROR(IF(0=LEN(ReferenceData!$V$127),"",ReferenceData!$V$127),"")</f>
        <v/>
      </c>
      <c r="W127" t="str">
        <f ca="1">IFERROR(IF(0=LEN(ReferenceData!$W$127),"",ReferenceData!$W$127),"")</f>
        <v/>
      </c>
      <c r="X127" t="str">
        <f ca="1">IFERROR(IF(0=LEN(ReferenceData!$X$127),"",ReferenceData!$X$127),"")</f>
        <v/>
      </c>
      <c r="Y127" t="str">
        <f ca="1">IFERROR(IF(0=LEN(ReferenceData!$Y$127),"",ReferenceData!$Y$127),"")</f>
        <v/>
      </c>
      <c r="Z127" t="str">
        <f ca="1">IFERROR(IF(0=LEN(ReferenceData!$Z$127),"",ReferenceData!$Z$127),"")</f>
        <v/>
      </c>
      <c r="AA127" t="str">
        <f ca="1">IFERROR(IF(0=LEN(ReferenceData!$AA$127),"",ReferenceData!$AA$127),"")</f>
        <v/>
      </c>
      <c r="AB127" t="str">
        <f ca="1">IFERROR(IF(0=LEN(ReferenceData!$AB$127),"",ReferenceData!$AB$127),"")</f>
        <v/>
      </c>
      <c r="AC127" t="str">
        <f ca="1">IFERROR(IF(0=LEN(ReferenceData!$AC$127),"",ReferenceData!$AC$127),"")</f>
        <v/>
      </c>
      <c r="AD127" t="str">
        <f ca="1">IFERROR(IF(0=LEN(ReferenceData!$AD$127),"",ReferenceData!$AD$127),"")</f>
        <v/>
      </c>
      <c r="AE127" t="str">
        <f ca="1">IFERROR(IF(0=LEN(ReferenceData!$AE$127),"",ReferenceData!$AE$127),"")</f>
        <v/>
      </c>
      <c r="AF127" t="str">
        <f ca="1">IFERROR(IF(0=LEN(ReferenceData!$AF$127),"",ReferenceData!$AF$127),"")</f>
        <v/>
      </c>
      <c r="AG127" t="str">
        <f ca="1">IFERROR(IF(0=LEN(ReferenceData!$AG$127),"",ReferenceData!$AG$127),"")</f>
        <v/>
      </c>
      <c r="AH127" t="str">
        <f ca="1">IFERROR(IF(0=LEN(ReferenceData!$AH$127),"",ReferenceData!$AH$127),"")</f>
        <v/>
      </c>
      <c r="AI127" t="str">
        <f ca="1">IFERROR(IF(0=LEN(ReferenceData!$AI$127),"",ReferenceData!$AI$127),"")</f>
        <v/>
      </c>
      <c r="AJ127" t="str">
        <f ca="1">IFERROR(IF(0=LEN(ReferenceData!$AJ$127),"",ReferenceData!$AJ$127),"")</f>
        <v/>
      </c>
      <c r="AK127" t="str">
        <f ca="1">IFERROR(IF(0=LEN(ReferenceData!$AK$127),"",ReferenceData!$AK$127),"")</f>
        <v/>
      </c>
      <c r="AL127" t="str">
        <f ca="1">IFERROR(IF(0=LEN(ReferenceData!$AL$127),"",ReferenceData!$AL$127),"")</f>
        <v/>
      </c>
      <c r="AM127" t="str">
        <f ca="1">IFERROR(IF(0=LEN(ReferenceData!$AM$127),"",ReferenceData!$AM$127),"")</f>
        <v/>
      </c>
      <c r="AN127" t="str">
        <f ca="1">IFERROR(IF(0=LEN(ReferenceData!$AN$127),"",ReferenceData!$AN$127),"")</f>
        <v/>
      </c>
      <c r="AO127" t="str">
        <f ca="1">IFERROR(IF(0=LEN(ReferenceData!$AO$127),"",ReferenceData!$AO$127),"")</f>
        <v/>
      </c>
      <c r="AP127" t="str">
        <f ca="1">IFERROR(IF(0=LEN(ReferenceData!$AP$127),"",ReferenceData!$AP$127),"")</f>
        <v/>
      </c>
      <c r="AQ127" t="str">
        <f ca="1">IFERROR(IF(0=LEN(ReferenceData!$AQ$127),"",ReferenceData!$AQ$127),"")</f>
        <v/>
      </c>
      <c r="AR127" t="str">
        <f ca="1">IFERROR(IF(0=LEN(ReferenceData!$AR$127),"",ReferenceData!$AR$127),"")</f>
        <v/>
      </c>
      <c r="AS127" t="str">
        <f ca="1">IFERROR(IF(0=LEN(ReferenceData!$AS$127),"",ReferenceData!$AS$127),"")</f>
        <v/>
      </c>
      <c r="AT127" t="str">
        <f ca="1">IFERROR(IF(0=LEN(ReferenceData!$AT$127),"",ReferenceData!$AT$127),"")</f>
        <v/>
      </c>
      <c r="AU127" t="str">
        <f ca="1">IFERROR(IF(0=LEN(ReferenceData!$AU$127),"",ReferenceData!$AU$127),"")</f>
        <v/>
      </c>
      <c r="AV127" t="str">
        <f ca="1">IFERROR(IF(0=LEN(ReferenceData!$AV$127),"",ReferenceData!$AV$127),"")</f>
        <v/>
      </c>
      <c r="AW127" t="str">
        <f ca="1">IFERROR(IF(0=LEN(ReferenceData!$AW$127),"",ReferenceData!$AW$127),"")</f>
        <v/>
      </c>
      <c r="AX127" t="str">
        <f ca="1">IFERROR(IF(0=LEN(ReferenceData!$AX$127),"",ReferenceData!$AX$127),"")</f>
        <v/>
      </c>
      <c r="AY127" t="str">
        <f ca="1">IFERROR(IF(0=LEN(ReferenceData!$AY$127),"",ReferenceData!$AY$127),"")</f>
        <v/>
      </c>
      <c r="AZ127" t="str">
        <f ca="1">IFERROR(IF(0=LEN(ReferenceData!$AZ$127),"",ReferenceData!$AZ$127),"")</f>
        <v/>
      </c>
      <c r="BA127" t="str">
        <f ca="1">IFERROR(IF(0=LEN(ReferenceData!$BA$127),"",ReferenceData!$BA$127),"")</f>
        <v/>
      </c>
      <c r="BB127" t="str">
        <f ca="1">IFERROR(IF(0=LEN(ReferenceData!$BB$127),"",ReferenceData!$BB$127),"")</f>
        <v/>
      </c>
      <c r="BC127" t="str">
        <f ca="1">IFERROR(IF(0=LEN(ReferenceData!$BC$127),"",ReferenceData!$BC$127),"")</f>
        <v/>
      </c>
      <c r="BD127" t="str">
        <f ca="1">IFERROR(IF(0=LEN(ReferenceData!$BD$127),"",ReferenceData!$BD$127),"")</f>
        <v/>
      </c>
      <c r="BE127" t="str">
        <f ca="1">IFERROR(IF(0=LEN(ReferenceData!$BE$127),"",ReferenceData!$BE$127),"")</f>
        <v/>
      </c>
      <c r="BF127" t="str">
        <f ca="1">IFERROR(IF(0=LEN(ReferenceData!$BF$127),"",ReferenceData!$BF$127),"")</f>
        <v/>
      </c>
      <c r="BG127" t="str">
        <f ca="1">IFERROR(IF(0=LEN(ReferenceData!$BG$127),"",ReferenceData!$BG$127),"")</f>
        <v/>
      </c>
      <c r="BH127" t="str">
        <f ca="1">IFERROR(IF(0=LEN(ReferenceData!$BH$127),"",ReferenceData!$BH$127),"")</f>
        <v/>
      </c>
      <c r="BI127" t="str">
        <f ca="1">IFERROR(IF(0=LEN(ReferenceData!$BI$127),"",ReferenceData!$BI$127),"")</f>
        <v/>
      </c>
      <c r="BJ127" t="str">
        <f ca="1">IFERROR(IF(0=LEN(ReferenceData!$BJ$127),"",ReferenceData!$BJ$127),"")</f>
        <v/>
      </c>
      <c r="BK127" t="str">
        <f ca="1">IFERROR(IF(0=LEN(ReferenceData!$BK$127),"",ReferenceData!$BK$127),"")</f>
        <v/>
      </c>
      <c r="BL127" t="str">
        <f ca="1">IFERROR(IF(0=LEN(ReferenceData!$BL$127),"",ReferenceData!$BL$127),"")</f>
        <v/>
      </c>
      <c r="BM127" t="str">
        <f ca="1">IFERROR(IF(0=LEN(ReferenceData!$BM$127),"",ReferenceData!$BM$127),"")</f>
        <v/>
      </c>
    </row>
    <row r="128" spans="1:65" x14ac:dyDescent="0.25">
      <c r="A128" t="str">
        <f>IFERROR(IF(0=LEN(ReferenceData!$A$128),"",ReferenceData!$A$128),"")</f>
        <v xml:space="preserve">    Avtovaz PJSC</v>
      </c>
      <c r="B128" t="str">
        <f>IFERROR(IF(0=LEN(ReferenceData!$B$128),"",ReferenceData!$B$128),"")</f>
        <v>AVAZ RM Equity</v>
      </c>
      <c r="C128" t="str">
        <f>IFERROR(IF(0=LEN(ReferenceData!$C$128),"",ReferenceData!$C$128),"")</f>
        <v>RR841</v>
      </c>
      <c r="D128" t="str">
        <f>IFERROR(IF(0=LEN(ReferenceData!$D$128),"",ReferenceData!$D$128),"")</f>
        <v>TRAIL_12M_EBITDA</v>
      </c>
      <c r="E128" t="str">
        <f>IFERROR(IF(0=LEN(ReferenceData!$E$128),"",ReferenceData!$E$128),"")</f>
        <v>Dynamic</v>
      </c>
      <c r="F128" t="str">
        <f ca="1">IFERROR(IF(0=LEN(ReferenceData!$F$128),"",ReferenceData!$F$128),"")</f>
        <v/>
      </c>
      <c r="G128" t="str">
        <f ca="1">IFERROR(IF(0=LEN(ReferenceData!$G$128),"",ReferenceData!$G$128),"")</f>
        <v/>
      </c>
      <c r="H128" t="str">
        <f ca="1">IFERROR(IF(0=LEN(ReferenceData!$H$128),"",ReferenceData!$H$128),"")</f>
        <v/>
      </c>
      <c r="I128" t="str">
        <f ca="1">IFERROR(IF(0=LEN(ReferenceData!$I$128),"",ReferenceData!$I$128),"")</f>
        <v/>
      </c>
      <c r="J128" t="str">
        <f ca="1">IFERROR(IF(0=LEN(ReferenceData!$J$128),"",ReferenceData!$J$128),"")</f>
        <v/>
      </c>
      <c r="K128" t="str">
        <f ca="1">IFERROR(IF(0=LEN(ReferenceData!$K$128),"",ReferenceData!$K$128),"")</f>
        <v/>
      </c>
      <c r="L128" t="str">
        <f ca="1">IFERROR(IF(0=LEN(ReferenceData!$L$128),"",ReferenceData!$L$128),"")</f>
        <v/>
      </c>
      <c r="M128" t="str">
        <f ca="1">IFERROR(IF(0=LEN(ReferenceData!$M$128),"",ReferenceData!$M$128),"")</f>
        <v/>
      </c>
      <c r="N128" t="str">
        <f ca="1">IFERROR(IF(0=LEN(ReferenceData!$N$128),"",ReferenceData!$N$128),"")</f>
        <v/>
      </c>
      <c r="O128" t="str">
        <f ca="1">IFERROR(IF(0=LEN(ReferenceData!$O$128),"",ReferenceData!$O$128),"")</f>
        <v/>
      </c>
      <c r="P128" t="str">
        <f ca="1">IFERROR(IF(0=LEN(ReferenceData!$P$128),"",ReferenceData!$P$128),"")</f>
        <v/>
      </c>
      <c r="Q128" t="str">
        <f ca="1">IFERROR(IF(0=LEN(ReferenceData!$Q$128),"",ReferenceData!$Q$128),"")</f>
        <v/>
      </c>
      <c r="R128" t="str">
        <f ca="1">IFERROR(IF(0=LEN(ReferenceData!$R$128),"",ReferenceData!$R$128),"")</f>
        <v/>
      </c>
      <c r="S128" t="str">
        <f ca="1">IFERROR(IF(0=LEN(ReferenceData!$S$128),"",ReferenceData!$S$128),"")</f>
        <v/>
      </c>
      <c r="T128" t="str">
        <f ca="1">IFERROR(IF(0=LEN(ReferenceData!$T$128),"",ReferenceData!$T$128),"")</f>
        <v/>
      </c>
      <c r="U128" t="str">
        <f ca="1">IFERROR(IF(0=LEN(ReferenceData!$U$128),"",ReferenceData!$U$128),"")</f>
        <v/>
      </c>
      <c r="V128" t="str">
        <f ca="1">IFERROR(IF(0=LEN(ReferenceData!$V$128),"",ReferenceData!$V$128),"")</f>
        <v/>
      </c>
      <c r="W128" t="str">
        <f ca="1">IFERROR(IF(0=LEN(ReferenceData!$W$128),"",ReferenceData!$W$128),"")</f>
        <v/>
      </c>
      <c r="X128" t="str">
        <f ca="1">IFERROR(IF(0=LEN(ReferenceData!$X$128),"",ReferenceData!$X$128),"")</f>
        <v/>
      </c>
      <c r="Y128" t="str">
        <f ca="1">IFERROR(IF(0=LEN(ReferenceData!$Y$128),"",ReferenceData!$Y$128),"")</f>
        <v/>
      </c>
      <c r="Z128" t="str">
        <f ca="1">IFERROR(IF(0=LEN(ReferenceData!$Z$128),"",ReferenceData!$Z$128),"")</f>
        <v/>
      </c>
      <c r="AA128" t="str">
        <f ca="1">IFERROR(IF(0=LEN(ReferenceData!$AA$128),"",ReferenceData!$AA$128),"")</f>
        <v/>
      </c>
      <c r="AB128" t="str">
        <f ca="1">IFERROR(IF(0=LEN(ReferenceData!$AB$128),"",ReferenceData!$AB$128),"")</f>
        <v/>
      </c>
      <c r="AC128" t="str">
        <f ca="1">IFERROR(IF(0=LEN(ReferenceData!$AC$128),"",ReferenceData!$AC$128),"")</f>
        <v/>
      </c>
      <c r="AD128" t="str">
        <f ca="1">IFERROR(IF(0=LEN(ReferenceData!$AD$128),"",ReferenceData!$AD$128),"")</f>
        <v/>
      </c>
      <c r="AE128" t="str">
        <f ca="1">IFERROR(IF(0=LEN(ReferenceData!$AE$128),"",ReferenceData!$AE$128),"")</f>
        <v/>
      </c>
      <c r="AF128" t="str">
        <f ca="1">IFERROR(IF(0=LEN(ReferenceData!$AF$128),"",ReferenceData!$AF$128),"")</f>
        <v/>
      </c>
      <c r="AG128" t="str">
        <f ca="1">IFERROR(IF(0=LEN(ReferenceData!$AG$128),"",ReferenceData!$AG$128),"")</f>
        <v/>
      </c>
      <c r="AH128" t="str">
        <f ca="1">IFERROR(IF(0=LEN(ReferenceData!$AH$128),"",ReferenceData!$AH$128),"")</f>
        <v/>
      </c>
      <c r="AI128" t="str">
        <f ca="1">IFERROR(IF(0=LEN(ReferenceData!$AI$128),"",ReferenceData!$AI$128),"")</f>
        <v/>
      </c>
      <c r="AJ128" t="str">
        <f ca="1">IFERROR(IF(0=LEN(ReferenceData!$AJ$128),"",ReferenceData!$AJ$128),"")</f>
        <v/>
      </c>
      <c r="AK128" t="str">
        <f ca="1">IFERROR(IF(0=LEN(ReferenceData!$AK$128),"",ReferenceData!$AK$128),"")</f>
        <v/>
      </c>
      <c r="AL128" t="str">
        <f ca="1">IFERROR(IF(0=LEN(ReferenceData!$AL$128),"",ReferenceData!$AL$128),"")</f>
        <v/>
      </c>
      <c r="AM128" t="str">
        <f ca="1">IFERROR(IF(0=LEN(ReferenceData!$AM$128),"",ReferenceData!$AM$128),"")</f>
        <v/>
      </c>
      <c r="AN128" t="str">
        <f ca="1">IFERROR(IF(0=LEN(ReferenceData!$AN$128),"",ReferenceData!$AN$128),"")</f>
        <v/>
      </c>
      <c r="AO128" t="str">
        <f ca="1">IFERROR(IF(0=LEN(ReferenceData!$AO$128),"",ReferenceData!$AO$128),"")</f>
        <v/>
      </c>
      <c r="AP128" t="str">
        <f ca="1">IFERROR(IF(0=LEN(ReferenceData!$AP$128),"",ReferenceData!$AP$128),"")</f>
        <v/>
      </c>
      <c r="AQ128" t="str">
        <f ca="1">IFERROR(IF(0=LEN(ReferenceData!$AQ$128),"",ReferenceData!$AQ$128),"")</f>
        <v/>
      </c>
      <c r="AR128" t="str">
        <f ca="1">IFERROR(IF(0=LEN(ReferenceData!$AR$128),"",ReferenceData!$AR$128),"")</f>
        <v/>
      </c>
      <c r="AS128" t="str">
        <f ca="1">IFERROR(IF(0=LEN(ReferenceData!$AS$128),"",ReferenceData!$AS$128),"")</f>
        <v/>
      </c>
      <c r="AT128" t="str">
        <f ca="1">IFERROR(IF(0=LEN(ReferenceData!$AT$128),"",ReferenceData!$AT$128),"")</f>
        <v/>
      </c>
      <c r="AU128" t="str">
        <f ca="1">IFERROR(IF(0=LEN(ReferenceData!$AU$128),"",ReferenceData!$AU$128),"")</f>
        <v/>
      </c>
      <c r="AV128" t="str">
        <f ca="1">IFERROR(IF(0=LEN(ReferenceData!$AV$128),"",ReferenceData!$AV$128),"")</f>
        <v/>
      </c>
      <c r="AW128" t="str">
        <f ca="1">IFERROR(IF(0=LEN(ReferenceData!$AW$128),"",ReferenceData!$AW$128),"")</f>
        <v/>
      </c>
      <c r="AX128" t="str">
        <f ca="1">IFERROR(IF(0=LEN(ReferenceData!$AX$128),"",ReferenceData!$AX$128),"")</f>
        <v/>
      </c>
      <c r="AY128" t="str">
        <f ca="1">IFERROR(IF(0=LEN(ReferenceData!$AY$128),"",ReferenceData!$AY$128),"")</f>
        <v/>
      </c>
      <c r="AZ128" t="str">
        <f ca="1">IFERROR(IF(0=LEN(ReferenceData!$AZ$128),"",ReferenceData!$AZ$128),"")</f>
        <v/>
      </c>
      <c r="BA128" t="str">
        <f ca="1">IFERROR(IF(0=LEN(ReferenceData!$BA$128),"",ReferenceData!$BA$128),"")</f>
        <v/>
      </c>
      <c r="BB128" t="str">
        <f ca="1">IFERROR(IF(0=LEN(ReferenceData!$BB$128),"",ReferenceData!$BB$128),"")</f>
        <v/>
      </c>
      <c r="BC128" t="str">
        <f ca="1">IFERROR(IF(0=LEN(ReferenceData!$BC$128),"",ReferenceData!$BC$128),"")</f>
        <v/>
      </c>
      <c r="BD128" t="str">
        <f ca="1">IFERROR(IF(0=LEN(ReferenceData!$BD$128),"",ReferenceData!$BD$128),"")</f>
        <v/>
      </c>
      <c r="BE128" t="str">
        <f ca="1">IFERROR(IF(0=LEN(ReferenceData!$BE$128),"",ReferenceData!$BE$128),"")</f>
        <v/>
      </c>
      <c r="BF128" t="str">
        <f ca="1">IFERROR(IF(0=LEN(ReferenceData!$BF$128),"",ReferenceData!$BF$128),"")</f>
        <v/>
      </c>
      <c r="BG128" t="str">
        <f ca="1">IFERROR(IF(0=LEN(ReferenceData!$BG$128),"",ReferenceData!$BG$128),"")</f>
        <v/>
      </c>
      <c r="BH128" t="str">
        <f ca="1">IFERROR(IF(0=LEN(ReferenceData!$BH$128),"",ReferenceData!$BH$128),"")</f>
        <v/>
      </c>
      <c r="BI128" t="str">
        <f ca="1">IFERROR(IF(0=LEN(ReferenceData!$BI$128),"",ReferenceData!$BI$128),"")</f>
        <v/>
      </c>
      <c r="BJ128" t="str">
        <f ca="1">IFERROR(IF(0=LEN(ReferenceData!$BJ$128),"",ReferenceData!$BJ$128),"")</f>
        <v/>
      </c>
      <c r="BK128" t="str">
        <f ca="1">IFERROR(IF(0=LEN(ReferenceData!$BK$128),"",ReferenceData!$BK$128),"")</f>
        <v/>
      </c>
      <c r="BL128" t="str">
        <f ca="1">IFERROR(IF(0=LEN(ReferenceData!$BL$128),"",ReferenceData!$BL$128),"")</f>
        <v/>
      </c>
      <c r="BM128" t="str">
        <f ca="1">IFERROR(IF(0=LEN(ReferenceData!$BM$128),"",ReferenceData!$BM$128),"")</f>
        <v/>
      </c>
    </row>
    <row r="129" spans="1:65" x14ac:dyDescent="0.25">
      <c r="A129" t="str">
        <f>IFERROR(IF(0=LEN(ReferenceData!$A$129),"",ReferenceData!$A$129),"")</f>
        <v xml:space="preserve">    Bayerische Motoren Werke AG</v>
      </c>
      <c r="B129" t="str">
        <f>IFERROR(IF(0=LEN(ReferenceData!$B$129),"",ReferenceData!$B$129),"")</f>
        <v>BMW GR Equity</v>
      </c>
      <c r="C129" t="str">
        <f>IFERROR(IF(0=LEN(ReferenceData!$C$129),"",ReferenceData!$C$129),"")</f>
        <v>RR841</v>
      </c>
      <c r="D129" t="str">
        <f>IFERROR(IF(0=LEN(ReferenceData!$D$129),"",ReferenceData!$D$129),"")</f>
        <v>TRAIL_12M_EBITDA</v>
      </c>
      <c r="E129" t="str">
        <f>IFERROR(IF(0=LEN(ReferenceData!$E$129),"",ReferenceData!$E$129),"")</f>
        <v>Dynamic</v>
      </c>
      <c r="F129" t="str">
        <f ca="1">IFERROR(IF(0=LEN(ReferenceData!$F$129),"",ReferenceData!$F$129),"")</f>
        <v/>
      </c>
      <c r="G129" t="str">
        <f ca="1">IFERROR(IF(0=LEN(ReferenceData!$G$129),"",ReferenceData!$G$129),"")</f>
        <v/>
      </c>
      <c r="H129">
        <f ca="1">IFERROR(IF(0=LEN(ReferenceData!$H$129),"",ReferenceData!$H$129),"")</f>
        <v>21951.728490000001</v>
      </c>
      <c r="I129">
        <f ca="1">IFERROR(IF(0=LEN(ReferenceData!$I$129),"",ReferenceData!$I$129),"")</f>
        <v>22192.285</v>
      </c>
      <c r="J129">
        <f ca="1">IFERROR(IF(0=LEN(ReferenceData!$J$129),"",ReferenceData!$J$129),"")</f>
        <v>21927.752769999999</v>
      </c>
      <c r="K129">
        <f ca="1">IFERROR(IF(0=LEN(ReferenceData!$K$129),"",ReferenceData!$K$129),"")</f>
        <v>21079.469519999999</v>
      </c>
      <c r="L129">
        <f ca="1">IFERROR(IF(0=LEN(ReferenceData!$L$129),"",ReferenceData!$L$129),"")</f>
        <v>19638.57646</v>
      </c>
      <c r="M129">
        <f ca="1">IFERROR(IF(0=LEN(ReferenceData!$M$129),"",ReferenceData!$M$129),"")</f>
        <v>19413.143980000001</v>
      </c>
      <c r="N129">
        <f ca="1">IFERROR(IF(0=LEN(ReferenceData!$N$129),"",ReferenceData!$N$129),"")</f>
        <v>19393.687989999999</v>
      </c>
      <c r="O129">
        <f ca="1">IFERROR(IF(0=LEN(ReferenceData!$O$129),"",ReferenceData!$O$129),"")</f>
        <v>19565.410540000001</v>
      </c>
      <c r="P129">
        <f ca="1">IFERROR(IF(0=LEN(ReferenceData!$P$129),"",ReferenceData!$P$129),"")</f>
        <v>19410.003830000001</v>
      </c>
      <c r="Q129">
        <f ca="1">IFERROR(IF(0=LEN(ReferenceData!$Q$129),"",ReferenceData!$Q$129),"")</f>
        <v>20458.10786</v>
      </c>
      <c r="R129">
        <f ca="1">IFERROR(IF(0=LEN(ReferenceData!$R$129),"",ReferenceData!$R$129),"")</f>
        <v>19950.05517</v>
      </c>
      <c r="S129">
        <f ca="1">IFERROR(IF(0=LEN(ReferenceData!$S$129),"",ReferenceData!$S$129),"")</f>
        <v>19761.341250000001</v>
      </c>
      <c r="T129">
        <f ca="1">IFERROR(IF(0=LEN(ReferenceData!$T$129),"",ReferenceData!$T$129),"")</f>
        <v>20688.202399999998</v>
      </c>
      <c r="U129">
        <f ca="1">IFERROR(IF(0=LEN(ReferenceData!$U$129),"",ReferenceData!$U$129),"")</f>
        <v>21005.322489999999</v>
      </c>
      <c r="V129">
        <f ca="1">IFERROR(IF(0=LEN(ReferenceData!$V$129),"",ReferenceData!$V$129),"")</f>
        <v>22157.406200000001</v>
      </c>
      <c r="W129">
        <f ca="1">IFERROR(IF(0=LEN(ReferenceData!$W$129),"",ReferenceData!$W$129),"")</f>
        <v>22404.913089999998</v>
      </c>
      <c r="X129">
        <f ca="1">IFERROR(IF(0=LEN(ReferenceData!$X$129),"",ReferenceData!$X$129),"")</f>
        <v>22238.685529999999</v>
      </c>
      <c r="Y129">
        <f ca="1">IFERROR(IF(0=LEN(ReferenceData!$Y$129),"",ReferenceData!$Y$129),"")</f>
        <v>20180.458259999999</v>
      </c>
      <c r="Z129">
        <f ca="1">IFERROR(IF(0=LEN(ReferenceData!$Z$129),"",ReferenceData!$Z$129),"")</f>
        <v>19193.50734</v>
      </c>
      <c r="AA129">
        <f ca="1">IFERROR(IF(0=LEN(ReferenceData!$AA$129),"",ReferenceData!$AA$129),"")</f>
        <v>19928.656490000001</v>
      </c>
      <c r="AB129">
        <f ca="1">IFERROR(IF(0=LEN(ReferenceData!$AB$129),"",ReferenceData!$AB$129),"")</f>
        <v>19939.041310000001</v>
      </c>
      <c r="AC129">
        <f ca="1">IFERROR(IF(0=LEN(ReferenceData!$AC$129),"",ReferenceData!$AC$129),"")</f>
        <v>20710.197090000001</v>
      </c>
      <c r="AD129">
        <f ca="1">IFERROR(IF(0=LEN(ReferenceData!$AD$129),"",ReferenceData!$AD$129),"")</f>
        <v>21795.20102</v>
      </c>
      <c r="AE129">
        <f ca="1">IFERROR(IF(0=LEN(ReferenceData!$AE$129),"",ReferenceData!$AE$129),"")</f>
        <v>20870.973689999999</v>
      </c>
      <c r="AF129">
        <f ca="1">IFERROR(IF(0=LEN(ReferenceData!$AF$129),"",ReferenceData!$AF$129),"")</f>
        <v>21322.344730000001</v>
      </c>
      <c r="AG129">
        <f ca="1">IFERROR(IF(0=LEN(ReferenceData!$AG$129),"",ReferenceData!$AG$129),"")</f>
        <v>21882.493999999999</v>
      </c>
      <c r="AH129">
        <f ca="1">IFERROR(IF(0=LEN(ReferenceData!$AH$129),"",ReferenceData!$AH$129),"")</f>
        <v>21810.65956</v>
      </c>
      <c r="AI129">
        <f ca="1">IFERROR(IF(0=LEN(ReferenceData!$AI$129),"",ReferenceData!$AI$129),"")</f>
        <v>21504.258570000002</v>
      </c>
      <c r="AJ129">
        <f ca="1">IFERROR(IF(0=LEN(ReferenceData!$AJ$129),"",ReferenceData!$AJ$129),"")</f>
        <v>19625.796269999999</v>
      </c>
      <c r="AK129">
        <f ca="1">IFERROR(IF(0=LEN(ReferenceData!$AK$129),"",ReferenceData!$AK$129),"")</f>
        <v>19429.219130000001</v>
      </c>
      <c r="AL129">
        <f ca="1">IFERROR(IF(0=LEN(ReferenceData!$AL$129),"",ReferenceData!$AL$129),"")</f>
        <v>18315.506979999998</v>
      </c>
      <c r="AM129">
        <f ca="1">IFERROR(IF(0=LEN(ReferenceData!$AM$129),"",ReferenceData!$AM$129),"")</f>
        <v>17139.8158</v>
      </c>
      <c r="AN129">
        <f ca="1">IFERROR(IF(0=LEN(ReferenceData!$AN$129),"",ReferenceData!$AN$129),"")</f>
        <v>17642.517980000001</v>
      </c>
      <c r="AO129">
        <f ca="1">IFERROR(IF(0=LEN(ReferenceData!$AO$129),"",ReferenceData!$AO$129),"")</f>
        <v>15691.487940000001</v>
      </c>
      <c r="AP129">
        <f ca="1">IFERROR(IF(0=LEN(ReferenceData!$AP$129),"",ReferenceData!$AP$129),"")</f>
        <v>13883.1898</v>
      </c>
      <c r="AQ129">
        <f ca="1">IFERROR(IF(0=LEN(ReferenceData!$AQ$129),"",ReferenceData!$AQ$129),"")</f>
        <v>13100.73266</v>
      </c>
      <c r="AR129">
        <f ca="1">IFERROR(IF(0=LEN(ReferenceData!$AR$129),"",ReferenceData!$AR$129),"")</f>
        <v>12734.66322</v>
      </c>
      <c r="AS129">
        <f ca="1">IFERROR(IF(0=LEN(ReferenceData!$AS$129),"",ReferenceData!$AS$129),"")</f>
        <v>17878.24179</v>
      </c>
      <c r="AT129">
        <f ca="1">IFERROR(IF(0=LEN(ReferenceData!$AT$129),"",ReferenceData!$AT$129),"")</f>
        <v>19473.62961</v>
      </c>
      <c r="AU129">
        <f ca="1">IFERROR(IF(0=LEN(ReferenceData!$AU$129),"",ReferenceData!$AU$129),"")</f>
        <v>21249.939279999999</v>
      </c>
      <c r="AV129">
        <f ca="1">IFERROR(IF(0=LEN(ReferenceData!$AV$129),"",ReferenceData!$AV$129),"")</f>
        <v>22623.397939999999</v>
      </c>
      <c r="AW129">
        <f ca="1">IFERROR(IF(0=LEN(ReferenceData!$AW$129),"",ReferenceData!$AW$129),"")</f>
        <v>18392.55587</v>
      </c>
      <c r="AX129">
        <f ca="1">IFERROR(IF(0=LEN(ReferenceData!$AX$129),"",ReferenceData!$AX$129),"")</f>
        <v>17636.046439999998</v>
      </c>
      <c r="AY129">
        <f ca="1">IFERROR(IF(0=LEN(ReferenceData!$AY$129),"",ReferenceData!$AY$129),"")</f>
        <v>16993.78789</v>
      </c>
      <c r="AZ129">
        <f ca="1">IFERROR(IF(0=LEN(ReferenceData!$AZ$129),"",ReferenceData!$AZ$129),"")</f>
        <v>15825.59081</v>
      </c>
      <c r="BA129">
        <f ca="1">IFERROR(IF(0=LEN(ReferenceData!$BA$129),"",ReferenceData!$BA$129),"")</f>
        <v>15056.38553</v>
      </c>
      <c r="BB129">
        <f ca="1">IFERROR(IF(0=LEN(ReferenceData!$BB$129),"",ReferenceData!$BB$129),"")</f>
        <v>14598.930840000001</v>
      </c>
      <c r="BC129">
        <f ca="1">IFERROR(IF(0=LEN(ReferenceData!$BC$129),"",ReferenceData!$BC$129),"")</f>
        <v>13908.219419999999</v>
      </c>
      <c r="BD129">
        <f ca="1">IFERROR(IF(0=LEN(ReferenceData!$BD$129),"",ReferenceData!$BD$129),"")</f>
        <v>13587.76807</v>
      </c>
      <c r="BE129">
        <f ca="1">IFERROR(IF(0=LEN(ReferenceData!$BE$129),"",ReferenceData!$BE$129),"")</f>
        <v>13141.096369999999</v>
      </c>
      <c r="BF129">
        <f ca="1">IFERROR(IF(0=LEN(ReferenceData!$BF$129),"",ReferenceData!$BF$129),"")</f>
        <v>12784.84124</v>
      </c>
      <c r="BG129">
        <f ca="1">IFERROR(IF(0=LEN(ReferenceData!$BG$129),"",ReferenceData!$BG$129),"")</f>
        <v>12836.59096</v>
      </c>
      <c r="BH129">
        <f ca="1">IFERROR(IF(0=LEN(ReferenceData!$BH$129),"",ReferenceData!$BH$129),"")</f>
        <v>12736.212680000001</v>
      </c>
      <c r="BI129">
        <f ca="1">IFERROR(IF(0=LEN(ReferenceData!$BI$129),"",ReferenceData!$BI$129),"")</f>
        <v>12443.539580000001</v>
      </c>
      <c r="BJ129">
        <f ca="1">IFERROR(IF(0=LEN(ReferenceData!$BJ$129),"",ReferenceData!$BJ$129),"")</f>
        <v>12055.72292</v>
      </c>
      <c r="BK129">
        <f ca="1">IFERROR(IF(0=LEN(ReferenceData!$BK$129),"",ReferenceData!$BK$129),"")</f>
        <v>11552.554700000001</v>
      </c>
      <c r="BL129">
        <f ca="1">IFERROR(IF(0=LEN(ReferenceData!$BL$129),"",ReferenceData!$BL$129),"")</f>
        <v>10869.714739999999</v>
      </c>
      <c r="BM129">
        <f ca="1">IFERROR(IF(0=LEN(ReferenceData!$BM$129),"",ReferenceData!$BM$129),"")</f>
        <v>10303.970880000001</v>
      </c>
    </row>
    <row r="130" spans="1:65" x14ac:dyDescent="0.25">
      <c r="A130" t="str">
        <f>IFERROR(IF(0=LEN(ReferenceData!$A$130),"",ReferenceData!$A$130),"")</f>
        <v xml:space="preserve">    Brilliance China Automotive Holdings Ltd</v>
      </c>
      <c r="B130" t="str">
        <f>IFERROR(IF(0=LEN(ReferenceData!$B$130),"",ReferenceData!$B$130),"")</f>
        <v>1114 HK Equity</v>
      </c>
      <c r="C130" t="str">
        <f>IFERROR(IF(0=LEN(ReferenceData!$C$130),"",ReferenceData!$C$130),"")</f>
        <v>RR841</v>
      </c>
      <c r="D130" t="str">
        <f>IFERROR(IF(0=LEN(ReferenceData!$D$130),"",ReferenceData!$D$130),"")</f>
        <v>TRAIL_12M_EBITDA</v>
      </c>
      <c r="E130" t="str">
        <f>IFERROR(IF(0=LEN(ReferenceData!$E$130),"",ReferenceData!$E$130),"")</f>
        <v>Dynamic</v>
      </c>
      <c r="F130" t="str">
        <f ca="1">IFERROR(IF(0=LEN(ReferenceData!$F$130),"",ReferenceData!$F$130),"")</f>
        <v/>
      </c>
      <c r="G130" t="str">
        <f ca="1">IFERROR(IF(0=LEN(ReferenceData!$G$130),"",ReferenceData!$G$130),"")</f>
        <v/>
      </c>
      <c r="H130" t="str">
        <f ca="1">IFERROR(IF(0=LEN(ReferenceData!$H$130),"",ReferenceData!$H$130),"")</f>
        <v/>
      </c>
      <c r="I130" t="str">
        <f ca="1">IFERROR(IF(0=LEN(ReferenceData!$I$130),"",ReferenceData!$I$130),"")</f>
        <v/>
      </c>
      <c r="J130" t="str">
        <f ca="1">IFERROR(IF(0=LEN(ReferenceData!$J$130),"",ReferenceData!$J$130),"")</f>
        <v/>
      </c>
      <c r="K130" t="str">
        <f ca="1">IFERROR(IF(0=LEN(ReferenceData!$K$130),"",ReferenceData!$K$130),"")</f>
        <v/>
      </c>
      <c r="L130" t="str">
        <f ca="1">IFERROR(IF(0=LEN(ReferenceData!$L$130),"",ReferenceData!$L$130),"")</f>
        <v/>
      </c>
      <c r="M130" t="str">
        <f ca="1">IFERROR(IF(0=LEN(ReferenceData!$M$130),"",ReferenceData!$M$130),"")</f>
        <v/>
      </c>
      <c r="N130" t="str">
        <f ca="1">IFERROR(IF(0=LEN(ReferenceData!$N$130),"",ReferenceData!$N$130),"")</f>
        <v/>
      </c>
      <c r="O130" t="str">
        <f ca="1">IFERROR(IF(0=LEN(ReferenceData!$O$130),"",ReferenceData!$O$130),"")</f>
        <v/>
      </c>
      <c r="P130" t="str">
        <f ca="1">IFERROR(IF(0=LEN(ReferenceData!$P$130),"",ReferenceData!$P$130),"")</f>
        <v/>
      </c>
      <c r="Q130" t="str">
        <f ca="1">IFERROR(IF(0=LEN(ReferenceData!$Q$130),"",ReferenceData!$Q$130),"")</f>
        <v/>
      </c>
      <c r="R130" t="str">
        <f ca="1">IFERROR(IF(0=LEN(ReferenceData!$R$130),"",ReferenceData!$R$130),"")</f>
        <v/>
      </c>
      <c r="S130" t="str">
        <f ca="1">IFERROR(IF(0=LEN(ReferenceData!$S$130),"",ReferenceData!$S$130),"")</f>
        <v/>
      </c>
      <c r="T130" t="str">
        <f ca="1">IFERROR(IF(0=LEN(ReferenceData!$T$130),"",ReferenceData!$T$130),"")</f>
        <v/>
      </c>
      <c r="U130" t="str">
        <f ca="1">IFERROR(IF(0=LEN(ReferenceData!$U$130),"",ReferenceData!$U$130),"")</f>
        <v/>
      </c>
      <c r="V130" t="str">
        <f ca="1">IFERROR(IF(0=LEN(ReferenceData!$V$130),"",ReferenceData!$V$130),"")</f>
        <v/>
      </c>
      <c r="W130" t="str">
        <f ca="1">IFERROR(IF(0=LEN(ReferenceData!$W$130),"",ReferenceData!$W$130),"")</f>
        <v/>
      </c>
      <c r="X130" t="str">
        <f ca="1">IFERROR(IF(0=LEN(ReferenceData!$X$130),"",ReferenceData!$X$130),"")</f>
        <v/>
      </c>
      <c r="Y130" t="str">
        <f ca="1">IFERROR(IF(0=LEN(ReferenceData!$Y$130),"",ReferenceData!$Y$130),"")</f>
        <v/>
      </c>
      <c r="Z130" t="str">
        <f ca="1">IFERROR(IF(0=LEN(ReferenceData!$Z$130),"",ReferenceData!$Z$130),"")</f>
        <v/>
      </c>
      <c r="AA130" t="str">
        <f ca="1">IFERROR(IF(0=LEN(ReferenceData!$AA$130),"",ReferenceData!$AA$130),"")</f>
        <v/>
      </c>
      <c r="AB130" t="str">
        <f ca="1">IFERROR(IF(0=LEN(ReferenceData!$AB$130),"",ReferenceData!$AB$130),"")</f>
        <v/>
      </c>
      <c r="AC130" t="str">
        <f ca="1">IFERROR(IF(0=LEN(ReferenceData!$AC$130),"",ReferenceData!$AC$130),"")</f>
        <v/>
      </c>
      <c r="AD130" t="str">
        <f ca="1">IFERROR(IF(0=LEN(ReferenceData!$AD$130),"",ReferenceData!$AD$130),"")</f>
        <v/>
      </c>
      <c r="AE130" t="str">
        <f ca="1">IFERROR(IF(0=LEN(ReferenceData!$AE$130),"",ReferenceData!$AE$130),"")</f>
        <v/>
      </c>
      <c r="AF130" t="str">
        <f ca="1">IFERROR(IF(0=LEN(ReferenceData!$AF$130),"",ReferenceData!$AF$130),"")</f>
        <v/>
      </c>
      <c r="AG130" t="str">
        <f ca="1">IFERROR(IF(0=LEN(ReferenceData!$AG$130),"",ReferenceData!$AG$130),"")</f>
        <v/>
      </c>
      <c r="AH130" t="str">
        <f ca="1">IFERROR(IF(0=LEN(ReferenceData!$AH$130),"",ReferenceData!$AH$130),"")</f>
        <v/>
      </c>
      <c r="AI130" t="str">
        <f ca="1">IFERROR(IF(0=LEN(ReferenceData!$AI$130),"",ReferenceData!$AI$130),"")</f>
        <v/>
      </c>
      <c r="AJ130" t="str">
        <f ca="1">IFERROR(IF(0=LEN(ReferenceData!$AJ$130),"",ReferenceData!$AJ$130),"")</f>
        <v/>
      </c>
      <c r="AK130" t="str">
        <f ca="1">IFERROR(IF(0=LEN(ReferenceData!$AK$130),"",ReferenceData!$AK$130),"")</f>
        <v/>
      </c>
      <c r="AL130" t="str">
        <f ca="1">IFERROR(IF(0=LEN(ReferenceData!$AL$130),"",ReferenceData!$AL$130),"")</f>
        <v/>
      </c>
      <c r="AM130" t="str">
        <f ca="1">IFERROR(IF(0=LEN(ReferenceData!$AM$130),"",ReferenceData!$AM$130),"")</f>
        <v/>
      </c>
      <c r="AN130" t="str">
        <f ca="1">IFERROR(IF(0=LEN(ReferenceData!$AN$130),"",ReferenceData!$AN$130),"")</f>
        <v/>
      </c>
      <c r="AO130" t="str">
        <f ca="1">IFERROR(IF(0=LEN(ReferenceData!$AO$130),"",ReferenceData!$AO$130),"")</f>
        <v/>
      </c>
      <c r="AP130" t="str">
        <f ca="1">IFERROR(IF(0=LEN(ReferenceData!$AP$130),"",ReferenceData!$AP$130),"")</f>
        <v/>
      </c>
      <c r="AQ130" t="str">
        <f ca="1">IFERROR(IF(0=LEN(ReferenceData!$AQ$130),"",ReferenceData!$AQ$130),"")</f>
        <v/>
      </c>
      <c r="AR130" t="str">
        <f ca="1">IFERROR(IF(0=LEN(ReferenceData!$AR$130),"",ReferenceData!$AR$130),"")</f>
        <v/>
      </c>
      <c r="AS130" t="str">
        <f ca="1">IFERROR(IF(0=LEN(ReferenceData!$AS$130),"",ReferenceData!$AS$130),"")</f>
        <v/>
      </c>
      <c r="AT130" t="str">
        <f ca="1">IFERROR(IF(0=LEN(ReferenceData!$AT$130),"",ReferenceData!$AT$130),"")</f>
        <v/>
      </c>
      <c r="AU130" t="str">
        <f ca="1">IFERROR(IF(0=LEN(ReferenceData!$AU$130),"",ReferenceData!$AU$130),"")</f>
        <v/>
      </c>
      <c r="AV130" t="str">
        <f ca="1">IFERROR(IF(0=LEN(ReferenceData!$AV$130),"",ReferenceData!$AV$130),"")</f>
        <v/>
      </c>
      <c r="AW130" t="str">
        <f ca="1">IFERROR(IF(0=LEN(ReferenceData!$AW$130),"",ReferenceData!$AW$130),"")</f>
        <v/>
      </c>
      <c r="AX130" t="str">
        <f ca="1">IFERROR(IF(0=LEN(ReferenceData!$AX$130),"",ReferenceData!$AX$130),"")</f>
        <v/>
      </c>
      <c r="AY130" t="str">
        <f ca="1">IFERROR(IF(0=LEN(ReferenceData!$AY$130),"",ReferenceData!$AY$130),"")</f>
        <v/>
      </c>
      <c r="AZ130" t="str">
        <f ca="1">IFERROR(IF(0=LEN(ReferenceData!$AZ$130),"",ReferenceData!$AZ$130),"")</f>
        <v/>
      </c>
      <c r="BA130" t="str">
        <f ca="1">IFERROR(IF(0=LEN(ReferenceData!$BA$130),"",ReferenceData!$BA$130),"")</f>
        <v/>
      </c>
      <c r="BB130" t="str">
        <f ca="1">IFERROR(IF(0=LEN(ReferenceData!$BB$130),"",ReferenceData!$BB$130),"")</f>
        <v/>
      </c>
      <c r="BC130" t="str">
        <f ca="1">IFERROR(IF(0=LEN(ReferenceData!$BC$130),"",ReferenceData!$BC$130),"")</f>
        <v/>
      </c>
      <c r="BD130" t="str">
        <f ca="1">IFERROR(IF(0=LEN(ReferenceData!$BD$130),"",ReferenceData!$BD$130),"")</f>
        <v/>
      </c>
      <c r="BE130" t="str">
        <f ca="1">IFERROR(IF(0=LEN(ReferenceData!$BE$130),"",ReferenceData!$BE$130),"")</f>
        <v/>
      </c>
      <c r="BF130" t="str">
        <f ca="1">IFERROR(IF(0=LEN(ReferenceData!$BF$130),"",ReferenceData!$BF$130),"")</f>
        <v/>
      </c>
      <c r="BG130" t="str">
        <f ca="1">IFERROR(IF(0=LEN(ReferenceData!$BG$130),"",ReferenceData!$BG$130),"")</f>
        <v/>
      </c>
      <c r="BH130" t="str">
        <f ca="1">IFERROR(IF(0=LEN(ReferenceData!$BH$130),"",ReferenceData!$BH$130),"")</f>
        <v/>
      </c>
      <c r="BI130" t="str">
        <f ca="1">IFERROR(IF(0=LEN(ReferenceData!$BI$130),"",ReferenceData!$BI$130),"")</f>
        <v/>
      </c>
      <c r="BJ130" t="str">
        <f ca="1">IFERROR(IF(0=LEN(ReferenceData!$BJ$130),"",ReferenceData!$BJ$130),"")</f>
        <v/>
      </c>
      <c r="BK130" t="str">
        <f ca="1">IFERROR(IF(0=LEN(ReferenceData!$BK$130),"",ReferenceData!$BK$130),"")</f>
        <v/>
      </c>
      <c r="BL130" t="str">
        <f ca="1">IFERROR(IF(0=LEN(ReferenceData!$BL$130),"",ReferenceData!$BL$130),"")</f>
        <v/>
      </c>
      <c r="BM130" t="str">
        <f ca="1">IFERROR(IF(0=LEN(ReferenceData!$BM$130),"",ReferenceData!$BM$130),"")</f>
        <v/>
      </c>
    </row>
    <row r="131" spans="1:65" x14ac:dyDescent="0.25">
      <c r="A131" t="str">
        <f>IFERROR(IF(0=LEN(ReferenceData!$A$131),"",ReferenceData!$A$131),"")</f>
        <v xml:space="preserve">    BYD Co Ltd</v>
      </c>
      <c r="B131" t="str">
        <f>IFERROR(IF(0=LEN(ReferenceData!$B$131),"",ReferenceData!$B$131),"")</f>
        <v>1211 HK Equity</v>
      </c>
      <c r="C131" t="str">
        <f>IFERROR(IF(0=LEN(ReferenceData!$C$131),"",ReferenceData!$C$131),"")</f>
        <v>RR841</v>
      </c>
      <c r="D131" t="str">
        <f>IFERROR(IF(0=LEN(ReferenceData!$D$131),"",ReferenceData!$D$131),"")</f>
        <v>TRAIL_12M_EBITDA</v>
      </c>
      <c r="E131" t="str">
        <f>IFERROR(IF(0=LEN(ReferenceData!$E$131),"",ReferenceData!$E$131),"")</f>
        <v>Dynamic</v>
      </c>
      <c r="F131" t="str">
        <f ca="1">IFERROR(IF(0=LEN(ReferenceData!$F$131),"",ReferenceData!$F$131),"")</f>
        <v/>
      </c>
      <c r="G131" t="str">
        <f ca="1">IFERROR(IF(0=LEN(ReferenceData!$G$131),"",ReferenceData!$G$131),"")</f>
        <v/>
      </c>
      <c r="H131" t="str">
        <f ca="1">IFERROR(IF(0=LEN(ReferenceData!$H$131),"",ReferenceData!$H$131),"")</f>
        <v/>
      </c>
      <c r="I131" t="str">
        <f ca="1">IFERROR(IF(0=LEN(ReferenceData!$I$131),"",ReferenceData!$I$131),"")</f>
        <v/>
      </c>
      <c r="J131" t="str">
        <f ca="1">IFERROR(IF(0=LEN(ReferenceData!$J$131),"",ReferenceData!$J$131),"")</f>
        <v/>
      </c>
      <c r="K131" t="str">
        <f ca="1">IFERROR(IF(0=LEN(ReferenceData!$K$131),"",ReferenceData!$K$131),"")</f>
        <v/>
      </c>
      <c r="L131" t="str">
        <f ca="1">IFERROR(IF(0=LEN(ReferenceData!$L$131),"",ReferenceData!$L$131),"")</f>
        <v/>
      </c>
      <c r="M131" t="str">
        <f ca="1">IFERROR(IF(0=LEN(ReferenceData!$M$131),"",ReferenceData!$M$131),"")</f>
        <v/>
      </c>
      <c r="N131" t="str">
        <f ca="1">IFERROR(IF(0=LEN(ReferenceData!$N$131),"",ReferenceData!$N$131),"")</f>
        <v/>
      </c>
      <c r="O131" t="str">
        <f ca="1">IFERROR(IF(0=LEN(ReferenceData!$O$131),"",ReferenceData!$O$131),"")</f>
        <v/>
      </c>
      <c r="P131" t="str">
        <f ca="1">IFERROR(IF(0=LEN(ReferenceData!$P$131),"",ReferenceData!$P$131),"")</f>
        <v/>
      </c>
      <c r="Q131" t="str">
        <f ca="1">IFERROR(IF(0=LEN(ReferenceData!$Q$131),"",ReferenceData!$Q$131),"")</f>
        <v/>
      </c>
      <c r="R131" t="str">
        <f ca="1">IFERROR(IF(0=LEN(ReferenceData!$R$131),"",ReferenceData!$R$131),"")</f>
        <v/>
      </c>
      <c r="S131" t="str">
        <f ca="1">IFERROR(IF(0=LEN(ReferenceData!$S$131),"",ReferenceData!$S$131),"")</f>
        <v/>
      </c>
      <c r="T131" t="str">
        <f ca="1">IFERROR(IF(0=LEN(ReferenceData!$T$131),"",ReferenceData!$T$131),"")</f>
        <v/>
      </c>
      <c r="U131" t="str">
        <f ca="1">IFERROR(IF(0=LEN(ReferenceData!$U$131),"",ReferenceData!$U$131),"")</f>
        <v/>
      </c>
      <c r="V131" t="str">
        <f ca="1">IFERROR(IF(0=LEN(ReferenceData!$V$131),"",ReferenceData!$V$131),"")</f>
        <v/>
      </c>
      <c r="W131" t="str">
        <f ca="1">IFERROR(IF(0=LEN(ReferenceData!$W$131),"",ReferenceData!$W$131),"")</f>
        <v/>
      </c>
      <c r="X131" t="str">
        <f ca="1">IFERROR(IF(0=LEN(ReferenceData!$X$131),"",ReferenceData!$X$131),"")</f>
        <v/>
      </c>
      <c r="Y131" t="str">
        <f ca="1">IFERROR(IF(0=LEN(ReferenceData!$Y$131),"",ReferenceData!$Y$131),"")</f>
        <v/>
      </c>
      <c r="Z131" t="str">
        <f ca="1">IFERROR(IF(0=LEN(ReferenceData!$Z$131),"",ReferenceData!$Z$131),"")</f>
        <v/>
      </c>
      <c r="AA131" t="str">
        <f ca="1">IFERROR(IF(0=LEN(ReferenceData!$AA$131),"",ReferenceData!$AA$131),"")</f>
        <v/>
      </c>
      <c r="AB131" t="str">
        <f ca="1">IFERROR(IF(0=LEN(ReferenceData!$AB$131),"",ReferenceData!$AB$131),"")</f>
        <v/>
      </c>
      <c r="AC131" t="str">
        <f ca="1">IFERROR(IF(0=LEN(ReferenceData!$AC$131),"",ReferenceData!$AC$131),"")</f>
        <v/>
      </c>
      <c r="AD131" t="str">
        <f ca="1">IFERROR(IF(0=LEN(ReferenceData!$AD$131),"",ReferenceData!$AD$131),"")</f>
        <v/>
      </c>
      <c r="AE131" t="str">
        <f ca="1">IFERROR(IF(0=LEN(ReferenceData!$AE$131),"",ReferenceData!$AE$131),"")</f>
        <v/>
      </c>
      <c r="AF131" t="str">
        <f ca="1">IFERROR(IF(0=LEN(ReferenceData!$AF$131),"",ReferenceData!$AF$131),"")</f>
        <v/>
      </c>
      <c r="AG131" t="str">
        <f ca="1">IFERROR(IF(0=LEN(ReferenceData!$AG$131),"",ReferenceData!$AG$131),"")</f>
        <v/>
      </c>
      <c r="AH131" t="str">
        <f ca="1">IFERROR(IF(0=LEN(ReferenceData!$AH$131),"",ReferenceData!$AH$131),"")</f>
        <v/>
      </c>
      <c r="AI131" t="str">
        <f ca="1">IFERROR(IF(0=LEN(ReferenceData!$AI$131),"",ReferenceData!$AI$131),"")</f>
        <v/>
      </c>
      <c r="AJ131" t="str">
        <f ca="1">IFERROR(IF(0=LEN(ReferenceData!$AJ$131),"",ReferenceData!$AJ$131),"")</f>
        <v/>
      </c>
      <c r="AK131" t="str">
        <f ca="1">IFERROR(IF(0=LEN(ReferenceData!$AK$131),"",ReferenceData!$AK$131),"")</f>
        <v/>
      </c>
      <c r="AL131" t="str">
        <f ca="1">IFERROR(IF(0=LEN(ReferenceData!$AL$131),"",ReferenceData!$AL$131),"")</f>
        <v/>
      </c>
      <c r="AM131" t="str">
        <f ca="1">IFERROR(IF(0=LEN(ReferenceData!$AM$131),"",ReferenceData!$AM$131),"")</f>
        <v/>
      </c>
      <c r="AN131" t="str">
        <f ca="1">IFERROR(IF(0=LEN(ReferenceData!$AN$131),"",ReferenceData!$AN$131),"")</f>
        <v/>
      </c>
      <c r="AO131" t="str">
        <f ca="1">IFERROR(IF(0=LEN(ReferenceData!$AO$131),"",ReferenceData!$AO$131),"")</f>
        <v/>
      </c>
      <c r="AP131" t="str">
        <f ca="1">IFERROR(IF(0=LEN(ReferenceData!$AP$131),"",ReferenceData!$AP$131),"")</f>
        <v/>
      </c>
      <c r="AQ131" t="str">
        <f ca="1">IFERROR(IF(0=LEN(ReferenceData!$AQ$131),"",ReferenceData!$AQ$131),"")</f>
        <v/>
      </c>
      <c r="AR131" t="str">
        <f ca="1">IFERROR(IF(0=LEN(ReferenceData!$AR$131),"",ReferenceData!$AR$131),"")</f>
        <v/>
      </c>
      <c r="AS131" t="str">
        <f ca="1">IFERROR(IF(0=LEN(ReferenceData!$AS$131),"",ReferenceData!$AS$131),"")</f>
        <v/>
      </c>
      <c r="AT131" t="str">
        <f ca="1">IFERROR(IF(0=LEN(ReferenceData!$AT$131),"",ReferenceData!$AT$131),"")</f>
        <v/>
      </c>
      <c r="AU131" t="str">
        <f ca="1">IFERROR(IF(0=LEN(ReferenceData!$AU$131),"",ReferenceData!$AU$131),"")</f>
        <v/>
      </c>
      <c r="AV131" t="str">
        <f ca="1">IFERROR(IF(0=LEN(ReferenceData!$AV$131),"",ReferenceData!$AV$131),"")</f>
        <v/>
      </c>
      <c r="AW131" t="str">
        <f ca="1">IFERROR(IF(0=LEN(ReferenceData!$AW$131),"",ReferenceData!$AW$131),"")</f>
        <v/>
      </c>
      <c r="AX131" t="str">
        <f ca="1">IFERROR(IF(0=LEN(ReferenceData!$AX$131),"",ReferenceData!$AX$131),"")</f>
        <v/>
      </c>
      <c r="AY131" t="str">
        <f ca="1">IFERROR(IF(0=LEN(ReferenceData!$AY$131),"",ReferenceData!$AY$131),"")</f>
        <v/>
      </c>
      <c r="AZ131" t="str">
        <f ca="1">IFERROR(IF(0=LEN(ReferenceData!$AZ$131),"",ReferenceData!$AZ$131),"")</f>
        <v/>
      </c>
      <c r="BA131" t="str">
        <f ca="1">IFERROR(IF(0=LEN(ReferenceData!$BA$131),"",ReferenceData!$BA$131),"")</f>
        <v/>
      </c>
      <c r="BB131" t="str">
        <f ca="1">IFERROR(IF(0=LEN(ReferenceData!$BB$131),"",ReferenceData!$BB$131),"")</f>
        <v/>
      </c>
      <c r="BC131" t="str">
        <f ca="1">IFERROR(IF(0=LEN(ReferenceData!$BC$131),"",ReferenceData!$BC$131),"")</f>
        <v/>
      </c>
      <c r="BD131" t="str">
        <f ca="1">IFERROR(IF(0=LEN(ReferenceData!$BD$131),"",ReferenceData!$BD$131),"")</f>
        <v/>
      </c>
      <c r="BE131" t="str">
        <f ca="1">IFERROR(IF(0=LEN(ReferenceData!$BE$131),"",ReferenceData!$BE$131),"")</f>
        <v/>
      </c>
      <c r="BF131" t="str">
        <f ca="1">IFERROR(IF(0=LEN(ReferenceData!$BF$131),"",ReferenceData!$BF$131),"")</f>
        <v/>
      </c>
      <c r="BG131" t="str">
        <f ca="1">IFERROR(IF(0=LEN(ReferenceData!$BG$131),"",ReferenceData!$BG$131),"")</f>
        <v/>
      </c>
      <c r="BH131" t="str">
        <f ca="1">IFERROR(IF(0=LEN(ReferenceData!$BH$131),"",ReferenceData!$BH$131),"")</f>
        <v/>
      </c>
      <c r="BI131" t="str">
        <f ca="1">IFERROR(IF(0=LEN(ReferenceData!$BI$131),"",ReferenceData!$BI$131),"")</f>
        <v/>
      </c>
      <c r="BJ131" t="str">
        <f ca="1">IFERROR(IF(0=LEN(ReferenceData!$BJ$131),"",ReferenceData!$BJ$131),"")</f>
        <v/>
      </c>
      <c r="BK131" t="str">
        <f ca="1">IFERROR(IF(0=LEN(ReferenceData!$BK$131),"",ReferenceData!$BK$131),"")</f>
        <v/>
      </c>
      <c r="BL131" t="str">
        <f ca="1">IFERROR(IF(0=LEN(ReferenceData!$BL$131),"",ReferenceData!$BL$131),"")</f>
        <v/>
      </c>
      <c r="BM131" t="str">
        <f ca="1">IFERROR(IF(0=LEN(ReferenceData!$BM$131),"",ReferenceData!$BM$131),"")</f>
        <v/>
      </c>
    </row>
    <row r="132" spans="1:65" x14ac:dyDescent="0.25">
      <c r="A132" t="str">
        <f>IFERROR(IF(0=LEN(ReferenceData!$A$132),"",ReferenceData!$A$132),"")</f>
        <v xml:space="preserve">    Chongqing Changan Automobile Co Ltd</v>
      </c>
      <c r="B132" t="str">
        <f>IFERROR(IF(0=LEN(ReferenceData!$B$132),"",ReferenceData!$B$132),"")</f>
        <v>200625 CH Equity</v>
      </c>
      <c r="C132" t="str">
        <f>IFERROR(IF(0=LEN(ReferenceData!$C$132),"",ReferenceData!$C$132),"")</f>
        <v>RR841</v>
      </c>
      <c r="D132" t="str">
        <f>IFERROR(IF(0=LEN(ReferenceData!$D$132),"",ReferenceData!$D$132),"")</f>
        <v>TRAIL_12M_EBITDA</v>
      </c>
      <c r="E132" t="str">
        <f>IFERROR(IF(0=LEN(ReferenceData!$E$132),"",ReferenceData!$E$132),"")</f>
        <v>Dynamic</v>
      </c>
      <c r="F132" t="str">
        <f ca="1">IFERROR(IF(0=LEN(ReferenceData!$F$132),"",ReferenceData!$F$132),"")</f>
        <v/>
      </c>
      <c r="G132" t="str">
        <f ca="1">IFERROR(IF(0=LEN(ReferenceData!$G$132),"",ReferenceData!$G$132),"")</f>
        <v/>
      </c>
      <c r="H132" t="str">
        <f ca="1">IFERROR(IF(0=LEN(ReferenceData!$H$132),"",ReferenceData!$H$132),"")</f>
        <v/>
      </c>
      <c r="I132" t="str">
        <f ca="1">IFERROR(IF(0=LEN(ReferenceData!$I$132),"",ReferenceData!$I$132),"")</f>
        <v/>
      </c>
      <c r="J132" t="str">
        <f ca="1">IFERROR(IF(0=LEN(ReferenceData!$J$132),"",ReferenceData!$J$132),"")</f>
        <v/>
      </c>
      <c r="K132" t="str">
        <f ca="1">IFERROR(IF(0=LEN(ReferenceData!$K$132),"",ReferenceData!$K$132),"")</f>
        <v/>
      </c>
      <c r="L132" t="str">
        <f ca="1">IFERROR(IF(0=LEN(ReferenceData!$L$132),"",ReferenceData!$L$132),"")</f>
        <v/>
      </c>
      <c r="M132" t="str">
        <f ca="1">IFERROR(IF(0=LEN(ReferenceData!$M$132),"",ReferenceData!$M$132),"")</f>
        <v/>
      </c>
      <c r="N132" t="str">
        <f ca="1">IFERROR(IF(0=LEN(ReferenceData!$N$132),"",ReferenceData!$N$132),"")</f>
        <v/>
      </c>
      <c r="O132" t="str">
        <f ca="1">IFERROR(IF(0=LEN(ReferenceData!$O$132),"",ReferenceData!$O$132),"")</f>
        <v/>
      </c>
      <c r="P132" t="str">
        <f ca="1">IFERROR(IF(0=LEN(ReferenceData!$P$132),"",ReferenceData!$P$132),"")</f>
        <v/>
      </c>
      <c r="Q132" t="str">
        <f ca="1">IFERROR(IF(0=LEN(ReferenceData!$Q$132),"",ReferenceData!$Q$132),"")</f>
        <v/>
      </c>
      <c r="R132" t="str">
        <f ca="1">IFERROR(IF(0=LEN(ReferenceData!$R$132),"",ReferenceData!$R$132),"")</f>
        <v/>
      </c>
      <c r="S132" t="str">
        <f ca="1">IFERROR(IF(0=LEN(ReferenceData!$S$132),"",ReferenceData!$S$132),"")</f>
        <v/>
      </c>
      <c r="T132" t="str">
        <f ca="1">IFERROR(IF(0=LEN(ReferenceData!$T$132),"",ReferenceData!$T$132),"")</f>
        <v/>
      </c>
      <c r="U132" t="str">
        <f ca="1">IFERROR(IF(0=LEN(ReferenceData!$U$132),"",ReferenceData!$U$132),"")</f>
        <v/>
      </c>
      <c r="V132" t="str">
        <f ca="1">IFERROR(IF(0=LEN(ReferenceData!$V$132),"",ReferenceData!$V$132),"")</f>
        <v/>
      </c>
      <c r="W132" t="str">
        <f ca="1">IFERROR(IF(0=LEN(ReferenceData!$W$132),"",ReferenceData!$W$132),"")</f>
        <v/>
      </c>
      <c r="X132" t="str">
        <f ca="1">IFERROR(IF(0=LEN(ReferenceData!$X$132),"",ReferenceData!$X$132),"")</f>
        <v/>
      </c>
      <c r="Y132" t="str">
        <f ca="1">IFERROR(IF(0=LEN(ReferenceData!$Y$132),"",ReferenceData!$Y$132),"")</f>
        <v/>
      </c>
      <c r="Z132" t="str">
        <f ca="1">IFERROR(IF(0=LEN(ReferenceData!$Z$132),"",ReferenceData!$Z$132),"")</f>
        <v/>
      </c>
      <c r="AA132" t="str">
        <f ca="1">IFERROR(IF(0=LEN(ReferenceData!$AA$132),"",ReferenceData!$AA$132),"")</f>
        <v/>
      </c>
      <c r="AB132" t="str">
        <f ca="1">IFERROR(IF(0=LEN(ReferenceData!$AB$132),"",ReferenceData!$AB$132),"")</f>
        <v/>
      </c>
      <c r="AC132" t="str">
        <f ca="1">IFERROR(IF(0=LEN(ReferenceData!$AC$132),"",ReferenceData!$AC$132),"")</f>
        <v/>
      </c>
      <c r="AD132" t="str">
        <f ca="1">IFERROR(IF(0=LEN(ReferenceData!$AD$132),"",ReferenceData!$AD$132),"")</f>
        <v/>
      </c>
      <c r="AE132" t="str">
        <f ca="1">IFERROR(IF(0=LEN(ReferenceData!$AE$132),"",ReferenceData!$AE$132),"")</f>
        <v/>
      </c>
      <c r="AF132" t="str">
        <f ca="1">IFERROR(IF(0=LEN(ReferenceData!$AF$132),"",ReferenceData!$AF$132),"")</f>
        <v/>
      </c>
      <c r="AG132" t="str">
        <f ca="1">IFERROR(IF(0=LEN(ReferenceData!$AG$132),"",ReferenceData!$AG$132),"")</f>
        <v/>
      </c>
      <c r="AH132" t="str">
        <f ca="1">IFERROR(IF(0=LEN(ReferenceData!$AH$132),"",ReferenceData!$AH$132),"")</f>
        <v/>
      </c>
      <c r="AI132" t="str">
        <f ca="1">IFERROR(IF(0=LEN(ReferenceData!$AI$132),"",ReferenceData!$AI$132),"")</f>
        <v/>
      </c>
      <c r="AJ132" t="str">
        <f ca="1">IFERROR(IF(0=LEN(ReferenceData!$AJ$132),"",ReferenceData!$AJ$132),"")</f>
        <v/>
      </c>
      <c r="AK132" t="str">
        <f ca="1">IFERROR(IF(0=LEN(ReferenceData!$AK$132),"",ReferenceData!$AK$132),"")</f>
        <v/>
      </c>
      <c r="AL132" t="str">
        <f ca="1">IFERROR(IF(0=LEN(ReferenceData!$AL$132),"",ReferenceData!$AL$132),"")</f>
        <v/>
      </c>
      <c r="AM132" t="str">
        <f ca="1">IFERROR(IF(0=LEN(ReferenceData!$AM$132),"",ReferenceData!$AM$132),"")</f>
        <v/>
      </c>
      <c r="AN132" t="str">
        <f ca="1">IFERROR(IF(0=LEN(ReferenceData!$AN$132),"",ReferenceData!$AN$132),"")</f>
        <v/>
      </c>
      <c r="AO132" t="str">
        <f ca="1">IFERROR(IF(0=LEN(ReferenceData!$AO$132),"",ReferenceData!$AO$132),"")</f>
        <v/>
      </c>
      <c r="AP132" t="str">
        <f ca="1">IFERROR(IF(0=LEN(ReferenceData!$AP$132),"",ReferenceData!$AP$132),"")</f>
        <v/>
      </c>
      <c r="AQ132" t="str">
        <f ca="1">IFERROR(IF(0=LEN(ReferenceData!$AQ$132),"",ReferenceData!$AQ$132),"")</f>
        <v/>
      </c>
      <c r="AR132" t="str">
        <f ca="1">IFERROR(IF(0=LEN(ReferenceData!$AR$132),"",ReferenceData!$AR$132),"")</f>
        <v/>
      </c>
      <c r="AS132" t="str">
        <f ca="1">IFERROR(IF(0=LEN(ReferenceData!$AS$132),"",ReferenceData!$AS$132),"")</f>
        <v/>
      </c>
      <c r="AT132" t="str">
        <f ca="1">IFERROR(IF(0=LEN(ReferenceData!$AT$132),"",ReferenceData!$AT$132),"")</f>
        <v/>
      </c>
      <c r="AU132" t="str">
        <f ca="1">IFERROR(IF(0=LEN(ReferenceData!$AU$132),"",ReferenceData!$AU$132),"")</f>
        <v/>
      </c>
      <c r="AV132" t="str">
        <f ca="1">IFERROR(IF(0=LEN(ReferenceData!$AV$132),"",ReferenceData!$AV$132),"")</f>
        <v/>
      </c>
      <c r="AW132" t="str">
        <f ca="1">IFERROR(IF(0=LEN(ReferenceData!$AW$132),"",ReferenceData!$AW$132),"")</f>
        <v/>
      </c>
      <c r="AX132" t="str">
        <f ca="1">IFERROR(IF(0=LEN(ReferenceData!$AX$132),"",ReferenceData!$AX$132),"")</f>
        <v/>
      </c>
      <c r="AY132" t="str">
        <f ca="1">IFERROR(IF(0=LEN(ReferenceData!$AY$132),"",ReferenceData!$AY$132),"")</f>
        <v/>
      </c>
      <c r="AZ132" t="str">
        <f ca="1">IFERROR(IF(0=LEN(ReferenceData!$AZ$132),"",ReferenceData!$AZ$132),"")</f>
        <v/>
      </c>
      <c r="BA132" t="str">
        <f ca="1">IFERROR(IF(0=LEN(ReferenceData!$BA$132),"",ReferenceData!$BA$132),"")</f>
        <v/>
      </c>
      <c r="BB132" t="str">
        <f ca="1">IFERROR(IF(0=LEN(ReferenceData!$BB$132),"",ReferenceData!$BB$132),"")</f>
        <v/>
      </c>
      <c r="BC132">
        <f ca="1">IFERROR(IF(0=LEN(ReferenceData!$BC$132),"",ReferenceData!$BC$132),"")</f>
        <v>191.16887639999999</v>
      </c>
      <c r="BD132">
        <f ca="1">IFERROR(IF(0=LEN(ReferenceData!$BD$132),"",ReferenceData!$BD$132),"")</f>
        <v>161.0917469</v>
      </c>
      <c r="BE132">
        <f ca="1">IFERROR(IF(0=LEN(ReferenceData!$BE$132),"",ReferenceData!$BE$132),"")</f>
        <v>129.28120480000001</v>
      </c>
      <c r="BF132">
        <f ca="1">IFERROR(IF(0=LEN(ReferenceData!$BF$132),"",ReferenceData!$BF$132),"")</f>
        <v>103.9708679</v>
      </c>
      <c r="BG132">
        <f ca="1">IFERROR(IF(0=LEN(ReferenceData!$BG$132),"",ReferenceData!$BG$132),"")</f>
        <v>98.869495040000004</v>
      </c>
      <c r="BH132">
        <f ca="1">IFERROR(IF(0=LEN(ReferenceData!$BH$132),"",ReferenceData!$BH$132),"")</f>
        <v>113.8000091</v>
      </c>
      <c r="BI132" t="str">
        <f ca="1">IFERROR(IF(0=LEN(ReferenceData!$BI$132),"",ReferenceData!$BI$132),"")</f>
        <v/>
      </c>
      <c r="BJ132" t="str">
        <f ca="1">IFERROR(IF(0=LEN(ReferenceData!$BJ$132),"",ReferenceData!$BJ$132),"")</f>
        <v/>
      </c>
      <c r="BK132" t="str">
        <f ca="1">IFERROR(IF(0=LEN(ReferenceData!$BK$132),"",ReferenceData!$BK$132),"")</f>
        <v/>
      </c>
      <c r="BL132" t="str">
        <f ca="1">IFERROR(IF(0=LEN(ReferenceData!$BL$132),"",ReferenceData!$BL$132),"")</f>
        <v/>
      </c>
      <c r="BM132" t="str">
        <f ca="1">IFERROR(IF(0=LEN(ReferenceData!$BM$132),"",ReferenceData!$BM$132),"")</f>
        <v/>
      </c>
    </row>
    <row r="133" spans="1:65" x14ac:dyDescent="0.25">
      <c r="A133" t="str">
        <f>IFERROR(IF(0=LEN(ReferenceData!$A$133),"",ReferenceData!$A$133),"")</f>
        <v xml:space="preserve">    Daihatsu Motor Co Ltd</v>
      </c>
      <c r="B133" t="str">
        <f>IFERROR(IF(0=LEN(ReferenceData!$B$133),"",ReferenceData!$B$133),"")</f>
        <v>7262 JP Equity</v>
      </c>
      <c r="C133" t="str">
        <f>IFERROR(IF(0=LEN(ReferenceData!$C$133),"",ReferenceData!$C$133),"")</f>
        <v>RR841</v>
      </c>
      <c r="D133" t="str">
        <f>IFERROR(IF(0=LEN(ReferenceData!$D$133),"",ReferenceData!$D$133),"")</f>
        <v>TRAIL_12M_EBITDA</v>
      </c>
      <c r="E133" t="str">
        <f>IFERROR(IF(0=LEN(ReferenceData!$E$133),"",ReferenceData!$E$133),"")</f>
        <v>Dynamic</v>
      </c>
      <c r="F133" t="str">
        <f ca="1">IFERROR(IF(0=LEN(ReferenceData!$F$133),"",ReferenceData!$F$133),"")</f>
        <v/>
      </c>
      <c r="G133" t="str">
        <f ca="1">IFERROR(IF(0=LEN(ReferenceData!$G$133),"",ReferenceData!$G$133),"")</f>
        <v/>
      </c>
      <c r="H133" t="str">
        <f ca="1">IFERROR(IF(0=LEN(ReferenceData!$H$133),"",ReferenceData!$H$133),"")</f>
        <v/>
      </c>
      <c r="I133" t="str">
        <f ca="1">IFERROR(IF(0=LEN(ReferenceData!$I$133),"",ReferenceData!$I$133),"")</f>
        <v/>
      </c>
      <c r="J133" t="str">
        <f ca="1">IFERROR(IF(0=LEN(ReferenceData!$J$133),"",ReferenceData!$J$133),"")</f>
        <v/>
      </c>
      <c r="K133" t="str">
        <f ca="1">IFERROR(IF(0=LEN(ReferenceData!$K$133),"",ReferenceData!$K$133),"")</f>
        <v/>
      </c>
      <c r="L133" t="str">
        <f ca="1">IFERROR(IF(0=LEN(ReferenceData!$L$133),"",ReferenceData!$L$133),"")</f>
        <v/>
      </c>
      <c r="M133" t="str">
        <f ca="1">IFERROR(IF(0=LEN(ReferenceData!$M$133),"",ReferenceData!$M$133),"")</f>
        <v/>
      </c>
      <c r="N133" t="str">
        <f ca="1">IFERROR(IF(0=LEN(ReferenceData!$N$133),"",ReferenceData!$N$133),"")</f>
        <v/>
      </c>
      <c r="O133" t="str">
        <f ca="1">IFERROR(IF(0=LEN(ReferenceData!$O$133),"",ReferenceData!$O$133),"")</f>
        <v/>
      </c>
      <c r="P133" t="str">
        <f ca="1">IFERROR(IF(0=LEN(ReferenceData!$P$133),"",ReferenceData!$P$133),"")</f>
        <v/>
      </c>
      <c r="Q133" t="str">
        <f ca="1">IFERROR(IF(0=LEN(ReferenceData!$Q$133),"",ReferenceData!$Q$133),"")</f>
        <v/>
      </c>
      <c r="R133">
        <f ca="1">IFERROR(IF(0=LEN(ReferenceData!$R$133),"",ReferenceData!$R$133),"")</f>
        <v>1374.691317</v>
      </c>
      <c r="S133">
        <f ca="1">IFERROR(IF(0=LEN(ReferenceData!$S$133),"",ReferenceData!$S$133),"")</f>
        <v>1559.844932</v>
      </c>
      <c r="T133">
        <f ca="1">IFERROR(IF(0=LEN(ReferenceData!$T$133),"",ReferenceData!$T$133),"")</f>
        <v>1582.625311</v>
      </c>
      <c r="U133">
        <f ca="1">IFERROR(IF(0=LEN(ReferenceData!$U$133),"",ReferenceData!$U$133),"")</f>
        <v>1618.4814389999999</v>
      </c>
      <c r="V133">
        <f ca="1">IFERROR(IF(0=LEN(ReferenceData!$V$133),"",ReferenceData!$V$133),"")</f>
        <v>1750.1574840000001</v>
      </c>
      <c r="W133">
        <f ca="1">IFERROR(IF(0=LEN(ReferenceData!$W$133),"",ReferenceData!$W$133),"")</f>
        <v>1688.941313</v>
      </c>
      <c r="X133">
        <f ca="1">IFERROR(IF(0=LEN(ReferenceData!$X$133),"",ReferenceData!$X$133),"")</f>
        <v>1798.6933489999999</v>
      </c>
      <c r="Y133">
        <f ca="1">IFERROR(IF(0=LEN(ReferenceData!$Y$133),"",ReferenceData!$Y$133),"")</f>
        <v>1948.6116460000001</v>
      </c>
      <c r="Z133">
        <f ca="1">IFERROR(IF(0=LEN(ReferenceData!$Z$133),"",ReferenceData!$Z$133),"")</f>
        <v>2131.7662999999998</v>
      </c>
      <c r="AA133">
        <f ca="1">IFERROR(IF(0=LEN(ReferenceData!$AA$133),"",ReferenceData!$AA$133),"")</f>
        <v>2070.1696609999999</v>
      </c>
      <c r="AB133">
        <f ca="1">IFERROR(IF(0=LEN(ReferenceData!$AB$133),"",ReferenceData!$AB$133),"")</f>
        <v>2111.0042050000002</v>
      </c>
      <c r="AC133">
        <f ca="1">IFERROR(IF(0=LEN(ReferenceData!$AC$133),"",ReferenceData!$AC$133),"")</f>
        <v>2318.7576560000002</v>
      </c>
      <c r="AD133">
        <f ca="1">IFERROR(IF(0=LEN(ReferenceData!$AD$133),"",ReferenceData!$AD$133),"")</f>
        <v>2371.6516799999999</v>
      </c>
      <c r="AE133">
        <f ca="1">IFERROR(IF(0=LEN(ReferenceData!$AE$133),"",ReferenceData!$AE$133),"")</f>
        <v>2545.233385</v>
      </c>
      <c r="AF133">
        <f ca="1">IFERROR(IF(0=LEN(ReferenceData!$AF$133),"",ReferenceData!$AF$133),"")</f>
        <v>2698.7972770000001</v>
      </c>
      <c r="AG133">
        <f ca="1">IFERROR(IF(0=LEN(ReferenceData!$AG$133),"",ReferenceData!$AG$133),"")</f>
        <v>2595.0494079999999</v>
      </c>
      <c r="AH133">
        <f ca="1">IFERROR(IF(0=LEN(ReferenceData!$AH$133),"",ReferenceData!$AH$133),"")</f>
        <v>2324.9592600000001</v>
      </c>
      <c r="AI133">
        <f ca="1">IFERROR(IF(0=LEN(ReferenceData!$AI$133),"",ReferenceData!$AI$133),"")</f>
        <v>2127.538939</v>
      </c>
      <c r="AJ133">
        <f ca="1">IFERROR(IF(0=LEN(ReferenceData!$AJ$133),"",ReferenceData!$AJ$133),"")</f>
        <v>1981.7032369999999</v>
      </c>
      <c r="AK133">
        <f ca="1">IFERROR(IF(0=LEN(ReferenceData!$AK$133),"",ReferenceData!$AK$133),"")</f>
        <v>1864.2953090000001</v>
      </c>
      <c r="AL133">
        <f ca="1">IFERROR(IF(0=LEN(ReferenceData!$AL$133),"",ReferenceData!$AL$133),"")</f>
        <v>2024.2120480000001</v>
      </c>
      <c r="AM133">
        <f ca="1">IFERROR(IF(0=LEN(ReferenceData!$AM$133),"",ReferenceData!$AM$133),"")</f>
        <v>1826.676819</v>
      </c>
      <c r="AN133">
        <f ca="1">IFERROR(IF(0=LEN(ReferenceData!$AN$133),"",ReferenceData!$AN$133),"")</f>
        <v>1761.885012</v>
      </c>
      <c r="AO133">
        <f ca="1">IFERROR(IF(0=LEN(ReferenceData!$AO$133),"",ReferenceData!$AO$133),"")</f>
        <v>1606.7671889999999</v>
      </c>
      <c r="AP133">
        <f ca="1">IFERROR(IF(0=LEN(ReferenceData!$AP$133),"",ReferenceData!$AP$133),"")</f>
        <v>1284.759712</v>
      </c>
      <c r="AQ133">
        <f ca="1">IFERROR(IF(0=LEN(ReferenceData!$AQ$133),"",ReferenceData!$AQ$133),"")</f>
        <v>1197.238028</v>
      </c>
      <c r="AR133">
        <f ca="1">IFERROR(IF(0=LEN(ReferenceData!$AR$133),"",ReferenceData!$AR$133),"")</f>
        <v>1130.3219469999999</v>
      </c>
      <c r="AS133">
        <f ca="1">IFERROR(IF(0=LEN(ReferenceData!$AS$133),"",ReferenceData!$AS$133),"")</f>
        <v>1147.06078</v>
      </c>
      <c r="AT133">
        <f ca="1">IFERROR(IF(0=LEN(ReferenceData!$AT$133),"",ReferenceData!$AT$133),"")</f>
        <v>1279.121007</v>
      </c>
      <c r="AU133">
        <f ca="1">IFERROR(IF(0=LEN(ReferenceData!$AU$133),"",ReferenceData!$AU$133),"")</f>
        <v>1426.339232</v>
      </c>
      <c r="AV133">
        <f ca="1">IFERROR(IF(0=LEN(ReferenceData!$AV$133),"",ReferenceData!$AV$133),"")</f>
        <v>1419.007529</v>
      </c>
      <c r="AW133">
        <f ca="1">IFERROR(IF(0=LEN(ReferenceData!$AW$133),"",ReferenceData!$AW$133),"")</f>
        <v>1369.3333720000001</v>
      </c>
      <c r="AX133">
        <f ca="1">IFERROR(IF(0=LEN(ReferenceData!$AX$133),"",ReferenceData!$AX$133),"")</f>
        <v>1274.6152950000001</v>
      </c>
      <c r="AY133">
        <f ca="1">IFERROR(IF(0=LEN(ReferenceData!$AY$133),"",ReferenceData!$AY$133),"")</f>
        <v>1194.7873750000001</v>
      </c>
      <c r="AZ133">
        <f ca="1">IFERROR(IF(0=LEN(ReferenceData!$AZ$133),"",ReferenceData!$AZ$133),"")</f>
        <v>1140.857557</v>
      </c>
      <c r="BA133">
        <f ca="1">IFERROR(IF(0=LEN(ReferenceData!$BA$133),"",ReferenceData!$BA$133),"")</f>
        <v>1131.924166</v>
      </c>
      <c r="BB133">
        <f ca="1">IFERROR(IF(0=LEN(ReferenceData!$BB$133),"",ReferenceData!$BB$133),"")</f>
        <v>1101.5522470000001</v>
      </c>
      <c r="BC133">
        <f ca="1">IFERROR(IF(0=LEN(ReferenceData!$BC$133),"",ReferenceData!$BC$133),"")</f>
        <v>1092.0038629999999</v>
      </c>
      <c r="BD133">
        <f ca="1">IFERROR(IF(0=LEN(ReferenceData!$BD$133),"",ReferenceData!$BD$133),"")</f>
        <v>1027.0281669999999</v>
      </c>
      <c r="BE133">
        <f ca="1">IFERROR(IF(0=LEN(ReferenceData!$BE$133),"",ReferenceData!$BE$133),"")</f>
        <v>997.11655210000004</v>
      </c>
      <c r="BF133">
        <f ca="1">IFERROR(IF(0=LEN(ReferenceData!$BF$133),"",ReferenceData!$BF$133),"")</f>
        <v>967.69798560000004</v>
      </c>
      <c r="BG133">
        <f ca="1">IFERROR(IF(0=LEN(ReferenceData!$BG$133),"",ReferenceData!$BG$133),"")</f>
        <v>905.78196539999999</v>
      </c>
      <c r="BH133">
        <f ca="1">IFERROR(IF(0=LEN(ReferenceData!$BH$133),"",ReferenceData!$BH$133),"")</f>
        <v>900.62691400000006</v>
      </c>
      <c r="BI133">
        <f ca="1">IFERROR(IF(0=LEN(ReferenceData!$BI$133),"",ReferenceData!$BI$133),"")</f>
        <v>885.39588960000003</v>
      </c>
      <c r="BJ133">
        <f ca="1">IFERROR(IF(0=LEN(ReferenceData!$BJ$133),"",ReferenceData!$BJ$133),"")</f>
        <v>852.99655929999994</v>
      </c>
      <c r="BK133" t="str">
        <f ca="1">IFERROR(IF(0=LEN(ReferenceData!$BK$133),"",ReferenceData!$BK$133),"")</f>
        <v/>
      </c>
      <c r="BL133" t="str">
        <f ca="1">IFERROR(IF(0=LEN(ReferenceData!$BL$133),"",ReferenceData!$BL$133),"")</f>
        <v/>
      </c>
      <c r="BM133" t="str">
        <f ca="1">IFERROR(IF(0=LEN(ReferenceData!$BM$133),"",ReferenceData!$BM$133),"")</f>
        <v/>
      </c>
    </row>
    <row r="134" spans="1:65" x14ac:dyDescent="0.25">
      <c r="A134" t="str">
        <f>IFERROR(IF(0=LEN(ReferenceData!$A$134),"",ReferenceData!$A$134),"")</f>
        <v xml:space="preserve">    Daimler AG</v>
      </c>
      <c r="B134" t="str">
        <f>IFERROR(IF(0=LEN(ReferenceData!$B$134),"",ReferenceData!$B$134),"")</f>
        <v>DAI GR Equity</v>
      </c>
      <c r="C134" t="str">
        <f>IFERROR(IF(0=LEN(ReferenceData!$C$134),"",ReferenceData!$C$134),"")</f>
        <v>RR841</v>
      </c>
      <c r="D134" t="str">
        <f>IFERROR(IF(0=LEN(ReferenceData!$D$134),"",ReferenceData!$D$134),"")</f>
        <v>TRAIL_12M_EBITDA</v>
      </c>
      <c r="E134" t="str">
        <f>IFERROR(IF(0=LEN(ReferenceData!$E$134),"",ReferenceData!$E$134),"")</f>
        <v>Dynamic</v>
      </c>
      <c r="F134" t="str">
        <f ca="1">IFERROR(IF(0=LEN(ReferenceData!$F$134),"",ReferenceData!$F$134),"")</f>
        <v/>
      </c>
      <c r="G134">
        <f ca="1">IFERROR(IF(0=LEN(ReferenceData!$G$134),"",ReferenceData!$G$134),"")</f>
        <v>19572.410820000001</v>
      </c>
      <c r="H134">
        <f ca="1">IFERROR(IF(0=LEN(ReferenceData!$H$134),"",ReferenceData!$H$134),"")</f>
        <v>20036.309229999999</v>
      </c>
      <c r="I134">
        <f ca="1">IFERROR(IF(0=LEN(ReferenceData!$I$134),"",ReferenceData!$I$134),"")</f>
        <v>21426.08726</v>
      </c>
      <c r="J134">
        <f ca="1">IFERROR(IF(0=LEN(ReferenceData!$J$134),"",ReferenceData!$J$134),"")</f>
        <v>21801.320800000001</v>
      </c>
      <c r="K134">
        <f ca="1">IFERROR(IF(0=LEN(ReferenceData!$K$134),"",ReferenceData!$K$134),"")</f>
        <v>21166.458060000001</v>
      </c>
      <c r="L134">
        <f ca="1">IFERROR(IF(0=LEN(ReferenceData!$L$134),"",ReferenceData!$L$134),"")</f>
        <v>20439.542249999999</v>
      </c>
      <c r="M134">
        <f ca="1">IFERROR(IF(0=LEN(ReferenceData!$M$134),"",ReferenceData!$M$134),"")</f>
        <v>20996.110519999998</v>
      </c>
      <c r="N134">
        <f ca="1">IFERROR(IF(0=LEN(ReferenceData!$N$134),"",ReferenceData!$N$134),"")</f>
        <v>20092.668369999999</v>
      </c>
      <c r="O134">
        <f ca="1">IFERROR(IF(0=LEN(ReferenceData!$O$134),"",ReferenceData!$O$134),"")</f>
        <v>19483.505219999999</v>
      </c>
      <c r="P134">
        <f ca="1">IFERROR(IF(0=LEN(ReferenceData!$P$134),"",ReferenceData!$P$134),"")</f>
        <v>19232.23619</v>
      </c>
      <c r="Q134">
        <f ca="1">IFERROR(IF(0=LEN(ReferenceData!$Q$134),"",ReferenceData!$Q$134),"")</f>
        <v>18608.875169999999</v>
      </c>
      <c r="R134">
        <f ca="1">IFERROR(IF(0=LEN(ReferenceData!$R$134),"",ReferenceData!$R$134),"")</f>
        <v>19458.6201</v>
      </c>
      <c r="S134">
        <f ca="1">IFERROR(IF(0=LEN(ReferenceData!$S$134),"",ReferenceData!$S$134),"")</f>
        <v>20127.641459999999</v>
      </c>
      <c r="T134">
        <f ca="1">IFERROR(IF(0=LEN(ReferenceData!$T$134),"",ReferenceData!$T$134),"")</f>
        <v>19929.971969999999</v>
      </c>
      <c r="U134">
        <f ca="1">IFERROR(IF(0=LEN(ReferenceData!$U$134),"",ReferenceData!$U$134),"")</f>
        <v>19818.180179999999</v>
      </c>
      <c r="V134">
        <f ca="1">IFERROR(IF(0=LEN(ReferenceData!$V$134),"",ReferenceData!$V$134),"")</f>
        <v>19446.248049999998</v>
      </c>
      <c r="W134">
        <f ca="1">IFERROR(IF(0=LEN(ReferenceData!$W$134),"",ReferenceData!$W$134),"")</f>
        <v>19120.896189999999</v>
      </c>
      <c r="X134">
        <f ca="1">IFERROR(IF(0=LEN(ReferenceData!$X$134),"",ReferenceData!$X$134),"")</f>
        <v>19766.212680000001</v>
      </c>
      <c r="Y134">
        <f ca="1">IFERROR(IF(0=LEN(ReferenceData!$Y$134),"",ReferenceData!$Y$134),"")</f>
        <v>18899.590069999998</v>
      </c>
      <c r="Z134">
        <f ca="1">IFERROR(IF(0=LEN(ReferenceData!$Z$134),"",ReferenceData!$Z$134),"")</f>
        <v>18045.945540000001</v>
      </c>
      <c r="AA134">
        <f ca="1">IFERROR(IF(0=LEN(ReferenceData!$AA$134),"",ReferenceData!$AA$134),"")</f>
        <v>16182.818230000001</v>
      </c>
      <c r="AB134">
        <f ca="1">IFERROR(IF(0=LEN(ReferenceData!$AB$134),"",ReferenceData!$AB$134),"")</f>
        <v>14743.028969999999</v>
      </c>
      <c r="AC134">
        <f ca="1">IFERROR(IF(0=LEN(ReferenceData!$AC$134),"",ReferenceData!$AC$134),"")</f>
        <v>14090.54074</v>
      </c>
      <c r="AD134">
        <f ca="1">IFERROR(IF(0=LEN(ReferenceData!$AD$134),"",ReferenceData!$AD$134),"")</f>
        <v>14227.476549999999</v>
      </c>
      <c r="AE134">
        <f ca="1">IFERROR(IF(0=LEN(ReferenceData!$AE$134),"",ReferenceData!$AE$134),"")</f>
        <v>15624.619640000001</v>
      </c>
      <c r="AF134">
        <f ca="1">IFERROR(IF(0=LEN(ReferenceData!$AF$134),"",ReferenceData!$AF$134),"")</f>
        <v>16117.371220000001</v>
      </c>
      <c r="AG134">
        <f ca="1">IFERROR(IF(0=LEN(ReferenceData!$AG$134),"",ReferenceData!$AG$134),"")</f>
        <v>16558.494729999999</v>
      </c>
      <c r="AH134">
        <f ca="1">IFERROR(IF(0=LEN(ReferenceData!$AH$134),"",ReferenceData!$AH$134),"")</f>
        <v>17297.776689999999</v>
      </c>
      <c r="AI134">
        <f ca="1">IFERROR(IF(0=LEN(ReferenceData!$AI$134),"",ReferenceData!$AI$134),"")</f>
        <v>17077.812180000001</v>
      </c>
      <c r="AJ134">
        <f ca="1">IFERROR(IF(0=LEN(ReferenceData!$AJ$134),"",ReferenceData!$AJ$134),"")</f>
        <v>16360.64176</v>
      </c>
      <c r="AK134">
        <f ca="1">IFERROR(IF(0=LEN(ReferenceData!$AK$134),"",ReferenceData!$AK$134),"")</f>
        <v>16472.539509999999</v>
      </c>
      <c r="AL134">
        <f ca="1">IFERROR(IF(0=LEN(ReferenceData!$AL$134),"",ReferenceData!$AL$134),"")</f>
        <v>15150.90912</v>
      </c>
      <c r="AM134">
        <f ca="1">IFERROR(IF(0=LEN(ReferenceData!$AM$134),"",ReferenceData!$AM$134),"")</f>
        <v>14112.4892</v>
      </c>
      <c r="AN134">
        <f ca="1">IFERROR(IF(0=LEN(ReferenceData!$AN$134),"",ReferenceData!$AN$134),"")</f>
        <v>13228.15785</v>
      </c>
      <c r="AO134">
        <f ca="1">IFERROR(IF(0=LEN(ReferenceData!$AO$134),"",ReferenceData!$AO$134),"")</f>
        <v>10985.57216</v>
      </c>
      <c r="AP134">
        <f ca="1">IFERROR(IF(0=LEN(ReferenceData!$AP$134),"",ReferenceData!$AP$134),"")</f>
        <v>7758.7520969999996</v>
      </c>
      <c r="AQ134">
        <f ca="1">IFERROR(IF(0=LEN(ReferenceData!$AQ$134),"",ReferenceData!$AQ$134),"")</f>
        <v>4211.1987909999998</v>
      </c>
      <c r="AR134">
        <f ca="1">IFERROR(IF(0=LEN(ReferenceData!$AR$134),"",ReferenceData!$AR$134),"")</f>
        <v>3642.3467479999999</v>
      </c>
      <c r="AS134">
        <f ca="1">IFERROR(IF(0=LEN(ReferenceData!$AS$134),"",ReferenceData!$AS$134),"")</f>
        <v>5381.1900850000002</v>
      </c>
      <c r="AT134">
        <f ca="1">IFERROR(IF(0=LEN(ReferenceData!$AT$134),"",ReferenceData!$AT$134),"")</f>
        <v>10295.42035</v>
      </c>
      <c r="AU134">
        <f ca="1">IFERROR(IF(0=LEN(ReferenceData!$AU$134),"",ReferenceData!$AU$134),"")</f>
        <v>16809.32416</v>
      </c>
      <c r="AV134">
        <f ca="1">IFERROR(IF(0=LEN(ReferenceData!$AV$134),"",ReferenceData!$AV$134),"")</f>
        <v>22268.66258</v>
      </c>
      <c r="AW134">
        <f ca="1">IFERROR(IF(0=LEN(ReferenceData!$AW$134),"",ReferenceData!$AW$134),"")</f>
        <v>22708.620729999999</v>
      </c>
      <c r="AX134">
        <f ca="1">IFERROR(IF(0=LEN(ReferenceData!$AX$134),"",ReferenceData!$AX$134),"")</f>
        <v>22729.801660000001</v>
      </c>
      <c r="AY134">
        <f ca="1">IFERROR(IF(0=LEN(ReferenceData!$AY$134),"",ReferenceData!$AY$134),"")</f>
        <v>23357.034110000001</v>
      </c>
      <c r="AZ134">
        <f ca="1">IFERROR(IF(0=LEN(ReferenceData!$AZ$134),"",ReferenceData!$AZ$134),"")</f>
        <v>21165.114000000001</v>
      </c>
      <c r="BA134">
        <f ca="1">IFERROR(IF(0=LEN(ReferenceData!$BA$134),"",ReferenceData!$BA$134),"")</f>
        <v>22862.723150000002</v>
      </c>
      <c r="BB134">
        <f ca="1">IFERROR(IF(0=LEN(ReferenceData!$BB$134),"",ReferenceData!$BB$134),"")</f>
        <v>22940.443719999999</v>
      </c>
      <c r="BC134">
        <f ca="1">IFERROR(IF(0=LEN(ReferenceData!$BC$134),"",ReferenceData!$BC$134),"")</f>
        <v>21946.5923</v>
      </c>
      <c r="BD134">
        <f ca="1">IFERROR(IF(0=LEN(ReferenceData!$BD$134),"",ReferenceData!$BD$134),"")</f>
        <v>19924.29451</v>
      </c>
      <c r="BE134">
        <f ca="1">IFERROR(IF(0=LEN(ReferenceData!$BE$134),"",ReferenceData!$BE$134),"")</f>
        <v>19728.688770000001</v>
      </c>
      <c r="BF134">
        <f ca="1">IFERROR(IF(0=LEN(ReferenceData!$BF$134),"",ReferenceData!$BF$134),"")</f>
        <v>20309.63351</v>
      </c>
      <c r="BG134">
        <f ca="1">IFERROR(IF(0=LEN(ReferenceData!$BG$134),"",ReferenceData!$BG$134),"")</f>
        <v>19529.236369999999</v>
      </c>
      <c r="BH134">
        <f ca="1">IFERROR(IF(0=LEN(ReferenceData!$BH$134),"",ReferenceData!$BH$134),"")</f>
        <v>21794.62934</v>
      </c>
      <c r="BI134">
        <f ca="1">IFERROR(IF(0=LEN(ReferenceData!$BI$134),"",ReferenceData!$BI$134),"")</f>
        <v>26996.843830000002</v>
      </c>
      <c r="BJ134">
        <f ca="1">IFERROR(IF(0=LEN(ReferenceData!$BJ$134),"",ReferenceData!$BJ$134),"")</f>
        <v>26069.32042</v>
      </c>
      <c r="BK134">
        <f ca="1">IFERROR(IF(0=LEN(ReferenceData!$BK$134),"",ReferenceData!$BK$134),"")</f>
        <v>26485.646949999998</v>
      </c>
      <c r="BL134">
        <f ca="1">IFERROR(IF(0=LEN(ReferenceData!$BL$134),"",ReferenceData!$BL$134),"")</f>
        <v>26922.904159999998</v>
      </c>
      <c r="BM134">
        <f ca="1">IFERROR(IF(0=LEN(ReferenceData!$BM$134),"",ReferenceData!$BM$134),"")</f>
        <v>26924.433410000001</v>
      </c>
    </row>
    <row r="135" spans="1:65" x14ac:dyDescent="0.25">
      <c r="A135" t="str">
        <f>IFERROR(IF(0=LEN(ReferenceData!$A$135),"",ReferenceData!$A$135),"")</f>
        <v xml:space="preserve">    Dongfeng Motor Group Co Ltd</v>
      </c>
      <c r="B135" t="str">
        <f>IFERROR(IF(0=LEN(ReferenceData!$B$135),"",ReferenceData!$B$135),"")</f>
        <v>489 HK Equity</v>
      </c>
      <c r="C135" t="str">
        <f>IFERROR(IF(0=LEN(ReferenceData!$C$135),"",ReferenceData!$C$135),"")</f>
        <v>RR841</v>
      </c>
      <c r="D135" t="str">
        <f>IFERROR(IF(0=LEN(ReferenceData!$D$135),"",ReferenceData!$D$135),"")</f>
        <v>TRAIL_12M_EBITDA</v>
      </c>
      <c r="E135" t="str">
        <f>IFERROR(IF(0=LEN(ReferenceData!$E$135),"",ReferenceData!$E$135),"")</f>
        <v>Dynamic</v>
      </c>
      <c r="F135" t="str">
        <f ca="1">IFERROR(IF(0=LEN(ReferenceData!$F$135),"",ReferenceData!$F$135),"")</f>
        <v/>
      </c>
      <c r="G135" t="str">
        <f ca="1">IFERROR(IF(0=LEN(ReferenceData!$G$135),"",ReferenceData!$G$135),"")</f>
        <v/>
      </c>
      <c r="H135" t="str">
        <f ca="1">IFERROR(IF(0=LEN(ReferenceData!$H$135),"",ReferenceData!$H$135),"")</f>
        <v/>
      </c>
      <c r="I135" t="str">
        <f ca="1">IFERROR(IF(0=LEN(ReferenceData!$I$135),"",ReferenceData!$I$135),"")</f>
        <v/>
      </c>
      <c r="J135" t="str">
        <f ca="1">IFERROR(IF(0=LEN(ReferenceData!$J$135),"",ReferenceData!$J$135),"")</f>
        <v/>
      </c>
      <c r="K135" t="str">
        <f ca="1">IFERROR(IF(0=LEN(ReferenceData!$K$135),"",ReferenceData!$K$135),"")</f>
        <v/>
      </c>
      <c r="L135" t="str">
        <f ca="1">IFERROR(IF(0=LEN(ReferenceData!$L$135),"",ReferenceData!$L$135),"")</f>
        <v/>
      </c>
      <c r="M135" t="str">
        <f ca="1">IFERROR(IF(0=LEN(ReferenceData!$M$135),"",ReferenceData!$M$135),"")</f>
        <v/>
      </c>
      <c r="N135" t="str">
        <f ca="1">IFERROR(IF(0=LEN(ReferenceData!$N$135),"",ReferenceData!$N$135),"")</f>
        <v/>
      </c>
      <c r="O135" t="str">
        <f ca="1">IFERROR(IF(0=LEN(ReferenceData!$O$135),"",ReferenceData!$O$135),"")</f>
        <v/>
      </c>
      <c r="P135" t="str">
        <f ca="1">IFERROR(IF(0=LEN(ReferenceData!$P$135),"",ReferenceData!$P$135),"")</f>
        <v/>
      </c>
      <c r="Q135" t="str">
        <f ca="1">IFERROR(IF(0=LEN(ReferenceData!$Q$135),"",ReferenceData!$Q$135),"")</f>
        <v/>
      </c>
      <c r="R135" t="str">
        <f ca="1">IFERROR(IF(0=LEN(ReferenceData!$R$135),"",ReferenceData!$R$135),"")</f>
        <v/>
      </c>
      <c r="S135" t="str">
        <f ca="1">IFERROR(IF(0=LEN(ReferenceData!$S$135),"",ReferenceData!$S$135),"")</f>
        <v/>
      </c>
      <c r="T135" t="str">
        <f ca="1">IFERROR(IF(0=LEN(ReferenceData!$T$135),"",ReferenceData!$T$135),"")</f>
        <v/>
      </c>
      <c r="U135" t="str">
        <f ca="1">IFERROR(IF(0=LEN(ReferenceData!$U$135),"",ReferenceData!$U$135),"")</f>
        <v/>
      </c>
      <c r="V135" t="str">
        <f ca="1">IFERROR(IF(0=LEN(ReferenceData!$V$135),"",ReferenceData!$V$135),"")</f>
        <v/>
      </c>
      <c r="W135" t="str">
        <f ca="1">IFERROR(IF(0=LEN(ReferenceData!$W$135),"",ReferenceData!$W$135),"")</f>
        <v/>
      </c>
      <c r="X135" t="str">
        <f ca="1">IFERROR(IF(0=LEN(ReferenceData!$X$135),"",ReferenceData!$X$135),"")</f>
        <v/>
      </c>
      <c r="Y135" t="str">
        <f ca="1">IFERROR(IF(0=LEN(ReferenceData!$Y$135),"",ReferenceData!$Y$135),"")</f>
        <v/>
      </c>
      <c r="Z135" t="str">
        <f ca="1">IFERROR(IF(0=LEN(ReferenceData!$Z$135),"",ReferenceData!$Z$135),"")</f>
        <v/>
      </c>
      <c r="AA135" t="str">
        <f ca="1">IFERROR(IF(0=LEN(ReferenceData!$AA$135),"",ReferenceData!$AA$135),"")</f>
        <v/>
      </c>
      <c r="AB135" t="str">
        <f ca="1">IFERROR(IF(0=LEN(ReferenceData!$AB$135),"",ReferenceData!$AB$135),"")</f>
        <v/>
      </c>
      <c r="AC135" t="str">
        <f ca="1">IFERROR(IF(0=LEN(ReferenceData!$AC$135),"",ReferenceData!$AC$135),"")</f>
        <v/>
      </c>
      <c r="AD135" t="str">
        <f ca="1">IFERROR(IF(0=LEN(ReferenceData!$AD$135),"",ReferenceData!$AD$135),"")</f>
        <v/>
      </c>
      <c r="AE135" t="str">
        <f ca="1">IFERROR(IF(0=LEN(ReferenceData!$AE$135),"",ReferenceData!$AE$135),"")</f>
        <v/>
      </c>
      <c r="AF135" t="str">
        <f ca="1">IFERROR(IF(0=LEN(ReferenceData!$AF$135),"",ReferenceData!$AF$135),"")</f>
        <v/>
      </c>
      <c r="AG135" t="str">
        <f ca="1">IFERROR(IF(0=LEN(ReferenceData!$AG$135),"",ReferenceData!$AG$135),"")</f>
        <v/>
      </c>
      <c r="AH135" t="str">
        <f ca="1">IFERROR(IF(0=LEN(ReferenceData!$AH$135),"",ReferenceData!$AH$135),"")</f>
        <v/>
      </c>
      <c r="AI135" t="str">
        <f ca="1">IFERROR(IF(0=LEN(ReferenceData!$AI$135),"",ReferenceData!$AI$135),"")</f>
        <v/>
      </c>
      <c r="AJ135" t="str">
        <f ca="1">IFERROR(IF(0=LEN(ReferenceData!$AJ$135),"",ReferenceData!$AJ$135),"")</f>
        <v/>
      </c>
      <c r="AK135" t="str">
        <f ca="1">IFERROR(IF(0=LEN(ReferenceData!$AK$135),"",ReferenceData!$AK$135),"")</f>
        <v/>
      </c>
      <c r="AL135" t="str">
        <f ca="1">IFERROR(IF(0=LEN(ReferenceData!$AL$135),"",ReferenceData!$AL$135),"")</f>
        <v/>
      </c>
      <c r="AM135" t="str">
        <f ca="1">IFERROR(IF(0=LEN(ReferenceData!$AM$135),"",ReferenceData!$AM$135),"")</f>
        <v/>
      </c>
      <c r="AN135" t="str">
        <f ca="1">IFERROR(IF(0=LEN(ReferenceData!$AN$135),"",ReferenceData!$AN$135),"")</f>
        <v/>
      </c>
      <c r="AO135" t="str">
        <f ca="1">IFERROR(IF(0=LEN(ReferenceData!$AO$135),"",ReferenceData!$AO$135),"")</f>
        <v/>
      </c>
      <c r="AP135" t="str">
        <f ca="1">IFERROR(IF(0=LEN(ReferenceData!$AP$135),"",ReferenceData!$AP$135),"")</f>
        <v/>
      </c>
      <c r="AQ135" t="str">
        <f ca="1">IFERROR(IF(0=LEN(ReferenceData!$AQ$135),"",ReferenceData!$AQ$135),"")</f>
        <v/>
      </c>
      <c r="AR135" t="str">
        <f ca="1">IFERROR(IF(0=LEN(ReferenceData!$AR$135),"",ReferenceData!$AR$135),"")</f>
        <v/>
      </c>
      <c r="AS135" t="str">
        <f ca="1">IFERROR(IF(0=LEN(ReferenceData!$AS$135),"",ReferenceData!$AS$135),"")</f>
        <v/>
      </c>
      <c r="AT135" t="str">
        <f ca="1">IFERROR(IF(0=LEN(ReferenceData!$AT$135),"",ReferenceData!$AT$135),"")</f>
        <v/>
      </c>
      <c r="AU135" t="str">
        <f ca="1">IFERROR(IF(0=LEN(ReferenceData!$AU$135),"",ReferenceData!$AU$135),"")</f>
        <v/>
      </c>
      <c r="AV135" t="str">
        <f ca="1">IFERROR(IF(0=LEN(ReferenceData!$AV$135),"",ReferenceData!$AV$135),"")</f>
        <v/>
      </c>
      <c r="AW135" t="str">
        <f ca="1">IFERROR(IF(0=LEN(ReferenceData!$AW$135),"",ReferenceData!$AW$135),"")</f>
        <v/>
      </c>
      <c r="AX135" t="str">
        <f ca="1">IFERROR(IF(0=LEN(ReferenceData!$AX$135),"",ReferenceData!$AX$135),"")</f>
        <v/>
      </c>
      <c r="AY135" t="str">
        <f ca="1">IFERROR(IF(0=LEN(ReferenceData!$AY$135),"",ReferenceData!$AY$135),"")</f>
        <v/>
      </c>
      <c r="AZ135" t="str">
        <f ca="1">IFERROR(IF(0=LEN(ReferenceData!$AZ$135),"",ReferenceData!$AZ$135),"")</f>
        <v/>
      </c>
      <c r="BA135" t="str">
        <f ca="1">IFERROR(IF(0=LEN(ReferenceData!$BA$135),"",ReferenceData!$BA$135),"")</f>
        <v/>
      </c>
      <c r="BB135" t="str">
        <f ca="1">IFERROR(IF(0=LEN(ReferenceData!$BB$135),"",ReferenceData!$BB$135),"")</f>
        <v/>
      </c>
      <c r="BC135" t="str">
        <f ca="1">IFERROR(IF(0=LEN(ReferenceData!$BC$135),"",ReferenceData!$BC$135),"")</f>
        <v/>
      </c>
      <c r="BD135" t="str">
        <f ca="1">IFERROR(IF(0=LEN(ReferenceData!$BD$135),"",ReferenceData!$BD$135),"")</f>
        <v/>
      </c>
      <c r="BE135" t="str">
        <f ca="1">IFERROR(IF(0=LEN(ReferenceData!$BE$135),"",ReferenceData!$BE$135),"")</f>
        <v/>
      </c>
      <c r="BF135" t="str">
        <f ca="1">IFERROR(IF(0=LEN(ReferenceData!$BF$135),"",ReferenceData!$BF$135),"")</f>
        <v/>
      </c>
      <c r="BG135" t="str">
        <f ca="1">IFERROR(IF(0=LEN(ReferenceData!$BG$135),"",ReferenceData!$BG$135),"")</f>
        <v/>
      </c>
      <c r="BH135" t="str">
        <f ca="1">IFERROR(IF(0=LEN(ReferenceData!$BH$135),"",ReferenceData!$BH$135),"")</f>
        <v/>
      </c>
      <c r="BI135" t="str">
        <f ca="1">IFERROR(IF(0=LEN(ReferenceData!$BI$135),"",ReferenceData!$BI$135),"")</f>
        <v/>
      </c>
      <c r="BJ135" t="str">
        <f ca="1">IFERROR(IF(0=LEN(ReferenceData!$BJ$135),"",ReferenceData!$BJ$135),"")</f>
        <v/>
      </c>
      <c r="BK135" t="str">
        <f ca="1">IFERROR(IF(0=LEN(ReferenceData!$BK$135),"",ReferenceData!$BK$135),"")</f>
        <v/>
      </c>
      <c r="BL135" t="str">
        <f ca="1">IFERROR(IF(0=LEN(ReferenceData!$BL$135),"",ReferenceData!$BL$135),"")</f>
        <v/>
      </c>
      <c r="BM135" t="str">
        <f ca="1">IFERROR(IF(0=LEN(ReferenceData!$BM$135),"",ReferenceData!$BM$135),"")</f>
        <v/>
      </c>
    </row>
    <row r="136" spans="1:65" x14ac:dyDescent="0.25">
      <c r="A136" t="str">
        <f>IFERROR(IF(0=LEN(ReferenceData!$A$136),"",ReferenceData!$A$136),"")</f>
        <v xml:space="preserve">    DRB-Hicom Bhd</v>
      </c>
      <c r="B136" t="str">
        <f>IFERROR(IF(0=LEN(ReferenceData!$B$136),"",ReferenceData!$B$136),"")</f>
        <v>DRB MK Equity</v>
      </c>
      <c r="C136" t="str">
        <f>IFERROR(IF(0=LEN(ReferenceData!$C$136),"",ReferenceData!$C$136),"")</f>
        <v>RR841</v>
      </c>
      <c r="D136" t="str">
        <f>IFERROR(IF(0=LEN(ReferenceData!$D$136),"",ReferenceData!$D$136),"")</f>
        <v>TRAIL_12M_EBITDA</v>
      </c>
      <c r="E136" t="str">
        <f>IFERROR(IF(0=LEN(ReferenceData!$E$136),"",ReferenceData!$E$136),"")</f>
        <v>Dynamic</v>
      </c>
      <c r="F136" t="str">
        <f ca="1">IFERROR(IF(0=LEN(ReferenceData!$F$136),"",ReferenceData!$F$136),"")</f>
        <v/>
      </c>
      <c r="G136" t="str">
        <f ca="1">IFERROR(IF(0=LEN(ReferenceData!$G$136),"",ReferenceData!$G$136),"")</f>
        <v/>
      </c>
      <c r="H136">
        <f ca="1">IFERROR(IF(0=LEN(ReferenceData!$H$136),"",ReferenceData!$H$136),"")</f>
        <v>85.596344650000006</v>
      </c>
      <c r="I136">
        <f ca="1">IFERROR(IF(0=LEN(ReferenceData!$I$136),"",ReferenceData!$I$136),"")</f>
        <v>295.73451290000003</v>
      </c>
      <c r="J136">
        <f ca="1">IFERROR(IF(0=LEN(ReferenceData!$J$136),"",ReferenceData!$J$136),"")</f>
        <v>290.336029</v>
      </c>
      <c r="K136">
        <f ca="1">IFERROR(IF(0=LEN(ReferenceData!$K$136),"",ReferenceData!$K$136),"")</f>
        <v>265.32760889999997</v>
      </c>
      <c r="L136">
        <f ca="1">IFERROR(IF(0=LEN(ReferenceData!$L$136),"",ReferenceData!$L$136),"")</f>
        <v>452.48196630000001</v>
      </c>
      <c r="M136">
        <f ca="1">IFERROR(IF(0=LEN(ReferenceData!$M$136),"",ReferenceData!$M$136),"")</f>
        <v>211.9661897</v>
      </c>
      <c r="N136">
        <f ca="1">IFERROR(IF(0=LEN(ReferenceData!$N$136),"",ReferenceData!$N$136),"")</f>
        <v>198.59551279999999</v>
      </c>
      <c r="O136">
        <f ca="1">IFERROR(IF(0=LEN(ReferenceData!$O$136),"",ReferenceData!$O$136),"")</f>
        <v>96.977467239999996</v>
      </c>
      <c r="P136">
        <f ca="1">IFERROR(IF(0=LEN(ReferenceData!$P$136),"",ReferenceData!$P$136),"")</f>
        <v>-62.133030769999998</v>
      </c>
      <c r="Q136">
        <f ca="1">IFERROR(IF(0=LEN(ReferenceData!$Q$136),"",ReferenceData!$Q$136),"")</f>
        <v>-1.413717618</v>
      </c>
      <c r="R136">
        <f ca="1">IFERROR(IF(0=LEN(ReferenceData!$R$136),"",ReferenceData!$R$136),"")</f>
        <v>25.522949140000001</v>
      </c>
      <c r="S136">
        <f ca="1">IFERROR(IF(0=LEN(ReferenceData!$S$136),"",ReferenceData!$S$136),"")</f>
        <v>186.85681439999999</v>
      </c>
      <c r="T136">
        <f ca="1">IFERROR(IF(0=LEN(ReferenceData!$T$136),"",ReferenceData!$T$136),"")</f>
        <v>243.5652255</v>
      </c>
      <c r="U136">
        <f ca="1">IFERROR(IF(0=LEN(ReferenceData!$U$136),"",ReferenceData!$U$136),"")</f>
        <v>295.34507339999999</v>
      </c>
      <c r="V136">
        <f ca="1">IFERROR(IF(0=LEN(ReferenceData!$V$136),"",ReferenceData!$V$136),"")</f>
        <v>351.22654249999999</v>
      </c>
      <c r="W136">
        <f ca="1">IFERROR(IF(0=LEN(ReferenceData!$W$136),"",ReferenceData!$W$136),"")</f>
        <v>457.8285492</v>
      </c>
      <c r="X136">
        <f ca="1">IFERROR(IF(0=LEN(ReferenceData!$X$136),"",ReferenceData!$X$136),"")</f>
        <v>490.05767179999998</v>
      </c>
      <c r="Y136">
        <f ca="1">IFERROR(IF(0=LEN(ReferenceData!$Y$136),"",ReferenceData!$Y$136),"")</f>
        <v>512.16935339999998</v>
      </c>
      <c r="Z136">
        <f ca="1">IFERROR(IF(0=LEN(ReferenceData!$Z$136),"",ReferenceData!$Z$136),"")</f>
        <v>509.40853980000003</v>
      </c>
      <c r="AA136">
        <f ca="1">IFERROR(IF(0=LEN(ReferenceData!$AA$136),"",ReferenceData!$AA$136),"")</f>
        <v>514.74539909999999</v>
      </c>
      <c r="AB136">
        <f ca="1">IFERROR(IF(0=LEN(ReferenceData!$AB$136),"",ReferenceData!$AB$136),"")</f>
        <v>484.34944100000001</v>
      </c>
      <c r="AC136">
        <f ca="1">IFERROR(IF(0=LEN(ReferenceData!$AC$136),"",ReferenceData!$AC$136),"")</f>
        <v>474.71242669999998</v>
      </c>
      <c r="AD136">
        <f ca="1">IFERROR(IF(0=LEN(ReferenceData!$AD$136),"",ReferenceData!$AD$136),"")</f>
        <v>467.78078829999998</v>
      </c>
      <c r="AE136">
        <f ca="1">IFERROR(IF(0=LEN(ReferenceData!$AE$136),"",ReferenceData!$AE$136),"")</f>
        <v>748.93820459999995</v>
      </c>
      <c r="AF136">
        <f ca="1">IFERROR(IF(0=LEN(ReferenceData!$AF$136),"",ReferenceData!$AF$136),"")</f>
        <v>730.41065390000006</v>
      </c>
      <c r="AG136">
        <f ca="1">IFERROR(IF(0=LEN(ReferenceData!$AG$136),"",ReferenceData!$AG$136),"")</f>
        <v>674.95752330000005</v>
      </c>
      <c r="AH136">
        <f ca="1">IFERROR(IF(0=LEN(ReferenceData!$AH$136),"",ReferenceData!$AH$136),"")</f>
        <v>653.08941700000003</v>
      </c>
      <c r="AI136">
        <f ca="1">IFERROR(IF(0=LEN(ReferenceData!$AI$136),"",ReferenceData!$AI$136),"")</f>
        <v>206.71858359999999</v>
      </c>
      <c r="AJ136">
        <f ca="1">IFERROR(IF(0=LEN(ReferenceData!$AJ$136),"",ReferenceData!$AJ$136),"")</f>
        <v>211.59649870000001</v>
      </c>
      <c r="AK136">
        <f ca="1">IFERROR(IF(0=LEN(ReferenceData!$AK$136),"",ReferenceData!$AK$136),"")</f>
        <v>211.19816109999999</v>
      </c>
      <c r="AL136">
        <f ca="1">IFERROR(IF(0=LEN(ReferenceData!$AL$136),"",ReferenceData!$AL$136),"")</f>
        <v>222.02589399999999</v>
      </c>
      <c r="AM136">
        <f ca="1">IFERROR(IF(0=LEN(ReferenceData!$AM$136),"",ReferenceData!$AM$136),"")</f>
        <v>210.95996120000001</v>
      </c>
      <c r="AN136">
        <f ca="1">IFERROR(IF(0=LEN(ReferenceData!$AN$136),"",ReferenceData!$AN$136),"")</f>
        <v>211.2506104</v>
      </c>
      <c r="AO136">
        <f ca="1">IFERROR(IF(0=LEN(ReferenceData!$AO$136),"",ReferenceData!$AO$136),"")</f>
        <v>183.79466980000001</v>
      </c>
      <c r="AP136">
        <f ca="1">IFERROR(IF(0=LEN(ReferenceData!$AP$136),"",ReferenceData!$AP$136),"")</f>
        <v>151.1149245</v>
      </c>
      <c r="AQ136">
        <f ca="1">IFERROR(IF(0=LEN(ReferenceData!$AQ$136),"",ReferenceData!$AQ$136),"")</f>
        <v>112.366371</v>
      </c>
      <c r="AR136">
        <f ca="1">IFERROR(IF(0=LEN(ReferenceData!$AR$136),"",ReferenceData!$AR$136),"")</f>
        <v>95.060359469999995</v>
      </c>
      <c r="AS136">
        <f ca="1">IFERROR(IF(0=LEN(ReferenceData!$AS$136),"",ReferenceData!$AS$136),"")</f>
        <v>95.074361710000005</v>
      </c>
      <c r="AT136">
        <f ca="1">IFERROR(IF(0=LEN(ReferenceData!$AT$136),"",ReferenceData!$AT$136),"")</f>
        <v>255.53291429999999</v>
      </c>
      <c r="AU136">
        <f ca="1">IFERROR(IF(0=LEN(ReferenceData!$AU$136),"",ReferenceData!$AU$136),"")</f>
        <v>287.6316339</v>
      </c>
      <c r="AV136">
        <f ca="1">IFERROR(IF(0=LEN(ReferenceData!$AV$136),"",ReferenceData!$AV$136),"")</f>
        <v>319.29529530000002</v>
      </c>
      <c r="AW136">
        <f ca="1">IFERROR(IF(0=LEN(ReferenceData!$AW$136),"",ReferenceData!$AW$136),"")</f>
        <v>311.92448560000003</v>
      </c>
      <c r="AX136">
        <f ca="1">IFERROR(IF(0=LEN(ReferenceData!$AX$136),"",ReferenceData!$AX$136),"")</f>
        <v>141.50056950000001</v>
      </c>
      <c r="AY136">
        <f ca="1">IFERROR(IF(0=LEN(ReferenceData!$AY$136),"",ReferenceData!$AY$136),"")</f>
        <v>180.3730066</v>
      </c>
      <c r="AZ136">
        <f ca="1">IFERROR(IF(0=LEN(ReferenceData!$AZ$136),"",ReferenceData!$AZ$136),"")</f>
        <v>144.19615229999999</v>
      </c>
      <c r="BA136">
        <f ca="1">IFERROR(IF(0=LEN(ReferenceData!$BA$136),"",ReferenceData!$BA$136),"")</f>
        <v>142.32221939999999</v>
      </c>
      <c r="BB136">
        <f ca="1">IFERROR(IF(0=LEN(ReferenceData!$BB$136),"",ReferenceData!$BB$136),"")</f>
        <v>131.9220254</v>
      </c>
      <c r="BC136">
        <f ca="1">IFERROR(IF(0=LEN(ReferenceData!$BC$136),"",ReferenceData!$BC$136),"")</f>
        <v>35.956039750000002</v>
      </c>
      <c r="BD136">
        <f ca="1">IFERROR(IF(0=LEN(ReferenceData!$BD$136),"",ReferenceData!$BD$136),"")</f>
        <v>-31.290397240000001</v>
      </c>
      <c r="BE136">
        <f ca="1">IFERROR(IF(0=LEN(ReferenceData!$BE$136),"",ReferenceData!$BE$136),"")</f>
        <v>-30.379049429999998</v>
      </c>
      <c r="BF136">
        <f ca="1">IFERROR(IF(0=LEN(ReferenceData!$BF$136),"",ReferenceData!$BF$136),"")</f>
        <v>-11.61187601</v>
      </c>
      <c r="BG136">
        <f ca="1">IFERROR(IF(0=LEN(ReferenceData!$BG$136),"",ReferenceData!$BG$136),"")</f>
        <v>20.90551421</v>
      </c>
      <c r="BH136">
        <f ca="1">IFERROR(IF(0=LEN(ReferenceData!$BH$136),"",ReferenceData!$BH$136),"")</f>
        <v>82.288617489999993</v>
      </c>
      <c r="BI136">
        <f ca="1">IFERROR(IF(0=LEN(ReferenceData!$BI$136),"",ReferenceData!$BI$136),"")</f>
        <v>95.054210519999998</v>
      </c>
      <c r="BJ136">
        <f ca="1">IFERROR(IF(0=LEN(ReferenceData!$BJ$136),"",ReferenceData!$BJ$136),"")</f>
        <v>93.484736639999994</v>
      </c>
      <c r="BK136">
        <f ca="1">IFERROR(IF(0=LEN(ReferenceData!$BK$136),"",ReferenceData!$BK$136),"")</f>
        <v>106.7205258</v>
      </c>
      <c r="BL136">
        <f ca="1">IFERROR(IF(0=LEN(ReferenceData!$BL$136),"",ReferenceData!$BL$136),"")</f>
        <v>108.39447319999999</v>
      </c>
      <c r="BM136">
        <f ca="1">IFERROR(IF(0=LEN(ReferenceData!$BM$136),"",ReferenceData!$BM$136),"")</f>
        <v>103.91605180000001</v>
      </c>
    </row>
    <row r="137" spans="1:65" x14ac:dyDescent="0.25">
      <c r="A137" t="str">
        <f>IFERROR(IF(0=LEN(ReferenceData!$A$137),"",ReferenceData!$A$137),"")</f>
        <v xml:space="preserve">    FAW CAR Co Ltd</v>
      </c>
      <c r="B137" t="str">
        <f>IFERROR(IF(0=LEN(ReferenceData!$B$137),"",ReferenceData!$B$137),"")</f>
        <v>000800 CH Equity</v>
      </c>
      <c r="C137" t="str">
        <f>IFERROR(IF(0=LEN(ReferenceData!$C$137),"",ReferenceData!$C$137),"")</f>
        <v>RR841</v>
      </c>
      <c r="D137" t="str">
        <f>IFERROR(IF(0=LEN(ReferenceData!$D$137),"",ReferenceData!$D$137),"")</f>
        <v>TRAIL_12M_EBITDA</v>
      </c>
      <c r="E137" t="str">
        <f>IFERROR(IF(0=LEN(ReferenceData!$E$137),"",ReferenceData!$E$137),"")</f>
        <v>Dynamic</v>
      </c>
      <c r="F137" t="str">
        <f ca="1">IFERROR(IF(0=LEN(ReferenceData!$F$137),"",ReferenceData!$F$137),"")</f>
        <v/>
      </c>
      <c r="G137" t="str">
        <f ca="1">IFERROR(IF(0=LEN(ReferenceData!$G$137),"",ReferenceData!$G$137),"")</f>
        <v/>
      </c>
      <c r="H137" t="str">
        <f ca="1">IFERROR(IF(0=LEN(ReferenceData!$H$137),"",ReferenceData!$H$137),"")</f>
        <v/>
      </c>
      <c r="I137" t="str">
        <f ca="1">IFERROR(IF(0=LEN(ReferenceData!$I$137),"",ReferenceData!$I$137),"")</f>
        <v/>
      </c>
      <c r="J137" t="str">
        <f ca="1">IFERROR(IF(0=LEN(ReferenceData!$J$137),"",ReferenceData!$J$137),"")</f>
        <v/>
      </c>
      <c r="K137" t="str">
        <f ca="1">IFERROR(IF(0=LEN(ReferenceData!$K$137),"",ReferenceData!$K$137),"")</f>
        <v/>
      </c>
      <c r="L137" t="str">
        <f ca="1">IFERROR(IF(0=LEN(ReferenceData!$L$137),"",ReferenceData!$L$137),"")</f>
        <v/>
      </c>
      <c r="M137" t="str">
        <f ca="1">IFERROR(IF(0=LEN(ReferenceData!$M$137),"",ReferenceData!$M$137),"")</f>
        <v/>
      </c>
      <c r="N137" t="str">
        <f ca="1">IFERROR(IF(0=LEN(ReferenceData!$N$137),"",ReferenceData!$N$137),"")</f>
        <v/>
      </c>
      <c r="O137" t="str">
        <f ca="1">IFERROR(IF(0=LEN(ReferenceData!$O$137),"",ReferenceData!$O$137),"")</f>
        <v/>
      </c>
      <c r="P137" t="str">
        <f ca="1">IFERROR(IF(0=LEN(ReferenceData!$P$137),"",ReferenceData!$P$137),"")</f>
        <v/>
      </c>
      <c r="Q137" t="str">
        <f ca="1">IFERROR(IF(0=LEN(ReferenceData!$Q$137),"",ReferenceData!$Q$137),"")</f>
        <v/>
      </c>
      <c r="R137" t="str">
        <f ca="1">IFERROR(IF(0=LEN(ReferenceData!$R$137),"",ReferenceData!$R$137),"")</f>
        <v/>
      </c>
      <c r="S137" t="str">
        <f ca="1">IFERROR(IF(0=LEN(ReferenceData!$S$137),"",ReferenceData!$S$137),"")</f>
        <v/>
      </c>
      <c r="T137" t="str">
        <f ca="1">IFERROR(IF(0=LEN(ReferenceData!$T$137),"",ReferenceData!$T$137),"")</f>
        <v/>
      </c>
      <c r="U137" t="str">
        <f ca="1">IFERROR(IF(0=LEN(ReferenceData!$U$137),"",ReferenceData!$U$137),"")</f>
        <v/>
      </c>
      <c r="V137" t="str">
        <f ca="1">IFERROR(IF(0=LEN(ReferenceData!$V$137),"",ReferenceData!$V$137),"")</f>
        <v/>
      </c>
      <c r="W137" t="str">
        <f ca="1">IFERROR(IF(0=LEN(ReferenceData!$W$137),"",ReferenceData!$W$137),"")</f>
        <v/>
      </c>
      <c r="X137" t="str">
        <f ca="1">IFERROR(IF(0=LEN(ReferenceData!$X$137),"",ReferenceData!$X$137),"")</f>
        <v/>
      </c>
      <c r="Y137" t="str">
        <f ca="1">IFERROR(IF(0=LEN(ReferenceData!$Y$137),"",ReferenceData!$Y$137),"")</f>
        <v/>
      </c>
      <c r="Z137" t="str">
        <f ca="1">IFERROR(IF(0=LEN(ReferenceData!$Z$137),"",ReferenceData!$Z$137),"")</f>
        <v/>
      </c>
      <c r="AA137" t="str">
        <f ca="1">IFERROR(IF(0=LEN(ReferenceData!$AA$137),"",ReferenceData!$AA$137),"")</f>
        <v/>
      </c>
      <c r="AB137" t="str">
        <f ca="1">IFERROR(IF(0=LEN(ReferenceData!$AB$137),"",ReferenceData!$AB$137),"")</f>
        <v/>
      </c>
      <c r="AC137" t="str">
        <f ca="1">IFERROR(IF(0=LEN(ReferenceData!$AC$137),"",ReferenceData!$AC$137),"")</f>
        <v/>
      </c>
      <c r="AD137" t="str">
        <f ca="1">IFERROR(IF(0=LEN(ReferenceData!$AD$137),"",ReferenceData!$AD$137),"")</f>
        <v/>
      </c>
      <c r="AE137" t="str">
        <f ca="1">IFERROR(IF(0=LEN(ReferenceData!$AE$137),"",ReferenceData!$AE$137),"")</f>
        <v/>
      </c>
      <c r="AF137" t="str">
        <f ca="1">IFERROR(IF(0=LEN(ReferenceData!$AF$137),"",ReferenceData!$AF$137),"")</f>
        <v/>
      </c>
      <c r="AG137" t="str">
        <f ca="1">IFERROR(IF(0=LEN(ReferenceData!$AG$137),"",ReferenceData!$AG$137),"")</f>
        <v/>
      </c>
      <c r="AH137" t="str">
        <f ca="1">IFERROR(IF(0=LEN(ReferenceData!$AH$137),"",ReferenceData!$AH$137),"")</f>
        <v/>
      </c>
      <c r="AI137" t="str">
        <f ca="1">IFERROR(IF(0=LEN(ReferenceData!$AI$137),"",ReferenceData!$AI$137),"")</f>
        <v/>
      </c>
      <c r="AJ137" t="str">
        <f ca="1">IFERROR(IF(0=LEN(ReferenceData!$AJ$137),"",ReferenceData!$AJ$137),"")</f>
        <v/>
      </c>
      <c r="AK137" t="str">
        <f ca="1">IFERROR(IF(0=LEN(ReferenceData!$AK$137),"",ReferenceData!$AK$137),"")</f>
        <v/>
      </c>
      <c r="AL137" t="str">
        <f ca="1">IFERROR(IF(0=LEN(ReferenceData!$AL$137),"",ReferenceData!$AL$137),"")</f>
        <v/>
      </c>
      <c r="AM137" t="str">
        <f ca="1">IFERROR(IF(0=LEN(ReferenceData!$AM$137),"",ReferenceData!$AM$137),"")</f>
        <v/>
      </c>
      <c r="AN137" t="str">
        <f ca="1">IFERROR(IF(0=LEN(ReferenceData!$AN$137),"",ReferenceData!$AN$137),"")</f>
        <v/>
      </c>
      <c r="AO137" t="str">
        <f ca="1">IFERROR(IF(0=LEN(ReferenceData!$AO$137),"",ReferenceData!$AO$137),"")</f>
        <v/>
      </c>
      <c r="AP137" t="str">
        <f ca="1">IFERROR(IF(0=LEN(ReferenceData!$AP$137),"",ReferenceData!$AP$137),"")</f>
        <v/>
      </c>
      <c r="AQ137" t="str">
        <f ca="1">IFERROR(IF(0=LEN(ReferenceData!$AQ$137),"",ReferenceData!$AQ$137),"")</f>
        <v/>
      </c>
      <c r="AR137" t="str">
        <f ca="1">IFERROR(IF(0=LEN(ReferenceData!$AR$137),"",ReferenceData!$AR$137),"")</f>
        <v/>
      </c>
      <c r="AS137" t="str">
        <f ca="1">IFERROR(IF(0=LEN(ReferenceData!$AS$137),"",ReferenceData!$AS$137),"")</f>
        <v/>
      </c>
      <c r="AT137" t="str">
        <f ca="1">IFERROR(IF(0=LEN(ReferenceData!$AT$137),"",ReferenceData!$AT$137),"")</f>
        <v/>
      </c>
      <c r="AU137" t="str">
        <f ca="1">IFERROR(IF(0=LEN(ReferenceData!$AU$137),"",ReferenceData!$AU$137),"")</f>
        <v/>
      </c>
      <c r="AV137" t="str">
        <f ca="1">IFERROR(IF(0=LEN(ReferenceData!$AV$137),"",ReferenceData!$AV$137),"")</f>
        <v/>
      </c>
      <c r="AW137" t="str">
        <f ca="1">IFERROR(IF(0=LEN(ReferenceData!$AW$137),"",ReferenceData!$AW$137),"")</f>
        <v/>
      </c>
      <c r="AX137" t="str">
        <f ca="1">IFERROR(IF(0=LEN(ReferenceData!$AX$137),"",ReferenceData!$AX$137),"")</f>
        <v/>
      </c>
      <c r="AY137" t="str">
        <f ca="1">IFERROR(IF(0=LEN(ReferenceData!$AY$137),"",ReferenceData!$AY$137),"")</f>
        <v/>
      </c>
      <c r="AZ137">
        <f ca="1">IFERROR(IF(0=LEN(ReferenceData!$AZ$137),"",ReferenceData!$AZ$137),"")</f>
        <v>136.67440289999999</v>
      </c>
      <c r="BA137">
        <f ca="1">IFERROR(IF(0=LEN(ReferenceData!$BA$137),"",ReferenceData!$BA$137),"")</f>
        <v>91.861727459999997</v>
      </c>
      <c r="BB137">
        <f ca="1">IFERROR(IF(0=LEN(ReferenceData!$BB$137),"",ReferenceData!$BB$137),"")</f>
        <v>82.580826700000003</v>
      </c>
      <c r="BC137">
        <f ca="1">IFERROR(IF(0=LEN(ReferenceData!$BC$137),"",ReferenceData!$BC$137),"")</f>
        <v>83.221600670000001</v>
      </c>
      <c r="BD137">
        <f ca="1">IFERROR(IF(0=LEN(ReferenceData!$BD$137),"",ReferenceData!$BD$137),"")</f>
        <v>97.27983553</v>
      </c>
      <c r="BE137">
        <f ca="1">IFERROR(IF(0=LEN(ReferenceData!$BE$137),"",ReferenceData!$BE$137),"")</f>
        <v>102.08323900000001</v>
      </c>
      <c r="BF137">
        <f ca="1">IFERROR(IF(0=LEN(ReferenceData!$BF$137),"",ReferenceData!$BF$137),"")</f>
        <v>106.7916189</v>
      </c>
      <c r="BG137">
        <f ca="1">IFERROR(IF(0=LEN(ReferenceData!$BG$137),"",ReferenceData!$BG$137),"")</f>
        <v>96.656528449999996</v>
      </c>
      <c r="BH137">
        <f ca="1">IFERROR(IF(0=LEN(ReferenceData!$BH$137),"",ReferenceData!$BH$137),"")</f>
        <v>72.810486190000006</v>
      </c>
      <c r="BI137">
        <f ca="1">IFERROR(IF(0=LEN(ReferenceData!$BI$137),"",ReferenceData!$BI$137),"")</f>
        <v>67.331912160000002</v>
      </c>
      <c r="BJ137">
        <f ca="1">IFERROR(IF(0=LEN(ReferenceData!$BJ$137),"",ReferenceData!$BJ$137),"")</f>
        <v>73.637845279999993</v>
      </c>
      <c r="BK137">
        <f ca="1">IFERROR(IF(0=LEN(ReferenceData!$BK$137),"",ReferenceData!$BK$137),"")</f>
        <v>97.223183070000005</v>
      </c>
      <c r="BL137">
        <f ca="1">IFERROR(IF(0=LEN(ReferenceData!$BL$137),"",ReferenceData!$BL$137),"")</f>
        <v>122.30891149999999</v>
      </c>
      <c r="BM137">
        <f ca="1">IFERROR(IF(0=LEN(ReferenceData!$BM$137),"",ReferenceData!$BM$137),"")</f>
        <v>139.69399659999999</v>
      </c>
    </row>
    <row r="138" spans="1:65" x14ac:dyDescent="0.25">
      <c r="A138" t="str">
        <f>IFERROR(IF(0=LEN(ReferenceData!$A$138),"",ReferenceData!$A$138),"")</f>
        <v xml:space="preserve">    Fiat Chrysler Automobiles NV</v>
      </c>
      <c r="B138" t="str">
        <f>IFERROR(IF(0=LEN(ReferenceData!$B$138),"",ReferenceData!$B$138),"")</f>
        <v>FCAU US Equity</v>
      </c>
      <c r="C138" t="str">
        <f>IFERROR(IF(0=LEN(ReferenceData!$C$138),"",ReferenceData!$C$138),"")</f>
        <v>RR841</v>
      </c>
      <c r="D138" t="str">
        <f>IFERROR(IF(0=LEN(ReferenceData!$D$138),"",ReferenceData!$D$138),"")</f>
        <v>TRAIL_12M_EBITDA</v>
      </c>
      <c r="E138" t="str">
        <f>IFERROR(IF(0=LEN(ReferenceData!$E$138),"",ReferenceData!$E$138),"")</f>
        <v>Dynamic</v>
      </c>
      <c r="F138" t="str">
        <f ca="1">IFERROR(IF(0=LEN(ReferenceData!$F$138),"",ReferenceData!$F$138),"")</f>
        <v/>
      </c>
      <c r="G138">
        <f ca="1">IFERROR(IF(0=LEN(ReferenceData!$G$138),"",ReferenceData!$G$138),"")</f>
        <v>12603.77743</v>
      </c>
      <c r="H138">
        <f ca="1">IFERROR(IF(0=LEN(ReferenceData!$H$138),"",ReferenceData!$H$138),"")</f>
        <v>12831.761469999999</v>
      </c>
      <c r="I138">
        <f ca="1">IFERROR(IF(0=LEN(ReferenceData!$I$138),"",ReferenceData!$I$138),"")</f>
        <v>13496.77607</v>
      </c>
      <c r="J138">
        <f ca="1">IFERROR(IF(0=LEN(ReferenceData!$J$138),"",ReferenceData!$J$138),"")</f>
        <v>14708.25294</v>
      </c>
      <c r="K138">
        <f ca="1">IFERROR(IF(0=LEN(ReferenceData!$K$138),"",ReferenceData!$K$138),"")</f>
        <v>14198.337149999999</v>
      </c>
      <c r="L138">
        <f ca="1">IFERROR(IF(0=LEN(ReferenceData!$L$138),"",ReferenceData!$L$138),"")</f>
        <v>14263.81979</v>
      </c>
      <c r="M138">
        <f ca="1">IFERROR(IF(0=LEN(ReferenceData!$M$138),"",ReferenceData!$M$138),"")</f>
        <v>14215.08308</v>
      </c>
      <c r="N138">
        <f ca="1">IFERROR(IF(0=LEN(ReferenceData!$N$138),"",ReferenceData!$N$138),"")</f>
        <v>12573.965749999999</v>
      </c>
      <c r="O138">
        <f ca="1">IFERROR(IF(0=LEN(ReferenceData!$O$138),"",ReferenceData!$O$138),"")</f>
        <v>12261.4481</v>
      </c>
      <c r="P138">
        <f ca="1">IFERROR(IF(0=LEN(ReferenceData!$P$138),"",ReferenceData!$P$138),"")</f>
        <v>11133.809289999999</v>
      </c>
      <c r="Q138">
        <f ca="1">IFERROR(IF(0=LEN(ReferenceData!$Q$138),"",ReferenceData!$Q$138),"")</f>
        <v>9722.3464129999993</v>
      </c>
      <c r="R138">
        <f ca="1">IFERROR(IF(0=LEN(ReferenceData!$R$138),"",ReferenceData!$R$138),"")</f>
        <v>9640.9621719999996</v>
      </c>
      <c r="S138">
        <f ca="1">IFERROR(IF(0=LEN(ReferenceData!$S$138),"",ReferenceData!$S$138),"")</f>
        <v>8923.2950820000005</v>
      </c>
      <c r="T138">
        <f ca="1">IFERROR(IF(0=LEN(ReferenceData!$T$138),"",ReferenceData!$T$138),"")</f>
        <v>9044.769961</v>
      </c>
      <c r="U138">
        <f ca="1">IFERROR(IF(0=LEN(ReferenceData!$U$138),"",ReferenceData!$U$138),"")</f>
        <v>10180.31662</v>
      </c>
      <c r="V138">
        <f ca="1">IFERROR(IF(0=LEN(ReferenceData!$V$138),"",ReferenceData!$V$138),"")</f>
        <v>10195.07107</v>
      </c>
      <c r="W138">
        <f ca="1">IFERROR(IF(0=LEN(ReferenceData!$W$138),"",ReferenceData!$W$138),"")</f>
        <v>9885.2628719999993</v>
      </c>
      <c r="X138" t="str">
        <f ca="1">IFERROR(IF(0=LEN(ReferenceData!$X$138),"",ReferenceData!$X$138),"")</f>
        <v/>
      </c>
      <c r="Y138" t="str">
        <f ca="1">IFERROR(IF(0=LEN(ReferenceData!$Y$138),"",ReferenceData!$Y$138),"")</f>
        <v/>
      </c>
      <c r="Z138" t="str">
        <f ca="1">IFERROR(IF(0=LEN(ReferenceData!$Z$138),"",ReferenceData!$Z$138),"")</f>
        <v/>
      </c>
      <c r="AA138" t="str">
        <f ca="1">IFERROR(IF(0=LEN(ReferenceData!$AA$138),"",ReferenceData!$AA$138),"")</f>
        <v/>
      </c>
      <c r="AB138" t="str">
        <f ca="1">IFERROR(IF(0=LEN(ReferenceData!$AB$138),"",ReferenceData!$AB$138),"")</f>
        <v/>
      </c>
      <c r="AC138" t="str">
        <f ca="1">IFERROR(IF(0=LEN(ReferenceData!$AC$138),"",ReferenceData!$AC$138),"")</f>
        <v/>
      </c>
      <c r="AD138" t="str">
        <f ca="1">IFERROR(IF(0=LEN(ReferenceData!$AD$138),"",ReferenceData!$AD$138),"")</f>
        <v/>
      </c>
      <c r="AE138" t="str">
        <f ca="1">IFERROR(IF(0=LEN(ReferenceData!$AE$138),"",ReferenceData!$AE$138),"")</f>
        <v/>
      </c>
      <c r="AF138" t="str">
        <f ca="1">IFERROR(IF(0=LEN(ReferenceData!$AF$138),"",ReferenceData!$AF$138),"")</f>
        <v/>
      </c>
      <c r="AG138" t="str">
        <f ca="1">IFERROR(IF(0=LEN(ReferenceData!$AG$138),"",ReferenceData!$AG$138),"")</f>
        <v/>
      </c>
      <c r="AH138" t="str">
        <f ca="1">IFERROR(IF(0=LEN(ReferenceData!$AH$138),"",ReferenceData!$AH$138),"")</f>
        <v/>
      </c>
      <c r="AI138" t="str">
        <f ca="1">IFERROR(IF(0=LEN(ReferenceData!$AI$138),"",ReferenceData!$AI$138),"")</f>
        <v/>
      </c>
      <c r="AJ138" t="str">
        <f ca="1">IFERROR(IF(0=LEN(ReferenceData!$AJ$138),"",ReferenceData!$AJ$138),"")</f>
        <v/>
      </c>
      <c r="AK138" t="str">
        <f ca="1">IFERROR(IF(0=LEN(ReferenceData!$AK$138),"",ReferenceData!$AK$138),"")</f>
        <v/>
      </c>
      <c r="AL138" t="str">
        <f ca="1">IFERROR(IF(0=LEN(ReferenceData!$AL$138),"",ReferenceData!$AL$138),"")</f>
        <v/>
      </c>
      <c r="AM138" t="str">
        <f ca="1">IFERROR(IF(0=LEN(ReferenceData!$AM$138),"",ReferenceData!$AM$138),"")</f>
        <v/>
      </c>
      <c r="AN138" t="str">
        <f ca="1">IFERROR(IF(0=LEN(ReferenceData!$AN$138),"",ReferenceData!$AN$138),"")</f>
        <v/>
      </c>
      <c r="AO138" t="str">
        <f ca="1">IFERROR(IF(0=LEN(ReferenceData!$AO$138),"",ReferenceData!$AO$138),"")</f>
        <v/>
      </c>
      <c r="AP138" t="str">
        <f ca="1">IFERROR(IF(0=LEN(ReferenceData!$AP$138),"",ReferenceData!$AP$138),"")</f>
        <v/>
      </c>
      <c r="AQ138" t="str">
        <f ca="1">IFERROR(IF(0=LEN(ReferenceData!$AQ$138),"",ReferenceData!$AQ$138),"")</f>
        <v/>
      </c>
      <c r="AR138" t="str">
        <f ca="1">IFERROR(IF(0=LEN(ReferenceData!$AR$138),"",ReferenceData!$AR$138),"")</f>
        <v/>
      </c>
      <c r="AS138" t="str">
        <f ca="1">IFERROR(IF(0=LEN(ReferenceData!$AS$138),"",ReferenceData!$AS$138),"")</f>
        <v/>
      </c>
      <c r="AT138" t="str">
        <f ca="1">IFERROR(IF(0=LEN(ReferenceData!$AT$138),"",ReferenceData!$AT$138),"")</f>
        <v/>
      </c>
      <c r="AU138" t="str">
        <f ca="1">IFERROR(IF(0=LEN(ReferenceData!$AU$138),"",ReferenceData!$AU$138),"")</f>
        <v/>
      </c>
      <c r="AV138" t="str">
        <f ca="1">IFERROR(IF(0=LEN(ReferenceData!$AV$138),"",ReferenceData!$AV$138),"")</f>
        <v/>
      </c>
      <c r="AW138" t="str">
        <f ca="1">IFERROR(IF(0=LEN(ReferenceData!$AW$138),"",ReferenceData!$AW$138),"")</f>
        <v/>
      </c>
      <c r="AX138" t="str">
        <f ca="1">IFERROR(IF(0=LEN(ReferenceData!$AX$138),"",ReferenceData!$AX$138),"")</f>
        <v/>
      </c>
      <c r="AY138" t="str">
        <f ca="1">IFERROR(IF(0=LEN(ReferenceData!$AY$138),"",ReferenceData!$AY$138),"")</f>
        <v/>
      </c>
      <c r="AZ138" t="str">
        <f ca="1">IFERROR(IF(0=LEN(ReferenceData!$AZ$138),"",ReferenceData!$AZ$138),"")</f>
        <v/>
      </c>
      <c r="BA138" t="str">
        <f ca="1">IFERROR(IF(0=LEN(ReferenceData!$BA$138),"",ReferenceData!$BA$138),"")</f>
        <v/>
      </c>
      <c r="BB138" t="str">
        <f ca="1">IFERROR(IF(0=LEN(ReferenceData!$BB$138),"",ReferenceData!$BB$138),"")</f>
        <v/>
      </c>
      <c r="BC138" t="str">
        <f ca="1">IFERROR(IF(0=LEN(ReferenceData!$BC$138),"",ReferenceData!$BC$138),"")</f>
        <v/>
      </c>
      <c r="BD138" t="str">
        <f ca="1">IFERROR(IF(0=LEN(ReferenceData!$BD$138),"",ReferenceData!$BD$138),"")</f>
        <v/>
      </c>
      <c r="BE138" t="str">
        <f ca="1">IFERROR(IF(0=LEN(ReferenceData!$BE$138),"",ReferenceData!$BE$138),"")</f>
        <v/>
      </c>
      <c r="BF138" t="str">
        <f ca="1">IFERROR(IF(0=LEN(ReferenceData!$BF$138),"",ReferenceData!$BF$138),"")</f>
        <v/>
      </c>
      <c r="BG138" t="str">
        <f ca="1">IFERROR(IF(0=LEN(ReferenceData!$BG$138),"",ReferenceData!$BG$138),"")</f>
        <v/>
      </c>
      <c r="BH138" t="str">
        <f ca="1">IFERROR(IF(0=LEN(ReferenceData!$BH$138),"",ReferenceData!$BH$138),"")</f>
        <v/>
      </c>
      <c r="BI138" t="str">
        <f ca="1">IFERROR(IF(0=LEN(ReferenceData!$BI$138),"",ReferenceData!$BI$138),"")</f>
        <v/>
      </c>
      <c r="BJ138" t="str">
        <f ca="1">IFERROR(IF(0=LEN(ReferenceData!$BJ$138),"",ReferenceData!$BJ$138),"")</f>
        <v/>
      </c>
      <c r="BK138" t="str">
        <f ca="1">IFERROR(IF(0=LEN(ReferenceData!$BK$138),"",ReferenceData!$BK$138),"")</f>
        <v/>
      </c>
      <c r="BL138" t="str">
        <f ca="1">IFERROR(IF(0=LEN(ReferenceData!$BL$138),"",ReferenceData!$BL$138),"")</f>
        <v/>
      </c>
      <c r="BM138" t="str">
        <f ca="1">IFERROR(IF(0=LEN(ReferenceData!$BM$138),"",ReferenceData!$BM$138),"")</f>
        <v/>
      </c>
    </row>
    <row r="139" spans="1:65" x14ac:dyDescent="0.25">
      <c r="A139" t="str">
        <f>IFERROR(IF(0=LEN(ReferenceData!$A$139),"",ReferenceData!$A$139),"")</f>
        <v xml:space="preserve">    Ford Motor Co</v>
      </c>
      <c r="B139" t="str">
        <f>IFERROR(IF(0=LEN(ReferenceData!$B$139),"",ReferenceData!$B$139),"")</f>
        <v>F US Equity</v>
      </c>
      <c r="C139" t="str">
        <f>IFERROR(IF(0=LEN(ReferenceData!$C$139),"",ReferenceData!$C$139),"")</f>
        <v>RR841</v>
      </c>
      <c r="D139" t="str">
        <f>IFERROR(IF(0=LEN(ReferenceData!$D$139),"",ReferenceData!$D$139),"")</f>
        <v>TRAIL_12M_EBITDA</v>
      </c>
      <c r="E139" t="str">
        <f>IFERROR(IF(0=LEN(ReferenceData!$E$139),"",ReferenceData!$E$139),"")</f>
        <v>Dynamic</v>
      </c>
      <c r="F139" t="str">
        <f ca="1">IFERROR(IF(0=LEN(ReferenceData!$F$139),"",ReferenceData!$F$139),"")</f>
        <v/>
      </c>
      <c r="G139">
        <f ca="1">IFERROR(IF(0=LEN(ReferenceData!$G$139),"",ReferenceData!$G$139),"")</f>
        <v>11511</v>
      </c>
      <c r="H139">
        <f ca="1">IFERROR(IF(0=LEN(ReferenceData!$H$139),"",ReferenceData!$H$139),"")</f>
        <v>12291</v>
      </c>
      <c r="I139">
        <f ca="1">IFERROR(IF(0=LEN(ReferenceData!$I$139),"",ReferenceData!$I$139),"")</f>
        <v>12325</v>
      </c>
      <c r="J139">
        <f ca="1">IFERROR(IF(0=LEN(ReferenceData!$J$139),"",ReferenceData!$J$139),"")</f>
        <v>13091</v>
      </c>
      <c r="K139">
        <f ca="1">IFERROR(IF(0=LEN(ReferenceData!$K$139),"",ReferenceData!$K$139),"")</f>
        <v>13334</v>
      </c>
      <c r="L139">
        <f ca="1">IFERROR(IF(0=LEN(ReferenceData!$L$139),"",ReferenceData!$L$139),"")</f>
        <v>13386</v>
      </c>
      <c r="M139">
        <f ca="1">IFERROR(IF(0=LEN(ReferenceData!$M$139),"",ReferenceData!$M$139),"")</f>
        <v>13050</v>
      </c>
      <c r="N139">
        <f ca="1">IFERROR(IF(0=LEN(ReferenceData!$N$139),"",ReferenceData!$N$139),"")</f>
        <v>13616</v>
      </c>
      <c r="O139">
        <f ca="1">IFERROR(IF(0=LEN(ReferenceData!$O$139),"",ReferenceData!$O$139),"")</f>
        <v>14503</v>
      </c>
      <c r="P139">
        <f ca="1">IFERROR(IF(0=LEN(ReferenceData!$P$139),"",ReferenceData!$P$139),"")</f>
        <v>13231</v>
      </c>
      <c r="Q139">
        <f ca="1">IFERROR(IF(0=LEN(ReferenceData!$Q$139),"",ReferenceData!$Q$139),"")</f>
        <v>15009</v>
      </c>
      <c r="R139">
        <f ca="1">IFERROR(IF(0=LEN(ReferenceData!$R$139),"",ReferenceData!$R$139),"")</f>
        <v>15339</v>
      </c>
      <c r="S139">
        <f ca="1">IFERROR(IF(0=LEN(ReferenceData!$S$139),"",ReferenceData!$S$139),"")</f>
        <v>14947</v>
      </c>
      <c r="T139">
        <f ca="1">IFERROR(IF(0=LEN(ReferenceData!$T$139),"",ReferenceData!$T$139),"")</f>
        <v>9787</v>
      </c>
      <c r="U139">
        <f ca="1">IFERROR(IF(0=LEN(ReferenceData!$U$139),"",ReferenceData!$U$139),"")</f>
        <v>8447</v>
      </c>
      <c r="V139">
        <f ca="1">IFERROR(IF(0=LEN(ReferenceData!$V$139),"",ReferenceData!$V$139),"")</f>
        <v>8442</v>
      </c>
      <c r="W139">
        <f ca="1">IFERROR(IF(0=LEN(ReferenceData!$W$139),"",ReferenceData!$W$139),"")</f>
        <v>7755</v>
      </c>
      <c r="X139">
        <f ca="1">IFERROR(IF(0=LEN(ReferenceData!$X$139),"",ReferenceData!$X$139),"")</f>
        <v>10850</v>
      </c>
      <c r="Y139">
        <f ca="1">IFERROR(IF(0=LEN(ReferenceData!$Y$139),"",ReferenceData!$Y$139),"")</f>
        <v>11985</v>
      </c>
      <c r="Z139">
        <f ca="1">IFERROR(IF(0=LEN(ReferenceData!$Z$139),"",ReferenceData!$Z$139),"")</f>
        <v>11438</v>
      </c>
      <c r="AA139">
        <f ca="1">IFERROR(IF(0=LEN(ReferenceData!$AA$139),"",ReferenceData!$AA$139),"")</f>
        <v>12223</v>
      </c>
      <c r="AB139">
        <f ca="1">IFERROR(IF(0=LEN(ReferenceData!$AB$139),"",ReferenceData!$AB$139),"")</f>
        <v>11373</v>
      </c>
      <c r="AC139">
        <f ca="1">IFERROR(IF(0=LEN(ReferenceData!$AC$139),"",ReferenceData!$AC$139),"")</f>
        <v>11075</v>
      </c>
      <c r="AD139">
        <f ca="1">IFERROR(IF(0=LEN(ReferenceData!$AD$139),"",ReferenceData!$AD$139),"")</f>
        <v>11061</v>
      </c>
      <c r="AE139">
        <f ca="1">IFERROR(IF(0=LEN(ReferenceData!$AE$139),"",ReferenceData!$AE$139),"")</f>
        <v>11127</v>
      </c>
      <c r="AF139">
        <f ca="1">IFERROR(IF(0=LEN(ReferenceData!$AF$139),"",ReferenceData!$AF$139),"")</f>
        <v>12577</v>
      </c>
      <c r="AG139">
        <f ca="1">IFERROR(IF(0=LEN(ReferenceData!$AG$139),"",ReferenceData!$AG$139),"")</f>
        <v>12270</v>
      </c>
      <c r="AH139">
        <f ca="1">IFERROR(IF(0=LEN(ReferenceData!$AH$139),"",ReferenceData!$AH$139),"")</f>
        <v>12887</v>
      </c>
      <c r="AI139">
        <f ca="1">IFERROR(IF(0=LEN(ReferenceData!$AI$139),"",ReferenceData!$AI$139),"")</f>
        <v>13629</v>
      </c>
      <c r="AJ139">
        <f ca="1">IFERROR(IF(0=LEN(ReferenceData!$AJ$139),"",ReferenceData!$AJ$139),"")</f>
        <v>14374</v>
      </c>
      <c r="AK139">
        <f ca="1">IFERROR(IF(0=LEN(ReferenceData!$AK$139),"",ReferenceData!$AK$139),"")</f>
        <v>14758</v>
      </c>
      <c r="AL139">
        <f ca="1">IFERROR(IF(0=LEN(ReferenceData!$AL$139),"",ReferenceData!$AL$139),"")</f>
        <v>15668</v>
      </c>
      <c r="AM139">
        <f ca="1">IFERROR(IF(0=LEN(ReferenceData!$AM$139),"",ReferenceData!$AM$139),"")</f>
        <v>15383</v>
      </c>
      <c r="AN139">
        <f ca="1">IFERROR(IF(0=LEN(ReferenceData!$AN$139),"",ReferenceData!$AN$139),"")</f>
        <v>14203</v>
      </c>
      <c r="AO139">
        <f ca="1">IFERROR(IF(0=LEN(ReferenceData!$AO$139),"",ReferenceData!$AO$139),"")</f>
        <v>13964</v>
      </c>
      <c r="AP139">
        <f ca="1">IFERROR(IF(0=LEN(ReferenceData!$AP$139),"",ReferenceData!$AP$139),"")</f>
        <v>10134</v>
      </c>
      <c r="AQ139">
        <f ca="1">IFERROR(IF(0=LEN(ReferenceData!$AQ$139),"",ReferenceData!$AQ$139),"")</f>
        <v>6220</v>
      </c>
      <c r="AR139">
        <f ca="1">IFERROR(IF(0=LEN(ReferenceData!$AR$139),"",ReferenceData!$AR$139),"")</f>
        <v>430</v>
      </c>
      <c r="AS139">
        <f ca="1">IFERROR(IF(0=LEN(ReferenceData!$AS$139),"",ReferenceData!$AS$139),"")</f>
        <v>102</v>
      </c>
      <c r="AT139">
        <f ca="1">IFERROR(IF(0=LEN(ReferenceData!$AT$139),"",ReferenceData!$AT$139),"")</f>
        <v>-3787</v>
      </c>
      <c r="AU139">
        <f ca="1">IFERROR(IF(0=LEN(ReferenceData!$AU$139),"",ReferenceData!$AU$139),"")</f>
        <v>64</v>
      </c>
      <c r="AV139">
        <f ca="1">IFERROR(IF(0=LEN(ReferenceData!$AV$139),"",ReferenceData!$AV$139),"")</f>
        <v>5135</v>
      </c>
      <c r="AW139">
        <f ca="1">IFERROR(IF(0=LEN(ReferenceData!$AW$139),"",ReferenceData!$AW$139),"")</f>
        <v>6180</v>
      </c>
      <c r="AX139">
        <f ca="1">IFERROR(IF(0=LEN(ReferenceData!$AX$139),"",ReferenceData!$AX$139),"")</f>
        <v>13374</v>
      </c>
      <c r="AY139">
        <f ca="1">IFERROR(IF(0=LEN(ReferenceData!$AY$139),"",ReferenceData!$AY$139),"")</f>
        <v>13090</v>
      </c>
      <c r="AZ139">
        <f ca="1">IFERROR(IF(0=LEN(ReferenceData!$AZ$139),"",ReferenceData!$AZ$139),"")</f>
        <v>12724</v>
      </c>
      <c r="BA139">
        <f ca="1">IFERROR(IF(0=LEN(ReferenceData!$BA$139),"",ReferenceData!$BA$139),"")</f>
        <v>5080</v>
      </c>
      <c r="BB139">
        <f ca="1">IFERROR(IF(0=LEN(ReferenceData!$BB$139),"",ReferenceData!$BB$139),"")</f>
        <v>3150</v>
      </c>
      <c r="BC139">
        <f ca="1">IFERROR(IF(0=LEN(ReferenceData!$BC$139),"",ReferenceData!$BC$139),"")</f>
        <v>432</v>
      </c>
      <c r="BD139">
        <f ca="1">IFERROR(IF(0=LEN(ReferenceData!$BD$139),"",ReferenceData!$BD$139),"")</f>
        <v>2567</v>
      </c>
      <c r="BE139">
        <f ca="1">IFERROR(IF(0=LEN(ReferenceData!$BE$139),"",ReferenceData!$BE$139),"")</f>
        <v>8644</v>
      </c>
      <c r="BF139">
        <f ca="1">IFERROR(IF(0=LEN(ReferenceData!$BF$139),"",ReferenceData!$BF$139),"")</f>
        <v>9923</v>
      </c>
      <c r="BG139">
        <f ca="1">IFERROR(IF(0=LEN(ReferenceData!$BG$139),"",ReferenceData!$BG$139),"")</f>
        <v>13636</v>
      </c>
      <c r="BH139">
        <f ca="1">IFERROR(IF(0=LEN(ReferenceData!$BH$139),"",ReferenceData!$BH$139),"")</f>
        <v>12523</v>
      </c>
      <c r="BI139">
        <f ca="1">IFERROR(IF(0=LEN(ReferenceData!$BI$139),"",ReferenceData!$BI$139),"")</f>
        <v>14141</v>
      </c>
      <c r="BJ139">
        <f ca="1">IFERROR(IF(0=LEN(ReferenceData!$BJ$139),"",ReferenceData!$BJ$139),"")</f>
        <v>15571</v>
      </c>
      <c r="BK139">
        <f ca="1">IFERROR(IF(0=LEN(ReferenceData!$BK$139),"",ReferenceData!$BK$139),"")</f>
        <v>17519</v>
      </c>
      <c r="BL139">
        <f ca="1">IFERROR(IF(0=LEN(ReferenceData!$BL$139),"",ReferenceData!$BL$139),"")</f>
        <v>18069</v>
      </c>
      <c r="BM139">
        <f ca="1">IFERROR(IF(0=LEN(ReferenceData!$BM$139),"",ReferenceData!$BM$139),"")</f>
        <v>17775</v>
      </c>
    </row>
    <row r="140" spans="1:65" x14ac:dyDescent="0.25">
      <c r="A140" t="str">
        <f>IFERROR(IF(0=LEN(ReferenceData!$A$140),"",ReferenceData!$A$140),"")</f>
        <v xml:space="preserve">    Ford Otomotiv Sanayi AS</v>
      </c>
      <c r="B140" t="str">
        <f>IFERROR(IF(0=LEN(ReferenceData!$B$140),"",ReferenceData!$B$140),"")</f>
        <v>FROTOTRY EO Equity</v>
      </c>
      <c r="C140" t="str">
        <f>IFERROR(IF(0=LEN(ReferenceData!$C$140),"",ReferenceData!$C$140),"")</f>
        <v>RR841</v>
      </c>
      <c r="D140" t="str">
        <f>IFERROR(IF(0=LEN(ReferenceData!$D$140),"",ReferenceData!$D$140),"")</f>
        <v>TRAIL_12M_EBITDA</v>
      </c>
      <c r="E140" t="str">
        <f>IFERROR(IF(0=LEN(ReferenceData!$E$140),"",ReferenceData!$E$140),"")</f>
        <v>Dynamic</v>
      </c>
      <c r="F140" t="str">
        <f ca="1">IFERROR(IF(0=LEN(ReferenceData!$F$140),"",ReferenceData!$F$140),"")</f>
        <v/>
      </c>
      <c r="G140">
        <f ca="1">IFERROR(IF(0=LEN(ReferenceData!$G$140),"",ReferenceData!$G$140),"")</f>
        <v>624.49068520000003</v>
      </c>
      <c r="H140">
        <f ca="1">IFERROR(IF(0=LEN(ReferenceData!$H$140),"",ReferenceData!$H$140),"")</f>
        <v>611.74908159999995</v>
      </c>
      <c r="I140">
        <f ca="1">IFERROR(IF(0=LEN(ReferenceData!$I$140),"",ReferenceData!$I$140),"")</f>
        <v>656.20161680000001</v>
      </c>
      <c r="J140">
        <f ca="1">IFERROR(IF(0=LEN(ReferenceData!$J$140),"",ReferenceData!$J$140),"")</f>
        <v>609.17055089999997</v>
      </c>
      <c r="K140">
        <f ca="1">IFERROR(IF(0=LEN(ReferenceData!$K$140),"",ReferenceData!$K$140),"")</f>
        <v>566.72439540000005</v>
      </c>
      <c r="L140">
        <f ca="1">IFERROR(IF(0=LEN(ReferenceData!$L$140),"",ReferenceData!$L$140),"")</f>
        <v>562.310472</v>
      </c>
      <c r="M140">
        <f ca="1">IFERROR(IF(0=LEN(ReferenceData!$M$140),"",ReferenceData!$M$140),"")</f>
        <v>523.45223090000002</v>
      </c>
      <c r="N140">
        <f ca="1">IFERROR(IF(0=LEN(ReferenceData!$N$140),"",ReferenceData!$N$140),"")</f>
        <v>525.80615780000005</v>
      </c>
      <c r="O140">
        <f ca="1">IFERROR(IF(0=LEN(ReferenceData!$O$140),"",ReferenceData!$O$140),"")</f>
        <v>527.94754420000004</v>
      </c>
      <c r="P140">
        <f ca="1">IFERROR(IF(0=LEN(ReferenceData!$P$140),"",ReferenceData!$P$140),"")</f>
        <v>535.91890739999997</v>
      </c>
      <c r="Q140">
        <f ca="1">IFERROR(IF(0=LEN(ReferenceData!$Q$140),"",ReferenceData!$Q$140),"")</f>
        <v>532.87491999999997</v>
      </c>
      <c r="R140">
        <f ca="1">IFERROR(IF(0=LEN(ReferenceData!$R$140),"",ReferenceData!$R$140),"")</f>
        <v>521.02980279999997</v>
      </c>
      <c r="S140">
        <f ca="1">IFERROR(IF(0=LEN(ReferenceData!$S$140),"",ReferenceData!$S$140),"")</f>
        <v>524.10658230000001</v>
      </c>
      <c r="T140">
        <f ca="1">IFERROR(IF(0=LEN(ReferenceData!$T$140),"",ReferenceData!$T$140),"")</f>
        <v>493.87723879999999</v>
      </c>
      <c r="U140">
        <f ca="1">IFERROR(IF(0=LEN(ReferenceData!$U$140),"",ReferenceData!$U$140),"")</f>
        <v>475.122075</v>
      </c>
      <c r="V140">
        <f ca="1">IFERROR(IF(0=LEN(ReferenceData!$V$140),"",ReferenceData!$V$140),"")</f>
        <v>440.53425570000002</v>
      </c>
      <c r="W140">
        <f ca="1">IFERROR(IF(0=LEN(ReferenceData!$W$140),"",ReferenceData!$W$140),"")</f>
        <v>386.55086490000002</v>
      </c>
      <c r="X140">
        <f ca="1">IFERROR(IF(0=LEN(ReferenceData!$X$140),"",ReferenceData!$X$140),"")</f>
        <v>370.43056689999997</v>
      </c>
      <c r="Y140">
        <f ca="1">IFERROR(IF(0=LEN(ReferenceData!$Y$140),"",ReferenceData!$Y$140),"")</f>
        <v>356.01437970000001</v>
      </c>
      <c r="Z140">
        <f ca="1">IFERROR(IF(0=LEN(ReferenceData!$Z$140),"",ReferenceData!$Z$140),"")</f>
        <v>387.79536239999999</v>
      </c>
      <c r="AA140">
        <f ca="1">IFERROR(IF(0=LEN(ReferenceData!$AA$140),"",ReferenceData!$AA$140),"")</f>
        <v>417.92565519999999</v>
      </c>
      <c r="AB140">
        <f ca="1">IFERROR(IF(0=LEN(ReferenceData!$AB$140),"",ReferenceData!$AB$140),"")</f>
        <v>438.96217969999998</v>
      </c>
      <c r="AC140">
        <f ca="1">IFERROR(IF(0=LEN(ReferenceData!$AC$140),"",ReferenceData!$AC$140),"")</f>
        <v>431.30402930000002</v>
      </c>
      <c r="AD140">
        <f ca="1">IFERROR(IF(0=LEN(ReferenceData!$AD$140),"",ReferenceData!$AD$140),"")</f>
        <v>427.27817340000001</v>
      </c>
      <c r="AE140">
        <f ca="1">IFERROR(IF(0=LEN(ReferenceData!$AE$140),"",ReferenceData!$AE$140),"")</f>
        <v>444.92631010000002</v>
      </c>
      <c r="AF140">
        <f ca="1">IFERROR(IF(0=LEN(ReferenceData!$AF$140),"",ReferenceData!$AF$140),"")</f>
        <v>438.06884730000002</v>
      </c>
      <c r="AG140">
        <f ca="1">IFERROR(IF(0=LEN(ReferenceData!$AG$140),"",ReferenceData!$AG$140),"")</f>
        <v>485.36094609999998</v>
      </c>
      <c r="AH140">
        <f ca="1">IFERROR(IF(0=LEN(ReferenceData!$AH$140),"",ReferenceData!$AH$140),"")</f>
        <v>517.42289219999998</v>
      </c>
      <c r="AI140">
        <f ca="1">IFERROR(IF(0=LEN(ReferenceData!$AI$140),"",ReferenceData!$AI$140),"")</f>
        <v>523.20793319999996</v>
      </c>
      <c r="AJ140">
        <f ca="1">IFERROR(IF(0=LEN(ReferenceData!$AJ$140),"",ReferenceData!$AJ$140),"")</f>
        <v>599.94998439999995</v>
      </c>
      <c r="AK140">
        <f ca="1">IFERROR(IF(0=LEN(ReferenceData!$AK$140),"",ReferenceData!$AK$140),"")</f>
        <v>582.32426350000003</v>
      </c>
      <c r="AL140">
        <f ca="1">IFERROR(IF(0=LEN(ReferenceData!$AL$140),"",ReferenceData!$AL$140),"")</f>
        <v>552.05804509999996</v>
      </c>
      <c r="AM140">
        <f ca="1">IFERROR(IF(0=LEN(ReferenceData!$AM$140),"",ReferenceData!$AM$140),"")</f>
        <v>521.39740840000002</v>
      </c>
      <c r="AN140">
        <f ca="1">IFERROR(IF(0=LEN(ReferenceData!$AN$140),"",ReferenceData!$AN$140),"")</f>
        <v>451.9797317</v>
      </c>
      <c r="AO140">
        <f ca="1">IFERROR(IF(0=LEN(ReferenceData!$AO$140),"",ReferenceData!$AO$140),"")</f>
        <v>446.21098940000002</v>
      </c>
      <c r="AP140">
        <f ca="1">IFERROR(IF(0=LEN(ReferenceData!$AP$140),"",ReferenceData!$AP$140),"")</f>
        <v>414.80595590000001</v>
      </c>
      <c r="AQ140">
        <f ca="1">IFERROR(IF(0=LEN(ReferenceData!$AQ$140),"",ReferenceData!$AQ$140),"")</f>
        <v>361.84368970000003</v>
      </c>
      <c r="AR140">
        <f ca="1">IFERROR(IF(0=LEN(ReferenceData!$AR$140),"",ReferenceData!$AR$140),"")</f>
        <v>317.8281695</v>
      </c>
      <c r="AS140">
        <f ca="1">IFERROR(IF(0=LEN(ReferenceData!$AS$140),"",ReferenceData!$AS$140),"")</f>
        <v>338.10818540000002</v>
      </c>
      <c r="AT140">
        <f ca="1">IFERROR(IF(0=LEN(ReferenceData!$AT$140),"",ReferenceData!$AT$140),"")</f>
        <v>411.45967000000002</v>
      </c>
      <c r="AU140">
        <f ca="1">IFERROR(IF(0=LEN(ReferenceData!$AU$140),"",ReferenceData!$AU$140),"")</f>
        <v>588.72069329999999</v>
      </c>
      <c r="AV140">
        <f ca="1">IFERROR(IF(0=LEN(ReferenceData!$AV$140),"",ReferenceData!$AV$140),"")</f>
        <v>734.40204019999999</v>
      </c>
      <c r="AW140">
        <f ca="1">IFERROR(IF(0=LEN(ReferenceData!$AW$140),"",ReferenceData!$AW$140),"")</f>
        <v>755.97074339999995</v>
      </c>
      <c r="AX140">
        <f ca="1">IFERROR(IF(0=LEN(ReferenceData!$AX$140),"",ReferenceData!$AX$140),"")</f>
        <v>725.77422520000005</v>
      </c>
      <c r="AY140">
        <f ca="1">IFERROR(IF(0=LEN(ReferenceData!$AY$140),"",ReferenceData!$AY$140),"")</f>
        <v>619.59573880000005</v>
      </c>
      <c r="AZ140">
        <f ca="1">IFERROR(IF(0=LEN(ReferenceData!$AZ$140),"",ReferenceData!$AZ$140),"")</f>
        <v>537.96307920000004</v>
      </c>
      <c r="BA140">
        <f ca="1">IFERROR(IF(0=LEN(ReferenceData!$BA$140),"",ReferenceData!$BA$140),"")</f>
        <v>514.54207710000003</v>
      </c>
      <c r="BB140">
        <f ca="1">IFERROR(IF(0=LEN(ReferenceData!$BB$140),"",ReferenceData!$BB$140),"")</f>
        <v>489.97359319999998</v>
      </c>
      <c r="BC140">
        <f ca="1">IFERROR(IF(0=LEN(ReferenceData!$BC$140),"",ReferenceData!$BC$140),"")</f>
        <v>524.472531</v>
      </c>
      <c r="BD140">
        <f ca="1">IFERROR(IF(0=LEN(ReferenceData!$BD$140),"",ReferenceData!$BD$140),"")</f>
        <v>607.46724719999997</v>
      </c>
      <c r="BE140">
        <f ca="1">IFERROR(IF(0=LEN(ReferenceData!$BE$140),"",ReferenceData!$BE$140),"")</f>
        <v>594.60709110000005</v>
      </c>
      <c r="BF140">
        <f ca="1">IFERROR(IF(0=LEN(ReferenceData!$BF$140),"",ReferenceData!$BF$140),"")</f>
        <v>629.27663210000003</v>
      </c>
      <c r="BG140">
        <f ca="1">IFERROR(IF(0=LEN(ReferenceData!$BG$140),"",ReferenceData!$BG$140),"")</f>
        <v>595.6586413</v>
      </c>
      <c r="BH140" t="str">
        <f ca="1">IFERROR(IF(0=LEN(ReferenceData!$BH$140),"",ReferenceData!$BH$140),"")</f>
        <v/>
      </c>
      <c r="BI140" t="str">
        <f ca="1">IFERROR(IF(0=LEN(ReferenceData!$BI$140),"",ReferenceData!$BI$140),"")</f>
        <v/>
      </c>
      <c r="BJ140" t="str">
        <f ca="1">IFERROR(IF(0=LEN(ReferenceData!$BJ$140),"",ReferenceData!$BJ$140),"")</f>
        <v/>
      </c>
      <c r="BK140" t="str">
        <f ca="1">IFERROR(IF(0=LEN(ReferenceData!$BK$140),"",ReferenceData!$BK$140),"")</f>
        <v/>
      </c>
      <c r="BL140" t="str">
        <f ca="1">IFERROR(IF(0=LEN(ReferenceData!$BL$140),"",ReferenceData!$BL$140),"")</f>
        <v/>
      </c>
      <c r="BM140" t="str">
        <f ca="1">IFERROR(IF(0=LEN(ReferenceData!$BM$140),"",ReferenceData!$BM$140),"")</f>
        <v/>
      </c>
    </row>
    <row r="141" spans="1:65" x14ac:dyDescent="0.25">
      <c r="A141" t="str">
        <f>IFERROR(IF(0=LEN(ReferenceData!$A$141),"",ReferenceData!$A$141),"")</f>
        <v xml:space="preserve">    GAZ PJSC</v>
      </c>
      <c r="B141" t="str">
        <f>IFERROR(IF(0=LEN(ReferenceData!$B$141),"",ReferenceData!$B$141),"")</f>
        <v>GAZA RM Equity</v>
      </c>
      <c r="C141" t="str">
        <f>IFERROR(IF(0=LEN(ReferenceData!$C$141),"",ReferenceData!$C$141),"")</f>
        <v>RR841</v>
      </c>
      <c r="D141" t="str">
        <f>IFERROR(IF(0=LEN(ReferenceData!$D$141),"",ReferenceData!$D$141),"")</f>
        <v>TRAIL_12M_EBITDA</v>
      </c>
      <c r="E141" t="str">
        <f>IFERROR(IF(0=LEN(ReferenceData!$E$141),"",ReferenceData!$E$141),"")</f>
        <v>Dynamic</v>
      </c>
      <c r="F141" t="str">
        <f ca="1">IFERROR(IF(0=LEN(ReferenceData!$F$141),"",ReferenceData!$F$141),"")</f>
        <v/>
      </c>
      <c r="G141" t="str">
        <f ca="1">IFERROR(IF(0=LEN(ReferenceData!$G$141),"",ReferenceData!$G$141),"")</f>
        <v/>
      </c>
      <c r="H141" t="str">
        <f ca="1">IFERROR(IF(0=LEN(ReferenceData!$H$141),"",ReferenceData!$H$141),"")</f>
        <v/>
      </c>
      <c r="I141" t="str">
        <f ca="1">IFERROR(IF(0=LEN(ReferenceData!$I$141),"",ReferenceData!$I$141),"")</f>
        <v/>
      </c>
      <c r="J141" t="str">
        <f ca="1">IFERROR(IF(0=LEN(ReferenceData!$J$141),"",ReferenceData!$J$141),"")</f>
        <v/>
      </c>
      <c r="K141" t="str">
        <f ca="1">IFERROR(IF(0=LEN(ReferenceData!$K$141),"",ReferenceData!$K$141),"")</f>
        <v/>
      </c>
      <c r="L141" t="str">
        <f ca="1">IFERROR(IF(0=LEN(ReferenceData!$L$141),"",ReferenceData!$L$141),"")</f>
        <v/>
      </c>
      <c r="M141" t="str">
        <f ca="1">IFERROR(IF(0=LEN(ReferenceData!$M$141),"",ReferenceData!$M$141),"")</f>
        <v/>
      </c>
      <c r="N141" t="str">
        <f ca="1">IFERROR(IF(0=LEN(ReferenceData!$N$141),"",ReferenceData!$N$141),"")</f>
        <v/>
      </c>
      <c r="O141" t="str">
        <f ca="1">IFERROR(IF(0=LEN(ReferenceData!$O$141),"",ReferenceData!$O$141),"")</f>
        <v/>
      </c>
      <c r="P141" t="str">
        <f ca="1">IFERROR(IF(0=LEN(ReferenceData!$P$141),"",ReferenceData!$P$141),"")</f>
        <v/>
      </c>
      <c r="Q141" t="str">
        <f ca="1">IFERROR(IF(0=LEN(ReferenceData!$Q$141),"",ReferenceData!$Q$141),"")</f>
        <v/>
      </c>
      <c r="R141" t="str">
        <f ca="1">IFERROR(IF(0=LEN(ReferenceData!$R$141),"",ReferenceData!$R$141),"")</f>
        <v/>
      </c>
      <c r="S141" t="str">
        <f ca="1">IFERROR(IF(0=LEN(ReferenceData!$S$141),"",ReferenceData!$S$141),"")</f>
        <v/>
      </c>
      <c r="T141" t="str">
        <f ca="1">IFERROR(IF(0=LEN(ReferenceData!$T$141),"",ReferenceData!$T$141),"")</f>
        <v/>
      </c>
      <c r="U141" t="str">
        <f ca="1">IFERROR(IF(0=LEN(ReferenceData!$U$141),"",ReferenceData!$U$141),"")</f>
        <v/>
      </c>
      <c r="V141" t="str">
        <f ca="1">IFERROR(IF(0=LEN(ReferenceData!$V$141),"",ReferenceData!$V$141),"")</f>
        <v/>
      </c>
      <c r="W141" t="str">
        <f ca="1">IFERROR(IF(0=LEN(ReferenceData!$W$141),"",ReferenceData!$W$141),"")</f>
        <v/>
      </c>
      <c r="X141" t="str">
        <f ca="1">IFERROR(IF(0=LEN(ReferenceData!$X$141),"",ReferenceData!$X$141),"")</f>
        <v/>
      </c>
      <c r="Y141" t="str">
        <f ca="1">IFERROR(IF(0=LEN(ReferenceData!$Y$141),"",ReferenceData!$Y$141),"")</f>
        <v/>
      </c>
      <c r="Z141" t="str">
        <f ca="1">IFERROR(IF(0=LEN(ReferenceData!$Z$141),"",ReferenceData!$Z$141),"")</f>
        <v/>
      </c>
      <c r="AA141" t="str">
        <f ca="1">IFERROR(IF(0=LEN(ReferenceData!$AA$141),"",ReferenceData!$AA$141),"")</f>
        <v/>
      </c>
      <c r="AB141" t="str">
        <f ca="1">IFERROR(IF(0=LEN(ReferenceData!$AB$141),"",ReferenceData!$AB$141),"")</f>
        <v/>
      </c>
      <c r="AC141" t="str">
        <f ca="1">IFERROR(IF(0=LEN(ReferenceData!$AC$141),"",ReferenceData!$AC$141),"")</f>
        <v/>
      </c>
      <c r="AD141" t="str">
        <f ca="1">IFERROR(IF(0=LEN(ReferenceData!$AD$141),"",ReferenceData!$AD$141),"")</f>
        <v/>
      </c>
      <c r="AE141" t="str">
        <f ca="1">IFERROR(IF(0=LEN(ReferenceData!$AE$141),"",ReferenceData!$AE$141),"")</f>
        <v/>
      </c>
      <c r="AF141" t="str">
        <f ca="1">IFERROR(IF(0=LEN(ReferenceData!$AF$141),"",ReferenceData!$AF$141),"")</f>
        <v/>
      </c>
      <c r="AG141" t="str">
        <f ca="1">IFERROR(IF(0=LEN(ReferenceData!$AG$141),"",ReferenceData!$AG$141),"")</f>
        <v/>
      </c>
      <c r="AH141" t="str">
        <f ca="1">IFERROR(IF(0=LEN(ReferenceData!$AH$141),"",ReferenceData!$AH$141),"")</f>
        <v/>
      </c>
      <c r="AI141" t="str">
        <f ca="1">IFERROR(IF(0=LEN(ReferenceData!$AI$141),"",ReferenceData!$AI$141),"")</f>
        <v/>
      </c>
      <c r="AJ141" t="str">
        <f ca="1">IFERROR(IF(0=LEN(ReferenceData!$AJ$141),"",ReferenceData!$AJ$141),"")</f>
        <v/>
      </c>
      <c r="AK141" t="str">
        <f ca="1">IFERROR(IF(0=LEN(ReferenceData!$AK$141),"",ReferenceData!$AK$141),"")</f>
        <v/>
      </c>
      <c r="AL141" t="str">
        <f ca="1">IFERROR(IF(0=LEN(ReferenceData!$AL$141),"",ReferenceData!$AL$141),"")</f>
        <v/>
      </c>
      <c r="AM141" t="str">
        <f ca="1">IFERROR(IF(0=LEN(ReferenceData!$AM$141),"",ReferenceData!$AM$141),"")</f>
        <v/>
      </c>
      <c r="AN141" t="str">
        <f ca="1">IFERROR(IF(0=LEN(ReferenceData!$AN$141),"",ReferenceData!$AN$141),"")</f>
        <v/>
      </c>
      <c r="AO141" t="str">
        <f ca="1">IFERROR(IF(0=LEN(ReferenceData!$AO$141),"",ReferenceData!$AO$141),"")</f>
        <v/>
      </c>
      <c r="AP141" t="str">
        <f ca="1">IFERROR(IF(0=LEN(ReferenceData!$AP$141),"",ReferenceData!$AP$141),"")</f>
        <v/>
      </c>
      <c r="AQ141" t="str">
        <f ca="1">IFERROR(IF(0=LEN(ReferenceData!$AQ$141),"",ReferenceData!$AQ$141),"")</f>
        <v/>
      </c>
      <c r="AR141" t="str">
        <f ca="1">IFERROR(IF(0=LEN(ReferenceData!$AR$141),"",ReferenceData!$AR$141),"")</f>
        <v/>
      </c>
      <c r="AS141" t="str">
        <f ca="1">IFERROR(IF(0=LEN(ReferenceData!$AS$141),"",ReferenceData!$AS$141),"")</f>
        <v/>
      </c>
      <c r="AT141" t="str">
        <f ca="1">IFERROR(IF(0=LEN(ReferenceData!$AT$141),"",ReferenceData!$AT$141),"")</f>
        <v/>
      </c>
      <c r="AU141" t="str">
        <f ca="1">IFERROR(IF(0=LEN(ReferenceData!$AU$141),"",ReferenceData!$AU$141),"")</f>
        <v/>
      </c>
      <c r="AV141" t="str">
        <f ca="1">IFERROR(IF(0=LEN(ReferenceData!$AV$141),"",ReferenceData!$AV$141),"")</f>
        <v/>
      </c>
      <c r="AW141" t="str">
        <f ca="1">IFERROR(IF(0=LEN(ReferenceData!$AW$141),"",ReferenceData!$AW$141),"")</f>
        <v/>
      </c>
      <c r="AX141" t="str">
        <f ca="1">IFERROR(IF(0=LEN(ReferenceData!$AX$141),"",ReferenceData!$AX$141),"")</f>
        <v/>
      </c>
      <c r="AY141" t="str">
        <f ca="1">IFERROR(IF(0=LEN(ReferenceData!$AY$141),"",ReferenceData!$AY$141),"")</f>
        <v/>
      </c>
      <c r="AZ141" t="str">
        <f ca="1">IFERROR(IF(0=LEN(ReferenceData!$AZ$141),"",ReferenceData!$AZ$141),"")</f>
        <v/>
      </c>
      <c r="BA141" t="str">
        <f ca="1">IFERROR(IF(0=LEN(ReferenceData!$BA$141),"",ReferenceData!$BA$141),"")</f>
        <v/>
      </c>
      <c r="BB141" t="str">
        <f ca="1">IFERROR(IF(0=LEN(ReferenceData!$BB$141),"",ReferenceData!$BB$141),"")</f>
        <v/>
      </c>
      <c r="BC141" t="str">
        <f ca="1">IFERROR(IF(0=LEN(ReferenceData!$BC$141),"",ReferenceData!$BC$141),"")</f>
        <v/>
      </c>
      <c r="BD141" t="str">
        <f ca="1">IFERROR(IF(0=LEN(ReferenceData!$BD$141),"",ReferenceData!$BD$141),"")</f>
        <v/>
      </c>
      <c r="BE141" t="str">
        <f ca="1">IFERROR(IF(0=LEN(ReferenceData!$BE$141),"",ReferenceData!$BE$141),"")</f>
        <v/>
      </c>
      <c r="BF141" t="str">
        <f ca="1">IFERROR(IF(0=LEN(ReferenceData!$BF$141),"",ReferenceData!$BF$141),"")</f>
        <v/>
      </c>
      <c r="BG141" t="str">
        <f ca="1">IFERROR(IF(0=LEN(ReferenceData!$BG$141),"",ReferenceData!$BG$141),"")</f>
        <v/>
      </c>
      <c r="BH141" t="str">
        <f ca="1">IFERROR(IF(0=LEN(ReferenceData!$BH$141),"",ReferenceData!$BH$141),"")</f>
        <v/>
      </c>
      <c r="BI141" t="str">
        <f ca="1">IFERROR(IF(0=LEN(ReferenceData!$BI$141),"",ReferenceData!$BI$141),"")</f>
        <v/>
      </c>
      <c r="BJ141" t="str">
        <f ca="1">IFERROR(IF(0=LEN(ReferenceData!$BJ$141),"",ReferenceData!$BJ$141),"")</f>
        <v/>
      </c>
      <c r="BK141" t="str">
        <f ca="1">IFERROR(IF(0=LEN(ReferenceData!$BK$141),"",ReferenceData!$BK$141),"")</f>
        <v/>
      </c>
      <c r="BL141" t="str">
        <f ca="1">IFERROR(IF(0=LEN(ReferenceData!$BL$141),"",ReferenceData!$BL$141),"")</f>
        <v/>
      </c>
      <c r="BM141" t="str">
        <f ca="1">IFERROR(IF(0=LEN(ReferenceData!$BM$141),"",ReferenceData!$BM$141),"")</f>
        <v/>
      </c>
    </row>
    <row r="142" spans="1:65" x14ac:dyDescent="0.25">
      <c r="A142" t="str">
        <f>IFERROR(IF(0=LEN(ReferenceData!$A$142),"",ReferenceData!$A$142),"")</f>
        <v xml:space="preserve">    Geely Automobile Holdings Ltd</v>
      </c>
      <c r="B142" t="str">
        <f>IFERROR(IF(0=LEN(ReferenceData!$B$142),"",ReferenceData!$B$142),"")</f>
        <v>175 HK Equity</v>
      </c>
      <c r="C142" t="str">
        <f>IFERROR(IF(0=LEN(ReferenceData!$C$142),"",ReferenceData!$C$142),"")</f>
        <v>RR841</v>
      </c>
      <c r="D142" t="str">
        <f>IFERROR(IF(0=LEN(ReferenceData!$D$142),"",ReferenceData!$D$142),"")</f>
        <v>TRAIL_12M_EBITDA</v>
      </c>
      <c r="E142" t="str">
        <f>IFERROR(IF(0=LEN(ReferenceData!$E$142),"",ReferenceData!$E$142),"")</f>
        <v>Dynamic</v>
      </c>
      <c r="F142" t="str">
        <f ca="1">IFERROR(IF(0=LEN(ReferenceData!$F$142),"",ReferenceData!$F$142),"")</f>
        <v/>
      </c>
      <c r="G142" t="str">
        <f ca="1">IFERROR(IF(0=LEN(ReferenceData!$G$142),"",ReferenceData!$G$142),"")</f>
        <v/>
      </c>
      <c r="H142" t="str">
        <f ca="1">IFERROR(IF(0=LEN(ReferenceData!$H$142),"",ReferenceData!$H$142),"")</f>
        <v/>
      </c>
      <c r="I142" t="str">
        <f ca="1">IFERROR(IF(0=LEN(ReferenceData!$I$142),"",ReferenceData!$I$142),"")</f>
        <v/>
      </c>
      <c r="J142" t="str">
        <f ca="1">IFERROR(IF(0=LEN(ReferenceData!$J$142),"",ReferenceData!$J$142),"")</f>
        <v/>
      </c>
      <c r="K142" t="str">
        <f ca="1">IFERROR(IF(0=LEN(ReferenceData!$K$142),"",ReferenceData!$K$142),"")</f>
        <v/>
      </c>
      <c r="L142" t="str">
        <f ca="1">IFERROR(IF(0=LEN(ReferenceData!$L$142),"",ReferenceData!$L$142),"")</f>
        <v/>
      </c>
      <c r="M142" t="str">
        <f ca="1">IFERROR(IF(0=LEN(ReferenceData!$M$142),"",ReferenceData!$M$142),"")</f>
        <v/>
      </c>
      <c r="N142" t="str">
        <f ca="1">IFERROR(IF(0=LEN(ReferenceData!$N$142),"",ReferenceData!$N$142),"")</f>
        <v/>
      </c>
      <c r="O142" t="str">
        <f ca="1">IFERROR(IF(0=LEN(ReferenceData!$O$142),"",ReferenceData!$O$142),"")</f>
        <v/>
      </c>
      <c r="P142" t="str">
        <f ca="1">IFERROR(IF(0=LEN(ReferenceData!$P$142),"",ReferenceData!$P$142),"")</f>
        <v/>
      </c>
      <c r="Q142" t="str">
        <f ca="1">IFERROR(IF(0=LEN(ReferenceData!$Q$142),"",ReferenceData!$Q$142),"")</f>
        <v/>
      </c>
      <c r="R142" t="str">
        <f ca="1">IFERROR(IF(0=LEN(ReferenceData!$R$142),"",ReferenceData!$R$142),"")</f>
        <v/>
      </c>
      <c r="S142" t="str">
        <f ca="1">IFERROR(IF(0=LEN(ReferenceData!$S$142),"",ReferenceData!$S$142),"")</f>
        <v/>
      </c>
      <c r="T142" t="str">
        <f ca="1">IFERROR(IF(0=LEN(ReferenceData!$T$142),"",ReferenceData!$T$142),"")</f>
        <v/>
      </c>
      <c r="U142" t="str">
        <f ca="1">IFERROR(IF(0=LEN(ReferenceData!$U$142),"",ReferenceData!$U$142),"")</f>
        <v/>
      </c>
      <c r="V142" t="str">
        <f ca="1">IFERROR(IF(0=LEN(ReferenceData!$V$142),"",ReferenceData!$V$142),"")</f>
        <v/>
      </c>
      <c r="W142" t="str">
        <f ca="1">IFERROR(IF(0=LEN(ReferenceData!$W$142),"",ReferenceData!$W$142),"")</f>
        <v/>
      </c>
      <c r="X142" t="str">
        <f ca="1">IFERROR(IF(0=LEN(ReferenceData!$X$142),"",ReferenceData!$X$142),"")</f>
        <v/>
      </c>
      <c r="Y142" t="str">
        <f ca="1">IFERROR(IF(0=LEN(ReferenceData!$Y$142),"",ReferenceData!$Y$142),"")</f>
        <v/>
      </c>
      <c r="Z142" t="str">
        <f ca="1">IFERROR(IF(0=LEN(ReferenceData!$Z$142),"",ReferenceData!$Z$142),"")</f>
        <v/>
      </c>
      <c r="AA142" t="str">
        <f ca="1">IFERROR(IF(0=LEN(ReferenceData!$AA$142),"",ReferenceData!$AA$142),"")</f>
        <v/>
      </c>
      <c r="AB142" t="str">
        <f ca="1">IFERROR(IF(0=LEN(ReferenceData!$AB$142),"",ReferenceData!$AB$142),"")</f>
        <v/>
      </c>
      <c r="AC142" t="str">
        <f ca="1">IFERROR(IF(0=LEN(ReferenceData!$AC$142),"",ReferenceData!$AC$142),"")</f>
        <v/>
      </c>
      <c r="AD142" t="str">
        <f ca="1">IFERROR(IF(0=LEN(ReferenceData!$AD$142),"",ReferenceData!$AD$142),"")</f>
        <v/>
      </c>
      <c r="AE142" t="str">
        <f ca="1">IFERROR(IF(0=LEN(ReferenceData!$AE$142),"",ReferenceData!$AE$142),"")</f>
        <v/>
      </c>
      <c r="AF142" t="str">
        <f ca="1">IFERROR(IF(0=LEN(ReferenceData!$AF$142),"",ReferenceData!$AF$142),"")</f>
        <v/>
      </c>
      <c r="AG142" t="str">
        <f ca="1">IFERROR(IF(0=LEN(ReferenceData!$AG$142),"",ReferenceData!$AG$142),"")</f>
        <v/>
      </c>
      <c r="AH142" t="str">
        <f ca="1">IFERROR(IF(0=LEN(ReferenceData!$AH$142),"",ReferenceData!$AH$142),"")</f>
        <v/>
      </c>
      <c r="AI142" t="str">
        <f ca="1">IFERROR(IF(0=LEN(ReferenceData!$AI$142),"",ReferenceData!$AI$142),"")</f>
        <v/>
      </c>
      <c r="AJ142" t="str">
        <f ca="1">IFERROR(IF(0=LEN(ReferenceData!$AJ$142),"",ReferenceData!$AJ$142),"")</f>
        <v/>
      </c>
      <c r="AK142" t="str">
        <f ca="1">IFERROR(IF(0=LEN(ReferenceData!$AK$142),"",ReferenceData!$AK$142),"")</f>
        <v/>
      </c>
      <c r="AL142" t="str">
        <f ca="1">IFERROR(IF(0=LEN(ReferenceData!$AL$142),"",ReferenceData!$AL$142),"")</f>
        <v/>
      </c>
      <c r="AM142" t="str">
        <f ca="1">IFERROR(IF(0=LEN(ReferenceData!$AM$142),"",ReferenceData!$AM$142),"")</f>
        <v/>
      </c>
      <c r="AN142" t="str">
        <f ca="1">IFERROR(IF(0=LEN(ReferenceData!$AN$142),"",ReferenceData!$AN$142),"")</f>
        <v/>
      </c>
      <c r="AO142" t="str">
        <f ca="1">IFERROR(IF(0=LEN(ReferenceData!$AO$142),"",ReferenceData!$AO$142),"")</f>
        <v/>
      </c>
      <c r="AP142" t="str">
        <f ca="1">IFERROR(IF(0=LEN(ReferenceData!$AP$142),"",ReferenceData!$AP$142),"")</f>
        <v/>
      </c>
      <c r="AQ142" t="str">
        <f ca="1">IFERROR(IF(0=LEN(ReferenceData!$AQ$142),"",ReferenceData!$AQ$142),"")</f>
        <v/>
      </c>
      <c r="AR142" t="str">
        <f ca="1">IFERROR(IF(0=LEN(ReferenceData!$AR$142),"",ReferenceData!$AR$142),"")</f>
        <v/>
      </c>
      <c r="AS142" t="str">
        <f ca="1">IFERROR(IF(0=LEN(ReferenceData!$AS$142),"",ReferenceData!$AS$142),"")</f>
        <v/>
      </c>
      <c r="AT142" t="str">
        <f ca="1">IFERROR(IF(0=LEN(ReferenceData!$AT$142),"",ReferenceData!$AT$142),"")</f>
        <v/>
      </c>
      <c r="AU142" t="str">
        <f ca="1">IFERROR(IF(0=LEN(ReferenceData!$AU$142),"",ReferenceData!$AU$142),"")</f>
        <v/>
      </c>
      <c r="AV142" t="str">
        <f ca="1">IFERROR(IF(0=LEN(ReferenceData!$AV$142),"",ReferenceData!$AV$142),"")</f>
        <v/>
      </c>
      <c r="AW142" t="str">
        <f ca="1">IFERROR(IF(0=LEN(ReferenceData!$AW$142),"",ReferenceData!$AW$142),"")</f>
        <v/>
      </c>
      <c r="AX142" t="str">
        <f ca="1">IFERROR(IF(0=LEN(ReferenceData!$AX$142),"",ReferenceData!$AX$142),"")</f>
        <v/>
      </c>
      <c r="AY142" t="str">
        <f ca="1">IFERROR(IF(0=LEN(ReferenceData!$AY$142),"",ReferenceData!$AY$142),"")</f>
        <v/>
      </c>
      <c r="AZ142" t="str">
        <f ca="1">IFERROR(IF(0=LEN(ReferenceData!$AZ$142),"",ReferenceData!$AZ$142),"")</f>
        <v/>
      </c>
      <c r="BA142" t="str">
        <f ca="1">IFERROR(IF(0=LEN(ReferenceData!$BA$142),"",ReferenceData!$BA$142),"")</f>
        <v/>
      </c>
      <c r="BB142" t="str">
        <f ca="1">IFERROR(IF(0=LEN(ReferenceData!$BB$142),"",ReferenceData!$BB$142),"")</f>
        <v/>
      </c>
      <c r="BC142" t="str">
        <f ca="1">IFERROR(IF(0=LEN(ReferenceData!$BC$142),"",ReferenceData!$BC$142),"")</f>
        <v/>
      </c>
      <c r="BD142" t="str">
        <f ca="1">IFERROR(IF(0=LEN(ReferenceData!$BD$142),"",ReferenceData!$BD$142),"")</f>
        <v/>
      </c>
      <c r="BE142" t="str">
        <f ca="1">IFERROR(IF(0=LEN(ReferenceData!$BE$142),"",ReferenceData!$BE$142),"")</f>
        <v/>
      </c>
      <c r="BF142" t="str">
        <f ca="1">IFERROR(IF(0=LEN(ReferenceData!$BF$142),"",ReferenceData!$BF$142),"")</f>
        <v/>
      </c>
      <c r="BG142" t="str">
        <f ca="1">IFERROR(IF(0=LEN(ReferenceData!$BG$142),"",ReferenceData!$BG$142),"")</f>
        <v/>
      </c>
      <c r="BH142" t="str">
        <f ca="1">IFERROR(IF(0=LEN(ReferenceData!$BH$142),"",ReferenceData!$BH$142),"")</f>
        <v/>
      </c>
      <c r="BI142" t="str">
        <f ca="1">IFERROR(IF(0=LEN(ReferenceData!$BI$142),"",ReferenceData!$BI$142),"")</f>
        <v/>
      </c>
      <c r="BJ142" t="str">
        <f ca="1">IFERROR(IF(0=LEN(ReferenceData!$BJ$142),"",ReferenceData!$BJ$142),"")</f>
        <v/>
      </c>
      <c r="BK142" t="str">
        <f ca="1">IFERROR(IF(0=LEN(ReferenceData!$BK$142),"",ReferenceData!$BK$142),"")</f>
        <v/>
      </c>
      <c r="BL142" t="str">
        <f ca="1">IFERROR(IF(0=LEN(ReferenceData!$BL$142),"",ReferenceData!$BL$142),"")</f>
        <v/>
      </c>
      <c r="BM142" t="str">
        <f ca="1">IFERROR(IF(0=LEN(ReferenceData!$BM$142),"",ReferenceData!$BM$142),"")</f>
        <v/>
      </c>
    </row>
    <row r="143" spans="1:65" x14ac:dyDescent="0.25">
      <c r="A143" t="str">
        <f>IFERROR(IF(0=LEN(ReferenceData!$A$143),"",ReferenceData!$A$143),"")</f>
        <v xml:space="preserve">    General Motors Co</v>
      </c>
      <c r="B143" t="str">
        <f>IFERROR(IF(0=LEN(ReferenceData!$B$143),"",ReferenceData!$B$143),"")</f>
        <v>GM US Equity</v>
      </c>
      <c r="C143" t="str">
        <f>IFERROR(IF(0=LEN(ReferenceData!$C$143),"",ReferenceData!$C$143),"")</f>
        <v>RR841</v>
      </c>
      <c r="D143" t="str">
        <f>IFERROR(IF(0=LEN(ReferenceData!$D$143),"",ReferenceData!$D$143),"")</f>
        <v>TRAIL_12M_EBITDA</v>
      </c>
      <c r="E143" t="str">
        <f>IFERROR(IF(0=LEN(ReferenceData!$E$143),"",ReferenceData!$E$143),"")</f>
        <v>Dynamic</v>
      </c>
      <c r="F143" t="str">
        <f ca="1">IFERROR(IF(0=LEN(ReferenceData!$F$143),"",ReferenceData!$F$143),"")</f>
        <v/>
      </c>
      <c r="G143">
        <f ca="1">IFERROR(IF(0=LEN(ReferenceData!$G$143),"",ReferenceData!$G$143),"")</f>
        <v>18114</v>
      </c>
      <c r="H143">
        <f ca="1">IFERROR(IF(0=LEN(ReferenceData!$H$143),"",ReferenceData!$H$143),"")</f>
        <v>19021</v>
      </c>
      <c r="I143">
        <f ca="1">IFERROR(IF(0=LEN(ReferenceData!$I$143),"",ReferenceData!$I$143),"")</f>
        <v>18821</v>
      </c>
      <c r="J143">
        <f ca="1">IFERROR(IF(0=LEN(ReferenceData!$J$143),"",ReferenceData!$J$143),"")</f>
        <v>19706</v>
      </c>
      <c r="K143">
        <f ca="1">IFERROR(IF(0=LEN(ReferenceData!$K$143),"",ReferenceData!$K$143),"")</f>
        <v>20922</v>
      </c>
      <c r="L143">
        <f ca="1">IFERROR(IF(0=LEN(ReferenceData!$L$143),"",ReferenceData!$L$143),"")</f>
        <v>18709</v>
      </c>
      <c r="M143">
        <f ca="1">IFERROR(IF(0=LEN(ReferenceData!$M$143),"",ReferenceData!$M$143),"")</f>
        <v>19598</v>
      </c>
      <c r="N143">
        <f ca="1">IFERROR(IF(0=LEN(ReferenceData!$N$143),"",ReferenceData!$N$143),"")</f>
        <v>19448</v>
      </c>
      <c r="O143">
        <f ca="1">IFERROR(IF(0=LEN(ReferenceData!$O$143),"",ReferenceData!$O$143),"")</f>
        <v>18386</v>
      </c>
      <c r="P143">
        <f ca="1">IFERROR(IF(0=LEN(ReferenceData!$P$143),"",ReferenceData!$P$143),"")</f>
        <v>19185</v>
      </c>
      <c r="Q143">
        <f ca="1">IFERROR(IF(0=LEN(ReferenceData!$Q$143),"",ReferenceData!$Q$143),"")</f>
        <v>16551</v>
      </c>
      <c r="R143">
        <f ca="1">IFERROR(IF(0=LEN(ReferenceData!$R$143),"",ReferenceData!$R$143),"")</f>
        <v>14887</v>
      </c>
      <c r="S143">
        <f ca="1">IFERROR(IF(0=LEN(ReferenceData!$S$143),"",ReferenceData!$S$143),"")</f>
        <v>12914</v>
      </c>
      <c r="T143">
        <f ca="1">IFERROR(IF(0=LEN(ReferenceData!$T$143),"",ReferenceData!$T$143),"")</f>
        <v>12197</v>
      </c>
      <c r="U143">
        <f ca="1">IFERROR(IF(0=LEN(ReferenceData!$U$143),"",ReferenceData!$U$143),"")</f>
        <v>12316</v>
      </c>
      <c r="V143">
        <f ca="1">IFERROR(IF(0=LEN(ReferenceData!$V$143),"",ReferenceData!$V$143),"")</f>
        <v>9987</v>
      </c>
      <c r="W143">
        <f ca="1">IFERROR(IF(0=LEN(ReferenceData!$W$143),"",ReferenceData!$W$143),"")</f>
        <v>8768</v>
      </c>
      <c r="X143">
        <f ca="1">IFERROR(IF(0=LEN(ReferenceData!$X$143),"",ReferenceData!$X$143),"")</f>
        <v>9145</v>
      </c>
      <c r="Y143">
        <f ca="1">IFERROR(IF(0=LEN(ReferenceData!$Y$143),"",ReferenceData!$Y$143),"")</f>
        <v>11304</v>
      </c>
      <c r="Z143">
        <f ca="1">IFERROR(IF(0=LEN(ReferenceData!$Z$143),"",ReferenceData!$Z$143),"")</f>
        <v>11820</v>
      </c>
      <c r="AA143">
        <f ca="1">IFERROR(IF(0=LEN(ReferenceData!$AA$143),"",ReferenceData!$AA$143),"")</f>
        <v>13172</v>
      </c>
      <c r="AB143">
        <f ca="1">IFERROR(IF(0=LEN(ReferenceData!$AB$143),"",ReferenceData!$AB$143),"")</f>
        <v>-24483</v>
      </c>
      <c r="AC143">
        <f ca="1">IFERROR(IF(0=LEN(ReferenceData!$AC$143),"",ReferenceData!$AC$143),"")</f>
        <v>-27018</v>
      </c>
      <c r="AD143">
        <f ca="1">IFERROR(IF(0=LEN(ReferenceData!$AD$143),"",ReferenceData!$AD$143),"")</f>
        <v>-26031</v>
      </c>
      <c r="AE143">
        <f ca="1">IFERROR(IF(0=LEN(ReferenceData!$AE$143),"",ReferenceData!$AE$143),"")</f>
        <v>-26475</v>
      </c>
      <c r="AF143">
        <f ca="1">IFERROR(IF(0=LEN(ReferenceData!$AF$143),"",ReferenceData!$AF$143),"")</f>
        <v>8509</v>
      </c>
      <c r="AG143">
        <f ca="1">IFERROR(IF(0=LEN(ReferenceData!$AG$143),"",ReferenceData!$AG$143),"")</f>
        <v>8068</v>
      </c>
      <c r="AH143">
        <f ca="1">IFERROR(IF(0=LEN(ReferenceData!$AH$143),"",ReferenceData!$AH$143),"")</f>
        <v>8747</v>
      </c>
      <c r="AI143">
        <f ca="1">IFERROR(IF(0=LEN(ReferenceData!$AI$143),"",ReferenceData!$AI$143),"")</f>
        <v>8724</v>
      </c>
      <c r="AJ143">
        <f ca="1">IFERROR(IF(0=LEN(ReferenceData!$AJ$143),"",ReferenceData!$AJ$143),"")</f>
        <v>9778</v>
      </c>
      <c r="AK143">
        <f ca="1">IFERROR(IF(0=LEN(ReferenceData!$AK$143),"",ReferenceData!$AK$143),"")</f>
        <v>10969</v>
      </c>
      <c r="AL143">
        <f ca="1">IFERROR(IF(0=LEN(ReferenceData!$AL$143),"",ReferenceData!$AL$143),"")</f>
        <v>10992</v>
      </c>
      <c r="AM143">
        <f ca="1">IFERROR(IF(0=LEN(ReferenceData!$AM$143),"",ReferenceData!$AM$143),"")</f>
        <v>12031</v>
      </c>
      <c r="AN143">
        <f ca="1">IFERROR(IF(0=LEN(ReferenceData!$AN$143),"",ReferenceData!$AN$143),"")</f>
        <v>8621</v>
      </c>
      <c r="AO143">
        <f ca="1">IFERROR(IF(0=LEN(ReferenceData!$AO$143),"",ReferenceData!$AO$143),"")</f>
        <v>5710</v>
      </c>
      <c r="AP143">
        <f ca="1">IFERROR(IF(0=LEN(ReferenceData!$AP$143),"",ReferenceData!$AP$143),"")</f>
        <v>-3521</v>
      </c>
      <c r="AQ143">
        <f ca="1">IFERROR(IF(0=LEN(ReferenceData!$AQ$143),"",ReferenceData!$AQ$143),"")</f>
        <v>-9639</v>
      </c>
      <c r="AR143" t="str">
        <f ca="1">IFERROR(IF(0=LEN(ReferenceData!$AR$143),"",ReferenceData!$AR$143),"")</f>
        <v/>
      </c>
      <c r="AS143" t="str">
        <f ca="1">IFERROR(IF(0=LEN(ReferenceData!$AS$143),"",ReferenceData!$AS$143),"")</f>
        <v/>
      </c>
      <c r="AT143" t="str">
        <f ca="1">IFERROR(IF(0=LEN(ReferenceData!$AT$143),"",ReferenceData!$AT$143),"")</f>
        <v/>
      </c>
      <c r="AU143" t="str">
        <f ca="1">IFERROR(IF(0=LEN(ReferenceData!$AU$143),"",ReferenceData!$AU$143),"")</f>
        <v/>
      </c>
      <c r="AV143" t="str">
        <f ca="1">IFERROR(IF(0=LEN(ReferenceData!$AV$143),"",ReferenceData!$AV$143),"")</f>
        <v/>
      </c>
      <c r="AW143" t="str">
        <f ca="1">IFERROR(IF(0=LEN(ReferenceData!$AW$143),"",ReferenceData!$AW$143),"")</f>
        <v/>
      </c>
      <c r="AX143" t="str">
        <f ca="1">IFERROR(IF(0=LEN(ReferenceData!$AX$143),"",ReferenceData!$AX$143),"")</f>
        <v/>
      </c>
      <c r="AY143" t="str">
        <f ca="1">IFERROR(IF(0=LEN(ReferenceData!$AY$143),"",ReferenceData!$AY$143),"")</f>
        <v/>
      </c>
      <c r="AZ143" t="str">
        <f ca="1">IFERROR(IF(0=LEN(ReferenceData!$AZ$143),"",ReferenceData!$AZ$143),"")</f>
        <v/>
      </c>
      <c r="BA143" t="str">
        <f ca="1">IFERROR(IF(0=LEN(ReferenceData!$BA$143),"",ReferenceData!$BA$143),"")</f>
        <v/>
      </c>
      <c r="BB143" t="str">
        <f ca="1">IFERROR(IF(0=LEN(ReferenceData!$BB$143),"",ReferenceData!$BB$143),"")</f>
        <v/>
      </c>
      <c r="BC143" t="str">
        <f ca="1">IFERROR(IF(0=LEN(ReferenceData!$BC$143),"",ReferenceData!$BC$143),"")</f>
        <v/>
      </c>
      <c r="BD143" t="str">
        <f ca="1">IFERROR(IF(0=LEN(ReferenceData!$BD$143),"",ReferenceData!$BD$143),"")</f>
        <v/>
      </c>
      <c r="BE143" t="str">
        <f ca="1">IFERROR(IF(0=LEN(ReferenceData!$BE$143),"",ReferenceData!$BE$143),"")</f>
        <v/>
      </c>
      <c r="BF143" t="str">
        <f ca="1">IFERROR(IF(0=LEN(ReferenceData!$BF$143),"",ReferenceData!$BF$143),"")</f>
        <v/>
      </c>
      <c r="BG143" t="str">
        <f ca="1">IFERROR(IF(0=LEN(ReferenceData!$BG$143),"",ReferenceData!$BG$143),"")</f>
        <v/>
      </c>
      <c r="BH143" t="str">
        <f ca="1">IFERROR(IF(0=LEN(ReferenceData!$BH$143),"",ReferenceData!$BH$143),"")</f>
        <v/>
      </c>
      <c r="BI143" t="str">
        <f ca="1">IFERROR(IF(0=LEN(ReferenceData!$BI$143),"",ReferenceData!$BI$143),"")</f>
        <v/>
      </c>
      <c r="BJ143" t="str">
        <f ca="1">IFERROR(IF(0=LEN(ReferenceData!$BJ$143),"",ReferenceData!$BJ$143),"")</f>
        <v/>
      </c>
      <c r="BK143" t="str">
        <f ca="1">IFERROR(IF(0=LEN(ReferenceData!$BK$143),"",ReferenceData!$BK$143),"")</f>
        <v/>
      </c>
      <c r="BL143" t="str">
        <f ca="1">IFERROR(IF(0=LEN(ReferenceData!$BL$143),"",ReferenceData!$BL$143),"")</f>
        <v/>
      </c>
      <c r="BM143" t="str">
        <f ca="1">IFERROR(IF(0=LEN(ReferenceData!$BM$143),"",ReferenceData!$BM$143),"")</f>
        <v/>
      </c>
    </row>
    <row r="144" spans="1:65" x14ac:dyDescent="0.25">
      <c r="A144" t="str">
        <f>IFERROR(IF(0=LEN(ReferenceData!$A$144),"",ReferenceData!$A$144),"")</f>
        <v xml:space="preserve">    Great Wall Motor Co Ltd</v>
      </c>
      <c r="B144" t="str">
        <f>IFERROR(IF(0=LEN(ReferenceData!$B$144),"",ReferenceData!$B$144),"")</f>
        <v>2333 HK Equity</v>
      </c>
      <c r="C144" t="str">
        <f>IFERROR(IF(0=LEN(ReferenceData!$C$144),"",ReferenceData!$C$144),"")</f>
        <v>RR841</v>
      </c>
      <c r="D144" t="str">
        <f>IFERROR(IF(0=LEN(ReferenceData!$D$144),"",ReferenceData!$D$144),"")</f>
        <v>TRAIL_12M_EBITDA</v>
      </c>
      <c r="E144" t="str">
        <f>IFERROR(IF(0=LEN(ReferenceData!$E$144),"",ReferenceData!$E$144),"")</f>
        <v>Dynamic</v>
      </c>
      <c r="F144" t="str">
        <f ca="1">IFERROR(IF(0=LEN(ReferenceData!$F$144),"",ReferenceData!$F$144),"")</f>
        <v/>
      </c>
      <c r="G144" t="str">
        <f ca="1">IFERROR(IF(0=LEN(ReferenceData!$G$144),"",ReferenceData!$G$144),"")</f>
        <v/>
      </c>
      <c r="H144" t="str">
        <f ca="1">IFERROR(IF(0=LEN(ReferenceData!$H$144),"",ReferenceData!$H$144),"")</f>
        <v/>
      </c>
      <c r="I144" t="str">
        <f ca="1">IFERROR(IF(0=LEN(ReferenceData!$I$144),"",ReferenceData!$I$144),"")</f>
        <v/>
      </c>
      <c r="J144" t="str">
        <f ca="1">IFERROR(IF(0=LEN(ReferenceData!$J$144),"",ReferenceData!$J$144),"")</f>
        <v/>
      </c>
      <c r="K144" t="str">
        <f ca="1">IFERROR(IF(0=LEN(ReferenceData!$K$144),"",ReferenceData!$K$144),"")</f>
        <v/>
      </c>
      <c r="L144" t="str">
        <f ca="1">IFERROR(IF(0=LEN(ReferenceData!$L$144),"",ReferenceData!$L$144),"")</f>
        <v/>
      </c>
      <c r="M144" t="str">
        <f ca="1">IFERROR(IF(0=LEN(ReferenceData!$M$144),"",ReferenceData!$M$144),"")</f>
        <v/>
      </c>
      <c r="N144" t="str">
        <f ca="1">IFERROR(IF(0=LEN(ReferenceData!$N$144),"",ReferenceData!$N$144),"")</f>
        <v/>
      </c>
      <c r="O144" t="str">
        <f ca="1">IFERROR(IF(0=LEN(ReferenceData!$O$144),"",ReferenceData!$O$144),"")</f>
        <v/>
      </c>
      <c r="P144" t="str">
        <f ca="1">IFERROR(IF(0=LEN(ReferenceData!$P$144),"",ReferenceData!$P$144),"")</f>
        <v/>
      </c>
      <c r="Q144" t="str">
        <f ca="1">IFERROR(IF(0=LEN(ReferenceData!$Q$144),"",ReferenceData!$Q$144),"")</f>
        <v/>
      </c>
      <c r="R144" t="str">
        <f ca="1">IFERROR(IF(0=LEN(ReferenceData!$R$144),"",ReferenceData!$R$144),"")</f>
        <v/>
      </c>
      <c r="S144" t="str">
        <f ca="1">IFERROR(IF(0=LEN(ReferenceData!$S$144),"",ReferenceData!$S$144),"")</f>
        <v/>
      </c>
      <c r="T144" t="str">
        <f ca="1">IFERROR(IF(0=LEN(ReferenceData!$T$144),"",ReferenceData!$T$144),"")</f>
        <v/>
      </c>
      <c r="U144" t="str">
        <f ca="1">IFERROR(IF(0=LEN(ReferenceData!$U$144),"",ReferenceData!$U$144),"")</f>
        <v/>
      </c>
      <c r="V144" t="str">
        <f ca="1">IFERROR(IF(0=LEN(ReferenceData!$V$144),"",ReferenceData!$V$144),"")</f>
        <v/>
      </c>
      <c r="W144" t="str">
        <f ca="1">IFERROR(IF(0=LEN(ReferenceData!$W$144),"",ReferenceData!$W$144),"")</f>
        <v/>
      </c>
      <c r="X144" t="str">
        <f ca="1">IFERROR(IF(0=LEN(ReferenceData!$X$144),"",ReferenceData!$X$144),"")</f>
        <v/>
      </c>
      <c r="Y144" t="str">
        <f ca="1">IFERROR(IF(0=LEN(ReferenceData!$Y$144),"",ReferenceData!$Y$144),"")</f>
        <v/>
      </c>
      <c r="Z144" t="str">
        <f ca="1">IFERROR(IF(0=LEN(ReferenceData!$Z$144),"",ReferenceData!$Z$144),"")</f>
        <v/>
      </c>
      <c r="AA144" t="str">
        <f ca="1">IFERROR(IF(0=LEN(ReferenceData!$AA$144),"",ReferenceData!$AA$144),"")</f>
        <v/>
      </c>
      <c r="AB144" t="str">
        <f ca="1">IFERROR(IF(0=LEN(ReferenceData!$AB$144),"",ReferenceData!$AB$144),"")</f>
        <v/>
      </c>
      <c r="AC144" t="str">
        <f ca="1">IFERROR(IF(0=LEN(ReferenceData!$AC$144),"",ReferenceData!$AC$144),"")</f>
        <v/>
      </c>
      <c r="AD144" t="str">
        <f ca="1">IFERROR(IF(0=LEN(ReferenceData!$AD$144),"",ReferenceData!$AD$144),"")</f>
        <v/>
      </c>
      <c r="AE144" t="str">
        <f ca="1">IFERROR(IF(0=LEN(ReferenceData!$AE$144),"",ReferenceData!$AE$144),"")</f>
        <v/>
      </c>
      <c r="AF144" t="str">
        <f ca="1">IFERROR(IF(0=LEN(ReferenceData!$AF$144),"",ReferenceData!$AF$144),"")</f>
        <v/>
      </c>
      <c r="AG144" t="str">
        <f ca="1">IFERROR(IF(0=LEN(ReferenceData!$AG$144),"",ReferenceData!$AG$144),"")</f>
        <v/>
      </c>
      <c r="AH144" t="str">
        <f ca="1">IFERROR(IF(0=LEN(ReferenceData!$AH$144),"",ReferenceData!$AH$144),"")</f>
        <v/>
      </c>
      <c r="AI144" t="str">
        <f ca="1">IFERROR(IF(0=LEN(ReferenceData!$AI$144),"",ReferenceData!$AI$144),"")</f>
        <v/>
      </c>
      <c r="AJ144" t="str">
        <f ca="1">IFERROR(IF(0=LEN(ReferenceData!$AJ$144),"",ReferenceData!$AJ$144),"")</f>
        <v/>
      </c>
      <c r="AK144" t="str">
        <f ca="1">IFERROR(IF(0=LEN(ReferenceData!$AK$144),"",ReferenceData!$AK$144),"")</f>
        <v/>
      </c>
      <c r="AL144" t="str">
        <f ca="1">IFERROR(IF(0=LEN(ReferenceData!$AL$144),"",ReferenceData!$AL$144),"")</f>
        <v/>
      </c>
      <c r="AM144" t="str">
        <f ca="1">IFERROR(IF(0=LEN(ReferenceData!$AM$144),"",ReferenceData!$AM$144),"")</f>
        <v/>
      </c>
      <c r="AN144" t="str">
        <f ca="1">IFERROR(IF(0=LEN(ReferenceData!$AN$144),"",ReferenceData!$AN$144),"")</f>
        <v/>
      </c>
      <c r="AO144" t="str">
        <f ca="1">IFERROR(IF(0=LEN(ReferenceData!$AO$144),"",ReferenceData!$AO$144),"")</f>
        <v/>
      </c>
      <c r="AP144" t="str">
        <f ca="1">IFERROR(IF(0=LEN(ReferenceData!$AP$144),"",ReferenceData!$AP$144),"")</f>
        <v/>
      </c>
      <c r="AQ144" t="str">
        <f ca="1">IFERROR(IF(0=LEN(ReferenceData!$AQ$144),"",ReferenceData!$AQ$144),"")</f>
        <v/>
      </c>
      <c r="AR144" t="str">
        <f ca="1">IFERROR(IF(0=LEN(ReferenceData!$AR$144),"",ReferenceData!$AR$144),"")</f>
        <v/>
      </c>
      <c r="AS144" t="str">
        <f ca="1">IFERROR(IF(0=LEN(ReferenceData!$AS$144),"",ReferenceData!$AS$144),"")</f>
        <v/>
      </c>
      <c r="AT144" t="str">
        <f ca="1">IFERROR(IF(0=LEN(ReferenceData!$AT$144),"",ReferenceData!$AT$144),"")</f>
        <v/>
      </c>
      <c r="AU144" t="str">
        <f ca="1">IFERROR(IF(0=LEN(ReferenceData!$AU$144),"",ReferenceData!$AU$144),"")</f>
        <v/>
      </c>
      <c r="AV144" t="str">
        <f ca="1">IFERROR(IF(0=LEN(ReferenceData!$AV$144),"",ReferenceData!$AV$144),"")</f>
        <v/>
      </c>
      <c r="AW144" t="str">
        <f ca="1">IFERROR(IF(0=LEN(ReferenceData!$AW$144),"",ReferenceData!$AW$144),"")</f>
        <v/>
      </c>
      <c r="AX144" t="str">
        <f ca="1">IFERROR(IF(0=LEN(ReferenceData!$AX$144),"",ReferenceData!$AX$144),"")</f>
        <v/>
      </c>
      <c r="AY144" t="str">
        <f ca="1">IFERROR(IF(0=LEN(ReferenceData!$AY$144),"",ReferenceData!$AY$144),"")</f>
        <v/>
      </c>
      <c r="AZ144" t="str">
        <f ca="1">IFERROR(IF(0=LEN(ReferenceData!$AZ$144),"",ReferenceData!$AZ$144),"")</f>
        <v/>
      </c>
      <c r="BA144" t="str">
        <f ca="1">IFERROR(IF(0=LEN(ReferenceData!$BA$144),"",ReferenceData!$BA$144),"")</f>
        <v/>
      </c>
      <c r="BB144" t="str">
        <f ca="1">IFERROR(IF(0=LEN(ReferenceData!$BB$144),"",ReferenceData!$BB$144),"")</f>
        <v/>
      </c>
      <c r="BC144" t="str">
        <f ca="1">IFERROR(IF(0=LEN(ReferenceData!$BC$144),"",ReferenceData!$BC$144),"")</f>
        <v/>
      </c>
      <c r="BD144" t="str">
        <f ca="1">IFERROR(IF(0=LEN(ReferenceData!$BD$144),"",ReferenceData!$BD$144),"")</f>
        <v/>
      </c>
      <c r="BE144" t="str">
        <f ca="1">IFERROR(IF(0=LEN(ReferenceData!$BE$144),"",ReferenceData!$BE$144),"")</f>
        <v/>
      </c>
      <c r="BF144" t="str">
        <f ca="1">IFERROR(IF(0=LEN(ReferenceData!$BF$144),"",ReferenceData!$BF$144),"")</f>
        <v/>
      </c>
      <c r="BG144" t="str">
        <f ca="1">IFERROR(IF(0=LEN(ReferenceData!$BG$144),"",ReferenceData!$BG$144),"")</f>
        <v/>
      </c>
      <c r="BH144" t="str">
        <f ca="1">IFERROR(IF(0=LEN(ReferenceData!$BH$144),"",ReferenceData!$BH$144),"")</f>
        <v/>
      </c>
      <c r="BI144" t="str">
        <f ca="1">IFERROR(IF(0=LEN(ReferenceData!$BI$144),"",ReferenceData!$BI$144),"")</f>
        <v/>
      </c>
      <c r="BJ144" t="str">
        <f ca="1">IFERROR(IF(0=LEN(ReferenceData!$BJ$144),"",ReferenceData!$BJ$144),"")</f>
        <v/>
      </c>
      <c r="BK144" t="str">
        <f ca="1">IFERROR(IF(0=LEN(ReferenceData!$BK$144),"",ReferenceData!$BK$144),"")</f>
        <v/>
      </c>
      <c r="BL144" t="str">
        <f ca="1">IFERROR(IF(0=LEN(ReferenceData!$BL$144),"",ReferenceData!$BL$144),"")</f>
        <v/>
      </c>
      <c r="BM144" t="str">
        <f ca="1">IFERROR(IF(0=LEN(ReferenceData!$BM$144),"",ReferenceData!$BM$144),"")</f>
        <v/>
      </c>
    </row>
    <row r="145" spans="1:65" x14ac:dyDescent="0.25">
      <c r="A145" t="str">
        <f>IFERROR(IF(0=LEN(ReferenceData!$A$145),"",ReferenceData!$A$145),"")</f>
        <v xml:space="preserve">    Guangzhou Automobile Group Co Ltd</v>
      </c>
      <c r="B145" t="str">
        <f>IFERROR(IF(0=LEN(ReferenceData!$B$145),"",ReferenceData!$B$145),"")</f>
        <v>2238 HK Equity</v>
      </c>
      <c r="C145" t="str">
        <f>IFERROR(IF(0=LEN(ReferenceData!$C$145),"",ReferenceData!$C$145),"")</f>
        <v>RR841</v>
      </c>
      <c r="D145" t="str">
        <f>IFERROR(IF(0=LEN(ReferenceData!$D$145),"",ReferenceData!$D$145),"")</f>
        <v>TRAIL_12M_EBITDA</v>
      </c>
      <c r="E145" t="str">
        <f>IFERROR(IF(0=LEN(ReferenceData!$E$145),"",ReferenceData!$E$145),"")</f>
        <v>Dynamic</v>
      </c>
      <c r="F145" t="str">
        <f ca="1">IFERROR(IF(0=LEN(ReferenceData!$F$145),"",ReferenceData!$F$145),"")</f>
        <v/>
      </c>
      <c r="G145" t="str">
        <f ca="1">IFERROR(IF(0=LEN(ReferenceData!$G$145),"",ReferenceData!$G$145),"")</f>
        <v/>
      </c>
      <c r="H145" t="str">
        <f ca="1">IFERROR(IF(0=LEN(ReferenceData!$H$145),"",ReferenceData!$H$145),"")</f>
        <v/>
      </c>
      <c r="I145" t="str">
        <f ca="1">IFERROR(IF(0=LEN(ReferenceData!$I$145),"",ReferenceData!$I$145),"")</f>
        <v/>
      </c>
      <c r="J145" t="str">
        <f ca="1">IFERROR(IF(0=LEN(ReferenceData!$J$145),"",ReferenceData!$J$145),"")</f>
        <v/>
      </c>
      <c r="K145" t="str">
        <f ca="1">IFERROR(IF(0=LEN(ReferenceData!$K$145),"",ReferenceData!$K$145),"")</f>
        <v/>
      </c>
      <c r="L145" t="str">
        <f ca="1">IFERROR(IF(0=LEN(ReferenceData!$L$145),"",ReferenceData!$L$145),"")</f>
        <v/>
      </c>
      <c r="M145" t="str">
        <f ca="1">IFERROR(IF(0=LEN(ReferenceData!$M$145),"",ReferenceData!$M$145),"")</f>
        <v/>
      </c>
      <c r="N145" t="str">
        <f ca="1">IFERROR(IF(0=LEN(ReferenceData!$N$145),"",ReferenceData!$N$145),"")</f>
        <v/>
      </c>
      <c r="O145" t="str">
        <f ca="1">IFERROR(IF(0=LEN(ReferenceData!$O$145),"",ReferenceData!$O$145),"")</f>
        <v/>
      </c>
      <c r="P145" t="str">
        <f ca="1">IFERROR(IF(0=LEN(ReferenceData!$P$145),"",ReferenceData!$P$145),"")</f>
        <v/>
      </c>
      <c r="Q145" t="str">
        <f ca="1">IFERROR(IF(0=LEN(ReferenceData!$Q$145),"",ReferenceData!$Q$145),"")</f>
        <v/>
      </c>
      <c r="R145" t="str">
        <f ca="1">IFERROR(IF(0=LEN(ReferenceData!$R$145),"",ReferenceData!$R$145),"")</f>
        <v/>
      </c>
      <c r="S145" t="str">
        <f ca="1">IFERROR(IF(0=LEN(ReferenceData!$S$145),"",ReferenceData!$S$145),"")</f>
        <v/>
      </c>
      <c r="T145" t="str">
        <f ca="1">IFERROR(IF(0=LEN(ReferenceData!$T$145),"",ReferenceData!$T$145),"")</f>
        <v/>
      </c>
      <c r="U145" t="str">
        <f ca="1">IFERROR(IF(0=LEN(ReferenceData!$U$145),"",ReferenceData!$U$145),"")</f>
        <v/>
      </c>
      <c r="V145" t="str">
        <f ca="1">IFERROR(IF(0=LEN(ReferenceData!$V$145),"",ReferenceData!$V$145),"")</f>
        <v/>
      </c>
      <c r="W145" t="str">
        <f ca="1">IFERROR(IF(0=LEN(ReferenceData!$W$145),"",ReferenceData!$W$145),"")</f>
        <v/>
      </c>
      <c r="X145" t="str">
        <f ca="1">IFERROR(IF(0=LEN(ReferenceData!$X$145),"",ReferenceData!$X$145),"")</f>
        <v/>
      </c>
      <c r="Y145" t="str">
        <f ca="1">IFERROR(IF(0=LEN(ReferenceData!$Y$145),"",ReferenceData!$Y$145),"")</f>
        <v/>
      </c>
      <c r="Z145" t="str">
        <f ca="1">IFERROR(IF(0=LEN(ReferenceData!$Z$145),"",ReferenceData!$Z$145),"")</f>
        <v/>
      </c>
      <c r="AA145" t="str">
        <f ca="1">IFERROR(IF(0=LEN(ReferenceData!$AA$145),"",ReferenceData!$AA$145),"")</f>
        <v/>
      </c>
      <c r="AB145" t="str">
        <f ca="1">IFERROR(IF(0=LEN(ReferenceData!$AB$145),"",ReferenceData!$AB$145),"")</f>
        <v/>
      </c>
      <c r="AC145" t="str">
        <f ca="1">IFERROR(IF(0=LEN(ReferenceData!$AC$145),"",ReferenceData!$AC$145),"")</f>
        <v/>
      </c>
      <c r="AD145" t="str">
        <f ca="1">IFERROR(IF(0=LEN(ReferenceData!$AD$145),"",ReferenceData!$AD$145),"")</f>
        <v/>
      </c>
      <c r="AE145" t="str">
        <f ca="1">IFERROR(IF(0=LEN(ReferenceData!$AE$145),"",ReferenceData!$AE$145),"")</f>
        <v/>
      </c>
      <c r="AF145" t="str">
        <f ca="1">IFERROR(IF(0=LEN(ReferenceData!$AF$145),"",ReferenceData!$AF$145),"")</f>
        <v/>
      </c>
      <c r="AG145" t="str">
        <f ca="1">IFERROR(IF(0=LEN(ReferenceData!$AG$145),"",ReferenceData!$AG$145),"")</f>
        <v/>
      </c>
      <c r="AH145" t="str">
        <f ca="1">IFERROR(IF(0=LEN(ReferenceData!$AH$145),"",ReferenceData!$AH$145),"")</f>
        <v/>
      </c>
      <c r="AI145">
        <f ca="1">IFERROR(IF(0=LEN(ReferenceData!$AI$145),"",ReferenceData!$AI$145),"")</f>
        <v>-145.55872679999999</v>
      </c>
      <c r="AJ145">
        <f ca="1">IFERROR(IF(0=LEN(ReferenceData!$AJ$145),"",ReferenceData!$AJ$145),"")</f>
        <v>-142.15878240000001</v>
      </c>
      <c r="AK145">
        <f ca="1">IFERROR(IF(0=LEN(ReferenceData!$AK$145),"",ReferenceData!$AK$145),"")</f>
        <v>-96.696299730000007</v>
      </c>
      <c r="AL145">
        <f ca="1">IFERROR(IF(0=LEN(ReferenceData!$AL$145),"",ReferenceData!$AL$145),"")</f>
        <v>-65.429980999999998</v>
      </c>
      <c r="AM145">
        <f ca="1">IFERROR(IF(0=LEN(ReferenceData!$AM$145),"",ReferenceData!$AM$145),"")</f>
        <v>-64.58615872</v>
      </c>
      <c r="AN145" t="str">
        <f ca="1">IFERROR(IF(0=LEN(ReferenceData!$AN$145),"",ReferenceData!$AN$145),"")</f>
        <v/>
      </c>
      <c r="AO145" t="str">
        <f ca="1">IFERROR(IF(0=LEN(ReferenceData!$AO$145),"",ReferenceData!$AO$145),"")</f>
        <v/>
      </c>
      <c r="AP145" t="str">
        <f ca="1">IFERROR(IF(0=LEN(ReferenceData!$AP$145),"",ReferenceData!$AP$145),"")</f>
        <v/>
      </c>
      <c r="AQ145" t="str">
        <f ca="1">IFERROR(IF(0=LEN(ReferenceData!$AQ$145),"",ReferenceData!$AQ$145),"")</f>
        <v/>
      </c>
      <c r="AR145" t="str">
        <f ca="1">IFERROR(IF(0=LEN(ReferenceData!$AR$145),"",ReferenceData!$AR$145),"")</f>
        <v/>
      </c>
      <c r="AS145" t="str">
        <f ca="1">IFERROR(IF(0=LEN(ReferenceData!$AS$145),"",ReferenceData!$AS$145),"")</f>
        <v/>
      </c>
      <c r="AT145" t="str">
        <f ca="1">IFERROR(IF(0=LEN(ReferenceData!$AT$145),"",ReferenceData!$AT$145),"")</f>
        <v/>
      </c>
      <c r="AU145" t="str">
        <f ca="1">IFERROR(IF(0=LEN(ReferenceData!$AU$145),"",ReferenceData!$AU$145),"")</f>
        <v/>
      </c>
      <c r="AV145" t="str">
        <f ca="1">IFERROR(IF(0=LEN(ReferenceData!$AV$145),"",ReferenceData!$AV$145),"")</f>
        <v/>
      </c>
      <c r="AW145" t="str">
        <f ca="1">IFERROR(IF(0=LEN(ReferenceData!$AW$145),"",ReferenceData!$AW$145),"")</f>
        <v/>
      </c>
      <c r="AX145" t="str">
        <f ca="1">IFERROR(IF(0=LEN(ReferenceData!$AX$145),"",ReferenceData!$AX$145),"")</f>
        <v/>
      </c>
      <c r="AY145" t="str">
        <f ca="1">IFERROR(IF(0=LEN(ReferenceData!$AY$145),"",ReferenceData!$AY$145),"")</f>
        <v/>
      </c>
      <c r="AZ145" t="str">
        <f ca="1">IFERROR(IF(0=LEN(ReferenceData!$AZ$145),"",ReferenceData!$AZ$145),"")</f>
        <v/>
      </c>
      <c r="BA145" t="str">
        <f ca="1">IFERROR(IF(0=LEN(ReferenceData!$BA$145),"",ReferenceData!$BA$145),"")</f>
        <v/>
      </c>
      <c r="BB145" t="str">
        <f ca="1">IFERROR(IF(0=LEN(ReferenceData!$BB$145),"",ReferenceData!$BB$145),"")</f>
        <v/>
      </c>
      <c r="BC145" t="str">
        <f ca="1">IFERROR(IF(0=LEN(ReferenceData!$BC$145),"",ReferenceData!$BC$145),"")</f>
        <v/>
      </c>
      <c r="BD145" t="str">
        <f ca="1">IFERROR(IF(0=LEN(ReferenceData!$BD$145),"",ReferenceData!$BD$145),"")</f>
        <v/>
      </c>
      <c r="BE145" t="str">
        <f ca="1">IFERROR(IF(0=LEN(ReferenceData!$BE$145),"",ReferenceData!$BE$145),"")</f>
        <v/>
      </c>
      <c r="BF145" t="str">
        <f ca="1">IFERROR(IF(0=LEN(ReferenceData!$BF$145),"",ReferenceData!$BF$145),"")</f>
        <v/>
      </c>
      <c r="BG145" t="str">
        <f ca="1">IFERROR(IF(0=LEN(ReferenceData!$BG$145),"",ReferenceData!$BG$145),"")</f>
        <v/>
      </c>
      <c r="BH145" t="str">
        <f ca="1">IFERROR(IF(0=LEN(ReferenceData!$BH$145),"",ReferenceData!$BH$145),"")</f>
        <v/>
      </c>
      <c r="BI145" t="str">
        <f ca="1">IFERROR(IF(0=LEN(ReferenceData!$BI$145),"",ReferenceData!$BI$145),"")</f>
        <v/>
      </c>
      <c r="BJ145" t="str">
        <f ca="1">IFERROR(IF(0=LEN(ReferenceData!$BJ$145),"",ReferenceData!$BJ$145),"")</f>
        <v/>
      </c>
      <c r="BK145" t="str">
        <f ca="1">IFERROR(IF(0=LEN(ReferenceData!$BK$145),"",ReferenceData!$BK$145),"")</f>
        <v/>
      </c>
      <c r="BL145" t="str">
        <f ca="1">IFERROR(IF(0=LEN(ReferenceData!$BL$145),"",ReferenceData!$BL$145),"")</f>
        <v/>
      </c>
      <c r="BM145" t="str">
        <f ca="1">IFERROR(IF(0=LEN(ReferenceData!$BM$145),"",ReferenceData!$BM$145),"")</f>
        <v/>
      </c>
    </row>
    <row r="146" spans="1:65" x14ac:dyDescent="0.25">
      <c r="A146" t="str">
        <f>IFERROR(IF(0=LEN(ReferenceData!$A$146),"",ReferenceData!$A$146),"")</f>
        <v xml:space="preserve">    Honda Motor Co Ltd</v>
      </c>
      <c r="B146" t="str">
        <f>IFERROR(IF(0=LEN(ReferenceData!$B$146),"",ReferenceData!$B$146),"")</f>
        <v>7267 JP Equity</v>
      </c>
      <c r="C146" t="str">
        <f>IFERROR(IF(0=LEN(ReferenceData!$C$146),"",ReferenceData!$C$146),"")</f>
        <v>RR841</v>
      </c>
      <c r="D146" t="str">
        <f>IFERROR(IF(0=LEN(ReferenceData!$D$146),"",ReferenceData!$D$146),"")</f>
        <v>TRAIL_12M_EBITDA</v>
      </c>
      <c r="E146" t="str">
        <f>IFERROR(IF(0=LEN(ReferenceData!$E$146),"",ReferenceData!$E$146),"")</f>
        <v>Dynamic</v>
      </c>
      <c r="F146" t="str">
        <f ca="1">IFERROR(IF(0=LEN(ReferenceData!$F$146),"",ReferenceData!$F$146),"")</f>
        <v/>
      </c>
      <c r="G146">
        <f ca="1">IFERROR(IF(0=LEN(ReferenceData!$G$146),"",ReferenceData!$G$146),"")</f>
        <v>13688.553739999999</v>
      </c>
      <c r="H146">
        <f ca="1">IFERROR(IF(0=LEN(ReferenceData!$H$146),"",ReferenceData!$H$146),"")</f>
        <v>14841.953659999999</v>
      </c>
      <c r="I146">
        <f ca="1">IFERROR(IF(0=LEN(ReferenceData!$I$146),"",ReferenceData!$I$146),"")</f>
        <v>14377.76887</v>
      </c>
      <c r="J146">
        <f ca="1">IFERROR(IF(0=LEN(ReferenceData!$J$146),"",ReferenceData!$J$146),"")</f>
        <v>13959.811030000001</v>
      </c>
      <c r="K146">
        <f ca="1">IFERROR(IF(0=LEN(ReferenceData!$K$146),"",ReferenceData!$K$146),"")</f>
        <v>13899.363020000001</v>
      </c>
      <c r="L146">
        <f ca="1">IFERROR(IF(0=LEN(ReferenceData!$L$146),"",ReferenceData!$L$146),"")</f>
        <v>13181.455900000001</v>
      </c>
      <c r="M146">
        <f ca="1">IFERROR(IF(0=LEN(ReferenceData!$M$146),"",ReferenceData!$M$146),"")</f>
        <v>14035.20336</v>
      </c>
      <c r="N146">
        <f ca="1">IFERROR(IF(0=LEN(ReferenceData!$N$146),"",ReferenceData!$N$146),"")</f>
        <v>14014.812819999999</v>
      </c>
      <c r="O146">
        <f ca="1">IFERROR(IF(0=LEN(ReferenceData!$O$146),"",ReferenceData!$O$146),"")</f>
        <v>11964.5227</v>
      </c>
      <c r="P146">
        <f ca="1">IFERROR(IF(0=LEN(ReferenceData!$P$146),"",ReferenceData!$P$146),"")</f>
        <v>11299.662060000001</v>
      </c>
      <c r="Q146">
        <f ca="1">IFERROR(IF(0=LEN(ReferenceData!$Q$146),"",ReferenceData!$Q$146),"")</f>
        <v>10289.94635</v>
      </c>
      <c r="R146">
        <f ca="1">IFERROR(IF(0=LEN(ReferenceData!$R$146),"",ReferenceData!$R$146),"")</f>
        <v>9704.5714019999996</v>
      </c>
      <c r="S146">
        <f ca="1">IFERROR(IF(0=LEN(ReferenceData!$S$146),"",ReferenceData!$S$146),"")</f>
        <v>11769.501630000001</v>
      </c>
      <c r="T146">
        <f ca="1">IFERROR(IF(0=LEN(ReferenceData!$T$146),"",ReferenceData!$T$146),"")</f>
        <v>12291.05263</v>
      </c>
      <c r="U146">
        <f ca="1">IFERROR(IF(0=LEN(ReferenceData!$U$146),"",ReferenceData!$U$146),"")</f>
        <v>12703.58993</v>
      </c>
      <c r="V146">
        <f ca="1">IFERROR(IF(0=LEN(ReferenceData!$V$146),"",ReferenceData!$V$146),"")</f>
        <v>12829.2924</v>
      </c>
      <c r="W146">
        <f ca="1">IFERROR(IF(0=LEN(ReferenceData!$W$146),"",ReferenceData!$W$146),"")</f>
        <v>13431.197169999999</v>
      </c>
      <c r="X146">
        <f ca="1">IFERROR(IF(0=LEN(ReferenceData!$X$146),"",ReferenceData!$X$146),"")</f>
        <v>14436.68015</v>
      </c>
      <c r="Y146">
        <f ca="1">IFERROR(IF(0=LEN(ReferenceData!$Y$146),"",ReferenceData!$Y$146),"")</f>
        <v>15087.94974</v>
      </c>
      <c r="Z146">
        <f ca="1">IFERROR(IF(0=LEN(ReferenceData!$Z$146),"",ReferenceData!$Z$146),"")</f>
        <v>15427.3318</v>
      </c>
      <c r="AA146">
        <f ca="1">IFERROR(IF(0=LEN(ReferenceData!$AA$146),"",ReferenceData!$AA$146),"")</f>
        <v>15305.646119999999</v>
      </c>
      <c r="AB146">
        <f ca="1">IFERROR(IF(0=LEN(ReferenceData!$AB$146),"",ReferenceData!$AB$146),"")</f>
        <v>14502.28822</v>
      </c>
      <c r="AC146">
        <f ca="1">IFERROR(IF(0=LEN(ReferenceData!$AC$146),"",ReferenceData!$AC$146),"")</f>
        <v>13866.93922</v>
      </c>
      <c r="AD146">
        <f ca="1">IFERROR(IF(0=LEN(ReferenceData!$AD$146),"",ReferenceData!$AD$146),"")</f>
        <v>13739.488520000001</v>
      </c>
      <c r="AE146">
        <f ca="1">IFERROR(IF(0=LEN(ReferenceData!$AE$146),"",ReferenceData!$AE$146),"")</f>
        <v>13424.53938</v>
      </c>
      <c r="AF146">
        <f ca="1">IFERROR(IF(0=LEN(ReferenceData!$AF$146),"",ReferenceData!$AF$146),"")</f>
        <v>12306.72622</v>
      </c>
      <c r="AG146">
        <f ca="1">IFERROR(IF(0=LEN(ReferenceData!$AG$146),"",ReferenceData!$AG$146),"")</f>
        <v>11647.44521</v>
      </c>
      <c r="AH146">
        <f ca="1">IFERROR(IF(0=LEN(ReferenceData!$AH$146),"",ReferenceData!$AH$146),"")</f>
        <v>9658.9873929999994</v>
      </c>
      <c r="AI146">
        <f ca="1">IFERROR(IF(0=LEN(ReferenceData!$AI$146),"",ReferenceData!$AI$146),"")</f>
        <v>8660.5427600000003</v>
      </c>
      <c r="AJ146">
        <f ca="1">IFERROR(IF(0=LEN(ReferenceData!$AJ$146),"",ReferenceData!$AJ$146),"")</f>
        <v>9629.8837700000004</v>
      </c>
      <c r="AK146">
        <f ca="1">IFERROR(IF(0=LEN(ReferenceData!$AK$146),"",ReferenceData!$AK$146),"")</f>
        <v>10909.263080000001</v>
      </c>
      <c r="AL146">
        <f ca="1">IFERROR(IF(0=LEN(ReferenceData!$AL$146),"",ReferenceData!$AL$146),"")</f>
        <v>13262.367829999999</v>
      </c>
      <c r="AM146">
        <f ca="1">IFERROR(IF(0=LEN(ReferenceData!$AM$146),"",ReferenceData!$AM$146),"")</f>
        <v>13716.07497</v>
      </c>
      <c r="AN146">
        <f ca="1">IFERROR(IF(0=LEN(ReferenceData!$AN$146),"",ReferenceData!$AN$146),"")</f>
        <v>14184.670120000001</v>
      </c>
      <c r="AO146">
        <f ca="1">IFERROR(IF(0=LEN(ReferenceData!$AO$146),"",ReferenceData!$AO$146),"")</f>
        <v>12979.741679999999</v>
      </c>
      <c r="AP146">
        <f ca="1">IFERROR(IF(0=LEN(ReferenceData!$AP$146),"",ReferenceData!$AP$146),"")</f>
        <v>10712.160830000001</v>
      </c>
      <c r="AQ146">
        <f ca="1">IFERROR(IF(0=LEN(ReferenceData!$AQ$146),"",ReferenceData!$AQ$146),"")</f>
        <v>6860.3940009999997</v>
      </c>
      <c r="AR146">
        <f ca="1">IFERROR(IF(0=LEN(ReferenceData!$AR$146),"",ReferenceData!$AR$146),"")</f>
        <v>5967.1350570000004</v>
      </c>
      <c r="AS146">
        <f ca="1">IFERROR(IF(0=LEN(ReferenceData!$AS$146),"",ReferenceData!$AS$146),"")</f>
        <v>6621.5017099999995</v>
      </c>
      <c r="AT146">
        <f ca="1">IFERROR(IF(0=LEN(ReferenceData!$AT$146),"",ReferenceData!$AT$146),"")</f>
        <v>8266.0910710000007</v>
      </c>
      <c r="AU146">
        <f ca="1">IFERROR(IF(0=LEN(ReferenceData!$AU$146),"",ReferenceData!$AU$146),"")</f>
        <v>11996.48308</v>
      </c>
      <c r="AV146">
        <f ca="1">IFERROR(IF(0=LEN(ReferenceData!$AV$146),"",ReferenceData!$AV$146),"")</f>
        <v>12945.054179999999</v>
      </c>
      <c r="AW146">
        <f ca="1">IFERROR(IF(0=LEN(ReferenceData!$AW$146),"",ReferenceData!$AW$146),"")</f>
        <v>13619.172570000001</v>
      </c>
      <c r="AX146">
        <f ca="1">IFERROR(IF(0=LEN(ReferenceData!$AX$146),"",ReferenceData!$AX$146),"")</f>
        <v>12920.209570000001</v>
      </c>
      <c r="AY146">
        <f ca="1">IFERROR(IF(0=LEN(ReferenceData!$AY$146),"",ReferenceData!$AY$146),"")</f>
        <v>12966.90661</v>
      </c>
      <c r="AZ146">
        <f ca="1">IFERROR(IF(0=LEN(ReferenceData!$AZ$146),"",ReferenceData!$AZ$146),"")</f>
        <v>11933.336230000001</v>
      </c>
      <c r="BA146">
        <f ca="1">IFERROR(IF(0=LEN(ReferenceData!$BA$146),"",ReferenceData!$BA$146),"")</f>
        <v>10811.605079999999</v>
      </c>
      <c r="BB146">
        <f ca="1">IFERROR(IF(0=LEN(ReferenceData!$BB$146),"",ReferenceData!$BB$146),"")</f>
        <v>10465.84138</v>
      </c>
      <c r="BC146">
        <f ca="1">IFERROR(IF(0=LEN(ReferenceData!$BC$146),"",ReferenceData!$BC$146),"")</f>
        <v>11038.131450000001</v>
      </c>
      <c r="BD146">
        <f ca="1">IFERROR(IF(0=LEN(ReferenceData!$BD$146),"",ReferenceData!$BD$146),"")</f>
        <v>10650.20685</v>
      </c>
      <c r="BE146">
        <f ca="1">IFERROR(IF(0=LEN(ReferenceData!$BE$146),"",ReferenceData!$BE$146),"")</f>
        <v>10313.69332</v>
      </c>
      <c r="BF146">
        <f ca="1">IFERROR(IF(0=LEN(ReferenceData!$BF$146),"",ReferenceData!$BF$146),"")</f>
        <v>10004.407440000001</v>
      </c>
      <c r="BG146">
        <f ca="1">IFERROR(IF(0=LEN(ReferenceData!$BG$146),"",ReferenceData!$BG$146),"")</f>
        <v>8263.4141639999998</v>
      </c>
      <c r="BH146">
        <f ca="1">IFERROR(IF(0=LEN(ReferenceData!$BH$146),"",ReferenceData!$BH$146),"")</f>
        <v>8061.0745630000001</v>
      </c>
      <c r="BI146">
        <f ca="1">IFERROR(IF(0=LEN(ReferenceData!$BI$146),"",ReferenceData!$BI$146),"")</f>
        <v>8150.109023</v>
      </c>
      <c r="BJ146">
        <f ca="1">IFERROR(IF(0=LEN(ReferenceData!$BJ$146),"",ReferenceData!$BJ$146),"")</f>
        <v>7977.3178369999996</v>
      </c>
      <c r="BK146" t="str">
        <f ca="1">IFERROR(IF(0=LEN(ReferenceData!$BK$146),"",ReferenceData!$BK$146),"")</f>
        <v/>
      </c>
      <c r="BL146" t="str">
        <f ca="1">IFERROR(IF(0=LEN(ReferenceData!$BL$146),"",ReferenceData!$BL$146),"")</f>
        <v/>
      </c>
      <c r="BM146" t="str">
        <f ca="1">IFERROR(IF(0=LEN(ReferenceData!$BM$146),"",ReferenceData!$BM$146),"")</f>
        <v/>
      </c>
    </row>
    <row r="147" spans="1:65" x14ac:dyDescent="0.25">
      <c r="A147" t="str">
        <f>IFERROR(IF(0=LEN(ReferenceData!$A$147),"",ReferenceData!$A$147),"")</f>
        <v xml:space="preserve">    Hyundai Motor Co</v>
      </c>
      <c r="B147" t="str">
        <f>IFERROR(IF(0=LEN(ReferenceData!$B$147),"",ReferenceData!$B$147),"")</f>
        <v>005380 KS Equity</v>
      </c>
      <c r="C147" t="str">
        <f>IFERROR(IF(0=LEN(ReferenceData!$C$147),"",ReferenceData!$C$147),"")</f>
        <v>RR841</v>
      </c>
      <c r="D147" t="str">
        <f>IFERROR(IF(0=LEN(ReferenceData!$D$147),"",ReferenceData!$D$147),"")</f>
        <v>TRAIL_12M_EBITDA</v>
      </c>
      <c r="E147" t="str">
        <f>IFERROR(IF(0=LEN(ReferenceData!$E$147),"",ReferenceData!$E$147),"")</f>
        <v>Dynamic</v>
      </c>
      <c r="F147" t="str">
        <f ca="1">IFERROR(IF(0=LEN(ReferenceData!$F$147),"",ReferenceData!$F$147),"")</f>
        <v/>
      </c>
      <c r="G147" t="str">
        <f ca="1">IFERROR(IF(0=LEN(ReferenceData!$G$147),"",ReferenceData!$G$147),"")</f>
        <v/>
      </c>
      <c r="H147">
        <f ca="1">IFERROR(IF(0=LEN(ReferenceData!$H$147),"",ReferenceData!$H$147),"")</f>
        <v>5869.9517059999998</v>
      </c>
      <c r="I147">
        <f ca="1">IFERROR(IF(0=LEN(ReferenceData!$I$147),"",ReferenceData!$I$147),"")</f>
        <v>6623.4445930000002</v>
      </c>
      <c r="J147">
        <f ca="1">IFERROR(IF(0=LEN(ReferenceData!$J$147),"",ReferenceData!$J$147),"")</f>
        <v>6842.9155540000002</v>
      </c>
      <c r="K147">
        <f ca="1">IFERROR(IF(0=LEN(ReferenceData!$K$147),"",ReferenceData!$K$147),"")</f>
        <v>7170.8462600000003</v>
      </c>
      <c r="L147">
        <f ca="1">IFERROR(IF(0=LEN(ReferenceData!$L$147),"",ReferenceData!$L$147),"")</f>
        <v>7282.0545279999997</v>
      </c>
      <c r="M147">
        <f ca="1">IFERROR(IF(0=LEN(ReferenceData!$M$147),"",ReferenceData!$M$147),"")</f>
        <v>7140.4145339999995</v>
      </c>
      <c r="N147">
        <f ca="1">IFERROR(IF(0=LEN(ReferenceData!$N$147),"",ReferenceData!$N$147),"")</f>
        <v>7412.1851120000001</v>
      </c>
      <c r="O147">
        <f ca="1">IFERROR(IF(0=LEN(ReferenceData!$O$147),"",ReferenceData!$O$147),"")</f>
        <v>7374.9188830000003</v>
      </c>
      <c r="P147">
        <f ca="1">IFERROR(IF(0=LEN(ReferenceData!$P$147),"",ReferenceData!$P$147),"")</f>
        <v>7674.8039150000004</v>
      </c>
      <c r="Q147">
        <f ca="1">IFERROR(IF(0=LEN(ReferenceData!$Q$147),"",ReferenceData!$Q$147),"")</f>
        <v>7841.9709190000003</v>
      </c>
      <c r="R147">
        <f ca="1">IFERROR(IF(0=LEN(ReferenceData!$R$147),"",ReferenceData!$R$147),"")</f>
        <v>7833.9237199999998</v>
      </c>
      <c r="S147">
        <f ca="1">IFERROR(IF(0=LEN(ReferenceData!$S$147),"",ReferenceData!$S$147),"")</f>
        <v>8091.5251689999996</v>
      </c>
      <c r="T147">
        <f ca="1">IFERROR(IF(0=LEN(ReferenceData!$T$147),"",ReferenceData!$T$147),"")</f>
        <v>8425.7945309999996</v>
      </c>
      <c r="U147">
        <f ca="1">IFERROR(IF(0=LEN(ReferenceData!$U$147),"",ReferenceData!$U$147),"")</f>
        <v>8773.4865420000006</v>
      </c>
      <c r="V147">
        <f ca="1">IFERROR(IF(0=LEN(ReferenceData!$V$147),"",ReferenceData!$V$147),"")</f>
        <v>9198.2402180000008</v>
      </c>
      <c r="W147">
        <f ca="1">IFERROR(IF(0=LEN(ReferenceData!$W$147),"",ReferenceData!$W$147),"")</f>
        <v>9595.9856490000002</v>
      </c>
      <c r="X147">
        <f ca="1">IFERROR(IF(0=LEN(ReferenceData!$X$147),"",ReferenceData!$X$147),"")</f>
        <v>9800.9043970000002</v>
      </c>
      <c r="Y147">
        <f ca="1">IFERROR(IF(0=LEN(ReferenceData!$Y$147),"",ReferenceData!$Y$147),"")</f>
        <v>9966.5341740000003</v>
      </c>
      <c r="Z147">
        <f ca="1">IFERROR(IF(0=LEN(ReferenceData!$Z$147),"",ReferenceData!$Z$147),"")</f>
        <v>10053.530870000001</v>
      </c>
      <c r="AA147">
        <f ca="1">IFERROR(IF(0=LEN(ReferenceData!$AA$147),"",ReferenceData!$AA$147),"")</f>
        <v>9932.3518280000008</v>
      </c>
      <c r="AB147">
        <f ca="1">IFERROR(IF(0=LEN(ReferenceData!$AB$147),"",ReferenceData!$AB$147),"")</f>
        <v>9737.5547669999996</v>
      </c>
      <c r="AC147">
        <f ca="1">IFERROR(IF(0=LEN(ReferenceData!$AC$147),"",ReferenceData!$AC$147),"")</f>
        <v>9620.5371360000008</v>
      </c>
      <c r="AD147">
        <f ca="1">IFERROR(IF(0=LEN(ReferenceData!$AD$147),"",ReferenceData!$AD$147),"")</f>
        <v>9652.6848219999993</v>
      </c>
      <c r="AE147">
        <f ca="1">IFERROR(IF(0=LEN(ReferenceData!$AE$147),"",ReferenceData!$AE$147),"")</f>
        <v>9735.4814239999996</v>
      </c>
      <c r="AF147">
        <f ca="1">IFERROR(IF(0=LEN(ReferenceData!$AF$147),"",ReferenceData!$AF$147),"")</f>
        <v>9772.1919240000007</v>
      </c>
      <c r="AG147">
        <f ca="1">IFERROR(IF(0=LEN(ReferenceData!$AG$147),"",ReferenceData!$AG$147),"")</f>
        <v>10013.26827</v>
      </c>
      <c r="AH147">
        <f ca="1">IFERROR(IF(0=LEN(ReferenceData!$AH$147),"",ReferenceData!$AH$147),"")</f>
        <v>9708.4756899999993</v>
      </c>
      <c r="AI147">
        <f ca="1">IFERROR(IF(0=LEN(ReferenceData!$AI$147),"",ReferenceData!$AI$147),"")</f>
        <v>9330.4369200000001</v>
      </c>
      <c r="AJ147">
        <f ca="1">IFERROR(IF(0=LEN(ReferenceData!$AJ$147),"",ReferenceData!$AJ$147),"")</f>
        <v>8615.7483260000008</v>
      </c>
      <c r="AK147">
        <f ca="1">IFERROR(IF(0=LEN(ReferenceData!$AK$147),"",ReferenceData!$AK$147),"")</f>
        <v>7999.9120560000001</v>
      </c>
      <c r="AL147">
        <f ca="1">IFERROR(IF(0=LEN(ReferenceData!$AL$147),"",ReferenceData!$AL$147),"")</f>
        <v>7447.6423999999997</v>
      </c>
      <c r="AM147">
        <f ca="1">IFERROR(IF(0=LEN(ReferenceData!$AM$147),"",ReferenceData!$AM$147),"")</f>
        <v>6955.6968100000004</v>
      </c>
      <c r="AN147" t="str">
        <f ca="1">IFERROR(IF(0=LEN(ReferenceData!$AN$147),"",ReferenceData!$AN$147),"")</f>
        <v/>
      </c>
      <c r="AO147" t="str">
        <f ca="1">IFERROR(IF(0=LEN(ReferenceData!$AO$147),"",ReferenceData!$AO$147),"")</f>
        <v/>
      </c>
      <c r="AP147" t="str">
        <f ca="1">IFERROR(IF(0=LEN(ReferenceData!$AP$147),"",ReferenceData!$AP$147),"")</f>
        <v/>
      </c>
      <c r="AQ147" t="str">
        <f ca="1">IFERROR(IF(0=LEN(ReferenceData!$AQ$147),"",ReferenceData!$AQ$147),"")</f>
        <v/>
      </c>
      <c r="AR147" t="str">
        <f ca="1">IFERROR(IF(0=LEN(ReferenceData!$AR$147),"",ReferenceData!$AR$147),"")</f>
        <v/>
      </c>
      <c r="AS147" t="str">
        <f ca="1">IFERROR(IF(0=LEN(ReferenceData!$AS$147),"",ReferenceData!$AS$147),"")</f>
        <v/>
      </c>
      <c r="AT147" t="str">
        <f ca="1">IFERROR(IF(0=LEN(ReferenceData!$AT$147),"",ReferenceData!$AT$147),"")</f>
        <v/>
      </c>
      <c r="AU147" t="str">
        <f ca="1">IFERROR(IF(0=LEN(ReferenceData!$AU$147),"",ReferenceData!$AU$147),"")</f>
        <v/>
      </c>
      <c r="AV147" t="str">
        <f ca="1">IFERROR(IF(0=LEN(ReferenceData!$AV$147),"",ReferenceData!$AV$147),"")</f>
        <v/>
      </c>
      <c r="AW147" t="str">
        <f ca="1">IFERROR(IF(0=LEN(ReferenceData!$AW$147),"",ReferenceData!$AW$147),"")</f>
        <v/>
      </c>
      <c r="AX147" t="str">
        <f ca="1">IFERROR(IF(0=LEN(ReferenceData!$AX$147),"",ReferenceData!$AX$147),"")</f>
        <v/>
      </c>
      <c r="AY147" t="str">
        <f ca="1">IFERROR(IF(0=LEN(ReferenceData!$AY$147),"",ReferenceData!$AY$147),"")</f>
        <v/>
      </c>
      <c r="AZ147" t="str">
        <f ca="1">IFERROR(IF(0=LEN(ReferenceData!$AZ$147),"",ReferenceData!$AZ$147),"")</f>
        <v/>
      </c>
      <c r="BA147" t="str">
        <f ca="1">IFERROR(IF(0=LEN(ReferenceData!$BA$147),"",ReferenceData!$BA$147),"")</f>
        <v/>
      </c>
      <c r="BB147" t="str">
        <f ca="1">IFERROR(IF(0=LEN(ReferenceData!$BB$147),"",ReferenceData!$BB$147),"")</f>
        <v/>
      </c>
      <c r="BC147" t="str">
        <f ca="1">IFERROR(IF(0=LEN(ReferenceData!$BC$147),"",ReferenceData!$BC$147),"")</f>
        <v/>
      </c>
      <c r="BD147" t="str">
        <f ca="1">IFERROR(IF(0=LEN(ReferenceData!$BD$147),"",ReferenceData!$BD$147),"")</f>
        <v/>
      </c>
      <c r="BE147" t="str">
        <f ca="1">IFERROR(IF(0=LEN(ReferenceData!$BE$147),"",ReferenceData!$BE$147),"")</f>
        <v/>
      </c>
      <c r="BF147" t="str">
        <f ca="1">IFERROR(IF(0=LEN(ReferenceData!$BF$147),"",ReferenceData!$BF$147),"")</f>
        <v/>
      </c>
      <c r="BG147" t="str">
        <f ca="1">IFERROR(IF(0=LEN(ReferenceData!$BG$147),"",ReferenceData!$BG$147),"")</f>
        <v/>
      </c>
      <c r="BH147" t="str">
        <f ca="1">IFERROR(IF(0=LEN(ReferenceData!$BH$147),"",ReferenceData!$BH$147),"")</f>
        <v/>
      </c>
      <c r="BI147" t="str">
        <f ca="1">IFERROR(IF(0=LEN(ReferenceData!$BI$147),"",ReferenceData!$BI$147),"")</f>
        <v/>
      </c>
      <c r="BJ147" t="str">
        <f ca="1">IFERROR(IF(0=LEN(ReferenceData!$BJ$147),"",ReferenceData!$BJ$147),"")</f>
        <v/>
      </c>
      <c r="BK147" t="str">
        <f ca="1">IFERROR(IF(0=LEN(ReferenceData!$BK$147),"",ReferenceData!$BK$147),"")</f>
        <v/>
      </c>
      <c r="BL147" t="str">
        <f ca="1">IFERROR(IF(0=LEN(ReferenceData!$BL$147),"",ReferenceData!$BL$147),"")</f>
        <v/>
      </c>
      <c r="BM147" t="str">
        <f ca="1">IFERROR(IF(0=LEN(ReferenceData!$BM$147),"",ReferenceData!$BM$147),"")</f>
        <v/>
      </c>
    </row>
    <row r="148" spans="1:65" x14ac:dyDescent="0.25">
      <c r="A148" t="str">
        <f>IFERROR(IF(0=LEN(ReferenceData!$A$148),"",ReferenceData!$A$148),"")</f>
        <v xml:space="preserve">    Kia Motors Corp</v>
      </c>
      <c r="B148" t="str">
        <f>IFERROR(IF(0=LEN(ReferenceData!$B$148),"",ReferenceData!$B$148),"")</f>
        <v>000270 KS Equity</v>
      </c>
      <c r="C148" t="str">
        <f>IFERROR(IF(0=LEN(ReferenceData!$C$148),"",ReferenceData!$C$148),"")</f>
        <v>RR841</v>
      </c>
      <c r="D148" t="str">
        <f>IFERROR(IF(0=LEN(ReferenceData!$D$148),"",ReferenceData!$D$148),"")</f>
        <v>TRAIL_12M_EBITDA</v>
      </c>
      <c r="E148" t="str">
        <f>IFERROR(IF(0=LEN(ReferenceData!$E$148),"",ReferenceData!$E$148),"")</f>
        <v>Dynamic</v>
      </c>
      <c r="F148" t="str">
        <f ca="1">IFERROR(IF(0=LEN(ReferenceData!$F$148),"",ReferenceData!$F$148),"")</f>
        <v/>
      </c>
      <c r="G148" t="str">
        <f ca="1">IFERROR(IF(0=LEN(ReferenceData!$G$148),"",ReferenceData!$G$148),"")</f>
        <v/>
      </c>
      <c r="H148">
        <f ca="1">IFERROR(IF(0=LEN(ReferenceData!$H$148),"",ReferenceData!$H$148),"")</f>
        <v>2730.1505040000002</v>
      </c>
      <c r="I148">
        <f ca="1">IFERROR(IF(0=LEN(ReferenceData!$I$148),"",ReferenceData!$I$148),"")</f>
        <v>2225.7884949999998</v>
      </c>
      <c r="J148">
        <f ca="1">IFERROR(IF(0=LEN(ReferenceData!$J$148),"",ReferenceData!$J$148),"")</f>
        <v>2228.2122989999998</v>
      </c>
      <c r="K148">
        <f ca="1">IFERROR(IF(0=LEN(ReferenceData!$K$148),"",ReferenceData!$K$148),"")</f>
        <v>2228.0432059999998</v>
      </c>
      <c r="L148">
        <f ca="1">IFERROR(IF(0=LEN(ReferenceData!$L$148),"",ReferenceData!$L$148),"")</f>
        <v>2378.4693090000001</v>
      </c>
      <c r="M148">
        <f ca="1">IFERROR(IF(0=LEN(ReferenceData!$M$148),"",ReferenceData!$M$148),"")</f>
        <v>3185.7060809999998</v>
      </c>
      <c r="N148">
        <f ca="1">IFERROR(IF(0=LEN(ReferenceData!$N$148),"",ReferenceData!$N$148),"")</f>
        <v>3445.2597209999999</v>
      </c>
      <c r="O148">
        <f ca="1">IFERROR(IF(0=LEN(ReferenceData!$O$148),"",ReferenceData!$O$148),"")</f>
        <v>3577.823793</v>
      </c>
      <c r="P148">
        <f ca="1">IFERROR(IF(0=LEN(ReferenceData!$P$148),"",ReferenceData!$P$148),"")</f>
        <v>3487.509708</v>
      </c>
      <c r="Q148">
        <f ca="1">IFERROR(IF(0=LEN(ReferenceData!$Q$148),"",ReferenceData!$Q$148),"")</f>
        <v>3499.793044</v>
      </c>
      <c r="R148">
        <f ca="1">IFERROR(IF(0=LEN(ReferenceData!$R$148),"",ReferenceData!$R$148),"")</f>
        <v>3409.527192</v>
      </c>
      <c r="S148">
        <f ca="1">IFERROR(IF(0=LEN(ReferenceData!$S$148),"",ReferenceData!$S$148),"")</f>
        <v>3340.3506080000002</v>
      </c>
      <c r="T148">
        <f ca="1">IFERROR(IF(0=LEN(ReferenceData!$T$148),"",ReferenceData!$T$148),"")</f>
        <v>3389.8020980000001</v>
      </c>
      <c r="U148">
        <f ca="1">IFERROR(IF(0=LEN(ReferenceData!$U$148),"",ReferenceData!$U$148),"")</f>
        <v>3386.7030009999999</v>
      </c>
      <c r="V148">
        <f ca="1">IFERROR(IF(0=LEN(ReferenceData!$V$148),"",ReferenceData!$V$148),"")</f>
        <v>3510.1860470000001</v>
      </c>
      <c r="W148">
        <f ca="1">IFERROR(IF(0=LEN(ReferenceData!$W$148),"",ReferenceData!$W$148),"")</f>
        <v>3715.0870759999998</v>
      </c>
      <c r="X148">
        <f ca="1">IFERROR(IF(0=LEN(ReferenceData!$X$148),"",ReferenceData!$X$148),"")</f>
        <v>3812.5029770000001</v>
      </c>
      <c r="Y148">
        <f ca="1">IFERROR(IF(0=LEN(ReferenceData!$Y$148),"",ReferenceData!$Y$148),"")</f>
        <v>3847.3717499999998</v>
      </c>
      <c r="Z148">
        <f ca="1">IFERROR(IF(0=LEN(ReferenceData!$Z$148),"",ReferenceData!$Z$148),"")</f>
        <v>4072.3082209999998</v>
      </c>
      <c r="AA148">
        <f ca="1">IFERROR(IF(0=LEN(ReferenceData!$AA$148),"",ReferenceData!$AA$148),"")</f>
        <v>4003.338741</v>
      </c>
      <c r="AB148">
        <f ca="1">IFERROR(IF(0=LEN(ReferenceData!$AB$148),"",ReferenceData!$AB$148),"")</f>
        <v>3730.2374150000001</v>
      </c>
      <c r="AC148">
        <f ca="1">IFERROR(IF(0=LEN(ReferenceData!$AC$148),"",ReferenceData!$AC$148),"")</f>
        <v>3758.3427790000001</v>
      </c>
      <c r="AD148">
        <f ca="1">IFERROR(IF(0=LEN(ReferenceData!$AD$148),"",ReferenceData!$AD$148),"")</f>
        <v>3793.1951589999999</v>
      </c>
      <c r="AE148">
        <f ca="1">IFERROR(IF(0=LEN(ReferenceData!$AE$148),"",ReferenceData!$AE$148),"")</f>
        <v>4073.9513139999999</v>
      </c>
      <c r="AF148">
        <f ca="1">IFERROR(IF(0=LEN(ReferenceData!$AF$148),"",ReferenceData!$AF$148),"")</f>
        <v>4360.7740519999998</v>
      </c>
      <c r="AG148">
        <f ca="1">IFERROR(IF(0=LEN(ReferenceData!$AG$148),"",ReferenceData!$AG$148),"")</f>
        <v>4452.7359100000003</v>
      </c>
      <c r="AH148">
        <f ca="1">IFERROR(IF(0=LEN(ReferenceData!$AH$148),"",ReferenceData!$AH$148),"")</f>
        <v>4319.3569859999998</v>
      </c>
      <c r="AI148">
        <f ca="1">IFERROR(IF(0=LEN(ReferenceData!$AI$148),"",ReferenceData!$AI$148),"")</f>
        <v>4057.8789579999998</v>
      </c>
      <c r="AJ148">
        <f ca="1">IFERROR(IF(0=LEN(ReferenceData!$AJ$148),"",ReferenceData!$AJ$148),"")</f>
        <v>3886.1865290000001</v>
      </c>
      <c r="AK148">
        <f ca="1">IFERROR(IF(0=LEN(ReferenceData!$AK$148),"",ReferenceData!$AK$148),"")</f>
        <v>3643.2636130000001</v>
      </c>
      <c r="AL148">
        <f ca="1">IFERROR(IF(0=LEN(ReferenceData!$AL$148),"",ReferenceData!$AL$148),"")</f>
        <v>3219.1678430000002</v>
      </c>
      <c r="AM148">
        <f ca="1">IFERROR(IF(0=LEN(ReferenceData!$AM$148),"",ReferenceData!$AM$148),"")</f>
        <v>2859.6334040000002</v>
      </c>
      <c r="AN148" t="str">
        <f ca="1">IFERROR(IF(0=LEN(ReferenceData!$AN$148),"",ReferenceData!$AN$148),"")</f>
        <v/>
      </c>
      <c r="AO148" t="str">
        <f ca="1">IFERROR(IF(0=LEN(ReferenceData!$AO$148),"",ReferenceData!$AO$148),"")</f>
        <v/>
      </c>
      <c r="AP148" t="str">
        <f ca="1">IFERROR(IF(0=LEN(ReferenceData!$AP$148),"",ReferenceData!$AP$148),"")</f>
        <v/>
      </c>
      <c r="AQ148" t="str">
        <f ca="1">IFERROR(IF(0=LEN(ReferenceData!$AQ$148),"",ReferenceData!$AQ$148),"")</f>
        <v/>
      </c>
      <c r="AR148" t="str">
        <f ca="1">IFERROR(IF(0=LEN(ReferenceData!$AR$148),"",ReferenceData!$AR$148),"")</f>
        <v/>
      </c>
      <c r="AS148" t="str">
        <f ca="1">IFERROR(IF(0=LEN(ReferenceData!$AS$148),"",ReferenceData!$AS$148),"")</f>
        <v/>
      </c>
      <c r="AT148" t="str">
        <f ca="1">IFERROR(IF(0=LEN(ReferenceData!$AT$148),"",ReferenceData!$AT$148),"")</f>
        <v/>
      </c>
      <c r="AU148" t="str">
        <f ca="1">IFERROR(IF(0=LEN(ReferenceData!$AU$148),"",ReferenceData!$AU$148),"")</f>
        <v/>
      </c>
      <c r="AV148" t="str">
        <f ca="1">IFERROR(IF(0=LEN(ReferenceData!$AV$148),"",ReferenceData!$AV$148),"")</f>
        <v/>
      </c>
      <c r="AW148" t="str">
        <f ca="1">IFERROR(IF(0=LEN(ReferenceData!$AW$148),"",ReferenceData!$AW$148),"")</f>
        <v/>
      </c>
      <c r="AX148" t="str">
        <f ca="1">IFERROR(IF(0=LEN(ReferenceData!$AX$148),"",ReferenceData!$AX$148),"")</f>
        <v/>
      </c>
      <c r="AY148" t="str">
        <f ca="1">IFERROR(IF(0=LEN(ReferenceData!$AY$148),"",ReferenceData!$AY$148),"")</f>
        <v/>
      </c>
      <c r="AZ148" t="str">
        <f ca="1">IFERROR(IF(0=LEN(ReferenceData!$AZ$148),"",ReferenceData!$AZ$148),"")</f>
        <v/>
      </c>
      <c r="BA148" t="str">
        <f ca="1">IFERROR(IF(0=LEN(ReferenceData!$BA$148),"",ReferenceData!$BA$148),"")</f>
        <v/>
      </c>
      <c r="BB148" t="str">
        <f ca="1">IFERROR(IF(0=LEN(ReferenceData!$BB$148),"",ReferenceData!$BB$148),"")</f>
        <v/>
      </c>
      <c r="BC148" t="str">
        <f ca="1">IFERROR(IF(0=LEN(ReferenceData!$BC$148),"",ReferenceData!$BC$148),"")</f>
        <v/>
      </c>
      <c r="BD148" t="str">
        <f ca="1">IFERROR(IF(0=LEN(ReferenceData!$BD$148),"",ReferenceData!$BD$148),"")</f>
        <v/>
      </c>
      <c r="BE148" t="str">
        <f ca="1">IFERROR(IF(0=LEN(ReferenceData!$BE$148),"",ReferenceData!$BE$148),"")</f>
        <v/>
      </c>
      <c r="BF148" t="str">
        <f ca="1">IFERROR(IF(0=LEN(ReferenceData!$BF$148),"",ReferenceData!$BF$148),"")</f>
        <v/>
      </c>
      <c r="BG148" t="str">
        <f ca="1">IFERROR(IF(0=LEN(ReferenceData!$BG$148),"",ReferenceData!$BG$148),"")</f>
        <v/>
      </c>
      <c r="BH148" t="str">
        <f ca="1">IFERROR(IF(0=LEN(ReferenceData!$BH$148),"",ReferenceData!$BH$148),"")</f>
        <v/>
      </c>
      <c r="BI148" t="str">
        <f ca="1">IFERROR(IF(0=LEN(ReferenceData!$BI$148),"",ReferenceData!$BI$148),"")</f>
        <v/>
      </c>
      <c r="BJ148" t="str">
        <f ca="1">IFERROR(IF(0=LEN(ReferenceData!$BJ$148),"",ReferenceData!$BJ$148),"")</f>
        <v/>
      </c>
      <c r="BK148" t="str">
        <f ca="1">IFERROR(IF(0=LEN(ReferenceData!$BK$148),"",ReferenceData!$BK$148),"")</f>
        <v/>
      </c>
      <c r="BL148" t="str">
        <f ca="1">IFERROR(IF(0=LEN(ReferenceData!$BL$148),"",ReferenceData!$BL$148),"")</f>
        <v/>
      </c>
      <c r="BM148" t="str">
        <f ca="1">IFERROR(IF(0=LEN(ReferenceData!$BM$148),"",ReferenceData!$BM$148),"")</f>
        <v/>
      </c>
    </row>
    <row r="149" spans="1:65" x14ac:dyDescent="0.25">
      <c r="A149" t="str">
        <f>IFERROR(IF(0=LEN(ReferenceData!$A$149),"",ReferenceData!$A$149),"")</f>
        <v xml:space="preserve">    Mazda Motor Corp</v>
      </c>
      <c r="B149" t="str">
        <f>IFERROR(IF(0=LEN(ReferenceData!$B$149),"",ReferenceData!$B$149),"")</f>
        <v>7261 JP Equity</v>
      </c>
      <c r="C149" t="str">
        <f>IFERROR(IF(0=LEN(ReferenceData!$C$149),"",ReferenceData!$C$149),"")</f>
        <v>RR841</v>
      </c>
      <c r="D149" t="str">
        <f>IFERROR(IF(0=LEN(ReferenceData!$D$149),"",ReferenceData!$D$149),"")</f>
        <v>TRAIL_12M_EBITDA</v>
      </c>
      <c r="E149" t="str">
        <f>IFERROR(IF(0=LEN(ReferenceData!$E$149),"",ReferenceData!$E$149),"")</f>
        <v>Dynamic</v>
      </c>
      <c r="F149" t="str">
        <f ca="1">IFERROR(IF(0=LEN(ReferenceData!$F$149),"",ReferenceData!$F$149),"")</f>
        <v/>
      </c>
      <c r="G149">
        <f ca="1">IFERROR(IF(0=LEN(ReferenceData!$G$149),"",ReferenceData!$G$149),"")</f>
        <v>1700.7693750000001</v>
      </c>
      <c r="H149">
        <f ca="1">IFERROR(IF(0=LEN(ReferenceData!$H$149),"",ReferenceData!$H$149),"")</f>
        <v>1705.4770100000001</v>
      </c>
      <c r="I149">
        <f ca="1">IFERROR(IF(0=LEN(ReferenceData!$I$149),"",ReferenceData!$I$149),"")</f>
        <v>2055.061541</v>
      </c>
      <c r="J149">
        <f ca="1">IFERROR(IF(0=LEN(ReferenceData!$J$149),"",ReferenceData!$J$149),"")</f>
        <v>2106.4033829999998</v>
      </c>
      <c r="K149">
        <f ca="1">IFERROR(IF(0=LEN(ReferenceData!$K$149),"",ReferenceData!$K$149),"")</f>
        <v>1944.244218</v>
      </c>
      <c r="L149">
        <f ca="1">IFERROR(IF(0=LEN(ReferenceData!$L$149),"",ReferenceData!$L$149),"")</f>
        <v>1797.470442</v>
      </c>
      <c r="M149">
        <f ca="1">IFERROR(IF(0=LEN(ReferenceData!$M$149),"",ReferenceData!$M$149),"")</f>
        <v>1815.121506</v>
      </c>
      <c r="N149">
        <f ca="1">IFERROR(IF(0=LEN(ReferenceData!$N$149),"",ReferenceData!$N$149),"")</f>
        <v>1925.047914</v>
      </c>
      <c r="O149">
        <f ca="1">IFERROR(IF(0=LEN(ReferenceData!$O$149),"",ReferenceData!$O$149),"")</f>
        <v>2173.9998289999999</v>
      </c>
      <c r="P149">
        <f ca="1">IFERROR(IF(0=LEN(ReferenceData!$P$149),"",ReferenceData!$P$149),"")</f>
        <v>2416.3967550000002</v>
      </c>
      <c r="Q149">
        <f ca="1">IFERROR(IF(0=LEN(ReferenceData!$Q$149),"",ReferenceData!$Q$149),"")</f>
        <v>2621.9447209999998</v>
      </c>
      <c r="R149">
        <f ca="1">IFERROR(IF(0=LEN(ReferenceData!$R$149),"",ReferenceData!$R$149),"")</f>
        <v>2548.8953540000002</v>
      </c>
      <c r="S149">
        <f ca="1">IFERROR(IF(0=LEN(ReferenceData!$S$149),"",ReferenceData!$S$149),"")</f>
        <v>2494.5833750000002</v>
      </c>
      <c r="T149">
        <f ca="1">IFERROR(IF(0=LEN(ReferenceData!$T$149),"",ReferenceData!$T$149),"")</f>
        <v>2521.0005270000001</v>
      </c>
      <c r="U149">
        <f ca="1">IFERROR(IF(0=LEN(ReferenceData!$U$149),"",ReferenceData!$U$149),"")</f>
        <v>2380.764604</v>
      </c>
      <c r="V149">
        <f ca="1">IFERROR(IF(0=LEN(ReferenceData!$V$149),"",ReferenceData!$V$149),"")</f>
        <v>2484.487314</v>
      </c>
      <c r="W149">
        <f ca="1">IFERROR(IF(0=LEN(ReferenceData!$W$149),"",ReferenceData!$W$149),"")</f>
        <v>2615.8286840000001</v>
      </c>
      <c r="X149">
        <f ca="1">IFERROR(IF(0=LEN(ReferenceData!$X$149),"",ReferenceData!$X$149),"")</f>
        <v>2689.8862749999998</v>
      </c>
      <c r="Y149">
        <f ca="1">IFERROR(IF(0=LEN(ReferenceData!$Y$149),"",ReferenceData!$Y$149),"")</f>
        <v>2597.894765</v>
      </c>
      <c r="Z149">
        <f ca="1">IFERROR(IF(0=LEN(ReferenceData!$Z$149),"",ReferenceData!$Z$149),"")</f>
        <v>2394.2504479999998</v>
      </c>
      <c r="AA149">
        <f ca="1">IFERROR(IF(0=LEN(ReferenceData!$AA$149),"",ReferenceData!$AA$149),"")</f>
        <v>2203.7081389999998</v>
      </c>
      <c r="AB149">
        <f ca="1">IFERROR(IF(0=LEN(ReferenceData!$AB$149),"",ReferenceData!$AB$149),"")</f>
        <v>1882.511072</v>
      </c>
      <c r="AC149">
        <f ca="1">IFERROR(IF(0=LEN(ReferenceData!$AC$149),"",ReferenceData!$AC$149),"")</f>
        <v>1688.150725</v>
      </c>
      <c r="AD149">
        <f ca="1">IFERROR(IF(0=LEN(ReferenceData!$AD$149),"",ReferenceData!$AD$149),"")</f>
        <v>1378.3310959999999</v>
      </c>
      <c r="AE149">
        <f ca="1">IFERROR(IF(0=LEN(ReferenceData!$AE$149),"",ReferenceData!$AE$149),"")</f>
        <v>1220.283889</v>
      </c>
      <c r="AF149">
        <f ca="1">IFERROR(IF(0=LEN(ReferenceData!$AF$149),"",ReferenceData!$AF$149),"")</f>
        <v>738.92407079999998</v>
      </c>
      <c r="AG149">
        <f ca="1">IFERROR(IF(0=LEN(ReferenceData!$AG$149),"",ReferenceData!$AG$149),"")</f>
        <v>670.81939999999997</v>
      </c>
      <c r="AH149">
        <f ca="1">IFERROR(IF(0=LEN(ReferenceData!$AH$149),"",ReferenceData!$AH$149),"")</f>
        <v>381.13940789999998</v>
      </c>
      <c r="AI149">
        <f ca="1">IFERROR(IF(0=LEN(ReferenceData!$AI$149),"",ReferenceData!$AI$149),"")</f>
        <v>320.89762439999998</v>
      </c>
      <c r="AJ149">
        <f ca="1">IFERROR(IF(0=LEN(ReferenceData!$AJ$149),"",ReferenceData!$AJ$149),"")</f>
        <v>744.1072173</v>
      </c>
      <c r="AK149">
        <f ca="1">IFERROR(IF(0=LEN(ReferenceData!$AK$149),"",ReferenceData!$AK$149),"")</f>
        <v>785.55437930000005</v>
      </c>
      <c r="AL149">
        <f ca="1">IFERROR(IF(0=LEN(ReferenceData!$AL$149),"",ReferenceData!$AL$149),"")</f>
        <v>1116.4285749999999</v>
      </c>
      <c r="AM149">
        <f ca="1">IFERROR(IF(0=LEN(ReferenceData!$AM$149),"",ReferenceData!$AM$149),"")</f>
        <v>1217.6017670000001</v>
      </c>
      <c r="AN149">
        <f ca="1">IFERROR(IF(0=LEN(ReferenceData!$AN$149),"",ReferenceData!$AN$149),"")</f>
        <v>1316.9297879999999</v>
      </c>
      <c r="AO149">
        <f ca="1">IFERROR(IF(0=LEN(ReferenceData!$AO$149),"",ReferenceData!$AO$149),"")</f>
        <v>1303.374065</v>
      </c>
      <c r="AP149">
        <f ca="1">IFERROR(IF(0=LEN(ReferenceData!$AP$149),"",ReferenceData!$AP$149),"")</f>
        <v>926.09147040000005</v>
      </c>
      <c r="AQ149">
        <f ca="1">IFERROR(IF(0=LEN(ReferenceData!$AQ$149),"",ReferenceData!$AQ$149),"")</f>
        <v>19.51687055</v>
      </c>
      <c r="AR149">
        <f ca="1">IFERROR(IF(0=LEN(ReferenceData!$AR$149),"",ReferenceData!$AR$149),"")</f>
        <v>-280.1863166</v>
      </c>
      <c r="AS149">
        <f ca="1">IFERROR(IF(0=LEN(ReferenceData!$AS$149),"",ReferenceData!$AS$149),"")</f>
        <v>0.732218386</v>
      </c>
      <c r="AT149">
        <f ca="1">IFERROR(IF(0=LEN(ReferenceData!$AT$149),"",ReferenceData!$AT$149),"")</f>
        <v>556.16389619999995</v>
      </c>
      <c r="AU149">
        <f ca="1">IFERROR(IF(0=LEN(ReferenceData!$AU$149),"",ReferenceData!$AU$149),"")</f>
        <v>1661.225066</v>
      </c>
      <c r="AV149">
        <f ca="1">IFERROR(IF(0=LEN(ReferenceData!$AV$149),"",ReferenceData!$AV$149),"")</f>
        <v>2060.0512199999998</v>
      </c>
      <c r="AW149">
        <f ca="1">IFERROR(IF(0=LEN(ReferenceData!$AW$149),"",ReferenceData!$AW$149),"")</f>
        <v>2053.6087779999998</v>
      </c>
      <c r="AX149">
        <f ca="1">IFERROR(IF(0=LEN(ReferenceData!$AX$149),"",ReferenceData!$AX$149),"")</f>
        <v>2007.5425760000001</v>
      </c>
      <c r="AY149">
        <f ca="1">IFERROR(IF(0=LEN(ReferenceData!$AY$149),"",ReferenceData!$AY$149),"")</f>
        <v>1892.58672</v>
      </c>
      <c r="AZ149">
        <f ca="1">IFERROR(IF(0=LEN(ReferenceData!$AZ$149),"",ReferenceData!$AZ$149),"")</f>
        <v>1844.1692370000001</v>
      </c>
      <c r="BA149">
        <f ca="1">IFERROR(IF(0=LEN(ReferenceData!$BA$149),"",ReferenceData!$BA$149),"")</f>
        <v>1808.061348</v>
      </c>
      <c r="BB149">
        <f ca="1">IFERROR(IF(0=LEN(ReferenceData!$BB$149),"",ReferenceData!$BB$149),"")</f>
        <v>1758.3156240000001</v>
      </c>
      <c r="BC149" t="str">
        <f ca="1">IFERROR(IF(0=LEN(ReferenceData!$BC$149),"",ReferenceData!$BC$149),"")</f>
        <v/>
      </c>
      <c r="BD149" t="str">
        <f ca="1">IFERROR(IF(0=LEN(ReferenceData!$BD$149),"",ReferenceData!$BD$149),"")</f>
        <v/>
      </c>
      <c r="BE149" t="str">
        <f ca="1">IFERROR(IF(0=LEN(ReferenceData!$BE$149),"",ReferenceData!$BE$149),"")</f>
        <v/>
      </c>
      <c r="BF149" t="str">
        <f ca="1">IFERROR(IF(0=LEN(ReferenceData!$BF$149),"",ReferenceData!$BF$149),"")</f>
        <v/>
      </c>
      <c r="BG149" t="str">
        <f ca="1">IFERROR(IF(0=LEN(ReferenceData!$BG$149),"",ReferenceData!$BG$149),"")</f>
        <v/>
      </c>
      <c r="BH149" t="str">
        <f ca="1">IFERROR(IF(0=LEN(ReferenceData!$BH$149),"",ReferenceData!$BH$149),"")</f>
        <v/>
      </c>
      <c r="BI149" t="str">
        <f ca="1">IFERROR(IF(0=LEN(ReferenceData!$BI$149),"",ReferenceData!$BI$149),"")</f>
        <v/>
      </c>
      <c r="BJ149" t="str">
        <f ca="1">IFERROR(IF(0=LEN(ReferenceData!$BJ$149),"",ReferenceData!$BJ$149),"")</f>
        <v/>
      </c>
      <c r="BK149" t="str">
        <f ca="1">IFERROR(IF(0=LEN(ReferenceData!$BK$149),"",ReferenceData!$BK$149),"")</f>
        <v/>
      </c>
      <c r="BL149" t="str">
        <f ca="1">IFERROR(IF(0=LEN(ReferenceData!$BL$149),"",ReferenceData!$BL$149),"")</f>
        <v/>
      </c>
      <c r="BM149" t="str">
        <f ca="1">IFERROR(IF(0=LEN(ReferenceData!$BM$149),"",ReferenceData!$BM$149),"")</f>
        <v/>
      </c>
    </row>
    <row r="150" spans="1:65" x14ac:dyDescent="0.25">
      <c r="A150" t="str">
        <f>IFERROR(IF(0=LEN(ReferenceData!$A$150),"",ReferenceData!$A$150),"")</f>
        <v xml:space="preserve">    Mitsubishi Motors Corp</v>
      </c>
      <c r="B150" t="str">
        <f>IFERROR(IF(0=LEN(ReferenceData!$B$150),"",ReferenceData!$B$150),"")</f>
        <v>7211 JP Equity</v>
      </c>
      <c r="C150" t="str">
        <f>IFERROR(IF(0=LEN(ReferenceData!$C$150),"",ReferenceData!$C$150),"")</f>
        <v>RR841</v>
      </c>
      <c r="D150" t="str">
        <f>IFERROR(IF(0=LEN(ReferenceData!$D$150),"",ReferenceData!$D$150),"")</f>
        <v>TRAIL_12M_EBITDA</v>
      </c>
      <c r="E150" t="str">
        <f>IFERROR(IF(0=LEN(ReferenceData!$E$150),"",ReferenceData!$E$150),"")</f>
        <v>Dynamic</v>
      </c>
      <c r="F150" t="str">
        <f ca="1">IFERROR(IF(0=LEN(ReferenceData!$F$150),"",ReferenceData!$F$150),"")</f>
        <v/>
      </c>
      <c r="G150">
        <f ca="1">IFERROR(IF(0=LEN(ReferenceData!$G$150),"",ReferenceData!$G$150),"")</f>
        <v>1614.8195920000001</v>
      </c>
      <c r="H150">
        <f ca="1">IFERROR(IF(0=LEN(ReferenceData!$H$150),"",ReferenceData!$H$150),"")</f>
        <v>1528.0590030000001</v>
      </c>
      <c r="I150">
        <f ca="1">IFERROR(IF(0=LEN(ReferenceData!$I$150),"",ReferenceData!$I$150),"")</f>
        <v>1463.2171639999999</v>
      </c>
      <c r="J150">
        <f ca="1">IFERROR(IF(0=LEN(ReferenceData!$J$150),"",ReferenceData!$J$150),"")</f>
        <v>1360.6621230000001</v>
      </c>
      <c r="K150">
        <f ca="1">IFERROR(IF(0=LEN(ReferenceData!$K$150),"",ReferenceData!$K$150),"")</f>
        <v>1268.148228</v>
      </c>
      <c r="L150">
        <f ca="1">IFERROR(IF(0=LEN(ReferenceData!$L$150),"",ReferenceData!$L$150),"")</f>
        <v>1144.02629</v>
      </c>
      <c r="M150">
        <f ca="1">IFERROR(IF(0=LEN(ReferenceData!$M$150),"",ReferenceData!$M$150),"")</f>
        <v>617.03717159999997</v>
      </c>
      <c r="N150">
        <f ca="1">IFERROR(IF(0=LEN(ReferenceData!$N$150),"",ReferenceData!$N$150),"")</f>
        <v>480.40399860000002</v>
      </c>
      <c r="O150">
        <f ca="1">IFERROR(IF(0=LEN(ReferenceData!$O$150),"",ReferenceData!$O$150),"")</f>
        <v>573.15194750000001</v>
      </c>
      <c r="P150">
        <f ca="1">IFERROR(IF(0=LEN(ReferenceData!$P$150),"",ReferenceData!$P$150),"")</f>
        <v>904.24734720000004</v>
      </c>
      <c r="Q150">
        <f ca="1">IFERROR(IF(0=LEN(ReferenceData!$Q$150),"",ReferenceData!$Q$150),"")</f>
        <v>1542.134953</v>
      </c>
      <c r="R150">
        <f ca="1">IFERROR(IF(0=LEN(ReferenceData!$R$150),"",ReferenceData!$R$150),"")</f>
        <v>1643.097008</v>
      </c>
      <c r="S150">
        <f ca="1">IFERROR(IF(0=LEN(ReferenceData!$S$150),"",ReferenceData!$S$150),"")</f>
        <v>1645.591199</v>
      </c>
      <c r="T150">
        <f ca="1">IFERROR(IF(0=LEN(ReferenceData!$T$150),"",ReferenceData!$T$150),"")</f>
        <v>1639.9009390000001</v>
      </c>
      <c r="U150">
        <f ca="1">IFERROR(IF(0=LEN(ReferenceData!$U$150),"",ReferenceData!$U$150),"")</f>
        <v>1638.523549</v>
      </c>
      <c r="V150">
        <f ca="1">IFERROR(IF(0=LEN(ReferenceData!$V$150),"",ReferenceData!$V$150),"")</f>
        <v>1813.0741820000001</v>
      </c>
      <c r="W150">
        <f ca="1">IFERROR(IF(0=LEN(ReferenceData!$W$150),"",ReferenceData!$W$150),"")</f>
        <v>1784.7295549999999</v>
      </c>
      <c r="X150">
        <f ca="1">IFERROR(IF(0=LEN(ReferenceData!$X$150),"",ReferenceData!$X$150),"")</f>
        <v>1903.949046</v>
      </c>
      <c r="Y150">
        <f ca="1">IFERROR(IF(0=LEN(ReferenceData!$Y$150),"",ReferenceData!$Y$150),"")</f>
        <v>1953.868479</v>
      </c>
      <c r="Z150">
        <f ca="1">IFERROR(IF(0=LEN(ReferenceData!$Z$150),"",ReferenceData!$Z$150),"")</f>
        <v>1823.7690560000001</v>
      </c>
      <c r="AA150">
        <f ca="1">IFERROR(IF(0=LEN(ReferenceData!$AA$150),"",ReferenceData!$AA$150),"")</f>
        <v>1864.8079439999999</v>
      </c>
      <c r="AB150">
        <f ca="1">IFERROR(IF(0=LEN(ReferenceData!$AB$150),"",ReferenceData!$AB$150),"")</f>
        <v>1570.7952720000001</v>
      </c>
      <c r="AC150">
        <f ca="1">IFERROR(IF(0=LEN(ReferenceData!$AC$150),"",ReferenceData!$AC$150),"")</f>
        <v>1430.8257000000001</v>
      </c>
      <c r="AD150">
        <f ca="1">IFERROR(IF(0=LEN(ReferenceData!$AD$150),"",ReferenceData!$AD$150),"")</f>
        <v>1472.922683</v>
      </c>
      <c r="AE150">
        <f ca="1">IFERROR(IF(0=LEN(ReferenceData!$AE$150),"",ReferenceData!$AE$150),"")</f>
        <v>1498.1385439999999</v>
      </c>
      <c r="AF150">
        <f ca="1">IFERROR(IF(0=LEN(ReferenceData!$AF$150),"",ReferenceData!$AF$150),"")</f>
        <v>1453.1682760000001</v>
      </c>
      <c r="AG150">
        <f ca="1">IFERROR(IF(0=LEN(ReferenceData!$AG$150),"",ReferenceData!$AG$150),"")</f>
        <v>1550.3517469999999</v>
      </c>
      <c r="AH150">
        <f ca="1">IFERROR(IF(0=LEN(ReferenceData!$AH$150),"",ReferenceData!$AH$150),"")</f>
        <v>1526.8135689999999</v>
      </c>
      <c r="AI150">
        <f ca="1">IFERROR(IF(0=LEN(ReferenceData!$AI$150),"",ReferenceData!$AI$150),"")</f>
        <v>1571.3758479999999</v>
      </c>
      <c r="AJ150">
        <f ca="1">IFERROR(IF(0=LEN(ReferenceData!$AJ$150),"",ReferenceData!$AJ$150),"")</f>
        <v>1599.6278580000001</v>
      </c>
      <c r="AK150">
        <f ca="1">IFERROR(IF(0=LEN(ReferenceData!$AK$150),"",ReferenceData!$AK$150),"")</f>
        <v>1447.0618059999999</v>
      </c>
      <c r="AL150">
        <f ca="1">IFERROR(IF(0=LEN(ReferenceData!$AL$150),"",ReferenceData!$AL$150),"")</f>
        <v>1233.920891</v>
      </c>
      <c r="AM150">
        <f ca="1">IFERROR(IF(0=LEN(ReferenceData!$AM$150),"",ReferenceData!$AM$150),"")</f>
        <v>1299.715005</v>
      </c>
      <c r="AN150">
        <f ca="1">IFERROR(IF(0=LEN(ReferenceData!$AN$150),"",ReferenceData!$AN$150),"")</f>
        <v>1360.255287</v>
      </c>
      <c r="AO150">
        <f ca="1">IFERROR(IF(0=LEN(ReferenceData!$AO$150),"",ReferenceData!$AO$150),"")</f>
        <v>1198.173884</v>
      </c>
      <c r="AP150">
        <f ca="1">IFERROR(IF(0=LEN(ReferenceData!$AP$150),"",ReferenceData!$AP$150),"")</f>
        <v>919.24439310000002</v>
      </c>
      <c r="AQ150">
        <f ca="1">IFERROR(IF(0=LEN(ReferenceData!$AQ$150),"",ReferenceData!$AQ$150),"")</f>
        <v>410.77448500000003</v>
      </c>
      <c r="AR150">
        <f ca="1">IFERROR(IF(0=LEN(ReferenceData!$AR$150),"",ReferenceData!$AR$150),"")</f>
        <v>248.15179330000001</v>
      </c>
      <c r="AS150">
        <f ca="1">IFERROR(IF(0=LEN(ReferenceData!$AS$150),"",ReferenceData!$AS$150),"")</f>
        <v>467.30787559999999</v>
      </c>
      <c r="AT150">
        <f ca="1">IFERROR(IF(0=LEN(ReferenceData!$AT$150),"",ReferenceData!$AT$150),"")</f>
        <v>882.20651229999999</v>
      </c>
      <c r="AU150" t="str">
        <f ca="1">IFERROR(IF(0=LEN(ReferenceData!$AU$150),"",ReferenceData!$AU$150),"")</f>
        <v/>
      </c>
      <c r="AV150" t="str">
        <f ca="1">IFERROR(IF(0=LEN(ReferenceData!$AV$150),"",ReferenceData!$AV$150),"")</f>
        <v/>
      </c>
      <c r="AW150" t="str">
        <f ca="1">IFERROR(IF(0=LEN(ReferenceData!$AW$150),"",ReferenceData!$AW$150),"")</f>
        <v/>
      </c>
      <c r="AX150" t="str">
        <f ca="1">IFERROR(IF(0=LEN(ReferenceData!$AX$150),"",ReferenceData!$AX$150),"")</f>
        <v/>
      </c>
      <c r="AY150" t="str">
        <f ca="1">IFERROR(IF(0=LEN(ReferenceData!$AY$150),"",ReferenceData!$AY$150),"")</f>
        <v/>
      </c>
      <c r="AZ150" t="str">
        <f ca="1">IFERROR(IF(0=LEN(ReferenceData!$AZ$150),"",ReferenceData!$AZ$150),"")</f>
        <v/>
      </c>
      <c r="BA150" t="str">
        <f ca="1">IFERROR(IF(0=LEN(ReferenceData!$BA$150),"",ReferenceData!$BA$150),"")</f>
        <v/>
      </c>
      <c r="BB150" t="str">
        <f ca="1">IFERROR(IF(0=LEN(ReferenceData!$BB$150),"",ReferenceData!$BB$150),"")</f>
        <v/>
      </c>
      <c r="BC150" t="str">
        <f ca="1">IFERROR(IF(0=LEN(ReferenceData!$BC$150),"",ReferenceData!$BC$150),"")</f>
        <v/>
      </c>
      <c r="BD150" t="str">
        <f ca="1">IFERROR(IF(0=LEN(ReferenceData!$BD$150),"",ReferenceData!$BD$150),"")</f>
        <v/>
      </c>
      <c r="BE150" t="str">
        <f ca="1">IFERROR(IF(0=LEN(ReferenceData!$BE$150),"",ReferenceData!$BE$150),"")</f>
        <v/>
      </c>
      <c r="BF150" t="str">
        <f ca="1">IFERROR(IF(0=LEN(ReferenceData!$BF$150),"",ReferenceData!$BF$150),"")</f>
        <v/>
      </c>
      <c r="BG150" t="str">
        <f ca="1">IFERROR(IF(0=LEN(ReferenceData!$BG$150),"",ReferenceData!$BG$150),"")</f>
        <v/>
      </c>
      <c r="BH150" t="str">
        <f ca="1">IFERROR(IF(0=LEN(ReferenceData!$BH$150),"",ReferenceData!$BH$150),"")</f>
        <v/>
      </c>
      <c r="BI150" t="str">
        <f ca="1">IFERROR(IF(0=LEN(ReferenceData!$BI$150),"",ReferenceData!$BI$150),"")</f>
        <v/>
      </c>
      <c r="BJ150" t="str">
        <f ca="1">IFERROR(IF(0=LEN(ReferenceData!$BJ$150),"",ReferenceData!$BJ$150),"")</f>
        <v/>
      </c>
      <c r="BK150" t="str">
        <f ca="1">IFERROR(IF(0=LEN(ReferenceData!$BK$150),"",ReferenceData!$BK$150),"")</f>
        <v/>
      </c>
      <c r="BL150" t="str">
        <f ca="1">IFERROR(IF(0=LEN(ReferenceData!$BL$150),"",ReferenceData!$BL$150),"")</f>
        <v/>
      </c>
      <c r="BM150" t="str">
        <f ca="1">IFERROR(IF(0=LEN(ReferenceData!$BM$150),"",ReferenceData!$BM$150),"")</f>
        <v/>
      </c>
    </row>
    <row r="151" spans="1:65" x14ac:dyDescent="0.25">
      <c r="A151" t="str">
        <f>IFERROR(IF(0=LEN(ReferenceData!$A$151),"",ReferenceData!$A$151),"")</f>
        <v xml:space="preserve">    Nissan Motor Co Ltd</v>
      </c>
      <c r="B151" t="str">
        <f>IFERROR(IF(0=LEN(ReferenceData!$B$151),"",ReferenceData!$B$151),"")</f>
        <v>7201 JP Equity</v>
      </c>
      <c r="C151" t="str">
        <f>IFERROR(IF(0=LEN(ReferenceData!$C$151),"",ReferenceData!$C$151),"")</f>
        <v>RR841</v>
      </c>
      <c r="D151" t="str">
        <f>IFERROR(IF(0=LEN(ReferenceData!$D$151),"",ReferenceData!$D$151),"")</f>
        <v>TRAIL_12M_EBITDA</v>
      </c>
      <c r="E151" t="str">
        <f>IFERROR(IF(0=LEN(ReferenceData!$E$151),"",ReferenceData!$E$151),"")</f>
        <v>Dynamic</v>
      </c>
      <c r="F151" t="str">
        <f ca="1">IFERROR(IF(0=LEN(ReferenceData!$F$151),"",ReferenceData!$F$151),"")</f>
        <v/>
      </c>
      <c r="G151">
        <f ca="1">IFERROR(IF(0=LEN(ReferenceData!$G$151),"",ReferenceData!$G$151),"")</f>
        <v>12944.265579999999</v>
      </c>
      <c r="H151">
        <f ca="1">IFERROR(IF(0=LEN(ReferenceData!$H$151),"",ReferenceData!$H$151),"")</f>
        <v>12791.97417</v>
      </c>
      <c r="I151">
        <f ca="1">IFERROR(IF(0=LEN(ReferenceData!$I$151),"",ReferenceData!$I$151),"")</f>
        <v>13074.808139999999</v>
      </c>
      <c r="J151">
        <f ca="1">IFERROR(IF(0=LEN(ReferenceData!$J$151),"",ReferenceData!$J$151),"")</f>
        <v>13213.744839999999</v>
      </c>
      <c r="K151">
        <f ca="1">IFERROR(IF(0=LEN(ReferenceData!$K$151),"",ReferenceData!$K$151),"")</f>
        <v>13087.707119999999</v>
      </c>
      <c r="L151">
        <f ca="1">IFERROR(IF(0=LEN(ReferenceData!$L$151),"",ReferenceData!$L$151),"")</f>
        <v>13867.93462</v>
      </c>
      <c r="M151">
        <f ca="1">IFERROR(IF(0=LEN(ReferenceData!$M$151),"",ReferenceData!$M$151),"")</f>
        <v>14402.44104</v>
      </c>
      <c r="N151">
        <f ca="1">IFERROR(IF(0=LEN(ReferenceData!$N$151),"",ReferenceData!$N$151),"")</f>
        <v>14646.110269999999</v>
      </c>
      <c r="O151">
        <f ca="1">IFERROR(IF(0=LEN(ReferenceData!$O$151),"",ReferenceData!$O$151),"")</f>
        <v>14320.16863</v>
      </c>
      <c r="P151">
        <f ca="1">IFERROR(IF(0=LEN(ReferenceData!$P$151),"",ReferenceData!$P$151),"")</f>
        <v>14059.989449999999</v>
      </c>
      <c r="Q151">
        <f ca="1">IFERROR(IF(0=LEN(ReferenceData!$Q$151),"",ReferenceData!$Q$151),"")</f>
        <v>13835.622170000001</v>
      </c>
      <c r="R151">
        <f ca="1">IFERROR(IF(0=LEN(ReferenceData!$R$151),"",ReferenceData!$R$151),"")</f>
        <v>13556.71327</v>
      </c>
      <c r="S151">
        <f ca="1">IFERROR(IF(0=LEN(ReferenceData!$S$151),"",ReferenceData!$S$151),"")</f>
        <v>13117.11298</v>
      </c>
      <c r="T151">
        <f ca="1">IFERROR(IF(0=LEN(ReferenceData!$T$151),"",ReferenceData!$T$151),"")</f>
        <v>13097.25913</v>
      </c>
      <c r="U151">
        <f ca="1">IFERROR(IF(0=LEN(ReferenceData!$U$151),"",ReferenceData!$U$151),"")</f>
        <v>12866.343419999999</v>
      </c>
      <c r="V151">
        <f ca="1">IFERROR(IF(0=LEN(ReferenceData!$V$151),"",ReferenceData!$V$151),"")</f>
        <v>12541.623579999999</v>
      </c>
      <c r="W151">
        <f ca="1">IFERROR(IF(0=LEN(ReferenceData!$W$151),"",ReferenceData!$W$151),"")</f>
        <v>13026.53801</v>
      </c>
      <c r="X151">
        <f ca="1">IFERROR(IF(0=LEN(ReferenceData!$X$151),"",ReferenceData!$X$151),"")</f>
        <v>12307.58402</v>
      </c>
      <c r="Y151">
        <f ca="1">IFERROR(IF(0=LEN(ReferenceData!$Y$151),"",ReferenceData!$Y$151),"")</f>
        <v>11979.063169999999</v>
      </c>
      <c r="Z151">
        <f ca="1">IFERROR(IF(0=LEN(ReferenceData!$Z$151),"",ReferenceData!$Z$151),"")</f>
        <v>11739.27325</v>
      </c>
      <c r="AA151">
        <f ca="1">IFERROR(IF(0=LEN(ReferenceData!$AA$151),"",ReferenceData!$AA$151),"")</f>
        <v>11468.444170000001</v>
      </c>
      <c r="AB151">
        <f ca="1">IFERROR(IF(0=LEN(ReferenceData!$AB$151),"",ReferenceData!$AB$151),"")</f>
        <v>11484.80413</v>
      </c>
      <c r="AC151">
        <f ca="1">IFERROR(IF(0=LEN(ReferenceData!$AC$151),"",ReferenceData!$AC$151),"")</f>
        <v>12174.59743</v>
      </c>
      <c r="AD151">
        <f ca="1">IFERROR(IF(0=LEN(ReferenceData!$AD$151),"",ReferenceData!$AD$151),"")</f>
        <v>12203.682280000001</v>
      </c>
      <c r="AE151">
        <f ca="1">IFERROR(IF(0=LEN(ReferenceData!$AE$151),"",ReferenceData!$AE$151),"")</f>
        <v>12032.78392</v>
      </c>
      <c r="AF151">
        <f ca="1">IFERROR(IF(0=LEN(ReferenceData!$AF$151),"",ReferenceData!$AF$151),"")</f>
        <v>12980.327950000001</v>
      </c>
      <c r="AG151">
        <f ca="1">IFERROR(IF(0=LEN(ReferenceData!$AG$151),"",ReferenceData!$AG$151),"")</f>
        <v>13313.50815</v>
      </c>
      <c r="AH151">
        <f ca="1">IFERROR(IF(0=LEN(ReferenceData!$AH$151),"",ReferenceData!$AH$151),"")</f>
        <v>14339.57653</v>
      </c>
      <c r="AI151">
        <f ca="1">IFERROR(IF(0=LEN(ReferenceData!$AI$151),"",ReferenceData!$AI$151),"")</f>
        <v>14041.978080000001</v>
      </c>
      <c r="AJ151">
        <f ca="1">IFERROR(IF(0=LEN(ReferenceData!$AJ$151),"",ReferenceData!$AJ$151),"")</f>
        <v>13946.857330000001</v>
      </c>
      <c r="AK151">
        <f ca="1">IFERROR(IF(0=LEN(ReferenceData!$AK$151),"",ReferenceData!$AK$151),"")</f>
        <v>13899.886399999999</v>
      </c>
      <c r="AL151">
        <f ca="1">IFERROR(IF(0=LEN(ReferenceData!$AL$151),"",ReferenceData!$AL$151),"")</f>
        <v>13757.190570000001</v>
      </c>
      <c r="AM151">
        <f ca="1">IFERROR(IF(0=LEN(ReferenceData!$AM$151),"",ReferenceData!$AM$151),"")</f>
        <v>13277.315199999999</v>
      </c>
      <c r="AN151">
        <f ca="1">IFERROR(IF(0=LEN(ReferenceData!$AN$151),"",ReferenceData!$AN$151),"")</f>
        <v>13286.031989999999</v>
      </c>
      <c r="AO151">
        <f ca="1">IFERROR(IF(0=LEN(ReferenceData!$AO$151),"",ReferenceData!$AO$151),"")</f>
        <v>12253.460440000001</v>
      </c>
      <c r="AP151">
        <f ca="1">IFERROR(IF(0=LEN(ReferenceData!$AP$151),"",ReferenceData!$AP$151),"")</f>
        <v>10554.67805</v>
      </c>
      <c r="AQ151">
        <f ca="1">IFERROR(IF(0=LEN(ReferenceData!$AQ$151),"",ReferenceData!$AQ$151),"")</f>
        <v>7398.2421450000002</v>
      </c>
      <c r="AR151">
        <f ca="1">IFERROR(IF(0=LEN(ReferenceData!$AR$151),"",ReferenceData!$AR$151),"")</f>
        <v>5071.0208350000003</v>
      </c>
      <c r="AS151">
        <f ca="1">IFERROR(IF(0=LEN(ReferenceData!$AS$151),"",ReferenceData!$AS$151),"")</f>
        <v>5493.6006450000004</v>
      </c>
      <c r="AT151">
        <f ca="1">IFERROR(IF(0=LEN(ReferenceData!$AT$151),"",ReferenceData!$AT$151),"")</f>
        <v>6344.1472359999998</v>
      </c>
      <c r="AU151" t="str">
        <f ca="1">IFERROR(IF(0=LEN(ReferenceData!$AU$151),"",ReferenceData!$AU$151),"")</f>
        <v/>
      </c>
      <c r="AV151" t="str">
        <f ca="1">IFERROR(IF(0=LEN(ReferenceData!$AV$151),"",ReferenceData!$AV$151),"")</f>
        <v/>
      </c>
      <c r="AW151" t="str">
        <f ca="1">IFERROR(IF(0=LEN(ReferenceData!$AW$151),"",ReferenceData!$AW$151),"")</f>
        <v/>
      </c>
      <c r="AX151" t="str">
        <f ca="1">IFERROR(IF(0=LEN(ReferenceData!$AX$151),"",ReferenceData!$AX$151),"")</f>
        <v/>
      </c>
      <c r="AY151" t="str">
        <f ca="1">IFERROR(IF(0=LEN(ReferenceData!$AY$151),"",ReferenceData!$AY$151),"")</f>
        <v/>
      </c>
      <c r="AZ151" t="str">
        <f ca="1">IFERROR(IF(0=LEN(ReferenceData!$AZ$151),"",ReferenceData!$AZ$151),"")</f>
        <v/>
      </c>
      <c r="BA151" t="str">
        <f ca="1">IFERROR(IF(0=LEN(ReferenceData!$BA$151),"",ReferenceData!$BA$151),"")</f>
        <v/>
      </c>
      <c r="BB151" t="str">
        <f ca="1">IFERROR(IF(0=LEN(ReferenceData!$BB$151),"",ReferenceData!$BB$151),"")</f>
        <v/>
      </c>
      <c r="BC151" t="str">
        <f ca="1">IFERROR(IF(0=LEN(ReferenceData!$BC$151),"",ReferenceData!$BC$151),"")</f>
        <v/>
      </c>
      <c r="BD151" t="str">
        <f ca="1">IFERROR(IF(0=LEN(ReferenceData!$BD$151),"",ReferenceData!$BD$151),"")</f>
        <v/>
      </c>
      <c r="BE151" t="str">
        <f ca="1">IFERROR(IF(0=LEN(ReferenceData!$BE$151),"",ReferenceData!$BE$151),"")</f>
        <v/>
      </c>
      <c r="BF151" t="str">
        <f ca="1">IFERROR(IF(0=LEN(ReferenceData!$BF$151),"",ReferenceData!$BF$151),"")</f>
        <v/>
      </c>
      <c r="BG151" t="str">
        <f ca="1">IFERROR(IF(0=LEN(ReferenceData!$BG$151),"",ReferenceData!$BG$151),"")</f>
        <v/>
      </c>
      <c r="BH151" t="str">
        <f ca="1">IFERROR(IF(0=LEN(ReferenceData!$BH$151),"",ReferenceData!$BH$151),"")</f>
        <v/>
      </c>
      <c r="BI151" t="str">
        <f ca="1">IFERROR(IF(0=LEN(ReferenceData!$BI$151),"",ReferenceData!$BI$151),"")</f>
        <v/>
      </c>
      <c r="BJ151" t="str">
        <f ca="1">IFERROR(IF(0=LEN(ReferenceData!$BJ$151),"",ReferenceData!$BJ$151),"")</f>
        <v/>
      </c>
      <c r="BK151" t="str">
        <f ca="1">IFERROR(IF(0=LEN(ReferenceData!$BK$151),"",ReferenceData!$BK$151),"")</f>
        <v/>
      </c>
      <c r="BL151" t="str">
        <f ca="1">IFERROR(IF(0=LEN(ReferenceData!$BL$151),"",ReferenceData!$BL$151),"")</f>
        <v/>
      </c>
      <c r="BM151" t="str">
        <f ca="1">IFERROR(IF(0=LEN(ReferenceData!$BM$151),"",ReferenceData!$BM$151),"")</f>
        <v/>
      </c>
    </row>
    <row r="152" spans="1:65" x14ac:dyDescent="0.25">
      <c r="A152" t="str">
        <f>IFERROR(IF(0=LEN(ReferenceData!$A$152),"",ReferenceData!$A$152),"")</f>
        <v xml:space="preserve">    Peugeot SA</v>
      </c>
      <c r="B152" t="str">
        <f>IFERROR(IF(0=LEN(ReferenceData!$B$152),"",ReferenceData!$B$152),"")</f>
        <v>UG FP Equity</v>
      </c>
      <c r="C152" t="str">
        <f>IFERROR(IF(0=LEN(ReferenceData!$C$152),"",ReferenceData!$C$152),"")</f>
        <v>RR841</v>
      </c>
      <c r="D152" t="str">
        <f>IFERROR(IF(0=LEN(ReferenceData!$D$152),"",ReferenceData!$D$152),"")</f>
        <v>TRAIL_12M_EBITDA</v>
      </c>
      <c r="E152" t="str">
        <f>IFERROR(IF(0=LEN(ReferenceData!$E$152),"",ReferenceData!$E$152),"")</f>
        <v>Dynamic</v>
      </c>
      <c r="F152" t="str">
        <f ca="1">IFERROR(IF(0=LEN(ReferenceData!$F$152),"",ReferenceData!$F$152),"")</f>
        <v/>
      </c>
      <c r="G152" t="str">
        <f ca="1">IFERROR(IF(0=LEN(ReferenceData!$G$152),"",ReferenceData!$G$152),"")</f>
        <v/>
      </c>
      <c r="H152" t="str">
        <f ca="1">IFERROR(IF(0=LEN(ReferenceData!$H$152),"",ReferenceData!$H$152),"")</f>
        <v/>
      </c>
      <c r="I152" t="str">
        <f ca="1">IFERROR(IF(0=LEN(ReferenceData!$I$152),"",ReferenceData!$I$152),"")</f>
        <v/>
      </c>
      <c r="J152" t="str">
        <f ca="1">IFERROR(IF(0=LEN(ReferenceData!$J$152),"",ReferenceData!$J$152),"")</f>
        <v/>
      </c>
      <c r="K152" t="str">
        <f ca="1">IFERROR(IF(0=LEN(ReferenceData!$K$152),"",ReferenceData!$K$152),"")</f>
        <v/>
      </c>
      <c r="L152" t="str">
        <f ca="1">IFERROR(IF(0=LEN(ReferenceData!$L$152),"",ReferenceData!$L$152),"")</f>
        <v/>
      </c>
      <c r="M152" t="str">
        <f ca="1">IFERROR(IF(0=LEN(ReferenceData!$M$152),"",ReferenceData!$M$152),"")</f>
        <v/>
      </c>
      <c r="N152" t="str">
        <f ca="1">IFERROR(IF(0=LEN(ReferenceData!$N$152),"",ReferenceData!$N$152),"")</f>
        <v/>
      </c>
      <c r="O152" t="str">
        <f ca="1">IFERROR(IF(0=LEN(ReferenceData!$O$152),"",ReferenceData!$O$152),"")</f>
        <v/>
      </c>
      <c r="P152" t="str">
        <f ca="1">IFERROR(IF(0=LEN(ReferenceData!$P$152),"",ReferenceData!$P$152),"")</f>
        <v/>
      </c>
      <c r="Q152" t="str">
        <f ca="1">IFERROR(IF(0=LEN(ReferenceData!$Q$152),"",ReferenceData!$Q$152),"")</f>
        <v/>
      </c>
      <c r="R152" t="str">
        <f ca="1">IFERROR(IF(0=LEN(ReferenceData!$R$152),"",ReferenceData!$R$152),"")</f>
        <v/>
      </c>
      <c r="S152" t="str">
        <f ca="1">IFERROR(IF(0=LEN(ReferenceData!$S$152),"",ReferenceData!$S$152),"")</f>
        <v/>
      </c>
      <c r="T152" t="str">
        <f ca="1">IFERROR(IF(0=LEN(ReferenceData!$T$152),"",ReferenceData!$T$152),"")</f>
        <v/>
      </c>
      <c r="U152" t="str">
        <f ca="1">IFERROR(IF(0=LEN(ReferenceData!$U$152),"",ReferenceData!$U$152),"")</f>
        <v/>
      </c>
      <c r="V152" t="str">
        <f ca="1">IFERROR(IF(0=LEN(ReferenceData!$V$152),"",ReferenceData!$V$152),"")</f>
        <v/>
      </c>
      <c r="W152" t="str">
        <f ca="1">IFERROR(IF(0=LEN(ReferenceData!$W$152),"",ReferenceData!$W$152),"")</f>
        <v/>
      </c>
      <c r="X152" t="str">
        <f ca="1">IFERROR(IF(0=LEN(ReferenceData!$X$152),"",ReferenceData!$X$152),"")</f>
        <v/>
      </c>
      <c r="Y152" t="str">
        <f ca="1">IFERROR(IF(0=LEN(ReferenceData!$Y$152),"",ReferenceData!$Y$152),"")</f>
        <v/>
      </c>
      <c r="Z152" t="str">
        <f ca="1">IFERROR(IF(0=LEN(ReferenceData!$Z$152),"",ReferenceData!$Z$152),"")</f>
        <v/>
      </c>
      <c r="AA152" t="str">
        <f ca="1">IFERROR(IF(0=LEN(ReferenceData!$AA$152),"",ReferenceData!$AA$152),"")</f>
        <v/>
      </c>
      <c r="AB152" t="str">
        <f ca="1">IFERROR(IF(0=LEN(ReferenceData!$AB$152),"",ReferenceData!$AB$152),"")</f>
        <v/>
      </c>
      <c r="AC152" t="str">
        <f ca="1">IFERROR(IF(0=LEN(ReferenceData!$AC$152),"",ReferenceData!$AC$152),"")</f>
        <v/>
      </c>
      <c r="AD152" t="str">
        <f ca="1">IFERROR(IF(0=LEN(ReferenceData!$AD$152),"",ReferenceData!$AD$152),"")</f>
        <v/>
      </c>
      <c r="AE152" t="str">
        <f ca="1">IFERROR(IF(0=LEN(ReferenceData!$AE$152),"",ReferenceData!$AE$152),"")</f>
        <v/>
      </c>
      <c r="AF152" t="str">
        <f ca="1">IFERROR(IF(0=LEN(ReferenceData!$AF$152),"",ReferenceData!$AF$152),"")</f>
        <v/>
      </c>
      <c r="AG152" t="str">
        <f ca="1">IFERROR(IF(0=LEN(ReferenceData!$AG$152),"",ReferenceData!$AG$152),"")</f>
        <v/>
      </c>
      <c r="AH152" t="str">
        <f ca="1">IFERROR(IF(0=LEN(ReferenceData!$AH$152),"",ReferenceData!$AH$152),"")</f>
        <v/>
      </c>
      <c r="AI152" t="str">
        <f ca="1">IFERROR(IF(0=LEN(ReferenceData!$AI$152),"",ReferenceData!$AI$152),"")</f>
        <v/>
      </c>
      <c r="AJ152" t="str">
        <f ca="1">IFERROR(IF(0=LEN(ReferenceData!$AJ$152),"",ReferenceData!$AJ$152),"")</f>
        <v/>
      </c>
      <c r="AK152" t="str">
        <f ca="1">IFERROR(IF(0=LEN(ReferenceData!$AK$152),"",ReferenceData!$AK$152),"")</f>
        <v/>
      </c>
      <c r="AL152" t="str">
        <f ca="1">IFERROR(IF(0=LEN(ReferenceData!$AL$152),"",ReferenceData!$AL$152),"")</f>
        <v/>
      </c>
      <c r="AM152" t="str">
        <f ca="1">IFERROR(IF(0=LEN(ReferenceData!$AM$152),"",ReferenceData!$AM$152),"")</f>
        <v/>
      </c>
      <c r="AN152" t="str">
        <f ca="1">IFERROR(IF(0=LEN(ReferenceData!$AN$152),"",ReferenceData!$AN$152),"")</f>
        <v/>
      </c>
      <c r="AO152" t="str">
        <f ca="1">IFERROR(IF(0=LEN(ReferenceData!$AO$152),"",ReferenceData!$AO$152),"")</f>
        <v/>
      </c>
      <c r="AP152" t="str">
        <f ca="1">IFERROR(IF(0=LEN(ReferenceData!$AP$152),"",ReferenceData!$AP$152),"")</f>
        <v/>
      </c>
      <c r="AQ152" t="str">
        <f ca="1">IFERROR(IF(0=LEN(ReferenceData!$AQ$152),"",ReferenceData!$AQ$152),"")</f>
        <v/>
      </c>
      <c r="AR152" t="str">
        <f ca="1">IFERROR(IF(0=LEN(ReferenceData!$AR$152),"",ReferenceData!$AR$152),"")</f>
        <v/>
      </c>
      <c r="AS152" t="str">
        <f ca="1">IFERROR(IF(0=LEN(ReferenceData!$AS$152),"",ReferenceData!$AS$152),"")</f>
        <v/>
      </c>
      <c r="AT152" t="str">
        <f ca="1">IFERROR(IF(0=LEN(ReferenceData!$AT$152),"",ReferenceData!$AT$152),"")</f>
        <v/>
      </c>
      <c r="AU152" t="str">
        <f ca="1">IFERROR(IF(0=LEN(ReferenceData!$AU$152),"",ReferenceData!$AU$152),"")</f>
        <v/>
      </c>
      <c r="AV152" t="str">
        <f ca="1">IFERROR(IF(0=LEN(ReferenceData!$AV$152),"",ReferenceData!$AV$152),"")</f>
        <v/>
      </c>
      <c r="AW152" t="str">
        <f ca="1">IFERROR(IF(0=LEN(ReferenceData!$AW$152),"",ReferenceData!$AW$152),"")</f>
        <v/>
      </c>
      <c r="AX152" t="str">
        <f ca="1">IFERROR(IF(0=LEN(ReferenceData!$AX$152),"",ReferenceData!$AX$152),"")</f>
        <v/>
      </c>
      <c r="AY152" t="str">
        <f ca="1">IFERROR(IF(0=LEN(ReferenceData!$AY$152),"",ReferenceData!$AY$152),"")</f>
        <v/>
      </c>
      <c r="AZ152" t="str">
        <f ca="1">IFERROR(IF(0=LEN(ReferenceData!$AZ$152),"",ReferenceData!$AZ$152),"")</f>
        <v/>
      </c>
      <c r="BA152" t="str">
        <f ca="1">IFERROR(IF(0=LEN(ReferenceData!$BA$152),"",ReferenceData!$BA$152),"")</f>
        <v/>
      </c>
      <c r="BB152" t="str">
        <f ca="1">IFERROR(IF(0=LEN(ReferenceData!$BB$152),"",ReferenceData!$BB$152),"")</f>
        <v/>
      </c>
      <c r="BC152" t="str">
        <f ca="1">IFERROR(IF(0=LEN(ReferenceData!$BC$152),"",ReferenceData!$BC$152),"")</f>
        <v/>
      </c>
      <c r="BD152" t="str">
        <f ca="1">IFERROR(IF(0=LEN(ReferenceData!$BD$152),"",ReferenceData!$BD$152),"")</f>
        <v/>
      </c>
      <c r="BE152" t="str">
        <f ca="1">IFERROR(IF(0=LEN(ReferenceData!$BE$152),"",ReferenceData!$BE$152),"")</f>
        <v/>
      </c>
      <c r="BF152" t="str">
        <f ca="1">IFERROR(IF(0=LEN(ReferenceData!$BF$152),"",ReferenceData!$BF$152),"")</f>
        <v/>
      </c>
      <c r="BG152" t="str">
        <f ca="1">IFERROR(IF(0=LEN(ReferenceData!$BG$152),"",ReferenceData!$BG$152),"")</f>
        <v/>
      </c>
      <c r="BH152" t="str">
        <f ca="1">IFERROR(IF(0=LEN(ReferenceData!$BH$152),"",ReferenceData!$BH$152),"")</f>
        <v/>
      </c>
      <c r="BI152" t="str">
        <f ca="1">IFERROR(IF(0=LEN(ReferenceData!$BI$152),"",ReferenceData!$BI$152),"")</f>
        <v/>
      </c>
      <c r="BJ152" t="str">
        <f ca="1">IFERROR(IF(0=LEN(ReferenceData!$BJ$152),"",ReferenceData!$BJ$152),"")</f>
        <v/>
      </c>
      <c r="BK152" t="str">
        <f ca="1">IFERROR(IF(0=LEN(ReferenceData!$BK$152),"",ReferenceData!$BK$152),"")</f>
        <v/>
      </c>
      <c r="BL152" t="str">
        <f ca="1">IFERROR(IF(0=LEN(ReferenceData!$BL$152),"",ReferenceData!$BL$152),"")</f>
        <v/>
      </c>
      <c r="BM152" t="str">
        <f ca="1">IFERROR(IF(0=LEN(ReferenceData!$BM$152),"",ReferenceData!$BM$152),"")</f>
        <v/>
      </c>
    </row>
    <row r="153" spans="1:65" x14ac:dyDescent="0.25">
      <c r="A153" t="str">
        <f>IFERROR(IF(0=LEN(ReferenceData!$A$153),"",ReferenceData!$A$153),"")</f>
        <v xml:space="preserve">    Renault SA</v>
      </c>
      <c r="B153" t="str">
        <f>IFERROR(IF(0=LEN(ReferenceData!$B$153),"",ReferenceData!$B$153),"")</f>
        <v>RNO FP Equity</v>
      </c>
      <c r="C153" t="str">
        <f>IFERROR(IF(0=LEN(ReferenceData!$C$153),"",ReferenceData!$C$153),"")</f>
        <v>RR841</v>
      </c>
      <c r="D153" t="str">
        <f>IFERROR(IF(0=LEN(ReferenceData!$D$153),"",ReferenceData!$D$153),"")</f>
        <v>TRAIL_12M_EBITDA</v>
      </c>
      <c r="E153" t="str">
        <f>IFERROR(IF(0=LEN(ReferenceData!$E$153),"",ReferenceData!$E$153),"")</f>
        <v>Dynamic</v>
      </c>
      <c r="F153" t="str">
        <f ca="1">IFERROR(IF(0=LEN(ReferenceData!$F$153),"",ReferenceData!$F$153),"")</f>
        <v/>
      </c>
      <c r="G153" t="str">
        <f ca="1">IFERROR(IF(0=LEN(ReferenceData!$G$153),"",ReferenceData!$G$153),"")</f>
        <v/>
      </c>
      <c r="H153" t="str">
        <f ca="1">IFERROR(IF(0=LEN(ReferenceData!$H$153),"",ReferenceData!$H$153),"")</f>
        <v/>
      </c>
      <c r="I153" t="str">
        <f ca="1">IFERROR(IF(0=LEN(ReferenceData!$I$153),"",ReferenceData!$I$153),"")</f>
        <v/>
      </c>
      <c r="J153" t="str">
        <f ca="1">IFERROR(IF(0=LEN(ReferenceData!$J$153),"",ReferenceData!$J$153),"")</f>
        <v/>
      </c>
      <c r="K153" t="str">
        <f ca="1">IFERROR(IF(0=LEN(ReferenceData!$K$153),"",ReferenceData!$K$153),"")</f>
        <v/>
      </c>
      <c r="L153" t="str">
        <f ca="1">IFERROR(IF(0=LEN(ReferenceData!$L$153),"",ReferenceData!$L$153),"")</f>
        <v/>
      </c>
      <c r="M153" t="str">
        <f ca="1">IFERROR(IF(0=LEN(ReferenceData!$M$153),"",ReferenceData!$M$153),"")</f>
        <v/>
      </c>
      <c r="N153" t="str">
        <f ca="1">IFERROR(IF(0=LEN(ReferenceData!$N$153),"",ReferenceData!$N$153),"")</f>
        <v/>
      </c>
      <c r="O153" t="str">
        <f ca="1">IFERROR(IF(0=LEN(ReferenceData!$O$153),"",ReferenceData!$O$153),"")</f>
        <v/>
      </c>
      <c r="P153" t="str">
        <f ca="1">IFERROR(IF(0=LEN(ReferenceData!$P$153),"",ReferenceData!$P$153),"")</f>
        <v/>
      </c>
      <c r="Q153" t="str">
        <f ca="1">IFERROR(IF(0=LEN(ReferenceData!$Q$153),"",ReferenceData!$Q$153),"")</f>
        <v/>
      </c>
      <c r="R153" t="str">
        <f ca="1">IFERROR(IF(0=LEN(ReferenceData!$R$153),"",ReferenceData!$R$153),"")</f>
        <v/>
      </c>
      <c r="S153" t="str">
        <f ca="1">IFERROR(IF(0=LEN(ReferenceData!$S$153),"",ReferenceData!$S$153),"")</f>
        <v/>
      </c>
      <c r="T153" t="str">
        <f ca="1">IFERROR(IF(0=LEN(ReferenceData!$T$153),"",ReferenceData!$T$153),"")</f>
        <v/>
      </c>
      <c r="U153" t="str">
        <f ca="1">IFERROR(IF(0=LEN(ReferenceData!$U$153),"",ReferenceData!$U$153),"")</f>
        <v/>
      </c>
      <c r="V153" t="str">
        <f ca="1">IFERROR(IF(0=LEN(ReferenceData!$V$153),"",ReferenceData!$V$153),"")</f>
        <v/>
      </c>
      <c r="W153" t="str">
        <f ca="1">IFERROR(IF(0=LEN(ReferenceData!$W$153),"",ReferenceData!$W$153),"")</f>
        <v/>
      </c>
      <c r="X153" t="str">
        <f ca="1">IFERROR(IF(0=LEN(ReferenceData!$X$153),"",ReferenceData!$X$153),"")</f>
        <v/>
      </c>
      <c r="Y153" t="str">
        <f ca="1">IFERROR(IF(0=LEN(ReferenceData!$Y$153),"",ReferenceData!$Y$153),"")</f>
        <v/>
      </c>
      <c r="Z153" t="str">
        <f ca="1">IFERROR(IF(0=LEN(ReferenceData!$Z$153),"",ReferenceData!$Z$153),"")</f>
        <v/>
      </c>
      <c r="AA153" t="str">
        <f ca="1">IFERROR(IF(0=LEN(ReferenceData!$AA$153),"",ReferenceData!$AA$153),"")</f>
        <v/>
      </c>
      <c r="AB153" t="str">
        <f ca="1">IFERROR(IF(0=LEN(ReferenceData!$AB$153),"",ReferenceData!$AB$153),"")</f>
        <v/>
      </c>
      <c r="AC153" t="str">
        <f ca="1">IFERROR(IF(0=LEN(ReferenceData!$AC$153),"",ReferenceData!$AC$153),"")</f>
        <v/>
      </c>
      <c r="AD153" t="str">
        <f ca="1">IFERROR(IF(0=LEN(ReferenceData!$AD$153),"",ReferenceData!$AD$153),"")</f>
        <v/>
      </c>
      <c r="AE153" t="str">
        <f ca="1">IFERROR(IF(0=LEN(ReferenceData!$AE$153),"",ReferenceData!$AE$153),"")</f>
        <v/>
      </c>
      <c r="AF153" t="str">
        <f ca="1">IFERROR(IF(0=LEN(ReferenceData!$AF$153),"",ReferenceData!$AF$153),"")</f>
        <v/>
      </c>
      <c r="AG153" t="str">
        <f ca="1">IFERROR(IF(0=LEN(ReferenceData!$AG$153),"",ReferenceData!$AG$153),"")</f>
        <v/>
      </c>
      <c r="AH153" t="str">
        <f ca="1">IFERROR(IF(0=LEN(ReferenceData!$AH$153),"",ReferenceData!$AH$153),"")</f>
        <v/>
      </c>
      <c r="AI153" t="str">
        <f ca="1">IFERROR(IF(0=LEN(ReferenceData!$AI$153),"",ReferenceData!$AI$153),"")</f>
        <v/>
      </c>
      <c r="AJ153" t="str">
        <f ca="1">IFERROR(IF(0=LEN(ReferenceData!$AJ$153),"",ReferenceData!$AJ$153),"")</f>
        <v/>
      </c>
      <c r="AK153" t="str">
        <f ca="1">IFERROR(IF(0=LEN(ReferenceData!$AK$153),"",ReferenceData!$AK$153),"")</f>
        <v/>
      </c>
      <c r="AL153" t="str">
        <f ca="1">IFERROR(IF(0=LEN(ReferenceData!$AL$153),"",ReferenceData!$AL$153),"")</f>
        <v/>
      </c>
      <c r="AM153" t="str">
        <f ca="1">IFERROR(IF(0=LEN(ReferenceData!$AM$153),"",ReferenceData!$AM$153),"")</f>
        <v/>
      </c>
      <c r="AN153" t="str">
        <f ca="1">IFERROR(IF(0=LEN(ReferenceData!$AN$153),"",ReferenceData!$AN$153),"")</f>
        <v/>
      </c>
      <c r="AO153" t="str">
        <f ca="1">IFERROR(IF(0=LEN(ReferenceData!$AO$153),"",ReferenceData!$AO$153),"")</f>
        <v/>
      </c>
      <c r="AP153" t="str">
        <f ca="1">IFERROR(IF(0=LEN(ReferenceData!$AP$153),"",ReferenceData!$AP$153),"")</f>
        <v/>
      </c>
      <c r="AQ153" t="str">
        <f ca="1">IFERROR(IF(0=LEN(ReferenceData!$AQ$153),"",ReferenceData!$AQ$153),"")</f>
        <v/>
      </c>
      <c r="AR153" t="str">
        <f ca="1">IFERROR(IF(0=LEN(ReferenceData!$AR$153),"",ReferenceData!$AR$153),"")</f>
        <v/>
      </c>
      <c r="AS153" t="str">
        <f ca="1">IFERROR(IF(0=LEN(ReferenceData!$AS$153),"",ReferenceData!$AS$153),"")</f>
        <v/>
      </c>
      <c r="AT153" t="str">
        <f ca="1">IFERROR(IF(0=LEN(ReferenceData!$AT$153),"",ReferenceData!$AT$153),"")</f>
        <v/>
      </c>
      <c r="AU153" t="str">
        <f ca="1">IFERROR(IF(0=LEN(ReferenceData!$AU$153),"",ReferenceData!$AU$153),"")</f>
        <v/>
      </c>
      <c r="AV153" t="str">
        <f ca="1">IFERROR(IF(0=LEN(ReferenceData!$AV$153),"",ReferenceData!$AV$153),"")</f>
        <v/>
      </c>
      <c r="AW153" t="str">
        <f ca="1">IFERROR(IF(0=LEN(ReferenceData!$AW$153),"",ReferenceData!$AW$153),"")</f>
        <v/>
      </c>
      <c r="AX153" t="str">
        <f ca="1">IFERROR(IF(0=LEN(ReferenceData!$AX$153),"",ReferenceData!$AX$153),"")</f>
        <v/>
      </c>
      <c r="AY153" t="str">
        <f ca="1">IFERROR(IF(0=LEN(ReferenceData!$AY$153),"",ReferenceData!$AY$153),"")</f>
        <v/>
      </c>
      <c r="AZ153" t="str">
        <f ca="1">IFERROR(IF(0=LEN(ReferenceData!$AZ$153),"",ReferenceData!$AZ$153),"")</f>
        <v/>
      </c>
      <c r="BA153" t="str">
        <f ca="1">IFERROR(IF(0=LEN(ReferenceData!$BA$153),"",ReferenceData!$BA$153),"")</f>
        <v/>
      </c>
      <c r="BB153" t="str">
        <f ca="1">IFERROR(IF(0=LEN(ReferenceData!$BB$153),"",ReferenceData!$BB$153),"")</f>
        <v/>
      </c>
      <c r="BC153" t="str">
        <f ca="1">IFERROR(IF(0=LEN(ReferenceData!$BC$153),"",ReferenceData!$BC$153),"")</f>
        <v/>
      </c>
      <c r="BD153" t="str">
        <f ca="1">IFERROR(IF(0=LEN(ReferenceData!$BD$153),"",ReferenceData!$BD$153),"")</f>
        <v/>
      </c>
      <c r="BE153" t="str">
        <f ca="1">IFERROR(IF(0=LEN(ReferenceData!$BE$153),"",ReferenceData!$BE$153),"")</f>
        <v/>
      </c>
      <c r="BF153" t="str">
        <f ca="1">IFERROR(IF(0=LEN(ReferenceData!$BF$153),"",ReferenceData!$BF$153),"")</f>
        <v/>
      </c>
      <c r="BG153" t="str">
        <f ca="1">IFERROR(IF(0=LEN(ReferenceData!$BG$153),"",ReferenceData!$BG$153),"")</f>
        <v/>
      </c>
      <c r="BH153" t="str">
        <f ca="1">IFERROR(IF(0=LEN(ReferenceData!$BH$153),"",ReferenceData!$BH$153),"")</f>
        <v/>
      </c>
      <c r="BI153" t="str">
        <f ca="1">IFERROR(IF(0=LEN(ReferenceData!$BI$153),"",ReferenceData!$BI$153),"")</f>
        <v/>
      </c>
      <c r="BJ153" t="str">
        <f ca="1">IFERROR(IF(0=LEN(ReferenceData!$BJ$153),"",ReferenceData!$BJ$153),"")</f>
        <v/>
      </c>
      <c r="BK153" t="str">
        <f ca="1">IFERROR(IF(0=LEN(ReferenceData!$BK$153),"",ReferenceData!$BK$153),"")</f>
        <v/>
      </c>
      <c r="BL153" t="str">
        <f ca="1">IFERROR(IF(0=LEN(ReferenceData!$BL$153),"",ReferenceData!$BL$153),"")</f>
        <v/>
      </c>
      <c r="BM153" t="str">
        <f ca="1">IFERROR(IF(0=LEN(ReferenceData!$BM$153),"",ReferenceData!$BM$153),"")</f>
        <v/>
      </c>
    </row>
    <row r="154" spans="1:65" x14ac:dyDescent="0.25">
      <c r="A154" t="str">
        <f>IFERROR(IF(0=LEN(ReferenceData!$A$154),"",ReferenceData!$A$154),"")</f>
        <v xml:space="preserve">    SAIC Motor Corp Ltd</v>
      </c>
      <c r="B154" t="str">
        <f>IFERROR(IF(0=LEN(ReferenceData!$B$154),"",ReferenceData!$B$154),"")</f>
        <v>600104 CH Equity</v>
      </c>
      <c r="C154" t="str">
        <f>IFERROR(IF(0=LEN(ReferenceData!$C$154),"",ReferenceData!$C$154),"")</f>
        <v>RR841</v>
      </c>
      <c r="D154" t="str">
        <f>IFERROR(IF(0=LEN(ReferenceData!$D$154),"",ReferenceData!$D$154),"")</f>
        <v>TRAIL_12M_EBITDA</v>
      </c>
      <c r="E154" t="str">
        <f>IFERROR(IF(0=LEN(ReferenceData!$E$154),"",ReferenceData!$E$154),"")</f>
        <v>Dynamic</v>
      </c>
      <c r="F154" t="str">
        <f ca="1">IFERROR(IF(0=LEN(ReferenceData!$F$154),"",ReferenceData!$F$154),"")</f>
        <v/>
      </c>
      <c r="G154" t="str">
        <f ca="1">IFERROR(IF(0=LEN(ReferenceData!$G$154),"",ReferenceData!$G$154),"")</f>
        <v/>
      </c>
      <c r="H154" t="str">
        <f ca="1">IFERROR(IF(0=LEN(ReferenceData!$H$154),"",ReferenceData!$H$154),"")</f>
        <v/>
      </c>
      <c r="I154" t="str">
        <f ca="1">IFERROR(IF(0=LEN(ReferenceData!$I$154),"",ReferenceData!$I$154),"")</f>
        <v/>
      </c>
      <c r="J154" t="str">
        <f ca="1">IFERROR(IF(0=LEN(ReferenceData!$J$154),"",ReferenceData!$J$154),"")</f>
        <v/>
      </c>
      <c r="K154" t="str">
        <f ca="1">IFERROR(IF(0=LEN(ReferenceData!$K$154),"",ReferenceData!$K$154),"")</f>
        <v/>
      </c>
      <c r="L154" t="str">
        <f ca="1">IFERROR(IF(0=LEN(ReferenceData!$L$154),"",ReferenceData!$L$154),"")</f>
        <v/>
      </c>
      <c r="M154" t="str">
        <f ca="1">IFERROR(IF(0=LEN(ReferenceData!$M$154),"",ReferenceData!$M$154),"")</f>
        <v/>
      </c>
      <c r="N154" t="str">
        <f ca="1">IFERROR(IF(0=LEN(ReferenceData!$N$154),"",ReferenceData!$N$154),"")</f>
        <v/>
      </c>
      <c r="O154" t="str">
        <f ca="1">IFERROR(IF(0=LEN(ReferenceData!$O$154),"",ReferenceData!$O$154),"")</f>
        <v/>
      </c>
      <c r="P154" t="str">
        <f ca="1">IFERROR(IF(0=LEN(ReferenceData!$P$154),"",ReferenceData!$P$154),"")</f>
        <v/>
      </c>
      <c r="Q154" t="str">
        <f ca="1">IFERROR(IF(0=LEN(ReferenceData!$Q$154),"",ReferenceData!$Q$154),"")</f>
        <v/>
      </c>
      <c r="R154" t="str">
        <f ca="1">IFERROR(IF(0=LEN(ReferenceData!$R$154),"",ReferenceData!$R$154),"")</f>
        <v/>
      </c>
      <c r="S154" t="str">
        <f ca="1">IFERROR(IF(0=LEN(ReferenceData!$S$154),"",ReferenceData!$S$154),"")</f>
        <v/>
      </c>
      <c r="T154" t="str">
        <f ca="1">IFERROR(IF(0=LEN(ReferenceData!$T$154),"",ReferenceData!$T$154),"")</f>
        <v/>
      </c>
      <c r="U154" t="str">
        <f ca="1">IFERROR(IF(0=LEN(ReferenceData!$U$154),"",ReferenceData!$U$154),"")</f>
        <v/>
      </c>
      <c r="V154" t="str">
        <f ca="1">IFERROR(IF(0=LEN(ReferenceData!$V$154),"",ReferenceData!$V$154),"")</f>
        <v/>
      </c>
      <c r="W154" t="str">
        <f ca="1">IFERROR(IF(0=LEN(ReferenceData!$W$154),"",ReferenceData!$W$154),"")</f>
        <v/>
      </c>
      <c r="X154" t="str">
        <f ca="1">IFERROR(IF(0=LEN(ReferenceData!$X$154),"",ReferenceData!$X$154),"")</f>
        <v/>
      </c>
      <c r="Y154" t="str">
        <f ca="1">IFERROR(IF(0=LEN(ReferenceData!$Y$154),"",ReferenceData!$Y$154),"")</f>
        <v/>
      </c>
      <c r="Z154" t="str">
        <f ca="1">IFERROR(IF(0=LEN(ReferenceData!$Z$154),"",ReferenceData!$Z$154),"")</f>
        <v/>
      </c>
      <c r="AA154" t="str">
        <f ca="1">IFERROR(IF(0=LEN(ReferenceData!$AA$154),"",ReferenceData!$AA$154),"")</f>
        <v/>
      </c>
      <c r="AB154" t="str">
        <f ca="1">IFERROR(IF(0=LEN(ReferenceData!$AB$154),"",ReferenceData!$AB$154),"")</f>
        <v/>
      </c>
      <c r="AC154" t="str">
        <f ca="1">IFERROR(IF(0=LEN(ReferenceData!$AC$154),"",ReferenceData!$AC$154),"")</f>
        <v/>
      </c>
      <c r="AD154" t="str">
        <f ca="1">IFERROR(IF(0=LEN(ReferenceData!$AD$154),"",ReferenceData!$AD$154),"")</f>
        <v/>
      </c>
      <c r="AE154" t="str">
        <f ca="1">IFERROR(IF(0=LEN(ReferenceData!$AE$154),"",ReferenceData!$AE$154),"")</f>
        <v/>
      </c>
      <c r="AF154" t="str">
        <f ca="1">IFERROR(IF(0=LEN(ReferenceData!$AF$154),"",ReferenceData!$AF$154),"")</f>
        <v/>
      </c>
      <c r="AG154" t="str">
        <f ca="1">IFERROR(IF(0=LEN(ReferenceData!$AG$154),"",ReferenceData!$AG$154),"")</f>
        <v/>
      </c>
      <c r="AH154" t="str">
        <f ca="1">IFERROR(IF(0=LEN(ReferenceData!$AH$154),"",ReferenceData!$AH$154),"")</f>
        <v/>
      </c>
      <c r="AI154" t="str">
        <f ca="1">IFERROR(IF(0=LEN(ReferenceData!$AI$154),"",ReferenceData!$AI$154),"")</f>
        <v/>
      </c>
      <c r="AJ154" t="str">
        <f ca="1">IFERROR(IF(0=LEN(ReferenceData!$AJ$154),"",ReferenceData!$AJ$154),"")</f>
        <v/>
      </c>
      <c r="AK154" t="str">
        <f ca="1">IFERROR(IF(0=LEN(ReferenceData!$AK$154),"",ReferenceData!$AK$154),"")</f>
        <v/>
      </c>
      <c r="AL154" t="str">
        <f ca="1">IFERROR(IF(0=LEN(ReferenceData!$AL$154),"",ReferenceData!$AL$154),"")</f>
        <v/>
      </c>
      <c r="AM154" t="str">
        <f ca="1">IFERROR(IF(0=LEN(ReferenceData!$AM$154),"",ReferenceData!$AM$154),"")</f>
        <v/>
      </c>
      <c r="AN154" t="str">
        <f ca="1">IFERROR(IF(0=LEN(ReferenceData!$AN$154),"",ReferenceData!$AN$154),"")</f>
        <v/>
      </c>
      <c r="AO154" t="str">
        <f ca="1">IFERROR(IF(0=LEN(ReferenceData!$AO$154),"",ReferenceData!$AO$154),"")</f>
        <v/>
      </c>
      <c r="AP154" t="str">
        <f ca="1">IFERROR(IF(0=LEN(ReferenceData!$AP$154),"",ReferenceData!$AP$154),"")</f>
        <v/>
      </c>
      <c r="AQ154" t="str">
        <f ca="1">IFERROR(IF(0=LEN(ReferenceData!$AQ$154),"",ReferenceData!$AQ$154),"")</f>
        <v/>
      </c>
      <c r="AR154" t="str">
        <f ca="1">IFERROR(IF(0=LEN(ReferenceData!$AR$154),"",ReferenceData!$AR$154),"")</f>
        <v/>
      </c>
      <c r="AS154" t="str">
        <f ca="1">IFERROR(IF(0=LEN(ReferenceData!$AS$154),"",ReferenceData!$AS$154),"")</f>
        <v/>
      </c>
      <c r="AT154" t="str">
        <f ca="1">IFERROR(IF(0=LEN(ReferenceData!$AT$154),"",ReferenceData!$AT$154),"")</f>
        <v/>
      </c>
      <c r="AU154" t="str">
        <f ca="1">IFERROR(IF(0=LEN(ReferenceData!$AU$154),"",ReferenceData!$AU$154),"")</f>
        <v/>
      </c>
      <c r="AV154" t="str">
        <f ca="1">IFERROR(IF(0=LEN(ReferenceData!$AV$154),"",ReferenceData!$AV$154),"")</f>
        <v/>
      </c>
      <c r="AW154" t="str">
        <f ca="1">IFERROR(IF(0=LEN(ReferenceData!$AW$154),"",ReferenceData!$AW$154),"")</f>
        <v/>
      </c>
      <c r="AX154" t="str">
        <f ca="1">IFERROR(IF(0=LEN(ReferenceData!$AX$154),"",ReferenceData!$AX$154),"")</f>
        <v/>
      </c>
      <c r="AY154" t="str">
        <f ca="1">IFERROR(IF(0=LEN(ReferenceData!$AY$154),"",ReferenceData!$AY$154),"")</f>
        <v/>
      </c>
      <c r="AZ154" t="str">
        <f ca="1">IFERROR(IF(0=LEN(ReferenceData!$AZ$154),"",ReferenceData!$AZ$154),"")</f>
        <v/>
      </c>
      <c r="BA154" t="str">
        <f ca="1">IFERROR(IF(0=LEN(ReferenceData!$BA$154),"",ReferenceData!$BA$154),"")</f>
        <v/>
      </c>
      <c r="BB154" t="str">
        <f ca="1">IFERROR(IF(0=LEN(ReferenceData!$BB$154),"",ReferenceData!$BB$154),"")</f>
        <v/>
      </c>
      <c r="BC154" t="str">
        <f ca="1">IFERROR(IF(0=LEN(ReferenceData!$BC$154),"",ReferenceData!$BC$154),"")</f>
        <v/>
      </c>
      <c r="BD154" t="str">
        <f ca="1">IFERROR(IF(0=LEN(ReferenceData!$BD$154),"",ReferenceData!$BD$154),"")</f>
        <v/>
      </c>
      <c r="BE154" t="str">
        <f ca="1">IFERROR(IF(0=LEN(ReferenceData!$BE$154),"",ReferenceData!$BE$154),"")</f>
        <v/>
      </c>
      <c r="BF154" t="str">
        <f ca="1">IFERROR(IF(0=LEN(ReferenceData!$BF$154),"",ReferenceData!$BF$154),"")</f>
        <v/>
      </c>
      <c r="BG154">
        <f ca="1">IFERROR(IF(0=LEN(ReferenceData!$BG$154),"",ReferenceData!$BG$154),"")</f>
        <v>80.511726969999998</v>
      </c>
      <c r="BH154">
        <f ca="1">IFERROR(IF(0=LEN(ReferenceData!$BH$154),"",ReferenceData!$BH$154),"")</f>
        <v>92.47669818</v>
      </c>
      <c r="BI154">
        <f ca="1">IFERROR(IF(0=LEN(ReferenceData!$BI$154),"",ReferenceData!$BI$154),"")</f>
        <v>101.7870708</v>
      </c>
      <c r="BJ154">
        <f ca="1">IFERROR(IF(0=LEN(ReferenceData!$BJ$154),"",ReferenceData!$BJ$154),"")</f>
        <v>114.0832722</v>
      </c>
      <c r="BK154">
        <f ca="1">IFERROR(IF(0=LEN(ReferenceData!$BK$154),"",ReferenceData!$BK$154),"")</f>
        <v>125.74031170000001</v>
      </c>
      <c r="BL154">
        <f ca="1">IFERROR(IF(0=LEN(ReferenceData!$BL$154),"",ReferenceData!$BL$154),"")</f>
        <v>108.40369</v>
      </c>
      <c r="BM154">
        <f ca="1">IFERROR(IF(0=LEN(ReferenceData!$BM$154),"",ReferenceData!$BM$154),"")</f>
        <v>99.184182550000003</v>
      </c>
    </row>
    <row r="155" spans="1:65" x14ac:dyDescent="0.25">
      <c r="A155" t="str">
        <f>IFERROR(IF(0=LEN(ReferenceData!$A$155),"",ReferenceData!$A$155),"")</f>
        <v xml:space="preserve">    Sanyang Motor Co Ltd</v>
      </c>
      <c r="B155" t="str">
        <f>IFERROR(IF(0=LEN(ReferenceData!$B$155),"",ReferenceData!$B$155),"")</f>
        <v>2206 TT Equity</v>
      </c>
      <c r="C155" t="str">
        <f>IFERROR(IF(0=LEN(ReferenceData!$C$155),"",ReferenceData!$C$155),"")</f>
        <v>RR841</v>
      </c>
      <c r="D155" t="str">
        <f>IFERROR(IF(0=LEN(ReferenceData!$D$155),"",ReferenceData!$D$155),"")</f>
        <v>TRAIL_12M_EBITDA</v>
      </c>
      <c r="E155" t="str">
        <f>IFERROR(IF(0=LEN(ReferenceData!$E$155),"",ReferenceData!$E$155),"")</f>
        <v>Dynamic</v>
      </c>
      <c r="F155" t="str">
        <f ca="1">IFERROR(IF(0=LEN(ReferenceData!$F$155),"",ReferenceData!$F$155),"")</f>
        <v/>
      </c>
      <c r="G155" t="str">
        <f ca="1">IFERROR(IF(0=LEN(ReferenceData!$G$155),"",ReferenceData!$G$155),"")</f>
        <v/>
      </c>
      <c r="H155">
        <f ca="1">IFERROR(IF(0=LEN(ReferenceData!$H$155),"",ReferenceData!$H$155),"")</f>
        <v>42.071687769999997</v>
      </c>
      <c r="I155">
        <f ca="1">IFERROR(IF(0=LEN(ReferenceData!$I$155),"",ReferenceData!$I$155),"")</f>
        <v>46.817475420000001</v>
      </c>
      <c r="J155">
        <f ca="1">IFERROR(IF(0=LEN(ReferenceData!$J$155),"",ReferenceData!$J$155),"")</f>
        <v>53.53795461</v>
      </c>
      <c r="K155">
        <f ca="1">IFERROR(IF(0=LEN(ReferenceData!$K$155),"",ReferenceData!$K$155),"")</f>
        <v>49.80186629</v>
      </c>
      <c r="L155">
        <f ca="1">IFERROR(IF(0=LEN(ReferenceData!$L$155),"",ReferenceData!$L$155),"")</f>
        <v>59.28054539</v>
      </c>
      <c r="M155">
        <f ca="1">IFERROR(IF(0=LEN(ReferenceData!$M$155),"",ReferenceData!$M$155),"")</f>
        <v>57.803440870000003</v>
      </c>
      <c r="N155">
        <f ca="1">IFERROR(IF(0=LEN(ReferenceData!$N$155),"",ReferenceData!$N$155),"")</f>
        <v>52.139955759999999</v>
      </c>
      <c r="O155">
        <f ca="1">IFERROR(IF(0=LEN(ReferenceData!$O$155),"",ReferenceData!$O$155),"")</f>
        <v>45.212447589999996</v>
      </c>
      <c r="P155">
        <f ca="1">IFERROR(IF(0=LEN(ReferenceData!$P$155),"",ReferenceData!$P$155),"")</f>
        <v>22.811787209999999</v>
      </c>
      <c r="Q155">
        <f ca="1">IFERROR(IF(0=LEN(ReferenceData!$Q$155),"",ReferenceData!$Q$155),"")</f>
        <v>23.458497000000001</v>
      </c>
      <c r="R155">
        <f ca="1">IFERROR(IF(0=LEN(ReferenceData!$R$155),"",ReferenceData!$R$155),"")</f>
        <v>19.259814469999998</v>
      </c>
      <c r="S155">
        <f ca="1">IFERROR(IF(0=LEN(ReferenceData!$S$155),"",ReferenceData!$S$155),"")</f>
        <v>20.630110699999999</v>
      </c>
      <c r="T155">
        <f ca="1">IFERROR(IF(0=LEN(ReferenceData!$T$155),"",ReferenceData!$T$155),"")</f>
        <v>30.34743739</v>
      </c>
      <c r="U155">
        <f ca="1">IFERROR(IF(0=LEN(ReferenceData!$U$155),"",ReferenceData!$U$155),"")</f>
        <v>19.822909769999999</v>
      </c>
      <c r="V155">
        <f ca="1">IFERROR(IF(0=LEN(ReferenceData!$V$155),"",ReferenceData!$V$155),"")</f>
        <v>15.55130145</v>
      </c>
      <c r="W155">
        <f ca="1">IFERROR(IF(0=LEN(ReferenceData!$W$155),"",ReferenceData!$W$155),"")</f>
        <v>8.8038298570000002</v>
      </c>
      <c r="X155">
        <f ca="1">IFERROR(IF(0=LEN(ReferenceData!$X$155),"",ReferenceData!$X$155),"")</f>
        <v>3.222471622</v>
      </c>
      <c r="Y155">
        <f ca="1">IFERROR(IF(0=LEN(ReferenceData!$Y$155),"",ReferenceData!$Y$155),"")</f>
        <v>2.7614813159999998</v>
      </c>
      <c r="Z155">
        <f ca="1">IFERROR(IF(0=LEN(ReferenceData!$Z$155),"",ReferenceData!$Z$155),"")</f>
        <v>1.1211676989999999</v>
      </c>
      <c r="AA155">
        <f ca="1">IFERROR(IF(0=LEN(ReferenceData!$AA$155),"",ReferenceData!$AA$155),"")</f>
        <v>10.43551023</v>
      </c>
      <c r="AB155">
        <f ca="1">IFERROR(IF(0=LEN(ReferenceData!$AB$155),"",ReferenceData!$AB$155),"")</f>
        <v>20.834806019999998</v>
      </c>
      <c r="AC155">
        <f ca="1">IFERROR(IF(0=LEN(ReferenceData!$AC$155),"",ReferenceData!$AC$155),"")</f>
        <v>30.60250456</v>
      </c>
      <c r="AD155">
        <f ca="1">IFERROR(IF(0=LEN(ReferenceData!$AD$155),"",ReferenceData!$AD$155),"")</f>
        <v>39.786590109999999</v>
      </c>
      <c r="AE155">
        <f ca="1">IFERROR(IF(0=LEN(ReferenceData!$AE$155),"",ReferenceData!$AE$155),"")</f>
        <v>45.838712780000002</v>
      </c>
      <c r="AF155">
        <f ca="1">IFERROR(IF(0=LEN(ReferenceData!$AF$155),"",ReferenceData!$AF$155),"")</f>
        <v>49.93671543</v>
      </c>
      <c r="AG155">
        <f ca="1">IFERROR(IF(0=LEN(ReferenceData!$AG$155),"",ReferenceData!$AG$155),"")</f>
        <v>62.150187699999996</v>
      </c>
      <c r="AH155">
        <f ca="1">IFERROR(IF(0=LEN(ReferenceData!$AH$155),"",ReferenceData!$AH$155),"")</f>
        <v>74.251740720000001</v>
      </c>
      <c r="AI155">
        <f ca="1">IFERROR(IF(0=LEN(ReferenceData!$AI$155),"",ReferenceData!$AI$155),"")</f>
        <v>86.020852450000007</v>
      </c>
      <c r="AJ155">
        <f ca="1">IFERROR(IF(0=LEN(ReferenceData!$AJ$155),"",ReferenceData!$AJ$155),"")</f>
        <v>90.015026410000004</v>
      </c>
      <c r="AK155">
        <f ca="1">IFERROR(IF(0=LEN(ReferenceData!$AK$155),"",ReferenceData!$AK$155),"")</f>
        <v>81.307412299999996</v>
      </c>
      <c r="AL155">
        <f ca="1">IFERROR(IF(0=LEN(ReferenceData!$AL$155),"",ReferenceData!$AL$155),"")</f>
        <v>70.560922230000003</v>
      </c>
      <c r="AM155">
        <f ca="1">IFERROR(IF(0=LEN(ReferenceData!$AM$155),"",ReferenceData!$AM$155),"")</f>
        <v>61.620652560000003</v>
      </c>
      <c r="AN155">
        <f ca="1">IFERROR(IF(0=LEN(ReferenceData!$AN$155),"",ReferenceData!$AN$155),"")</f>
        <v>70.657570039999996</v>
      </c>
      <c r="AO155">
        <f ca="1">IFERROR(IF(0=LEN(ReferenceData!$AO$155),"",ReferenceData!$AO$155),"")</f>
        <v>74.305411070000005</v>
      </c>
      <c r="AP155">
        <f ca="1">IFERROR(IF(0=LEN(ReferenceData!$AP$155),"",ReferenceData!$AP$155),"")</f>
        <v>68.976366290000001</v>
      </c>
      <c r="AQ155">
        <f ca="1">IFERROR(IF(0=LEN(ReferenceData!$AQ$155),"",ReferenceData!$AQ$155),"")</f>
        <v>47.32507141</v>
      </c>
      <c r="AR155">
        <f ca="1">IFERROR(IF(0=LEN(ReferenceData!$AR$155),"",ReferenceData!$AR$155),"")</f>
        <v>36.106932370000003</v>
      </c>
      <c r="AS155">
        <f ca="1">IFERROR(IF(0=LEN(ReferenceData!$AS$155),"",ReferenceData!$AS$155),"")</f>
        <v>18.510426160000002</v>
      </c>
      <c r="AT155">
        <f ca="1">IFERROR(IF(0=LEN(ReferenceData!$AT$155),"",ReferenceData!$AT$155),"")</f>
        <v>26.997966909999999</v>
      </c>
      <c r="AU155">
        <f ca="1">IFERROR(IF(0=LEN(ReferenceData!$AU$155),"",ReferenceData!$AU$155),"")</f>
        <v>47.590793990000002</v>
      </c>
      <c r="AV155" t="str">
        <f ca="1">IFERROR(IF(0=LEN(ReferenceData!$AV$155),"",ReferenceData!$AV$155),"")</f>
        <v/>
      </c>
      <c r="AW155" t="str">
        <f ca="1">IFERROR(IF(0=LEN(ReferenceData!$AW$155),"",ReferenceData!$AW$155),"")</f>
        <v/>
      </c>
      <c r="AX155" t="str">
        <f ca="1">IFERROR(IF(0=LEN(ReferenceData!$AX$155),"",ReferenceData!$AX$155),"")</f>
        <v/>
      </c>
      <c r="AY155" t="str">
        <f ca="1">IFERROR(IF(0=LEN(ReferenceData!$AY$155),"",ReferenceData!$AY$155),"")</f>
        <v/>
      </c>
      <c r="AZ155" t="str">
        <f ca="1">IFERROR(IF(0=LEN(ReferenceData!$AZ$155),"",ReferenceData!$AZ$155),"")</f>
        <v/>
      </c>
      <c r="BA155" t="str">
        <f ca="1">IFERROR(IF(0=LEN(ReferenceData!$BA$155),"",ReferenceData!$BA$155),"")</f>
        <v/>
      </c>
      <c r="BB155" t="str">
        <f ca="1">IFERROR(IF(0=LEN(ReferenceData!$BB$155),"",ReferenceData!$BB$155),"")</f>
        <v/>
      </c>
      <c r="BC155" t="str">
        <f ca="1">IFERROR(IF(0=LEN(ReferenceData!$BC$155),"",ReferenceData!$BC$155),"")</f>
        <v/>
      </c>
      <c r="BD155" t="str">
        <f ca="1">IFERROR(IF(0=LEN(ReferenceData!$BD$155),"",ReferenceData!$BD$155),"")</f>
        <v/>
      </c>
      <c r="BE155" t="str">
        <f ca="1">IFERROR(IF(0=LEN(ReferenceData!$BE$155),"",ReferenceData!$BE$155),"")</f>
        <v/>
      </c>
      <c r="BF155" t="str">
        <f ca="1">IFERROR(IF(0=LEN(ReferenceData!$BF$155),"",ReferenceData!$BF$155),"")</f>
        <v/>
      </c>
      <c r="BG155" t="str">
        <f ca="1">IFERROR(IF(0=LEN(ReferenceData!$BG$155),"",ReferenceData!$BG$155),"")</f>
        <v/>
      </c>
      <c r="BH155" t="str">
        <f ca="1">IFERROR(IF(0=LEN(ReferenceData!$BH$155),"",ReferenceData!$BH$155),"")</f>
        <v/>
      </c>
      <c r="BI155" t="str">
        <f ca="1">IFERROR(IF(0=LEN(ReferenceData!$BI$155),"",ReferenceData!$BI$155),"")</f>
        <v/>
      </c>
      <c r="BJ155" t="str">
        <f ca="1">IFERROR(IF(0=LEN(ReferenceData!$BJ$155),"",ReferenceData!$BJ$155),"")</f>
        <v/>
      </c>
      <c r="BK155" t="str">
        <f ca="1">IFERROR(IF(0=LEN(ReferenceData!$BK$155),"",ReferenceData!$BK$155),"")</f>
        <v/>
      </c>
      <c r="BL155" t="str">
        <f ca="1">IFERROR(IF(0=LEN(ReferenceData!$BL$155),"",ReferenceData!$BL$155),"")</f>
        <v/>
      </c>
      <c r="BM155" t="str">
        <f ca="1">IFERROR(IF(0=LEN(ReferenceData!$BM$155),"",ReferenceData!$BM$155),"")</f>
        <v/>
      </c>
    </row>
    <row r="156" spans="1:65" x14ac:dyDescent="0.25">
      <c r="A156" t="str">
        <f>IFERROR(IF(0=LEN(ReferenceData!$A$156),"",ReferenceData!$A$156),"")</f>
        <v xml:space="preserve">    Sollers PJSC</v>
      </c>
      <c r="B156" t="str">
        <f>IFERROR(IF(0=LEN(ReferenceData!$B$156),"",ReferenceData!$B$156),"")</f>
        <v>SVAV RM Equity</v>
      </c>
      <c r="C156" t="str">
        <f>IFERROR(IF(0=LEN(ReferenceData!$C$156),"",ReferenceData!$C$156),"")</f>
        <v>RR841</v>
      </c>
      <c r="D156" t="str">
        <f>IFERROR(IF(0=LEN(ReferenceData!$D$156),"",ReferenceData!$D$156),"")</f>
        <v>TRAIL_12M_EBITDA</v>
      </c>
      <c r="E156" t="str">
        <f>IFERROR(IF(0=LEN(ReferenceData!$E$156),"",ReferenceData!$E$156),"")</f>
        <v>Dynamic</v>
      </c>
      <c r="F156" t="str">
        <f ca="1">IFERROR(IF(0=LEN(ReferenceData!$F$156),"",ReferenceData!$F$156),"")</f>
        <v/>
      </c>
      <c r="G156" t="str">
        <f ca="1">IFERROR(IF(0=LEN(ReferenceData!$G$156),"",ReferenceData!$G$156),"")</f>
        <v/>
      </c>
      <c r="H156" t="str">
        <f ca="1">IFERROR(IF(0=LEN(ReferenceData!$H$156),"",ReferenceData!$H$156),"")</f>
        <v/>
      </c>
      <c r="I156" t="str">
        <f ca="1">IFERROR(IF(0=LEN(ReferenceData!$I$156),"",ReferenceData!$I$156),"")</f>
        <v/>
      </c>
      <c r="J156" t="str">
        <f ca="1">IFERROR(IF(0=LEN(ReferenceData!$J$156),"",ReferenceData!$J$156),"")</f>
        <v/>
      </c>
      <c r="K156" t="str">
        <f ca="1">IFERROR(IF(0=LEN(ReferenceData!$K$156),"",ReferenceData!$K$156),"")</f>
        <v/>
      </c>
      <c r="L156" t="str">
        <f ca="1">IFERROR(IF(0=LEN(ReferenceData!$L$156),"",ReferenceData!$L$156),"")</f>
        <v/>
      </c>
      <c r="M156" t="str">
        <f ca="1">IFERROR(IF(0=LEN(ReferenceData!$M$156),"",ReferenceData!$M$156),"")</f>
        <v/>
      </c>
      <c r="N156" t="str">
        <f ca="1">IFERROR(IF(0=LEN(ReferenceData!$N$156),"",ReferenceData!$N$156),"")</f>
        <v/>
      </c>
      <c r="O156" t="str">
        <f ca="1">IFERROR(IF(0=LEN(ReferenceData!$O$156),"",ReferenceData!$O$156),"")</f>
        <v/>
      </c>
      <c r="P156" t="str">
        <f ca="1">IFERROR(IF(0=LEN(ReferenceData!$P$156),"",ReferenceData!$P$156),"")</f>
        <v/>
      </c>
      <c r="Q156" t="str">
        <f ca="1">IFERROR(IF(0=LEN(ReferenceData!$Q$156),"",ReferenceData!$Q$156),"")</f>
        <v/>
      </c>
      <c r="R156" t="str">
        <f ca="1">IFERROR(IF(0=LEN(ReferenceData!$R$156),"",ReferenceData!$R$156),"")</f>
        <v/>
      </c>
      <c r="S156" t="str">
        <f ca="1">IFERROR(IF(0=LEN(ReferenceData!$S$156),"",ReferenceData!$S$156),"")</f>
        <v/>
      </c>
      <c r="T156" t="str">
        <f ca="1">IFERROR(IF(0=LEN(ReferenceData!$T$156),"",ReferenceData!$T$156),"")</f>
        <v/>
      </c>
      <c r="U156" t="str">
        <f ca="1">IFERROR(IF(0=LEN(ReferenceData!$U$156),"",ReferenceData!$U$156),"")</f>
        <v/>
      </c>
      <c r="V156" t="str">
        <f ca="1">IFERROR(IF(0=LEN(ReferenceData!$V$156),"",ReferenceData!$V$156),"")</f>
        <v/>
      </c>
      <c r="W156" t="str">
        <f ca="1">IFERROR(IF(0=LEN(ReferenceData!$W$156),"",ReferenceData!$W$156),"")</f>
        <v/>
      </c>
      <c r="X156" t="str">
        <f ca="1">IFERROR(IF(0=LEN(ReferenceData!$X$156),"",ReferenceData!$X$156),"")</f>
        <v/>
      </c>
      <c r="Y156" t="str">
        <f ca="1">IFERROR(IF(0=LEN(ReferenceData!$Y$156),"",ReferenceData!$Y$156),"")</f>
        <v/>
      </c>
      <c r="Z156" t="str">
        <f ca="1">IFERROR(IF(0=LEN(ReferenceData!$Z$156),"",ReferenceData!$Z$156),"")</f>
        <v/>
      </c>
      <c r="AA156" t="str">
        <f ca="1">IFERROR(IF(0=LEN(ReferenceData!$AA$156),"",ReferenceData!$AA$156),"")</f>
        <v/>
      </c>
      <c r="AB156" t="str">
        <f ca="1">IFERROR(IF(0=LEN(ReferenceData!$AB$156),"",ReferenceData!$AB$156),"")</f>
        <v/>
      </c>
      <c r="AC156" t="str">
        <f ca="1">IFERROR(IF(0=LEN(ReferenceData!$AC$156),"",ReferenceData!$AC$156),"")</f>
        <v/>
      </c>
      <c r="AD156" t="str">
        <f ca="1">IFERROR(IF(0=LEN(ReferenceData!$AD$156),"",ReferenceData!$AD$156),"")</f>
        <v/>
      </c>
      <c r="AE156" t="str">
        <f ca="1">IFERROR(IF(0=LEN(ReferenceData!$AE$156),"",ReferenceData!$AE$156),"")</f>
        <v/>
      </c>
      <c r="AF156" t="str">
        <f ca="1">IFERROR(IF(0=LEN(ReferenceData!$AF$156),"",ReferenceData!$AF$156),"")</f>
        <v/>
      </c>
      <c r="AG156" t="str">
        <f ca="1">IFERROR(IF(0=LEN(ReferenceData!$AG$156),"",ReferenceData!$AG$156),"")</f>
        <v/>
      </c>
      <c r="AH156" t="str">
        <f ca="1">IFERROR(IF(0=LEN(ReferenceData!$AH$156),"",ReferenceData!$AH$156),"")</f>
        <v/>
      </c>
      <c r="AI156" t="str">
        <f ca="1">IFERROR(IF(0=LEN(ReferenceData!$AI$156),"",ReferenceData!$AI$156),"")</f>
        <v/>
      </c>
      <c r="AJ156" t="str">
        <f ca="1">IFERROR(IF(0=LEN(ReferenceData!$AJ$156),"",ReferenceData!$AJ$156),"")</f>
        <v/>
      </c>
      <c r="AK156" t="str">
        <f ca="1">IFERROR(IF(0=LEN(ReferenceData!$AK$156),"",ReferenceData!$AK$156),"")</f>
        <v/>
      </c>
      <c r="AL156" t="str">
        <f ca="1">IFERROR(IF(0=LEN(ReferenceData!$AL$156),"",ReferenceData!$AL$156),"")</f>
        <v/>
      </c>
      <c r="AM156" t="str">
        <f ca="1">IFERROR(IF(0=LEN(ReferenceData!$AM$156),"",ReferenceData!$AM$156),"")</f>
        <v/>
      </c>
      <c r="AN156" t="str">
        <f ca="1">IFERROR(IF(0=LEN(ReferenceData!$AN$156),"",ReferenceData!$AN$156),"")</f>
        <v/>
      </c>
      <c r="AO156" t="str">
        <f ca="1">IFERROR(IF(0=LEN(ReferenceData!$AO$156),"",ReferenceData!$AO$156),"")</f>
        <v/>
      </c>
      <c r="AP156" t="str">
        <f ca="1">IFERROR(IF(0=LEN(ReferenceData!$AP$156),"",ReferenceData!$AP$156),"")</f>
        <v/>
      </c>
      <c r="AQ156" t="str">
        <f ca="1">IFERROR(IF(0=LEN(ReferenceData!$AQ$156),"",ReferenceData!$AQ$156),"")</f>
        <v/>
      </c>
      <c r="AR156" t="str">
        <f ca="1">IFERROR(IF(0=LEN(ReferenceData!$AR$156),"",ReferenceData!$AR$156),"")</f>
        <v/>
      </c>
      <c r="AS156" t="str">
        <f ca="1">IFERROR(IF(0=LEN(ReferenceData!$AS$156),"",ReferenceData!$AS$156),"")</f>
        <v/>
      </c>
      <c r="AT156" t="str">
        <f ca="1">IFERROR(IF(0=LEN(ReferenceData!$AT$156),"",ReferenceData!$AT$156),"")</f>
        <v/>
      </c>
      <c r="AU156" t="str">
        <f ca="1">IFERROR(IF(0=LEN(ReferenceData!$AU$156),"",ReferenceData!$AU$156),"")</f>
        <v/>
      </c>
      <c r="AV156" t="str">
        <f ca="1">IFERROR(IF(0=LEN(ReferenceData!$AV$156),"",ReferenceData!$AV$156),"")</f>
        <v/>
      </c>
      <c r="AW156" t="str">
        <f ca="1">IFERROR(IF(0=LEN(ReferenceData!$AW$156),"",ReferenceData!$AW$156),"")</f>
        <v/>
      </c>
      <c r="AX156" t="str">
        <f ca="1">IFERROR(IF(0=LEN(ReferenceData!$AX$156),"",ReferenceData!$AX$156),"")</f>
        <v/>
      </c>
      <c r="AY156" t="str">
        <f ca="1">IFERROR(IF(0=LEN(ReferenceData!$AY$156),"",ReferenceData!$AY$156),"")</f>
        <v/>
      </c>
      <c r="AZ156" t="str">
        <f ca="1">IFERROR(IF(0=LEN(ReferenceData!$AZ$156),"",ReferenceData!$AZ$156),"")</f>
        <v/>
      </c>
      <c r="BA156" t="str">
        <f ca="1">IFERROR(IF(0=LEN(ReferenceData!$BA$156),"",ReferenceData!$BA$156),"")</f>
        <v/>
      </c>
      <c r="BB156" t="str">
        <f ca="1">IFERROR(IF(0=LEN(ReferenceData!$BB$156),"",ReferenceData!$BB$156),"")</f>
        <v/>
      </c>
      <c r="BC156" t="str">
        <f ca="1">IFERROR(IF(0=LEN(ReferenceData!$BC$156),"",ReferenceData!$BC$156),"")</f>
        <v/>
      </c>
      <c r="BD156" t="str">
        <f ca="1">IFERROR(IF(0=LEN(ReferenceData!$BD$156),"",ReferenceData!$BD$156),"")</f>
        <v/>
      </c>
      <c r="BE156" t="str">
        <f ca="1">IFERROR(IF(0=LEN(ReferenceData!$BE$156),"",ReferenceData!$BE$156),"")</f>
        <v/>
      </c>
      <c r="BF156" t="str">
        <f ca="1">IFERROR(IF(0=LEN(ReferenceData!$BF$156),"",ReferenceData!$BF$156),"")</f>
        <v/>
      </c>
      <c r="BG156" t="str">
        <f ca="1">IFERROR(IF(0=LEN(ReferenceData!$BG$156),"",ReferenceData!$BG$156),"")</f>
        <v/>
      </c>
      <c r="BH156" t="str">
        <f ca="1">IFERROR(IF(0=LEN(ReferenceData!$BH$156),"",ReferenceData!$BH$156),"")</f>
        <v/>
      </c>
      <c r="BI156" t="str">
        <f ca="1">IFERROR(IF(0=LEN(ReferenceData!$BI$156),"",ReferenceData!$BI$156),"")</f>
        <v/>
      </c>
      <c r="BJ156" t="str">
        <f ca="1">IFERROR(IF(0=LEN(ReferenceData!$BJ$156),"",ReferenceData!$BJ$156),"")</f>
        <v/>
      </c>
      <c r="BK156" t="str">
        <f ca="1">IFERROR(IF(0=LEN(ReferenceData!$BK$156),"",ReferenceData!$BK$156),"")</f>
        <v/>
      </c>
      <c r="BL156" t="str">
        <f ca="1">IFERROR(IF(0=LEN(ReferenceData!$BL$156),"",ReferenceData!$BL$156),"")</f>
        <v/>
      </c>
      <c r="BM156" t="str">
        <f ca="1">IFERROR(IF(0=LEN(ReferenceData!$BM$156),"",ReferenceData!$BM$156),"")</f>
        <v/>
      </c>
    </row>
    <row r="157" spans="1:65" x14ac:dyDescent="0.25">
      <c r="A157" t="str">
        <f>IFERROR(IF(0=LEN(ReferenceData!$A$157),"",ReferenceData!$A$157),"")</f>
        <v xml:space="preserve">    Ssangyong Motor Co</v>
      </c>
      <c r="B157" t="str">
        <f>IFERROR(IF(0=LEN(ReferenceData!$B$157),"",ReferenceData!$B$157),"")</f>
        <v>003620 KS Equity</v>
      </c>
      <c r="C157" t="str">
        <f>IFERROR(IF(0=LEN(ReferenceData!$C$157),"",ReferenceData!$C$157),"")</f>
        <v>RR841</v>
      </c>
      <c r="D157" t="str">
        <f>IFERROR(IF(0=LEN(ReferenceData!$D$157),"",ReferenceData!$D$157),"")</f>
        <v>TRAIL_12M_EBITDA</v>
      </c>
      <c r="E157" t="str">
        <f>IFERROR(IF(0=LEN(ReferenceData!$E$157),"",ReferenceData!$E$157),"")</f>
        <v>Dynamic</v>
      </c>
      <c r="F157" t="str">
        <f ca="1">IFERROR(IF(0=LEN(ReferenceData!$F$157),"",ReferenceData!$F$157),"")</f>
        <v/>
      </c>
      <c r="G157" t="str">
        <f ca="1">IFERROR(IF(0=LEN(ReferenceData!$G$157),"",ReferenceData!$G$157),"")</f>
        <v/>
      </c>
      <c r="H157">
        <f ca="1">IFERROR(IF(0=LEN(ReferenceData!$H$157),"",ReferenceData!$H$157),"")</f>
        <v>110.5466242</v>
      </c>
      <c r="I157">
        <f ca="1">IFERROR(IF(0=LEN(ReferenceData!$I$157),"",ReferenceData!$I$157),"")</f>
        <v>109.79602</v>
      </c>
      <c r="J157">
        <f ca="1">IFERROR(IF(0=LEN(ReferenceData!$J$157),"",ReferenceData!$J$157),"")</f>
        <v>102.1540524</v>
      </c>
      <c r="K157">
        <f ca="1">IFERROR(IF(0=LEN(ReferenceData!$K$157),"",ReferenceData!$K$157),"")</f>
        <v>100.5928219</v>
      </c>
      <c r="L157">
        <f ca="1">IFERROR(IF(0=LEN(ReferenceData!$L$157),"",ReferenceData!$L$157),"")</f>
        <v>118.3218425</v>
      </c>
      <c r="M157">
        <f ca="1">IFERROR(IF(0=LEN(ReferenceData!$M$157),"",ReferenceData!$M$157),"")</f>
        <v>118.7225445</v>
      </c>
      <c r="N157">
        <f ca="1">IFERROR(IF(0=LEN(ReferenceData!$N$157),"",ReferenceData!$N$157),"")</f>
        <v>137.56513509999999</v>
      </c>
      <c r="O157">
        <f ca="1">IFERROR(IF(0=LEN(ReferenceData!$O$157),"",ReferenceData!$O$157),"")</f>
        <v>158.53628900000001</v>
      </c>
      <c r="P157">
        <f ca="1">IFERROR(IF(0=LEN(ReferenceData!$P$157),"",ReferenceData!$P$157),"")</f>
        <v>172.13812809999999</v>
      </c>
      <c r="Q157">
        <f ca="1">IFERROR(IF(0=LEN(ReferenceData!$Q$157),"",ReferenceData!$Q$157),"")</f>
        <v>173.45059209999999</v>
      </c>
      <c r="R157">
        <f ca="1">IFERROR(IF(0=LEN(ReferenceData!$R$157),"",ReferenceData!$R$157),"")</f>
        <v>138.31639749999999</v>
      </c>
      <c r="S157">
        <f ca="1">IFERROR(IF(0=LEN(ReferenceData!$S$157),"",ReferenceData!$S$157),"")</f>
        <v>101.34858749999999</v>
      </c>
      <c r="T157">
        <f ca="1">IFERROR(IF(0=LEN(ReferenceData!$T$157),"",ReferenceData!$T$157),"")</f>
        <v>42.206910999999998</v>
      </c>
      <c r="U157">
        <f ca="1">IFERROR(IF(0=LEN(ReferenceData!$U$157),"",ReferenceData!$U$157),"")</f>
        <v>8.2337115989999994</v>
      </c>
      <c r="V157">
        <f ca="1">IFERROR(IF(0=LEN(ReferenceData!$V$157),"",ReferenceData!$V$157),"")</f>
        <v>2.5250140280000002</v>
      </c>
      <c r="W157">
        <f ca="1">IFERROR(IF(0=LEN(ReferenceData!$W$157),"",ReferenceData!$W$157),"")</f>
        <v>27.757703209999999</v>
      </c>
      <c r="X157">
        <f ca="1">IFERROR(IF(0=LEN(ReferenceData!$X$157),"",ReferenceData!$X$157),"")</f>
        <v>71.52336004</v>
      </c>
      <c r="Y157">
        <f ca="1">IFERROR(IF(0=LEN(ReferenceData!$Y$157),"",ReferenceData!$Y$157),"")</f>
        <v>106.8872913</v>
      </c>
      <c r="Z157">
        <f ca="1">IFERROR(IF(0=LEN(ReferenceData!$Z$157),"",ReferenceData!$Z$157),"")</f>
        <v>132.68540350000001</v>
      </c>
      <c r="AA157">
        <f ca="1">IFERROR(IF(0=LEN(ReferenceData!$AA$157),"",ReferenceData!$AA$157),"")</f>
        <v>122.8592392</v>
      </c>
      <c r="AB157">
        <f ca="1">IFERROR(IF(0=LEN(ReferenceData!$AB$157),"",ReferenceData!$AB$157),"")</f>
        <v>91.230152059999995</v>
      </c>
      <c r="AC157">
        <f ca="1">IFERROR(IF(0=LEN(ReferenceData!$AC$157),"",ReferenceData!$AC$157),"")</f>
        <v>74.33800325</v>
      </c>
      <c r="AD157">
        <f ca="1">IFERROR(IF(0=LEN(ReferenceData!$AD$157),"",ReferenceData!$AD$157),"")</f>
        <v>50.193027110000003</v>
      </c>
      <c r="AE157">
        <f ca="1">IFERROR(IF(0=LEN(ReferenceData!$AE$157),"",ReferenceData!$AE$157),"")</f>
        <v>36.197033349999998</v>
      </c>
      <c r="AF157" t="str">
        <f ca="1">IFERROR(IF(0=LEN(ReferenceData!$AF$157),"",ReferenceData!$AF$157),"")</f>
        <v/>
      </c>
      <c r="AG157" t="str">
        <f ca="1">IFERROR(IF(0=LEN(ReferenceData!$AG$157),"",ReferenceData!$AG$157),"")</f>
        <v/>
      </c>
      <c r="AH157" t="str">
        <f ca="1">IFERROR(IF(0=LEN(ReferenceData!$AH$157),"",ReferenceData!$AH$157),"")</f>
        <v/>
      </c>
      <c r="AI157" t="str">
        <f ca="1">IFERROR(IF(0=LEN(ReferenceData!$AI$157),"",ReferenceData!$AI$157),"")</f>
        <v/>
      </c>
      <c r="AJ157" t="str">
        <f ca="1">IFERROR(IF(0=LEN(ReferenceData!$AJ$157),"",ReferenceData!$AJ$157),"")</f>
        <v/>
      </c>
      <c r="AK157" t="str">
        <f ca="1">IFERROR(IF(0=LEN(ReferenceData!$AK$157),"",ReferenceData!$AK$157),"")</f>
        <v/>
      </c>
      <c r="AL157" t="str">
        <f ca="1">IFERROR(IF(0=LEN(ReferenceData!$AL$157),"",ReferenceData!$AL$157),"")</f>
        <v/>
      </c>
      <c r="AM157" t="str">
        <f ca="1">IFERROR(IF(0=LEN(ReferenceData!$AM$157),"",ReferenceData!$AM$157),"")</f>
        <v/>
      </c>
      <c r="AN157" t="str">
        <f ca="1">IFERROR(IF(0=LEN(ReferenceData!$AN$157),"",ReferenceData!$AN$157),"")</f>
        <v/>
      </c>
      <c r="AO157" t="str">
        <f ca="1">IFERROR(IF(0=LEN(ReferenceData!$AO$157),"",ReferenceData!$AO$157),"")</f>
        <v/>
      </c>
      <c r="AP157" t="str">
        <f ca="1">IFERROR(IF(0=LEN(ReferenceData!$AP$157),"",ReferenceData!$AP$157),"")</f>
        <v/>
      </c>
      <c r="AQ157" t="str">
        <f ca="1">IFERROR(IF(0=LEN(ReferenceData!$AQ$157),"",ReferenceData!$AQ$157),"")</f>
        <v/>
      </c>
      <c r="AR157" t="str">
        <f ca="1">IFERROR(IF(0=LEN(ReferenceData!$AR$157),"",ReferenceData!$AR$157),"")</f>
        <v/>
      </c>
      <c r="AS157" t="str">
        <f ca="1">IFERROR(IF(0=LEN(ReferenceData!$AS$157),"",ReferenceData!$AS$157),"")</f>
        <v/>
      </c>
      <c r="AT157" t="str">
        <f ca="1">IFERROR(IF(0=LEN(ReferenceData!$AT$157),"",ReferenceData!$AT$157),"")</f>
        <v/>
      </c>
      <c r="AU157" t="str">
        <f ca="1">IFERROR(IF(0=LEN(ReferenceData!$AU$157),"",ReferenceData!$AU$157),"")</f>
        <v/>
      </c>
      <c r="AV157" t="str">
        <f ca="1">IFERROR(IF(0=LEN(ReferenceData!$AV$157),"",ReferenceData!$AV$157),"")</f>
        <v/>
      </c>
      <c r="AW157" t="str">
        <f ca="1">IFERROR(IF(0=LEN(ReferenceData!$AW$157),"",ReferenceData!$AW$157),"")</f>
        <v/>
      </c>
      <c r="AX157" t="str">
        <f ca="1">IFERROR(IF(0=LEN(ReferenceData!$AX$157),"",ReferenceData!$AX$157),"")</f>
        <v/>
      </c>
      <c r="AY157" t="str">
        <f ca="1">IFERROR(IF(0=LEN(ReferenceData!$AY$157),"",ReferenceData!$AY$157),"")</f>
        <v/>
      </c>
      <c r="AZ157" t="str">
        <f ca="1">IFERROR(IF(0=LEN(ReferenceData!$AZ$157),"",ReferenceData!$AZ$157),"")</f>
        <v/>
      </c>
      <c r="BA157" t="str">
        <f ca="1">IFERROR(IF(0=LEN(ReferenceData!$BA$157),"",ReferenceData!$BA$157),"")</f>
        <v/>
      </c>
      <c r="BB157" t="str">
        <f ca="1">IFERROR(IF(0=LEN(ReferenceData!$BB$157),"",ReferenceData!$BB$157),"")</f>
        <v/>
      </c>
      <c r="BC157" t="str">
        <f ca="1">IFERROR(IF(0=LEN(ReferenceData!$BC$157),"",ReferenceData!$BC$157),"")</f>
        <v/>
      </c>
      <c r="BD157" t="str">
        <f ca="1">IFERROR(IF(0=LEN(ReferenceData!$BD$157),"",ReferenceData!$BD$157),"")</f>
        <v/>
      </c>
      <c r="BE157" t="str">
        <f ca="1">IFERROR(IF(0=LEN(ReferenceData!$BE$157),"",ReferenceData!$BE$157),"")</f>
        <v/>
      </c>
      <c r="BF157" t="str">
        <f ca="1">IFERROR(IF(0=LEN(ReferenceData!$BF$157),"",ReferenceData!$BF$157),"")</f>
        <v/>
      </c>
      <c r="BG157" t="str">
        <f ca="1">IFERROR(IF(0=LEN(ReferenceData!$BG$157),"",ReferenceData!$BG$157),"")</f>
        <v/>
      </c>
      <c r="BH157" t="str">
        <f ca="1">IFERROR(IF(0=LEN(ReferenceData!$BH$157),"",ReferenceData!$BH$157),"")</f>
        <v/>
      </c>
      <c r="BI157" t="str">
        <f ca="1">IFERROR(IF(0=LEN(ReferenceData!$BI$157),"",ReferenceData!$BI$157),"")</f>
        <v/>
      </c>
      <c r="BJ157" t="str">
        <f ca="1">IFERROR(IF(0=LEN(ReferenceData!$BJ$157),"",ReferenceData!$BJ$157),"")</f>
        <v/>
      </c>
      <c r="BK157" t="str">
        <f ca="1">IFERROR(IF(0=LEN(ReferenceData!$BK$157),"",ReferenceData!$BK$157),"")</f>
        <v/>
      </c>
      <c r="BL157" t="str">
        <f ca="1">IFERROR(IF(0=LEN(ReferenceData!$BL$157),"",ReferenceData!$BL$157),"")</f>
        <v/>
      </c>
      <c r="BM157" t="str">
        <f ca="1">IFERROR(IF(0=LEN(ReferenceData!$BM$157),"",ReferenceData!$BM$157),"")</f>
        <v/>
      </c>
    </row>
    <row r="158" spans="1:65" x14ac:dyDescent="0.25">
      <c r="A158" t="str">
        <f>IFERROR(IF(0=LEN(ReferenceData!$A$158),"",ReferenceData!$A$158),"")</f>
        <v xml:space="preserve">    Subaru Corp</v>
      </c>
      <c r="B158" t="str">
        <f>IFERROR(IF(0=LEN(ReferenceData!$B$158),"",ReferenceData!$B$158),"")</f>
        <v>7270 JP Equity</v>
      </c>
      <c r="C158" t="str">
        <f>IFERROR(IF(0=LEN(ReferenceData!$C$158),"",ReferenceData!$C$158),"")</f>
        <v>RR841</v>
      </c>
      <c r="D158" t="str">
        <f>IFERROR(IF(0=LEN(ReferenceData!$D$158),"",ReferenceData!$D$158),"")</f>
        <v>TRAIL_12M_EBITDA</v>
      </c>
      <c r="E158" t="str">
        <f>IFERROR(IF(0=LEN(ReferenceData!$E$158),"",ReferenceData!$E$158),"")</f>
        <v>Dynamic</v>
      </c>
      <c r="F158" t="str">
        <f ca="1">IFERROR(IF(0=LEN(ReferenceData!$F$158),"",ReferenceData!$F$158),"")</f>
        <v/>
      </c>
      <c r="G158">
        <f ca="1">IFERROR(IF(0=LEN(ReferenceData!$G$158),"",ReferenceData!$G$158),"")</f>
        <v>3011.7572089999999</v>
      </c>
      <c r="H158">
        <f ca="1">IFERROR(IF(0=LEN(ReferenceData!$H$158),"",ReferenceData!$H$158),"")</f>
        <v>2964.3026020000002</v>
      </c>
      <c r="I158">
        <f ca="1">IFERROR(IF(0=LEN(ReferenceData!$I$158),"",ReferenceData!$I$158),"")</f>
        <v>3821.636125</v>
      </c>
      <c r="J158">
        <f ca="1">IFERROR(IF(0=LEN(ReferenceData!$J$158),"",ReferenceData!$J$158),"")</f>
        <v>4346.3800440000005</v>
      </c>
      <c r="K158">
        <f ca="1">IFERROR(IF(0=LEN(ReferenceData!$K$158),"",ReferenceData!$K$158),"")</f>
        <v>4551.0453809999999</v>
      </c>
      <c r="L158">
        <f ca="1">IFERROR(IF(0=LEN(ReferenceData!$L$158),"",ReferenceData!$L$158),"")</f>
        <v>4591.9121189999996</v>
      </c>
      <c r="M158">
        <f ca="1">IFERROR(IF(0=LEN(ReferenceData!$M$158),"",ReferenceData!$M$158),"")</f>
        <v>4770.7561900000001</v>
      </c>
      <c r="N158">
        <f ca="1">IFERROR(IF(0=LEN(ReferenceData!$N$158),"",ReferenceData!$N$158),"")</f>
        <v>4592.509779</v>
      </c>
      <c r="O158">
        <f ca="1">IFERROR(IF(0=LEN(ReferenceData!$O$158),"",ReferenceData!$O$158),"")</f>
        <v>4761.8643609999999</v>
      </c>
      <c r="P158">
        <f ca="1">IFERROR(IF(0=LEN(ReferenceData!$P$158),"",ReferenceData!$P$158),"")</f>
        <v>5071.6372199999996</v>
      </c>
      <c r="Q158">
        <f ca="1">IFERROR(IF(0=LEN(ReferenceData!$Q$158),"",ReferenceData!$Q$158),"")</f>
        <v>5208.5103499999996</v>
      </c>
      <c r="R158">
        <f ca="1">IFERROR(IF(0=LEN(ReferenceData!$R$158),"",ReferenceData!$R$158),"")</f>
        <v>5323.15445</v>
      </c>
      <c r="S158">
        <f ca="1">IFERROR(IF(0=LEN(ReferenceData!$S$158),"",ReferenceData!$S$158),"")</f>
        <v>5157.5355289999998</v>
      </c>
      <c r="T158">
        <f ca="1">IFERROR(IF(0=LEN(ReferenceData!$T$158),"",ReferenceData!$T$158),"")</f>
        <v>5023.5526620000001</v>
      </c>
      <c r="U158">
        <f ca="1">IFERROR(IF(0=LEN(ReferenceData!$U$158),"",ReferenceData!$U$158),"")</f>
        <v>4845.3751039999997</v>
      </c>
      <c r="V158">
        <f ca="1">IFERROR(IF(0=LEN(ReferenceData!$V$158),"",ReferenceData!$V$158),"")</f>
        <v>4524.1694850000003</v>
      </c>
      <c r="W158">
        <f ca="1">IFERROR(IF(0=LEN(ReferenceData!$W$158),"",ReferenceData!$W$158),"")</f>
        <v>4452.7280280000004</v>
      </c>
      <c r="X158">
        <f ca="1">IFERROR(IF(0=LEN(ReferenceData!$X$158),"",ReferenceData!$X$158),"")</f>
        <v>4152.5454840000002</v>
      </c>
      <c r="Y158">
        <f ca="1">IFERROR(IF(0=LEN(ReferenceData!$Y$158),"",ReferenceData!$Y$158),"")</f>
        <v>3924.8835359999998</v>
      </c>
      <c r="Z158">
        <f ca="1">IFERROR(IF(0=LEN(ReferenceData!$Z$158),"",ReferenceData!$Z$158),"")</f>
        <v>3874.0551329999998</v>
      </c>
      <c r="AA158">
        <f ca="1">IFERROR(IF(0=LEN(ReferenceData!$AA$158),"",ReferenceData!$AA$158),"")</f>
        <v>3523.2690259999999</v>
      </c>
      <c r="AB158">
        <f ca="1">IFERROR(IF(0=LEN(ReferenceData!$AB$158),"",ReferenceData!$AB$158),"")</f>
        <v>3164.3399549999999</v>
      </c>
      <c r="AC158">
        <f ca="1">IFERROR(IF(0=LEN(ReferenceData!$AC$158),"",ReferenceData!$AC$158),"")</f>
        <v>2716.7599890000001</v>
      </c>
      <c r="AD158">
        <f ca="1">IFERROR(IF(0=LEN(ReferenceData!$AD$158),"",ReferenceData!$AD$158),"")</f>
        <v>2202.0742340000002</v>
      </c>
      <c r="AE158">
        <f ca="1">IFERROR(IF(0=LEN(ReferenceData!$AE$158),"",ReferenceData!$AE$158),"")</f>
        <v>1864.6499449999999</v>
      </c>
      <c r="AF158">
        <f ca="1">IFERROR(IF(0=LEN(ReferenceData!$AF$158),"",ReferenceData!$AF$158),"")</f>
        <v>1611.157485</v>
      </c>
      <c r="AG158">
        <f ca="1">IFERROR(IF(0=LEN(ReferenceData!$AG$158),"",ReferenceData!$AG$158),"")</f>
        <v>1395.8410280000001</v>
      </c>
      <c r="AH158">
        <f ca="1">IFERROR(IF(0=LEN(ReferenceData!$AH$158),"",ReferenceData!$AH$158),"")</f>
        <v>1299.9524180000001</v>
      </c>
      <c r="AI158">
        <f ca="1">IFERROR(IF(0=LEN(ReferenceData!$AI$158),"",ReferenceData!$AI$158),"")</f>
        <v>1198.9255800000001</v>
      </c>
      <c r="AJ158">
        <f ca="1">IFERROR(IF(0=LEN(ReferenceData!$AJ$158),"",ReferenceData!$AJ$158),"")</f>
        <v>1258.6157880000001</v>
      </c>
      <c r="AK158">
        <f ca="1">IFERROR(IF(0=LEN(ReferenceData!$AK$158),"",ReferenceData!$AK$158),"")</f>
        <v>1540.139197</v>
      </c>
      <c r="AL158">
        <f ca="1">IFERROR(IF(0=LEN(ReferenceData!$AL$158),"",ReferenceData!$AL$158),"")</f>
        <v>1639.4162309999999</v>
      </c>
      <c r="AM158">
        <f ca="1">IFERROR(IF(0=LEN(ReferenceData!$AM$158),"",ReferenceData!$AM$158),"")</f>
        <v>1764.1894219999999</v>
      </c>
      <c r="AN158">
        <f ca="1">IFERROR(IF(0=LEN(ReferenceData!$AN$158),"",ReferenceData!$AN$158),"")</f>
        <v>1741.892926</v>
      </c>
      <c r="AO158">
        <f ca="1">IFERROR(IF(0=LEN(ReferenceData!$AO$158),"",ReferenceData!$AO$158),"")</f>
        <v>1439.087325</v>
      </c>
      <c r="AP158">
        <f ca="1">IFERROR(IF(0=LEN(ReferenceData!$AP$158),"",ReferenceData!$AP$158),"")</f>
        <v>1003.943279</v>
      </c>
      <c r="AQ158">
        <f ca="1">IFERROR(IF(0=LEN(ReferenceData!$AQ$158),"",ReferenceData!$AQ$158),"")</f>
        <v>603.04348000000005</v>
      </c>
      <c r="AR158">
        <f ca="1">IFERROR(IF(0=LEN(ReferenceData!$AR$158),"",ReferenceData!$AR$158),"")</f>
        <v>369.165257</v>
      </c>
      <c r="AS158">
        <f ca="1">IFERROR(IF(0=LEN(ReferenceData!$AS$158),"",ReferenceData!$AS$158),"")</f>
        <v>410.74400530000003</v>
      </c>
      <c r="AT158">
        <f ca="1">IFERROR(IF(0=LEN(ReferenceData!$AT$158),"",ReferenceData!$AT$158),"")</f>
        <v>681.58104300000002</v>
      </c>
      <c r="AU158" t="str">
        <f ca="1">IFERROR(IF(0=LEN(ReferenceData!$AU$158),"",ReferenceData!$AU$158),"")</f>
        <v/>
      </c>
      <c r="AV158" t="str">
        <f ca="1">IFERROR(IF(0=LEN(ReferenceData!$AV$158),"",ReferenceData!$AV$158),"")</f>
        <v/>
      </c>
      <c r="AW158" t="str">
        <f ca="1">IFERROR(IF(0=LEN(ReferenceData!$AW$158),"",ReferenceData!$AW$158),"")</f>
        <v/>
      </c>
      <c r="AX158" t="str">
        <f ca="1">IFERROR(IF(0=LEN(ReferenceData!$AX$158),"",ReferenceData!$AX$158),"")</f>
        <v/>
      </c>
      <c r="AY158" t="str">
        <f ca="1">IFERROR(IF(0=LEN(ReferenceData!$AY$158),"",ReferenceData!$AY$158),"")</f>
        <v/>
      </c>
      <c r="AZ158" t="str">
        <f ca="1">IFERROR(IF(0=LEN(ReferenceData!$AZ$158),"",ReferenceData!$AZ$158),"")</f>
        <v/>
      </c>
      <c r="BA158" t="str">
        <f ca="1">IFERROR(IF(0=LEN(ReferenceData!$BA$158),"",ReferenceData!$BA$158),"")</f>
        <v/>
      </c>
      <c r="BB158" t="str">
        <f ca="1">IFERROR(IF(0=LEN(ReferenceData!$BB$158),"",ReferenceData!$BB$158),"")</f>
        <v/>
      </c>
      <c r="BC158" t="str">
        <f ca="1">IFERROR(IF(0=LEN(ReferenceData!$BC$158),"",ReferenceData!$BC$158),"")</f>
        <v/>
      </c>
      <c r="BD158" t="str">
        <f ca="1">IFERROR(IF(0=LEN(ReferenceData!$BD$158),"",ReferenceData!$BD$158),"")</f>
        <v/>
      </c>
      <c r="BE158" t="str">
        <f ca="1">IFERROR(IF(0=LEN(ReferenceData!$BE$158),"",ReferenceData!$BE$158),"")</f>
        <v/>
      </c>
      <c r="BF158" t="str">
        <f ca="1">IFERROR(IF(0=LEN(ReferenceData!$BF$158),"",ReferenceData!$BF$158),"")</f>
        <v/>
      </c>
      <c r="BG158" t="str">
        <f ca="1">IFERROR(IF(0=LEN(ReferenceData!$BG$158),"",ReferenceData!$BG$158),"")</f>
        <v/>
      </c>
      <c r="BH158" t="str">
        <f ca="1">IFERROR(IF(0=LEN(ReferenceData!$BH$158),"",ReferenceData!$BH$158),"")</f>
        <v/>
      </c>
      <c r="BI158" t="str">
        <f ca="1">IFERROR(IF(0=LEN(ReferenceData!$BI$158),"",ReferenceData!$BI$158),"")</f>
        <v/>
      </c>
      <c r="BJ158" t="str">
        <f ca="1">IFERROR(IF(0=LEN(ReferenceData!$BJ$158),"",ReferenceData!$BJ$158),"")</f>
        <v/>
      </c>
      <c r="BK158" t="str">
        <f ca="1">IFERROR(IF(0=LEN(ReferenceData!$BK$158),"",ReferenceData!$BK$158),"")</f>
        <v/>
      </c>
      <c r="BL158" t="str">
        <f ca="1">IFERROR(IF(0=LEN(ReferenceData!$BL$158),"",ReferenceData!$BL$158),"")</f>
        <v/>
      </c>
      <c r="BM158" t="str">
        <f ca="1">IFERROR(IF(0=LEN(ReferenceData!$BM$158),"",ReferenceData!$BM$158),"")</f>
        <v/>
      </c>
    </row>
    <row r="159" spans="1:65" x14ac:dyDescent="0.25">
      <c r="A159" t="str">
        <f>IFERROR(IF(0=LEN(ReferenceData!$A$159),"",ReferenceData!$A$159),"")</f>
        <v xml:space="preserve">    Suzuki Motor Corp</v>
      </c>
      <c r="B159" t="str">
        <f>IFERROR(IF(0=LEN(ReferenceData!$B$159),"",ReferenceData!$B$159),"")</f>
        <v>7269 JP Equity</v>
      </c>
      <c r="C159" t="str">
        <f>IFERROR(IF(0=LEN(ReferenceData!$C$159),"",ReferenceData!$C$159),"")</f>
        <v>RR841</v>
      </c>
      <c r="D159" t="str">
        <f>IFERROR(IF(0=LEN(ReferenceData!$D$159),"",ReferenceData!$D$159),"")</f>
        <v>TRAIL_12M_EBITDA</v>
      </c>
      <c r="E159" t="str">
        <f>IFERROR(IF(0=LEN(ReferenceData!$E$159),"",ReferenceData!$E$159),"")</f>
        <v>Dynamic</v>
      </c>
      <c r="F159" t="str">
        <f ca="1">IFERROR(IF(0=LEN(ReferenceData!$F$159),"",ReferenceData!$F$159),"")</f>
        <v/>
      </c>
      <c r="G159">
        <f ca="1">IFERROR(IF(0=LEN(ReferenceData!$G$159),"",ReferenceData!$G$159),"")</f>
        <v>4652.530229</v>
      </c>
      <c r="H159">
        <f ca="1">IFERROR(IF(0=LEN(ReferenceData!$H$159),"",ReferenceData!$H$159),"")</f>
        <v>4894.7807849999999</v>
      </c>
      <c r="I159">
        <f ca="1">IFERROR(IF(0=LEN(ReferenceData!$I$159),"",ReferenceData!$I$159),"")</f>
        <v>4977.2160789999998</v>
      </c>
      <c r="J159">
        <f ca="1">IFERROR(IF(0=LEN(ReferenceData!$J$159),"",ReferenceData!$J$159),"")</f>
        <v>4739.093965</v>
      </c>
      <c r="K159">
        <f ca="1">IFERROR(IF(0=LEN(ReferenceData!$K$159),"",ReferenceData!$K$159),"")</f>
        <v>4637.3278010000004</v>
      </c>
      <c r="L159">
        <f ca="1">IFERROR(IF(0=LEN(ReferenceData!$L$159),"",ReferenceData!$L$159),"")</f>
        <v>4363.5744160000004</v>
      </c>
      <c r="M159">
        <f ca="1">IFERROR(IF(0=LEN(ReferenceData!$M$159),"",ReferenceData!$M$159),"")</f>
        <v>4215.0186629999998</v>
      </c>
      <c r="N159">
        <f ca="1">IFERROR(IF(0=LEN(ReferenceData!$N$159),"",ReferenceData!$N$159),"")</f>
        <v>3978.4551729999998</v>
      </c>
      <c r="O159">
        <f ca="1">IFERROR(IF(0=LEN(ReferenceData!$O$159),"",ReferenceData!$O$159),"")</f>
        <v>3526.3739919999998</v>
      </c>
      <c r="P159">
        <f ca="1">IFERROR(IF(0=LEN(ReferenceData!$P$159),"",ReferenceData!$P$159),"")</f>
        <v>3395.4518899999998</v>
      </c>
      <c r="Q159">
        <f ca="1">IFERROR(IF(0=LEN(ReferenceData!$Q$159),"",ReferenceData!$Q$159),"")</f>
        <v>3155.3373780000002</v>
      </c>
      <c r="R159">
        <f ca="1">IFERROR(IF(0=LEN(ReferenceData!$R$159),"",ReferenceData!$R$159),"")</f>
        <v>3031.385346</v>
      </c>
      <c r="S159">
        <f ca="1">IFERROR(IF(0=LEN(ReferenceData!$S$159),"",ReferenceData!$S$159),"")</f>
        <v>2872.5826069999998</v>
      </c>
      <c r="T159">
        <f ca="1">IFERROR(IF(0=LEN(ReferenceData!$T$159),"",ReferenceData!$T$159),"")</f>
        <v>2827.0776559999999</v>
      </c>
      <c r="U159">
        <f ca="1">IFERROR(IF(0=LEN(ReferenceData!$U$159),"",ReferenceData!$U$159),"")</f>
        <v>2843.037773</v>
      </c>
      <c r="V159">
        <f ca="1">IFERROR(IF(0=LEN(ReferenceData!$V$159),"",ReferenceData!$V$159),"")</f>
        <v>2868.8350150000001</v>
      </c>
      <c r="W159">
        <f ca="1">IFERROR(IF(0=LEN(ReferenceData!$W$159),"",ReferenceData!$W$159),"")</f>
        <v>3004.1048780000001</v>
      </c>
      <c r="X159">
        <f ca="1">IFERROR(IF(0=LEN(ReferenceData!$X$159),"",ReferenceData!$X$159),"")</f>
        <v>3107.7707500000001</v>
      </c>
      <c r="Y159">
        <f ca="1">IFERROR(IF(0=LEN(ReferenceData!$Y$159),"",ReferenceData!$Y$159),"")</f>
        <v>3156.7425509999998</v>
      </c>
      <c r="Z159">
        <f ca="1">IFERROR(IF(0=LEN(ReferenceData!$Z$159),"",ReferenceData!$Z$159),"")</f>
        <v>3044.8740299999999</v>
      </c>
      <c r="AA159">
        <f ca="1">IFERROR(IF(0=LEN(ReferenceData!$AA$159),"",ReferenceData!$AA$159),"")</f>
        <v>3021.0707600000001</v>
      </c>
      <c r="AB159">
        <f ca="1">IFERROR(IF(0=LEN(ReferenceData!$AB$159),"",ReferenceData!$AB$159),"")</f>
        <v>2912.7716439999999</v>
      </c>
      <c r="AC159">
        <f ca="1">IFERROR(IF(0=LEN(ReferenceData!$AC$159),"",ReferenceData!$AC$159),"")</f>
        <v>2842.97579</v>
      </c>
      <c r="AD159">
        <f ca="1">IFERROR(IF(0=LEN(ReferenceData!$AD$159),"",ReferenceData!$AD$159),"")</f>
        <v>2883.3006719999998</v>
      </c>
      <c r="AE159">
        <f ca="1">IFERROR(IF(0=LEN(ReferenceData!$AE$159),"",ReferenceData!$AE$159),"")</f>
        <v>2855.557069</v>
      </c>
      <c r="AF159">
        <f ca="1">IFERROR(IF(0=LEN(ReferenceData!$AF$159),"",ReferenceData!$AF$159),"")</f>
        <v>2817.3748340000002</v>
      </c>
      <c r="AG159">
        <f ca="1">IFERROR(IF(0=LEN(ReferenceData!$AG$159),"",ReferenceData!$AG$159),"")</f>
        <v>2941.8647430000001</v>
      </c>
      <c r="AH159">
        <f ca="1">IFERROR(IF(0=LEN(ReferenceData!$AH$159),"",ReferenceData!$AH$159),"")</f>
        <v>2818.920901</v>
      </c>
      <c r="AI159">
        <f ca="1">IFERROR(IF(0=LEN(ReferenceData!$AI$159),"",ReferenceData!$AI$159),"")</f>
        <v>2724.539663</v>
      </c>
      <c r="AJ159">
        <f ca="1">IFERROR(IF(0=LEN(ReferenceData!$AJ$159),"",ReferenceData!$AJ$159),"")</f>
        <v>2797.334511</v>
      </c>
      <c r="AK159">
        <f ca="1">IFERROR(IF(0=LEN(ReferenceData!$AK$159),"",ReferenceData!$AK$159),"")</f>
        <v>2812.3977110000001</v>
      </c>
      <c r="AL159">
        <f ca="1">IFERROR(IF(0=LEN(ReferenceData!$AL$159),"",ReferenceData!$AL$159),"")</f>
        <v>2870.3298989999998</v>
      </c>
      <c r="AM159">
        <f ca="1">IFERROR(IF(0=LEN(ReferenceData!$AM$159),"",ReferenceData!$AM$159),"")</f>
        <v>3026.766122</v>
      </c>
      <c r="AN159">
        <f ca="1">IFERROR(IF(0=LEN(ReferenceData!$AN$159),"",ReferenceData!$AN$159),"")</f>
        <v>2934.4672439999999</v>
      </c>
      <c r="AO159">
        <f ca="1">IFERROR(IF(0=LEN(ReferenceData!$AO$159),"",ReferenceData!$AO$159),"")</f>
        <v>2705.3582719999999</v>
      </c>
      <c r="AP159">
        <f ca="1">IFERROR(IF(0=LEN(ReferenceData!$AP$159),"",ReferenceData!$AP$159),"")</f>
        <v>2385.2953040000002</v>
      </c>
      <c r="AQ159">
        <f ca="1">IFERROR(IF(0=LEN(ReferenceData!$AQ$159),"",ReferenceData!$AQ$159),"")</f>
        <v>2017.9737950000001</v>
      </c>
      <c r="AR159">
        <f ca="1">IFERROR(IF(0=LEN(ReferenceData!$AR$159),"",ReferenceData!$AR$159),"")</f>
        <v>1841.206326</v>
      </c>
      <c r="AS159">
        <f ca="1">IFERROR(IF(0=LEN(ReferenceData!$AS$159),"",ReferenceData!$AS$159),"")</f>
        <v>1852.6650609999999</v>
      </c>
      <c r="AT159">
        <f ca="1">IFERROR(IF(0=LEN(ReferenceData!$AT$159),"",ReferenceData!$AT$159),"")</f>
        <v>2179.4826309999999</v>
      </c>
      <c r="AU159">
        <f ca="1">IFERROR(IF(0=LEN(ReferenceData!$AU$159),"",ReferenceData!$AU$159),"")</f>
        <v>2419.7974720000002</v>
      </c>
      <c r="AV159">
        <f ca="1">IFERROR(IF(0=LEN(ReferenceData!$AV$159),"",ReferenceData!$AV$159),"")</f>
        <v>2627.5761189999998</v>
      </c>
      <c r="AW159">
        <f ca="1">IFERROR(IF(0=LEN(ReferenceData!$AW$159),"",ReferenceData!$AW$159),"")</f>
        <v>2731.6692069999999</v>
      </c>
      <c r="AX159">
        <f ca="1">IFERROR(IF(0=LEN(ReferenceData!$AX$159),"",ReferenceData!$AX$159),"")</f>
        <v>2730.6537109999999</v>
      </c>
      <c r="AY159">
        <f ca="1">IFERROR(IF(0=LEN(ReferenceData!$AY$159),"",ReferenceData!$AY$159),"")</f>
        <v>2671.8036390000002</v>
      </c>
      <c r="AZ159">
        <f ca="1">IFERROR(IF(0=LEN(ReferenceData!$AZ$159),"",ReferenceData!$AZ$159),"")</f>
        <v>2568.5423329999999</v>
      </c>
      <c r="BA159">
        <f ca="1">IFERROR(IF(0=LEN(ReferenceData!$BA$159),"",ReferenceData!$BA$159),"")</f>
        <v>2514.0932560000001</v>
      </c>
      <c r="BB159">
        <f ca="1">IFERROR(IF(0=LEN(ReferenceData!$BB$159),"",ReferenceData!$BB$159),"")</f>
        <v>2419.4249150000001</v>
      </c>
      <c r="BC159">
        <f ca="1">IFERROR(IF(0=LEN(ReferenceData!$BC$159),"",ReferenceData!$BC$159),"")</f>
        <v>2298.9532389999999</v>
      </c>
      <c r="BD159">
        <f ca="1">IFERROR(IF(0=LEN(ReferenceData!$BD$159),"",ReferenceData!$BD$159),"")</f>
        <v>2266.2593499999998</v>
      </c>
      <c r="BE159">
        <f ca="1">IFERROR(IF(0=LEN(ReferenceData!$BE$159),"",ReferenceData!$BE$159),"")</f>
        <v>2209.5820680000002</v>
      </c>
      <c r="BF159">
        <f ca="1">IFERROR(IF(0=LEN(ReferenceData!$BF$159),"",ReferenceData!$BF$159),"")</f>
        <v>2126.1123680000001</v>
      </c>
      <c r="BG159">
        <f ca="1">IFERROR(IF(0=LEN(ReferenceData!$BG$159),"",ReferenceData!$BG$159),"")</f>
        <v>2119.7546259999999</v>
      </c>
      <c r="BH159">
        <f ca="1">IFERROR(IF(0=LEN(ReferenceData!$BH$159),"",ReferenceData!$BH$159),"")</f>
        <v>2116.7633989999999</v>
      </c>
      <c r="BI159">
        <f ca="1">IFERROR(IF(0=LEN(ReferenceData!$BI$159),"",ReferenceData!$BI$159),"")</f>
        <v>1980.3982249999999</v>
      </c>
      <c r="BJ159">
        <f ca="1">IFERROR(IF(0=LEN(ReferenceData!$BJ$159),"",ReferenceData!$BJ$159),"")</f>
        <v>1911.4993420000001</v>
      </c>
      <c r="BK159">
        <f ca="1">IFERROR(IF(0=LEN(ReferenceData!$BK$159),"",ReferenceData!$BK$159),"")</f>
        <v>1832.812635</v>
      </c>
      <c r="BL159">
        <f ca="1">IFERROR(IF(0=LEN(ReferenceData!$BL$159),"",ReferenceData!$BL$159),"")</f>
        <v>1739.893489</v>
      </c>
      <c r="BM159">
        <f ca="1">IFERROR(IF(0=LEN(ReferenceData!$BM$159),"",ReferenceData!$BM$159),"")</f>
        <v>1688.6612</v>
      </c>
    </row>
    <row r="160" spans="1:65" x14ac:dyDescent="0.25">
      <c r="A160" t="str">
        <f>IFERROR(IF(0=LEN(ReferenceData!$A$160),"",ReferenceData!$A$160),"")</f>
        <v xml:space="preserve">    Tata Motors Ltd</v>
      </c>
      <c r="B160" t="str">
        <f>IFERROR(IF(0=LEN(ReferenceData!$B$160),"",ReferenceData!$B$160),"")</f>
        <v>TTMT IN Equity</v>
      </c>
      <c r="C160" t="str">
        <f>IFERROR(IF(0=LEN(ReferenceData!$C$160),"",ReferenceData!$C$160),"")</f>
        <v>RR841</v>
      </c>
      <c r="D160" t="str">
        <f>IFERROR(IF(0=LEN(ReferenceData!$D$160),"",ReferenceData!$D$160),"")</f>
        <v>TRAIL_12M_EBITDA</v>
      </c>
      <c r="E160" t="str">
        <f>IFERROR(IF(0=LEN(ReferenceData!$E$160),"",ReferenceData!$E$160),"")</f>
        <v>Dynamic</v>
      </c>
      <c r="F160" t="str">
        <f ca="1">IFERROR(IF(0=LEN(ReferenceData!$F$160),"",ReferenceData!$F$160),"")</f>
        <v/>
      </c>
      <c r="G160">
        <f ca="1">IFERROR(IF(0=LEN(ReferenceData!$G$160),"",ReferenceData!$G$160),"")</f>
        <v>4259.2186089999996</v>
      </c>
      <c r="H160">
        <f ca="1">IFERROR(IF(0=LEN(ReferenceData!$H$160),"",ReferenceData!$H$160),"")</f>
        <v>4752.7804939999996</v>
      </c>
      <c r="I160">
        <f ca="1">IFERROR(IF(0=LEN(ReferenceData!$I$160),"",ReferenceData!$I$160),"")</f>
        <v>5144.162652</v>
      </c>
      <c r="J160">
        <f ca="1">IFERROR(IF(0=LEN(ReferenceData!$J$160),"",ReferenceData!$J$160),"")</f>
        <v>5120.9144999999999</v>
      </c>
      <c r="K160">
        <f ca="1">IFERROR(IF(0=LEN(ReferenceData!$K$160),"",ReferenceData!$K$160),"")</f>
        <v>5060.7809950000001</v>
      </c>
      <c r="L160">
        <f ca="1">IFERROR(IF(0=LEN(ReferenceData!$L$160),"",ReferenceData!$L$160),"")</f>
        <v>4660.8882000000003</v>
      </c>
      <c r="M160">
        <f ca="1">IFERROR(IF(0=LEN(ReferenceData!$M$160),"",ReferenceData!$M$160),"")</f>
        <v>4260.2981300000001</v>
      </c>
      <c r="N160">
        <f ca="1">IFERROR(IF(0=LEN(ReferenceData!$N$160),"",ReferenceData!$N$160),"")</f>
        <v>4825.668678</v>
      </c>
      <c r="O160">
        <f ca="1">IFERROR(IF(0=LEN(ReferenceData!$O$160),"",ReferenceData!$O$160),"")</f>
        <v>5012.7278839999999</v>
      </c>
      <c r="P160">
        <f ca="1">IFERROR(IF(0=LEN(ReferenceData!$P$160),"",ReferenceData!$P$160),"")</f>
        <v>5433.2061100000001</v>
      </c>
      <c r="Q160">
        <f ca="1">IFERROR(IF(0=LEN(ReferenceData!$Q$160),"",ReferenceData!$Q$160),"")</f>
        <v>5511.6057879999998</v>
      </c>
      <c r="R160">
        <f ca="1">IFERROR(IF(0=LEN(ReferenceData!$R$160),"",ReferenceData!$R$160),"")</f>
        <v>5887.5654290000002</v>
      </c>
      <c r="S160">
        <f ca="1">IFERROR(IF(0=LEN(ReferenceData!$S$160),"",ReferenceData!$S$160),"")</f>
        <v>5430.8314250000003</v>
      </c>
      <c r="T160">
        <f ca="1">IFERROR(IF(0=LEN(ReferenceData!$T$160),"",ReferenceData!$T$160),"")</f>
        <v>5704.0944140000001</v>
      </c>
      <c r="U160">
        <f ca="1">IFERROR(IF(0=LEN(ReferenceData!$U$160),"",ReferenceData!$U$160),"")</f>
        <v>6298.3559480000004</v>
      </c>
      <c r="V160">
        <f ca="1">IFERROR(IF(0=LEN(ReferenceData!$V$160),"",ReferenceData!$V$160),"")</f>
        <v>6413.2983629999999</v>
      </c>
      <c r="W160">
        <f ca="1">IFERROR(IF(0=LEN(ReferenceData!$W$160),"",ReferenceData!$W$160),"")</f>
        <v>6681.4889469999998</v>
      </c>
      <c r="X160">
        <f ca="1">IFERROR(IF(0=LEN(ReferenceData!$X$160),"",ReferenceData!$X$160),"")</f>
        <v>6664.3758379999999</v>
      </c>
      <c r="Y160">
        <f ca="1">IFERROR(IF(0=LEN(ReferenceData!$Y$160),"",ReferenceData!$Y$160),"")</f>
        <v>6475.6565559999999</v>
      </c>
      <c r="Z160">
        <f ca="1">IFERROR(IF(0=LEN(ReferenceData!$Z$160),"",ReferenceData!$Z$160),"")</f>
        <v>5769.9534960000001</v>
      </c>
      <c r="AA160">
        <f ca="1">IFERROR(IF(0=LEN(ReferenceData!$AA$160),"",ReferenceData!$AA$160),"")</f>
        <v>5588.3408890000001</v>
      </c>
      <c r="AB160">
        <f ca="1">IFERROR(IF(0=LEN(ReferenceData!$AB$160),"",ReferenceData!$AB$160),"")</f>
        <v>5020.3789290000004</v>
      </c>
      <c r="AC160">
        <f ca="1">IFERROR(IF(0=LEN(ReferenceData!$AC$160),"",ReferenceData!$AC$160),"")</f>
        <v>4567.2482309999996</v>
      </c>
      <c r="AD160">
        <f ca="1">IFERROR(IF(0=LEN(ReferenceData!$AD$160),"",ReferenceData!$AD$160),"")</f>
        <v>4516.0940499999997</v>
      </c>
      <c r="AE160">
        <f ca="1">IFERROR(IF(0=LEN(ReferenceData!$AE$160),"",ReferenceData!$AE$160),"")</f>
        <v>4402.89635</v>
      </c>
      <c r="AF160">
        <f ca="1">IFERROR(IF(0=LEN(ReferenceData!$AF$160),"",ReferenceData!$AF$160),"")</f>
        <v>4690.8966360000004</v>
      </c>
      <c r="AG160">
        <f ca="1">IFERROR(IF(0=LEN(ReferenceData!$AG$160),"",ReferenceData!$AG$160),"")</f>
        <v>4756.7467489999999</v>
      </c>
      <c r="AH160">
        <f ca="1">IFERROR(IF(0=LEN(ReferenceData!$AH$160),"",ReferenceData!$AH$160),"")</f>
        <v>4672.5652630000004</v>
      </c>
      <c r="AI160">
        <f ca="1">IFERROR(IF(0=LEN(ReferenceData!$AI$160),"",ReferenceData!$AI$160),"")</f>
        <v>4018.746361</v>
      </c>
      <c r="AJ160">
        <f ca="1">IFERROR(IF(0=LEN(ReferenceData!$AJ$160),"",ReferenceData!$AJ$160),"")</f>
        <v>3622.9828649999999</v>
      </c>
      <c r="AK160">
        <f ca="1">IFERROR(IF(0=LEN(ReferenceData!$AK$160),"",ReferenceData!$AK$160),"")</f>
        <v>3496.8170530000002</v>
      </c>
      <c r="AL160">
        <f ca="1">IFERROR(IF(0=LEN(ReferenceData!$AL$160),"",ReferenceData!$AL$160),"")</f>
        <v>3396.2812789999998</v>
      </c>
      <c r="AM160">
        <f ca="1">IFERROR(IF(0=LEN(ReferenceData!$AM$160),"",ReferenceData!$AM$160),"")</f>
        <v>2993.5957790000002</v>
      </c>
      <c r="AN160">
        <f ca="1">IFERROR(IF(0=LEN(ReferenceData!$AN$160),"",ReferenceData!$AN$160),"")</f>
        <v>2635.2873800000002</v>
      </c>
      <c r="AO160">
        <f ca="1">IFERROR(IF(0=LEN(ReferenceData!$AO$160),"",ReferenceData!$AO$160),"")</f>
        <v>2073.6051859999998</v>
      </c>
      <c r="AP160">
        <f ca="1">IFERROR(IF(0=LEN(ReferenceData!$AP$160),"",ReferenceData!$AP$160),"")</f>
        <v>1333.88894</v>
      </c>
      <c r="AQ160">
        <f ca="1">IFERROR(IF(0=LEN(ReferenceData!$AQ$160),"",ReferenceData!$AQ$160),"")</f>
        <v>1037.600142</v>
      </c>
      <c r="AR160">
        <f ca="1">IFERROR(IF(0=LEN(ReferenceData!$AR$160),"",ReferenceData!$AR$160),"")</f>
        <v>286.15556909999998</v>
      </c>
      <c r="AS160">
        <f ca="1">IFERROR(IF(0=LEN(ReferenceData!$AS$160),"",ReferenceData!$AS$160),"")</f>
        <v>273.20885809999999</v>
      </c>
      <c r="AT160">
        <f ca="1">IFERROR(IF(0=LEN(ReferenceData!$AT$160),"",ReferenceData!$AT$160),"")</f>
        <v>543.00264749999997</v>
      </c>
      <c r="AU160" t="str">
        <f ca="1">IFERROR(IF(0=LEN(ReferenceData!$AU$160),"",ReferenceData!$AU$160),"")</f>
        <v/>
      </c>
      <c r="AV160" t="str">
        <f ca="1">IFERROR(IF(0=LEN(ReferenceData!$AV$160),"",ReferenceData!$AV$160),"")</f>
        <v/>
      </c>
      <c r="AW160" t="str">
        <f ca="1">IFERROR(IF(0=LEN(ReferenceData!$AW$160),"",ReferenceData!$AW$160),"")</f>
        <v/>
      </c>
      <c r="AX160" t="str">
        <f ca="1">IFERROR(IF(0=LEN(ReferenceData!$AX$160),"",ReferenceData!$AX$160),"")</f>
        <v/>
      </c>
      <c r="AY160" t="str">
        <f ca="1">IFERROR(IF(0=LEN(ReferenceData!$AY$160),"",ReferenceData!$AY$160),"")</f>
        <v/>
      </c>
      <c r="AZ160" t="str">
        <f ca="1">IFERROR(IF(0=LEN(ReferenceData!$AZ$160),"",ReferenceData!$AZ$160),"")</f>
        <v/>
      </c>
      <c r="BA160" t="str">
        <f ca="1">IFERROR(IF(0=LEN(ReferenceData!$BA$160),"",ReferenceData!$BA$160),"")</f>
        <v/>
      </c>
      <c r="BB160" t="str">
        <f ca="1">IFERROR(IF(0=LEN(ReferenceData!$BB$160),"",ReferenceData!$BB$160),"")</f>
        <v/>
      </c>
      <c r="BC160" t="str">
        <f ca="1">IFERROR(IF(0=LEN(ReferenceData!$BC$160),"",ReferenceData!$BC$160),"")</f>
        <v/>
      </c>
      <c r="BD160" t="str">
        <f ca="1">IFERROR(IF(0=LEN(ReferenceData!$BD$160),"",ReferenceData!$BD$160),"")</f>
        <v/>
      </c>
      <c r="BE160" t="str">
        <f ca="1">IFERROR(IF(0=LEN(ReferenceData!$BE$160),"",ReferenceData!$BE$160),"")</f>
        <v/>
      </c>
      <c r="BF160" t="str">
        <f ca="1">IFERROR(IF(0=LEN(ReferenceData!$BF$160),"",ReferenceData!$BF$160),"")</f>
        <v/>
      </c>
      <c r="BG160" t="str">
        <f ca="1">IFERROR(IF(0=LEN(ReferenceData!$BG$160),"",ReferenceData!$BG$160),"")</f>
        <v/>
      </c>
      <c r="BH160" t="str">
        <f ca="1">IFERROR(IF(0=LEN(ReferenceData!$BH$160),"",ReferenceData!$BH$160),"")</f>
        <v/>
      </c>
      <c r="BI160" t="str">
        <f ca="1">IFERROR(IF(0=LEN(ReferenceData!$BI$160),"",ReferenceData!$BI$160),"")</f>
        <v/>
      </c>
      <c r="BJ160" t="str">
        <f ca="1">IFERROR(IF(0=LEN(ReferenceData!$BJ$160),"",ReferenceData!$BJ$160),"")</f>
        <v/>
      </c>
      <c r="BK160" t="str">
        <f ca="1">IFERROR(IF(0=LEN(ReferenceData!$BK$160),"",ReferenceData!$BK$160),"")</f>
        <v/>
      </c>
      <c r="BL160" t="str">
        <f ca="1">IFERROR(IF(0=LEN(ReferenceData!$BL$160),"",ReferenceData!$BL$160),"")</f>
        <v/>
      </c>
      <c r="BM160" t="str">
        <f ca="1">IFERROR(IF(0=LEN(ReferenceData!$BM$160),"",ReferenceData!$BM$160),"")</f>
        <v/>
      </c>
    </row>
    <row r="161" spans="1:65" x14ac:dyDescent="0.25">
      <c r="A161" t="str">
        <f>IFERROR(IF(0=LEN(ReferenceData!$A$161),"",ReferenceData!$A$161),"")</f>
        <v xml:space="preserve">    Tesla Inc</v>
      </c>
      <c r="B161" t="str">
        <f>IFERROR(IF(0=LEN(ReferenceData!$B$161),"",ReferenceData!$B$161),"")</f>
        <v>TSLA US Equity</v>
      </c>
      <c r="C161" t="str">
        <f>IFERROR(IF(0=LEN(ReferenceData!$C$161),"",ReferenceData!$C$161),"")</f>
        <v>RR841</v>
      </c>
      <c r="D161" t="str">
        <f>IFERROR(IF(0=LEN(ReferenceData!$D$161),"",ReferenceData!$D$161),"")</f>
        <v>TRAIL_12M_EBITDA</v>
      </c>
      <c r="E161" t="str">
        <f>IFERROR(IF(0=LEN(ReferenceData!$E$161),"",ReferenceData!$E$161),"")</f>
        <v>Dynamic</v>
      </c>
      <c r="F161" t="str">
        <f ca="1">IFERROR(IF(0=LEN(ReferenceData!$F$161),"",ReferenceData!$F$161),"")</f>
        <v/>
      </c>
      <c r="G161">
        <f ca="1">IFERROR(IF(0=LEN(ReferenceData!$G$161),"",ReferenceData!$G$161),"")</f>
        <v>1512.9770000000001</v>
      </c>
      <c r="H161">
        <f ca="1">IFERROR(IF(0=LEN(ReferenceData!$H$161),"",ReferenceData!$H$161),"")</f>
        <v>474.16899999999998</v>
      </c>
      <c r="I161">
        <f ca="1">IFERROR(IF(0=LEN(ReferenceData!$I$161),"",ReferenceData!$I$161),"")</f>
        <v>-580.26900000000001</v>
      </c>
      <c r="J161">
        <f ca="1">IFERROR(IF(0=LEN(ReferenceData!$J$161),"",ReferenceData!$J$161),"")</f>
        <v>-295.87700000000001</v>
      </c>
      <c r="K161">
        <f ca="1">IFERROR(IF(0=LEN(ReferenceData!$K$161),"",ReferenceData!$K$161),"")</f>
        <v>3.9169999999999998</v>
      </c>
      <c r="L161">
        <f ca="1">IFERROR(IF(0=LEN(ReferenceData!$L$161),"",ReferenceData!$L$161),"")</f>
        <v>192.69300000000001</v>
      </c>
      <c r="M161">
        <f ca="1">IFERROR(IF(0=LEN(ReferenceData!$M$161),"",ReferenceData!$M$161),"")</f>
        <v>693.63900000000001</v>
      </c>
      <c r="N161">
        <f ca="1">IFERROR(IF(0=LEN(ReferenceData!$N$161),"",ReferenceData!$N$161),"")</f>
        <v>490.57600000000002</v>
      </c>
      <c r="O161">
        <f ca="1">IFERROR(IF(0=LEN(ReferenceData!$O$161),"",ReferenceData!$O$161),"")</f>
        <v>279.75900000000001</v>
      </c>
      <c r="P161">
        <f ca="1">IFERROR(IF(0=LEN(ReferenceData!$P$161),"",ReferenceData!$P$161),"")</f>
        <v>102.908</v>
      </c>
      <c r="Q161">
        <f ca="1">IFERROR(IF(0=LEN(ReferenceData!$Q$161),"",ReferenceData!$Q$161),"")</f>
        <v>-336.47800000000001</v>
      </c>
      <c r="R161">
        <f ca="1">IFERROR(IF(0=LEN(ReferenceData!$R$161),"",ReferenceData!$R$161),"")</f>
        <v>-360.46899999999999</v>
      </c>
      <c r="S161">
        <f ca="1">IFERROR(IF(0=LEN(ReferenceData!$S$161),"",ReferenceData!$S$161),"")</f>
        <v>-294.03899999999999</v>
      </c>
      <c r="T161">
        <f ca="1">IFERROR(IF(0=LEN(ReferenceData!$T$161),"",ReferenceData!$T$161),"")</f>
        <v>-184.291</v>
      </c>
      <c r="U161">
        <f ca="1">IFERROR(IF(0=LEN(ReferenceData!$U$161),"",ReferenceData!$U$161),"")</f>
        <v>-85.152000000000001</v>
      </c>
      <c r="V161">
        <f ca="1">IFERROR(IF(0=LEN(ReferenceData!$V$161),"",ReferenceData!$V$161),"")</f>
        <v>19.609000000000002</v>
      </c>
      <c r="W161">
        <f ca="1">IFERROR(IF(0=LEN(ReferenceData!$W$161),"",ReferenceData!$W$161),"")</f>
        <v>45.244</v>
      </c>
      <c r="X161">
        <f ca="1">IFERROR(IF(0=LEN(ReferenceData!$X$161),"",ReferenceData!$X$161),"")</f>
        <v>76.337999999999994</v>
      </c>
      <c r="Y161">
        <f ca="1">IFERROR(IF(0=LEN(ReferenceData!$Y$161),"",ReferenceData!$Y$161),"")</f>
        <v>48.390999999999998</v>
      </c>
      <c r="Z161">
        <f ca="1">IFERROR(IF(0=LEN(ReferenceData!$Z$161),"",ReferenceData!$Z$161),"")</f>
        <v>50.685000000000002</v>
      </c>
      <c r="AA161">
        <f ca="1">IFERROR(IF(0=LEN(ReferenceData!$AA$161),"",ReferenceData!$AA$161),"")</f>
        <v>62.65</v>
      </c>
      <c r="AB161">
        <f ca="1">IFERROR(IF(0=LEN(ReferenceData!$AB$161),"",ReferenceData!$AB$161),"")</f>
        <v>-39.673000000000002</v>
      </c>
      <c r="AC161">
        <f ca="1">IFERROR(IF(0=LEN(ReferenceData!$AC$161),"",ReferenceData!$AC$161),"")</f>
        <v>-138.50700000000001</v>
      </c>
      <c r="AD161">
        <f ca="1">IFERROR(IF(0=LEN(ReferenceData!$AD$161),"",ReferenceData!$AD$161),"")</f>
        <v>-268.58999999999997</v>
      </c>
      <c r="AE161">
        <f ca="1">IFERROR(IF(0=LEN(ReferenceData!$AE$161),"",ReferenceData!$AE$161),"")</f>
        <v>-365.45600000000002</v>
      </c>
      <c r="AF161">
        <f ca="1">IFERROR(IF(0=LEN(ReferenceData!$AF$161),"",ReferenceData!$AF$161),"")</f>
        <v>-363.488</v>
      </c>
      <c r="AG161">
        <f ca="1">IFERROR(IF(0=LEN(ReferenceData!$AG$161),"",ReferenceData!$AG$161),"")</f>
        <v>-322.74700000000001</v>
      </c>
      <c r="AH161">
        <f ca="1">IFERROR(IF(0=LEN(ReferenceData!$AH$161),"",ReferenceData!$AH$161),"")</f>
        <v>-275.34100000000001</v>
      </c>
      <c r="AI161">
        <f ca="1">IFERROR(IF(0=LEN(ReferenceData!$AI$161),"",ReferenceData!$AI$161),"")</f>
        <v>-234.57</v>
      </c>
      <c r="AJ161">
        <f ca="1">IFERROR(IF(0=LEN(ReferenceData!$AJ$161),"",ReferenceData!$AJ$161),"")</f>
        <v>-207.202</v>
      </c>
      <c r="AK161">
        <f ca="1">IFERROR(IF(0=LEN(ReferenceData!$AK$161),"",ReferenceData!$AK$161),"")</f>
        <v>-181.73</v>
      </c>
      <c r="AL161">
        <f ca="1">IFERROR(IF(0=LEN(ReferenceData!$AL$161),"",ReferenceData!$AL$161),"")</f>
        <v>-156.18799999999999</v>
      </c>
      <c r="AM161">
        <f ca="1">IFERROR(IF(0=LEN(ReferenceData!$AM$161),"",ReferenceData!$AM$161),"")</f>
        <v>-136.21600000000001</v>
      </c>
      <c r="AN161">
        <f ca="1">IFERROR(IF(0=LEN(ReferenceData!$AN$161),"",ReferenceData!$AN$161),"")</f>
        <v>-108.45099999999999</v>
      </c>
      <c r="AO161" t="str">
        <f ca="1">IFERROR(IF(0=LEN(ReferenceData!$AO$161),"",ReferenceData!$AO$161),"")</f>
        <v/>
      </c>
      <c r="AP161" t="str">
        <f ca="1">IFERROR(IF(0=LEN(ReferenceData!$AP$161),"",ReferenceData!$AP$161),"")</f>
        <v/>
      </c>
      <c r="AQ161" t="str">
        <f ca="1">IFERROR(IF(0=LEN(ReferenceData!$AQ$161),"",ReferenceData!$AQ$161),"")</f>
        <v/>
      </c>
      <c r="AR161" t="str">
        <f ca="1">IFERROR(IF(0=LEN(ReferenceData!$AR$161),"",ReferenceData!$AR$161),"")</f>
        <v/>
      </c>
      <c r="AS161" t="str">
        <f ca="1">IFERROR(IF(0=LEN(ReferenceData!$AS$161),"",ReferenceData!$AS$161),"")</f>
        <v/>
      </c>
      <c r="AT161" t="str">
        <f ca="1">IFERROR(IF(0=LEN(ReferenceData!$AT$161),"",ReferenceData!$AT$161),"")</f>
        <v/>
      </c>
      <c r="AU161" t="str">
        <f ca="1">IFERROR(IF(0=LEN(ReferenceData!$AU$161),"",ReferenceData!$AU$161),"")</f>
        <v/>
      </c>
      <c r="AV161" t="str">
        <f ca="1">IFERROR(IF(0=LEN(ReferenceData!$AV$161),"",ReferenceData!$AV$161),"")</f>
        <v/>
      </c>
      <c r="AW161" t="str">
        <f ca="1">IFERROR(IF(0=LEN(ReferenceData!$AW$161),"",ReferenceData!$AW$161),"")</f>
        <v/>
      </c>
      <c r="AX161" t="str">
        <f ca="1">IFERROR(IF(0=LEN(ReferenceData!$AX$161),"",ReferenceData!$AX$161),"")</f>
        <v/>
      </c>
      <c r="AY161" t="str">
        <f ca="1">IFERROR(IF(0=LEN(ReferenceData!$AY$161),"",ReferenceData!$AY$161),"")</f>
        <v/>
      </c>
      <c r="AZ161" t="str">
        <f ca="1">IFERROR(IF(0=LEN(ReferenceData!$AZ$161),"",ReferenceData!$AZ$161),"")</f>
        <v/>
      </c>
      <c r="BA161" t="str">
        <f ca="1">IFERROR(IF(0=LEN(ReferenceData!$BA$161),"",ReferenceData!$BA$161),"")</f>
        <v/>
      </c>
      <c r="BB161" t="str">
        <f ca="1">IFERROR(IF(0=LEN(ReferenceData!$BB$161),"",ReferenceData!$BB$161),"")</f>
        <v/>
      </c>
      <c r="BC161" t="str">
        <f ca="1">IFERROR(IF(0=LEN(ReferenceData!$BC$161),"",ReferenceData!$BC$161),"")</f>
        <v/>
      </c>
      <c r="BD161" t="str">
        <f ca="1">IFERROR(IF(0=LEN(ReferenceData!$BD$161),"",ReferenceData!$BD$161),"")</f>
        <v/>
      </c>
      <c r="BE161" t="str">
        <f ca="1">IFERROR(IF(0=LEN(ReferenceData!$BE$161),"",ReferenceData!$BE$161),"")</f>
        <v/>
      </c>
      <c r="BF161" t="str">
        <f ca="1">IFERROR(IF(0=LEN(ReferenceData!$BF$161),"",ReferenceData!$BF$161),"")</f>
        <v/>
      </c>
      <c r="BG161" t="str">
        <f ca="1">IFERROR(IF(0=LEN(ReferenceData!$BG$161),"",ReferenceData!$BG$161),"")</f>
        <v/>
      </c>
      <c r="BH161" t="str">
        <f ca="1">IFERROR(IF(0=LEN(ReferenceData!$BH$161),"",ReferenceData!$BH$161),"")</f>
        <v/>
      </c>
      <c r="BI161" t="str">
        <f ca="1">IFERROR(IF(0=LEN(ReferenceData!$BI$161),"",ReferenceData!$BI$161),"")</f>
        <v/>
      </c>
      <c r="BJ161" t="str">
        <f ca="1">IFERROR(IF(0=LEN(ReferenceData!$BJ$161),"",ReferenceData!$BJ$161),"")</f>
        <v/>
      </c>
      <c r="BK161" t="str">
        <f ca="1">IFERROR(IF(0=LEN(ReferenceData!$BK$161),"",ReferenceData!$BK$161),"")</f>
        <v/>
      </c>
      <c r="BL161" t="str">
        <f ca="1">IFERROR(IF(0=LEN(ReferenceData!$BL$161),"",ReferenceData!$BL$161),"")</f>
        <v/>
      </c>
      <c r="BM161" t="str">
        <f ca="1">IFERROR(IF(0=LEN(ReferenceData!$BM$161),"",ReferenceData!$BM$161),"")</f>
        <v/>
      </c>
    </row>
    <row r="162" spans="1:65" x14ac:dyDescent="0.25">
      <c r="A162" t="str">
        <f>IFERROR(IF(0=LEN(ReferenceData!$A$162),"",ReferenceData!$A$162),"")</f>
        <v xml:space="preserve">    Tianjin Faw Xiali Automobile Co Ltd</v>
      </c>
      <c r="B162" t="str">
        <f>IFERROR(IF(0=LEN(ReferenceData!$B$162),"",ReferenceData!$B$162),"")</f>
        <v>000927 CH Equity</v>
      </c>
      <c r="C162" t="str">
        <f>IFERROR(IF(0=LEN(ReferenceData!$C$162),"",ReferenceData!$C$162),"")</f>
        <v>RR841</v>
      </c>
      <c r="D162" t="str">
        <f>IFERROR(IF(0=LEN(ReferenceData!$D$162),"",ReferenceData!$D$162),"")</f>
        <v>TRAIL_12M_EBITDA</v>
      </c>
      <c r="E162" t="str">
        <f>IFERROR(IF(0=LEN(ReferenceData!$E$162),"",ReferenceData!$E$162),"")</f>
        <v>Dynamic</v>
      </c>
      <c r="F162" t="str">
        <f ca="1">IFERROR(IF(0=LEN(ReferenceData!$F$162),"",ReferenceData!$F$162),"")</f>
        <v/>
      </c>
      <c r="G162" t="str">
        <f ca="1">IFERROR(IF(0=LEN(ReferenceData!$G$162),"",ReferenceData!$G$162),"")</f>
        <v/>
      </c>
      <c r="H162" t="str">
        <f ca="1">IFERROR(IF(0=LEN(ReferenceData!$H$162),"",ReferenceData!$H$162),"")</f>
        <v/>
      </c>
      <c r="I162" t="str">
        <f ca="1">IFERROR(IF(0=LEN(ReferenceData!$I$162),"",ReferenceData!$I$162),"")</f>
        <v/>
      </c>
      <c r="J162" t="str">
        <f ca="1">IFERROR(IF(0=LEN(ReferenceData!$J$162),"",ReferenceData!$J$162),"")</f>
        <v/>
      </c>
      <c r="K162" t="str">
        <f ca="1">IFERROR(IF(0=LEN(ReferenceData!$K$162),"",ReferenceData!$K$162),"")</f>
        <v/>
      </c>
      <c r="L162" t="str">
        <f ca="1">IFERROR(IF(0=LEN(ReferenceData!$L$162),"",ReferenceData!$L$162),"")</f>
        <v/>
      </c>
      <c r="M162" t="str">
        <f ca="1">IFERROR(IF(0=LEN(ReferenceData!$M$162),"",ReferenceData!$M$162),"")</f>
        <v/>
      </c>
      <c r="N162" t="str">
        <f ca="1">IFERROR(IF(0=LEN(ReferenceData!$N$162),"",ReferenceData!$N$162),"")</f>
        <v/>
      </c>
      <c r="O162" t="str">
        <f ca="1">IFERROR(IF(0=LEN(ReferenceData!$O$162),"",ReferenceData!$O$162),"")</f>
        <v/>
      </c>
      <c r="P162" t="str">
        <f ca="1">IFERROR(IF(0=LEN(ReferenceData!$P$162),"",ReferenceData!$P$162),"")</f>
        <v/>
      </c>
      <c r="Q162" t="str">
        <f ca="1">IFERROR(IF(0=LEN(ReferenceData!$Q$162),"",ReferenceData!$Q$162),"")</f>
        <v/>
      </c>
      <c r="R162" t="str">
        <f ca="1">IFERROR(IF(0=LEN(ReferenceData!$R$162),"",ReferenceData!$R$162),"")</f>
        <v/>
      </c>
      <c r="S162" t="str">
        <f ca="1">IFERROR(IF(0=LEN(ReferenceData!$S$162),"",ReferenceData!$S$162),"")</f>
        <v/>
      </c>
      <c r="T162" t="str">
        <f ca="1">IFERROR(IF(0=LEN(ReferenceData!$T$162),"",ReferenceData!$T$162),"")</f>
        <v/>
      </c>
      <c r="U162" t="str">
        <f ca="1">IFERROR(IF(0=LEN(ReferenceData!$U$162),"",ReferenceData!$U$162),"")</f>
        <v/>
      </c>
      <c r="V162" t="str">
        <f ca="1">IFERROR(IF(0=LEN(ReferenceData!$V$162),"",ReferenceData!$V$162),"")</f>
        <v/>
      </c>
      <c r="W162" t="str">
        <f ca="1">IFERROR(IF(0=LEN(ReferenceData!$W$162),"",ReferenceData!$W$162),"")</f>
        <v/>
      </c>
      <c r="X162" t="str">
        <f ca="1">IFERROR(IF(0=LEN(ReferenceData!$X$162),"",ReferenceData!$X$162),"")</f>
        <v/>
      </c>
      <c r="Y162" t="str">
        <f ca="1">IFERROR(IF(0=LEN(ReferenceData!$Y$162),"",ReferenceData!$Y$162),"")</f>
        <v/>
      </c>
      <c r="Z162" t="str">
        <f ca="1">IFERROR(IF(0=LEN(ReferenceData!$Z$162),"",ReferenceData!$Z$162),"")</f>
        <v/>
      </c>
      <c r="AA162" t="str">
        <f ca="1">IFERROR(IF(0=LEN(ReferenceData!$AA$162),"",ReferenceData!$AA$162),"")</f>
        <v/>
      </c>
      <c r="AB162" t="str">
        <f ca="1">IFERROR(IF(0=LEN(ReferenceData!$AB$162),"",ReferenceData!$AB$162),"")</f>
        <v/>
      </c>
      <c r="AC162" t="str">
        <f ca="1">IFERROR(IF(0=LEN(ReferenceData!$AC$162),"",ReferenceData!$AC$162),"")</f>
        <v/>
      </c>
      <c r="AD162" t="str">
        <f ca="1">IFERROR(IF(0=LEN(ReferenceData!$AD$162),"",ReferenceData!$AD$162),"")</f>
        <v/>
      </c>
      <c r="AE162" t="str">
        <f ca="1">IFERROR(IF(0=LEN(ReferenceData!$AE$162),"",ReferenceData!$AE$162),"")</f>
        <v/>
      </c>
      <c r="AF162" t="str">
        <f ca="1">IFERROR(IF(0=LEN(ReferenceData!$AF$162),"",ReferenceData!$AF$162),"")</f>
        <v/>
      </c>
      <c r="AG162" t="str">
        <f ca="1">IFERROR(IF(0=LEN(ReferenceData!$AG$162),"",ReferenceData!$AG$162),"")</f>
        <v/>
      </c>
      <c r="AH162" t="str">
        <f ca="1">IFERROR(IF(0=LEN(ReferenceData!$AH$162),"",ReferenceData!$AH$162),"")</f>
        <v/>
      </c>
      <c r="AI162" t="str">
        <f ca="1">IFERROR(IF(0=LEN(ReferenceData!$AI$162),"",ReferenceData!$AI$162),"")</f>
        <v/>
      </c>
      <c r="AJ162" t="str">
        <f ca="1">IFERROR(IF(0=LEN(ReferenceData!$AJ$162),"",ReferenceData!$AJ$162),"")</f>
        <v/>
      </c>
      <c r="AK162" t="str">
        <f ca="1">IFERROR(IF(0=LEN(ReferenceData!$AK$162),"",ReferenceData!$AK$162),"")</f>
        <v/>
      </c>
      <c r="AL162" t="str">
        <f ca="1">IFERROR(IF(0=LEN(ReferenceData!$AL$162),"",ReferenceData!$AL$162),"")</f>
        <v/>
      </c>
      <c r="AM162" t="str">
        <f ca="1">IFERROR(IF(0=LEN(ReferenceData!$AM$162),"",ReferenceData!$AM$162),"")</f>
        <v/>
      </c>
      <c r="AN162" t="str">
        <f ca="1">IFERROR(IF(0=LEN(ReferenceData!$AN$162),"",ReferenceData!$AN$162),"")</f>
        <v/>
      </c>
      <c r="AO162" t="str">
        <f ca="1">IFERROR(IF(0=LEN(ReferenceData!$AO$162),"",ReferenceData!$AO$162),"")</f>
        <v/>
      </c>
      <c r="AP162" t="str">
        <f ca="1">IFERROR(IF(0=LEN(ReferenceData!$AP$162),"",ReferenceData!$AP$162),"")</f>
        <v/>
      </c>
      <c r="AQ162" t="str">
        <f ca="1">IFERROR(IF(0=LEN(ReferenceData!$AQ$162),"",ReferenceData!$AQ$162),"")</f>
        <v/>
      </c>
      <c r="AR162" t="str">
        <f ca="1">IFERROR(IF(0=LEN(ReferenceData!$AR$162),"",ReferenceData!$AR$162),"")</f>
        <v/>
      </c>
      <c r="AS162" t="str">
        <f ca="1">IFERROR(IF(0=LEN(ReferenceData!$AS$162),"",ReferenceData!$AS$162),"")</f>
        <v/>
      </c>
      <c r="AT162" t="str">
        <f ca="1">IFERROR(IF(0=LEN(ReferenceData!$AT$162),"",ReferenceData!$AT$162),"")</f>
        <v/>
      </c>
      <c r="AU162" t="str">
        <f ca="1">IFERROR(IF(0=LEN(ReferenceData!$AU$162),"",ReferenceData!$AU$162),"")</f>
        <v/>
      </c>
      <c r="AV162" t="str">
        <f ca="1">IFERROR(IF(0=LEN(ReferenceData!$AV$162),"",ReferenceData!$AV$162),"")</f>
        <v/>
      </c>
      <c r="AW162" t="str">
        <f ca="1">IFERROR(IF(0=LEN(ReferenceData!$AW$162),"",ReferenceData!$AW$162),"")</f>
        <v/>
      </c>
      <c r="AX162" t="str">
        <f ca="1">IFERROR(IF(0=LEN(ReferenceData!$AX$162),"",ReferenceData!$AX$162),"")</f>
        <v/>
      </c>
      <c r="AY162" t="str">
        <f ca="1">IFERROR(IF(0=LEN(ReferenceData!$AY$162),"",ReferenceData!$AY$162),"")</f>
        <v/>
      </c>
      <c r="AZ162" t="str">
        <f ca="1">IFERROR(IF(0=LEN(ReferenceData!$AZ$162),"",ReferenceData!$AZ$162),"")</f>
        <v/>
      </c>
      <c r="BA162" t="str">
        <f ca="1">IFERROR(IF(0=LEN(ReferenceData!$BA$162),"",ReferenceData!$BA$162),"")</f>
        <v/>
      </c>
      <c r="BB162" t="str">
        <f ca="1">IFERROR(IF(0=LEN(ReferenceData!$BB$162),"",ReferenceData!$BB$162),"")</f>
        <v/>
      </c>
      <c r="BC162" t="str">
        <f ca="1">IFERROR(IF(0=LEN(ReferenceData!$BC$162),"",ReferenceData!$BC$162),"")</f>
        <v/>
      </c>
      <c r="BD162" t="str">
        <f ca="1">IFERROR(IF(0=LEN(ReferenceData!$BD$162),"",ReferenceData!$BD$162),"")</f>
        <v/>
      </c>
      <c r="BE162" t="str">
        <f ca="1">IFERROR(IF(0=LEN(ReferenceData!$BE$162),"",ReferenceData!$BE$162),"")</f>
        <v/>
      </c>
      <c r="BF162" t="str">
        <f ca="1">IFERROR(IF(0=LEN(ReferenceData!$BF$162),"",ReferenceData!$BF$162),"")</f>
        <v/>
      </c>
      <c r="BG162">
        <f ca="1">IFERROR(IF(0=LEN(ReferenceData!$BG$162),"",ReferenceData!$BG$162),"")</f>
        <v>52.952019659999998</v>
      </c>
      <c r="BH162">
        <f ca="1">IFERROR(IF(0=LEN(ReferenceData!$BH$162),"",ReferenceData!$BH$162),"")</f>
        <v>52.783742539999999</v>
      </c>
      <c r="BI162">
        <f ca="1">IFERROR(IF(0=LEN(ReferenceData!$BI$162),"",ReferenceData!$BI$162),"")</f>
        <v>36.037269379999998</v>
      </c>
      <c r="BJ162">
        <f ca="1">IFERROR(IF(0=LEN(ReferenceData!$BJ$162),"",ReferenceData!$BJ$162),"")</f>
        <v>33.174308140000001</v>
      </c>
      <c r="BK162">
        <f ca="1">IFERROR(IF(0=LEN(ReferenceData!$BK$162),"",ReferenceData!$BK$162),"")</f>
        <v>30.483878260000001</v>
      </c>
      <c r="BL162">
        <f ca="1">IFERROR(IF(0=LEN(ReferenceData!$BL$162),"",ReferenceData!$BL$162),"")</f>
        <v>17.85442025</v>
      </c>
      <c r="BM162">
        <f ca="1">IFERROR(IF(0=LEN(ReferenceData!$BM$162),"",ReferenceData!$BM$162),"")</f>
        <v>24.242222630000001</v>
      </c>
    </row>
    <row r="163" spans="1:65" x14ac:dyDescent="0.25">
      <c r="A163" t="str">
        <f>IFERROR(IF(0=LEN(ReferenceData!$A$163),"",ReferenceData!$A$163),"")</f>
        <v xml:space="preserve">    Tofas Turk Otomobil Fabrikasi AS</v>
      </c>
      <c r="B163" t="str">
        <f>IFERROR(IF(0=LEN(ReferenceData!$B$163),"",ReferenceData!$B$163),"")</f>
        <v>TOASOTRY EO Equity</v>
      </c>
      <c r="C163" t="str">
        <f>IFERROR(IF(0=LEN(ReferenceData!$C$163),"",ReferenceData!$C$163),"")</f>
        <v>RR841</v>
      </c>
      <c r="D163" t="str">
        <f>IFERROR(IF(0=LEN(ReferenceData!$D$163),"",ReferenceData!$D$163),"")</f>
        <v>TRAIL_12M_EBITDA</v>
      </c>
      <c r="E163" t="str">
        <f>IFERROR(IF(0=LEN(ReferenceData!$E$163),"",ReferenceData!$E$163),"")</f>
        <v>Dynamic</v>
      </c>
      <c r="F163" t="str">
        <f ca="1">IFERROR(IF(0=LEN(ReferenceData!$F$163),"",ReferenceData!$F$163),"")</f>
        <v/>
      </c>
      <c r="G163">
        <f ca="1">IFERROR(IF(0=LEN(ReferenceData!$G$163),"",ReferenceData!$G$163),"")</f>
        <v>537.76120040000001</v>
      </c>
      <c r="H163">
        <f ca="1">IFERROR(IF(0=LEN(ReferenceData!$H$163),"",ReferenceData!$H$163),"")</f>
        <v>269.15608129999998</v>
      </c>
      <c r="I163">
        <f ca="1">IFERROR(IF(0=LEN(ReferenceData!$I$163),"",ReferenceData!$I$163),"")</f>
        <v>228.37811199999999</v>
      </c>
      <c r="J163">
        <f ca="1">IFERROR(IF(0=LEN(ReferenceData!$J$163),"",ReferenceData!$J$163),"")</f>
        <v>-24.212015959999999</v>
      </c>
      <c r="K163">
        <f ca="1">IFERROR(IF(0=LEN(ReferenceData!$K$163),"",ReferenceData!$K$163),"")</f>
        <v>-48.771878549999997</v>
      </c>
      <c r="L163">
        <f ca="1">IFERROR(IF(0=LEN(ReferenceData!$L$163),"",ReferenceData!$L$163),"")</f>
        <v>563.99542029999998</v>
      </c>
      <c r="M163">
        <f ca="1">IFERROR(IF(0=LEN(ReferenceData!$M$163),"",ReferenceData!$M$163),"")</f>
        <v>545.10654939999995</v>
      </c>
      <c r="N163">
        <f ca="1">IFERROR(IF(0=LEN(ReferenceData!$N$163),"",ReferenceData!$N$163),"")</f>
        <v>480.12563710000001</v>
      </c>
      <c r="O163">
        <f ca="1">IFERROR(IF(0=LEN(ReferenceData!$O$163),"",ReferenceData!$O$163),"")</f>
        <v>454.62218710000002</v>
      </c>
      <c r="P163">
        <f ca="1">IFERROR(IF(0=LEN(ReferenceData!$P$163),"",ReferenceData!$P$163),"")</f>
        <v>405.86266449999999</v>
      </c>
      <c r="Q163">
        <f ca="1">IFERROR(IF(0=LEN(ReferenceData!$Q$163),"",ReferenceData!$Q$163),"")</f>
        <v>399.26684820000003</v>
      </c>
      <c r="R163">
        <f ca="1">IFERROR(IF(0=LEN(ReferenceData!$R$163),"",ReferenceData!$R$163),"")</f>
        <v>383.08340930000003</v>
      </c>
      <c r="S163">
        <f ca="1">IFERROR(IF(0=LEN(ReferenceData!$S$163),"",ReferenceData!$S$163),"")</f>
        <v>392.7653904</v>
      </c>
      <c r="T163">
        <f ca="1">IFERROR(IF(0=LEN(ReferenceData!$T$163),"",ReferenceData!$T$163),"")</f>
        <v>386.67501090000002</v>
      </c>
      <c r="U163">
        <f ca="1">IFERROR(IF(0=LEN(ReferenceData!$U$163),"",ReferenceData!$U$163),"")</f>
        <v>380.57127059999999</v>
      </c>
      <c r="V163">
        <f ca="1">IFERROR(IF(0=LEN(ReferenceData!$V$163),"",ReferenceData!$V$163),"")</f>
        <v>377.78387079999999</v>
      </c>
      <c r="W163">
        <f ca="1">IFERROR(IF(0=LEN(ReferenceData!$W$163),"",ReferenceData!$W$163),"")</f>
        <v>376.45235709999997</v>
      </c>
      <c r="X163">
        <f ca="1">IFERROR(IF(0=LEN(ReferenceData!$X$163),"",ReferenceData!$X$163),"")</f>
        <v>399.41100949999998</v>
      </c>
      <c r="Y163">
        <f ca="1">IFERROR(IF(0=LEN(ReferenceData!$Y$163),"",ReferenceData!$Y$163),"")</f>
        <v>414.03724929999998</v>
      </c>
      <c r="Z163">
        <f ca="1">IFERROR(IF(0=LEN(ReferenceData!$Z$163),"",ReferenceData!$Z$163),"")</f>
        <v>417.8919884</v>
      </c>
      <c r="AA163">
        <f ca="1">IFERROR(IF(0=LEN(ReferenceData!$AA$163),"",ReferenceData!$AA$163),"")</f>
        <v>431.05861390000001</v>
      </c>
      <c r="AB163">
        <f ca="1">IFERROR(IF(0=LEN(ReferenceData!$AB$163),"",ReferenceData!$AB$163),"")</f>
        <v>469.61700080000003</v>
      </c>
      <c r="AC163">
        <f ca="1">IFERROR(IF(0=LEN(ReferenceData!$AC$163),"",ReferenceData!$AC$163),"")</f>
        <v>469.84379710000002</v>
      </c>
      <c r="AD163">
        <f ca="1">IFERROR(IF(0=LEN(ReferenceData!$AD$163),"",ReferenceData!$AD$163),"")</f>
        <v>485.08909060000002</v>
      </c>
      <c r="AE163">
        <f ca="1">IFERROR(IF(0=LEN(ReferenceData!$AE$163),"",ReferenceData!$AE$163),"")</f>
        <v>469.55339780000003</v>
      </c>
      <c r="AF163">
        <f ca="1">IFERROR(IF(0=LEN(ReferenceData!$AF$163),"",ReferenceData!$AF$163),"")</f>
        <v>441.98896969999998</v>
      </c>
      <c r="AG163">
        <f ca="1">IFERROR(IF(0=LEN(ReferenceData!$AG$163),"",ReferenceData!$AG$163),"")</f>
        <v>459.08717430000002</v>
      </c>
      <c r="AH163">
        <f ca="1">IFERROR(IF(0=LEN(ReferenceData!$AH$163),"",ReferenceData!$AH$163),"")</f>
        <v>468.97486300000003</v>
      </c>
      <c r="AI163">
        <f ca="1">IFERROR(IF(0=LEN(ReferenceData!$AI$163),"",ReferenceData!$AI$163),"")</f>
        <v>471.03793899999999</v>
      </c>
      <c r="AJ163">
        <f ca="1">IFERROR(IF(0=LEN(ReferenceData!$AJ$163),"",ReferenceData!$AJ$163),"")</f>
        <v>497.00910750000003</v>
      </c>
      <c r="AK163">
        <f ca="1">IFERROR(IF(0=LEN(ReferenceData!$AK$163),"",ReferenceData!$AK$163),"")</f>
        <v>469.52887290000001</v>
      </c>
      <c r="AL163">
        <f ca="1">IFERROR(IF(0=LEN(ReferenceData!$AL$163),"",ReferenceData!$AL$163),"")</f>
        <v>438.91552990000002</v>
      </c>
      <c r="AM163">
        <f ca="1">IFERROR(IF(0=LEN(ReferenceData!$AM$163),"",ReferenceData!$AM$163),"")</f>
        <v>434.60676310000002</v>
      </c>
      <c r="AN163">
        <f ca="1">IFERROR(IF(0=LEN(ReferenceData!$AN$163),"",ReferenceData!$AN$163),"")</f>
        <v>379.4015038</v>
      </c>
      <c r="AO163">
        <f ca="1">IFERROR(IF(0=LEN(ReferenceData!$AO$163),"",ReferenceData!$AO$163),"")</f>
        <v>385.88184209999997</v>
      </c>
      <c r="AP163">
        <f ca="1">IFERROR(IF(0=LEN(ReferenceData!$AP$163),"",ReferenceData!$AP$163),"")</f>
        <v>356.21685170000001</v>
      </c>
      <c r="AQ163">
        <f ca="1">IFERROR(IF(0=LEN(ReferenceData!$AQ$163),"",ReferenceData!$AQ$163),"")</f>
        <v>307.38953099999998</v>
      </c>
      <c r="AR163">
        <f ca="1">IFERROR(IF(0=LEN(ReferenceData!$AR$163),"",ReferenceData!$AR$163),"")</f>
        <v>306.98078959999998</v>
      </c>
      <c r="AS163">
        <f ca="1">IFERROR(IF(0=LEN(ReferenceData!$AS$163),"",ReferenceData!$AS$163),"")</f>
        <v>294.11104519999998</v>
      </c>
      <c r="AT163">
        <f ca="1">IFERROR(IF(0=LEN(ReferenceData!$AT$163),"",ReferenceData!$AT$163),"")</f>
        <v>335.46838500000001</v>
      </c>
      <c r="AU163">
        <f ca="1">IFERROR(IF(0=LEN(ReferenceData!$AU$163),"",ReferenceData!$AU$163),"")</f>
        <v>372.91058609999999</v>
      </c>
      <c r="AV163">
        <f ca="1">IFERROR(IF(0=LEN(ReferenceData!$AV$163),"",ReferenceData!$AV$163),"")</f>
        <v>362.47961670000001</v>
      </c>
      <c r="AW163">
        <f ca="1">IFERROR(IF(0=LEN(ReferenceData!$AW$163),"",ReferenceData!$AW$163),"")</f>
        <v>331.11100069999998</v>
      </c>
      <c r="AX163">
        <f ca="1">IFERROR(IF(0=LEN(ReferenceData!$AX$163),"",ReferenceData!$AX$163),"")</f>
        <v>255.45703810000001</v>
      </c>
      <c r="AY163">
        <f ca="1">IFERROR(IF(0=LEN(ReferenceData!$AY$163),"",ReferenceData!$AY$163),"")</f>
        <v>195.30661409999999</v>
      </c>
      <c r="AZ163">
        <f ca="1">IFERROR(IF(0=LEN(ReferenceData!$AZ$163),"",ReferenceData!$AZ$163),"")</f>
        <v>167.41534870000001</v>
      </c>
      <c r="BA163">
        <f ca="1">IFERROR(IF(0=LEN(ReferenceData!$BA$163),"",ReferenceData!$BA$163),"")</f>
        <v>130.56264160000001</v>
      </c>
      <c r="BB163">
        <f ca="1">IFERROR(IF(0=LEN(ReferenceData!$BB$163),"",ReferenceData!$BB$163),"")</f>
        <v>136.57201090000001</v>
      </c>
      <c r="BC163">
        <f ca="1">IFERROR(IF(0=LEN(ReferenceData!$BC$163),"",ReferenceData!$BC$163),"")</f>
        <v>131.48608100000001</v>
      </c>
      <c r="BD163">
        <f ca="1">IFERROR(IF(0=LEN(ReferenceData!$BD$163),"",ReferenceData!$BD$163),"")</f>
        <v>131.98629009999999</v>
      </c>
      <c r="BE163">
        <f ca="1">IFERROR(IF(0=LEN(ReferenceData!$BE$163),"",ReferenceData!$BE$163),"")</f>
        <v>148.33038210000001</v>
      </c>
      <c r="BF163">
        <f ca="1">IFERROR(IF(0=LEN(ReferenceData!$BF$163),"",ReferenceData!$BF$163),"")</f>
        <v>136.96902510000001</v>
      </c>
      <c r="BG163">
        <f ca="1">IFERROR(IF(0=LEN(ReferenceData!$BG$163),"",ReferenceData!$BG$163),"")</f>
        <v>125.57817129999999</v>
      </c>
      <c r="BH163" t="str">
        <f ca="1">IFERROR(IF(0=LEN(ReferenceData!$BH$163),"",ReferenceData!$BH$163),"")</f>
        <v/>
      </c>
      <c r="BI163" t="str">
        <f ca="1">IFERROR(IF(0=LEN(ReferenceData!$BI$163),"",ReferenceData!$BI$163),"")</f>
        <v/>
      </c>
      <c r="BJ163" t="str">
        <f ca="1">IFERROR(IF(0=LEN(ReferenceData!$BJ$163),"",ReferenceData!$BJ$163),"")</f>
        <v/>
      </c>
      <c r="BK163" t="str">
        <f ca="1">IFERROR(IF(0=LEN(ReferenceData!$BK$163),"",ReferenceData!$BK$163),"")</f>
        <v/>
      </c>
      <c r="BL163" t="str">
        <f ca="1">IFERROR(IF(0=LEN(ReferenceData!$BL$163),"",ReferenceData!$BL$163),"")</f>
        <v/>
      </c>
      <c r="BM163" t="str">
        <f ca="1">IFERROR(IF(0=LEN(ReferenceData!$BM$163),"",ReferenceData!$BM$163),"")</f>
        <v/>
      </c>
    </row>
    <row r="164" spans="1:65" x14ac:dyDescent="0.25">
      <c r="A164" t="str">
        <f>IFERROR(IF(0=LEN(ReferenceData!$A$164),"",ReferenceData!$A$164),"")</f>
        <v xml:space="preserve">    Toyota Motor Corp</v>
      </c>
      <c r="B164" t="str">
        <f>IFERROR(IF(0=LEN(ReferenceData!$B$164),"",ReferenceData!$B$164),"")</f>
        <v>7203 JP Equity</v>
      </c>
      <c r="C164" t="str">
        <f>IFERROR(IF(0=LEN(ReferenceData!$C$164),"",ReferenceData!$C$164),"")</f>
        <v>RR841</v>
      </c>
      <c r="D164" t="str">
        <f>IFERROR(IF(0=LEN(ReferenceData!$D$164),"",ReferenceData!$D$164),"")</f>
        <v>TRAIL_12M_EBITDA</v>
      </c>
      <c r="E164" t="str">
        <f>IFERROR(IF(0=LEN(ReferenceData!$E$164),"",ReferenceData!$E$164),"")</f>
        <v>Dynamic</v>
      </c>
      <c r="F164" t="str">
        <f ca="1">IFERROR(IF(0=LEN(ReferenceData!$F$164),"",ReferenceData!$F$164),"")</f>
        <v/>
      </c>
      <c r="G164">
        <f ca="1">IFERROR(IF(0=LEN(ReferenceData!$G$164),"",ReferenceData!$G$164),"")</f>
        <v>39336.628409999998</v>
      </c>
      <c r="H164">
        <f ca="1">IFERROR(IF(0=LEN(ReferenceData!$H$164),"",ReferenceData!$H$164),"")</f>
        <v>39216.996180000002</v>
      </c>
      <c r="I164">
        <f ca="1">IFERROR(IF(0=LEN(ReferenceData!$I$164),"",ReferenceData!$I$164),"")</f>
        <v>38582.718650000003</v>
      </c>
      <c r="J164">
        <f ca="1">IFERROR(IF(0=LEN(ReferenceData!$J$164),"",ReferenceData!$J$164),"")</f>
        <v>37311.838949999998</v>
      </c>
      <c r="K164">
        <f ca="1">IFERROR(IF(0=LEN(ReferenceData!$K$164),"",ReferenceData!$K$164),"")</f>
        <v>35018.113689999998</v>
      </c>
      <c r="L164">
        <f ca="1">IFERROR(IF(0=LEN(ReferenceData!$L$164),"",ReferenceData!$L$164),"")</f>
        <v>32838.810030000001</v>
      </c>
      <c r="M164">
        <f ca="1">IFERROR(IF(0=LEN(ReferenceData!$M$164),"",ReferenceData!$M$164),"")</f>
        <v>32653.79263</v>
      </c>
      <c r="N164">
        <f ca="1">IFERROR(IF(0=LEN(ReferenceData!$N$164),"",ReferenceData!$N$164),"")</f>
        <v>33350.877189999999</v>
      </c>
      <c r="O164">
        <f ca="1">IFERROR(IF(0=LEN(ReferenceData!$O$164),"",ReferenceData!$O$164),"")</f>
        <v>33883.133670000003</v>
      </c>
      <c r="P164">
        <f ca="1">IFERROR(IF(0=LEN(ReferenceData!$P$164),"",ReferenceData!$P$164),"")</f>
        <v>35921.46658</v>
      </c>
      <c r="Q164">
        <f ca="1">IFERROR(IF(0=LEN(ReferenceData!$Q$164),"",ReferenceData!$Q$164),"")</f>
        <v>37516.6152</v>
      </c>
      <c r="R164">
        <f ca="1">IFERROR(IF(0=LEN(ReferenceData!$R$164),"",ReferenceData!$R$164),"")</f>
        <v>37346.43937</v>
      </c>
      <c r="S164">
        <f ca="1">IFERROR(IF(0=LEN(ReferenceData!$S$164),"",ReferenceData!$S$164),"")</f>
        <v>37702.219060000003</v>
      </c>
      <c r="T164">
        <f ca="1">IFERROR(IF(0=LEN(ReferenceData!$T$164),"",ReferenceData!$T$164),"")</f>
        <v>38001.086560000003</v>
      </c>
      <c r="U164">
        <f ca="1">IFERROR(IF(0=LEN(ReferenceData!$U$164),"",ReferenceData!$U$164),"")</f>
        <v>37548.82892</v>
      </c>
      <c r="V164">
        <f ca="1">IFERROR(IF(0=LEN(ReferenceData!$V$164),"",ReferenceData!$V$164),"")</f>
        <v>38028.29823</v>
      </c>
      <c r="W164">
        <f ca="1">IFERROR(IF(0=LEN(ReferenceData!$W$164),"",ReferenceData!$W$164),"")</f>
        <v>36981.174440000003</v>
      </c>
      <c r="X164">
        <f ca="1">IFERROR(IF(0=LEN(ReferenceData!$X$164),"",ReferenceData!$X$164),"")</f>
        <v>36100.259850000002</v>
      </c>
      <c r="Y164">
        <f ca="1">IFERROR(IF(0=LEN(ReferenceData!$Y$164),"",ReferenceData!$Y$164),"")</f>
        <v>35646.004569999997</v>
      </c>
      <c r="Z164">
        <f ca="1">IFERROR(IF(0=LEN(ReferenceData!$Z$164),"",ReferenceData!$Z$164),"")</f>
        <v>35377.644800000002</v>
      </c>
      <c r="AA164">
        <f ca="1">IFERROR(IF(0=LEN(ReferenceData!$AA$164),"",ReferenceData!$AA$164),"")</f>
        <v>36726.252410000001</v>
      </c>
      <c r="AB164">
        <f ca="1">IFERROR(IF(0=LEN(ReferenceData!$AB$164),"",ReferenceData!$AB$164),"")</f>
        <v>33335.966619999999</v>
      </c>
      <c r="AC164">
        <f ca="1">IFERROR(IF(0=LEN(ReferenceData!$AC$164),"",ReferenceData!$AC$164),"")</f>
        <v>31902.43102</v>
      </c>
      <c r="AD164">
        <f ca="1">IFERROR(IF(0=LEN(ReferenceData!$AD$164),"",ReferenceData!$AD$164),"")</f>
        <v>29360.146659999999</v>
      </c>
      <c r="AE164">
        <f ca="1">IFERROR(IF(0=LEN(ReferenceData!$AE$164),"",ReferenceData!$AE$164),"")</f>
        <v>26726.536390000001</v>
      </c>
      <c r="AF164">
        <f ca="1">IFERROR(IF(0=LEN(ReferenceData!$AF$164),"",ReferenceData!$AF$164),"")</f>
        <v>27169.474470000001</v>
      </c>
      <c r="AG164">
        <f ca="1">IFERROR(IF(0=LEN(ReferenceData!$AG$164),"",ReferenceData!$AG$164),"")</f>
        <v>23950.332579999998</v>
      </c>
      <c r="AH164">
        <f ca="1">IFERROR(IF(0=LEN(ReferenceData!$AH$164),"",ReferenceData!$AH$164),"")</f>
        <v>18040.619770000001</v>
      </c>
      <c r="AI164">
        <f ca="1">IFERROR(IF(0=LEN(ReferenceData!$AI$164),"",ReferenceData!$AI$164),"")</f>
        <v>15709.3745</v>
      </c>
      <c r="AJ164">
        <f ca="1">IFERROR(IF(0=LEN(ReferenceData!$AJ$164),"",ReferenceData!$AJ$164),"")</f>
        <v>15131.24281</v>
      </c>
      <c r="AK164">
        <f ca="1">IFERROR(IF(0=LEN(ReferenceData!$AK$164),"",ReferenceData!$AK$164),"")</f>
        <v>15513.53311</v>
      </c>
      <c r="AL164">
        <f ca="1">IFERROR(IF(0=LEN(ReferenceData!$AL$164),"",ReferenceData!$AL$164),"")</f>
        <v>19235.133750000001</v>
      </c>
      <c r="AM164">
        <f ca="1">IFERROR(IF(0=LEN(ReferenceData!$AM$164),"",ReferenceData!$AM$164),"")</f>
        <v>20167.139009999999</v>
      </c>
      <c r="AN164">
        <f ca="1">IFERROR(IF(0=LEN(ReferenceData!$AN$164),"",ReferenceData!$AN$164),"")</f>
        <v>21465.30962</v>
      </c>
      <c r="AO164">
        <f ca="1">IFERROR(IF(0=LEN(ReferenceData!$AO$164),"",ReferenceData!$AO$164),"")</f>
        <v>21059.18331</v>
      </c>
      <c r="AP164">
        <f ca="1">IFERROR(IF(0=LEN(ReferenceData!$AP$164),"",ReferenceData!$AP$164),"")</f>
        <v>16843.64849</v>
      </c>
      <c r="AQ164">
        <f ca="1">IFERROR(IF(0=LEN(ReferenceData!$AQ$164),"",ReferenceData!$AQ$164),"")</f>
        <v>8583.6673300000002</v>
      </c>
      <c r="AR164">
        <f ca="1">IFERROR(IF(0=LEN(ReferenceData!$AR$164),"",ReferenceData!$AR$164),"")</f>
        <v>2735.194735</v>
      </c>
      <c r="AS164">
        <f ca="1">IFERROR(IF(0=LEN(ReferenceData!$AS$164),"",ReferenceData!$AS$164),"")</f>
        <v>4146.7764520000001</v>
      </c>
      <c r="AT164">
        <f ca="1">IFERROR(IF(0=LEN(ReferenceData!$AT$164),"",ReferenceData!$AT$164),"")</f>
        <v>10333.11593</v>
      </c>
      <c r="AU164" t="str">
        <f ca="1">IFERROR(IF(0=LEN(ReferenceData!$AU$164),"",ReferenceData!$AU$164),"")</f>
        <v/>
      </c>
      <c r="AV164" t="str">
        <f ca="1">IFERROR(IF(0=LEN(ReferenceData!$AV$164),"",ReferenceData!$AV$164),"")</f>
        <v/>
      </c>
      <c r="AW164" t="str">
        <f ca="1">IFERROR(IF(0=LEN(ReferenceData!$AW$164),"",ReferenceData!$AW$164),"")</f>
        <v/>
      </c>
      <c r="AX164" t="str">
        <f ca="1">IFERROR(IF(0=LEN(ReferenceData!$AX$164),"",ReferenceData!$AX$164),"")</f>
        <v/>
      </c>
      <c r="AY164" t="str">
        <f ca="1">IFERROR(IF(0=LEN(ReferenceData!$AY$164),"",ReferenceData!$AY$164),"")</f>
        <v/>
      </c>
      <c r="AZ164" t="str">
        <f ca="1">IFERROR(IF(0=LEN(ReferenceData!$AZ$164),"",ReferenceData!$AZ$164),"")</f>
        <v/>
      </c>
      <c r="BA164" t="str">
        <f ca="1">IFERROR(IF(0=LEN(ReferenceData!$BA$164),"",ReferenceData!$BA$164),"")</f>
        <v/>
      </c>
      <c r="BB164" t="str">
        <f ca="1">IFERROR(IF(0=LEN(ReferenceData!$BB$164),"",ReferenceData!$BB$164),"")</f>
        <v/>
      </c>
      <c r="BC164" t="str">
        <f ca="1">IFERROR(IF(0=LEN(ReferenceData!$BC$164),"",ReferenceData!$BC$164),"")</f>
        <v/>
      </c>
      <c r="BD164" t="str">
        <f ca="1">IFERROR(IF(0=LEN(ReferenceData!$BD$164),"",ReferenceData!$BD$164),"")</f>
        <v/>
      </c>
      <c r="BE164" t="str">
        <f ca="1">IFERROR(IF(0=LEN(ReferenceData!$BE$164),"",ReferenceData!$BE$164),"")</f>
        <v/>
      </c>
      <c r="BF164" t="str">
        <f ca="1">IFERROR(IF(0=LEN(ReferenceData!$BF$164),"",ReferenceData!$BF$164),"")</f>
        <v/>
      </c>
      <c r="BG164" t="str">
        <f ca="1">IFERROR(IF(0=LEN(ReferenceData!$BG$164),"",ReferenceData!$BG$164),"")</f>
        <v/>
      </c>
      <c r="BH164" t="str">
        <f ca="1">IFERROR(IF(0=LEN(ReferenceData!$BH$164),"",ReferenceData!$BH$164),"")</f>
        <v/>
      </c>
      <c r="BI164" t="str">
        <f ca="1">IFERROR(IF(0=LEN(ReferenceData!$BI$164),"",ReferenceData!$BI$164),"")</f>
        <v/>
      </c>
      <c r="BJ164" t="str">
        <f ca="1">IFERROR(IF(0=LEN(ReferenceData!$BJ$164),"",ReferenceData!$BJ$164),"")</f>
        <v/>
      </c>
      <c r="BK164" t="str">
        <f ca="1">IFERROR(IF(0=LEN(ReferenceData!$BK$164),"",ReferenceData!$BK$164),"")</f>
        <v/>
      </c>
      <c r="BL164" t="str">
        <f ca="1">IFERROR(IF(0=LEN(ReferenceData!$BL$164),"",ReferenceData!$BL$164),"")</f>
        <v/>
      </c>
      <c r="BM164" t="str">
        <f ca="1">IFERROR(IF(0=LEN(ReferenceData!$BM$164),"",ReferenceData!$BM$164),"")</f>
        <v/>
      </c>
    </row>
    <row r="165" spans="1:65" x14ac:dyDescent="0.25">
      <c r="A165" t="str">
        <f>IFERROR(IF(0=LEN(ReferenceData!$A$165),"",ReferenceData!$A$165),"")</f>
        <v xml:space="preserve">    Volkswagen AG</v>
      </c>
      <c r="B165" t="str">
        <f>IFERROR(IF(0=LEN(ReferenceData!$B$165),"",ReferenceData!$B$165),"")</f>
        <v>VOW GR Equity</v>
      </c>
      <c r="C165" t="str">
        <f>IFERROR(IF(0=LEN(ReferenceData!$C$165),"",ReferenceData!$C$165),"")</f>
        <v>RR841</v>
      </c>
      <c r="D165" t="str">
        <f>IFERROR(IF(0=LEN(ReferenceData!$D$165),"",ReferenceData!$D$165),"")</f>
        <v>TRAIL_12M_EBITDA</v>
      </c>
      <c r="E165" t="str">
        <f>IFERROR(IF(0=LEN(ReferenceData!$E$165),"",ReferenceData!$E$165),"")</f>
        <v>Dynamic</v>
      </c>
      <c r="F165" t="str">
        <f ca="1">IFERROR(IF(0=LEN(ReferenceData!$F$165),"",ReferenceData!$F$165),"")</f>
        <v/>
      </c>
      <c r="G165" t="str">
        <f ca="1">IFERROR(IF(0=LEN(ReferenceData!$G$165),"",ReferenceData!$G$165),"")</f>
        <v/>
      </c>
      <c r="H165">
        <f ca="1">IFERROR(IF(0=LEN(ReferenceData!$H$165),"",ReferenceData!$H$165),"")</f>
        <v>43165.383690000002</v>
      </c>
      <c r="I165">
        <f ca="1">IFERROR(IF(0=LEN(ReferenceData!$I$165),"",ReferenceData!$I$165),"")</f>
        <v>41826.997170000002</v>
      </c>
      <c r="J165">
        <f ca="1">IFERROR(IF(0=LEN(ReferenceData!$J$165),"",ReferenceData!$J$165),"")</f>
        <v>41879.420619999997</v>
      </c>
      <c r="K165">
        <f ca="1">IFERROR(IF(0=LEN(ReferenceData!$K$165),"",ReferenceData!$K$165),"")</f>
        <v>40499.378470000003</v>
      </c>
      <c r="L165">
        <f ca="1">IFERROR(IF(0=LEN(ReferenceData!$L$165),"",ReferenceData!$L$165),"")</f>
        <v>34212.839549999997</v>
      </c>
      <c r="M165">
        <f ca="1">IFERROR(IF(0=LEN(ReferenceData!$M$165),"",ReferenceData!$M$165),"")</f>
        <v>35166.495499999997</v>
      </c>
      <c r="N165">
        <f ca="1">IFERROR(IF(0=LEN(ReferenceData!$N$165),"",ReferenceData!$N$165),"")</f>
        <v>32198.08683</v>
      </c>
      <c r="O165">
        <f ca="1">IFERROR(IF(0=LEN(ReferenceData!$O$165),"",ReferenceData!$O$165),"")</f>
        <v>30876.092809999998</v>
      </c>
      <c r="P165">
        <f ca="1">IFERROR(IF(0=LEN(ReferenceData!$P$165),"",ReferenceData!$P$165),"")</f>
        <v>23920.857609999999</v>
      </c>
      <c r="Q165">
        <f ca="1">IFERROR(IF(0=LEN(ReferenceData!$Q$165),"",ReferenceData!$Q$165),"")</f>
        <v>16834.01138</v>
      </c>
      <c r="R165">
        <f ca="1">IFERROR(IF(0=LEN(ReferenceData!$R$165),"",ReferenceData!$R$165),"")</f>
        <v>17753.50606</v>
      </c>
      <c r="S165">
        <f ca="1">IFERROR(IF(0=LEN(ReferenceData!$S$165),"",ReferenceData!$S$165),"")</f>
        <v>17301.579849999998</v>
      </c>
      <c r="T165">
        <f ca="1">IFERROR(IF(0=LEN(ReferenceData!$T$165),"",ReferenceData!$T$165),"")</f>
        <v>29552.60542</v>
      </c>
      <c r="U165">
        <f ca="1">IFERROR(IF(0=LEN(ReferenceData!$U$165),"",ReferenceData!$U$165),"")</f>
        <v>37584.42035</v>
      </c>
      <c r="V165">
        <f ca="1">IFERROR(IF(0=LEN(ReferenceData!$V$165),"",ReferenceData!$V$165),"")</f>
        <v>38686.970780000003</v>
      </c>
      <c r="W165">
        <f ca="1">IFERROR(IF(0=LEN(ReferenceData!$W$165),"",ReferenceData!$W$165),"")</f>
        <v>39174.389410000003</v>
      </c>
      <c r="X165">
        <f ca="1">IFERROR(IF(0=LEN(ReferenceData!$X$165),"",ReferenceData!$X$165),"")</f>
        <v>38906.8436</v>
      </c>
      <c r="Y165">
        <f ca="1">IFERROR(IF(0=LEN(ReferenceData!$Y$165),"",ReferenceData!$Y$165),"")</f>
        <v>37301.215490000002</v>
      </c>
      <c r="Z165">
        <f ca="1">IFERROR(IF(0=LEN(ReferenceData!$Z$165),"",ReferenceData!$Z$165),"")</f>
        <v>36404.253109999998</v>
      </c>
      <c r="AA165">
        <f ca="1">IFERROR(IF(0=LEN(ReferenceData!$AA$165),"",ReferenceData!$AA$165),"")</f>
        <v>34962.485330000003</v>
      </c>
      <c r="AB165">
        <f ca="1">IFERROR(IF(0=LEN(ReferenceData!$AB$165),"",ReferenceData!$AB$165),"")</f>
        <v>33591.694960000001</v>
      </c>
      <c r="AC165">
        <f ca="1">IFERROR(IF(0=LEN(ReferenceData!$AC$165),"",ReferenceData!$AC$165),"")</f>
        <v>32280.688859999998</v>
      </c>
      <c r="AD165">
        <f ca="1">IFERROR(IF(0=LEN(ReferenceData!$AD$165),"",ReferenceData!$AD$165),"")</f>
        <v>31314.100190000001</v>
      </c>
      <c r="AE165">
        <f ca="1">IFERROR(IF(0=LEN(ReferenceData!$AE$165),"",ReferenceData!$AE$165),"")</f>
        <v>31647.85932</v>
      </c>
      <c r="AF165">
        <f ca="1">IFERROR(IF(0=LEN(ReferenceData!$AF$165),"",ReferenceData!$AF$165),"")</f>
        <v>30667.667600000001</v>
      </c>
      <c r="AG165">
        <f ca="1">IFERROR(IF(0=LEN(ReferenceData!$AG$165),"",ReferenceData!$AG$165),"")</f>
        <v>31226.273420000001</v>
      </c>
      <c r="AH165">
        <f ca="1">IFERROR(IF(0=LEN(ReferenceData!$AH$165),"",ReferenceData!$AH$165),"")</f>
        <v>31154.738560000002</v>
      </c>
      <c r="AI165">
        <f ca="1">IFERROR(IF(0=LEN(ReferenceData!$AI$165),"",ReferenceData!$AI$165),"")</f>
        <v>30081.455720000002</v>
      </c>
      <c r="AJ165">
        <f ca="1">IFERROR(IF(0=LEN(ReferenceData!$AJ$165),"",ReferenceData!$AJ$165),"")</f>
        <v>29530.051780000002</v>
      </c>
      <c r="AK165">
        <f ca="1">IFERROR(IF(0=LEN(ReferenceData!$AK$165),"",ReferenceData!$AK$165),"")</f>
        <v>27300.508819999999</v>
      </c>
      <c r="AL165">
        <f ca="1">IFERROR(IF(0=LEN(ReferenceData!$AL$165),"",ReferenceData!$AL$165),"")</f>
        <v>25520.523659999999</v>
      </c>
      <c r="AM165">
        <f ca="1">IFERROR(IF(0=LEN(ReferenceData!$AM$165),"",ReferenceData!$AM$165),"")</f>
        <v>22857.509770000001</v>
      </c>
      <c r="AN165">
        <f ca="1">IFERROR(IF(0=LEN(ReferenceData!$AN$165),"",ReferenceData!$AN$165),"")</f>
        <v>20301.444179999999</v>
      </c>
      <c r="AO165">
        <f ca="1">IFERROR(IF(0=LEN(ReferenceData!$AO$165),"",ReferenceData!$AO$165),"")</f>
        <v>18312.997500000001</v>
      </c>
      <c r="AP165">
        <f ca="1">IFERROR(IF(0=LEN(ReferenceData!$AP$165),"",ReferenceData!$AP$165),"")</f>
        <v>16242.76655</v>
      </c>
      <c r="AQ165">
        <f ca="1">IFERROR(IF(0=LEN(ReferenceData!$AQ$165),"",ReferenceData!$AQ$165),"")</f>
        <v>14942.783530000001</v>
      </c>
      <c r="AR165">
        <f ca="1">IFERROR(IF(0=LEN(ReferenceData!$AR$165),"",ReferenceData!$AR$165),"")</f>
        <v>16463.732510000002</v>
      </c>
      <c r="AS165">
        <f ca="1">IFERROR(IF(0=LEN(ReferenceData!$AS$165),"",ReferenceData!$AS$165),"")</f>
        <v>18033.442019999999</v>
      </c>
      <c r="AT165">
        <f ca="1">IFERROR(IF(0=LEN(ReferenceData!$AT$165),"",ReferenceData!$AT$165),"")</f>
        <v>20040.062750000001</v>
      </c>
      <c r="AU165">
        <f ca="1">IFERROR(IF(0=LEN(ReferenceData!$AU$165),"",ReferenceData!$AU$165),"")</f>
        <v>21848.591270000001</v>
      </c>
      <c r="AV165">
        <f ca="1">IFERROR(IF(0=LEN(ReferenceData!$AV$165),"",ReferenceData!$AV$165),"")</f>
        <v>21889.877359999999</v>
      </c>
      <c r="AW165">
        <f ca="1">IFERROR(IF(0=LEN(ReferenceData!$AW$165),"",ReferenceData!$AW$165),"")</f>
        <v>21508.24278</v>
      </c>
      <c r="AX165">
        <f ca="1">IFERROR(IF(0=LEN(ReferenceData!$AX$165),"",ReferenceData!$AX$165),"")</f>
        <v>20556.485000000001</v>
      </c>
      <c r="AY165">
        <f ca="1">IFERROR(IF(0=LEN(ReferenceData!$AY$165),"",ReferenceData!$AY$165),"")</f>
        <v>20091.792290000001</v>
      </c>
      <c r="AZ165">
        <f ca="1">IFERROR(IF(0=LEN(ReferenceData!$AZ$165),"",ReferenceData!$AZ$165),"")</f>
        <v>18110.725740000002</v>
      </c>
      <c r="BA165">
        <f ca="1">IFERROR(IF(0=LEN(ReferenceData!$BA$165),"",ReferenceData!$BA$165),"")</f>
        <v>17297.214459999999</v>
      </c>
      <c r="BB165">
        <f ca="1">IFERROR(IF(0=LEN(ReferenceData!$BB$165),"",ReferenceData!$BB$165),"")</f>
        <v>16708.691940000001</v>
      </c>
      <c r="BC165">
        <f ca="1">IFERROR(IF(0=LEN(ReferenceData!$BC$165),"",ReferenceData!$BC$165),"")</f>
        <v>15933.51749</v>
      </c>
      <c r="BD165">
        <f ca="1">IFERROR(IF(0=LEN(ReferenceData!$BD$165),"",ReferenceData!$BD$165),"")</f>
        <v>15875.171630000001</v>
      </c>
      <c r="BE165">
        <f ca="1">IFERROR(IF(0=LEN(ReferenceData!$BE$165),"",ReferenceData!$BE$165),"")</f>
        <v>15097.52974</v>
      </c>
      <c r="BF165">
        <f ca="1">IFERROR(IF(0=LEN(ReferenceData!$BF$165),"",ReferenceData!$BF$165),"")</f>
        <v>14040.19088</v>
      </c>
      <c r="BG165">
        <f ca="1">IFERROR(IF(0=LEN(ReferenceData!$BG$165),"",ReferenceData!$BG$165),"")</f>
        <v>13777.21931</v>
      </c>
      <c r="BH165">
        <f ca="1">IFERROR(IF(0=LEN(ReferenceData!$BH$165),"",ReferenceData!$BH$165),"")</f>
        <v>13978.676960000001</v>
      </c>
      <c r="BI165">
        <f ca="1">IFERROR(IF(0=LEN(ReferenceData!$BI$165),"",ReferenceData!$BI$165),"")</f>
        <v>13793.636270000001</v>
      </c>
      <c r="BJ165">
        <f ca="1">IFERROR(IF(0=LEN(ReferenceData!$BJ$165),"",ReferenceData!$BJ$165),"")</f>
        <v>13234.224920000001</v>
      </c>
      <c r="BK165">
        <f ca="1">IFERROR(IF(0=LEN(ReferenceData!$BK$165),"",ReferenceData!$BK$165),"")</f>
        <v>12924.92604</v>
      </c>
      <c r="BL165">
        <f ca="1">IFERROR(IF(0=LEN(ReferenceData!$BL$165),"",ReferenceData!$BL$165),"")</f>
        <v>12494.876480000001</v>
      </c>
      <c r="BM165">
        <f ca="1">IFERROR(IF(0=LEN(ReferenceData!$BM$165),"",ReferenceData!$BM$165),"")</f>
        <v>12173.62378</v>
      </c>
    </row>
    <row r="166" spans="1:65" x14ac:dyDescent="0.25">
      <c r="A166" t="str">
        <f>IFERROR(IF(0=LEN(ReferenceData!$A$166),"",ReferenceData!$A$166),"")</f>
        <v xml:space="preserve">    Yulon Motor Co Ltd</v>
      </c>
      <c r="B166" t="str">
        <f>IFERROR(IF(0=LEN(ReferenceData!$B$166),"",ReferenceData!$B$166),"")</f>
        <v>2201 TT Equity</v>
      </c>
      <c r="C166" t="str">
        <f>IFERROR(IF(0=LEN(ReferenceData!$C$166),"",ReferenceData!$C$166),"")</f>
        <v>RR841</v>
      </c>
      <c r="D166" t="str">
        <f>IFERROR(IF(0=LEN(ReferenceData!$D$166),"",ReferenceData!$D$166),"")</f>
        <v>TRAIL_12M_EBITDA</v>
      </c>
      <c r="E166" t="str">
        <f>IFERROR(IF(0=LEN(ReferenceData!$E$166),"",ReferenceData!$E$166),"")</f>
        <v>Dynamic</v>
      </c>
      <c r="F166" t="str">
        <f ca="1">IFERROR(IF(0=LEN(ReferenceData!$F$166),"",ReferenceData!$F$166),"")</f>
        <v/>
      </c>
      <c r="G166" t="str">
        <f ca="1">IFERROR(IF(0=LEN(ReferenceData!$G$166),"",ReferenceData!$G$166),"")</f>
        <v/>
      </c>
      <c r="H166">
        <f ca="1">IFERROR(IF(0=LEN(ReferenceData!$H$166),"",ReferenceData!$H$166),"")</f>
        <v>351.16854469999998</v>
      </c>
      <c r="I166">
        <f ca="1">IFERROR(IF(0=LEN(ReferenceData!$I$166),"",ReferenceData!$I$166),"")</f>
        <v>333.56676620000002</v>
      </c>
      <c r="J166">
        <f ca="1">IFERROR(IF(0=LEN(ReferenceData!$J$166),"",ReferenceData!$J$166),"")</f>
        <v>318.63435950000002</v>
      </c>
      <c r="K166">
        <f ca="1">IFERROR(IF(0=LEN(ReferenceData!$K$166),"",ReferenceData!$K$166),"")</f>
        <v>306.0548862</v>
      </c>
      <c r="L166">
        <f ca="1">IFERROR(IF(0=LEN(ReferenceData!$L$166),"",ReferenceData!$L$166),"")</f>
        <v>324.60338009999998</v>
      </c>
      <c r="M166">
        <f ca="1">IFERROR(IF(0=LEN(ReferenceData!$M$166),"",ReferenceData!$M$166),"")</f>
        <v>322.20862979999998</v>
      </c>
      <c r="N166">
        <f ca="1">IFERROR(IF(0=LEN(ReferenceData!$N$166),"",ReferenceData!$N$166),"")</f>
        <v>332.97170929999999</v>
      </c>
      <c r="O166">
        <f ca="1">IFERROR(IF(0=LEN(ReferenceData!$O$166),"",ReferenceData!$O$166),"")</f>
        <v>302.54950780000001</v>
      </c>
      <c r="P166">
        <f ca="1">IFERROR(IF(0=LEN(ReferenceData!$P$166),"",ReferenceData!$P$166),"")</f>
        <v>254.8026074</v>
      </c>
      <c r="Q166">
        <f ca="1">IFERROR(IF(0=LEN(ReferenceData!$Q$166),"",ReferenceData!$Q$166),"")</f>
        <v>246.24870129999999</v>
      </c>
      <c r="R166">
        <f ca="1">IFERROR(IF(0=LEN(ReferenceData!$R$166),"",ReferenceData!$R$166),"")</f>
        <v>236.5106687</v>
      </c>
      <c r="S166">
        <f ca="1">IFERROR(IF(0=LEN(ReferenceData!$S$166),"",ReferenceData!$S$166),"")</f>
        <v>240.23754729999999</v>
      </c>
      <c r="T166">
        <f ca="1">IFERROR(IF(0=LEN(ReferenceData!$T$166),"",ReferenceData!$T$166),"")</f>
        <v>225.52631629999999</v>
      </c>
      <c r="U166">
        <f ca="1">IFERROR(IF(0=LEN(ReferenceData!$U$166),"",ReferenceData!$U$166),"")</f>
        <v>247.1297754</v>
      </c>
      <c r="V166">
        <f ca="1">IFERROR(IF(0=LEN(ReferenceData!$V$166),"",ReferenceData!$V$166),"")</f>
        <v>246.20874209999999</v>
      </c>
      <c r="W166">
        <f ca="1">IFERROR(IF(0=LEN(ReferenceData!$W$166),"",ReferenceData!$W$166),"")</f>
        <v>239.2900664</v>
      </c>
      <c r="X166">
        <f ca="1">IFERROR(IF(0=LEN(ReferenceData!$X$166),"",ReferenceData!$X$166),"")</f>
        <v>257.55504969999998</v>
      </c>
      <c r="Y166">
        <f ca="1">IFERROR(IF(0=LEN(ReferenceData!$Y$166),"",ReferenceData!$Y$166),"")</f>
        <v>210.61266860000001</v>
      </c>
      <c r="Z166">
        <f ca="1">IFERROR(IF(0=LEN(ReferenceData!$Z$166),"",ReferenceData!$Z$166),"")</f>
        <v>207.22998290000001</v>
      </c>
      <c r="AA166">
        <f ca="1">IFERROR(IF(0=LEN(ReferenceData!$AA$166),"",ReferenceData!$AA$166),"")</f>
        <v>210.5570754</v>
      </c>
      <c r="AB166">
        <f ca="1">IFERROR(IF(0=LEN(ReferenceData!$AB$166),"",ReferenceData!$AB$166),"")</f>
        <v>241.6858794</v>
      </c>
      <c r="AC166">
        <f ca="1">IFERROR(IF(0=LEN(ReferenceData!$AC$166),"",ReferenceData!$AC$166),"")</f>
        <v>263.59241479999997</v>
      </c>
      <c r="AD166">
        <f ca="1">IFERROR(IF(0=LEN(ReferenceData!$AD$166),"",ReferenceData!$AD$166),"")</f>
        <v>279.35979020000002</v>
      </c>
      <c r="AE166">
        <f ca="1">IFERROR(IF(0=LEN(ReferenceData!$AE$166),"",ReferenceData!$AE$166),"")</f>
        <v>285.72352599999999</v>
      </c>
      <c r="AF166">
        <f ca="1">IFERROR(IF(0=LEN(ReferenceData!$AF$166),"",ReferenceData!$AF$166),"")</f>
        <v>283.00119690000002</v>
      </c>
      <c r="AG166">
        <f ca="1">IFERROR(IF(0=LEN(ReferenceData!$AG$166),"",ReferenceData!$AG$166),"")</f>
        <v>282.17982490000003</v>
      </c>
      <c r="AH166">
        <f ca="1">IFERROR(IF(0=LEN(ReferenceData!$AH$166),"",ReferenceData!$AH$166),"")</f>
        <v>269.4884639</v>
      </c>
      <c r="AI166">
        <f ca="1">IFERROR(IF(0=LEN(ReferenceData!$AI$166),"",ReferenceData!$AI$166),"")</f>
        <v>269.68919560000001</v>
      </c>
      <c r="AJ166">
        <f ca="1">IFERROR(IF(0=LEN(ReferenceData!$AJ$166),"",ReferenceData!$AJ$166),"")</f>
        <v>270.08670569999998</v>
      </c>
      <c r="AK166">
        <f ca="1">IFERROR(IF(0=LEN(ReferenceData!$AK$166),"",ReferenceData!$AK$166),"")</f>
        <v>269.50539220000002</v>
      </c>
      <c r="AL166">
        <f ca="1">IFERROR(IF(0=LEN(ReferenceData!$AL$166),"",ReferenceData!$AL$166),"")</f>
        <v>262.95265869999997</v>
      </c>
      <c r="AM166">
        <f ca="1">IFERROR(IF(0=LEN(ReferenceData!$AM$166),"",ReferenceData!$AM$166),"")</f>
        <v>230.5061288</v>
      </c>
      <c r="AN166">
        <f ca="1">IFERROR(IF(0=LEN(ReferenceData!$AN$166),"",ReferenceData!$AN$166),"")</f>
        <v>215.11017989999999</v>
      </c>
      <c r="AO166">
        <f ca="1">IFERROR(IF(0=LEN(ReferenceData!$AO$166),"",ReferenceData!$AO$166),"")</f>
        <v>198.3965815</v>
      </c>
      <c r="AP166">
        <f ca="1">IFERROR(IF(0=LEN(ReferenceData!$AP$166),"",ReferenceData!$AP$166),"")</f>
        <v>179.67246639999999</v>
      </c>
      <c r="AQ166">
        <f ca="1">IFERROR(IF(0=LEN(ReferenceData!$AQ$166),"",ReferenceData!$AQ$166),"")</f>
        <v>168.0834031</v>
      </c>
      <c r="AR166">
        <f ca="1">IFERROR(IF(0=LEN(ReferenceData!$AR$166),"",ReferenceData!$AR$166),"")</f>
        <v>155.6559393</v>
      </c>
      <c r="AS166">
        <f ca="1">IFERROR(IF(0=LEN(ReferenceData!$AS$166),"",ReferenceData!$AS$166),"")</f>
        <v>139.05058249999999</v>
      </c>
      <c r="AT166">
        <f ca="1">IFERROR(IF(0=LEN(ReferenceData!$AT$166),"",ReferenceData!$AT$166),"")</f>
        <v>134.26964599999999</v>
      </c>
      <c r="AU166">
        <f ca="1">IFERROR(IF(0=LEN(ReferenceData!$AU$166),"",ReferenceData!$AU$166),"")</f>
        <v>132.05138349999999</v>
      </c>
      <c r="AV166" t="str">
        <f ca="1">IFERROR(IF(0=LEN(ReferenceData!$AV$166),"",ReferenceData!$AV$166),"")</f>
        <v/>
      </c>
      <c r="AW166" t="str">
        <f ca="1">IFERROR(IF(0=LEN(ReferenceData!$AW$166),"",ReferenceData!$AW$166),"")</f>
        <v/>
      </c>
      <c r="AX166" t="str">
        <f ca="1">IFERROR(IF(0=LEN(ReferenceData!$AX$166),"",ReferenceData!$AX$166),"")</f>
        <v/>
      </c>
      <c r="AY166" t="str">
        <f ca="1">IFERROR(IF(0=LEN(ReferenceData!$AY$166),"",ReferenceData!$AY$166),"")</f>
        <v/>
      </c>
      <c r="AZ166" t="str">
        <f ca="1">IFERROR(IF(0=LEN(ReferenceData!$AZ$166),"",ReferenceData!$AZ$166),"")</f>
        <v/>
      </c>
      <c r="BA166" t="str">
        <f ca="1">IFERROR(IF(0=LEN(ReferenceData!$BA$166),"",ReferenceData!$BA$166),"")</f>
        <v/>
      </c>
      <c r="BB166" t="str">
        <f ca="1">IFERROR(IF(0=LEN(ReferenceData!$BB$166),"",ReferenceData!$BB$166),"")</f>
        <v/>
      </c>
      <c r="BC166" t="str">
        <f ca="1">IFERROR(IF(0=LEN(ReferenceData!$BC$166),"",ReferenceData!$BC$166),"")</f>
        <v/>
      </c>
      <c r="BD166" t="str">
        <f ca="1">IFERROR(IF(0=LEN(ReferenceData!$BD$166),"",ReferenceData!$BD$166),"")</f>
        <v/>
      </c>
      <c r="BE166" t="str">
        <f ca="1">IFERROR(IF(0=LEN(ReferenceData!$BE$166),"",ReferenceData!$BE$166),"")</f>
        <v/>
      </c>
      <c r="BF166" t="str">
        <f ca="1">IFERROR(IF(0=LEN(ReferenceData!$BF$166),"",ReferenceData!$BF$166),"")</f>
        <v/>
      </c>
      <c r="BG166" t="str">
        <f ca="1">IFERROR(IF(0=LEN(ReferenceData!$BG$166),"",ReferenceData!$BG$166),"")</f>
        <v/>
      </c>
      <c r="BH166" t="str">
        <f ca="1">IFERROR(IF(0=LEN(ReferenceData!$BH$166),"",ReferenceData!$BH$166),"")</f>
        <v/>
      </c>
      <c r="BI166" t="str">
        <f ca="1">IFERROR(IF(0=LEN(ReferenceData!$BI$166),"",ReferenceData!$BI$166),"")</f>
        <v/>
      </c>
      <c r="BJ166" t="str">
        <f ca="1">IFERROR(IF(0=LEN(ReferenceData!$BJ$166),"",ReferenceData!$BJ$166),"")</f>
        <v/>
      </c>
      <c r="BK166" t="str">
        <f ca="1">IFERROR(IF(0=LEN(ReferenceData!$BK$166),"",ReferenceData!$BK$166),"")</f>
        <v/>
      </c>
      <c r="BL166" t="str">
        <f ca="1">IFERROR(IF(0=LEN(ReferenceData!$BL$166),"",ReferenceData!$BL$166),"")</f>
        <v/>
      </c>
      <c r="BM166" t="str">
        <f ca="1">IFERROR(IF(0=LEN(ReferenceData!$BM$166),"",ReferenceData!$BM$166),"")</f>
        <v/>
      </c>
    </row>
    <row r="167" spans="1:65" x14ac:dyDescent="0.25">
      <c r="A167" t="str">
        <f>IFERROR(IF(0=LEN(ReferenceData!$A$167),"",ReferenceData!$A$167),"")</f>
        <v>T12M Sales</v>
      </c>
      <c r="B167" t="str">
        <f>IFERROR(IF(0=LEN(ReferenceData!$B$167),"",ReferenceData!$B$167),"")</f>
        <v/>
      </c>
      <c r="C167" t="str">
        <f>IFERROR(IF(0=LEN(ReferenceData!$C$167),"",ReferenceData!$C$167),"")</f>
        <v/>
      </c>
      <c r="D167" t="str">
        <f>IFERROR(IF(0=LEN(ReferenceData!$D$167),"",ReferenceData!$D$167),"")</f>
        <v/>
      </c>
      <c r="E167" t="str">
        <f>IFERROR(IF(0=LEN(ReferenceData!$E$167),"",ReferenceData!$E$167),"")</f>
        <v>Average</v>
      </c>
      <c r="F167" t="str">
        <f ca="1">IFERROR(IF(0=LEN(ReferenceData!$F$167),"",ReferenceData!$F$167),"")</f>
        <v/>
      </c>
      <c r="G167">
        <f ca="1">IFERROR(IF(0=LEN(ReferenceData!$G$167),"",ReferenceData!$G$167),"")</f>
        <v>87870.991069454554</v>
      </c>
      <c r="H167">
        <f ca="1">IFERROR(IF(0=LEN(ReferenceData!$H$167),"",ReferenceData!$H$167),"")</f>
        <v>68333.882692650004</v>
      </c>
      <c r="I167">
        <f ca="1">IFERROR(IF(0=LEN(ReferenceData!$I$167),"",ReferenceData!$I$167),"")</f>
        <v>68146.55231020588</v>
      </c>
      <c r="J167">
        <f ca="1">IFERROR(IF(0=LEN(ReferenceData!$J$167),"",ReferenceData!$J$167),"")</f>
        <v>66690.854950620589</v>
      </c>
      <c r="K167">
        <f ca="1">IFERROR(IF(0=LEN(ReferenceData!$K$167),"",ReferenceData!$K$167),"")</f>
        <v>64580.756809126447</v>
      </c>
      <c r="L167">
        <f ca="1">IFERROR(IF(0=LEN(ReferenceData!$L$167),"",ReferenceData!$L$167),"")</f>
        <v>63124.253276991178</v>
      </c>
      <c r="M167">
        <f ca="1">IFERROR(IF(0=LEN(ReferenceData!$M$167),"",ReferenceData!$M$167),"")</f>
        <v>62263.358623320608</v>
      </c>
      <c r="N167">
        <f ca="1">IFERROR(IF(0=LEN(ReferenceData!$N$167),"",ReferenceData!$N$167),"")</f>
        <v>61889.683306997053</v>
      </c>
      <c r="O167">
        <f ca="1">IFERROR(IF(0=LEN(ReferenceData!$O$167),"",ReferenceData!$O$167),"")</f>
        <v>61094.366745838226</v>
      </c>
      <c r="P167">
        <f ca="1">IFERROR(IF(0=LEN(ReferenceData!$P$167),"",ReferenceData!$P$167),"")</f>
        <v>60537.070828214695</v>
      </c>
      <c r="Q167">
        <f ca="1">IFERROR(IF(0=LEN(ReferenceData!$Q$167),"",ReferenceData!$Q$167),"")</f>
        <v>59452.511778623528</v>
      </c>
      <c r="R167">
        <f ca="1">IFERROR(IF(0=LEN(ReferenceData!$R$167),"",ReferenceData!$R$167),"")</f>
        <v>59055.426750209081</v>
      </c>
      <c r="S167">
        <f ca="1">IFERROR(IF(0=LEN(ReferenceData!$S$167),"",ReferenceData!$S$167),"")</f>
        <v>58744.35444478484</v>
      </c>
      <c r="T167">
        <f ca="1">IFERROR(IF(0=LEN(ReferenceData!$T$167),"",ReferenceData!$T$167),"")</f>
        <v>58888.382156921201</v>
      </c>
      <c r="U167">
        <f ca="1">IFERROR(IF(0=LEN(ReferenceData!$U$167),"",ReferenceData!$U$167),"")</f>
        <v>60139.539624318182</v>
      </c>
      <c r="V167">
        <f ca="1">IFERROR(IF(0=LEN(ReferenceData!$V$167),"",ReferenceData!$V$167),"")</f>
        <v>61127.217547682347</v>
      </c>
      <c r="W167">
        <f ca="1">IFERROR(IF(0=LEN(ReferenceData!$W$167),"",ReferenceData!$W$167),"")</f>
        <v>61970.937050623528</v>
      </c>
      <c r="X167">
        <f ca="1">IFERROR(IF(0=LEN(ReferenceData!$X$167),"",ReferenceData!$X$167),"")</f>
        <v>62054.502781882373</v>
      </c>
      <c r="Y167">
        <f ca="1">IFERROR(IF(0=LEN(ReferenceData!$Y$167),"",ReferenceData!$Y$167),"")</f>
        <v>61432.414266938242</v>
      </c>
      <c r="Z167">
        <f ca="1">IFERROR(IF(0=LEN(ReferenceData!$Z$167),"",ReferenceData!$Z$167),"")</f>
        <v>58942.510428175767</v>
      </c>
      <c r="AA167">
        <f ca="1">IFERROR(IF(0=LEN(ReferenceData!$AA$167),"",ReferenceData!$AA$167),"")</f>
        <v>58107.423309578779</v>
      </c>
      <c r="AB167">
        <f ca="1">IFERROR(IF(0=LEN(ReferenceData!$AB$167),"",ReferenceData!$AB$167),"")</f>
        <v>57232.171077378785</v>
      </c>
      <c r="AC167">
        <f ca="1">IFERROR(IF(0=LEN(ReferenceData!$AC$167),"",ReferenceData!$AC$167),"")</f>
        <v>56862.889554303038</v>
      </c>
      <c r="AD167">
        <f ca="1">IFERROR(IF(0=LEN(ReferenceData!$AD$167),"",ReferenceData!$AD$167),"")</f>
        <v>56334.583737060595</v>
      </c>
      <c r="AE167">
        <f ca="1">IFERROR(IF(0=LEN(ReferenceData!$AE$167),"",ReferenceData!$AE$167),"")</f>
        <v>56639.35681554547</v>
      </c>
      <c r="AF167">
        <f ca="1">IFERROR(IF(0=LEN(ReferenceData!$AF$167),"",ReferenceData!$AF$167),"")</f>
        <v>58035.158199031255</v>
      </c>
      <c r="AG167">
        <f ca="1">IFERROR(IF(0=LEN(ReferenceData!$AG$167),"",ReferenceData!$AG$167),"")</f>
        <v>57615.736954375003</v>
      </c>
      <c r="AH167">
        <f ca="1">IFERROR(IF(0=LEN(ReferenceData!$AH$167),"",ReferenceData!$AH$167),"")</f>
        <v>59788.122314766661</v>
      </c>
      <c r="AI167">
        <f ca="1">IFERROR(IF(0=LEN(ReferenceData!$AI$167),"",ReferenceData!$AI$167),"")</f>
        <v>58139.728326533339</v>
      </c>
      <c r="AJ167">
        <f ca="1">IFERROR(IF(0=LEN(ReferenceData!$AJ$167),"",ReferenceData!$AJ$167),"")</f>
        <v>56799.44433773333</v>
      </c>
      <c r="AK167">
        <f ca="1">IFERROR(IF(0=LEN(ReferenceData!$AK$167),"",ReferenceData!$AK$167),"")</f>
        <v>54938.899464566646</v>
      </c>
      <c r="AL167">
        <f ca="1">IFERROR(IF(0=LEN(ReferenceData!$AL$167),"",ReferenceData!$AL$167),"")</f>
        <v>53453.887380266679</v>
      </c>
      <c r="AM167">
        <f ca="1">IFERROR(IF(0=LEN(ReferenceData!$AM$167),"",ReferenceData!$AM$167),"")</f>
        <v>50185.772859096774</v>
      </c>
      <c r="AN167">
        <f ca="1">IFERROR(IF(0=LEN(ReferenceData!$AN$167),"",ReferenceData!$AN$167),"")</f>
        <v>49297.588165703455</v>
      </c>
      <c r="AO167">
        <f ca="1">IFERROR(IF(0=LEN(ReferenceData!$AO$167),"",ReferenceData!$AO$167),"")</f>
        <v>49217.277986392859</v>
      </c>
      <c r="AP167">
        <f ca="1">IFERROR(IF(0=LEN(ReferenceData!$AP$167),"",ReferenceData!$AP$167),"")</f>
        <v>47792.708003666667</v>
      </c>
      <c r="AQ167">
        <f ca="1">IFERROR(IF(0=LEN(ReferenceData!$AQ$167),"",ReferenceData!$AQ$167),"")</f>
        <v>44402.566519155553</v>
      </c>
      <c r="AR167">
        <f ca="1">IFERROR(IF(0=LEN(ReferenceData!$AR$167),"",ReferenceData!$AR$167),"")</f>
        <v>41163.510701978252</v>
      </c>
      <c r="AS167">
        <f ca="1">IFERROR(IF(0=LEN(ReferenceData!$AS$167),"",ReferenceData!$AS$167),"")</f>
        <v>42952.905162056522</v>
      </c>
      <c r="AT167">
        <f ca="1">IFERROR(IF(0=LEN(ReferenceData!$AT$167),"",ReferenceData!$AT$167),"")</f>
        <v>46771.763214317391</v>
      </c>
      <c r="AU167">
        <f ca="1">IFERROR(IF(0=LEN(ReferenceData!$AU$167),"",ReferenceData!$AU$167),"")</f>
        <v>52923.846713999985</v>
      </c>
      <c r="AV167">
        <f ca="1">IFERROR(IF(0=LEN(ReferenceData!$AV$167),"",ReferenceData!$AV$167),"")</f>
        <v>59766.149594249997</v>
      </c>
      <c r="AW167">
        <f ca="1">IFERROR(IF(0=LEN(ReferenceData!$AW$167),"",ReferenceData!$AW$167),"")</f>
        <v>59479.602705200006</v>
      </c>
      <c r="AX167">
        <f ca="1">IFERROR(IF(0=LEN(ReferenceData!$AX$167),"",ReferenceData!$AX$167),"")</f>
        <v>57738.037963599993</v>
      </c>
      <c r="AY167">
        <f ca="1">IFERROR(IF(0=LEN(ReferenceData!$AY$167),"",ReferenceData!$AY$167),"")</f>
        <v>56074.212350550006</v>
      </c>
      <c r="AZ167">
        <f ca="1">IFERROR(IF(0=LEN(ReferenceData!$AZ$167),"",ReferenceData!$AZ$167),"")</f>
        <v>54443.878708452648</v>
      </c>
      <c r="BA167">
        <f ca="1">IFERROR(IF(0=LEN(ReferenceData!$BA$167),"",ReferenceData!$BA$167),"")</f>
        <v>52736.219658410533</v>
      </c>
      <c r="BB167">
        <f ca="1">IFERROR(IF(0=LEN(ReferenceData!$BB$167),"",ReferenceData!$BB$167),"")</f>
        <v>51537.459287763158</v>
      </c>
      <c r="BC167">
        <f ca="1">IFERROR(IF(0=LEN(ReferenceData!$BC$167),"",ReferenceData!$BC$167),"")</f>
        <v>50955.976838663148</v>
      </c>
      <c r="BD167">
        <f ca="1">IFERROR(IF(0=LEN(ReferenceData!$BD$167),"",ReferenceData!$BD$167),"")</f>
        <v>51916.643811736838</v>
      </c>
      <c r="BE167">
        <f ca="1">IFERROR(IF(0=LEN(ReferenceData!$BE$167),"",ReferenceData!$BE$167),"")</f>
        <v>52312.65863566316</v>
      </c>
      <c r="BF167">
        <f ca="1">IFERROR(IF(0=LEN(ReferenceData!$BF$167),"",ReferenceData!$BF$167),"")</f>
        <v>52894.128302131576</v>
      </c>
      <c r="BG167">
        <f ca="1">IFERROR(IF(0=LEN(ReferenceData!$BG$167),"",ReferenceData!$BG$167),"")</f>
        <v>52402.255909510517</v>
      </c>
      <c r="BH167">
        <f ca="1">IFERROR(IF(0=LEN(ReferenceData!$BH$167),"",ReferenceData!$BH$167),"")</f>
        <v>52102.912354384222</v>
      </c>
      <c r="BI167">
        <f ca="1">IFERROR(IF(0=LEN(ReferenceData!$BI$167),"",ReferenceData!$BI$167),"")</f>
        <v>53871.589054772223</v>
      </c>
      <c r="BJ167">
        <f ca="1">IFERROR(IF(0=LEN(ReferenceData!$BJ$167),"",ReferenceData!$BJ$167),"")</f>
        <v>52777.258354472222</v>
      </c>
      <c r="BK167">
        <f ca="1">IFERROR(IF(0=LEN(ReferenceData!$BK$167),"",ReferenceData!$BK$167),"")</f>
        <v>54824.652597847067</v>
      </c>
      <c r="BL167">
        <f ca="1">IFERROR(IF(0=LEN(ReferenceData!$BL$167),"",ReferenceData!$BL$167),"")</f>
        <v>53764.320028441172</v>
      </c>
      <c r="BM167">
        <f ca="1">IFERROR(IF(0=LEN(ReferenceData!$BM$167),"",ReferenceData!$BM$167),"")</f>
        <v>52435.697802152943</v>
      </c>
    </row>
    <row r="168" spans="1:65" x14ac:dyDescent="0.25">
      <c r="A168" t="str">
        <f>IFERROR(IF(0=LEN(ReferenceData!$A$168),"",ReferenceData!$A$168),"")</f>
        <v xml:space="preserve">    AUDI AG</v>
      </c>
      <c r="B168" t="str">
        <f>IFERROR(IF(0=LEN(ReferenceData!$B$168),"",ReferenceData!$B$168),"")</f>
        <v>NSU GR Equity</v>
      </c>
      <c r="C168" t="str">
        <f>IFERROR(IF(0=LEN(ReferenceData!$C$168),"",ReferenceData!$C$168),"")</f>
        <v>RR800</v>
      </c>
      <c r="D168" t="str">
        <f>IFERROR(IF(0=LEN(ReferenceData!$D$168),"",ReferenceData!$D$168),"")</f>
        <v>TRAIL_12M_NET_SALES</v>
      </c>
      <c r="E168" t="str">
        <f>IFERROR(IF(0=LEN(ReferenceData!$E$168),"",ReferenceData!$E$168),"")</f>
        <v>Dynamic</v>
      </c>
      <c r="F168" t="str">
        <f ca="1">IFERROR(IF(0=LEN(ReferenceData!$F$168),"",ReferenceData!$F$168),"")</f>
        <v/>
      </c>
      <c r="G168" t="str">
        <f ca="1">IFERROR(IF(0=LEN(ReferenceData!$G$168),"",ReferenceData!$G$168),"")</f>
        <v/>
      </c>
      <c r="H168">
        <f ca="1">IFERROR(IF(0=LEN(ReferenceData!$H$168),"",ReferenceData!$H$168),"")</f>
        <v>71605.014580000003</v>
      </c>
      <c r="I168">
        <f ca="1">IFERROR(IF(0=LEN(ReferenceData!$I$168),"",ReferenceData!$I$168),"")</f>
        <v>73001.220149999994</v>
      </c>
      <c r="J168">
        <f ca="1">IFERROR(IF(0=LEN(ReferenceData!$J$168),"",ReferenceData!$J$168),"")</f>
        <v>71469.185129999998</v>
      </c>
      <c r="K168">
        <f ca="1">IFERROR(IF(0=LEN(ReferenceData!$K$168),"",ReferenceData!$K$168),"")</f>
        <v>67927.881630000003</v>
      </c>
      <c r="L168">
        <f ca="1">IFERROR(IF(0=LEN(ReferenceData!$L$168),"",ReferenceData!$L$168),"")</f>
        <v>65773.101339999994</v>
      </c>
      <c r="M168">
        <f ca="1">IFERROR(IF(0=LEN(ReferenceData!$M$168),"",ReferenceData!$M$168),"")</f>
        <v>64677.04722</v>
      </c>
      <c r="N168">
        <f ca="1">IFERROR(IF(0=LEN(ReferenceData!$N$168),"",ReferenceData!$N$168),"")</f>
        <v>64942.629280000001</v>
      </c>
      <c r="O168">
        <f ca="1">IFERROR(IF(0=LEN(ReferenceData!$O$168),"",ReferenceData!$O$168),"")</f>
        <v>65653.756699999998</v>
      </c>
      <c r="P168">
        <f ca="1">IFERROR(IF(0=LEN(ReferenceData!$P$168),"",ReferenceData!$P$168),"")</f>
        <v>65265.165699999998</v>
      </c>
      <c r="Q168">
        <f ca="1">IFERROR(IF(0=LEN(ReferenceData!$Q$168),"",ReferenceData!$Q$168),"")</f>
        <v>49792.803119999997</v>
      </c>
      <c r="R168">
        <f ca="1">IFERROR(IF(0=LEN(ReferenceData!$R$168),"",ReferenceData!$R$168),"")</f>
        <v>48998.885670000003</v>
      </c>
      <c r="S168">
        <f ca="1">IFERROR(IF(0=LEN(ReferenceData!$S$168),"",ReferenceData!$S$168),"")</f>
        <v>49405.066639999997</v>
      </c>
      <c r="T168">
        <f ca="1">IFERROR(IF(0=LEN(ReferenceData!$T$168),"",ReferenceData!$T$168),"")</f>
        <v>50860.079530000003</v>
      </c>
      <c r="U168">
        <f ca="1">IFERROR(IF(0=LEN(ReferenceData!$U$168),"",ReferenceData!$U$168),"")</f>
        <v>68415.239830000006</v>
      </c>
      <c r="V168">
        <f ca="1">IFERROR(IF(0=LEN(ReferenceData!$V$168),"",ReferenceData!$V$168),"")</f>
        <v>70394.961219999997</v>
      </c>
      <c r="W168">
        <f ca="1">IFERROR(IF(0=LEN(ReferenceData!$W$168),"",ReferenceData!$W$168),"")</f>
        <v>71455.265969999993</v>
      </c>
      <c r="X168">
        <f ca="1">IFERROR(IF(0=LEN(ReferenceData!$X$168),"",ReferenceData!$X$168),"")</f>
        <v>70856.295159999994</v>
      </c>
      <c r="Y168">
        <f ca="1">IFERROR(IF(0=LEN(ReferenceData!$Y$168),"",ReferenceData!$Y$168),"")</f>
        <v>69655.348960000003</v>
      </c>
      <c r="Z168">
        <f ca="1">IFERROR(IF(0=LEN(ReferenceData!$Z$168),"",ReferenceData!$Z$168),"")</f>
        <v>68501.127630000003</v>
      </c>
      <c r="AA168">
        <f ca="1">IFERROR(IF(0=LEN(ReferenceData!$AA$168),"",ReferenceData!$AA$168),"")</f>
        <v>66256.174469999998</v>
      </c>
      <c r="AB168">
        <f ca="1">IFERROR(IF(0=LEN(ReferenceData!$AB$168),"",ReferenceData!$AB$168),"")</f>
        <v>63072.504390000002</v>
      </c>
      <c r="AC168">
        <f ca="1">IFERROR(IF(0=LEN(ReferenceData!$AC$168),"",ReferenceData!$AC$168),"")</f>
        <v>63367.329879999998</v>
      </c>
      <c r="AD168">
        <f ca="1">IFERROR(IF(0=LEN(ReferenceData!$AD$168),"",ReferenceData!$AD$168),"")</f>
        <v>61968.793489999996</v>
      </c>
      <c r="AE168">
        <f ca="1">IFERROR(IF(0=LEN(ReferenceData!$AE$168),"",ReferenceData!$AE$168),"")</f>
        <v>62713.21903</v>
      </c>
      <c r="AF168">
        <f ca="1">IFERROR(IF(0=LEN(ReferenceData!$AF$168),"",ReferenceData!$AF$168),"")</f>
        <v>61661.214050000002</v>
      </c>
      <c r="AG168">
        <f ca="1">IFERROR(IF(0=LEN(ReferenceData!$AG$168),"",ReferenceData!$AG$168),"")</f>
        <v>61216.618430000002</v>
      </c>
      <c r="AH168">
        <f ca="1">IFERROR(IF(0=LEN(ReferenceData!$AH$168),"",ReferenceData!$AH$168),"")</f>
        <v>60763.384120000002</v>
      </c>
      <c r="AI168">
        <f ca="1">IFERROR(IF(0=LEN(ReferenceData!$AI$168),"",ReferenceData!$AI$168),"")</f>
        <v>58788.610529999998</v>
      </c>
      <c r="AJ168">
        <f ca="1">IFERROR(IF(0=LEN(ReferenceData!$AJ$168),"",ReferenceData!$AJ$168),"")</f>
        <v>58355.745159999999</v>
      </c>
      <c r="AK168">
        <f ca="1">IFERROR(IF(0=LEN(ReferenceData!$AK$168),"",ReferenceData!$AK$168),"")</f>
        <v>53760.54019</v>
      </c>
      <c r="AL168">
        <f ca="1">IFERROR(IF(0=LEN(ReferenceData!$AL$168),"",ReferenceData!$AL$168),"")</f>
        <v>49870.19904</v>
      </c>
      <c r="AM168">
        <f ca="1">IFERROR(IF(0=LEN(ReferenceData!$AM$168),"",ReferenceData!$AM$168),"")</f>
        <v>47016.425069999998</v>
      </c>
      <c r="AN168">
        <f ca="1">IFERROR(IF(0=LEN(ReferenceData!$AN$168),"",ReferenceData!$AN$168),"")</f>
        <v>46325.00606</v>
      </c>
      <c r="AO168">
        <f ca="1">IFERROR(IF(0=LEN(ReferenceData!$AO$168),"",ReferenceData!$AO$168),"")</f>
        <v>45748.402979999999</v>
      </c>
      <c r="AP168">
        <f ca="1">IFERROR(IF(0=LEN(ReferenceData!$AP$168),"",ReferenceData!$AP$168),"")</f>
        <v>44392.276940000003</v>
      </c>
      <c r="AQ168">
        <f ca="1">IFERROR(IF(0=LEN(ReferenceData!$AQ$168),"",ReferenceData!$AQ$168),"")</f>
        <v>41609.990700000002</v>
      </c>
      <c r="AR168">
        <f ca="1">IFERROR(IF(0=LEN(ReferenceData!$AR$168),"",ReferenceData!$AR$168),"")</f>
        <v>40767.72479</v>
      </c>
      <c r="AS168">
        <f ca="1">IFERROR(IF(0=LEN(ReferenceData!$AS$168),"",ReferenceData!$AS$168),"")</f>
        <v>43038.533049999998</v>
      </c>
      <c r="AT168">
        <f ca="1">IFERROR(IF(0=LEN(ReferenceData!$AT$168),"",ReferenceData!$AT$168),"")</f>
        <v>46399.128299999997</v>
      </c>
      <c r="AU168">
        <f ca="1">IFERROR(IF(0=LEN(ReferenceData!$AU$168),"",ReferenceData!$AU$168),"")</f>
        <v>50298.534209999998</v>
      </c>
      <c r="AV168">
        <f ca="1">IFERROR(IF(0=LEN(ReferenceData!$AV$168),"",ReferenceData!$AV$168),"")</f>
        <v>51340.427880000003</v>
      </c>
      <c r="AW168">
        <f ca="1">IFERROR(IF(0=LEN(ReferenceData!$AW$168),"",ReferenceData!$AW$168),"")</f>
        <v>49465.574970000001</v>
      </c>
      <c r="AX168">
        <f ca="1">IFERROR(IF(0=LEN(ReferenceData!$AX$168),"",ReferenceData!$AX$168),"")</f>
        <v>47112.628239999998</v>
      </c>
      <c r="AY168">
        <f ca="1">IFERROR(IF(0=LEN(ReferenceData!$AY$168),"",ReferenceData!$AY$168),"")</f>
        <v>46082.130149999997</v>
      </c>
      <c r="AZ168" t="str">
        <f ca="1">IFERROR(IF(0=LEN(ReferenceData!$AZ$168),"",ReferenceData!$AZ$168),"")</f>
        <v/>
      </c>
      <c r="BA168" t="str">
        <f ca="1">IFERROR(IF(0=LEN(ReferenceData!$BA$168),"",ReferenceData!$BA$168),"")</f>
        <v/>
      </c>
      <c r="BB168" t="str">
        <f ca="1">IFERROR(IF(0=LEN(ReferenceData!$BB$168),"",ReferenceData!$BB$168),"")</f>
        <v/>
      </c>
      <c r="BC168" t="str">
        <f ca="1">IFERROR(IF(0=LEN(ReferenceData!$BC$168),"",ReferenceData!$BC$168),"")</f>
        <v/>
      </c>
      <c r="BD168" t="str">
        <f ca="1">IFERROR(IF(0=LEN(ReferenceData!$BD$168),"",ReferenceData!$BD$168),"")</f>
        <v/>
      </c>
      <c r="BE168" t="str">
        <f ca="1">IFERROR(IF(0=LEN(ReferenceData!$BE$168),"",ReferenceData!$BE$168),"")</f>
        <v/>
      </c>
      <c r="BF168" t="str">
        <f ca="1">IFERROR(IF(0=LEN(ReferenceData!$BF$168),"",ReferenceData!$BF$168),"")</f>
        <v/>
      </c>
      <c r="BG168" t="str">
        <f ca="1">IFERROR(IF(0=LEN(ReferenceData!$BG$168),"",ReferenceData!$BG$168),"")</f>
        <v/>
      </c>
      <c r="BH168" t="str">
        <f ca="1">IFERROR(IF(0=LEN(ReferenceData!$BH$168),"",ReferenceData!$BH$168),"")</f>
        <v/>
      </c>
      <c r="BI168" t="str">
        <f ca="1">IFERROR(IF(0=LEN(ReferenceData!$BI$168),"",ReferenceData!$BI$168),"")</f>
        <v/>
      </c>
      <c r="BJ168" t="str">
        <f ca="1">IFERROR(IF(0=LEN(ReferenceData!$BJ$168),"",ReferenceData!$BJ$168),"")</f>
        <v/>
      </c>
      <c r="BK168" t="str">
        <f ca="1">IFERROR(IF(0=LEN(ReferenceData!$BK$168),"",ReferenceData!$BK$168),"")</f>
        <v/>
      </c>
      <c r="BL168" t="str">
        <f ca="1">IFERROR(IF(0=LEN(ReferenceData!$BL$168),"",ReferenceData!$BL$168),"")</f>
        <v/>
      </c>
      <c r="BM168" t="str">
        <f ca="1">IFERROR(IF(0=LEN(ReferenceData!$BM$168),"",ReferenceData!$BM$168),"")</f>
        <v/>
      </c>
    </row>
    <row r="169" spans="1:65" x14ac:dyDescent="0.25">
      <c r="A169" t="str">
        <f>IFERROR(IF(0=LEN(ReferenceData!$A$169),"",ReferenceData!$A$169),"")</f>
        <v xml:space="preserve">    Avtovaz PJSC</v>
      </c>
      <c r="B169" t="str">
        <f>IFERROR(IF(0=LEN(ReferenceData!$B$169),"",ReferenceData!$B$169),"")</f>
        <v>AVAZ RM Equity</v>
      </c>
      <c r="C169" t="str">
        <f>IFERROR(IF(0=LEN(ReferenceData!$C$169),"",ReferenceData!$C$169),"")</f>
        <v>RR800</v>
      </c>
      <c r="D169" t="str">
        <f>IFERROR(IF(0=LEN(ReferenceData!$D$169),"",ReferenceData!$D$169),"")</f>
        <v>TRAIL_12M_NET_SALES</v>
      </c>
      <c r="E169" t="str">
        <f>IFERROR(IF(0=LEN(ReferenceData!$E$169),"",ReferenceData!$E$169),"")</f>
        <v>Dynamic</v>
      </c>
      <c r="F169" t="str">
        <f ca="1">IFERROR(IF(0=LEN(ReferenceData!$F$169),"",ReferenceData!$F$169),"")</f>
        <v/>
      </c>
      <c r="G169" t="str">
        <f ca="1">IFERROR(IF(0=LEN(ReferenceData!$G$169),"",ReferenceData!$G$169),"")</f>
        <v/>
      </c>
      <c r="H169">
        <f ca="1">IFERROR(IF(0=LEN(ReferenceData!$H$169),"",ReferenceData!$H$169),"")</f>
        <v>4391.9018619999997</v>
      </c>
      <c r="I169">
        <f ca="1">IFERROR(IF(0=LEN(ReferenceData!$I$169),"",ReferenceData!$I$169),"")</f>
        <v>4371.1131599999999</v>
      </c>
      <c r="J169">
        <f ca="1">IFERROR(IF(0=LEN(ReferenceData!$J$169),"",ReferenceData!$J$169),"")</f>
        <v>4224.6166380000004</v>
      </c>
      <c r="K169">
        <f ca="1">IFERROR(IF(0=LEN(ReferenceData!$K$169),"",ReferenceData!$K$169),"")</f>
        <v>3869.4335970000002</v>
      </c>
      <c r="L169">
        <f ca="1">IFERROR(IF(0=LEN(ReferenceData!$L$169),"",ReferenceData!$L$169),"")</f>
        <v>3587.2217369999998</v>
      </c>
      <c r="M169">
        <f ca="1">IFERROR(IF(0=LEN(ReferenceData!$M$169),"",ReferenceData!$M$169),"")</f>
        <v>3297.9136920000001</v>
      </c>
      <c r="N169">
        <f ca="1">IFERROR(IF(0=LEN(ReferenceData!$N$169),"",ReferenceData!$N$169),"")</f>
        <v>3060.8870280000001</v>
      </c>
      <c r="O169">
        <f ca="1">IFERROR(IF(0=LEN(ReferenceData!$O$169),"",ReferenceData!$O$169),"")</f>
        <v>2775.6908100000001</v>
      </c>
      <c r="P169">
        <f ca="1">IFERROR(IF(0=LEN(ReferenceData!$P$169),"",ReferenceData!$P$169),"")</f>
        <v>2605.605599</v>
      </c>
      <c r="Q169">
        <f ca="1">IFERROR(IF(0=LEN(ReferenceData!$Q$169),"",ReferenceData!$Q$169),"")</f>
        <v>2565.4262600000002</v>
      </c>
      <c r="R169" t="str">
        <f ca="1">IFERROR(IF(0=LEN(ReferenceData!$R$169),"",ReferenceData!$R$169),"")</f>
        <v/>
      </c>
      <c r="S169" t="str">
        <f ca="1">IFERROR(IF(0=LEN(ReferenceData!$S$169),"",ReferenceData!$S$169),"")</f>
        <v/>
      </c>
      <c r="T169" t="str">
        <f ca="1">IFERROR(IF(0=LEN(ReferenceData!$T$169),"",ReferenceData!$T$169),"")</f>
        <v/>
      </c>
      <c r="U169" t="str">
        <f ca="1">IFERROR(IF(0=LEN(ReferenceData!$U$169),"",ReferenceData!$U$169),"")</f>
        <v/>
      </c>
      <c r="V169" t="str">
        <f ca="1">IFERROR(IF(0=LEN(ReferenceData!$V$169),"",ReferenceData!$V$169),"")</f>
        <v/>
      </c>
      <c r="W169" t="str">
        <f ca="1">IFERROR(IF(0=LEN(ReferenceData!$W$169),"",ReferenceData!$W$169),"")</f>
        <v/>
      </c>
      <c r="X169" t="str">
        <f ca="1">IFERROR(IF(0=LEN(ReferenceData!$X$169),"",ReferenceData!$X$169),"")</f>
        <v/>
      </c>
      <c r="Y169" t="str">
        <f ca="1">IFERROR(IF(0=LEN(ReferenceData!$Y$169),"",ReferenceData!$Y$169),"")</f>
        <v/>
      </c>
      <c r="Z169" t="str">
        <f ca="1">IFERROR(IF(0=LEN(ReferenceData!$Z$169),"",ReferenceData!$Z$169),"")</f>
        <v/>
      </c>
      <c r="AA169" t="str">
        <f ca="1">IFERROR(IF(0=LEN(ReferenceData!$AA$169),"",ReferenceData!$AA$169),"")</f>
        <v/>
      </c>
      <c r="AB169" t="str">
        <f ca="1">IFERROR(IF(0=LEN(ReferenceData!$AB$169),"",ReferenceData!$AB$169),"")</f>
        <v/>
      </c>
      <c r="AC169" t="str">
        <f ca="1">IFERROR(IF(0=LEN(ReferenceData!$AC$169),"",ReferenceData!$AC$169),"")</f>
        <v/>
      </c>
      <c r="AD169" t="str">
        <f ca="1">IFERROR(IF(0=LEN(ReferenceData!$AD$169),"",ReferenceData!$AD$169),"")</f>
        <v/>
      </c>
      <c r="AE169" t="str">
        <f ca="1">IFERROR(IF(0=LEN(ReferenceData!$AE$169),"",ReferenceData!$AE$169),"")</f>
        <v/>
      </c>
      <c r="AF169" t="str">
        <f ca="1">IFERROR(IF(0=LEN(ReferenceData!$AF$169),"",ReferenceData!$AF$169),"")</f>
        <v/>
      </c>
      <c r="AG169" t="str">
        <f ca="1">IFERROR(IF(0=LEN(ReferenceData!$AG$169),"",ReferenceData!$AG$169),"")</f>
        <v/>
      </c>
      <c r="AH169" t="str">
        <f ca="1">IFERROR(IF(0=LEN(ReferenceData!$AH$169),"",ReferenceData!$AH$169),"")</f>
        <v/>
      </c>
      <c r="AI169" t="str">
        <f ca="1">IFERROR(IF(0=LEN(ReferenceData!$AI$169),"",ReferenceData!$AI$169),"")</f>
        <v/>
      </c>
      <c r="AJ169" t="str">
        <f ca="1">IFERROR(IF(0=LEN(ReferenceData!$AJ$169),"",ReferenceData!$AJ$169),"")</f>
        <v/>
      </c>
      <c r="AK169" t="str">
        <f ca="1">IFERROR(IF(0=LEN(ReferenceData!$AK$169),"",ReferenceData!$AK$169),"")</f>
        <v/>
      </c>
      <c r="AL169" t="str">
        <f ca="1">IFERROR(IF(0=LEN(ReferenceData!$AL$169),"",ReferenceData!$AL$169),"")</f>
        <v/>
      </c>
      <c r="AM169" t="str">
        <f ca="1">IFERROR(IF(0=LEN(ReferenceData!$AM$169),"",ReferenceData!$AM$169),"")</f>
        <v/>
      </c>
      <c r="AN169" t="str">
        <f ca="1">IFERROR(IF(0=LEN(ReferenceData!$AN$169),"",ReferenceData!$AN$169),"")</f>
        <v/>
      </c>
      <c r="AO169" t="str">
        <f ca="1">IFERROR(IF(0=LEN(ReferenceData!$AO$169),"",ReferenceData!$AO$169),"")</f>
        <v/>
      </c>
      <c r="AP169" t="str">
        <f ca="1">IFERROR(IF(0=LEN(ReferenceData!$AP$169),"",ReferenceData!$AP$169),"")</f>
        <v/>
      </c>
      <c r="AQ169" t="str">
        <f ca="1">IFERROR(IF(0=LEN(ReferenceData!$AQ$169),"",ReferenceData!$AQ$169),"")</f>
        <v/>
      </c>
      <c r="AR169" t="str">
        <f ca="1">IFERROR(IF(0=LEN(ReferenceData!$AR$169),"",ReferenceData!$AR$169),"")</f>
        <v/>
      </c>
      <c r="AS169" t="str">
        <f ca="1">IFERROR(IF(0=LEN(ReferenceData!$AS$169),"",ReferenceData!$AS$169),"")</f>
        <v/>
      </c>
      <c r="AT169" t="str">
        <f ca="1">IFERROR(IF(0=LEN(ReferenceData!$AT$169),"",ReferenceData!$AT$169),"")</f>
        <v/>
      </c>
      <c r="AU169" t="str">
        <f ca="1">IFERROR(IF(0=LEN(ReferenceData!$AU$169),"",ReferenceData!$AU$169),"")</f>
        <v/>
      </c>
      <c r="AV169" t="str">
        <f ca="1">IFERROR(IF(0=LEN(ReferenceData!$AV$169),"",ReferenceData!$AV$169),"")</f>
        <v/>
      </c>
      <c r="AW169" t="str">
        <f ca="1">IFERROR(IF(0=LEN(ReferenceData!$AW$169),"",ReferenceData!$AW$169),"")</f>
        <v/>
      </c>
      <c r="AX169" t="str">
        <f ca="1">IFERROR(IF(0=LEN(ReferenceData!$AX$169),"",ReferenceData!$AX$169),"")</f>
        <v/>
      </c>
      <c r="AY169" t="str">
        <f ca="1">IFERROR(IF(0=LEN(ReferenceData!$AY$169),"",ReferenceData!$AY$169),"")</f>
        <v/>
      </c>
      <c r="AZ169" t="str">
        <f ca="1">IFERROR(IF(0=LEN(ReferenceData!$AZ$169),"",ReferenceData!$AZ$169),"")</f>
        <v/>
      </c>
      <c r="BA169" t="str">
        <f ca="1">IFERROR(IF(0=LEN(ReferenceData!$BA$169),"",ReferenceData!$BA$169),"")</f>
        <v/>
      </c>
      <c r="BB169" t="str">
        <f ca="1">IFERROR(IF(0=LEN(ReferenceData!$BB$169),"",ReferenceData!$BB$169),"")</f>
        <v/>
      </c>
      <c r="BC169" t="str">
        <f ca="1">IFERROR(IF(0=LEN(ReferenceData!$BC$169),"",ReferenceData!$BC$169),"")</f>
        <v/>
      </c>
      <c r="BD169" t="str">
        <f ca="1">IFERROR(IF(0=LEN(ReferenceData!$BD$169),"",ReferenceData!$BD$169),"")</f>
        <v/>
      </c>
      <c r="BE169" t="str">
        <f ca="1">IFERROR(IF(0=LEN(ReferenceData!$BE$169),"",ReferenceData!$BE$169),"")</f>
        <v/>
      </c>
      <c r="BF169" t="str">
        <f ca="1">IFERROR(IF(0=LEN(ReferenceData!$BF$169),"",ReferenceData!$BF$169),"")</f>
        <v/>
      </c>
      <c r="BG169" t="str">
        <f ca="1">IFERROR(IF(0=LEN(ReferenceData!$BG$169),"",ReferenceData!$BG$169),"")</f>
        <v/>
      </c>
      <c r="BH169" t="str">
        <f ca="1">IFERROR(IF(0=LEN(ReferenceData!$BH$169),"",ReferenceData!$BH$169),"")</f>
        <v/>
      </c>
      <c r="BI169" t="str">
        <f ca="1">IFERROR(IF(0=LEN(ReferenceData!$BI$169),"",ReferenceData!$BI$169),"")</f>
        <v/>
      </c>
      <c r="BJ169" t="str">
        <f ca="1">IFERROR(IF(0=LEN(ReferenceData!$BJ$169),"",ReferenceData!$BJ$169),"")</f>
        <v/>
      </c>
      <c r="BK169" t="str">
        <f ca="1">IFERROR(IF(0=LEN(ReferenceData!$BK$169),"",ReferenceData!$BK$169),"")</f>
        <v/>
      </c>
      <c r="BL169" t="str">
        <f ca="1">IFERROR(IF(0=LEN(ReferenceData!$BL$169),"",ReferenceData!$BL$169),"")</f>
        <v/>
      </c>
      <c r="BM169" t="str">
        <f ca="1">IFERROR(IF(0=LEN(ReferenceData!$BM$169),"",ReferenceData!$BM$169),"")</f>
        <v/>
      </c>
    </row>
    <row r="170" spans="1:65" x14ac:dyDescent="0.25">
      <c r="A170" t="str">
        <f>IFERROR(IF(0=LEN(ReferenceData!$A$170),"",ReferenceData!$A$170),"")</f>
        <v xml:space="preserve">    Bayerische Motoren Werke AG</v>
      </c>
      <c r="B170" t="str">
        <f>IFERROR(IF(0=LEN(ReferenceData!$B$170),"",ReferenceData!$B$170),"")</f>
        <v>BMW GR Equity</v>
      </c>
      <c r="C170" t="str">
        <f>IFERROR(IF(0=LEN(ReferenceData!$C$170),"",ReferenceData!$C$170),"")</f>
        <v>RR800</v>
      </c>
      <c r="D170" t="str">
        <f>IFERROR(IF(0=LEN(ReferenceData!$D$170),"",ReferenceData!$D$170),"")</f>
        <v>TRAIL_12M_NET_SALES</v>
      </c>
      <c r="E170" t="str">
        <f>IFERROR(IF(0=LEN(ReferenceData!$E$170),"",ReferenceData!$E$170),"")</f>
        <v>Dynamic</v>
      </c>
      <c r="F170" t="str">
        <f ca="1">IFERROR(IF(0=LEN(ReferenceData!$F$170),"",ReferenceData!$F$170),"")</f>
        <v/>
      </c>
      <c r="G170" t="str">
        <f ca="1">IFERROR(IF(0=LEN(ReferenceData!$G$170),"",ReferenceData!$G$170),"")</f>
        <v/>
      </c>
      <c r="H170">
        <f ca="1">IFERROR(IF(0=LEN(ReferenceData!$H$170),"",ReferenceData!$H$170),"")</f>
        <v>117219.13499999999</v>
      </c>
      <c r="I170">
        <f ca="1">IFERROR(IF(0=LEN(ReferenceData!$I$170),"",ReferenceData!$I$170),"")</f>
        <v>116191.14230000001</v>
      </c>
      <c r="J170">
        <f ca="1">IFERROR(IF(0=LEN(ReferenceData!$J$170),"",ReferenceData!$J$170),"")</f>
        <v>114841.20540000001</v>
      </c>
      <c r="K170">
        <f ca="1">IFERROR(IF(0=LEN(ReferenceData!$K$170),"",ReferenceData!$K$170),"")</f>
        <v>112216.3453</v>
      </c>
      <c r="L170">
        <f ca="1">IFERROR(IF(0=LEN(ReferenceData!$L$170),"",ReferenceData!$L$170),"")</f>
        <v>108553.5129</v>
      </c>
      <c r="M170">
        <f ca="1">IFERROR(IF(0=LEN(ReferenceData!$M$170),"",ReferenceData!$M$170),"")</f>
        <v>106825.16650000001</v>
      </c>
      <c r="N170">
        <f ca="1">IFERROR(IF(0=LEN(ReferenceData!$N$170),"",ReferenceData!$N$170),"")</f>
        <v>106697.1056</v>
      </c>
      <c r="O170">
        <f ca="1">IFERROR(IF(0=LEN(ReferenceData!$O$170),"",ReferenceData!$O$170),"")</f>
        <v>104222.3088</v>
      </c>
      <c r="P170">
        <f ca="1">IFERROR(IF(0=LEN(ReferenceData!$P$170),"",ReferenceData!$P$170),"")</f>
        <v>104668.4734</v>
      </c>
      <c r="Q170">
        <f ca="1">IFERROR(IF(0=LEN(ReferenceData!$Q$170),"",ReferenceData!$Q$170),"")</f>
        <v>103439.3723</v>
      </c>
      <c r="R170">
        <f ca="1">IFERROR(IF(0=LEN(ReferenceData!$R$170),"",ReferenceData!$R$170),"")</f>
        <v>101722.6422</v>
      </c>
      <c r="S170">
        <f ca="1">IFERROR(IF(0=LEN(ReferenceData!$S$170),"",ReferenceData!$S$170),"")</f>
        <v>102314.3083</v>
      </c>
      <c r="T170">
        <f ca="1">IFERROR(IF(0=LEN(ReferenceData!$T$170),"",ReferenceData!$T$170),"")</f>
        <v>103231.92419999999</v>
      </c>
      <c r="U170">
        <f ca="1">IFERROR(IF(0=LEN(ReferenceData!$U$170),"",ReferenceData!$U$170),"")</f>
        <v>104777.6373</v>
      </c>
      <c r="V170">
        <f ca="1">IFERROR(IF(0=LEN(ReferenceData!$V$170),"",ReferenceData!$V$170),"")</f>
        <v>105405.31230000001</v>
      </c>
      <c r="W170">
        <f ca="1">IFERROR(IF(0=LEN(ReferenceData!$W$170),"",ReferenceData!$W$170),"")</f>
        <v>106811.58719999999</v>
      </c>
      <c r="X170">
        <f ca="1">IFERROR(IF(0=LEN(ReferenceData!$X$170),"",ReferenceData!$X$170),"")</f>
        <v>105778.9564</v>
      </c>
      <c r="Y170">
        <f ca="1">IFERROR(IF(0=LEN(ReferenceData!$Y$170),"",ReferenceData!$Y$170),"")</f>
        <v>104614.6381</v>
      </c>
      <c r="Z170">
        <f ca="1">IFERROR(IF(0=LEN(ReferenceData!$Z$170),"",ReferenceData!$Z$170),"")</f>
        <v>102889.1039</v>
      </c>
      <c r="AA170">
        <f ca="1">IFERROR(IF(0=LEN(ReferenceData!$AA$170),"",ReferenceData!$AA$170),"")</f>
        <v>101030.0396</v>
      </c>
      <c r="AB170">
        <f ca="1">IFERROR(IF(0=LEN(ReferenceData!$AB$170),"",ReferenceData!$AB$170),"")</f>
        <v>100226.61689999999</v>
      </c>
      <c r="AC170">
        <f ca="1">IFERROR(IF(0=LEN(ReferenceData!$AC$170),"",ReferenceData!$AC$170),"")</f>
        <v>98901.57273</v>
      </c>
      <c r="AD170">
        <f ca="1">IFERROR(IF(0=LEN(ReferenceData!$AD$170),"",ReferenceData!$AD$170),"")</f>
        <v>98010.789619999996</v>
      </c>
      <c r="AE170">
        <f ca="1">IFERROR(IF(0=LEN(ReferenceData!$AE$170),"",ReferenceData!$AE$170),"")</f>
        <v>98816.621669999993</v>
      </c>
      <c r="AF170">
        <f ca="1">IFERROR(IF(0=LEN(ReferenceData!$AF$170),"",ReferenceData!$AF$170),"")</f>
        <v>96934.030329999994</v>
      </c>
      <c r="AG170">
        <f ca="1">IFERROR(IF(0=LEN(ReferenceData!$AG$170),"",ReferenceData!$AG$170),"")</f>
        <v>96934.011960000003</v>
      </c>
      <c r="AH170">
        <f ca="1">IFERROR(IF(0=LEN(ReferenceData!$AH$170),"",ReferenceData!$AH$170),"")</f>
        <v>97942.649059999996</v>
      </c>
      <c r="AI170">
        <f ca="1">IFERROR(IF(0=LEN(ReferenceData!$AI$170),"",ReferenceData!$AI$170),"")</f>
        <v>95826.507310000001</v>
      </c>
      <c r="AJ170">
        <f ca="1">IFERROR(IF(0=LEN(ReferenceData!$AJ$170),"",ReferenceData!$AJ$170),"")</f>
        <v>93753.590630000006</v>
      </c>
      <c r="AK170">
        <f ca="1">IFERROR(IF(0=LEN(ReferenceData!$AK$170),"",ReferenceData!$AK$170),"")</f>
        <v>90884.811489999993</v>
      </c>
      <c r="AL170">
        <f ca="1">IFERROR(IF(0=LEN(ReferenceData!$AL$170),"",ReferenceData!$AL$170),"")</f>
        <v>84765.446939999994</v>
      </c>
      <c r="AM170">
        <f ca="1">IFERROR(IF(0=LEN(ReferenceData!$AM$170),"",ReferenceData!$AM$170),"")</f>
        <v>80229.461330000006</v>
      </c>
      <c r="AN170">
        <f ca="1">IFERROR(IF(0=LEN(ReferenceData!$AN$170),"",ReferenceData!$AN$170),"")</f>
        <v>78917.200939999995</v>
      </c>
      <c r="AO170">
        <f ca="1">IFERROR(IF(0=LEN(ReferenceData!$AO$170),"",ReferenceData!$AO$170),"")</f>
        <v>75127.677290000007</v>
      </c>
      <c r="AP170">
        <f ca="1">IFERROR(IF(0=LEN(ReferenceData!$AP$170),"",ReferenceData!$AP$170),"")</f>
        <v>72971.57243</v>
      </c>
      <c r="AQ170">
        <f ca="1">IFERROR(IF(0=LEN(ReferenceData!$AQ$170),"",ReferenceData!$AQ$170),"")</f>
        <v>70671.445670000001</v>
      </c>
      <c r="AR170">
        <f ca="1">IFERROR(IF(0=LEN(ReferenceData!$AR$170),"",ReferenceData!$AR$170),"")</f>
        <v>66411.851360000001</v>
      </c>
      <c r="AS170">
        <f ca="1">IFERROR(IF(0=LEN(ReferenceData!$AS$170),"",ReferenceData!$AS$170),"")</f>
        <v>68452.913180000003</v>
      </c>
      <c r="AT170">
        <f ca="1">IFERROR(IF(0=LEN(ReferenceData!$AT$170),"",ReferenceData!$AT$170),"")</f>
        <v>73182.307109999994</v>
      </c>
      <c r="AU170">
        <f ca="1">IFERROR(IF(0=LEN(ReferenceData!$AU$170),"",ReferenceData!$AU$170),"")</f>
        <v>78246.903860000006</v>
      </c>
      <c r="AV170">
        <f ca="1">IFERROR(IF(0=LEN(ReferenceData!$AV$170),"",ReferenceData!$AV$170),"")</f>
        <v>84221.088959999994</v>
      </c>
      <c r="AW170">
        <f ca="1">IFERROR(IF(0=LEN(ReferenceData!$AW$170),"",ReferenceData!$AW$170),"")</f>
        <v>84175.033169999995</v>
      </c>
      <c r="AX170">
        <f ca="1">IFERROR(IF(0=LEN(ReferenceData!$AX$170),"",ReferenceData!$AX$170),"")</f>
        <v>81307.277770000001</v>
      </c>
      <c r="AY170">
        <f ca="1">IFERROR(IF(0=LEN(ReferenceData!$AY$170),"",ReferenceData!$AY$170),"")</f>
        <v>76789.385330000005</v>
      </c>
      <c r="AZ170">
        <f ca="1">IFERROR(IF(0=LEN(ReferenceData!$AZ$170),"",ReferenceData!$AZ$170),"")</f>
        <v>70594.299320000006</v>
      </c>
      <c r="BA170">
        <f ca="1">IFERROR(IF(0=LEN(ReferenceData!$BA$170),"",ReferenceData!$BA$170),"")</f>
        <v>66365.622340000002</v>
      </c>
      <c r="BB170">
        <f ca="1">IFERROR(IF(0=LEN(ReferenceData!$BB$170),"",ReferenceData!$BB$170),"")</f>
        <v>63308.232790000002</v>
      </c>
      <c r="BC170">
        <f ca="1">IFERROR(IF(0=LEN(ReferenceData!$BC$170),"",ReferenceData!$BC$170),"")</f>
        <v>61561.774460000001</v>
      </c>
      <c r="BD170">
        <f ca="1">IFERROR(IF(0=LEN(ReferenceData!$BD$170),"",ReferenceData!$BD$170),"")</f>
        <v>60062.194530000001</v>
      </c>
      <c r="BE170">
        <f ca="1">IFERROR(IF(0=LEN(ReferenceData!$BE$170),"",ReferenceData!$BE$170),"")</f>
        <v>59595.127690000001</v>
      </c>
      <c r="BF170">
        <f ca="1">IFERROR(IF(0=LEN(ReferenceData!$BF$170),"",ReferenceData!$BF$170),"")</f>
        <v>58343.927380000001</v>
      </c>
      <c r="BG170">
        <f ca="1">IFERROR(IF(0=LEN(ReferenceData!$BG$170),"",ReferenceData!$BG$170),"")</f>
        <v>58050.207190000001</v>
      </c>
      <c r="BH170">
        <f ca="1">IFERROR(IF(0=LEN(ReferenceData!$BH$170),"",ReferenceData!$BH$170),"")</f>
        <v>57539.957950000004</v>
      </c>
      <c r="BI170">
        <f ca="1">IFERROR(IF(0=LEN(ReferenceData!$BI$170),"",ReferenceData!$BI$170),"")</f>
        <v>56161.986190000003</v>
      </c>
      <c r="BJ170">
        <f ca="1">IFERROR(IF(0=LEN(ReferenceData!$BJ$170),"",ReferenceData!$BJ$170),"")</f>
        <v>55257.390249999997</v>
      </c>
      <c r="BK170">
        <f ca="1">IFERROR(IF(0=LEN(ReferenceData!$BK$170),"",ReferenceData!$BK$170),"")</f>
        <v>55162.36002</v>
      </c>
      <c r="BL170">
        <f ca="1">IFERROR(IF(0=LEN(ReferenceData!$BL$170),"",ReferenceData!$BL$170),"")</f>
        <v>54041.801610000002</v>
      </c>
      <c r="BM170">
        <f ca="1">IFERROR(IF(0=LEN(ReferenceData!$BM$170),"",ReferenceData!$BM$170),"")</f>
        <v>52214.26283</v>
      </c>
    </row>
    <row r="171" spans="1:65" x14ac:dyDescent="0.25">
      <c r="A171" t="str">
        <f>IFERROR(IF(0=LEN(ReferenceData!$A$171),"",ReferenceData!$A$171),"")</f>
        <v xml:space="preserve">    Brilliance China Automotive Holdings Ltd</v>
      </c>
      <c r="B171" t="str">
        <f>IFERROR(IF(0=LEN(ReferenceData!$B$171),"",ReferenceData!$B$171),"")</f>
        <v>1114 HK Equity</v>
      </c>
      <c r="C171" t="str">
        <f>IFERROR(IF(0=LEN(ReferenceData!$C$171),"",ReferenceData!$C$171),"")</f>
        <v>RR800</v>
      </c>
      <c r="D171" t="str">
        <f>IFERROR(IF(0=LEN(ReferenceData!$D$171),"",ReferenceData!$D$171),"")</f>
        <v>TRAIL_12M_NET_SALES</v>
      </c>
      <c r="E171" t="str">
        <f>IFERROR(IF(0=LEN(ReferenceData!$E$171),"",ReferenceData!$E$171),"")</f>
        <v>Dynamic</v>
      </c>
      <c r="F171" t="str">
        <f ca="1">IFERROR(IF(0=LEN(ReferenceData!$F$171),"",ReferenceData!$F$171),"")</f>
        <v/>
      </c>
      <c r="G171" t="str">
        <f ca="1">IFERROR(IF(0=LEN(ReferenceData!$G$171),"",ReferenceData!$G$171),"")</f>
        <v/>
      </c>
      <c r="H171" t="str">
        <f ca="1">IFERROR(IF(0=LEN(ReferenceData!$H$171),"",ReferenceData!$H$171),"")</f>
        <v/>
      </c>
      <c r="I171" t="str">
        <f ca="1">IFERROR(IF(0=LEN(ReferenceData!$I$171),"",ReferenceData!$I$171),"")</f>
        <v/>
      </c>
      <c r="J171" t="str">
        <f ca="1">IFERROR(IF(0=LEN(ReferenceData!$J$171),"",ReferenceData!$J$171),"")</f>
        <v/>
      </c>
      <c r="K171" t="str">
        <f ca="1">IFERROR(IF(0=LEN(ReferenceData!$K$171),"",ReferenceData!$K$171),"")</f>
        <v/>
      </c>
      <c r="L171" t="str">
        <f ca="1">IFERROR(IF(0=LEN(ReferenceData!$L$171),"",ReferenceData!$L$171),"")</f>
        <v/>
      </c>
      <c r="M171" t="str">
        <f ca="1">IFERROR(IF(0=LEN(ReferenceData!$M$171),"",ReferenceData!$M$171),"")</f>
        <v/>
      </c>
      <c r="N171" t="str">
        <f ca="1">IFERROR(IF(0=LEN(ReferenceData!$N$171),"",ReferenceData!$N$171),"")</f>
        <v/>
      </c>
      <c r="O171" t="str">
        <f ca="1">IFERROR(IF(0=LEN(ReferenceData!$O$171),"",ReferenceData!$O$171),"")</f>
        <v/>
      </c>
      <c r="P171" t="str">
        <f ca="1">IFERROR(IF(0=LEN(ReferenceData!$P$171),"",ReferenceData!$P$171),"")</f>
        <v/>
      </c>
      <c r="Q171" t="str">
        <f ca="1">IFERROR(IF(0=LEN(ReferenceData!$Q$171),"",ReferenceData!$Q$171),"")</f>
        <v/>
      </c>
      <c r="R171" t="str">
        <f ca="1">IFERROR(IF(0=LEN(ReferenceData!$R$171),"",ReferenceData!$R$171),"")</f>
        <v/>
      </c>
      <c r="S171" t="str">
        <f ca="1">IFERROR(IF(0=LEN(ReferenceData!$S$171),"",ReferenceData!$S$171),"")</f>
        <v/>
      </c>
      <c r="T171" t="str">
        <f ca="1">IFERROR(IF(0=LEN(ReferenceData!$T$171),"",ReferenceData!$T$171),"")</f>
        <v/>
      </c>
      <c r="U171" t="str">
        <f ca="1">IFERROR(IF(0=LEN(ReferenceData!$U$171),"",ReferenceData!$U$171),"")</f>
        <v/>
      </c>
      <c r="V171" t="str">
        <f ca="1">IFERROR(IF(0=LEN(ReferenceData!$V$171),"",ReferenceData!$V$171),"")</f>
        <v/>
      </c>
      <c r="W171" t="str">
        <f ca="1">IFERROR(IF(0=LEN(ReferenceData!$W$171),"",ReferenceData!$W$171),"")</f>
        <v/>
      </c>
      <c r="X171" t="str">
        <f ca="1">IFERROR(IF(0=LEN(ReferenceData!$X$171),"",ReferenceData!$X$171),"")</f>
        <v/>
      </c>
      <c r="Y171" t="str">
        <f ca="1">IFERROR(IF(0=LEN(ReferenceData!$Y$171),"",ReferenceData!$Y$171),"")</f>
        <v/>
      </c>
      <c r="Z171" t="str">
        <f ca="1">IFERROR(IF(0=LEN(ReferenceData!$Z$171),"",ReferenceData!$Z$171),"")</f>
        <v/>
      </c>
      <c r="AA171" t="str">
        <f ca="1">IFERROR(IF(0=LEN(ReferenceData!$AA$171),"",ReferenceData!$AA$171),"")</f>
        <v/>
      </c>
      <c r="AB171" t="str">
        <f ca="1">IFERROR(IF(0=LEN(ReferenceData!$AB$171),"",ReferenceData!$AB$171),"")</f>
        <v/>
      </c>
      <c r="AC171" t="str">
        <f ca="1">IFERROR(IF(0=LEN(ReferenceData!$AC$171),"",ReferenceData!$AC$171),"")</f>
        <v/>
      </c>
      <c r="AD171" t="str">
        <f ca="1">IFERROR(IF(0=LEN(ReferenceData!$AD$171),"",ReferenceData!$AD$171),"")</f>
        <v/>
      </c>
      <c r="AE171" t="str">
        <f ca="1">IFERROR(IF(0=LEN(ReferenceData!$AE$171),"",ReferenceData!$AE$171),"")</f>
        <v/>
      </c>
      <c r="AF171" t="str">
        <f ca="1">IFERROR(IF(0=LEN(ReferenceData!$AF$171),"",ReferenceData!$AF$171),"")</f>
        <v/>
      </c>
      <c r="AG171" t="str">
        <f ca="1">IFERROR(IF(0=LEN(ReferenceData!$AG$171),"",ReferenceData!$AG$171),"")</f>
        <v/>
      </c>
      <c r="AH171" t="str">
        <f ca="1">IFERROR(IF(0=LEN(ReferenceData!$AH$171),"",ReferenceData!$AH$171),"")</f>
        <v/>
      </c>
      <c r="AI171" t="str">
        <f ca="1">IFERROR(IF(0=LEN(ReferenceData!$AI$171),"",ReferenceData!$AI$171),"")</f>
        <v/>
      </c>
      <c r="AJ171" t="str">
        <f ca="1">IFERROR(IF(0=LEN(ReferenceData!$AJ$171),"",ReferenceData!$AJ$171),"")</f>
        <v/>
      </c>
      <c r="AK171" t="str">
        <f ca="1">IFERROR(IF(0=LEN(ReferenceData!$AK$171),"",ReferenceData!$AK$171),"")</f>
        <v/>
      </c>
      <c r="AL171" t="str">
        <f ca="1">IFERROR(IF(0=LEN(ReferenceData!$AL$171),"",ReferenceData!$AL$171),"")</f>
        <v/>
      </c>
      <c r="AM171" t="str">
        <f ca="1">IFERROR(IF(0=LEN(ReferenceData!$AM$171),"",ReferenceData!$AM$171),"")</f>
        <v/>
      </c>
      <c r="AN171" t="str">
        <f ca="1">IFERROR(IF(0=LEN(ReferenceData!$AN$171),"",ReferenceData!$AN$171),"")</f>
        <v/>
      </c>
      <c r="AO171" t="str">
        <f ca="1">IFERROR(IF(0=LEN(ReferenceData!$AO$171),"",ReferenceData!$AO$171),"")</f>
        <v/>
      </c>
      <c r="AP171" t="str">
        <f ca="1">IFERROR(IF(0=LEN(ReferenceData!$AP$171),"",ReferenceData!$AP$171),"")</f>
        <v/>
      </c>
      <c r="AQ171" t="str">
        <f ca="1">IFERROR(IF(0=LEN(ReferenceData!$AQ$171),"",ReferenceData!$AQ$171),"")</f>
        <v/>
      </c>
      <c r="AR171" t="str">
        <f ca="1">IFERROR(IF(0=LEN(ReferenceData!$AR$171),"",ReferenceData!$AR$171),"")</f>
        <v/>
      </c>
      <c r="AS171" t="str">
        <f ca="1">IFERROR(IF(0=LEN(ReferenceData!$AS$171),"",ReferenceData!$AS$171),"")</f>
        <v/>
      </c>
      <c r="AT171" t="str">
        <f ca="1">IFERROR(IF(0=LEN(ReferenceData!$AT$171),"",ReferenceData!$AT$171),"")</f>
        <v/>
      </c>
      <c r="AU171" t="str">
        <f ca="1">IFERROR(IF(0=LEN(ReferenceData!$AU$171),"",ReferenceData!$AU$171),"")</f>
        <v/>
      </c>
      <c r="AV171" t="str">
        <f ca="1">IFERROR(IF(0=LEN(ReferenceData!$AV$171),"",ReferenceData!$AV$171),"")</f>
        <v/>
      </c>
      <c r="AW171" t="str">
        <f ca="1">IFERROR(IF(0=LEN(ReferenceData!$AW$171),"",ReferenceData!$AW$171),"")</f>
        <v/>
      </c>
      <c r="AX171" t="str">
        <f ca="1">IFERROR(IF(0=LEN(ReferenceData!$AX$171),"",ReferenceData!$AX$171),"")</f>
        <v/>
      </c>
      <c r="AY171" t="str">
        <f ca="1">IFERROR(IF(0=LEN(ReferenceData!$AY$171),"",ReferenceData!$AY$171),"")</f>
        <v/>
      </c>
      <c r="AZ171" t="str">
        <f ca="1">IFERROR(IF(0=LEN(ReferenceData!$AZ$171),"",ReferenceData!$AZ$171),"")</f>
        <v/>
      </c>
      <c r="BA171" t="str">
        <f ca="1">IFERROR(IF(0=LEN(ReferenceData!$BA$171),"",ReferenceData!$BA$171),"")</f>
        <v/>
      </c>
      <c r="BB171" t="str">
        <f ca="1">IFERROR(IF(0=LEN(ReferenceData!$BB$171),"",ReferenceData!$BB$171),"")</f>
        <v/>
      </c>
      <c r="BC171" t="str">
        <f ca="1">IFERROR(IF(0=LEN(ReferenceData!$BC$171),"",ReferenceData!$BC$171),"")</f>
        <v/>
      </c>
      <c r="BD171" t="str">
        <f ca="1">IFERROR(IF(0=LEN(ReferenceData!$BD$171),"",ReferenceData!$BD$171),"")</f>
        <v/>
      </c>
      <c r="BE171" t="str">
        <f ca="1">IFERROR(IF(0=LEN(ReferenceData!$BE$171),"",ReferenceData!$BE$171),"")</f>
        <v/>
      </c>
      <c r="BF171" t="str">
        <f ca="1">IFERROR(IF(0=LEN(ReferenceData!$BF$171),"",ReferenceData!$BF$171),"")</f>
        <v/>
      </c>
      <c r="BG171" t="str">
        <f ca="1">IFERROR(IF(0=LEN(ReferenceData!$BG$171),"",ReferenceData!$BG$171),"")</f>
        <v/>
      </c>
      <c r="BH171" t="str">
        <f ca="1">IFERROR(IF(0=LEN(ReferenceData!$BH$171),"",ReferenceData!$BH$171),"")</f>
        <v/>
      </c>
      <c r="BI171" t="str">
        <f ca="1">IFERROR(IF(0=LEN(ReferenceData!$BI$171),"",ReferenceData!$BI$171),"")</f>
        <v/>
      </c>
      <c r="BJ171" t="str">
        <f ca="1">IFERROR(IF(0=LEN(ReferenceData!$BJ$171),"",ReferenceData!$BJ$171),"")</f>
        <v/>
      </c>
      <c r="BK171" t="str">
        <f ca="1">IFERROR(IF(0=LEN(ReferenceData!$BK$171),"",ReferenceData!$BK$171),"")</f>
        <v/>
      </c>
      <c r="BL171" t="str">
        <f ca="1">IFERROR(IF(0=LEN(ReferenceData!$BL$171),"",ReferenceData!$BL$171),"")</f>
        <v/>
      </c>
      <c r="BM171" t="str">
        <f ca="1">IFERROR(IF(0=LEN(ReferenceData!$BM$171),"",ReferenceData!$BM$171),"")</f>
        <v/>
      </c>
    </row>
    <row r="172" spans="1:65" x14ac:dyDescent="0.25">
      <c r="A172" t="str">
        <f>IFERROR(IF(0=LEN(ReferenceData!$A$172),"",ReferenceData!$A$172),"")</f>
        <v xml:space="preserve">    BYD Co Ltd</v>
      </c>
      <c r="B172" t="str">
        <f>IFERROR(IF(0=LEN(ReferenceData!$B$172),"",ReferenceData!$B$172),"")</f>
        <v>1211 HK Equity</v>
      </c>
      <c r="C172" t="str">
        <f>IFERROR(IF(0=LEN(ReferenceData!$C$172),"",ReferenceData!$C$172),"")</f>
        <v>RR800</v>
      </c>
      <c r="D172" t="str">
        <f>IFERROR(IF(0=LEN(ReferenceData!$D$172),"",ReferenceData!$D$172),"")</f>
        <v>TRAIL_12M_NET_SALES</v>
      </c>
      <c r="E172" t="str">
        <f>IFERROR(IF(0=LEN(ReferenceData!$E$172),"",ReferenceData!$E$172),"")</f>
        <v>Dynamic</v>
      </c>
      <c r="F172" t="str">
        <f ca="1">IFERROR(IF(0=LEN(ReferenceData!$F$172),"",ReferenceData!$F$172),"")</f>
        <v/>
      </c>
      <c r="G172" t="str">
        <f ca="1">IFERROR(IF(0=LEN(ReferenceData!$G$172),"",ReferenceData!$G$172),"")</f>
        <v/>
      </c>
      <c r="H172">
        <f ca="1">IFERROR(IF(0=LEN(ReferenceData!$H$172),"",ReferenceData!$H$172),"")</f>
        <v>18210.369900000002</v>
      </c>
      <c r="I172">
        <f ca="1">IFERROR(IF(0=LEN(ReferenceData!$I$172),"",ReferenceData!$I$172),"")</f>
        <v>17445.996340000002</v>
      </c>
      <c r="J172">
        <f ca="1">IFERROR(IF(0=LEN(ReferenceData!$J$172),"",ReferenceData!$J$172),"")</f>
        <v>16344.63348</v>
      </c>
      <c r="K172">
        <f ca="1">IFERROR(IF(0=LEN(ReferenceData!$K$172),"",ReferenceData!$K$172),"")</f>
        <v>15493.91488</v>
      </c>
      <c r="L172">
        <f ca="1">IFERROR(IF(0=LEN(ReferenceData!$L$172),"",ReferenceData!$L$172),"")</f>
        <v>15154.462750000001</v>
      </c>
      <c r="M172">
        <f ca="1">IFERROR(IF(0=LEN(ReferenceData!$M$172),"",ReferenceData!$M$172),"")</f>
        <v>14997.87097</v>
      </c>
      <c r="N172">
        <f ca="1">IFERROR(IF(0=LEN(ReferenceData!$N$172),"",ReferenceData!$N$172),"")</f>
        <v>15269.9936</v>
      </c>
      <c r="O172">
        <f ca="1">IFERROR(IF(0=LEN(ReferenceData!$O$172),"",ReferenceData!$O$172),"")</f>
        <v>15353.681039999999</v>
      </c>
      <c r="P172">
        <f ca="1">IFERROR(IF(0=LEN(ReferenceData!$P$172),"",ReferenceData!$P$172),"")</f>
        <v>15771.35944</v>
      </c>
      <c r="Q172">
        <f ca="1">IFERROR(IF(0=LEN(ReferenceData!$Q$172),"",ReferenceData!$Q$172),"")</f>
        <v>14311.171710000001</v>
      </c>
      <c r="R172">
        <f ca="1">IFERROR(IF(0=LEN(ReferenceData!$R$172),"",ReferenceData!$R$172),"")</f>
        <v>13177.324329999999</v>
      </c>
      <c r="S172">
        <f ca="1">IFERROR(IF(0=LEN(ReferenceData!$S$172),"",ReferenceData!$S$172),"")</f>
        <v>12531.314920000001</v>
      </c>
      <c r="T172">
        <f ca="1">IFERROR(IF(0=LEN(ReferenceData!$T$172),"",ReferenceData!$T$172),"")</f>
        <v>10462.16057</v>
      </c>
      <c r="U172">
        <f ca="1">IFERROR(IF(0=LEN(ReferenceData!$U$172),"",ReferenceData!$U$172),"")</f>
        <v>10005.444380000001</v>
      </c>
      <c r="V172">
        <f ca="1">IFERROR(IF(0=LEN(ReferenceData!$V$172),"",ReferenceData!$V$172),"")</f>
        <v>9796.0263990000003</v>
      </c>
      <c r="W172">
        <f ca="1">IFERROR(IF(0=LEN(ReferenceData!$W$172),"",ReferenceData!$W$172),"")</f>
        <v>9290.3713050000006</v>
      </c>
      <c r="X172">
        <f ca="1">IFERROR(IF(0=LEN(ReferenceData!$X$172),"",ReferenceData!$X$172),"")</f>
        <v>8716.1126850000001</v>
      </c>
      <c r="Y172">
        <f ca="1">IFERROR(IF(0=LEN(ReferenceData!$Y$172),"",ReferenceData!$Y$172),"")</f>
        <v>8556.2373619999998</v>
      </c>
      <c r="Z172">
        <f ca="1">IFERROR(IF(0=LEN(ReferenceData!$Z$172),"",ReferenceData!$Z$172),"")</f>
        <v>8277.6295289999998</v>
      </c>
      <c r="AA172">
        <f ca="1">IFERROR(IF(0=LEN(ReferenceData!$AA$172),"",ReferenceData!$AA$172),"")</f>
        <v>8403.0779289999991</v>
      </c>
      <c r="AB172">
        <f ca="1">IFERROR(IF(0=LEN(ReferenceData!$AB$172),"",ReferenceData!$AB$172),"")</f>
        <v>8294.3365059999996</v>
      </c>
      <c r="AC172">
        <f ca="1">IFERROR(IF(0=LEN(ReferenceData!$AC$172),"",ReferenceData!$AC$172),"")</f>
        <v>7879.1908439999997</v>
      </c>
      <c r="AD172">
        <f ca="1">IFERROR(IF(0=LEN(ReferenceData!$AD$172),"",ReferenceData!$AD$172),"")</f>
        <v>7462.997942</v>
      </c>
      <c r="AE172">
        <f ca="1">IFERROR(IF(0=LEN(ReferenceData!$AE$172),"",ReferenceData!$AE$172),"")</f>
        <v>7257.9958459999998</v>
      </c>
      <c r="AF172">
        <f ca="1">IFERROR(IF(0=LEN(ReferenceData!$AF$172),"",ReferenceData!$AF$172),"")</f>
        <v>7323.0132819999999</v>
      </c>
      <c r="AG172">
        <f ca="1">IFERROR(IF(0=LEN(ReferenceData!$AG$172),"",ReferenceData!$AG$172),"")</f>
        <v>7502.4777249999997</v>
      </c>
      <c r="AH172" t="str">
        <f ca="1">IFERROR(IF(0=LEN(ReferenceData!$AH$172),"",ReferenceData!$AH$172),"")</f>
        <v/>
      </c>
      <c r="AI172" t="str">
        <f ca="1">IFERROR(IF(0=LEN(ReferenceData!$AI$172),"",ReferenceData!$AI$172),"")</f>
        <v/>
      </c>
      <c r="AJ172" t="str">
        <f ca="1">IFERROR(IF(0=LEN(ReferenceData!$AJ$172),"",ReferenceData!$AJ$172),"")</f>
        <v/>
      </c>
      <c r="AK172" t="str">
        <f ca="1">IFERROR(IF(0=LEN(ReferenceData!$AK$172),"",ReferenceData!$AK$172),"")</f>
        <v/>
      </c>
      <c r="AL172" t="str">
        <f ca="1">IFERROR(IF(0=LEN(ReferenceData!$AL$172),"",ReferenceData!$AL$172),"")</f>
        <v/>
      </c>
      <c r="AM172">
        <f ca="1">IFERROR(IF(0=LEN(ReferenceData!$AM$172),"",ReferenceData!$AM$172),"")</f>
        <v>6898.4071480000002</v>
      </c>
      <c r="AN172">
        <f ca="1">IFERROR(IF(0=LEN(ReferenceData!$AN$172),"",ReferenceData!$AN$172),"")</f>
        <v>6989.7515450000001</v>
      </c>
      <c r="AO172">
        <f ca="1">IFERROR(IF(0=LEN(ReferenceData!$AO$172),"",ReferenceData!$AO$172),"")</f>
        <v>6969.4086960000004</v>
      </c>
      <c r="AP172" t="str">
        <f ca="1">IFERROR(IF(0=LEN(ReferenceData!$AP$172),"",ReferenceData!$AP$172),"")</f>
        <v/>
      </c>
      <c r="AQ172" t="str">
        <f ca="1">IFERROR(IF(0=LEN(ReferenceData!$AQ$172),"",ReferenceData!$AQ$172),"")</f>
        <v/>
      </c>
      <c r="AR172" t="str">
        <f ca="1">IFERROR(IF(0=LEN(ReferenceData!$AR$172),"",ReferenceData!$AR$172),"")</f>
        <v/>
      </c>
      <c r="AS172" t="str">
        <f ca="1">IFERROR(IF(0=LEN(ReferenceData!$AS$172),"",ReferenceData!$AS$172),"")</f>
        <v/>
      </c>
      <c r="AT172" t="str">
        <f ca="1">IFERROR(IF(0=LEN(ReferenceData!$AT$172),"",ReferenceData!$AT$172),"")</f>
        <v/>
      </c>
      <c r="AU172" t="str">
        <f ca="1">IFERROR(IF(0=LEN(ReferenceData!$AU$172),"",ReferenceData!$AU$172),"")</f>
        <v/>
      </c>
      <c r="AV172" t="str">
        <f ca="1">IFERROR(IF(0=LEN(ReferenceData!$AV$172),"",ReferenceData!$AV$172),"")</f>
        <v/>
      </c>
      <c r="AW172" t="str">
        <f ca="1">IFERROR(IF(0=LEN(ReferenceData!$AW$172),"",ReferenceData!$AW$172),"")</f>
        <v/>
      </c>
      <c r="AX172" t="str">
        <f ca="1">IFERROR(IF(0=LEN(ReferenceData!$AX$172),"",ReferenceData!$AX$172),"")</f>
        <v/>
      </c>
      <c r="AY172" t="str">
        <f ca="1">IFERROR(IF(0=LEN(ReferenceData!$AY$172),"",ReferenceData!$AY$172),"")</f>
        <v/>
      </c>
      <c r="AZ172" t="str">
        <f ca="1">IFERROR(IF(0=LEN(ReferenceData!$AZ$172),"",ReferenceData!$AZ$172),"")</f>
        <v/>
      </c>
      <c r="BA172" t="str">
        <f ca="1">IFERROR(IF(0=LEN(ReferenceData!$BA$172),"",ReferenceData!$BA$172),"")</f>
        <v/>
      </c>
      <c r="BB172" t="str">
        <f ca="1">IFERROR(IF(0=LEN(ReferenceData!$BB$172),"",ReferenceData!$BB$172),"")</f>
        <v/>
      </c>
      <c r="BC172" t="str">
        <f ca="1">IFERROR(IF(0=LEN(ReferenceData!$BC$172),"",ReferenceData!$BC$172),"")</f>
        <v/>
      </c>
      <c r="BD172" t="str">
        <f ca="1">IFERROR(IF(0=LEN(ReferenceData!$BD$172),"",ReferenceData!$BD$172),"")</f>
        <v/>
      </c>
      <c r="BE172" t="str">
        <f ca="1">IFERROR(IF(0=LEN(ReferenceData!$BE$172),"",ReferenceData!$BE$172),"")</f>
        <v/>
      </c>
      <c r="BF172" t="str">
        <f ca="1">IFERROR(IF(0=LEN(ReferenceData!$BF$172),"",ReferenceData!$BF$172),"")</f>
        <v/>
      </c>
      <c r="BG172" t="str">
        <f ca="1">IFERROR(IF(0=LEN(ReferenceData!$BG$172),"",ReferenceData!$BG$172),"")</f>
        <v/>
      </c>
      <c r="BH172" t="str">
        <f ca="1">IFERROR(IF(0=LEN(ReferenceData!$BH$172),"",ReferenceData!$BH$172),"")</f>
        <v/>
      </c>
      <c r="BI172" t="str">
        <f ca="1">IFERROR(IF(0=LEN(ReferenceData!$BI$172),"",ReferenceData!$BI$172),"")</f>
        <v/>
      </c>
      <c r="BJ172" t="str">
        <f ca="1">IFERROR(IF(0=LEN(ReferenceData!$BJ$172),"",ReferenceData!$BJ$172),"")</f>
        <v/>
      </c>
      <c r="BK172" t="str">
        <f ca="1">IFERROR(IF(0=LEN(ReferenceData!$BK$172),"",ReferenceData!$BK$172),"")</f>
        <v/>
      </c>
      <c r="BL172" t="str">
        <f ca="1">IFERROR(IF(0=LEN(ReferenceData!$BL$172),"",ReferenceData!$BL$172),"")</f>
        <v/>
      </c>
      <c r="BM172" t="str">
        <f ca="1">IFERROR(IF(0=LEN(ReferenceData!$BM$172),"",ReferenceData!$BM$172),"")</f>
        <v/>
      </c>
    </row>
    <row r="173" spans="1:65" x14ac:dyDescent="0.25">
      <c r="A173" t="str">
        <f>IFERROR(IF(0=LEN(ReferenceData!$A$173),"",ReferenceData!$A$173),"")</f>
        <v xml:space="preserve">    Chongqing Changan Automobile Co Ltd</v>
      </c>
      <c r="B173" t="str">
        <f>IFERROR(IF(0=LEN(ReferenceData!$B$173),"",ReferenceData!$B$173),"")</f>
        <v>200625 CH Equity</v>
      </c>
      <c r="C173" t="str">
        <f>IFERROR(IF(0=LEN(ReferenceData!$C$173),"",ReferenceData!$C$173),"")</f>
        <v>RR800</v>
      </c>
      <c r="D173" t="str">
        <f>IFERROR(IF(0=LEN(ReferenceData!$D$173),"",ReferenceData!$D$173),"")</f>
        <v>TRAIL_12M_NET_SALES</v>
      </c>
      <c r="E173" t="str">
        <f>IFERROR(IF(0=LEN(ReferenceData!$E$173),"",ReferenceData!$E$173),"")</f>
        <v>Dynamic</v>
      </c>
      <c r="F173" t="str">
        <f ca="1">IFERROR(IF(0=LEN(ReferenceData!$F$173),"",ReferenceData!$F$173),"")</f>
        <v/>
      </c>
      <c r="G173" t="str">
        <f ca="1">IFERROR(IF(0=LEN(ReferenceData!$G$173),"",ReferenceData!$G$173),"")</f>
        <v/>
      </c>
      <c r="H173">
        <f ca="1">IFERROR(IF(0=LEN(ReferenceData!$H$173),"",ReferenceData!$H$173),"")</f>
        <v>11573.08649</v>
      </c>
      <c r="I173">
        <f ca="1">IFERROR(IF(0=LEN(ReferenceData!$I$173),"",ReferenceData!$I$173),"")</f>
        <v>12180.5059</v>
      </c>
      <c r="J173">
        <f ca="1">IFERROR(IF(0=LEN(ReferenceData!$J$173),"",ReferenceData!$J$173),"")</f>
        <v>11995.85266</v>
      </c>
      <c r="K173">
        <f ca="1">IFERROR(IF(0=LEN(ReferenceData!$K$173),"",ReferenceData!$K$173),"")</f>
        <v>11398.10757</v>
      </c>
      <c r="L173">
        <f ca="1">IFERROR(IF(0=LEN(ReferenceData!$L$173),"",ReferenceData!$L$173),"")</f>
        <v>10731.0638</v>
      </c>
      <c r="M173">
        <f ca="1">IFERROR(IF(0=LEN(ReferenceData!$M$173),"",ReferenceData!$M$173),"")</f>
        <v>10693.33447</v>
      </c>
      <c r="N173">
        <f ca="1">IFERROR(IF(0=LEN(ReferenceData!$N$173),"",ReferenceData!$N$173),"")</f>
        <v>10897.810799999999</v>
      </c>
      <c r="O173">
        <f ca="1">IFERROR(IF(0=LEN(ReferenceData!$O$173),"",ReferenceData!$O$173),"")</f>
        <v>11280.963019999999</v>
      </c>
      <c r="P173">
        <f ca="1">IFERROR(IF(0=LEN(ReferenceData!$P$173),"",ReferenceData!$P$173),"")</f>
        <v>10581.02514</v>
      </c>
      <c r="Q173">
        <f ca="1">IFERROR(IF(0=LEN(ReferenceData!$Q$173),"",ReferenceData!$Q$173),"")</f>
        <v>10335.044089999999</v>
      </c>
      <c r="R173">
        <f ca="1">IFERROR(IF(0=LEN(ReferenceData!$R$173),"",ReferenceData!$R$173),"")</f>
        <v>10217.3171</v>
      </c>
      <c r="S173">
        <f ca="1">IFERROR(IF(0=LEN(ReferenceData!$S$173),"",ReferenceData!$S$173),"")</f>
        <v>10158.20659</v>
      </c>
      <c r="T173">
        <f ca="1">IFERROR(IF(0=LEN(ReferenceData!$T$173),"",ReferenceData!$T$173),"")</f>
        <v>9882.3234620000003</v>
      </c>
      <c r="U173">
        <f ca="1">IFERROR(IF(0=LEN(ReferenceData!$U$173),"",ReferenceData!$U$173),"")</f>
        <v>9547.4905249999993</v>
      </c>
      <c r="V173">
        <f ca="1">IFERROR(IF(0=LEN(ReferenceData!$V$173),"",ReferenceData!$V$173),"")</f>
        <v>9115.5282829999996</v>
      </c>
      <c r="W173">
        <f ca="1">IFERROR(IF(0=LEN(ReferenceData!$W$173),"",ReferenceData!$W$173),"")</f>
        <v>8253.5084220000008</v>
      </c>
      <c r="X173">
        <f ca="1">IFERROR(IF(0=LEN(ReferenceData!$X$173),"",ReferenceData!$X$173),"")</f>
        <v>7399.2408800000003</v>
      </c>
      <c r="Y173">
        <f ca="1">IFERROR(IF(0=LEN(ReferenceData!$Y$173),"",ReferenceData!$Y$173),"")</f>
        <v>6777.4246800000001</v>
      </c>
      <c r="Z173">
        <f ca="1">IFERROR(IF(0=LEN(ReferenceData!$Z$173),"",ReferenceData!$Z$173),"")</f>
        <v>6501.2108740000003</v>
      </c>
      <c r="AA173">
        <f ca="1">IFERROR(IF(0=LEN(ReferenceData!$AA$173),"",ReferenceData!$AA$173),"")</f>
        <v>6160.7567140000001</v>
      </c>
      <c r="AB173">
        <f ca="1">IFERROR(IF(0=LEN(ReferenceData!$AB$173),"",ReferenceData!$AB$173),"")</f>
        <v>5930.9721570000002</v>
      </c>
      <c r="AC173">
        <f ca="1">IFERROR(IF(0=LEN(ReferenceData!$AC$173),"",ReferenceData!$AC$173),"")</f>
        <v>5534.9260299999996</v>
      </c>
      <c r="AD173">
        <f ca="1">IFERROR(IF(0=LEN(ReferenceData!$AD$173),"",ReferenceData!$AD$173),"")</f>
        <v>4954.1763440000004</v>
      </c>
      <c r="AE173">
        <f ca="1">IFERROR(IF(0=LEN(ReferenceData!$AE$173),"",ReferenceData!$AE$173),"")</f>
        <v>4549.08932</v>
      </c>
      <c r="AF173">
        <f ca="1">IFERROR(IF(0=LEN(ReferenceData!$AF$173),"",ReferenceData!$AF$173),"")</f>
        <v>4184.2987659999999</v>
      </c>
      <c r="AG173">
        <f ca="1">IFERROR(IF(0=LEN(ReferenceData!$AG$173),"",ReferenceData!$AG$173),"")</f>
        <v>4007.4639809999999</v>
      </c>
      <c r="AH173">
        <f ca="1">IFERROR(IF(0=LEN(ReferenceData!$AH$173),"",ReferenceData!$AH$173),"")</f>
        <v>3974.3140050000002</v>
      </c>
      <c r="AI173">
        <f ca="1">IFERROR(IF(0=LEN(ReferenceData!$AI$173),"",ReferenceData!$AI$173),"")</f>
        <v>4025.6210919999999</v>
      </c>
      <c r="AJ173">
        <f ca="1">IFERROR(IF(0=LEN(ReferenceData!$AJ$173),"",ReferenceData!$AJ$173),"")</f>
        <v>4540.2738840000002</v>
      </c>
      <c r="AK173">
        <f ca="1">IFERROR(IF(0=LEN(ReferenceData!$AK$173),"",ReferenceData!$AK$173),"")</f>
        <v>4653.5388940000003</v>
      </c>
      <c r="AL173">
        <f ca="1">IFERROR(IF(0=LEN(ReferenceData!$AL$173),"",ReferenceData!$AL$173),"")</f>
        <v>4752.3678259999997</v>
      </c>
      <c r="AM173">
        <f ca="1">IFERROR(IF(0=LEN(ReferenceData!$AM$173),"",ReferenceData!$AM$173),"")</f>
        <v>4852.5572030000003</v>
      </c>
      <c r="AN173">
        <f ca="1">IFERROR(IF(0=LEN(ReferenceData!$AN$173),"",ReferenceData!$AN$173),"")</f>
        <v>4413.4760310000001</v>
      </c>
      <c r="AO173">
        <f ca="1">IFERROR(IF(0=LEN(ReferenceData!$AO$173),"",ReferenceData!$AO$173),"")</f>
        <v>4401.4687439999998</v>
      </c>
      <c r="AP173">
        <f ca="1">IFERROR(IF(0=LEN(ReferenceData!$AP$173),"",ReferenceData!$AP$173),"")</f>
        <v>4277.1491800000003</v>
      </c>
      <c r="AQ173">
        <f ca="1">IFERROR(IF(0=LEN(ReferenceData!$AQ$173),"",ReferenceData!$AQ$173),"")</f>
        <v>3666.7214730000001</v>
      </c>
      <c r="AR173">
        <f ca="1">IFERROR(IF(0=LEN(ReferenceData!$AR$173),"",ReferenceData!$AR$173),"")</f>
        <v>2931.5524230000001</v>
      </c>
      <c r="AS173">
        <f ca="1">IFERROR(IF(0=LEN(ReferenceData!$AS$173),"",ReferenceData!$AS$173),"")</f>
        <v>2432.889075</v>
      </c>
      <c r="AT173">
        <f ca="1">IFERROR(IF(0=LEN(ReferenceData!$AT$173),"",ReferenceData!$AT$173),"")</f>
        <v>2027.450243</v>
      </c>
      <c r="AU173">
        <f ca="1">IFERROR(IF(0=LEN(ReferenceData!$AU$173),"",ReferenceData!$AU$173),"")</f>
        <v>1876.383147</v>
      </c>
      <c r="AV173">
        <f ca="1">IFERROR(IF(0=LEN(ReferenceData!$AV$173),"",ReferenceData!$AV$173),"")</f>
        <v>1903.9694159999999</v>
      </c>
      <c r="AW173">
        <f ca="1">IFERROR(IF(0=LEN(ReferenceData!$AW$173),"",ReferenceData!$AW$173),"")</f>
        <v>1863.1661690000001</v>
      </c>
      <c r="AX173">
        <f ca="1">IFERROR(IF(0=LEN(ReferenceData!$AX$173),"",ReferenceData!$AX$173),"")</f>
        <v>1830.9138829999999</v>
      </c>
      <c r="AY173">
        <f ca="1">IFERROR(IF(0=LEN(ReferenceData!$AY$173),"",ReferenceData!$AY$173),"")</f>
        <v>1760.488008</v>
      </c>
      <c r="AZ173">
        <f ca="1">IFERROR(IF(0=LEN(ReferenceData!$AZ$173),"",ReferenceData!$AZ$173),"")</f>
        <v>2256.110275</v>
      </c>
      <c r="BA173">
        <f ca="1">IFERROR(IF(0=LEN(ReferenceData!$BA$173),"",ReferenceData!$BA$173),"")</f>
        <v>2574.1835860000001</v>
      </c>
      <c r="BB173">
        <f ca="1">IFERROR(IF(0=LEN(ReferenceData!$BB$173),"",ReferenceData!$BB$173),"")</f>
        <v>2781.2059819999999</v>
      </c>
      <c r="BC173">
        <f ca="1">IFERROR(IF(0=LEN(ReferenceData!$BC$173),"",ReferenceData!$BC$173),"")</f>
        <v>3101.5819929999998</v>
      </c>
      <c r="BD173">
        <f ca="1">IFERROR(IF(0=LEN(ReferenceData!$BD$173),"",ReferenceData!$BD$173),"")</f>
        <v>2885.9281380000002</v>
      </c>
      <c r="BE173">
        <f ca="1">IFERROR(IF(0=LEN(ReferenceData!$BE$173),"",ReferenceData!$BE$173),"")</f>
        <v>2655.284416</v>
      </c>
      <c r="BF173">
        <f ca="1">IFERROR(IF(0=LEN(ReferenceData!$BF$173),"",ReferenceData!$BF$173),"")</f>
        <v>2518.916377</v>
      </c>
      <c r="BG173">
        <f ca="1">IFERROR(IF(0=LEN(ReferenceData!$BG$173),"",ReferenceData!$BG$173),"")</f>
        <v>2255.3006209999999</v>
      </c>
      <c r="BH173">
        <f ca="1">IFERROR(IF(0=LEN(ReferenceData!$BH$173),"",ReferenceData!$BH$173),"")</f>
        <v>2168.5983500000002</v>
      </c>
      <c r="BI173" t="str">
        <f ca="1">IFERROR(IF(0=LEN(ReferenceData!$BI$173),"",ReferenceData!$BI$173),"")</f>
        <v/>
      </c>
      <c r="BJ173" t="str">
        <f ca="1">IFERROR(IF(0=LEN(ReferenceData!$BJ$173),"",ReferenceData!$BJ$173),"")</f>
        <v/>
      </c>
      <c r="BK173" t="str">
        <f ca="1">IFERROR(IF(0=LEN(ReferenceData!$BK$173),"",ReferenceData!$BK$173),"")</f>
        <v/>
      </c>
      <c r="BL173" t="str">
        <f ca="1">IFERROR(IF(0=LEN(ReferenceData!$BL$173),"",ReferenceData!$BL$173),"")</f>
        <v/>
      </c>
      <c r="BM173" t="str">
        <f ca="1">IFERROR(IF(0=LEN(ReferenceData!$BM$173),"",ReferenceData!$BM$173),"")</f>
        <v/>
      </c>
    </row>
    <row r="174" spans="1:65" x14ac:dyDescent="0.25">
      <c r="A174" t="str">
        <f>IFERROR(IF(0=LEN(ReferenceData!$A$174),"",ReferenceData!$A$174),"")</f>
        <v xml:space="preserve">    Daihatsu Motor Co Ltd</v>
      </c>
      <c r="B174" t="str">
        <f>IFERROR(IF(0=LEN(ReferenceData!$B$174),"",ReferenceData!$B$174),"")</f>
        <v>7262 JP Equity</v>
      </c>
      <c r="C174" t="str">
        <f>IFERROR(IF(0=LEN(ReferenceData!$C$174),"",ReferenceData!$C$174),"")</f>
        <v>RR800</v>
      </c>
      <c r="D174" t="str">
        <f>IFERROR(IF(0=LEN(ReferenceData!$D$174),"",ReferenceData!$D$174),"")</f>
        <v>TRAIL_12M_NET_SALES</v>
      </c>
      <c r="E174" t="str">
        <f>IFERROR(IF(0=LEN(ReferenceData!$E$174),"",ReferenceData!$E$174),"")</f>
        <v>Dynamic</v>
      </c>
      <c r="F174" t="str">
        <f ca="1">IFERROR(IF(0=LEN(ReferenceData!$F$174),"",ReferenceData!$F$174),"")</f>
        <v/>
      </c>
      <c r="G174" t="str">
        <f ca="1">IFERROR(IF(0=LEN(ReferenceData!$G$174),"",ReferenceData!$G$174),"")</f>
        <v/>
      </c>
      <c r="H174" t="str">
        <f ca="1">IFERROR(IF(0=LEN(ReferenceData!$H$174),"",ReferenceData!$H$174),"")</f>
        <v/>
      </c>
      <c r="I174" t="str">
        <f ca="1">IFERROR(IF(0=LEN(ReferenceData!$I$174),"",ReferenceData!$I$174),"")</f>
        <v/>
      </c>
      <c r="J174" t="str">
        <f ca="1">IFERROR(IF(0=LEN(ReferenceData!$J$174),"",ReferenceData!$J$174),"")</f>
        <v/>
      </c>
      <c r="K174" t="str">
        <f ca="1">IFERROR(IF(0=LEN(ReferenceData!$K$174),"",ReferenceData!$K$174),"")</f>
        <v/>
      </c>
      <c r="L174" t="str">
        <f ca="1">IFERROR(IF(0=LEN(ReferenceData!$L$174),"",ReferenceData!$L$174),"")</f>
        <v/>
      </c>
      <c r="M174" t="str">
        <f ca="1">IFERROR(IF(0=LEN(ReferenceData!$M$174),"",ReferenceData!$M$174),"")</f>
        <v/>
      </c>
      <c r="N174" t="str">
        <f ca="1">IFERROR(IF(0=LEN(ReferenceData!$N$174),"",ReferenceData!$N$174),"")</f>
        <v/>
      </c>
      <c r="O174" t="str">
        <f ca="1">IFERROR(IF(0=LEN(ReferenceData!$O$174),"",ReferenceData!$O$174),"")</f>
        <v/>
      </c>
      <c r="P174" t="str">
        <f ca="1">IFERROR(IF(0=LEN(ReferenceData!$P$174),"",ReferenceData!$P$174),"")</f>
        <v/>
      </c>
      <c r="Q174" t="str">
        <f ca="1">IFERROR(IF(0=LEN(ReferenceData!$Q$174),"",ReferenceData!$Q$174),"")</f>
        <v/>
      </c>
      <c r="R174">
        <f ca="1">IFERROR(IF(0=LEN(ReferenceData!$R$174),"",ReferenceData!$R$174),"")</f>
        <v>14091.448839999999</v>
      </c>
      <c r="S174">
        <f ca="1">IFERROR(IF(0=LEN(ReferenceData!$S$174),"",ReferenceData!$S$174),"")</f>
        <v>14665.289280000001</v>
      </c>
      <c r="T174">
        <f ca="1">IFERROR(IF(0=LEN(ReferenceData!$T$174),"",ReferenceData!$T$174),"")</f>
        <v>15024.45307</v>
      </c>
      <c r="U174">
        <f ca="1">IFERROR(IF(0=LEN(ReferenceData!$U$174),"",ReferenceData!$U$174),"")</f>
        <v>15758.00236</v>
      </c>
      <c r="V174">
        <f ca="1">IFERROR(IF(0=LEN(ReferenceData!$V$174),"",ReferenceData!$V$174),"")</f>
        <v>16612.339390000001</v>
      </c>
      <c r="W174">
        <f ca="1">IFERROR(IF(0=LEN(ReferenceData!$W$174),"",ReferenceData!$W$174),"")</f>
        <v>17308.49497</v>
      </c>
      <c r="X174">
        <f ca="1">IFERROR(IF(0=LEN(ReferenceData!$X$174),"",ReferenceData!$X$174),"")</f>
        <v>18201.472870000001</v>
      </c>
      <c r="Y174">
        <f ca="1">IFERROR(IF(0=LEN(ReferenceData!$Y$174),"",ReferenceData!$Y$174),"")</f>
        <v>18720.87614</v>
      </c>
      <c r="Z174">
        <f ca="1">IFERROR(IF(0=LEN(ReferenceData!$Z$174),"",ReferenceData!$Z$174),"")</f>
        <v>19104.50634</v>
      </c>
      <c r="AA174">
        <f ca="1">IFERROR(IF(0=LEN(ReferenceData!$AA$174),"",ReferenceData!$AA$174),"")</f>
        <v>19126.35715</v>
      </c>
      <c r="AB174">
        <f ca="1">IFERROR(IF(0=LEN(ReferenceData!$AB$174),"",ReferenceData!$AB$174),"")</f>
        <v>19572.507610000001</v>
      </c>
      <c r="AC174">
        <f ca="1">IFERROR(IF(0=LEN(ReferenceData!$AC$174),"",ReferenceData!$AC$174),"")</f>
        <v>20357.95694</v>
      </c>
      <c r="AD174">
        <f ca="1">IFERROR(IF(0=LEN(ReferenceData!$AD$174),"",ReferenceData!$AD$174),"")</f>
        <v>21360.271349999999</v>
      </c>
      <c r="AE174">
        <f ca="1">IFERROR(IF(0=LEN(ReferenceData!$AE$174),"",ReferenceData!$AE$174),"")</f>
        <v>22189.13377</v>
      </c>
      <c r="AF174">
        <f ca="1">IFERROR(IF(0=LEN(ReferenceData!$AF$174),"",ReferenceData!$AF$174),"")</f>
        <v>22621.400239999999</v>
      </c>
      <c r="AG174">
        <f ca="1">IFERROR(IF(0=LEN(ReferenceData!$AG$174),"",ReferenceData!$AG$174),"")</f>
        <v>22279.47062</v>
      </c>
      <c r="AH174">
        <f ca="1">IFERROR(IF(0=LEN(ReferenceData!$AH$174),"",ReferenceData!$AH$174),"")</f>
        <v>20675.035380000001</v>
      </c>
      <c r="AI174">
        <f ca="1">IFERROR(IF(0=LEN(ReferenceData!$AI$174),"",ReferenceData!$AI$174),"")</f>
        <v>18982.113229999999</v>
      </c>
      <c r="AJ174">
        <f ca="1">IFERROR(IF(0=LEN(ReferenceData!$AJ$174),"",ReferenceData!$AJ$174),"")</f>
        <v>18011.334169999998</v>
      </c>
      <c r="AK174">
        <f ca="1">IFERROR(IF(0=LEN(ReferenceData!$AK$174),"",ReferenceData!$AK$174),"")</f>
        <v>17807.461800000001</v>
      </c>
      <c r="AL174">
        <f ca="1">IFERROR(IF(0=LEN(ReferenceData!$AL$174),"",ReferenceData!$AL$174),"")</f>
        <v>18247.06796</v>
      </c>
      <c r="AM174">
        <f ca="1">IFERROR(IF(0=LEN(ReferenceData!$AM$174),"",ReferenceData!$AM$174),"")</f>
        <v>18610.02619</v>
      </c>
      <c r="AN174">
        <f ca="1">IFERROR(IF(0=LEN(ReferenceData!$AN$174),"",ReferenceData!$AN$174),"")</f>
        <v>18650.359069999999</v>
      </c>
      <c r="AO174">
        <f ca="1">IFERROR(IF(0=LEN(ReferenceData!$AO$174),"",ReferenceData!$AO$174),"")</f>
        <v>17818.600269999999</v>
      </c>
      <c r="AP174">
        <f ca="1">IFERROR(IF(0=LEN(ReferenceData!$AP$174),"",ReferenceData!$AP$174),"")</f>
        <v>16979.953860000001</v>
      </c>
      <c r="AQ174">
        <f ca="1">IFERROR(IF(0=LEN(ReferenceData!$AQ$174),"",ReferenceData!$AQ$174),"")</f>
        <v>15988.4151</v>
      </c>
      <c r="AR174">
        <f ca="1">IFERROR(IF(0=LEN(ReferenceData!$AR$174),"",ReferenceData!$AR$174),"")</f>
        <v>15464.360919999999</v>
      </c>
      <c r="AS174">
        <f ca="1">IFERROR(IF(0=LEN(ReferenceData!$AS$174),"",ReferenceData!$AS$174),"")</f>
        <v>15673.561669999999</v>
      </c>
      <c r="AT174">
        <f ca="1">IFERROR(IF(0=LEN(ReferenceData!$AT$174),"",ReferenceData!$AT$174),"")</f>
        <v>16300.57208</v>
      </c>
      <c r="AU174">
        <f ca="1">IFERROR(IF(0=LEN(ReferenceData!$AU$174),"",ReferenceData!$AU$174),"")</f>
        <v>16769.25187</v>
      </c>
      <c r="AV174">
        <f ca="1">IFERROR(IF(0=LEN(ReferenceData!$AV$174),"",ReferenceData!$AV$174),"")</f>
        <v>16407.34662</v>
      </c>
      <c r="AW174">
        <f ca="1">IFERROR(IF(0=LEN(ReferenceData!$AW$174),"",ReferenceData!$AW$174),"")</f>
        <v>15877.35693</v>
      </c>
      <c r="AX174">
        <f ca="1">IFERROR(IF(0=LEN(ReferenceData!$AX$174),"",ReferenceData!$AX$174),"")</f>
        <v>14948.042949999999</v>
      </c>
      <c r="AY174">
        <f ca="1">IFERROR(IF(0=LEN(ReferenceData!$AY$174),"",ReferenceData!$AY$174),"")</f>
        <v>14402.283380000001</v>
      </c>
      <c r="AZ174">
        <f ca="1">IFERROR(IF(0=LEN(ReferenceData!$AZ$174),"",ReferenceData!$AZ$174),"")</f>
        <v>14283.761689999999</v>
      </c>
      <c r="BA174">
        <f ca="1">IFERROR(IF(0=LEN(ReferenceData!$BA$174),"",ReferenceData!$BA$174),"")</f>
        <v>14100.674590000001</v>
      </c>
      <c r="BB174">
        <f ca="1">IFERROR(IF(0=LEN(ReferenceData!$BB$174),"",ReferenceData!$BB$174),"")</f>
        <v>14000.959870000001</v>
      </c>
      <c r="BC174">
        <f ca="1">IFERROR(IF(0=LEN(ReferenceData!$BC$174),"",ReferenceData!$BC$174),"")</f>
        <v>13532.974480000001</v>
      </c>
      <c r="BD174">
        <f ca="1">IFERROR(IF(0=LEN(ReferenceData!$BD$174),"",ReferenceData!$BD$174),"")</f>
        <v>12848.95723</v>
      </c>
      <c r="BE174">
        <f ca="1">IFERROR(IF(0=LEN(ReferenceData!$BE$174),"",ReferenceData!$BE$174),"")</f>
        <v>12306.228499999999</v>
      </c>
      <c r="BF174">
        <f ca="1">IFERROR(IF(0=LEN(ReferenceData!$BF$174),"",ReferenceData!$BF$174),"")</f>
        <v>11918.611720000001</v>
      </c>
      <c r="BG174">
        <f ca="1">IFERROR(IF(0=LEN(ReferenceData!$BG$174),"",ReferenceData!$BG$174),"")</f>
        <v>11567.31918</v>
      </c>
      <c r="BH174">
        <f ca="1">IFERROR(IF(0=LEN(ReferenceData!$BH$174),"",ReferenceData!$BH$174),"")</f>
        <v>11531.595880000001</v>
      </c>
      <c r="BI174">
        <f ca="1">IFERROR(IF(0=LEN(ReferenceData!$BI$174),"",ReferenceData!$BI$174),"")</f>
        <v>11345.35821</v>
      </c>
      <c r="BJ174">
        <f ca="1">IFERROR(IF(0=LEN(ReferenceData!$BJ$174),"",ReferenceData!$BJ$174),"")</f>
        <v>10953.1772</v>
      </c>
      <c r="BK174" t="str">
        <f ca="1">IFERROR(IF(0=LEN(ReferenceData!$BK$174),"",ReferenceData!$BK$174),"")</f>
        <v/>
      </c>
      <c r="BL174" t="str">
        <f ca="1">IFERROR(IF(0=LEN(ReferenceData!$BL$174),"",ReferenceData!$BL$174),"")</f>
        <v/>
      </c>
      <c r="BM174" t="str">
        <f ca="1">IFERROR(IF(0=LEN(ReferenceData!$BM$174),"",ReferenceData!$BM$174),"")</f>
        <v/>
      </c>
    </row>
    <row r="175" spans="1:65" x14ac:dyDescent="0.25">
      <c r="A175" t="str">
        <f>IFERROR(IF(0=LEN(ReferenceData!$A$175),"",ReferenceData!$A$175),"")</f>
        <v xml:space="preserve">    Daimler AG</v>
      </c>
      <c r="B175" t="str">
        <f>IFERROR(IF(0=LEN(ReferenceData!$B$175),"",ReferenceData!$B$175),"")</f>
        <v>DAI GR Equity</v>
      </c>
      <c r="C175" t="str">
        <f>IFERROR(IF(0=LEN(ReferenceData!$C$175),"",ReferenceData!$C$175),"")</f>
        <v>RR800</v>
      </c>
      <c r="D175" t="str">
        <f>IFERROR(IF(0=LEN(ReferenceData!$D$175),"",ReferenceData!$D$175),"")</f>
        <v>TRAIL_12M_NET_SALES</v>
      </c>
      <c r="E175" t="str">
        <f>IFERROR(IF(0=LEN(ReferenceData!$E$175),"",ReferenceData!$E$175),"")</f>
        <v>Dynamic</v>
      </c>
      <c r="F175" t="str">
        <f ca="1">IFERROR(IF(0=LEN(ReferenceData!$F$175),"",ReferenceData!$F$175),"")</f>
        <v/>
      </c>
      <c r="G175">
        <f ca="1">IFERROR(IF(0=LEN(ReferenceData!$G$175),"",ReferenceData!$G$175),"")</f>
        <v>197675.32550000001</v>
      </c>
      <c r="H175">
        <f ca="1">IFERROR(IF(0=LEN(ReferenceData!$H$175),"",ReferenceData!$H$175),"")</f>
        <v>195666.8034</v>
      </c>
      <c r="I175">
        <f ca="1">IFERROR(IF(0=LEN(ReferenceData!$I$175),"",ReferenceData!$I$175),"")</f>
        <v>196799.44089999999</v>
      </c>
      <c r="J175">
        <f ca="1">IFERROR(IF(0=LEN(ReferenceData!$J$175),"",ReferenceData!$J$175),"")</f>
        <v>193577.88769999999</v>
      </c>
      <c r="K175">
        <f ca="1">IFERROR(IF(0=LEN(ReferenceData!$K$175),"",ReferenceData!$K$175),"")</f>
        <v>185448.2684</v>
      </c>
      <c r="L175">
        <f ca="1">IFERROR(IF(0=LEN(ReferenceData!$L$175),"",ReferenceData!$L$175),"")</f>
        <v>178468.43599999999</v>
      </c>
      <c r="M175">
        <f ca="1">IFERROR(IF(0=LEN(ReferenceData!$M$175),"",ReferenceData!$M$175),"")</f>
        <v>173770.91440000001</v>
      </c>
      <c r="N175">
        <f ca="1">IFERROR(IF(0=LEN(ReferenceData!$N$175),"",ReferenceData!$N$175),"")</f>
        <v>172052.3199</v>
      </c>
      <c r="O175">
        <f ca="1">IFERROR(IF(0=LEN(ReferenceData!$O$175),"",ReferenceData!$O$175),"")</f>
        <v>169633.67</v>
      </c>
      <c r="P175">
        <f ca="1">IFERROR(IF(0=LEN(ReferenceData!$P$175),"",ReferenceData!$P$175),"")</f>
        <v>169643.6556</v>
      </c>
      <c r="Q175">
        <f ca="1">IFERROR(IF(0=LEN(ReferenceData!$Q$175),"",ReferenceData!$Q$175),"")</f>
        <v>168014.88860000001</v>
      </c>
      <c r="R175">
        <f ca="1">IFERROR(IF(0=LEN(ReferenceData!$R$175),"",ReferenceData!$R$175),"")</f>
        <v>165959.27989999999</v>
      </c>
      <c r="S175">
        <f ca="1">IFERROR(IF(0=LEN(ReferenceData!$S$175),"",ReferenceData!$S$175),"")</f>
        <v>165908.4645</v>
      </c>
      <c r="T175">
        <f ca="1">IFERROR(IF(0=LEN(ReferenceData!$T$175),"",ReferenceData!$T$175),"")</f>
        <v>166337.375</v>
      </c>
      <c r="U175">
        <f ca="1">IFERROR(IF(0=LEN(ReferenceData!$U$175),"",ReferenceData!$U$175),"")</f>
        <v>169151.5416</v>
      </c>
      <c r="V175">
        <f ca="1">IFERROR(IF(0=LEN(ReferenceData!$V$175),"",ReferenceData!$V$175),"")</f>
        <v>170828.33679999999</v>
      </c>
      <c r="W175">
        <f ca="1">IFERROR(IF(0=LEN(ReferenceData!$W$175),"",ReferenceData!$W$175),"")</f>
        <v>172533.1084</v>
      </c>
      <c r="X175">
        <f ca="1">IFERROR(IF(0=LEN(ReferenceData!$X$175),"",ReferenceData!$X$175),"")</f>
        <v>171270.9896</v>
      </c>
      <c r="Y175">
        <f ca="1">IFERROR(IF(0=LEN(ReferenceData!$Y$175),"",ReferenceData!$Y$175),"")</f>
        <v>167149.22829999999</v>
      </c>
      <c r="Z175">
        <f ca="1">IFERROR(IF(0=LEN(ReferenceData!$Z$175),"",ReferenceData!$Z$175),"")</f>
        <v>162665.54440000001</v>
      </c>
      <c r="AA175">
        <f ca="1">IFERROR(IF(0=LEN(ReferenceData!$AA$175),"",ReferenceData!$AA$175),"")</f>
        <v>156716.83989999999</v>
      </c>
      <c r="AB175">
        <f ca="1">IFERROR(IF(0=LEN(ReferenceData!$AB$175),"",ReferenceData!$AB$175),"")</f>
        <v>151842.9638</v>
      </c>
      <c r="AC175">
        <f ca="1">IFERROR(IF(0=LEN(ReferenceData!$AC$175),"",ReferenceData!$AC$175),"")</f>
        <v>147730.7556</v>
      </c>
      <c r="AD175">
        <f ca="1">IFERROR(IF(0=LEN(ReferenceData!$AD$175),"",ReferenceData!$AD$175),"")</f>
        <v>146032.86970000001</v>
      </c>
      <c r="AE175">
        <f ca="1">IFERROR(IF(0=LEN(ReferenceData!$AE$175),"",ReferenceData!$AE$175),"")</f>
        <v>146971.20819999999</v>
      </c>
      <c r="AF175">
        <f ca="1">IFERROR(IF(0=LEN(ReferenceData!$AF$175),"",ReferenceData!$AF$175),"")</f>
        <v>147402.40909999999</v>
      </c>
      <c r="AG175">
        <f ca="1">IFERROR(IF(0=LEN(ReferenceData!$AG$175),"",ReferenceData!$AG$175),"")</f>
        <v>149125.5411</v>
      </c>
      <c r="AH175">
        <f ca="1">IFERROR(IF(0=LEN(ReferenceData!$AH$175),"",ReferenceData!$AH$175),"")</f>
        <v>149954.48540000001</v>
      </c>
      <c r="AI175">
        <f ca="1">IFERROR(IF(0=LEN(ReferenceData!$AI$175),"",ReferenceData!$AI$175),"")</f>
        <v>148346.52340000001</v>
      </c>
      <c r="AJ175">
        <f ca="1">IFERROR(IF(0=LEN(ReferenceData!$AJ$175),"",ReferenceData!$AJ$175),"")</f>
        <v>144874.6684</v>
      </c>
      <c r="AK175">
        <f ca="1">IFERROR(IF(0=LEN(ReferenceData!$AK$175),"",ReferenceData!$AK$175),"")</f>
        <v>139898.56419999999</v>
      </c>
      <c r="AL175">
        <f ca="1">IFERROR(IF(0=LEN(ReferenceData!$AL$175),"",ReferenceData!$AL$175),"")</f>
        <v>134023.1005</v>
      </c>
      <c r="AM175">
        <f ca="1">IFERROR(IF(0=LEN(ReferenceData!$AM$175),"",ReferenceData!$AM$175),"")</f>
        <v>129690.83070000001</v>
      </c>
      <c r="AN175">
        <f ca="1">IFERROR(IF(0=LEN(ReferenceData!$AN$175),"",ReferenceData!$AN$175),"")</f>
        <v>125740.07739999999</v>
      </c>
      <c r="AO175">
        <f ca="1">IFERROR(IF(0=LEN(ReferenceData!$AO$175),"",ReferenceData!$AO$175),"")</f>
        <v>120955.39350000001</v>
      </c>
      <c r="AP175">
        <f ca="1">IFERROR(IF(0=LEN(ReferenceData!$AP$175),"",ReferenceData!$AP$175),"")</f>
        <v>115125.8566</v>
      </c>
      <c r="AQ175">
        <f ca="1">IFERROR(IF(0=LEN(ReferenceData!$AQ$175),"",ReferenceData!$AQ$175),"")</f>
        <v>110054.52099999999</v>
      </c>
      <c r="AR175">
        <f ca="1">IFERROR(IF(0=LEN(ReferenceData!$AR$175),"",ReferenceData!$AR$175),"")</f>
        <v>109542.7654</v>
      </c>
      <c r="AS175">
        <f ca="1">IFERROR(IF(0=LEN(ReferenceData!$AS$175),"",ReferenceData!$AS$175),"")</f>
        <v>117192.65089999999</v>
      </c>
      <c r="AT175">
        <f ca="1">IFERROR(IF(0=LEN(ReferenceData!$AT$175),"",ReferenceData!$AT$175),"")</f>
        <v>129649.1439</v>
      </c>
      <c r="AU175">
        <f ca="1">IFERROR(IF(0=LEN(ReferenceData!$AU$175),"",ReferenceData!$AU$175),"")</f>
        <v>141018.5803</v>
      </c>
      <c r="AV175">
        <f ca="1">IFERROR(IF(0=LEN(ReferenceData!$AV$175),"",ReferenceData!$AV$175),"")</f>
        <v>130987.535</v>
      </c>
      <c r="AW175">
        <f ca="1">IFERROR(IF(0=LEN(ReferenceData!$AW$175),"",ReferenceData!$AW$175),"")</f>
        <v>130966.23669999999</v>
      </c>
      <c r="AX175">
        <f ca="1">IFERROR(IF(0=LEN(ReferenceData!$AX$175),"",ReferenceData!$AX$175),"")</f>
        <v>124034.9951</v>
      </c>
      <c r="AY175">
        <f ca="1">IFERROR(IF(0=LEN(ReferenceData!$AY$175),"",ReferenceData!$AY$175),"")</f>
        <v>119816.0058</v>
      </c>
      <c r="AZ175">
        <f ca="1">IFERROR(IF(0=LEN(ReferenceData!$AZ$175),"",ReferenceData!$AZ$175),"")</f>
        <v>114239.4448</v>
      </c>
      <c r="BA175">
        <f ca="1">IFERROR(IF(0=LEN(ReferenceData!$BA$175),"",ReferenceData!$BA$175),"")</f>
        <v>110200.20600000001</v>
      </c>
      <c r="BB175">
        <f ca="1">IFERROR(IF(0=LEN(ReferenceData!$BB$175),"",ReferenceData!$BB$175),"")</f>
        <v>109271.25199999999</v>
      </c>
      <c r="BC175">
        <f ca="1">IFERROR(IF(0=LEN(ReferenceData!$BC$175),"",ReferenceData!$BC$175),"")</f>
        <v>124661.3683</v>
      </c>
      <c r="BD175">
        <f ca="1">IFERROR(IF(0=LEN(ReferenceData!$BD$175),"",ReferenceData!$BD$175),"")</f>
        <v>157254.68580000001</v>
      </c>
      <c r="BE175">
        <f ca="1">IFERROR(IF(0=LEN(ReferenceData!$BE$175),"",ReferenceData!$BE$175),"")</f>
        <v>172457.10630000001</v>
      </c>
      <c r="BF175">
        <f ca="1">IFERROR(IF(0=LEN(ReferenceData!$BF$175),"",ReferenceData!$BF$175),"")</f>
        <v>189308.1882</v>
      </c>
      <c r="BG175">
        <f ca="1">IFERROR(IF(0=LEN(ReferenceData!$BG$175),"",ReferenceData!$BG$175),"")</f>
        <v>186353.90590000001</v>
      </c>
      <c r="BH175">
        <f ca="1">IFERROR(IF(0=LEN(ReferenceData!$BH$175),"",ReferenceData!$BH$175),"")</f>
        <v>185755.40460000001</v>
      </c>
      <c r="BI175">
        <f ca="1">IFERROR(IF(0=LEN(ReferenceData!$BI$175),"",ReferenceData!$BI$175),"")</f>
        <v>181713.3432</v>
      </c>
      <c r="BJ175">
        <f ca="1">IFERROR(IF(0=LEN(ReferenceData!$BJ$175),"",ReferenceData!$BJ$175),"")</f>
        <v>178099.85569999999</v>
      </c>
      <c r="BK175">
        <f ca="1">IFERROR(IF(0=LEN(ReferenceData!$BK$175),"",ReferenceData!$BK$175),"")</f>
        <v>176752.2206</v>
      </c>
      <c r="BL175">
        <f ca="1">IFERROR(IF(0=LEN(ReferenceData!$BL$175),"",ReferenceData!$BL$175),"")</f>
        <v>168163.4589</v>
      </c>
      <c r="BM175">
        <f ca="1">IFERROR(IF(0=LEN(ReferenceData!$BM$175),"",ReferenceData!$BM$175),"")</f>
        <v>164456.67290000001</v>
      </c>
    </row>
    <row r="176" spans="1:65" x14ac:dyDescent="0.25">
      <c r="A176" t="str">
        <f>IFERROR(IF(0=LEN(ReferenceData!$A$176),"",ReferenceData!$A$176),"")</f>
        <v xml:space="preserve">    Dongfeng Motor Group Co Ltd</v>
      </c>
      <c r="B176" t="str">
        <f>IFERROR(IF(0=LEN(ReferenceData!$B$176),"",ReferenceData!$B$176),"")</f>
        <v>489 HK Equity</v>
      </c>
      <c r="C176" t="str">
        <f>IFERROR(IF(0=LEN(ReferenceData!$C$176),"",ReferenceData!$C$176),"")</f>
        <v>RR800</v>
      </c>
      <c r="D176" t="str">
        <f>IFERROR(IF(0=LEN(ReferenceData!$D$176),"",ReferenceData!$D$176),"")</f>
        <v>TRAIL_12M_NET_SALES</v>
      </c>
      <c r="E176" t="str">
        <f>IFERROR(IF(0=LEN(ReferenceData!$E$176),"",ReferenceData!$E$176),"")</f>
        <v>Dynamic</v>
      </c>
      <c r="F176" t="str">
        <f ca="1">IFERROR(IF(0=LEN(ReferenceData!$F$176),"",ReferenceData!$F$176),"")</f>
        <v/>
      </c>
      <c r="G176" t="str">
        <f ca="1">IFERROR(IF(0=LEN(ReferenceData!$G$176),"",ReferenceData!$G$176),"")</f>
        <v/>
      </c>
      <c r="H176" t="str">
        <f ca="1">IFERROR(IF(0=LEN(ReferenceData!$H$176),"",ReferenceData!$H$176),"")</f>
        <v/>
      </c>
      <c r="I176" t="str">
        <f ca="1">IFERROR(IF(0=LEN(ReferenceData!$I$176),"",ReferenceData!$I$176),"")</f>
        <v/>
      </c>
      <c r="J176" t="str">
        <f ca="1">IFERROR(IF(0=LEN(ReferenceData!$J$176),"",ReferenceData!$J$176),"")</f>
        <v/>
      </c>
      <c r="K176" t="str">
        <f ca="1">IFERROR(IF(0=LEN(ReferenceData!$K$176),"",ReferenceData!$K$176),"")</f>
        <v/>
      </c>
      <c r="L176" t="str">
        <f ca="1">IFERROR(IF(0=LEN(ReferenceData!$L$176),"",ReferenceData!$L$176),"")</f>
        <v/>
      </c>
      <c r="M176" t="str">
        <f ca="1">IFERROR(IF(0=LEN(ReferenceData!$M$176),"",ReferenceData!$M$176),"")</f>
        <v/>
      </c>
      <c r="N176" t="str">
        <f ca="1">IFERROR(IF(0=LEN(ReferenceData!$N$176),"",ReferenceData!$N$176),"")</f>
        <v/>
      </c>
      <c r="O176" t="str">
        <f ca="1">IFERROR(IF(0=LEN(ReferenceData!$O$176),"",ReferenceData!$O$176),"")</f>
        <v/>
      </c>
      <c r="P176" t="str">
        <f ca="1">IFERROR(IF(0=LEN(ReferenceData!$P$176),"",ReferenceData!$P$176),"")</f>
        <v/>
      </c>
      <c r="Q176" t="str">
        <f ca="1">IFERROR(IF(0=LEN(ReferenceData!$Q$176),"",ReferenceData!$Q$176),"")</f>
        <v/>
      </c>
      <c r="R176" t="str">
        <f ca="1">IFERROR(IF(0=LEN(ReferenceData!$R$176),"",ReferenceData!$R$176),"")</f>
        <v/>
      </c>
      <c r="S176" t="str">
        <f ca="1">IFERROR(IF(0=LEN(ReferenceData!$S$176),"",ReferenceData!$S$176),"")</f>
        <v/>
      </c>
      <c r="T176" t="str">
        <f ca="1">IFERROR(IF(0=LEN(ReferenceData!$T$176),"",ReferenceData!$T$176),"")</f>
        <v/>
      </c>
      <c r="U176" t="str">
        <f ca="1">IFERROR(IF(0=LEN(ReferenceData!$U$176),"",ReferenceData!$U$176),"")</f>
        <v/>
      </c>
      <c r="V176" t="str">
        <f ca="1">IFERROR(IF(0=LEN(ReferenceData!$V$176),"",ReferenceData!$V$176),"")</f>
        <v/>
      </c>
      <c r="W176" t="str">
        <f ca="1">IFERROR(IF(0=LEN(ReferenceData!$W$176),"",ReferenceData!$W$176),"")</f>
        <v/>
      </c>
      <c r="X176" t="str">
        <f ca="1">IFERROR(IF(0=LEN(ReferenceData!$X$176),"",ReferenceData!$X$176),"")</f>
        <v/>
      </c>
      <c r="Y176" t="str">
        <f ca="1">IFERROR(IF(0=LEN(ReferenceData!$Y$176),"",ReferenceData!$Y$176),"")</f>
        <v/>
      </c>
      <c r="Z176" t="str">
        <f ca="1">IFERROR(IF(0=LEN(ReferenceData!$Z$176),"",ReferenceData!$Z$176),"")</f>
        <v/>
      </c>
      <c r="AA176" t="str">
        <f ca="1">IFERROR(IF(0=LEN(ReferenceData!$AA$176),"",ReferenceData!$AA$176),"")</f>
        <v/>
      </c>
      <c r="AB176" t="str">
        <f ca="1">IFERROR(IF(0=LEN(ReferenceData!$AB$176),"",ReferenceData!$AB$176),"")</f>
        <v/>
      </c>
      <c r="AC176" t="str">
        <f ca="1">IFERROR(IF(0=LEN(ReferenceData!$AC$176),"",ReferenceData!$AC$176),"")</f>
        <v/>
      </c>
      <c r="AD176" t="str">
        <f ca="1">IFERROR(IF(0=LEN(ReferenceData!$AD$176),"",ReferenceData!$AD$176),"")</f>
        <v/>
      </c>
      <c r="AE176" t="str">
        <f ca="1">IFERROR(IF(0=LEN(ReferenceData!$AE$176),"",ReferenceData!$AE$176),"")</f>
        <v/>
      </c>
      <c r="AF176" t="str">
        <f ca="1">IFERROR(IF(0=LEN(ReferenceData!$AF$176),"",ReferenceData!$AF$176),"")</f>
        <v/>
      </c>
      <c r="AG176" t="str">
        <f ca="1">IFERROR(IF(0=LEN(ReferenceData!$AG$176),"",ReferenceData!$AG$176),"")</f>
        <v/>
      </c>
      <c r="AH176" t="str">
        <f ca="1">IFERROR(IF(0=LEN(ReferenceData!$AH$176),"",ReferenceData!$AH$176),"")</f>
        <v/>
      </c>
      <c r="AI176" t="str">
        <f ca="1">IFERROR(IF(0=LEN(ReferenceData!$AI$176),"",ReferenceData!$AI$176),"")</f>
        <v/>
      </c>
      <c r="AJ176" t="str">
        <f ca="1">IFERROR(IF(0=LEN(ReferenceData!$AJ$176),"",ReferenceData!$AJ$176),"")</f>
        <v/>
      </c>
      <c r="AK176" t="str">
        <f ca="1">IFERROR(IF(0=LEN(ReferenceData!$AK$176),"",ReferenceData!$AK$176),"")</f>
        <v/>
      </c>
      <c r="AL176" t="str">
        <f ca="1">IFERROR(IF(0=LEN(ReferenceData!$AL$176),"",ReferenceData!$AL$176),"")</f>
        <v/>
      </c>
      <c r="AM176" t="str">
        <f ca="1">IFERROR(IF(0=LEN(ReferenceData!$AM$176),"",ReferenceData!$AM$176),"")</f>
        <v/>
      </c>
      <c r="AN176" t="str">
        <f ca="1">IFERROR(IF(0=LEN(ReferenceData!$AN$176),"",ReferenceData!$AN$176),"")</f>
        <v/>
      </c>
      <c r="AO176" t="str">
        <f ca="1">IFERROR(IF(0=LEN(ReferenceData!$AO$176),"",ReferenceData!$AO$176),"")</f>
        <v/>
      </c>
      <c r="AP176" t="str">
        <f ca="1">IFERROR(IF(0=LEN(ReferenceData!$AP$176),"",ReferenceData!$AP$176),"")</f>
        <v/>
      </c>
      <c r="AQ176" t="str">
        <f ca="1">IFERROR(IF(0=LEN(ReferenceData!$AQ$176),"",ReferenceData!$AQ$176),"")</f>
        <v/>
      </c>
      <c r="AR176" t="str">
        <f ca="1">IFERROR(IF(0=LEN(ReferenceData!$AR$176),"",ReferenceData!$AR$176),"")</f>
        <v/>
      </c>
      <c r="AS176" t="str">
        <f ca="1">IFERROR(IF(0=LEN(ReferenceData!$AS$176),"",ReferenceData!$AS$176),"")</f>
        <v/>
      </c>
      <c r="AT176" t="str">
        <f ca="1">IFERROR(IF(0=LEN(ReferenceData!$AT$176),"",ReferenceData!$AT$176),"")</f>
        <v/>
      </c>
      <c r="AU176" t="str">
        <f ca="1">IFERROR(IF(0=LEN(ReferenceData!$AU$176),"",ReferenceData!$AU$176),"")</f>
        <v/>
      </c>
      <c r="AV176" t="str">
        <f ca="1">IFERROR(IF(0=LEN(ReferenceData!$AV$176),"",ReferenceData!$AV$176),"")</f>
        <v/>
      </c>
      <c r="AW176" t="str">
        <f ca="1">IFERROR(IF(0=LEN(ReferenceData!$AW$176),"",ReferenceData!$AW$176),"")</f>
        <v/>
      </c>
      <c r="AX176" t="str">
        <f ca="1">IFERROR(IF(0=LEN(ReferenceData!$AX$176),"",ReferenceData!$AX$176),"")</f>
        <v/>
      </c>
      <c r="AY176" t="str">
        <f ca="1">IFERROR(IF(0=LEN(ReferenceData!$AY$176),"",ReferenceData!$AY$176),"")</f>
        <v/>
      </c>
      <c r="AZ176" t="str">
        <f ca="1">IFERROR(IF(0=LEN(ReferenceData!$AZ$176),"",ReferenceData!$AZ$176),"")</f>
        <v/>
      </c>
      <c r="BA176" t="str">
        <f ca="1">IFERROR(IF(0=LEN(ReferenceData!$BA$176),"",ReferenceData!$BA$176),"")</f>
        <v/>
      </c>
      <c r="BB176" t="str">
        <f ca="1">IFERROR(IF(0=LEN(ReferenceData!$BB$176),"",ReferenceData!$BB$176),"")</f>
        <v/>
      </c>
      <c r="BC176" t="str">
        <f ca="1">IFERROR(IF(0=LEN(ReferenceData!$BC$176),"",ReferenceData!$BC$176),"")</f>
        <v/>
      </c>
      <c r="BD176" t="str">
        <f ca="1">IFERROR(IF(0=LEN(ReferenceData!$BD$176),"",ReferenceData!$BD$176),"")</f>
        <v/>
      </c>
      <c r="BE176" t="str">
        <f ca="1">IFERROR(IF(0=LEN(ReferenceData!$BE$176),"",ReferenceData!$BE$176),"")</f>
        <v/>
      </c>
      <c r="BF176" t="str">
        <f ca="1">IFERROR(IF(0=LEN(ReferenceData!$BF$176),"",ReferenceData!$BF$176),"")</f>
        <v/>
      </c>
      <c r="BG176" t="str">
        <f ca="1">IFERROR(IF(0=LEN(ReferenceData!$BG$176),"",ReferenceData!$BG$176),"")</f>
        <v/>
      </c>
      <c r="BH176" t="str">
        <f ca="1">IFERROR(IF(0=LEN(ReferenceData!$BH$176),"",ReferenceData!$BH$176),"")</f>
        <v/>
      </c>
      <c r="BI176" t="str">
        <f ca="1">IFERROR(IF(0=LEN(ReferenceData!$BI$176),"",ReferenceData!$BI$176),"")</f>
        <v/>
      </c>
      <c r="BJ176" t="str">
        <f ca="1">IFERROR(IF(0=LEN(ReferenceData!$BJ$176),"",ReferenceData!$BJ$176),"")</f>
        <v/>
      </c>
      <c r="BK176" t="str">
        <f ca="1">IFERROR(IF(0=LEN(ReferenceData!$BK$176),"",ReferenceData!$BK$176),"")</f>
        <v/>
      </c>
      <c r="BL176" t="str">
        <f ca="1">IFERROR(IF(0=LEN(ReferenceData!$BL$176),"",ReferenceData!$BL$176),"")</f>
        <v/>
      </c>
      <c r="BM176" t="str">
        <f ca="1">IFERROR(IF(0=LEN(ReferenceData!$BM$176),"",ReferenceData!$BM$176),"")</f>
        <v/>
      </c>
    </row>
    <row r="177" spans="1:65" x14ac:dyDescent="0.25">
      <c r="A177" t="str">
        <f>IFERROR(IF(0=LEN(ReferenceData!$A$177),"",ReferenceData!$A$177),"")</f>
        <v xml:space="preserve">    DRB-Hicom Bhd</v>
      </c>
      <c r="B177" t="str">
        <f>IFERROR(IF(0=LEN(ReferenceData!$B$177),"",ReferenceData!$B$177),"")</f>
        <v>DRB MK Equity</v>
      </c>
      <c r="C177" t="str">
        <f>IFERROR(IF(0=LEN(ReferenceData!$C$177),"",ReferenceData!$C$177),"")</f>
        <v>RR800</v>
      </c>
      <c r="D177" t="str">
        <f>IFERROR(IF(0=LEN(ReferenceData!$D$177),"",ReferenceData!$D$177),"")</f>
        <v>TRAIL_12M_NET_SALES</v>
      </c>
      <c r="E177" t="str">
        <f>IFERROR(IF(0=LEN(ReferenceData!$E$177),"",ReferenceData!$E$177),"")</f>
        <v>Dynamic</v>
      </c>
      <c r="F177" t="str">
        <f ca="1">IFERROR(IF(0=LEN(ReferenceData!$F$177),"",ReferenceData!$F$177),"")</f>
        <v/>
      </c>
      <c r="G177">
        <f ca="1">IFERROR(IF(0=LEN(ReferenceData!$G$177),"",ReferenceData!$G$177),"")</f>
        <v>2991.8734319999999</v>
      </c>
      <c r="H177">
        <f ca="1">IFERROR(IF(0=LEN(ReferenceData!$H$177),"",ReferenceData!$H$177),"")</f>
        <v>2963.8032929999999</v>
      </c>
      <c r="I177">
        <f ca="1">IFERROR(IF(0=LEN(ReferenceData!$I$177),"",ReferenceData!$I$177),"")</f>
        <v>2948.0773789999998</v>
      </c>
      <c r="J177">
        <f ca="1">IFERROR(IF(0=LEN(ReferenceData!$J$177),"",ReferenceData!$J$177),"")</f>
        <v>2996.004062</v>
      </c>
      <c r="K177">
        <f ca="1">IFERROR(IF(0=LEN(ReferenceData!$K$177),"",ReferenceData!$K$177),"")</f>
        <v>3002.2163249999999</v>
      </c>
      <c r="L177">
        <f ca="1">IFERROR(IF(0=LEN(ReferenceData!$L$177),"",ReferenceData!$L$177),"")</f>
        <v>3061.0318560000001</v>
      </c>
      <c r="M177">
        <f ca="1">IFERROR(IF(0=LEN(ReferenceData!$M$177),"",ReferenceData!$M$177),"")</f>
        <v>2962.7682089999998</v>
      </c>
      <c r="N177">
        <f ca="1">IFERROR(IF(0=LEN(ReferenceData!$N$177),"",ReferenceData!$N$177),"")</f>
        <v>2872.5201780000002</v>
      </c>
      <c r="O177">
        <f ca="1">IFERROR(IF(0=LEN(ReferenceData!$O$177),"",ReferenceData!$O$177),"")</f>
        <v>2709.6956380000001</v>
      </c>
      <c r="P177">
        <f ca="1">IFERROR(IF(0=LEN(ReferenceData!$P$177),"",ReferenceData!$P$177),"")</f>
        <v>2692.0651590000002</v>
      </c>
      <c r="Q177">
        <f ca="1">IFERROR(IF(0=LEN(ReferenceData!$Q$177),"",ReferenceData!$Q$177),"")</f>
        <v>2841.8080319999999</v>
      </c>
      <c r="R177">
        <f ca="1">IFERROR(IF(0=LEN(ReferenceData!$R$177),"",ReferenceData!$R$177),"")</f>
        <v>3020.5951380000001</v>
      </c>
      <c r="S177">
        <f ca="1">IFERROR(IF(0=LEN(ReferenceData!$S$177),"",ReferenceData!$S$177),"")</f>
        <v>3280.9956149999998</v>
      </c>
      <c r="T177">
        <f ca="1">IFERROR(IF(0=LEN(ReferenceData!$T$177),"",ReferenceData!$T$177),"")</f>
        <v>3540.5010870000001</v>
      </c>
      <c r="U177">
        <f ca="1">IFERROR(IF(0=LEN(ReferenceData!$U$177),"",ReferenceData!$U$177),"")</f>
        <v>3748.6131150000001</v>
      </c>
      <c r="V177">
        <f ca="1">IFERROR(IF(0=LEN(ReferenceData!$V$177),"",ReferenceData!$V$177),"")</f>
        <v>4092.8649409999998</v>
      </c>
      <c r="W177">
        <f ca="1">IFERROR(IF(0=LEN(ReferenceData!$W$177),"",ReferenceData!$W$177),"")</f>
        <v>4476.9230639999996</v>
      </c>
      <c r="X177">
        <f ca="1">IFERROR(IF(0=LEN(ReferenceData!$X$177),"",ReferenceData!$X$177),"")</f>
        <v>4469.7508539999999</v>
      </c>
      <c r="Y177">
        <f ca="1">IFERROR(IF(0=LEN(ReferenceData!$Y$177),"",ReferenceData!$Y$177),"")</f>
        <v>4584.9394130000001</v>
      </c>
      <c r="Z177">
        <f ca="1">IFERROR(IF(0=LEN(ReferenceData!$Z$177),"",ReferenceData!$Z$177),"")</f>
        <v>4437.4932120000003</v>
      </c>
      <c r="AA177">
        <f ca="1">IFERROR(IF(0=LEN(ReferenceData!$AA$177),"",ReferenceData!$AA$177),"")</f>
        <v>4254.9899750000004</v>
      </c>
      <c r="AB177">
        <f ca="1">IFERROR(IF(0=LEN(ReferenceData!$AB$177),"",ReferenceData!$AB$177),"")</f>
        <v>4128.8297220000004</v>
      </c>
      <c r="AC177">
        <f ca="1">IFERROR(IF(0=LEN(ReferenceData!$AC$177),"",ReferenceData!$AC$177),"")</f>
        <v>4129.411744</v>
      </c>
      <c r="AD177">
        <f ca="1">IFERROR(IF(0=LEN(ReferenceData!$AD$177),"",ReferenceData!$AD$177),"")</f>
        <v>4246.8883290000003</v>
      </c>
      <c r="AE177">
        <f ca="1">IFERROR(IF(0=LEN(ReferenceData!$AE$177),"",ReferenceData!$AE$177),"")</f>
        <v>3853.6985049999998</v>
      </c>
      <c r="AF177">
        <f ca="1">IFERROR(IF(0=LEN(ReferenceData!$AF$177),"",ReferenceData!$AF$177),"")</f>
        <v>3477.263269</v>
      </c>
      <c r="AG177">
        <f ca="1">IFERROR(IF(0=LEN(ReferenceData!$AG$177),"",ReferenceData!$AG$177),"")</f>
        <v>2839.3661569999999</v>
      </c>
      <c r="AH177">
        <f ca="1">IFERROR(IF(0=LEN(ReferenceData!$AH$177),"",ReferenceData!$AH$177),"")</f>
        <v>2246.6918639999999</v>
      </c>
      <c r="AI177">
        <f ca="1">IFERROR(IF(0=LEN(ReferenceData!$AI$177),"",ReferenceData!$AI$177),"")</f>
        <v>2208.0571300000001</v>
      </c>
      <c r="AJ177">
        <f ca="1">IFERROR(IF(0=LEN(ReferenceData!$AJ$177),"",ReferenceData!$AJ$177),"")</f>
        <v>2184.5640619999999</v>
      </c>
      <c r="AK177">
        <f ca="1">IFERROR(IF(0=LEN(ReferenceData!$AK$177),"",ReferenceData!$AK$177),"")</f>
        <v>2216.3171710000001</v>
      </c>
      <c r="AL177">
        <f ca="1">IFERROR(IF(0=LEN(ReferenceData!$AL$177),"",ReferenceData!$AL$177),"")</f>
        <v>2168.4679719999999</v>
      </c>
      <c r="AM177">
        <f ca="1">IFERROR(IF(0=LEN(ReferenceData!$AM$177),"",ReferenceData!$AM$177),"")</f>
        <v>1989.080072</v>
      </c>
      <c r="AN177">
        <f ca="1">IFERROR(IF(0=LEN(ReferenceData!$AN$177),"",ReferenceData!$AN$177),"")</f>
        <v>1935.484338</v>
      </c>
      <c r="AO177">
        <f ca="1">IFERROR(IF(0=LEN(ReferenceData!$AO$177),"",ReferenceData!$AO$177),"")</f>
        <v>1848.33779</v>
      </c>
      <c r="AP177">
        <f ca="1">IFERROR(IF(0=LEN(ReferenceData!$AP$177),"",ReferenceData!$AP$177),"")</f>
        <v>1825.9825599999999</v>
      </c>
      <c r="AQ177">
        <f ca="1">IFERROR(IF(0=LEN(ReferenceData!$AQ$177),"",ReferenceData!$AQ$177),"")</f>
        <v>1760.5706700000001</v>
      </c>
      <c r="AR177">
        <f ca="1">IFERROR(IF(0=LEN(ReferenceData!$AR$177),"",ReferenceData!$AR$177),"")</f>
        <v>1716.0558370000001</v>
      </c>
      <c r="AS177">
        <f ca="1">IFERROR(IF(0=LEN(ReferenceData!$AS$177),"",ReferenceData!$AS$177),"")</f>
        <v>1760.414434</v>
      </c>
      <c r="AT177">
        <f ca="1">IFERROR(IF(0=LEN(ReferenceData!$AT$177),"",ReferenceData!$AT$177),"")</f>
        <v>1783.4931260000001</v>
      </c>
      <c r="AU177">
        <f ca="1">IFERROR(IF(0=LEN(ReferenceData!$AU$177),"",ReferenceData!$AU$177),"")</f>
        <v>1802.1839829999999</v>
      </c>
      <c r="AV177">
        <f ca="1">IFERROR(IF(0=LEN(ReferenceData!$AV$177),"",ReferenceData!$AV$177),"")</f>
        <v>1684.191458</v>
      </c>
      <c r="AW177">
        <f ca="1">IFERROR(IF(0=LEN(ReferenceData!$AW$177),"",ReferenceData!$AW$177),"")</f>
        <v>1438.3297359999999</v>
      </c>
      <c r="AX177">
        <f ca="1">IFERROR(IF(0=LEN(ReferenceData!$AX$177),"",ReferenceData!$AX$177),"")</f>
        <v>1191.9890359999999</v>
      </c>
      <c r="AY177">
        <f ca="1">IFERROR(IF(0=LEN(ReferenceData!$AY$177),"",ReferenceData!$AY$177),"")</f>
        <v>968.83096</v>
      </c>
      <c r="AZ177">
        <f ca="1">IFERROR(IF(0=LEN(ReferenceData!$AZ$177),"",ReferenceData!$AZ$177),"")</f>
        <v>845.10010360000001</v>
      </c>
      <c r="BA177">
        <f ca="1">IFERROR(IF(0=LEN(ReferenceData!$BA$177),"",ReferenceData!$BA$177),"")</f>
        <v>821.98623380000004</v>
      </c>
      <c r="BB177">
        <f ca="1">IFERROR(IF(0=LEN(ReferenceData!$BB$177),"",ReferenceData!$BB$177),"")</f>
        <v>805.1360095</v>
      </c>
      <c r="BC177">
        <f ca="1">IFERROR(IF(0=LEN(ReferenceData!$BC$177),"",ReferenceData!$BC$177),"")</f>
        <v>799.83987160000004</v>
      </c>
      <c r="BD177">
        <f ca="1">IFERROR(IF(0=LEN(ReferenceData!$BD$177),"",ReferenceData!$BD$177),"")</f>
        <v>855.74607160000005</v>
      </c>
      <c r="BE177">
        <f ca="1">IFERROR(IF(0=LEN(ReferenceData!$BE$177),"",ReferenceData!$BE$177),"")</f>
        <v>884.23498570000004</v>
      </c>
      <c r="BF177">
        <f ca="1">IFERROR(IF(0=LEN(ReferenceData!$BF$177),"",ReferenceData!$BF$177),"")</f>
        <v>934.83987400000001</v>
      </c>
      <c r="BG177">
        <f ca="1">IFERROR(IF(0=LEN(ReferenceData!$BG$177),"",ReferenceData!$BG$177),"")</f>
        <v>1021.24165</v>
      </c>
      <c r="BH177">
        <f ca="1">IFERROR(IF(0=LEN(ReferenceData!$BH$177),"",ReferenceData!$BH$177),"")</f>
        <v>1087.572727</v>
      </c>
      <c r="BI177">
        <f ca="1">IFERROR(IF(0=LEN(ReferenceData!$BI$177),"",ReferenceData!$BI$177),"")</f>
        <v>1130.279207</v>
      </c>
      <c r="BJ177">
        <f ca="1">IFERROR(IF(0=LEN(ReferenceData!$BJ$177),"",ReferenceData!$BJ$177),"")</f>
        <v>1185.9460449999999</v>
      </c>
      <c r="BK177">
        <f ca="1">IFERROR(IF(0=LEN(ReferenceData!$BK$177),"",ReferenceData!$BK$177),"")</f>
        <v>1236.4105219999999</v>
      </c>
      <c r="BL177">
        <f ca="1">IFERROR(IF(0=LEN(ReferenceData!$BL$177),"",ReferenceData!$BL$177),"")</f>
        <v>1197.457629</v>
      </c>
      <c r="BM177">
        <f ca="1">IFERROR(IF(0=LEN(ReferenceData!$BM$177),"",ReferenceData!$BM$177),"")</f>
        <v>1213.916305</v>
      </c>
    </row>
    <row r="178" spans="1:65" x14ac:dyDescent="0.25">
      <c r="A178" t="str">
        <f>IFERROR(IF(0=LEN(ReferenceData!$A$178),"",ReferenceData!$A$178),"")</f>
        <v xml:space="preserve">    FAW CAR Co Ltd</v>
      </c>
      <c r="B178" t="str">
        <f>IFERROR(IF(0=LEN(ReferenceData!$B$178),"",ReferenceData!$B$178),"")</f>
        <v>000800 CH Equity</v>
      </c>
      <c r="C178" t="str">
        <f>IFERROR(IF(0=LEN(ReferenceData!$C$178),"",ReferenceData!$C$178),"")</f>
        <v>RR800</v>
      </c>
      <c r="D178" t="str">
        <f>IFERROR(IF(0=LEN(ReferenceData!$D$178),"",ReferenceData!$D$178),"")</f>
        <v>TRAIL_12M_NET_SALES</v>
      </c>
      <c r="E178" t="str">
        <f>IFERROR(IF(0=LEN(ReferenceData!$E$178),"",ReferenceData!$E$178),"")</f>
        <v>Dynamic</v>
      </c>
      <c r="F178" t="str">
        <f ca="1">IFERROR(IF(0=LEN(ReferenceData!$F$178),"",ReferenceData!$F$178),"")</f>
        <v/>
      </c>
      <c r="G178" t="str">
        <f ca="1">IFERROR(IF(0=LEN(ReferenceData!$G$178),"",ReferenceData!$G$178),"")</f>
        <v/>
      </c>
      <c r="H178">
        <f ca="1">IFERROR(IF(0=LEN(ReferenceData!$H$178),"",ReferenceData!$H$178),"")</f>
        <v>3916.03721</v>
      </c>
      <c r="I178">
        <f ca="1">IFERROR(IF(0=LEN(ReferenceData!$I$178),"",ReferenceData!$I$178),"")</f>
        <v>4055.6367420000001</v>
      </c>
      <c r="J178">
        <f ca="1">IFERROR(IF(0=LEN(ReferenceData!$J$178),"",ReferenceData!$J$178),"")</f>
        <v>3979.0453130000001</v>
      </c>
      <c r="K178">
        <f ca="1">IFERROR(IF(0=LEN(ReferenceData!$K$178),"",ReferenceData!$K$178),"")</f>
        <v>3883.9613549999999</v>
      </c>
      <c r="L178">
        <f ca="1">IFERROR(IF(0=LEN(ReferenceData!$L$178),"",ReferenceData!$L$178),"")</f>
        <v>3799.2240270000002</v>
      </c>
      <c r="M178">
        <f ca="1">IFERROR(IF(0=LEN(ReferenceData!$M$178),"",ReferenceData!$M$178),"")</f>
        <v>3812.2213700000002</v>
      </c>
      <c r="N178">
        <f ca="1">IFERROR(IF(0=LEN(ReferenceData!$N$178),"",ReferenceData!$N$178),"")</f>
        <v>3562.2569140000001</v>
      </c>
      <c r="O178">
        <f ca="1">IFERROR(IF(0=LEN(ReferenceData!$O$178),"",ReferenceData!$O$178),"")</f>
        <v>3219.3452739999998</v>
      </c>
      <c r="P178">
        <f ca="1">IFERROR(IF(0=LEN(ReferenceData!$P$178),"",ReferenceData!$P$178),"")</f>
        <v>3252.5479270000001</v>
      </c>
      <c r="Q178">
        <f ca="1">IFERROR(IF(0=LEN(ReferenceData!$Q$178),"",ReferenceData!$Q$178),"")</f>
        <v>3139.1343000000002</v>
      </c>
      <c r="R178">
        <f ca="1">IFERROR(IF(0=LEN(ReferenceData!$R$178),"",ReferenceData!$R$178),"")</f>
        <v>3533.8699160000001</v>
      </c>
      <c r="S178">
        <f ca="1">IFERROR(IF(0=LEN(ReferenceData!$S$178),"",ReferenceData!$S$178),"")</f>
        <v>4019.1351180000001</v>
      </c>
      <c r="T178">
        <f ca="1">IFERROR(IF(0=LEN(ReferenceData!$T$178),"",ReferenceData!$T$178),"")</f>
        <v>4382.5337509999999</v>
      </c>
      <c r="U178">
        <f ca="1">IFERROR(IF(0=LEN(ReferenceData!$U$178),"",ReferenceData!$U$178),"")</f>
        <v>4874.5158270000002</v>
      </c>
      <c r="V178">
        <f ca="1">IFERROR(IF(0=LEN(ReferenceData!$V$178),"",ReferenceData!$V$178),"")</f>
        <v>5073.9171969999998</v>
      </c>
      <c r="W178">
        <f ca="1">IFERROR(IF(0=LEN(ReferenceData!$W$178),"",ReferenceData!$W$178),"")</f>
        <v>5224.5104879999999</v>
      </c>
      <c r="X178">
        <f ca="1">IFERROR(IF(0=LEN(ReferenceData!$X$178),"",ReferenceData!$X$178),"")</f>
        <v>5099.189206</v>
      </c>
      <c r="Y178">
        <f ca="1">IFERROR(IF(0=LEN(ReferenceData!$Y$178),"",ReferenceData!$Y$178),"")</f>
        <v>4973.9363510000003</v>
      </c>
      <c r="Z178">
        <f ca="1">IFERROR(IF(0=LEN(ReferenceData!$Z$178),"",ReferenceData!$Z$178),"")</f>
        <v>4850.9537829999999</v>
      </c>
      <c r="AA178">
        <f ca="1">IFERROR(IF(0=LEN(ReferenceData!$AA$178),"",ReferenceData!$AA$178),"")</f>
        <v>4594.0088910000004</v>
      </c>
      <c r="AB178">
        <f ca="1">IFERROR(IF(0=LEN(ReferenceData!$AB$178),"",ReferenceData!$AB$178),"")</f>
        <v>4043.0572189999998</v>
      </c>
      <c r="AC178">
        <f ca="1">IFERROR(IF(0=LEN(ReferenceData!$AC$178),"",ReferenceData!$AC$178),"")</f>
        <v>3730.9711889999999</v>
      </c>
      <c r="AD178">
        <f ca="1">IFERROR(IF(0=LEN(ReferenceData!$AD$178),"",ReferenceData!$AD$178),"")</f>
        <v>3573.7086599999998</v>
      </c>
      <c r="AE178">
        <f ca="1">IFERROR(IF(0=LEN(ReferenceData!$AE$178),"",ReferenceData!$AE$178),"")</f>
        <v>3541.456862</v>
      </c>
      <c r="AF178">
        <f ca="1">IFERROR(IF(0=LEN(ReferenceData!$AF$178),"",ReferenceData!$AF$178),"")</f>
        <v>3770.3568949999999</v>
      </c>
      <c r="AG178">
        <f ca="1">IFERROR(IF(0=LEN(ReferenceData!$AG$178),"",ReferenceData!$AG$178),"")</f>
        <v>3902.7267790000001</v>
      </c>
      <c r="AH178">
        <f ca="1">IFERROR(IF(0=LEN(ReferenceData!$AH$178),"",ReferenceData!$AH$178),"")</f>
        <v>4371.7059520000003</v>
      </c>
      <c r="AI178">
        <f ca="1">IFERROR(IF(0=LEN(ReferenceData!$AI$178),"",ReferenceData!$AI$178),"")</f>
        <v>4811.2928089999996</v>
      </c>
      <c r="AJ178">
        <f ca="1">IFERROR(IF(0=LEN(ReferenceData!$AJ$178),"",ReferenceData!$AJ$178),"")</f>
        <v>5278.0803109999997</v>
      </c>
      <c r="AK178">
        <f ca="1">IFERROR(IF(0=LEN(ReferenceData!$AK$178),"",ReferenceData!$AK$178),"")</f>
        <v>5527.9457629999997</v>
      </c>
      <c r="AL178">
        <f ca="1">IFERROR(IF(0=LEN(ReferenceData!$AL$178),"",ReferenceData!$AL$178),"")</f>
        <v>5463.1690529999996</v>
      </c>
      <c r="AM178">
        <f ca="1">IFERROR(IF(0=LEN(ReferenceData!$AM$178),"",ReferenceData!$AM$178),"")</f>
        <v>5247.6319839999996</v>
      </c>
      <c r="AN178">
        <f ca="1">IFERROR(IF(0=LEN(ReferenceData!$AN$178),"",ReferenceData!$AN$178),"")</f>
        <v>4948.4072470000001</v>
      </c>
      <c r="AO178">
        <f ca="1">IFERROR(IF(0=LEN(ReferenceData!$AO$178),"",ReferenceData!$AO$178),"")</f>
        <v>4736.5181670000002</v>
      </c>
      <c r="AP178">
        <f ca="1">IFERROR(IF(0=LEN(ReferenceData!$AP$178),"",ReferenceData!$AP$178),"")</f>
        <v>4327.9127070000004</v>
      </c>
      <c r="AQ178">
        <f ca="1">IFERROR(IF(0=LEN(ReferenceData!$AQ$178),"",ReferenceData!$AQ$178),"")</f>
        <v>3859.9785750000001</v>
      </c>
      <c r="AR178">
        <f ca="1">IFERROR(IF(0=LEN(ReferenceData!$AR$178),"",ReferenceData!$AR$178),"")</f>
        <v>3282.6131340000002</v>
      </c>
      <c r="AS178">
        <f ca="1">IFERROR(IF(0=LEN(ReferenceData!$AS$178),"",ReferenceData!$AS$178),"")</f>
        <v>2987.3912829999999</v>
      </c>
      <c r="AT178">
        <f ca="1">IFERROR(IF(0=LEN(ReferenceData!$AT$178),"",ReferenceData!$AT$178),"")</f>
        <v>2825.6304359999999</v>
      </c>
      <c r="AU178">
        <f ca="1">IFERROR(IF(0=LEN(ReferenceData!$AU$178),"",ReferenceData!$AU$178),"")</f>
        <v>2772.162104</v>
      </c>
      <c r="AV178">
        <f ca="1">IFERROR(IF(0=LEN(ReferenceData!$AV$178),"",ReferenceData!$AV$178),"")</f>
        <v>2641.7382640000001</v>
      </c>
      <c r="AW178">
        <f ca="1">IFERROR(IF(0=LEN(ReferenceData!$AW$178),"",ReferenceData!$AW$178),"")</f>
        <v>2357.624898</v>
      </c>
      <c r="AX178">
        <f ca="1">IFERROR(IF(0=LEN(ReferenceData!$AX$178),"",ReferenceData!$AX$178),"")</f>
        <v>1984.936074</v>
      </c>
      <c r="AY178">
        <f ca="1">IFERROR(IF(0=LEN(ReferenceData!$AY$178),"",ReferenceData!$AY$178),"")</f>
        <v>1684.868553</v>
      </c>
      <c r="AZ178">
        <f ca="1">IFERROR(IF(0=LEN(ReferenceData!$AZ$178),"",ReferenceData!$AZ$178),"")</f>
        <v>1571.8067679999999</v>
      </c>
      <c r="BA178">
        <f ca="1">IFERROR(IF(0=LEN(ReferenceData!$BA$178),"",ReferenceData!$BA$178),"")</f>
        <v>1369.240945</v>
      </c>
      <c r="BB178">
        <f ca="1">IFERROR(IF(0=LEN(ReferenceData!$BB$178),"",ReferenceData!$BB$178),"")</f>
        <v>1357.2693810000001</v>
      </c>
      <c r="BC178">
        <f ca="1">IFERROR(IF(0=LEN(ReferenceData!$BC$178),"",ReferenceData!$BC$178),"")</f>
        <v>1324.2489109999999</v>
      </c>
      <c r="BD178">
        <f ca="1">IFERROR(IF(0=LEN(ReferenceData!$BD$178),"",ReferenceData!$BD$178),"")</f>
        <v>1330.0709939999999</v>
      </c>
      <c r="BE178">
        <f ca="1">IFERROR(IF(0=LEN(ReferenceData!$BE$178),"",ReferenceData!$BE$178),"")</f>
        <v>1291.724434</v>
      </c>
      <c r="BF178">
        <f ca="1">IFERROR(IF(0=LEN(ReferenceData!$BF$178),"",ReferenceData!$BF$178),"")</f>
        <v>1310.784977</v>
      </c>
      <c r="BG178">
        <f ca="1">IFERROR(IF(0=LEN(ReferenceData!$BG$178),"",ReferenceData!$BG$178),"")</f>
        <v>1181.1954639999999</v>
      </c>
      <c r="BH178">
        <f ca="1">IFERROR(IF(0=LEN(ReferenceData!$BH$178),"",ReferenceData!$BH$178),"")</f>
        <v>1028.0905029999999</v>
      </c>
      <c r="BI178">
        <f ca="1">IFERROR(IF(0=LEN(ReferenceData!$BI$178),"",ReferenceData!$BI$178),"")</f>
        <v>1017.203308</v>
      </c>
      <c r="BJ178">
        <f ca="1">IFERROR(IF(0=LEN(ReferenceData!$BJ$178),"",ReferenceData!$BJ$178),"")</f>
        <v>924.2014815</v>
      </c>
      <c r="BK178">
        <f ca="1">IFERROR(IF(0=LEN(ReferenceData!$BK$178),"",ReferenceData!$BK$178),"")</f>
        <v>1098.455946</v>
      </c>
      <c r="BL178">
        <f ca="1">IFERROR(IF(0=LEN(ReferenceData!$BL$178),"",ReferenceData!$BL$178),"")</f>
        <v>1211.204657</v>
      </c>
      <c r="BM178">
        <f ca="1">IFERROR(IF(0=LEN(ReferenceData!$BM$178),"",ReferenceData!$BM$178),"")</f>
        <v>1354.293453</v>
      </c>
    </row>
    <row r="179" spans="1:65" x14ac:dyDescent="0.25">
      <c r="A179" t="str">
        <f>IFERROR(IF(0=LEN(ReferenceData!$A$179),"",ReferenceData!$A$179),"")</f>
        <v xml:space="preserve">    Fiat Chrysler Automobiles NV</v>
      </c>
      <c r="B179" t="str">
        <f>IFERROR(IF(0=LEN(ReferenceData!$B$179),"",ReferenceData!$B$179),"")</f>
        <v>FCAU US Equity</v>
      </c>
      <c r="C179" t="str">
        <f>IFERROR(IF(0=LEN(ReferenceData!$C$179),"",ReferenceData!$C$179),"")</f>
        <v>RR800</v>
      </c>
      <c r="D179" t="str">
        <f>IFERROR(IF(0=LEN(ReferenceData!$D$179),"",ReferenceData!$D$179),"")</f>
        <v>TRAIL_12M_NET_SALES</v>
      </c>
      <c r="E179" t="str">
        <f>IFERROR(IF(0=LEN(ReferenceData!$E$179),"",ReferenceData!$E$179),"")</f>
        <v>Dynamic</v>
      </c>
      <c r="F179" t="str">
        <f ca="1">IFERROR(IF(0=LEN(ReferenceData!$F$179),"",ReferenceData!$F$179),"")</f>
        <v/>
      </c>
      <c r="G179">
        <f ca="1">IFERROR(IF(0=LEN(ReferenceData!$G$179),"",ReferenceData!$G$179),"")</f>
        <v>130410.2965</v>
      </c>
      <c r="H179">
        <f ca="1">IFERROR(IF(0=LEN(ReferenceData!$H$179),"",ReferenceData!$H$179),"")</f>
        <v>127717.63250000001</v>
      </c>
      <c r="I179">
        <f ca="1">IFERROR(IF(0=LEN(ReferenceData!$I$179),"",ReferenceData!$I$179),"")</f>
        <v>125174.27370000001</v>
      </c>
      <c r="J179">
        <f ca="1">IFERROR(IF(0=LEN(ReferenceData!$J$179),"",ReferenceData!$J$179),"")</f>
        <v>121533.9054</v>
      </c>
      <c r="K179">
        <f ca="1">IFERROR(IF(0=LEN(ReferenceData!$K$179),"",ReferenceData!$K$179),"")</f>
        <v>118064.9124</v>
      </c>
      <c r="L179">
        <f ca="1">IFERROR(IF(0=LEN(ReferenceData!$L$179),"",ReferenceData!$L$179),"")</f>
        <v>122138.9975</v>
      </c>
      <c r="M179">
        <f ca="1">IFERROR(IF(0=LEN(ReferenceData!$M$179),"",ReferenceData!$M$179),"")</f>
        <v>122319.05100000001</v>
      </c>
      <c r="N179">
        <f ca="1">IFERROR(IF(0=LEN(ReferenceData!$N$179),"",ReferenceData!$N$179),"")</f>
        <v>123080.8985</v>
      </c>
      <c r="O179">
        <f ca="1">IFERROR(IF(0=LEN(ReferenceData!$O$179),"",ReferenceData!$O$179),"")</f>
        <v>122877.9062</v>
      </c>
      <c r="P179">
        <f ca="1">IFERROR(IF(0=LEN(ReferenceData!$P$179),"",ReferenceData!$P$179),"")</f>
        <v>123007.42720000001</v>
      </c>
      <c r="Q179">
        <f ca="1">IFERROR(IF(0=LEN(ReferenceData!$Q$179),"",ReferenceData!$Q$179),"")</f>
        <v>122847.4357</v>
      </c>
      <c r="R179">
        <f ca="1">IFERROR(IF(0=LEN(ReferenceData!$R$179),"",ReferenceData!$R$179),"")</f>
        <v>122938.2807</v>
      </c>
      <c r="S179">
        <f ca="1">IFERROR(IF(0=LEN(ReferenceData!$S$179),"",ReferenceData!$S$179),"")</f>
        <v>122760.5199</v>
      </c>
      <c r="T179">
        <f ca="1">IFERROR(IF(0=LEN(ReferenceData!$T$179),"",ReferenceData!$T$179),"")</f>
        <v>121563.86810000001</v>
      </c>
      <c r="U179">
        <f ca="1">IFERROR(IF(0=LEN(ReferenceData!$U$179),"",ReferenceData!$U$179),"")</f>
        <v>123368.9835</v>
      </c>
      <c r="V179">
        <f ca="1">IFERROR(IF(0=LEN(ReferenceData!$V$179),"",ReferenceData!$V$179),"")</f>
        <v>123515.64569999999</v>
      </c>
      <c r="W179">
        <f ca="1">IFERROR(IF(0=LEN(ReferenceData!$W$179),"",ReferenceData!$W$179),"")</f>
        <v>124399.41069999999</v>
      </c>
      <c r="X179">
        <f ca="1">IFERROR(IF(0=LEN(ReferenceData!$X$179),"",ReferenceData!$X$179),"")</f>
        <v>126132.7545</v>
      </c>
      <c r="Y179">
        <f ca="1">IFERROR(IF(0=LEN(ReferenceData!$Y$179),"",ReferenceData!$Y$179),"")</f>
        <v>122237.4305</v>
      </c>
      <c r="Z179" t="str">
        <f ca="1">IFERROR(IF(0=LEN(ReferenceData!$Z$179),"",ReferenceData!$Z$179),"")</f>
        <v/>
      </c>
      <c r="AA179" t="str">
        <f ca="1">IFERROR(IF(0=LEN(ReferenceData!$AA$179),"",ReferenceData!$AA$179),"")</f>
        <v/>
      </c>
      <c r="AB179" t="str">
        <f ca="1">IFERROR(IF(0=LEN(ReferenceData!$AB$179),"",ReferenceData!$AB$179),"")</f>
        <v/>
      </c>
      <c r="AC179" t="str">
        <f ca="1">IFERROR(IF(0=LEN(ReferenceData!$AC$179),"",ReferenceData!$AC$179),"")</f>
        <v/>
      </c>
      <c r="AD179" t="str">
        <f ca="1">IFERROR(IF(0=LEN(ReferenceData!$AD$179),"",ReferenceData!$AD$179),"")</f>
        <v/>
      </c>
      <c r="AE179" t="str">
        <f ca="1">IFERROR(IF(0=LEN(ReferenceData!$AE$179),"",ReferenceData!$AE$179),"")</f>
        <v/>
      </c>
      <c r="AF179" t="str">
        <f ca="1">IFERROR(IF(0=LEN(ReferenceData!$AF$179),"",ReferenceData!$AF$179),"")</f>
        <v/>
      </c>
      <c r="AG179" t="str">
        <f ca="1">IFERROR(IF(0=LEN(ReferenceData!$AG$179),"",ReferenceData!$AG$179),"")</f>
        <v/>
      </c>
      <c r="AH179" t="str">
        <f ca="1">IFERROR(IF(0=LEN(ReferenceData!$AH$179),"",ReferenceData!$AH$179),"")</f>
        <v/>
      </c>
      <c r="AI179" t="str">
        <f ca="1">IFERROR(IF(0=LEN(ReferenceData!$AI$179),"",ReferenceData!$AI$179),"")</f>
        <v/>
      </c>
      <c r="AJ179" t="str">
        <f ca="1">IFERROR(IF(0=LEN(ReferenceData!$AJ$179),"",ReferenceData!$AJ$179),"")</f>
        <v/>
      </c>
      <c r="AK179" t="str">
        <f ca="1">IFERROR(IF(0=LEN(ReferenceData!$AK$179),"",ReferenceData!$AK$179),"")</f>
        <v/>
      </c>
      <c r="AL179" t="str">
        <f ca="1">IFERROR(IF(0=LEN(ReferenceData!$AL$179),"",ReferenceData!$AL$179),"")</f>
        <v/>
      </c>
      <c r="AM179" t="str">
        <f ca="1">IFERROR(IF(0=LEN(ReferenceData!$AM$179),"",ReferenceData!$AM$179),"")</f>
        <v/>
      </c>
      <c r="AN179" t="str">
        <f ca="1">IFERROR(IF(0=LEN(ReferenceData!$AN$179),"",ReferenceData!$AN$179),"")</f>
        <v/>
      </c>
      <c r="AO179" t="str">
        <f ca="1">IFERROR(IF(0=LEN(ReferenceData!$AO$179),"",ReferenceData!$AO$179),"")</f>
        <v/>
      </c>
      <c r="AP179" t="str">
        <f ca="1">IFERROR(IF(0=LEN(ReferenceData!$AP$179),"",ReferenceData!$AP$179),"")</f>
        <v/>
      </c>
      <c r="AQ179" t="str">
        <f ca="1">IFERROR(IF(0=LEN(ReferenceData!$AQ$179),"",ReferenceData!$AQ$179),"")</f>
        <v/>
      </c>
      <c r="AR179" t="str">
        <f ca="1">IFERROR(IF(0=LEN(ReferenceData!$AR$179),"",ReferenceData!$AR$179),"")</f>
        <v/>
      </c>
      <c r="AS179" t="str">
        <f ca="1">IFERROR(IF(0=LEN(ReferenceData!$AS$179),"",ReferenceData!$AS$179),"")</f>
        <v/>
      </c>
      <c r="AT179" t="str">
        <f ca="1">IFERROR(IF(0=LEN(ReferenceData!$AT$179),"",ReferenceData!$AT$179),"")</f>
        <v/>
      </c>
      <c r="AU179" t="str">
        <f ca="1">IFERROR(IF(0=LEN(ReferenceData!$AU$179),"",ReferenceData!$AU$179),"")</f>
        <v/>
      </c>
      <c r="AV179" t="str">
        <f ca="1">IFERROR(IF(0=LEN(ReferenceData!$AV$179),"",ReferenceData!$AV$179),"")</f>
        <v/>
      </c>
      <c r="AW179" t="str">
        <f ca="1">IFERROR(IF(0=LEN(ReferenceData!$AW$179),"",ReferenceData!$AW$179),"")</f>
        <v/>
      </c>
      <c r="AX179" t="str">
        <f ca="1">IFERROR(IF(0=LEN(ReferenceData!$AX$179),"",ReferenceData!$AX$179),"")</f>
        <v/>
      </c>
      <c r="AY179" t="str">
        <f ca="1">IFERROR(IF(0=LEN(ReferenceData!$AY$179),"",ReferenceData!$AY$179),"")</f>
        <v/>
      </c>
      <c r="AZ179" t="str">
        <f ca="1">IFERROR(IF(0=LEN(ReferenceData!$AZ$179),"",ReferenceData!$AZ$179),"")</f>
        <v/>
      </c>
      <c r="BA179" t="str">
        <f ca="1">IFERROR(IF(0=LEN(ReferenceData!$BA$179),"",ReferenceData!$BA$179),"")</f>
        <v/>
      </c>
      <c r="BB179" t="str">
        <f ca="1">IFERROR(IF(0=LEN(ReferenceData!$BB$179),"",ReferenceData!$BB$179),"")</f>
        <v/>
      </c>
      <c r="BC179" t="str">
        <f ca="1">IFERROR(IF(0=LEN(ReferenceData!$BC$179),"",ReferenceData!$BC$179),"")</f>
        <v/>
      </c>
      <c r="BD179" t="str">
        <f ca="1">IFERROR(IF(0=LEN(ReferenceData!$BD$179),"",ReferenceData!$BD$179),"")</f>
        <v/>
      </c>
      <c r="BE179" t="str">
        <f ca="1">IFERROR(IF(0=LEN(ReferenceData!$BE$179),"",ReferenceData!$BE$179),"")</f>
        <v/>
      </c>
      <c r="BF179" t="str">
        <f ca="1">IFERROR(IF(0=LEN(ReferenceData!$BF$179),"",ReferenceData!$BF$179),"")</f>
        <v/>
      </c>
      <c r="BG179" t="str">
        <f ca="1">IFERROR(IF(0=LEN(ReferenceData!$BG$179),"",ReferenceData!$BG$179),"")</f>
        <v/>
      </c>
      <c r="BH179" t="str">
        <f ca="1">IFERROR(IF(0=LEN(ReferenceData!$BH$179),"",ReferenceData!$BH$179),"")</f>
        <v/>
      </c>
      <c r="BI179" t="str">
        <f ca="1">IFERROR(IF(0=LEN(ReferenceData!$BI$179),"",ReferenceData!$BI$179),"")</f>
        <v/>
      </c>
      <c r="BJ179" t="str">
        <f ca="1">IFERROR(IF(0=LEN(ReferenceData!$BJ$179),"",ReferenceData!$BJ$179),"")</f>
        <v/>
      </c>
      <c r="BK179" t="str">
        <f ca="1">IFERROR(IF(0=LEN(ReferenceData!$BK$179),"",ReferenceData!$BK$179),"")</f>
        <v/>
      </c>
      <c r="BL179" t="str">
        <f ca="1">IFERROR(IF(0=LEN(ReferenceData!$BL$179),"",ReferenceData!$BL$179),"")</f>
        <v/>
      </c>
      <c r="BM179" t="str">
        <f ca="1">IFERROR(IF(0=LEN(ReferenceData!$BM$179),"",ReferenceData!$BM$179),"")</f>
        <v/>
      </c>
    </row>
    <row r="180" spans="1:65" x14ac:dyDescent="0.25">
      <c r="A180" t="str">
        <f>IFERROR(IF(0=LEN(ReferenceData!$A$180),"",ReferenceData!$A$180),"")</f>
        <v xml:space="preserve">    Ford Motor Co</v>
      </c>
      <c r="B180" t="str">
        <f>IFERROR(IF(0=LEN(ReferenceData!$B$180),"",ReferenceData!$B$180),"")</f>
        <v>F US Equity</v>
      </c>
      <c r="C180" t="str">
        <f>IFERROR(IF(0=LEN(ReferenceData!$C$180),"",ReferenceData!$C$180),"")</f>
        <v>RR800</v>
      </c>
      <c r="D180" t="str">
        <f>IFERROR(IF(0=LEN(ReferenceData!$D$180),"",ReferenceData!$D$180),"")</f>
        <v>TRAIL_12M_NET_SALES</v>
      </c>
      <c r="E180" t="str">
        <f>IFERROR(IF(0=LEN(ReferenceData!$E$180),"",ReferenceData!$E$180),"")</f>
        <v>Dynamic</v>
      </c>
      <c r="F180" t="str">
        <f ca="1">IFERROR(IF(0=LEN(ReferenceData!$F$180),"",ReferenceData!$F$180),"")</f>
        <v/>
      </c>
      <c r="G180">
        <f ca="1">IFERROR(IF(0=LEN(ReferenceData!$G$180),"",ReferenceData!$G$180),"")</f>
        <v>160338</v>
      </c>
      <c r="H180">
        <f ca="1">IFERROR(IF(0=LEN(ReferenceData!$H$180),"",ReferenceData!$H$180),"")</f>
        <v>159871</v>
      </c>
      <c r="I180">
        <f ca="1">IFERROR(IF(0=LEN(ReferenceData!$I$180),"",ReferenceData!$I$180),"")</f>
        <v>158656</v>
      </c>
      <c r="J180">
        <f ca="1">IFERROR(IF(0=LEN(ReferenceData!$J$180),"",ReferenceData!$J$180),"")</f>
        <v>159589</v>
      </c>
      <c r="K180">
        <f ca="1">IFERROR(IF(0=LEN(ReferenceData!$K$180),"",ReferenceData!$K$180),"")</f>
        <v>156776</v>
      </c>
      <c r="L180">
        <f ca="1">IFERROR(IF(0=LEN(ReferenceData!$L$180),"",ReferenceData!$L$180),"")</f>
        <v>154104</v>
      </c>
      <c r="M180">
        <f ca="1">IFERROR(IF(0=LEN(ReferenceData!$M$180),"",ReferenceData!$M$180),"")</f>
        <v>153596</v>
      </c>
      <c r="N180">
        <f ca="1">IFERROR(IF(0=LEN(ReferenceData!$N$180),"",ReferenceData!$N$180),"")</f>
        <v>153228</v>
      </c>
      <c r="O180">
        <f ca="1">IFERROR(IF(0=LEN(ReferenceData!$O$180),"",ReferenceData!$O$180),"")</f>
        <v>151800</v>
      </c>
      <c r="P180">
        <f ca="1">IFERROR(IF(0=LEN(ReferenceData!$P$180),"",ReferenceData!$P$180),"")</f>
        <v>153397</v>
      </c>
      <c r="Q180">
        <f ca="1">IFERROR(IF(0=LEN(ReferenceData!$Q$180),"",ReferenceData!$Q$180),"")</f>
        <v>155598</v>
      </c>
      <c r="R180">
        <f ca="1">IFERROR(IF(0=LEN(ReferenceData!$R$180),"",ReferenceData!$R$180),"")</f>
        <v>153376</v>
      </c>
      <c r="S180">
        <f ca="1">IFERROR(IF(0=LEN(ReferenceData!$S$180),"",ReferenceData!$S$180),"")</f>
        <v>149558</v>
      </c>
      <c r="T180">
        <f ca="1">IFERROR(IF(0=LEN(ReferenceData!$T$180),"",ReferenceData!$T$180),"")</f>
        <v>145177</v>
      </c>
      <c r="U180">
        <f ca="1">IFERROR(IF(0=LEN(ReferenceData!$U$180),"",ReferenceData!$U$180),"")</f>
        <v>141953</v>
      </c>
      <c r="V180">
        <f ca="1">IFERROR(IF(0=LEN(ReferenceData!$V$180),"",ReferenceData!$V$180),"")</f>
        <v>142101</v>
      </c>
      <c r="W180">
        <f ca="1">IFERROR(IF(0=LEN(ReferenceData!$W$180),"",ReferenceData!$W$180),"")</f>
        <v>144077</v>
      </c>
      <c r="X180">
        <f ca="1">IFERROR(IF(0=LEN(ReferenceData!$X$180),"",ReferenceData!$X$180),"")</f>
        <v>145777</v>
      </c>
      <c r="Y180">
        <f ca="1">IFERROR(IF(0=LEN(ReferenceData!$Y$180),"",ReferenceData!$Y$180),"")</f>
        <v>146632</v>
      </c>
      <c r="Z180">
        <f ca="1">IFERROR(IF(0=LEN(ReferenceData!$Z$180),"",ReferenceData!$Z$180),"")</f>
        <v>147144</v>
      </c>
      <c r="AA180">
        <f ca="1">IFERROR(IF(0=LEN(ReferenceData!$AA$180),"",ReferenceData!$AA$180),"")</f>
        <v>146917</v>
      </c>
      <c r="AB180">
        <f ca="1">IFERROR(IF(0=LEN(ReferenceData!$AB$180),"",ReferenceData!$AB$180),"")</f>
        <v>145078</v>
      </c>
      <c r="AC180">
        <f ca="1">IFERROR(IF(0=LEN(ReferenceData!$AC$180),"",ReferenceData!$AC$180),"")</f>
        <v>141475</v>
      </c>
      <c r="AD180">
        <f ca="1">IFERROR(IF(0=LEN(ReferenceData!$AD$180),"",ReferenceData!$AD$180),"")</f>
        <v>136763</v>
      </c>
      <c r="AE180">
        <f ca="1">IFERROR(IF(0=LEN(ReferenceData!$AE$180),"",ReferenceData!$AE$180),"")</f>
        <v>133559</v>
      </c>
      <c r="AF180">
        <f ca="1">IFERROR(IF(0=LEN(ReferenceData!$AF$180),"",ReferenceData!$AF$180),"")</f>
        <v>132404</v>
      </c>
      <c r="AG180">
        <f ca="1">IFERROR(IF(0=LEN(ReferenceData!$AG$180),"",ReferenceData!$AG$180),"")</f>
        <v>133279</v>
      </c>
      <c r="AH180">
        <f ca="1">IFERROR(IF(0=LEN(ReferenceData!$AH$180),"",ReferenceData!$AH$180),"")</f>
        <v>135595</v>
      </c>
      <c r="AI180">
        <f ca="1">IFERROR(IF(0=LEN(ReferenceData!$AI$180),"",ReferenceData!$AI$180),"")</f>
        <v>136264</v>
      </c>
      <c r="AJ180">
        <f ca="1">IFERROR(IF(0=LEN(ReferenceData!$AJ$180),"",ReferenceData!$AJ$180),"")</f>
        <v>134116</v>
      </c>
      <c r="AK180">
        <f ca="1">IFERROR(IF(0=LEN(ReferenceData!$AK$180),"",ReferenceData!$AK$180),"")</f>
        <v>130962</v>
      </c>
      <c r="AL180">
        <f ca="1">IFERROR(IF(0=LEN(ReferenceData!$AL$180),"",ReferenceData!$AL$180),"")</f>
        <v>130502</v>
      </c>
      <c r="AM180">
        <f ca="1">IFERROR(IF(0=LEN(ReferenceData!$AM$180),"",ReferenceData!$AM$180),"")</f>
        <v>128954</v>
      </c>
      <c r="AN180">
        <f ca="1">IFERROR(IF(0=LEN(ReferenceData!$AN$180),"",ReferenceData!$AN$180),"")</f>
        <v>129950</v>
      </c>
      <c r="AO180">
        <f ca="1">IFERROR(IF(0=LEN(ReferenceData!$AO$180),"",ReferenceData!$AO$180),"")</f>
        <v>130329</v>
      </c>
      <c r="AP180">
        <f ca="1">IFERROR(IF(0=LEN(ReferenceData!$AP$180),"",ReferenceData!$AP$180),"")</f>
        <v>122072</v>
      </c>
      <c r="AQ180">
        <f ca="1">IFERROR(IF(0=LEN(ReferenceData!$AQ$180),"",ReferenceData!$AQ$180),"")</f>
        <v>114896</v>
      </c>
      <c r="AR180">
        <f ca="1">IFERROR(IF(0=LEN(ReferenceData!$AR$180),"",ReferenceData!$AR$180),"")</f>
        <v>110446</v>
      </c>
      <c r="AS180">
        <f ca="1">IFERROR(IF(0=LEN(ReferenceData!$AS$180),"",ReferenceData!$AS$180),"")</f>
        <v>111920</v>
      </c>
      <c r="AT180">
        <f ca="1">IFERROR(IF(0=LEN(ReferenceData!$AT$180),"",ReferenceData!$AT$180),"")</f>
        <v>126212</v>
      </c>
      <c r="AU180">
        <f ca="1">IFERROR(IF(0=LEN(ReferenceData!$AU$180),"",ReferenceData!$AU$180),"")</f>
        <v>145114</v>
      </c>
      <c r="AV180">
        <f ca="1">IFERROR(IF(0=LEN(ReferenceData!$AV$180),"",ReferenceData!$AV$180),"")</f>
        <v>160256</v>
      </c>
      <c r="AW180">
        <f ca="1">IFERROR(IF(0=LEN(ReferenceData!$AW$180),"",ReferenceData!$AW$180),"")</f>
        <v>169588</v>
      </c>
      <c r="AX180">
        <f ca="1">IFERROR(IF(0=LEN(ReferenceData!$AX$180),"",ReferenceData!$AX$180),"")</f>
        <v>172728</v>
      </c>
      <c r="AY180">
        <f ca="1">IFERROR(IF(0=LEN(ReferenceData!$AY$180),"",ReferenceData!$AY$180),"")</f>
        <v>172441</v>
      </c>
      <c r="AZ180">
        <f ca="1">IFERROR(IF(0=LEN(ReferenceData!$AZ$180),"",ReferenceData!$AZ$180),"")</f>
        <v>168600</v>
      </c>
      <c r="BA180">
        <f ca="1">IFERROR(IF(0=LEN(ReferenceData!$BA$180),"",ReferenceData!$BA$180),"")</f>
        <v>164617</v>
      </c>
      <c r="BB180">
        <f ca="1">IFERROR(IF(0=LEN(ReferenceData!$BB$180),"",ReferenceData!$BB$180),"")</f>
        <v>162253</v>
      </c>
      <c r="BC180">
        <f ca="1">IFERROR(IF(0=LEN(ReferenceData!$BC$180),"",ReferenceData!$BC$180),"")</f>
        <v>160049</v>
      </c>
      <c r="BD180">
        <f ca="1">IFERROR(IF(0=LEN(ReferenceData!$BD$180),"",ReferenceData!$BD$180),"")</f>
        <v>166323</v>
      </c>
      <c r="BE180">
        <f ca="1">IFERROR(IF(0=LEN(ReferenceData!$BE$180),"",ReferenceData!$BE$180),"")</f>
        <v>169738</v>
      </c>
      <c r="BF180">
        <f ca="1">IFERROR(IF(0=LEN(ReferenceData!$BF$180),"",ReferenceData!$BF$180),"")</f>
        <v>172408</v>
      </c>
      <c r="BG180">
        <f ca="1">IFERROR(IF(0=LEN(ReferenceData!$BG$180),"",ReferenceData!$BG$180),"")</f>
        <v>176502</v>
      </c>
      <c r="BH180">
        <f ca="1">IFERROR(IF(0=LEN(ReferenceData!$BH$180),"",ReferenceData!$BH$180),"")</f>
        <v>174883</v>
      </c>
      <c r="BI180">
        <f ca="1">IFERROR(IF(0=LEN(ReferenceData!$BI$180),"",ReferenceData!$BI$180),"")</f>
        <v>173494</v>
      </c>
      <c r="BJ180">
        <f ca="1">IFERROR(IF(0=LEN(ReferenceData!$BJ$180),"",ReferenceData!$BJ$180),"")</f>
        <v>171748</v>
      </c>
      <c r="BK180">
        <f ca="1">IFERROR(IF(0=LEN(ReferenceData!$BK$180),"",ReferenceData!$BK$180),"")</f>
        <v>171576</v>
      </c>
      <c r="BL180">
        <f ca="1">IFERROR(IF(0=LEN(ReferenceData!$BL$180),"",ReferenceData!$BL$180),"")</f>
        <v>172845</v>
      </c>
      <c r="BM180">
        <f ca="1">IFERROR(IF(0=LEN(ReferenceData!$BM$180),"",ReferenceData!$BM$180),"")</f>
        <v>170466</v>
      </c>
    </row>
    <row r="181" spans="1:65" x14ac:dyDescent="0.25">
      <c r="A181" t="str">
        <f>IFERROR(IF(0=LEN(ReferenceData!$A$181),"",ReferenceData!$A$181),"")</f>
        <v xml:space="preserve">    Ford Otomotiv Sanayi AS</v>
      </c>
      <c r="B181" t="str">
        <f>IFERROR(IF(0=LEN(ReferenceData!$B$181),"",ReferenceData!$B$181),"")</f>
        <v>FROTOTRY EO Equity</v>
      </c>
      <c r="C181" t="str">
        <f>IFERROR(IF(0=LEN(ReferenceData!$C$181),"",ReferenceData!$C$181),"")</f>
        <v>RR800</v>
      </c>
      <c r="D181" t="str">
        <f>IFERROR(IF(0=LEN(ReferenceData!$D$181),"",ReferenceData!$D$181),"")</f>
        <v>TRAIL_12M_NET_SALES</v>
      </c>
      <c r="E181" t="str">
        <f>IFERROR(IF(0=LEN(ReferenceData!$E$181),"",ReferenceData!$E$181),"")</f>
        <v>Dynamic</v>
      </c>
      <c r="F181" t="str">
        <f ca="1">IFERROR(IF(0=LEN(ReferenceData!$F$181),"",ReferenceData!$F$181),"")</f>
        <v/>
      </c>
      <c r="G181">
        <f ca="1">IFERROR(IF(0=LEN(ReferenceData!$G$181),"",ReferenceData!$G$181),"")</f>
        <v>7099.6174629999996</v>
      </c>
      <c r="H181">
        <f ca="1">IFERROR(IF(0=LEN(ReferenceData!$H$181),"",ReferenceData!$H$181),"")</f>
        <v>7347.4165759999996</v>
      </c>
      <c r="I181">
        <f ca="1">IFERROR(IF(0=LEN(ReferenceData!$I$181),"",ReferenceData!$I$181),"")</f>
        <v>7577.7066480000003</v>
      </c>
      <c r="J181">
        <f ca="1">IFERROR(IF(0=LEN(ReferenceData!$J$181),"",ReferenceData!$J$181),"")</f>
        <v>7416.4422409999997</v>
      </c>
      <c r="K181">
        <f ca="1">IFERROR(IF(0=LEN(ReferenceData!$K$181),"",ReferenceData!$K$181),"")</f>
        <v>6957.4098709999998</v>
      </c>
      <c r="L181">
        <f ca="1">IFERROR(IF(0=LEN(ReferenceData!$L$181),"",ReferenceData!$L$181),"")</f>
        <v>6492.3147280000003</v>
      </c>
      <c r="M181">
        <f ca="1">IFERROR(IF(0=LEN(ReferenceData!$M$181),"",ReferenceData!$M$181),"")</f>
        <v>6304.3936519999997</v>
      </c>
      <c r="N181">
        <f ca="1">IFERROR(IF(0=LEN(ReferenceData!$N$181),"",ReferenceData!$N$181),"")</f>
        <v>6133.624178</v>
      </c>
      <c r="O181">
        <f ca="1">IFERROR(IF(0=LEN(ReferenceData!$O$181),"",ReferenceData!$O$181),"")</f>
        <v>6068.1945910000004</v>
      </c>
      <c r="P181">
        <f ca="1">IFERROR(IF(0=LEN(ReferenceData!$P$181),"",ReferenceData!$P$181),"")</f>
        <v>6030.8969509999997</v>
      </c>
      <c r="Q181">
        <f ca="1">IFERROR(IF(0=LEN(ReferenceData!$Q$181),"",ReferenceData!$Q$181),"")</f>
        <v>6218.4177159999999</v>
      </c>
      <c r="R181">
        <f ca="1">IFERROR(IF(0=LEN(ReferenceData!$R$181),"",ReferenceData!$R$181),"")</f>
        <v>6122.3637580000004</v>
      </c>
      <c r="S181">
        <f ca="1">IFERROR(IF(0=LEN(ReferenceData!$S$181),"",ReferenceData!$S$181),"")</f>
        <v>6177.046171</v>
      </c>
      <c r="T181">
        <f ca="1">IFERROR(IF(0=LEN(ReferenceData!$T$181),"",ReferenceData!$T$181),"")</f>
        <v>6123.2762769999999</v>
      </c>
      <c r="U181">
        <f ca="1">IFERROR(IF(0=LEN(ReferenceData!$U$181),"",ReferenceData!$U$181),"")</f>
        <v>6006.3019510000004</v>
      </c>
      <c r="V181">
        <f ca="1">IFERROR(IF(0=LEN(ReferenceData!$V$181),"",ReferenceData!$V$181),"")</f>
        <v>6000.7576909999998</v>
      </c>
      <c r="W181">
        <f ca="1">IFERROR(IF(0=LEN(ReferenceData!$W$181),"",ReferenceData!$W$181),"")</f>
        <v>5456.3002530000003</v>
      </c>
      <c r="X181">
        <f ca="1">IFERROR(IF(0=LEN(ReferenceData!$X$181),"",ReferenceData!$X$181),"")</f>
        <v>5380.2321730000003</v>
      </c>
      <c r="Y181">
        <f ca="1">IFERROR(IF(0=LEN(ReferenceData!$Y$181),"",ReferenceData!$Y$181),"")</f>
        <v>5370.0881300000001</v>
      </c>
      <c r="Z181">
        <f ca="1">IFERROR(IF(0=LEN(ReferenceData!$Z$181),"",ReferenceData!$Z$181),"")</f>
        <v>5437.1181329999999</v>
      </c>
      <c r="AA181">
        <f ca="1">IFERROR(IF(0=LEN(ReferenceData!$AA$181),"",ReferenceData!$AA$181),"")</f>
        <v>6001.9947759999995</v>
      </c>
      <c r="AB181">
        <f ca="1">IFERROR(IF(0=LEN(ReferenceData!$AB$181),"",ReferenceData!$AB$181),"")</f>
        <v>5908.8249949999999</v>
      </c>
      <c r="AC181">
        <f ca="1">IFERROR(IF(0=LEN(ReferenceData!$AC$181),"",ReferenceData!$AC$181),"")</f>
        <v>5698.2443640000001</v>
      </c>
      <c r="AD181">
        <f ca="1">IFERROR(IF(0=LEN(ReferenceData!$AD$181),"",ReferenceData!$AD$181),"")</f>
        <v>5524.7612429999999</v>
      </c>
      <c r="AE181">
        <f ca="1">IFERROR(IF(0=LEN(ReferenceData!$AE$181),"",ReferenceData!$AE$181),"")</f>
        <v>5426.8123509999996</v>
      </c>
      <c r="AF181">
        <f ca="1">IFERROR(IF(0=LEN(ReferenceData!$AF$181),"",ReferenceData!$AF$181),"")</f>
        <v>5533.0615820000003</v>
      </c>
      <c r="AG181">
        <f ca="1">IFERROR(IF(0=LEN(ReferenceData!$AG$181),"",ReferenceData!$AG$181),"")</f>
        <v>5809.1279839999997</v>
      </c>
      <c r="AH181">
        <f ca="1">IFERROR(IF(0=LEN(ReferenceData!$AH$181),"",ReferenceData!$AH$181),"")</f>
        <v>6149.7749309999999</v>
      </c>
      <c r="AI181">
        <f ca="1">IFERROR(IF(0=LEN(ReferenceData!$AI$181),"",ReferenceData!$AI$181),"")</f>
        <v>6245.3138600000002</v>
      </c>
      <c r="AJ181">
        <f ca="1">IFERROR(IF(0=LEN(ReferenceData!$AJ$181),"",ReferenceData!$AJ$181),"")</f>
        <v>6334.1106289999998</v>
      </c>
      <c r="AK181">
        <f ca="1">IFERROR(IF(0=LEN(ReferenceData!$AK$181),"",ReferenceData!$AK$181),"")</f>
        <v>6126.4153159999996</v>
      </c>
      <c r="AL181">
        <f ca="1">IFERROR(IF(0=LEN(ReferenceData!$AL$181),"",ReferenceData!$AL$181),"")</f>
        <v>5573.7811650000003</v>
      </c>
      <c r="AM181">
        <f ca="1">IFERROR(IF(0=LEN(ReferenceData!$AM$181),"",ReferenceData!$AM$181),"")</f>
        <v>5078.9243230000002</v>
      </c>
      <c r="AN181">
        <f ca="1">IFERROR(IF(0=LEN(ReferenceData!$AN$181),"",ReferenceData!$AN$181),"")</f>
        <v>4490.6308920000001</v>
      </c>
      <c r="AO181">
        <f ca="1">IFERROR(IF(0=LEN(ReferenceData!$AO$181),"",ReferenceData!$AO$181),"")</f>
        <v>4373.1618639999997</v>
      </c>
      <c r="AP181">
        <f ca="1">IFERROR(IF(0=LEN(ReferenceData!$AP$181),"",ReferenceData!$AP$181),"")</f>
        <v>4042.7371870000002</v>
      </c>
      <c r="AQ181">
        <f ca="1">IFERROR(IF(0=LEN(ReferenceData!$AQ$181),"",ReferenceData!$AQ$181),"")</f>
        <v>3594.8403750000002</v>
      </c>
      <c r="AR181">
        <f ca="1">IFERROR(IF(0=LEN(ReferenceData!$AR$181),"",ReferenceData!$AR$181),"")</f>
        <v>3150.4314129999998</v>
      </c>
      <c r="AS181">
        <f ca="1">IFERROR(IF(0=LEN(ReferenceData!$AS$181),"",ReferenceData!$AS$181),"")</f>
        <v>3462.4941239999998</v>
      </c>
      <c r="AT181">
        <f ca="1">IFERROR(IF(0=LEN(ReferenceData!$AT$181),"",ReferenceData!$AT$181),"")</f>
        <v>4185.4725129999997</v>
      </c>
      <c r="AU181">
        <f ca="1">IFERROR(IF(0=LEN(ReferenceData!$AU$181),"",ReferenceData!$AU$181),"")</f>
        <v>5429.6785849999997</v>
      </c>
      <c r="AV181">
        <f ca="1">IFERROR(IF(0=LEN(ReferenceData!$AV$181),"",ReferenceData!$AV$181),"")</f>
        <v>6605.2748469999997</v>
      </c>
      <c r="AW181">
        <f ca="1">IFERROR(IF(0=LEN(ReferenceData!$AW$181),"",ReferenceData!$AW$181),"")</f>
        <v>6535.5213510000003</v>
      </c>
      <c r="AX181">
        <f ca="1">IFERROR(IF(0=LEN(ReferenceData!$AX$181),"",ReferenceData!$AX$181),"")</f>
        <v>6130.391474</v>
      </c>
      <c r="AY181">
        <f ca="1">IFERROR(IF(0=LEN(ReferenceData!$AY$181),"",ReferenceData!$AY$181),"")</f>
        <v>5560.8754360000003</v>
      </c>
      <c r="AZ181">
        <f ca="1">IFERROR(IF(0=LEN(ReferenceData!$AZ$181),"",ReferenceData!$AZ$181),"")</f>
        <v>5073.7540090000002</v>
      </c>
      <c r="BA181">
        <f ca="1">IFERROR(IF(0=LEN(ReferenceData!$BA$181),"",ReferenceData!$BA$181),"")</f>
        <v>4734.310367</v>
      </c>
      <c r="BB181">
        <f ca="1">IFERROR(IF(0=LEN(ReferenceData!$BB$181),"",ReferenceData!$BB$181),"")</f>
        <v>4611.8883539999997</v>
      </c>
      <c r="BC181">
        <f ca="1">IFERROR(IF(0=LEN(ReferenceData!$BC$181),"",ReferenceData!$BC$181),"")</f>
        <v>4554.8282660000004</v>
      </c>
      <c r="BD181">
        <f ca="1">IFERROR(IF(0=LEN(ReferenceData!$BD$181),"",ReferenceData!$BD$181),"")</f>
        <v>4494.1168610000004</v>
      </c>
      <c r="BE181">
        <f ca="1">IFERROR(IF(0=LEN(ReferenceData!$BE$181),"",ReferenceData!$BE$181),"")</f>
        <v>4562.2296059999999</v>
      </c>
      <c r="BF181">
        <f ca="1">IFERROR(IF(0=LEN(ReferenceData!$BF$181),"",ReferenceData!$BF$181),"")</f>
        <v>4544.2730890000003</v>
      </c>
      <c r="BG181">
        <f ca="1">IFERROR(IF(0=LEN(ReferenceData!$BG$181),"",ReferenceData!$BG$181),"")</f>
        <v>4498.5998630000004</v>
      </c>
      <c r="BH181">
        <f ca="1">IFERROR(IF(0=LEN(ReferenceData!$BH$181),"",ReferenceData!$BH$181),"")</f>
        <v>4336.0859250000003</v>
      </c>
      <c r="BI181">
        <f ca="1">IFERROR(IF(0=LEN(ReferenceData!$BI$181),"",ReferenceData!$BI$181),"")</f>
        <v>4158.6521940000002</v>
      </c>
      <c r="BJ181">
        <f ca="1">IFERROR(IF(0=LEN(ReferenceData!$BJ$181),"",ReferenceData!$BJ$181),"")</f>
        <v>4037.7597719999999</v>
      </c>
      <c r="BK181">
        <f ca="1">IFERROR(IF(0=LEN(ReferenceData!$BK$181),"",ReferenceData!$BK$181),"")</f>
        <v>3901.0273360000001</v>
      </c>
      <c r="BL181">
        <f ca="1">IFERROR(IF(0=LEN(ReferenceData!$BL$181),"",ReferenceData!$BL$181),"")</f>
        <v>3713.5085720000002</v>
      </c>
      <c r="BM181">
        <f ca="1">IFERROR(IF(0=LEN(ReferenceData!$BM$181),"",ReferenceData!$BM$181),"")</f>
        <v>3331.526879</v>
      </c>
    </row>
    <row r="182" spans="1:65" x14ac:dyDescent="0.25">
      <c r="A182" t="str">
        <f>IFERROR(IF(0=LEN(ReferenceData!$A$182),"",ReferenceData!$A$182),"")</f>
        <v xml:space="preserve">    GAZ PJSC</v>
      </c>
      <c r="B182" t="str">
        <f>IFERROR(IF(0=LEN(ReferenceData!$B$182),"",ReferenceData!$B$182),"")</f>
        <v>GAZA RM Equity</v>
      </c>
      <c r="C182" t="str">
        <f>IFERROR(IF(0=LEN(ReferenceData!$C$182),"",ReferenceData!$C$182),"")</f>
        <v>RR800</v>
      </c>
      <c r="D182" t="str">
        <f>IFERROR(IF(0=LEN(ReferenceData!$D$182),"",ReferenceData!$D$182),"")</f>
        <v>TRAIL_12M_NET_SALES</v>
      </c>
      <c r="E182" t="str">
        <f>IFERROR(IF(0=LEN(ReferenceData!$E$182),"",ReferenceData!$E$182),"")</f>
        <v>Dynamic</v>
      </c>
      <c r="F182" t="str">
        <f ca="1">IFERROR(IF(0=LEN(ReferenceData!$F$182),"",ReferenceData!$F$182),"")</f>
        <v/>
      </c>
      <c r="G182" t="str">
        <f ca="1">IFERROR(IF(0=LEN(ReferenceData!$G$182),"",ReferenceData!$G$182),"")</f>
        <v/>
      </c>
      <c r="H182" t="str">
        <f ca="1">IFERROR(IF(0=LEN(ReferenceData!$H$182),"",ReferenceData!$H$182),"")</f>
        <v/>
      </c>
      <c r="I182" t="str">
        <f ca="1">IFERROR(IF(0=LEN(ReferenceData!$I$182),"",ReferenceData!$I$182),"")</f>
        <v/>
      </c>
      <c r="J182" t="str">
        <f ca="1">IFERROR(IF(0=LEN(ReferenceData!$J$182),"",ReferenceData!$J$182),"")</f>
        <v/>
      </c>
      <c r="K182" t="str">
        <f ca="1">IFERROR(IF(0=LEN(ReferenceData!$K$182),"",ReferenceData!$K$182),"")</f>
        <v/>
      </c>
      <c r="L182" t="str">
        <f ca="1">IFERROR(IF(0=LEN(ReferenceData!$L$182),"",ReferenceData!$L$182),"")</f>
        <v/>
      </c>
      <c r="M182" t="str">
        <f ca="1">IFERROR(IF(0=LEN(ReferenceData!$M$182),"",ReferenceData!$M$182),"")</f>
        <v/>
      </c>
      <c r="N182" t="str">
        <f ca="1">IFERROR(IF(0=LEN(ReferenceData!$N$182),"",ReferenceData!$N$182),"")</f>
        <v/>
      </c>
      <c r="O182" t="str">
        <f ca="1">IFERROR(IF(0=LEN(ReferenceData!$O$182),"",ReferenceData!$O$182),"")</f>
        <v/>
      </c>
      <c r="P182" t="str">
        <f ca="1">IFERROR(IF(0=LEN(ReferenceData!$P$182),"",ReferenceData!$P$182),"")</f>
        <v/>
      </c>
      <c r="Q182" t="str">
        <f ca="1">IFERROR(IF(0=LEN(ReferenceData!$Q$182),"",ReferenceData!$Q$182),"")</f>
        <v/>
      </c>
      <c r="R182" t="str">
        <f ca="1">IFERROR(IF(0=LEN(ReferenceData!$R$182),"",ReferenceData!$R$182),"")</f>
        <v/>
      </c>
      <c r="S182" t="str">
        <f ca="1">IFERROR(IF(0=LEN(ReferenceData!$S$182),"",ReferenceData!$S$182),"")</f>
        <v/>
      </c>
      <c r="T182" t="str">
        <f ca="1">IFERROR(IF(0=LEN(ReferenceData!$T$182),"",ReferenceData!$T$182),"")</f>
        <v/>
      </c>
      <c r="U182" t="str">
        <f ca="1">IFERROR(IF(0=LEN(ReferenceData!$U$182),"",ReferenceData!$U$182),"")</f>
        <v/>
      </c>
      <c r="V182" t="str">
        <f ca="1">IFERROR(IF(0=LEN(ReferenceData!$V$182),"",ReferenceData!$V$182),"")</f>
        <v/>
      </c>
      <c r="W182" t="str">
        <f ca="1">IFERROR(IF(0=LEN(ReferenceData!$W$182),"",ReferenceData!$W$182),"")</f>
        <v/>
      </c>
      <c r="X182" t="str">
        <f ca="1">IFERROR(IF(0=LEN(ReferenceData!$X$182),"",ReferenceData!$X$182),"")</f>
        <v/>
      </c>
      <c r="Y182" t="str">
        <f ca="1">IFERROR(IF(0=LEN(ReferenceData!$Y$182),"",ReferenceData!$Y$182),"")</f>
        <v/>
      </c>
      <c r="Z182" t="str">
        <f ca="1">IFERROR(IF(0=LEN(ReferenceData!$Z$182),"",ReferenceData!$Z$182),"")</f>
        <v/>
      </c>
      <c r="AA182" t="str">
        <f ca="1">IFERROR(IF(0=LEN(ReferenceData!$AA$182),"",ReferenceData!$AA$182),"")</f>
        <v/>
      </c>
      <c r="AB182" t="str">
        <f ca="1">IFERROR(IF(0=LEN(ReferenceData!$AB$182),"",ReferenceData!$AB$182),"")</f>
        <v/>
      </c>
      <c r="AC182" t="str">
        <f ca="1">IFERROR(IF(0=LEN(ReferenceData!$AC$182),"",ReferenceData!$AC$182),"")</f>
        <v/>
      </c>
      <c r="AD182" t="str">
        <f ca="1">IFERROR(IF(0=LEN(ReferenceData!$AD$182),"",ReferenceData!$AD$182),"")</f>
        <v/>
      </c>
      <c r="AE182" t="str">
        <f ca="1">IFERROR(IF(0=LEN(ReferenceData!$AE$182),"",ReferenceData!$AE$182),"")</f>
        <v/>
      </c>
      <c r="AF182" t="str">
        <f ca="1">IFERROR(IF(0=LEN(ReferenceData!$AF$182),"",ReferenceData!$AF$182),"")</f>
        <v/>
      </c>
      <c r="AG182" t="str">
        <f ca="1">IFERROR(IF(0=LEN(ReferenceData!$AG$182),"",ReferenceData!$AG$182),"")</f>
        <v/>
      </c>
      <c r="AH182" t="str">
        <f ca="1">IFERROR(IF(0=LEN(ReferenceData!$AH$182),"",ReferenceData!$AH$182),"")</f>
        <v/>
      </c>
      <c r="AI182" t="str">
        <f ca="1">IFERROR(IF(0=LEN(ReferenceData!$AI$182),"",ReferenceData!$AI$182),"")</f>
        <v/>
      </c>
      <c r="AJ182" t="str">
        <f ca="1">IFERROR(IF(0=LEN(ReferenceData!$AJ$182),"",ReferenceData!$AJ$182),"")</f>
        <v/>
      </c>
      <c r="AK182" t="str">
        <f ca="1">IFERROR(IF(0=LEN(ReferenceData!$AK$182),"",ReferenceData!$AK$182),"")</f>
        <v/>
      </c>
      <c r="AL182" t="str">
        <f ca="1">IFERROR(IF(0=LEN(ReferenceData!$AL$182),"",ReferenceData!$AL$182),"")</f>
        <v/>
      </c>
      <c r="AM182" t="str">
        <f ca="1">IFERROR(IF(0=LEN(ReferenceData!$AM$182),"",ReferenceData!$AM$182),"")</f>
        <v/>
      </c>
      <c r="AN182" t="str">
        <f ca="1">IFERROR(IF(0=LEN(ReferenceData!$AN$182),"",ReferenceData!$AN$182),"")</f>
        <v/>
      </c>
      <c r="AO182" t="str">
        <f ca="1">IFERROR(IF(0=LEN(ReferenceData!$AO$182),"",ReferenceData!$AO$182),"")</f>
        <v/>
      </c>
      <c r="AP182" t="str">
        <f ca="1">IFERROR(IF(0=LEN(ReferenceData!$AP$182),"",ReferenceData!$AP$182),"")</f>
        <v/>
      </c>
      <c r="AQ182" t="str">
        <f ca="1">IFERROR(IF(0=LEN(ReferenceData!$AQ$182),"",ReferenceData!$AQ$182),"")</f>
        <v/>
      </c>
      <c r="AR182" t="str">
        <f ca="1">IFERROR(IF(0=LEN(ReferenceData!$AR$182),"",ReferenceData!$AR$182),"")</f>
        <v/>
      </c>
      <c r="AS182" t="str">
        <f ca="1">IFERROR(IF(0=LEN(ReferenceData!$AS$182),"",ReferenceData!$AS$182),"")</f>
        <v/>
      </c>
      <c r="AT182" t="str">
        <f ca="1">IFERROR(IF(0=LEN(ReferenceData!$AT$182),"",ReferenceData!$AT$182),"")</f>
        <v/>
      </c>
      <c r="AU182" t="str">
        <f ca="1">IFERROR(IF(0=LEN(ReferenceData!$AU$182),"",ReferenceData!$AU$182),"")</f>
        <v/>
      </c>
      <c r="AV182" t="str">
        <f ca="1">IFERROR(IF(0=LEN(ReferenceData!$AV$182),"",ReferenceData!$AV$182),"")</f>
        <v/>
      </c>
      <c r="AW182" t="str">
        <f ca="1">IFERROR(IF(0=LEN(ReferenceData!$AW$182),"",ReferenceData!$AW$182),"")</f>
        <v/>
      </c>
      <c r="AX182" t="str">
        <f ca="1">IFERROR(IF(0=LEN(ReferenceData!$AX$182),"",ReferenceData!$AX$182),"")</f>
        <v/>
      </c>
      <c r="AY182" t="str">
        <f ca="1">IFERROR(IF(0=LEN(ReferenceData!$AY$182),"",ReferenceData!$AY$182),"")</f>
        <v/>
      </c>
      <c r="AZ182" t="str">
        <f ca="1">IFERROR(IF(0=LEN(ReferenceData!$AZ$182),"",ReferenceData!$AZ$182),"")</f>
        <v/>
      </c>
      <c r="BA182" t="str">
        <f ca="1">IFERROR(IF(0=LEN(ReferenceData!$BA$182),"",ReferenceData!$BA$182),"")</f>
        <v/>
      </c>
      <c r="BB182" t="str">
        <f ca="1">IFERROR(IF(0=LEN(ReferenceData!$BB$182),"",ReferenceData!$BB$182),"")</f>
        <v/>
      </c>
      <c r="BC182" t="str">
        <f ca="1">IFERROR(IF(0=LEN(ReferenceData!$BC$182),"",ReferenceData!$BC$182),"")</f>
        <v/>
      </c>
      <c r="BD182" t="str">
        <f ca="1">IFERROR(IF(0=LEN(ReferenceData!$BD$182),"",ReferenceData!$BD$182),"")</f>
        <v/>
      </c>
      <c r="BE182" t="str">
        <f ca="1">IFERROR(IF(0=LEN(ReferenceData!$BE$182),"",ReferenceData!$BE$182),"")</f>
        <v/>
      </c>
      <c r="BF182" t="str">
        <f ca="1">IFERROR(IF(0=LEN(ReferenceData!$BF$182),"",ReferenceData!$BF$182),"")</f>
        <v/>
      </c>
      <c r="BG182" t="str">
        <f ca="1">IFERROR(IF(0=LEN(ReferenceData!$BG$182),"",ReferenceData!$BG$182),"")</f>
        <v/>
      </c>
      <c r="BH182" t="str">
        <f ca="1">IFERROR(IF(0=LEN(ReferenceData!$BH$182),"",ReferenceData!$BH$182),"")</f>
        <v/>
      </c>
      <c r="BI182" t="str">
        <f ca="1">IFERROR(IF(0=LEN(ReferenceData!$BI$182),"",ReferenceData!$BI$182),"")</f>
        <v/>
      </c>
      <c r="BJ182" t="str">
        <f ca="1">IFERROR(IF(0=LEN(ReferenceData!$BJ$182),"",ReferenceData!$BJ$182),"")</f>
        <v/>
      </c>
      <c r="BK182" t="str">
        <f ca="1">IFERROR(IF(0=LEN(ReferenceData!$BK$182),"",ReferenceData!$BK$182),"")</f>
        <v/>
      </c>
      <c r="BL182" t="str">
        <f ca="1">IFERROR(IF(0=LEN(ReferenceData!$BL$182),"",ReferenceData!$BL$182),"")</f>
        <v/>
      </c>
      <c r="BM182" t="str">
        <f ca="1">IFERROR(IF(0=LEN(ReferenceData!$BM$182),"",ReferenceData!$BM$182),"")</f>
        <v/>
      </c>
    </row>
    <row r="183" spans="1:65" x14ac:dyDescent="0.25">
      <c r="A183" t="str">
        <f>IFERROR(IF(0=LEN(ReferenceData!$A$183),"",ReferenceData!$A$183),"")</f>
        <v xml:space="preserve">    Geely Automobile Holdings Ltd</v>
      </c>
      <c r="B183" t="str">
        <f>IFERROR(IF(0=LEN(ReferenceData!$B$183),"",ReferenceData!$B$183),"")</f>
        <v>175 HK Equity</v>
      </c>
      <c r="C183" t="str">
        <f>IFERROR(IF(0=LEN(ReferenceData!$C$183),"",ReferenceData!$C$183),"")</f>
        <v>RR800</v>
      </c>
      <c r="D183" t="str">
        <f>IFERROR(IF(0=LEN(ReferenceData!$D$183),"",ReferenceData!$D$183),"")</f>
        <v>TRAIL_12M_NET_SALES</v>
      </c>
      <c r="E183" t="str">
        <f>IFERROR(IF(0=LEN(ReferenceData!$E$183),"",ReferenceData!$E$183),"")</f>
        <v>Dynamic</v>
      </c>
      <c r="F183" t="str">
        <f ca="1">IFERROR(IF(0=LEN(ReferenceData!$F$183),"",ReferenceData!$F$183),"")</f>
        <v/>
      </c>
      <c r="G183" t="str">
        <f ca="1">IFERROR(IF(0=LEN(ReferenceData!$G$183),"",ReferenceData!$G$183),"")</f>
        <v/>
      </c>
      <c r="H183" t="str">
        <f ca="1">IFERROR(IF(0=LEN(ReferenceData!$H$183),"",ReferenceData!$H$183),"")</f>
        <v/>
      </c>
      <c r="I183" t="str">
        <f ca="1">IFERROR(IF(0=LEN(ReferenceData!$I$183),"",ReferenceData!$I$183),"")</f>
        <v/>
      </c>
      <c r="J183" t="str">
        <f ca="1">IFERROR(IF(0=LEN(ReferenceData!$J$183),"",ReferenceData!$J$183),"")</f>
        <v/>
      </c>
      <c r="K183" t="str">
        <f ca="1">IFERROR(IF(0=LEN(ReferenceData!$K$183),"",ReferenceData!$K$183),"")</f>
        <v/>
      </c>
      <c r="L183" t="str">
        <f ca="1">IFERROR(IF(0=LEN(ReferenceData!$L$183),"",ReferenceData!$L$183),"")</f>
        <v/>
      </c>
      <c r="M183" t="str">
        <f ca="1">IFERROR(IF(0=LEN(ReferenceData!$M$183),"",ReferenceData!$M$183),"")</f>
        <v/>
      </c>
      <c r="N183" t="str">
        <f ca="1">IFERROR(IF(0=LEN(ReferenceData!$N$183),"",ReferenceData!$N$183),"")</f>
        <v/>
      </c>
      <c r="O183" t="str">
        <f ca="1">IFERROR(IF(0=LEN(ReferenceData!$O$183),"",ReferenceData!$O$183),"")</f>
        <v/>
      </c>
      <c r="P183" t="str">
        <f ca="1">IFERROR(IF(0=LEN(ReferenceData!$P$183),"",ReferenceData!$P$183),"")</f>
        <v/>
      </c>
      <c r="Q183" t="str">
        <f ca="1">IFERROR(IF(0=LEN(ReferenceData!$Q$183),"",ReferenceData!$Q$183),"")</f>
        <v/>
      </c>
      <c r="R183" t="str">
        <f ca="1">IFERROR(IF(0=LEN(ReferenceData!$R$183),"",ReferenceData!$R$183),"")</f>
        <v/>
      </c>
      <c r="S183" t="str">
        <f ca="1">IFERROR(IF(0=LEN(ReferenceData!$S$183),"",ReferenceData!$S$183),"")</f>
        <v/>
      </c>
      <c r="T183" t="str">
        <f ca="1">IFERROR(IF(0=LEN(ReferenceData!$T$183),"",ReferenceData!$T$183),"")</f>
        <v/>
      </c>
      <c r="U183" t="str">
        <f ca="1">IFERROR(IF(0=LEN(ReferenceData!$U$183),"",ReferenceData!$U$183),"")</f>
        <v/>
      </c>
      <c r="V183" t="str">
        <f ca="1">IFERROR(IF(0=LEN(ReferenceData!$V$183),"",ReferenceData!$V$183),"")</f>
        <v/>
      </c>
      <c r="W183" t="str">
        <f ca="1">IFERROR(IF(0=LEN(ReferenceData!$W$183),"",ReferenceData!$W$183),"")</f>
        <v/>
      </c>
      <c r="X183" t="str">
        <f ca="1">IFERROR(IF(0=LEN(ReferenceData!$X$183),"",ReferenceData!$X$183),"")</f>
        <v/>
      </c>
      <c r="Y183" t="str">
        <f ca="1">IFERROR(IF(0=LEN(ReferenceData!$Y$183),"",ReferenceData!$Y$183),"")</f>
        <v/>
      </c>
      <c r="Z183" t="str">
        <f ca="1">IFERROR(IF(0=LEN(ReferenceData!$Z$183),"",ReferenceData!$Z$183),"")</f>
        <v/>
      </c>
      <c r="AA183" t="str">
        <f ca="1">IFERROR(IF(0=LEN(ReferenceData!$AA$183),"",ReferenceData!$AA$183),"")</f>
        <v/>
      </c>
      <c r="AB183" t="str">
        <f ca="1">IFERROR(IF(0=LEN(ReferenceData!$AB$183),"",ReferenceData!$AB$183),"")</f>
        <v/>
      </c>
      <c r="AC183" t="str">
        <f ca="1">IFERROR(IF(0=LEN(ReferenceData!$AC$183),"",ReferenceData!$AC$183),"")</f>
        <v/>
      </c>
      <c r="AD183" t="str">
        <f ca="1">IFERROR(IF(0=LEN(ReferenceData!$AD$183),"",ReferenceData!$AD$183),"")</f>
        <v/>
      </c>
      <c r="AE183" t="str">
        <f ca="1">IFERROR(IF(0=LEN(ReferenceData!$AE$183),"",ReferenceData!$AE$183),"")</f>
        <v/>
      </c>
      <c r="AF183" t="str">
        <f ca="1">IFERROR(IF(0=LEN(ReferenceData!$AF$183),"",ReferenceData!$AF$183),"")</f>
        <v/>
      </c>
      <c r="AG183" t="str">
        <f ca="1">IFERROR(IF(0=LEN(ReferenceData!$AG$183),"",ReferenceData!$AG$183),"")</f>
        <v/>
      </c>
      <c r="AH183" t="str">
        <f ca="1">IFERROR(IF(0=LEN(ReferenceData!$AH$183),"",ReferenceData!$AH$183),"")</f>
        <v/>
      </c>
      <c r="AI183" t="str">
        <f ca="1">IFERROR(IF(0=LEN(ReferenceData!$AI$183),"",ReferenceData!$AI$183),"")</f>
        <v/>
      </c>
      <c r="AJ183" t="str">
        <f ca="1">IFERROR(IF(0=LEN(ReferenceData!$AJ$183),"",ReferenceData!$AJ$183),"")</f>
        <v/>
      </c>
      <c r="AK183" t="str">
        <f ca="1">IFERROR(IF(0=LEN(ReferenceData!$AK$183),"",ReferenceData!$AK$183),"")</f>
        <v/>
      </c>
      <c r="AL183" t="str">
        <f ca="1">IFERROR(IF(0=LEN(ReferenceData!$AL$183),"",ReferenceData!$AL$183),"")</f>
        <v/>
      </c>
      <c r="AM183" t="str">
        <f ca="1">IFERROR(IF(0=LEN(ReferenceData!$AM$183),"",ReferenceData!$AM$183),"")</f>
        <v/>
      </c>
      <c r="AN183" t="str">
        <f ca="1">IFERROR(IF(0=LEN(ReferenceData!$AN$183),"",ReferenceData!$AN$183),"")</f>
        <v/>
      </c>
      <c r="AO183" t="str">
        <f ca="1">IFERROR(IF(0=LEN(ReferenceData!$AO$183),"",ReferenceData!$AO$183),"")</f>
        <v/>
      </c>
      <c r="AP183" t="str">
        <f ca="1">IFERROR(IF(0=LEN(ReferenceData!$AP$183),"",ReferenceData!$AP$183),"")</f>
        <v/>
      </c>
      <c r="AQ183" t="str">
        <f ca="1">IFERROR(IF(0=LEN(ReferenceData!$AQ$183),"",ReferenceData!$AQ$183),"")</f>
        <v/>
      </c>
      <c r="AR183" t="str">
        <f ca="1">IFERROR(IF(0=LEN(ReferenceData!$AR$183),"",ReferenceData!$AR$183),"")</f>
        <v/>
      </c>
      <c r="AS183" t="str">
        <f ca="1">IFERROR(IF(0=LEN(ReferenceData!$AS$183),"",ReferenceData!$AS$183),"")</f>
        <v/>
      </c>
      <c r="AT183" t="str">
        <f ca="1">IFERROR(IF(0=LEN(ReferenceData!$AT$183),"",ReferenceData!$AT$183),"")</f>
        <v/>
      </c>
      <c r="AU183" t="str">
        <f ca="1">IFERROR(IF(0=LEN(ReferenceData!$AU$183),"",ReferenceData!$AU$183),"")</f>
        <v/>
      </c>
      <c r="AV183" t="str">
        <f ca="1">IFERROR(IF(0=LEN(ReferenceData!$AV$183),"",ReferenceData!$AV$183),"")</f>
        <v/>
      </c>
      <c r="AW183" t="str">
        <f ca="1">IFERROR(IF(0=LEN(ReferenceData!$AW$183),"",ReferenceData!$AW$183),"")</f>
        <v/>
      </c>
      <c r="AX183" t="str">
        <f ca="1">IFERROR(IF(0=LEN(ReferenceData!$AX$183),"",ReferenceData!$AX$183),"")</f>
        <v/>
      </c>
      <c r="AY183" t="str">
        <f ca="1">IFERROR(IF(0=LEN(ReferenceData!$AY$183),"",ReferenceData!$AY$183),"")</f>
        <v/>
      </c>
      <c r="AZ183" t="str">
        <f ca="1">IFERROR(IF(0=LEN(ReferenceData!$AZ$183),"",ReferenceData!$AZ$183),"")</f>
        <v/>
      </c>
      <c r="BA183" t="str">
        <f ca="1">IFERROR(IF(0=LEN(ReferenceData!$BA$183),"",ReferenceData!$BA$183),"")</f>
        <v/>
      </c>
      <c r="BB183" t="str">
        <f ca="1">IFERROR(IF(0=LEN(ReferenceData!$BB$183),"",ReferenceData!$BB$183),"")</f>
        <v/>
      </c>
      <c r="BC183" t="str">
        <f ca="1">IFERROR(IF(0=LEN(ReferenceData!$BC$183),"",ReferenceData!$BC$183),"")</f>
        <v/>
      </c>
      <c r="BD183" t="str">
        <f ca="1">IFERROR(IF(0=LEN(ReferenceData!$BD$183),"",ReferenceData!$BD$183),"")</f>
        <v/>
      </c>
      <c r="BE183" t="str">
        <f ca="1">IFERROR(IF(0=LEN(ReferenceData!$BE$183),"",ReferenceData!$BE$183),"")</f>
        <v/>
      </c>
      <c r="BF183" t="str">
        <f ca="1">IFERROR(IF(0=LEN(ReferenceData!$BF$183),"",ReferenceData!$BF$183),"")</f>
        <v/>
      </c>
      <c r="BG183" t="str">
        <f ca="1">IFERROR(IF(0=LEN(ReferenceData!$BG$183),"",ReferenceData!$BG$183),"")</f>
        <v/>
      </c>
      <c r="BH183" t="str">
        <f ca="1">IFERROR(IF(0=LEN(ReferenceData!$BH$183),"",ReferenceData!$BH$183),"")</f>
        <v/>
      </c>
      <c r="BI183" t="str">
        <f ca="1">IFERROR(IF(0=LEN(ReferenceData!$BI$183),"",ReferenceData!$BI$183),"")</f>
        <v/>
      </c>
      <c r="BJ183" t="str">
        <f ca="1">IFERROR(IF(0=LEN(ReferenceData!$BJ$183),"",ReferenceData!$BJ$183),"")</f>
        <v/>
      </c>
      <c r="BK183" t="str">
        <f ca="1">IFERROR(IF(0=LEN(ReferenceData!$BK$183),"",ReferenceData!$BK$183),"")</f>
        <v/>
      </c>
      <c r="BL183" t="str">
        <f ca="1">IFERROR(IF(0=LEN(ReferenceData!$BL$183),"",ReferenceData!$BL$183),"")</f>
        <v/>
      </c>
      <c r="BM183" t="str">
        <f ca="1">IFERROR(IF(0=LEN(ReferenceData!$BM$183),"",ReferenceData!$BM$183),"")</f>
        <v/>
      </c>
    </row>
    <row r="184" spans="1:65" x14ac:dyDescent="0.25">
      <c r="A184" t="str">
        <f>IFERROR(IF(0=LEN(ReferenceData!$A$184),"",ReferenceData!$A$184),"")</f>
        <v xml:space="preserve">    General Motors Co</v>
      </c>
      <c r="B184" t="str">
        <f>IFERROR(IF(0=LEN(ReferenceData!$B$184),"",ReferenceData!$B$184),"")</f>
        <v>GM US Equity</v>
      </c>
      <c r="C184" t="str">
        <f>IFERROR(IF(0=LEN(ReferenceData!$C$184),"",ReferenceData!$C$184),"")</f>
        <v>RR800</v>
      </c>
      <c r="D184" t="str">
        <f>IFERROR(IF(0=LEN(ReferenceData!$D$184),"",ReferenceData!$D$184),"")</f>
        <v>TRAIL_12M_NET_SALES</v>
      </c>
      <c r="E184" t="str">
        <f>IFERROR(IF(0=LEN(ReferenceData!$E$184),"",ReferenceData!$E$184),"")</f>
        <v>Dynamic</v>
      </c>
      <c r="F184" t="str">
        <f ca="1">IFERROR(IF(0=LEN(ReferenceData!$F$184),"",ReferenceData!$F$184),"")</f>
        <v/>
      </c>
      <c r="G184">
        <f ca="1">IFERROR(IF(0=LEN(ReferenceData!$G$184),"",ReferenceData!$G$184),"")</f>
        <v>147049</v>
      </c>
      <c r="H184">
        <f ca="1">IFERROR(IF(0=LEN(ReferenceData!$H$184),"",ReferenceData!$H$184),"")</f>
        <v>146365</v>
      </c>
      <c r="I184">
        <f ca="1">IFERROR(IF(0=LEN(ReferenceData!$I$184),"",ReferenceData!$I$184),"")</f>
        <v>144197</v>
      </c>
      <c r="J184">
        <f ca="1">IFERROR(IF(0=LEN(ReferenceData!$J$184),"",ReferenceData!$J$184),"")</f>
        <v>144421</v>
      </c>
      <c r="K184">
        <f ca="1">IFERROR(IF(0=LEN(ReferenceData!$K$184),"",ReferenceData!$K$184),"")</f>
        <v>145588</v>
      </c>
      <c r="L184">
        <f ca="1">IFERROR(IF(0=LEN(ReferenceData!$L$184),"",ReferenceData!$L$184),"")</f>
        <v>147769</v>
      </c>
      <c r="M184">
        <f ca="1">IFERROR(IF(0=LEN(ReferenceData!$M$184),"",ReferenceData!$M$184),"")</f>
        <v>153035</v>
      </c>
      <c r="N184">
        <f ca="1">IFERROR(IF(0=LEN(ReferenceData!$N$184),"",ReferenceData!$N$184),"")</f>
        <v>153434</v>
      </c>
      <c r="O184">
        <f ca="1">IFERROR(IF(0=LEN(ReferenceData!$O$184),"",ReferenceData!$O$184),"")</f>
        <v>153433</v>
      </c>
      <c r="P184">
        <f ca="1">IFERROR(IF(0=LEN(ReferenceData!$P$184),"",ReferenceData!$P$184),"")</f>
        <v>153158</v>
      </c>
      <c r="Q184">
        <f ca="1">IFERROR(IF(0=LEN(ReferenceData!$Q$184),"",ReferenceData!$Q$184),"")</f>
        <v>153112</v>
      </c>
      <c r="R184">
        <f ca="1">IFERROR(IF(0=LEN(ReferenceData!$R$184),"",ReferenceData!$R$184),"")</f>
        <v>153909</v>
      </c>
      <c r="S184">
        <f ca="1">IFERROR(IF(0=LEN(ReferenceData!$S$184),"",ReferenceData!$S$184),"")</f>
        <v>152356</v>
      </c>
      <c r="T184">
        <f ca="1">IFERROR(IF(0=LEN(ReferenceData!$T$184),"",ReferenceData!$T$184),"")</f>
        <v>152352</v>
      </c>
      <c r="U184">
        <f ca="1">IFERROR(IF(0=LEN(ReferenceData!$U$184),"",ReferenceData!$U$184),"")</f>
        <v>152764</v>
      </c>
      <c r="V184">
        <f ca="1">IFERROR(IF(0=LEN(ReferenceData!$V$184),"",ReferenceData!$V$184),"")</f>
        <v>154233</v>
      </c>
      <c r="W184">
        <f ca="1">IFERROR(IF(0=LEN(ReferenceData!$W$184),"",ReferenceData!$W$184),"")</f>
        <v>155929</v>
      </c>
      <c r="X184">
        <f ca="1">IFERROR(IF(0=LEN(ReferenceData!$X$184),"",ReferenceData!$X$184),"")</f>
        <v>156797</v>
      </c>
      <c r="Y184">
        <f ca="1">IFERROR(IF(0=LEN(ReferenceData!$Y$184),"",ReferenceData!$Y$184),"")</f>
        <v>156525</v>
      </c>
      <c r="Z184">
        <f ca="1">IFERROR(IF(0=LEN(ReferenceData!$Z$184),"",ReferenceData!$Z$184),"")</f>
        <v>155951</v>
      </c>
      <c r="AA184">
        <f ca="1">IFERROR(IF(0=LEN(ReferenceData!$AA$184),"",ReferenceData!$AA$184),"")</f>
        <v>155427</v>
      </c>
      <c r="AB184">
        <f ca="1">IFERROR(IF(0=LEN(ReferenceData!$AB$184),"",ReferenceData!$AB$184),"")</f>
        <v>154249</v>
      </c>
      <c r="AC184">
        <f ca="1">IFERROR(IF(0=LEN(ReferenceData!$AC$184),"",ReferenceData!$AC$184),"")</f>
        <v>152842</v>
      </c>
      <c r="AD184">
        <f ca="1">IFERROR(IF(0=LEN(ReferenceData!$AD$184),"",ReferenceData!$AD$184),"")</f>
        <v>151381</v>
      </c>
      <c r="AE184">
        <f ca="1">IFERROR(IF(0=LEN(ReferenceData!$AE$184),"",ReferenceData!$AE$184),"")</f>
        <v>152256</v>
      </c>
      <c r="AF184">
        <f ca="1">IFERROR(IF(0=LEN(ReferenceData!$AF$184),"",ReferenceData!$AF$184),"")</f>
        <v>150939</v>
      </c>
      <c r="AG184">
        <f ca="1">IFERROR(IF(0=LEN(ReferenceData!$AG$184),"",ReferenceData!$AG$184),"")</f>
        <v>150082</v>
      </c>
      <c r="AH184">
        <f ca="1">IFERROR(IF(0=LEN(ReferenceData!$AH$184),"",ReferenceData!$AH$184),"")</f>
        <v>151841</v>
      </c>
      <c r="AI184">
        <f ca="1">IFERROR(IF(0=LEN(ReferenceData!$AI$184),"",ReferenceData!$AI$184),"")</f>
        <v>150276</v>
      </c>
      <c r="AJ184">
        <f ca="1">IFERROR(IF(0=LEN(ReferenceData!$AJ$184),"",ReferenceData!$AJ$184),"")</f>
        <v>149168</v>
      </c>
      <c r="AK184">
        <f ca="1">IFERROR(IF(0=LEN(ReferenceData!$AK$184),"",ReferenceData!$AK$184),"")</f>
        <v>146509</v>
      </c>
      <c r="AL184">
        <f ca="1">IFERROR(IF(0=LEN(ReferenceData!$AL$184),"",ReferenceData!$AL$184),"")</f>
        <v>140310</v>
      </c>
      <c r="AM184">
        <f ca="1">IFERROR(IF(0=LEN(ReferenceData!$AM$184),"",ReferenceData!$AM$184),"")</f>
        <v>135592</v>
      </c>
      <c r="AN184">
        <f ca="1">IFERROR(IF(0=LEN(ReferenceData!$AN$184),"",ReferenceData!$AN$184),"")</f>
        <v>131037</v>
      </c>
      <c r="AO184">
        <f ca="1">IFERROR(IF(0=LEN(ReferenceData!$AO$184),"",ReferenceData!$AO$184),"")</f>
        <v>123761</v>
      </c>
      <c r="AP184">
        <f ca="1">IFERROR(IF(0=LEN(ReferenceData!$AP$184),"",ReferenceData!$AP$184),"")</f>
        <v>113634</v>
      </c>
      <c r="AQ184">
        <f ca="1">IFERROR(IF(0=LEN(ReferenceData!$AQ$184),"",ReferenceData!$AQ$184),"")</f>
        <v>104589</v>
      </c>
      <c r="AR184" t="str">
        <f ca="1">IFERROR(IF(0=LEN(ReferenceData!$AR$184),"",ReferenceData!$AR$184),"")</f>
        <v/>
      </c>
      <c r="AS184" t="str">
        <f ca="1">IFERROR(IF(0=LEN(ReferenceData!$AS$184),"",ReferenceData!$AS$184),"")</f>
        <v/>
      </c>
      <c r="AT184" t="str">
        <f ca="1">IFERROR(IF(0=LEN(ReferenceData!$AT$184),"",ReferenceData!$AT$184),"")</f>
        <v/>
      </c>
      <c r="AU184" t="str">
        <f ca="1">IFERROR(IF(0=LEN(ReferenceData!$AU$184),"",ReferenceData!$AU$184),"")</f>
        <v/>
      </c>
      <c r="AV184" t="str">
        <f ca="1">IFERROR(IF(0=LEN(ReferenceData!$AV$184),"",ReferenceData!$AV$184),"")</f>
        <v/>
      </c>
      <c r="AW184" t="str">
        <f ca="1">IFERROR(IF(0=LEN(ReferenceData!$AW$184),"",ReferenceData!$AW$184),"")</f>
        <v/>
      </c>
      <c r="AX184" t="str">
        <f ca="1">IFERROR(IF(0=LEN(ReferenceData!$AX$184),"",ReferenceData!$AX$184),"")</f>
        <v/>
      </c>
      <c r="AY184" t="str">
        <f ca="1">IFERROR(IF(0=LEN(ReferenceData!$AY$184),"",ReferenceData!$AY$184),"")</f>
        <v/>
      </c>
      <c r="AZ184" t="str">
        <f ca="1">IFERROR(IF(0=LEN(ReferenceData!$AZ$184),"",ReferenceData!$AZ$184),"")</f>
        <v/>
      </c>
      <c r="BA184" t="str">
        <f ca="1">IFERROR(IF(0=LEN(ReferenceData!$BA$184),"",ReferenceData!$BA$184),"")</f>
        <v/>
      </c>
      <c r="BB184" t="str">
        <f ca="1">IFERROR(IF(0=LEN(ReferenceData!$BB$184),"",ReferenceData!$BB$184),"")</f>
        <v/>
      </c>
      <c r="BC184" t="str">
        <f ca="1">IFERROR(IF(0=LEN(ReferenceData!$BC$184),"",ReferenceData!$BC$184),"")</f>
        <v/>
      </c>
      <c r="BD184" t="str">
        <f ca="1">IFERROR(IF(0=LEN(ReferenceData!$BD$184),"",ReferenceData!$BD$184),"")</f>
        <v/>
      </c>
      <c r="BE184" t="str">
        <f ca="1">IFERROR(IF(0=LEN(ReferenceData!$BE$184),"",ReferenceData!$BE$184),"")</f>
        <v/>
      </c>
      <c r="BF184" t="str">
        <f ca="1">IFERROR(IF(0=LEN(ReferenceData!$BF$184),"",ReferenceData!$BF$184),"")</f>
        <v/>
      </c>
      <c r="BG184" t="str">
        <f ca="1">IFERROR(IF(0=LEN(ReferenceData!$BG$184),"",ReferenceData!$BG$184),"")</f>
        <v/>
      </c>
      <c r="BH184" t="str">
        <f ca="1">IFERROR(IF(0=LEN(ReferenceData!$BH$184),"",ReferenceData!$BH$184),"")</f>
        <v/>
      </c>
      <c r="BI184" t="str">
        <f ca="1">IFERROR(IF(0=LEN(ReferenceData!$BI$184),"",ReferenceData!$BI$184),"")</f>
        <v/>
      </c>
      <c r="BJ184" t="str">
        <f ca="1">IFERROR(IF(0=LEN(ReferenceData!$BJ$184),"",ReferenceData!$BJ$184),"")</f>
        <v/>
      </c>
      <c r="BK184" t="str">
        <f ca="1">IFERROR(IF(0=LEN(ReferenceData!$BK$184),"",ReferenceData!$BK$184),"")</f>
        <v/>
      </c>
      <c r="BL184" t="str">
        <f ca="1">IFERROR(IF(0=LEN(ReferenceData!$BL$184),"",ReferenceData!$BL$184),"")</f>
        <v/>
      </c>
      <c r="BM184" t="str">
        <f ca="1">IFERROR(IF(0=LEN(ReferenceData!$BM$184),"",ReferenceData!$BM$184),"")</f>
        <v/>
      </c>
    </row>
    <row r="185" spans="1:65" x14ac:dyDescent="0.25">
      <c r="A185" t="str">
        <f>IFERROR(IF(0=LEN(ReferenceData!$A$185),"",ReferenceData!$A$185),"")</f>
        <v xml:space="preserve">    Great Wall Motor Co Ltd</v>
      </c>
      <c r="B185" t="str">
        <f>IFERROR(IF(0=LEN(ReferenceData!$B$185),"",ReferenceData!$B$185),"")</f>
        <v>2333 HK Equity</v>
      </c>
      <c r="C185" t="str">
        <f>IFERROR(IF(0=LEN(ReferenceData!$C$185),"",ReferenceData!$C$185),"")</f>
        <v>RR800</v>
      </c>
      <c r="D185" t="str">
        <f>IFERROR(IF(0=LEN(ReferenceData!$D$185),"",ReferenceData!$D$185),"")</f>
        <v>TRAIL_12M_NET_SALES</v>
      </c>
      <c r="E185" t="str">
        <f>IFERROR(IF(0=LEN(ReferenceData!$E$185),"",ReferenceData!$E$185),"")</f>
        <v>Dynamic</v>
      </c>
      <c r="F185" t="str">
        <f ca="1">IFERROR(IF(0=LEN(ReferenceData!$F$185),"",ReferenceData!$F$185),"")</f>
        <v/>
      </c>
      <c r="G185" t="str">
        <f ca="1">IFERROR(IF(0=LEN(ReferenceData!$G$185),"",ReferenceData!$G$185),"")</f>
        <v/>
      </c>
      <c r="H185">
        <f ca="1">IFERROR(IF(0=LEN(ReferenceData!$H$185),"",ReferenceData!$H$185),"")</f>
        <v>15345.09217</v>
      </c>
      <c r="I185">
        <f ca="1">IFERROR(IF(0=LEN(ReferenceData!$I$185),"",ReferenceData!$I$185),"")</f>
        <v>16046.04889</v>
      </c>
      <c r="J185">
        <f ca="1">IFERROR(IF(0=LEN(ReferenceData!$J$185),"",ReferenceData!$J$185),"")</f>
        <v>15157.13463</v>
      </c>
      <c r="K185">
        <f ca="1">IFERROR(IF(0=LEN(ReferenceData!$K$185),"",ReferenceData!$K$185),"")</f>
        <v>14409.2729</v>
      </c>
      <c r="L185">
        <f ca="1">IFERROR(IF(0=LEN(ReferenceData!$L$185),"",ReferenceData!$L$185),"")</f>
        <v>13914.588729999999</v>
      </c>
      <c r="M185">
        <f ca="1">IFERROR(IF(0=LEN(ReferenceData!$M$185),"",ReferenceData!$M$185),"")</f>
        <v>13880.452020000001</v>
      </c>
      <c r="N185">
        <f ca="1">IFERROR(IF(0=LEN(ReferenceData!$N$185),"",ReferenceData!$N$185),"")</f>
        <v>14454.482980000001</v>
      </c>
      <c r="O185">
        <f ca="1">IFERROR(IF(0=LEN(ReferenceData!$O$185),"",ReferenceData!$O$185),"")</f>
        <v>14273.155189999999</v>
      </c>
      <c r="P185">
        <f ca="1">IFERROR(IF(0=LEN(ReferenceData!$P$185),"",ReferenceData!$P$185),"")</f>
        <v>12798.84606</v>
      </c>
      <c r="Q185">
        <f ca="1">IFERROR(IF(0=LEN(ReferenceData!$Q$185),"",ReferenceData!$Q$185),"")</f>
        <v>12029.23504</v>
      </c>
      <c r="R185">
        <f ca="1">IFERROR(IF(0=LEN(ReferenceData!$R$185),"",ReferenceData!$R$185),"")</f>
        <v>11736.47486</v>
      </c>
      <c r="S185">
        <f ca="1">IFERROR(IF(0=LEN(ReferenceData!$S$185),"",ReferenceData!$S$185),"")</f>
        <v>11640.934499999999</v>
      </c>
      <c r="T185">
        <f ca="1">IFERROR(IF(0=LEN(ReferenceData!$T$185),"",ReferenceData!$T$185),"")</f>
        <v>11235.318579999999</v>
      </c>
      <c r="U185">
        <f ca="1">IFERROR(IF(0=LEN(ReferenceData!$U$185),"",ReferenceData!$U$185),"")</f>
        <v>11086.50821</v>
      </c>
      <c r="V185">
        <f ca="1">IFERROR(IF(0=LEN(ReferenceData!$V$185),"",ReferenceData!$V$185),"")</f>
        <v>10451.28239</v>
      </c>
      <c r="W185">
        <f ca="1">IFERROR(IF(0=LEN(ReferenceData!$W$185),"",ReferenceData!$W$185),"")</f>
        <v>9790.1325689999994</v>
      </c>
      <c r="X185">
        <f ca="1">IFERROR(IF(0=LEN(ReferenceData!$X$185),"",ReferenceData!$X$185),"")</f>
        <v>9193.7731399999993</v>
      </c>
      <c r="Y185">
        <f ca="1">IFERROR(IF(0=LEN(ReferenceData!$Y$185),"",ReferenceData!$Y$185),"")</f>
        <v>9257.7244210000008</v>
      </c>
      <c r="Z185">
        <f ca="1">IFERROR(IF(0=LEN(ReferenceData!$Z$185),"",ReferenceData!$Z$185),"")</f>
        <v>9262.6603319999995</v>
      </c>
      <c r="AA185">
        <f ca="1">IFERROR(IF(0=LEN(ReferenceData!$AA$185),"",ReferenceData!$AA$185),"")</f>
        <v>8902.0489109999999</v>
      </c>
      <c r="AB185">
        <f ca="1">IFERROR(IF(0=LEN(ReferenceData!$AB$185),"",ReferenceData!$AB$185),"")</f>
        <v>8482.3374320000003</v>
      </c>
      <c r="AC185">
        <f ca="1">IFERROR(IF(0=LEN(ReferenceData!$AC$185),"",ReferenceData!$AC$185),"")</f>
        <v>7910.8617990000002</v>
      </c>
      <c r="AD185">
        <f ca="1">IFERROR(IF(0=LEN(ReferenceData!$AD$185),"",ReferenceData!$AD$185),"")</f>
        <v>7221.4118840000001</v>
      </c>
      <c r="AE185">
        <f ca="1">IFERROR(IF(0=LEN(ReferenceData!$AE$185),"",ReferenceData!$AE$185),"")</f>
        <v>6587.6078200000002</v>
      </c>
      <c r="AF185">
        <f ca="1">IFERROR(IF(0=LEN(ReferenceData!$AF$185),"",ReferenceData!$AF$185),"")</f>
        <v>5801.6450619999996</v>
      </c>
      <c r="AG185">
        <f ca="1">IFERROR(IF(0=LEN(ReferenceData!$AG$185),"",ReferenceData!$AG$185),"")</f>
        <v>5193.1864850000002</v>
      </c>
      <c r="AH185" t="str">
        <f ca="1">IFERROR(IF(0=LEN(ReferenceData!$AH$185),"",ReferenceData!$AH$185),"")</f>
        <v/>
      </c>
      <c r="AI185" t="str">
        <f ca="1">IFERROR(IF(0=LEN(ReferenceData!$AI$185),"",ReferenceData!$AI$185),"")</f>
        <v/>
      </c>
      <c r="AJ185" t="str">
        <f ca="1">IFERROR(IF(0=LEN(ReferenceData!$AJ$185),"",ReferenceData!$AJ$185),"")</f>
        <v/>
      </c>
      <c r="AK185" t="str">
        <f ca="1">IFERROR(IF(0=LEN(ReferenceData!$AK$185),"",ReferenceData!$AK$185),"")</f>
        <v/>
      </c>
      <c r="AL185" t="str">
        <f ca="1">IFERROR(IF(0=LEN(ReferenceData!$AL$185),"",ReferenceData!$AL$185),"")</f>
        <v/>
      </c>
      <c r="AM185" t="str">
        <f ca="1">IFERROR(IF(0=LEN(ReferenceData!$AM$185),"",ReferenceData!$AM$185),"")</f>
        <v/>
      </c>
      <c r="AN185" t="str">
        <f ca="1">IFERROR(IF(0=LEN(ReferenceData!$AN$185),"",ReferenceData!$AN$185),"")</f>
        <v/>
      </c>
      <c r="AO185" t="str">
        <f ca="1">IFERROR(IF(0=LEN(ReferenceData!$AO$185),"",ReferenceData!$AO$185),"")</f>
        <v/>
      </c>
      <c r="AP185" t="str">
        <f ca="1">IFERROR(IF(0=LEN(ReferenceData!$AP$185),"",ReferenceData!$AP$185),"")</f>
        <v/>
      </c>
      <c r="AQ185" t="str">
        <f ca="1">IFERROR(IF(0=LEN(ReferenceData!$AQ$185),"",ReferenceData!$AQ$185),"")</f>
        <v/>
      </c>
      <c r="AR185" t="str">
        <f ca="1">IFERROR(IF(0=LEN(ReferenceData!$AR$185),"",ReferenceData!$AR$185),"")</f>
        <v/>
      </c>
      <c r="AS185" t="str">
        <f ca="1">IFERROR(IF(0=LEN(ReferenceData!$AS$185),"",ReferenceData!$AS$185),"")</f>
        <v/>
      </c>
      <c r="AT185" t="str">
        <f ca="1">IFERROR(IF(0=LEN(ReferenceData!$AT$185),"",ReferenceData!$AT$185),"")</f>
        <v/>
      </c>
      <c r="AU185" t="str">
        <f ca="1">IFERROR(IF(0=LEN(ReferenceData!$AU$185),"",ReferenceData!$AU$185),"")</f>
        <v/>
      </c>
      <c r="AV185" t="str">
        <f ca="1">IFERROR(IF(0=LEN(ReferenceData!$AV$185),"",ReferenceData!$AV$185),"")</f>
        <v/>
      </c>
      <c r="AW185" t="str">
        <f ca="1">IFERROR(IF(0=LEN(ReferenceData!$AW$185),"",ReferenceData!$AW$185),"")</f>
        <v/>
      </c>
      <c r="AX185" t="str">
        <f ca="1">IFERROR(IF(0=LEN(ReferenceData!$AX$185),"",ReferenceData!$AX$185),"")</f>
        <v/>
      </c>
      <c r="AY185" t="str">
        <f ca="1">IFERROR(IF(0=LEN(ReferenceData!$AY$185),"",ReferenceData!$AY$185),"")</f>
        <v/>
      </c>
      <c r="AZ185" t="str">
        <f ca="1">IFERROR(IF(0=LEN(ReferenceData!$AZ$185),"",ReferenceData!$AZ$185),"")</f>
        <v/>
      </c>
      <c r="BA185" t="str">
        <f ca="1">IFERROR(IF(0=LEN(ReferenceData!$BA$185),"",ReferenceData!$BA$185),"")</f>
        <v/>
      </c>
      <c r="BB185" t="str">
        <f ca="1">IFERROR(IF(0=LEN(ReferenceData!$BB$185),"",ReferenceData!$BB$185),"")</f>
        <v/>
      </c>
      <c r="BC185" t="str">
        <f ca="1">IFERROR(IF(0=LEN(ReferenceData!$BC$185),"",ReferenceData!$BC$185),"")</f>
        <v/>
      </c>
      <c r="BD185" t="str">
        <f ca="1">IFERROR(IF(0=LEN(ReferenceData!$BD$185),"",ReferenceData!$BD$185),"")</f>
        <v/>
      </c>
      <c r="BE185" t="str">
        <f ca="1">IFERROR(IF(0=LEN(ReferenceData!$BE$185),"",ReferenceData!$BE$185),"")</f>
        <v/>
      </c>
      <c r="BF185" t="str">
        <f ca="1">IFERROR(IF(0=LEN(ReferenceData!$BF$185),"",ReferenceData!$BF$185),"")</f>
        <v/>
      </c>
      <c r="BG185" t="str">
        <f ca="1">IFERROR(IF(0=LEN(ReferenceData!$BG$185),"",ReferenceData!$BG$185),"")</f>
        <v/>
      </c>
      <c r="BH185" t="str">
        <f ca="1">IFERROR(IF(0=LEN(ReferenceData!$BH$185),"",ReferenceData!$BH$185),"")</f>
        <v/>
      </c>
      <c r="BI185" t="str">
        <f ca="1">IFERROR(IF(0=LEN(ReferenceData!$BI$185),"",ReferenceData!$BI$185),"")</f>
        <v/>
      </c>
      <c r="BJ185" t="str">
        <f ca="1">IFERROR(IF(0=LEN(ReferenceData!$BJ$185),"",ReferenceData!$BJ$185),"")</f>
        <v/>
      </c>
      <c r="BK185" t="str">
        <f ca="1">IFERROR(IF(0=LEN(ReferenceData!$BK$185),"",ReferenceData!$BK$185),"")</f>
        <v/>
      </c>
      <c r="BL185" t="str">
        <f ca="1">IFERROR(IF(0=LEN(ReferenceData!$BL$185),"",ReferenceData!$BL$185),"")</f>
        <v/>
      </c>
      <c r="BM185" t="str">
        <f ca="1">IFERROR(IF(0=LEN(ReferenceData!$BM$185),"",ReferenceData!$BM$185),"")</f>
        <v/>
      </c>
    </row>
    <row r="186" spans="1:65" x14ac:dyDescent="0.25">
      <c r="A186" t="str">
        <f>IFERROR(IF(0=LEN(ReferenceData!$A$186),"",ReferenceData!$A$186),"")</f>
        <v xml:space="preserve">    Guangzhou Automobile Group Co Ltd</v>
      </c>
      <c r="B186" t="str">
        <f>IFERROR(IF(0=LEN(ReferenceData!$B$186),"",ReferenceData!$B$186),"")</f>
        <v>2238 HK Equity</v>
      </c>
      <c r="C186" t="str">
        <f>IFERROR(IF(0=LEN(ReferenceData!$C$186),"",ReferenceData!$C$186),"")</f>
        <v>RR800</v>
      </c>
      <c r="D186" t="str">
        <f>IFERROR(IF(0=LEN(ReferenceData!$D$186),"",ReferenceData!$D$186),"")</f>
        <v>TRAIL_12M_NET_SALES</v>
      </c>
      <c r="E186" t="str">
        <f>IFERROR(IF(0=LEN(ReferenceData!$E$186),"",ReferenceData!$E$186),"")</f>
        <v>Dynamic</v>
      </c>
      <c r="F186" t="str">
        <f ca="1">IFERROR(IF(0=LEN(ReferenceData!$F$186),"",ReferenceData!$F$186),"")</f>
        <v/>
      </c>
      <c r="G186" t="str">
        <f ca="1">IFERROR(IF(0=LEN(ReferenceData!$G$186),"",ReferenceData!$G$186),"")</f>
        <v/>
      </c>
      <c r="H186">
        <f ca="1">IFERROR(IF(0=LEN(ReferenceData!$H$186),"",ReferenceData!$H$186),"")</f>
        <v>10864.51665</v>
      </c>
      <c r="I186">
        <f ca="1">IFERROR(IF(0=LEN(ReferenceData!$I$186),"",ReferenceData!$I$186),"")</f>
        <v>10992.845660000001</v>
      </c>
      <c r="J186">
        <f ca="1">IFERROR(IF(0=LEN(ReferenceData!$J$186),"",ReferenceData!$J$186),"")</f>
        <v>10814.974340000001</v>
      </c>
      <c r="K186">
        <f ca="1">IFERROR(IF(0=LEN(ReferenceData!$K$186),"",ReferenceData!$K$186),"")</f>
        <v>10226.123449999999</v>
      </c>
      <c r="L186">
        <f ca="1">IFERROR(IF(0=LEN(ReferenceData!$L$186),"",ReferenceData!$L$186),"")</f>
        <v>9442.2550140000003</v>
      </c>
      <c r="M186">
        <f ca="1">IFERROR(IF(0=LEN(ReferenceData!$M$186),"",ReferenceData!$M$186),"")</f>
        <v>8902.4257899999993</v>
      </c>
      <c r="N186">
        <f ca="1">IFERROR(IF(0=LEN(ReferenceData!$N$186),"",ReferenceData!$N$186),"")</f>
        <v>8072.9315029999998</v>
      </c>
      <c r="O186">
        <f ca="1">IFERROR(IF(0=LEN(ReferenceData!$O$186),"",ReferenceData!$O$186),"")</f>
        <v>7212.9848050000001</v>
      </c>
      <c r="P186">
        <f ca="1">IFERROR(IF(0=LEN(ReferenceData!$P$186),"",ReferenceData!$P$186),"")</f>
        <v>6659.08781</v>
      </c>
      <c r="Q186">
        <f ca="1">IFERROR(IF(0=LEN(ReferenceData!$Q$186),"",ReferenceData!$Q$186),"")</f>
        <v>5930.7815780000001</v>
      </c>
      <c r="R186">
        <f ca="1">IFERROR(IF(0=LEN(ReferenceData!$R$186),"",ReferenceData!$R$186),"")</f>
        <v>5210.1684340000002</v>
      </c>
      <c r="S186">
        <f ca="1">IFERROR(IF(0=LEN(ReferenceData!$S$186),"",ReferenceData!$S$186),"")</f>
        <v>4534.7225769999995</v>
      </c>
      <c r="T186">
        <f ca="1">IFERROR(IF(0=LEN(ReferenceData!$T$186),"",ReferenceData!$T$186),"")</f>
        <v>3994.1628730000002</v>
      </c>
      <c r="U186">
        <f ca="1">IFERROR(IF(0=LEN(ReferenceData!$U$186),"",ReferenceData!$U$186),"")</f>
        <v>3600.3276080000001</v>
      </c>
      <c r="V186">
        <f ca="1">IFERROR(IF(0=LEN(ReferenceData!$V$186),"",ReferenceData!$V$186),"")</f>
        <v>3590.2804630000001</v>
      </c>
      <c r="W186">
        <f ca="1">IFERROR(IF(0=LEN(ReferenceData!$W$186),"",ReferenceData!$W$186),"")</f>
        <v>3505.5037560000001</v>
      </c>
      <c r="X186">
        <f ca="1">IFERROR(IF(0=LEN(ReferenceData!$X$186),"",ReferenceData!$X$186),"")</f>
        <v>3459.9984159999999</v>
      </c>
      <c r="Y186">
        <f ca="1">IFERROR(IF(0=LEN(ReferenceData!$Y$186),"",ReferenceData!$Y$186),"")</f>
        <v>3358.6850020000002</v>
      </c>
      <c r="Z186">
        <f ca="1">IFERROR(IF(0=LEN(ReferenceData!$Z$186),"",ReferenceData!$Z$186),"")</f>
        <v>3092.817642</v>
      </c>
      <c r="AA186">
        <f ca="1">IFERROR(IF(0=LEN(ReferenceData!$AA$186),"",ReferenceData!$AA$186),"")</f>
        <v>2953.1426200000001</v>
      </c>
      <c r="AB186">
        <f ca="1">IFERROR(IF(0=LEN(ReferenceData!$AB$186),"",ReferenceData!$AB$186),"")</f>
        <v>2611.0697759999998</v>
      </c>
      <c r="AC186">
        <f ca="1">IFERROR(IF(0=LEN(ReferenceData!$AC$186),"",ReferenceData!$AC$186),"")</f>
        <v>2430.1714440000001</v>
      </c>
      <c r="AD186">
        <f ca="1">IFERROR(IF(0=LEN(ReferenceData!$AD$186),"",ReferenceData!$AD$186),"")</f>
        <v>2229.4041200000001</v>
      </c>
      <c r="AE186">
        <f ca="1">IFERROR(IF(0=LEN(ReferenceData!$AE$186),"",ReferenceData!$AE$186),"")</f>
        <v>1997.314756</v>
      </c>
      <c r="AF186">
        <f ca="1">IFERROR(IF(0=LEN(ReferenceData!$AF$186),"",ReferenceData!$AF$186),"")</f>
        <v>1842.2328520000001</v>
      </c>
      <c r="AG186">
        <f ca="1">IFERROR(IF(0=LEN(ReferenceData!$AG$186),"",ReferenceData!$AG$186),"")</f>
        <v>1745.49047</v>
      </c>
      <c r="AH186">
        <f ca="1">IFERROR(IF(0=LEN(ReferenceData!$AH$186),"",ReferenceData!$AH$186),"")</f>
        <v>1647.1446129999999</v>
      </c>
      <c r="AI186">
        <f ca="1">IFERROR(IF(0=LEN(ReferenceData!$AI$186),"",ReferenceData!$AI$186),"")</f>
        <v>1673.4932220000001</v>
      </c>
      <c r="AJ186">
        <f ca="1">IFERROR(IF(0=LEN(ReferenceData!$AJ$186),"",ReferenceData!$AJ$186),"")</f>
        <v>1547.522937</v>
      </c>
      <c r="AK186">
        <f ca="1">IFERROR(IF(0=LEN(ReferenceData!$AK$186),"",ReferenceData!$AK$186),"")</f>
        <v>1462.59024</v>
      </c>
      <c r="AL186">
        <f ca="1">IFERROR(IF(0=LEN(ReferenceData!$AL$186),"",ReferenceData!$AL$186),"")</f>
        <v>1391.04305</v>
      </c>
      <c r="AM186">
        <f ca="1">IFERROR(IF(0=LEN(ReferenceData!$AM$186),"",ReferenceData!$AM$186),"")</f>
        <v>1285.1169640000001</v>
      </c>
      <c r="AN186">
        <f ca="1">IFERROR(IF(0=LEN(ReferenceData!$AN$186),"",ReferenceData!$AN$186),"")</f>
        <v>1266.839432</v>
      </c>
      <c r="AO186">
        <f ca="1">IFERROR(IF(0=LEN(ReferenceData!$AO$186),"",ReferenceData!$AO$186),"")</f>
        <v>1230.9711540000001</v>
      </c>
      <c r="AP186">
        <f ca="1">IFERROR(IF(0=LEN(ReferenceData!$AP$186),"",ReferenceData!$AP$186),"")</f>
        <v>1157.1476419999999</v>
      </c>
      <c r="AQ186">
        <f ca="1">IFERROR(IF(0=LEN(ReferenceData!$AQ$186),"",ReferenceData!$AQ$186),"")</f>
        <v>1027.829565</v>
      </c>
      <c r="AR186" t="str">
        <f ca="1">IFERROR(IF(0=LEN(ReferenceData!$AR$186),"",ReferenceData!$AR$186),"")</f>
        <v/>
      </c>
      <c r="AS186" t="str">
        <f ca="1">IFERROR(IF(0=LEN(ReferenceData!$AS$186),"",ReferenceData!$AS$186),"")</f>
        <v/>
      </c>
      <c r="AT186" t="str">
        <f ca="1">IFERROR(IF(0=LEN(ReferenceData!$AT$186),"",ReferenceData!$AT$186),"")</f>
        <v/>
      </c>
      <c r="AU186" t="str">
        <f ca="1">IFERROR(IF(0=LEN(ReferenceData!$AU$186),"",ReferenceData!$AU$186),"")</f>
        <v/>
      </c>
      <c r="AV186" t="str">
        <f ca="1">IFERROR(IF(0=LEN(ReferenceData!$AV$186),"",ReferenceData!$AV$186),"")</f>
        <v/>
      </c>
      <c r="AW186" t="str">
        <f ca="1">IFERROR(IF(0=LEN(ReferenceData!$AW$186),"",ReferenceData!$AW$186),"")</f>
        <v/>
      </c>
      <c r="AX186" t="str">
        <f ca="1">IFERROR(IF(0=LEN(ReferenceData!$AX$186),"",ReferenceData!$AX$186),"")</f>
        <v/>
      </c>
      <c r="AY186" t="str">
        <f ca="1">IFERROR(IF(0=LEN(ReferenceData!$AY$186),"",ReferenceData!$AY$186),"")</f>
        <v/>
      </c>
      <c r="AZ186" t="str">
        <f ca="1">IFERROR(IF(0=LEN(ReferenceData!$AZ$186),"",ReferenceData!$AZ$186),"")</f>
        <v/>
      </c>
      <c r="BA186" t="str">
        <f ca="1">IFERROR(IF(0=LEN(ReferenceData!$BA$186),"",ReferenceData!$BA$186),"")</f>
        <v/>
      </c>
      <c r="BB186" t="str">
        <f ca="1">IFERROR(IF(0=LEN(ReferenceData!$BB$186),"",ReferenceData!$BB$186),"")</f>
        <v/>
      </c>
      <c r="BC186" t="str">
        <f ca="1">IFERROR(IF(0=LEN(ReferenceData!$BC$186),"",ReferenceData!$BC$186),"")</f>
        <v/>
      </c>
      <c r="BD186" t="str">
        <f ca="1">IFERROR(IF(0=LEN(ReferenceData!$BD$186),"",ReferenceData!$BD$186),"")</f>
        <v/>
      </c>
      <c r="BE186" t="str">
        <f ca="1">IFERROR(IF(0=LEN(ReferenceData!$BE$186),"",ReferenceData!$BE$186),"")</f>
        <v/>
      </c>
      <c r="BF186" t="str">
        <f ca="1">IFERROR(IF(0=LEN(ReferenceData!$BF$186),"",ReferenceData!$BF$186),"")</f>
        <v/>
      </c>
      <c r="BG186" t="str">
        <f ca="1">IFERROR(IF(0=LEN(ReferenceData!$BG$186),"",ReferenceData!$BG$186),"")</f>
        <v/>
      </c>
      <c r="BH186" t="str">
        <f ca="1">IFERROR(IF(0=LEN(ReferenceData!$BH$186),"",ReferenceData!$BH$186),"")</f>
        <v/>
      </c>
      <c r="BI186" t="str">
        <f ca="1">IFERROR(IF(0=LEN(ReferenceData!$BI$186),"",ReferenceData!$BI$186),"")</f>
        <v/>
      </c>
      <c r="BJ186" t="str">
        <f ca="1">IFERROR(IF(0=LEN(ReferenceData!$BJ$186),"",ReferenceData!$BJ$186),"")</f>
        <v/>
      </c>
      <c r="BK186" t="str">
        <f ca="1">IFERROR(IF(0=LEN(ReferenceData!$BK$186),"",ReferenceData!$BK$186),"")</f>
        <v/>
      </c>
      <c r="BL186" t="str">
        <f ca="1">IFERROR(IF(0=LEN(ReferenceData!$BL$186),"",ReferenceData!$BL$186),"")</f>
        <v/>
      </c>
      <c r="BM186" t="str">
        <f ca="1">IFERROR(IF(0=LEN(ReferenceData!$BM$186),"",ReferenceData!$BM$186),"")</f>
        <v/>
      </c>
    </row>
    <row r="187" spans="1:65" x14ac:dyDescent="0.25">
      <c r="A187" t="str">
        <f>IFERROR(IF(0=LEN(ReferenceData!$A$187),"",ReferenceData!$A$187),"")</f>
        <v xml:space="preserve">    Honda Motor Co Ltd</v>
      </c>
      <c r="B187" t="str">
        <f>IFERROR(IF(0=LEN(ReferenceData!$B$187),"",ReferenceData!$B$187),"")</f>
        <v>7267 JP Equity</v>
      </c>
      <c r="C187" t="str">
        <f>IFERROR(IF(0=LEN(ReferenceData!$C$187),"",ReferenceData!$C$187),"")</f>
        <v>RR800</v>
      </c>
      <c r="D187" t="str">
        <f>IFERROR(IF(0=LEN(ReferenceData!$D$187),"",ReferenceData!$D$187),"")</f>
        <v>TRAIL_12M_NET_SALES</v>
      </c>
      <c r="E187" t="str">
        <f>IFERROR(IF(0=LEN(ReferenceData!$E$187),"",ReferenceData!$E$187),"")</f>
        <v>Dynamic</v>
      </c>
      <c r="F187" t="str">
        <f ca="1">IFERROR(IF(0=LEN(ReferenceData!$F$187),"",ReferenceData!$F$187),"")</f>
        <v/>
      </c>
      <c r="G187">
        <f ca="1">IFERROR(IF(0=LEN(ReferenceData!$G$187),"",ReferenceData!$G$187),"")</f>
        <v>142714.21539999999</v>
      </c>
      <c r="H187">
        <f ca="1">IFERROR(IF(0=LEN(ReferenceData!$H$187),"",ReferenceData!$H$187),"")</f>
        <v>142529.38560000001</v>
      </c>
      <c r="I187">
        <f ca="1">IFERROR(IF(0=LEN(ReferenceData!$I$187),"",ReferenceData!$I$187),"")</f>
        <v>142105.24239999999</v>
      </c>
      <c r="J187">
        <f ca="1">IFERROR(IF(0=LEN(ReferenceData!$J$187),"",ReferenceData!$J$187),"")</f>
        <v>138647.11259999999</v>
      </c>
      <c r="K187">
        <f ca="1">IFERROR(IF(0=LEN(ReferenceData!$K$187),"",ReferenceData!$K$187),"")</f>
        <v>135656.69279999999</v>
      </c>
      <c r="L187">
        <f ca="1">IFERROR(IF(0=LEN(ReferenceData!$L$187),"",ReferenceData!$L$187),"")</f>
        <v>132657.92939999999</v>
      </c>
      <c r="M187">
        <f ca="1">IFERROR(IF(0=LEN(ReferenceData!$M$187),"",ReferenceData!$M$187),"")</f>
        <v>130777.773</v>
      </c>
      <c r="N187">
        <f ca="1">IFERROR(IF(0=LEN(ReferenceData!$N$187),"",ReferenceData!$N$187),"")</f>
        <v>129499.00169999999</v>
      </c>
      <c r="O187">
        <f ca="1">IFERROR(IF(0=LEN(ReferenceData!$O$187),"",ReferenceData!$O$187),"")</f>
        <v>128101.53019999999</v>
      </c>
      <c r="P187">
        <f ca="1">IFERROR(IF(0=LEN(ReferenceData!$P$187),"",ReferenceData!$P$187),"")</f>
        <v>125951.5567</v>
      </c>
      <c r="Q187">
        <f ca="1">IFERROR(IF(0=LEN(ReferenceData!$Q$187),"",ReferenceData!$Q$187),"")</f>
        <v>123441.2365</v>
      </c>
      <c r="R187">
        <f ca="1">IFERROR(IF(0=LEN(ReferenceData!$R$187),"",ReferenceData!$R$187),"")</f>
        <v>121724.19010000001</v>
      </c>
      <c r="S187">
        <f ca="1">IFERROR(IF(0=LEN(ReferenceData!$S$187),"",ReferenceData!$S$187),"")</f>
        <v>118148.9526</v>
      </c>
      <c r="T187">
        <f ca="1">IFERROR(IF(0=LEN(ReferenceData!$T$187),"",ReferenceData!$T$187),"")</f>
        <v>118996.94070000001</v>
      </c>
      <c r="U187">
        <f ca="1">IFERROR(IF(0=LEN(ReferenceData!$U$187),"",ReferenceData!$U$187),"")</f>
        <v>119852.7945</v>
      </c>
      <c r="V187">
        <f ca="1">IFERROR(IF(0=LEN(ReferenceData!$V$187),"",ReferenceData!$V$187),"")</f>
        <v>120588.618</v>
      </c>
      <c r="W187">
        <f ca="1">IFERROR(IF(0=LEN(ReferenceData!$W$187),"",ReferenceData!$W$187),"")</f>
        <v>122482.33689999999</v>
      </c>
      <c r="X187">
        <f ca="1">IFERROR(IF(0=LEN(ReferenceData!$X$187),"",ReferenceData!$X$187),"")</f>
        <v>121786.2282</v>
      </c>
      <c r="Y187">
        <f ca="1">IFERROR(IF(0=LEN(ReferenceData!$Y$187),"",ReferenceData!$Y$187),"")</f>
        <v>120927.9191</v>
      </c>
      <c r="Z187">
        <f ca="1">IFERROR(IF(0=LEN(ReferenceData!$Z$187),"",ReferenceData!$Z$187),"")</f>
        <v>118250.6813</v>
      </c>
      <c r="AA187">
        <f ca="1">IFERROR(IF(0=LEN(ReferenceData!$AA$187),"",ReferenceData!$AA$187),"")</f>
        <v>117911.2539</v>
      </c>
      <c r="AB187">
        <f ca="1">IFERROR(IF(0=LEN(ReferenceData!$AB$187),"",ReferenceData!$AB$187),"")</f>
        <v>118308.5362</v>
      </c>
      <c r="AC187">
        <f ca="1">IFERROR(IF(0=LEN(ReferenceData!$AC$187),"",ReferenceData!$AC$187),"")</f>
        <v>118318.7697</v>
      </c>
      <c r="AD187">
        <f ca="1">IFERROR(IF(0=LEN(ReferenceData!$AD$187),"",ReferenceData!$AD$187),"")</f>
        <v>119545.8909</v>
      </c>
      <c r="AE187">
        <f ca="1">IFERROR(IF(0=LEN(ReferenceData!$AE$187),"",ReferenceData!$AE$187),"")</f>
        <v>119571.8875</v>
      </c>
      <c r="AF187">
        <f ca="1">IFERROR(IF(0=LEN(ReferenceData!$AF$187),"",ReferenceData!$AF$187),"")</f>
        <v>114895.27</v>
      </c>
      <c r="AG187">
        <f ca="1">IFERROR(IF(0=LEN(ReferenceData!$AG$187),"",ReferenceData!$AG$187),"")</f>
        <v>110357.2635</v>
      </c>
      <c r="AH187">
        <f ca="1">IFERROR(IF(0=LEN(ReferenceData!$AH$187),"",ReferenceData!$AH$187),"")</f>
        <v>100732.6247</v>
      </c>
      <c r="AI187">
        <f ca="1">IFERROR(IF(0=LEN(ReferenceData!$AI$187),"",ReferenceData!$AI$187),"")</f>
        <v>97428.870089999997</v>
      </c>
      <c r="AJ187">
        <f ca="1">IFERROR(IF(0=LEN(ReferenceData!$AJ$187),"",ReferenceData!$AJ$187),"")</f>
        <v>97919.015750000006</v>
      </c>
      <c r="AK187">
        <f ca="1">IFERROR(IF(0=LEN(ReferenceData!$AK$187),"",ReferenceData!$AK$187),"")</f>
        <v>99897.924559999999</v>
      </c>
      <c r="AL187">
        <f ca="1">IFERROR(IF(0=LEN(ReferenceData!$AL$187),"",ReferenceData!$AL$187),"")</f>
        <v>104572.5723</v>
      </c>
      <c r="AM187">
        <f ca="1">IFERROR(IF(0=LEN(ReferenceData!$AM$187),"",ReferenceData!$AM$187),"")</f>
        <v>102851.2277</v>
      </c>
      <c r="AN187">
        <f ca="1">IFERROR(IF(0=LEN(ReferenceData!$AN$187),"",ReferenceData!$AN$187),"")</f>
        <v>102068.9423</v>
      </c>
      <c r="AO187">
        <f ca="1">IFERROR(IF(0=LEN(ReferenceData!$AO$187),"",ReferenceData!$AO$187),"")</f>
        <v>97685.843040000007</v>
      </c>
      <c r="AP187">
        <f ca="1">IFERROR(IF(0=LEN(ReferenceData!$AP$187),"",ReferenceData!$AP$187),"")</f>
        <v>92507.508379999999</v>
      </c>
      <c r="AQ187">
        <f ca="1">IFERROR(IF(0=LEN(ReferenceData!$AQ$187),"",ReferenceData!$AQ$187),"")</f>
        <v>86493.816179999994</v>
      </c>
      <c r="AR187">
        <f ca="1">IFERROR(IF(0=LEN(ReferenceData!$AR$187),"",ReferenceData!$AR$187),"")</f>
        <v>88147.789669999998</v>
      </c>
      <c r="AS187">
        <f ca="1">IFERROR(IF(0=LEN(ReferenceData!$AS$187),"",ReferenceData!$AS$187),"")</f>
        <v>93014.433749999997</v>
      </c>
      <c r="AT187">
        <f ca="1">IFERROR(IF(0=LEN(ReferenceData!$AT$187),"",ReferenceData!$AT$187),"")</f>
        <v>100030.3762</v>
      </c>
      <c r="AU187">
        <f ca="1">IFERROR(IF(0=LEN(ReferenceData!$AU$187),"",ReferenceData!$AU$187),"")</f>
        <v>109448.74739999999</v>
      </c>
      <c r="AV187">
        <f ca="1">IFERROR(IF(0=LEN(ReferenceData!$AV$187),"",ReferenceData!$AV$187),"")</f>
        <v>109677.939</v>
      </c>
      <c r="AW187">
        <f ca="1">IFERROR(IF(0=LEN(ReferenceData!$AW$187),"",ReferenceData!$AW$187),"")</f>
        <v>108638.6461</v>
      </c>
      <c r="AX187">
        <f ca="1">IFERROR(IF(0=LEN(ReferenceData!$AX$187),"",ReferenceData!$AX$187),"")</f>
        <v>105386.033</v>
      </c>
      <c r="AY187">
        <f ca="1">IFERROR(IF(0=LEN(ReferenceData!$AY$187),"",ReferenceData!$AY$187),"")</f>
        <v>102294.03690000001</v>
      </c>
      <c r="AZ187">
        <f ca="1">IFERROR(IF(0=LEN(ReferenceData!$AZ$187),"",ReferenceData!$AZ$187),"")</f>
        <v>98906.320250000004</v>
      </c>
      <c r="BA187">
        <f ca="1">IFERROR(IF(0=LEN(ReferenceData!$BA$187),"",ReferenceData!$BA$187),"")</f>
        <v>96346.059510000006</v>
      </c>
      <c r="BB187">
        <f ca="1">IFERROR(IF(0=LEN(ReferenceData!$BB$187),"",ReferenceData!$BB$187),"")</f>
        <v>94849.908939999994</v>
      </c>
      <c r="BC187">
        <f ca="1">IFERROR(IF(0=LEN(ReferenceData!$BC$187),"",ReferenceData!$BC$187),"")</f>
        <v>94341.88811</v>
      </c>
      <c r="BD187">
        <f ca="1">IFERROR(IF(0=LEN(ReferenceData!$BD$187),"",ReferenceData!$BD$187),"")</f>
        <v>91891.748730000007</v>
      </c>
      <c r="BE187">
        <f ca="1">IFERROR(IF(0=LEN(ReferenceData!$BE$187),"",ReferenceData!$BE$187),"")</f>
        <v>90391.856740000003</v>
      </c>
      <c r="BF187">
        <f ca="1">IFERROR(IF(0=LEN(ReferenceData!$BF$187),"",ReferenceData!$BF$187),"")</f>
        <v>88853.091329999996</v>
      </c>
      <c r="BG187">
        <f ca="1">IFERROR(IF(0=LEN(ReferenceData!$BG$187),"",ReferenceData!$BG$187),"")</f>
        <v>85708.854500000001</v>
      </c>
      <c r="BH187">
        <f ca="1">IFERROR(IF(0=LEN(ReferenceData!$BH$187),"",ReferenceData!$BH$187),"")</f>
        <v>84765.539640000003</v>
      </c>
      <c r="BI187">
        <f ca="1">IFERROR(IF(0=LEN(ReferenceData!$BI$187),"",ReferenceData!$BI$187),"")</f>
        <v>82726.626420000001</v>
      </c>
      <c r="BJ187">
        <f ca="1">IFERROR(IF(0=LEN(ReferenceData!$BJ$187),"",ReferenceData!$BJ$187),"")</f>
        <v>80549.658330000006</v>
      </c>
      <c r="BK187">
        <f ca="1">IFERROR(IF(0=LEN(ReferenceData!$BK$187),"",ReferenceData!$BK$187),"")</f>
        <v>78154.133860000002</v>
      </c>
      <c r="BL187">
        <f ca="1">IFERROR(IF(0=LEN(ReferenceData!$BL$187),"",ReferenceData!$BL$187),"")</f>
        <v>76274.827480000007</v>
      </c>
      <c r="BM187">
        <f ca="1">IFERROR(IF(0=LEN(ReferenceData!$BM$187),"",ReferenceData!$BM$187),"")</f>
        <v>74380.332120000006</v>
      </c>
    </row>
    <row r="188" spans="1:65" x14ac:dyDescent="0.25">
      <c r="A188" t="str">
        <f>IFERROR(IF(0=LEN(ReferenceData!$A$188),"",ReferenceData!$A$188),"")</f>
        <v xml:space="preserve">    Hyundai Motor Co</v>
      </c>
      <c r="B188" t="str">
        <f>IFERROR(IF(0=LEN(ReferenceData!$B$188),"",ReferenceData!$B$188),"")</f>
        <v>005380 KS Equity</v>
      </c>
      <c r="C188" t="str">
        <f>IFERROR(IF(0=LEN(ReferenceData!$C$188),"",ReferenceData!$C$188),"")</f>
        <v>RR800</v>
      </c>
      <c r="D188" t="str">
        <f>IFERROR(IF(0=LEN(ReferenceData!$D$188),"",ReferenceData!$D$188),"")</f>
        <v>TRAIL_12M_NET_SALES</v>
      </c>
      <c r="E188" t="str">
        <f>IFERROR(IF(0=LEN(ReferenceData!$E$188),"",ReferenceData!$E$188),"")</f>
        <v>Dynamic</v>
      </c>
      <c r="F188" t="str">
        <f ca="1">IFERROR(IF(0=LEN(ReferenceData!$F$188),"",ReferenceData!$F$188),"")</f>
        <v/>
      </c>
      <c r="G188">
        <f ca="1">IFERROR(IF(0=LEN(ReferenceData!$G$188),"",ReferenceData!$G$188),"")</f>
        <v>88418.782630000002</v>
      </c>
      <c r="H188">
        <f ca="1">IFERROR(IF(0=LEN(ReferenceData!$H$188),"",ReferenceData!$H$188),"")</f>
        <v>87774.279559999995</v>
      </c>
      <c r="I188">
        <f ca="1">IFERROR(IF(0=LEN(ReferenceData!$I$188),"",ReferenceData!$I$188),"")</f>
        <v>87348.837809999997</v>
      </c>
      <c r="J188">
        <f ca="1">IFERROR(IF(0=LEN(ReferenceData!$J$188),"",ReferenceData!$J$188),"")</f>
        <v>85996.47262</v>
      </c>
      <c r="K188">
        <f ca="1">IFERROR(IF(0=LEN(ReferenceData!$K$188),"",ReferenceData!$K$188),"")</f>
        <v>85277.991569999998</v>
      </c>
      <c r="L188">
        <f ca="1">IFERROR(IF(0=LEN(ReferenceData!$L$188),"",ReferenceData!$L$188),"")</f>
        <v>84324.408219999998</v>
      </c>
      <c r="M188">
        <f ca="1">IFERROR(IF(0=LEN(ReferenceData!$M$188),"",ReferenceData!$M$188),"")</f>
        <v>82707.610809999998</v>
      </c>
      <c r="N188">
        <f ca="1">IFERROR(IF(0=LEN(ReferenceData!$N$188),"",ReferenceData!$N$188),"")</f>
        <v>82450.907160000002</v>
      </c>
      <c r="O188">
        <f ca="1">IFERROR(IF(0=LEN(ReferenceData!$O$188),"",ReferenceData!$O$188),"")</f>
        <v>80756.270919999995</v>
      </c>
      <c r="P188">
        <f ca="1">IFERROR(IF(0=LEN(ReferenceData!$P$188),"",ReferenceData!$P$188),"")</f>
        <v>80969.202569999994</v>
      </c>
      <c r="Q188">
        <f ca="1">IFERROR(IF(0=LEN(ReferenceData!$Q$188),"",ReferenceData!$Q$188),"")</f>
        <v>81228.75877</v>
      </c>
      <c r="R188">
        <f ca="1">IFERROR(IF(0=LEN(ReferenceData!$R$188),"",ReferenceData!$R$188),"")</f>
        <v>80832.409950000001</v>
      </c>
      <c r="S188">
        <f ca="1">IFERROR(IF(0=LEN(ReferenceData!$S$188),"",ReferenceData!$S$188),"")</f>
        <v>81303.682809999998</v>
      </c>
      <c r="T188">
        <f ca="1">IFERROR(IF(0=LEN(ReferenceData!$T$188),"",ReferenceData!$T$188),"")</f>
        <v>81537.723499999993</v>
      </c>
      <c r="U188">
        <f ca="1">IFERROR(IF(0=LEN(ReferenceData!$U$188),"",ReferenceData!$U$188),"")</f>
        <v>82266.353059999994</v>
      </c>
      <c r="V188">
        <f ca="1">IFERROR(IF(0=LEN(ReferenceData!$V$188),"",ReferenceData!$V$188),"")</f>
        <v>83542.914359999995</v>
      </c>
      <c r="W188">
        <f ca="1">IFERROR(IF(0=LEN(ReferenceData!$W$188),"",ReferenceData!$W$188),"")</f>
        <v>84803.195860000007</v>
      </c>
      <c r="X188">
        <f ca="1">IFERROR(IF(0=LEN(ReferenceData!$X$188),"",ReferenceData!$X$188),"")</f>
        <v>83732.607929999998</v>
      </c>
      <c r="Y188">
        <f ca="1">IFERROR(IF(0=LEN(ReferenceData!$Y$188),"",ReferenceData!$Y$188),"")</f>
        <v>81709.549329999994</v>
      </c>
      <c r="Z188">
        <f ca="1">IFERROR(IF(0=LEN(ReferenceData!$Z$188),"",ReferenceData!$Z$188),"")</f>
        <v>80346.586450000003</v>
      </c>
      <c r="AA188">
        <f ca="1">IFERROR(IF(0=LEN(ReferenceData!$AA$188),"",ReferenceData!$AA$188),"")</f>
        <v>79799.698619999996</v>
      </c>
      <c r="AB188">
        <f ca="1">IFERROR(IF(0=LEN(ReferenceData!$AB$188),"",ReferenceData!$AB$188),"")</f>
        <v>79977.820730000007</v>
      </c>
      <c r="AC188">
        <f ca="1">IFERROR(IF(0=LEN(ReferenceData!$AC$188),"",ReferenceData!$AC$188),"")</f>
        <v>78496.736699999994</v>
      </c>
      <c r="AD188">
        <f ca="1">IFERROR(IF(0=LEN(ReferenceData!$AD$188),"",ReferenceData!$AD$188),"")</f>
        <v>76878.439660000004</v>
      </c>
      <c r="AE188">
        <f ca="1">IFERROR(IF(0=LEN(ReferenceData!$AE$188),"",ReferenceData!$AE$188),"")</f>
        <v>75026.316319999998</v>
      </c>
      <c r="AF188">
        <f ca="1">IFERROR(IF(0=LEN(ReferenceData!$AF$188),"",ReferenceData!$AF$188),"")</f>
        <v>72162.268119999993</v>
      </c>
      <c r="AG188">
        <f ca="1">IFERROR(IF(0=LEN(ReferenceData!$AG$188),"",ReferenceData!$AG$188),"")</f>
        <v>72382.106549999997</v>
      </c>
      <c r="AH188">
        <f ca="1">IFERROR(IF(0=LEN(ReferenceData!$AH$188),"",ReferenceData!$AH$188),"")</f>
        <v>71844.764179999998</v>
      </c>
      <c r="AI188">
        <f ca="1">IFERROR(IF(0=LEN(ReferenceData!$AI$188),"",ReferenceData!$AI$188),"")</f>
        <v>70291.028489999997</v>
      </c>
      <c r="AJ188">
        <f ca="1">IFERROR(IF(0=LEN(ReferenceData!$AJ$188),"",ReferenceData!$AJ$188),"")</f>
        <v>68668.495909999998</v>
      </c>
      <c r="AK188">
        <f ca="1">IFERROR(IF(0=LEN(ReferenceData!$AK$188),"",ReferenceData!$AK$188),"")</f>
        <v>65080.055639999999</v>
      </c>
      <c r="AL188">
        <f ca="1">IFERROR(IF(0=LEN(ReferenceData!$AL$188),"",ReferenceData!$AL$188),"")</f>
        <v>61078.498220000001</v>
      </c>
      <c r="AM188">
        <f ca="1">IFERROR(IF(0=LEN(ReferenceData!$AM$188),"",ReferenceData!$AM$188),"")</f>
        <v>57956.890420000003</v>
      </c>
      <c r="AN188" t="str">
        <f ca="1">IFERROR(IF(0=LEN(ReferenceData!$AN$188),"",ReferenceData!$AN$188),"")</f>
        <v/>
      </c>
      <c r="AO188" t="str">
        <f ca="1">IFERROR(IF(0=LEN(ReferenceData!$AO$188),"",ReferenceData!$AO$188),"")</f>
        <v/>
      </c>
      <c r="AP188" t="str">
        <f ca="1">IFERROR(IF(0=LEN(ReferenceData!$AP$188),"",ReferenceData!$AP$188),"")</f>
        <v/>
      </c>
      <c r="AQ188" t="str">
        <f ca="1">IFERROR(IF(0=LEN(ReferenceData!$AQ$188),"",ReferenceData!$AQ$188),"")</f>
        <v/>
      </c>
      <c r="AR188" t="str">
        <f ca="1">IFERROR(IF(0=LEN(ReferenceData!$AR$188),"",ReferenceData!$AR$188),"")</f>
        <v/>
      </c>
      <c r="AS188" t="str">
        <f ca="1">IFERROR(IF(0=LEN(ReferenceData!$AS$188),"",ReferenceData!$AS$188),"")</f>
        <v/>
      </c>
      <c r="AT188" t="str">
        <f ca="1">IFERROR(IF(0=LEN(ReferenceData!$AT$188),"",ReferenceData!$AT$188),"")</f>
        <v/>
      </c>
      <c r="AU188" t="str">
        <f ca="1">IFERROR(IF(0=LEN(ReferenceData!$AU$188),"",ReferenceData!$AU$188),"")</f>
        <v/>
      </c>
      <c r="AV188" t="str">
        <f ca="1">IFERROR(IF(0=LEN(ReferenceData!$AV$188),"",ReferenceData!$AV$188),"")</f>
        <v/>
      </c>
      <c r="AW188" t="str">
        <f ca="1">IFERROR(IF(0=LEN(ReferenceData!$AW$188),"",ReferenceData!$AW$188),"")</f>
        <v/>
      </c>
      <c r="AX188" t="str">
        <f ca="1">IFERROR(IF(0=LEN(ReferenceData!$AX$188),"",ReferenceData!$AX$188),"")</f>
        <v/>
      </c>
      <c r="AY188" t="str">
        <f ca="1">IFERROR(IF(0=LEN(ReferenceData!$AY$188),"",ReferenceData!$AY$188),"")</f>
        <v/>
      </c>
      <c r="AZ188" t="str">
        <f ca="1">IFERROR(IF(0=LEN(ReferenceData!$AZ$188),"",ReferenceData!$AZ$188),"")</f>
        <v/>
      </c>
      <c r="BA188" t="str">
        <f ca="1">IFERROR(IF(0=LEN(ReferenceData!$BA$188),"",ReferenceData!$BA$188),"")</f>
        <v/>
      </c>
      <c r="BB188" t="str">
        <f ca="1">IFERROR(IF(0=LEN(ReferenceData!$BB$188),"",ReferenceData!$BB$188),"")</f>
        <v/>
      </c>
      <c r="BC188" t="str">
        <f ca="1">IFERROR(IF(0=LEN(ReferenceData!$BC$188),"",ReferenceData!$BC$188),"")</f>
        <v/>
      </c>
      <c r="BD188" t="str">
        <f ca="1">IFERROR(IF(0=LEN(ReferenceData!$BD$188),"",ReferenceData!$BD$188),"")</f>
        <v/>
      </c>
      <c r="BE188" t="str">
        <f ca="1">IFERROR(IF(0=LEN(ReferenceData!$BE$188),"",ReferenceData!$BE$188),"")</f>
        <v/>
      </c>
      <c r="BF188" t="str">
        <f ca="1">IFERROR(IF(0=LEN(ReferenceData!$BF$188),"",ReferenceData!$BF$188),"")</f>
        <v/>
      </c>
      <c r="BG188" t="str">
        <f ca="1">IFERROR(IF(0=LEN(ReferenceData!$BG$188),"",ReferenceData!$BG$188),"")</f>
        <v/>
      </c>
      <c r="BH188" t="str">
        <f ca="1">IFERROR(IF(0=LEN(ReferenceData!$BH$188),"",ReferenceData!$BH$188),"")</f>
        <v/>
      </c>
      <c r="BI188" t="str">
        <f ca="1">IFERROR(IF(0=LEN(ReferenceData!$BI$188),"",ReferenceData!$BI$188),"")</f>
        <v/>
      </c>
      <c r="BJ188" t="str">
        <f ca="1">IFERROR(IF(0=LEN(ReferenceData!$BJ$188),"",ReferenceData!$BJ$188),"")</f>
        <v/>
      </c>
      <c r="BK188" t="str">
        <f ca="1">IFERROR(IF(0=LEN(ReferenceData!$BK$188),"",ReferenceData!$BK$188),"")</f>
        <v/>
      </c>
      <c r="BL188" t="str">
        <f ca="1">IFERROR(IF(0=LEN(ReferenceData!$BL$188),"",ReferenceData!$BL$188),"")</f>
        <v/>
      </c>
      <c r="BM188" t="str">
        <f ca="1">IFERROR(IF(0=LEN(ReferenceData!$BM$188),"",ReferenceData!$BM$188),"")</f>
        <v/>
      </c>
    </row>
    <row r="189" spans="1:65" x14ac:dyDescent="0.25">
      <c r="A189" t="str">
        <f>IFERROR(IF(0=LEN(ReferenceData!$A$189),"",ReferenceData!$A$189),"")</f>
        <v xml:space="preserve">    Kia Motors Corp</v>
      </c>
      <c r="B189" t="str">
        <f>IFERROR(IF(0=LEN(ReferenceData!$B$189),"",ReferenceData!$B$189),"")</f>
        <v>000270 KS Equity</v>
      </c>
      <c r="C189" t="str">
        <f>IFERROR(IF(0=LEN(ReferenceData!$C$189),"",ReferenceData!$C$189),"")</f>
        <v>RR800</v>
      </c>
      <c r="D189" t="str">
        <f>IFERROR(IF(0=LEN(ReferenceData!$D$189),"",ReferenceData!$D$189),"")</f>
        <v>TRAIL_12M_NET_SALES</v>
      </c>
      <c r="E189" t="str">
        <f>IFERROR(IF(0=LEN(ReferenceData!$E$189),"",ReferenceData!$E$189),"")</f>
        <v>Dynamic</v>
      </c>
      <c r="F189" t="str">
        <f ca="1">IFERROR(IF(0=LEN(ReferenceData!$F$189),"",ReferenceData!$F$189),"")</f>
        <v/>
      </c>
      <c r="G189">
        <f ca="1">IFERROR(IF(0=LEN(ReferenceData!$G$189),"",ReferenceData!$G$189),"")</f>
        <v>49249.856509999998</v>
      </c>
      <c r="H189">
        <f ca="1">IFERROR(IF(0=LEN(ReferenceData!$H$189),"",ReferenceData!$H$189),"")</f>
        <v>49058.439030000001</v>
      </c>
      <c r="I189">
        <f ca="1">IFERROR(IF(0=LEN(ReferenceData!$I$189),"",ReferenceData!$I$189),"")</f>
        <v>48969.480250000001</v>
      </c>
      <c r="J189">
        <f ca="1">IFERROR(IF(0=LEN(ReferenceData!$J$189),"",ReferenceData!$J$189),"")</f>
        <v>47981.289819999998</v>
      </c>
      <c r="K189">
        <f ca="1">IFERROR(IF(0=LEN(ReferenceData!$K$189),"",ReferenceData!$K$189),"")</f>
        <v>47370.834289999999</v>
      </c>
      <c r="L189">
        <f ca="1">IFERROR(IF(0=LEN(ReferenceData!$L$189),"",ReferenceData!$L$189),"")</f>
        <v>46743.535020000003</v>
      </c>
      <c r="M189">
        <f ca="1">IFERROR(IF(0=LEN(ReferenceData!$M$189),"",ReferenceData!$M$189),"")</f>
        <v>45641.18707</v>
      </c>
      <c r="N189">
        <f ca="1">IFERROR(IF(0=LEN(ReferenceData!$N$189),"",ReferenceData!$N$189),"")</f>
        <v>46081.398079999999</v>
      </c>
      <c r="O189">
        <f ca="1">IFERROR(IF(0=LEN(ReferenceData!$O$189),"",ReferenceData!$O$189),"")</f>
        <v>45455.868479999997</v>
      </c>
      <c r="P189">
        <f ca="1">IFERROR(IF(0=LEN(ReferenceData!$P$189),"",ReferenceData!$P$189),"")</f>
        <v>45359.597029999997</v>
      </c>
      <c r="Q189">
        <f ca="1">IFERROR(IF(0=LEN(ReferenceData!$Q$189),"",ReferenceData!$Q$189),"")</f>
        <v>45213.307460000004</v>
      </c>
      <c r="R189">
        <f ca="1">IFERROR(IF(0=LEN(ReferenceData!$R$189),"",ReferenceData!$R$189),"")</f>
        <v>44147.464999999997</v>
      </c>
      <c r="S189">
        <f ca="1">IFERROR(IF(0=LEN(ReferenceData!$S$189),"",ReferenceData!$S$189),"")</f>
        <v>43783.50763</v>
      </c>
      <c r="T189">
        <f ca="1">IFERROR(IF(0=LEN(ReferenceData!$T$189),"",ReferenceData!$T$189),"")</f>
        <v>43506.463109999997</v>
      </c>
      <c r="U189">
        <f ca="1">IFERROR(IF(0=LEN(ReferenceData!$U$189),"",ReferenceData!$U$189),"")</f>
        <v>43385.255940000003</v>
      </c>
      <c r="V189">
        <f ca="1">IFERROR(IF(0=LEN(ReferenceData!$V$189),"",ReferenceData!$V$189),"")</f>
        <v>43728.065450000002</v>
      </c>
      <c r="W189">
        <f ca="1">IFERROR(IF(0=LEN(ReferenceData!$W$189),"",ReferenceData!$W$189),"")</f>
        <v>44747.311070000003</v>
      </c>
      <c r="X189">
        <f ca="1">IFERROR(IF(0=LEN(ReferenceData!$X$189),"",ReferenceData!$X$189),"")</f>
        <v>45069.42815</v>
      </c>
      <c r="Y189">
        <f ca="1">IFERROR(IF(0=LEN(ReferenceData!$Y$189),"",ReferenceData!$Y$189),"")</f>
        <v>44418.500350000002</v>
      </c>
      <c r="Z189">
        <f ca="1">IFERROR(IF(0=LEN(ReferenceData!$Z$189),"",ReferenceData!$Z$189),"")</f>
        <v>44433.352209999997</v>
      </c>
      <c r="AA189">
        <f ca="1">IFERROR(IF(0=LEN(ReferenceData!$AA$189),"",ReferenceData!$AA$189),"")</f>
        <v>43504.760979999999</v>
      </c>
      <c r="AB189">
        <f ca="1">IFERROR(IF(0=LEN(ReferenceData!$AB$189),"",ReferenceData!$AB$189),"")</f>
        <v>42770.666660000003</v>
      </c>
      <c r="AC189">
        <f ca="1">IFERROR(IF(0=LEN(ReferenceData!$AC$189),"",ReferenceData!$AC$189),"")</f>
        <v>42537.517740000003</v>
      </c>
      <c r="AD189">
        <f ca="1">IFERROR(IF(0=LEN(ReferenceData!$AD$189),"",ReferenceData!$AD$189),"")</f>
        <v>41761.049200000001</v>
      </c>
      <c r="AE189">
        <f ca="1">IFERROR(IF(0=LEN(ReferenceData!$AE$189),"",ReferenceData!$AE$189),"")</f>
        <v>41961.346539999999</v>
      </c>
      <c r="AF189">
        <f ca="1">IFERROR(IF(0=LEN(ReferenceData!$AF$189),"",ReferenceData!$AF$189),"")</f>
        <v>41162.9876</v>
      </c>
      <c r="AG189">
        <f ca="1">IFERROR(IF(0=LEN(ReferenceData!$AG$189),"",ReferenceData!$AG$189),"")</f>
        <v>40187.75864</v>
      </c>
      <c r="AH189">
        <f ca="1">IFERROR(IF(0=LEN(ReferenceData!$AH$189),"",ReferenceData!$AH$189),"")</f>
        <v>39939.90249</v>
      </c>
      <c r="AI189">
        <f ca="1">IFERROR(IF(0=LEN(ReferenceData!$AI$189),"",ReferenceData!$AI$189),"")</f>
        <v>39023.366950000003</v>
      </c>
      <c r="AJ189">
        <f ca="1">IFERROR(IF(0=LEN(ReferenceData!$AJ$189),"",ReferenceData!$AJ$189),"")</f>
        <v>38323.01885</v>
      </c>
      <c r="AK189">
        <f ca="1">IFERROR(IF(0=LEN(ReferenceData!$AK$189),"",ReferenceData!$AK$189),"")</f>
        <v>36360.26079</v>
      </c>
      <c r="AL189">
        <f ca="1">IFERROR(IF(0=LEN(ReferenceData!$AL$189),"",ReferenceData!$AL$189),"")</f>
        <v>33664.100420000002</v>
      </c>
      <c r="AM189">
        <f ca="1">IFERROR(IF(0=LEN(ReferenceData!$AM$189),"",ReferenceData!$AM$189),"")</f>
        <v>30998.140579999999</v>
      </c>
      <c r="AN189" t="str">
        <f ca="1">IFERROR(IF(0=LEN(ReferenceData!$AN$189),"",ReferenceData!$AN$189),"")</f>
        <v/>
      </c>
      <c r="AO189" t="str">
        <f ca="1">IFERROR(IF(0=LEN(ReferenceData!$AO$189),"",ReferenceData!$AO$189),"")</f>
        <v/>
      </c>
      <c r="AP189" t="str">
        <f ca="1">IFERROR(IF(0=LEN(ReferenceData!$AP$189),"",ReferenceData!$AP$189),"")</f>
        <v/>
      </c>
      <c r="AQ189" t="str">
        <f ca="1">IFERROR(IF(0=LEN(ReferenceData!$AQ$189),"",ReferenceData!$AQ$189),"")</f>
        <v/>
      </c>
      <c r="AR189" t="str">
        <f ca="1">IFERROR(IF(0=LEN(ReferenceData!$AR$189),"",ReferenceData!$AR$189),"")</f>
        <v/>
      </c>
      <c r="AS189" t="str">
        <f ca="1">IFERROR(IF(0=LEN(ReferenceData!$AS$189),"",ReferenceData!$AS$189),"")</f>
        <v/>
      </c>
      <c r="AT189" t="str">
        <f ca="1">IFERROR(IF(0=LEN(ReferenceData!$AT$189),"",ReferenceData!$AT$189),"")</f>
        <v/>
      </c>
      <c r="AU189" t="str">
        <f ca="1">IFERROR(IF(0=LEN(ReferenceData!$AU$189),"",ReferenceData!$AU$189),"")</f>
        <v/>
      </c>
      <c r="AV189" t="str">
        <f ca="1">IFERROR(IF(0=LEN(ReferenceData!$AV$189),"",ReferenceData!$AV$189),"")</f>
        <v/>
      </c>
      <c r="AW189" t="str">
        <f ca="1">IFERROR(IF(0=LEN(ReferenceData!$AW$189),"",ReferenceData!$AW$189),"")</f>
        <v/>
      </c>
      <c r="AX189" t="str">
        <f ca="1">IFERROR(IF(0=LEN(ReferenceData!$AX$189),"",ReferenceData!$AX$189),"")</f>
        <v/>
      </c>
      <c r="AY189" t="str">
        <f ca="1">IFERROR(IF(0=LEN(ReferenceData!$AY$189),"",ReferenceData!$AY$189),"")</f>
        <v/>
      </c>
      <c r="AZ189" t="str">
        <f ca="1">IFERROR(IF(0=LEN(ReferenceData!$AZ$189),"",ReferenceData!$AZ$189),"")</f>
        <v/>
      </c>
      <c r="BA189" t="str">
        <f ca="1">IFERROR(IF(0=LEN(ReferenceData!$BA$189),"",ReferenceData!$BA$189),"")</f>
        <v/>
      </c>
      <c r="BB189" t="str">
        <f ca="1">IFERROR(IF(0=LEN(ReferenceData!$BB$189),"",ReferenceData!$BB$189),"")</f>
        <v/>
      </c>
      <c r="BC189" t="str">
        <f ca="1">IFERROR(IF(0=LEN(ReferenceData!$BC$189),"",ReferenceData!$BC$189),"")</f>
        <v/>
      </c>
      <c r="BD189" t="str">
        <f ca="1">IFERROR(IF(0=LEN(ReferenceData!$BD$189),"",ReferenceData!$BD$189),"")</f>
        <v/>
      </c>
      <c r="BE189" t="str">
        <f ca="1">IFERROR(IF(0=LEN(ReferenceData!$BE$189),"",ReferenceData!$BE$189),"")</f>
        <v/>
      </c>
      <c r="BF189" t="str">
        <f ca="1">IFERROR(IF(0=LEN(ReferenceData!$BF$189),"",ReferenceData!$BF$189),"")</f>
        <v/>
      </c>
      <c r="BG189" t="str">
        <f ca="1">IFERROR(IF(0=LEN(ReferenceData!$BG$189),"",ReferenceData!$BG$189),"")</f>
        <v/>
      </c>
      <c r="BH189" t="str">
        <f ca="1">IFERROR(IF(0=LEN(ReferenceData!$BH$189),"",ReferenceData!$BH$189),"")</f>
        <v/>
      </c>
      <c r="BI189" t="str">
        <f ca="1">IFERROR(IF(0=LEN(ReferenceData!$BI$189),"",ReferenceData!$BI$189),"")</f>
        <v/>
      </c>
      <c r="BJ189" t="str">
        <f ca="1">IFERROR(IF(0=LEN(ReferenceData!$BJ$189),"",ReferenceData!$BJ$189),"")</f>
        <v/>
      </c>
      <c r="BK189" t="str">
        <f ca="1">IFERROR(IF(0=LEN(ReferenceData!$BK$189),"",ReferenceData!$BK$189),"")</f>
        <v/>
      </c>
      <c r="BL189" t="str">
        <f ca="1">IFERROR(IF(0=LEN(ReferenceData!$BL$189),"",ReferenceData!$BL$189),"")</f>
        <v/>
      </c>
      <c r="BM189" t="str">
        <f ca="1">IFERROR(IF(0=LEN(ReferenceData!$BM$189),"",ReferenceData!$BM$189),"")</f>
        <v/>
      </c>
    </row>
    <row r="190" spans="1:65" x14ac:dyDescent="0.25">
      <c r="A190" t="str">
        <f>IFERROR(IF(0=LEN(ReferenceData!$A$190),"",ReferenceData!$A$190),"")</f>
        <v xml:space="preserve">    Mazda Motor Corp</v>
      </c>
      <c r="B190" t="str">
        <f>IFERROR(IF(0=LEN(ReferenceData!$B$190),"",ReferenceData!$B$190),"")</f>
        <v>7261 JP Equity</v>
      </c>
      <c r="C190" t="str">
        <f>IFERROR(IF(0=LEN(ReferenceData!$C$190),"",ReferenceData!$C$190),"")</f>
        <v>RR800</v>
      </c>
      <c r="D190" t="str">
        <f>IFERROR(IF(0=LEN(ReferenceData!$D$190),"",ReferenceData!$D$190),"")</f>
        <v>TRAIL_12M_NET_SALES</v>
      </c>
      <c r="E190" t="str">
        <f>IFERROR(IF(0=LEN(ReferenceData!$E$190),"",ReferenceData!$E$190),"")</f>
        <v>Dynamic</v>
      </c>
      <c r="F190" t="str">
        <f ca="1">IFERROR(IF(0=LEN(ReferenceData!$F$190),"",ReferenceData!$F$190),"")</f>
        <v/>
      </c>
      <c r="G190">
        <f ca="1">IFERROR(IF(0=LEN(ReferenceData!$G$190),"",ReferenceData!$G$190),"")</f>
        <v>32146.505130000001</v>
      </c>
      <c r="H190">
        <f ca="1">IFERROR(IF(0=LEN(ReferenceData!$H$190),"",ReferenceData!$H$190),"")</f>
        <v>32118.95363</v>
      </c>
      <c r="I190">
        <f ca="1">IFERROR(IF(0=LEN(ReferenceData!$I$190),"",ReferenceData!$I$190),"")</f>
        <v>32144.316490000001</v>
      </c>
      <c r="J190">
        <f ca="1">IFERROR(IF(0=LEN(ReferenceData!$J$190),"",ReferenceData!$J$190),"")</f>
        <v>31355.954610000001</v>
      </c>
      <c r="K190">
        <f ca="1">IFERROR(IF(0=LEN(ReferenceData!$K$190),"",ReferenceData!$K$190),"")</f>
        <v>30446.69731</v>
      </c>
      <c r="L190">
        <f ca="1">IFERROR(IF(0=LEN(ReferenceData!$L$190),"",ReferenceData!$L$190),"")</f>
        <v>29893.41101</v>
      </c>
      <c r="M190">
        <f ca="1">IFERROR(IF(0=LEN(ReferenceData!$M$190),"",ReferenceData!$M$190),"")</f>
        <v>29756.39949</v>
      </c>
      <c r="N190">
        <f ca="1">IFERROR(IF(0=LEN(ReferenceData!$N$190),"",ReferenceData!$N$190),"")</f>
        <v>29734.327649999999</v>
      </c>
      <c r="O190">
        <f ca="1">IFERROR(IF(0=LEN(ReferenceData!$O$190),"",ReferenceData!$O$190),"")</f>
        <v>29572.752199999999</v>
      </c>
      <c r="P190">
        <f ca="1">IFERROR(IF(0=LEN(ReferenceData!$P$190),"",ReferenceData!$P$190),"")</f>
        <v>29239.93806</v>
      </c>
      <c r="Q190">
        <f ca="1">IFERROR(IF(0=LEN(ReferenceData!$Q$190),"",ReferenceData!$Q$190),"")</f>
        <v>29011.199550000001</v>
      </c>
      <c r="R190">
        <f ca="1">IFERROR(IF(0=LEN(ReferenceData!$R$190),"",ReferenceData!$R$190),"")</f>
        <v>28399.54132</v>
      </c>
      <c r="S190">
        <f ca="1">IFERROR(IF(0=LEN(ReferenceData!$S$190),"",ReferenceData!$S$190),"")</f>
        <v>27999.304950000002</v>
      </c>
      <c r="T190">
        <f ca="1">IFERROR(IF(0=LEN(ReferenceData!$T$190),"",ReferenceData!$T$190),"")</f>
        <v>27534.662199999999</v>
      </c>
      <c r="U190">
        <f ca="1">IFERROR(IF(0=LEN(ReferenceData!$U$190),"",ReferenceData!$U$190),"")</f>
        <v>27443.130840000002</v>
      </c>
      <c r="V190">
        <f ca="1">IFERROR(IF(0=LEN(ReferenceData!$V$190),"",ReferenceData!$V$190),"")</f>
        <v>27736.545399999999</v>
      </c>
      <c r="W190">
        <f ca="1">IFERROR(IF(0=LEN(ReferenceData!$W$190),"",ReferenceData!$W$190),"")</f>
        <v>27894.047429999999</v>
      </c>
      <c r="X190">
        <f ca="1">IFERROR(IF(0=LEN(ReferenceData!$X$190),"",ReferenceData!$X$190),"")</f>
        <v>28272.0556</v>
      </c>
      <c r="Y190">
        <f ca="1">IFERROR(IF(0=LEN(ReferenceData!$Y$190),"",ReferenceData!$Y$190),"")</f>
        <v>27541.701880000001</v>
      </c>
      <c r="Z190">
        <f ca="1">IFERROR(IF(0=LEN(ReferenceData!$Z$190),"",ReferenceData!$Z$190),"")</f>
        <v>26882.862150000001</v>
      </c>
      <c r="AA190">
        <f ca="1">IFERROR(IF(0=LEN(ReferenceData!$AA$190),"",ReferenceData!$AA$190),"")</f>
        <v>26787.010060000001</v>
      </c>
      <c r="AB190">
        <f ca="1">IFERROR(IF(0=LEN(ReferenceData!$AB$190),"",ReferenceData!$AB$190),"")</f>
        <v>26453.210950000001</v>
      </c>
      <c r="AC190">
        <f ca="1">IFERROR(IF(0=LEN(ReferenceData!$AC$190),"",ReferenceData!$AC$190),"")</f>
        <v>26649.081160000002</v>
      </c>
      <c r="AD190">
        <f ca="1">IFERROR(IF(0=LEN(ReferenceData!$AD$190),"",ReferenceData!$AD$190),"")</f>
        <v>26688.842000000001</v>
      </c>
      <c r="AE190">
        <f ca="1">IFERROR(IF(0=LEN(ReferenceData!$AE$190),"",ReferenceData!$AE$190),"")</f>
        <v>26952.377909999999</v>
      </c>
      <c r="AF190">
        <f ca="1">IFERROR(IF(0=LEN(ReferenceData!$AF$190),"",ReferenceData!$AF$190),"")</f>
        <v>26613.638200000001</v>
      </c>
      <c r="AG190">
        <f ca="1">IFERROR(IF(0=LEN(ReferenceData!$AG$190),"",ReferenceData!$AG$190),"")</f>
        <v>27133.459610000002</v>
      </c>
      <c r="AH190">
        <f ca="1">IFERROR(IF(0=LEN(ReferenceData!$AH$190),"",ReferenceData!$AH$190),"")</f>
        <v>25766.58539</v>
      </c>
      <c r="AI190">
        <f ca="1">IFERROR(IF(0=LEN(ReferenceData!$AI$190),"",ReferenceData!$AI$190),"")</f>
        <v>25450.425009999999</v>
      </c>
      <c r="AJ190">
        <f ca="1">IFERROR(IF(0=LEN(ReferenceData!$AJ$190),"",ReferenceData!$AJ$190),"")</f>
        <v>26285.869200000001</v>
      </c>
      <c r="AK190">
        <f ca="1">IFERROR(IF(0=LEN(ReferenceData!$AK$190),"",ReferenceData!$AK$190),"")</f>
        <v>25978.087749999999</v>
      </c>
      <c r="AL190">
        <f ca="1">IFERROR(IF(0=LEN(ReferenceData!$AL$190),"",ReferenceData!$AL$190),"")</f>
        <v>27213.483319999999</v>
      </c>
      <c r="AM190">
        <f ca="1">IFERROR(IF(0=LEN(ReferenceData!$AM$190),"",ReferenceData!$AM$190),"")</f>
        <v>26662.846699999998</v>
      </c>
      <c r="AN190">
        <f ca="1">IFERROR(IF(0=LEN(ReferenceData!$AN$190),"",ReferenceData!$AN$190),"")</f>
        <v>26052.459719999999</v>
      </c>
      <c r="AO190">
        <f ca="1">IFERROR(IF(0=LEN(ReferenceData!$AO$190),"",ReferenceData!$AO$190),"")</f>
        <v>25286.512579999999</v>
      </c>
      <c r="AP190">
        <f ca="1">IFERROR(IF(0=LEN(ReferenceData!$AP$190),"",ReferenceData!$AP$190),"")</f>
        <v>23333.427</v>
      </c>
      <c r="AQ190">
        <f ca="1">IFERROR(IF(0=LEN(ReferenceData!$AQ$190),"",ReferenceData!$AQ$190),"")</f>
        <v>21356.292799999999</v>
      </c>
      <c r="AR190">
        <f ca="1">IFERROR(IF(0=LEN(ReferenceData!$AR$190),"",ReferenceData!$AR$190),"")</f>
        <v>20528.74122</v>
      </c>
      <c r="AS190">
        <f ca="1">IFERROR(IF(0=LEN(ReferenceData!$AS$190),"",ReferenceData!$AS$190),"")</f>
        <v>22295.06338</v>
      </c>
      <c r="AT190">
        <f ca="1">IFERROR(IF(0=LEN(ReferenceData!$AT$190),"",ReferenceData!$AT$190),"")</f>
        <v>25338.240389999999</v>
      </c>
      <c r="AU190">
        <f ca="1">IFERROR(IF(0=LEN(ReferenceData!$AU$190),"",ReferenceData!$AU$190),"")</f>
        <v>29658.153679999999</v>
      </c>
      <c r="AV190">
        <f ca="1">IFERROR(IF(0=LEN(ReferenceData!$AV$190),"",ReferenceData!$AV$190),"")</f>
        <v>31571.48546</v>
      </c>
      <c r="AW190">
        <f ca="1">IFERROR(IF(0=LEN(ReferenceData!$AW$190),"",ReferenceData!$AW$190),"")</f>
        <v>31241.600579999998</v>
      </c>
      <c r="AX190">
        <f ca="1">IFERROR(IF(0=LEN(ReferenceData!$AX$190),"",ReferenceData!$AX$190),"")</f>
        <v>30517.760579999998</v>
      </c>
      <c r="AY190">
        <f ca="1">IFERROR(IF(0=LEN(ReferenceData!$AY$190),"",ReferenceData!$AY$190),"")</f>
        <v>29443.846420000002</v>
      </c>
      <c r="AZ190">
        <f ca="1">IFERROR(IF(0=LEN(ReferenceData!$AZ$190),"",ReferenceData!$AZ$190),"")</f>
        <v>28448.565070000001</v>
      </c>
      <c r="BA190">
        <f ca="1">IFERROR(IF(0=LEN(ReferenceData!$BA$190),"",ReferenceData!$BA$190),"")</f>
        <v>28076.19297</v>
      </c>
      <c r="BB190">
        <f ca="1">IFERROR(IF(0=LEN(ReferenceData!$BB$190),"",ReferenceData!$BB$190),"")</f>
        <v>27782.06612</v>
      </c>
      <c r="BC190">
        <f ca="1">IFERROR(IF(0=LEN(ReferenceData!$BC$190),"",ReferenceData!$BC$190),"")</f>
        <v>26795.418109999999</v>
      </c>
      <c r="BD190">
        <f ca="1">IFERROR(IF(0=LEN(ReferenceData!$BD$190),"",ReferenceData!$BD$190),"")</f>
        <v>26595.16735</v>
      </c>
      <c r="BE190">
        <f ca="1">IFERROR(IF(0=LEN(ReferenceData!$BE$190),"",ReferenceData!$BE$190),"")</f>
        <v>25976.934570000001</v>
      </c>
      <c r="BF190">
        <f ca="1">IFERROR(IF(0=LEN(ReferenceData!$BF$190),"",ReferenceData!$BF$190),"")</f>
        <v>25824.705330000001</v>
      </c>
      <c r="BG190">
        <f ca="1">IFERROR(IF(0=LEN(ReferenceData!$BG$190),"",ReferenceData!$BG$190),"")</f>
        <v>25309.26269</v>
      </c>
      <c r="BH190">
        <f ca="1">IFERROR(IF(0=LEN(ReferenceData!$BH$190),"",ReferenceData!$BH$190),"")</f>
        <v>25441.156940000001</v>
      </c>
      <c r="BI190">
        <f ca="1">IFERROR(IF(0=LEN(ReferenceData!$BI$190),"",ReferenceData!$BI$190),"")</f>
        <v>25488.020260000001</v>
      </c>
      <c r="BJ190">
        <f ca="1">IFERROR(IF(0=LEN(ReferenceData!$BJ$190),"",ReferenceData!$BJ$190),"")</f>
        <v>25101.054749999999</v>
      </c>
      <c r="BK190">
        <f ca="1">IFERROR(IF(0=LEN(ReferenceData!$BK$190),"",ReferenceData!$BK$190),"")</f>
        <v>28388.139950000001</v>
      </c>
      <c r="BL190">
        <f ca="1">IFERROR(IF(0=LEN(ReferenceData!$BL$190),"",ReferenceData!$BL$190),"")</f>
        <v>27806.036629999999</v>
      </c>
      <c r="BM190">
        <f ca="1">IFERROR(IF(0=LEN(ReferenceData!$BM$190),"",ReferenceData!$BM$190),"")</f>
        <v>26998.871070000001</v>
      </c>
    </row>
    <row r="191" spans="1:65" x14ac:dyDescent="0.25">
      <c r="A191" t="str">
        <f>IFERROR(IF(0=LEN(ReferenceData!$A$191),"",ReferenceData!$A$191),"")</f>
        <v xml:space="preserve">    Mitsubishi Motors Corp</v>
      </c>
      <c r="B191" t="str">
        <f>IFERROR(IF(0=LEN(ReferenceData!$B$191),"",ReferenceData!$B$191),"")</f>
        <v>7211 JP Equity</v>
      </c>
      <c r="C191" t="str">
        <f>IFERROR(IF(0=LEN(ReferenceData!$C$191),"",ReferenceData!$C$191),"")</f>
        <v>RR800</v>
      </c>
      <c r="D191" t="str">
        <f>IFERROR(IF(0=LEN(ReferenceData!$D$191),"",ReferenceData!$D$191),"")</f>
        <v>TRAIL_12M_NET_SALES</v>
      </c>
      <c r="E191" t="str">
        <f>IFERROR(IF(0=LEN(ReferenceData!$E$191),"",ReferenceData!$E$191),"")</f>
        <v>Dynamic</v>
      </c>
      <c r="F191" t="str">
        <f ca="1">IFERROR(IF(0=LEN(ReferenceData!$F$191),"",ReferenceData!$F$191),"")</f>
        <v/>
      </c>
      <c r="G191">
        <f ca="1">IFERROR(IF(0=LEN(ReferenceData!$G$191),"",ReferenceData!$G$191),"")</f>
        <v>22360.54984</v>
      </c>
      <c r="H191">
        <f ca="1">IFERROR(IF(0=LEN(ReferenceData!$H$191),"",ReferenceData!$H$191),"")</f>
        <v>21862.888660000001</v>
      </c>
      <c r="I191">
        <f ca="1">IFERROR(IF(0=LEN(ReferenceData!$I$191),"",ReferenceData!$I$191),"")</f>
        <v>20959.48057</v>
      </c>
      <c r="J191">
        <f ca="1">IFERROR(IF(0=LEN(ReferenceData!$J$191),"",ReferenceData!$J$191),"")</f>
        <v>19788.133290000002</v>
      </c>
      <c r="K191">
        <f ca="1">IFERROR(IF(0=LEN(ReferenceData!$K$191),"",ReferenceData!$K$191),"")</f>
        <v>18577.834169999998</v>
      </c>
      <c r="L191">
        <f ca="1">IFERROR(IF(0=LEN(ReferenceData!$L$191),"",ReferenceData!$L$191),"")</f>
        <v>17887.919010000001</v>
      </c>
      <c r="M191">
        <f ca="1">IFERROR(IF(0=LEN(ReferenceData!$M$191),"",ReferenceData!$M$191),"")</f>
        <v>17621.255529999999</v>
      </c>
      <c r="N191">
        <f ca="1">IFERROR(IF(0=LEN(ReferenceData!$N$191),"",ReferenceData!$N$191),"")</f>
        <v>17637.21789</v>
      </c>
      <c r="O191">
        <f ca="1">IFERROR(IF(0=LEN(ReferenceData!$O$191),"",ReferenceData!$O$191),"")</f>
        <v>17957.663820000002</v>
      </c>
      <c r="P191">
        <f ca="1">IFERROR(IF(0=LEN(ReferenceData!$P$191),"",ReferenceData!$P$191),"")</f>
        <v>18546.146270000001</v>
      </c>
      <c r="Q191">
        <f ca="1">IFERROR(IF(0=LEN(ReferenceData!$Q$191),"",ReferenceData!$Q$191),"")</f>
        <v>18867.073820000001</v>
      </c>
      <c r="R191">
        <f ca="1">IFERROR(IF(0=LEN(ReferenceData!$R$191),"",ReferenceData!$R$191),"")</f>
        <v>18906.186420000002</v>
      </c>
      <c r="S191">
        <f ca="1">IFERROR(IF(0=LEN(ReferenceData!$S$191),"",ReferenceData!$S$191),"")</f>
        <v>18627.97999</v>
      </c>
      <c r="T191">
        <f ca="1">IFERROR(IF(0=LEN(ReferenceData!$T$191),"",ReferenceData!$T$191),"")</f>
        <v>18594.72061</v>
      </c>
      <c r="U191">
        <f ca="1">IFERROR(IF(0=LEN(ReferenceData!$U$191),"",ReferenceData!$U$191),"")</f>
        <v>18977.935130000002</v>
      </c>
      <c r="V191">
        <f ca="1">IFERROR(IF(0=LEN(ReferenceData!$V$191),"",ReferenceData!$V$191),"")</f>
        <v>19936.675930000001</v>
      </c>
      <c r="W191">
        <f ca="1">IFERROR(IF(0=LEN(ReferenceData!$W$191),"",ReferenceData!$W$191),"")</f>
        <v>20485.814160000002</v>
      </c>
      <c r="X191">
        <f ca="1">IFERROR(IF(0=LEN(ReferenceData!$X$191),"",ReferenceData!$X$191),"")</f>
        <v>21503.799480000001</v>
      </c>
      <c r="Y191">
        <f ca="1">IFERROR(IF(0=LEN(ReferenceData!$Y$191),"",ReferenceData!$Y$191),"")</f>
        <v>21757.661940000002</v>
      </c>
      <c r="Z191">
        <f ca="1">IFERROR(IF(0=LEN(ReferenceData!$Z$191),"",ReferenceData!$Z$191),"")</f>
        <v>20903.36202</v>
      </c>
      <c r="AA191">
        <f ca="1">IFERROR(IF(0=LEN(ReferenceData!$AA$191),"",ReferenceData!$AA$191),"")</f>
        <v>21049.237349999999</v>
      </c>
      <c r="AB191">
        <f ca="1">IFERROR(IF(0=LEN(ReferenceData!$AB$191),"",ReferenceData!$AB$191),"")</f>
        <v>20459.88668</v>
      </c>
      <c r="AC191">
        <f ca="1">IFERROR(IF(0=LEN(ReferenceData!$AC$191),"",ReferenceData!$AC$191),"")</f>
        <v>20785.446469999999</v>
      </c>
      <c r="AD191">
        <f ca="1">IFERROR(IF(0=LEN(ReferenceData!$AD$191),"",ReferenceData!$AD$191),"")</f>
        <v>21967.044430000002</v>
      </c>
      <c r="AE191">
        <f ca="1">IFERROR(IF(0=LEN(ReferenceData!$AE$191),"",ReferenceData!$AE$191),"")</f>
        <v>22525.35745</v>
      </c>
      <c r="AF191">
        <f ca="1">IFERROR(IF(0=LEN(ReferenceData!$AF$191),"",ReferenceData!$AF$191),"")</f>
        <v>22329.771769999999</v>
      </c>
      <c r="AG191">
        <f ca="1">IFERROR(IF(0=LEN(ReferenceData!$AG$191),"",ReferenceData!$AG$191),"")</f>
        <v>22844.877</v>
      </c>
      <c r="AH191">
        <f ca="1">IFERROR(IF(0=LEN(ReferenceData!$AH$191),"",ReferenceData!$AH$191),"")</f>
        <v>22905.28328</v>
      </c>
      <c r="AI191">
        <f ca="1">IFERROR(IF(0=LEN(ReferenceData!$AI$191),"",ReferenceData!$AI$191),"")</f>
        <v>22745.94616</v>
      </c>
      <c r="AJ191">
        <f ca="1">IFERROR(IF(0=LEN(ReferenceData!$AJ$191),"",ReferenceData!$AJ$191),"")</f>
        <v>23123.981960000001</v>
      </c>
      <c r="AK191">
        <f ca="1">IFERROR(IF(0=LEN(ReferenceData!$AK$191),"",ReferenceData!$AK$191),"")</f>
        <v>22374.1466</v>
      </c>
      <c r="AL191">
        <f ca="1">IFERROR(IF(0=LEN(ReferenceData!$AL$191),"",ReferenceData!$AL$191),"")</f>
        <v>21395.700540000002</v>
      </c>
      <c r="AM191">
        <f ca="1">IFERROR(IF(0=LEN(ReferenceData!$AM$191),"",ReferenceData!$AM$191),"")</f>
        <v>20612.147519999999</v>
      </c>
      <c r="AN191">
        <f ca="1">IFERROR(IF(0=LEN(ReferenceData!$AN$191),"",ReferenceData!$AN$191),"")</f>
        <v>19413.93607</v>
      </c>
      <c r="AO191">
        <f ca="1">IFERROR(IF(0=LEN(ReferenceData!$AO$191),"",ReferenceData!$AO$191),"")</f>
        <v>17379.264380000001</v>
      </c>
      <c r="AP191">
        <f ca="1">IFERROR(IF(0=LEN(ReferenceData!$AP$191),"",ReferenceData!$AP$191),"")</f>
        <v>15587.775900000001</v>
      </c>
      <c r="AQ191">
        <f ca="1">IFERROR(IF(0=LEN(ReferenceData!$AQ$191),"",ReferenceData!$AQ$191),"")</f>
        <v>13562.99453</v>
      </c>
      <c r="AR191">
        <f ca="1">IFERROR(IF(0=LEN(ReferenceData!$AR$191),"",ReferenceData!$AR$191),"")</f>
        <v>14024.333329999999</v>
      </c>
      <c r="AS191">
        <f ca="1">IFERROR(IF(0=LEN(ReferenceData!$AS$191),"",ReferenceData!$AS$191),"")</f>
        <v>16501.243030000001</v>
      </c>
      <c r="AT191">
        <f ca="1">IFERROR(IF(0=LEN(ReferenceData!$AT$191),"",ReferenceData!$AT$191),"")</f>
        <v>19719.548220000001</v>
      </c>
      <c r="AU191">
        <f ca="1">IFERROR(IF(0=LEN(ReferenceData!$AU$191),"",ReferenceData!$AU$191),"")</f>
        <v>23212.150710000002</v>
      </c>
      <c r="AV191">
        <f ca="1">IFERROR(IF(0=LEN(ReferenceData!$AV$191),"",ReferenceData!$AV$191),"")</f>
        <v>24016.522959999998</v>
      </c>
      <c r="AW191">
        <f ca="1">IFERROR(IF(0=LEN(ReferenceData!$AW$191),"",ReferenceData!$AW$191),"")</f>
        <v>24217.54752</v>
      </c>
      <c r="AX191">
        <f ca="1">IFERROR(IF(0=LEN(ReferenceData!$AX$191),"",ReferenceData!$AX$191),"")</f>
        <v>23549.121429999999</v>
      </c>
      <c r="AY191">
        <f ca="1">IFERROR(IF(0=LEN(ReferenceData!$AY$191),"",ReferenceData!$AY$191),"")</f>
        <v>22150.88366</v>
      </c>
      <c r="AZ191">
        <f ca="1">IFERROR(IF(0=LEN(ReferenceData!$AZ$191),"",ReferenceData!$AZ$191),"")</f>
        <v>21119.494999999999</v>
      </c>
      <c r="BA191">
        <f ca="1">IFERROR(IF(0=LEN(ReferenceData!$BA$191),"",ReferenceData!$BA$191),"")</f>
        <v>19826.69975</v>
      </c>
      <c r="BB191">
        <f ca="1">IFERROR(IF(0=LEN(ReferenceData!$BB$191),"",ReferenceData!$BB$191),"")</f>
        <v>18845.43003</v>
      </c>
      <c r="BC191">
        <f ca="1">IFERROR(IF(0=LEN(ReferenceData!$BC$191),"",ReferenceData!$BC$191),"")</f>
        <v>18355.423009999999</v>
      </c>
      <c r="BD191">
        <f ca="1">IFERROR(IF(0=LEN(ReferenceData!$BD$191),"",ReferenceData!$BD$191),"")</f>
        <v>18372.39918</v>
      </c>
      <c r="BE191">
        <f ca="1">IFERROR(IF(0=LEN(ReferenceData!$BE$191),"",ReferenceData!$BE$191),"")</f>
        <v>18443.099279999999</v>
      </c>
      <c r="BF191">
        <f ca="1">IFERROR(IF(0=LEN(ReferenceData!$BF$191),"",ReferenceData!$BF$191),"")</f>
        <v>18751.181629999999</v>
      </c>
      <c r="BG191">
        <f ca="1">IFERROR(IF(0=LEN(ReferenceData!$BG$191),"",ReferenceData!$BG$191),"")</f>
        <v>18502.255560000001</v>
      </c>
      <c r="BH191">
        <f ca="1">IFERROR(IF(0=LEN(ReferenceData!$BH$191),"",ReferenceData!$BH$191),"")</f>
        <v>19061.179840000001</v>
      </c>
      <c r="BI191">
        <f ca="1">IFERROR(IF(0=LEN(ReferenceData!$BI$191),"",ReferenceData!$BI$191),"")</f>
        <v>19189.160380000001</v>
      </c>
      <c r="BJ191">
        <f ca="1">IFERROR(IF(0=LEN(ReferenceData!$BJ$191),"",ReferenceData!$BJ$191),"")</f>
        <v>19766.012999999999</v>
      </c>
      <c r="BK191">
        <f ca="1">IFERROR(IF(0=LEN(ReferenceData!$BK$191),"",ReferenceData!$BK$191),"")</f>
        <v>21334.600920000001</v>
      </c>
      <c r="BL191">
        <f ca="1">IFERROR(IF(0=LEN(ReferenceData!$BL$191),"",ReferenceData!$BL$191),"")</f>
        <v>21892.62715</v>
      </c>
      <c r="BM191">
        <f ca="1">IFERROR(IF(0=LEN(ReferenceData!$BM$191),"",ReferenceData!$BM$191),"")</f>
        <v>22329.518080000002</v>
      </c>
    </row>
    <row r="192" spans="1:65" x14ac:dyDescent="0.25">
      <c r="A192" t="str">
        <f>IFERROR(IF(0=LEN(ReferenceData!$A$192),"",ReferenceData!$A$192),"")</f>
        <v xml:space="preserve">    Nissan Motor Co Ltd</v>
      </c>
      <c r="B192" t="str">
        <f>IFERROR(IF(0=LEN(ReferenceData!$B$192),"",ReferenceData!$B$192),"")</f>
        <v>7201 JP Equity</v>
      </c>
      <c r="C192" t="str">
        <f>IFERROR(IF(0=LEN(ReferenceData!$C$192),"",ReferenceData!$C$192),"")</f>
        <v>RR800</v>
      </c>
      <c r="D192" t="str">
        <f>IFERROR(IF(0=LEN(ReferenceData!$D$192),"",ReferenceData!$D$192),"")</f>
        <v>TRAIL_12M_NET_SALES</v>
      </c>
      <c r="E192" t="str">
        <f>IFERROR(IF(0=LEN(ReferenceData!$E$192),"",ReferenceData!$E$192),"")</f>
        <v>Dynamic</v>
      </c>
      <c r="F192" t="str">
        <f ca="1">IFERROR(IF(0=LEN(ReferenceData!$F$192),"",ReferenceData!$F$192),"")</f>
        <v/>
      </c>
      <c r="G192">
        <f ca="1">IFERROR(IF(0=LEN(ReferenceData!$G$192),"",ReferenceData!$G$192),"")</f>
        <v>108719.9801</v>
      </c>
      <c r="H192">
        <f ca="1">IFERROR(IF(0=LEN(ReferenceData!$H$192),"",ReferenceData!$H$192),"")</f>
        <v>107151.6191</v>
      </c>
      <c r="I192">
        <f ca="1">IFERROR(IF(0=LEN(ReferenceData!$I$192),"",ReferenceData!$I$192),"")</f>
        <v>107967.9394</v>
      </c>
      <c r="J192">
        <f ca="1">IFERROR(IF(0=LEN(ReferenceData!$J$192),"",ReferenceData!$J$192),"")</f>
        <v>107869.23540000001</v>
      </c>
      <c r="K192">
        <f ca="1">IFERROR(IF(0=LEN(ReferenceData!$K$192),"",ReferenceData!$K$192),"")</f>
        <v>106878.7674</v>
      </c>
      <c r="L192">
        <f ca="1">IFERROR(IF(0=LEN(ReferenceData!$L$192),"",ReferenceData!$L$192),"")</f>
        <v>108360.496</v>
      </c>
      <c r="M192">
        <f ca="1">IFERROR(IF(0=LEN(ReferenceData!$M$192),"",ReferenceData!$M$192),"")</f>
        <v>108603.4829</v>
      </c>
      <c r="N192">
        <f ca="1">IFERROR(IF(0=LEN(ReferenceData!$N$192),"",ReferenceData!$N$192),"")</f>
        <v>108415.7387</v>
      </c>
      <c r="O192">
        <f ca="1">IFERROR(IF(0=LEN(ReferenceData!$O$192),"",ReferenceData!$O$192),"")</f>
        <v>106135.5</v>
      </c>
      <c r="P192">
        <f ca="1">IFERROR(IF(0=LEN(ReferenceData!$P$192),"",ReferenceData!$P$192),"")</f>
        <v>104082.76149999999</v>
      </c>
      <c r="Q192">
        <f ca="1">IFERROR(IF(0=LEN(ReferenceData!$Q$192),"",ReferenceData!$Q$192),"")</f>
        <v>102620.5632</v>
      </c>
      <c r="R192">
        <f ca="1">IFERROR(IF(0=LEN(ReferenceData!$R$192),"",ReferenceData!$R$192),"")</f>
        <v>101619.34</v>
      </c>
      <c r="S192">
        <f ca="1">IFERROR(IF(0=LEN(ReferenceData!$S$192),"",ReferenceData!$S$192),"")</f>
        <v>101065.2896</v>
      </c>
      <c r="T192">
        <f ca="1">IFERROR(IF(0=LEN(ReferenceData!$T$192),"",ReferenceData!$T$192),"")</f>
        <v>102094.2096</v>
      </c>
      <c r="U192">
        <f ca="1">IFERROR(IF(0=LEN(ReferenceData!$U$192),"",ReferenceData!$U$192),"")</f>
        <v>103397.0045</v>
      </c>
      <c r="V192">
        <f ca="1">IFERROR(IF(0=LEN(ReferenceData!$V$192),"",ReferenceData!$V$192),"")</f>
        <v>103994.5448</v>
      </c>
      <c r="W192">
        <f ca="1">IFERROR(IF(0=LEN(ReferenceData!$W$192),"",ReferenceData!$W$192),"")</f>
        <v>106938.2206</v>
      </c>
      <c r="X192">
        <f ca="1">IFERROR(IF(0=LEN(ReferenceData!$X$192),"",ReferenceData!$X$192),"")</f>
        <v>106281.6906</v>
      </c>
      <c r="Y192">
        <f ca="1">IFERROR(IF(0=LEN(ReferenceData!$Y$192),"",ReferenceData!$Y$192),"")</f>
        <v>106079.27899999999</v>
      </c>
      <c r="Z192">
        <f ca="1">IFERROR(IF(0=LEN(ReferenceData!$Z$192),"",ReferenceData!$Z$192),"")</f>
        <v>104671.333</v>
      </c>
      <c r="AA192">
        <f ca="1">IFERROR(IF(0=LEN(ReferenceData!$AA$192),"",ReferenceData!$AA$192),"")</f>
        <v>101960.389</v>
      </c>
      <c r="AB192">
        <f ca="1">IFERROR(IF(0=LEN(ReferenceData!$AB$192),"",ReferenceData!$AB$192),"")</f>
        <v>102398.01059999999</v>
      </c>
      <c r="AC192">
        <f ca="1">IFERROR(IF(0=LEN(ReferenceData!$AC$192),"",ReferenceData!$AC$192),"")</f>
        <v>104488.3527</v>
      </c>
      <c r="AD192">
        <f ca="1">IFERROR(IF(0=LEN(ReferenceData!$AD$192),"",ReferenceData!$AD$192),"")</f>
        <v>105741.6792</v>
      </c>
      <c r="AE192">
        <f ca="1">IFERROR(IF(0=LEN(ReferenceData!$AE$192),"",ReferenceData!$AE$192),"")</f>
        <v>110203.5572</v>
      </c>
      <c r="AF192">
        <f ca="1">IFERROR(IF(0=LEN(ReferenceData!$AF$192),"",ReferenceData!$AF$192),"")</f>
        <v>115535.3097</v>
      </c>
      <c r="AG192">
        <f ca="1">IFERROR(IF(0=LEN(ReferenceData!$AG$192),"",ReferenceData!$AG$192),"")</f>
        <v>117396.3992</v>
      </c>
      <c r="AH192">
        <f ca="1">IFERROR(IF(0=LEN(ReferenceData!$AH$192),"",ReferenceData!$AH$192),"")</f>
        <v>119248.1827</v>
      </c>
      <c r="AI192">
        <f ca="1">IFERROR(IF(0=LEN(ReferenceData!$AI$192),"",ReferenceData!$AI$192),"")</f>
        <v>113678.09020000001</v>
      </c>
      <c r="AJ192">
        <f ca="1">IFERROR(IF(0=LEN(ReferenceData!$AJ$192),"",ReferenceData!$AJ$192),"")</f>
        <v>109009.4583</v>
      </c>
      <c r="AK192">
        <f ca="1">IFERROR(IF(0=LEN(ReferenceData!$AK$192),"",ReferenceData!$AK$192),"")</f>
        <v>106102.8028</v>
      </c>
      <c r="AL192">
        <f ca="1">IFERROR(IF(0=LEN(ReferenceData!$AL$192),"",ReferenceData!$AL$192),"")</f>
        <v>102656.19899999999</v>
      </c>
      <c r="AM192">
        <f ca="1">IFERROR(IF(0=LEN(ReferenceData!$AM$192),"",ReferenceData!$AM$192),"")</f>
        <v>97781.146599999993</v>
      </c>
      <c r="AN192">
        <f ca="1">IFERROR(IF(0=LEN(ReferenceData!$AN$192),"",ReferenceData!$AN$192),"")</f>
        <v>94462.10441</v>
      </c>
      <c r="AO192">
        <f ca="1">IFERROR(IF(0=LEN(ReferenceData!$AO$192),"",ReferenceData!$AO$192),"")</f>
        <v>88004.628660000002</v>
      </c>
      <c r="AP192">
        <f ca="1">IFERROR(IF(0=LEN(ReferenceData!$AP$192),"",ReferenceData!$AP$192),"")</f>
        <v>81057.275739999997</v>
      </c>
      <c r="AQ192">
        <f ca="1">IFERROR(IF(0=LEN(ReferenceData!$AQ$192),"",ReferenceData!$AQ$192),"")</f>
        <v>76299.033320000002</v>
      </c>
      <c r="AR192">
        <f ca="1">IFERROR(IF(0=LEN(ReferenceData!$AR$192),"",ReferenceData!$AR$192),"")</f>
        <v>73151.318010000003</v>
      </c>
      <c r="AS192">
        <f ca="1">IFERROR(IF(0=LEN(ReferenceData!$AS$192),"",ReferenceData!$AS$192),"")</f>
        <v>77336.061809999999</v>
      </c>
      <c r="AT192">
        <f ca="1">IFERROR(IF(0=LEN(ReferenceData!$AT$192),"",ReferenceData!$AT$192),"")</f>
        <v>84300.596019999997</v>
      </c>
      <c r="AU192">
        <f ca="1">IFERROR(IF(0=LEN(ReferenceData!$AU$192),"",ReferenceData!$AU$192),"")</f>
        <v>93855.942360000001</v>
      </c>
      <c r="AV192">
        <f ca="1">IFERROR(IF(0=LEN(ReferenceData!$AV$192),"",ReferenceData!$AV$192),"")</f>
        <v>98840.91012</v>
      </c>
      <c r="AW192">
        <f ca="1">IFERROR(IF(0=LEN(ReferenceData!$AW$192),"",ReferenceData!$AW$192),"")</f>
        <v>97592.465129999997</v>
      </c>
      <c r="AX192">
        <f ca="1">IFERROR(IF(0=LEN(ReferenceData!$AX$192),"",ReferenceData!$AX$192),"")</f>
        <v>95037.847169999994</v>
      </c>
      <c r="AY192">
        <f ca="1">IFERROR(IF(0=LEN(ReferenceData!$AY$192),"",ReferenceData!$AY$192),"")</f>
        <v>97116.520069999999</v>
      </c>
      <c r="AZ192">
        <f ca="1">IFERROR(IF(0=LEN(ReferenceData!$AZ$192),"",ReferenceData!$AZ$192),"")</f>
        <v>92511.076709999994</v>
      </c>
      <c r="BA192">
        <f ca="1">IFERROR(IF(0=LEN(ReferenceData!$BA$192),"",ReferenceData!$BA$192),"")</f>
        <v>90322.757490000004</v>
      </c>
      <c r="BB192">
        <f ca="1">IFERROR(IF(0=LEN(ReferenceData!$BB$192),"",ReferenceData!$BB$192),"")</f>
        <v>89558.185809999995</v>
      </c>
      <c r="BC192">
        <f ca="1">IFERROR(IF(0=LEN(ReferenceData!$BC$192),"",ReferenceData!$BC$192),"")</f>
        <v>81805.87053</v>
      </c>
      <c r="BD192">
        <f ca="1">IFERROR(IF(0=LEN(ReferenceData!$BD$192),"",ReferenceData!$BD$192),"")</f>
        <v>81538.617499999993</v>
      </c>
      <c r="BE192">
        <f ca="1">IFERROR(IF(0=LEN(ReferenceData!$BE$192),"",ReferenceData!$BE$192),"")</f>
        <v>82665.537849999993</v>
      </c>
      <c r="BF192">
        <f ca="1">IFERROR(IF(0=LEN(ReferenceData!$BF$192),"",ReferenceData!$BF$192),"")</f>
        <v>83389.596799999999</v>
      </c>
      <c r="BG192">
        <f ca="1">IFERROR(IF(0=LEN(ReferenceData!$BG$192),"",ReferenceData!$BG$192),"")</f>
        <v>84297.667440000005</v>
      </c>
      <c r="BH192">
        <f ca="1">IFERROR(IF(0=LEN(ReferenceData!$BH$192),"",ReferenceData!$BH$192),"")</f>
        <v>84520.048980000007</v>
      </c>
      <c r="BI192">
        <f ca="1">IFERROR(IF(0=LEN(ReferenceData!$BI$192),"",ReferenceData!$BI$192),"")</f>
        <v>82492.122080000001</v>
      </c>
      <c r="BJ192">
        <f ca="1">IFERROR(IF(0=LEN(ReferenceData!$BJ$192),"",ReferenceData!$BJ$192),"")</f>
        <v>79862.173020000002</v>
      </c>
      <c r="BK192">
        <f ca="1">IFERROR(IF(0=LEN(ReferenceData!$BK$192),"",ReferenceData!$BK$192),"")</f>
        <v>75444.498739999995</v>
      </c>
      <c r="BL192">
        <f ca="1">IFERROR(IF(0=LEN(ReferenceData!$BL$192),"",ReferenceData!$BL$192),"")</f>
        <v>72389.504109999994</v>
      </c>
      <c r="BM192">
        <f ca="1">IFERROR(IF(0=LEN(ReferenceData!$BM$192),"",ReferenceData!$BM$192),"")</f>
        <v>69467.393890000007</v>
      </c>
    </row>
    <row r="193" spans="1:65" x14ac:dyDescent="0.25">
      <c r="A193" t="str">
        <f>IFERROR(IF(0=LEN(ReferenceData!$A$193),"",ReferenceData!$A$193),"")</f>
        <v xml:space="preserve">    Peugeot SA</v>
      </c>
      <c r="B193" t="str">
        <f>IFERROR(IF(0=LEN(ReferenceData!$B$193),"",ReferenceData!$B$193),"")</f>
        <v>UG FP Equity</v>
      </c>
      <c r="C193" t="str">
        <f>IFERROR(IF(0=LEN(ReferenceData!$C$193),"",ReferenceData!$C$193),"")</f>
        <v>RR800</v>
      </c>
      <c r="D193" t="str">
        <f>IFERROR(IF(0=LEN(ReferenceData!$D$193),"",ReferenceData!$D$193),"")</f>
        <v>TRAIL_12M_NET_SALES</v>
      </c>
      <c r="E193" t="str">
        <f>IFERROR(IF(0=LEN(ReferenceData!$E$193),"",ReferenceData!$E$193),"")</f>
        <v>Dynamic</v>
      </c>
      <c r="F193" t="str">
        <f ca="1">IFERROR(IF(0=LEN(ReferenceData!$F$193),"",ReferenceData!$F$193),"")</f>
        <v/>
      </c>
      <c r="G193">
        <f ca="1">IFERROR(IF(0=LEN(ReferenceData!$G$193),"",ReferenceData!$G$193),"")</f>
        <v>87435.088749999995</v>
      </c>
      <c r="H193">
        <f ca="1">IFERROR(IF(0=LEN(ReferenceData!$H$193),"",ReferenceData!$H$193),"")</f>
        <v>89378.295840000006</v>
      </c>
      <c r="I193">
        <f ca="1">IFERROR(IF(0=LEN(ReferenceData!$I$193),"",ReferenceData!$I$193),"")</f>
        <v>88269.082590000005</v>
      </c>
      <c r="J193">
        <f ca="1">IFERROR(IF(0=LEN(ReferenceData!$J$193),"",ReferenceData!$J$193),"")</f>
        <v>79958.858030000003</v>
      </c>
      <c r="K193">
        <f ca="1">IFERROR(IF(0=LEN(ReferenceData!$K$193),"",ReferenceData!$K$193),"")</f>
        <v>71079.804029999999</v>
      </c>
      <c r="L193">
        <f ca="1">IFERROR(IF(0=LEN(ReferenceData!$L$193),"",ReferenceData!$L$193),"")</f>
        <v>62649.887139999999</v>
      </c>
      <c r="M193">
        <f ca="1">IFERROR(IF(0=LEN(ReferenceData!$M$193),"",ReferenceData!$M$193),"")</f>
        <v>58655.887329999998</v>
      </c>
      <c r="N193">
        <f ca="1">IFERROR(IF(0=LEN(ReferenceData!$N$193),"",ReferenceData!$N$193),"")</f>
        <v>59067.682719999997</v>
      </c>
      <c r="O193">
        <f ca="1">IFERROR(IF(0=LEN(ReferenceData!$O$193),"",ReferenceData!$O$193),"")</f>
        <v>59801.953479999996</v>
      </c>
      <c r="P193">
        <f ca="1">IFERROR(IF(0=LEN(ReferenceData!$P$193),"",ReferenceData!$P$193),"")</f>
        <v>59782.145149999997</v>
      </c>
      <c r="Q193">
        <f ca="1">IFERROR(IF(0=LEN(ReferenceData!$Q$193),"",ReferenceData!$Q$193),"")</f>
        <v>60404.197899999999</v>
      </c>
      <c r="R193" t="str">
        <f ca="1">IFERROR(IF(0=LEN(ReferenceData!$R$193),"",ReferenceData!$R$193),"")</f>
        <v/>
      </c>
      <c r="S193" t="str">
        <f ca="1">IFERROR(IF(0=LEN(ReferenceData!$S$193),"",ReferenceData!$S$193),"")</f>
        <v/>
      </c>
      <c r="T193" t="str">
        <f ca="1">IFERROR(IF(0=LEN(ReferenceData!$T$193),"",ReferenceData!$T$193),"")</f>
        <v/>
      </c>
      <c r="U193" t="str">
        <f ca="1">IFERROR(IF(0=LEN(ReferenceData!$U$193),"",ReferenceData!$U$193),"")</f>
        <v/>
      </c>
      <c r="V193">
        <f ca="1">IFERROR(IF(0=LEN(ReferenceData!$V$193),"",ReferenceData!$V$193),"")</f>
        <v>68139.257339999996</v>
      </c>
      <c r="W193">
        <f ca="1">IFERROR(IF(0=LEN(ReferenceData!$W$193),"",ReferenceData!$W$193),"")</f>
        <v>70837.520069999999</v>
      </c>
      <c r="X193">
        <f ca="1">IFERROR(IF(0=LEN(ReferenceData!$X$193),"",ReferenceData!$X$193),"")</f>
        <v>73142.85759</v>
      </c>
      <c r="Y193">
        <f ca="1">IFERROR(IF(0=LEN(ReferenceData!$Y$193),"",ReferenceData!$Y$193),"")</f>
        <v>73265.931859999997</v>
      </c>
      <c r="Z193">
        <f ca="1">IFERROR(IF(0=LEN(ReferenceData!$Z$193),"",ReferenceData!$Z$193),"")</f>
        <v>72882.239740000005</v>
      </c>
      <c r="AA193">
        <f ca="1">IFERROR(IF(0=LEN(ReferenceData!$AA$193),"",ReferenceData!$AA$193),"")</f>
        <v>71889.543269999995</v>
      </c>
      <c r="AB193">
        <f ca="1">IFERROR(IF(0=LEN(ReferenceData!$AB$193),"",ReferenceData!$AB$193),"")</f>
        <v>69293.285839999997</v>
      </c>
      <c r="AC193">
        <f ca="1">IFERROR(IF(0=LEN(ReferenceData!$AC$193),"",ReferenceData!$AC$193),"")</f>
        <v>69382.847179999997</v>
      </c>
      <c r="AD193">
        <f ca="1">IFERROR(IF(0=LEN(ReferenceData!$AD$193),"",ReferenceData!$AD$193),"")</f>
        <v>69804.402010000005</v>
      </c>
      <c r="AE193">
        <f ca="1">IFERROR(IF(0=LEN(ReferenceData!$AE$193),"",ReferenceData!$AE$193),"")</f>
        <v>71296.408559999996</v>
      </c>
      <c r="AF193">
        <f ca="1">IFERROR(IF(0=LEN(ReferenceData!$AF$193),"",ReferenceData!$AF$193),"")</f>
        <v>75057.302039999995</v>
      </c>
      <c r="AG193">
        <f ca="1">IFERROR(IF(0=LEN(ReferenceData!$AG$193),"",ReferenceData!$AG$193),"")</f>
        <v>78105.854560000007</v>
      </c>
      <c r="AH193">
        <f ca="1">IFERROR(IF(0=LEN(ReferenceData!$AH$193),"",ReferenceData!$AH$193),"")</f>
        <v>81007.280979999996</v>
      </c>
      <c r="AI193">
        <f ca="1">IFERROR(IF(0=LEN(ReferenceData!$AI$193),"",ReferenceData!$AI$193),"")</f>
        <v>83421.596690000006</v>
      </c>
      <c r="AJ193">
        <f ca="1">IFERROR(IF(0=LEN(ReferenceData!$AJ$193),"",ReferenceData!$AJ$193),"")</f>
        <v>82642.859830000001</v>
      </c>
      <c r="AK193">
        <f ca="1">IFERROR(IF(0=LEN(ReferenceData!$AK$193),"",ReferenceData!$AK$193),"")</f>
        <v>80230.122430000003</v>
      </c>
      <c r="AL193">
        <f ca="1">IFERROR(IF(0=LEN(ReferenceData!$AL$193),"",ReferenceData!$AL$193),"")</f>
        <v>76057.510880000002</v>
      </c>
      <c r="AM193">
        <f ca="1">IFERROR(IF(0=LEN(ReferenceData!$AM$193),"",ReferenceData!$AM$193),"")</f>
        <v>74371.146569999997</v>
      </c>
      <c r="AN193">
        <f ca="1">IFERROR(IF(0=LEN(ReferenceData!$AN$193),"",ReferenceData!$AN$193),"")</f>
        <v>73980.551730000007</v>
      </c>
      <c r="AO193">
        <f ca="1">IFERROR(IF(0=LEN(ReferenceData!$AO$193),"",ReferenceData!$AO$193),"")</f>
        <v>74184.267800000001</v>
      </c>
      <c r="AP193">
        <f ca="1">IFERROR(IF(0=LEN(ReferenceData!$AP$193),"",ReferenceData!$AP$193),"")</f>
        <v>72710.025580000001</v>
      </c>
      <c r="AQ193">
        <f ca="1">IFERROR(IF(0=LEN(ReferenceData!$AQ$193),"",ReferenceData!$AQ$193),"")</f>
        <v>67514.441019999998</v>
      </c>
      <c r="AR193" t="str">
        <f ca="1">IFERROR(IF(0=LEN(ReferenceData!$AR$193),"",ReferenceData!$AR$193),"")</f>
        <v/>
      </c>
      <c r="AS193" t="str">
        <f ca="1">IFERROR(IF(0=LEN(ReferenceData!$AS$193),"",ReferenceData!$AS$193),"")</f>
        <v/>
      </c>
      <c r="AT193" t="str">
        <f ca="1">IFERROR(IF(0=LEN(ReferenceData!$AT$193),"",ReferenceData!$AT$193),"")</f>
        <v/>
      </c>
      <c r="AU193" t="str">
        <f ca="1">IFERROR(IF(0=LEN(ReferenceData!$AU$193),"",ReferenceData!$AU$193),"")</f>
        <v/>
      </c>
      <c r="AV193" t="str">
        <f ca="1">IFERROR(IF(0=LEN(ReferenceData!$AV$193),"",ReferenceData!$AV$193),"")</f>
        <v/>
      </c>
      <c r="AW193" t="str">
        <f ca="1">IFERROR(IF(0=LEN(ReferenceData!$AW$193),"",ReferenceData!$AW$193),"")</f>
        <v/>
      </c>
      <c r="AX193" t="str">
        <f ca="1">IFERROR(IF(0=LEN(ReferenceData!$AX$193),"",ReferenceData!$AX$193),"")</f>
        <v/>
      </c>
      <c r="AY193" t="str">
        <f ca="1">IFERROR(IF(0=LEN(ReferenceData!$AY$193),"",ReferenceData!$AY$193),"")</f>
        <v/>
      </c>
      <c r="AZ193" t="str">
        <f ca="1">IFERROR(IF(0=LEN(ReferenceData!$AZ$193),"",ReferenceData!$AZ$193),"")</f>
        <v/>
      </c>
      <c r="BA193" t="str">
        <f ca="1">IFERROR(IF(0=LEN(ReferenceData!$BA$193),"",ReferenceData!$BA$193),"")</f>
        <v/>
      </c>
      <c r="BB193" t="str">
        <f ca="1">IFERROR(IF(0=LEN(ReferenceData!$BB$193),"",ReferenceData!$BB$193),"")</f>
        <v/>
      </c>
      <c r="BC193" t="str">
        <f ca="1">IFERROR(IF(0=LEN(ReferenceData!$BC$193),"",ReferenceData!$BC$193),"")</f>
        <v/>
      </c>
      <c r="BD193" t="str">
        <f ca="1">IFERROR(IF(0=LEN(ReferenceData!$BD$193),"",ReferenceData!$BD$193),"")</f>
        <v/>
      </c>
      <c r="BE193" t="str">
        <f ca="1">IFERROR(IF(0=LEN(ReferenceData!$BE$193),"",ReferenceData!$BE$193),"")</f>
        <v/>
      </c>
      <c r="BF193" t="str">
        <f ca="1">IFERROR(IF(0=LEN(ReferenceData!$BF$193),"",ReferenceData!$BF$193),"")</f>
        <v/>
      </c>
      <c r="BG193" t="str">
        <f ca="1">IFERROR(IF(0=LEN(ReferenceData!$BG$193),"",ReferenceData!$BG$193),"")</f>
        <v/>
      </c>
      <c r="BH193" t="str">
        <f ca="1">IFERROR(IF(0=LEN(ReferenceData!$BH$193),"",ReferenceData!$BH$193),"")</f>
        <v/>
      </c>
      <c r="BI193" t="str">
        <f ca="1">IFERROR(IF(0=LEN(ReferenceData!$BI$193),"",ReferenceData!$BI$193),"")</f>
        <v/>
      </c>
      <c r="BJ193" t="str">
        <f ca="1">IFERROR(IF(0=LEN(ReferenceData!$BJ$193),"",ReferenceData!$BJ$193),"")</f>
        <v/>
      </c>
      <c r="BK193" t="str">
        <f ca="1">IFERROR(IF(0=LEN(ReferenceData!$BK$193),"",ReferenceData!$BK$193),"")</f>
        <v/>
      </c>
      <c r="BL193" t="str">
        <f ca="1">IFERROR(IF(0=LEN(ReferenceData!$BL$193),"",ReferenceData!$BL$193),"")</f>
        <v/>
      </c>
      <c r="BM193" t="str">
        <f ca="1">IFERROR(IF(0=LEN(ReferenceData!$BM$193),"",ReferenceData!$BM$193),"")</f>
        <v/>
      </c>
    </row>
    <row r="194" spans="1:65" x14ac:dyDescent="0.25">
      <c r="A194" t="str">
        <f>IFERROR(IF(0=LEN(ReferenceData!$A$194),"",ReferenceData!$A$194),"")</f>
        <v xml:space="preserve">    Renault SA</v>
      </c>
      <c r="B194" t="str">
        <f>IFERROR(IF(0=LEN(ReferenceData!$B$194),"",ReferenceData!$B$194),"")</f>
        <v>RNO FP Equity</v>
      </c>
      <c r="C194" t="str">
        <f>IFERROR(IF(0=LEN(ReferenceData!$C$194),"",ReferenceData!$C$194),"")</f>
        <v>RR800</v>
      </c>
      <c r="D194" t="str">
        <f>IFERROR(IF(0=LEN(ReferenceData!$D$194),"",ReferenceData!$D$194),"")</f>
        <v>TRAIL_12M_NET_SALES</v>
      </c>
      <c r="E194" t="str">
        <f>IFERROR(IF(0=LEN(ReferenceData!$E$194),"",ReferenceData!$E$194),"")</f>
        <v>Dynamic</v>
      </c>
      <c r="F194" t="str">
        <f ca="1">IFERROR(IF(0=LEN(ReferenceData!$F$194),"",ReferenceData!$F$194),"")</f>
        <v/>
      </c>
      <c r="G194">
        <f ca="1">IFERROR(IF(0=LEN(ReferenceData!$G$194),"",ReferenceData!$G$194),"")</f>
        <v>67818.976339999994</v>
      </c>
      <c r="H194">
        <f ca="1">IFERROR(IF(0=LEN(ReferenceData!$H$194),"",ReferenceData!$H$194),"")</f>
        <v>69588.407850000003</v>
      </c>
      <c r="I194">
        <f ca="1">IFERROR(IF(0=LEN(ReferenceData!$I$194),"",ReferenceData!$I$194),"")</f>
        <v>70640.567299999995</v>
      </c>
      <c r="J194">
        <f ca="1">IFERROR(IF(0=LEN(ReferenceData!$J$194),"",ReferenceData!$J$194),"")</f>
        <v>68830.50301</v>
      </c>
      <c r="K194">
        <f ca="1">IFERROR(IF(0=LEN(ReferenceData!$K$194),"",ReferenceData!$K$194),"")</f>
        <v>66393.720119999998</v>
      </c>
      <c r="L194">
        <f ca="1">IFERROR(IF(0=LEN(ReferenceData!$L$194),"",ReferenceData!$L$194),"")</f>
        <v>63267.459390000004</v>
      </c>
      <c r="M194">
        <f ca="1">IFERROR(IF(0=LEN(ReferenceData!$M$194),"",ReferenceData!$M$194),"")</f>
        <v>60609.520960000002</v>
      </c>
      <c r="N194">
        <f ca="1">IFERROR(IF(0=LEN(ReferenceData!$N$194),"",ReferenceData!$N$194),"")</f>
        <v>59125.839639999998</v>
      </c>
      <c r="O194">
        <f ca="1">IFERROR(IF(0=LEN(ReferenceData!$O$194),"",ReferenceData!$O$194),"")</f>
        <v>56717.221949999999</v>
      </c>
      <c r="P194">
        <f ca="1">IFERROR(IF(0=LEN(ReferenceData!$P$194),"",ReferenceData!$P$194),"")</f>
        <v>55024.638780000001</v>
      </c>
      <c r="Q194">
        <f ca="1">IFERROR(IF(0=LEN(ReferenceData!$Q$194),"",ReferenceData!$Q$194),"")</f>
        <v>53628.857969999997</v>
      </c>
      <c r="R194">
        <f ca="1">IFERROR(IF(0=LEN(ReferenceData!$R$194),"",ReferenceData!$R$194),"")</f>
        <v>51272.690920000001</v>
      </c>
      <c r="S194">
        <f ca="1">IFERROR(IF(0=LEN(ReferenceData!$S$194),"",ReferenceData!$S$194),"")</f>
        <v>50312.998659999997</v>
      </c>
      <c r="T194">
        <f ca="1">IFERROR(IF(0=LEN(ReferenceData!$T$194),"",ReferenceData!$T$194),"")</f>
        <v>50822.117810000003</v>
      </c>
      <c r="U194">
        <f ca="1">IFERROR(IF(0=LEN(ReferenceData!$U$194),"",ReferenceData!$U$194),"")</f>
        <v>52239.07273</v>
      </c>
      <c r="V194">
        <f ca="1">IFERROR(IF(0=LEN(ReferenceData!$V$194),"",ReferenceData!$V$194),"")</f>
        <v>53520.317080000001</v>
      </c>
      <c r="W194">
        <f ca="1">IFERROR(IF(0=LEN(ReferenceData!$W$194),"",ReferenceData!$W$194),"")</f>
        <v>54540.984709999997</v>
      </c>
      <c r="X194">
        <f ca="1">IFERROR(IF(0=LEN(ReferenceData!$X$194),"",ReferenceData!$X$194),"")</f>
        <v>55424.373509999998</v>
      </c>
      <c r="Y194">
        <f ca="1">IFERROR(IF(0=LEN(ReferenceData!$Y$194),"",ReferenceData!$Y$194),"")</f>
        <v>54696.056799999998</v>
      </c>
      <c r="Z194">
        <f ca="1">IFERROR(IF(0=LEN(ReferenceData!$Z$194),"",ReferenceData!$Z$194),"")</f>
        <v>54863.106390000001</v>
      </c>
      <c r="AA194">
        <f ca="1">IFERROR(IF(0=LEN(ReferenceData!$AA$194),"",ReferenceData!$AA$194),"")</f>
        <v>54370.443729999999</v>
      </c>
      <c r="AB194">
        <f ca="1">IFERROR(IF(0=LEN(ReferenceData!$AB$194),"",ReferenceData!$AB$194),"")</f>
        <v>52914.037839999997</v>
      </c>
      <c r="AC194">
        <f ca="1">IFERROR(IF(0=LEN(ReferenceData!$AC$194),"",ReferenceData!$AC$194),"")</f>
        <v>52750.26526</v>
      </c>
      <c r="AD194">
        <f ca="1">IFERROR(IF(0=LEN(ReferenceData!$AD$194),"",ReferenceData!$AD$194),"")</f>
        <v>51516.163849999997</v>
      </c>
      <c r="AE194">
        <f ca="1">IFERROR(IF(0=LEN(ReferenceData!$AE$194),"",ReferenceData!$AE$194),"")</f>
        <v>53067.899960000002</v>
      </c>
      <c r="AF194">
        <f ca="1">IFERROR(IF(0=LEN(ReferenceData!$AF$194),"",ReferenceData!$AF$194),"")</f>
        <v>53444.133139999998</v>
      </c>
      <c r="AG194">
        <f ca="1">IFERROR(IF(0=LEN(ReferenceData!$AG$194),"",ReferenceData!$AG$194),"")</f>
        <v>56858.062680000003</v>
      </c>
      <c r="AH194">
        <f ca="1">IFERROR(IF(0=LEN(ReferenceData!$AH$194),"",ReferenceData!$AH$194),"")</f>
        <v>57505.84057</v>
      </c>
      <c r="AI194">
        <f ca="1">IFERROR(IF(0=LEN(ReferenceData!$AI$194),"",ReferenceData!$AI$194),"")</f>
        <v>59355.318189999998</v>
      </c>
      <c r="AJ194">
        <f ca="1">IFERROR(IF(0=LEN(ReferenceData!$AJ$194),"",ReferenceData!$AJ$194),"")</f>
        <v>57796.442739999999</v>
      </c>
      <c r="AK194">
        <f ca="1">IFERROR(IF(0=LEN(ReferenceData!$AK$194),"",ReferenceData!$AK$194),"")</f>
        <v>55127.680469999999</v>
      </c>
      <c r="AL194">
        <f ca="1">IFERROR(IF(0=LEN(ReferenceData!$AL$194),"",ReferenceData!$AL$194),"")</f>
        <v>53346.13897</v>
      </c>
      <c r="AM194">
        <f ca="1">IFERROR(IF(0=LEN(ReferenceData!$AM$194),"",ReferenceData!$AM$194),"")</f>
        <v>51699.362359999999</v>
      </c>
      <c r="AN194">
        <f ca="1">IFERROR(IF(0=LEN(ReferenceData!$AN$194),"",ReferenceData!$AN$194),"")</f>
        <v>51547.896809999998</v>
      </c>
      <c r="AO194">
        <f ca="1">IFERROR(IF(0=LEN(ReferenceData!$AO$194),"",ReferenceData!$AO$194),"")</f>
        <v>52025.276449999998</v>
      </c>
      <c r="AP194">
        <f ca="1">IFERROR(IF(0=LEN(ReferenceData!$AP$194),"",ReferenceData!$AP$194),"")</f>
        <v>50477.12917</v>
      </c>
      <c r="AQ194">
        <f ca="1">IFERROR(IF(0=LEN(ReferenceData!$AQ$194),"",ReferenceData!$AQ$194),"")</f>
        <v>47009.24955</v>
      </c>
      <c r="AR194" t="str">
        <f ca="1">IFERROR(IF(0=LEN(ReferenceData!$AR$194),"",ReferenceData!$AR$194),"")</f>
        <v/>
      </c>
      <c r="AS194" t="str">
        <f ca="1">IFERROR(IF(0=LEN(ReferenceData!$AS$194),"",ReferenceData!$AS$194),"")</f>
        <v/>
      </c>
      <c r="AT194" t="str">
        <f ca="1">IFERROR(IF(0=LEN(ReferenceData!$AT$194),"",ReferenceData!$AT$194),"")</f>
        <v/>
      </c>
      <c r="AU194" t="str">
        <f ca="1">IFERROR(IF(0=LEN(ReferenceData!$AU$194),"",ReferenceData!$AU$194),"")</f>
        <v/>
      </c>
      <c r="AV194" t="str">
        <f ca="1">IFERROR(IF(0=LEN(ReferenceData!$AV$194),"",ReferenceData!$AV$194),"")</f>
        <v/>
      </c>
      <c r="AW194" t="str">
        <f ca="1">IFERROR(IF(0=LEN(ReferenceData!$AW$194),"",ReferenceData!$AW$194),"")</f>
        <v/>
      </c>
      <c r="AX194" t="str">
        <f ca="1">IFERROR(IF(0=LEN(ReferenceData!$AX$194),"",ReferenceData!$AX$194),"")</f>
        <v/>
      </c>
      <c r="AY194" t="str">
        <f ca="1">IFERROR(IF(0=LEN(ReferenceData!$AY$194),"",ReferenceData!$AY$194),"")</f>
        <v/>
      </c>
      <c r="AZ194" t="str">
        <f ca="1">IFERROR(IF(0=LEN(ReferenceData!$AZ$194),"",ReferenceData!$AZ$194),"")</f>
        <v/>
      </c>
      <c r="BA194" t="str">
        <f ca="1">IFERROR(IF(0=LEN(ReferenceData!$BA$194),"",ReferenceData!$BA$194),"")</f>
        <v/>
      </c>
      <c r="BB194" t="str">
        <f ca="1">IFERROR(IF(0=LEN(ReferenceData!$BB$194),"",ReferenceData!$BB$194),"")</f>
        <v/>
      </c>
      <c r="BC194" t="str">
        <f ca="1">IFERROR(IF(0=LEN(ReferenceData!$BC$194),"",ReferenceData!$BC$194),"")</f>
        <v/>
      </c>
      <c r="BD194" t="str">
        <f ca="1">IFERROR(IF(0=LEN(ReferenceData!$BD$194),"",ReferenceData!$BD$194),"")</f>
        <v/>
      </c>
      <c r="BE194" t="str">
        <f ca="1">IFERROR(IF(0=LEN(ReferenceData!$BE$194),"",ReferenceData!$BE$194),"")</f>
        <v/>
      </c>
      <c r="BF194" t="str">
        <f ca="1">IFERROR(IF(0=LEN(ReferenceData!$BF$194),"",ReferenceData!$BF$194),"")</f>
        <v/>
      </c>
      <c r="BG194" t="str">
        <f ca="1">IFERROR(IF(0=LEN(ReferenceData!$BG$194),"",ReferenceData!$BG$194),"")</f>
        <v/>
      </c>
      <c r="BH194" t="str">
        <f ca="1">IFERROR(IF(0=LEN(ReferenceData!$BH$194),"",ReferenceData!$BH$194),"")</f>
        <v/>
      </c>
      <c r="BI194" t="str">
        <f ca="1">IFERROR(IF(0=LEN(ReferenceData!$BI$194),"",ReferenceData!$BI$194),"")</f>
        <v/>
      </c>
      <c r="BJ194" t="str">
        <f ca="1">IFERROR(IF(0=LEN(ReferenceData!$BJ$194),"",ReferenceData!$BJ$194),"")</f>
        <v/>
      </c>
      <c r="BK194" t="str">
        <f ca="1">IFERROR(IF(0=LEN(ReferenceData!$BK$194),"",ReferenceData!$BK$194),"")</f>
        <v/>
      </c>
      <c r="BL194" t="str">
        <f ca="1">IFERROR(IF(0=LEN(ReferenceData!$BL$194),"",ReferenceData!$BL$194),"")</f>
        <v/>
      </c>
      <c r="BM194" t="str">
        <f ca="1">IFERROR(IF(0=LEN(ReferenceData!$BM$194),"",ReferenceData!$BM$194),"")</f>
        <v/>
      </c>
    </row>
    <row r="195" spans="1:65" x14ac:dyDescent="0.25">
      <c r="A195" t="str">
        <f>IFERROR(IF(0=LEN(ReferenceData!$A$195),"",ReferenceData!$A$195),"")</f>
        <v xml:space="preserve">    SAIC Motor Corp Ltd</v>
      </c>
      <c r="B195" t="str">
        <f>IFERROR(IF(0=LEN(ReferenceData!$B$195),"",ReferenceData!$B$195),"")</f>
        <v>600104 CH Equity</v>
      </c>
      <c r="C195" t="str">
        <f>IFERROR(IF(0=LEN(ReferenceData!$C$195),"",ReferenceData!$C$195),"")</f>
        <v>RR800</v>
      </c>
      <c r="D195" t="str">
        <f>IFERROR(IF(0=LEN(ReferenceData!$D$195),"",ReferenceData!$D$195),"")</f>
        <v>TRAIL_12M_NET_SALES</v>
      </c>
      <c r="E195" t="str">
        <f>IFERROR(IF(0=LEN(ReferenceData!$E$195),"",ReferenceData!$E$195),"")</f>
        <v>Dynamic</v>
      </c>
      <c r="F195" t="str">
        <f ca="1">IFERROR(IF(0=LEN(ReferenceData!$F$195),"",ReferenceData!$F$195),"")</f>
        <v/>
      </c>
      <c r="G195" t="str">
        <f ca="1">IFERROR(IF(0=LEN(ReferenceData!$G$195),"",ReferenceData!$G$195),"")</f>
        <v/>
      </c>
      <c r="H195">
        <f ca="1">IFERROR(IF(0=LEN(ReferenceData!$H$195),"",ReferenceData!$H$195),"")</f>
        <v>142144.8333</v>
      </c>
      <c r="I195">
        <f ca="1">IFERROR(IF(0=LEN(ReferenceData!$I$195),"",ReferenceData!$I$195),"")</f>
        <v>143157.0637</v>
      </c>
      <c r="J195">
        <f ca="1">IFERROR(IF(0=LEN(ReferenceData!$J$195),"",ReferenceData!$J$195),"")</f>
        <v>136794.44080000001</v>
      </c>
      <c r="K195">
        <f ca="1">IFERROR(IF(0=LEN(ReferenceData!$K$195),"",ReferenceData!$K$195),"")</f>
        <v>127814.3749</v>
      </c>
      <c r="L195">
        <f ca="1">IFERROR(IF(0=LEN(ReferenceData!$L$195),"",ReferenceData!$L$195),"")</f>
        <v>121109.2601</v>
      </c>
      <c r="M195">
        <f ca="1">IFERROR(IF(0=LEN(ReferenceData!$M$195),"",ReferenceData!$M$195),"")</f>
        <v>116640.871</v>
      </c>
      <c r="N195">
        <f ca="1">IFERROR(IF(0=LEN(ReferenceData!$N$195),"",ReferenceData!$N$195),"")</f>
        <v>112984.8263</v>
      </c>
      <c r="O195">
        <f ca="1">IFERROR(IF(0=LEN(ReferenceData!$O$195),"",ReferenceData!$O$195),"")</f>
        <v>112774.25930000001</v>
      </c>
      <c r="P195">
        <f ca="1">IFERROR(IF(0=LEN(ReferenceData!$P$195),"",ReferenceData!$P$195),"")</f>
        <v>110206.23179999999</v>
      </c>
      <c r="Q195">
        <f ca="1">IFERROR(IF(0=LEN(ReferenceData!$Q$195),"",ReferenceData!$Q$195),"")</f>
        <v>107370.3401</v>
      </c>
      <c r="R195">
        <f ca="1">IFERROR(IF(0=LEN(ReferenceData!$R$195),"",ReferenceData!$R$195),"")</f>
        <v>106924.66130000001</v>
      </c>
      <c r="S195">
        <f ca="1">IFERROR(IF(0=LEN(ReferenceData!$S$195),"",ReferenceData!$S$195),"")</f>
        <v>105807.3247</v>
      </c>
      <c r="T195">
        <f ca="1">IFERROR(IF(0=LEN(ReferenceData!$T$195),"",ReferenceData!$T$195),"")</f>
        <v>101256.98360000001</v>
      </c>
      <c r="U195">
        <f ca="1">IFERROR(IF(0=LEN(ReferenceData!$U$195),"",ReferenceData!$U$195),"")</f>
        <v>101718.9895</v>
      </c>
      <c r="V195">
        <f ca="1">IFERROR(IF(0=LEN(ReferenceData!$V$195),"",ReferenceData!$V$195),"")</f>
        <v>101277.0996</v>
      </c>
      <c r="W195">
        <f ca="1">IFERROR(IF(0=LEN(ReferenceData!$W$195),"",ReferenceData!$W$195),"")</f>
        <v>101645.652</v>
      </c>
      <c r="X195">
        <f ca="1">IFERROR(IF(0=LEN(ReferenceData!$X$195),"",ReferenceData!$X$195),"")</f>
        <v>99538.39933</v>
      </c>
      <c r="Y195">
        <f ca="1">IFERROR(IF(0=LEN(ReferenceData!$Y$195),"",ReferenceData!$Y$195),"")</f>
        <v>97984.581380000003</v>
      </c>
      <c r="Z195">
        <f ca="1">IFERROR(IF(0=LEN(ReferenceData!$Z$195),"",ReferenceData!$Z$195),"")</f>
        <v>95696.059120000005</v>
      </c>
      <c r="AA195">
        <f ca="1">IFERROR(IF(0=LEN(ReferenceData!$AA$195),"",ReferenceData!$AA$195),"")</f>
        <v>91475.827139999994</v>
      </c>
      <c r="AB195">
        <f ca="1">IFERROR(IF(0=LEN(ReferenceData!$AB$195),"",ReferenceData!$AB$195),"")</f>
        <v>88264.141990000004</v>
      </c>
      <c r="AC195">
        <f ca="1">IFERROR(IF(0=LEN(ReferenceData!$AC$195),"",ReferenceData!$AC$195),"")</f>
        <v>83578.045769999997</v>
      </c>
      <c r="AD195">
        <f ca="1">IFERROR(IF(0=LEN(ReferenceData!$AD$195),"",ReferenceData!$AD$195),"")</f>
        <v>78900.951369999995</v>
      </c>
      <c r="AE195">
        <f ca="1">IFERROR(IF(0=LEN(ReferenceData!$AE$195),"",ReferenceData!$AE$195),"")</f>
        <v>74965.755739999993</v>
      </c>
      <c r="AF195">
        <f ca="1">IFERROR(IF(0=LEN(ReferenceData!$AF$195),"",ReferenceData!$AF$195),"")</f>
        <v>78383.144440000004</v>
      </c>
      <c r="AG195">
        <f ca="1">IFERROR(IF(0=LEN(ReferenceData!$AG$195),"",ReferenceData!$AG$195),"")</f>
        <v>77179.045509999996</v>
      </c>
      <c r="AH195">
        <f ca="1">IFERROR(IF(0=LEN(ReferenceData!$AH$195),"",ReferenceData!$AH$195),"")</f>
        <v>75595.784610000002</v>
      </c>
      <c r="AI195">
        <f ca="1">IFERROR(IF(0=LEN(ReferenceData!$AI$195),"",ReferenceData!$AI$195),"")</f>
        <v>72458.53443</v>
      </c>
      <c r="AJ195">
        <f ca="1">IFERROR(IF(0=LEN(ReferenceData!$AJ$195),"",ReferenceData!$AJ$195),"")</f>
        <v>69074.252429999993</v>
      </c>
      <c r="AK195">
        <f ca="1">IFERROR(IF(0=LEN(ReferenceData!$AK$195),"",ReferenceData!$AK$195),"")</f>
        <v>63643.968679999998</v>
      </c>
      <c r="AL195">
        <f ca="1">IFERROR(IF(0=LEN(ReferenceData!$AL$195),"",ReferenceData!$AL$195),"")</f>
        <v>59944.791859999998</v>
      </c>
      <c r="AM195">
        <f ca="1">IFERROR(IF(0=LEN(ReferenceData!$AM$195),"",ReferenceData!$AM$195),"")</f>
        <v>52794.633930000004</v>
      </c>
      <c r="AN195">
        <f ca="1">IFERROR(IF(0=LEN(ReferenceData!$AN$195),"",ReferenceData!$AN$195),"")</f>
        <v>38662.931250000001</v>
      </c>
      <c r="AO195">
        <f ca="1">IFERROR(IF(0=LEN(ReferenceData!$AO$195),"",ReferenceData!$AO$195),"")</f>
        <v>32436.387920000001</v>
      </c>
      <c r="AP195">
        <f ca="1">IFERROR(IF(0=LEN(ReferenceData!$AP$195),"",ReferenceData!$AP$195),"")</f>
        <v>25314.518199999999</v>
      </c>
      <c r="AQ195">
        <f ca="1">IFERROR(IF(0=LEN(ReferenceData!$AQ$195),"",ReferenceData!$AQ$195),"")</f>
        <v>20271.014360000001</v>
      </c>
      <c r="AR195">
        <f ca="1">IFERROR(IF(0=LEN(ReferenceData!$AR$195),"",ReferenceData!$AR$195),"")</f>
        <v>17843.462049999998</v>
      </c>
      <c r="AS195">
        <f ca="1">IFERROR(IF(0=LEN(ReferenceData!$AS$195),"",ReferenceData!$AS$195),"")</f>
        <v>15862.89244</v>
      </c>
      <c r="AT195">
        <f ca="1">IFERROR(IF(0=LEN(ReferenceData!$AT$195),"",ReferenceData!$AT$195),"")</f>
        <v>15006.05495</v>
      </c>
      <c r="AU195">
        <f ca="1">IFERROR(IF(0=LEN(ReferenceData!$AU$195),"",ReferenceData!$AU$195),"")</f>
        <v>15079.338239999999</v>
      </c>
      <c r="AV195">
        <f ca="1">IFERROR(IF(0=LEN(ReferenceData!$AV$195),"",ReferenceData!$AV$195),"")</f>
        <v>15323.24466</v>
      </c>
      <c r="AW195">
        <f ca="1">IFERROR(IF(0=LEN(ReferenceData!$AW$195),"",ReferenceData!$AW$195),"")</f>
        <v>15159.17607</v>
      </c>
      <c r="AX195">
        <f ca="1">IFERROR(IF(0=LEN(ReferenceData!$AX$195),"",ReferenceData!$AX$195),"")</f>
        <v>14353.396140000001</v>
      </c>
      <c r="AY195">
        <f ca="1">IFERROR(IF(0=LEN(ReferenceData!$AY$195),"",ReferenceData!$AY$195),"")</f>
        <v>13634.27527</v>
      </c>
      <c r="AZ195">
        <f ca="1">IFERROR(IF(0=LEN(ReferenceData!$AZ$195),"",ReferenceData!$AZ$195),"")</f>
        <v>11991.22436</v>
      </c>
      <c r="BA195">
        <f ca="1">IFERROR(IF(0=LEN(ReferenceData!$BA$195),"",ReferenceData!$BA$195),"")</f>
        <v>8693.9914740000004</v>
      </c>
      <c r="BB195">
        <f ca="1">IFERROR(IF(0=LEN(ReferenceData!$BB$195),"",ReferenceData!$BB$195),"")</f>
        <v>5534.3493289999997</v>
      </c>
      <c r="BC195">
        <f ca="1">IFERROR(IF(0=LEN(ReferenceData!$BC$195),"",ReferenceData!$BC$195),"")</f>
        <v>2444.1002640000002</v>
      </c>
      <c r="BD195">
        <f ca="1">IFERROR(IF(0=LEN(ReferenceData!$BD$195),"",ReferenceData!$BD$195),"")</f>
        <v>614.52781449999998</v>
      </c>
      <c r="BE195">
        <f ca="1">IFERROR(IF(0=LEN(ReferenceData!$BE$195),"",ReferenceData!$BE$195),"")</f>
        <v>706.41110140000001</v>
      </c>
      <c r="BF195">
        <f ca="1">IFERROR(IF(0=LEN(ReferenceData!$BF$195),"",ReferenceData!$BF$195),"")</f>
        <v>731.84714570000006</v>
      </c>
      <c r="BG195">
        <f ca="1">IFERROR(IF(0=LEN(ReferenceData!$BG$195),"",ReferenceData!$BG$195),"")</f>
        <v>777.69256380000002</v>
      </c>
      <c r="BH195">
        <f ca="1">IFERROR(IF(0=LEN(ReferenceData!$BH$195),"",ReferenceData!$BH$195),"")</f>
        <v>796.26067709999995</v>
      </c>
      <c r="BI195">
        <f ca="1">IFERROR(IF(0=LEN(ReferenceData!$BI$195),"",ReferenceData!$BI$195),"")</f>
        <v>746.49026200000003</v>
      </c>
      <c r="BJ195">
        <f ca="1">IFERROR(IF(0=LEN(ReferenceData!$BJ$195),"",ReferenceData!$BJ$195),"")</f>
        <v>836.52950840000005</v>
      </c>
      <c r="BK195">
        <f ca="1">IFERROR(IF(0=LEN(ReferenceData!$BK$195),"",ReferenceData!$BK$195),"")</f>
        <v>902.16474749999998</v>
      </c>
      <c r="BL195">
        <f ca="1">IFERROR(IF(0=LEN(ReferenceData!$BL$195),"",ReferenceData!$BL$195),"")</f>
        <v>873.89142919999995</v>
      </c>
      <c r="BM195">
        <f ca="1">IFERROR(IF(0=LEN(ReferenceData!$BM$195),"",ReferenceData!$BM$195),"")</f>
        <v>906.90602939999997</v>
      </c>
    </row>
    <row r="196" spans="1:65" x14ac:dyDescent="0.25">
      <c r="A196" t="str">
        <f>IFERROR(IF(0=LEN(ReferenceData!$A$196),"",ReferenceData!$A$196),"")</f>
        <v xml:space="preserve">    Sanyang Motor Co Ltd</v>
      </c>
      <c r="B196" t="str">
        <f>IFERROR(IF(0=LEN(ReferenceData!$B$196),"",ReferenceData!$B$196),"")</f>
        <v>2206 TT Equity</v>
      </c>
      <c r="C196" t="str">
        <f>IFERROR(IF(0=LEN(ReferenceData!$C$196),"",ReferenceData!$C$196),"")</f>
        <v>RR800</v>
      </c>
      <c r="D196" t="str">
        <f>IFERROR(IF(0=LEN(ReferenceData!$D$196),"",ReferenceData!$D$196),"")</f>
        <v>TRAIL_12M_NET_SALES</v>
      </c>
      <c r="E196" t="str">
        <f>IFERROR(IF(0=LEN(ReferenceData!$E$196),"",ReferenceData!$E$196),"")</f>
        <v>Dynamic</v>
      </c>
      <c r="F196" t="str">
        <f ca="1">IFERROR(IF(0=LEN(ReferenceData!$F$196),"",ReferenceData!$F$196),"")</f>
        <v/>
      </c>
      <c r="G196" t="str">
        <f ca="1">IFERROR(IF(0=LEN(ReferenceData!$G$196),"",ReferenceData!$G$196),"")</f>
        <v/>
      </c>
      <c r="H196">
        <f ca="1">IFERROR(IF(0=LEN(ReferenceData!$H$196),"",ReferenceData!$H$196),"")</f>
        <v>1059.3819840000001</v>
      </c>
      <c r="I196">
        <f ca="1">IFERROR(IF(0=LEN(ReferenceData!$I$196),"",ReferenceData!$I$196),"")</f>
        <v>1064.041285</v>
      </c>
      <c r="J196">
        <f ca="1">IFERROR(IF(0=LEN(ReferenceData!$J$196),"",ReferenceData!$J$196),"")</f>
        <v>1060.6201000000001</v>
      </c>
      <c r="K196">
        <f ca="1">IFERROR(IF(0=LEN(ReferenceData!$K$196),"",ReferenceData!$K$196),"")</f>
        <v>1041.4180839999999</v>
      </c>
      <c r="L196">
        <f ca="1">IFERROR(IF(0=LEN(ReferenceData!$L$196),"",ReferenceData!$L$196),"")</f>
        <v>1150.5144009999999</v>
      </c>
      <c r="M196">
        <f ca="1">IFERROR(IF(0=LEN(ReferenceData!$M$196),"",ReferenceData!$M$196),"")</f>
        <v>1145.744586</v>
      </c>
      <c r="N196">
        <f ca="1">IFERROR(IF(0=LEN(ReferenceData!$N$196),"",ReferenceData!$N$196),"")</f>
        <v>1132.6363309999999</v>
      </c>
      <c r="O196">
        <f ca="1">IFERROR(IF(0=LEN(ReferenceData!$O$196),"",ReferenceData!$O$196),"")</f>
        <v>1100.216639</v>
      </c>
      <c r="P196">
        <f ca="1">IFERROR(IF(0=LEN(ReferenceData!$P$196),"",ReferenceData!$P$196),"")</f>
        <v>940.61123840000005</v>
      </c>
      <c r="Q196">
        <f ca="1">IFERROR(IF(0=LEN(ReferenceData!$Q$196),"",ReferenceData!$Q$196),"")</f>
        <v>966.01986520000003</v>
      </c>
      <c r="R196">
        <f ca="1">IFERROR(IF(0=LEN(ReferenceData!$R$196),"",ReferenceData!$R$196),"")</f>
        <v>975.59026530000006</v>
      </c>
      <c r="S196">
        <f ca="1">IFERROR(IF(0=LEN(ReferenceData!$S$196),"",ReferenceData!$S$196),"")</f>
        <v>1035.852138</v>
      </c>
      <c r="T196">
        <f ca="1">IFERROR(IF(0=LEN(ReferenceData!$T$196),"",ReferenceData!$T$196),"")</f>
        <v>1120.5345749999999</v>
      </c>
      <c r="U196">
        <f ca="1">IFERROR(IF(0=LEN(ReferenceData!$U$196),"",ReferenceData!$U$196),"")</f>
        <v>1147.5400669999999</v>
      </c>
      <c r="V196">
        <f ca="1">IFERROR(IF(0=LEN(ReferenceData!$V$196),"",ReferenceData!$V$196),"")</f>
        <v>1212.9498699999999</v>
      </c>
      <c r="W196">
        <f ca="1">IFERROR(IF(0=LEN(ReferenceData!$W$196),"",ReferenceData!$W$196),"")</f>
        <v>1202.754316</v>
      </c>
      <c r="X196">
        <f ca="1">IFERROR(IF(0=LEN(ReferenceData!$X$196),"",ReferenceData!$X$196),"")</f>
        <v>1192.7708130000001</v>
      </c>
      <c r="Y196">
        <f ca="1">IFERROR(IF(0=LEN(ReferenceData!$Y$196),"",ReferenceData!$Y$196),"")</f>
        <v>1147.938355</v>
      </c>
      <c r="Z196">
        <f ca="1">IFERROR(IF(0=LEN(ReferenceData!$Z$196),"",ReferenceData!$Z$196),"")</f>
        <v>1086.174154</v>
      </c>
      <c r="AA196">
        <f ca="1">IFERROR(IF(0=LEN(ReferenceData!$AA$196),"",ReferenceData!$AA$196),"")</f>
        <v>1098.9701480000001</v>
      </c>
      <c r="AB196">
        <f ca="1">IFERROR(IF(0=LEN(ReferenceData!$AB$196),"",ReferenceData!$AB$196),"")</f>
        <v>1103.6569</v>
      </c>
      <c r="AC196">
        <f ca="1">IFERROR(IF(0=LEN(ReferenceData!$AC$196),"",ReferenceData!$AC$196),"")</f>
        <v>1152.826372</v>
      </c>
      <c r="AD196">
        <f ca="1">IFERROR(IF(0=LEN(ReferenceData!$AD$196),"",ReferenceData!$AD$196),"")</f>
        <v>1164.523488</v>
      </c>
      <c r="AE196">
        <f ca="1">IFERROR(IF(0=LEN(ReferenceData!$AE$196),"",ReferenceData!$AE$196),"")</f>
        <v>1163.619263</v>
      </c>
      <c r="AF196">
        <f ca="1">IFERROR(IF(0=LEN(ReferenceData!$AF$196),"",ReferenceData!$AF$196),"")</f>
        <v>1158.981837</v>
      </c>
      <c r="AG196">
        <f ca="1">IFERROR(IF(0=LEN(ReferenceData!$AG$196),"",ReferenceData!$AG$196),"")</f>
        <v>1160.732908</v>
      </c>
      <c r="AH196">
        <f ca="1">IFERROR(IF(0=LEN(ReferenceData!$AH$196),"",ReferenceData!$AH$196),"")</f>
        <v>1214.514698</v>
      </c>
      <c r="AI196">
        <f ca="1">IFERROR(IF(0=LEN(ReferenceData!$AI$196),"",ReferenceData!$AI$196),"")</f>
        <v>1252.993172</v>
      </c>
      <c r="AJ196">
        <f ca="1">IFERROR(IF(0=LEN(ReferenceData!$AJ$196),"",ReferenceData!$AJ$196),"")</f>
        <v>1250.405201</v>
      </c>
      <c r="AK196">
        <f ca="1">IFERROR(IF(0=LEN(ReferenceData!$AK$196),"",ReferenceData!$AK$196),"")</f>
        <v>1204.8111739999999</v>
      </c>
      <c r="AL196">
        <f ca="1">IFERROR(IF(0=LEN(ReferenceData!$AL$196),"",ReferenceData!$AL$196),"")</f>
        <v>1103.9071160000001</v>
      </c>
      <c r="AM196">
        <f ca="1">IFERROR(IF(0=LEN(ReferenceData!$AM$196),"",ReferenceData!$AM$196),"")</f>
        <v>1011.793367</v>
      </c>
      <c r="AN196">
        <f ca="1">IFERROR(IF(0=LEN(ReferenceData!$AN$196),"",ReferenceData!$AN$196),"")</f>
        <v>987.40732539999999</v>
      </c>
      <c r="AO196">
        <f ca="1">IFERROR(IF(0=LEN(ReferenceData!$AO$196),"",ReferenceData!$AO$196),"")</f>
        <v>937.63116000000002</v>
      </c>
      <c r="AP196">
        <f ca="1">IFERROR(IF(0=LEN(ReferenceData!$AP$196),"",ReferenceData!$AP$196),"")</f>
        <v>970.01554599999997</v>
      </c>
      <c r="AQ196">
        <f ca="1">IFERROR(IF(0=LEN(ReferenceData!$AQ$196),"",ReferenceData!$AQ$196),"")</f>
        <v>917.74556619999998</v>
      </c>
      <c r="AR196">
        <f ca="1">IFERROR(IF(0=LEN(ReferenceData!$AR$196),"",ReferenceData!$AR$196),"")</f>
        <v>810.13176650000003</v>
      </c>
      <c r="AS196">
        <f ca="1">IFERROR(IF(0=LEN(ReferenceData!$AS$196),"",ReferenceData!$AS$196),"")</f>
        <v>915.89119830000004</v>
      </c>
      <c r="AT196">
        <f ca="1">IFERROR(IF(0=LEN(ReferenceData!$AT$196),"",ReferenceData!$AT$196),"")</f>
        <v>966.86740629999997</v>
      </c>
      <c r="AU196">
        <f ca="1">IFERROR(IF(0=LEN(ReferenceData!$AU$196),"",ReferenceData!$AU$196),"")</f>
        <v>1047.8684639999999</v>
      </c>
      <c r="AV196" t="str">
        <f ca="1">IFERROR(IF(0=LEN(ReferenceData!$AV$196),"",ReferenceData!$AV$196),"")</f>
        <v/>
      </c>
      <c r="AW196" t="str">
        <f ca="1">IFERROR(IF(0=LEN(ReferenceData!$AW$196),"",ReferenceData!$AW$196),"")</f>
        <v/>
      </c>
      <c r="AX196" t="str">
        <f ca="1">IFERROR(IF(0=LEN(ReferenceData!$AX$196),"",ReferenceData!$AX$196),"")</f>
        <v/>
      </c>
      <c r="AY196" t="str">
        <f ca="1">IFERROR(IF(0=LEN(ReferenceData!$AY$196),"",ReferenceData!$AY$196),"")</f>
        <v/>
      </c>
      <c r="AZ196" t="str">
        <f ca="1">IFERROR(IF(0=LEN(ReferenceData!$AZ$196),"",ReferenceData!$AZ$196),"")</f>
        <v/>
      </c>
      <c r="BA196" t="str">
        <f ca="1">IFERROR(IF(0=LEN(ReferenceData!$BA$196),"",ReferenceData!$BA$196),"")</f>
        <v/>
      </c>
      <c r="BB196" t="str">
        <f ca="1">IFERROR(IF(0=LEN(ReferenceData!$BB$196),"",ReferenceData!$BB$196),"")</f>
        <v/>
      </c>
      <c r="BC196" t="str">
        <f ca="1">IFERROR(IF(0=LEN(ReferenceData!$BC$196),"",ReferenceData!$BC$196),"")</f>
        <v/>
      </c>
      <c r="BD196" t="str">
        <f ca="1">IFERROR(IF(0=LEN(ReferenceData!$BD$196),"",ReferenceData!$BD$196),"")</f>
        <v/>
      </c>
      <c r="BE196" t="str">
        <f ca="1">IFERROR(IF(0=LEN(ReferenceData!$BE$196),"",ReferenceData!$BE$196),"")</f>
        <v/>
      </c>
      <c r="BF196" t="str">
        <f ca="1">IFERROR(IF(0=LEN(ReferenceData!$BF$196),"",ReferenceData!$BF$196),"")</f>
        <v/>
      </c>
      <c r="BG196" t="str">
        <f ca="1">IFERROR(IF(0=LEN(ReferenceData!$BG$196),"",ReferenceData!$BG$196),"")</f>
        <v/>
      </c>
      <c r="BH196" t="str">
        <f ca="1">IFERROR(IF(0=LEN(ReferenceData!$BH$196),"",ReferenceData!$BH$196),"")</f>
        <v/>
      </c>
      <c r="BI196" t="str">
        <f ca="1">IFERROR(IF(0=LEN(ReferenceData!$BI$196),"",ReferenceData!$BI$196),"")</f>
        <v/>
      </c>
      <c r="BJ196" t="str">
        <f ca="1">IFERROR(IF(0=LEN(ReferenceData!$BJ$196),"",ReferenceData!$BJ$196),"")</f>
        <v/>
      </c>
      <c r="BK196" t="str">
        <f ca="1">IFERROR(IF(0=LEN(ReferenceData!$BK$196),"",ReferenceData!$BK$196),"")</f>
        <v/>
      </c>
      <c r="BL196" t="str">
        <f ca="1">IFERROR(IF(0=LEN(ReferenceData!$BL$196),"",ReferenceData!$BL$196),"")</f>
        <v/>
      </c>
      <c r="BM196" t="str">
        <f ca="1">IFERROR(IF(0=LEN(ReferenceData!$BM$196),"",ReferenceData!$BM$196),"")</f>
        <v/>
      </c>
    </row>
    <row r="197" spans="1:65" x14ac:dyDescent="0.25">
      <c r="A197" t="str">
        <f>IFERROR(IF(0=LEN(ReferenceData!$A$197),"",ReferenceData!$A$197),"")</f>
        <v xml:space="preserve">    Sollers PJSC</v>
      </c>
      <c r="B197" t="str">
        <f>IFERROR(IF(0=LEN(ReferenceData!$B$197),"",ReferenceData!$B$197),"")</f>
        <v>SVAV RM Equity</v>
      </c>
      <c r="C197" t="str">
        <f>IFERROR(IF(0=LEN(ReferenceData!$C$197),"",ReferenceData!$C$197),"")</f>
        <v>RR800</v>
      </c>
      <c r="D197" t="str">
        <f>IFERROR(IF(0=LEN(ReferenceData!$D$197),"",ReferenceData!$D$197),"")</f>
        <v>TRAIL_12M_NET_SALES</v>
      </c>
      <c r="E197" t="str">
        <f>IFERROR(IF(0=LEN(ReferenceData!$E$197),"",ReferenceData!$E$197),"")</f>
        <v>Dynamic</v>
      </c>
      <c r="F197" t="str">
        <f ca="1">IFERROR(IF(0=LEN(ReferenceData!$F$197),"",ReferenceData!$F$197),"")</f>
        <v/>
      </c>
      <c r="G197" t="str">
        <f ca="1">IFERROR(IF(0=LEN(ReferenceData!$G$197),"",ReferenceData!$G$197),"")</f>
        <v/>
      </c>
      <c r="H197" t="str">
        <f ca="1">IFERROR(IF(0=LEN(ReferenceData!$H$197),"",ReferenceData!$H$197),"")</f>
        <v/>
      </c>
      <c r="I197" t="str">
        <f ca="1">IFERROR(IF(0=LEN(ReferenceData!$I$197),"",ReferenceData!$I$197),"")</f>
        <v/>
      </c>
      <c r="J197" t="str">
        <f ca="1">IFERROR(IF(0=LEN(ReferenceData!$J$197),"",ReferenceData!$J$197),"")</f>
        <v/>
      </c>
      <c r="K197" t="str">
        <f ca="1">IFERROR(IF(0=LEN(ReferenceData!$K$197),"",ReferenceData!$K$197),"")</f>
        <v/>
      </c>
      <c r="L197" t="str">
        <f ca="1">IFERROR(IF(0=LEN(ReferenceData!$L$197),"",ReferenceData!$L$197),"")</f>
        <v/>
      </c>
      <c r="M197" t="str">
        <f ca="1">IFERROR(IF(0=LEN(ReferenceData!$M$197),"",ReferenceData!$M$197),"")</f>
        <v/>
      </c>
      <c r="N197" t="str">
        <f ca="1">IFERROR(IF(0=LEN(ReferenceData!$N$197),"",ReferenceData!$N$197),"")</f>
        <v/>
      </c>
      <c r="O197" t="str">
        <f ca="1">IFERROR(IF(0=LEN(ReferenceData!$O$197),"",ReferenceData!$O$197),"")</f>
        <v/>
      </c>
      <c r="P197" t="str">
        <f ca="1">IFERROR(IF(0=LEN(ReferenceData!$P$197),"",ReferenceData!$P$197),"")</f>
        <v/>
      </c>
      <c r="Q197" t="str">
        <f ca="1">IFERROR(IF(0=LEN(ReferenceData!$Q$197),"",ReferenceData!$Q$197),"")</f>
        <v/>
      </c>
      <c r="R197" t="str">
        <f ca="1">IFERROR(IF(0=LEN(ReferenceData!$R$197),"",ReferenceData!$R$197),"")</f>
        <v/>
      </c>
      <c r="S197" t="str">
        <f ca="1">IFERROR(IF(0=LEN(ReferenceData!$S$197),"",ReferenceData!$S$197),"")</f>
        <v/>
      </c>
      <c r="T197" t="str">
        <f ca="1">IFERROR(IF(0=LEN(ReferenceData!$T$197),"",ReferenceData!$T$197),"")</f>
        <v/>
      </c>
      <c r="U197" t="str">
        <f ca="1">IFERROR(IF(0=LEN(ReferenceData!$U$197),"",ReferenceData!$U$197),"")</f>
        <v/>
      </c>
      <c r="V197" t="str">
        <f ca="1">IFERROR(IF(0=LEN(ReferenceData!$V$197),"",ReferenceData!$V$197),"")</f>
        <v/>
      </c>
      <c r="W197" t="str">
        <f ca="1">IFERROR(IF(0=LEN(ReferenceData!$W$197),"",ReferenceData!$W$197),"")</f>
        <v/>
      </c>
      <c r="X197" t="str">
        <f ca="1">IFERROR(IF(0=LEN(ReferenceData!$X$197),"",ReferenceData!$X$197),"")</f>
        <v/>
      </c>
      <c r="Y197" t="str">
        <f ca="1">IFERROR(IF(0=LEN(ReferenceData!$Y$197),"",ReferenceData!$Y$197),"")</f>
        <v/>
      </c>
      <c r="Z197" t="str">
        <f ca="1">IFERROR(IF(0=LEN(ReferenceData!$Z$197),"",ReferenceData!$Z$197),"")</f>
        <v/>
      </c>
      <c r="AA197" t="str">
        <f ca="1">IFERROR(IF(0=LEN(ReferenceData!$AA$197),"",ReferenceData!$AA$197),"")</f>
        <v/>
      </c>
      <c r="AB197" t="str">
        <f ca="1">IFERROR(IF(0=LEN(ReferenceData!$AB$197),"",ReferenceData!$AB$197),"")</f>
        <v/>
      </c>
      <c r="AC197" t="str">
        <f ca="1">IFERROR(IF(0=LEN(ReferenceData!$AC$197),"",ReferenceData!$AC$197),"")</f>
        <v/>
      </c>
      <c r="AD197" t="str">
        <f ca="1">IFERROR(IF(0=LEN(ReferenceData!$AD$197),"",ReferenceData!$AD$197),"")</f>
        <v/>
      </c>
      <c r="AE197" t="str">
        <f ca="1">IFERROR(IF(0=LEN(ReferenceData!$AE$197),"",ReferenceData!$AE$197),"")</f>
        <v/>
      </c>
      <c r="AF197" t="str">
        <f ca="1">IFERROR(IF(0=LEN(ReferenceData!$AF$197),"",ReferenceData!$AF$197),"")</f>
        <v/>
      </c>
      <c r="AG197" t="str">
        <f ca="1">IFERROR(IF(0=LEN(ReferenceData!$AG$197),"",ReferenceData!$AG$197),"")</f>
        <v/>
      </c>
      <c r="AH197" t="str">
        <f ca="1">IFERROR(IF(0=LEN(ReferenceData!$AH$197),"",ReferenceData!$AH$197),"")</f>
        <v/>
      </c>
      <c r="AI197" t="str">
        <f ca="1">IFERROR(IF(0=LEN(ReferenceData!$AI$197),"",ReferenceData!$AI$197),"")</f>
        <v/>
      </c>
      <c r="AJ197" t="str">
        <f ca="1">IFERROR(IF(0=LEN(ReferenceData!$AJ$197),"",ReferenceData!$AJ$197),"")</f>
        <v/>
      </c>
      <c r="AK197" t="str">
        <f ca="1">IFERROR(IF(0=LEN(ReferenceData!$AK$197),"",ReferenceData!$AK$197),"")</f>
        <v/>
      </c>
      <c r="AL197" t="str">
        <f ca="1">IFERROR(IF(0=LEN(ReferenceData!$AL$197),"",ReferenceData!$AL$197),"")</f>
        <v/>
      </c>
      <c r="AM197" t="str">
        <f ca="1">IFERROR(IF(0=LEN(ReferenceData!$AM$197),"",ReferenceData!$AM$197),"")</f>
        <v/>
      </c>
      <c r="AN197" t="str">
        <f ca="1">IFERROR(IF(0=LEN(ReferenceData!$AN$197),"",ReferenceData!$AN$197),"")</f>
        <v/>
      </c>
      <c r="AO197" t="str">
        <f ca="1">IFERROR(IF(0=LEN(ReferenceData!$AO$197),"",ReferenceData!$AO$197),"")</f>
        <v/>
      </c>
      <c r="AP197" t="str">
        <f ca="1">IFERROR(IF(0=LEN(ReferenceData!$AP$197),"",ReferenceData!$AP$197),"")</f>
        <v/>
      </c>
      <c r="AQ197" t="str">
        <f ca="1">IFERROR(IF(0=LEN(ReferenceData!$AQ$197),"",ReferenceData!$AQ$197),"")</f>
        <v/>
      </c>
      <c r="AR197" t="str">
        <f ca="1">IFERROR(IF(0=LEN(ReferenceData!$AR$197),"",ReferenceData!$AR$197),"")</f>
        <v/>
      </c>
      <c r="AS197" t="str">
        <f ca="1">IFERROR(IF(0=LEN(ReferenceData!$AS$197),"",ReferenceData!$AS$197),"")</f>
        <v/>
      </c>
      <c r="AT197" t="str">
        <f ca="1">IFERROR(IF(0=LEN(ReferenceData!$AT$197),"",ReferenceData!$AT$197),"")</f>
        <v/>
      </c>
      <c r="AU197" t="str">
        <f ca="1">IFERROR(IF(0=LEN(ReferenceData!$AU$197),"",ReferenceData!$AU$197),"")</f>
        <v/>
      </c>
      <c r="AV197" t="str">
        <f ca="1">IFERROR(IF(0=LEN(ReferenceData!$AV$197),"",ReferenceData!$AV$197),"")</f>
        <v/>
      </c>
      <c r="AW197" t="str">
        <f ca="1">IFERROR(IF(0=LEN(ReferenceData!$AW$197),"",ReferenceData!$AW$197),"")</f>
        <v/>
      </c>
      <c r="AX197" t="str">
        <f ca="1">IFERROR(IF(0=LEN(ReferenceData!$AX$197),"",ReferenceData!$AX$197),"")</f>
        <v/>
      </c>
      <c r="AY197" t="str">
        <f ca="1">IFERROR(IF(0=LEN(ReferenceData!$AY$197),"",ReferenceData!$AY$197),"")</f>
        <v/>
      </c>
      <c r="AZ197" t="str">
        <f ca="1">IFERROR(IF(0=LEN(ReferenceData!$AZ$197),"",ReferenceData!$AZ$197),"")</f>
        <v/>
      </c>
      <c r="BA197" t="str">
        <f ca="1">IFERROR(IF(0=LEN(ReferenceData!$BA$197),"",ReferenceData!$BA$197),"")</f>
        <v/>
      </c>
      <c r="BB197" t="str">
        <f ca="1">IFERROR(IF(0=LEN(ReferenceData!$BB$197),"",ReferenceData!$BB$197),"")</f>
        <v/>
      </c>
      <c r="BC197" t="str">
        <f ca="1">IFERROR(IF(0=LEN(ReferenceData!$BC$197),"",ReferenceData!$BC$197),"")</f>
        <v/>
      </c>
      <c r="BD197" t="str">
        <f ca="1">IFERROR(IF(0=LEN(ReferenceData!$BD$197),"",ReferenceData!$BD$197),"")</f>
        <v/>
      </c>
      <c r="BE197" t="str">
        <f ca="1">IFERROR(IF(0=LEN(ReferenceData!$BE$197),"",ReferenceData!$BE$197),"")</f>
        <v/>
      </c>
      <c r="BF197" t="str">
        <f ca="1">IFERROR(IF(0=LEN(ReferenceData!$BF$197),"",ReferenceData!$BF$197),"")</f>
        <v/>
      </c>
      <c r="BG197" t="str">
        <f ca="1">IFERROR(IF(0=LEN(ReferenceData!$BG$197),"",ReferenceData!$BG$197),"")</f>
        <v/>
      </c>
      <c r="BH197" t="str">
        <f ca="1">IFERROR(IF(0=LEN(ReferenceData!$BH$197),"",ReferenceData!$BH$197),"")</f>
        <v/>
      </c>
      <c r="BI197" t="str">
        <f ca="1">IFERROR(IF(0=LEN(ReferenceData!$BI$197),"",ReferenceData!$BI$197),"")</f>
        <v/>
      </c>
      <c r="BJ197" t="str">
        <f ca="1">IFERROR(IF(0=LEN(ReferenceData!$BJ$197),"",ReferenceData!$BJ$197),"")</f>
        <v/>
      </c>
      <c r="BK197" t="str">
        <f ca="1">IFERROR(IF(0=LEN(ReferenceData!$BK$197),"",ReferenceData!$BK$197),"")</f>
        <v/>
      </c>
      <c r="BL197" t="str">
        <f ca="1">IFERROR(IF(0=LEN(ReferenceData!$BL$197),"",ReferenceData!$BL$197),"")</f>
        <v/>
      </c>
      <c r="BM197" t="str">
        <f ca="1">IFERROR(IF(0=LEN(ReferenceData!$BM$197),"",ReferenceData!$BM$197),"")</f>
        <v/>
      </c>
    </row>
    <row r="198" spans="1:65" x14ac:dyDescent="0.25">
      <c r="A198" t="str">
        <f>IFERROR(IF(0=LEN(ReferenceData!$A$198),"",ReferenceData!$A$198),"")</f>
        <v xml:space="preserve">    Ssangyong Motor Co</v>
      </c>
      <c r="B198" t="str">
        <f>IFERROR(IF(0=LEN(ReferenceData!$B$198),"",ReferenceData!$B$198),"")</f>
        <v>003620 KS Equity</v>
      </c>
      <c r="C198" t="str">
        <f>IFERROR(IF(0=LEN(ReferenceData!$C$198),"",ReferenceData!$C$198),"")</f>
        <v>RR800</v>
      </c>
      <c r="D198" t="str">
        <f>IFERROR(IF(0=LEN(ReferenceData!$D$198),"",ReferenceData!$D$198),"")</f>
        <v>TRAIL_12M_NET_SALES</v>
      </c>
      <c r="E198" t="str">
        <f>IFERROR(IF(0=LEN(ReferenceData!$E$198),"",ReferenceData!$E$198),"")</f>
        <v>Dynamic</v>
      </c>
      <c r="F198" t="str">
        <f ca="1">IFERROR(IF(0=LEN(ReferenceData!$F$198),"",ReferenceData!$F$198),"")</f>
        <v/>
      </c>
      <c r="G198">
        <f ca="1">IFERROR(IF(0=LEN(ReferenceData!$G$198),"",ReferenceData!$G$198),"")</f>
        <v>3368.3063790000001</v>
      </c>
      <c r="H198">
        <f ca="1">IFERROR(IF(0=LEN(ReferenceData!$H$198),"",ReferenceData!$H$198),"")</f>
        <v>3246.9192370000001</v>
      </c>
      <c r="I198">
        <f ca="1">IFERROR(IF(0=LEN(ReferenceData!$I$198),"",ReferenceData!$I$198),"")</f>
        <v>3238.2624049999999</v>
      </c>
      <c r="J198">
        <f ca="1">IFERROR(IF(0=LEN(ReferenceData!$J$198),"",ReferenceData!$J$198),"")</f>
        <v>3166.696809</v>
      </c>
      <c r="K198">
        <f ca="1">IFERROR(IF(0=LEN(ReferenceData!$K$198),"",ReferenceData!$K$198),"")</f>
        <v>3092.2162709999998</v>
      </c>
      <c r="L198">
        <f ca="1">IFERROR(IF(0=LEN(ReferenceData!$L$198),"",ReferenceData!$L$198),"")</f>
        <v>3142.5543440000001</v>
      </c>
      <c r="M198">
        <f ca="1">IFERROR(IF(0=LEN(ReferenceData!$M$198),"",ReferenceData!$M$198),"")</f>
        <v>3107.7542960000001</v>
      </c>
      <c r="N198">
        <f ca="1">IFERROR(IF(0=LEN(ReferenceData!$N$198),"",ReferenceData!$N$198),"")</f>
        <v>3139.1033189999998</v>
      </c>
      <c r="O198">
        <f ca="1">IFERROR(IF(0=LEN(ReferenceData!$O$198),"",ReferenceData!$O$198),"")</f>
        <v>3128.992358</v>
      </c>
      <c r="P198">
        <f ca="1">IFERROR(IF(0=LEN(ReferenceData!$P$198),"",ReferenceData!$P$198),"")</f>
        <v>3107.359539</v>
      </c>
      <c r="Q198">
        <f ca="1">IFERROR(IF(0=LEN(ReferenceData!$Q$198),"",ReferenceData!$Q$198),"")</f>
        <v>3046.5429210000002</v>
      </c>
      <c r="R198">
        <f ca="1">IFERROR(IF(0=LEN(ReferenceData!$R$198),"",ReferenceData!$R$198),"")</f>
        <v>2980.6536019999999</v>
      </c>
      <c r="S198">
        <f ca="1">IFERROR(IF(0=LEN(ReferenceData!$S$198),"",ReferenceData!$S$198),"")</f>
        <v>2997.2659210000002</v>
      </c>
      <c r="T198">
        <f ca="1">IFERROR(IF(0=LEN(ReferenceData!$T$198),"",ReferenceData!$T$198),"")</f>
        <v>2915.7399869999999</v>
      </c>
      <c r="U198">
        <f ca="1">IFERROR(IF(0=LEN(ReferenceData!$U$198),"",ReferenceData!$U$198),"")</f>
        <v>2965.1570160000001</v>
      </c>
      <c r="V198">
        <f ca="1">IFERROR(IF(0=LEN(ReferenceData!$V$198),"",ReferenceData!$V$198),"")</f>
        <v>3042.077198</v>
      </c>
      <c r="W198">
        <f ca="1">IFERROR(IF(0=LEN(ReferenceData!$W$198),"",ReferenceData!$W$198),"")</f>
        <v>3160.6212070000001</v>
      </c>
      <c r="X198">
        <f ca="1">IFERROR(IF(0=LEN(ReferenceData!$X$198),"",ReferenceData!$X$198),"")</f>
        <v>3328.415986</v>
      </c>
      <c r="Y198">
        <f ca="1">IFERROR(IF(0=LEN(ReferenceData!$Y$198),"",ReferenceData!$Y$198),"")</f>
        <v>3330.5312300000001</v>
      </c>
      <c r="Z198">
        <f ca="1">IFERROR(IF(0=LEN(ReferenceData!$Z$198),"",ReferenceData!$Z$198),"")</f>
        <v>3296.6607049999998</v>
      </c>
      <c r="AA198">
        <f ca="1">IFERROR(IF(0=LEN(ReferenceData!$AA$198),"",ReferenceData!$AA$198),"")</f>
        <v>3185.192407</v>
      </c>
      <c r="AB198">
        <f ca="1">IFERROR(IF(0=LEN(ReferenceData!$AB$198),"",ReferenceData!$AB$198),"")</f>
        <v>3007.591934</v>
      </c>
      <c r="AC198">
        <f ca="1">IFERROR(IF(0=LEN(ReferenceData!$AC$198),"",ReferenceData!$AC$198),"")</f>
        <v>2866.3425670000001</v>
      </c>
      <c r="AD198">
        <f ca="1">IFERROR(IF(0=LEN(ReferenceData!$AD$198),"",ReferenceData!$AD$198),"")</f>
        <v>2675.2345810000002</v>
      </c>
      <c r="AE198">
        <f ca="1">IFERROR(IF(0=LEN(ReferenceData!$AE$198),"",ReferenceData!$AE$198),"")</f>
        <v>2552.8266400000002</v>
      </c>
      <c r="AF198" t="str">
        <f ca="1">IFERROR(IF(0=LEN(ReferenceData!$AF$198),"",ReferenceData!$AF$198),"")</f>
        <v/>
      </c>
      <c r="AG198" t="str">
        <f ca="1">IFERROR(IF(0=LEN(ReferenceData!$AG$198),"",ReferenceData!$AG$198),"")</f>
        <v/>
      </c>
      <c r="AH198" t="str">
        <f ca="1">IFERROR(IF(0=LEN(ReferenceData!$AH$198),"",ReferenceData!$AH$198),"")</f>
        <v/>
      </c>
      <c r="AI198" t="str">
        <f ca="1">IFERROR(IF(0=LEN(ReferenceData!$AI$198),"",ReferenceData!$AI$198),"")</f>
        <v/>
      </c>
      <c r="AJ198" t="str">
        <f ca="1">IFERROR(IF(0=LEN(ReferenceData!$AJ$198),"",ReferenceData!$AJ$198),"")</f>
        <v/>
      </c>
      <c r="AK198" t="str">
        <f ca="1">IFERROR(IF(0=LEN(ReferenceData!$AK$198),"",ReferenceData!$AK$198),"")</f>
        <v/>
      </c>
      <c r="AL198" t="str">
        <f ca="1">IFERROR(IF(0=LEN(ReferenceData!$AL$198),"",ReferenceData!$AL$198),"")</f>
        <v/>
      </c>
      <c r="AM198" t="str">
        <f ca="1">IFERROR(IF(0=LEN(ReferenceData!$AM$198),"",ReferenceData!$AM$198),"")</f>
        <v/>
      </c>
      <c r="AN198" t="str">
        <f ca="1">IFERROR(IF(0=LEN(ReferenceData!$AN$198),"",ReferenceData!$AN$198),"")</f>
        <v/>
      </c>
      <c r="AO198" t="str">
        <f ca="1">IFERROR(IF(0=LEN(ReferenceData!$AO$198),"",ReferenceData!$AO$198),"")</f>
        <v/>
      </c>
      <c r="AP198" t="str">
        <f ca="1">IFERROR(IF(0=LEN(ReferenceData!$AP$198),"",ReferenceData!$AP$198),"")</f>
        <v/>
      </c>
      <c r="AQ198" t="str">
        <f ca="1">IFERROR(IF(0=LEN(ReferenceData!$AQ$198),"",ReferenceData!$AQ$198),"")</f>
        <v/>
      </c>
      <c r="AR198" t="str">
        <f ca="1">IFERROR(IF(0=LEN(ReferenceData!$AR$198),"",ReferenceData!$AR$198),"")</f>
        <v/>
      </c>
      <c r="AS198" t="str">
        <f ca="1">IFERROR(IF(0=LEN(ReferenceData!$AS$198),"",ReferenceData!$AS$198),"")</f>
        <v/>
      </c>
      <c r="AT198" t="str">
        <f ca="1">IFERROR(IF(0=LEN(ReferenceData!$AT$198),"",ReferenceData!$AT$198),"")</f>
        <v/>
      </c>
      <c r="AU198" t="str">
        <f ca="1">IFERROR(IF(0=LEN(ReferenceData!$AU$198),"",ReferenceData!$AU$198),"")</f>
        <v/>
      </c>
      <c r="AV198" t="str">
        <f ca="1">IFERROR(IF(0=LEN(ReferenceData!$AV$198),"",ReferenceData!$AV$198),"")</f>
        <v/>
      </c>
      <c r="AW198" t="str">
        <f ca="1">IFERROR(IF(0=LEN(ReferenceData!$AW$198),"",ReferenceData!$AW$198),"")</f>
        <v/>
      </c>
      <c r="AX198" t="str">
        <f ca="1">IFERROR(IF(0=LEN(ReferenceData!$AX$198),"",ReferenceData!$AX$198),"")</f>
        <v/>
      </c>
      <c r="AY198" t="str">
        <f ca="1">IFERROR(IF(0=LEN(ReferenceData!$AY$198),"",ReferenceData!$AY$198),"")</f>
        <v/>
      </c>
      <c r="AZ198" t="str">
        <f ca="1">IFERROR(IF(0=LEN(ReferenceData!$AZ$198),"",ReferenceData!$AZ$198),"")</f>
        <v/>
      </c>
      <c r="BA198" t="str">
        <f ca="1">IFERROR(IF(0=LEN(ReferenceData!$BA$198),"",ReferenceData!$BA$198),"")</f>
        <v/>
      </c>
      <c r="BB198" t="str">
        <f ca="1">IFERROR(IF(0=LEN(ReferenceData!$BB$198),"",ReferenceData!$BB$198),"")</f>
        <v/>
      </c>
      <c r="BC198" t="str">
        <f ca="1">IFERROR(IF(0=LEN(ReferenceData!$BC$198),"",ReferenceData!$BC$198),"")</f>
        <v/>
      </c>
      <c r="BD198" t="str">
        <f ca="1">IFERROR(IF(0=LEN(ReferenceData!$BD$198),"",ReferenceData!$BD$198),"")</f>
        <v/>
      </c>
      <c r="BE198" t="str">
        <f ca="1">IFERROR(IF(0=LEN(ReferenceData!$BE$198),"",ReferenceData!$BE$198),"")</f>
        <v/>
      </c>
      <c r="BF198" t="str">
        <f ca="1">IFERROR(IF(0=LEN(ReferenceData!$BF$198),"",ReferenceData!$BF$198),"")</f>
        <v/>
      </c>
      <c r="BG198" t="str">
        <f ca="1">IFERROR(IF(0=LEN(ReferenceData!$BG$198),"",ReferenceData!$BG$198),"")</f>
        <v/>
      </c>
      <c r="BH198" t="str">
        <f ca="1">IFERROR(IF(0=LEN(ReferenceData!$BH$198),"",ReferenceData!$BH$198),"")</f>
        <v/>
      </c>
      <c r="BI198" t="str">
        <f ca="1">IFERROR(IF(0=LEN(ReferenceData!$BI$198),"",ReferenceData!$BI$198),"")</f>
        <v/>
      </c>
      <c r="BJ198" t="str">
        <f ca="1">IFERROR(IF(0=LEN(ReferenceData!$BJ$198),"",ReferenceData!$BJ$198),"")</f>
        <v/>
      </c>
      <c r="BK198" t="str">
        <f ca="1">IFERROR(IF(0=LEN(ReferenceData!$BK$198),"",ReferenceData!$BK$198),"")</f>
        <v/>
      </c>
      <c r="BL198" t="str">
        <f ca="1">IFERROR(IF(0=LEN(ReferenceData!$BL$198),"",ReferenceData!$BL$198),"")</f>
        <v/>
      </c>
      <c r="BM198" t="str">
        <f ca="1">IFERROR(IF(0=LEN(ReferenceData!$BM$198),"",ReferenceData!$BM$198),"")</f>
        <v/>
      </c>
    </row>
    <row r="199" spans="1:65" x14ac:dyDescent="0.25">
      <c r="A199" t="str">
        <f>IFERROR(IF(0=LEN(ReferenceData!$A$199),"",ReferenceData!$A$199),"")</f>
        <v xml:space="preserve">    Subaru Corp</v>
      </c>
      <c r="B199" t="str">
        <f>IFERROR(IF(0=LEN(ReferenceData!$B$199),"",ReferenceData!$B$199),"")</f>
        <v>7270 JP Equity</v>
      </c>
      <c r="C199" t="str">
        <f>IFERROR(IF(0=LEN(ReferenceData!$C$199),"",ReferenceData!$C$199),"")</f>
        <v>RR800</v>
      </c>
      <c r="D199" t="str">
        <f>IFERROR(IF(0=LEN(ReferenceData!$D$199),"",ReferenceData!$D$199),"")</f>
        <v>TRAIL_12M_NET_SALES</v>
      </c>
      <c r="E199" t="str">
        <f>IFERROR(IF(0=LEN(ReferenceData!$E$199),"",ReferenceData!$E$199),"")</f>
        <v>Dynamic</v>
      </c>
      <c r="F199" t="str">
        <f ca="1">IFERROR(IF(0=LEN(ReferenceData!$F$199),"",ReferenceData!$F$199),"")</f>
        <v/>
      </c>
      <c r="G199">
        <f ca="1">IFERROR(IF(0=LEN(ReferenceData!$G$199),"",ReferenceData!$G$199),"")</f>
        <v>29151.16244</v>
      </c>
      <c r="H199">
        <f ca="1">IFERROR(IF(0=LEN(ReferenceData!$H$199),"",ReferenceData!$H$199),"")</f>
        <v>29032.813129999999</v>
      </c>
      <c r="I199">
        <f ca="1">IFERROR(IF(0=LEN(ReferenceData!$I$199),"",ReferenceData!$I$199),"")</f>
        <v>29556.65667</v>
      </c>
      <c r="J199">
        <f ca="1">IFERROR(IF(0=LEN(ReferenceData!$J$199),"",ReferenceData!$J$199),"")</f>
        <v>30734.950339999999</v>
      </c>
      <c r="K199">
        <f ca="1">IFERROR(IF(0=LEN(ReferenceData!$K$199),"",ReferenceData!$K$199),"")</f>
        <v>30884.156490000001</v>
      </c>
      <c r="L199">
        <f ca="1">IFERROR(IF(0=LEN(ReferenceData!$L$199),"",ReferenceData!$L$199),"")</f>
        <v>30882.451789999999</v>
      </c>
      <c r="M199">
        <f ca="1">IFERROR(IF(0=LEN(ReferenceData!$M$199),"",ReferenceData!$M$199),"")</f>
        <v>31328.333600000002</v>
      </c>
      <c r="N199">
        <f ca="1">IFERROR(IF(0=LEN(ReferenceData!$N$199),"",ReferenceData!$N$199),"")</f>
        <v>30766.946950000001</v>
      </c>
      <c r="O199">
        <f ca="1">IFERROR(IF(0=LEN(ReferenceData!$O$199),"",ReferenceData!$O$199),"")</f>
        <v>29887.279050000001</v>
      </c>
      <c r="P199">
        <f ca="1">IFERROR(IF(0=LEN(ReferenceData!$P$199),"",ReferenceData!$P$199),"")</f>
        <v>28844.60124</v>
      </c>
      <c r="Q199">
        <f ca="1">IFERROR(IF(0=LEN(ReferenceData!$Q$199),"",ReferenceData!$Q$199),"")</f>
        <v>27804.719229999999</v>
      </c>
      <c r="R199">
        <f ca="1">IFERROR(IF(0=LEN(ReferenceData!$R$199),"",ReferenceData!$R$199),"")</f>
        <v>26946.093990000001</v>
      </c>
      <c r="S199">
        <f ca="1">IFERROR(IF(0=LEN(ReferenceData!$S$199),"",ReferenceData!$S$199),"")</f>
        <v>26740.497510000001</v>
      </c>
      <c r="T199">
        <f ca="1">IFERROR(IF(0=LEN(ReferenceData!$T$199),"",ReferenceData!$T$199),"")</f>
        <v>26599.52678</v>
      </c>
      <c r="U199">
        <f ca="1">IFERROR(IF(0=LEN(ReferenceData!$U$199),"",ReferenceData!$U$199),"")</f>
        <v>26703.472760000001</v>
      </c>
      <c r="V199">
        <f ca="1">IFERROR(IF(0=LEN(ReferenceData!$V$199),"",ReferenceData!$V$199),"")</f>
        <v>26310.488450000001</v>
      </c>
      <c r="W199">
        <f ca="1">IFERROR(IF(0=LEN(ReferenceData!$W$199),"",ReferenceData!$W$199),"")</f>
        <v>26140.11406</v>
      </c>
      <c r="X199">
        <f ca="1">IFERROR(IF(0=LEN(ReferenceData!$X$199),"",ReferenceData!$X$199),"")</f>
        <v>25348.252560000001</v>
      </c>
      <c r="Y199">
        <f ca="1">IFERROR(IF(0=LEN(ReferenceData!$Y$199),"",ReferenceData!$Y$199),"")</f>
        <v>24300.077819999999</v>
      </c>
      <c r="Z199">
        <f ca="1">IFERROR(IF(0=LEN(ReferenceData!$Z$199),"",ReferenceData!$Z$199),"")</f>
        <v>24045.942419999999</v>
      </c>
      <c r="AA199">
        <f ca="1">IFERROR(IF(0=LEN(ReferenceData!$AA$199),"",ReferenceData!$AA$199),"")</f>
        <v>23097.18994</v>
      </c>
      <c r="AB199">
        <f ca="1">IFERROR(IF(0=LEN(ReferenceData!$AB$199),"",ReferenceData!$AB$199),"")</f>
        <v>23244.425480000002</v>
      </c>
      <c r="AC199">
        <f ca="1">IFERROR(IF(0=LEN(ReferenceData!$AC$199),"",ReferenceData!$AC$199),"")</f>
        <v>23384.867910000001</v>
      </c>
      <c r="AD199">
        <f ca="1">IFERROR(IF(0=LEN(ReferenceData!$AD$199),"",ReferenceData!$AD$199),"")</f>
        <v>23151.315119999999</v>
      </c>
      <c r="AE199">
        <f ca="1">IFERROR(IF(0=LEN(ReferenceData!$AE$199),"",ReferenceData!$AE$199),"")</f>
        <v>23297.756789999999</v>
      </c>
      <c r="AF199">
        <f ca="1">IFERROR(IF(0=LEN(ReferenceData!$AF$199),"",ReferenceData!$AF$199),"")</f>
        <v>22333.718010000001</v>
      </c>
      <c r="AG199">
        <f ca="1">IFERROR(IF(0=LEN(ReferenceData!$AG$199),"",ReferenceData!$AG$199),"")</f>
        <v>20947.760829999999</v>
      </c>
      <c r="AH199">
        <f ca="1">IFERROR(IF(0=LEN(ReferenceData!$AH$199),"",ReferenceData!$AH$199),"")</f>
        <v>19227.496469999998</v>
      </c>
      <c r="AI199">
        <f ca="1">IFERROR(IF(0=LEN(ReferenceData!$AI$199),"",ReferenceData!$AI$199),"")</f>
        <v>18030.13536</v>
      </c>
      <c r="AJ199">
        <f ca="1">IFERROR(IF(0=LEN(ReferenceData!$AJ$199),"",ReferenceData!$AJ$199),"")</f>
        <v>17690.612789999999</v>
      </c>
      <c r="AK199">
        <f ca="1">IFERROR(IF(0=LEN(ReferenceData!$AK$199),"",ReferenceData!$AK$199),"")</f>
        <v>18204.197550000001</v>
      </c>
      <c r="AL199">
        <f ca="1">IFERROR(IF(0=LEN(ReferenceData!$AL$199),"",ReferenceData!$AL$199),"")</f>
        <v>18494.572939999998</v>
      </c>
      <c r="AM199">
        <f ca="1">IFERROR(IF(0=LEN(ReferenceData!$AM$199),"",ReferenceData!$AM$199),"")</f>
        <v>18177.8236</v>
      </c>
      <c r="AN199">
        <f ca="1">IFERROR(IF(0=LEN(ReferenceData!$AN$199),"",ReferenceData!$AN$199),"")</f>
        <v>17847.98245</v>
      </c>
      <c r="AO199">
        <f ca="1">IFERROR(IF(0=LEN(ReferenceData!$AO$199),"",ReferenceData!$AO$199),"")</f>
        <v>16695.342990000001</v>
      </c>
      <c r="AP199">
        <f ca="1">IFERROR(IF(0=LEN(ReferenceData!$AP$199),"",ReferenceData!$AP$199),"")</f>
        <v>15405.277029999999</v>
      </c>
      <c r="AQ199">
        <f ca="1">IFERROR(IF(0=LEN(ReferenceData!$AQ$199),"",ReferenceData!$AQ$199),"")</f>
        <v>14457.335859999999</v>
      </c>
      <c r="AR199">
        <f ca="1">IFERROR(IF(0=LEN(ReferenceData!$AR$199),"",ReferenceData!$AR$199),"")</f>
        <v>14071.81683</v>
      </c>
      <c r="AS199">
        <f ca="1">IFERROR(IF(0=LEN(ReferenceData!$AS$199),"",ReferenceData!$AS$199),"")</f>
        <v>13993.59845</v>
      </c>
      <c r="AT199">
        <f ca="1">IFERROR(IF(0=LEN(ReferenceData!$AT$199),"",ReferenceData!$AT$199),"")</f>
        <v>14446.052949999999</v>
      </c>
      <c r="AU199">
        <f ca="1">IFERROR(IF(0=LEN(ReferenceData!$AU$199),"",ReferenceData!$AU$199),"")</f>
        <v>15266.056259999999</v>
      </c>
      <c r="AV199">
        <f ca="1">IFERROR(IF(0=LEN(ReferenceData!$AV$199),"",ReferenceData!$AV$199),"")</f>
        <v>14950.463809999999</v>
      </c>
      <c r="AW199">
        <f ca="1">IFERROR(IF(0=LEN(ReferenceData!$AW$199),"",ReferenceData!$AW$199),"")</f>
        <v>14515.73086</v>
      </c>
      <c r="AX199">
        <f ca="1">IFERROR(IF(0=LEN(ReferenceData!$AX$199),"",ReferenceData!$AX$199),"")</f>
        <v>13805.34859</v>
      </c>
      <c r="AY199">
        <f ca="1">IFERROR(IF(0=LEN(ReferenceData!$AY$199),"",ReferenceData!$AY$199),"")</f>
        <v>13101.208629999999</v>
      </c>
      <c r="AZ199">
        <f ca="1">IFERROR(IF(0=LEN(ReferenceData!$AZ$199),"",ReferenceData!$AZ$199),"")</f>
        <v>12658.365390000001</v>
      </c>
      <c r="BA199">
        <f ca="1">IFERROR(IF(0=LEN(ReferenceData!$BA$199),"",ReferenceData!$BA$199),"")</f>
        <v>12517.43542</v>
      </c>
      <c r="BB199">
        <f ca="1">IFERROR(IF(0=LEN(ReferenceData!$BB$199),"",ReferenceData!$BB$199),"")</f>
        <v>12788.08208</v>
      </c>
      <c r="BC199">
        <f ca="1">IFERROR(IF(0=LEN(ReferenceData!$BC$199),"",ReferenceData!$BC$199),"")</f>
        <v>12861.05875</v>
      </c>
      <c r="BD199">
        <f ca="1">IFERROR(IF(0=LEN(ReferenceData!$BD$199),"",ReferenceData!$BD$199),"")</f>
        <v>12981.33231</v>
      </c>
      <c r="BE199">
        <f ca="1">IFERROR(IF(0=LEN(ReferenceData!$BE$199),"",ReferenceData!$BE$199),"")</f>
        <v>13112.79448</v>
      </c>
      <c r="BF199">
        <f ca="1">IFERROR(IF(0=LEN(ReferenceData!$BF$199),"",ReferenceData!$BF$199),"")</f>
        <v>13057.904049999999</v>
      </c>
      <c r="BG199">
        <f ca="1">IFERROR(IF(0=LEN(ReferenceData!$BG$199),"",ReferenceData!$BG$199),"")</f>
        <v>13056.41338</v>
      </c>
      <c r="BH199">
        <f ca="1">IFERROR(IF(0=LEN(ReferenceData!$BH$199),"",ReferenceData!$BH$199),"")</f>
        <v>13274.22229</v>
      </c>
      <c r="BI199">
        <f ca="1">IFERROR(IF(0=LEN(ReferenceData!$BI$199),"",ReferenceData!$BI$199),"")</f>
        <v>13463.167390000001</v>
      </c>
      <c r="BJ199">
        <f ca="1">IFERROR(IF(0=LEN(ReferenceData!$BJ$199),"",ReferenceData!$BJ$199),"")</f>
        <v>13469.70422</v>
      </c>
      <c r="BK199">
        <f ca="1">IFERROR(IF(0=LEN(ReferenceData!$BK$199),"",ReferenceData!$BK$199),"")</f>
        <v>13524.70752</v>
      </c>
      <c r="BL199">
        <f ca="1">IFERROR(IF(0=LEN(ReferenceData!$BL$199),"",ReferenceData!$BL$199),"")</f>
        <v>13455.29328</v>
      </c>
      <c r="BM199">
        <f ca="1">IFERROR(IF(0=LEN(ReferenceData!$BM$199),"",ReferenceData!$BM$199),"")</f>
        <v>13232.010689999999</v>
      </c>
    </row>
    <row r="200" spans="1:65" x14ac:dyDescent="0.25">
      <c r="A200" t="str">
        <f>IFERROR(IF(0=LEN(ReferenceData!$A$200),"",ReferenceData!$A$200),"")</f>
        <v xml:space="preserve">    Suzuki Motor Corp</v>
      </c>
      <c r="B200" t="str">
        <f>IFERROR(IF(0=LEN(ReferenceData!$B$200),"",ReferenceData!$B$200),"")</f>
        <v>7269 JP Equity</v>
      </c>
      <c r="C200" t="str">
        <f>IFERROR(IF(0=LEN(ReferenceData!$C$200),"",ReferenceData!$C$200),"")</f>
        <v>RR800</v>
      </c>
      <c r="D200" t="str">
        <f>IFERROR(IF(0=LEN(ReferenceData!$D$200),"",ReferenceData!$D$200),"")</f>
        <v>TRAIL_12M_NET_SALES</v>
      </c>
      <c r="E200" t="str">
        <f>IFERROR(IF(0=LEN(ReferenceData!$E$200),"",ReferenceData!$E$200),"")</f>
        <v>Dynamic</v>
      </c>
      <c r="F200" t="str">
        <f ca="1">IFERROR(IF(0=LEN(ReferenceData!$F$200),"",ReferenceData!$F$200),"")</f>
        <v/>
      </c>
      <c r="G200">
        <f ca="1">IFERROR(IF(0=LEN(ReferenceData!$G$200),"",ReferenceData!$G$200),"")</f>
        <v>35068.10022</v>
      </c>
      <c r="H200">
        <f ca="1">IFERROR(IF(0=LEN(ReferenceData!$H$200),"",ReferenceData!$H$200),"")</f>
        <v>34918.073640000002</v>
      </c>
      <c r="I200">
        <f ca="1">IFERROR(IF(0=LEN(ReferenceData!$I$200),"",ReferenceData!$I$200),"")</f>
        <v>35139.39976</v>
      </c>
      <c r="J200">
        <f ca="1">IFERROR(IF(0=LEN(ReferenceData!$J$200),"",ReferenceData!$J$200),"")</f>
        <v>33912.02491</v>
      </c>
      <c r="K200">
        <f ca="1">IFERROR(IF(0=LEN(ReferenceData!$K$200),"",ReferenceData!$K$200),"")</f>
        <v>32487.106199999998</v>
      </c>
      <c r="L200">
        <f ca="1">IFERROR(IF(0=LEN(ReferenceData!$L$200),"",ReferenceData!$L$200),"")</f>
        <v>31485.184209999999</v>
      </c>
      <c r="M200">
        <f ca="1">IFERROR(IF(0=LEN(ReferenceData!$M$200),"",ReferenceData!$M$200),"")</f>
        <v>30166.073970000001</v>
      </c>
      <c r="N200">
        <f ca="1">IFERROR(IF(0=LEN(ReferenceData!$N$200),"",ReferenceData!$N$200),"")</f>
        <v>29319.712909999998</v>
      </c>
      <c r="O200">
        <f ca="1">IFERROR(IF(0=LEN(ReferenceData!$O$200),"",ReferenceData!$O$200),"")</f>
        <v>28370.703300000001</v>
      </c>
      <c r="P200">
        <f ca="1">IFERROR(IF(0=LEN(ReferenceData!$P$200),"",ReferenceData!$P$200),"")</f>
        <v>28086.346399999999</v>
      </c>
      <c r="Q200">
        <f ca="1">IFERROR(IF(0=LEN(ReferenceData!$Q$200),"",ReferenceData!$Q$200),"")</f>
        <v>27164.381710000001</v>
      </c>
      <c r="R200">
        <f ca="1">IFERROR(IF(0=LEN(ReferenceData!$R$200),"",ReferenceData!$R$200),"")</f>
        <v>26515.932939999999</v>
      </c>
      <c r="S200">
        <f ca="1">IFERROR(IF(0=LEN(ReferenceData!$S$200),"",ReferenceData!$S$200),"")</f>
        <v>26676.361349999999</v>
      </c>
      <c r="T200">
        <f ca="1">IFERROR(IF(0=LEN(ReferenceData!$T$200),"",ReferenceData!$T$200),"")</f>
        <v>26357.313989999999</v>
      </c>
      <c r="U200">
        <f ca="1">IFERROR(IF(0=LEN(ReferenceData!$U$200),"",ReferenceData!$U$200),"")</f>
        <v>26949.695650000001</v>
      </c>
      <c r="V200">
        <f ca="1">IFERROR(IF(0=LEN(ReferenceData!$V$200),"",ReferenceData!$V$200),"")</f>
        <v>27567.981309999999</v>
      </c>
      <c r="W200">
        <f ca="1">IFERROR(IF(0=LEN(ReferenceData!$W$200),"",ReferenceData!$W$200),"")</f>
        <v>28462.403630000001</v>
      </c>
      <c r="X200">
        <f ca="1">IFERROR(IF(0=LEN(ReferenceData!$X$200),"",ReferenceData!$X$200),"")</f>
        <v>29318.433710000001</v>
      </c>
      <c r="Y200">
        <f ca="1">IFERROR(IF(0=LEN(ReferenceData!$Y$200),"",ReferenceData!$Y$200),"")</f>
        <v>29431.48849</v>
      </c>
      <c r="Z200">
        <f ca="1">IFERROR(IF(0=LEN(ReferenceData!$Z$200),"",ReferenceData!$Z$200),"")</f>
        <v>29340.010139999999</v>
      </c>
      <c r="AA200">
        <f ca="1">IFERROR(IF(0=LEN(ReferenceData!$AA$200),"",ReferenceData!$AA$200),"")</f>
        <v>29054.680799999998</v>
      </c>
      <c r="AB200">
        <f ca="1">IFERROR(IF(0=LEN(ReferenceData!$AB$200),"",ReferenceData!$AB$200),"")</f>
        <v>29554.482370000002</v>
      </c>
      <c r="AC200">
        <f ca="1">IFERROR(IF(0=LEN(ReferenceData!$AC$200),"",ReferenceData!$AC$200),"")</f>
        <v>30043.920050000001</v>
      </c>
      <c r="AD200">
        <f ca="1">IFERROR(IF(0=LEN(ReferenceData!$AD$200),"",ReferenceData!$AD$200),"")</f>
        <v>31203.569200000002</v>
      </c>
      <c r="AE200">
        <f ca="1">IFERROR(IF(0=LEN(ReferenceData!$AE$200),"",ReferenceData!$AE$200),"")</f>
        <v>31804.04062</v>
      </c>
      <c r="AF200">
        <f ca="1">IFERROR(IF(0=LEN(ReferenceData!$AF$200),"",ReferenceData!$AF$200),"")</f>
        <v>31885.143390000001</v>
      </c>
      <c r="AG200">
        <f ca="1">IFERROR(IF(0=LEN(ReferenceData!$AG$200),"",ReferenceData!$AG$200),"")</f>
        <v>32455.346979999998</v>
      </c>
      <c r="AH200">
        <f ca="1">IFERROR(IF(0=LEN(ReferenceData!$AH$200),"",ReferenceData!$AH$200),"")</f>
        <v>31838.961350000001</v>
      </c>
      <c r="AI200">
        <f ca="1">IFERROR(IF(0=LEN(ReferenceData!$AI$200),"",ReferenceData!$AI$200),"")</f>
        <v>31133.777440000002</v>
      </c>
      <c r="AJ200">
        <f ca="1">IFERROR(IF(0=LEN(ReferenceData!$AJ$200),"",ReferenceData!$AJ$200),"")</f>
        <v>31086.346860000001</v>
      </c>
      <c r="AK200">
        <f ca="1">IFERROR(IF(0=LEN(ReferenceData!$AK$200),"",ReferenceData!$AK$200),"")</f>
        <v>30840.248670000001</v>
      </c>
      <c r="AL200">
        <f ca="1">IFERROR(IF(0=LEN(ReferenceData!$AL$200),"",ReferenceData!$AL$200),"")</f>
        <v>30519.41589</v>
      </c>
      <c r="AM200">
        <f ca="1">IFERROR(IF(0=LEN(ReferenceData!$AM$200),"",ReferenceData!$AM$200),"")</f>
        <v>29906.468069999999</v>
      </c>
      <c r="AN200">
        <f ca="1">IFERROR(IF(0=LEN(ReferenceData!$AN$200),"",ReferenceData!$AN$200),"")</f>
        <v>29125.00534</v>
      </c>
      <c r="AO200">
        <f ca="1">IFERROR(IF(0=LEN(ReferenceData!$AO$200),"",ReferenceData!$AO$200),"")</f>
        <v>27848.67139</v>
      </c>
      <c r="AP200">
        <f ca="1">IFERROR(IF(0=LEN(ReferenceData!$AP$200),"",ReferenceData!$AP$200),"")</f>
        <v>26623.399130000002</v>
      </c>
      <c r="AQ200">
        <f ca="1">IFERROR(IF(0=LEN(ReferenceData!$AQ$200),"",ReferenceData!$AQ$200),"")</f>
        <v>26204.223529999999</v>
      </c>
      <c r="AR200">
        <f ca="1">IFERROR(IF(0=LEN(ReferenceData!$AR$200),"",ReferenceData!$AR$200),"")</f>
        <v>25957.993060000001</v>
      </c>
      <c r="AS200">
        <f ca="1">IFERROR(IF(0=LEN(ReferenceData!$AS$200),"",ReferenceData!$AS$200),"")</f>
        <v>27169.624230000001</v>
      </c>
      <c r="AT200">
        <f ca="1">IFERROR(IF(0=LEN(ReferenceData!$AT$200),"",ReferenceData!$AT$200),"")</f>
        <v>30024.247449999999</v>
      </c>
      <c r="AU200">
        <f ca="1">IFERROR(IF(0=LEN(ReferenceData!$AU$200),"",ReferenceData!$AU$200),"")</f>
        <v>31608.189180000001</v>
      </c>
      <c r="AV200">
        <f ca="1">IFERROR(IF(0=LEN(ReferenceData!$AV$200),"",ReferenceData!$AV$200),"")</f>
        <v>32486.267159999999</v>
      </c>
      <c r="AW200">
        <f ca="1">IFERROR(IF(0=LEN(ReferenceData!$AW$200),"",ReferenceData!$AW$200),"")</f>
        <v>32014.805670000002</v>
      </c>
      <c r="AX200">
        <f ca="1">IFERROR(IF(0=LEN(ReferenceData!$AX$200),"",ReferenceData!$AX$200),"")</f>
        <v>30751.574540000001</v>
      </c>
      <c r="AY200">
        <f ca="1">IFERROR(IF(0=LEN(ReferenceData!$AY$200),"",ReferenceData!$AY$200),"")</f>
        <v>29783.61753</v>
      </c>
      <c r="AZ200">
        <f ca="1">IFERROR(IF(0=LEN(ReferenceData!$AZ$200),"",ReferenceData!$AZ$200),"")</f>
        <v>28682.629410000001</v>
      </c>
      <c r="BA200">
        <f ca="1">IFERROR(IF(0=LEN(ReferenceData!$BA$200),"",ReferenceData!$BA$200),"")</f>
        <v>27796.753649999999</v>
      </c>
      <c r="BB200">
        <f ca="1">IFERROR(IF(0=LEN(ReferenceData!$BB$200),"",ReferenceData!$BB$200),"")</f>
        <v>27065.024570000001</v>
      </c>
      <c r="BC200">
        <f ca="1">IFERROR(IF(0=LEN(ReferenceData!$BC$200),"",ReferenceData!$BC$200),"")</f>
        <v>26071.331040000001</v>
      </c>
      <c r="BD200">
        <f ca="1">IFERROR(IF(0=LEN(ReferenceData!$BD$200),"",ReferenceData!$BD$200),"")</f>
        <v>25442.530500000001</v>
      </c>
      <c r="BE200">
        <f ca="1">IFERROR(IF(0=LEN(ReferenceData!$BE$200),"",ReferenceData!$BE$200),"")</f>
        <v>25011.233960000001</v>
      </c>
      <c r="BF200">
        <f ca="1">IFERROR(IF(0=LEN(ReferenceData!$BF$200),"",ReferenceData!$BF$200),"")</f>
        <v>24291.314729999998</v>
      </c>
      <c r="BG200">
        <f ca="1">IFERROR(IF(0=LEN(ReferenceData!$BG$200),"",ReferenceData!$BG$200),"")</f>
        <v>23460.06395</v>
      </c>
      <c r="BH200">
        <f ca="1">IFERROR(IF(0=LEN(ReferenceData!$BH$200),"",ReferenceData!$BH$200),"")</f>
        <v>23102.301589999999</v>
      </c>
      <c r="BI200">
        <f ca="1">IFERROR(IF(0=LEN(ReferenceData!$BI$200),"",ReferenceData!$BI$200),"")</f>
        <v>22606.797119999999</v>
      </c>
      <c r="BJ200">
        <f ca="1">IFERROR(IF(0=LEN(ReferenceData!$BJ$200),"",ReferenceData!$BJ$200),"")</f>
        <v>22028.164489999999</v>
      </c>
      <c r="BK200">
        <f ca="1">IFERROR(IF(0=LEN(ReferenceData!$BK$200),"",ReferenceData!$BK$200),"")</f>
        <v>21510.833429999999</v>
      </c>
      <c r="BL200">
        <f ca="1">IFERROR(IF(0=LEN(ReferenceData!$BL$200),"",ReferenceData!$BL$200),"")</f>
        <v>20904.21142</v>
      </c>
      <c r="BM200">
        <f ca="1">IFERROR(IF(0=LEN(ReferenceData!$BM$200),"",ReferenceData!$BM$200),"")</f>
        <v>19990.12701</v>
      </c>
    </row>
    <row r="201" spans="1:65" x14ac:dyDescent="0.25">
      <c r="A201" t="str">
        <f>IFERROR(IF(0=LEN(ReferenceData!$A$201),"",ReferenceData!$A$201),"")</f>
        <v xml:space="preserve">    Tata Motors Ltd</v>
      </c>
      <c r="B201" t="str">
        <f>IFERROR(IF(0=LEN(ReferenceData!$B$201),"",ReferenceData!$B$201),"")</f>
        <v>TTMT IN Equity</v>
      </c>
      <c r="C201" t="str">
        <f>IFERROR(IF(0=LEN(ReferenceData!$C$201),"",ReferenceData!$C$201),"")</f>
        <v>RR800</v>
      </c>
      <c r="D201" t="str">
        <f>IFERROR(IF(0=LEN(ReferenceData!$D$201),"",ReferenceData!$D$201),"")</f>
        <v>TRAIL_12M_NET_SALES</v>
      </c>
      <c r="E201" t="str">
        <f>IFERROR(IF(0=LEN(ReferenceData!$E$201),"",ReferenceData!$E$201),"")</f>
        <v>Dynamic</v>
      </c>
      <c r="F201" t="str">
        <f ca="1">IFERROR(IF(0=LEN(ReferenceData!$F$201),"",ReferenceData!$F$201),"")</f>
        <v/>
      </c>
      <c r="G201">
        <f ca="1">IFERROR(IF(0=LEN(ReferenceData!$G$201),"",ReferenceData!$G$201),"")</f>
        <v>44755.19745</v>
      </c>
      <c r="H201">
        <f ca="1">IFERROR(IF(0=LEN(ReferenceData!$H$201),"",ReferenceData!$H$201),"")</f>
        <v>45670.890229999997</v>
      </c>
      <c r="I201">
        <f ca="1">IFERROR(IF(0=LEN(ReferenceData!$I$201),"",ReferenceData!$I$201),"")</f>
        <v>46497.857830000001</v>
      </c>
      <c r="J201">
        <f ca="1">IFERROR(IF(0=LEN(ReferenceData!$J$201),"",ReferenceData!$J$201),"")</f>
        <v>45608.736620000003</v>
      </c>
      <c r="K201">
        <f ca="1">IFERROR(IF(0=LEN(ReferenceData!$K$201),"",ReferenceData!$K$201),"")</f>
        <v>43026.088259999997</v>
      </c>
      <c r="L201">
        <f ca="1">IFERROR(IF(0=LEN(ReferenceData!$L$201),"",ReferenceData!$L$201),"")</f>
        <v>41050.411959999998</v>
      </c>
      <c r="M201">
        <f ca="1">IFERROR(IF(0=LEN(ReferenceData!$M$201),"",ReferenceData!$M$201),"")</f>
        <v>39876.423029999998</v>
      </c>
      <c r="N201">
        <f ca="1">IFERROR(IF(0=LEN(ReferenceData!$N$201),"",ReferenceData!$N$201),"")</f>
        <v>40467.399969999999</v>
      </c>
      <c r="O201">
        <f ca="1">IFERROR(IF(0=LEN(ReferenceData!$O$201),"",ReferenceData!$O$201),"")</f>
        <v>40724.080990000002</v>
      </c>
      <c r="P201">
        <f ca="1">IFERROR(IF(0=LEN(ReferenceData!$P$201),"",ReferenceData!$P$201),"")</f>
        <v>41625.295789999996</v>
      </c>
      <c r="Q201">
        <f ca="1">IFERROR(IF(0=LEN(ReferenceData!$Q$201),"",ReferenceData!$Q$201),"")</f>
        <v>41331.89342</v>
      </c>
      <c r="R201">
        <f ca="1">IFERROR(IF(0=LEN(ReferenceData!$R$201),"",ReferenceData!$R$201),"")</f>
        <v>40961.236109999998</v>
      </c>
      <c r="S201">
        <f ca="1">IFERROR(IF(0=LEN(ReferenceData!$S$201),"",ReferenceData!$S$201),"")</f>
        <v>39880.199280000001</v>
      </c>
      <c r="T201">
        <f ca="1">IFERROR(IF(0=LEN(ReferenceData!$T$201),"",ReferenceData!$T$201),"")</f>
        <v>40610.70321</v>
      </c>
      <c r="U201">
        <f ca="1">IFERROR(IF(0=LEN(ReferenceData!$U$201),"",ReferenceData!$U$201),"")</f>
        <v>41204.28817</v>
      </c>
      <c r="V201">
        <f ca="1">IFERROR(IF(0=LEN(ReferenceData!$V$201),"",ReferenceData!$V$201),"")</f>
        <v>42656.33251</v>
      </c>
      <c r="W201">
        <f ca="1">IFERROR(IF(0=LEN(ReferenceData!$W$201),"",ReferenceData!$W$201),"")</f>
        <v>42314.514360000001</v>
      </c>
      <c r="X201">
        <f ca="1">IFERROR(IF(0=LEN(ReferenceData!$X$201),"",ReferenceData!$X$201),"")</f>
        <v>41386.117729999998</v>
      </c>
      <c r="Y201">
        <f ca="1">IFERROR(IF(0=LEN(ReferenceData!$Y$201),"",ReferenceData!$Y$201),"")</f>
        <v>40415.818780000001</v>
      </c>
      <c r="Z201">
        <f ca="1">IFERROR(IF(0=LEN(ReferenceData!$Z$201),"",ReferenceData!$Z$201),"")</f>
        <v>38205.626080000002</v>
      </c>
      <c r="AA201">
        <f ca="1">IFERROR(IF(0=LEN(ReferenceData!$AA$201),"",ReferenceData!$AA$201),"")</f>
        <v>37961.970309999997</v>
      </c>
      <c r="AB201">
        <f ca="1">IFERROR(IF(0=LEN(ReferenceData!$AB$201),"",ReferenceData!$AB$201),"")</f>
        <v>36144.573199999999</v>
      </c>
      <c r="AC201">
        <f ca="1">IFERROR(IF(0=LEN(ReferenceData!$AC$201),"",ReferenceData!$AC$201),"")</f>
        <v>34885.447560000001</v>
      </c>
      <c r="AD201">
        <f ca="1">IFERROR(IF(0=LEN(ReferenceData!$AD$201),"",ReferenceData!$AD$201),"")</f>
        <v>34506.704290000001</v>
      </c>
      <c r="AE201">
        <f ca="1">IFERROR(IF(0=LEN(ReferenceData!$AE$201),"",ReferenceData!$AE$201),"")</f>
        <v>34191.870260000003</v>
      </c>
      <c r="AF201">
        <f ca="1">IFERROR(IF(0=LEN(ReferenceData!$AF$201),"",ReferenceData!$AF$201),"")</f>
        <v>34582.19068</v>
      </c>
      <c r="AG201">
        <f ca="1">IFERROR(IF(0=LEN(ReferenceData!$AG$201),"",ReferenceData!$AG$201),"")</f>
        <v>34915.17482</v>
      </c>
      <c r="AH201">
        <f ca="1">IFERROR(IF(0=LEN(ReferenceData!$AH$201),"",ReferenceData!$AH$201),"")</f>
        <v>34584.313710000002</v>
      </c>
      <c r="AI201">
        <f ca="1">IFERROR(IF(0=LEN(ReferenceData!$AI$201),"",ReferenceData!$AI$201),"")</f>
        <v>31719.566760000002</v>
      </c>
      <c r="AJ201">
        <f ca="1">IFERROR(IF(0=LEN(ReferenceData!$AJ$201),"",ReferenceData!$AJ$201),"")</f>
        <v>29651.24051</v>
      </c>
      <c r="AK201">
        <f ca="1">IFERROR(IF(0=LEN(ReferenceData!$AK$201),"",ReferenceData!$AK$201),"")</f>
        <v>27900.613249999999</v>
      </c>
      <c r="AL201">
        <f ca="1">IFERROR(IF(0=LEN(ReferenceData!$AL$201),"",ReferenceData!$AL$201),"")</f>
        <v>26334.42093</v>
      </c>
      <c r="AM201">
        <f ca="1">IFERROR(IF(0=LEN(ReferenceData!$AM$201),"",ReferenceData!$AM$201),"")</f>
        <v>24995.291980000002</v>
      </c>
      <c r="AN201">
        <f ca="1">IFERROR(IF(0=LEN(ReferenceData!$AN$201),"",ReferenceData!$AN$201),"")</f>
        <v>23549.700929999999</v>
      </c>
      <c r="AO201">
        <f ca="1">IFERROR(IF(0=LEN(ReferenceData!$AO$201),"",ReferenceData!$AO$201),"")</f>
        <v>21664.989710000002</v>
      </c>
      <c r="AP201">
        <f ca="1">IFERROR(IF(0=LEN(ReferenceData!$AP$201),"",ReferenceData!$AP$201),"")</f>
        <v>19095.923579999999</v>
      </c>
      <c r="AQ201">
        <f ca="1">IFERROR(IF(0=LEN(ReferenceData!$AQ$201),"",ReferenceData!$AQ$201),"")</f>
        <v>16204.61564</v>
      </c>
      <c r="AR201">
        <f ca="1">IFERROR(IF(0=LEN(ReferenceData!$AR$201),"",ReferenceData!$AR$201),"")</f>
        <v>14289.29285</v>
      </c>
      <c r="AS201">
        <f ca="1">IFERROR(IF(0=LEN(ReferenceData!$AS$201),"",ReferenceData!$AS$201),"")</f>
        <v>15100.23827</v>
      </c>
      <c r="AT201">
        <f ca="1">IFERROR(IF(0=LEN(ReferenceData!$AT$201),"",ReferenceData!$AT$201),"")</f>
        <v>15310.61924</v>
      </c>
      <c r="AU201" t="str">
        <f ca="1">IFERROR(IF(0=LEN(ReferenceData!$AU$201),"",ReferenceData!$AU$201),"")</f>
        <v/>
      </c>
      <c r="AV201" t="str">
        <f ca="1">IFERROR(IF(0=LEN(ReferenceData!$AV$201),"",ReferenceData!$AV$201),"")</f>
        <v/>
      </c>
      <c r="AW201" t="str">
        <f ca="1">IFERROR(IF(0=LEN(ReferenceData!$AW$201),"",ReferenceData!$AW$201),"")</f>
        <v/>
      </c>
      <c r="AX201" t="str">
        <f ca="1">IFERROR(IF(0=LEN(ReferenceData!$AX$201),"",ReferenceData!$AX$201),"")</f>
        <v/>
      </c>
      <c r="AY201" t="str">
        <f ca="1">IFERROR(IF(0=LEN(ReferenceData!$AY$201),"",ReferenceData!$AY$201),"")</f>
        <v/>
      </c>
      <c r="AZ201" t="str">
        <f ca="1">IFERROR(IF(0=LEN(ReferenceData!$AZ$201),"",ReferenceData!$AZ$201),"")</f>
        <v/>
      </c>
      <c r="BA201" t="str">
        <f ca="1">IFERROR(IF(0=LEN(ReferenceData!$BA$201),"",ReferenceData!$BA$201),"")</f>
        <v/>
      </c>
      <c r="BB201" t="str">
        <f ca="1">IFERROR(IF(0=LEN(ReferenceData!$BB$201),"",ReferenceData!$BB$201),"")</f>
        <v/>
      </c>
      <c r="BC201" t="str">
        <f ca="1">IFERROR(IF(0=LEN(ReferenceData!$BC$201),"",ReferenceData!$BC$201),"")</f>
        <v/>
      </c>
      <c r="BD201" t="str">
        <f ca="1">IFERROR(IF(0=LEN(ReferenceData!$BD$201),"",ReferenceData!$BD$201),"")</f>
        <v/>
      </c>
      <c r="BE201" t="str">
        <f ca="1">IFERROR(IF(0=LEN(ReferenceData!$BE$201),"",ReferenceData!$BE$201),"")</f>
        <v/>
      </c>
      <c r="BF201" t="str">
        <f ca="1">IFERROR(IF(0=LEN(ReferenceData!$BF$201),"",ReferenceData!$BF$201),"")</f>
        <v/>
      </c>
      <c r="BG201" t="str">
        <f ca="1">IFERROR(IF(0=LEN(ReferenceData!$BG$201),"",ReferenceData!$BG$201),"")</f>
        <v/>
      </c>
      <c r="BH201" t="str">
        <f ca="1">IFERROR(IF(0=LEN(ReferenceData!$BH$201),"",ReferenceData!$BH$201),"")</f>
        <v/>
      </c>
      <c r="BI201" t="str">
        <f ca="1">IFERROR(IF(0=LEN(ReferenceData!$BI$201),"",ReferenceData!$BI$201),"")</f>
        <v/>
      </c>
      <c r="BJ201" t="str">
        <f ca="1">IFERROR(IF(0=LEN(ReferenceData!$BJ$201),"",ReferenceData!$BJ$201),"")</f>
        <v/>
      </c>
      <c r="BK201" t="str">
        <f ca="1">IFERROR(IF(0=LEN(ReferenceData!$BK$201),"",ReferenceData!$BK$201),"")</f>
        <v/>
      </c>
      <c r="BL201" t="str">
        <f ca="1">IFERROR(IF(0=LEN(ReferenceData!$BL$201),"",ReferenceData!$BL$201),"")</f>
        <v/>
      </c>
      <c r="BM201" t="str">
        <f ca="1">IFERROR(IF(0=LEN(ReferenceData!$BM$201),"",ReferenceData!$BM$201),"")</f>
        <v/>
      </c>
    </row>
    <row r="202" spans="1:65" x14ac:dyDescent="0.25">
      <c r="A202" t="str">
        <f>IFERROR(IF(0=LEN(ReferenceData!$A$202),"",ReferenceData!$A$202),"")</f>
        <v xml:space="preserve">    Tesla Inc</v>
      </c>
      <c r="B202" t="str">
        <f>IFERROR(IF(0=LEN(ReferenceData!$B$202),"",ReferenceData!$B$202),"")</f>
        <v>TSLA US Equity</v>
      </c>
      <c r="C202" t="str">
        <f>IFERROR(IF(0=LEN(ReferenceData!$C$202),"",ReferenceData!$C$202),"")</f>
        <v>RR800</v>
      </c>
      <c r="D202" t="str">
        <f>IFERROR(IF(0=LEN(ReferenceData!$D$202),"",ReferenceData!$D$202),"")</f>
        <v>TRAIL_12M_NET_SALES</v>
      </c>
      <c r="E202" t="str">
        <f>IFERROR(IF(0=LEN(ReferenceData!$E$202),"",ReferenceData!$E$202),"")</f>
        <v>Dynamic</v>
      </c>
      <c r="F202" t="str">
        <f ca="1">IFERROR(IF(0=LEN(ReferenceData!$F$202),"",ReferenceData!$F$202),"")</f>
        <v/>
      </c>
      <c r="G202">
        <f ca="1">IFERROR(IF(0=LEN(ReferenceData!$G$202),"",ReferenceData!$G$202),"")</f>
        <v>21461.268</v>
      </c>
      <c r="H202">
        <f ca="1">IFERROR(IF(0=LEN(ReferenceData!$H$202),"",ReferenceData!$H$202),"")</f>
        <v>17523.644</v>
      </c>
      <c r="I202">
        <f ca="1">IFERROR(IF(0=LEN(ReferenceData!$I$202),"",ReferenceData!$I$202),"")</f>
        <v>13683.906000000001</v>
      </c>
      <c r="J202">
        <f ca="1">IFERROR(IF(0=LEN(ReferenceData!$J$202),"",ReferenceData!$J$202),"")</f>
        <v>12471.232</v>
      </c>
      <c r="K202">
        <f ca="1">IFERROR(IF(0=LEN(ReferenceData!$K$202),"",ReferenceData!$K$202),"")</f>
        <v>11758.751</v>
      </c>
      <c r="L202">
        <f ca="1">IFERROR(IF(0=LEN(ReferenceData!$L$202),"",ReferenceData!$L$202),"")</f>
        <v>10755.133</v>
      </c>
      <c r="M202">
        <f ca="1">IFERROR(IF(0=LEN(ReferenceData!$M$202),"",ReferenceData!$M$202),"")</f>
        <v>10068.894</v>
      </c>
      <c r="N202">
        <f ca="1">IFERROR(IF(0=LEN(ReferenceData!$N$202),"",ReferenceData!$N$202),"")</f>
        <v>8549.3539999999994</v>
      </c>
      <c r="O202">
        <f ca="1">IFERROR(IF(0=LEN(ReferenceData!$O$202),"",ReferenceData!$O$202),"")</f>
        <v>7000.1319999999996</v>
      </c>
      <c r="P202">
        <f ca="1">IFERROR(IF(0=LEN(ReferenceData!$P$202),"",ReferenceData!$P$202),"")</f>
        <v>5929.88</v>
      </c>
      <c r="Q202">
        <f ca="1">IFERROR(IF(0=LEN(ReferenceData!$Q$202),"",ReferenceData!$Q$202),"")</f>
        <v>4568.2330000000002</v>
      </c>
      <c r="R202">
        <f ca="1">IFERROR(IF(0=LEN(ReferenceData!$R$202),"",ReferenceData!$R$202),"")</f>
        <v>4253.192</v>
      </c>
      <c r="S202">
        <f ca="1">IFERROR(IF(0=LEN(ReferenceData!$S$202),"",ReferenceData!$S$202),"")</f>
        <v>4046.0239999999999</v>
      </c>
      <c r="T202">
        <f ca="1">IFERROR(IF(0=LEN(ReferenceData!$T$202),"",ReferenceData!$T$202),"")</f>
        <v>3788.306</v>
      </c>
      <c r="U202">
        <f ca="1">IFERROR(IF(0=LEN(ReferenceData!$U$202),"",ReferenceData!$U$202),"")</f>
        <v>3703.3209999999999</v>
      </c>
      <c r="V202">
        <f ca="1">IFERROR(IF(0=LEN(ReferenceData!$V$202),"",ReferenceData!$V$202),"")</f>
        <v>3517.694</v>
      </c>
      <c r="W202">
        <f ca="1">IFERROR(IF(0=LEN(ReferenceData!$W$202),"",ReferenceData!$W$202),"")</f>
        <v>3198.3560000000002</v>
      </c>
      <c r="X202">
        <f ca="1">IFERROR(IF(0=LEN(ReferenceData!$X$202),"",ReferenceData!$X$202),"")</f>
        <v>2856.9140000000002</v>
      </c>
      <c r="Y202">
        <f ca="1">IFERROR(IF(0=LEN(ReferenceData!$Y$202),"",ReferenceData!$Y$202),"")</f>
        <v>2436.4560000000001</v>
      </c>
      <c r="Z202">
        <f ca="1">IFERROR(IF(0=LEN(ReferenceData!$Z$202),"",ReferenceData!$Z$202),"")</f>
        <v>2072.2460000000001</v>
      </c>
      <c r="AA202">
        <f ca="1">IFERROR(IF(0=LEN(ReferenceData!$AA$202),"",ReferenceData!$AA$202),"")</f>
        <v>2013.4960000000001</v>
      </c>
      <c r="AB202">
        <f ca="1">IFERROR(IF(0=LEN(ReferenceData!$AB$202),"",ReferenceData!$AB$202),"")</f>
        <v>1704.6089999999999</v>
      </c>
      <c r="AC202">
        <f ca="1">IFERROR(IF(0=LEN(ReferenceData!$AC$202),"",ReferenceData!$AC$202),"")</f>
        <v>1323.367</v>
      </c>
      <c r="AD202">
        <f ca="1">IFERROR(IF(0=LEN(ReferenceData!$AD$202),"",ReferenceData!$AD$202),"")</f>
        <v>944.88099999999997</v>
      </c>
      <c r="AE202">
        <f ca="1">IFERROR(IF(0=LEN(ReferenceData!$AE$202),"",ReferenceData!$AE$202),"")</f>
        <v>413.25599999999997</v>
      </c>
      <c r="AF202">
        <f ca="1">IFERROR(IF(0=LEN(ReferenceData!$AF$202),"",ReferenceData!$AF$202),"")</f>
        <v>146.29900000000001</v>
      </c>
      <c r="AG202">
        <f ca="1">IFERROR(IF(0=LEN(ReferenceData!$AG$202),"",ReferenceData!$AG$202),"")</f>
        <v>153.86099999999999</v>
      </c>
      <c r="AH202">
        <f ca="1">IFERROR(IF(0=LEN(ReferenceData!$AH$202),"",ReferenceData!$AH$202),"")</f>
        <v>185.37899999999999</v>
      </c>
      <c r="AI202">
        <f ca="1">IFERROR(IF(0=LEN(ReferenceData!$AI$202),"",ReferenceData!$AI$202),"")</f>
        <v>204.24199999999999</v>
      </c>
      <c r="AJ202">
        <f ca="1">IFERROR(IF(0=LEN(ReferenceData!$AJ$202),"",ReferenceData!$AJ$202),"")</f>
        <v>201.15299999999999</v>
      </c>
      <c r="AK202">
        <f ca="1">IFERROR(IF(0=LEN(ReferenceData!$AK$202),"",ReferenceData!$AK$202),"")</f>
        <v>174.72800000000001</v>
      </c>
      <c r="AL202">
        <f ca="1">IFERROR(IF(0=LEN(ReferenceData!$AL$202),"",ReferenceData!$AL$202),"")</f>
        <v>144.96199999999999</v>
      </c>
      <c r="AM202">
        <f ca="1">IFERROR(IF(0=LEN(ReferenceData!$AM$202),"",ReferenceData!$AM$202),"")</f>
        <v>116.744</v>
      </c>
      <c r="AN202">
        <f ca="1">IFERROR(IF(0=LEN(ReferenceData!$AN$202),"",ReferenceData!$AN$202),"")</f>
        <v>99.043000000000006</v>
      </c>
      <c r="AO202" t="str">
        <f ca="1">IFERROR(IF(0=LEN(ReferenceData!$AO$202),"",ReferenceData!$AO$202),"")</f>
        <v/>
      </c>
      <c r="AP202" t="str">
        <f ca="1">IFERROR(IF(0=LEN(ReferenceData!$AP$202),"",ReferenceData!$AP$202),"")</f>
        <v/>
      </c>
      <c r="AQ202" t="str">
        <f ca="1">IFERROR(IF(0=LEN(ReferenceData!$AQ$202),"",ReferenceData!$AQ$202),"")</f>
        <v/>
      </c>
      <c r="AR202" t="str">
        <f ca="1">IFERROR(IF(0=LEN(ReferenceData!$AR$202),"",ReferenceData!$AR$202),"")</f>
        <v/>
      </c>
      <c r="AS202" t="str">
        <f ca="1">IFERROR(IF(0=LEN(ReferenceData!$AS$202),"",ReferenceData!$AS$202),"")</f>
        <v/>
      </c>
      <c r="AT202" t="str">
        <f ca="1">IFERROR(IF(0=LEN(ReferenceData!$AT$202),"",ReferenceData!$AT$202),"")</f>
        <v/>
      </c>
      <c r="AU202" t="str">
        <f ca="1">IFERROR(IF(0=LEN(ReferenceData!$AU$202),"",ReferenceData!$AU$202),"")</f>
        <v/>
      </c>
      <c r="AV202" t="str">
        <f ca="1">IFERROR(IF(0=LEN(ReferenceData!$AV$202),"",ReferenceData!$AV$202),"")</f>
        <v/>
      </c>
      <c r="AW202" t="str">
        <f ca="1">IFERROR(IF(0=LEN(ReferenceData!$AW$202),"",ReferenceData!$AW$202),"")</f>
        <v/>
      </c>
      <c r="AX202" t="str">
        <f ca="1">IFERROR(IF(0=LEN(ReferenceData!$AX$202),"",ReferenceData!$AX$202),"")</f>
        <v/>
      </c>
      <c r="AY202" t="str">
        <f ca="1">IFERROR(IF(0=LEN(ReferenceData!$AY$202),"",ReferenceData!$AY$202),"")</f>
        <v/>
      </c>
      <c r="AZ202" t="str">
        <f ca="1">IFERROR(IF(0=LEN(ReferenceData!$AZ$202),"",ReferenceData!$AZ$202),"")</f>
        <v/>
      </c>
      <c r="BA202" t="str">
        <f ca="1">IFERROR(IF(0=LEN(ReferenceData!$BA$202),"",ReferenceData!$BA$202),"")</f>
        <v/>
      </c>
      <c r="BB202" t="str">
        <f ca="1">IFERROR(IF(0=LEN(ReferenceData!$BB$202),"",ReferenceData!$BB$202),"")</f>
        <v/>
      </c>
      <c r="BC202" t="str">
        <f ca="1">IFERROR(IF(0=LEN(ReferenceData!$BC$202),"",ReferenceData!$BC$202),"")</f>
        <v/>
      </c>
      <c r="BD202" t="str">
        <f ca="1">IFERROR(IF(0=LEN(ReferenceData!$BD$202),"",ReferenceData!$BD$202),"")</f>
        <v/>
      </c>
      <c r="BE202" t="str">
        <f ca="1">IFERROR(IF(0=LEN(ReferenceData!$BE$202),"",ReferenceData!$BE$202),"")</f>
        <v/>
      </c>
      <c r="BF202" t="str">
        <f ca="1">IFERROR(IF(0=LEN(ReferenceData!$BF$202),"",ReferenceData!$BF$202),"")</f>
        <v/>
      </c>
      <c r="BG202" t="str">
        <f ca="1">IFERROR(IF(0=LEN(ReferenceData!$BG$202),"",ReferenceData!$BG$202),"")</f>
        <v/>
      </c>
      <c r="BH202" t="str">
        <f ca="1">IFERROR(IF(0=LEN(ReferenceData!$BH$202),"",ReferenceData!$BH$202),"")</f>
        <v/>
      </c>
      <c r="BI202" t="str">
        <f ca="1">IFERROR(IF(0=LEN(ReferenceData!$BI$202),"",ReferenceData!$BI$202),"")</f>
        <v/>
      </c>
      <c r="BJ202" t="str">
        <f ca="1">IFERROR(IF(0=LEN(ReferenceData!$BJ$202),"",ReferenceData!$BJ$202),"")</f>
        <v/>
      </c>
      <c r="BK202" t="str">
        <f ca="1">IFERROR(IF(0=LEN(ReferenceData!$BK$202),"",ReferenceData!$BK$202),"")</f>
        <v/>
      </c>
      <c r="BL202" t="str">
        <f ca="1">IFERROR(IF(0=LEN(ReferenceData!$BL$202),"",ReferenceData!$BL$202),"")</f>
        <v/>
      </c>
      <c r="BM202" t="str">
        <f ca="1">IFERROR(IF(0=LEN(ReferenceData!$BM$202),"",ReferenceData!$BM$202),"")</f>
        <v/>
      </c>
    </row>
    <row r="203" spans="1:65" x14ac:dyDescent="0.25">
      <c r="A203" t="str">
        <f>IFERROR(IF(0=LEN(ReferenceData!$A$203),"",ReferenceData!$A$203),"")</f>
        <v xml:space="preserve">    Tianjin Faw Xiali Automobile Co Ltd</v>
      </c>
      <c r="B203" t="str">
        <f>IFERROR(IF(0=LEN(ReferenceData!$B$203),"",ReferenceData!$B$203),"")</f>
        <v>000927 CH Equity</v>
      </c>
      <c r="C203" t="str">
        <f>IFERROR(IF(0=LEN(ReferenceData!$C$203),"",ReferenceData!$C$203),"")</f>
        <v>RR800</v>
      </c>
      <c r="D203" t="str">
        <f>IFERROR(IF(0=LEN(ReferenceData!$D$203),"",ReferenceData!$D$203),"")</f>
        <v>TRAIL_12M_NET_SALES</v>
      </c>
      <c r="E203" t="str">
        <f>IFERROR(IF(0=LEN(ReferenceData!$E$203),"",ReferenceData!$E$203),"")</f>
        <v>Dynamic</v>
      </c>
      <c r="F203" t="str">
        <f ca="1">IFERROR(IF(0=LEN(ReferenceData!$F$203),"",ReferenceData!$F$203),"")</f>
        <v/>
      </c>
      <c r="G203" t="str">
        <f ca="1">IFERROR(IF(0=LEN(ReferenceData!$G$203),"",ReferenceData!$G$203),"")</f>
        <v/>
      </c>
      <c r="H203">
        <f ca="1">IFERROR(IF(0=LEN(ReferenceData!$H$203),"",ReferenceData!$H$203),"")</f>
        <v>206.2435581</v>
      </c>
      <c r="I203">
        <f ca="1">IFERROR(IF(0=LEN(ReferenceData!$I$203),"",ReferenceData!$I$203),"")</f>
        <v>231.194468</v>
      </c>
      <c r="J203">
        <f ca="1">IFERROR(IF(0=LEN(ReferenceData!$J$203),"",ReferenceData!$J$203),"")</f>
        <v>215.01841110000001</v>
      </c>
      <c r="K203">
        <f ca="1">IFERROR(IF(0=LEN(ReferenceData!$K$203),"",ReferenceData!$K$203),"")</f>
        <v>207.3698703</v>
      </c>
      <c r="L203">
        <f ca="1">IFERROR(IF(0=LEN(ReferenceData!$L$203),"",ReferenceData!$L$203),"")</f>
        <v>219.31030269999999</v>
      </c>
      <c r="M203">
        <f ca="1">IFERROR(IF(0=LEN(ReferenceData!$M$203),"",ReferenceData!$M$203),"")</f>
        <v>233.21346790000001</v>
      </c>
      <c r="N203">
        <f ca="1">IFERROR(IF(0=LEN(ReferenceData!$N$203),"",ReferenceData!$N$203),"")</f>
        <v>260.0359459</v>
      </c>
      <c r="O203">
        <f ca="1">IFERROR(IF(0=LEN(ReferenceData!$O$203),"",ReferenceData!$O$203),"")</f>
        <v>295.29596950000001</v>
      </c>
      <c r="P203">
        <f ca="1">IFERROR(IF(0=LEN(ReferenceData!$P$203),"",ReferenceData!$P$203),"")</f>
        <v>331.0624899</v>
      </c>
      <c r="Q203">
        <f ca="1">IFERROR(IF(0=LEN(ReferenceData!$Q$203),"",ReferenceData!$Q$203),"")</f>
        <v>357.93390199999999</v>
      </c>
      <c r="R203">
        <f ca="1">IFERROR(IF(0=LEN(ReferenceData!$R$203),"",ReferenceData!$R$203),"")</f>
        <v>429.17496460000001</v>
      </c>
      <c r="S203">
        <f ca="1">IFERROR(IF(0=LEN(ReferenceData!$S$203),"",ReferenceData!$S$203),"")</f>
        <v>527.15213589999996</v>
      </c>
      <c r="T203">
        <f ca="1">IFERROR(IF(0=LEN(ReferenceData!$T$203),"",ReferenceData!$T$203),"")</f>
        <v>569.41989639999997</v>
      </c>
      <c r="U203">
        <f ca="1">IFERROR(IF(0=LEN(ReferenceData!$U$203),"",ReferenceData!$U$203),"")</f>
        <v>581.04704449999997</v>
      </c>
      <c r="V203">
        <f ca="1">IFERROR(IF(0=LEN(ReferenceData!$V$203),"",ReferenceData!$V$203),"")</f>
        <v>550.44624020000003</v>
      </c>
      <c r="W203">
        <f ca="1">IFERROR(IF(0=LEN(ReferenceData!$W$203),"",ReferenceData!$W$203),"")</f>
        <v>511.99688120000002</v>
      </c>
      <c r="X203">
        <f ca="1">IFERROR(IF(0=LEN(ReferenceData!$X$203),"",ReferenceData!$X$203),"")</f>
        <v>593.17427299999997</v>
      </c>
      <c r="Y203">
        <f ca="1">IFERROR(IF(0=LEN(ReferenceData!$Y$203),"",ReferenceData!$Y$203),"")</f>
        <v>659.96288990000005</v>
      </c>
      <c r="Z203">
        <f ca="1">IFERROR(IF(0=LEN(ReferenceData!$Z$203),"",ReferenceData!$Z$203),"")</f>
        <v>770.38252379999994</v>
      </c>
      <c r="AA203">
        <f ca="1">IFERROR(IF(0=LEN(ReferenceData!$AA$203),"",ReferenceData!$AA$203),"")</f>
        <v>895.48282610000001</v>
      </c>
      <c r="AB203">
        <f ca="1">IFERROR(IF(0=LEN(ReferenceData!$AB$203),"",ReferenceData!$AB$203),"")</f>
        <v>969.04576550000002</v>
      </c>
      <c r="AC203">
        <f ca="1">IFERROR(IF(0=LEN(ReferenceData!$AC$203),"",ReferenceData!$AC$203),"")</f>
        <v>1022.969688</v>
      </c>
      <c r="AD203">
        <f ca="1">IFERROR(IF(0=LEN(ReferenceData!$AD$203),"",ReferenceData!$AD$203),"")</f>
        <v>1115.4265339999999</v>
      </c>
      <c r="AE203">
        <f ca="1">IFERROR(IF(0=LEN(ReferenceData!$AE$203),"",ReferenceData!$AE$203),"")</f>
        <v>1165.7284709999999</v>
      </c>
      <c r="AF203">
        <f ca="1">IFERROR(IF(0=LEN(ReferenceData!$AF$203),"",ReferenceData!$AF$203),"")</f>
        <v>1243.381989</v>
      </c>
      <c r="AG203">
        <f ca="1">IFERROR(IF(0=LEN(ReferenceData!$AG$203),"",ReferenceData!$AG$203),"")</f>
        <v>1317.4307429999999</v>
      </c>
      <c r="AH203">
        <f ca="1">IFERROR(IF(0=LEN(ReferenceData!$AH$203),"",ReferenceData!$AH$203),"")</f>
        <v>1373.3655590000001</v>
      </c>
      <c r="AI203">
        <f ca="1">IFERROR(IF(0=LEN(ReferenceData!$AI$203),"",ReferenceData!$AI$203),"")</f>
        <v>1509.1224549999999</v>
      </c>
      <c r="AJ203">
        <f ca="1">IFERROR(IF(0=LEN(ReferenceData!$AJ$203),"",ReferenceData!$AJ$203),"")</f>
        <v>1603.6699140000001</v>
      </c>
      <c r="AK203">
        <f ca="1">IFERROR(IF(0=LEN(ReferenceData!$AK$203),"",ReferenceData!$AK$203),"")</f>
        <v>1548.606556</v>
      </c>
      <c r="AL203">
        <f ca="1">IFERROR(IF(0=LEN(ReferenceData!$AL$203),"",ReferenceData!$AL$203),"")</f>
        <v>1498.050389</v>
      </c>
      <c r="AM203">
        <f ca="1">IFERROR(IF(0=LEN(ReferenceData!$AM$203),"",ReferenceData!$AM$203),"")</f>
        <v>1432.7733390000001</v>
      </c>
      <c r="AN203">
        <f ca="1">IFERROR(IF(0=LEN(ReferenceData!$AN$203),"",ReferenceData!$AN$203),"")</f>
        <v>1277.1458270000001</v>
      </c>
      <c r="AO203">
        <f ca="1">IFERROR(IF(0=LEN(ReferenceData!$AO$203),"",ReferenceData!$AO$203),"")</f>
        <v>1300.1105709999999</v>
      </c>
      <c r="AP203">
        <f ca="1">IFERROR(IF(0=LEN(ReferenceData!$AP$203),"",ReferenceData!$AP$203),"")</f>
        <v>1314.980902</v>
      </c>
      <c r="AQ203">
        <f ca="1">IFERROR(IF(0=LEN(ReferenceData!$AQ$203),"",ReferenceData!$AQ$203),"")</f>
        <v>1231.1317059999999</v>
      </c>
      <c r="AR203">
        <f ca="1">IFERROR(IF(0=LEN(ReferenceData!$AR$203),"",ReferenceData!$AR$203),"")</f>
        <v>1150.7850719999999</v>
      </c>
      <c r="AS203">
        <f ca="1">IFERROR(IF(0=LEN(ReferenceData!$AS$203),"",ReferenceData!$AS$203),"")</f>
        <v>1086.2754110000001</v>
      </c>
      <c r="AT203">
        <f ca="1">IFERROR(IF(0=LEN(ReferenceData!$AT$203),"",ReferenceData!$AT$203),"")</f>
        <v>1018.174721</v>
      </c>
      <c r="AU203">
        <f ca="1">IFERROR(IF(0=LEN(ReferenceData!$AU$203),"",ReferenceData!$AU$203),"")</f>
        <v>1020.954639</v>
      </c>
      <c r="AV203">
        <f ca="1">IFERROR(IF(0=LEN(ReferenceData!$AV$203),"",ReferenceData!$AV$203),"")</f>
        <v>1037.41444</v>
      </c>
      <c r="AW203">
        <f ca="1">IFERROR(IF(0=LEN(ReferenceData!$AW$203),"",ReferenceData!$AW$203),"")</f>
        <v>1061.893274</v>
      </c>
      <c r="AX203">
        <f ca="1">IFERROR(IF(0=LEN(ReferenceData!$AX$203),"",ReferenceData!$AX$203),"")</f>
        <v>1030.606685</v>
      </c>
      <c r="AY203">
        <f ca="1">IFERROR(IF(0=LEN(ReferenceData!$AY$203),"",ReferenceData!$AY$203),"")</f>
        <v>1001.98262</v>
      </c>
      <c r="AZ203">
        <f ca="1">IFERROR(IF(0=LEN(ReferenceData!$AZ$203),"",ReferenceData!$AZ$203),"")</f>
        <v>1067.251389</v>
      </c>
      <c r="BA203">
        <f ca="1">IFERROR(IF(0=LEN(ReferenceData!$BA$203),"",ReferenceData!$BA$203),"")</f>
        <v>1050.357655</v>
      </c>
      <c r="BB203">
        <f ca="1">IFERROR(IF(0=LEN(ReferenceData!$BB$203),"",ReferenceData!$BB$203),"")</f>
        <v>1087.7013240000001</v>
      </c>
      <c r="BC203">
        <f ca="1">IFERROR(IF(0=LEN(ReferenceData!$BC$203),"",ReferenceData!$BC$203),"")</f>
        <v>1052.6354409999999</v>
      </c>
      <c r="BD203">
        <f ca="1">IFERROR(IF(0=LEN(ReferenceData!$BD$203),"",ReferenceData!$BD$203),"")</f>
        <v>961.85782589999997</v>
      </c>
      <c r="BE203">
        <f ca="1">IFERROR(IF(0=LEN(ReferenceData!$BE$203),"",ReferenceData!$BE$203),"")</f>
        <v>938.53609849999998</v>
      </c>
      <c r="BF203">
        <f ca="1">IFERROR(IF(0=LEN(ReferenceData!$BF$203),"",ReferenceData!$BF$203),"")</f>
        <v>903.41799379999998</v>
      </c>
      <c r="BG203">
        <f ca="1">IFERROR(IF(0=LEN(ReferenceData!$BG$203),"",ReferenceData!$BG$203),"")</f>
        <v>831.53084790000003</v>
      </c>
      <c r="BH203">
        <f ca="1">IFERROR(IF(0=LEN(ReferenceData!$BH$203),"",ReferenceData!$BH$203),"")</f>
        <v>754.53022020000003</v>
      </c>
      <c r="BI203">
        <f ca="1">IFERROR(IF(0=LEN(ReferenceData!$BI$203),"",ReferenceData!$BI$203),"")</f>
        <v>679.69403990000001</v>
      </c>
      <c r="BJ203">
        <f ca="1">IFERROR(IF(0=LEN(ReferenceData!$BJ$203),"",ReferenceData!$BJ$203),"")</f>
        <v>633.24824760000001</v>
      </c>
      <c r="BK203">
        <f ca="1">IFERROR(IF(0=LEN(ReferenceData!$BK$203),"",ReferenceData!$BK$203),"")</f>
        <v>643.34851890000004</v>
      </c>
      <c r="BL203">
        <f ca="1">IFERROR(IF(0=LEN(ReferenceData!$BL$203),"",ReferenceData!$BL$203),"")</f>
        <v>651.28623330000005</v>
      </c>
      <c r="BM203">
        <f ca="1">IFERROR(IF(0=LEN(ReferenceData!$BM$203),"",ReferenceData!$BM$203),"")</f>
        <v>675.36298520000003</v>
      </c>
    </row>
    <row r="204" spans="1:65" x14ac:dyDescent="0.25">
      <c r="A204" t="str">
        <f>IFERROR(IF(0=LEN(ReferenceData!$A$204),"",ReferenceData!$A$204),"")</f>
        <v xml:space="preserve">    Tofas Turk Otomobil Fabrikasi AS</v>
      </c>
      <c r="B204" t="str">
        <f>IFERROR(IF(0=LEN(ReferenceData!$B$204),"",ReferenceData!$B$204),"")</f>
        <v>TOASOTRY EO Equity</v>
      </c>
      <c r="C204" t="str">
        <f>IFERROR(IF(0=LEN(ReferenceData!$C$204),"",ReferenceData!$C$204),"")</f>
        <v>RR800</v>
      </c>
      <c r="D204" t="str">
        <f>IFERROR(IF(0=LEN(ReferenceData!$D$204),"",ReferenceData!$D$204),"")</f>
        <v>TRAIL_12M_NET_SALES</v>
      </c>
      <c r="E204" t="str">
        <f>IFERROR(IF(0=LEN(ReferenceData!$E$204),"",ReferenceData!$E$204),"")</f>
        <v>Dynamic</v>
      </c>
      <c r="F204" t="str">
        <f ca="1">IFERROR(IF(0=LEN(ReferenceData!$F$204),"",ReferenceData!$F$204),"")</f>
        <v/>
      </c>
      <c r="G204">
        <f ca="1">IFERROR(IF(0=LEN(ReferenceData!$G$204),"",ReferenceData!$G$204),"")</f>
        <v>4072.8978440000001</v>
      </c>
      <c r="H204">
        <f ca="1">IFERROR(IF(0=LEN(ReferenceData!$H$204),"",ReferenceData!$H$204),"")</f>
        <v>4524.4277810000003</v>
      </c>
      <c r="I204">
        <f ca="1">IFERROR(IF(0=LEN(ReferenceData!$I$204),"",ReferenceData!$I$204),"")</f>
        <v>4887.5874720000002</v>
      </c>
      <c r="J204">
        <f ca="1">IFERROR(IF(0=LEN(ReferenceData!$J$204),"",ReferenceData!$J$204),"")</f>
        <v>4966.1114230000003</v>
      </c>
      <c r="K204">
        <f ca="1">IFERROR(IF(0=LEN(ReferenceData!$K$204),"",ReferenceData!$K$204),"")</f>
        <v>4905.8078640000003</v>
      </c>
      <c r="L204">
        <f ca="1">IFERROR(IF(0=LEN(ReferenceData!$L$204),"",ReferenceData!$L$204),"")</f>
        <v>4998.8766260000002</v>
      </c>
      <c r="M204">
        <f ca="1">IFERROR(IF(0=LEN(ReferenceData!$M$204),"",ReferenceData!$M$204),"")</f>
        <v>5024.1226909999996</v>
      </c>
      <c r="N204">
        <f ca="1">IFERROR(IF(0=LEN(ReferenceData!$N$204),"",ReferenceData!$N$204),"")</f>
        <v>5032.4682329999996</v>
      </c>
      <c r="O204">
        <f ca="1">IFERROR(IF(0=LEN(ReferenceData!$O$204),"",ReferenceData!$O$204),"")</f>
        <v>4845.9273860000003</v>
      </c>
      <c r="P204">
        <f ca="1">IFERROR(IF(0=LEN(ReferenceData!$P$204),"",ReferenceData!$P$204),"")</f>
        <v>4369.2545259999997</v>
      </c>
      <c r="Q204">
        <f ca="1">IFERROR(IF(0=LEN(ReferenceData!$Q$204),"",ReferenceData!$Q$204),"")</f>
        <v>4113.0591960000002</v>
      </c>
      <c r="R204">
        <f ca="1">IFERROR(IF(0=LEN(ReferenceData!$R$204),"",ReferenceData!$R$204),"")</f>
        <v>3801.4924999999998</v>
      </c>
      <c r="S204">
        <f ca="1">IFERROR(IF(0=LEN(ReferenceData!$S$204),"",ReferenceData!$S$204),"")</f>
        <v>3750.750231</v>
      </c>
      <c r="T204">
        <f ca="1">IFERROR(IF(0=LEN(ReferenceData!$T$204),"",ReferenceData!$T$204),"")</f>
        <v>3715.9106839999999</v>
      </c>
      <c r="U204">
        <f ca="1">IFERROR(IF(0=LEN(ReferenceData!$U$204),"",ReferenceData!$U$204),"")</f>
        <v>3726.3916840000002</v>
      </c>
      <c r="V204">
        <f ca="1">IFERROR(IF(0=LEN(ReferenceData!$V$204),"",ReferenceData!$V$204),"")</f>
        <v>3610.2697640000001</v>
      </c>
      <c r="W204">
        <f ca="1">IFERROR(IF(0=LEN(ReferenceData!$W$204),"",ReferenceData!$W$204),"")</f>
        <v>3487.1722770000001</v>
      </c>
      <c r="X204">
        <f ca="1">IFERROR(IF(0=LEN(ReferenceData!$X$204),"",ReferenceData!$X$204),"")</f>
        <v>3409.8085299999998</v>
      </c>
      <c r="Y204">
        <f ca="1">IFERROR(IF(0=LEN(ReferenceData!$Y$204),"",ReferenceData!$Y$204),"")</f>
        <v>3480.636109</v>
      </c>
      <c r="Z204">
        <f ca="1">IFERROR(IF(0=LEN(ReferenceData!$Z$204),"",ReferenceData!$Z$204),"")</f>
        <v>3586.7314310000002</v>
      </c>
      <c r="AA204">
        <f ca="1">IFERROR(IF(0=LEN(ReferenceData!$AA$204),"",ReferenceData!$AA$204),"")</f>
        <v>3797.4876060000001</v>
      </c>
      <c r="AB204">
        <f ca="1">IFERROR(IF(0=LEN(ReferenceData!$AB$204),"",ReferenceData!$AB$204),"")</f>
        <v>3851.455747</v>
      </c>
      <c r="AC204">
        <f ca="1">IFERROR(IF(0=LEN(ReferenceData!$AC$204),"",ReferenceData!$AC$204),"")</f>
        <v>3870.050158</v>
      </c>
      <c r="AD204">
        <f ca="1">IFERROR(IF(0=LEN(ReferenceData!$AD$204),"",ReferenceData!$AD$204),"")</f>
        <v>3939.338452</v>
      </c>
      <c r="AE204">
        <f ca="1">IFERROR(IF(0=LEN(ReferenceData!$AE$204),"",ReferenceData!$AE$204),"")</f>
        <v>3829.9151660000002</v>
      </c>
      <c r="AF204">
        <f ca="1">IFERROR(IF(0=LEN(ReferenceData!$AF$204),"",ReferenceData!$AF$204),"")</f>
        <v>3800.2791390000002</v>
      </c>
      <c r="AG204">
        <f ca="1">IFERROR(IF(0=LEN(ReferenceData!$AG$204),"",ReferenceData!$AG$204),"")</f>
        <v>3903.2651000000001</v>
      </c>
      <c r="AH204">
        <f ca="1">IFERROR(IF(0=LEN(ReferenceData!$AH$204),"",ReferenceData!$AH$204),"")</f>
        <v>4147.8199400000003</v>
      </c>
      <c r="AI204">
        <f ca="1">IFERROR(IF(0=LEN(ReferenceData!$AI$204),"",ReferenceData!$AI$204),"")</f>
        <v>4455.4880979999998</v>
      </c>
      <c r="AJ204">
        <f ca="1">IFERROR(IF(0=LEN(ReferenceData!$AJ$204),"",ReferenceData!$AJ$204),"")</f>
        <v>4818.5298540000003</v>
      </c>
      <c r="AK204">
        <f ca="1">IFERROR(IF(0=LEN(ReferenceData!$AK$204),"",ReferenceData!$AK$204),"")</f>
        <v>4761.2668599999997</v>
      </c>
      <c r="AL204">
        <f ca="1">IFERROR(IF(0=LEN(ReferenceData!$AL$204),"",ReferenceData!$AL$204),"")</f>
        <v>4456.8212640000002</v>
      </c>
      <c r="AM204">
        <f ca="1">IFERROR(IF(0=LEN(ReferenceData!$AM$204),"",ReferenceData!$AM$204),"")</f>
        <v>4311.3988909999998</v>
      </c>
      <c r="AN204">
        <f ca="1">IFERROR(IF(0=LEN(ReferenceData!$AN$204),"",ReferenceData!$AN$204),"")</f>
        <v>3980.9043310000002</v>
      </c>
      <c r="AO204">
        <f ca="1">IFERROR(IF(0=LEN(ReferenceData!$AO$204),"",ReferenceData!$AO$204),"")</f>
        <v>3958.8126849999999</v>
      </c>
      <c r="AP204">
        <f ca="1">IFERROR(IF(0=LEN(ReferenceData!$AP$204),"",ReferenceData!$AP$204),"")</f>
        <v>3883.5722449999998</v>
      </c>
      <c r="AQ204">
        <f ca="1">IFERROR(IF(0=LEN(ReferenceData!$AQ$204),"",ReferenceData!$AQ$204),"")</f>
        <v>3359.3108480000001</v>
      </c>
      <c r="AR204">
        <f ca="1">IFERROR(IF(0=LEN(ReferenceData!$AR$204),"",ReferenceData!$AR$204),"")</f>
        <v>2955.9010020000001</v>
      </c>
      <c r="AS204">
        <f ca="1">IFERROR(IF(0=LEN(ReferenceData!$AS$204),"",ReferenceData!$AS$204),"")</f>
        <v>2993.7873789999999</v>
      </c>
      <c r="AT204">
        <f ca="1">IFERROR(IF(0=LEN(ReferenceData!$AT$204),"",ReferenceData!$AT$204),"")</f>
        <v>3146.427733</v>
      </c>
      <c r="AU204">
        <f ca="1">IFERROR(IF(0=LEN(ReferenceData!$AU$204),"",ReferenceData!$AU$204),"")</f>
        <v>3718.0294389999999</v>
      </c>
      <c r="AV204">
        <f ca="1">IFERROR(IF(0=LEN(ReferenceData!$AV$204),"",ReferenceData!$AV$204),"")</f>
        <v>4136.8363300000001</v>
      </c>
      <c r="AW204">
        <f ca="1">IFERROR(IF(0=LEN(ReferenceData!$AW$204),"",ReferenceData!$AW$204),"")</f>
        <v>3844.4589759999999</v>
      </c>
      <c r="AX204">
        <f ca="1">IFERROR(IF(0=LEN(ReferenceData!$AX$204),"",ReferenceData!$AX$204),"")</f>
        <v>3327.0139100000001</v>
      </c>
      <c r="AY204">
        <f ca="1">IFERROR(IF(0=LEN(ReferenceData!$AY$204),"",ReferenceData!$AY$204),"")</f>
        <v>2746.4684940000002</v>
      </c>
      <c r="AZ204">
        <f ca="1">IFERROR(IF(0=LEN(ReferenceData!$AZ$204),"",ReferenceData!$AZ$204),"")</f>
        <v>2394.0725160000002</v>
      </c>
      <c r="BA204">
        <f ca="1">IFERROR(IF(0=LEN(ReferenceData!$BA$204),"",ReferenceData!$BA$204),"")</f>
        <v>2229.1301290000001</v>
      </c>
      <c r="BB204">
        <f ca="1">IFERROR(IF(0=LEN(ReferenceData!$BB$204),"",ReferenceData!$BB$204),"")</f>
        <v>2178.1001780000001</v>
      </c>
      <c r="BC204">
        <f ca="1">IFERROR(IF(0=LEN(ReferenceData!$BC$204),"",ReferenceData!$BC$204),"")</f>
        <v>2133.1905980000001</v>
      </c>
      <c r="BD204">
        <f ca="1">IFERROR(IF(0=LEN(ReferenceData!$BD$204),"",ReferenceData!$BD$204),"")</f>
        <v>2076.3154880000002</v>
      </c>
      <c r="BE204">
        <f ca="1">IFERROR(IF(0=LEN(ReferenceData!$BE$204),"",ReferenceData!$BE$204),"")</f>
        <v>2032.078166</v>
      </c>
      <c r="BF204">
        <f ca="1">IFERROR(IF(0=LEN(ReferenceData!$BF$204),"",ReferenceData!$BF$204),"")</f>
        <v>1939.4885139999999</v>
      </c>
      <c r="BG204">
        <f ca="1">IFERROR(IF(0=LEN(ReferenceData!$BG$204),"",ReferenceData!$BG$204),"")</f>
        <v>1888.258681</v>
      </c>
      <c r="BH204">
        <f ca="1">IFERROR(IF(0=LEN(ReferenceData!$BH$204),"",ReferenceData!$BH$204),"")</f>
        <v>1776.420521</v>
      </c>
      <c r="BI204">
        <f ca="1">IFERROR(IF(0=LEN(ReferenceData!$BI$204),"",ReferenceData!$BI$204),"")</f>
        <v>1715.5131249999999</v>
      </c>
      <c r="BJ204">
        <f ca="1">IFERROR(IF(0=LEN(ReferenceData!$BJ$204),"",ReferenceData!$BJ$204),"")</f>
        <v>1761.511066</v>
      </c>
      <c r="BK204">
        <f ca="1">IFERROR(IF(0=LEN(ReferenceData!$BK$204),"",ReferenceData!$BK$204),"")</f>
        <v>1851.904053</v>
      </c>
      <c r="BL204">
        <f ca="1">IFERROR(IF(0=LEN(ReferenceData!$BL$204),"",ReferenceData!$BL$204),"")</f>
        <v>2004.367483</v>
      </c>
      <c r="BM204">
        <f ca="1">IFERROR(IF(0=LEN(ReferenceData!$BM$204),"",ReferenceData!$BM$204),"")</f>
        <v>1997.5397949999999</v>
      </c>
    </row>
    <row r="205" spans="1:65" x14ac:dyDescent="0.25">
      <c r="A205" t="str">
        <f>IFERROR(IF(0=LEN(ReferenceData!$A$205),"",ReferenceData!$A$205),"")</f>
        <v xml:space="preserve">    Toyota Motor Corp</v>
      </c>
      <c r="B205" t="str">
        <f>IFERROR(IF(0=LEN(ReferenceData!$B$205),"",ReferenceData!$B$205),"")</f>
        <v>7203 JP Equity</v>
      </c>
      <c r="C205" t="str">
        <f>IFERROR(IF(0=LEN(ReferenceData!$C$205),"",ReferenceData!$C$205),"")</f>
        <v>RR800</v>
      </c>
      <c r="D205" t="str">
        <f>IFERROR(IF(0=LEN(ReferenceData!$D$205),"",ReferenceData!$D$205),"")</f>
        <v>TRAIL_12M_NET_SALES</v>
      </c>
      <c r="E205" t="str">
        <f>IFERROR(IF(0=LEN(ReferenceData!$E$205),"",ReferenceData!$E$205),"")</f>
        <v>Dynamic</v>
      </c>
      <c r="F205" t="str">
        <f ca="1">IFERROR(IF(0=LEN(ReferenceData!$F$205),"",ReferenceData!$F$205),"")</f>
        <v/>
      </c>
      <c r="G205">
        <f ca="1">IFERROR(IF(0=LEN(ReferenceData!$G$205),"",ReferenceData!$G$205),"")</f>
        <v>272289.81790000002</v>
      </c>
      <c r="H205">
        <f ca="1">IFERROR(IF(0=LEN(ReferenceData!$H$205),"",ReferenceData!$H$205),"")</f>
        <v>270449.78850000002</v>
      </c>
      <c r="I205">
        <f ca="1">IFERROR(IF(0=LEN(ReferenceData!$I$205),"",ReferenceData!$I$205),"")</f>
        <v>269251.80670000002</v>
      </c>
      <c r="J205">
        <f ca="1">IFERROR(IF(0=LEN(ReferenceData!$J$205),"",ReferenceData!$J$205),"")</f>
        <v>265174.50140000001</v>
      </c>
      <c r="K205">
        <f ca="1">IFERROR(IF(0=LEN(ReferenceData!$K$205),"",ReferenceData!$K$205),"")</f>
        <v>260786.6716</v>
      </c>
      <c r="L205">
        <f ca="1">IFERROR(IF(0=LEN(ReferenceData!$L$205),"",ReferenceData!$L$205),"")</f>
        <v>258215.07329999999</v>
      </c>
      <c r="M205">
        <f ca="1">IFERROR(IF(0=LEN(ReferenceData!$M$205),"",ReferenceData!$M$205),"")</f>
        <v>257648.47649999999</v>
      </c>
      <c r="N205">
        <f ca="1">IFERROR(IF(0=LEN(ReferenceData!$N$205),"",ReferenceData!$N$205),"")</f>
        <v>255286.65520000001</v>
      </c>
      <c r="O205">
        <f ca="1">IFERROR(IF(0=LEN(ReferenceData!$O$205),"",ReferenceData!$O$205),"")</f>
        <v>250110.00049999999</v>
      </c>
      <c r="P205">
        <f ca="1">IFERROR(IF(0=LEN(ReferenceData!$P$205),"",ReferenceData!$P$205),"")</f>
        <v>246172.2219</v>
      </c>
      <c r="Q205">
        <f ca="1">IFERROR(IF(0=LEN(ReferenceData!$Q$205),"",ReferenceData!$Q$205),"")</f>
        <v>240596.58429999999</v>
      </c>
      <c r="R205">
        <f ca="1">IFERROR(IF(0=LEN(ReferenceData!$R$205),"",ReferenceData!$R$205),"")</f>
        <v>236785.89</v>
      </c>
      <c r="S205">
        <f ca="1">IFERROR(IF(0=LEN(ReferenceData!$S$205),"",ReferenceData!$S$205),"")</f>
        <v>235936.74770000001</v>
      </c>
      <c r="T205">
        <f ca="1">IFERROR(IF(0=LEN(ReferenceData!$T$205),"",ReferenceData!$T$205),"")</f>
        <v>238204.26699999999</v>
      </c>
      <c r="U205">
        <f ca="1">IFERROR(IF(0=LEN(ReferenceData!$U$205),"",ReferenceData!$U$205),"")</f>
        <v>243687.91</v>
      </c>
      <c r="V205">
        <f ca="1">IFERROR(IF(0=LEN(ReferenceData!$V$205),"",ReferenceData!$V$205),"")</f>
        <v>248983.74280000001</v>
      </c>
      <c r="W205">
        <f ca="1">IFERROR(IF(0=LEN(ReferenceData!$W$205),"",ReferenceData!$W$205),"")</f>
        <v>252704.78039999999</v>
      </c>
      <c r="X205">
        <f ca="1">IFERROR(IF(0=LEN(ReferenceData!$X$205),"",ReferenceData!$X$205),"")</f>
        <v>255171.47579999999</v>
      </c>
      <c r="Y205">
        <f ca="1">IFERROR(IF(0=LEN(ReferenceData!$Y$205),"",ReferenceData!$Y$205),"")</f>
        <v>255686.7715</v>
      </c>
      <c r="Z205">
        <f ca="1">IFERROR(IF(0=LEN(ReferenceData!$Z$205),"",ReferenceData!$Z$205),"")</f>
        <v>256541.99280000001</v>
      </c>
      <c r="AA205">
        <f ca="1">IFERROR(IF(0=LEN(ReferenceData!$AA$205),"",ReferenceData!$AA$205),"")</f>
        <v>256133.7893</v>
      </c>
      <c r="AB205">
        <f ca="1">IFERROR(IF(0=LEN(ReferenceData!$AB$205),"",ReferenceData!$AB$205),"")</f>
        <v>257283.6041</v>
      </c>
      <c r="AC205">
        <f ca="1">IFERROR(IF(0=LEN(ReferenceData!$AC$205),"",ReferenceData!$AC$205),"")</f>
        <v>262724.34879999998</v>
      </c>
      <c r="AD205">
        <f ca="1">IFERROR(IF(0=LEN(ReferenceData!$AD$205),"",ReferenceData!$AD$205),"")</f>
        <v>267027.49969999999</v>
      </c>
      <c r="AE205">
        <f ca="1">IFERROR(IF(0=LEN(ReferenceData!$AE$205),"",ReferenceData!$AE$205),"")</f>
        <v>274916.54639999999</v>
      </c>
      <c r="AF205">
        <f ca="1">IFERROR(IF(0=LEN(ReferenceData!$AF$205),"",ReferenceData!$AF$205),"")</f>
        <v>272507.40379999997</v>
      </c>
      <c r="AG205">
        <f ca="1">IFERROR(IF(0=LEN(ReferenceData!$AG$205),"",ReferenceData!$AG$205),"")</f>
        <v>262790.12030000001</v>
      </c>
      <c r="AH205">
        <f ca="1">IFERROR(IF(0=LEN(ReferenceData!$AH$205),"",ReferenceData!$AH$205),"")</f>
        <v>235525.63769999999</v>
      </c>
      <c r="AI205">
        <f ca="1">IFERROR(IF(0=LEN(ReferenceData!$AI$205),"",ReferenceData!$AI$205),"")</f>
        <v>220118.86249999999</v>
      </c>
      <c r="AJ205">
        <f ca="1">IFERROR(IF(0=LEN(ReferenceData!$AJ$205),"",ReferenceData!$AJ$205),"")</f>
        <v>214165.83609999999</v>
      </c>
      <c r="AK205">
        <f ca="1">IFERROR(IF(0=LEN(ReferenceData!$AK$205),"",ReferenceData!$AK$205),"")</f>
        <v>211640.35680000001</v>
      </c>
      <c r="AL205">
        <f ca="1">IFERROR(IF(0=LEN(ReferenceData!$AL$205),"",ReferenceData!$AL$205),"")</f>
        <v>222250.0135</v>
      </c>
      <c r="AM205">
        <f ca="1">IFERROR(IF(0=LEN(ReferenceData!$AM$205),"",ReferenceData!$AM$205),"")</f>
        <v>224269.72289999999</v>
      </c>
      <c r="AN205">
        <f ca="1">IFERROR(IF(0=LEN(ReferenceData!$AN$205),"",ReferenceData!$AN$205),"")</f>
        <v>226314.23759999999</v>
      </c>
      <c r="AO205">
        <f ca="1">IFERROR(IF(0=LEN(ReferenceData!$AO$205),"",ReferenceData!$AO$205),"")</f>
        <v>218429.946</v>
      </c>
      <c r="AP205">
        <f ca="1">IFERROR(IF(0=LEN(ReferenceData!$AP$205),"",ReferenceData!$AP$205),"")</f>
        <v>204344.53169999999</v>
      </c>
      <c r="AQ205">
        <f ca="1">IFERROR(IF(0=LEN(ReferenceData!$AQ$205),"",ReferenceData!$AQ$205),"")</f>
        <v>184114.0141</v>
      </c>
      <c r="AR205">
        <f ca="1">IFERROR(IF(0=LEN(ReferenceData!$AR$205),"",ReferenceData!$AR$205),"")</f>
        <v>175924.76180000001</v>
      </c>
      <c r="AS205">
        <f ca="1">IFERROR(IF(0=LEN(ReferenceData!$AS$205),"",ReferenceData!$AS$205),"")</f>
        <v>184585.30910000001</v>
      </c>
      <c r="AT205">
        <f ca="1">IFERROR(IF(0=LEN(ReferenceData!$AT$205),"",ReferenceData!$AT$205),"")</f>
        <v>205127.47719999999</v>
      </c>
      <c r="AU205">
        <f ca="1">IFERROR(IF(0=LEN(ReferenceData!$AU$205),"",ReferenceData!$AU$205),"")</f>
        <v>228544.63449999999</v>
      </c>
      <c r="AV205">
        <f ca="1">IFERROR(IF(0=LEN(ReferenceData!$AV$205),"",ReferenceData!$AV$205),"")</f>
        <v>236824.57879999999</v>
      </c>
      <c r="AW205">
        <f ca="1">IFERROR(IF(0=LEN(ReferenceData!$AW$205),"",ReferenceData!$AW$205),"")</f>
        <v>236421.50700000001</v>
      </c>
      <c r="AX205">
        <f ca="1">IFERROR(IF(0=LEN(ReferenceData!$AX$205),"",ReferenceData!$AX$205),"")</f>
        <v>230822.0471</v>
      </c>
      <c r="AY205">
        <f ca="1">IFERROR(IF(0=LEN(ReferenceData!$AY$205),"",ReferenceData!$AY$205),"")</f>
        <v>221429.70540000001</v>
      </c>
      <c r="AZ205">
        <f ca="1">IFERROR(IF(0=LEN(ReferenceData!$AZ$205),"",ReferenceData!$AZ$205),"")</f>
        <v>214385.79670000001</v>
      </c>
      <c r="BA205">
        <f ca="1">IFERROR(IF(0=LEN(ReferenceData!$BA$205),"",ReferenceData!$BA$205),"")</f>
        <v>209529.8443</v>
      </c>
      <c r="BB205">
        <f ca="1">IFERROR(IF(0=LEN(ReferenceData!$BB$205),"",ReferenceData!$BB$205),"")</f>
        <v>204874.67920000001</v>
      </c>
      <c r="BC205">
        <f ca="1">IFERROR(IF(0=LEN(ReferenceData!$BC$205),"",ReferenceData!$BC$205),"")</f>
        <v>200953.296</v>
      </c>
      <c r="BD205">
        <f ca="1">IFERROR(IF(0=LEN(ReferenceData!$BD$205),"",ReferenceData!$BD$205),"")</f>
        <v>194173.40479999999</v>
      </c>
      <c r="BE205">
        <f ca="1">IFERROR(IF(0=LEN(ReferenceData!$BE$205),"",ReferenceData!$BE$205),"")</f>
        <v>188889.53140000001</v>
      </c>
      <c r="BF205">
        <f ca="1">IFERROR(IF(0=LEN(ReferenceData!$BF$205),"",ReferenceData!$BF$205),"")</f>
        <v>186063.32509999999</v>
      </c>
      <c r="BG205">
        <f ca="1">IFERROR(IF(0=LEN(ReferenceData!$BG$205),"",ReferenceData!$BG$205),"")</f>
        <v>183429.63370000001</v>
      </c>
      <c r="BH205">
        <f ca="1">IFERROR(IF(0=LEN(ReferenceData!$BH$205),"",ReferenceData!$BH$205),"")</f>
        <v>181732.14170000001</v>
      </c>
      <c r="BI205">
        <f ca="1">IFERROR(IF(0=LEN(ReferenceData!$BI$205),"",ReferenceData!$BI$205),"")</f>
        <v>177990.46350000001</v>
      </c>
      <c r="BJ205">
        <f ca="1">IFERROR(IF(0=LEN(ReferenceData!$BJ$205),"",ReferenceData!$BJ$205),"")</f>
        <v>172751.554</v>
      </c>
      <c r="BK205">
        <f ca="1">IFERROR(IF(0=LEN(ReferenceData!$BK$205),"",ReferenceData!$BK$205),"")</f>
        <v>169849.01240000001</v>
      </c>
      <c r="BL205">
        <f ca="1">IFERROR(IF(0=LEN(ReferenceData!$BL$205),"",ReferenceData!$BL$205),"")</f>
        <v>166221.09039999999</v>
      </c>
      <c r="BM205">
        <f ca="1">IFERROR(IF(0=LEN(ReferenceData!$BM$205),"",ReferenceData!$BM$205),"")</f>
        <v>160125.26639999999</v>
      </c>
    </row>
    <row r="206" spans="1:65" x14ac:dyDescent="0.25">
      <c r="A206" t="str">
        <f>IFERROR(IF(0=LEN(ReferenceData!$A$206),"",ReferenceData!$A$206),"")</f>
        <v xml:space="preserve">    Volkswagen AG</v>
      </c>
      <c r="B206" t="str">
        <f>IFERROR(IF(0=LEN(ReferenceData!$B$206),"",ReferenceData!$B$206),"")</f>
        <v>VOW GR Equity</v>
      </c>
      <c r="C206" t="str">
        <f>IFERROR(IF(0=LEN(ReferenceData!$C$206),"",ReferenceData!$C$206),"")</f>
        <v>RR800</v>
      </c>
      <c r="D206" t="str">
        <f>IFERROR(IF(0=LEN(ReferenceData!$D$206),"",ReferenceData!$D$206),"")</f>
        <v>TRAIL_12M_NET_SALES</v>
      </c>
      <c r="E206" t="str">
        <f>IFERROR(IF(0=LEN(ReferenceData!$E$206),"",ReferenceData!$E$206),"")</f>
        <v>Dynamic</v>
      </c>
      <c r="F206" t="str">
        <f ca="1">IFERROR(IF(0=LEN(ReferenceData!$F$206),"",ReferenceData!$F$206),"")</f>
        <v/>
      </c>
      <c r="G206">
        <f ca="1">IFERROR(IF(0=LEN(ReferenceData!$G$206),"",ReferenceData!$G$206),"")</f>
        <v>278566.98570000002</v>
      </c>
      <c r="H206">
        <f ca="1">IFERROR(IF(0=LEN(ReferenceData!$H$206),"",ReferenceData!$H$206),"")</f>
        <v>279034.56359999999</v>
      </c>
      <c r="I206">
        <f ca="1">IFERROR(IF(0=LEN(ReferenceData!$I$206),"",ReferenceData!$I$206),"")</f>
        <v>279163.31099999999</v>
      </c>
      <c r="J206">
        <f ca="1">IFERROR(IF(0=LEN(ReferenceData!$J$206),"",ReferenceData!$J$206),"")</f>
        <v>271495.10350000003</v>
      </c>
      <c r="K206">
        <f ca="1">IFERROR(IF(0=LEN(ReferenceData!$K$206),"",ReferenceData!$K$206),"")</f>
        <v>259703.71900000001</v>
      </c>
      <c r="L206">
        <f ca="1">IFERROR(IF(0=LEN(ReferenceData!$L$206),"",ReferenceData!$L$206),"")</f>
        <v>251227.0638</v>
      </c>
      <c r="M206">
        <f ca="1">IFERROR(IF(0=LEN(ReferenceData!$M$206),"",ReferenceData!$M$206),"")</f>
        <v>244946.62789999999</v>
      </c>
      <c r="N206">
        <f ca="1">IFERROR(IF(0=LEN(ReferenceData!$N$206),"",ReferenceData!$N$206),"")</f>
        <v>244149.348</v>
      </c>
      <c r="O206">
        <f ca="1">IFERROR(IF(0=LEN(ReferenceData!$O$206),"",ReferenceData!$O$206),"")</f>
        <v>240477.34640000001</v>
      </c>
      <c r="P206">
        <f ca="1">IFERROR(IF(0=LEN(ReferenceData!$P$206),"",ReferenceData!$P$206),"")</f>
        <v>236609.83540000001</v>
      </c>
      <c r="Q206">
        <f ca="1">IFERROR(IF(0=LEN(ReferenceData!$Q$206),"",ReferenceData!$Q$206),"")</f>
        <v>235817.12729999999</v>
      </c>
      <c r="R206">
        <f ca="1">IFERROR(IF(0=LEN(ReferenceData!$R$206),"",ReferenceData!$R$206),"")</f>
        <v>233592.8934</v>
      </c>
      <c r="S206">
        <f ca="1">IFERROR(IF(0=LEN(ReferenceData!$S$206),"",ReferenceData!$S$206),"")</f>
        <v>236754.2548</v>
      </c>
      <c r="T206">
        <f ca="1">IFERROR(IF(0=LEN(ReferenceData!$T$206),"",ReferenceData!$T$206),"")</f>
        <v>247002.75320000001</v>
      </c>
      <c r="U206">
        <f ca="1">IFERROR(IF(0=LEN(ReferenceData!$U$206),"",ReferenceData!$U$206),"")</f>
        <v>255501.4106</v>
      </c>
      <c r="V206">
        <f ca="1">IFERROR(IF(0=LEN(ReferenceData!$V$206),"",ReferenceData!$V$206),"")</f>
        <v>263077.49089999998</v>
      </c>
      <c r="W206">
        <f ca="1">IFERROR(IF(0=LEN(ReferenceData!$W$206),"",ReferenceData!$W$206),"")</f>
        <v>268963.90749999997</v>
      </c>
      <c r="X206">
        <f ca="1">IFERROR(IF(0=LEN(ReferenceData!$X$206),"",ReferenceData!$X$206),"")</f>
        <v>270118.33720000001</v>
      </c>
      <c r="Y206">
        <f ca="1">IFERROR(IF(0=LEN(ReferenceData!$Y$206),"",ReferenceData!$Y$206),"")</f>
        <v>267474.85749999998</v>
      </c>
      <c r="Z206">
        <f ca="1">IFERROR(IF(0=LEN(ReferenceData!$Z$206),"",ReferenceData!$Z$206),"")</f>
        <v>265805.34240000002</v>
      </c>
      <c r="AA206">
        <f ca="1">IFERROR(IF(0=LEN(ReferenceData!$AA$206),"",ReferenceData!$AA$206),"")</f>
        <v>261687.97949999999</v>
      </c>
      <c r="AB206">
        <f ca="1">IFERROR(IF(0=LEN(ReferenceData!$AB$206),"",ReferenceData!$AB$206),"")</f>
        <v>254713.51120000001</v>
      </c>
      <c r="AC206">
        <f ca="1">IFERROR(IF(0=LEN(ReferenceData!$AC$206),"",ReferenceData!$AC$206),"")</f>
        <v>253539.1771</v>
      </c>
      <c r="AD206">
        <f ca="1">IFERROR(IF(0=LEN(ReferenceData!$AD$206),"",ReferenceData!$AD$206),"")</f>
        <v>247169.4025</v>
      </c>
      <c r="AE206">
        <f ca="1">IFERROR(IF(0=LEN(ReferenceData!$AE$206),"",ReferenceData!$AE$206),"")</f>
        <v>247756.49849999999</v>
      </c>
      <c r="AF206">
        <f ca="1">IFERROR(IF(0=LEN(ReferenceData!$AF$206),"",ReferenceData!$AF$206),"")</f>
        <v>243154.9663</v>
      </c>
      <c r="AG206">
        <f ca="1">IFERROR(IF(0=LEN(ReferenceData!$AG$206),"",ReferenceData!$AG$206),"")</f>
        <v>236939.39230000001</v>
      </c>
      <c r="AH206">
        <f ca="1">IFERROR(IF(0=LEN(ReferenceData!$AH$206),"",ReferenceData!$AH$206),"")</f>
        <v>233145.86379999999</v>
      </c>
      <c r="AI206">
        <f ca="1">IFERROR(IF(0=LEN(ReferenceData!$AI$206),"",ReferenceData!$AI$206),"")</f>
        <v>221861.1789</v>
      </c>
      <c r="AJ206">
        <f ca="1">IFERROR(IF(0=LEN(ReferenceData!$AJ$206),"",ReferenceData!$AJ$206),"")</f>
        <v>210063.38740000001</v>
      </c>
      <c r="AK206">
        <f ca="1">IFERROR(IF(0=LEN(ReferenceData!$AK$206),"",ReferenceData!$AK$206),"")</f>
        <v>194884.34589999999</v>
      </c>
      <c r="AL206">
        <f ca="1">IFERROR(IF(0=LEN(ReferenceData!$AL$206),"",ReferenceData!$AL$206),"")</f>
        <v>179527.4246</v>
      </c>
      <c r="AM206">
        <f ca="1">IFERROR(IF(0=LEN(ReferenceData!$AM$206),"",ReferenceData!$AM$206),"")</f>
        <v>168315.11379999999</v>
      </c>
      <c r="AN206">
        <f ca="1">IFERROR(IF(0=LEN(ReferenceData!$AN$206),"",ReferenceData!$AN$206),"")</f>
        <v>163572.79870000001</v>
      </c>
      <c r="AO206">
        <f ca="1">IFERROR(IF(0=LEN(ReferenceData!$AO$206),"",ReferenceData!$AO$206),"")</f>
        <v>161122.65270000001</v>
      </c>
      <c r="AP206">
        <f ca="1">IFERROR(IF(0=LEN(ReferenceData!$AP$206),"",ReferenceData!$AP$206),"")</f>
        <v>155281.07449999999</v>
      </c>
      <c r="AQ206">
        <f ca="1">IFERROR(IF(0=LEN(ReferenceData!$AQ$206),"",ReferenceData!$AQ$206),"")</f>
        <v>146676.61170000001</v>
      </c>
      <c r="AR206">
        <f ca="1">IFERROR(IF(0=LEN(ReferenceData!$AR$206),"",ReferenceData!$AR$206),"")</f>
        <v>143002.761</v>
      </c>
      <c r="AS206">
        <f ca="1">IFERROR(IF(0=LEN(ReferenceData!$AS$206),"",ReferenceData!$AS$206),"")</f>
        <v>149033.4191</v>
      </c>
      <c r="AT206">
        <f ca="1">IFERROR(IF(0=LEN(ReferenceData!$AT$206),"",ReferenceData!$AT$206),"")</f>
        <v>157681.89129999999</v>
      </c>
      <c r="AU206">
        <f ca="1">IFERROR(IF(0=LEN(ReferenceData!$AU$206),"",ReferenceData!$AU$206),"")</f>
        <v>167398.98180000001</v>
      </c>
      <c r="AV206">
        <f ca="1">IFERROR(IF(0=LEN(ReferenceData!$AV$206),"",ReferenceData!$AV$206),"")</f>
        <v>170409.7567</v>
      </c>
      <c r="AW206">
        <f ca="1">IFERROR(IF(0=LEN(ReferenceData!$AW$206),"",ReferenceData!$AW$206),"")</f>
        <v>162617.37899999999</v>
      </c>
      <c r="AX206">
        <f ca="1">IFERROR(IF(0=LEN(ReferenceData!$AX$206),"",ReferenceData!$AX$206),"")</f>
        <v>154910.83559999999</v>
      </c>
      <c r="AY206">
        <f ca="1">IFERROR(IF(0=LEN(ReferenceData!$AY$206),"",ReferenceData!$AY$206),"")</f>
        <v>149275.83439999999</v>
      </c>
      <c r="AZ206">
        <f ca="1">IFERROR(IF(0=LEN(ReferenceData!$AZ$206),"",ReferenceData!$AZ$206),"")</f>
        <v>144804.62169999999</v>
      </c>
      <c r="BA206">
        <f ca="1">IFERROR(IF(0=LEN(ReferenceData!$BA$206),"",ReferenceData!$BA$206),"")</f>
        <v>140815.72709999999</v>
      </c>
      <c r="BB206">
        <f ca="1">IFERROR(IF(0=LEN(ReferenceData!$BB$206),"",ReferenceData!$BB$206),"")</f>
        <v>136259.25450000001</v>
      </c>
      <c r="BC206">
        <f ca="1">IFERROR(IF(0=LEN(ReferenceData!$BC$206),"",ReferenceData!$BC$206),"")</f>
        <v>131763.73180000001</v>
      </c>
      <c r="BD206">
        <f ca="1">IFERROR(IF(0=LEN(ReferenceData!$BD$206),"",ReferenceData!$BD$206),"")</f>
        <v>125713.63129999999</v>
      </c>
      <c r="BE206">
        <f ca="1">IFERROR(IF(0=LEN(ReferenceData!$BE$206),"",ReferenceData!$BE$206),"")</f>
        <v>122282.56449999999</v>
      </c>
      <c r="BF206">
        <f ca="1">IFERROR(IF(0=LEN(ReferenceData!$BF$206),"",ReferenceData!$BF$206),"")</f>
        <v>119895.0235</v>
      </c>
      <c r="BG206">
        <f ca="1">IFERROR(IF(0=LEN(ReferenceData!$BG$206),"",ReferenceData!$BG$206),"")</f>
        <v>116951.45909999999</v>
      </c>
      <c r="BH206">
        <f ca="1">IFERROR(IF(0=LEN(ReferenceData!$BH$206),"",ReferenceData!$BH$206),"")</f>
        <v>116401.2264</v>
      </c>
      <c r="BI206">
        <f ca="1">IFERROR(IF(0=LEN(ReferenceData!$BI$206),"",ReferenceData!$BI$206),"")</f>
        <v>113569.7261</v>
      </c>
      <c r="BJ206">
        <f ca="1">IFERROR(IF(0=LEN(ReferenceData!$BJ$206),"",ReferenceData!$BJ$206),"")</f>
        <v>111024.7093</v>
      </c>
      <c r="BK206">
        <f ca="1">IFERROR(IF(0=LEN(ReferenceData!$BK$206),"",ReferenceData!$BK$206),"")</f>
        <v>110689.27559999999</v>
      </c>
      <c r="BL206">
        <f ca="1">IFERROR(IF(0=LEN(ReferenceData!$BL$206),"",ReferenceData!$BL$206),"")</f>
        <v>110347.8735</v>
      </c>
      <c r="BM206">
        <f ca="1">IFERROR(IF(0=LEN(ReferenceData!$BM$206),"",ReferenceData!$BM$206),"")</f>
        <v>108266.8622</v>
      </c>
    </row>
    <row r="207" spans="1:65" x14ac:dyDescent="0.25">
      <c r="A207" t="str">
        <f>IFERROR(IF(0=LEN(ReferenceData!$A$207),"",ReferenceData!$A$207),"")</f>
        <v xml:space="preserve">    Yulon Motor Co Ltd</v>
      </c>
      <c r="B207" t="str">
        <f>IFERROR(IF(0=LEN(ReferenceData!$B$207),"",ReferenceData!$B$207),"")</f>
        <v>2201 TT Equity</v>
      </c>
      <c r="C207" t="str">
        <f>IFERROR(IF(0=LEN(ReferenceData!$C$207),"",ReferenceData!$C$207),"")</f>
        <v>RR800</v>
      </c>
      <c r="D207" t="str">
        <f>IFERROR(IF(0=LEN(ReferenceData!$D$207),"",ReferenceData!$D$207),"")</f>
        <v>TRAIL_12M_NET_SALES</v>
      </c>
      <c r="E207" t="str">
        <f>IFERROR(IF(0=LEN(ReferenceData!$E$207),"",ReferenceData!$E$207),"")</f>
        <v>Dynamic</v>
      </c>
      <c r="F207" t="str">
        <f ca="1">IFERROR(IF(0=LEN(ReferenceData!$F$207),"",ReferenceData!$F$207),"")</f>
        <v/>
      </c>
      <c r="G207" t="str">
        <f ca="1">IFERROR(IF(0=LEN(ReferenceData!$G$207),"",ReferenceData!$G$207),"")</f>
        <v/>
      </c>
      <c r="H207">
        <f ca="1">IFERROR(IF(0=LEN(ReferenceData!$H$207),"",ReferenceData!$H$207),"")</f>
        <v>3021.353689</v>
      </c>
      <c r="I207">
        <f ca="1">IFERROR(IF(0=LEN(ReferenceData!$I$207),"",ReferenceData!$I$207),"")</f>
        <v>3069.7366780000002</v>
      </c>
      <c r="J207">
        <f ca="1">IFERROR(IF(0=LEN(ReferenceData!$J$207),"",ReferenceData!$J$207),"")</f>
        <v>3101.1856339999999</v>
      </c>
      <c r="K207">
        <f ca="1">IFERROR(IF(0=LEN(ReferenceData!$K$207),"",ReferenceData!$K$207),"")</f>
        <v>3093.862603</v>
      </c>
      <c r="L207">
        <f ca="1">IFERROR(IF(0=LEN(ReferenceData!$L$207),"",ReferenceData!$L$207),"")</f>
        <v>3214.5220119999999</v>
      </c>
      <c r="M207">
        <f ca="1">IFERROR(IF(0=LEN(ReferenceData!$M$207),"",ReferenceData!$M$207),"")</f>
        <v>3319.981769</v>
      </c>
      <c r="N207">
        <f ca="1">IFERROR(IF(0=LEN(ReferenceData!$N$207),"",ReferenceData!$N$207),"")</f>
        <v>3389.1712779999998</v>
      </c>
      <c r="O207">
        <f ca="1">IFERROR(IF(0=LEN(ReferenceData!$O$207),"",ReferenceData!$O$207),"")</f>
        <v>3481.1223479999999</v>
      </c>
      <c r="P207">
        <f ca="1">IFERROR(IF(0=LEN(ReferenceData!$P$207),"",ReferenceData!$P$207),"")</f>
        <v>3550.5657900000001</v>
      </c>
      <c r="Q207">
        <f ca="1">IFERROR(IF(0=LEN(ReferenceData!$Q$207),"",ReferenceData!$Q$207),"")</f>
        <v>3657.851913</v>
      </c>
      <c r="R207">
        <f ca="1">IFERROR(IF(0=LEN(ReferenceData!$R$207),"",ReferenceData!$R$207),"")</f>
        <v>3746.797129</v>
      </c>
      <c r="S207">
        <f ca="1">IFERROR(IF(0=LEN(ReferenceData!$S$207),"",ReferenceData!$S$207),"")</f>
        <v>3859.5465610000001</v>
      </c>
      <c r="T207">
        <f ca="1">IFERROR(IF(0=LEN(ReferenceData!$T$207),"",ReferenceData!$T$207),"")</f>
        <v>3921.3382259999998</v>
      </c>
      <c r="U207">
        <f ca="1">IFERROR(IF(0=LEN(ReferenceData!$U$207),"",ReferenceData!$U$207),"")</f>
        <v>4096.4312049999999</v>
      </c>
      <c r="V207">
        <f ca="1">IFERROR(IF(0=LEN(ReferenceData!$V$207),"",ReferenceData!$V$207),"")</f>
        <v>4120.6328450000001</v>
      </c>
      <c r="W207">
        <f ca="1">IFERROR(IF(0=LEN(ReferenceData!$W$207),"",ReferenceData!$W$207),"")</f>
        <v>3979.0391930000001</v>
      </c>
      <c r="X207">
        <f ca="1">IFERROR(IF(0=LEN(ReferenceData!$X$207),"",ReferenceData!$X$207),"")</f>
        <v>3845.1877079999999</v>
      </c>
      <c r="Y207">
        <f ca="1">IFERROR(IF(0=LEN(ReferenceData!$Y$207),"",ReferenceData!$Y$207),"")</f>
        <v>3542.8074029999998</v>
      </c>
      <c r="Z207">
        <f ca="1">IFERROR(IF(0=LEN(ReferenceData!$Z$207),"",ReferenceData!$Z$207),"")</f>
        <v>3306.9873210000001</v>
      </c>
      <c r="AA207">
        <f ca="1">IFERROR(IF(0=LEN(ReferenceData!$AA$207),"",ReferenceData!$AA$207),"")</f>
        <v>3127.135393</v>
      </c>
      <c r="AB207">
        <f ca="1">IFERROR(IF(0=LEN(ReferenceData!$AB$207),"",ReferenceData!$AB$207),"")</f>
        <v>2804.07186</v>
      </c>
      <c r="AC207">
        <f ca="1">IFERROR(IF(0=LEN(ReferenceData!$AC$207),"",ReferenceData!$AC$207),"")</f>
        <v>2686.5828430000001</v>
      </c>
      <c r="AD207">
        <f ca="1">IFERROR(IF(0=LEN(ReferenceData!$AD$207),"",ReferenceData!$AD$207),"")</f>
        <v>2608.8331560000001</v>
      </c>
      <c r="AE207">
        <f ca="1">IFERROR(IF(0=LEN(ReferenceData!$AE$207),"",ReferenceData!$AE$207),"")</f>
        <v>2716.6514929999998</v>
      </c>
      <c r="AF207">
        <f ca="1">IFERROR(IF(0=LEN(ReferenceData!$AF$207),"",ReferenceData!$AF$207),"")</f>
        <v>2834.9477860000002</v>
      </c>
      <c r="AG207">
        <f ca="1">IFERROR(IF(0=LEN(ReferenceData!$AG$207),"",ReferenceData!$AG$207),"")</f>
        <v>2759.1886180000001</v>
      </c>
      <c r="AH207">
        <f ca="1">IFERROR(IF(0=LEN(ReferenceData!$AH$207),"",ReferenceData!$AH$207),"")</f>
        <v>2692.8829909999999</v>
      </c>
      <c r="AI207">
        <f ca="1">IFERROR(IF(0=LEN(ReferenceData!$AI$207),"",ReferenceData!$AI$207),"")</f>
        <v>2605.7743180000002</v>
      </c>
      <c r="AJ207">
        <f ca="1">IFERROR(IF(0=LEN(ReferenceData!$AJ$207),"",ReferenceData!$AJ$207),"")</f>
        <v>2444.8633500000001</v>
      </c>
      <c r="AK207">
        <f ca="1">IFERROR(IF(0=LEN(ReferenceData!$AK$207),"",ReferenceData!$AK$207),"")</f>
        <v>2403.5743929999999</v>
      </c>
      <c r="AL207">
        <f ca="1">IFERROR(IF(0=LEN(ReferenceData!$AL$207),"",ReferenceData!$AL$207),"")</f>
        <v>2291.393763</v>
      </c>
      <c r="AM207">
        <f ca="1">IFERROR(IF(0=LEN(ReferenceData!$AM$207),"",ReferenceData!$AM$207),"")</f>
        <v>2049.8253209999998</v>
      </c>
      <c r="AN207">
        <f ca="1">IFERROR(IF(0=LEN(ReferenceData!$AN$207),"",ReferenceData!$AN$207),"")</f>
        <v>2022.776057</v>
      </c>
      <c r="AO207">
        <f ca="1">IFERROR(IF(0=LEN(ReferenceData!$AO$207),"",ReferenceData!$AO$207),"")</f>
        <v>1823.505128</v>
      </c>
      <c r="AP207">
        <f ca="1">IFERROR(IF(0=LEN(ReferenceData!$AP$207),"",ReferenceData!$AP$207),"")</f>
        <v>1690.09239</v>
      </c>
      <c r="AQ207">
        <f ca="1">IFERROR(IF(0=LEN(ReferenceData!$AQ$207),"",ReferenceData!$AQ$207),"")</f>
        <v>1478.1521789999999</v>
      </c>
      <c r="AR207">
        <f ca="1">IFERROR(IF(0=LEN(ReferenceData!$AR$207),"",ReferenceData!$AR$207),"")</f>
        <v>1188.303208</v>
      </c>
      <c r="AS207">
        <f ca="1">IFERROR(IF(0=LEN(ReferenceData!$AS$207),"",ReferenceData!$AS$207),"")</f>
        <v>1108.1334629999999</v>
      </c>
      <c r="AT207">
        <f ca="1">IFERROR(IF(0=LEN(ReferenceData!$AT$207),"",ReferenceData!$AT$207),"")</f>
        <v>1068.7824410000001</v>
      </c>
      <c r="AU207">
        <f ca="1">IFERROR(IF(0=LEN(ReferenceData!$AU$207),"",ReferenceData!$AU$207),"")</f>
        <v>1137.902977</v>
      </c>
      <c r="AV207" t="str">
        <f ca="1">IFERROR(IF(0=LEN(ReferenceData!$AV$207),"",ReferenceData!$AV$207),"")</f>
        <v/>
      </c>
      <c r="AW207" t="str">
        <f ca="1">IFERROR(IF(0=LEN(ReferenceData!$AW$207),"",ReferenceData!$AW$207),"")</f>
        <v/>
      </c>
      <c r="AX207" t="str">
        <f ca="1">IFERROR(IF(0=LEN(ReferenceData!$AX$207),"",ReferenceData!$AX$207),"")</f>
        <v/>
      </c>
      <c r="AY207" t="str">
        <f ca="1">IFERROR(IF(0=LEN(ReferenceData!$AY$207),"",ReferenceData!$AY$207),"")</f>
        <v/>
      </c>
      <c r="AZ207" t="str">
        <f ca="1">IFERROR(IF(0=LEN(ReferenceData!$AZ$207),"",ReferenceData!$AZ$207),"")</f>
        <v/>
      </c>
      <c r="BA207" t="str">
        <f ca="1">IFERROR(IF(0=LEN(ReferenceData!$BA$207),"",ReferenceData!$BA$207),"")</f>
        <v/>
      </c>
      <c r="BB207" t="str">
        <f ca="1">IFERROR(IF(0=LEN(ReferenceData!$BB$207),"",ReferenceData!$BB$207),"")</f>
        <v/>
      </c>
      <c r="BC207" t="str">
        <f ca="1">IFERROR(IF(0=LEN(ReferenceData!$BC$207),"",ReferenceData!$BC$207),"")</f>
        <v/>
      </c>
      <c r="BD207" t="str">
        <f ca="1">IFERROR(IF(0=LEN(ReferenceData!$BD$207),"",ReferenceData!$BD$207),"")</f>
        <v/>
      </c>
      <c r="BE207" t="str">
        <f ca="1">IFERROR(IF(0=LEN(ReferenceData!$BE$207),"",ReferenceData!$BE$207),"")</f>
        <v/>
      </c>
      <c r="BF207" t="str">
        <f ca="1">IFERROR(IF(0=LEN(ReferenceData!$BF$207),"",ReferenceData!$BF$207),"")</f>
        <v/>
      </c>
      <c r="BG207" t="str">
        <f ca="1">IFERROR(IF(0=LEN(ReferenceData!$BG$207),"",ReferenceData!$BG$207),"")</f>
        <v/>
      </c>
      <c r="BH207" t="str">
        <f ca="1">IFERROR(IF(0=LEN(ReferenceData!$BH$207),"",ReferenceData!$BH$207),"")</f>
        <v/>
      </c>
      <c r="BI207" t="str">
        <f ca="1">IFERROR(IF(0=LEN(ReferenceData!$BI$207),"",ReferenceData!$BI$207),"")</f>
        <v/>
      </c>
      <c r="BJ207" t="str">
        <f ca="1">IFERROR(IF(0=LEN(ReferenceData!$BJ$207),"",ReferenceData!$BJ$207),"")</f>
        <v/>
      </c>
      <c r="BK207" t="str">
        <f ca="1">IFERROR(IF(0=LEN(ReferenceData!$BK$207),"",ReferenceData!$BK$207),"")</f>
        <v/>
      </c>
      <c r="BL207" t="str">
        <f ca="1">IFERROR(IF(0=LEN(ReferenceData!$BL$207),"",ReferenceData!$BL$207),"")</f>
        <v/>
      </c>
      <c r="BM207" t="str">
        <f ca="1">IFERROR(IF(0=LEN(ReferenceData!$BM$207),"",ReferenceData!$BM$207),"")</f>
        <v/>
      </c>
    </row>
    <row r="208" spans="1:65" x14ac:dyDescent="0.25">
      <c r="A208" t="str">
        <f>IFERROR(IF(0=LEN(ReferenceData!$A$208),"",ReferenceData!$A$208),"")</f>
        <v>T12M Free Cash Flow</v>
      </c>
      <c r="B208" t="str">
        <f>IFERROR(IF(0=LEN(ReferenceData!$B$208),"",ReferenceData!$B$208),"")</f>
        <v/>
      </c>
      <c r="C208" t="str">
        <f>IFERROR(IF(0=LEN(ReferenceData!$C$208),"",ReferenceData!$C$208),"")</f>
        <v/>
      </c>
      <c r="D208" t="str">
        <f>IFERROR(IF(0=LEN(ReferenceData!$D$208),"",ReferenceData!$D$208),"")</f>
        <v/>
      </c>
      <c r="E208" t="str">
        <f>IFERROR(IF(0=LEN(ReferenceData!$E$208),"",ReferenceData!$E$208),"")</f>
        <v>Average</v>
      </c>
      <c r="F208" t="str">
        <f ca="1">IFERROR(IF(0=LEN(ReferenceData!$F$208),"",ReferenceData!$F$208),"")</f>
        <v/>
      </c>
      <c r="G208">
        <f ca="1">IFERROR(IF(0=LEN(ReferenceData!$G$208),"",ReferenceData!$G$208),"")</f>
        <v>4115.4326583923075</v>
      </c>
      <c r="H208">
        <f ca="1">IFERROR(IF(0=LEN(ReferenceData!$H$208),"",ReferenceData!$H$208),"")</f>
        <v>937.83972707407395</v>
      </c>
      <c r="I208">
        <f ca="1">IFERROR(IF(0=LEN(ReferenceData!$I$208),"",ReferenceData!$I$208),"")</f>
        <v>1272.5471661715551</v>
      </c>
      <c r="J208">
        <f ca="1">IFERROR(IF(0=LEN(ReferenceData!$J$208),"",ReferenceData!$J$208),"")</f>
        <v>1295.8638160644289</v>
      </c>
      <c r="K208">
        <f ca="1">IFERROR(IF(0=LEN(ReferenceData!$K$208),"",ReferenceData!$K$208),"")</f>
        <v>1232.9264380796428</v>
      </c>
      <c r="L208">
        <f ca="1">IFERROR(IF(0=LEN(ReferenceData!$L$208),"",ReferenceData!$L$208),"")</f>
        <v>1216.1389526753569</v>
      </c>
      <c r="M208">
        <f ca="1">IFERROR(IF(0=LEN(ReferenceData!$M$208),"",ReferenceData!$M$208),"")</f>
        <v>1313.8764194457146</v>
      </c>
      <c r="N208">
        <f ca="1">IFERROR(IF(0=LEN(ReferenceData!$N$208),"",ReferenceData!$N$208),"")</f>
        <v>1924.1275387157143</v>
      </c>
      <c r="O208">
        <f ca="1">IFERROR(IF(0=LEN(ReferenceData!$O$208),"",ReferenceData!$O$208),"")</f>
        <v>1812.162475074643</v>
      </c>
      <c r="P208">
        <f ca="1">IFERROR(IF(0=LEN(ReferenceData!$P$208),"",ReferenceData!$P$208),"")</f>
        <v>2144.7241539807405</v>
      </c>
      <c r="Q208">
        <f ca="1">IFERROR(IF(0=LEN(ReferenceData!$Q$208),"",ReferenceData!$Q$208),"")</f>
        <v>1997.67755603</v>
      </c>
      <c r="R208">
        <f ca="1">IFERROR(IF(0=LEN(ReferenceData!$R$208),"",ReferenceData!$R$208),"")</f>
        <v>1410.7411893503702</v>
      </c>
      <c r="S208">
        <f ca="1">IFERROR(IF(0=LEN(ReferenceData!$S$208),"",ReferenceData!$S$208),"")</f>
        <v>1544.5418425648147</v>
      </c>
      <c r="T208">
        <f ca="1">IFERROR(IF(0=LEN(ReferenceData!$T$208),"",ReferenceData!$T$208),"")</f>
        <v>1131.8236506560713</v>
      </c>
      <c r="U208">
        <f ca="1">IFERROR(IF(0=LEN(ReferenceData!$U$208),"",ReferenceData!$U$208),"")</f>
        <v>964.21408013321434</v>
      </c>
      <c r="V208">
        <f ca="1">IFERROR(IF(0=LEN(ReferenceData!$V$208),"",ReferenceData!$V$208),"")</f>
        <v>783.26766485428573</v>
      </c>
      <c r="W208">
        <f ca="1">IFERROR(IF(0=LEN(ReferenceData!$W$208),"",ReferenceData!$W$208),"")</f>
        <v>902.70161867035733</v>
      </c>
      <c r="X208">
        <f ca="1">IFERROR(IF(0=LEN(ReferenceData!$X$208),"",ReferenceData!$X$208),"")</f>
        <v>1132.1917802229632</v>
      </c>
      <c r="Y208">
        <f ca="1">IFERROR(IF(0=LEN(ReferenceData!$Y$208),"",ReferenceData!$Y$208),"")</f>
        <v>1312.8540979487036</v>
      </c>
      <c r="Z208">
        <f ca="1">IFERROR(IF(0=LEN(ReferenceData!$Z$208),"",ReferenceData!$Z$208),"")</f>
        <v>1767.8861181281111</v>
      </c>
      <c r="AA208">
        <f ca="1">IFERROR(IF(0=LEN(ReferenceData!$AA$208),"",ReferenceData!$AA$208),"")</f>
        <v>1657.8475259595186</v>
      </c>
      <c r="AB208">
        <f ca="1">IFERROR(IF(0=LEN(ReferenceData!$AB$208),"",ReferenceData!$AB$208),"")</f>
        <v>1578.5251319303704</v>
      </c>
      <c r="AC208">
        <f ca="1">IFERROR(IF(0=LEN(ReferenceData!$AC$208),"",ReferenceData!$AC$208),"")</f>
        <v>1220.4435319494444</v>
      </c>
      <c r="AD208">
        <f ca="1">IFERROR(IF(0=LEN(ReferenceData!$AD$208),"",ReferenceData!$AD$208),"")</f>
        <v>830.92378390325916</v>
      </c>
      <c r="AE208">
        <f ca="1">IFERROR(IF(0=LEN(ReferenceData!$AE$208),"",ReferenceData!$AE$208),"")</f>
        <v>780.62844254748143</v>
      </c>
      <c r="AF208">
        <f ca="1">IFERROR(IF(0=LEN(ReferenceData!$AF$208),"",ReferenceData!$AF$208),"")</f>
        <v>924.80556982879989</v>
      </c>
      <c r="AG208">
        <f ca="1">IFERROR(IF(0=LEN(ReferenceData!$AG$208),"",ReferenceData!$AG$208),"")</f>
        <v>996.60421793520004</v>
      </c>
      <c r="AH208">
        <f ca="1">IFERROR(IF(0=LEN(ReferenceData!$AH$208),"",ReferenceData!$AH$208),"")</f>
        <v>1158.5427009758334</v>
      </c>
      <c r="AI208">
        <f ca="1">IFERROR(IF(0=LEN(ReferenceData!$AI$208),"",ReferenceData!$AI$208),"")</f>
        <v>1287.51626701175</v>
      </c>
      <c r="AJ208">
        <f ca="1">IFERROR(IF(0=LEN(ReferenceData!$AJ$208),"",ReferenceData!$AJ$208),"")</f>
        <v>1201.26016588325</v>
      </c>
      <c r="AK208">
        <f ca="1">IFERROR(IF(0=LEN(ReferenceData!$AK$208),"",ReferenceData!$AK$208),"")</f>
        <v>1790.6548322833335</v>
      </c>
      <c r="AL208">
        <f ca="1">IFERROR(IF(0=LEN(ReferenceData!$AL$208),"",ReferenceData!$AL$208),"")</f>
        <v>2339.4632113279999</v>
      </c>
      <c r="AM208">
        <f ca="1">IFERROR(IF(0=LEN(ReferenceData!$AM$208),"",ReferenceData!$AM$208),"")</f>
        <v>2592.8309441107695</v>
      </c>
      <c r="AN208">
        <f ca="1">IFERROR(IF(0=LEN(ReferenceData!$AN$208),"",ReferenceData!$AN$208),"")</f>
        <v>3764.2877925211251</v>
      </c>
      <c r="AO208">
        <f ca="1">IFERROR(IF(0=LEN(ReferenceData!$AO$208),"",ReferenceData!$AO$208),"")</f>
        <v>4292.0353401469565</v>
      </c>
      <c r="AP208">
        <f ca="1">IFERROR(IF(0=LEN(ReferenceData!$AP$208),"",ReferenceData!$AP$208),"")</f>
        <v>3714.8834647821741</v>
      </c>
      <c r="AQ208">
        <f ca="1">IFERROR(IF(0=LEN(ReferenceData!$AQ$208),"",ReferenceData!$AQ$208),"")</f>
        <v>2557.8351895316086</v>
      </c>
      <c r="AR208">
        <f ca="1">IFERROR(IF(0=LEN(ReferenceData!$AR$208),"",ReferenceData!$AR$208),"")</f>
        <v>1018.5129382976189</v>
      </c>
      <c r="AS208">
        <f ca="1">IFERROR(IF(0=LEN(ReferenceData!$AS$208),"",ReferenceData!$AS$208),"")</f>
        <v>272.03603346095224</v>
      </c>
      <c r="AT208">
        <f ca="1">IFERROR(IF(0=LEN(ReferenceData!$AT$208),"",ReferenceData!$AT$208),"")</f>
        <v>-47.614040032380892</v>
      </c>
      <c r="AU208">
        <f ca="1">IFERROR(IF(0=LEN(ReferenceData!$AU$208),"",ReferenceData!$AU$208),"")</f>
        <v>27.145129586375003</v>
      </c>
      <c r="AV208">
        <f ca="1">IFERROR(IF(0=LEN(ReferenceData!$AV$208),"",ReferenceData!$AV$208),"")</f>
        <v>2423.4999837249998</v>
      </c>
      <c r="AW208">
        <f ca="1">IFERROR(IF(0=LEN(ReferenceData!$AW$208),"",ReferenceData!$AW$208),"")</f>
        <v>2040.0460618018567</v>
      </c>
      <c r="AX208">
        <f ca="1">IFERROR(IF(0=LEN(ReferenceData!$AX$208),"",ReferenceData!$AX$208),"")</f>
        <v>2123.6770259236432</v>
      </c>
      <c r="AY208">
        <f ca="1">IFERROR(IF(0=LEN(ReferenceData!$AY$208),"",ReferenceData!$AY$208),"")</f>
        <v>2288.0547705414283</v>
      </c>
      <c r="AZ208">
        <f ca="1">IFERROR(IF(0=LEN(ReferenceData!$AZ$208),"",ReferenceData!$AZ$208),"")</f>
        <v>1108.5388804392855</v>
      </c>
      <c r="BA208">
        <f ca="1">IFERROR(IF(0=LEN(ReferenceData!$BA$208),"",ReferenceData!$BA$208),"")</f>
        <v>684.78615427</v>
      </c>
      <c r="BB208">
        <f ca="1">IFERROR(IF(0=LEN(ReferenceData!$BB$208),"",ReferenceData!$BB$208),"")</f>
        <v>796.66384396785702</v>
      </c>
      <c r="BC208">
        <f ca="1">IFERROR(IF(0=LEN(ReferenceData!$BC$208),"",ReferenceData!$BC$208),"")</f>
        <v>407.79028764785704</v>
      </c>
      <c r="BD208">
        <f ca="1">IFERROR(IF(0=LEN(ReferenceData!$BD$208),"",ReferenceData!$BD$208),"")</f>
        <v>696.39425261500003</v>
      </c>
      <c r="BE208">
        <f ca="1">IFERROR(IF(0=LEN(ReferenceData!$BE$208),"",ReferenceData!$BE$208),"")</f>
        <v>737.53709759642857</v>
      </c>
      <c r="BF208">
        <f ca="1">IFERROR(IF(0=LEN(ReferenceData!$BF$208),"",ReferenceData!$BF$208),"")</f>
        <v>-36.860017979285722</v>
      </c>
      <c r="BG208">
        <f ca="1">IFERROR(IF(0=LEN(ReferenceData!$BG$208),"",ReferenceData!$BG$208),"")</f>
        <v>-65.660708917857065</v>
      </c>
      <c r="BH208">
        <f ca="1">IFERROR(IF(0=LEN(ReferenceData!$BH$208),"",ReferenceData!$BH$208),"")</f>
        <v>-439.25865810181773</v>
      </c>
      <c r="BI208">
        <f ca="1">IFERROR(IF(0=LEN(ReferenceData!$BI$208),"",ReferenceData!$BI$208),"")</f>
        <v>-656.00202727700002</v>
      </c>
      <c r="BJ208">
        <f ca="1">IFERROR(IF(0=LEN(ReferenceData!$BJ$208),"",ReferenceData!$BJ$208),"")</f>
        <v>54.666917443999999</v>
      </c>
      <c r="BK208">
        <f ca="1">IFERROR(IF(0=LEN(ReferenceData!$BK$208),"",ReferenceData!$BK$208),"")</f>
        <v>120.96849216425034</v>
      </c>
      <c r="BL208">
        <f ca="1">IFERROR(IF(0=LEN(ReferenceData!$BL$208),"",ReferenceData!$BL$208),"")</f>
        <v>-947.62369177428536</v>
      </c>
      <c r="BM208">
        <f ca="1">IFERROR(IF(0=LEN(ReferenceData!$BM$208),"",ReferenceData!$BM$208),"")</f>
        <v>-40.602053648428637</v>
      </c>
    </row>
    <row r="209" spans="1:65" x14ac:dyDescent="0.25">
      <c r="A209" t="str">
        <f>IFERROR(IF(0=LEN(ReferenceData!$A$209),"",ReferenceData!$A$209),"")</f>
        <v xml:space="preserve">    AUDI AG</v>
      </c>
      <c r="B209" t="str">
        <f>IFERROR(IF(0=LEN(ReferenceData!$B$209),"",ReferenceData!$B$209),"")</f>
        <v>NSU GR Equity</v>
      </c>
      <c r="C209" t="str">
        <f>IFERROR(IF(0=LEN(ReferenceData!$C$209),"",ReferenceData!$C$209),"")</f>
        <v>RR843</v>
      </c>
      <c r="D209" t="str">
        <f>IFERROR(IF(0=LEN(ReferenceData!$D$209),"",ReferenceData!$D$209),"")</f>
        <v>TRAIL_12M_FREE_CASH_FLOW</v>
      </c>
      <c r="E209" t="str">
        <f>IFERROR(IF(0=LEN(ReferenceData!$E$209),"",ReferenceData!$E$209),"")</f>
        <v>Dynamic</v>
      </c>
      <c r="F209" t="str">
        <f ca="1">IFERROR(IF(0=LEN(ReferenceData!$F$209),"",ReferenceData!$F$209),"")</f>
        <v/>
      </c>
      <c r="G209" t="str">
        <f ca="1">IFERROR(IF(0=LEN(ReferenceData!$G$209),"",ReferenceData!$G$209),"")</f>
        <v/>
      </c>
      <c r="H209" t="str">
        <f ca="1">IFERROR(IF(0=LEN(ReferenceData!$H$209),"",ReferenceData!$H$209),"")</f>
        <v/>
      </c>
      <c r="I209" t="str">
        <f ca="1">IFERROR(IF(0=LEN(ReferenceData!$I$209),"",ReferenceData!$I$209),"")</f>
        <v/>
      </c>
      <c r="J209" t="str">
        <f ca="1">IFERROR(IF(0=LEN(ReferenceData!$J$209),"",ReferenceData!$J$209),"")</f>
        <v/>
      </c>
      <c r="K209" t="str">
        <f ca="1">IFERROR(IF(0=LEN(ReferenceData!$K$209),"",ReferenceData!$K$209),"")</f>
        <v/>
      </c>
      <c r="L209" t="str">
        <f ca="1">IFERROR(IF(0=LEN(ReferenceData!$L$209),"",ReferenceData!$L$209),"")</f>
        <v/>
      </c>
      <c r="M209" t="str">
        <f ca="1">IFERROR(IF(0=LEN(ReferenceData!$M$209),"",ReferenceData!$M$209),"")</f>
        <v/>
      </c>
      <c r="N209" t="str">
        <f ca="1">IFERROR(IF(0=LEN(ReferenceData!$N$209),"",ReferenceData!$N$209),"")</f>
        <v/>
      </c>
      <c r="O209" t="str">
        <f ca="1">IFERROR(IF(0=LEN(ReferenceData!$O$209),"",ReferenceData!$O$209),"")</f>
        <v/>
      </c>
      <c r="P209" t="str">
        <f ca="1">IFERROR(IF(0=LEN(ReferenceData!$P$209),"",ReferenceData!$P$209),"")</f>
        <v/>
      </c>
      <c r="Q209" t="str">
        <f ca="1">IFERROR(IF(0=LEN(ReferenceData!$Q$209),"",ReferenceData!$Q$209),"")</f>
        <v/>
      </c>
      <c r="R209" t="str">
        <f ca="1">IFERROR(IF(0=LEN(ReferenceData!$R$209),"",ReferenceData!$R$209),"")</f>
        <v/>
      </c>
      <c r="S209" t="str">
        <f ca="1">IFERROR(IF(0=LEN(ReferenceData!$S$209),"",ReferenceData!$S$209),"")</f>
        <v/>
      </c>
      <c r="T209" t="str">
        <f ca="1">IFERROR(IF(0=LEN(ReferenceData!$T$209),"",ReferenceData!$T$209),"")</f>
        <v/>
      </c>
      <c r="U209" t="str">
        <f ca="1">IFERROR(IF(0=LEN(ReferenceData!$U$209),"",ReferenceData!$U$209),"")</f>
        <v/>
      </c>
      <c r="V209" t="str">
        <f ca="1">IFERROR(IF(0=LEN(ReferenceData!$V$209),"",ReferenceData!$V$209),"")</f>
        <v/>
      </c>
      <c r="W209" t="str">
        <f ca="1">IFERROR(IF(0=LEN(ReferenceData!$W$209),"",ReferenceData!$W$209),"")</f>
        <v/>
      </c>
      <c r="X209" t="str">
        <f ca="1">IFERROR(IF(0=LEN(ReferenceData!$X$209),"",ReferenceData!$X$209),"")</f>
        <v/>
      </c>
      <c r="Y209" t="str">
        <f ca="1">IFERROR(IF(0=LEN(ReferenceData!$Y$209),"",ReferenceData!$Y$209),"")</f>
        <v/>
      </c>
      <c r="Z209" t="str">
        <f ca="1">IFERROR(IF(0=LEN(ReferenceData!$Z$209),"",ReferenceData!$Z$209),"")</f>
        <v/>
      </c>
      <c r="AA209" t="str">
        <f ca="1">IFERROR(IF(0=LEN(ReferenceData!$AA$209),"",ReferenceData!$AA$209),"")</f>
        <v/>
      </c>
      <c r="AB209" t="str">
        <f ca="1">IFERROR(IF(0=LEN(ReferenceData!$AB$209),"",ReferenceData!$AB$209),"")</f>
        <v/>
      </c>
      <c r="AC209" t="str">
        <f ca="1">IFERROR(IF(0=LEN(ReferenceData!$AC$209),"",ReferenceData!$AC$209),"")</f>
        <v/>
      </c>
      <c r="AD209" t="str">
        <f ca="1">IFERROR(IF(0=LEN(ReferenceData!$AD$209),"",ReferenceData!$AD$209),"")</f>
        <v/>
      </c>
      <c r="AE209" t="str">
        <f ca="1">IFERROR(IF(0=LEN(ReferenceData!$AE$209),"",ReferenceData!$AE$209),"")</f>
        <v/>
      </c>
      <c r="AF209" t="str">
        <f ca="1">IFERROR(IF(0=LEN(ReferenceData!$AF$209),"",ReferenceData!$AF$209),"")</f>
        <v/>
      </c>
      <c r="AG209" t="str">
        <f ca="1">IFERROR(IF(0=LEN(ReferenceData!$AG$209),"",ReferenceData!$AG$209),"")</f>
        <v/>
      </c>
      <c r="AH209" t="str">
        <f ca="1">IFERROR(IF(0=LEN(ReferenceData!$AH$209),"",ReferenceData!$AH$209),"")</f>
        <v/>
      </c>
      <c r="AI209" t="str">
        <f ca="1">IFERROR(IF(0=LEN(ReferenceData!$AI$209),"",ReferenceData!$AI$209),"")</f>
        <v/>
      </c>
      <c r="AJ209" t="str">
        <f ca="1">IFERROR(IF(0=LEN(ReferenceData!$AJ$209),"",ReferenceData!$AJ$209),"")</f>
        <v/>
      </c>
      <c r="AK209" t="str">
        <f ca="1">IFERROR(IF(0=LEN(ReferenceData!$AK$209),"",ReferenceData!$AK$209),"")</f>
        <v/>
      </c>
      <c r="AL209" t="str">
        <f ca="1">IFERROR(IF(0=LEN(ReferenceData!$AL$209),"",ReferenceData!$AL$209),"")</f>
        <v/>
      </c>
      <c r="AM209" t="str">
        <f ca="1">IFERROR(IF(0=LEN(ReferenceData!$AM$209),"",ReferenceData!$AM$209),"")</f>
        <v/>
      </c>
      <c r="AN209" t="str">
        <f ca="1">IFERROR(IF(0=LEN(ReferenceData!$AN$209),"",ReferenceData!$AN$209),"")</f>
        <v/>
      </c>
      <c r="AO209" t="str">
        <f ca="1">IFERROR(IF(0=LEN(ReferenceData!$AO$209),"",ReferenceData!$AO$209),"")</f>
        <v/>
      </c>
      <c r="AP209" t="str">
        <f ca="1">IFERROR(IF(0=LEN(ReferenceData!$AP$209),"",ReferenceData!$AP$209),"")</f>
        <v/>
      </c>
      <c r="AQ209" t="str">
        <f ca="1">IFERROR(IF(0=LEN(ReferenceData!$AQ$209),"",ReferenceData!$AQ$209),"")</f>
        <v/>
      </c>
      <c r="AR209" t="str">
        <f ca="1">IFERROR(IF(0=LEN(ReferenceData!$AR$209),"",ReferenceData!$AR$209),"")</f>
        <v/>
      </c>
      <c r="AS209" t="str">
        <f ca="1">IFERROR(IF(0=LEN(ReferenceData!$AS$209),"",ReferenceData!$AS$209),"")</f>
        <v/>
      </c>
      <c r="AT209" t="str">
        <f ca="1">IFERROR(IF(0=LEN(ReferenceData!$AT$209),"",ReferenceData!$AT$209),"")</f>
        <v/>
      </c>
      <c r="AU209" t="str">
        <f ca="1">IFERROR(IF(0=LEN(ReferenceData!$AU$209),"",ReferenceData!$AU$209),"")</f>
        <v/>
      </c>
      <c r="AV209" t="str">
        <f ca="1">IFERROR(IF(0=LEN(ReferenceData!$AV$209),"",ReferenceData!$AV$209),"")</f>
        <v/>
      </c>
      <c r="AW209" t="str">
        <f ca="1">IFERROR(IF(0=LEN(ReferenceData!$AW$209),"",ReferenceData!$AW$209),"")</f>
        <v/>
      </c>
      <c r="AX209" t="str">
        <f ca="1">IFERROR(IF(0=LEN(ReferenceData!$AX$209),"",ReferenceData!$AX$209),"")</f>
        <v/>
      </c>
      <c r="AY209" t="str">
        <f ca="1">IFERROR(IF(0=LEN(ReferenceData!$AY$209),"",ReferenceData!$AY$209),"")</f>
        <v/>
      </c>
      <c r="AZ209" t="str">
        <f ca="1">IFERROR(IF(0=LEN(ReferenceData!$AZ$209),"",ReferenceData!$AZ$209),"")</f>
        <v/>
      </c>
      <c r="BA209" t="str">
        <f ca="1">IFERROR(IF(0=LEN(ReferenceData!$BA$209),"",ReferenceData!$BA$209),"")</f>
        <v/>
      </c>
      <c r="BB209" t="str">
        <f ca="1">IFERROR(IF(0=LEN(ReferenceData!$BB$209),"",ReferenceData!$BB$209),"")</f>
        <v/>
      </c>
      <c r="BC209" t="str">
        <f ca="1">IFERROR(IF(0=LEN(ReferenceData!$BC$209),"",ReferenceData!$BC$209),"")</f>
        <v/>
      </c>
      <c r="BD209" t="str">
        <f ca="1">IFERROR(IF(0=LEN(ReferenceData!$BD$209),"",ReferenceData!$BD$209),"")</f>
        <v/>
      </c>
      <c r="BE209" t="str">
        <f ca="1">IFERROR(IF(0=LEN(ReferenceData!$BE$209),"",ReferenceData!$BE$209),"")</f>
        <v/>
      </c>
      <c r="BF209" t="str">
        <f ca="1">IFERROR(IF(0=LEN(ReferenceData!$BF$209),"",ReferenceData!$BF$209),"")</f>
        <v/>
      </c>
      <c r="BG209" t="str">
        <f ca="1">IFERROR(IF(0=LEN(ReferenceData!$BG$209),"",ReferenceData!$BG$209),"")</f>
        <v/>
      </c>
      <c r="BH209" t="str">
        <f ca="1">IFERROR(IF(0=LEN(ReferenceData!$BH$209),"",ReferenceData!$BH$209),"")</f>
        <v/>
      </c>
      <c r="BI209" t="str">
        <f ca="1">IFERROR(IF(0=LEN(ReferenceData!$BI$209),"",ReferenceData!$BI$209),"")</f>
        <v/>
      </c>
      <c r="BJ209" t="str">
        <f ca="1">IFERROR(IF(0=LEN(ReferenceData!$BJ$209),"",ReferenceData!$BJ$209),"")</f>
        <v/>
      </c>
      <c r="BK209" t="str">
        <f ca="1">IFERROR(IF(0=LEN(ReferenceData!$BK$209),"",ReferenceData!$BK$209),"")</f>
        <v/>
      </c>
      <c r="BL209" t="str">
        <f ca="1">IFERROR(IF(0=LEN(ReferenceData!$BL$209),"",ReferenceData!$BL$209),"")</f>
        <v/>
      </c>
      <c r="BM209" t="str">
        <f ca="1">IFERROR(IF(0=LEN(ReferenceData!$BM$209),"",ReferenceData!$BM$209),"")</f>
        <v/>
      </c>
    </row>
    <row r="210" spans="1:65" x14ac:dyDescent="0.25">
      <c r="A210" t="str">
        <f>IFERROR(IF(0=LEN(ReferenceData!$A$210),"",ReferenceData!$A$210),"")</f>
        <v xml:space="preserve">    Avtovaz PJSC</v>
      </c>
      <c r="B210" t="str">
        <f>IFERROR(IF(0=LEN(ReferenceData!$B$210),"",ReferenceData!$B$210),"")</f>
        <v>AVAZ RM Equity</v>
      </c>
      <c r="C210" t="str">
        <f>IFERROR(IF(0=LEN(ReferenceData!$C$210),"",ReferenceData!$C$210),"")</f>
        <v>RR843</v>
      </c>
      <c r="D210" t="str">
        <f>IFERROR(IF(0=LEN(ReferenceData!$D$210),"",ReferenceData!$D$210),"")</f>
        <v>TRAIL_12M_FREE_CASH_FLOW</v>
      </c>
      <c r="E210" t="str">
        <f>IFERROR(IF(0=LEN(ReferenceData!$E$210),"",ReferenceData!$E$210),"")</f>
        <v>Dynamic</v>
      </c>
      <c r="F210" t="str">
        <f ca="1">IFERROR(IF(0=LEN(ReferenceData!$F$210),"",ReferenceData!$F$210),"")</f>
        <v/>
      </c>
      <c r="G210" t="str">
        <f ca="1">IFERROR(IF(0=LEN(ReferenceData!$G$210),"",ReferenceData!$G$210),"")</f>
        <v/>
      </c>
      <c r="H210" t="str">
        <f ca="1">IFERROR(IF(0=LEN(ReferenceData!$H$210),"",ReferenceData!$H$210),"")</f>
        <v/>
      </c>
      <c r="I210" t="str">
        <f ca="1">IFERROR(IF(0=LEN(ReferenceData!$I$210),"",ReferenceData!$I$210),"")</f>
        <v/>
      </c>
      <c r="J210" t="str">
        <f ca="1">IFERROR(IF(0=LEN(ReferenceData!$J$210),"",ReferenceData!$J$210),"")</f>
        <v/>
      </c>
      <c r="K210" t="str">
        <f ca="1">IFERROR(IF(0=LEN(ReferenceData!$K$210),"",ReferenceData!$K$210),"")</f>
        <v/>
      </c>
      <c r="L210" t="str">
        <f ca="1">IFERROR(IF(0=LEN(ReferenceData!$L$210),"",ReferenceData!$L$210),"")</f>
        <v/>
      </c>
      <c r="M210" t="str">
        <f ca="1">IFERROR(IF(0=LEN(ReferenceData!$M$210),"",ReferenceData!$M$210),"")</f>
        <v/>
      </c>
      <c r="N210" t="str">
        <f ca="1">IFERROR(IF(0=LEN(ReferenceData!$N$210),"",ReferenceData!$N$210),"")</f>
        <v/>
      </c>
      <c r="O210" t="str">
        <f ca="1">IFERROR(IF(0=LEN(ReferenceData!$O$210),"",ReferenceData!$O$210),"")</f>
        <v/>
      </c>
      <c r="P210" t="str">
        <f ca="1">IFERROR(IF(0=LEN(ReferenceData!$P$210),"",ReferenceData!$P$210),"")</f>
        <v/>
      </c>
      <c r="Q210" t="str">
        <f ca="1">IFERROR(IF(0=LEN(ReferenceData!$Q$210),"",ReferenceData!$Q$210),"")</f>
        <v/>
      </c>
      <c r="R210" t="str">
        <f ca="1">IFERROR(IF(0=LEN(ReferenceData!$R$210),"",ReferenceData!$R$210),"")</f>
        <v/>
      </c>
      <c r="S210" t="str">
        <f ca="1">IFERROR(IF(0=LEN(ReferenceData!$S$210),"",ReferenceData!$S$210),"")</f>
        <v/>
      </c>
      <c r="T210" t="str">
        <f ca="1">IFERROR(IF(0=LEN(ReferenceData!$T$210),"",ReferenceData!$T$210),"")</f>
        <v/>
      </c>
      <c r="U210" t="str">
        <f ca="1">IFERROR(IF(0=LEN(ReferenceData!$U$210),"",ReferenceData!$U$210),"")</f>
        <v/>
      </c>
      <c r="V210" t="str">
        <f ca="1">IFERROR(IF(0=LEN(ReferenceData!$V$210),"",ReferenceData!$V$210),"")</f>
        <v/>
      </c>
      <c r="W210" t="str">
        <f ca="1">IFERROR(IF(0=LEN(ReferenceData!$W$210),"",ReferenceData!$W$210),"")</f>
        <v/>
      </c>
      <c r="X210" t="str">
        <f ca="1">IFERROR(IF(0=LEN(ReferenceData!$X$210),"",ReferenceData!$X$210),"")</f>
        <v/>
      </c>
      <c r="Y210" t="str">
        <f ca="1">IFERROR(IF(0=LEN(ReferenceData!$Y$210),"",ReferenceData!$Y$210),"")</f>
        <v/>
      </c>
      <c r="Z210" t="str">
        <f ca="1">IFERROR(IF(0=LEN(ReferenceData!$Z$210),"",ReferenceData!$Z$210),"")</f>
        <v/>
      </c>
      <c r="AA210" t="str">
        <f ca="1">IFERROR(IF(0=LEN(ReferenceData!$AA$210),"",ReferenceData!$AA$210),"")</f>
        <v/>
      </c>
      <c r="AB210" t="str">
        <f ca="1">IFERROR(IF(0=LEN(ReferenceData!$AB$210),"",ReferenceData!$AB$210),"")</f>
        <v/>
      </c>
      <c r="AC210" t="str">
        <f ca="1">IFERROR(IF(0=LEN(ReferenceData!$AC$210),"",ReferenceData!$AC$210),"")</f>
        <v/>
      </c>
      <c r="AD210" t="str">
        <f ca="1">IFERROR(IF(0=LEN(ReferenceData!$AD$210),"",ReferenceData!$AD$210),"")</f>
        <v/>
      </c>
      <c r="AE210" t="str">
        <f ca="1">IFERROR(IF(0=LEN(ReferenceData!$AE$210),"",ReferenceData!$AE$210),"")</f>
        <v/>
      </c>
      <c r="AF210" t="str">
        <f ca="1">IFERROR(IF(0=LEN(ReferenceData!$AF$210),"",ReferenceData!$AF$210),"")</f>
        <v/>
      </c>
      <c r="AG210" t="str">
        <f ca="1">IFERROR(IF(0=LEN(ReferenceData!$AG$210),"",ReferenceData!$AG$210),"")</f>
        <v/>
      </c>
      <c r="AH210" t="str">
        <f ca="1">IFERROR(IF(0=LEN(ReferenceData!$AH$210),"",ReferenceData!$AH$210),"")</f>
        <v/>
      </c>
      <c r="AI210" t="str">
        <f ca="1">IFERROR(IF(0=LEN(ReferenceData!$AI$210),"",ReferenceData!$AI$210),"")</f>
        <v/>
      </c>
      <c r="AJ210" t="str">
        <f ca="1">IFERROR(IF(0=LEN(ReferenceData!$AJ$210),"",ReferenceData!$AJ$210),"")</f>
        <v/>
      </c>
      <c r="AK210" t="str">
        <f ca="1">IFERROR(IF(0=LEN(ReferenceData!$AK$210),"",ReferenceData!$AK$210),"")</f>
        <v/>
      </c>
      <c r="AL210" t="str">
        <f ca="1">IFERROR(IF(0=LEN(ReferenceData!$AL$210),"",ReferenceData!$AL$210),"")</f>
        <v/>
      </c>
      <c r="AM210" t="str">
        <f ca="1">IFERROR(IF(0=LEN(ReferenceData!$AM$210),"",ReferenceData!$AM$210),"")</f>
        <v/>
      </c>
      <c r="AN210" t="str">
        <f ca="1">IFERROR(IF(0=LEN(ReferenceData!$AN$210),"",ReferenceData!$AN$210),"")</f>
        <v/>
      </c>
      <c r="AO210" t="str">
        <f ca="1">IFERROR(IF(0=LEN(ReferenceData!$AO$210),"",ReferenceData!$AO$210),"")</f>
        <v/>
      </c>
      <c r="AP210" t="str">
        <f ca="1">IFERROR(IF(0=LEN(ReferenceData!$AP$210),"",ReferenceData!$AP$210),"")</f>
        <v/>
      </c>
      <c r="AQ210" t="str">
        <f ca="1">IFERROR(IF(0=LEN(ReferenceData!$AQ$210),"",ReferenceData!$AQ$210),"")</f>
        <v/>
      </c>
      <c r="AR210" t="str">
        <f ca="1">IFERROR(IF(0=LEN(ReferenceData!$AR$210),"",ReferenceData!$AR$210),"")</f>
        <v/>
      </c>
      <c r="AS210" t="str">
        <f ca="1">IFERROR(IF(0=LEN(ReferenceData!$AS$210),"",ReferenceData!$AS$210),"")</f>
        <v/>
      </c>
      <c r="AT210" t="str">
        <f ca="1">IFERROR(IF(0=LEN(ReferenceData!$AT$210),"",ReferenceData!$AT$210),"")</f>
        <v/>
      </c>
      <c r="AU210" t="str">
        <f ca="1">IFERROR(IF(0=LEN(ReferenceData!$AU$210),"",ReferenceData!$AU$210),"")</f>
        <v/>
      </c>
      <c r="AV210" t="str">
        <f ca="1">IFERROR(IF(0=LEN(ReferenceData!$AV$210),"",ReferenceData!$AV$210),"")</f>
        <v/>
      </c>
      <c r="AW210" t="str">
        <f ca="1">IFERROR(IF(0=LEN(ReferenceData!$AW$210),"",ReferenceData!$AW$210),"")</f>
        <v/>
      </c>
      <c r="AX210" t="str">
        <f ca="1">IFERROR(IF(0=LEN(ReferenceData!$AX$210),"",ReferenceData!$AX$210),"")</f>
        <v/>
      </c>
      <c r="AY210" t="str">
        <f ca="1">IFERROR(IF(0=LEN(ReferenceData!$AY$210),"",ReferenceData!$AY$210),"")</f>
        <v/>
      </c>
      <c r="AZ210" t="str">
        <f ca="1">IFERROR(IF(0=LEN(ReferenceData!$AZ$210),"",ReferenceData!$AZ$210),"")</f>
        <v/>
      </c>
      <c r="BA210" t="str">
        <f ca="1">IFERROR(IF(0=LEN(ReferenceData!$BA$210),"",ReferenceData!$BA$210),"")</f>
        <v/>
      </c>
      <c r="BB210" t="str">
        <f ca="1">IFERROR(IF(0=LEN(ReferenceData!$BB$210),"",ReferenceData!$BB$210),"")</f>
        <v/>
      </c>
      <c r="BC210" t="str">
        <f ca="1">IFERROR(IF(0=LEN(ReferenceData!$BC$210),"",ReferenceData!$BC$210),"")</f>
        <v/>
      </c>
      <c r="BD210" t="str">
        <f ca="1">IFERROR(IF(0=LEN(ReferenceData!$BD$210),"",ReferenceData!$BD$210),"")</f>
        <v/>
      </c>
      <c r="BE210" t="str">
        <f ca="1">IFERROR(IF(0=LEN(ReferenceData!$BE$210),"",ReferenceData!$BE$210),"")</f>
        <v/>
      </c>
      <c r="BF210" t="str">
        <f ca="1">IFERROR(IF(0=LEN(ReferenceData!$BF$210),"",ReferenceData!$BF$210),"")</f>
        <v/>
      </c>
      <c r="BG210" t="str">
        <f ca="1">IFERROR(IF(0=LEN(ReferenceData!$BG$210),"",ReferenceData!$BG$210),"")</f>
        <v/>
      </c>
      <c r="BH210" t="str">
        <f ca="1">IFERROR(IF(0=LEN(ReferenceData!$BH$210),"",ReferenceData!$BH$210),"")</f>
        <v/>
      </c>
      <c r="BI210" t="str">
        <f ca="1">IFERROR(IF(0=LEN(ReferenceData!$BI$210),"",ReferenceData!$BI$210),"")</f>
        <v/>
      </c>
      <c r="BJ210" t="str">
        <f ca="1">IFERROR(IF(0=LEN(ReferenceData!$BJ$210),"",ReferenceData!$BJ$210),"")</f>
        <v/>
      </c>
      <c r="BK210" t="str">
        <f ca="1">IFERROR(IF(0=LEN(ReferenceData!$BK$210),"",ReferenceData!$BK$210),"")</f>
        <v/>
      </c>
      <c r="BL210" t="str">
        <f ca="1">IFERROR(IF(0=LEN(ReferenceData!$BL$210),"",ReferenceData!$BL$210),"")</f>
        <v/>
      </c>
      <c r="BM210" t="str">
        <f ca="1">IFERROR(IF(0=LEN(ReferenceData!$BM$210),"",ReferenceData!$BM$210),"")</f>
        <v/>
      </c>
    </row>
    <row r="211" spans="1:65" x14ac:dyDescent="0.25">
      <c r="A211" t="str">
        <f>IFERROR(IF(0=LEN(ReferenceData!$A$211),"",ReferenceData!$A$211),"")</f>
        <v xml:space="preserve">    Bayerische Motoren Werke AG</v>
      </c>
      <c r="B211" t="str">
        <f>IFERROR(IF(0=LEN(ReferenceData!$B$211),"",ReferenceData!$B$211),"")</f>
        <v>BMW GR Equity</v>
      </c>
      <c r="C211" t="str">
        <f>IFERROR(IF(0=LEN(ReferenceData!$C$211),"",ReferenceData!$C$211),"")</f>
        <v>RR843</v>
      </c>
      <c r="D211" t="str">
        <f>IFERROR(IF(0=LEN(ReferenceData!$D$211),"",ReferenceData!$D$211),"")</f>
        <v>TRAIL_12M_FREE_CASH_FLOW</v>
      </c>
      <c r="E211" t="str">
        <f>IFERROR(IF(0=LEN(ReferenceData!$E$211),"",ReferenceData!$E$211),"")</f>
        <v>Dynamic</v>
      </c>
      <c r="F211" t="str">
        <f ca="1">IFERROR(IF(0=LEN(ReferenceData!$F$211),"",ReferenceData!$F$211),"")</f>
        <v/>
      </c>
      <c r="G211" t="str">
        <f ca="1">IFERROR(IF(0=LEN(ReferenceData!$G$211),"",ReferenceData!$G$211),"")</f>
        <v/>
      </c>
      <c r="H211">
        <f ca="1">IFERROR(IF(0=LEN(ReferenceData!$H$211),"",ReferenceData!$H$211),"")</f>
        <v>-4252.2545650000002</v>
      </c>
      <c r="I211">
        <f ca="1">IFERROR(IF(0=LEN(ReferenceData!$I$211),"",ReferenceData!$I$211),"")</f>
        <v>-2937.0913350000001</v>
      </c>
      <c r="J211">
        <f ca="1">IFERROR(IF(0=LEN(ReferenceData!$J$211),"",ReferenceData!$J$211),"")</f>
        <v>-3506.1459369999998</v>
      </c>
      <c r="K211">
        <f ca="1">IFERROR(IF(0=LEN(ReferenceData!$K$211),"",ReferenceData!$K$211),"")</f>
        <v>-3467.114634</v>
      </c>
      <c r="L211">
        <f ca="1">IFERROR(IF(0=LEN(ReferenceData!$L$211),"",ReferenceData!$L$211),"")</f>
        <v>-1135.7142550000001</v>
      </c>
      <c r="M211">
        <f ca="1">IFERROR(IF(0=LEN(ReferenceData!$M$211),"",ReferenceData!$M$211),"")</f>
        <v>-2981.6897170000002</v>
      </c>
      <c r="N211">
        <f ca="1">IFERROR(IF(0=LEN(ReferenceData!$N$211),"",ReferenceData!$N$211),"")</f>
        <v>-2959.4192880000001</v>
      </c>
      <c r="O211">
        <f ca="1">IFERROR(IF(0=LEN(ReferenceData!$O$211),"",ReferenceData!$O$211),"")</f>
        <v>-3063.7017810000002</v>
      </c>
      <c r="P211">
        <f ca="1">IFERROR(IF(0=LEN(ReferenceData!$P$211),"",ReferenceData!$P$211),"")</f>
        <v>-4689.7324639999997</v>
      </c>
      <c r="Q211">
        <f ca="1">IFERROR(IF(0=LEN(ReferenceData!$Q$211),"",ReferenceData!$Q$211),"")</f>
        <v>-4759.6097060000002</v>
      </c>
      <c r="R211">
        <f ca="1">IFERROR(IF(0=LEN(ReferenceData!$R$211),"",ReferenceData!$R$211),"")</f>
        <v>-6816.0387769999998</v>
      </c>
      <c r="S211">
        <f ca="1">IFERROR(IF(0=LEN(ReferenceData!$S$211),"",ReferenceData!$S$211),"")</f>
        <v>-5764.2332829999996</v>
      </c>
      <c r="T211">
        <f ca="1">IFERROR(IF(0=LEN(ReferenceData!$T$211),"",ReferenceData!$T$211),"")</f>
        <v>-5204.2179509999996</v>
      </c>
      <c r="U211">
        <f ca="1">IFERROR(IF(0=LEN(ReferenceData!$U$211),"",ReferenceData!$U$211),"")</f>
        <v>-4845.994291</v>
      </c>
      <c r="V211">
        <f ca="1">IFERROR(IF(0=LEN(ReferenceData!$V$211),"",ReferenceData!$V$211),"")</f>
        <v>-4168.865546</v>
      </c>
      <c r="W211">
        <f ca="1">IFERROR(IF(0=LEN(ReferenceData!$W$211),"",ReferenceData!$W$211),"")</f>
        <v>-4410.5728710000003</v>
      </c>
      <c r="X211">
        <f ca="1">IFERROR(IF(0=LEN(ReferenceData!$X$211),"",ReferenceData!$X$211),"")</f>
        <v>-3848.4813380000001</v>
      </c>
      <c r="Y211">
        <f ca="1">IFERROR(IF(0=LEN(ReferenceData!$Y$211),"",ReferenceData!$Y$211),"")</f>
        <v>-4416.5529230000002</v>
      </c>
      <c r="Z211">
        <f ca="1">IFERROR(IF(0=LEN(ReferenceData!$Z$211),"",ReferenceData!$Z$211),"")</f>
        <v>-2657.0881850000001</v>
      </c>
      <c r="AA211">
        <f ca="1">IFERROR(IF(0=LEN(ReferenceData!$AA$211),"",ReferenceData!$AA$211),"")</f>
        <v>-3541.2782900000002</v>
      </c>
      <c r="AB211">
        <f ca="1">IFERROR(IF(0=LEN(ReferenceData!$AB$211),"",ReferenceData!$AB$211),"")</f>
        <v>-2621.6244099999999</v>
      </c>
      <c r="AC211">
        <f ca="1">IFERROR(IF(0=LEN(ReferenceData!$AC$211),"",ReferenceData!$AC$211),"")</f>
        <v>-3168.1724450000002</v>
      </c>
      <c r="AD211">
        <f ca="1">IFERROR(IF(0=LEN(ReferenceData!$AD$211),"",ReferenceData!$AD$211),"")</f>
        <v>-3136.0464740000002</v>
      </c>
      <c r="AE211">
        <f ca="1">IFERROR(IF(0=LEN(ReferenceData!$AE$211),"",ReferenceData!$AE$211),"")</f>
        <v>-282.89164019999998</v>
      </c>
      <c r="AF211">
        <f ca="1">IFERROR(IF(0=LEN(ReferenceData!$AF$211),"",ReferenceData!$AF$211),"")</f>
        <v>-2535.6231659999999</v>
      </c>
      <c r="AG211">
        <f ca="1">IFERROR(IF(0=LEN(ReferenceData!$AG$211),"",ReferenceData!$AG$211),"")</f>
        <v>994.90227909999999</v>
      </c>
      <c r="AH211">
        <f ca="1">IFERROR(IF(0=LEN(ReferenceData!$AH$211),"",ReferenceData!$AH$211),"")</f>
        <v>2779.3846549999998</v>
      </c>
      <c r="AI211">
        <f ca="1">IFERROR(IF(0=LEN(ReferenceData!$AI$211),"",ReferenceData!$AI$211),"")</f>
        <v>2791.7662799999998</v>
      </c>
      <c r="AJ211">
        <f ca="1">IFERROR(IF(0=LEN(ReferenceData!$AJ$211),"",ReferenceData!$AJ$211),"")</f>
        <v>-1327.820201</v>
      </c>
      <c r="AK211">
        <f ca="1">IFERROR(IF(0=LEN(ReferenceData!$AK$211),"",ReferenceData!$AK$211),"")</f>
        <v>-260.60258809999999</v>
      </c>
      <c r="AL211">
        <f ca="1">IFERROR(IF(0=LEN(ReferenceData!$AL$211),"",ReferenceData!$AL$211),"")</f>
        <v>1660.3554790000001</v>
      </c>
      <c r="AM211">
        <f ca="1">IFERROR(IF(0=LEN(ReferenceData!$AM$211),"",ReferenceData!$AM$211),"")</f>
        <v>1178.0306840000001</v>
      </c>
      <c r="AN211">
        <f ca="1">IFERROR(IF(0=LEN(ReferenceData!$AN$211),"",ReferenceData!$AN$211),"")</f>
        <v>11134.931759999999</v>
      </c>
      <c r="AO211">
        <f ca="1">IFERROR(IF(0=LEN(ReferenceData!$AO$211),"",ReferenceData!$AO$211),"")</f>
        <v>10366.372719999999</v>
      </c>
      <c r="AP211">
        <f ca="1">IFERROR(IF(0=LEN(ReferenceData!$AP$211),"",ReferenceData!$AP$211),"")</f>
        <v>8858.6626539999997</v>
      </c>
      <c r="AQ211">
        <f ca="1">IFERROR(IF(0=LEN(ReferenceData!$AQ$211),"",ReferenceData!$AQ$211),"")</f>
        <v>9169.8156459999991</v>
      </c>
      <c r="AR211">
        <f ca="1">IFERROR(IF(0=LEN(ReferenceData!$AR$211),"",ReferenceData!$AR$211),"")</f>
        <v>7214.2314299999998</v>
      </c>
      <c r="AS211">
        <f ca="1">IFERROR(IF(0=LEN(ReferenceData!$AS$211),"",ReferenceData!$AS$211),"")</f>
        <v>13634.271049999999</v>
      </c>
      <c r="AT211">
        <f ca="1">IFERROR(IF(0=LEN(ReferenceData!$AT$211),"",ReferenceData!$AT$211),"")</f>
        <v>15921.32533</v>
      </c>
      <c r="AU211">
        <f ca="1">IFERROR(IF(0=LEN(ReferenceData!$AU$211),"",ReferenceData!$AU$211),"")</f>
        <v>15804.706690000001</v>
      </c>
      <c r="AV211">
        <f ca="1">IFERROR(IF(0=LEN(ReferenceData!$AV$211),"",ReferenceData!$AV$211),"")</f>
        <v>19325.561580000001</v>
      </c>
      <c r="AW211">
        <f ca="1">IFERROR(IF(0=LEN(ReferenceData!$AW$211),"",ReferenceData!$AW$211),"")</f>
        <v>12162.653120000001</v>
      </c>
      <c r="AX211">
        <f ca="1">IFERROR(IF(0=LEN(ReferenceData!$AX$211),"",ReferenceData!$AX$211),"")</f>
        <v>10086.85454</v>
      </c>
      <c r="AY211">
        <f ca="1">IFERROR(IF(0=LEN(ReferenceData!$AY$211),"",ReferenceData!$AY$211),"")</f>
        <v>10317.99963</v>
      </c>
      <c r="AZ211">
        <f ca="1">IFERROR(IF(0=LEN(ReferenceData!$AZ$211),"",ReferenceData!$AZ$211),"")</f>
        <v>6504.0503140000001</v>
      </c>
      <c r="BA211">
        <f ca="1">IFERROR(IF(0=LEN(ReferenceData!$BA$211),"",ReferenceData!$BA$211),"")</f>
        <v>6197.5373579999996</v>
      </c>
      <c r="BB211">
        <f ca="1">IFERROR(IF(0=LEN(ReferenceData!$BB$211),"",ReferenceData!$BB$211),"")</f>
        <v>7015.853983</v>
      </c>
      <c r="BC211">
        <f ca="1">IFERROR(IF(0=LEN(ReferenceData!$BC$211),"",ReferenceData!$BC$211),"")</f>
        <v>7119.9529759999996</v>
      </c>
      <c r="BD211">
        <f ca="1">IFERROR(IF(0=LEN(ReferenceData!$BD$211),"",ReferenceData!$BD$211),"")</f>
        <v>7401.4371350000001</v>
      </c>
      <c r="BE211">
        <f ca="1">IFERROR(IF(0=LEN(ReferenceData!$BE$211),"",ReferenceData!$BE$211),"")</f>
        <v>9094.310716</v>
      </c>
      <c r="BF211">
        <f ca="1">IFERROR(IF(0=LEN(ReferenceData!$BF$211),"",ReferenceData!$BF$211),"")</f>
        <v>8356.4157520000008</v>
      </c>
      <c r="BG211">
        <f ca="1">IFERROR(IF(0=LEN(ReferenceData!$BG$211),"",ReferenceData!$BG$211),"")</f>
        <v>8480.5858250000001</v>
      </c>
      <c r="BH211" t="str">
        <f ca="1">IFERROR(IF(0=LEN(ReferenceData!$BH$211),"",ReferenceData!$BH$211),"")</f>
        <v/>
      </c>
      <c r="BI211" t="str">
        <f ca="1">IFERROR(IF(0=LEN(ReferenceData!$BI$211),"",ReferenceData!$BI$211),"")</f>
        <v/>
      </c>
      <c r="BJ211" t="str">
        <f ca="1">IFERROR(IF(0=LEN(ReferenceData!$BJ$211),"",ReferenceData!$BJ$211),"")</f>
        <v/>
      </c>
      <c r="BK211" t="str">
        <f ca="1">IFERROR(IF(0=LEN(ReferenceData!$BK$211),"",ReferenceData!$BK$211),"")</f>
        <v/>
      </c>
      <c r="BL211" t="str">
        <f ca="1">IFERROR(IF(0=LEN(ReferenceData!$BL$211),"",ReferenceData!$BL$211),"")</f>
        <v/>
      </c>
      <c r="BM211" t="str">
        <f ca="1">IFERROR(IF(0=LEN(ReferenceData!$BM$211),"",ReferenceData!$BM$211),"")</f>
        <v/>
      </c>
    </row>
    <row r="212" spans="1:65" x14ac:dyDescent="0.25">
      <c r="A212" t="str">
        <f>IFERROR(IF(0=LEN(ReferenceData!$A$212),"",ReferenceData!$A$212),"")</f>
        <v xml:space="preserve">    Brilliance China Automotive Holdings Ltd</v>
      </c>
      <c r="B212" t="str">
        <f>IFERROR(IF(0=LEN(ReferenceData!$B$212),"",ReferenceData!$B$212),"")</f>
        <v>1114 HK Equity</v>
      </c>
      <c r="C212" t="str">
        <f>IFERROR(IF(0=LEN(ReferenceData!$C$212),"",ReferenceData!$C$212),"")</f>
        <v>RR843</v>
      </c>
      <c r="D212" t="str">
        <f>IFERROR(IF(0=LEN(ReferenceData!$D$212),"",ReferenceData!$D$212),"")</f>
        <v>TRAIL_12M_FREE_CASH_FLOW</v>
      </c>
      <c r="E212" t="str">
        <f>IFERROR(IF(0=LEN(ReferenceData!$E$212),"",ReferenceData!$E$212),"")</f>
        <v>Dynamic</v>
      </c>
      <c r="F212" t="str">
        <f ca="1">IFERROR(IF(0=LEN(ReferenceData!$F$212),"",ReferenceData!$F$212),"")</f>
        <v/>
      </c>
      <c r="G212" t="str">
        <f ca="1">IFERROR(IF(0=LEN(ReferenceData!$G$212),"",ReferenceData!$G$212),"")</f>
        <v/>
      </c>
      <c r="H212" t="str">
        <f ca="1">IFERROR(IF(0=LEN(ReferenceData!$H$212),"",ReferenceData!$H$212),"")</f>
        <v/>
      </c>
      <c r="I212" t="str">
        <f ca="1">IFERROR(IF(0=LEN(ReferenceData!$I$212),"",ReferenceData!$I$212),"")</f>
        <v/>
      </c>
      <c r="J212" t="str">
        <f ca="1">IFERROR(IF(0=LEN(ReferenceData!$J$212),"",ReferenceData!$J$212),"")</f>
        <v/>
      </c>
      <c r="K212" t="str">
        <f ca="1">IFERROR(IF(0=LEN(ReferenceData!$K$212),"",ReferenceData!$K$212),"")</f>
        <v/>
      </c>
      <c r="L212" t="str">
        <f ca="1">IFERROR(IF(0=LEN(ReferenceData!$L$212),"",ReferenceData!$L$212),"")</f>
        <v/>
      </c>
      <c r="M212" t="str">
        <f ca="1">IFERROR(IF(0=LEN(ReferenceData!$M$212),"",ReferenceData!$M$212),"")</f>
        <v/>
      </c>
      <c r="N212" t="str">
        <f ca="1">IFERROR(IF(0=LEN(ReferenceData!$N$212),"",ReferenceData!$N$212),"")</f>
        <v/>
      </c>
      <c r="O212" t="str">
        <f ca="1">IFERROR(IF(0=LEN(ReferenceData!$O$212),"",ReferenceData!$O$212),"")</f>
        <v/>
      </c>
      <c r="P212" t="str">
        <f ca="1">IFERROR(IF(0=LEN(ReferenceData!$P$212),"",ReferenceData!$P$212),"")</f>
        <v/>
      </c>
      <c r="Q212" t="str">
        <f ca="1">IFERROR(IF(0=LEN(ReferenceData!$Q$212),"",ReferenceData!$Q$212),"")</f>
        <v/>
      </c>
      <c r="R212" t="str">
        <f ca="1">IFERROR(IF(0=LEN(ReferenceData!$R$212),"",ReferenceData!$R$212),"")</f>
        <v/>
      </c>
      <c r="S212" t="str">
        <f ca="1">IFERROR(IF(0=LEN(ReferenceData!$S$212),"",ReferenceData!$S$212),"")</f>
        <v/>
      </c>
      <c r="T212" t="str">
        <f ca="1">IFERROR(IF(0=LEN(ReferenceData!$T$212),"",ReferenceData!$T$212),"")</f>
        <v/>
      </c>
      <c r="U212" t="str">
        <f ca="1">IFERROR(IF(0=LEN(ReferenceData!$U$212),"",ReferenceData!$U$212),"")</f>
        <v/>
      </c>
      <c r="V212" t="str">
        <f ca="1">IFERROR(IF(0=LEN(ReferenceData!$V$212),"",ReferenceData!$V$212),"")</f>
        <v/>
      </c>
      <c r="W212" t="str">
        <f ca="1">IFERROR(IF(0=LEN(ReferenceData!$W$212),"",ReferenceData!$W$212),"")</f>
        <v/>
      </c>
      <c r="X212" t="str">
        <f ca="1">IFERROR(IF(0=LEN(ReferenceData!$X$212),"",ReferenceData!$X$212),"")</f>
        <v/>
      </c>
      <c r="Y212" t="str">
        <f ca="1">IFERROR(IF(0=LEN(ReferenceData!$Y$212),"",ReferenceData!$Y$212),"")</f>
        <v/>
      </c>
      <c r="Z212" t="str">
        <f ca="1">IFERROR(IF(0=LEN(ReferenceData!$Z$212),"",ReferenceData!$Z$212),"")</f>
        <v/>
      </c>
      <c r="AA212" t="str">
        <f ca="1">IFERROR(IF(0=LEN(ReferenceData!$AA$212),"",ReferenceData!$AA$212),"")</f>
        <v/>
      </c>
      <c r="AB212" t="str">
        <f ca="1">IFERROR(IF(0=LEN(ReferenceData!$AB$212),"",ReferenceData!$AB$212),"")</f>
        <v/>
      </c>
      <c r="AC212" t="str">
        <f ca="1">IFERROR(IF(0=LEN(ReferenceData!$AC$212),"",ReferenceData!$AC$212),"")</f>
        <v/>
      </c>
      <c r="AD212" t="str">
        <f ca="1">IFERROR(IF(0=LEN(ReferenceData!$AD$212),"",ReferenceData!$AD$212),"")</f>
        <v/>
      </c>
      <c r="AE212" t="str">
        <f ca="1">IFERROR(IF(0=LEN(ReferenceData!$AE$212),"",ReferenceData!$AE$212),"")</f>
        <v/>
      </c>
      <c r="AF212" t="str">
        <f ca="1">IFERROR(IF(0=LEN(ReferenceData!$AF$212),"",ReferenceData!$AF$212),"")</f>
        <v/>
      </c>
      <c r="AG212" t="str">
        <f ca="1">IFERROR(IF(0=LEN(ReferenceData!$AG$212),"",ReferenceData!$AG$212),"")</f>
        <v/>
      </c>
      <c r="AH212" t="str">
        <f ca="1">IFERROR(IF(0=LEN(ReferenceData!$AH$212),"",ReferenceData!$AH$212),"")</f>
        <v/>
      </c>
      <c r="AI212" t="str">
        <f ca="1">IFERROR(IF(0=LEN(ReferenceData!$AI$212),"",ReferenceData!$AI$212),"")</f>
        <v/>
      </c>
      <c r="AJ212" t="str">
        <f ca="1">IFERROR(IF(0=LEN(ReferenceData!$AJ$212),"",ReferenceData!$AJ$212),"")</f>
        <v/>
      </c>
      <c r="AK212" t="str">
        <f ca="1">IFERROR(IF(0=LEN(ReferenceData!$AK$212),"",ReferenceData!$AK$212),"")</f>
        <v/>
      </c>
      <c r="AL212" t="str">
        <f ca="1">IFERROR(IF(0=LEN(ReferenceData!$AL$212),"",ReferenceData!$AL$212),"")</f>
        <v/>
      </c>
      <c r="AM212" t="str">
        <f ca="1">IFERROR(IF(0=LEN(ReferenceData!$AM$212),"",ReferenceData!$AM$212),"")</f>
        <v/>
      </c>
      <c r="AN212" t="str">
        <f ca="1">IFERROR(IF(0=LEN(ReferenceData!$AN$212),"",ReferenceData!$AN$212),"")</f>
        <v/>
      </c>
      <c r="AO212" t="str">
        <f ca="1">IFERROR(IF(0=LEN(ReferenceData!$AO$212),"",ReferenceData!$AO$212),"")</f>
        <v/>
      </c>
      <c r="AP212" t="str">
        <f ca="1">IFERROR(IF(0=LEN(ReferenceData!$AP$212),"",ReferenceData!$AP$212),"")</f>
        <v/>
      </c>
      <c r="AQ212" t="str">
        <f ca="1">IFERROR(IF(0=LEN(ReferenceData!$AQ$212),"",ReferenceData!$AQ$212),"")</f>
        <v/>
      </c>
      <c r="AR212" t="str">
        <f ca="1">IFERROR(IF(0=LEN(ReferenceData!$AR$212),"",ReferenceData!$AR$212),"")</f>
        <v/>
      </c>
      <c r="AS212" t="str">
        <f ca="1">IFERROR(IF(0=LEN(ReferenceData!$AS$212),"",ReferenceData!$AS$212),"")</f>
        <v/>
      </c>
      <c r="AT212" t="str">
        <f ca="1">IFERROR(IF(0=LEN(ReferenceData!$AT$212),"",ReferenceData!$AT$212),"")</f>
        <v/>
      </c>
      <c r="AU212" t="str">
        <f ca="1">IFERROR(IF(0=LEN(ReferenceData!$AU$212),"",ReferenceData!$AU$212),"")</f>
        <v/>
      </c>
      <c r="AV212" t="str">
        <f ca="1">IFERROR(IF(0=LEN(ReferenceData!$AV$212),"",ReferenceData!$AV$212),"")</f>
        <v/>
      </c>
      <c r="AW212" t="str">
        <f ca="1">IFERROR(IF(0=LEN(ReferenceData!$AW$212),"",ReferenceData!$AW$212),"")</f>
        <v/>
      </c>
      <c r="AX212" t="str">
        <f ca="1">IFERROR(IF(0=LEN(ReferenceData!$AX$212),"",ReferenceData!$AX$212),"")</f>
        <v/>
      </c>
      <c r="AY212" t="str">
        <f ca="1">IFERROR(IF(0=LEN(ReferenceData!$AY$212),"",ReferenceData!$AY$212),"")</f>
        <v/>
      </c>
      <c r="AZ212" t="str">
        <f ca="1">IFERROR(IF(0=LEN(ReferenceData!$AZ$212),"",ReferenceData!$AZ$212),"")</f>
        <v/>
      </c>
      <c r="BA212" t="str">
        <f ca="1">IFERROR(IF(0=LEN(ReferenceData!$BA$212),"",ReferenceData!$BA$212),"")</f>
        <v/>
      </c>
      <c r="BB212" t="str">
        <f ca="1">IFERROR(IF(0=LEN(ReferenceData!$BB$212),"",ReferenceData!$BB$212),"")</f>
        <v/>
      </c>
      <c r="BC212" t="str">
        <f ca="1">IFERROR(IF(0=LEN(ReferenceData!$BC$212),"",ReferenceData!$BC$212),"")</f>
        <v/>
      </c>
      <c r="BD212" t="str">
        <f ca="1">IFERROR(IF(0=LEN(ReferenceData!$BD$212),"",ReferenceData!$BD$212),"")</f>
        <v/>
      </c>
      <c r="BE212" t="str">
        <f ca="1">IFERROR(IF(0=LEN(ReferenceData!$BE$212),"",ReferenceData!$BE$212),"")</f>
        <v/>
      </c>
      <c r="BF212" t="str">
        <f ca="1">IFERROR(IF(0=LEN(ReferenceData!$BF$212),"",ReferenceData!$BF$212),"")</f>
        <v/>
      </c>
      <c r="BG212" t="str">
        <f ca="1">IFERROR(IF(0=LEN(ReferenceData!$BG$212),"",ReferenceData!$BG$212),"")</f>
        <v/>
      </c>
      <c r="BH212" t="str">
        <f ca="1">IFERROR(IF(0=LEN(ReferenceData!$BH$212),"",ReferenceData!$BH$212),"")</f>
        <v/>
      </c>
      <c r="BI212" t="str">
        <f ca="1">IFERROR(IF(0=LEN(ReferenceData!$BI$212),"",ReferenceData!$BI$212),"")</f>
        <v/>
      </c>
      <c r="BJ212" t="str">
        <f ca="1">IFERROR(IF(0=LEN(ReferenceData!$BJ$212),"",ReferenceData!$BJ$212),"")</f>
        <v/>
      </c>
      <c r="BK212" t="str">
        <f ca="1">IFERROR(IF(0=LEN(ReferenceData!$BK$212),"",ReferenceData!$BK$212),"")</f>
        <v/>
      </c>
      <c r="BL212" t="str">
        <f ca="1">IFERROR(IF(0=LEN(ReferenceData!$BL$212),"",ReferenceData!$BL$212),"")</f>
        <v/>
      </c>
      <c r="BM212" t="str">
        <f ca="1">IFERROR(IF(0=LEN(ReferenceData!$BM$212),"",ReferenceData!$BM$212),"")</f>
        <v/>
      </c>
    </row>
    <row r="213" spans="1:65" x14ac:dyDescent="0.25">
      <c r="A213" t="str">
        <f>IFERROR(IF(0=LEN(ReferenceData!$A$213),"",ReferenceData!$A$213),"")</f>
        <v xml:space="preserve">    BYD Co Ltd</v>
      </c>
      <c r="B213" t="str">
        <f>IFERROR(IF(0=LEN(ReferenceData!$B$213),"",ReferenceData!$B$213),"")</f>
        <v>1211 HK Equity</v>
      </c>
      <c r="C213" t="str">
        <f>IFERROR(IF(0=LEN(ReferenceData!$C$213),"",ReferenceData!$C$213),"")</f>
        <v>RR843</v>
      </c>
      <c r="D213" t="str">
        <f>IFERROR(IF(0=LEN(ReferenceData!$D$213),"",ReferenceData!$D$213),"")</f>
        <v>TRAIL_12M_FREE_CASH_FLOW</v>
      </c>
      <c r="E213" t="str">
        <f>IFERROR(IF(0=LEN(ReferenceData!$E$213),"",ReferenceData!$E$213),"")</f>
        <v>Dynamic</v>
      </c>
      <c r="F213" t="str">
        <f ca="1">IFERROR(IF(0=LEN(ReferenceData!$F$213),"",ReferenceData!$F$213),"")</f>
        <v/>
      </c>
      <c r="G213" t="str">
        <f ca="1">IFERROR(IF(0=LEN(ReferenceData!$G$213),"",ReferenceData!$G$213),"")</f>
        <v/>
      </c>
      <c r="H213">
        <f ca="1">IFERROR(IF(0=LEN(ReferenceData!$H$213),"",ReferenceData!$H$213),"")</f>
        <v>-1248.464903</v>
      </c>
      <c r="I213">
        <f ca="1">IFERROR(IF(0=LEN(ReferenceData!$I$213),"",ReferenceData!$I$213),"")</f>
        <v>-1670.5778379999999</v>
      </c>
      <c r="J213">
        <f ca="1">IFERROR(IF(0=LEN(ReferenceData!$J$213),"",ReferenceData!$J$213),"")</f>
        <v>-1439.666592</v>
      </c>
      <c r="K213">
        <f ca="1">IFERROR(IF(0=LEN(ReferenceData!$K$213),"",ReferenceData!$K$213),"")</f>
        <v>-1598.0906600000001</v>
      </c>
      <c r="L213">
        <f ca="1">IFERROR(IF(0=LEN(ReferenceData!$L$213),"",ReferenceData!$L$213),"")</f>
        <v>-2179.2098860000001</v>
      </c>
      <c r="M213">
        <f ca="1">IFERROR(IF(0=LEN(ReferenceData!$M$213),"",ReferenceData!$M$213),"")</f>
        <v>-2889.1440130000001</v>
      </c>
      <c r="N213">
        <f ca="1">IFERROR(IF(0=LEN(ReferenceData!$N$213),"",ReferenceData!$N$213),"")</f>
        <v>-2790.4965470000002</v>
      </c>
      <c r="O213">
        <f ca="1">IFERROR(IF(0=LEN(ReferenceData!$O$213),"",ReferenceData!$O$213),"")</f>
        <v>-2563.3125829999999</v>
      </c>
      <c r="P213">
        <f ca="1">IFERROR(IF(0=LEN(ReferenceData!$P$213),"",ReferenceData!$P$213),"")</f>
        <v>-1899.00729</v>
      </c>
      <c r="Q213">
        <f ca="1">IFERROR(IF(0=LEN(ReferenceData!$Q$213),"",ReferenceData!$Q$213),"")</f>
        <v>-2417.257169</v>
      </c>
      <c r="R213">
        <f ca="1">IFERROR(IF(0=LEN(ReferenceData!$R$213),"",ReferenceData!$R$213),"")</f>
        <v>-2463.1297260000001</v>
      </c>
      <c r="S213">
        <f ca="1">IFERROR(IF(0=LEN(ReferenceData!$S$213),"",ReferenceData!$S$213),"")</f>
        <v>-1622.6800929999999</v>
      </c>
      <c r="T213">
        <f ca="1">IFERROR(IF(0=LEN(ReferenceData!$T$213),"",ReferenceData!$T$213),"")</f>
        <v>-2066.6781120000001</v>
      </c>
      <c r="U213">
        <f ca="1">IFERROR(IF(0=LEN(ReferenceData!$U$213),"",ReferenceData!$U$213),"")</f>
        <v>-1379.733054</v>
      </c>
      <c r="V213">
        <f ca="1">IFERROR(IF(0=LEN(ReferenceData!$V$213),"",ReferenceData!$V$213),"")</f>
        <v>-1050.4055189999999</v>
      </c>
      <c r="W213">
        <f ca="1">IFERROR(IF(0=LEN(ReferenceData!$W$213),"",ReferenceData!$W$213),"")</f>
        <v>-1652.2269490000001</v>
      </c>
      <c r="X213">
        <f ca="1">IFERROR(IF(0=LEN(ReferenceData!$X$213),"",ReferenceData!$X$213),"")</f>
        <v>-1625.042539</v>
      </c>
      <c r="Y213">
        <f ca="1">IFERROR(IF(0=LEN(ReferenceData!$Y$213),"",ReferenceData!$Y$213),"")</f>
        <v>-1408.034267</v>
      </c>
      <c r="Z213">
        <f ca="1">IFERROR(IF(0=LEN(ReferenceData!$Z$213),"",ReferenceData!$Z$213),"")</f>
        <v>-1037.2063479999999</v>
      </c>
      <c r="AA213">
        <f ca="1">IFERROR(IF(0=LEN(ReferenceData!$AA$213),"",ReferenceData!$AA$213),"")</f>
        <v>-743.33375479999995</v>
      </c>
      <c r="AB213">
        <f ca="1">IFERROR(IF(0=LEN(ReferenceData!$AB$213),"",ReferenceData!$AB$213),"")</f>
        <v>-375.11816249999998</v>
      </c>
      <c r="AC213">
        <f ca="1">IFERROR(IF(0=LEN(ReferenceData!$AC$213),"",ReferenceData!$AC$213),"")</f>
        <v>-381.82986449999999</v>
      </c>
      <c r="AD213">
        <f ca="1">IFERROR(IF(0=LEN(ReferenceData!$AD$213),"",ReferenceData!$AD$213),"")</f>
        <v>-381.64274979999999</v>
      </c>
      <c r="AE213">
        <f ca="1">IFERROR(IF(0=LEN(ReferenceData!$AE$213),"",ReferenceData!$AE$213),"")</f>
        <v>6.4084838370000003</v>
      </c>
      <c r="AF213">
        <f ca="1">IFERROR(IF(0=LEN(ReferenceData!$AF$213),"",ReferenceData!$AF$213),"")</f>
        <v>-210.5060392</v>
      </c>
      <c r="AG213">
        <f ca="1">IFERROR(IF(0=LEN(ReferenceData!$AG$213),"",ReferenceData!$AG$213),"")</f>
        <v>-269.94210679999998</v>
      </c>
      <c r="AH213" t="str">
        <f ca="1">IFERROR(IF(0=LEN(ReferenceData!$AH$213),"",ReferenceData!$AH$213),"")</f>
        <v/>
      </c>
      <c r="AI213" t="str">
        <f ca="1">IFERROR(IF(0=LEN(ReferenceData!$AI$213),"",ReferenceData!$AI$213),"")</f>
        <v/>
      </c>
      <c r="AJ213" t="str">
        <f ca="1">IFERROR(IF(0=LEN(ReferenceData!$AJ$213),"",ReferenceData!$AJ$213),"")</f>
        <v/>
      </c>
      <c r="AK213" t="str">
        <f ca="1">IFERROR(IF(0=LEN(ReferenceData!$AK$213),"",ReferenceData!$AK$213),"")</f>
        <v/>
      </c>
      <c r="AL213" t="str">
        <f ca="1">IFERROR(IF(0=LEN(ReferenceData!$AL$213),"",ReferenceData!$AL$213),"")</f>
        <v/>
      </c>
      <c r="AM213" t="str">
        <f ca="1">IFERROR(IF(0=LEN(ReferenceData!$AM$213),"",ReferenceData!$AM$213),"")</f>
        <v/>
      </c>
      <c r="AN213" t="str">
        <f ca="1">IFERROR(IF(0=LEN(ReferenceData!$AN$213),"",ReferenceData!$AN$213),"")</f>
        <v/>
      </c>
      <c r="AO213" t="str">
        <f ca="1">IFERROR(IF(0=LEN(ReferenceData!$AO$213),"",ReferenceData!$AO$213),"")</f>
        <v/>
      </c>
      <c r="AP213" t="str">
        <f ca="1">IFERROR(IF(0=LEN(ReferenceData!$AP$213),"",ReferenceData!$AP$213),"")</f>
        <v/>
      </c>
      <c r="AQ213" t="str">
        <f ca="1">IFERROR(IF(0=LEN(ReferenceData!$AQ$213),"",ReferenceData!$AQ$213),"")</f>
        <v/>
      </c>
      <c r="AR213" t="str">
        <f ca="1">IFERROR(IF(0=LEN(ReferenceData!$AR$213),"",ReferenceData!$AR$213),"")</f>
        <v/>
      </c>
      <c r="AS213" t="str">
        <f ca="1">IFERROR(IF(0=LEN(ReferenceData!$AS$213),"",ReferenceData!$AS$213),"")</f>
        <v/>
      </c>
      <c r="AT213" t="str">
        <f ca="1">IFERROR(IF(0=LEN(ReferenceData!$AT$213),"",ReferenceData!$AT$213),"")</f>
        <v/>
      </c>
      <c r="AU213" t="str">
        <f ca="1">IFERROR(IF(0=LEN(ReferenceData!$AU$213),"",ReferenceData!$AU$213),"")</f>
        <v/>
      </c>
      <c r="AV213" t="str">
        <f ca="1">IFERROR(IF(0=LEN(ReferenceData!$AV$213),"",ReferenceData!$AV$213),"")</f>
        <v/>
      </c>
      <c r="AW213" t="str">
        <f ca="1">IFERROR(IF(0=LEN(ReferenceData!$AW$213),"",ReferenceData!$AW$213),"")</f>
        <v/>
      </c>
      <c r="AX213" t="str">
        <f ca="1">IFERROR(IF(0=LEN(ReferenceData!$AX$213),"",ReferenceData!$AX$213),"")</f>
        <v/>
      </c>
      <c r="AY213" t="str">
        <f ca="1">IFERROR(IF(0=LEN(ReferenceData!$AY$213),"",ReferenceData!$AY$213),"")</f>
        <v/>
      </c>
      <c r="AZ213" t="str">
        <f ca="1">IFERROR(IF(0=LEN(ReferenceData!$AZ$213),"",ReferenceData!$AZ$213),"")</f>
        <v/>
      </c>
      <c r="BA213" t="str">
        <f ca="1">IFERROR(IF(0=LEN(ReferenceData!$BA$213),"",ReferenceData!$BA$213),"")</f>
        <v/>
      </c>
      <c r="BB213" t="str">
        <f ca="1">IFERROR(IF(0=LEN(ReferenceData!$BB$213),"",ReferenceData!$BB$213),"")</f>
        <v/>
      </c>
      <c r="BC213" t="str">
        <f ca="1">IFERROR(IF(0=LEN(ReferenceData!$BC$213),"",ReferenceData!$BC$213),"")</f>
        <v/>
      </c>
      <c r="BD213" t="str">
        <f ca="1">IFERROR(IF(0=LEN(ReferenceData!$BD$213),"",ReferenceData!$BD$213),"")</f>
        <v/>
      </c>
      <c r="BE213" t="str">
        <f ca="1">IFERROR(IF(0=LEN(ReferenceData!$BE$213),"",ReferenceData!$BE$213),"")</f>
        <v/>
      </c>
      <c r="BF213" t="str">
        <f ca="1">IFERROR(IF(0=LEN(ReferenceData!$BF$213),"",ReferenceData!$BF$213),"")</f>
        <v/>
      </c>
      <c r="BG213" t="str">
        <f ca="1">IFERROR(IF(0=LEN(ReferenceData!$BG$213),"",ReferenceData!$BG$213),"")</f>
        <v/>
      </c>
      <c r="BH213" t="str">
        <f ca="1">IFERROR(IF(0=LEN(ReferenceData!$BH$213),"",ReferenceData!$BH$213),"")</f>
        <v/>
      </c>
      <c r="BI213" t="str">
        <f ca="1">IFERROR(IF(0=LEN(ReferenceData!$BI$213),"",ReferenceData!$BI$213),"")</f>
        <v/>
      </c>
      <c r="BJ213" t="str">
        <f ca="1">IFERROR(IF(0=LEN(ReferenceData!$BJ$213),"",ReferenceData!$BJ$213),"")</f>
        <v/>
      </c>
      <c r="BK213" t="str">
        <f ca="1">IFERROR(IF(0=LEN(ReferenceData!$BK$213),"",ReferenceData!$BK$213),"")</f>
        <v/>
      </c>
      <c r="BL213" t="str">
        <f ca="1">IFERROR(IF(0=LEN(ReferenceData!$BL$213),"",ReferenceData!$BL$213),"")</f>
        <v/>
      </c>
      <c r="BM213" t="str">
        <f ca="1">IFERROR(IF(0=LEN(ReferenceData!$BM$213),"",ReferenceData!$BM$213),"")</f>
        <v/>
      </c>
    </row>
    <row r="214" spans="1:65" x14ac:dyDescent="0.25">
      <c r="A214" t="str">
        <f>IFERROR(IF(0=LEN(ReferenceData!$A$214),"",ReferenceData!$A$214),"")</f>
        <v xml:space="preserve">    Chongqing Changan Automobile Co Ltd</v>
      </c>
      <c r="B214" t="str">
        <f>IFERROR(IF(0=LEN(ReferenceData!$B$214),"",ReferenceData!$B$214),"")</f>
        <v>200625 CH Equity</v>
      </c>
      <c r="C214" t="str">
        <f>IFERROR(IF(0=LEN(ReferenceData!$C$214),"",ReferenceData!$C$214),"")</f>
        <v>RR843</v>
      </c>
      <c r="D214" t="str">
        <f>IFERROR(IF(0=LEN(ReferenceData!$D$214),"",ReferenceData!$D$214),"")</f>
        <v>TRAIL_12M_FREE_CASH_FLOW</v>
      </c>
      <c r="E214" t="str">
        <f>IFERROR(IF(0=LEN(ReferenceData!$E$214),"",ReferenceData!$E$214),"")</f>
        <v>Dynamic</v>
      </c>
      <c r="F214" t="str">
        <f ca="1">IFERROR(IF(0=LEN(ReferenceData!$F$214),"",ReferenceData!$F$214),"")</f>
        <v/>
      </c>
      <c r="G214" t="str">
        <f ca="1">IFERROR(IF(0=LEN(ReferenceData!$G$214),"",ReferenceData!$G$214),"")</f>
        <v/>
      </c>
      <c r="H214">
        <f ca="1">IFERROR(IF(0=LEN(ReferenceData!$H$214),"",ReferenceData!$H$214),"")</f>
        <v>-660.56153689999996</v>
      </c>
      <c r="I214">
        <f ca="1">IFERROR(IF(0=LEN(ReferenceData!$I$214),"",ReferenceData!$I$214),"")</f>
        <v>-338.45097909999998</v>
      </c>
      <c r="J214">
        <f ca="1">IFERROR(IF(0=LEN(ReferenceData!$J$214),"",ReferenceData!$J$214),"")</f>
        <v>190.13052490000001</v>
      </c>
      <c r="K214">
        <f ca="1">IFERROR(IF(0=LEN(ReferenceData!$K$214),"",ReferenceData!$K$214),"")</f>
        <v>582.02249389999997</v>
      </c>
      <c r="L214">
        <f ca="1">IFERROR(IF(0=LEN(ReferenceData!$L$214),"",ReferenceData!$L$214),"")</f>
        <v>456.83211699999998</v>
      </c>
      <c r="M214">
        <f ca="1">IFERROR(IF(0=LEN(ReferenceData!$M$214),"",ReferenceData!$M$214),"")</f>
        <v>1276.3290549999999</v>
      </c>
      <c r="N214">
        <f ca="1">IFERROR(IF(0=LEN(ReferenceData!$N$214),"",ReferenceData!$N$214),"")</f>
        <v>1541.8102819999999</v>
      </c>
      <c r="O214">
        <f ca="1">IFERROR(IF(0=LEN(ReferenceData!$O$214),"",ReferenceData!$O$214),"")</f>
        <v>1102.001624</v>
      </c>
      <c r="P214">
        <f ca="1">IFERROR(IF(0=LEN(ReferenceData!$P$214),"",ReferenceData!$P$214),"")</f>
        <v>1298.666974</v>
      </c>
      <c r="Q214">
        <f ca="1">IFERROR(IF(0=LEN(ReferenceData!$Q$214),"",ReferenceData!$Q$214),"")</f>
        <v>1817.3516159999999</v>
      </c>
      <c r="R214">
        <f ca="1">IFERROR(IF(0=LEN(ReferenceData!$R$214),"",ReferenceData!$R$214),"")</f>
        <v>1410.3911029999999</v>
      </c>
      <c r="S214">
        <f ca="1">IFERROR(IF(0=LEN(ReferenceData!$S$214),"",ReferenceData!$S$214),"")</f>
        <v>1693.4036289999999</v>
      </c>
      <c r="T214">
        <f ca="1">IFERROR(IF(0=LEN(ReferenceData!$T$214),"",ReferenceData!$T$214),"")</f>
        <v>1888.134039</v>
      </c>
      <c r="U214">
        <f ca="1">IFERROR(IF(0=LEN(ReferenceData!$U$214),"",ReferenceData!$U$214),"")</f>
        <v>1228.953074</v>
      </c>
      <c r="V214">
        <f ca="1">IFERROR(IF(0=LEN(ReferenceData!$V$214),"",ReferenceData!$V$214),"")</f>
        <v>1836.909083</v>
      </c>
      <c r="W214">
        <f ca="1">IFERROR(IF(0=LEN(ReferenceData!$W$214),"",ReferenceData!$W$214),"")</f>
        <v>1466.6432400000001</v>
      </c>
      <c r="X214">
        <f ca="1">IFERROR(IF(0=LEN(ReferenceData!$X$214),"",ReferenceData!$X$214),"")</f>
        <v>957.78436929999998</v>
      </c>
      <c r="Y214">
        <f ca="1">IFERROR(IF(0=LEN(ReferenceData!$Y$214),"",ReferenceData!$Y$214),"")</f>
        <v>552.68386520000001</v>
      </c>
      <c r="Z214">
        <f ca="1">IFERROR(IF(0=LEN(ReferenceData!$Z$214),"",ReferenceData!$Z$214),"")</f>
        <v>-106.58728290000001</v>
      </c>
      <c r="AA214">
        <f ca="1">IFERROR(IF(0=LEN(ReferenceData!$AA$214),"",ReferenceData!$AA$214),"")</f>
        <v>58.686609529999998</v>
      </c>
      <c r="AB214">
        <f ca="1">IFERROR(IF(0=LEN(ReferenceData!$AB$214),"",ReferenceData!$AB$214),"")</f>
        <v>345.6774241</v>
      </c>
      <c r="AC214">
        <f ca="1">IFERROR(IF(0=LEN(ReferenceData!$AC$214),"",ReferenceData!$AC$214),"")</f>
        <v>480.0249748</v>
      </c>
      <c r="AD214">
        <f ca="1">IFERROR(IF(0=LEN(ReferenceData!$AD$214),"",ReferenceData!$AD$214),"")</f>
        <v>-1.8469138270000001</v>
      </c>
      <c r="AE214">
        <f ca="1">IFERROR(IF(0=LEN(ReferenceData!$AE$214),"",ReferenceData!$AE$214),"")</f>
        <v>-416.90403759999998</v>
      </c>
      <c r="AF214">
        <f ca="1">IFERROR(IF(0=LEN(ReferenceData!$AF$214),"",ReferenceData!$AF$214),"")</f>
        <v>-1033.1286259999999</v>
      </c>
      <c r="AG214">
        <f ca="1">IFERROR(IF(0=LEN(ReferenceData!$AG$214),"",ReferenceData!$AG$214),"")</f>
        <v>-1020.858308</v>
      </c>
      <c r="AH214">
        <f ca="1">IFERROR(IF(0=LEN(ReferenceData!$AH$214),"",ReferenceData!$AH$214),"")</f>
        <v>-944.3179222</v>
      </c>
      <c r="AI214">
        <f ca="1">IFERROR(IF(0=LEN(ReferenceData!$AI$214),"",ReferenceData!$AI$214),"")</f>
        <v>-599.00819879999995</v>
      </c>
      <c r="AJ214">
        <f ca="1">IFERROR(IF(0=LEN(ReferenceData!$AJ$214),"",ReferenceData!$AJ$214),"")</f>
        <v>-351.70011190000002</v>
      </c>
      <c r="AK214">
        <f ca="1">IFERROR(IF(0=LEN(ReferenceData!$AK$214),"",ReferenceData!$AK$214),"")</f>
        <v>-73.503828630000001</v>
      </c>
      <c r="AL214">
        <f ca="1">IFERROR(IF(0=LEN(ReferenceData!$AL$214),"",ReferenceData!$AL$214),"")</f>
        <v>346.04528579999999</v>
      </c>
      <c r="AM214">
        <f ca="1">IFERROR(IF(0=LEN(ReferenceData!$AM$214),"",ReferenceData!$AM$214),"")</f>
        <v>253.62212339999999</v>
      </c>
      <c r="AN214">
        <f ca="1">IFERROR(IF(0=LEN(ReferenceData!$AN$214),"",ReferenceData!$AN$214),"")</f>
        <v>462.19427689999998</v>
      </c>
      <c r="AO214">
        <f ca="1">IFERROR(IF(0=LEN(ReferenceData!$AO$214),"",ReferenceData!$AO$214),"")</f>
        <v>506.06490480000002</v>
      </c>
      <c r="AP214">
        <f ca="1">IFERROR(IF(0=LEN(ReferenceData!$AP$214),"",ReferenceData!$AP$214),"")</f>
        <v>267.6502271</v>
      </c>
      <c r="AQ214">
        <f ca="1">IFERROR(IF(0=LEN(ReferenceData!$AQ$214),"",ReferenceData!$AQ$214),"")</f>
        <v>309.06173749999999</v>
      </c>
      <c r="AR214">
        <f ca="1">IFERROR(IF(0=LEN(ReferenceData!$AR$214),"",ReferenceData!$AR$214),"")</f>
        <v>334.15540090000002</v>
      </c>
      <c r="AS214">
        <f ca="1">IFERROR(IF(0=LEN(ReferenceData!$AS$214),"",ReferenceData!$AS$214),"")</f>
        <v>190.69836419999999</v>
      </c>
      <c r="AT214">
        <f ca="1">IFERROR(IF(0=LEN(ReferenceData!$AT$214),"",ReferenceData!$AT$214),"")</f>
        <v>173.16126779999999</v>
      </c>
      <c r="AU214">
        <f ca="1">IFERROR(IF(0=LEN(ReferenceData!$AU$214),"",ReferenceData!$AU$214),"")</f>
        <v>46.779729959999997</v>
      </c>
      <c r="AV214">
        <f ca="1">IFERROR(IF(0=LEN(ReferenceData!$AV$214),"",ReferenceData!$AV$214),"")</f>
        <v>33.168811910000002</v>
      </c>
      <c r="AW214">
        <f ca="1">IFERROR(IF(0=LEN(ReferenceData!$AW$214),"",ReferenceData!$AW$214),"")</f>
        <v>-40.065859109999998</v>
      </c>
      <c r="AX214">
        <f ca="1">IFERROR(IF(0=LEN(ReferenceData!$AX$214),"",ReferenceData!$AX$214),"")</f>
        <v>0.119194119</v>
      </c>
      <c r="AY214">
        <f ca="1">IFERROR(IF(0=LEN(ReferenceData!$AY$214),"",ReferenceData!$AY$214),"")</f>
        <v>109.1661004</v>
      </c>
      <c r="AZ214">
        <f ca="1">IFERROR(IF(0=LEN(ReferenceData!$AZ$214),"",ReferenceData!$AZ$214),"")</f>
        <v>211.10287489999999</v>
      </c>
      <c r="BA214">
        <f ca="1">IFERROR(IF(0=LEN(ReferenceData!$BA$214),"",ReferenceData!$BA$214),"")</f>
        <v>235.1635225</v>
      </c>
      <c r="BB214">
        <f ca="1">IFERROR(IF(0=LEN(ReferenceData!$BB$214),"",ReferenceData!$BB$214),"")</f>
        <v>22.027273869999998</v>
      </c>
      <c r="BC214">
        <f ca="1">IFERROR(IF(0=LEN(ReferenceData!$BC$214),"",ReferenceData!$BC$214),"")</f>
        <v>-98.806903410000004</v>
      </c>
      <c r="BD214">
        <f ca="1">IFERROR(IF(0=LEN(ReferenceData!$BD$214),"",ReferenceData!$BD$214),"")</f>
        <v>-132.89070380000001</v>
      </c>
      <c r="BE214">
        <f ca="1">IFERROR(IF(0=LEN(ReferenceData!$BE$214),"",ReferenceData!$BE$214),"")</f>
        <v>-204.09460780000001</v>
      </c>
      <c r="BF214">
        <f ca="1">IFERROR(IF(0=LEN(ReferenceData!$BF$214),"",ReferenceData!$BF$214),"")</f>
        <v>-227.87777259999999</v>
      </c>
      <c r="BG214">
        <f ca="1">IFERROR(IF(0=LEN(ReferenceData!$BG$214),"",ReferenceData!$BG$214),"")</f>
        <v>-56.94176993</v>
      </c>
      <c r="BH214">
        <f ca="1">IFERROR(IF(0=LEN(ReferenceData!$BH$214),"",ReferenceData!$BH$214),"")</f>
        <v>-73.322622179999996</v>
      </c>
      <c r="BI214" t="str">
        <f ca="1">IFERROR(IF(0=LEN(ReferenceData!$BI$214),"",ReferenceData!$BI$214),"")</f>
        <v/>
      </c>
      <c r="BJ214" t="str">
        <f ca="1">IFERROR(IF(0=LEN(ReferenceData!$BJ$214),"",ReferenceData!$BJ$214),"")</f>
        <v/>
      </c>
      <c r="BK214" t="str">
        <f ca="1">IFERROR(IF(0=LEN(ReferenceData!$BK$214),"",ReferenceData!$BK$214),"")</f>
        <v/>
      </c>
      <c r="BL214" t="str">
        <f ca="1">IFERROR(IF(0=LEN(ReferenceData!$BL$214),"",ReferenceData!$BL$214),"")</f>
        <v/>
      </c>
      <c r="BM214" t="str">
        <f ca="1">IFERROR(IF(0=LEN(ReferenceData!$BM$214),"",ReferenceData!$BM$214),"")</f>
        <v/>
      </c>
    </row>
    <row r="215" spans="1:65" x14ac:dyDescent="0.25">
      <c r="A215" t="str">
        <f>IFERROR(IF(0=LEN(ReferenceData!$A$215),"",ReferenceData!$A$215),"")</f>
        <v xml:space="preserve">    Daihatsu Motor Co Ltd</v>
      </c>
      <c r="B215" t="str">
        <f>IFERROR(IF(0=LEN(ReferenceData!$B$215),"",ReferenceData!$B$215),"")</f>
        <v>7262 JP Equity</v>
      </c>
      <c r="C215" t="str">
        <f>IFERROR(IF(0=LEN(ReferenceData!$C$215),"",ReferenceData!$C$215),"")</f>
        <v>RR843</v>
      </c>
      <c r="D215" t="str">
        <f>IFERROR(IF(0=LEN(ReferenceData!$D$215),"",ReferenceData!$D$215),"")</f>
        <v>TRAIL_12M_FREE_CASH_FLOW</v>
      </c>
      <c r="E215" t="str">
        <f>IFERROR(IF(0=LEN(ReferenceData!$E$215),"",ReferenceData!$E$215),"")</f>
        <v>Dynamic</v>
      </c>
      <c r="F215" t="str">
        <f ca="1">IFERROR(IF(0=LEN(ReferenceData!$F$215),"",ReferenceData!$F$215),"")</f>
        <v/>
      </c>
      <c r="G215" t="str">
        <f ca="1">IFERROR(IF(0=LEN(ReferenceData!$G$215),"",ReferenceData!$G$215),"")</f>
        <v/>
      </c>
      <c r="H215" t="str">
        <f ca="1">IFERROR(IF(0=LEN(ReferenceData!$H$215),"",ReferenceData!$H$215),"")</f>
        <v/>
      </c>
      <c r="I215" t="str">
        <f ca="1">IFERROR(IF(0=LEN(ReferenceData!$I$215),"",ReferenceData!$I$215),"")</f>
        <v/>
      </c>
      <c r="J215" t="str">
        <f ca="1">IFERROR(IF(0=LEN(ReferenceData!$J$215),"",ReferenceData!$J$215),"")</f>
        <v/>
      </c>
      <c r="K215" t="str">
        <f ca="1">IFERROR(IF(0=LEN(ReferenceData!$K$215),"",ReferenceData!$K$215),"")</f>
        <v/>
      </c>
      <c r="L215" t="str">
        <f ca="1">IFERROR(IF(0=LEN(ReferenceData!$L$215),"",ReferenceData!$L$215),"")</f>
        <v/>
      </c>
      <c r="M215" t="str">
        <f ca="1">IFERROR(IF(0=LEN(ReferenceData!$M$215),"",ReferenceData!$M$215),"")</f>
        <v/>
      </c>
      <c r="N215" t="str">
        <f ca="1">IFERROR(IF(0=LEN(ReferenceData!$N$215),"",ReferenceData!$N$215),"")</f>
        <v/>
      </c>
      <c r="O215" t="str">
        <f ca="1">IFERROR(IF(0=LEN(ReferenceData!$O$215),"",ReferenceData!$O$215),"")</f>
        <v/>
      </c>
      <c r="P215" t="str">
        <f ca="1">IFERROR(IF(0=LEN(ReferenceData!$P$215),"",ReferenceData!$P$215),"")</f>
        <v/>
      </c>
      <c r="Q215" t="str">
        <f ca="1">IFERROR(IF(0=LEN(ReferenceData!$Q$215),"",ReferenceData!$Q$215),"")</f>
        <v/>
      </c>
      <c r="R215" t="str">
        <f ca="1">IFERROR(IF(0=LEN(ReferenceData!$R$215),"",ReferenceData!$R$215),"")</f>
        <v/>
      </c>
      <c r="S215" t="str">
        <f ca="1">IFERROR(IF(0=LEN(ReferenceData!$S$215),"",ReferenceData!$S$215),"")</f>
        <v/>
      </c>
      <c r="T215" t="str">
        <f ca="1">IFERROR(IF(0=LEN(ReferenceData!$T$215),"",ReferenceData!$T$215),"")</f>
        <v/>
      </c>
      <c r="U215" t="str">
        <f ca="1">IFERROR(IF(0=LEN(ReferenceData!$U$215),"",ReferenceData!$U$215),"")</f>
        <v/>
      </c>
      <c r="V215" t="str">
        <f ca="1">IFERROR(IF(0=LEN(ReferenceData!$V$215),"",ReferenceData!$V$215),"")</f>
        <v/>
      </c>
      <c r="W215" t="str">
        <f ca="1">IFERROR(IF(0=LEN(ReferenceData!$W$215),"",ReferenceData!$W$215),"")</f>
        <v/>
      </c>
      <c r="X215" t="str">
        <f ca="1">IFERROR(IF(0=LEN(ReferenceData!$X$215),"",ReferenceData!$X$215),"")</f>
        <v/>
      </c>
      <c r="Y215" t="str">
        <f ca="1">IFERROR(IF(0=LEN(ReferenceData!$Y$215),"",ReferenceData!$Y$215),"")</f>
        <v/>
      </c>
      <c r="Z215" t="str">
        <f ca="1">IFERROR(IF(0=LEN(ReferenceData!$Z$215),"",ReferenceData!$Z$215),"")</f>
        <v/>
      </c>
      <c r="AA215" t="str">
        <f ca="1">IFERROR(IF(0=LEN(ReferenceData!$AA$215),"",ReferenceData!$AA$215),"")</f>
        <v/>
      </c>
      <c r="AB215" t="str">
        <f ca="1">IFERROR(IF(0=LEN(ReferenceData!$AB$215),"",ReferenceData!$AB$215),"")</f>
        <v/>
      </c>
      <c r="AC215" t="str">
        <f ca="1">IFERROR(IF(0=LEN(ReferenceData!$AC$215),"",ReferenceData!$AC$215),"")</f>
        <v/>
      </c>
      <c r="AD215" t="str">
        <f ca="1">IFERROR(IF(0=LEN(ReferenceData!$AD$215),"",ReferenceData!$AD$215),"")</f>
        <v/>
      </c>
      <c r="AE215" t="str">
        <f ca="1">IFERROR(IF(0=LEN(ReferenceData!$AE$215),"",ReferenceData!$AE$215),"")</f>
        <v/>
      </c>
      <c r="AF215" t="str">
        <f ca="1">IFERROR(IF(0=LEN(ReferenceData!$AF$215),"",ReferenceData!$AF$215),"")</f>
        <v/>
      </c>
      <c r="AG215" t="str">
        <f ca="1">IFERROR(IF(0=LEN(ReferenceData!$AG$215),"",ReferenceData!$AG$215),"")</f>
        <v/>
      </c>
      <c r="AH215" t="str">
        <f ca="1">IFERROR(IF(0=LEN(ReferenceData!$AH$215),"",ReferenceData!$AH$215),"")</f>
        <v/>
      </c>
      <c r="AI215" t="str">
        <f ca="1">IFERROR(IF(0=LEN(ReferenceData!$AI$215),"",ReferenceData!$AI$215),"")</f>
        <v/>
      </c>
      <c r="AJ215" t="str">
        <f ca="1">IFERROR(IF(0=LEN(ReferenceData!$AJ$215),"",ReferenceData!$AJ$215),"")</f>
        <v/>
      </c>
      <c r="AK215" t="str">
        <f ca="1">IFERROR(IF(0=LEN(ReferenceData!$AK$215),"",ReferenceData!$AK$215),"")</f>
        <v/>
      </c>
      <c r="AL215">
        <f ca="1">IFERROR(IF(0=LEN(ReferenceData!$AL$215),"",ReferenceData!$AL$215),"")</f>
        <v>1224.8407159999999</v>
      </c>
      <c r="AM215">
        <f ca="1">IFERROR(IF(0=LEN(ReferenceData!$AM$215),"",ReferenceData!$AM$215),"")</f>
        <v>1479.6832770000001</v>
      </c>
      <c r="AN215">
        <f ca="1">IFERROR(IF(0=LEN(ReferenceData!$AN$215),"",ReferenceData!$AN$215),"")</f>
        <v>1772.5683180000001</v>
      </c>
      <c r="AO215">
        <f ca="1">IFERROR(IF(0=LEN(ReferenceData!$AO$215),"",ReferenceData!$AO$215),"")</f>
        <v>1499.3921869999999</v>
      </c>
      <c r="AP215">
        <f ca="1">IFERROR(IF(0=LEN(ReferenceData!$AP$215),"",ReferenceData!$AP$215),"")</f>
        <v>916.12816420000001</v>
      </c>
      <c r="AQ215">
        <f ca="1">IFERROR(IF(0=LEN(ReferenceData!$AQ$215),"",ReferenceData!$AQ$215),"")</f>
        <v>273.82468990000001</v>
      </c>
      <c r="AR215">
        <f ca="1">IFERROR(IF(0=LEN(ReferenceData!$AR$215),"",ReferenceData!$AR$215),"")</f>
        <v>-227.76714430000001</v>
      </c>
      <c r="AS215">
        <f ca="1">IFERROR(IF(0=LEN(ReferenceData!$AS$215),"",ReferenceData!$AS$215),"")</f>
        <v>-261.05619389999998</v>
      </c>
      <c r="AT215">
        <f ca="1">IFERROR(IF(0=LEN(ReferenceData!$AT$215),"",ReferenceData!$AT$215),"")</f>
        <v>-110.93902009999999</v>
      </c>
      <c r="AU215">
        <f ca="1">IFERROR(IF(0=LEN(ReferenceData!$AU$215),"",ReferenceData!$AU$215),"")</f>
        <v>75.323717779999996</v>
      </c>
      <c r="AV215">
        <f ca="1">IFERROR(IF(0=LEN(ReferenceData!$AV$215),"",ReferenceData!$AV$215),"")</f>
        <v>-128.1696819</v>
      </c>
      <c r="AW215">
        <f ca="1">IFERROR(IF(0=LEN(ReferenceData!$AW$215),"",ReferenceData!$AW$215),"")</f>
        <v>-124.772728</v>
      </c>
      <c r="AX215">
        <f ca="1">IFERROR(IF(0=LEN(ReferenceData!$AX$215),"",ReferenceData!$AX$215),"")</f>
        <v>-190.2646771</v>
      </c>
      <c r="AY215">
        <f ca="1">IFERROR(IF(0=LEN(ReferenceData!$AY$215),"",ReferenceData!$AY$215),"")</f>
        <v>-75.306367969999997</v>
      </c>
      <c r="AZ215">
        <f ca="1">IFERROR(IF(0=LEN(ReferenceData!$AZ$215),"",ReferenceData!$AZ$215),"")</f>
        <v>-57.464694940000001</v>
      </c>
      <c r="BA215">
        <f ca="1">IFERROR(IF(0=LEN(ReferenceData!$BA$215),"",ReferenceData!$BA$215),"")</f>
        <v>89.144164480000001</v>
      </c>
      <c r="BB215">
        <f ca="1">IFERROR(IF(0=LEN(ReferenceData!$BB$215),"",ReferenceData!$BB$215),"")</f>
        <v>63.862688679999998</v>
      </c>
      <c r="BC215">
        <f ca="1">IFERROR(IF(0=LEN(ReferenceData!$BC$215),"",ReferenceData!$BC$215),"")</f>
        <v>-38.103057100000001</v>
      </c>
      <c r="BD215">
        <f ca="1">IFERROR(IF(0=LEN(ReferenceData!$BD$215),"",ReferenceData!$BD$215),"")</f>
        <v>-27.780086619999999</v>
      </c>
      <c r="BE215">
        <f ca="1">IFERROR(IF(0=LEN(ReferenceData!$BE$215),"",ReferenceData!$BE$215),"")</f>
        <v>-228.2096469</v>
      </c>
      <c r="BF215">
        <f ca="1">IFERROR(IF(0=LEN(ReferenceData!$BF$215),"",ReferenceData!$BF$215),"")</f>
        <v>-147.63428519999999</v>
      </c>
      <c r="BG215">
        <f ca="1">IFERROR(IF(0=LEN(ReferenceData!$BG$215),"",ReferenceData!$BG$215),"")</f>
        <v>-98.507153860000003</v>
      </c>
      <c r="BH215">
        <f ca="1">IFERROR(IF(0=LEN(ReferenceData!$BH$215),"",ReferenceData!$BH$215),"")</f>
        <v>96.599033160000005</v>
      </c>
      <c r="BI215">
        <f ca="1">IFERROR(IF(0=LEN(ReferenceData!$BI$215),"",ReferenceData!$BI$215),"")</f>
        <v>259.61744670000002</v>
      </c>
      <c r="BJ215">
        <f ca="1">IFERROR(IF(0=LEN(ReferenceData!$BJ$215),"",ReferenceData!$BJ$215),"")</f>
        <v>162.8573265</v>
      </c>
      <c r="BK215" t="str">
        <f ca="1">IFERROR(IF(0=LEN(ReferenceData!$BK$215),"",ReferenceData!$BK$215),"")</f>
        <v/>
      </c>
      <c r="BL215" t="str">
        <f ca="1">IFERROR(IF(0=LEN(ReferenceData!$BL$215),"",ReferenceData!$BL$215),"")</f>
        <v/>
      </c>
      <c r="BM215" t="str">
        <f ca="1">IFERROR(IF(0=LEN(ReferenceData!$BM$215),"",ReferenceData!$BM$215),"")</f>
        <v/>
      </c>
    </row>
    <row r="216" spans="1:65" x14ac:dyDescent="0.25">
      <c r="A216" t="str">
        <f>IFERROR(IF(0=LEN(ReferenceData!$A$216),"",ReferenceData!$A$216),"")</f>
        <v xml:space="preserve">    Daimler AG</v>
      </c>
      <c r="B216" t="str">
        <f>IFERROR(IF(0=LEN(ReferenceData!$B$216),"",ReferenceData!$B$216),"")</f>
        <v>DAI GR Equity</v>
      </c>
      <c r="C216" t="str">
        <f>IFERROR(IF(0=LEN(ReferenceData!$C$216),"",ReferenceData!$C$216),"")</f>
        <v>RR843</v>
      </c>
      <c r="D216" t="str">
        <f>IFERROR(IF(0=LEN(ReferenceData!$D$216),"",ReferenceData!$D$216),"")</f>
        <v>TRAIL_12M_FREE_CASH_FLOW</v>
      </c>
      <c r="E216" t="str">
        <f>IFERROR(IF(0=LEN(ReferenceData!$E$216),"",ReferenceData!$E$216),"")</f>
        <v>Dynamic</v>
      </c>
      <c r="F216" t="str">
        <f ca="1">IFERROR(IF(0=LEN(ReferenceData!$F$216),"",ReferenceData!$F$216),"")</f>
        <v/>
      </c>
      <c r="G216">
        <f ca="1">IFERROR(IF(0=LEN(ReferenceData!$G$216),"",ReferenceData!$G$216),"")</f>
        <v>-8493.4648610000004</v>
      </c>
      <c r="H216">
        <f ca="1">IFERROR(IF(0=LEN(ReferenceData!$H$216),"",ReferenceData!$H$216),"")</f>
        <v>-16462.605930000002</v>
      </c>
      <c r="I216">
        <f ca="1">IFERROR(IF(0=LEN(ReferenceData!$I$216),"",ReferenceData!$I$216),"")</f>
        <v>-12104.01476</v>
      </c>
      <c r="J216">
        <f ca="1">IFERROR(IF(0=LEN(ReferenceData!$J$216),"",ReferenceData!$J$216),"")</f>
        <v>-11315.66165</v>
      </c>
      <c r="K216">
        <f ca="1">IFERROR(IF(0=LEN(ReferenceData!$K$216),"",ReferenceData!$K$216),"")</f>
        <v>-9485.1399380000003</v>
      </c>
      <c r="L216">
        <f ca="1">IFERROR(IF(0=LEN(ReferenceData!$L$216),"",ReferenceData!$L$216),"")</f>
        <v>-2296.8384599999999</v>
      </c>
      <c r="M216">
        <f ca="1">IFERROR(IF(0=LEN(ReferenceData!$M$216),"",ReferenceData!$M$216),"")</f>
        <v>-2760.3796579999998</v>
      </c>
      <c r="N216">
        <f ca="1">IFERROR(IF(0=LEN(ReferenceData!$N$216),"",ReferenceData!$N$216),"")</f>
        <v>-1686.5507769999999</v>
      </c>
      <c r="O216">
        <f ca="1">IFERROR(IF(0=LEN(ReferenceData!$O$216),"",ReferenceData!$O$216),"")</f>
        <v>-2410.672861</v>
      </c>
      <c r="P216">
        <f ca="1">IFERROR(IF(0=LEN(ReferenceData!$P$216),"",ReferenceData!$P$216),"")</f>
        <v>-3967.5514400000002</v>
      </c>
      <c r="Q216">
        <f ca="1">IFERROR(IF(0=LEN(ReferenceData!$Q$216),"",ReferenceData!$Q$216),"")</f>
        <v>-4013.700722</v>
      </c>
      <c r="R216">
        <f ca="1">IFERROR(IF(0=LEN(ReferenceData!$R$216),"",ReferenceData!$R$216),"")</f>
        <v>-6187.6644960000003</v>
      </c>
      <c r="S216">
        <f ca="1">IFERROR(IF(0=LEN(ReferenceData!$S$216),"",ReferenceData!$S$216),"")</f>
        <v>-5386.8330679999999</v>
      </c>
      <c r="T216">
        <f ca="1">IFERROR(IF(0=LEN(ReferenceData!$T$216),"",ReferenceData!$T$216),"")</f>
        <v>-9037.8769570000004</v>
      </c>
      <c r="U216">
        <f ca="1">IFERROR(IF(0=LEN(ReferenceData!$U$216),"",ReferenceData!$U$216),"")</f>
        <v>-8107.9293909999997</v>
      </c>
      <c r="V216">
        <f ca="1">IFERROR(IF(0=LEN(ReferenceData!$V$216),"",ReferenceData!$V$216),"")</f>
        <v>-7509.2864179999997</v>
      </c>
      <c r="W216">
        <f ca="1">IFERROR(IF(0=LEN(ReferenceData!$W$216),"",ReferenceData!$W$216),"")</f>
        <v>-8127.6761530000003</v>
      </c>
      <c r="X216">
        <f ca="1">IFERROR(IF(0=LEN(ReferenceData!$X$216),"",ReferenceData!$X$216),"")</f>
        <v>-2192.9287169999998</v>
      </c>
      <c r="Y216">
        <f ca="1">IFERROR(IF(0=LEN(ReferenceData!$Y$216),"",ReferenceData!$Y$216),"")</f>
        <v>-2187.245257</v>
      </c>
      <c r="Z216">
        <f ca="1">IFERROR(IF(0=LEN(ReferenceData!$Z$216),"",ReferenceData!$Z$216),"")</f>
        <v>-557.69358469999997</v>
      </c>
      <c r="AA216">
        <f ca="1">IFERROR(IF(0=LEN(ReferenceData!$AA$216),"",ReferenceData!$AA$216),"")</f>
        <v>-2244.8463280000001</v>
      </c>
      <c r="AB216">
        <f ca="1">IFERROR(IF(0=LEN(ReferenceData!$AB$216),"",ReferenceData!$AB$216),"")</f>
        <v>-2886.6735250000002</v>
      </c>
      <c r="AC216">
        <f ca="1">IFERROR(IF(0=LEN(ReferenceData!$AC$216),"",ReferenceData!$AC$216),"")</f>
        <v>-5354.4572280000002</v>
      </c>
      <c r="AD216">
        <f ca="1">IFERROR(IF(0=LEN(ReferenceData!$AD$216),"",ReferenceData!$AD$216),"")</f>
        <v>-6485.8850279999997</v>
      </c>
      <c r="AE216">
        <f ca="1">IFERROR(IF(0=LEN(ReferenceData!$AE$216),"",ReferenceData!$AE$216),"")</f>
        <v>-7621.357962</v>
      </c>
      <c r="AF216">
        <f ca="1">IFERROR(IF(0=LEN(ReferenceData!$AF$216),"",ReferenceData!$AF$216),"")</f>
        <v>-8156.0597699999998</v>
      </c>
      <c r="AG216">
        <f ca="1">IFERROR(IF(0=LEN(ReferenceData!$AG$216),"",ReferenceData!$AG$216),"")</f>
        <v>-7698.1065980000003</v>
      </c>
      <c r="AH216">
        <f ca="1">IFERROR(IF(0=LEN(ReferenceData!$AH$216),"",ReferenceData!$AH$216),"")</f>
        <v>-7016.6716239999996</v>
      </c>
      <c r="AI216">
        <f ca="1">IFERROR(IF(0=LEN(ReferenceData!$AI$216),"",ReferenceData!$AI$216),"")</f>
        <v>-6758.7199609999998</v>
      </c>
      <c r="AJ216">
        <f ca="1">IFERROR(IF(0=LEN(ReferenceData!$AJ$216),"",ReferenceData!$AJ$216),"")</f>
        <v>-4842.6383800000003</v>
      </c>
      <c r="AK216">
        <f ca="1">IFERROR(IF(0=LEN(ReferenceData!$AK$216),"",ReferenceData!$AK$216),"")</f>
        <v>347.92492129999999</v>
      </c>
      <c r="AL216">
        <f ca="1">IFERROR(IF(0=LEN(ReferenceData!$AL$216),"",ReferenceData!$AL$216),"")</f>
        <v>3168.5668310000001</v>
      </c>
      <c r="AM216">
        <f ca="1">IFERROR(IF(0=LEN(ReferenceData!$AM$216),"",ReferenceData!$AM$216),"")</f>
        <v>6488.4550380000001</v>
      </c>
      <c r="AN216">
        <f ca="1">IFERROR(IF(0=LEN(ReferenceData!$AN$216),"",ReferenceData!$AN$216),"")</f>
        <v>9043.0622700000004</v>
      </c>
      <c r="AO216">
        <f ca="1">IFERROR(IF(0=LEN(ReferenceData!$AO$216),"",ReferenceData!$AO$216),"")</f>
        <v>9144.671343</v>
      </c>
      <c r="AP216">
        <f ca="1">IFERROR(IF(0=LEN(ReferenceData!$AP$216),"",ReferenceData!$AP$216),"")</f>
        <v>11195.619140000001</v>
      </c>
      <c r="AQ216">
        <f ca="1">IFERROR(IF(0=LEN(ReferenceData!$AQ$216),"",ReferenceData!$AQ$216),"")</f>
        <v>11905.700419999999</v>
      </c>
      <c r="AR216">
        <f ca="1">IFERROR(IF(0=LEN(ReferenceData!$AR$216),"",ReferenceData!$AR$216),"")</f>
        <v>7332.1198850000001</v>
      </c>
      <c r="AS216">
        <f ca="1">IFERROR(IF(0=LEN(ReferenceData!$AS$216),"",ReferenceData!$AS$216),"")</f>
        <v>3936.3171980000002</v>
      </c>
      <c r="AT216">
        <f ca="1">IFERROR(IF(0=LEN(ReferenceData!$AT$216),"",ReferenceData!$AT$216),"")</f>
        <v>492.42679570000001</v>
      </c>
      <c r="AU216">
        <f ca="1">IFERROR(IF(0=LEN(ReferenceData!$AU$216),"",ReferenceData!$AU$216),"")</f>
        <v>-520.6948506</v>
      </c>
      <c r="AV216">
        <f ca="1">IFERROR(IF(0=LEN(ReferenceData!$AV$216),"",ReferenceData!$AV$216),"")</f>
        <v>3012.244334</v>
      </c>
      <c r="AW216">
        <f ca="1">IFERROR(IF(0=LEN(ReferenceData!$AW$216),"",ReferenceData!$AW$216),"")</f>
        <v>3487.8629110000002</v>
      </c>
      <c r="AX216">
        <f ca="1">IFERROR(IF(0=LEN(ReferenceData!$AX$216),"",ReferenceData!$AX$216),"")</f>
        <v>45.366035859999997</v>
      </c>
      <c r="AY216">
        <f ca="1">IFERROR(IF(0=LEN(ReferenceData!$AY$216),"",ReferenceData!$AY$216),"")</f>
        <v>1899.926596</v>
      </c>
      <c r="AZ216">
        <f ca="1">IFERROR(IF(0=LEN(ReferenceData!$AZ$216),"",ReferenceData!$AZ$216),"")</f>
        <v>-246.2143049</v>
      </c>
      <c r="BA216">
        <f ca="1">IFERROR(IF(0=LEN(ReferenceData!$BA$216),"",ReferenceData!$BA$216),"")</f>
        <v>-3290.727801</v>
      </c>
      <c r="BB216">
        <f ca="1">IFERROR(IF(0=LEN(ReferenceData!$BB$216),"",ReferenceData!$BB$216),"")</f>
        <v>-4604.5151070000002</v>
      </c>
      <c r="BC216">
        <f ca="1">IFERROR(IF(0=LEN(ReferenceData!$BC$216),"",ReferenceData!$BC$216),"")</f>
        <v>-9231.9418499999992</v>
      </c>
      <c r="BD216">
        <f ca="1">IFERROR(IF(0=LEN(ReferenceData!$BD$216),"",ReferenceData!$BD$216),"")</f>
        <v>-14214.403389999999</v>
      </c>
      <c r="BE216">
        <f ca="1">IFERROR(IF(0=LEN(ReferenceData!$BE$216),"",ReferenceData!$BE$216),"")</f>
        <v>-14525.330809999999</v>
      </c>
      <c r="BF216">
        <f ca="1">IFERROR(IF(0=LEN(ReferenceData!$BF$216),"",ReferenceData!$BF$216),"")</f>
        <v>-16289.10534</v>
      </c>
      <c r="BG216">
        <f ca="1">IFERROR(IF(0=LEN(ReferenceData!$BG$216),"",ReferenceData!$BG$216),"")</f>
        <v>-18370.86997</v>
      </c>
      <c r="BH216">
        <f ca="1">IFERROR(IF(0=LEN(ReferenceData!$BH$216),"",ReferenceData!$BH$216),"")</f>
        <v>-18863.329269999998</v>
      </c>
      <c r="BI216">
        <f ca="1">IFERROR(IF(0=LEN(ReferenceData!$BI$216),"",ReferenceData!$BI$216),"")</f>
        <v>-26134.105319999999</v>
      </c>
      <c r="BJ216">
        <f ca="1">IFERROR(IF(0=LEN(ReferenceData!$BJ$216),"",ReferenceData!$BJ$216),"")</f>
        <v>-24443.843830000002</v>
      </c>
      <c r="BK216">
        <f ca="1">IFERROR(IF(0=LEN(ReferenceData!$BK$216),"",ReferenceData!$BK$216),"")</f>
        <v>-22497.931519999998</v>
      </c>
      <c r="BL216">
        <f ca="1">IFERROR(IF(0=LEN(ReferenceData!$BL$216),"",ReferenceData!$BL$216),"")</f>
        <v>-18896.918129999998</v>
      </c>
      <c r="BM216">
        <f ca="1">IFERROR(IF(0=LEN(ReferenceData!$BM$216),"",ReferenceData!$BM$216),"")</f>
        <v>-12251.17798</v>
      </c>
    </row>
    <row r="217" spans="1:65" x14ac:dyDescent="0.25">
      <c r="A217" t="str">
        <f>IFERROR(IF(0=LEN(ReferenceData!$A$217),"",ReferenceData!$A$217),"")</f>
        <v xml:space="preserve">    Dongfeng Motor Group Co Ltd</v>
      </c>
      <c r="B217" t="str">
        <f>IFERROR(IF(0=LEN(ReferenceData!$B$217),"",ReferenceData!$B$217),"")</f>
        <v>489 HK Equity</v>
      </c>
      <c r="C217" t="str">
        <f>IFERROR(IF(0=LEN(ReferenceData!$C$217),"",ReferenceData!$C$217),"")</f>
        <v>RR843</v>
      </c>
      <c r="D217" t="str">
        <f>IFERROR(IF(0=LEN(ReferenceData!$D$217),"",ReferenceData!$D$217),"")</f>
        <v>TRAIL_12M_FREE_CASH_FLOW</v>
      </c>
      <c r="E217" t="str">
        <f>IFERROR(IF(0=LEN(ReferenceData!$E$217),"",ReferenceData!$E$217),"")</f>
        <v>Dynamic</v>
      </c>
      <c r="F217" t="str">
        <f ca="1">IFERROR(IF(0=LEN(ReferenceData!$F$217),"",ReferenceData!$F$217),"")</f>
        <v/>
      </c>
      <c r="G217" t="str">
        <f ca="1">IFERROR(IF(0=LEN(ReferenceData!$G$217),"",ReferenceData!$G$217),"")</f>
        <v/>
      </c>
      <c r="H217" t="str">
        <f ca="1">IFERROR(IF(0=LEN(ReferenceData!$H$217),"",ReferenceData!$H$217),"")</f>
        <v/>
      </c>
      <c r="I217" t="str">
        <f ca="1">IFERROR(IF(0=LEN(ReferenceData!$I$217),"",ReferenceData!$I$217),"")</f>
        <v/>
      </c>
      <c r="J217" t="str">
        <f ca="1">IFERROR(IF(0=LEN(ReferenceData!$J$217),"",ReferenceData!$J$217),"")</f>
        <v/>
      </c>
      <c r="K217" t="str">
        <f ca="1">IFERROR(IF(0=LEN(ReferenceData!$K$217),"",ReferenceData!$K$217),"")</f>
        <v/>
      </c>
      <c r="L217" t="str">
        <f ca="1">IFERROR(IF(0=LEN(ReferenceData!$L$217),"",ReferenceData!$L$217),"")</f>
        <v/>
      </c>
      <c r="M217" t="str">
        <f ca="1">IFERROR(IF(0=LEN(ReferenceData!$M$217),"",ReferenceData!$M$217),"")</f>
        <v/>
      </c>
      <c r="N217" t="str">
        <f ca="1">IFERROR(IF(0=LEN(ReferenceData!$N$217),"",ReferenceData!$N$217),"")</f>
        <v/>
      </c>
      <c r="O217" t="str">
        <f ca="1">IFERROR(IF(0=LEN(ReferenceData!$O$217),"",ReferenceData!$O$217),"")</f>
        <v/>
      </c>
      <c r="P217" t="str">
        <f ca="1">IFERROR(IF(0=LEN(ReferenceData!$P$217),"",ReferenceData!$P$217),"")</f>
        <v/>
      </c>
      <c r="Q217" t="str">
        <f ca="1">IFERROR(IF(0=LEN(ReferenceData!$Q$217),"",ReferenceData!$Q$217),"")</f>
        <v/>
      </c>
      <c r="R217" t="str">
        <f ca="1">IFERROR(IF(0=LEN(ReferenceData!$R$217),"",ReferenceData!$R$217),"")</f>
        <v/>
      </c>
      <c r="S217" t="str">
        <f ca="1">IFERROR(IF(0=LEN(ReferenceData!$S$217),"",ReferenceData!$S$217),"")</f>
        <v/>
      </c>
      <c r="T217" t="str">
        <f ca="1">IFERROR(IF(0=LEN(ReferenceData!$T$217),"",ReferenceData!$T$217),"")</f>
        <v/>
      </c>
      <c r="U217" t="str">
        <f ca="1">IFERROR(IF(0=LEN(ReferenceData!$U$217),"",ReferenceData!$U$217),"")</f>
        <v/>
      </c>
      <c r="V217" t="str">
        <f ca="1">IFERROR(IF(0=LEN(ReferenceData!$V$217),"",ReferenceData!$V$217),"")</f>
        <v/>
      </c>
      <c r="W217" t="str">
        <f ca="1">IFERROR(IF(0=LEN(ReferenceData!$W$217),"",ReferenceData!$W$217),"")</f>
        <v/>
      </c>
      <c r="X217" t="str">
        <f ca="1">IFERROR(IF(0=LEN(ReferenceData!$X$217),"",ReferenceData!$X$217),"")</f>
        <v/>
      </c>
      <c r="Y217" t="str">
        <f ca="1">IFERROR(IF(0=LEN(ReferenceData!$Y$217),"",ReferenceData!$Y$217),"")</f>
        <v/>
      </c>
      <c r="Z217" t="str">
        <f ca="1">IFERROR(IF(0=LEN(ReferenceData!$Z$217),"",ReferenceData!$Z$217),"")</f>
        <v/>
      </c>
      <c r="AA217" t="str">
        <f ca="1">IFERROR(IF(0=LEN(ReferenceData!$AA$217),"",ReferenceData!$AA$217),"")</f>
        <v/>
      </c>
      <c r="AB217" t="str">
        <f ca="1">IFERROR(IF(0=LEN(ReferenceData!$AB$217),"",ReferenceData!$AB$217),"")</f>
        <v/>
      </c>
      <c r="AC217" t="str">
        <f ca="1">IFERROR(IF(0=LEN(ReferenceData!$AC$217),"",ReferenceData!$AC$217),"")</f>
        <v/>
      </c>
      <c r="AD217" t="str">
        <f ca="1">IFERROR(IF(0=LEN(ReferenceData!$AD$217),"",ReferenceData!$AD$217),"")</f>
        <v/>
      </c>
      <c r="AE217" t="str">
        <f ca="1">IFERROR(IF(0=LEN(ReferenceData!$AE$217),"",ReferenceData!$AE$217),"")</f>
        <v/>
      </c>
      <c r="AF217" t="str">
        <f ca="1">IFERROR(IF(0=LEN(ReferenceData!$AF$217),"",ReferenceData!$AF$217),"")</f>
        <v/>
      </c>
      <c r="AG217" t="str">
        <f ca="1">IFERROR(IF(0=LEN(ReferenceData!$AG$217),"",ReferenceData!$AG$217),"")</f>
        <v/>
      </c>
      <c r="AH217" t="str">
        <f ca="1">IFERROR(IF(0=LEN(ReferenceData!$AH$217),"",ReferenceData!$AH$217),"")</f>
        <v/>
      </c>
      <c r="AI217" t="str">
        <f ca="1">IFERROR(IF(0=LEN(ReferenceData!$AI$217),"",ReferenceData!$AI$217),"")</f>
        <v/>
      </c>
      <c r="AJ217" t="str">
        <f ca="1">IFERROR(IF(0=LEN(ReferenceData!$AJ$217),"",ReferenceData!$AJ$217),"")</f>
        <v/>
      </c>
      <c r="AK217" t="str">
        <f ca="1">IFERROR(IF(0=LEN(ReferenceData!$AK$217),"",ReferenceData!$AK$217),"")</f>
        <v/>
      </c>
      <c r="AL217" t="str">
        <f ca="1">IFERROR(IF(0=LEN(ReferenceData!$AL$217),"",ReferenceData!$AL$217),"")</f>
        <v/>
      </c>
      <c r="AM217" t="str">
        <f ca="1">IFERROR(IF(0=LEN(ReferenceData!$AM$217),"",ReferenceData!$AM$217),"")</f>
        <v/>
      </c>
      <c r="AN217" t="str">
        <f ca="1">IFERROR(IF(0=LEN(ReferenceData!$AN$217),"",ReferenceData!$AN$217),"")</f>
        <v/>
      </c>
      <c r="AO217" t="str">
        <f ca="1">IFERROR(IF(0=LEN(ReferenceData!$AO$217),"",ReferenceData!$AO$217),"")</f>
        <v/>
      </c>
      <c r="AP217" t="str">
        <f ca="1">IFERROR(IF(0=LEN(ReferenceData!$AP$217),"",ReferenceData!$AP$217),"")</f>
        <v/>
      </c>
      <c r="AQ217" t="str">
        <f ca="1">IFERROR(IF(0=LEN(ReferenceData!$AQ$217),"",ReferenceData!$AQ$217),"")</f>
        <v/>
      </c>
      <c r="AR217" t="str">
        <f ca="1">IFERROR(IF(0=LEN(ReferenceData!$AR$217),"",ReferenceData!$AR$217),"")</f>
        <v/>
      </c>
      <c r="AS217" t="str">
        <f ca="1">IFERROR(IF(0=LEN(ReferenceData!$AS$217),"",ReferenceData!$AS$217),"")</f>
        <v/>
      </c>
      <c r="AT217" t="str">
        <f ca="1">IFERROR(IF(0=LEN(ReferenceData!$AT$217),"",ReferenceData!$AT$217),"")</f>
        <v/>
      </c>
      <c r="AU217" t="str">
        <f ca="1">IFERROR(IF(0=LEN(ReferenceData!$AU$217),"",ReferenceData!$AU$217),"")</f>
        <v/>
      </c>
      <c r="AV217" t="str">
        <f ca="1">IFERROR(IF(0=LEN(ReferenceData!$AV$217),"",ReferenceData!$AV$217),"")</f>
        <v/>
      </c>
      <c r="AW217" t="str">
        <f ca="1">IFERROR(IF(0=LEN(ReferenceData!$AW$217),"",ReferenceData!$AW$217),"")</f>
        <v/>
      </c>
      <c r="AX217" t="str">
        <f ca="1">IFERROR(IF(0=LEN(ReferenceData!$AX$217),"",ReferenceData!$AX$217),"")</f>
        <v/>
      </c>
      <c r="AY217" t="str">
        <f ca="1">IFERROR(IF(0=LEN(ReferenceData!$AY$217),"",ReferenceData!$AY$217),"")</f>
        <v/>
      </c>
      <c r="AZ217" t="str">
        <f ca="1">IFERROR(IF(0=LEN(ReferenceData!$AZ$217),"",ReferenceData!$AZ$217),"")</f>
        <v/>
      </c>
      <c r="BA217" t="str">
        <f ca="1">IFERROR(IF(0=LEN(ReferenceData!$BA$217),"",ReferenceData!$BA$217),"")</f>
        <v/>
      </c>
      <c r="BB217" t="str">
        <f ca="1">IFERROR(IF(0=LEN(ReferenceData!$BB$217),"",ReferenceData!$BB$217),"")</f>
        <v/>
      </c>
      <c r="BC217" t="str">
        <f ca="1">IFERROR(IF(0=LEN(ReferenceData!$BC$217),"",ReferenceData!$BC$217),"")</f>
        <v/>
      </c>
      <c r="BD217" t="str">
        <f ca="1">IFERROR(IF(0=LEN(ReferenceData!$BD$217),"",ReferenceData!$BD$217),"")</f>
        <v/>
      </c>
      <c r="BE217" t="str">
        <f ca="1">IFERROR(IF(0=LEN(ReferenceData!$BE$217),"",ReferenceData!$BE$217),"")</f>
        <v/>
      </c>
      <c r="BF217" t="str">
        <f ca="1">IFERROR(IF(0=LEN(ReferenceData!$BF$217),"",ReferenceData!$BF$217),"")</f>
        <v/>
      </c>
      <c r="BG217" t="str">
        <f ca="1">IFERROR(IF(0=LEN(ReferenceData!$BG$217),"",ReferenceData!$BG$217),"")</f>
        <v/>
      </c>
      <c r="BH217" t="str">
        <f ca="1">IFERROR(IF(0=LEN(ReferenceData!$BH$217),"",ReferenceData!$BH$217),"")</f>
        <v/>
      </c>
      <c r="BI217" t="str">
        <f ca="1">IFERROR(IF(0=LEN(ReferenceData!$BI$217),"",ReferenceData!$BI$217),"")</f>
        <v/>
      </c>
      <c r="BJ217" t="str">
        <f ca="1">IFERROR(IF(0=LEN(ReferenceData!$BJ$217),"",ReferenceData!$BJ$217),"")</f>
        <v/>
      </c>
      <c r="BK217" t="str">
        <f ca="1">IFERROR(IF(0=LEN(ReferenceData!$BK$217),"",ReferenceData!$BK$217),"")</f>
        <v/>
      </c>
      <c r="BL217" t="str">
        <f ca="1">IFERROR(IF(0=LEN(ReferenceData!$BL$217),"",ReferenceData!$BL$217),"")</f>
        <v/>
      </c>
      <c r="BM217" t="str">
        <f ca="1">IFERROR(IF(0=LEN(ReferenceData!$BM$217),"",ReferenceData!$BM$217),"")</f>
        <v/>
      </c>
    </row>
    <row r="218" spans="1:65" x14ac:dyDescent="0.25">
      <c r="A218" t="str">
        <f>IFERROR(IF(0=LEN(ReferenceData!$A$218),"",ReferenceData!$A$218),"")</f>
        <v xml:space="preserve">    DRB-Hicom Bhd</v>
      </c>
      <c r="B218" t="str">
        <f>IFERROR(IF(0=LEN(ReferenceData!$B$218),"",ReferenceData!$B$218),"")</f>
        <v>DRB MK Equity</v>
      </c>
      <c r="C218" t="str">
        <f>IFERROR(IF(0=LEN(ReferenceData!$C$218),"",ReferenceData!$C$218),"")</f>
        <v>RR843</v>
      </c>
      <c r="D218" t="str">
        <f>IFERROR(IF(0=LEN(ReferenceData!$D$218),"",ReferenceData!$D$218),"")</f>
        <v>TRAIL_12M_FREE_CASH_FLOW</v>
      </c>
      <c r="E218" t="str">
        <f>IFERROR(IF(0=LEN(ReferenceData!$E$218),"",ReferenceData!$E$218),"")</f>
        <v>Dynamic</v>
      </c>
      <c r="F218" t="str">
        <f ca="1">IFERROR(IF(0=LEN(ReferenceData!$F$218),"",ReferenceData!$F$218),"")</f>
        <v/>
      </c>
      <c r="G218" t="str">
        <f ca="1">IFERROR(IF(0=LEN(ReferenceData!$G$218),"",ReferenceData!$G$218),"")</f>
        <v/>
      </c>
      <c r="H218">
        <f ca="1">IFERROR(IF(0=LEN(ReferenceData!$H$218),"",ReferenceData!$H$218),"")</f>
        <v>404.9004046</v>
      </c>
      <c r="I218">
        <f ca="1">IFERROR(IF(0=LEN(ReferenceData!$I$218),"",ReferenceData!$I$218),"")</f>
        <v>135.90407690000001</v>
      </c>
      <c r="J218">
        <f ca="1">IFERROR(IF(0=LEN(ReferenceData!$J$218),"",ReferenceData!$J$218),"")</f>
        <v>66.373248869999998</v>
      </c>
      <c r="K218">
        <f ca="1">IFERROR(IF(0=LEN(ReferenceData!$K$218),"",ReferenceData!$K$218),"")</f>
        <v>102.91581600000001</v>
      </c>
      <c r="L218">
        <f ca="1">IFERROR(IF(0=LEN(ReferenceData!$L$218),"",ReferenceData!$L$218),"")</f>
        <v>-206.58733129999999</v>
      </c>
      <c r="M218">
        <f ca="1">IFERROR(IF(0=LEN(ReferenceData!$M$218),"",ReferenceData!$M$218),"")</f>
        <v>-349.6855731</v>
      </c>
      <c r="N218">
        <f ca="1">IFERROR(IF(0=LEN(ReferenceData!$N$218),"",ReferenceData!$N$218),"")</f>
        <v>-139.7798019</v>
      </c>
      <c r="O218">
        <f ca="1">IFERROR(IF(0=LEN(ReferenceData!$O$218),"",ReferenceData!$O$218),"")</f>
        <v>-414.78294790000001</v>
      </c>
      <c r="P218">
        <f ca="1">IFERROR(IF(0=LEN(ReferenceData!$P$218),"",ReferenceData!$P$218),"")</f>
        <v>-177.6135745</v>
      </c>
      <c r="Q218">
        <f ca="1">IFERROR(IF(0=LEN(ReferenceData!$Q$218),"",ReferenceData!$Q$218),"")</f>
        <v>32.918870470000002</v>
      </c>
      <c r="R218">
        <f ca="1">IFERROR(IF(0=LEN(ReferenceData!$R$218),"",ReferenceData!$R$218),"")</f>
        <v>-300.23987740000001</v>
      </c>
      <c r="S218">
        <f ca="1">IFERROR(IF(0=LEN(ReferenceData!$S$218),"",ReferenceData!$S$218),"")</f>
        <v>-385.10292149999998</v>
      </c>
      <c r="T218">
        <f ca="1">IFERROR(IF(0=LEN(ReferenceData!$T$218),"",ReferenceData!$T$218),"")</f>
        <v>-634.40494790000002</v>
      </c>
      <c r="U218">
        <f ca="1">IFERROR(IF(0=LEN(ReferenceData!$U$218),"",ReferenceData!$U$218),"")</f>
        <v>-540.95495979999998</v>
      </c>
      <c r="V218">
        <f ca="1">IFERROR(IF(0=LEN(ReferenceData!$V$218),"",ReferenceData!$V$218),"")</f>
        <v>-20.37695411</v>
      </c>
      <c r="W218">
        <f ca="1">IFERROR(IF(0=LEN(ReferenceData!$W$218),"",ReferenceData!$W$218),"")</f>
        <v>101.6115616</v>
      </c>
      <c r="X218">
        <f ca="1">IFERROR(IF(0=LEN(ReferenceData!$X$218),"",ReferenceData!$X$218),"")</f>
        <v>-327.80277910000001</v>
      </c>
      <c r="Y218">
        <f ca="1">IFERROR(IF(0=LEN(ReferenceData!$Y$218),"",ReferenceData!$Y$218),"")</f>
        <v>-318.34991209999998</v>
      </c>
      <c r="Z218">
        <f ca="1">IFERROR(IF(0=LEN(ReferenceData!$Z$218),"",ReferenceData!$Z$218),"")</f>
        <v>-784.29938030000005</v>
      </c>
      <c r="AA218">
        <f ca="1">IFERROR(IF(0=LEN(ReferenceData!$AA$218),"",ReferenceData!$AA$218),"")</f>
        <v>287.36947579999998</v>
      </c>
      <c r="AB218">
        <f ca="1">IFERROR(IF(0=LEN(ReferenceData!$AB$218),"",ReferenceData!$AB$218),"")</f>
        <v>855.56288219999999</v>
      </c>
      <c r="AC218">
        <f ca="1">IFERROR(IF(0=LEN(ReferenceData!$AC$218),"",ReferenceData!$AC$218),"")</f>
        <v>663.73453930000005</v>
      </c>
      <c r="AD218">
        <f ca="1">IFERROR(IF(0=LEN(ReferenceData!$AD$218),"",ReferenceData!$AD$218),"")</f>
        <v>-133.50412159999999</v>
      </c>
      <c r="AE218">
        <f ca="1">IFERROR(IF(0=LEN(ReferenceData!$AE$218),"",ReferenceData!$AE$218),"")</f>
        <v>-608.05593950000002</v>
      </c>
      <c r="AF218">
        <f ca="1">IFERROR(IF(0=LEN(ReferenceData!$AF$218),"",ReferenceData!$AF$218),"")</f>
        <v>-146.6089326</v>
      </c>
      <c r="AG218">
        <f ca="1">IFERROR(IF(0=LEN(ReferenceData!$AG$218),"",ReferenceData!$AG$218),"")</f>
        <v>-774.32396180000001</v>
      </c>
      <c r="AH218">
        <f ca="1">IFERROR(IF(0=LEN(ReferenceData!$AH$218),"",ReferenceData!$AH$218),"")</f>
        <v>-228.28034690000001</v>
      </c>
      <c r="AI218">
        <f ca="1">IFERROR(IF(0=LEN(ReferenceData!$AI$218),"",ReferenceData!$AI$218),"")</f>
        <v>-342.14912320000002</v>
      </c>
      <c r="AJ218">
        <f ca="1">IFERROR(IF(0=LEN(ReferenceData!$AJ$218),"",ReferenceData!$AJ$218),"")</f>
        <v>-1224.387205</v>
      </c>
      <c r="AK218">
        <f ca="1">IFERROR(IF(0=LEN(ReferenceData!$AK$218),"",ReferenceData!$AK$218),"")</f>
        <v>-906.78575190000004</v>
      </c>
      <c r="AL218">
        <f ca="1">IFERROR(IF(0=LEN(ReferenceData!$AL$218),"",ReferenceData!$AL$218),"")</f>
        <v>-598.77517550000005</v>
      </c>
      <c r="AM218">
        <f ca="1">IFERROR(IF(0=LEN(ReferenceData!$AM$218),"",ReferenceData!$AM$218),"")</f>
        <v>-813.86863519999997</v>
      </c>
      <c r="AN218">
        <f ca="1">IFERROR(IF(0=LEN(ReferenceData!$AN$218),"",ReferenceData!$AN$218),"")</f>
        <v>-454.56388700000002</v>
      </c>
      <c r="AO218">
        <f ca="1">IFERROR(IF(0=LEN(ReferenceData!$AO$218),"",ReferenceData!$AO$218),"")</f>
        <v>270.35713349999997</v>
      </c>
      <c r="AP218">
        <f ca="1">IFERROR(IF(0=LEN(ReferenceData!$AP$218),"",ReferenceData!$AP$218),"")</f>
        <v>660.00378669999998</v>
      </c>
      <c r="AQ218">
        <f ca="1">IFERROR(IF(0=LEN(ReferenceData!$AQ$218),"",ReferenceData!$AQ$218),"")</f>
        <v>-50.120613519999999</v>
      </c>
      <c r="AR218">
        <f ca="1">IFERROR(IF(0=LEN(ReferenceData!$AR$218),"",ReferenceData!$AR$218),"")</f>
        <v>-138.5043842</v>
      </c>
      <c r="AS218">
        <f ca="1">IFERROR(IF(0=LEN(ReferenceData!$AS$218),"",ReferenceData!$AS$218),"")</f>
        <v>-479.40692919999998</v>
      </c>
      <c r="AT218">
        <f ca="1">IFERROR(IF(0=LEN(ReferenceData!$AT$218),"",ReferenceData!$AT$218),"")</f>
        <v>-549.67205479999996</v>
      </c>
      <c r="AU218">
        <f ca="1">IFERROR(IF(0=LEN(ReferenceData!$AU$218),"",ReferenceData!$AU$218),"")</f>
        <v>-3.658292528</v>
      </c>
      <c r="AV218">
        <f ca="1">IFERROR(IF(0=LEN(ReferenceData!$AV$218),"",ReferenceData!$AV$218),"")</f>
        <v>-10.751339059999999</v>
      </c>
      <c r="AW218">
        <f ca="1">IFERROR(IF(0=LEN(ReferenceData!$AW$218),"",ReferenceData!$AW$218),"")</f>
        <v>8.7371521380000008</v>
      </c>
      <c r="AX218">
        <f ca="1">IFERROR(IF(0=LEN(ReferenceData!$AX$218),"",ReferenceData!$AX$218),"")</f>
        <v>169.4995653</v>
      </c>
      <c r="AY218">
        <f ca="1">IFERROR(IF(0=LEN(ReferenceData!$AY$218),"",ReferenceData!$AY$218),"")</f>
        <v>188.4933087</v>
      </c>
      <c r="AZ218">
        <f ca="1">IFERROR(IF(0=LEN(ReferenceData!$AZ$218),"",ReferenceData!$AZ$218),"")</f>
        <v>249.80521719999999</v>
      </c>
      <c r="BA218">
        <f ca="1">IFERROR(IF(0=LEN(ReferenceData!$BA$218),"",ReferenceData!$BA$218),"")</f>
        <v>210.91239049999999</v>
      </c>
      <c r="BB218">
        <f ca="1">IFERROR(IF(0=LEN(ReferenceData!$BB$218),"",ReferenceData!$BB$218),"")</f>
        <v>149.77433389999999</v>
      </c>
      <c r="BC218">
        <f ca="1">IFERROR(IF(0=LEN(ReferenceData!$BC$218),"",ReferenceData!$BC$218),"")</f>
        <v>155.7239434</v>
      </c>
      <c r="BD218">
        <f ca="1">IFERROR(IF(0=LEN(ReferenceData!$BD$218),"",ReferenceData!$BD$218),"")</f>
        <v>73.906542860000002</v>
      </c>
      <c r="BE218">
        <f ca="1">IFERROR(IF(0=LEN(ReferenceData!$BE$218),"",ReferenceData!$BE$218),"")</f>
        <v>29.467777170000002</v>
      </c>
      <c r="BF218">
        <f ca="1">IFERROR(IF(0=LEN(ReferenceData!$BF$218),"",ReferenceData!$BF$218),"")</f>
        <v>48.923366790000003</v>
      </c>
      <c r="BG218">
        <f ca="1">IFERROR(IF(0=LEN(ReferenceData!$BG$218),"",ReferenceData!$BG$218),"")</f>
        <v>52.42593093</v>
      </c>
      <c r="BH218">
        <f ca="1">IFERROR(IF(0=LEN(ReferenceData!$BH$218),"",ReferenceData!$BH$218),"")</f>
        <v>121.0615432</v>
      </c>
      <c r="BI218">
        <f ca="1">IFERROR(IF(0=LEN(ReferenceData!$BI$218),"",ReferenceData!$BI$218),"")</f>
        <v>161.2502648</v>
      </c>
      <c r="BJ218">
        <f ca="1">IFERROR(IF(0=LEN(ReferenceData!$BJ$218),"",ReferenceData!$BJ$218),"")</f>
        <v>168.53947489999999</v>
      </c>
      <c r="BK218">
        <f ca="1">IFERROR(IF(0=LEN(ReferenceData!$BK$218),"",ReferenceData!$BK$218),"")</f>
        <v>142.8684193</v>
      </c>
      <c r="BL218">
        <f ca="1">IFERROR(IF(0=LEN(ReferenceData!$BL$218),"",ReferenceData!$BL$218),"")</f>
        <v>106.65552630000001</v>
      </c>
      <c r="BM218">
        <f ca="1">IFERROR(IF(0=LEN(ReferenceData!$BM$218),"",ReferenceData!$BM$218),"")</f>
        <v>65.332367450000007</v>
      </c>
    </row>
    <row r="219" spans="1:65" x14ac:dyDescent="0.25">
      <c r="A219" t="str">
        <f>IFERROR(IF(0=LEN(ReferenceData!$A$219),"",ReferenceData!$A$219),"")</f>
        <v xml:space="preserve">    FAW CAR Co Ltd</v>
      </c>
      <c r="B219" t="str">
        <f>IFERROR(IF(0=LEN(ReferenceData!$B$219),"",ReferenceData!$B$219),"")</f>
        <v>000800 CH Equity</v>
      </c>
      <c r="C219" t="str">
        <f>IFERROR(IF(0=LEN(ReferenceData!$C$219),"",ReferenceData!$C$219),"")</f>
        <v>RR843</v>
      </c>
      <c r="D219" t="str">
        <f>IFERROR(IF(0=LEN(ReferenceData!$D$219),"",ReferenceData!$D$219),"")</f>
        <v>TRAIL_12M_FREE_CASH_FLOW</v>
      </c>
      <c r="E219" t="str">
        <f>IFERROR(IF(0=LEN(ReferenceData!$E$219),"",ReferenceData!$E$219),"")</f>
        <v>Dynamic</v>
      </c>
      <c r="F219" t="str">
        <f ca="1">IFERROR(IF(0=LEN(ReferenceData!$F$219),"",ReferenceData!$F$219),"")</f>
        <v/>
      </c>
      <c r="G219" t="str">
        <f ca="1">IFERROR(IF(0=LEN(ReferenceData!$G$219),"",ReferenceData!$G$219),"")</f>
        <v/>
      </c>
      <c r="H219">
        <f ca="1">IFERROR(IF(0=LEN(ReferenceData!$H$219),"",ReferenceData!$H$219),"")</f>
        <v>161.56994019999999</v>
      </c>
      <c r="I219">
        <f ca="1">IFERROR(IF(0=LEN(ReferenceData!$I$219),"",ReferenceData!$I$219),"")</f>
        <v>331.13194750000002</v>
      </c>
      <c r="J219">
        <f ca="1">IFERROR(IF(0=LEN(ReferenceData!$J$219),"",ReferenceData!$J$219),"")</f>
        <v>313.07124060000001</v>
      </c>
      <c r="K219">
        <f ca="1">IFERROR(IF(0=LEN(ReferenceData!$K$219),"",ReferenceData!$K$219),"")</f>
        <v>297.36748649999998</v>
      </c>
      <c r="L219">
        <f ca="1">IFERROR(IF(0=LEN(ReferenceData!$L$219),"",ReferenceData!$L$219),"")</f>
        <v>297.78949349999999</v>
      </c>
      <c r="M219">
        <f ca="1">IFERROR(IF(0=LEN(ReferenceData!$M$219),"",ReferenceData!$M$219),"")</f>
        <v>122.5471905</v>
      </c>
      <c r="N219">
        <f ca="1">IFERROR(IF(0=LEN(ReferenceData!$N$219),"",ReferenceData!$N$219),"")</f>
        <v>142.93973869999999</v>
      </c>
      <c r="O219">
        <f ca="1">IFERROR(IF(0=LEN(ReferenceData!$O$219),"",ReferenceData!$O$219),"")</f>
        <v>-35.130786669999999</v>
      </c>
      <c r="P219">
        <f ca="1">IFERROR(IF(0=LEN(ReferenceData!$P$219),"",ReferenceData!$P$219),"")</f>
        <v>-106.8745363</v>
      </c>
      <c r="Q219">
        <f ca="1">IFERROR(IF(0=LEN(ReferenceData!$Q$219),"",ReferenceData!$Q$219),"")</f>
        <v>-55.65942338</v>
      </c>
      <c r="R219">
        <f ca="1">IFERROR(IF(0=LEN(ReferenceData!$R$219),"",ReferenceData!$R$219),"")</f>
        <v>-78.085386830000004</v>
      </c>
      <c r="S219">
        <f ca="1">IFERROR(IF(0=LEN(ReferenceData!$S$219),"",ReferenceData!$S$219),"")</f>
        <v>45.248199649999997</v>
      </c>
      <c r="T219">
        <f ca="1">IFERROR(IF(0=LEN(ReferenceData!$T$219),"",ReferenceData!$T$219),"")</f>
        <v>-104.3333198</v>
      </c>
      <c r="U219">
        <f ca="1">IFERROR(IF(0=LEN(ReferenceData!$U$219),"",ReferenceData!$U$219),"")</f>
        <v>-108.6059065</v>
      </c>
      <c r="V219">
        <f ca="1">IFERROR(IF(0=LEN(ReferenceData!$V$219),"",ReferenceData!$V$219),"")</f>
        <v>-79.222572069999998</v>
      </c>
      <c r="W219">
        <f ca="1">IFERROR(IF(0=LEN(ReferenceData!$W$219),"",ReferenceData!$W$219),"")</f>
        <v>-90.972753330000003</v>
      </c>
      <c r="X219">
        <f ca="1">IFERROR(IF(0=LEN(ReferenceData!$X$219),"",ReferenceData!$X$219),"")</f>
        <v>-47.02127565</v>
      </c>
      <c r="Y219">
        <f ca="1">IFERROR(IF(0=LEN(ReferenceData!$Y$219),"",ReferenceData!$Y$219),"")</f>
        <v>-4.4673329849999996</v>
      </c>
      <c r="Z219">
        <f ca="1">IFERROR(IF(0=LEN(ReferenceData!$Z$219),"",ReferenceData!$Z$219),"")</f>
        <v>71.373727410000001</v>
      </c>
      <c r="AA219">
        <f ca="1">IFERROR(IF(0=LEN(ReferenceData!$AA$219),"",ReferenceData!$AA$219),"")</f>
        <v>-2.8000889670000002</v>
      </c>
      <c r="AB219">
        <f ca="1">IFERROR(IF(0=LEN(ReferenceData!$AB$219),"",ReferenceData!$AB$219),"")</f>
        <v>-25.46397434</v>
      </c>
      <c r="AC219">
        <f ca="1">IFERROR(IF(0=LEN(ReferenceData!$AC$219),"",ReferenceData!$AC$219),"")</f>
        <v>-283.18317050000002</v>
      </c>
      <c r="AD219">
        <f ca="1">IFERROR(IF(0=LEN(ReferenceData!$AD$219),"",ReferenceData!$AD$219),"")</f>
        <v>-237.73060570000001</v>
      </c>
      <c r="AE219">
        <f ca="1">IFERROR(IF(0=LEN(ReferenceData!$AE$219),"",ReferenceData!$AE$219),"")</f>
        <v>-163.02096330000001</v>
      </c>
      <c r="AF219">
        <f ca="1">IFERROR(IF(0=LEN(ReferenceData!$AF$219),"",ReferenceData!$AF$219),"")</f>
        <v>-60.329273149999999</v>
      </c>
      <c r="AG219">
        <f ca="1">IFERROR(IF(0=LEN(ReferenceData!$AG$219),"",ReferenceData!$AG$219),"")</f>
        <v>-14.188607960000001</v>
      </c>
      <c r="AH219">
        <f ca="1">IFERROR(IF(0=LEN(ReferenceData!$AH$219),"",ReferenceData!$AH$219),"")</f>
        <v>-147.83287379999999</v>
      </c>
      <c r="AI219">
        <f ca="1">IFERROR(IF(0=LEN(ReferenceData!$AI$219),"",ReferenceData!$AI$219),"")</f>
        <v>-375.45250979999997</v>
      </c>
      <c r="AJ219">
        <f ca="1">IFERROR(IF(0=LEN(ReferenceData!$AJ$219),"",ReferenceData!$AJ$219),"")</f>
        <v>-658.00163780000003</v>
      </c>
      <c r="AK219">
        <f ca="1">IFERROR(IF(0=LEN(ReferenceData!$AK$219),"",ReferenceData!$AK$219),"")</f>
        <v>-247.1273387</v>
      </c>
      <c r="AL219">
        <f ca="1">IFERROR(IF(0=LEN(ReferenceData!$AL$219),"",ReferenceData!$AL$219),"")</f>
        <v>-222.90802239999999</v>
      </c>
      <c r="AM219">
        <f ca="1">IFERROR(IF(0=LEN(ReferenceData!$AM$219),"",ReferenceData!$AM$219),"")</f>
        <v>182.10333199999999</v>
      </c>
      <c r="AN219">
        <f ca="1">IFERROR(IF(0=LEN(ReferenceData!$AN$219),"",ReferenceData!$AN$219),"")</f>
        <v>313.8873127</v>
      </c>
      <c r="AO219">
        <f ca="1">IFERROR(IF(0=LEN(ReferenceData!$AO$219),"",ReferenceData!$AO$219),"")</f>
        <v>133.09860570000001</v>
      </c>
      <c r="AP219">
        <f ca="1">IFERROR(IF(0=LEN(ReferenceData!$AP$219),"",ReferenceData!$AP$219),"")</f>
        <v>181.3753002</v>
      </c>
      <c r="AQ219">
        <f ca="1">IFERROR(IF(0=LEN(ReferenceData!$AQ$219),"",ReferenceData!$AQ$219),"")</f>
        <v>186.29873319999999</v>
      </c>
      <c r="AR219">
        <f ca="1">IFERROR(IF(0=LEN(ReferenceData!$AR$219),"",ReferenceData!$AR$219),"")</f>
        <v>339.67302039999998</v>
      </c>
      <c r="AS219">
        <f ca="1">IFERROR(IF(0=LEN(ReferenceData!$AS$219),"",ReferenceData!$AS$219),"")</f>
        <v>242.32208009999999</v>
      </c>
      <c r="AT219">
        <f ca="1">IFERROR(IF(0=LEN(ReferenceData!$AT$219),"",ReferenceData!$AT$219),"")</f>
        <v>149.06968760000001</v>
      </c>
      <c r="AU219">
        <f ca="1">IFERROR(IF(0=LEN(ReferenceData!$AU$219),"",ReferenceData!$AU$219),"")</f>
        <v>58.689538890000001</v>
      </c>
      <c r="AV219">
        <f ca="1">IFERROR(IF(0=LEN(ReferenceData!$AV$219),"",ReferenceData!$AV$219),"")</f>
        <v>-24.745171890000002</v>
      </c>
      <c r="AW219">
        <f ca="1">IFERROR(IF(0=LEN(ReferenceData!$AW$219),"",ReferenceData!$AW$219),"")</f>
        <v>8.7445986080000004</v>
      </c>
      <c r="AX219">
        <f ca="1">IFERROR(IF(0=LEN(ReferenceData!$AX$219),"",ReferenceData!$AX$219),"")</f>
        <v>38.943603629999998</v>
      </c>
      <c r="AY219">
        <f ca="1">IFERROR(IF(0=LEN(ReferenceData!$AY$219),"",ReferenceData!$AY$219),"")</f>
        <v>-20.535667629999999</v>
      </c>
      <c r="AZ219">
        <f ca="1">IFERROR(IF(0=LEN(ReferenceData!$AZ$219),"",ReferenceData!$AZ$219),"")</f>
        <v>45.194328769999998</v>
      </c>
      <c r="BA219">
        <f ca="1">IFERROR(IF(0=LEN(ReferenceData!$BA$219),"",ReferenceData!$BA$219),"")</f>
        <v>57.258506400000002</v>
      </c>
      <c r="BB219">
        <f ca="1">IFERROR(IF(0=LEN(ReferenceData!$BB$219),"",ReferenceData!$BB$219),"")</f>
        <v>14.086918000000001</v>
      </c>
      <c r="BC219">
        <f ca="1">IFERROR(IF(0=LEN(ReferenceData!$BC$219),"",ReferenceData!$BC$219),"")</f>
        <v>-11.25327542</v>
      </c>
      <c r="BD219">
        <f ca="1">IFERROR(IF(0=LEN(ReferenceData!$BD$219),"",ReferenceData!$BD$219),"")</f>
        <v>-31.684328879999999</v>
      </c>
      <c r="BE219">
        <f ca="1">IFERROR(IF(0=LEN(ReferenceData!$BE$219),"",ReferenceData!$BE$219),"")</f>
        <v>-67.800778320000006</v>
      </c>
      <c r="BF219">
        <f ca="1">IFERROR(IF(0=LEN(ReferenceData!$BF$219),"",ReferenceData!$BF$219),"")</f>
        <v>164.67455129999999</v>
      </c>
      <c r="BG219">
        <f ca="1">IFERROR(IF(0=LEN(ReferenceData!$BG$219),"",ReferenceData!$BG$219),"")</f>
        <v>287.52756040000003</v>
      </c>
      <c r="BH219">
        <f ca="1">IFERROR(IF(0=LEN(ReferenceData!$BH$219),"",ReferenceData!$BH$219),"")</f>
        <v>207.13890929999999</v>
      </c>
      <c r="BI219">
        <f ca="1">IFERROR(IF(0=LEN(ReferenceData!$BI$219),"",ReferenceData!$BI$219),"")</f>
        <v>99.20867543</v>
      </c>
      <c r="BJ219">
        <f ca="1">IFERROR(IF(0=LEN(ReferenceData!$BJ$219),"",ReferenceData!$BJ$219),"")</f>
        <v>-118.1805055</v>
      </c>
      <c r="BK219">
        <f ca="1">IFERROR(IF(0=LEN(ReferenceData!$BK$219),"",ReferenceData!$BK$219),"")</f>
        <v>-350.7527892</v>
      </c>
      <c r="BL219">
        <f ca="1">IFERROR(IF(0=LEN(ReferenceData!$BL$219),"",ReferenceData!$BL$219),"")</f>
        <v>-209.1014074</v>
      </c>
      <c r="BM219">
        <f ca="1">IFERROR(IF(0=LEN(ReferenceData!$BM$219),"",ReferenceData!$BM$219),"")</f>
        <v>-8.502296029</v>
      </c>
    </row>
    <row r="220" spans="1:65" x14ac:dyDescent="0.25">
      <c r="A220" t="str">
        <f>IFERROR(IF(0=LEN(ReferenceData!$A$220),"",ReferenceData!$A$220),"")</f>
        <v xml:space="preserve">    Fiat Chrysler Automobiles NV</v>
      </c>
      <c r="B220" t="str">
        <f>IFERROR(IF(0=LEN(ReferenceData!$B$220),"",ReferenceData!$B$220),"")</f>
        <v>FCAU US Equity</v>
      </c>
      <c r="C220" t="str">
        <f>IFERROR(IF(0=LEN(ReferenceData!$C$220),"",ReferenceData!$C$220),"")</f>
        <v>RR843</v>
      </c>
      <c r="D220" t="str">
        <f>IFERROR(IF(0=LEN(ReferenceData!$D$220),"",ReferenceData!$D$220),"")</f>
        <v>TRAIL_12M_FREE_CASH_FLOW</v>
      </c>
      <c r="E220" t="str">
        <f>IFERROR(IF(0=LEN(ReferenceData!$E$220),"",ReferenceData!$E$220),"")</f>
        <v>Dynamic</v>
      </c>
      <c r="F220" t="str">
        <f ca="1">IFERROR(IF(0=LEN(ReferenceData!$F$220),"",ReferenceData!$F$220),"")</f>
        <v/>
      </c>
      <c r="G220">
        <f ca="1">IFERROR(IF(0=LEN(ReferenceData!$G$220),"",ReferenceData!$G$220),"")</f>
        <v>5381.2023230000004</v>
      </c>
      <c r="H220">
        <f ca="1">IFERROR(IF(0=LEN(ReferenceData!$H$220),"",ReferenceData!$H$220),"")</f>
        <v>4741.5257369999999</v>
      </c>
      <c r="I220">
        <f ca="1">IFERROR(IF(0=LEN(ReferenceData!$I$220),"",ReferenceData!$I$220),"")</f>
        <v>5618.7834240000002</v>
      </c>
      <c r="J220">
        <f ca="1">IFERROR(IF(0=LEN(ReferenceData!$J$220),"",ReferenceData!$J$220),"")</f>
        <v>4596.0363770000004</v>
      </c>
      <c r="K220">
        <f ca="1">IFERROR(IF(0=LEN(ReferenceData!$K$220),"",ReferenceData!$K$220),"")</f>
        <v>2575.7645379999999</v>
      </c>
      <c r="L220">
        <f ca="1">IFERROR(IF(0=LEN(ReferenceData!$L$220),"",ReferenceData!$L$220),"")</f>
        <v>2901.1533410000002</v>
      </c>
      <c r="M220">
        <f ca="1">IFERROR(IF(0=LEN(ReferenceData!$M$220),"",ReferenceData!$M$220),"")</f>
        <v>1177.4131239999999</v>
      </c>
      <c r="N220">
        <f ca="1">IFERROR(IF(0=LEN(ReferenceData!$N$220),"",ReferenceData!$N$220),"")</f>
        <v>2387.7257589999999</v>
      </c>
      <c r="O220">
        <f ca="1">IFERROR(IF(0=LEN(ReferenceData!$O$220),"",ReferenceData!$O$220),"")</f>
        <v>1969.0482179999999</v>
      </c>
      <c r="P220">
        <f ca="1">IFERROR(IF(0=LEN(ReferenceData!$P$220),"",ReferenceData!$P$220),"")</f>
        <v>1465.471955</v>
      </c>
      <c r="Q220">
        <f ca="1">IFERROR(IF(0=LEN(ReferenceData!$Q$220),"",ReferenceData!$Q$220),"")</f>
        <v>1979.1007709999999</v>
      </c>
      <c r="R220">
        <f ca="1">IFERROR(IF(0=LEN(ReferenceData!$R$220),"",ReferenceData!$R$220),"")</f>
        <v>1018.209292</v>
      </c>
      <c r="S220">
        <f ca="1">IFERROR(IF(0=LEN(ReferenceData!$S$220),"",ReferenceData!$S$220),"")</f>
        <v>1034.520589</v>
      </c>
      <c r="T220">
        <f ca="1">IFERROR(IF(0=LEN(ReferenceData!$T$220),"",ReferenceData!$T$220),"")</f>
        <v>811.0767932</v>
      </c>
      <c r="U220">
        <f ca="1">IFERROR(IF(0=LEN(ReferenceData!$U$220),"",ReferenceData!$U$220),"")</f>
        <v>-301.89738569999997</v>
      </c>
      <c r="V220">
        <f ca="1">IFERROR(IF(0=LEN(ReferenceData!$V$220),"",ReferenceData!$V$220),"")</f>
        <v>-797.99647860000005</v>
      </c>
      <c r="W220">
        <f ca="1">IFERROR(IF(0=LEN(ReferenceData!$W$220),"",ReferenceData!$W$220),"")</f>
        <v>484.89731870000003</v>
      </c>
      <c r="X220" t="str">
        <f ca="1">IFERROR(IF(0=LEN(ReferenceData!$X$220),"",ReferenceData!$X$220),"")</f>
        <v/>
      </c>
      <c r="Y220" t="str">
        <f ca="1">IFERROR(IF(0=LEN(ReferenceData!$Y$220),"",ReferenceData!$Y$220),"")</f>
        <v/>
      </c>
      <c r="Z220" t="str">
        <f ca="1">IFERROR(IF(0=LEN(ReferenceData!$Z$220),"",ReferenceData!$Z$220),"")</f>
        <v/>
      </c>
      <c r="AA220" t="str">
        <f ca="1">IFERROR(IF(0=LEN(ReferenceData!$AA$220),"",ReferenceData!$AA$220),"")</f>
        <v/>
      </c>
      <c r="AB220" t="str">
        <f ca="1">IFERROR(IF(0=LEN(ReferenceData!$AB$220),"",ReferenceData!$AB$220),"")</f>
        <v/>
      </c>
      <c r="AC220" t="str">
        <f ca="1">IFERROR(IF(0=LEN(ReferenceData!$AC$220),"",ReferenceData!$AC$220),"")</f>
        <v/>
      </c>
      <c r="AD220" t="str">
        <f ca="1">IFERROR(IF(0=LEN(ReferenceData!$AD$220),"",ReferenceData!$AD$220),"")</f>
        <v/>
      </c>
      <c r="AE220" t="str">
        <f ca="1">IFERROR(IF(0=LEN(ReferenceData!$AE$220),"",ReferenceData!$AE$220),"")</f>
        <v/>
      </c>
      <c r="AF220" t="str">
        <f ca="1">IFERROR(IF(0=LEN(ReferenceData!$AF$220),"",ReferenceData!$AF$220),"")</f>
        <v/>
      </c>
      <c r="AG220" t="str">
        <f ca="1">IFERROR(IF(0=LEN(ReferenceData!$AG$220),"",ReferenceData!$AG$220),"")</f>
        <v/>
      </c>
      <c r="AH220" t="str">
        <f ca="1">IFERROR(IF(0=LEN(ReferenceData!$AH$220),"",ReferenceData!$AH$220),"")</f>
        <v/>
      </c>
      <c r="AI220" t="str">
        <f ca="1">IFERROR(IF(0=LEN(ReferenceData!$AI$220),"",ReferenceData!$AI$220),"")</f>
        <v/>
      </c>
      <c r="AJ220" t="str">
        <f ca="1">IFERROR(IF(0=LEN(ReferenceData!$AJ$220),"",ReferenceData!$AJ$220),"")</f>
        <v/>
      </c>
      <c r="AK220" t="str">
        <f ca="1">IFERROR(IF(0=LEN(ReferenceData!$AK$220),"",ReferenceData!$AK$220),"")</f>
        <v/>
      </c>
      <c r="AL220" t="str">
        <f ca="1">IFERROR(IF(0=LEN(ReferenceData!$AL$220),"",ReferenceData!$AL$220),"")</f>
        <v/>
      </c>
      <c r="AM220" t="str">
        <f ca="1">IFERROR(IF(0=LEN(ReferenceData!$AM$220),"",ReferenceData!$AM$220),"")</f>
        <v/>
      </c>
      <c r="AN220" t="str">
        <f ca="1">IFERROR(IF(0=LEN(ReferenceData!$AN$220),"",ReferenceData!$AN$220),"")</f>
        <v/>
      </c>
      <c r="AO220" t="str">
        <f ca="1">IFERROR(IF(0=LEN(ReferenceData!$AO$220),"",ReferenceData!$AO$220),"")</f>
        <v/>
      </c>
      <c r="AP220" t="str">
        <f ca="1">IFERROR(IF(0=LEN(ReferenceData!$AP$220),"",ReferenceData!$AP$220),"")</f>
        <v/>
      </c>
      <c r="AQ220" t="str">
        <f ca="1">IFERROR(IF(0=LEN(ReferenceData!$AQ$220),"",ReferenceData!$AQ$220),"")</f>
        <v/>
      </c>
      <c r="AR220" t="str">
        <f ca="1">IFERROR(IF(0=LEN(ReferenceData!$AR$220),"",ReferenceData!$AR$220),"")</f>
        <v/>
      </c>
      <c r="AS220" t="str">
        <f ca="1">IFERROR(IF(0=LEN(ReferenceData!$AS$220),"",ReferenceData!$AS$220),"")</f>
        <v/>
      </c>
      <c r="AT220" t="str">
        <f ca="1">IFERROR(IF(0=LEN(ReferenceData!$AT$220),"",ReferenceData!$AT$220),"")</f>
        <v/>
      </c>
      <c r="AU220" t="str">
        <f ca="1">IFERROR(IF(0=LEN(ReferenceData!$AU$220),"",ReferenceData!$AU$220),"")</f>
        <v/>
      </c>
      <c r="AV220" t="str">
        <f ca="1">IFERROR(IF(0=LEN(ReferenceData!$AV$220),"",ReferenceData!$AV$220),"")</f>
        <v/>
      </c>
      <c r="AW220" t="str">
        <f ca="1">IFERROR(IF(0=LEN(ReferenceData!$AW$220),"",ReferenceData!$AW$220),"")</f>
        <v/>
      </c>
      <c r="AX220" t="str">
        <f ca="1">IFERROR(IF(0=LEN(ReferenceData!$AX$220),"",ReferenceData!$AX$220),"")</f>
        <v/>
      </c>
      <c r="AY220" t="str">
        <f ca="1">IFERROR(IF(0=LEN(ReferenceData!$AY$220),"",ReferenceData!$AY$220),"")</f>
        <v/>
      </c>
      <c r="AZ220" t="str">
        <f ca="1">IFERROR(IF(0=LEN(ReferenceData!$AZ$220),"",ReferenceData!$AZ$220),"")</f>
        <v/>
      </c>
      <c r="BA220" t="str">
        <f ca="1">IFERROR(IF(0=LEN(ReferenceData!$BA$220),"",ReferenceData!$BA$220),"")</f>
        <v/>
      </c>
      <c r="BB220" t="str">
        <f ca="1">IFERROR(IF(0=LEN(ReferenceData!$BB$220),"",ReferenceData!$BB$220),"")</f>
        <v/>
      </c>
      <c r="BC220" t="str">
        <f ca="1">IFERROR(IF(0=LEN(ReferenceData!$BC$220),"",ReferenceData!$BC$220),"")</f>
        <v/>
      </c>
      <c r="BD220" t="str">
        <f ca="1">IFERROR(IF(0=LEN(ReferenceData!$BD$220),"",ReferenceData!$BD$220),"")</f>
        <v/>
      </c>
      <c r="BE220" t="str">
        <f ca="1">IFERROR(IF(0=LEN(ReferenceData!$BE$220),"",ReferenceData!$BE$220),"")</f>
        <v/>
      </c>
      <c r="BF220" t="str">
        <f ca="1">IFERROR(IF(0=LEN(ReferenceData!$BF$220),"",ReferenceData!$BF$220),"")</f>
        <v/>
      </c>
      <c r="BG220" t="str">
        <f ca="1">IFERROR(IF(0=LEN(ReferenceData!$BG$220),"",ReferenceData!$BG$220),"")</f>
        <v/>
      </c>
      <c r="BH220" t="str">
        <f ca="1">IFERROR(IF(0=LEN(ReferenceData!$BH$220),"",ReferenceData!$BH$220),"")</f>
        <v/>
      </c>
      <c r="BI220" t="str">
        <f ca="1">IFERROR(IF(0=LEN(ReferenceData!$BI$220),"",ReferenceData!$BI$220),"")</f>
        <v/>
      </c>
      <c r="BJ220" t="str">
        <f ca="1">IFERROR(IF(0=LEN(ReferenceData!$BJ$220),"",ReferenceData!$BJ$220),"")</f>
        <v/>
      </c>
      <c r="BK220" t="str">
        <f ca="1">IFERROR(IF(0=LEN(ReferenceData!$BK$220),"",ReferenceData!$BK$220),"")</f>
        <v/>
      </c>
      <c r="BL220" t="str">
        <f ca="1">IFERROR(IF(0=LEN(ReferenceData!$BL$220),"",ReferenceData!$BL$220),"")</f>
        <v/>
      </c>
      <c r="BM220" t="str">
        <f ca="1">IFERROR(IF(0=LEN(ReferenceData!$BM$220),"",ReferenceData!$BM$220),"")</f>
        <v/>
      </c>
    </row>
    <row r="221" spans="1:65" x14ac:dyDescent="0.25">
      <c r="A221" t="str">
        <f>IFERROR(IF(0=LEN(ReferenceData!$A$221),"",ReferenceData!$A$221),"")</f>
        <v xml:space="preserve">    Ford Motor Co</v>
      </c>
      <c r="B221" t="str">
        <f>IFERROR(IF(0=LEN(ReferenceData!$B$221),"",ReferenceData!$B$221),"")</f>
        <v>F US Equity</v>
      </c>
      <c r="C221" t="str">
        <f>IFERROR(IF(0=LEN(ReferenceData!$C$221),"",ReferenceData!$C$221),"")</f>
        <v>RR843</v>
      </c>
      <c r="D221" t="str">
        <f>IFERROR(IF(0=LEN(ReferenceData!$D$221),"",ReferenceData!$D$221),"")</f>
        <v>TRAIL_12M_FREE_CASH_FLOW</v>
      </c>
      <c r="E221" t="str">
        <f>IFERROR(IF(0=LEN(ReferenceData!$E$221),"",ReferenceData!$E$221),"")</f>
        <v>Dynamic</v>
      </c>
      <c r="F221" t="str">
        <f ca="1">IFERROR(IF(0=LEN(ReferenceData!$F$221),"",ReferenceData!$F$221),"")</f>
        <v/>
      </c>
      <c r="G221">
        <f ca="1">IFERROR(IF(0=LEN(ReferenceData!$G$221),"",ReferenceData!$G$221),"")</f>
        <v>7237</v>
      </c>
      <c r="H221">
        <f ca="1">IFERROR(IF(0=LEN(ReferenceData!$H$221),"",ReferenceData!$H$221),"")</f>
        <v>9030</v>
      </c>
      <c r="I221">
        <f ca="1">IFERROR(IF(0=LEN(ReferenceData!$I$221),"",ReferenceData!$I$221),"")</f>
        <v>9158</v>
      </c>
      <c r="J221">
        <f ca="1">IFERROR(IF(0=LEN(ReferenceData!$J$221),"",ReferenceData!$J$221),"")</f>
        <v>10152</v>
      </c>
      <c r="K221">
        <f ca="1">IFERROR(IF(0=LEN(ReferenceData!$K$221),"",ReferenceData!$K$221),"")</f>
        <v>11047</v>
      </c>
      <c r="L221">
        <f ca="1">IFERROR(IF(0=LEN(ReferenceData!$L$221),"",ReferenceData!$L$221),"")</f>
        <v>10731</v>
      </c>
      <c r="M221">
        <f ca="1">IFERROR(IF(0=LEN(ReferenceData!$M$221),"",ReferenceData!$M$221),"")</f>
        <v>10860</v>
      </c>
      <c r="N221">
        <f ca="1">IFERROR(IF(0=LEN(ReferenceData!$N$221),"",ReferenceData!$N$221),"")</f>
        <v>12850</v>
      </c>
      <c r="O221">
        <f ca="1">IFERROR(IF(0=LEN(ReferenceData!$O$221),"",ReferenceData!$O$221),"")</f>
        <v>12858</v>
      </c>
      <c r="P221">
        <f ca="1">IFERROR(IF(0=LEN(ReferenceData!$P$221),"",ReferenceData!$P$221),"")</f>
        <v>12450</v>
      </c>
      <c r="Q221">
        <f ca="1">IFERROR(IF(0=LEN(ReferenceData!$Q$221),"",ReferenceData!$Q$221),"")</f>
        <v>13625</v>
      </c>
      <c r="R221">
        <f ca="1">IFERROR(IF(0=LEN(ReferenceData!$R$221),"",ReferenceData!$R$221),"")</f>
        <v>10738</v>
      </c>
      <c r="S221">
        <f ca="1">IFERROR(IF(0=LEN(ReferenceData!$S$221),"",ReferenceData!$S$221),"")</f>
        <v>9030</v>
      </c>
      <c r="T221">
        <f ca="1">IFERROR(IF(0=LEN(ReferenceData!$T$221),"",ReferenceData!$T$221),"")</f>
        <v>8734</v>
      </c>
      <c r="U221">
        <f ca="1">IFERROR(IF(0=LEN(ReferenceData!$U$221),"",ReferenceData!$U$221),"")</f>
        <v>5901</v>
      </c>
      <c r="V221">
        <f ca="1">IFERROR(IF(0=LEN(ReferenceData!$V$221),"",ReferenceData!$V$221),"")</f>
        <v>5766</v>
      </c>
      <c r="W221">
        <f ca="1">IFERROR(IF(0=LEN(ReferenceData!$W$221),"",ReferenceData!$W$221),"")</f>
        <v>7044</v>
      </c>
      <c r="X221">
        <f ca="1">IFERROR(IF(0=LEN(ReferenceData!$X$221),"",ReferenceData!$X$221),"")</f>
        <v>5407</v>
      </c>
      <c r="Y221">
        <f ca="1">IFERROR(IF(0=LEN(ReferenceData!$Y$221),"",ReferenceData!$Y$221),"")</f>
        <v>5459</v>
      </c>
      <c r="Z221">
        <f ca="1">IFERROR(IF(0=LEN(ReferenceData!$Z$221),"",ReferenceData!$Z$221),"")</f>
        <v>5762</v>
      </c>
      <c r="AA221">
        <f ca="1">IFERROR(IF(0=LEN(ReferenceData!$AA$221),"",ReferenceData!$AA$221),"")</f>
        <v>3902</v>
      </c>
      <c r="AB221">
        <f ca="1">IFERROR(IF(0=LEN(ReferenceData!$AB$221),"",ReferenceData!$AB$221),"")</f>
        <v>4948</v>
      </c>
      <c r="AC221">
        <f ca="1">IFERROR(IF(0=LEN(ReferenceData!$AC$221),"",ReferenceData!$AC$221),"")</f>
        <v>4236</v>
      </c>
      <c r="AD221">
        <f ca="1">IFERROR(IF(0=LEN(ReferenceData!$AD$221),"",ReferenceData!$AD$221),"")</f>
        <v>2854</v>
      </c>
      <c r="AE221">
        <f ca="1">IFERROR(IF(0=LEN(ReferenceData!$AE$221),"",ReferenceData!$AE$221),"")</f>
        <v>3557</v>
      </c>
      <c r="AF221">
        <f ca="1">IFERROR(IF(0=LEN(ReferenceData!$AF$221),"",ReferenceData!$AF$221),"")</f>
        <v>4772</v>
      </c>
      <c r="AG221">
        <f ca="1">IFERROR(IF(0=LEN(ReferenceData!$AG$221),"",ReferenceData!$AG$221),"")</f>
        <v>4622</v>
      </c>
      <c r="AH221">
        <f ca="1">IFERROR(IF(0=LEN(ReferenceData!$AH$221),"",ReferenceData!$AH$221),"")</f>
        <v>5462</v>
      </c>
      <c r="AI221">
        <f ca="1">IFERROR(IF(0=LEN(ReferenceData!$AI$221),"",ReferenceData!$AI$221),"")</f>
        <v>7480</v>
      </c>
      <c r="AJ221">
        <f ca="1">IFERROR(IF(0=LEN(ReferenceData!$AJ$221),"",ReferenceData!$AJ$221),"")</f>
        <v>7732</v>
      </c>
      <c r="AK221">
        <f ca="1">IFERROR(IF(0=LEN(ReferenceData!$AK$221),"",ReferenceData!$AK$221),"")</f>
        <v>8790</v>
      </c>
      <c r="AL221">
        <f ca="1">IFERROR(IF(0=LEN(ReferenceData!$AL$221),"",ReferenceData!$AL$221),"")</f>
        <v>8115</v>
      </c>
      <c r="AM221">
        <f ca="1">IFERROR(IF(0=LEN(ReferenceData!$AM$221),"",ReferenceData!$AM$221),"")</f>
        <v>6069</v>
      </c>
      <c r="AN221">
        <f ca="1">IFERROR(IF(0=LEN(ReferenceData!$AN$221),"",ReferenceData!$AN$221),"")</f>
        <v>11642</v>
      </c>
      <c r="AO221">
        <f ca="1">IFERROR(IF(0=LEN(ReferenceData!$AO$221),"",ReferenceData!$AO$221),"")</f>
        <v>13082</v>
      </c>
      <c r="AP221">
        <f ca="1">IFERROR(IF(0=LEN(ReferenceData!$AP$221),"",ReferenceData!$AP$221),"")</f>
        <v>10620</v>
      </c>
      <c r="AQ221">
        <f ca="1">IFERROR(IF(0=LEN(ReferenceData!$AQ$221),"",ReferenceData!$AQ$221),"")</f>
        <v>8029</v>
      </c>
      <c r="AR221">
        <f ca="1">IFERROR(IF(0=LEN(ReferenceData!$AR$221),"",ReferenceData!$AR$221),"")</f>
        <v>-11046</v>
      </c>
      <c r="AS221">
        <f ca="1">IFERROR(IF(0=LEN(ReferenceData!$AS$221),"",ReferenceData!$AS$221),"")</f>
        <v>-12411</v>
      </c>
      <c r="AT221">
        <f ca="1">IFERROR(IF(0=LEN(ReferenceData!$AT$221),"",ReferenceData!$AT$221),"")</f>
        <v>-13303</v>
      </c>
      <c r="AU221">
        <f ca="1">IFERROR(IF(0=LEN(ReferenceData!$AU$221),"",ReferenceData!$AU$221),"")</f>
        <v>-10058</v>
      </c>
      <c r="AV221">
        <f ca="1">IFERROR(IF(0=LEN(ReferenceData!$AV$221),"",ReferenceData!$AV$221),"")</f>
        <v>4721</v>
      </c>
      <c r="AW221">
        <f ca="1">IFERROR(IF(0=LEN(ReferenceData!$AW$221),"",ReferenceData!$AW$221),"")</f>
        <v>6029</v>
      </c>
      <c r="AX221">
        <f ca="1">IFERROR(IF(0=LEN(ReferenceData!$AX$221),"",ReferenceData!$AX$221),"")</f>
        <v>10014</v>
      </c>
      <c r="AY221">
        <f ca="1">IFERROR(IF(0=LEN(ReferenceData!$AY$221),"",ReferenceData!$AY$221),"")</f>
        <v>9149</v>
      </c>
      <c r="AZ221">
        <f ca="1">IFERROR(IF(0=LEN(ReferenceData!$AZ$221),"",ReferenceData!$AZ$221),"")</f>
        <v>-1986</v>
      </c>
      <c r="BA221">
        <f ca="1">IFERROR(IF(0=LEN(ReferenceData!$BA$221),"",ReferenceData!$BA$221),"")</f>
        <v>-5701</v>
      </c>
      <c r="BB221">
        <f ca="1">IFERROR(IF(0=LEN(ReferenceData!$BB$221),"",ReferenceData!$BB$221),"")</f>
        <v>-1619</v>
      </c>
      <c r="BC221">
        <f ca="1">IFERROR(IF(0=LEN(ReferenceData!$BC$221),"",ReferenceData!$BC$221),"")</f>
        <v>-3715</v>
      </c>
      <c r="BD221">
        <f ca="1">IFERROR(IF(0=LEN(ReferenceData!$BD$221),"",ReferenceData!$BD$221),"")</f>
        <v>4823</v>
      </c>
      <c r="BE221">
        <f ca="1">IFERROR(IF(0=LEN(ReferenceData!$BE$221),"",ReferenceData!$BE$221),"")</f>
        <v>4565</v>
      </c>
      <c r="BF221">
        <f ca="1">IFERROR(IF(0=LEN(ReferenceData!$BF$221),"",ReferenceData!$BF$221),"")</f>
        <v>-2093</v>
      </c>
      <c r="BG221">
        <f ca="1">IFERROR(IF(0=LEN(ReferenceData!$BG$221),"",ReferenceData!$BG$221),"")</f>
        <v>1575</v>
      </c>
      <c r="BH221">
        <f ca="1">IFERROR(IF(0=LEN(ReferenceData!$BH$221),"",ReferenceData!$BH$221),"")</f>
        <v>6713</v>
      </c>
      <c r="BI221">
        <f ca="1">IFERROR(IF(0=LEN(ReferenceData!$BI$221),"",ReferenceData!$BI$221),"")</f>
        <v>12517</v>
      </c>
      <c r="BJ221">
        <f ca="1">IFERROR(IF(0=LEN(ReferenceData!$BJ$221),"",ReferenceData!$BJ$221),"")</f>
        <v>17508</v>
      </c>
      <c r="BK221">
        <f ca="1">IFERROR(IF(0=LEN(ReferenceData!$BK$221),"",ReferenceData!$BK$221),"")</f>
        <v>19699</v>
      </c>
      <c r="BL221">
        <f ca="1">IFERROR(IF(0=LEN(ReferenceData!$BL$221),"",ReferenceData!$BL$221),"")</f>
        <v>11554</v>
      </c>
      <c r="BM221">
        <f ca="1">IFERROR(IF(0=LEN(ReferenceData!$BM$221),"",ReferenceData!$BM$221),"")</f>
        <v>11229</v>
      </c>
    </row>
    <row r="222" spans="1:65" x14ac:dyDescent="0.25">
      <c r="A222" t="str">
        <f>IFERROR(IF(0=LEN(ReferenceData!$A$222),"",ReferenceData!$A$222),"")</f>
        <v xml:space="preserve">    Ford Otomotiv Sanayi AS</v>
      </c>
      <c r="B222" t="str">
        <f>IFERROR(IF(0=LEN(ReferenceData!$B$222),"",ReferenceData!$B$222),"")</f>
        <v>FROTOTRY EO Equity</v>
      </c>
      <c r="C222" t="str">
        <f>IFERROR(IF(0=LEN(ReferenceData!$C$222),"",ReferenceData!$C$222),"")</f>
        <v>RR843</v>
      </c>
      <c r="D222" t="str">
        <f>IFERROR(IF(0=LEN(ReferenceData!$D$222),"",ReferenceData!$D$222),"")</f>
        <v>TRAIL_12M_FREE_CASH_FLOW</v>
      </c>
      <c r="E222" t="str">
        <f>IFERROR(IF(0=LEN(ReferenceData!$E$222),"",ReferenceData!$E$222),"")</f>
        <v>Dynamic</v>
      </c>
      <c r="F222" t="str">
        <f ca="1">IFERROR(IF(0=LEN(ReferenceData!$F$222),"",ReferenceData!$F$222),"")</f>
        <v/>
      </c>
      <c r="G222">
        <f ca="1">IFERROR(IF(0=LEN(ReferenceData!$G$222),"",ReferenceData!$G$222),"")</f>
        <v>285.55526579999997</v>
      </c>
      <c r="H222">
        <f ca="1">IFERROR(IF(0=LEN(ReferenceData!$H$222),"",ReferenceData!$H$222),"")</f>
        <v>398.04754029999998</v>
      </c>
      <c r="I222">
        <f ca="1">IFERROR(IF(0=LEN(ReferenceData!$I$222),"",ReferenceData!$I$222),"")</f>
        <v>399.80329790000002</v>
      </c>
      <c r="J222">
        <f ca="1">IFERROR(IF(0=LEN(ReferenceData!$J$222),"",ReferenceData!$J$222),"")</f>
        <v>417.11618120000003</v>
      </c>
      <c r="K222">
        <f ca="1">IFERROR(IF(0=LEN(ReferenceData!$K$222),"",ReferenceData!$K$222),"")</f>
        <v>435.87079829999999</v>
      </c>
      <c r="L222">
        <f ca="1">IFERROR(IF(0=LEN(ReferenceData!$L$222),"",ReferenceData!$L$222),"")</f>
        <v>478.9483348</v>
      </c>
      <c r="M222">
        <f ca="1">IFERROR(IF(0=LEN(ReferenceData!$M$222),"",ReferenceData!$M$222),"")</f>
        <v>554.14256680000005</v>
      </c>
      <c r="N222">
        <f ca="1">IFERROR(IF(0=LEN(ReferenceData!$N$222),"",ReferenceData!$N$222),"")</f>
        <v>500.27399339999999</v>
      </c>
      <c r="O222">
        <f ca="1">IFERROR(IF(0=LEN(ReferenceData!$O$222),"",ReferenceData!$O$222),"")</f>
        <v>388.10390810000001</v>
      </c>
      <c r="P222">
        <f ca="1">IFERROR(IF(0=LEN(ReferenceData!$P$222),"",ReferenceData!$P$222),"")</f>
        <v>276.31893229999997</v>
      </c>
      <c r="Q222">
        <f ca="1">IFERROR(IF(0=LEN(ReferenceData!$Q$222),"",ReferenceData!$Q$222),"")</f>
        <v>410.19443009999998</v>
      </c>
      <c r="R222">
        <f ca="1">IFERROR(IF(0=LEN(ReferenceData!$R$222),"",ReferenceData!$R$222),"")</f>
        <v>271.80054810000001</v>
      </c>
      <c r="S222">
        <f ca="1">IFERROR(IF(0=LEN(ReferenceData!$S$222),"",ReferenceData!$S$222),"")</f>
        <v>344.6243278</v>
      </c>
      <c r="T222">
        <f ca="1">IFERROR(IF(0=LEN(ReferenceData!$T$222),"",ReferenceData!$T$222),"")</f>
        <v>265.94864030000002</v>
      </c>
      <c r="U222">
        <f ca="1">IFERROR(IF(0=LEN(ReferenceData!$U$222),"",ReferenceData!$U$222),"")</f>
        <v>-149.20425109999999</v>
      </c>
      <c r="V222">
        <f ca="1">IFERROR(IF(0=LEN(ReferenceData!$V$222),"",ReferenceData!$V$222),"")</f>
        <v>-26.83006692</v>
      </c>
      <c r="W222">
        <f ca="1">IFERROR(IF(0=LEN(ReferenceData!$W$222),"",ReferenceData!$W$222),"")</f>
        <v>28.633200819999999</v>
      </c>
      <c r="X222">
        <f ca="1">IFERROR(IF(0=LEN(ReferenceData!$X$222),"",ReferenceData!$X$222),"")</f>
        <v>-357.1465513</v>
      </c>
      <c r="Y222">
        <f ca="1">IFERROR(IF(0=LEN(ReferenceData!$Y$222),"",ReferenceData!$Y$222),"")</f>
        <v>-148.5665233</v>
      </c>
      <c r="Z222">
        <f ca="1">IFERROR(IF(0=LEN(ReferenceData!$Z$222),"",ReferenceData!$Z$222),"")</f>
        <v>-255.95468750000001</v>
      </c>
      <c r="AA222">
        <f ca="1">IFERROR(IF(0=LEN(ReferenceData!$AA$222),"",ReferenceData!$AA$222),"")</f>
        <v>-0.54325224599999999</v>
      </c>
      <c r="AB222">
        <f ca="1">IFERROR(IF(0=LEN(ReferenceData!$AB$222),"",ReferenceData!$AB$222),"")</f>
        <v>238.83155780000001</v>
      </c>
      <c r="AC222">
        <f ca="1">IFERROR(IF(0=LEN(ReferenceData!$AC$222),"",ReferenceData!$AC$222),"")</f>
        <v>90.992879270000003</v>
      </c>
      <c r="AD222">
        <f ca="1">IFERROR(IF(0=LEN(ReferenceData!$AD$222),"",ReferenceData!$AD$222),"")</f>
        <v>95.825005619999999</v>
      </c>
      <c r="AE222">
        <f ca="1">IFERROR(IF(0=LEN(ReferenceData!$AE$222),"",ReferenceData!$AE$222),"")</f>
        <v>-18.55136323</v>
      </c>
      <c r="AF222">
        <f ca="1">IFERROR(IF(0=LEN(ReferenceData!$AF$222),"",ReferenceData!$AF$222),"")</f>
        <v>-25.413578189999999</v>
      </c>
      <c r="AG222">
        <f ca="1">IFERROR(IF(0=LEN(ReferenceData!$AG$222),"",ReferenceData!$AG$222),"")</f>
        <v>139.0124271</v>
      </c>
      <c r="AH222">
        <f ca="1">IFERROR(IF(0=LEN(ReferenceData!$AH$222),"",ReferenceData!$AH$222),"")</f>
        <v>171.76079770000001</v>
      </c>
      <c r="AI222">
        <f ca="1">IFERROR(IF(0=LEN(ReferenceData!$AI$222),"",ReferenceData!$AI$222),"")</f>
        <v>340.32205260000001</v>
      </c>
      <c r="AJ222">
        <f ca="1">IFERROR(IF(0=LEN(ReferenceData!$AJ$222),"",ReferenceData!$AJ$222),"")</f>
        <v>336.12737390000001</v>
      </c>
      <c r="AK222">
        <f ca="1">IFERROR(IF(0=LEN(ReferenceData!$AK$222),"",ReferenceData!$AK$222),"")</f>
        <v>420.89999039999998</v>
      </c>
      <c r="AL222">
        <f ca="1">IFERROR(IF(0=LEN(ReferenceData!$AL$222),"",ReferenceData!$AL$222),"")</f>
        <v>436.38638900000001</v>
      </c>
      <c r="AM222">
        <f ca="1">IFERROR(IF(0=LEN(ReferenceData!$AM$222),"",ReferenceData!$AM$222),"")</f>
        <v>265.3793842</v>
      </c>
      <c r="AN222">
        <f ca="1">IFERROR(IF(0=LEN(ReferenceData!$AN$222),"",ReferenceData!$AN$222),"")</f>
        <v>383.1943058</v>
      </c>
      <c r="AO222">
        <f ca="1">IFERROR(IF(0=LEN(ReferenceData!$AO$222),"",ReferenceData!$AO$222),"")</f>
        <v>251.28722690000001</v>
      </c>
      <c r="AP222">
        <f ca="1">IFERROR(IF(0=LEN(ReferenceData!$AP$222),"",ReferenceData!$AP$222),"")</f>
        <v>324.66299199999997</v>
      </c>
      <c r="AQ222">
        <f ca="1">IFERROR(IF(0=LEN(ReferenceData!$AQ$222),"",ReferenceData!$AQ$222),"")</f>
        <v>316.08702269999998</v>
      </c>
      <c r="AR222">
        <f ca="1">IFERROR(IF(0=LEN(ReferenceData!$AR$222),"",ReferenceData!$AR$222),"")</f>
        <v>177.73331329999999</v>
      </c>
      <c r="AS222">
        <f ca="1">IFERROR(IF(0=LEN(ReferenceData!$AS$222),"",ReferenceData!$AS$222),"")</f>
        <v>484.51653809999999</v>
      </c>
      <c r="AT222">
        <f ca="1">IFERROR(IF(0=LEN(ReferenceData!$AT$222),"",ReferenceData!$AT$222),"")</f>
        <v>469.73453469999998</v>
      </c>
      <c r="AU222">
        <f ca="1">IFERROR(IF(0=LEN(ReferenceData!$AU$222),"",ReferenceData!$AU$222),"")</f>
        <v>351.1292052</v>
      </c>
      <c r="AV222">
        <f ca="1">IFERROR(IF(0=LEN(ReferenceData!$AV$222),"",ReferenceData!$AV$222),"")</f>
        <v>624.02878239999995</v>
      </c>
      <c r="AW222">
        <f ca="1">IFERROR(IF(0=LEN(ReferenceData!$AW$222),"",ReferenceData!$AW$222),"")</f>
        <v>450.45793079999999</v>
      </c>
      <c r="AX222">
        <f ca="1">IFERROR(IF(0=LEN(ReferenceData!$AX$222),"",ReferenceData!$AX$222),"")</f>
        <v>580.22013430000004</v>
      </c>
      <c r="AY222">
        <f ca="1">IFERROR(IF(0=LEN(ReferenceData!$AY$222),"",ReferenceData!$AY$222),"")</f>
        <v>444.77399700000001</v>
      </c>
      <c r="AZ222">
        <f ca="1">IFERROR(IF(0=LEN(ReferenceData!$AZ$222),"",ReferenceData!$AZ$222),"")</f>
        <v>314.81138579999998</v>
      </c>
      <c r="BA222">
        <f ca="1">IFERROR(IF(0=LEN(ReferenceData!$BA$222),"",ReferenceData!$BA$222),"")</f>
        <v>201.265263</v>
      </c>
      <c r="BB222">
        <f ca="1">IFERROR(IF(0=LEN(ReferenceData!$BB$222),"",ReferenceData!$BB$222),"")</f>
        <v>124.5364888</v>
      </c>
      <c r="BC222">
        <f ca="1">IFERROR(IF(0=LEN(ReferenceData!$BC$222),"",ReferenceData!$BC$222),"")</f>
        <v>240.68070090000001</v>
      </c>
      <c r="BD222">
        <f ca="1">IFERROR(IF(0=LEN(ReferenceData!$BD$222),"",ReferenceData!$BD$222),"")</f>
        <v>196.62626209999999</v>
      </c>
      <c r="BE222">
        <f ca="1">IFERROR(IF(0=LEN(ReferenceData!$BE$222),"",ReferenceData!$BE$222),"")</f>
        <v>285.44342410000002</v>
      </c>
      <c r="BF222">
        <f ca="1">IFERROR(IF(0=LEN(ReferenceData!$BF$222),"",ReferenceData!$BF$222),"")</f>
        <v>444.50612910000001</v>
      </c>
      <c r="BG222">
        <f ca="1">IFERROR(IF(0=LEN(ReferenceData!$BG$222),"",ReferenceData!$BG$222),"")</f>
        <v>329.36121059999999</v>
      </c>
      <c r="BH222" t="str">
        <f ca="1">IFERROR(IF(0=LEN(ReferenceData!$BH$222),"",ReferenceData!$BH$222),"")</f>
        <v/>
      </c>
      <c r="BI222" t="str">
        <f ca="1">IFERROR(IF(0=LEN(ReferenceData!$BI$222),"",ReferenceData!$BI$222),"")</f>
        <v/>
      </c>
      <c r="BJ222" t="str">
        <f ca="1">IFERROR(IF(0=LEN(ReferenceData!$BJ$222),"",ReferenceData!$BJ$222),"")</f>
        <v/>
      </c>
      <c r="BK222" t="str">
        <f ca="1">IFERROR(IF(0=LEN(ReferenceData!$BK$222),"",ReferenceData!$BK$222),"")</f>
        <v/>
      </c>
      <c r="BL222" t="str">
        <f ca="1">IFERROR(IF(0=LEN(ReferenceData!$BL$222),"",ReferenceData!$BL$222),"")</f>
        <v/>
      </c>
      <c r="BM222" t="str">
        <f ca="1">IFERROR(IF(0=LEN(ReferenceData!$BM$222),"",ReferenceData!$BM$222),"")</f>
        <v/>
      </c>
    </row>
    <row r="223" spans="1:65" x14ac:dyDescent="0.25">
      <c r="A223" t="str">
        <f>IFERROR(IF(0=LEN(ReferenceData!$A$223),"",ReferenceData!$A$223),"")</f>
        <v xml:space="preserve">    GAZ PJSC</v>
      </c>
      <c r="B223" t="str">
        <f>IFERROR(IF(0=LEN(ReferenceData!$B$223),"",ReferenceData!$B$223),"")</f>
        <v>GAZA RM Equity</v>
      </c>
      <c r="C223" t="str">
        <f>IFERROR(IF(0=LEN(ReferenceData!$C$223),"",ReferenceData!$C$223),"")</f>
        <v>RR843</v>
      </c>
      <c r="D223" t="str">
        <f>IFERROR(IF(0=LEN(ReferenceData!$D$223),"",ReferenceData!$D$223),"")</f>
        <v>TRAIL_12M_FREE_CASH_FLOW</v>
      </c>
      <c r="E223" t="str">
        <f>IFERROR(IF(0=LEN(ReferenceData!$E$223),"",ReferenceData!$E$223),"")</f>
        <v>Dynamic</v>
      </c>
      <c r="F223" t="str">
        <f ca="1">IFERROR(IF(0=LEN(ReferenceData!$F$223),"",ReferenceData!$F$223),"")</f>
        <v/>
      </c>
      <c r="G223" t="str">
        <f ca="1">IFERROR(IF(0=LEN(ReferenceData!$G$223),"",ReferenceData!$G$223),"")</f>
        <v/>
      </c>
      <c r="H223" t="str">
        <f ca="1">IFERROR(IF(0=LEN(ReferenceData!$H$223),"",ReferenceData!$H$223),"")</f>
        <v/>
      </c>
      <c r="I223" t="str">
        <f ca="1">IFERROR(IF(0=LEN(ReferenceData!$I$223),"",ReferenceData!$I$223),"")</f>
        <v/>
      </c>
      <c r="J223" t="str">
        <f ca="1">IFERROR(IF(0=LEN(ReferenceData!$J$223),"",ReferenceData!$J$223),"")</f>
        <v/>
      </c>
      <c r="K223" t="str">
        <f ca="1">IFERROR(IF(0=LEN(ReferenceData!$K$223),"",ReferenceData!$K$223),"")</f>
        <v/>
      </c>
      <c r="L223" t="str">
        <f ca="1">IFERROR(IF(0=LEN(ReferenceData!$L$223),"",ReferenceData!$L$223),"")</f>
        <v/>
      </c>
      <c r="M223" t="str">
        <f ca="1">IFERROR(IF(0=LEN(ReferenceData!$M$223),"",ReferenceData!$M$223),"")</f>
        <v/>
      </c>
      <c r="N223" t="str">
        <f ca="1">IFERROR(IF(0=LEN(ReferenceData!$N$223),"",ReferenceData!$N$223),"")</f>
        <v/>
      </c>
      <c r="O223" t="str">
        <f ca="1">IFERROR(IF(0=LEN(ReferenceData!$O$223),"",ReferenceData!$O$223),"")</f>
        <v/>
      </c>
      <c r="P223" t="str">
        <f ca="1">IFERROR(IF(0=LEN(ReferenceData!$P$223),"",ReferenceData!$P$223),"")</f>
        <v/>
      </c>
      <c r="Q223" t="str">
        <f ca="1">IFERROR(IF(0=LEN(ReferenceData!$Q$223),"",ReferenceData!$Q$223),"")</f>
        <v/>
      </c>
      <c r="R223" t="str">
        <f ca="1">IFERROR(IF(0=LEN(ReferenceData!$R$223),"",ReferenceData!$R$223),"")</f>
        <v/>
      </c>
      <c r="S223" t="str">
        <f ca="1">IFERROR(IF(0=LEN(ReferenceData!$S$223),"",ReferenceData!$S$223),"")</f>
        <v/>
      </c>
      <c r="T223" t="str">
        <f ca="1">IFERROR(IF(0=LEN(ReferenceData!$T$223),"",ReferenceData!$T$223),"")</f>
        <v/>
      </c>
      <c r="U223" t="str">
        <f ca="1">IFERROR(IF(0=LEN(ReferenceData!$U$223),"",ReferenceData!$U$223),"")</f>
        <v/>
      </c>
      <c r="V223" t="str">
        <f ca="1">IFERROR(IF(0=LEN(ReferenceData!$V$223),"",ReferenceData!$V$223),"")</f>
        <v/>
      </c>
      <c r="W223" t="str">
        <f ca="1">IFERROR(IF(0=LEN(ReferenceData!$W$223),"",ReferenceData!$W$223),"")</f>
        <v/>
      </c>
      <c r="X223" t="str">
        <f ca="1">IFERROR(IF(0=LEN(ReferenceData!$X$223),"",ReferenceData!$X$223),"")</f>
        <v/>
      </c>
      <c r="Y223" t="str">
        <f ca="1">IFERROR(IF(0=LEN(ReferenceData!$Y$223),"",ReferenceData!$Y$223),"")</f>
        <v/>
      </c>
      <c r="Z223" t="str">
        <f ca="1">IFERROR(IF(0=LEN(ReferenceData!$Z$223),"",ReferenceData!$Z$223),"")</f>
        <v/>
      </c>
      <c r="AA223" t="str">
        <f ca="1">IFERROR(IF(0=LEN(ReferenceData!$AA$223),"",ReferenceData!$AA$223),"")</f>
        <v/>
      </c>
      <c r="AB223" t="str">
        <f ca="1">IFERROR(IF(0=LEN(ReferenceData!$AB$223),"",ReferenceData!$AB$223),"")</f>
        <v/>
      </c>
      <c r="AC223" t="str">
        <f ca="1">IFERROR(IF(0=LEN(ReferenceData!$AC$223),"",ReferenceData!$AC$223),"")</f>
        <v/>
      </c>
      <c r="AD223" t="str">
        <f ca="1">IFERROR(IF(0=LEN(ReferenceData!$AD$223),"",ReferenceData!$AD$223),"")</f>
        <v/>
      </c>
      <c r="AE223" t="str">
        <f ca="1">IFERROR(IF(0=LEN(ReferenceData!$AE$223),"",ReferenceData!$AE$223),"")</f>
        <v/>
      </c>
      <c r="AF223" t="str">
        <f ca="1">IFERROR(IF(0=LEN(ReferenceData!$AF$223),"",ReferenceData!$AF$223),"")</f>
        <v/>
      </c>
      <c r="AG223" t="str">
        <f ca="1">IFERROR(IF(0=LEN(ReferenceData!$AG$223),"",ReferenceData!$AG$223),"")</f>
        <v/>
      </c>
      <c r="AH223" t="str">
        <f ca="1">IFERROR(IF(0=LEN(ReferenceData!$AH$223),"",ReferenceData!$AH$223),"")</f>
        <v/>
      </c>
      <c r="AI223" t="str">
        <f ca="1">IFERROR(IF(0=LEN(ReferenceData!$AI$223),"",ReferenceData!$AI$223),"")</f>
        <v/>
      </c>
      <c r="AJ223" t="str">
        <f ca="1">IFERROR(IF(0=LEN(ReferenceData!$AJ$223),"",ReferenceData!$AJ$223),"")</f>
        <v/>
      </c>
      <c r="AK223" t="str">
        <f ca="1">IFERROR(IF(0=LEN(ReferenceData!$AK$223),"",ReferenceData!$AK$223),"")</f>
        <v/>
      </c>
      <c r="AL223" t="str">
        <f ca="1">IFERROR(IF(0=LEN(ReferenceData!$AL$223),"",ReferenceData!$AL$223),"")</f>
        <v/>
      </c>
      <c r="AM223" t="str">
        <f ca="1">IFERROR(IF(0=LEN(ReferenceData!$AM$223),"",ReferenceData!$AM$223),"")</f>
        <v/>
      </c>
      <c r="AN223" t="str">
        <f ca="1">IFERROR(IF(0=LEN(ReferenceData!$AN$223),"",ReferenceData!$AN$223),"")</f>
        <v/>
      </c>
      <c r="AO223" t="str">
        <f ca="1">IFERROR(IF(0=LEN(ReferenceData!$AO$223),"",ReferenceData!$AO$223),"")</f>
        <v/>
      </c>
      <c r="AP223" t="str">
        <f ca="1">IFERROR(IF(0=LEN(ReferenceData!$AP$223),"",ReferenceData!$AP$223),"")</f>
        <v/>
      </c>
      <c r="AQ223" t="str">
        <f ca="1">IFERROR(IF(0=LEN(ReferenceData!$AQ$223),"",ReferenceData!$AQ$223),"")</f>
        <v/>
      </c>
      <c r="AR223" t="str">
        <f ca="1">IFERROR(IF(0=LEN(ReferenceData!$AR$223),"",ReferenceData!$AR$223),"")</f>
        <v/>
      </c>
      <c r="AS223" t="str">
        <f ca="1">IFERROR(IF(0=LEN(ReferenceData!$AS$223),"",ReferenceData!$AS$223),"")</f>
        <v/>
      </c>
      <c r="AT223" t="str">
        <f ca="1">IFERROR(IF(0=LEN(ReferenceData!$AT$223),"",ReferenceData!$AT$223),"")</f>
        <v/>
      </c>
      <c r="AU223" t="str">
        <f ca="1">IFERROR(IF(0=LEN(ReferenceData!$AU$223),"",ReferenceData!$AU$223),"")</f>
        <v/>
      </c>
      <c r="AV223" t="str">
        <f ca="1">IFERROR(IF(0=LEN(ReferenceData!$AV$223),"",ReferenceData!$AV$223),"")</f>
        <v/>
      </c>
      <c r="AW223" t="str">
        <f ca="1">IFERROR(IF(0=LEN(ReferenceData!$AW$223),"",ReferenceData!$AW$223),"")</f>
        <v/>
      </c>
      <c r="AX223" t="str">
        <f ca="1">IFERROR(IF(0=LEN(ReferenceData!$AX$223),"",ReferenceData!$AX$223),"")</f>
        <v/>
      </c>
      <c r="AY223" t="str">
        <f ca="1">IFERROR(IF(0=LEN(ReferenceData!$AY$223),"",ReferenceData!$AY$223),"")</f>
        <v/>
      </c>
      <c r="AZ223" t="str">
        <f ca="1">IFERROR(IF(0=LEN(ReferenceData!$AZ$223),"",ReferenceData!$AZ$223),"")</f>
        <v/>
      </c>
      <c r="BA223" t="str">
        <f ca="1">IFERROR(IF(0=LEN(ReferenceData!$BA$223),"",ReferenceData!$BA$223),"")</f>
        <v/>
      </c>
      <c r="BB223" t="str">
        <f ca="1">IFERROR(IF(0=LEN(ReferenceData!$BB$223),"",ReferenceData!$BB$223),"")</f>
        <v/>
      </c>
      <c r="BC223" t="str">
        <f ca="1">IFERROR(IF(0=LEN(ReferenceData!$BC$223),"",ReferenceData!$BC$223),"")</f>
        <v/>
      </c>
      <c r="BD223" t="str">
        <f ca="1">IFERROR(IF(0=LEN(ReferenceData!$BD$223),"",ReferenceData!$BD$223),"")</f>
        <v/>
      </c>
      <c r="BE223" t="str">
        <f ca="1">IFERROR(IF(0=LEN(ReferenceData!$BE$223),"",ReferenceData!$BE$223),"")</f>
        <v/>
      </c>
      <c r="BF223" t="str">
        <f ca="1">IFERROR(IF(0=LEN(ReferenceData!$BF$223),"",ReferenceData!$BF$223),"")</f>
        <v/>
      </c>
      <c r="BG223" t="str">
        <f ca="1">IFERROR(IF(0=LEN(ReferenceData!$BG$223),"",ReferenceData!$BG$223),"")</f>
        <v/>
      </c>
      <c r="BH223" t="str">
        <f ca="1">IFERROR(IF(0=LEN(ReferenceData!$BH$223),"",ReferenceData!$BH$223),"")</f>
        <v/>
      </c>
      <c r="BI223" t="str">
        <f ca="1">IFERROR(IF(0=LEN(ReferenceData!$BI$223),"",ReferenceData!$BI$223),"")</f>
        <v/>
      </c>
      <c r="BJ223" t="str">
        <f ca="1">IFERROR(IF(0=LEN(ReferenceData!$BJ$223),"",ReferenceData!$BJ$223),"")</f>
        <v/>
      </c>
      <c r="BK223" t="str">
        <f ca="1">IFERROR(IF(0=LEN(ReferenceData!$BK$223),"",ReferenceData!$BK$223),"")</f>
        <v/>
      </c>
      <c r="BL223" t="str">
        <f ca="1">IFERROR(IF(0=LEN(ReferenceData!$BL$223),"",ReferenceData!$BL$223),"")</f>
        <v/>
      </c>
      <c r="BM223" t="str">
        <f ca="1">IFERROR(IF(0=LEN(ReferenceData!$BM$223),"",ReferenceData!$BM$223),"")</f>
        <v/>
      </c>
    </row>
    <row r="224" spans="1:65" x14ac:dyDescent="0.25">
      <c r="A224" t="str">
        <f>IFERROR(IF(0=LEN(ReferenceData!$A$224),"",ReferenceData!$A$224),"")</f>
        <v xml:space="preserve">    Geely Automobile Holdings Ltd</v>
      </c>
      <c r="B224" t="str">
        <f>IFERROR(IF(0=LEN(ReferenceData!$B$224),"",ReferenceData!$B$224),"")</f>
        <v>175 HK Equity</v>
      </c>
      <c r="C224" t="str">
        <f>IFERROR(IF(0=LEN(ReferenceData!$C$224),"",ReferenceData!$C$224),"")</f>
        <v>RR843</v>
      </c>
      <c r="D224" t="str">
        <f>IFERROR(IF(0=LEN(ReferenceData!$D$224),"",ReferenceData!$D$224),"")</f>
        <v>TRAIL_12M_FREE_CASH_FLOW</v>
      </c>
      <c r="E224" t="str">
        <f>IFERROR(IF(0=LEN(ReferenceData!$E$224),"",ReferenceData!$E$224),"")</f>
        <v>Dynamic</v>
      </c>
      <c r="F224" t="str">
        <f ca="1">IFERROR(IF(0=LEN(ReferenceData!$F$224),"",ReferenceData!$F$224),"")</f>
        <v/>
      </c>
      <c r="G224" t="str">
        <f ca="1">IFERROR(IF(0=LEN(ReferenceData!$G$224),"",ReferenceData!$G$224),"")</f>
        <v/>
      </c>
      <c r="H224" t="str">
        <f ca="1">IFERROR(IF(0=LEN(ReferenceData!$H$224),"",ReferenceData!$H$224),"")</f>
        <v/>
      </c>
      <c r="I224" t="str">
        <f ca="1">IFERROR(IF(0=LEN(ReferenceData!$I$224),"",ReferenceData!$I$224),"")</f>
        <v/>
      </c>
      <c r="J224" t="str">
        <f ca="1">IFERROR(IF(0=LEN(ReferenceData!$J$224),"",ReferenceData!$J$224),"")</f>
        <v/>
      </c>
      <c r="K224" t="str">
        <f ca="1">IFERROR(IF(0=LEN(ReferenceData!$K$224),"",ReferenceData!$K$224),"")</f>
        <v/>
      </c>
      <c r="L224" t="str">
        <f ca="1">IFERROR(IF(0=LEN(ReferenceData!$L$224),"",ReferenceData!$L$224),"")</f>
        <v/>
      </c>
      <c r="M224" t="str">
        <f ca="1">IFERROR(IF(0=LEN(ReferenceData!$M$224),"",ReferenceData!$M$224),"")</f>
        <v/>
      </c>
      <c r="N224" t="str">
        <f ca="1">IFERROR(IF(0=LEN(ReferenceData!$N$224),"",ReferenceData!$N$224),"")</f>
        <v/>
      </c>
      <c r="O224" t="str">
        <f ca="1">IFERROR(IF(0=LEN(ReferenceData!$O$224),"",ReferenceData!$O$224),"")</f>
        <v/>
      </c>
      <c r="P224" t="str">
        <f ca="1">IFERROR(IF(0=LEN(ReferenceData!$P$224),"",ReferenceData!$P$224),"")</f>
        <v/>
      </c>
      <c r="Q224" t="str">
        <f ca="1">IFERROR(IF(0=LEN(ReferenceData!$Q$224),"",ReferenceData!$Q$224),"")</f>
        <v/>
      </c>
      <c r="R224" t="str">
        <f ca="1">IFERROR(IF(0=LEN(ReferenceData!$R$224),"",ReferenceData!$R$224),"")</f>
        <v/>
      </c>
      <c r="S224" t="str">
        <f ca="1">IFERROR(IF(0=LEN(ReferenceData!$S$224),"",ReferenceData!$S$224),"")</f>
        <v/>
      </c>
      <c r="T224" t="str">
        <f ca="1">IFERROR(IF(0=LEN(ReferenceData!$T$224),"",ReferenceData!$T$224),"")</f>
        <v/>
      </c>
      <c r="U224" t="str">
        <f ca="1">IFERROR(IF(0=LEN(ReferenceData!$U$224),"",ReferenceData!$U$224),"")</f>
        <v/>
      </c>
      <c r="V224" t="str">
        <f ca="1">IFERROR(IF(0=LEN(ReferenceData!$V$224),"",ReferenceData!$V$224),"")</f>
        <v/>
      </c>
      <c r="W224" t="str">
        <f ca="1">IFERROR(IF(0=LEN(ReferenceData!$W$224),"",ReferenceData!$W$224),"")</f>
        <v/>
      </c>
      <c r="X224" t="str">
        <f ca="1">IFERROR(IF(0=LEN(ReferenceData!$X$224),"",ReferenceData!$X$224),"")</f>
        <v/>
      </c>
      <c r="Y224" t="str">
        <f ca="1">IFERROR(IF(0=LEN(ReferenceData!$Y$224),"",ReferenceData!$Y$224),"")</f>
        <v/>
      </c>
      <c r="Z224" t="str">
        <f ca="1">IFERROR(IF(0=LEN(ReferenceData!$Z$224),"",ReferenceData!$Z$224),"")</f>
        <v/>
      </c>
      <c r="AA224" t="str">
        <f ca="1">IFERROR(IF(0=LEN(ReferenceData!$AA$224),"",ReferenceData!$AA$224),"")</f>
        <v/>
      </c>
      <c r="AB224" t="str">
        <f ca="1">IFERROR(IF(0=LEN(ReferenceData!$AB$224),"",ReferenceData!$AB$224),"")</f>
        <v/>
      </c>
      <c r="AC224" t="str">
        <f ca="1">IFERROR(IF(0=LEN(ReferenceData!$AC$224),"",ReferenceData!$AC$224),"")</f>
        <v/>
      </c>
      <c r="AD224" t="str">
        <f ca="1">IFERROR(IF(0=LEN(ReferenceData!$AD$224),"",ReferenceData!$AD$224),"")</f>
        <v/>
      </c>
      <c r="AE224" t="str">
        <f ca="1">IFERROR(IF(0=LEN(ReferenceData!$AE$224),"",ReferenceData!$AE$224),"")</f>
        <v/>
      </c>
      <c r="AF224" t="str">
        <f ca="1">IFERROR(IF(0=LEN(ReferenceData!$AF$224),"",ReferenceData!$AF$224),"")</f>
        <v/>
      </c>
      <c r="AG224" t="str">
        <f ca="1">IFERROR(IF(0=LEN(ReferenceData!$AG$224),"",ReferenceData!$AG$224),"")</f>
        <v/>
      </c>
      <c r="AH224" t="str">
        <f ca="1">IFERROR(IF(0=LEN(ReferenceData!$AH$224),"",ReferenceData!$AH$224),"")</f>
        <v/>
      </c>
      <c r="AI224" t="str">
        <f ca="1">IFERROR(IF(0=LEN(ReferenceData!$AI$224),"",ReferenceData!$AI$224),"")</f>
        <v/>
      </c>
      <c r="AJ224" t="str">
        <f ca="1">IFERROR(IF(0=LEN(ReferenceData!$AJ$224),"",ReferenceData!$AJ$224),"")</f>
        <v/>
      </c>
      <c r="AK224" t="str">
        <f ca="1">IFERROR(IF(0=LEN(ReferenceData!$AK$224),"",ReferenceData!$AK$224),"")</f>
        <v/>
      </c>
      <c r="AL224" t="str">
        <f ca="1">IFERROR(IF(0=LEN(ReferenceData!$AL$224),"",ReferenceData!$AL$224),"")</f>
        <v/>
      </c>
      <c r="AM224" t="str">
        <f ca="1">IFERROR(IF(0=LEN(ReferenceData!$AM$224),"",ReferenceData!$AM$224),"")</f>
        <v/>
      </c>
      <c r="AN224" t="str">
        <f ca="1">IFERROR(IF(0=LEN(ReferenceData!$AN$224),"",ReferenceData!$AN$224),"")</f>
        <v/>
      </c>
      <c r="AO224" t="str">
        <f ca="1">IFERROR(IF(0=LEN(ReferenceData!$AO$224),"",ReferenceData!$AO$224),"")</f>
        <v/>
      </c>
      <c r="AP224" t="str">
        <f ca="1">IFERROR(IF(0=LEN(ReferenceData!$AP$224),"",ReferenceData!$AP$224),"")</f>
        <v/>
      </c>
      <c r="AQ224" t="str">
        <f ca="1">IFERROR(IF(0=LEN(ReferenceData!$AQ$224),"",ReferenceData!$AQ$224),"")</f>
        <v/>
      </c>
      <c r="AR224" t="str">
        <f ca="1">IFERROR(IF(0=LEN(ReferenceData!$AR$224),"",ReferenceData!$AR$224),"")</f>
        <v/>
      </c>
      <c r="AS224" t="str">
        <f ca="1">IFERROR(IF(0=LEN(ReferenceData!$AS$224),"",ReferenceData!$AS$224),"")</f>
        <v/>
      </c>
      <c r="AT224" t="str">
        <f ca="1">IFERROR(IF(0=LEN(ReferenceData!$AT$224),"",ReferenceData!$AT$224),"")</f>
        <v/>
      </c>
      <c r="AU224" t="str">
        <f ca="1">IFERROR(IF(0=LEN(ReferenceData!$AU$224),"",ReferenceData!$AU$224),"")</f>
        <v/>
      </c>
      <c r="AV224" t="str">
        <f ca="1">IFERROR(IF(0=LEN(ReferenceData!$AV$224),"",ReferenceData!$AV$224),"")</f>
        <v/>
      </c>
      <c r="AW224" t="str">
        <f ca="1">IFERROR(IF(0=LEN(ReferenceData!$AW$224),"",ReferenceData!$AW$224),"")</f>
        <v/>
      </c>
      <c r="AX224" t="str">
        <f ca="1">IFERROR(IF(0=LEN(ReferenceData!$AX$224),"",ReferenceData!$AX$224),"")</f>
        <v/>
      </c>
      <c r="AY224" t="str">
        <f ca="1">IFERROR(IF(0=LEN(ReferenceData!$AY$224),"",ReferenceData!$AY$224),"")</f>
        <v/>
      </c>
      <c r="AZ224" t="str">
        <f ca="1">IFERROR(IF(0=LEN(ReferenceData!$AZ$224),"",ReferenceData!$AZ$224),"")</f>
        <v/>
      </c>
      <c r="BA224" t="str">
        <f ca="1">IFERROR(IF(0=LEN(ReferenceData!$BA$224),"",ReferenceData!$BA$224),"")</f>
        <v/>
      </c>
      <c r="BB224" t="str">
        <f ca="1">IFERROR(IF(0=LEN(ReferenceData!$BB$224),"",ReferenceData!$BB$224),"")</f>
        <v/>
      </c>
      <c r="BC224" t="str">
        <f ca="1">IFERROR(IF(0=LEN(ReferenceData!$BC$224),"",ReferenceData!$BC$224),"")</f>
        <v/>
      </c>
      <c r="BD224" t="str">
        <f ca="1">IFERROR(IF(0=LEN(ReferenceData!$BD$224),"",ReferenceData!$BD$224),"")</f>
        <v/>
      </c>
      <c r="BE224" t="str">
        <f ca="1">IFERROR(IF(0=LEN(ReferenceData!$BE$224),"",ReferenceData!$BE$224),"")</f>
        <v/>
      </c>
      <c r="BF224" t="str">
        <f ca="1">IFERROR(IF(0=LEN(ReferenceData!$BF$224),"",ReferenceData!$BF$224),"")</f>
        <v/>
      </c>
      <c r="BG224" t="str">
        <f ca="1">IFERROR(IF(0=LEN(ReferenceData!$BG$224),"",ReferenceData!$BG$224),"")</f>
        <v/>
      </c>
      <c r="BH224" t="str">
        <f ca="1">IFERROR(IF(0=LEN(ReferenceData!$BH$224),"",ReferenceData!$BH$224),"")</f>
        <v/>
      </c>
      <c r="BI224" t="str">
        <f ca="1">IFERROR(IF(0=LEN(ReferenceData!$BI$224),"",ReferenceData!$BI$224),"")</f>
        <v/>
      </c>
      <c r="BJ224" t="str">
        <f ca="1">IFERROR(IF(0=LEN(ReferenceData!$BJ$224),"",ReferenceData!$BJ$224),"")</f>
        <v/>
      </c>
      <c r="BK224" t="str">
        <f ca="1">IFERROR(IF(0=LEN(ReferenceData!$BK$224),"",ReferenceData!$BK$224),"")</f>
        <v/>
      </c>
      <c r="BL224" t="str">
        <f ca="1">IFERROR(IF(0=LEN(ReferenceData!$BL$224),"",ReferenceData!$BL$224),"")</f>
        <v/>
      </c>
      <c r="BM224" t="str">
        <f ca="1">IFERROR(IF(0=LEN(ReferenceData!$BM$224),"",ReferenceData!$BM$224),"")</f>
        <v/>
      </c>
    </row>
    <row r="225" spans="1:65" x14ac:dyDescent="0.25">
      <c r="A225" t="str">
        <f>IFERROR(IF(0=LEN(ReferenceData!$A$225),"",ReferenceData!$A$225),"")</f>
        <v xml:space="preserve">    General Motors Co</v>
      </c>
      <c r="B225" t="str">
        <f>IFERROR(IF(0=LEN(ReferenceData!$B$225),"",ReferenceData!$B$225),"")</f>
        <v>GM US Equity</v>
      </c>
      <c r="C225" t="str">
        <f>IFERROR(IF(0=LEN(ReferenceData!$C$225),"",ReferenceData!$C$225),"")</f>
        <v>RR843</v>
      </c>
      <c r="D225" t="str">
        <f>IFERROR(IF(0=LEN(ReferenceData!$D$225),"",ReferenceData!$D$225),"")</f>
        <v>TRAIL_12M_FREE_CASH_FLOW</v>
      </c>
      <c r="E225" t="str">
        <f>IFERROR(IF(0=LEN(ReferenceData!$E$225),"",ReferenceData!$E$225),"")</f>
        <v>Dynamic</v>
      </c>
      <c r="F225" t="str">
        <f ca="1">IFERROR(IF(0=LEN(ReferenceData!$F$225),"",ReferenceData!$F$225),"")</f>
        <v/>
      </c>
      <c r="G225">
        <f ca="1">IFERROR(IF(0=LEN(ReferenceData!$G$225),"",ReferenceData!$G$225),"")</f>
        <v>6495</v>
      </c>
      <c r="H225">
        <f ca="1">IFERROR(IF(0=LEN(ReferenceData!$H$225),"",ReferenceData!$H$225),"")</f>
        <v>7452</v>
      </c>
      <c r="I225">
        <f ca="1">IFERROR(IF(0=LEN(ReferenceData!$I$225),"",ReferenceData!$I$225),"")</f>
        <v>6704</v>
      </c>
      <c r="J225">
        <f ca="1">IFERROR(IF(0=LEN(ReferenceData!$J$225),"",ReferenceData!$J$225),"")</f>
        <v>6740</v>
      </c>
      <c r="K225">
        <f ca="1">IFERROR(IF(0=LEN(ReferenceData!$K$225),"",ReferenceData!$K$225),"")</f>
        <v>8875</v>
      </c>
      <c r="L225">
        <f ca="1">IFERROR(IF(0=LEN(ReferenceData!$L$225),"",ReferenceData!$L$225),"")</f>
        <v>5823</v>
      </c>
      <c r="M225">
        <f ca="1">IFERROR(IF(0=LEN(ReferenceData!$M$225),"",ReferenceData!$M$225),"")</f>
        <v>9553</v>
      </c>
      <c r="N225">
        <f ca="1">IFERROR(IF(0=LEN(ReferenceData!$N$225),"",ReferenceData!$N$225),"")</f>
        <v>10927</v>
      </c>
      <c r="O225">
        <f ca="1">IFERROR(IF(0=LEN(ReferenceData!$O$225),"",ReferenceData!$O$225),"")</f>
        <v>8223</v>
      </c>
      <c r="P225">
        <f ca="1">IFERROR(IF(0=LEN(ReferenceData!$P$225),"",ReferenceData!$P$225),"")</f>
        <v>6159</v>
      </c>
      <c r="Q225">
        <f ca="1">IFERROR(IF(0=LEN(ReferenceData!$Q$225),"",ReferenceData!$Q$225),"")</f>
        <v>3188</v>
      </c>
      <c r="R225">
        <f ca="1">IFERROR(IF(0=LEN(ReferenceData!$R$225),"",ReferenceData!$R$225),"")</f>
        <v>2733</v>
      </c>
      <c r="S225">
        <f ca="1">IFERROR(IF(0=LEN(ReferenceData!$S$225),"",ReferenceData!$S$225),"")</f>
        <v>3817</v>
      </c>
      <c r="T225">
        <f ca="1">IFERROR(IF(0=LEN(ReferenceData!$T$225),"",ReferenceData!$T$225),"")</f>
        <v>5310</v>
      </c>
      <c r="U225">
        <f ca="1">IFERROR(IF(0=LEN(ReferenceData!$U$225),"",ReferenceData!$U$225),"")</f>
        <v>3261</v>
      </c>
      <c r="V225">
        <f ca="1">IFERROR(IF(0=LEN(ReferenceData!$V$225),"",ReferenceData!$V$225),"")</f>
        <v>1444</v>
      </c>
      <c r="W225">
        <f ca="1">IFERROR(IF(0=LEN(ReferenceData!$W$225),"",ReferenceData!$W$225),"")</f>
        <v>2970</v>
      </c>
      <c r="X225">
        <f ca="1">IFERROR(IF(0=LEN(ReferenceData!$X$225),"",ReferenceData!$X$225),"")</f>
        <v>3078</v>
      </c>
      <c r="Y225">
        <f ca="1">IFERROR(IF(0=LEN(ReferenceData!$Y$225),"",ReferenceData!$Y$225),"")</f>
        <v>5567</v>
      </c>
      <c r="Z225">
        <f ca="1">IFERROR(IF(0=LEN(ReferenceData!$Z$225),"",ReferenceData!$Z$225),"")</f>
        <v>6403</v>
      </c>
      <c r="AA225">
        <f ca="1">IFERROR(IF(0=LEN(ReferenceData!$AA$225),"",ReferenceData!$AA$225),"")</f>
        <v>5065</v>
      </c>
      <c r="AB225">
        <f ca="1">IFERROR(IF(0=LEN(ReferenceData!$AB$225),"",ReferenceData!$AB$225),"")</f>
        <v>2509</v>
      </c>
      <c r="AC225">
        <f ca="1">IFERROR(IF(0=LEN(ReferenceData!$AC$225),"",ReferenceData!$AC$225),"")</f>
        <v>2034</v>
      </c>
      <c r="AD225">
        <f ca="1">IFERROR(IF(0=LEN(ReferenceData!$AD$225),"",ReferenceData!$AD$225),"")</f>
        <v>911</v>
      </c>
      <c r="AE225">
        <f ca="1">IFERROR(IF(0=LEN(ReferenceData!$AE$225),"",ReferenceData!$AE$225),"")</f>
        <v>2537</v>
      </c>
      <c r="AF225">
        <f ca="1">IFERROR(IF(0=LEN(ReferenceData!$AF$225),"",ReferenceData!$AF$225),"")</f>
        <v>3084</v>
      </c>
      <c r="AG225">
        <f ca="1">IFERROR(IF(0=LEN(ReferenceData!$AG$225),"",ReferenceData!$AG$225),"")</f>
        <v>2106</v>
      </c>
      <c r="AH225">
        <f ca="1">IFERROR(IF(0=LEN(ReferenceData!$AH$225),"",ReferenceData!$AH$225),"")</f>
        <v>4117</v>
      </c>
      <c r="AI225">
        <f ca="1">IFERROR(IF(0=LEN(ReferenceData!$AI$225),"",ReferenceData!$AI$225),"")</f>
        <v>1913</v>
      </c>
      <c r="AJ225">
        <f ca="1">IFERROR(IF(0=LEN(ReferenceData!$AJ$225),"",ReferenceData!$AJ$225),"")</f>
        <v>22</v>
      </c>
      <c r="AK225">
        <f ca="1">IFERROR(IF(0=LEN(ReferenceData!$AK$225),"",ReferenceData!$AK$225),"")</f>
        <v>925</v>
      </c>
      <c r="AL225">
        <f ca="1">IFERROR(IF(0=LEN(ReferenceData!$AL$225),"",ReferenceData!$AL$225),"")</f>
        <v>-129</v>
      </c>
      <c r="AM225">
        <f ca="1">IFERROR(IF(0=LEN(ReferenceData!$AM$225),"",ReferenceData!$AM$225),"")</f>
        <v>2580</v>
      </c>
      <c r="AN225">
        <f ca="1">IFERROR(IF(0=LEN(ReferenceData!$AN$225),"",ReferenceData!$AN$225),"")</f>
        <v>2331</v>
      </c>
      <c r="AO225">
        <f ca="1">IFERROR(IF(0=LEN(ReferenceData!$AO$225),"",ReferenceData!$AO$225),"")</f>
        <v>-554</v>
      </c>
      <c r="AP225">
        <f ca="1">IFERROR(IF(0=LEN(ReferenceData!$AP$225),"",ReferenceData!$AP$225),"")</f>
        <v>-10652</v>
      </c>
      <c r="AQ225">
        <f ca="1">IFERROR(IF(0=LEN(ReferenceData!$AQ$225),"",ReferenceData!$AQ$225),"")</f>
        <v>-22618</v>
      </c>
      <c r="AR225" t="str">
        <f ca="1">IFERROR(IF(0=LEN(ReferenceData!$AR$225),"",ReferenceData!$AR$225),"")</f>
        <v/>
      </c>
      <c r="AS225" t="str">
        <f ca="1">IFERROR(IF(0=LEN(ReferenceData!$AS$225),"",ReferenceData!$AS$225),"")</f>
        <v/>
      </c>
      <c r="AT225" t="str">
        <f ca="1">IFERROR(IF(0=LEN(ReferenceData!$AT$225),"",ReferenceData!$AT$225),"")</f>
        <v/>
      </c>
      <c r="AU225" t="str">
        <f ca="1">IFERROR(IF(0=LEN(ReferenceData!$AU$225),"",ReferenceData!$AU$225),"")</f>
        <v/>
      </c>
      <c r="AV225" t="str">
        <f ca="1">IFERROR(IF(0=LEN(ReferenceData!$AV$225),"",ReferenceData!$AV$225),"")</f>
        <v/>
      </c>
      <c r="AW225" t="str">
        <f ca="1">IFERROR(IF(0=LEN(ReferenceData!$AW$225),"",ReferenceData!$AW$225),"")</f>
        <v/>
      </c>
      <c r="AX225" t="str">
        <f ca="1">IFERROR(IF(0=LEN(ReferenceData!$AX$225),"",ReferenceData!$AX$225),"")</f>
        <v/>
      </c>
      <c r="AY225" t="str">
        <f ca="1">IFERROR(IF(0=LEN(ReferenceData!$AY$225),"",ReferenceData!$AY$225),"")</f>
        <v/>
      </c>
      <c r="AZ225" t="str">
        <f ca="1">IFERROR(IF(0=LEN(ReferenceData!$AZ$225),"",ReferenceData!$AZ$225),"")</f>
        <v/>
      </c>
      <c r="BA225" t="str">
        <f ca="1">IFERROR(IF(0=LEN(ReferenceData!$BA$225),"",ReferenceData!$BA$225),"")</f>
        <v/>
      </c>
      <c r="BB225" t="str">
        <f ca="1">IFERROR(IF(0=LEN(ReferenceData!$BB$225),"",ReferenceData!$BB$225),"")</f>
        <v/>
      </c>
      <c r="BC225" t="str">
        <f ca="1">IFERROR(IF(0=LEN(ReferenceData!$BC$225),"",ReferenceData!$BC$225),"")</f>
        <v/>
      </c>
      <c r="BD225" t="str">
        <f ca="1">IFERROR(IF(0=LEN(ReferenceData!$BD$225),"",ReferenceData!$BD$225),"")</f>
        <v/>
      </c>
      <c r="BE225" t="str">
        <f ca="1">IFERROR(IF(0=LEN(ReferenceData!$BE$225),"",ReferenceData!$BE$225),"")</f>
        <v/>
      </c>
      <c r="BF225" t="str">
        <f ca="1">IFERROR(IF(0=LEN(ReferenceData!$BF$225),"",ReferenceData!$BF$225),"")</f>
        <v/>
      </c>
      <c r="BG225" t="str">
        <f ca="1">IFERROR(IF(0=LEN(ReferenceData!$BG$225),"",ReferenceData!$BG$225),"")</f>
        <v/>
      </c>
      <c r="BH225" t="str">
        <f ca="1">IFERROR(IF(0=LEN(ReferenceData!$BH$225),"",ReferenceData!$BH$225),"")</f>
        <v/>
      </c>
      <c r="BI225" t="str">
        <f ca="1">IFERROR(IF(0=LEN(ReferenceData!$BI$225),"",ReferenceData!$BI$225),"")</f>
        <v/>
      </c>
      <c r="BJ225" t="str">
        <f ca="1">IFERROR(IF(0=LEN(ReferenceData!$BJ$225),"",ReferenceData!$BJ$225),"")</f>
        <v/>
      </c>
      <c r="BK225" t="str">
        <f ca="1">IFERROR(IF(0=LEN(ReferenceData!$BK$225),"",ReferenceData!$BK$225),"")</f>
        <v/>
      </c>
      <c r="BL225" t="str">
        <f ca="1">IFERROR(IF(0=LEN(ReferenceData!$BL$225),"",ReferenceData!$BL$225),"")</f>
        <v/>
      </c>
      <c r="BM225" t="str">
        <f ca="1">IFERROR(IF(0=LEN(ReferenceData!$BM$225),"",ReferenceData!$BM$225),"")</f>
        <v/>
      </c>
    </row>
    <row r="226" spans="1:65" x14ac:dyDescent="0.25">
      <c r="A226" t="str">
        <f>IFERROR(IF(0=LEN(ReferenceData!$A$226),"",ReferenceData!$A$226),"")</f>
        <v xml:space="preserve">    Great Wall Motor Co Ltd</v>
      </c>
      <c r="B226" t="str">
        <f>IFERROR(IF(0=LEN(ReferenceData!$B$226),"",ReferenceData!$B$226),"")</f>
        <v>2333 HK Equity</v>
      </c>
      <c r="C226" t="str">
        <f>IFERROR(IF(0=LEN(ReferenceData!$C$226),"",ReferenceData!$C$226),"")</f>
        <v>RR843</v>
      </c>
      <c r="D226" t="str">
        <f>IFERROR(IF(0=LEN(ReferenceData!$D$226),"",ReferenceData!$D$226),"")</f>
        <v>TRAIL_12M_FREE_CASH_FLOW</v>
      </c>
      <c r="E226" t="str">
        <f>IFERROR(IF(0=LEN(ReferenceData!$E$226),"",ReferenceData!$E$226),"")</f>
        <v>Dynamic</v>
      </c>
      <c r="F226" t="str">
        <f ca="1">IFERROR(IF(0=LEN(ReferenceData!$F$226),"",ReferenceData!$F$226),"")</f>
        <v/>
      </c>
      <c r="G226" t="str">
        <f ca="1">IFERROR(IF(0=LEN(ReferenceData!$G$226),"",ReferenceData!$G$226),"")</f>
        <v/>
      </c>
      <c r="H226">
        <f ca="1">IFERROR(IF(0=LEN(ReferenceData!$H$226),"",ReferenceData!$H$226),"")</f>
        <v>26.03999537</v>
      </c>
      <c r="I226">
        <f ca="1">IFERROR(IF(0=LEN(ReferenceData!$I$226),"",ReferenceData!$I$226),"")</f>
        <v>-397.95507199999997</v>
      </c>
      <c r="J226">
        <f ca="1">IFERROR(IF(0=LEN(ReferenceData!$J$226),"",ReferenceData!$J$226),"")</f>
        <v>-727.23568139999998</v>
      </c>
      <c r="K226">
        <f ca="1">IFERROR(IF(0=LEN(ReferenceData!$K$226),"",ReferenceData!$K$226),"")</f>
        <v>-1280.283588</v>
      </c>
      <c r="L226">
        <f ca="1">IFERROR(IF(0=LEN(ReferenceData!$L$226),"",ReferenceData!$L$226),"")</f>
        <v>-155.8267443</v>
      </c>
      <c r="M226">
        <f ca="1">IFERROR(IF(0=LEN(ReferenceData!$M$226),"",ReferenceData!$M$226),"")</f>
        <v>605.37201970000001</v>
      </c>
      <c r="N226">
        <f ca="1">IFERROR(IF(0=LEN(ReferenceData!$N$226),"",ReferenceData!$N$226),"")</f>
        <v>-719.72420469999997</v>
      </c>
      <c r="O226">
        <f ca="1">IFERROR(IF(0=LEN(ReferenceData!$O$226),"",ReferenceData!$O$226),"")</f>
        <v>67.401972860000001</v>
      </c>
      <c r="P226">
        <f ca="1">IFERROR(IF(0=LEN(ReferenceData!$P$226),"",ReferenceData!$P$226),"")</f>
        <v>211.55212610000001</v>
      </c>
      <c r="Q226">
        <f ca="1">IFERROR(IF(0=LEN(ReferenceData!$Q$226),"",ReferenceData!$Q$226),"")</f>
        <v>126.4605844</v>
      </c>
      <c r="R226">
        <f ca="1">IFERROR(IF(0=LEN(ReferenceData!$R$226),"",ReferenceData!$R$226),"")</f>
        <v>270.10452579999998</v>
      </c>
      <c r="S226">
        <f ca="1">IFERROR(IF(0=LEN(ReferenceData!$S$226),"",ReferenceData!$S$226),"")</f>
        <v>560.3926841</v>
      </c>
      <c r="T226">
        <f ca="1">IFERROR(IF(0=LEN(ReferenceData!$T$226),"",ReferenceData!$T$226),"")</f>
        <v>555.47599349999996</v>
      </c>
      <c r="U226">
        <f ca="1">IFERROR(IF(0=LEN(ReferenceData!$U$226),"",ReferenceData!$U$226),"")</f>
        <v>139.57883219999999</v>
      </c>
      <c r="V226">
        <f ca="1">IFERROR(IF(0=LEN(ReferenceData!$V$226),"",ReferenceData!$V$226),"")</f>
        <v>-540.67305190000002</v>
      </c>
      <c r="W226">
        <f ca="1">IFERROR(IF(0=LEN(ReferenceData!$W$226),"",ReferenceData!$W$226),"")</f>
        <v>-588.59876810000003</v>
      </c>
      <c r="X226">
        <f ca="1">IFERROR(IF(0=LEN(ReferenceData!$X$226),"",ReferenceData!$X$226),"")</f>
        <v>-430.60724850000003</v>
      </c>
      <c r="Y226">
        <f ca="1">IFERROR(IF(0=LEN(ReferenceData!$Y$226),"",ReferenceData!$Y$226),"")</f>
        <v>-133.8304632</v>
      </c>
      <c r="Z226">
        <f ca="1">IFERROR(IF(0=LEN(ReferenceData!$Z$226),"",ReferenceData!$Z$226),"")</f>
        <v>251.530258</v>
      </c>
      <c r="AA226">
        <f ca="1">IFERROR(IF(0=LEN(ReferenceData!$AA$226),"",ReferenceData!$AA$226),"")</f>
        <v>317.91114520000002</v>
      </c>
      <c r="AB226">
        <f ca="1">IFERROR(IF(0=LEN(ReferenceData!$AB$226),"",ReferenceData!$AB$226),"")</f>
        <v>423.50866819999999</v>
      </c>
      <c r="AC226">
        <f ca="1">IFERROR(IF(0=LEN(ReferenceData!$AC$226),"",ReferenceData!$AC$226),"")</f>
        <v>369.66821579999998</v>
      </c>
      <c r="AD226">
        <f ca="1">IFERROR(IF(0=LEN(ReferenceData!$AD$226),"",ReferenceData!$AD$226),"")</f>
        <v>-17.275897659999998</v>
      </c>
      <c r="AE226">
        <f ca="1">IFERROR(IF(0=LEN(ReferenceData!$AE$226),"",ReferenceData!$AE$226),"")</f>
        <v>-159.1592689</v>
      </c>
      <c r="AF226" t="str">
        <f ca="1">IFERROR(IF(0=LEN(ReferenceData!$AF$226),"",ReferenceData!$AF$226),"")</f>
        <v/>
      </c>
      <c r="AG226" t="str">
        <f ca="1">IFERROR(IF(0=LEN(ReferenceData!$AG$226),"",ReferenceData!$AG$226),"")</f>
        <v/>
      </c>
      <c r="AH226" t="str">
        <f ca="1">IFERROR(IF(0=LEN(ReferenceData!$AH$226),"",ReferenceData!$AH$226),"")</f>
        <v/>
      </c>
      <c r="AI226" t="str">
        <f ca="1">IFERROR(IF(0=LEN(ReferenceData!$AI$226),"",ReferenceData!$AI$226),"")</f>
        <v/>
      </c>
      <c r="AJ226" t="str">
        <f ca="1">IFERROR(IF(0=LEN(ReferenceData!$AJ$226),"",ReferenceData!$AJ$226),"")</f>
        <v/>
      </c>
      <c r="AK226" t="str">
        <f ca="1">IFERROR(IF(0=LEN(ReferenceData!$AK$226),"",ReferenceData!$AK$226),"")</f>
        <v/>
      </c>
      <c r="AL226" t="str">
        <f ca="1">IFERROR(IF(0=LEN(ReferenceData!$AL$226),"",ReferenceData!$AL$226),"")</f>
        <v/>
      </c>
      <c r="AM226" t="str">
        <f ca="1">IFERROR(IF(0=LEN(ReferenceData!$AM$226),"",ReferenceData!$AM$226),"")</f>
        <v/>
      </c>
      <c r="AN226" t="str">
        <f ca="1">IFERROR(IF(0=LEN(ReferenceData!$AN$226),"",ReferenceData!$AN$226),"")</f>
        <v/>
      </c>
      <c r="AO226" t="str">
        <f ca="1">IFERROR(IF(0=LEN(ReferenceData!$AO$226),"",ReferenceData!$AO$226),"")</f>
        <v/>
      </c>
      <c r="AP226" t="str">
        <f ca="1">IFERROR(IF(0=LEN(ReferenceData!$AP$226),"",ReferenceData!$AP$226),"")</f>
        <v/>
      </c>
      <c r="AQ226" t="str">
        <f ca="1">IFERROR(IF(0=LEN(ReferenceData!$AQ$226),"",ReferenceData!$AQ$226),"")</f>
        <v/>
      </c>
      <c r="AR226" t="str">
        <f ca="1">IFERROR(IF(0=LEN(ReferenceData!$AR$226),"",ReferenceData!$AR$226),"")</f>
        <v/>
      </c>
      <c r="AS226" t="str">
        <f ca="1">IFERROR(IF(0=LEN(ReferenceData!$AS$226),"",ReferenceData!$AS$226),"")</f>
        <v/>
      </c>
      <c r="AT226" t="str">
        <f ca="1">IFERROR(IF(0=LEN(ReferenceData!$AT$226),"",ReferenceData!$AT$226),"")</f>
        <v/>
      </c>
      <c r="AU226" t="str">
        <f ca="1">IFERROR(IF(0=LEN(ReferenceData!$AU$226),"",ReferenceData!$AU$226),"")</f>
        <v/>
      </c>
      <c r="AV226" t="str">
        <f ca="1">IFERROR(IF(0=LEN(ReferenceData!$AV$226),"",ReferenceData!$AV$226),"")</f>
        <v/>
      </c>
      <c r="AW226" t="str">
        <f ca="1">IFERROR(IF(0=LEN(ReferenceData!$AW$226),"",ReferenceData!$AW$226),"")</f>
        <v/>
      </c>
      <c r="AX226" t="str">
        <f ca="1">IFERROR(IF(0=LEN(ReferenceData!$AX$226),"",ReferenceData!$AX$226),"")</f>
        <v/>
      </c>
      <c r="AY226" t="str">
        <f ca="1">IFERROR(IF(0=LEN(ReferenceData!$AY$226),"",ReferenceData!$AY$226),"")</f>
        <v/>
      </c>
      <c r="AZ226" t="str">
        <f ca="1">IFERROR(IF(0=LEN(ReferenceData!$AZ$226),"",ReferenceData!$AZ$226),"")</f>
        <v/>
      </c>
      <c r="BA226" t="str">
        <f ca="1">IFERROR(IF(0=LEN(ReferenceData!$BA$226),"",ReferenceData!$BA$226),"")</f>
        <v/>
      </c>
      <c r="BB226" t="str">
        <f ca="1">IFERROR(IF(0=LEN(ReferenceData!$BB$226),"",ReferenceData!$BB$226),"")</f>
        <v/>
      </c>
      <c r="BC226" t="str">
        <f ca="1">IFERROR(IF(0=LEN(ReferenceData!$BC$226),"",ReferenceData!$BC$226),"")</f>
        <v/>
      </c>
      <c r="BD226" t="str">
        <f ca="1">IFERROR(IF(0=LEN(ReferenceData!$BD$226),"",ReferenceData!$BD$226),"")</f>
        <v/>
      </c>
      <c r="BE226" t="str">
        <f ca="1">IFERROR(IF(0=LEN(ReferenceData!$BE$226),"",ReferenceData!$BE$226),"")</f>
        <v/>
      </c>
      <c r="BF226" t="str">
        <f ca="1">IFERROR(IF(0=LEN(ReferenceData!$BF$226),"",ReferenceData!$BF$226),"")</f>
        <v/>
      </c>
      <c r="BG226" t="str">
        <f ca="1">IFERROR(IF(0=LEN(ReferenceData!$BG$226),"",ReferenceData!$BG$226),"")</f>
        <v/>
      </c>
      <c r="BH226" t="str">
        <f ca="1">IFERROR(IF(0=LEN(ReferenceData!$BH$226),"",ReferenceData!$BH$226),"")</f>
        <v/>
      </c>
      <c r="BI226" t="str">
        <f ca="1">IFERROR(IF(0=LEN(ReferenceData!$BI$226),"",ReferenceData!$BI$226),"")</f>
        <v/>
      </c>
      <c r="BJ226" t="str">
        <f ca="1">IFERROR(IF(0=LEN(ReferenceData!$BJ$226),"",ReferenceData!$BJ$226),"")</f>
        <v/>
      </c>
      <c r="BK226" t="str">
        <f ca="1">IFERROR(IF(0=LEN(ReferenceData!$BK$226),"",ReferenceData!$BK$226),"")</f>
        <v/>
      </c>
      <c r="BL226" t="str">
        <f ca="1">IFERROR(IF(0=LEN(ReferenceData!$BL$226),"",ReferenceData!$BL$226),"")</f>
        <v/>
      </c>
      <c r="BM226" t="str">
        <f ca="1">IFERROR(IF(0=LEN(ReferenceData!$BM$226),"",ReferenceData!$BM$226),"")</f>
        <v/>
      </c>
    </row>
    <row r="227" spans="1:65" x14ac:dyDescent="0.25">
      <c r="A227" t="str">
        <f>IFERROR(IF(0=LEN(ReferenceData!$A$227),"",ReferenceData!$A$227),"")</f>
        <v xml:space="preserve">    Guangzhou Automobile Group Co Ltd</v>
      </c>
      <c r="B227" t="str">
        <f>IFERROR(IF(0=LEN(ReferenceData!$B$227),"",ReferenceData!$B$227),"")</f>
        <v>2238 HK Equity</v>
      </c>
      <c r="C227" t="str">
        <f>IFERROR(IF(0=LEN(ReferenceData!$C$227),"",ReferenceData!$C$227),"")</f>
        <v>RR843</v>
      </c>
      <c r="D227" t="str">
        <f>IFERROR(IF(0=LEN(ReferenceData!$D$227),"",ReferenceData!$D$227),"")</f>
        <v>TRAIL_12M_FREE_CASH_FLOW</v>
      </c>
      <c r="E227" t="str">
        <f>IFERROR(IF(0=LEN(ReferenceData!$E$227),"",ReferenceData!$E$227),"")</f>
        <v>Dynamic</v>
      </c>
      <c r="F227" t="str">
        <f ca="1">IFERROR(IF(0=LEN(ReferenceData!$F$227),"",ReferenceData!$F$227),"")</f>
        <v/>
      </c>
      <c r="G227" t="str">
        <f ca="1">IFERROR(IF(0=LEN(ReferenceData!$G$227),"",ReferenceData!$G$227),"")</f>
        <v/>
      </c>
      <c r="H227">
        <f ca="1">IFERROR(IF(0=LEN(ReferenceData!$H$227),"",ReferenceData!$H$227),"")</f>
        <v>-131.5244998</v>
      </c>
      <c r="I227">
        <f ca="1">IFERROR(IF(0=LEN(ReferenceData!$I$227),"",ReferenceData!$I$227),"")</f>
        <v>412.88691249999999</v>
      </c>
      <c r="J227">
        <f ca="1">IFERROR(IF(0=LEN(ReferenceData!$J$227),"",ReferenceData!$J$227),"")</f>
        <v>863.38970970000003</v>
      </c>
      <c r="K227">
        <f ca="1">IFERROR(IF(0=LEN(ReferenceData!$K$227),"",ReferenceData!$K$227),"")</f>
        <v>1697.062238</v>
      </c>
      <c r="L227">
        <f ca="1">IFERROR(IF(0=LEN(ReferenceData!$L$227),"",ReferenceData!$L$227),"")</f>
        <v>276.40938890000001</v>
      </c>
      <c r="M227">
        <f ca="1">IFERROR(IF(0=LEN(ReferenceData!$M$227),"",ReferenceData!$M$227),"")</f>
        <v>737.7600741</v>
      </c>
      <c r="N227">
        <f ca="1">IFERROR(IF(0=LEN(ReferenceData!$N$227),"",ReferenceData!$N$227),"")</f>
        <v>1007.628948</v>
      </c>
      <c r="O227">
        <f ca="1">IFERROR(IF(0=LEN(ReferenceData!$O$227),"",ReferenceData!$O$227),"")</f>
        <v>718.91080309999995</v>
      </c>
      <c r="P227">
        <f ca="1">IFERROR(IF(0=LEN(ReferenceData!$P$227),"",ReferenceData!$P$227),"")</f>
        <v>1207.486394</v>
      </c>
      <c r="Q227">
        <f ca="1">IFERROR(IF(0=LEN(ReferenceData!$Q$227),"",ReferenceData!$Q$227),"")</f>
        <v>1122.463493</v>
      </c>
      <c r="R227">
        <f ca="1">IFERROR(IF(0=LEN(ReferenceData!$R$227),"",ReferenceData!$R$227),"")</f>
        <v>897.27768019999996</v>
      </c>
      <c r="S227">
        <f ca="1">IFERROR(IF(0=LEN(ReferenceData!$S$227),"",ReferenceData!$S$227),"")</f>
        <v>705.99766290000002</v>
      </c>
      <c r="T227">
        <f ca="1">IFERROR(IF(0=LEN(ReferenceData!$T$227),"",ReferenceData!$T$227),"")</f>
        <v>638.03617780000002</v>
      </c>
      <c r="U227">
        <f ca="1">IFERROR(IF(0=LEN(ReferenceData!$U$227),"",ReferenceData!$U$227),"")</f>
        <v>293.63432169999999</v>
      </c>
      <c r="V227">
        <f ca="1">IFERROR(IF(0=LEN(ReferenceData!$V$227),"",ReferenceData!$V$227),"")</f>
        <v>143.45739409999999</v>
      </c>
      <c r="W227">
        <f ca="1">IFERROR(IF(0=LEN(ReferenceData!$W$227),"",ReferenceData!$W$227),"")</f>
        <v>199.69265799999999</v>
      </c>
      <c r="X227">
        <f ca="1">IFERROR(IF(0=LEN(ReferenceData!$X$227),"",ReferenceData!$X$227),"")</f>
        <v>-86.65026254</v>
      </c>
      <c r="Y227">
        <f ca="1">IFERROR(IF(0=LEN(ReferenceData!$Y$227),"",ReferenceData!$Y$227),"")</f>
        <v>24.72742036</v>
      </c>
      <c r="Z227">
        <f ca="1">IFERROR(IF(0=LEN(ReferenceData!$Z$227),"",ReferenceData!$Z$227),"")</f>
        <v>169.05962980000001</v>
      </c>
      <c r="AA227">
        <f ca="1">IFERROR(IF(0=LEN(ReferenceData!$AA$227),"",ReferenceData!$AA$227),"")</f>
        <v>283.4557676</v>
      </c>
      <c r="AB227">
        <f ca="1">IFERROR(IF(0=LEN(ReferenceData!$AB$227),"",ReferenceData!$AB$227),"")</f>
        <v>400.64519869999998</v>
      </c>
      <c r="AC227">
        <f ca="1">IFERROR(IF(0=LEN(ReferenceData!$AC$227),"",ReferenceData!$AC$227),"")</f>
        <v>336.94054290000003</v>
      </c>
      <c r="AD227">
        <f ca="1">IFERROR(IF(0=LEN(ReferenceData!$AD$227),"",ReferenceData!$AD$227),"")</f>
        <v>239.75733320000001</v>
      </c>
      <c r="AE227">
        <f ca="1">IFERROR(IF(0=LEN(ReferenceData!$AE$227),"",ReferenceData!$AE$227),"")</f>
        <v>187.9668868</v>
      </c>
      <c r="AF227">
        <f ca="1">IFERROR(IF(0=LEN(ReferenceData!$AF$227),"",ReferenceData!$AF$227),"")</f>
        <v>420.71767299999999</v>
      </c>
      <c r="AG227">
        <f ca="1">IFERROR(IF(0=LEN(ReferenceData!$AG$227),"",ReferenceData!$AG$227),"")</f>
        <v>340.62112680000001</v>
      </c>
      <c r="AH227">
        <f ca="1">IFERROR(IF(0=LEN(ReferenceData!$AH$227),"",ReferenceData!$AH$227),"")</f>
        <v>373.48096170000002</v>
      </c>
      <c r="AI227">
        <f ca="1">IFERROR(IF(0=LEN(ReferenceData!$AI$227),"",ReferenceData!$AI$227),"")</f>
        <v>482.74275349999999</v>
      </c>
      <c r="AJ227">
        <f ca="1">IFERROR(IF(0=LEN(ReferenceData!$AJ$227),"",ReferenceData!$AJ$227),"")</f>
        <v>144.71579600000001</v>
      </c>
      <c r="AK227">
        <f ca="1">IFERROR(IF(0=LEN(ReferenceData!$AK$227),"",ReferenceData!$AK$227),"")</f>
        <v>616.083755</v>
      </c>
      <c r="AL227">
        <f ca="1">IFERROR(IF(0=LEN(ReferenceData!$AL$227),"",ReferenceData!$AL$227),"")</f>
        <v>410.28700659999998</v>
      </c>
      <c r="AM227">
        <f ca="1">IFERROR(IF(0=LEN(ReferenceData!$AM$227),"",ReferenceData!$AM$227),"")</f>
        <v>321.69098170000001</v>
      </c>
      <c r="AN227">
        <f ca="1">IFERROR(IF(0=LEN(ReferenceData!$AN$227),"",ReferenceData!$AN$227),"")</f>
        <v>756.57774900000004</v>
      </c>
      <c r="AO227">
        <f ca="1">IFERROR(IF(0=LEN(ReferenceData!$AO$227),"",ReferenceData!$AO$227),"")</f>
        <v>330.60397069999999</v>
      </c>
      <c r="AP227">
        <f ca="1">IFERROR(IF(0=LEN(ReferenceData!$AP$227),"",ReferenceData!$AP$227),"")</f>
        <v>404.82856770000001</v>
      </c>
      <c r="AQ227">
        <f ca="1">IFERROR(IF(0=LEN(ReferenceData!$AQ$227),"",ReferenceData!$AQ$227),"")</f>
        <v>438.46430500000002</v>
      </c>
      <c r="AR227" t="str">
        <f ca="1">IFERROR(IF(0=LEN(ReferenceData!$AR$227),"",ReferenceData!$AR$227),"")</f>
        <v/>
      </c>
      <c r="AS227" t="str">
        <f ca="1">IFERROR(IF(0=LEN(ReferenceData!$AS$227),"",ReferenceData!$AS$227),"")</f>
        <v/>
      </c>
      <c r="AT227" t="str">
        <f ca="1">IFERROR(IF(0=LEN(ReferenceData!$AT$227),"",ReferenceData!$AT$227),"")</f>
        <v/>
      </c>
      <c r="AU227" t="str">
        <f ca="1">IFERROR(IF(0=LEN(ReferenceData!$AU$227),"",ReferenceData!$AU$227),"")</f>
        <v/>
      </c>
      <c r="AV227" t="str">
        <f ca="1">IFERROR(IF(0=LEN(ReferenceData!$AV$227),"",ReferenceData!$AV$227),"")</f>
        <v/>
      </c>
      <c r="AW227" t="str">
        <f ca="1">IFERROR(IF(0=LEN(ReferenceData!$AW$227),"",ReferenceData!$AW$227),"")</f>
        <v/>
      </c>
      <c r="AX227" t="str">
        <f ca="1">IFERROR(IF(0=LEN(ReferenceData!$AX$227),"",ReferenceData!$AX$227),"")</f>
        <v/>
      </c>
      <c r="AY227" t="str">
        <f ca="1">IFERROR(IF(0=LEN(ReferenceData!$AY$227),"",ReferenceData!$AY$227),"")</f>
        <v/>
      </c>
      <c r="AZ227" t="str">
        <f ca="1">IFERROR(IF(0=LEN(ReferenceData!$AZ$227),"",ReferenceData!$AZ$227),"")</f>
        <v/>
      </c>
      <c r="BA227" t="str">
        <f ca="1">IFERROR(IF(0=LEN(ReferenceData!$BA$227),"",ReferenceData!$BA$227),"")</f>
        <v/>
      </c>
      <c r="BB227" t="str">
        <f ca="1">IFERROR(IF(0=LEN(ReferenceData!$BB$227),"",ReferenceData!$BB$227),"")</f>
        <v/>
      </c>
      <c r="BC227" t="str">
        <f ca="1">IFERROR(IF(0=LEN(ReferenceData!$BC$227),"",ReferenceData!$BC$227),"")</f>
        <v/>
      </c>
      <c r="BD227" t="str">
        <f ca="1">IFERROR(IF(0=LEN(ReferenceData!$BD$227),"",ReferenceData!$BD$227),"")</f>
        <v/>
      </c>
      <c r="BE227" t="str">
        <f ca="1">IFERROR(IF(0=LEN(ReferenceData!$BE$227),"",ReferenceData!$BE$227),"")</f>
        <v/>
      </c>
      <c r="BF227" t="str">
        <f ca="1">IFERROR(IF(0=LEN(ReferenceData!$BF$227),"",ReferenceData!$BF$227),"")</f>
        <v/>
      </c>
      <c r="BG227" t="str">
        <f ca="1">IFERROR(IF(0=LEN(ReferenceData!$BG$227),"",ReferenceData!$BG$227),"")</f>
        <v/>
      </c>
      <c r="BH227" t="str">
        <f ca="1">IFERROR(IF(0=LEN(ReferenceData!$BH$227),"",ReferenceData!$BH$227),"")</f>
        <v/>
      </c>
      <c r="BI227" t="str">
        <f ca="1">IFERROR(IF(0=LEN(ReferenceData!$BI$227),"",ReferenceData!$BI$227),"")</f>
        <v/>
      </c>
      <c r="BJ227" t="str">
        <f ca="1">IFERROR(IF(0=LEN(ReferenceData!$BJ$227),"",ReferenceData!$BJ$227),"")</f>
        <v/>
      </c>
      <c r="BK227" t="str">
        <f ca="1">IFERROR(IF(0=LEN(ReferenceData!$BK$227),"",ReferenceData!$BK$227),"")</f>
        <v/>
      </c>
      <c r="BL227" t="str">
        <f ca="1">IFERROR(IF(0=LEN(ReferenceData!$BL$227),"",ReferenceData!$BL$227),"")</f>
        <v/>
      </c>
      <c r="BM227" t="str">
        <f ca="1">IFERROR(IF(0=LEN(ReferenceData!$BM$227),"",ReferenceData!$BM$227),"")</f>
        <v/>
      </c>
    </row>
    <row r="228" spans="1:65" x14ac:dyDescent="0.25">
      <c r="A228" t="str">
        <f>IFERROR(IF(0=LEN(ReferenceData!$A$228),"",ReferenceData!$A$228),"")</f>
        <v xml:space="preserve">    Honda Motor Co Ltd</v>
      </c>
      <c r="B228" t="str">
        <f>IFERROR(IF(0=LEN(ReferenceData!$B$228),"",ReferenceData!$B$228),"")</f>
        <v>7267 JP Equity</v>
      </c>
      <c r="C228" t="str">
        <f>IFERROR(IF(0=LEN(ReferenceData!$C$228),"",ReferenceData!$C$228),"")</f>
        <v>RR843</v>
      </c>
      <c r="D228" t="str">
        <f>IFERROR(IF(0=LEN(ReferenceData!$D$228),"",ReferenceData!$D$228),"")</f>
        <v>TRAIL_12M_FREE_CASH_FLOW</v>
      </c>
      <c r="E228" t="str">
        <f>IFERROR(IF(0=LEN(ReferenceData!$E$228),"",ReferenceData!$E$228),"")</f>
        <v>Dynamic</v>
      </c>
      <c r="F228" t="str">
        <f ca="1">IFERROR(IF(0=LEN(ReferenceData!$F$228),"",ReferenceData!$F$228),"")</f>
        <v/>
      </c>
      <c r="G228">
        <f ca="1">IFERROR(IF(0=LEN(ReferenceData!$G$228),"",ReferenceData!$G$228),"")</f>
        <v>4075.947416</v>
      </c>
      <c r="H228">
        <f ca="1">IFERROR(IF(0=LEN(ReferenceData!$H$228),"",ReferenceData!$H$228),"")</f>
        <v>4432.6426490000003</v>
      </c>
      <c r="I228">
        <f ca="1">IFERROR(IF(0=LEN(ReferenceData!$I$228),"",ReferenceData!$I$228),"")</f>
        <v>5346.656379</v>
      </c>
      <c r="J228">
        <f ca="1">IFERROR(IF(0=LEN(ReferenceData!$J$228),"",ReferenceData!$J$228),"")</f>
        <v>5163.3260890000001</v>
      </c>
      <c r="K228">
        <f ca="1">IFERROR(IF(0=LEN(ReferenceData!$K$228),"",ReferenceData!$K$228),"")</f>
        <v>5538.084519</v>
      </c>
      <c r="L228">
        <f ca="1">IFERROR(IF(0=LEN(ReferenceData!$L$228),"",ReferenceData!$L$228),"")</f>
        <v>4262.9781480000001</v>
      </c>
      <c r="M228">
        <f ca="1">IFERROR(IF(0=LEN(ReferenceData!$M$228),"",ReferenceData!$M$228),"")</f>
        <v>3708.963694</v>
      </c>
      <c r="N228">
        <f ca="1">IFERROR(IF(0=LEN(ReferenceData!$N$228),"",ReferenceData!$N$228),"")</f>
        <v>3616.3830240000002</v>
      </c>
      <c r="O228">
        <f ca="1">IFERROR(IF(0=LEN(ReferenceData!$O$228),"",ReferenceData!$O$228),"")</f>
        <v>3288.6417419999998</v>
      </c>
      <c r="P228">
        <f ca="1">IFERROR(IF(0=LEN(ReferenceData!$P$228),"",ReferenceData!$P$228),"")</f>
        <v>4828.2893990000002</v>
      </c>
      <c r="Q228">
        <f ca="1">IFERROR(IF(0=LEN(ReferenceData!$Q$228),"",ReferenceData!$Q$228),"")</f>
        <v>4863.7660939999996</v>
      </c>
      <c r="R228">
        <f ca="1">IFERROR(IF(0=LEN(ReferenceData!$R$228),"",ReferenceData!$R$228),"")</f>
        <v>6300.9728219999997</v>
      </c>
      <c r="S228">
        <f ca="1">IFERROR(IF(0=LEN(ReferenceData!$S$228),"",ReferenceData!$S$228),"")</f>
        <v>6127.180703</v>
      </c>
      <c r="T228">
        <f ca="1">IFERROR(IF(0=LEN(ReferenceData!$T$228),"",ReferenceData!$T$228),"")</f>
        <v>6093.878369</v>
      </c>
      <c r="U228">
        <f ca="1">IFERROR(IF(0=LEN(ReferenceData!$U$228),"",ReferenceData!$U$228),"")</f>
        <v>5627.4639719999996</v>
      </c>
      <c r="V228">
        <f ca="1">IFERROR(IF(0=LEN(ReferenceData!$V$228),"",ReferenceData!$V$228),"")</f>
        <v>3414.4696060000001</v>
      </c>
      <c r="W228">
        <f ca="1">IFERROR(IF(0=LEN(ReferenceData!$W$228),"",ReferenceData!$W$228),"")</f>
        <v>1980.264465</v>
      </c>
      <c r="X228">
        <f ca="1">IFERROR(IF(0=LEN(ReferenceData!$X$228),"",ReferenceData!$X$228),"")</f>
        <v>1737.7064419999999</v>
      </c>
      <c r="Y228">
        <f ca="1">IFERROR(IF(0=LEN(ReferenceData!$Y$228),"",ReferenceData!$Y$228),"")</f>
        <v>3446.5712100000001</v>
      </c>
      <c r="Z228">
        <f ca="1">IFERROR(IF(0=LEN(ReferenceData!$Z$228),"",ReferenceData!$Z$228),"")</f>
        <v>4814.502673</v>
      </c>
      <c r="AA228">
        <f ca="1">IFERROR(IF(0=LEN(ReferenceData!$AA$228),"",ReferenceData!$AA$228),"")</f>
        <v>4931.8829299999998</v>
      </c>
      <c r="AB228">
        <f ca="1">IFERROR(IF(0=LEN(ReferenceData!$AB$228),"",ReferenceData!$AB$228),"")</f>
        <v>5308.6484300000002</v>
      </c>
      <c r="AC228">
        <f ca="1">IFERROR(IF(0=LEN(ReferenceData!$AC$228),"",ReferenceData!$AC$228),"")</f>
        <v>2610.3021079999999</v>
      </c>
      <c r="AD228">
        <f ca="1">IFERROR(IF(0=LEN(ReferenceData!$AD$228),"",ReferenceData!$AD$228),"")</f>
        <v>2104.1666169999999</v>
      </c>
      <c r="AE228">
        <f ca="1">IFERROR(IF(0=LEN(ReferenceData!$AE$228),"",ReferenceData!$AE$228),"")</f>
        <v>1811.1575330000001</v>
      </c>
      <c r="AF228">
        <f ca="1">IFERROR(IF(0=LEN(ReferenceData!$AF$228),"",ReferenceData!$AF$228),"")</f>
        <v>280.99518399999999</v>
      </c>
      <c r="AG228">
        <f ca="1">IFERROR(IF(0=LEN(ReferenceData!$AG$228),"",ReferenceData!$AG$228),"")</f>
        <v>3216.9493240000002</v>
      </c>
      <c r="AH228">
        <f ca="1">IFERROR(IF(0=LEN(ReferenceData!$AH$228),"",ReferenceData!$AH$228),"")</f>
        <v>4311.7686670000003</v>
      </c>
      <c r="AI228">
        <f ca="1">IFERROR(IF(0=LEN(ReferenceData!$AI$228),"",ReferenceData!$AI$228),"")</f>
        <v>5756.9129279999997</v>
      </c>
      <c r="AJ228">
        <f ca="1">IFERROR(IF(0=LEN(ReferenceData!$AJ$228),"",ReferenceData!$AJ$228),"")</f>
        <v>6808.3413069999997</v>
      </c>
      <c r="AK228">
        <f ca="1">IFERROR(IF(0=LEN(ReferenceData!$AK$228),"",ReferenceData!$AK$228),"")</f>
        <v>7178.6359380000004</v>
      </c>
      <c r="AL228">
        <f ca="1">IFERROR(IF(0=LEN(ReferenceData!$AL$228),"",ReferenceData!$AL$228),"")</f>
        <v>8802.7849910000004</v>
      </c>
      <c r="AM228">
        <f ca="1">IFERROR(IF(0=LEN(ReferenceData!$AM$228),"",ReferenceData!$AM$228),"")</f>
        <v>9191.8732110000001</v>
      </c>
      <c r="AN228">
        <f ca="1">IFERROR(IF(0=LEN(ReferenceData!$AN$228),"",ReferenceData!$AN$228),"")</f>
        <v>10380.340389999999</v>
      </c>
      <c r="AO228">
        <f ca="1">IFERROR(IF(0=LEN(ReferenceData!$AO$228),"",ReferenceData!$AO$228),"")</f>
        <v>12670.94975</v>
      </c>
      <c r="AP228">
        <f ca="1">IFERROR(IF(0=LEN(ReferenceData!$AP$228),"",ReferenceData!$AP$228),"")</f>
        <v>12420.46889</v>
      </c>
      <c r="AQ228">
        <f ca="1">IFERROR(IF(0=LEN(ReferenceData!$AQ$228),"",ReferenceData!$AQ$228),"")</f>
        <v>7902.6526679999997</v>
      </c>
      <c r="AR228">
        <f ca="1">IFERROR(IF(0=LEN(ReferenceData!$AR$228),"",ReferenceData!$AR$228),"")</f>
        <v>3642.6431170000001</v>
      </c>
      <c r="AS228">
        <f ca="1">IFERROR(IF(0=LEN(ReferenceData!$AS$228),"",ReferenceData!$AS$228),"")</f>
        <v>-1289.314541</v>
      </c>
      <c r="AT228">
        <f ca="1">IFERROR(IF(0=LEN(ReferenceData!$AT$228),"",ReferenceData!$AT$228),"")</f>
        <v>-2513.4287650000001</v>
      </c>
      <c r="AU228">
        <f ca="1">IFERROR(IF(0=LEN(ReferenceData!$AU$228),"",ReferenceData!$AU$228),"")</f>
        <v>-658.59993489999999</v>
      </c>
      <c r="AV228">
        <f ca="1">IFERROR(IF(0=LEN(ReferenceData!$AV$228),"",ReferenceData!$AV$228),"")</f>
        <v>324.03691029999999</v>
      </c>
      <c r="AW228">
        <f ca="1">IFERROR(IF(0=LEN(ReferenceData!$AW$228),"",ReferenceData!$AW$228),"")</f>
        <v>-321.96859929999999</v>
      </c>
      <c r="AX228">
        <f ca="1">IFERROR(IF(0=LEN(ReferenceData!$AX$228),"",ReferenceData!$AX$228),"")</f>
        <v>-1049.8097210000001</v>
      </c>
      <c r="AY228">
        <f ca="1">IFERROR(IF(0=LEN(ReferenceData!$AY$228),"",ReferenceData!$AY$228),"")</f>
        <v>-1262.027632</v>
      </c>
      <c r="AZ228">
        <f ca="1">IFERROR(IF(0=LEN(ReferenceData!$AZ$228),"",ReferenceData!$AZ$228),"")</f>
        <v>-1809.5154689999999</v>
      </c>
      <c r="BA228">
        <f ca="1">IFERROR(IF(0=LEN(ReferenceData!$BA$228),"",ReferenceData!$BA$228),"")</f>
        <v>-424.6856684</v>
      </c>
      <c r="BB228">
        <f ca="1">IFERROR(IF(0=LEN(ReferenceData!$BB$228),"",ReferenceData!$BB$228),"")</f>
        <v>-515.24742319999996</v>
      </c>
      <c r="BC228">
        <f ca="1">IFERROR(IF(0=LEN(ReferenceData!$BC$228),"",ReferenceData!$BC$228),"")</f>
        <v>759.37819160000004</v>
      </c>
      <c r="BD228">
        <f ca="1">IFERROR(IF(0=LEN(ReferenceData!$BD$228),"",ReferenceData!$BD$228),"")</f>
        <v>1432.3402329999999</v>
      </c>
      <c r="BE228">
        <f ca="1">IFERROR(IF(0=LEN(ReferenceData!$BE$228),"",ReferenceData!$BE$228),"")</f>
        <v>1245.1875520000001</v>
      </c>
      <c r="BF228">
        <f ca="1">IFERROR(IF(0=LEN(ReferenceData!$BF$228),"",ReferenceData!$BF$228),"")</f>
        <v>1066.828411</v>
      </c>
      <c r="BG228">
        <f ca="1">IFERROR(IF(0=LEN(ReferenceData!$BG$228),"",ReferenceData!$BG$228),"")</f>
        <v>1441.782391</v>
      </c>
      <c r="BH228">
        <f ca="1">IFERROR(IF(0=LEN(ReferenceData!$BH$228),"",ReferenceData!$BH$228),"")</f>
        <v>3144.2360210000002</v>
      </c>
      <c r="BI228">
        <f ca="1">IFERROR(IF(0=LEN(ReferenceData!$BI$228),"",ReferenceData!$BI$228),"")</f>
        <v>3264.2821469999999</v>
      </c>
      <c r="BJ228">
        <f ca="1">IFERROR(IF(0=LEN(ReferenceData!$BJ$228),"",ReferenceData!$BJ$228),"")</f>
        <v>3470.0557829999998</v>
      </c>
      <c r="BK228" t="str">
        <f ca="1">IFERROR(IF(0=LEN(ReferenceData!$BK$228),"",ReferenceData!$BK$228),"")</f>
        <v/>
      </c>
      <c r="BL228" t="str">
        <f ca="1">IFERROR(IF(0=LEN(ReferenceData!$BL$228),"",ReferenceData!$BL$228),"")</f>
        <v/>
      </c>
      <c r="BM228" t="str">
        <f ca="1">IFERROR(IF(0=LEN(ReferenceData!$BM$228),"",ReferenceData!$BM$228),"")</f>
        <v/>
      </c>
    </row>
    <row r="229" spans="1:65" x14ac:dyDescent="0.25">
      <c r="A229" t="str">
        <f>IFERROR(IF(0=LEN(ReferenceData!$A$229),"",ReferenceData!$A$229),"")</f>
        <v xml:space="preserve">    Hyundai Motor Co</v>
      </c>
      <c r="B229" t="str">
        <f>IFERROR(IF(0=LEN(ReferenceData!$B$229),"",ReferenceData!$B$229),"")</f>
        <v>005380 KS Equity</v>
      </c>
      <c r="C229" t="str">
        <f>IFERROR(IF(0=LEN(ReferenceData!$C$229),"",ReferenceData!$C$229),"")</f>
        <v>RR843</v>
      </c>
      <c r="D229" t="str">
        <f>IFERROR(IF(0=LEN(ReferenceData!$D$229),"",ReferenceData!$D$229),"")</f>
        <v>TRAIL_12M_FREE_CASH_FLOW</v>
      </c>
      <c r="E229" t="str">
        <f>IFERROR(IF(0=LEN(ReferenceData!$E$229),"",ReferenceData!$E$229),"")</f>
        <v>Dynamic</v>
      </c>
      <c r="F229" t="str">
        <f ca="1">IFERROR(IF(0=LEN(ReferenceData!$F$229),"",ReferenceData!$F$229),"")</f>
        <v/>
      </c>
      <c r="G229" t="str">
        <f ca="1">IFERROR(IF(0=LEN(ReferenceData!$G$229),"",ReferenceData!$G$229),"")</f>
        <v/>
      </c>
      <c r="H229">
        <f ca="1">IFERROR(IF(0=LEN(ReferenceData!$H$229),"",ReferenceData!$H$229),"")</f>
        <v>1833.851645</v>
      </c>
      <c r="I229">
        <f ca="1">IFERROR(IF(0=LEN(ReferenceData!$I$229),"",ReferenceData!$I$229),"")</f>
        <v>1388.5123940000001</v>
      </c>
      <c r="J229">
        <f ca="1">IFERROR(IF(0=LEN(ReferenceData!$J$229),"",ReferenceData!$J$229),"")</f>
        <v>845.95631019999996</v>
      </c>
      <c r="K229">
        <f ca="1">IFERROR(IF(0=LEN(ReferenceData!$K$229),"",ReferenceData!$K$229),"")</f>
        <v>767.51368290000005</v>
      </c>
      <c r="L229">
        <f ca="1">IFERROR(IF(0=LEN(ReferenceData!$L$229),"",ReferenceData!$L$229),"")</f>
        <v>-214.12922459999999</v>
      </c>
      <c r="M229">
        <f ca="1">IFERROR(IF(0=LEN(ReferenceData!$M$229),"",ReferenceData!$M$229),"")</f>
        <v>-155.90887050000001</v>
      </c>
      <c r="N229">
        <f ca="1">IFERROR(IF(0=LEN(ReferenceData!$N$229),"",ReferenceData!$N$229),"")</f>
        <v>52.248439339999997</v>
      </c>
      <c r="O229">
        <f ca="1">IFERROR(IF(0=LEN(ReferenceData!$O$229),"",ReferenceData!$O$229),"")</f>
        <v>-1702.407361</v>
      </c>
      <c r="P229">
        <f ca="1">IFERROR(IF(0=LEN(ReferenceData!$P$229),"",ReferenceData!$P$229),"")</f>
        <v>-2991.0767289999999</v>
      </c>
      <c r="Q229">
        <f ca="1">IFERROR(IF(0=LEN(ReferenceData!$Q$229),"",ReferenceData!$Q$229),"")</f>
        <v>-5038.0234229999996</v>
      </c>
      <c r="R229">
        <f ca="1">IFERROR(IF(0=LEN(ReferenceData!$R$229),"",ReferenceData!$R$229),"")</f>
        <v>-6589.0679870000004</v>
      </c>
      <c r="S229">
        <f ca="1">IFERROR(IF(0=LEN(ReferenceData!$S$229),"",ReferenceData!$S$229),"")</f>
        <v>-6094.6011150000004</v>
      </c>
      <c r="T229">
        <f ca="1">IFERROR(IF(0=LEN(ReferenceData!$T$229),"",ReferenceData!$T$229),"")</f>
        <v>-7486.1390510000001</v>
      </c>
      <c r="U229">
        <f ca="1">IFERROR(IF(0=LEN(ReferenceData!$U$229),"",ReferenceData!$U$229),"")</f>
        <v>-5679.0754340000003</v>
      </c>
      <c r="V229">
        <f ca="1">IFERROR(IF(0=LEN(ReferenceData!$V$229),"",ReferenceData!$V$229),"")</f>
        <v>-3684.5618829999999</v>
      </c>
      <c r="W229">
        <f ca="1">IFERROR(IF(0=LEN(ReferenceData!$W$229),"",ReferenceData!$W$229),"")</f>
        <v>-1171.4496939999999</v>
      </c>
      <c r="X229">
        <f ca="1">IFERROR(IF(0=LEN(ReferenceData!$X$229),"",ReferenceData!$X$229),"")</f>
        <v>-2002.3626400000001</v>
      </c>
      <c r="Y229">
        <f ca="1">IFERROR(IF(0=LEN(ReferenceData!$Y$229),"",ReferenceData!$Y$229),"")</f>
        <v>-2853.245308</v>
      </c>
      <c r="Z229">
        <f ca="1">IFERROR(IF(0=LEN(ReferenceData!$Z$229),"",ReferenceData!$Z$229),"")</f>
        <v>-1056.9094210000001</v>
      </c>
      <c r="AA229">
        <f ca="1">IFERROR(IF(0=LEN(ReferenceData!$AA$229),"",ReferenceData!$AA$229),"")</f>
        <v>-1793.852752</v>
      </c>
      <c r="AB229">
        <f ca="1">IFERROR(IF(0=LEN(ReferenceData!$AB$229),"",ReferenceData!$AB$229),"")</f>
        <v>1377.282477</v>
      </c>
      <c r="AC229">
        <f ca="1">IFERROR(IF(0=LEN(ReferenceData!$AC$229),"",ReferenceData!$AC$229),"")</f>
        <v>3464.471035</v>
      </c>
      <c r="AD229">
        <f ca="1">IFERROR(IF(0=LEN(ReferenceData!$AD$229),"",ReferenceData!$AD$229),"")</f>
        <v>2003.8490650000001</v>
      </c>
      <c r="AE229">
        <f ca="1">IFERROR(IF(0=LEN(ReferenceData!$AE$229),"",ReferenceData!$AE$229),"")</f>
        <v>2078.083944</v>
      </c>
      <c r="AF229">
        <f ca="1">IFERROR(IF(0=LEN(ReferenceData!$AF$229),"",ReferenceData!$AF$229),"")</f>
        <v>2550.9801360000001</v>
      </c>
      <c r="AG229">
        <f ca="1">IFERROR(IF(0=LEN(ReferenceData!$AG$229),"",ReferenceData!$AG$229),"")</f>
        <v>1218.9648079999999</v>
      </c>
      <c r="AH229">
        <f ca="1">IFERROR(IF(0=LEN(ReferenceData!$AH$229),"",ReferenceData!$AH$229),"")</f>
        <v>1529.0180769999999</v>
      </c>
      <c r="AI229">
        <f ca="1">IFERROR(IF(0=LEN(ReferenceData!$AI$229),"",ReferenceData!$AI$229),"")</f>
        <v>1113.9730870000001</v>
      </c>
      <c r="AJ229">
        <f ca="1">IFERROR(IF(0=LEN(ReferenceData!$AJ$229),"",ReferenceData!$AJ$229),"")</f>
        <v>1133.0833210000001</v>
      </c>
      <c r="AK229">
        <f ca="1">IFERROR(IF(0=LEN(ReferenceData!$AK$229),"",ReferenceData!$AK$229),"")</f>
        <v>1265.59961</v>
      </c>
      <c r="AL229">
        <f ca="1">IFERROR(IF(0=LEN(ReferenceData!$AL$229),"",ReferenceData!$AL$229),"")</f>
        <v>1765.1040660000001</v>
      </c>
      <c r="AM229">
        <f ca="1">IFERROR(IF(0=LEN(ReferenceData!$AM$229),"",ReferenceData!$AM$229),"")</f>
        <v>2017.286167</v>
      </c>
      <c r="AN229" t="str">
        <f ca="1">IFERROR(IF(0=LEN(ReferenceData!$AN$229),"",ReferenceData!$AN$229),"")</f>
        <v/>
      </c>
      <c r="AO229" t="str">
        <f ca="1">IFERROR(IF(0=LEN(ReferenceData!$AO$229),"",ReferenceData!$AO$229),"")</f>
        <v/>
      </c>
      <c r="AP229" t="str">
        <f ca="1">IFERROR(IF(0=LEN(ReferenceData!$AP$229),"",ReferenceData!$AP$229),"")</f>
        <v/>
      </c>
      <c r="AQ229" t="str">
        <f ca="1">IFERROR(IF(0=LEN(ReferenceData!$AQ$229),"",ReferenceData!$AQ$229),"")</f>
        <v/>
      </c>
      <c r="AR229" t="str">
        <f ca="1">IFERROR(IF(0=LEN(ReferenceData!$AR$229),"",ReferenceData!$AR$229),"")</f>
        <v/>
      </c>
      <c r="AS229" t="str">
        <f ca="1">IFERROR(IF(0=LEN(ReferenceData!$AS$229),"",ReferenceData!$AS$229),"")</f>
        <v/>
      </c>
      <c r="AT229" t="str">
        <f ca="1">IFERROR(IF(0=LEN(ReferenceData!$AT$229),"",ReferenceData!$AT$229),"")</f>
        <v/>
      </c>
      <c r="AU229" t="str">
        <f ca="1">IFERROR(IF(0=LEN(ReferenceData!$AU$229),"",ReferenceData!$AU$229),"")</f>
        <v/>
      </c>
      <c r="AV229" t="str">
        <f ca="1">IFERROR(IF(0=LEN(ReferenceData!$AV$229),"",ReferenceData!$AV$229),"")</f>
        <v/>
      </c>
      <c r="AW229" t="str">
        <f ca="1">IFERROR(IF(0=LEN(ReferenceData!$AW$229),"",ReferenceData!$AW$229),"")</f>
        <v/>
      </c>
      <c r="AX229" t="str">
        <f ca="1">IFERROR(IF(0=LEN(ReferenceData!$AX$229),"",ReferenceData!$AX$229),"")</f>
        <v/>
      </c>
      <c r="AY229" t="str">
        <f ca="1">IFERROR(IF(0=LEN(ReferenceData!$AY$229),"",ReferenceData!$AY$229),"")</f>
        <v/>
      </c>
      <c r="AZ229" t="str">
        <f ca="1">IFERROR(IF(0=LEN(ReferenceData!$AZ$229),"",ReferenceData!$AZ$229),"")</f>
        <v/>
      </c>
      <c r="BA229" t="str">
        <f ca="1">IFERROR(IF(0=LEN(ReferenceData!$BA$229),"",ReferenceData!$BA$229),"")</f>
        <v/>
      </c>
      <c r="BB229" t="str">
        <f ca="1">IFERROR(IF(0=LEN(ReferenceData!$BB$229),"",ReferenceData!$BB$229),"")</f>
        <v/>
      </c>
      <c r="BC229" t="str">
        <f ca="1">IFERROR(IF(0=LEN(ReferenceData!$BC$229),"",ReferenceData!$BC$229),"")</f>
        <v/>
      </c>
      <c r="BD229" t="str">
        <f ca="1">IFERROR(IF(0=LEN(ReferenceData!$BD$229),"",ReferenceData!$BD$229),"")</f>
        <v/>
      </c>
      <c r="BE229" t="str">
        <f ca="1">IFERROR(IF(0=LEN(ReferenceData!$BE$229),"",ReferenceData!$BE$229),"")</f>
        <v/>
      </c>
      <c r="BF229" t="str">
        <f ca="1">IFERROR(IF(0=LEN(ReferenceData!$BF$229),"",ReferenceData!$BF$229),"")</f>
        <v/>
      </c>
      <c r="BG229" t="str">
        <f ca="1">IFERROR(IF(0=LEN(ReferenceData!$BG$229),"",ReferenceData!$BG$229),"")</f>
        <v/>
      </c>
      <c r="BH229" t="str">
        <f ca="1">IFERROR(IF(0=LEN(ReferenceData!$BH$229),"",ReferenceData!$BH$229),"")</f>
        <v/>
      </c>
      <c r="BI229" t="str">
        <f ca="1">IFERROR(IF(0=LEN(ReferenceData!$BI$229),"",ReferenceData!$BI$229),"")</f>
        <v/>
      </c>
      <c r="BJ229" t="str">
        <f ca="1">IFERROR(IF(0=LEN(ReferenceData!$BJ$229),"",ReferenceData!$BJ$229),"")</f>
        <v/>
      </c>
      <c r="BK229" t="str">
        <f ca="1">IFERROR(IF(0=LEN(ReferenceData!$BK$229),"",ReferenceData!$BK$229),"")</f>
        <v/>
      </c>
      <c r="BL229" t="str">
        <f ca="1">IFERROR(IF(0=LEN(ReferenceData!$BL$229),"",ReferenceData!$BL$229),"")</f>
        <v/>
      </c>
      <c r="BM229" t="str">
        <f ca="1">IFERROR(IF(0=LEN(ReferenceData!$BM$229),"",ReferenceData!$BM$229),"")</f>
        <v/>
      </c>
    </row>
    <row r="230" spans="1:65" x14ac:dyDescent="0.25">
      <c r="A230" t="str">
        <f>IFERROR(IF(0=LEN(ReferenceData!$A$230),"",ReferenceData!$A$230),"")</f>
        <v xml:space="preserve">    Kia Motors Corp</v>
      </c>
      <c r="B230" t="str">
        <f>IFERROR(IF(0=LEN(ReferenceData!$B$230),"",ReferenceData!$B$230),"")</f>
        <v>000270 KS Equity</v>
      </c>
      <c r="C230" t="str">
        <f>IFERROR(IF(0=LEN(ReferenceData!$C$230),"",ReferenceData!$C$230),"")</f>
        <v>RR843</v>
      </c>
      <c r="D230" t="str">
        <f>IFERROR(IF(0=LEN(ReferenceData!$D$230),"",ReferenceData!$D$230),"")</f>
        <v>TRAIL_12M_FREE_CASH_FLOW</v>
      </c>
      <c r="E230" t="str">
        <f>IFERROR(IF(0=LEN(ReferenceData!$E$230),"",ReferenceData!$E$230),"")</f>
        <v>Dynamic</v>
      </c>
      <c r="F230" t="str">
        <f ca="1">IFERROR(IF(0=LEN(ReferenceData!$F$230),"",ReferenceData!$F$230),"")</f>
        <v/>
      </c>
      <c r="G230" t="str">
        <f ca="1">IFERROR(IF(0=LEN(ReferenceData!$G$230),"",ReferenceData!$G$230),"")</f>
        <v/>
      </c>
      <c r="H230">
        <f ca="1">IFERROR(IF(0=LEN(ReferenceData!$H$230),"",ReferenceData!$H$230),"")</f>
        <v>2117.4348230000001</v>
      </c>
      <c r="I230">
        <f ca="1">IFERROR(IF(0=LEN(ReferenceData!$I$230),"",ReferenceData!$I$230),"")</f>
        <v>2507.009333</v>
      </c>
      <c r="J230">
        <f ca="1">IFERROR(IF(0=LEN(ReferenceData!$J$230),"",ReferenceData!$J$230),"")</f>
        <v>1582.7631289999999</v>
      </c>
      <c r="K230">
        <f ca="1">IFERROR(IF(0=LEN(ReferenceData!$K$230),"",ReferenceData!$K$230),"")</f>
        <v>800.52817330000005</v>
      </c>
      <c r="L230">
        <f ca="1">IFERROR(IF(0=LEN(ReferenceData!$L$230),"",ReferenceData!$L$230),"")</f>
        <v>725.63522339999997</v>
      </c>
      <c r="M230">
        <f ca="1">IFERROR(IF(0=LEN(ReferenceData!$M$230),"",ReferenceData!$M$230),"")</f>
        <v>385.4721462</v>
      </c>
      <c r="N230">
        <f ca="1">IFERROR(IF(0=LEN(ReferenceData!$N$230),"",ReferenceData!$N$230),"")</f>
        <v>2105.0003280000001</v>
      </c>
      <c r="O230">
        <f ca="1">IFERROR(IF(0=LEN(ReferenceData!$O$230),"",ReferenceData!$O$230),"")</f>
        <v>1480.053236</v>
      </c>
      <c r="P230">
        <f ca="1">IFERROR(IF(0=LEN(ReferenceData!$P$230),"",ReferenceData!$P$230),"")</f>
        <v>1669.424675</v>
      </c>
      <c r="Q230">
        <f ca="1">IFERROR(IF(0=LEN(ReferenceData!$Q$230),"",ReferenceData!$Q$230),"")</f>
        <v>1410.4342859999999</v>
      </c>
      <c r="R230">
        <f ca="1">IFERROR(IF(0=LEN(ReferenceData!$R$230),"",ReferenceData!$R$230),"")</f>
        <v>-518.74443120000001</v>
      </c>
      <c r="S230">
        <f ca="1">IFERROR(IF(0=LEN(ReferenceData!$S$230),"",ReferenceData!$S$230),"")</f>
        <v>-476.86733070000002</v>
      </c>
      <c r="T230">
        <f ca="1">IFERROR(IF(0=LEN(ReferenceData!$T$230),"",ReferenceData!$T$230),"")</f>
        <v>11.66991005</v>
      </c>
      <c r="U230">
        <f ca="1">IFERROR(IF(0=LEN(ReferenceData!$U$230),"",ReferenceData!$U$230),"")</f>
        <v>202.29180059999999</v>
      </c>
      <c r="V230">
        <f ca="1">IFERROR(IF(0=LEN(ReferenceData!$V$230),"",ReferenceData!$V$230),"")</f>
        <v>15.770782840000001</v>
      </c>
      <c r="W230">
        <f ca="1">IFERROR(IF(0=LEN(ReferenceData!$W$230),"",ReferenceData!$W$230),"")</f>
        <v>887.61900279999998</v>
      </c>
      <c r="X230">
        <f ca="1">IFERROR(IF(0=LEN(ReferenceData!$X$230),"",ReferenceData!$X$230),"")</f>
        <v>1896.809808</v>
      </c>
      <c r="Y230">
        <f ca="1">IFERROR(IF(0=LEN(ReferenceData!$Y$230),"",ReferenceData!$Y$230),"")</f>
        <v>1750.0759660000001</v>
      </c>
      <c r="Z230">
        <f ca="1">IFERROR(IF(0=LEN(ReferenceData!$Z$230),"",ReferenceData!$Z$230),"")</f>
        <v>3227.6893690000002</v>
      </c>
      <c r="AA230">
        <f ca="1">IFERROR(IF(0=LEN(ReferenceData!$AA$230),"",ReferenceData!$AA$230),"")</f>
        <v>3275.9993129999998</v>
      </c>
      <c r="AB230">
        <f ca="1">IFERROR(IF(0=LEN(ReferenceData!$AB$230),"",ReferenceData!$AB$230),"")</f>
        <v>2225.3792509999998</v>
      </c>
      <c r="AC230">
        <f ca="1">IFERROR(IF(0=LEN(ReferenceData!$AC$230),"",ReferenceData!$AC$230),"")</f>
        <v>2410.9751329999999</v>
      </c>
      <c r="AD230">
        <f ca="1">IFERROR(IF(0=LEN(ReferenceData!$AD$230),"",ReferenceData!$AD$230),"")</f>
        <v>1964.9000820000001</v>
      </c>
      <c r="AE230">
        <f ca="1">IFERROR(IF(0=LEN(ReferenceData!$AE$230),"",ReferenceData!$AE$230),"")</f>
        <v>2461.0134159999998</v>
      </c>
      <c r="AF230">
        <f ca="1">IFERROR(IF(0=LEN(ReferenceData!$AF$230),"",ReferenceData!$AF$230),"")</f>
        <v>3222.5861570000002</v>
      </c>
      <c r="AG230">
        <f ca="1">IFERROR(IF(0=LEN(ReferenceData!$AG$230),"",ReferenceData!$AG$230),"")</f>
        <v>3365.7833070000001</v>
      </c>
      <c r="AH230">
        <f ca="1">IFERROR(IF(0=LEN(ReferenceData!$AH$230),"",ReferenceData!$AH$230),"")</f>
        <v>2992.961816</v>
      </c>
      <c r="AI230">
        <f ca="1">IFERROR(IF(0=LEN(ReferenceData!$AI$230),"",ReferenceData!$AI$230),"")</f>
        <v>2971.3625790000001</v>
      </c>
      <c r="AJ230">
        <f ca="1">IFERROR(IF(0=LEN(ReferenceData!$AJ$230),"",ReferenceData!$AJ$230),"")</f>
        <v>3316.5908669999999</v>
      </c>
      <c r="AK230">
        <f ca="1">IFERROR(IF(0=LEN(ReferenceData!$AK$230),"",ReferenceData!$AK$230),"")</f>
        <v>3376.9956099999999</v>
      </c>
      <c r="AL230">
        <f ca="1">IFERROR(IF(0=LEN(ReferenceData!$AL$230),"",ReferenceData!$AL$230),"")</f>
        <v>3862.9669560000002</v>
      </c>
      <c r="AM230">
        <f ca="1">IFERROR(IF(0=LEN(ReferenceData!$AM$230),"",ReferenceData!$AM$230),"")</f>
        <v>3776.8860610000002</v>
      </c>
      <c r="AN230" t="str">
        <f ca="1">IFERROR(IF(0=LEN(ReferenceData!$AN$230),"",ReferenceData!$AN$230),"")</f>
        <v/>
      </c>
      <c r="AO230" t="str">
        <f ca="1">IFERROR(IF(0=LEN(ReferenceData!$AO$230),"",ReferenceData!$AO$230),"")</f>
        <v/>
      </c>
      <c r="AP230" t="str">
        <f ca="1">IFERROR(IF(0=LEN(ReferenceData!$AP$230),"",ReferenceData!$AP$230),"")</f>
        <v/>
      </c>
      <c r="AQ230" t="str">
        <f ca="1">IFERROR(IF(0=LEN(ReferenceData!$AQ$230),"",ReferenceData!$AQ$230),"")</f>
        <v/>
      </c>
      <c r="AR230" t="str">
        <f ca="1">IFERROR(IF(0=LEN(ReferenceData!$AR$230),"",ReferenceData!$AR$230),"")</f>
        <v/>
      </c>
      <c r="AS230" t="str">
        <f ca="1">IFERROR(IF(0=LEN(ReferenceData!$AS$230),"",ReferenceData!$AS$230),"")</f>
        <v/>
      </c>
      <c r="AT230" t="str">
        <f ca="1">IFERROR(IF(0=LEN(ReferenceData!$AT$230),"",ReferenceData!$AT$230),"")</f>
        <v/>
      </c>
      <c r="AU230" t="str">
        <f ca="1">IFERROR(IF(0=LEN(ReferenceData!$AU$230),"",ReferenceData!$AU$230),"")</f>
        <v/>
      </c>
      <c r="AV230" t="str">
        <f ca="1">IFERROR(IF(0=LEN(ReferenceData!$AV$230),"",ReferenceData!$AV$230),"")</f>
        <v/>
      </c>
      <c r="AW230" t="str">
        <f ca="1">IFERROR(IF(0=LEN(ReferenceData!$AW$230),"",ReferenceData!$AW$230),"")</f>
        <v/>
      </c>
      <c r="AX230" t="str">
        <f ca="1">IFERROR(IF(0=LEN(ReferenceData!$AX$230),"",ReferenceData!$AX$230),"")</f>
        <v/>
      </c>
      <c r="AY230" t="str">
        <f ca="1">IFERROR(IF(0=LEN(ReferenceData!$AY$230),"",ReferenceData!$AY$230),"")</f>
        <v/>
      </c>
      <c r="AZ230" t="str">
        <f ca="1">IFERROR(IF(0=LEN(ReferenceData!$AZ$230),"",ReferenceData!$AZ$230),"")</f>
        <v/>
      </c>
      <c r="BA230" t="str">
        <f ca="1">IFERROR(IF(0=LEN(ReferenceData!$BA$230),"",ReferenceData!$BA$230),"")</f>
        <v/>
      </c>
      <c r="BB230" t="str">
        <f ca="1">IFERROR(IF(0=LEN(ReferenceData!$BB$230),"",ReferenceData!$BB$230),"")</f>
        <v/>
      </c>
      <c r="BC230" t="str">
        <f ca="1">IFERROR(IF(0=LEN(ReferenceData!$BC$230),"",ReferenceData!$BC$230),"")</f>
        <v/>
      </c>
      <c r="BD230" t="str">
        <f ca="1">IFERROR(IF(0=LEN(ReferenceData!$BD$230),"",ReferenceData!$BD$230),"")</f>
        <v/>
      </c>
      <c r="BE230" t="str">
        <f ca="1">IFERROR(IF(0=LEN(ReferenceData!$BE$230),"",ReferenceData!$BE$230),"")</f>
        <v/>
      </c>
      <c r="BF230" t="str">
        <f ca="1">IFERROR(IF(0=LEN(ReferenceData!$BF$230),"",ReferenceData!$BF$230),"")</f>
        <v/>
      </c>
      <c r="BG230" t="str">
        <f ca="1">IFERROR(IF(0=LEN(ReferenceData!$BG$230),"",ReferenceData!$BG$230),"")</f>
        <v/>
      </c>
      <c r="BH230" t="str">
        <f ca="1">IFERROR(IF(0=LEN(ReferenceData!$BH$230),"",ReferenceData!$BH$230),"")</f>
        <v/>
      </c>
      <c r="BI230" t="str">
        <f ca="1">IFERROR(IF(0=LEN(ReferenceData!$BI$230),"",ReferenceData!$BI$230),"")</f>
        <v/>
      </c>
      <c r="BJ230" t="str">
        <f ca="1">IFERROR(IF(0=LEN(ReferenceData!$BJ$230),"",ReferenceData!$BJ$230),"")</f>
        <v/>
      </c>
      <c r="BK230" t="str">
        <f ca="1">IFERROR(IF(0=LEN(ReferenceData!$BK$230),"",ReferenceData!$BK$230),"")</f>
        <v/>
      </c>
      <c r="BL230" t="str">
        <f ca="1">IFERROR(IF(0=LEN(ReferenceData!$BL$230),"",ReferenceData!$BL$230),"")</f>
        <v/>
      </c>
      <c r="BM230" t="str">
        <f ca="1">IFERROR(IF(0=LEN(ReferenceData!$BM$230),"",ReferenceData!$BM$230),"")</f>
        <v/>
      </c>
    </row>
    <row r="231" spans="1:65" x14ac:dyDescent="0.25">
      <c r="A231" t="str">
        <f>IFERROR(IF(0=LEN(ReferenceData!$A$231),"",ReferenceData!$A$231),"")</f>
        <v xml:space="preserve">    Mazda Motor Corp</v>
      </c>
      <c r="B231" t="str">
        <f>IFERROR(IF(0=LEN(ReferenceData!$B$231),"",ReferenceData!$B$231),"")</f>
        <v>7261 JP Equity</v>
      </c>
      <c r="C231" t="str">
        <f>IFERROR(IF(0=LEN(ReferenceData!$C$231),"",ReferenceData!$C$231),"")</f>
        <v>RR843</v>
      </c>
      <c r="D231" t="str">
        <f>IFERROR(IF(0=LEN(ReferenceData!$D$231),"",ReferenceData!$D$231),"")</f>
        <v>TRAIL_12M_FREE_CASH_FLOW</v>
      </c>
      <c r="E231" t="str">
        <f>IFERROR(IF(0=LEN(ReferenceData!$E$231),"",ReferenceData!$E$231),"")</f>
        <v>Dynamic</v>
      </c>
      <c r="F231" t="str">
        <f ca="1">IFERROR(IF(0=LEN(ReferenceData!$F$231),"",ReferenceData!$F$231),"")</f>
        <v/>
      </c>
      <c r="G231">
        <f ca="1">IFERROR(IF(0=LEN(ReferenceData!$G$231),"",ReferenceData!$G$231),"")</f>
        <v>601.76624409999999</v>
      </c>
      <c r="H231">
        <f ca="1">IFERROR(IF(0=LEN(ReferenceData!$H$231),"",ReferenceData!$H$231),"")</f>
        <v>882.20855080000001</v>
      </c>
      <c r="I231">
        <f ca="1">IFERROR(IF(0=LEN(ReferenceData!$I$231),"",ReferenceData!$I$231),"")</f>
        <v>945.93364559999998</v>
      </c>
      <c r="J231">
        <f ca="1">IFERROR(IF(0=LEN(ReferenceData!$J$231),"",ReferenceData!$J$231),"")</f>
        <v>1089.706666</v>
      </c>
      <c r="K231">
        <f ca="1">IFERROR(IF(0=LEN(ReferenceData!$K$231),"",ReferenceData!$K$231),"")</f>
        <v>947.29606809999996</v>
      </c>
      <c r="L231">
        <f ca="1">IFERROR(IF(0=LEN(ReferenceData!$L$231),"",ReferenceData!$L$231),"")</f>
        <v>728.5047204</v>
      </c>
      <c r="M231">
        <f ca="1">IFERROR(IF(0=LEN(ReferenceData!$M$231),"",ReferenceData!$M$231),"")</f>
        <v>711.59015139999997</v>
      </c>
      <c r="N231">
        <f ca="1">IFERROR(IF(0=LEN(ReferenceData!$N$231),"",ReferenceData!$N$231),"")</f>
        <v>756.5208983</v>
      </c>
      <c r="O231">
        <f ca="1">IFERROR(IF(0=LEN(ReferenceData!$O$231),"",ReferenceData!$O$231),"")</f>
        <v>895.91238490000001</v>
      </c>
      <c r="P231">
        <f ca="1">IFERROR(IF(0=LEN(ReferenceData!$P$231),"",ReferenceData!$P$231),"")</f>
        <v>1144.781223</v>
      </c>
      <c r="Q231">
        <f ca="1">IFERROR(IF(0=LEN(ReferenceData!$Q$231),"",ReferenceData!$Q$231),"")</f>
        <v>1305.6843980000001</v>
      </c>
      <c r="R231">
        <f ca="1">IFERROR(IF(0=LEN(ReferenceData!$R$231),"",ReferenceData!$R$231),"")</f>
        <v>1532.8202510000001</v>
      </c>
      <c r="S231">
        <f ca="1">IFERROR(IF(0=LEN(ReferenceData!$S$231),"",ReferenceData!$S$231),"")</f>
        <v>1475.5779030000001</v>
      </c>
      <c r="T231">
        <f ca="1">IFERROR(IF(0=LEN(ReferenceData!$T$231),"",ReferenceData!$T$231),"")</f>
        <v>1284.983412</v>
      </c>
      <c r="U231">
        <f ca="1">IFERROR(IF(0=LEN(ReferenceData!$U$231),"",ReferenceData!$U$231),"")</f>
        <v>1020.098785</v>
      </c>
      <c r="V231">
        <f ca="1">IFERROR(IF(0=LEN(ReferenceData!$V$231),"",ReferenceData!$V$231),"")</f>
        <v>741.33276350000006</v>
      </c>
      <c r="W231">
        <f ca="1">IFERROR(IF(0=LEN(ReferenceData!$W$231),"",ReferenceData!$W$231),"")</f>
        <v>589.35100839999996</v>
      </c>
      <c r="X231">
        <f ca="1">IFERROR(IF(0=LEN(ReferenceData!$X$231),"",ReferenceData!$X$231),"")</f>
        <v>845.61406160000001</v>
      </c>
      <c r="Y231">
        <f ca="1">IFERROR(IF(0=LEN(ReferenceData!$Y$231),"",ReferenceData!$Y$231),"")</f>
        <v>583.55786720000003</v>
      </c>
      <c r="Z231">
        <f ca="1">IFERROR(IF(0=LEN(ReferenceData!$Z$231),"",ReferenceData!$Z$231),"")</f>
        <v>255.1149806</v>
      </c>
      <c r="AA231">
        <f ca="1">IFERROR(IF(0=LEN(ReferenceData!$AA$231),"",ReferenceData!$AA$231),"")</f>
        <v>336.81702360000003</v>
      </c>
      <c r="AB231">
        <f ca="1">IFERROR(IF(0=LEN(ReferenceData!$AB$231),"",ReferenceData!$AB$231),"")</f>
        <v>-124.3236326</v>
      </c>
      <c r="AC231">
        <f ca="1">IFERROR(IF(0=LEN(ReferenceData!$AC$231),"",ReferenceData!$AC$231),"")</f>
        <v>-203.85429199999999</v>
      </c>
      <c r="AD231">
        <f ca="1">IFERROR(IF(0=LEN(ReferenceData!$AD$231),"",ReferenceData!$AD$231),"")</f>
        <v>-252.52661900000001</v>
      </c>
      <c r="AE231">
        <f ca="1">IFERROR(IF(0=LEN(ReferenceData!$AE$231),"",ReferenceData!$AE$231),"")</f>
        <v>-315.11255219999998</v>
      </c>
      <c r="AF231">
        <f ca="1">IFERROR(IF(0=LEN(ReferenceData!$AF$231),"",ReferenceData!$AF$231),"")</f>
        <v>-884.09751400000005</v>
      </c>
      <c r="AG231">
        <f ca="1">IFERROR(IF(0=LEN(ReferenceData!$AG$231),"",ReferenceData!$AG$231),"")</f>
        <v>-770.19863740000005</v>
      </c>
      <c r="AH231">
        <f ca="1">IFERROR(IF(0=LEN(ReferenceData!$AH$231),"",ReferenceData!$AH$231),"")</f>
        <v>-897.584383</v>
      </c>
      <c r="AI231">
        <f ca="1">IFERROR(IF(0=LEN(ReferenceData!$AI$231),"",ReferenceData!$AI$231),"")</f>
        <v>-1029.419883</v>
      </c>
      <c r="AJ231">
        <f ca="1">IFERROR(IF(0=LEN(ReferenceData!$AJ$231),"",ReferenceData!$AJ$231),"")</f>
        <v>-856.9664444</v>
      </c>
      <c r="AK231">
        <f ca="1">IFERROR(IF(0=LEN(ReferenceData!$AK$231),"",ReferenceData!$AK$231),"")</f>
        <v>-785.10851400000001</v>
      </c>
      <c r="AL231">
        <f ca="1">IFERROR(IF(0=LEN(ReferenceData!$AL$231),"",ReferenceData!$AL$231),"")</f>
        <v>-197.8097396</v>
      </c>
      <c r="AM231">
        <f ca="1">IFERROR(IF(0=LEN(ReferenceData!$AM$231),"",ReferenceData!$AM$231),"")</f>
        <v>19.717229750000001</v>
      </c>
      <c r="AN231">
        <f ca="1">IFERROR(IF(0=LEN(ReferenceData!$AN$231),"",ReferenceData!$AN$231),"")</f>
        <v>921.6139412</v>
      </c>
      <c r="AO231">
        <f ca="1">IFERROR(IF(0=LEN(ReferenceData!$AO$231),"",ReferenceData!$AO$231),"")</f>
        <v>1116.4705240000001</v>
      </c>
      <c r="AP231">
        <f ca="1">IFERROR(IF(0=LEN(ReferenceData!$AP$231),"",ReferenceData!$AP$231),"")</f>
        <v>980.4583427</v>
      </c>
      <c r="AQ231">
        <f ca="1">IFERROR(IF(0=LEN(ReferenceData!$AQ$231),"",ReferenceData!$AQ$231),"")</f>
        <v>1112.2797210000001</v>
      </c>
      <c r="AR231">
        <f ca="1">IFERROR(IF(0=LEN(ReferenceData!$AR$231),"",ReferenceData!$AR$231),"")</f>
        <v>-912.06834070000002</v>
      </c>
      <c r="AS231">
        <f ca="1">IFERROR(IF(0=LEN(ReferenceData!$AS$231),"",ReferenceData!$AS$231),"")</f>
        <v>-1148.6472530000001</v>
      </c>
      <c r="AT231">
        <f ca="1">IFERROR(IF(0=LEN(ReferenceData!$AT$231),"",ReferenceData!$AT$231),"")</f>
        <v>-1163.335961</v>
      </c>
      <c r="AU231" t="str">
        <f ca="1">IFERROR(IF(0=LEN(ReferenceData!$AU$231),"",ReferenceData!$AU$231),"")</f>
        <v/>
      </c>
      <c r="AV231" t="str">
        <f ca="1">IFERROR(IF(0=LEN(ReferenceData!$AV$231),"",ReferenceData!$AV$231),"")</f>
        <v/>
      </c>
      <c r="AW231" t="str">
        <f ca="1">IFERROR(IF(0=LEN(ReferenceData!$AW$231),"",ReferenceData!$AW$231),"")</f>
        <v/>
      </c>
      <c r="AX231" t="str">
        <f ca="1">IFERROR(IF(0=LEN(ReferenceData!$AX$231),"",ReferenceData!$AX$231),"")</f>
        <v/>
      </c>
      <c r="AY231" t="str">
        <f ca="1">IFERROR(IF(0=LEN(ReferenceData!$AY$231),"",ReferenceData!$AY$231),"")</f>
        <v/>
      </c>
      <c r="AZ231" t="str">
        <f ca="1">IFERROR(IF(0=LEN(ReferenceData!$AZ$231),"",ReferenceData!$AZ$231),"")</f>
        <v/>
      </c>
      <c r="BA231" t="str">
        <f ca="1">IFERROR(IF(0=LEN(ReferenceData!$BA$231),"",ReferenceData!$BA$231),"")</f>
        <v/>
      </c>
      <c r="BB231" t="str">
        <f ca="1">IFERROR(IF(0=LEN(ReferenceData!$BB$231),"",ReferenceData!$BB$231),"")</f>
        <v/>
      </c>
      <c r="BC231" t="str">
        <f ca="1">IFERROR(IF(0=LEN(ReferenceData!$BC$231),"",ReferenceData!$BC$231),"")</f>
        <v/>
      </c>
      <c r="BD231" t="str">
        <f ca="1">IFERROR(IF(0=LEN(ReferenceData!$BD$231),"",ReferenceData!$BD$231),"")</f>
        <v/>
      </c>
      <c r="BE231" t="str">
        <f ca="1">IFERROR(IF(0=LEN(ReferenceData!$BE$231),"",ReferenceData!$BE$231),"")</f>
        <v/>
      </c>
      <c r="BF231" t="str">
        <f ca="1">IFERROR(IF(0=LEN(ReferenceData!$BF$231),"",ReferenceData!$BF$231),"")</f>
        <v/>
      </c>
      <c r="BG231" t="str">
        <f ca="1">IFERROR(IF(0=LEN(ReferenceData!$BG$231),"",ReferenceData!$BG$231),"")</f>
        <v/>
      </c>
      <c r="BH231" t="str">
        <f ca="1">IFERROR(IF(0=LEN(ReferenceData!$BH$231),"",ReferenceData!$BH$231),"")</f>
        <v/>
      </c>
      <c r="BI231" t="str">
        <f ca="1">IFERROR(IF(0=LEN(ReferenceData!$BI$231),"",ReferenceData!$BI$231),"")</f>
        <v/>
      </c>
      <c r="BJ231" t="str">
        <f ca="1">IFERROR(IF(0=LEN(ReferenceData!$BJ$231),"",ReferenceData!$BJ$231),"")</f>
        <v/>
      </c>
      <c r="BK231" t="str">
        <f ca="1">IFERROR(IF(0=LEN(ReferenceData!$BK$231),"",ReferenceData!$BK$231),"")</f>
        <v/>
      </c>
      <c r="BL231" t="str">
        <f ca="1">IFERROR(IF(0=LEN(ReferenceData!$BL$231),"",ReferenceData!$BL$231),"")</f>
        <v/>
      </c>
      <c r="BM231" t="str">
        <f ca="1">IFERROR(IF(0=LEN(ReferenceData!$BM$231),"",ReferenceData!$BM$231),"")</f>
        <v/>
      </c>
    </row>
    <row r="232" spans="1:65" x14ac:dyDescent="0.25">
      <c r="A232" t="str">
        <f>IFERROR(IF(0=LEN(ReferenceData!$A$232),"",ReferenceData!$A$232),"")</f>
        <v xml:space="preserve">    Mitsubishi Motors Corp</v>
      </c>
      <c r="B232" t="str">
        <f>IFERROR(IF(0=LEN(ReferenceData!$B$232),"",ReferenceData!$B$232),"")</f>
        <v>7211 JP Equity</v>
      </c>
      <c r="C232" t="str">
        <f>IFERROR(IF(0=LEN(ReferenceData!$C$232),"",ReferenceData!$C$232),"")</f>
        <v>RR843</v>
      </c>
      <c r="D232" t="str">
        <f>IFERROR(IF(0=LEN(ReferenceData!$D$232),"",ReferenceData!$D$232),"")</f>
        <v>TRAIL_12M_FREE_CASH_FLOW</v>
      </c>
      <c r="E232" t="str">
        <f>IFERROR(IF(0=LEN(ReferenceData!$E$232),"",ReferenceData!$E$232),"")</f>
        <v>Dynamic</v>
      </c>
      <c r="F232" t="str">
        <f ca="1">IFERROR(IF(0=LEN(ReferenceData!$F$232),"",ReferenceData!$F$232),"")</f>
        <v/>
      </c>
      <c r="G232" t="str">
        <f ca="1">IFERROR(IF(0=LEN(ReferenceData!$G$232),"",ReferenceData!$G$232),"")</f>
        <v/>
      </c>
      <c r="H232" t="str">
        <f ca="1">IFERROR(IF(0=LEN(ReferenceData!$H$232),"",ReferenceData!$H$232),"")</f>
        <v/>
      </c>
      <c r="I232" t="str">
        <f ca="1">IFERROR(IF(0=LEN(ReferenceData!$I$232),"",ReferenceData!$I$232),"")</f>
        <v/>
      </c>
      <c r="J232" t="str">
        <f ca="1">IFERROR(IF(0=LEN(ReferenceData!$J$232),"",ReferenceData!$J$232),"")</f>
        <v/>
      </c>
      <c r="K232" t="str">
        <f ca="1">IFERROR(IF(0=LEN(ReferenceData!$K$232),"",ReferenceData!$K$232),"")</f>
        <v/>
      </c>
      <c r="L232" t="str">
        <f ca="1">IFERROR(IF(0=LEN(ReferenceData!$L$232),"",ReferenceData!$L$232),"")</f>
        <v/>
      </c>
      <c r="M232" t="str">
        <f ca="1">IFERROR(IF(0=LEN(ReferenceData!$M$232),"",ReferenceData!$M$232),"")</f>
        <v/>
      </c>
      <c r="N232" t="str">
        <f ca="1">IFERROR(IF(0=LEN(ReferenceData!$N$232),"",ReferenceData!$N$232),"")</f>
        <v/>
      </c>
      <c r="O232" t="str">
        <f ca="1">IFERROR(IF(0=LEN(ReferenceData!$O$232),"",ReferenceData!$O$232),"")</f>
        <v/>
      </c>
      <c r="P232" t="str">
        <f ca="1">IFERROR(IF(0=LEN(ReferenceData!$P$232),"",ReferenceData!$P$232),"")</f>
        <v/>
      </c>
      <c r="Q232" t="str">
        <f ca="1">IFERROR(IF(0=LEN(ReferenceData!$Q$232),"",ReferenceData!$Q$232),"")</f>
        <v/>
      </c>
      <c r="R232" t="str">
        <f ca="1">IFERROR(IF(0=LEN(ReferenceData!$R$232),"",ReferenceData!$R$232),"")</f>
        <v/>
      </c>
      <c r="S232" t="str">
        <f ca="1">IFERROR(IF(0=LEN(ReferenceData!$S$232),"",ReferenceData!$S$232),"")</f>
        <v/>
      </c>
      <c r="T232" t="str">
        <f ca="1">IFERROR(IF(0=LEN(ReferenceData!$T$232),"",ReferenceData!$T$232),"")</f>
        <v/>
      </c>
      <c r="U232" t="str">
        <f ca="1">IFERROR(IF(0=LEN(ReferenceData!$U$232),"",ReferenceData!$U$232),"")</f>
        <v/>
      </c>
      <c r="V232" t="str">
        <f ca="1">IFERROR(IF(0=LEN(ReferenceData!$V$232),"",ReferenceData!$V$232),"")</f>
        <v/>
      </c>
      <c r="W232" t="str">
        <f ca="1">IFERROR(IF(0=LEN(ReferenceData!$W$232),"",ReferenceData!$W$232),"")</f>
        <v/>
      </c>
      <c r="X232" t="str">
        <f ca="1">IFERROR(IF(0=LEN(ReferenceData!$X$232),"",ReferenceData!$X$232),"")</f>
        <v/>
      </c>
      <c r="Y232" t="str">
        <f ca="1">IFERROR(IF(0=LEN(ReferenceData!$Y$232),"",ReferenceData!$Y$232),"")</f>
        <v/>
      </c>
      <c r="Z232" t="str">
        <f ca="1">IFERROR(IF(0=LEN(ReferenceData!$Z$232),"",ReferenceData!$Z$232),"")</f>
        <v/>
      </c>
      <c r="AA232" t="str">
        <f ca="1">IFERROR(IF(0=LEN(ReferenceData!$AA$232),"",ReferenceData!$AA$232),"")</f>
        <v/>
      </c>
      <c r="AB232" t="str">
        <f ca="1">IFERROR(IF(0=LEN(ReferenceData!$AB$232),"",ReferenceData!$AB$232),"")</f>
        <v/>
      </c>
      <c r="AC232" t="str">
        <f ca="1">IFERROR(IF(0=LEN(ReferenceData!$AC$232),"",ReferenceData!$AC$232),"")</f>
        <v/>
      </c>
      <c r="AD232" t="str">
        <f ca="1">IFERROR(IF(0=LEN(ReferenceData!$AD$232),"",ReferenceData!$AD$232),"")</f>
        <v/>
      </c>
      <c r="AE232" t="str">
        <f ca="1">IFERROR(IF(0=LEN(ReferenceData!$AE$232),"",ReferenceData!$AE$232),"")</f>
        <v/>
      </c>
      <c r="AF232" t="str">
        <f ca="1">IFERROR(IF(0=LEN(ReferenceData!$AF$232),"",ReferenceData!$AF$232),"")</f>
        <v/>
      </c>
      <c r="AG232" t="str">
        <f ca="1">IFERROR(IF(0=LEN(ReferenceData!$AG$232),"",ReferenceData!$AG$232),"")</f>
        <v/>
      </c>
      <c r="AH232" t="str">
        <f ca="1">IFERROR(IF(0=LEN(ReferenceData!$AH$232),"",ReferenceData!$AH$232),"")</f>
        <v/>
      </c>
      <c r="AI232" t="str">
        <f ca="1">IFERROR(IF(0=LEN(ReferenceData!$AI$232),"",ReferenceData!$AI$232),"")</f>
        <v/>
      </c>
      <c r="AJ232" t="str">
        <f ca="1">IFERROR(IF(0=LEN(ReferenceData!$AJ$232),"",ReferenceData!$AJ$232),"")</f>
        <v/>
      </c>
      <c r="AK232" t="str">
        <f ca="1">IFERROR(IF(0=LEN(ReferenceData!$AK$232),"",ReferenceData!$AK$232),"")</f>
        <v/>
      </c>
      <c r="AL232">
        <f ca="1">IFERROR(IF(0=LEN(ReferenceData!$AL$232),"",ReferenceData!$AL$232),"")</f>
        <v>591.46340780000003</v>
      </c>
      <c r="AM232">
        <f ca="1">IFERROR(IF(0=LEN(ReferenceData!$AM$232),"",ReferenceData!$AM$232),"")</f>
        <v>1102.3028099999999</v>
      </c>
      <c r="AN232">
        <f ca="1">IFERROR(IF(0=LEN(ReferenceData!$AN$232),"",ReferenceData!$AN$232),"")</f>
        <v>1313.4655359999999</v>
      </c>
      <c r="AO232">
        <f ca="1">IFERROR(IF(0=LEN(ReferenceData!$AO$232),"",ReferenceData!$AO$232),"")</f>
        <v>1008.428867</v>
      </c>
      <c r="AP232">
        <f ca="1">IFERROR(IF(0=LEN(ReferenceData!$AP$232),"",ReferenceData!$AP$232),"")</f>
        <v>608.54882420000001</v>
      </c>
      <c r="AQ232">
        <f ca="1">IFERROR(IF(0=LEN(ReferenceData!$AQ$232),"",ReferenceData!$AQ$232),"")</f>
        <v>-720.62620509999999</v>
      </c>
      <c r="AR232">
        <f ca="1">IFERROR(IF(0=LEN(ReferenceData!$AR$232),"",ReferenceData!$AR$232),"")</f>
        <v>-1915.188815</v>
      </c>
      <c r="AS232">
        <f ca="1">IFERROR(IF(0=LEN(ReferenceData!$AS$232),"",ReferenceData!$AS$232),"")</f>
        <v>-2184.8481360000001</v>
      </c>
      <c r="AT232">
        <f ca="1">IFERROR(IF(0=LEN(ReferenceData!$AT$232),"",ReferenceData!$AT$232),"")</f>
        <v>-1875.60184</v>
      </c>
      <c r="AU232" t="str">
        <f ca="1">IFERROR(IF(0=LEN(ReferenceData!$AU$232),"",ReferenceData!$AU$232),"")</f>
        <v/>
      </c>
      <c r="AV232" t="str">
        <f ca="1">IFERROR(IF(0=LEN(ReferenceData!$AV$232),"",ReferenceData!$AV$232),"")</f>
        <v/>
      </c>
      <c r="AW232" t="str">
        <f ca="1">IFERROR(IF(0=LEN(ReferenceData!$AW$232),"",ReferenceData!$AW$232),"")</f>
        <v/>
      </c>
      <c r="AX232" t="str">
        <f ca="1">IFERROR(IF(0=LEN(ReferenceData!$AX$232),"",ReferenceData!$AX$232),"")</f>
        <v/>
      </c>
      <c r="AY232" t="str">
        <f ca="1">IFERROR(IF(0=LEN(ReferenceData!$AY$232),"",ReferenceData!$AY$232),"")</f>
        <v/>
      </c>
      <c r="AZ232" t="str">
        <f ca="1">IFERROR(IF(0=LEN(ReferenceData!$AZ$232),"",ReferenceData!$AZ$232),"")</f>
        <v/>
      </c>
      <c r="BA232" t="str">
        <f ca="1">IFERROR(IF(0=LEN(ReferenceData!$BA$232),"",ReferenceData!$BA$232),"")</f>
        <v/>
      </c>
      <c r="BB232" t="str">
        <f ca="1">IFERROR(IF(0=LEN(ReferenceData!$BB$232),"",ReferenceData!$BB$232),"")</f>
        <v/>
      </c>
      <c r="BC232" t="str">
        <f ca="1">IFERROR(IF(0=LEN(ReferenceData!$BC$232),"",ReferenceData!$BC$232),"")</f>
        <v/>
      </c>
      <c r="BD232" t="str">
        <f ca="1">IFERROR(IF(0=LEN(ReferenceData!$BD$232),"",ReferenceData!$BD$232),"")</f>
        <v/>
      </c>
      <c r="BE232" t="str">
        <f ca="1">IFERROR(IF(0=LEN(ReferenceData!$BE$232),"",ReferenceData!$BE$232),"")</f>
        <v/>
      </c>
      <c r="BF232" t="str">
        <f ca="1">IFERROR(IF(0=LEN(ReferenceData!$BF$232),"",ReferenceData!$BF$232),"")</f>
        <v/>
      </c>
      <c r="BG232" t="str">
        <f ca="1">IFERROR(IF(0=LEN(ReferenceData!$BG$232),"",ReferenceData!$BG$232),"")</f>
        <v/>
      </c>
      <c r="BH232" t="str">
        <f ca="1">IFERROR(IF(0=LEN(ReferenceData!$BH$232),"",ReferenceData!$BH$232),"")</f>
        <v/>
      </c>
      <c r="BI232" t="str">
        <f ca="1">IFERROR(IF(0=LEN(ReferenceData!$BI$232),"",ReferenceData!$BI$232),"")</f>
        <v/>
      </c>
      <c r="BJ232" t="str">
        <f ca="1">IFERROR(IF(0=LEN(ReferenceData!$BJ$232),"",ReferenceData!$BJ$232),"")</f>
        <v/>
      </c>
      <c r="BK232" t="str">
        <f ca="1">IFERROR(IF(0=LEN(ReferenceData!$BK$232),"",ReferenceData!$BK$232),"")</f>
        <v/>
      </c>
      <c r="BL232" t="str">
        <f ca="1">IFERROR(IF(0=LEN(ReferenceData!$BL$232),"",ReferenceData!$BL$232),"")</f>
        <v/>
      </c>
      <c r="BM232" t="str">
        <f ca="1">IFERROR(IF(0=LEN(ReferenceData!$BM$232),"",ReferenceData!$BM$232),"")</f>
        <v/>
      </c>
    </row>
    <row r="233" spans="1:65" x14ac:dyDescent="0.25">
      <c r="A233" t="str">
        <f>IFERROR(IF(0=LEN(ReferenceData!$A$233),"",ReferenceData!$A$233),"")</f>
        <v xml:space="preserve">    Nissan Motor Co Ltd</v>
      </c>
      <c r="B233" t="str">
        <f>IFERROR(IF(0=LEN(ReferenceData!$B$233),"",ReferenceData!$B$233),"")</f>
        <v>7201 JP Equity</v>
      </c>
      <c r="C233" t="str">
        <f>IFERROR(IF(0=LEN(ReferenceData!$C$233),"",ReferenceData!$C$233),"")</f>
        <v>RR843</v>
      </c>
      <c r="D233" t="str">
        <f>IFERROR(IF(0=LEN(ReferenceData!$D$233),"",ReferenceData!$D$233),"")</f>
        <v>TRAIL_12M_FREE_CASH_FLOW</v>
      </c>
      <c r="E233" t="str">
        <f>IFERROR(IF(0=LEN(ReferenceData!$E$233),"",ReferenceData!$E$233),"")</f>
        <v>Dynamic</v>
      </c>
      <c r="F233" t="str">
        <f ca="1">IFERROR(IF(0=LEN(ReferenceData!$F$233),"",ReferenceData!$F$233),"")</f>
        <v/>
      </c>
      <c r="G233">
        <f ca="1">IFERROR(IF(0=LEN(ReferenceData!$G$233),"",ReferenceData!$G$233),"")</f>
        <v>10658.70613</v>
      </c>
      <c r="H233">
        <f ca="1">IFERROR(IF(0=LEN(ReferenceData!$H$233),"",ReferenceData!$H$233),"")</f>
        <v>7804.3998780000002</v>
      </c>
      <c r="I233">
        <f ca="1">IFERROR(IF(0=LEN(ReferenceData!$I$233),"",ReferenceData!$I$233),"")</f>
        <v>8081.1166739999999</v>
      </c>
      <c r="J233">
        <f ca="1">IFERROR(IF(0=LEN(ReferenceData!$J$233),"",ReferenceData!$J$233),"")</f>
        <v>6069.4473459999999</v>
      </c>
      <c r="K233">
        <f ca="1">IFERROR(IF(0=LEN(ReferenceData!$K$233),"",ReferenceData!$K$233),"")</f>
        <v>3697.5504510000001</v>
      </c>
      <c r="L233">
        <f ca="1">IFERROR(IF(0=LEN(ReferenceData!$L$233),"",ReferenceData!$L$233),"")</f>
        <v>5976.3426289999998</v>
      </c>
      <c r="M233">
        <f ca="1">IFERROR(IF(0=LEN(ReferenceData!$M$233),"",ReferenceData!$M$233),"")</f>
        <v>5879.3476350000001</v>
      </c>
      <c r="N233">
        <f ca="1">IFERROR(IF(0=LEN(ReferenceData!$N$233),"",ReferenceData!$N$233),"")</f>
        <v>7693.8643430000002</v>
      </c>
      <c r="O233">
        <f ca="1">IFERROR(IF(0=LEN(ReferenceData!$O$233),"",ReferenceData!$O$233),"")</f>
        <v>6741.5588289999996</v>
      </c>
      <c r="P233">
        <f ca="1">IFERROR(IF(0=LEN(ReferenceData!$P$233),"",ReferenceData!$P$233),"")</f>
        <v>5749.7620470000002</v>
      </c>
      <c r="Q233">
        <f ca="1">IFERROR(IF(0=LEN(ReferenceData!$Q$233),"",ReferenceData!$Q$233),"")</f>
        <v>5333.1103940000003</v>
      </c>
      <c r="R233">
        <f ca="1">IFERROR(IF(0=LEN(ReferenceData!$R$233),"",ReferenceData!$R$233),"")</f>
        <v>3299.31585</v>
      </c>
      <c r="S233">
        <f ca="1">IFERROR(IF(0=LEN(ReferenceData!$S$233),"",ReferenceData!$S$233),"")</f>
        <v>2315.2483950000001</v>
      </c>
      <c r="T233">
        <f ca="1">IFERROR(IF(0=LEN(ReferenceData!$T$233),"",ReferenceData!$T$233),"")</f>
        <v>2046.4957870000001</v>
      </c>
      <c r="U233">
        <f ca="1">IFERROR(IF(0=LEN(ReferenceData!$U$233),"",ReferenceData!$U$233),"")</f>
        <v>2616.3228859999999</v>
      </c>
      <c r="V233">
        <f ca="1">IFERROR(IF(0=LEN(ReferenceData!$V$233),"",ReferenceData!$V$233),"")</f>
        <v>1640.8349229999999</v>
      </c>
      <c r="W233">
        <f ca="1">IFERROR(IF(0=LEN(ReferenceData!$W$233),"",ReferenceData!$W$233),"")</f>
        <v>3356.3006770000002</v>
      </c>
      <c r="X233">
        <f ca="1">IFERROR(IF(0=LEN(ReferenceData!$X$233),"",ReferenceData!$X$233),"")</f>
        <v>2185.5955359999998</v>
      </c>
      <c r="Y233">
        <f ca="1">IFERROR(IF(0=LEN(ReferenceData!$Y$233),"",ReferenceData!$Y$233),"")</f>
        <v>1035.546433</v>
      </c>
      <c r="Z233">
        <f ca="1">IFERROR(IF(0=LEN(ReferenceData!$Z$233),"",ReferenceData!$Z$233),"")</f>
        <v>1760.5619710000001</v>
      </c>
      <c r="AA233">
        <f ca="1">IFERROR(IF(0=LEN(ReferenceData!$AA$233),"",ReferenceData!$AA$233),"")</f>
        <v>1112.9985240000001</v>
      </c>
      <c r="AB233">
        <f ca="1">IFERROR(IF(0=LEN(ReferenceData!$AB$233),"",ReferenceData!$AB$233),"")</f>
        <v>1401.5483389999999</v>
      </c>
      <c r="AC233">
        <f ca="1">IFERROR(IF(0=LEN(ReferenceData!$AC$233),"",ReferenceData!$AC$233),"")</f>
        <v>-105.09923620000001</v>
      </c>
      <c r="AD233">
        <f ca="1">IFERROR(IF(0=LEN(ReferenceData!$AD$233),"",ReferenceData!$AD$233),"")</f>
        <v>-525.7965825</v>
      </c>
      <c r="AE233">
        <f ca="1">IFERROR(IF(0=LEN(ReferenceData!$AE$233),"",ReferenceData!$AE$233),"")</f>
        <v>-1825.975445</v>
      </c>
      <c r="AF233">
        <f ca="1">IFERROR(IF(0=LEN(ReferenceData!$AF$233),"",ReferenceData!$AF$233),"")</f>
        <v>-669.14793550000002</v>
      </c>
      <c r="AG233">
        <f ca="1">IFERROR(IF(0=LEN(ReferenceData!$AG$233),"",ReferenceData!$AG$233),"")</f>
        <v>954.35637129999998</v>
      </c>
      <c r="AH233">
        <f ca="1">IFERROR(IF(0=LEN(ReferenceData!$AH$233),"",ReferenceData!$AH$233),"")</f>
        <v>3747.31531</v>
      </c>
      <c r="AI233">
        <f ca="1">IFERROR(IF(0=LEN(ReferenceData!$AI$233),"",ReferenceData!$AI$233),"")</f>
        <v>3524.183481</v>
      </c>
      <c r="AJ233">
        <f ca="1">IFERROR(IF(0=LEN(ReferenceData!$AJ$233),"",ReferenceData!$AJ$233),"")</f>
        <v>4662.0141100000001</v>
      </c>
      <c r="AK233">
        <f ca="1">IFERROR(IF(0=LEN(ReferenceData!$AK$233),"",ReferenceData!$AK$233),"")</f>
        <v>4435.9980690000002</v>
      </c>
      <c r="AL233">
        <f ca="1">IFERROR(IF(0=LEN(ReferenceData!$AL$233),"",ReferenceData!$AL$233),"")</f>
        <v>4511.4194090000001</v>
      </c>
      <c r="AM233">
        <f ca="1">IFERROR(IF(0=LEN(ReferenceData!$AM$233),"",ReferenceData!$AM$233),"")</f>
        <v>4817.4470019999999</v>
      </c>
      <c r="AN233">
        <f ca="1">IFERROR(IF(0=LEN(ReferenceData!$AN$233),"",ReferenceData!$AN$233),"")</f>
        <v>5271.6751029999996</v>
      </c>
      <c r="AO233">
        <f ca="1">IFERROR(IF(0=LEN(ReferenceData!$AO$233),"",ReferenceData!$AO$233),"")</f>
        <v>8577.2791410000009</v>
      </c>
      <c r="AP233">
        <f ca="1">IFERROR(IF(0=LEN(ReferenceData!$AP$233),"",ReferenceData!$AP$233),"")</f>
        <v>9720.5422920000001</v>
      </c>
      <c r="AQ233">
        <f ca="1">IFERROR(IF(0=LEN(ReferenceData!$AQ$233),"",ReferenceData!$AQ$233),"")</f>
        <v>11540.79422</v>
      </c>
      <c r="AR233">
        <f ca="1">IFERROR(IF(0=LEN(ReferenceData!$AR$233),"",ReferenceData!$AR$233),"")</f>
        <v>10762.042299999999</v>
      </c>
      <c r="AS233">
        <f ca="1">IFERROR(IF(0=LEN(ReferenceData!$AS$233),"",ReferenceData!$AS$233),"")</f>
        <v>8282.7730210000009</v>
      </c>
      <c r="AT233">
        <f ca="1">IFERROR(IF(0=LEN(ReferenceData!$AT$233),"",ReferenceData!$AT$233),"")</f>
        <v>5041.9051900000004</v>
      </c>
      <c r="AU233" t="str">
        <f ca="1">IFERROR(IF(0=LEN(ReferenceData!$AU$233),"",ReferenceData!$AU$233),"")</f>
        <v/>
      </c>
      <c r="AV233" t="str">
        <f ca="1">IFERROR(IF(0=LEN(ReferenceData!$AV$233),"",ReferenceData!$AV$233),"")</f>
        <v/>
      </c>
      <c r="AW233" t="str">
        <f ca="1">IFERROR(IF(0=LEN(ReferenceData!$AW$233),"",ReferenceData!$AW$233),"")</f>
        <v/>
      </c>
      <c r="AX233" t="str">
        <f ca="1">IFERROR(IF(0=LEN(ReferenceData!$AX$233),"",ReferenceData!$AX$233),"")</f>
        <v/>
      </c>
      <c r="AY233" t="str">
        <f ca="1">IFERROR(IF(0=LEN(ReferenceData!$AY$233),"",ReferenceData!$AY$233),"")</f>
        <v/>
      </c>
      <c r="AZ233" t="str">
        <f ca="1">IFERROR(IF(0=LEN(ReferenceData!$AZ$233),"",ReferenceData!$AZ$233),"")</f>
        <v/>
      </c>
      <c r="BA233" t="str">
        <f ca="1">IFERROR(IF(0=LEN(ReferenceData!$BA$233),"",ReferenceData!$BA$233),"")</f>
        <v/>
      </c>
      <c r="BB233" t="str">
        <f ca="1">IFERROR(IF(0=LEN(ReferenceData!$BB$233),"",ReferenceData!$BB$233),"")</f>
        <v/>
      </c>
      <c r="BC233" t="str">
        <f ca="1">IFERROR(IF(0=LEN(ReferenceData!$BC$233),"",ReferenceData!$BC$233),"")</f>
        <v/>
      </c>
      <c r="BD233" t="str">
        <f ca="1">IFERROR(IF(0=LEN(ReferenceData!$BD$233),"",ReferenceData!$BD$233),"")</f>
        <v/>
      </c>
      <c r="BE233" t="str">
        <f ca="1">IFERROR(IF(0=LEN(ReferenceData!$BE$233),"",ReferenceData!$BE$233),"")</f>
        <v/>
      </c>
      <c r="BF233" t="str">
        <f ca="1">IFERROR(IF(0=LEN(ReferenceData!$BF$233),"",ReferenceData!$BF$233),"")</f>
        <v/>
      </c>
      <c r="BG233" t="str">
        <f ca="1">IFERROR(IF(0=LEN(ReferenceData!$BG$233),"",ReferenceData!$BG$233),"")</f>
        <v/>
      </c>
      <c r="BH233" t="str">
        <f ca="1">IFERROR(IF(0=LEN(ReferenceData!$BH$233),"",ReferenceData!$BH$233),"")</f>
        <v/>
      </c>
      <c r="BI233" t="str">
        <f ca="1">IFERROR(IF(0=LEN(ReferenceData!$BI$233),"",ReferenceData!$BI$233),"")</f>
        <v/>
      </c>
      <c r="BJ233" t="str">
        <f ca="1">IFERROR(IF(0=LEN(ReferenceData!$BJ$233),"",ReferenceData!$BJ$233),"")</f>
        <v/>
      </c>
      <c r="BK233" t="str">
        <f ca="1">IFERROR(IF(0=LEN(ReferenceData!$BK$233),"",ReferenceData!$BK$233),"")</f>
        <v/>
      </c>
      <c r="BL233" t="str">
        <f ca="1">IFERROR(IF(0=LEN(ReferenceData!$BL$233),"",ReferenceData!$BL$233),"")</f>
        <v/>
      </c>
      <c r="BM233" t="str">
        <f ca="1">IFERROR(IF(0=LEN(ReferenceData!$BM$233),"",ReferenceData!$BM$233),"")</f>
        <v/>
      </c>
    </row>
    <row r="234" spans="1:65" x14ac:dyDescent="0.25">
      <c r="A234" t="str">
        <f>IFERROR(IF(0=LEN(ReferenceData!$A$234),"",ReferenceData!$A$234),"")</f>
        <v xml:space="preserve">    Peugeot SA</v>
      </c>
      <c r="B234" t="str">
        <f>IFERROR(IF(0=LEN(ReferenceData!$B$234),"",ReferenceData!$B$234),"")</f>
        <v>UG FP Equity</v>
      </c>
      <c r="C234" t="str">
        <f>IFERROR(IF(0=LEN(ReferenceData!$C$234),"",ReferenceData!$C$234),"")</f>
        <v>RR843</v>
      </c>
      <c r="D234" t="str">
        <f>IFERROR(IF(0=LEN(ReferenceData!$D$234),"",ReferenceData!$D$234),"")</f>
        <v>TRAIL_12M_FREE_CASH_FLOW</v>
      </c>
      <c r="E234" t="str">
        <f>IFERROR(IF(0=LEN(ReferenceData!$E$234),"",ReferenceData!$E$234),"")</f>
        <v>Dynamic</v>
      </c>
      <c r="F234" t="str">
        <f ca="1">IFERROR(IF(0=LEN(ReferenceData!$F$234),"",ReferenceData!$F$234),"")</f>
        <v/>
      </c>
      <c r="G234" t="str">
        <f ca="1">IFERROR(IF(0=LEN(ReferenceData!$G$234),"",ReferenceData!$G$234),"")</f>
        <v/>
      </c>
      <c r="H234" t="str">
        <f ca="1">IFERROR(IF(0=LEN(ReferenceData!$H$234),"",ReferenceData!$H$234),"")</f>
        <v/>
      </c>
      <c r="I234" t="str">
        <f ca="1">IFERROR(IF(0=LEN(ReferenceData!$I$234),"",ReferenceData!$I$234),"")</f>
        <v/>
      </c>
      <c r="J234" t="str">
        <f ca="1">IFERROR(IF(0=LEN(ReferenceData!$J$234),"",ReferenceData!$J$234),"")</f>
        <v/>
      </c>
      <c r="K234" t="str">
        <f ca="1">IFERROR(IF(0=LEN(ReferenceData!$K$234),"",ReferenceData!$K$234),"")</f>
        <v/>
      </c>
      <c r="L234" t="str">
        <f ca="1">IFERROR(IF(0=LEN(ReferenceData!$L$234),"",ReferenceData!$L$234),"")</f>
        <v/>
      </c>
      <c r="M234" t="str">
        <f ca="1">IFERROR(IF(0=LEN(ReferenceData!$M$234),"",ReferenceData!$M$234),"")</f>
        <v/>
      </c>
      <c r="N234" t="str">
        <f ca="1">IFERROR(IF(0=LEN(ReferenceData!$N$234),"",ReferenceData!$N$234),"")</f>
        <v/>
      </c>
      <c r="O234" t="str">
        <f ca="1">IFERROR(IF(0=LEN(ReferenceData!$O$234),"",ReferenceData!$O$234),"")</f>
        <v/>
      </c>
      <c r="P234" t="str">
        <f ca="1">IFERROR(IF(0=LEN(ReferenceData!$P$234),"",ReferenceData!$P$234),"")</f>
        <v/>
      </c>
      <c r="Q234" t="str">
        <f ca="1">IFERROR(IF(0=LEN(ReferenceData!$Q$234),"",ReferenceData!$Q$234),"")</f>
        <v/>
      </c>
      <c r="R234" t="str">
        <f ca="1">IFERROR(IF(0=LEN(ReferenceData!$R$234),"",ReferenceData!$R$234),"")</f>
        <v/>
      </c>
      <c r="S234" t="str">
        <f ca="1">IFERROR(IF(0=LEN(ReferenceData!$S$234),"",ReferenceData!$S$234),"")</f>
        <v/>
      </c>
      <c r="T234" t="str">
        <f ca="1">IFERROR(IF(0=LEN(ReferenceData!$T$234),"",ReferenceData!$T$234),"")</f>
        <v/>
      </c>
      <c r="U234" t="str">
        <f ca="1">IFERROR(IF(0=LEN(ReferenceData!$U$234),"",ReferenceData!$U$234),"")</f>
        <v/>
      </c>
      <c r="V234" t="str">
        <f ca="1">IFERROR(IF(0=LEN(ReferenceData!$V$234),"",ReferenceData!$V$234),"")</f>
        <v/>
      </c>
      <c r="W234" t="str">
        <f ca="1">IFERROR(IF(0=LEN(ReferenceData!$W$234),"",ReferenceData!$W$234),"")</f>
        <v/>
      </c>
      <c r="X234" t="str">
        <f ca="1">IFERROR(IF(0=LEN(ReferenceData!$X$234),"",ReferenceData!$X$234),"")</f>
        <v/>
      </c>
      <c r="Y234" t="str">
        <f ca="1">IFERROR(IF(0=LEN(ReferenceData!$Y$234),"",ReferenceData!$Y$234),"")</f>
        <v/>
      </c>
      <c r="Z234" t="str">
        <f ca="1">IFERROR(IF(0=LEN(ReferenceData!$Z$234),"",ReferenceData!$Z$234),"")</f>
        <v/>
      </c>
      <c r="AA234" t="str">
        <f ca="1">IFERROR(IF(0=LEN(ReferenceData!$AA$234),"",ReferenceData!$AA$234),"")</f>
        <v/>
      </c>
      <c r="AB234" t="str">
        <f ca="1">IFERROR(IF(0=LEN(ReferenceData!$AB$234),"",ReferenceData!$AB$234),"")</f>
        <v/>
      </c>
      <c r="AC234" t="str">
        <f ca="1">IFERROR(IF(0=LEN(ReferenceData!$AC$234),"",ReferenceData!$AC$234),"")</f>
        <v/>
      </c>
      <c r="AD234" t="str">
        <f ca="1">IFERROR(IF(0=LEN(ReferenceData!$AD$234),"",ReferenceData!$AD$234),"")</f>
        <v/>
      </c>
      <c r="AE234" t="str">
        <f ca="1">IFERROR(IF(0=LEN(ReferenceData!$AE$234),"",ReferenceData!$AE$234),"")</f>
        <v/>
      </c>
      <c r="AF234" t="str">
        <f ca="1">IFERROR(IF(0=LEN(ReferenceData!$AF$234),"",ReferenceData!$AF$234),"")</f>
        <v/>
      </c>
      <c r="AG234" t="str">
        <f ca="1">IFERROR(IF(0=LEN(ReferenceData!$AG$234),"",ReferenceData!$AG$234),"")</f>
        <v/>
      </c>
      <c r="AH234" t="str">
        <f ca="1">IFERROR(IF(0=LEN(ReferenceData!$AH$234),"",ReferenceData!$AH$234),"")</f>
        <v/>
      </c>
      <c r="AI234" t="str">
        <f ca="1">IFERROR(IF(0=LEN(ReferenceData!$AI$234),"",ReferenceData!$AI$234),"")</f>
        <v/>
      </c>
      <c r="AJ234" t="str">
        <f ca="1">IFERROR(IF(0=LEN(ReferenceData!$AJ$234),"",ReferenceData!$AJ$234),"")</f>
        <v/>
      </c>
      <c r="AK234" t="str">
        <f ca="1">IFERROR(IF(0=LEN(ReferenceData!$AK$234),"",ReferenceData!$AK$234),"")</f>
        <v/>
      </c>
      <c r="AL234" t="str">
        <f ca="1">IFERROR(IF(0=LEN(ReferenceData!$AL$234),"",ReferenceData!$AL$234),"")</f>
        <v/>
      </c>
      <c r="AM234" t="str">
        <f ca="1">IFERROR(IF(0=LEN(ReferenceData!$AM$234),"",ReferenceData!$AM$234),"")</f>
        <v/>
      </c>
      <c r="AN234" t="str">
        <f ca="1">IFERROR(IF(0=LEN(ReferenceData!$AN$234),"",ReferenceData!$AN$234),"")</f>
        <v/>
      </c>
      <c r="AO234" t="str">
        <f ca="1">IFERROR(IF(0=LEN(ReferenceData!$AO$234),"",ReferenceData!$AO$234),"")</f>
        <v/>
      </c>
      <c r="AP234" t="str">
        <f ca="1">IFERROR(IF(0=LEN(ReferenceData!$AP$234),"",ReferenceData!$AP$234),"")</f>
        <v/>
      </c>
      <c r="AQ234" t="str">
        <f ca="1">IFERROR(IF(0=LEN(ReferenceData!$AQ$234),"",ReferenceData!$AQ$234),"")</f>
        <v/>
      </c>
      <c r="AR234" t="str">
        <f ca="1">IFERROR(IF(0=LEN(ReferenceData!$AR$234),"",ReferenceData!$AR$234),"")</f>
        <v/>
      </c>
      <c r="AS234" t="str">
        <f ca="1">IFERROR(IF(0=LEN(ReferenceData!$AS$234),"",ReferenceData!$AS$234),"")</f>
        <v/>
      </c>
      <c r="AT234" t="str">
        <f ca="1">IFERROR(IF(0=LEN(ReferenceData!$AT$234),"",ReferenceData!$AT$234),"")</f>
        <v/>
      </c>
      <c r="AU234" t="str">
        <f ca="1">IFERROR(IF(0=LEN(ReferenceData!$AU$234),"",ReferenceData!$AU$234),"")</f>
        <v/>
      </c>
      <c r="AV234" t="str">
        <f ca="1">IFERROR(IF(0=LEN(ReferenceData!$AV$234),"",ReferenceData!$AV$234),"")</f>
        <v/>
      </c>
      <c r="AW234" t="str">
        <f ca="1">IFERROR(IF(0=LEN(ReferenceData!$AW$234),"",ReferenceData!$AW$234),"")</f>
        <v/>
      </c>
      <c r="AX234" t="str">
        <f ca="1">IFERROR(IF(0=LEN(ReferenceData!$AX$234),"",ReferenceData!$AX$234),"")</f>
        <v/>
      </c>
      <c r="AY234" t="str">
        <f ca="1">IFERROR(IF(0=LEN(ReferenceData!$AY$234),"",ReferenceData!$AY$234),"")</f>
        <v/>
      </c>
      <c r="AZ234" t="str">
        <f ca="1">IFERROR(IF(0=LEN(ReferenceData!$AZ$234),"",ReferenceData!$AZ$234),"")</f>
        <v/>
      </c>
      <c r="BA234" t="str">
        <f ca="1">IFERROR(IF(0=LEN(ReferenceData!$BA$234),"",ReferenceData!$BA$234),"")</f>
        <v/>
      </c>
      <c r="BB234" t="str">
        <f ca="1">IFERROR(IF(0=LEN(ReferenceData!$BB$234),"",ReferenceData!$BB$234),"")</f>
        <v/>
      </c>
      <c r="BC234" t="str">
        <f ca="1">IFERROR(IF(0=LEN(ReferenceData!$BC$234),"",ReferenceData!$BC$234),"")</f>
        <v/>
      </c>
      <c r="BD234" t="str">
        <f ca="1">IFERROR(IF(0=LEN(ReferenceData!$BD$234),"",ReferenceData!$BD$234),"")</f>
        <v/>
      </c>
      <c r="BE234" t="str">
        <f ca="1">IFERROR(IF(0=LEN(ReferenceData!$BE$234),"",ReferenceData!$BE$234),"")</f>
        <v/>
      </c>
      <c r="BF234" t="str">
        <f ca="1">IFERROR(IF(0=LEN(ReferenceData!$BF$234),"",ReferenceData!$BF$234),"")</f>
        <v/>
      </c>
      <c r="BG234" t="str">
        <f ca="1">IFERROR(IF(0=LEN(ReferenceData!$BG$234),"",ReferenceData!$BG$234),"")</f>
        <v/>
      </c>
      <c r="BH234" t="str">
        <f ca="1">IFERROR(IF(0=LEN(ReferenceData!$BH$234),"",ReferenceData!$BH$234),"")</f>
        <v/>
      </c>
      <c r="BI234" t="str">
        <f ca="1">IFERROR(IF(0=LEN(ReferenceData!$BI$234),"",ReferenceData!$BI$234),"")</f>
        <v/>
      </c>
      <c r="BJ234" t="str">
        <f ca="1">IFERROR(IF(0=LEN(ReferenceData!$BJ$234),"",ReferenceData!$BJ$234),"")</f>
        <v/>
      </c>
      <c r="BK234" t="str">
        <f ca="1">IFERROR(IF(0=LEN(ReferenceData!$BK$234),"",ReferenceData!$BK$234),"")</f>
        <v/>
      </c>
      <c r="BL234" t="str">
        <f ca="1">IFERROR(IF(0=LEN(ReferenceData!$BL$234),"",ReferenceData!$BL$234),"")</f>
        <v/>
      </c>
      <c r="BM234" t="str">
        <f ca="1">IFERROR(IF(0=LEN(ReferenceData!$BM$234),"",ReferenceData!$BM$234),"")</f>
        <v/>
      </c>
    </row>
    <row r="235" spans="1:65" x14ac:dyDescent="0.25">
      <c r="A235" t="str">
        <f>IFERROR(IF(0=LEN(ReferenceData!$A$235),"",ReferenceData!$A$235),"")</f>
        <v xml:space="preserve">    Renault SA</v>
      </c>
      <c r="B235" t="str">
        <f>IFERROR(IF(0=LEN(ReferenceData!$B$235),"",ReferenceData!$B$235),"")</f>
        <v>RNO FP Equity</v>
      </c>
      <c r="C235" t="str">
        <f>IFERROR(IF(0=LEN(ReferenceData!$C$235),"",ReferenceData!$C$235),"")</f>
        <v>RR843</v>
      </c>
      <c r="D235" t="str">
        <f>IFERROR(IF(0=LEN(ReferenceData!$D$235),"",ReferenceData!$D$235),"")</f>
        <v>TRAIL_12M_FREE_CASH_FLOW</v>
      </c>
      <c r="E235" t="str">
        <f>IFERROR(IF(0=LEN(ReferenceData!$E$235),"",ReferenceData!$E$235),"")</f>
        <v>Dynamic</v>
      </c>
      <c r="F235" t="str">
        <f ca="1">IFERROR(IF(0=LEN(ReferenceData!$F$235),"",ReferenceData!$F$235),"")</f>
        <v/>
      </c>
      <c r="G235" t="str">
        <f ca="1">IFERROR(IF(0=LEN(ReferenceData!$G$235),"",ReferenceData!$G$235),"")</f>
        <v/>
      </c>
      <c r="H235" t="str">
        <f ca="1">IFERROR(IF(0=LEN(ReferenceData!$H$235),"",ReferenceData!$H$235),"")</f>
        <v/>
      </c>
      <c r="I235" t="str">
        <f ca="1">IFERROR(IF(0=LEN(ReferenceData!$I$235),"",ReferenceData!$I$235),"")</f>
        <v/>
      </c>
      <c r="J235" t="str">
        <f ca="1">IFERROR(IF(0=LEN(ReferenceData!$J$235),"",ReferenceData!$J$235),"")</f>
        <v/>
      </c>
      <c r="K235" t="str">
        <f ca="1">IFERROR(IF(0=LEN(ReferenceData!$K$235),"",ReferenceData!$K$235),"")</f>
        <v/>
      </c>
      <c r="L235" t="str">
        <f ca="1">IFERROR(IF(0=LEN(ReferenceData!$L$235),"",ReferenceData!$L$235),"")</f>
        <v/>
      </c>
      <c r="M235" t="str">
        <f ca="1">IFERROR(IF(0=LEN(ReferenceData!$M$235),"",ReferenceData!$M$235),"")</f>
        <v/>
      </c>
      <c r="N235" t="str">
        <f ca="1">IFERROR(IF(0=LEN(ReferenceData!$N$235),"",ReferenceData!$N$235),"")</f>
        <v/>
      </c>
      <c r="O235" t="str">
        <f ca="1">IFERROR(IF(0=LEN(ReferenceData!$O$235),"",ReferenceData!$O$235),"")</f>
        <v/>
      </c>
      <c r="P235" t="str">
        <f ca="1">IFERROR(IF(0=LEN(ReferenceData!$P$235),"",ReferenceData!$P$235),"")</f>
        <v/>
      </c>
      <c r="Q235" t="str">
        <f ca="1">IFERROR(IF(0=LEN(ReferenceData!$Q$235),"",ReferenceData!$Q$235),"")</f>
        <v/>
      </c>
      <c r="R235" t="str">
        <f ca="1">IFERROR(IF(0=LEN(ReferenceData!$R$235),"",ReferenceData!$R$235),"")</f>
        <v/>
      </c>
      <c r="S235" t="str">
        <f ca="1">IFERROR(IF(0=LEN(ReferenceData!$S$235),"",ReferenceData!$S$235),"")</f>
        <v/>
      </c>
      <c r="T235" t="str">
        <f ca="1">IFERROR(IF(0=LEN(ReferenceData!$T$235),"",ReferenceData!$T$235),"")</f>
        <v/>
      </c>
      <c r="U235" t="str">
        <f ca="1">IFERROR(IF(0=LEN(ReferenceData!$U$235),"",ReferenceData!$U$235),"")</f>
        <v/>
      </c>
      <c r="V235" t="str">
        <f ca="1">IFERROR(IF(0=LEN(ReferenceData!$V$235),"",ReferenceData!$V$235),"")</f>
        <v/>
      </c>
      <c r="W235" t="str">
        <f ca="1">IFERROR(IF(0=LEN(ReferenceData!$W$235),"",ReferenceData!$W$235),"")</f>
        <v/>
      </c>
      <c r="X235" t="str">
        <f ca="1">IFERROR(IF(0=LEN(ReferenceData!$X$235),"",ReferenceData!$X$235),"")</f>
        <v/>
      </c>
      <c r="Y235" t="str">
        <f ca="1">IFERROR(IF(0=LEN(ReferenceData!$Y$235),"",ReferenceData!$Y$235),"")</f>
        <v/>
      </c>
      <c r="Z235" t="str">
        <f ca="1">IFERROR(IF(0=LEN(ReferenceData!$Z$235),"",ReferenceData!$Z$235),"")</f>
        <v/>
      </c>
      <c r="AA235" t="str">
        <f ca="1">IFERROR(IF(0=LEN(ReferenceData!$AA$235),"",ReferenceData!$AA$235),"")</f>
        <v/>
      </c>
      <c r="AB235" t="str">
        <f ca="1">IFERROR(IF(0=LEN(ReferenceData!$AB$235),"",ReferenceData!$AB$235),"")</f>
        <v/>
      </c>
      <c r="AC235" t="str">
        <f ca="1">IFERROR(IF(0=LEN(ReferenceData!$AC$235),"",ReferenceData!$AC$235),"")</f>
        <v/>
      </c>
      <c r="AD235" t="str">
        <f ca="1">IFERROR(IF(0=LEN(ReferenceData!$AD$235),"",ReferenceData!$AD$235),"")</f>
        <v/>
      </c>
      <c r="AE235" t="str">
        <f ca="1">IFERROR(IF(0=LEN(ReferenceData!$AE$235),"",ReferenceData!$AE$235),"")</f>
        <v/>
      </c>
      <c r="AF235" t="str">
        <f ca="1">IFERROR(IF(0=LEN(ReferenceData!$AF$235),"",ReferenceData!$AF$235),"")</f>
        <v/>
      </c>
      <c r="AG235" t="str">
        <f ca="1">IFERROR(IF(0=LEN(ReferenceData!$AG$235),"",ReferenceData!$AG$235),"")</f>
        <v/>
      </c>
      <c r="AH235" t="str">
        <f ca="1">IFERROR(IF(0=LEN(ReferenceData!$AH$235),"",ReferenceData!$AH$235),"")</f>
        <v/>
      </c>
      <c r="AI235" t="str">
        <f ca="1">IFERROR(IF(0=LEN(ReferenceData!$AI$235),"",ReferenceData!$AI$235),"")</f>
        <v/>
      </c>
      <c r="AJ235" t="str">
        <f ca="1">IFERROR(IF(0=LEN(ReferenceData!$AJ$235),"",ReferenceData!$AJ$235),"")</f>
        <v/>
      </c>
      <c r="AK235" t="str">
        <f ca="1">IFERROR(IF(0=LEN(ReferenceData!$AK$235),"",ReferenceData!$AK$235),"")</f>
        <v/>
      </c>
      <c r="AL235" t="str">
        <f ca="1">IFERROR(IF(0=LEN(ReferenceData!$AL$235),"",ReferenceData!$AL$235),"")</f>
        <v/>
      </c>
      <c r="AM235" t="str">
        <f ca="1">IFERROR(IF(0=LEN(ReferenceData!$AM$235),"",ReferenceData!$AM$235),"")</f>
        <v/>
      </c>
      <c r="AN235" t="str">
        <f ca="1">IFERROR(IF(0=LEN(ReferenceData!$AN$235),"",ReferenceData!$AN$235),"")</f>
        <v/>
      </c>
      <c r="AO235" t="str">
        <f ca="1">IFERROR(IF(0=LEN(ReferenceData!$AO$235),"",ReferenceData!$AO$235),"")</f>
        <v/>
      </c>
      <c r="AP235" t="str">
        <f ca="1">IFERROR(IF(0=LEN(ReferenceData!$AP$235),"",ReferenceData!$AP$235),"")</f>
        <v/>
      </c>
      <c r="AQ235" t="str">
        <f ca="1">IFERROR(IF(0=LEN(ReferenceData!$AQ$235),"",ReferenceData!$AQ$235),"")</f>
        <v/>
      </c>
      <c r="AR235" t="str">
        <f ca="1">IFERROR(IF(0=LEN(ReferenceData!$AR$235),"",ReferenceData!$AR$235),"")</f>
        <v/>
      </c>
      <c r="AS235" t="str">
        <f ca="1">IFERROR(IF(0=LEN(ReferenceData!$AS$235),"",ReferenceData!$AS$235),"")</f>
        <v/>
      </c>
      <c r="AT235" t="str">
        <f ca="1">IFERROR(IF(0=LEN(ReferenceData!$AT$235),"",ReferenceData!$AT$235),"")</f>
        <v/>
      </c>
      <c r="AU235" t="str">
        <f ca="1">IFERROR(IF(0=LEN(ReferenceData!$AU$235),"",ReferenceData!$AU$235),"")</f>
        <v/>
      </c>
      <c r="AV235" t="str">
        <f ca="1">IFERROR(IF(0=LEN(ReferenceData!$AV$235),"",ReferenceData!$AV$235),"")</f>
        <v/>
      </c>
      <c r="AW235" t="str">
        <f ca="1">IFERROR(IF(0=LEN(ReferenceData!$AW$235),"",ReferenceData!$AW$235),"")</f>
        <v/>
      </c>
      <c r="AX235" t="str">
        <f ca="1">IFERROR(IF(0=LEN(ReferenceData!$AX$235),"",ReferenceData!$AX$235),"")</f>
        <v/>
      </c>
      <c r="AY235" t="str">
        <f ca="1">IFERROR(IF(0=LEN(ReferenceData!$AY$235),"",ReferenceData!$AY$235),"")</f>
        <v/>
      </c>
      <c r="AZ235" t="str">
        <f ca="1">IFERROR(IF(0=LEN(ReferenceData!$AZ$235),"",ReferenceData!$AZ$235),"")</f>
        <v/>
      </c>
      <c r="BA235" t="str">
        <f ca="1">IFERROR(IF(0=LEN(ReferenceData!$BA$235),"",ReferenceData!$BA$235),"")</f>
        <v/>
      </c>
      <c r="BB235" t="str">
        <f ca="1">IFERROR(IF(0=LEN(ReferenceData!$BB$235),"",ReferenceData!$BB$235),"")</f>
        <v/>
      </c>
      <c r="BC235" t="str">
        <f ca="1">IFERROR(IF(0=LEN(ReferenceData!$BC$235),"",ReferenceData!$BC$235),"")</f>
        <v/>
      </c>
      <c r="BD235" t="str">
        <f ca="1">IFERROR(IF(0=LEN(ReferenceData!$BD$235),"",ReferenceData!$BD$235),"")</f>
        <v/>
      </c>
      <c r="BE235" t="str">
        <f ca="1">IFERROR(IF(0=LEN(ReferenceData!$BE$235),"",ReferenceData!$BE$235),"")</f>
        <v/>
      </c>
      <c r="BF235" t="str">
        <f ca="1">IFERROR(IF(0=LEN(ReferenceData!$BF$235),"",ReferenceData!$BF$235),"")</f>
        <v/>
      </c>
      <c r="BG235" t="str">
        <f ca="1">IFERROR(IF(0=LEN(ReferenceData!$BG$235),"",ReferenceData!$BG$235),"")</f>
        <v/>
      </c>
      <c r="BH235" t="str">
        <f ca="1">IFERROR(IF(0=LEN(ReferenceData!$BH$235),"",ReferenceData!$BH$235),"")</f>
        <v/>
      </c>
      <c r="BI235" t="str">
        <f ca="1">IFERROR(IF(0=LEN(ReferenceData!$BI$235),"",ReferenceData!$BI$235),"")</f>
        <v/>
      </c>
      <c r="BJ235" t="str">
        <f ca="1">IFERROR(IF(0=LEN(ReferenceData!$BJ$235),"",ReferenceData!$BJ$235),"")</f>
        <v/>
      </c>
      <c r="BK235" t="str">
        <f ca="1">IFERROR(IF(0=LEN(ReferenceData!$BK$235),"",ReferenceData!$BK$235),"")</f>
        <v/>
      </c>
      <c r="BL235" t="str">
        <f ca="1">IFERROR(IF(0=LEN(ReferenceData!$BL$235),"",ReferenceData!$BL$235),"")</f>
        <v/>
      </c>
      <c r="BM235" t="str">
        <f ca="1">IFERROR(IF(0=LEN(ReferenceData!$BM$235),"",ReferenceData!$BM$235),"")</f>
        <v/>
      </c>
    </row>
    <row r="236" spans="1:65" x14ac:dyDescent="0.25">
      <c r="A236" t="str">
        <f>IFERROR(IF(0=LEN(ReferenceData!$A$236),"",ReferenceData!$A$236),"")</f>
        <v xml:space="preserve">    SAIC Motor Corp Ltd</v>
      </c>
      <c r="B236" t="str">
        <f>IFERROR(IF(0=LEN(ReferenceData!$B$236),"",ReferenceData!$B$236),"")</f>
        <v>600104 CH Equity</v>
      </c>
      <c r="C236" t="str">
        <f>IFERROR(IF(0=LEN(ReferenceData!$C$236),"",ReferenceData!$C$236),"")</f>
        <v>RR843</v>
      </c>
      <c r="D236" t="str">
        <f>IFERROR(IF(0=LEN(ReferenceData!$D$236),"",ReferenceData!$D$236),"")</f>
        <v>TRAIL_12M_FREE_CASH_FLOW</v>
      </c>
      <c r="E236" t="str">
        <f>IFERROR(IF(0=LEN(ReferenceData!$E$236),"",ReferenceData!$E$236),"")</f>
        <v>Dynamic</v>
      </c>
      <c r="F236" t="str">
        <f ca="1">IFERROR(IF(0=LEN(ReferenceData!$F$236),"",ReferenceData!$F$236),"")</f>
        <v/>
      </c>
      <c r="G236" t="str">
        <f ca="1">IFERROR(IF(0=LEN(ReferenceData!$G$236),"",ReferenceData!$G$236),"")</f>
        <v/>
      </c>
      <c r="H236">
        <f ca="1">IFERROR(IF(0=LEN(ReferenceData!$H$236),"",ReferenceData!$H$236),"")</f>
        <v>-7704.6879989999998</v>
      </c>
      <c r="I236">
        <f ca="1">IFERROR(IF(0=LEN(ReferenceData!$I$236),"",ReferenceData!$I$236),"")</f>
        <v>-3601.0130060000001</v>
      </c>
      <c r="J236">
        <f ca="1">IFERROR(IF(0=LEN(ReferenceData!$J$236),"",ReferenceData!$J$236),"")</f>
        <v>1764.0491420000001</v>
      </c>
      <c r="K236">
        <f ca="1">IFERROR(IF(0=LEN(ReferenceData!$K$236),"",ReferenceData!$K$236),"")</f>
        <v>3934.057307</v>
      </c>
      <c r="L236">
        <f ca="1">IFERROR(IF(0=LEN(ReferenceData!$L$236),"",ReferenceData!$L$236),"")</f>
        <v>3433.5548399999998</v>
      </c>
      <c r="M236">
        <f ca="1">IFERROR(IF(0=LEN(ReferenceData!$M$236),"",ReferenceData!$M$236),"")</f>
        <v>5557.2786230000002</v>
      </c>
      <c r="N236">
        <f ca="1">IFERROR(IF(0=LEN(ReferenceData!$N$236),"",ReferenceData!$N$236),"")</f>
        <v>3057.3731630000002</v>
      </c>
      <c r="O236">
        <f ca="1">IFERROR(IF(0=LEN(ReferenceData!$O$236),"",ReferenceData!$O$236),"")</f>
        <v>3356.950362</v>
      </c>
      <c r="P236">
        <f ca="1">IFERROR(IF(0=LEN(ReferenceData!$P$236),"",ReferenceData!$P$236),"")</f>
        <v>7478.0331770000003</v>
      </c>
      <c r="Q236">
        <f ca="1">IFERROR(IF(0=LEN(ReferenceData!$Q$236),"",ReferenceData!$Q$236),"")</f>
        <v>5666.742714</v>
      </c>
      <c r="R236">
        <f ca="1">IFERROR(IF(0=LEN(ReferenceData!$R$236),"",ReferenceData!$R$236),"")</f>
        <v>5103.376413</v>
      </c>
      <c r="S236">
        <f ca="1">IFERROR(IF(0=LEN(ReferenceData!$S$236),"",ReferenceData!$S$236),"")</f>
        <v>6009.7116800000003</v>
      </c>
      <c r="T236">
        <f ca="1">IFERROR(IF(0=LEN(ReferenceData!$T$236),"",ReferenceData!$T$236),"")</f>
        <v>3785.1859169999998</v>
      </c>
      <c r="U236">
        <f ca="1">IFERROR(IF(0=LEN(ReferenceData!$U$236),"",ReferenceData!$U$236),"")</f>
        <v>1433.7106650000001</v>
      </c>
      <c r="V236">
        <f ca="1">IFERROR(IF(0=LEN(ReferenceData!$V$236),"",ReferenceData!$V$236),"")</f>
        <v>1566.0056609999999</v>
      </c>
      <c r="W236">
        <f ca="1">IFERROR(IF(0=LEN(ReferenceData!$W$236),"",ReferenceData!$W$236),"")</f>
        <v>2995.8359289999999</v>
      </c>
      <c r="X236">
        <f ca="1">IFERROR(IF(0=LEN(ReferenceData!$X$236),"",ReferenceData!$X$236),"")</f>
        <v>2555.8932070000001</v>
      </c>
      <c r="Y236">
        <f ca="1">IFERROR(IF(0=LEN(ReferenceData!$Y$236),"",ReferenceData!$Y$236),"")</f>
        <v>2402.0319930000001</v>
      </c>
      <c r="Z236">
        <f ca="1">IFERROR(IF(0=LEN(ReferenceData!$Z$236),"",ReferenceData!$Z$236),"")</f>
        <v>1290.535873</v>
      </c>
      <c r="AA236">
        <f ca="1">IFERROR(IF(0=LEN(ReferenceData!$AA$236),"",ReferenceData!$AA$236),"")</f>
        <v>2911.3161519999999</v>
      </c>
      <c r="AB236">
        <f ca="1">IFERROR(IF(0=LEN(ReferenceData!$AB$236),"",ReferenceData!$AB$236),"")</f>
        <v>636.94990589999998</v>
      </c>
      <c r="AC236">
        <f ca="1">IFERROR(IF(0=LEN(ReferenceData!$AC$236),"",ReferenceData!$AC$236),"")</f>
        <v>3821.0332859999999</v>
      </c>
      <c r="AD236">
        <f ca="1">IFERROR(IF(0=LEN(ReferenceData!$AD$236),"",ReferenceData!$AD$236),"")</f>
        <v>5183.5894950000002</v>
      </c>
      <c r="AE236">
        <f ca="1">IFERROR(IF(0=LEN(ReferenceData!$AE$236),"",ReferenceData!$AE$236),"")</f>
        <v>2989.652004</v>
      </c>
      <c r="AF236">
        <f ca="1">IFERROR(IF(0=LEN(ReferenceData!$AF$236),"",ReferenceData!$AF$236),"")</f>
        <v>5647.8351460000003</v>
      </c>
      <c r="AG236">
        <f ca="1">IFERROR(IF(0=LEN(ReferenceData!$AG$236),"",ReferenceData!$AG$236),"")</f>
        <v>5432.1192890000002</v>
      </c>
      <c r="AH236">
        <f ca="1">IFERROR(IF(0=LEN(ReferenceData!$AH$236),"",ReferenceData!$AH$236),"")</f>
        <v>3744.0649469999998</v>
      </c>
      <c r="AI236">
        <f ca="1">IFERROR(IF(0=LEN(ReferenceData!$AI$236),"",ReferenceData!$AI$236),"")</f>
        <v>3582.6555739999999</v>
      </c>
      <c r="AJ236">
        <f ca="1">IFERROR(IF(0=LEN(ReferenceData!$AJ$236),"",ReferenceData!$AJ$236),"")</f>
        <v>5115.5829990000002</v>
      </c>
      <c r="AK236">
        <f ca="1">IFERROR(IF(0=LEN(ReferenceData!$AK$236),"",ReferenceData!$AK$236),"")</f>
        <v>3834.7122220000001</v>
      </c>
      <c r="AL236">
        <f ca="1">IFERROR(IF(0=LEN(ReferenceData!$AL$236),"",ReferenceData!$AL$236),"")</f>
        <v>2644.6118839999999</v>
      </c>
      <c r="AM236">
        <f ca="1">IFERROR(IF(0=LEN(ReferenceData!$AM$236),"",ReferenceData!$AM$236),"")</f>
        <v>3449.034971</v>
      </c>
      <c r="AN236">
        <f ca="1">IFERROR(IF(0=LEN(ReferenceData!$AN$236),"",ReferenceData!$AN$236),"")</f>
        <v>2129.8144560000001</v>
      </c>
      <c r="AO236">
        <f ca="1">IFERROR(IF(0=LEN(ReferenceData!$AO$236),"",ReferenceData!$AO$236),"")</f>
        <v>1735.5411650000001</v>
      </c>
      <c r="AP236">
        <f ca="1">IFERROR(IF(0=LEN(ReferenceData!$AP$236),"",ReferenceData!$AP$236),"")</f>
        <v>3786.1493839999998</v>
      </c>
      <c r="AQ236">
        <f ca="1">IFERROR(IF(0=LEN(ReferenceData!$AQ$236),"",ReferenceData!$AQ$236),"")</f>
        <v>3135.7591029999999</v>
      </c>
      <c r="AR236">
        <f ca="1">IFERROR(IF(0=LEN(ReferenceData!$AR$236),"",ReferenceData!$AR$236),"")</f>
        <v>9.2306395999999999</v>
      </c>
      <c r="AS236">
        <f ca="1">IFERROR(IF(0=LEN(ReferenceData!$AS$236),"",ReferenceData!$AS$236),"")</f>
        <v>-822.74735639999994</v>
      </c>
      <c r="AT236">
        <f ca="1">IFERROR(IF(0=LEN(ReferenceData!$AT$236),"",ReferenceData!$AT$236),"")</f>
        <v>-1331.76017</v>
      </c>
      <c r="AU236">
        <f ca="1">IFERROR(IF(0=LEN(ReferenceData!$AU$236),"",ReferenceData!$AU$236),"")</f>
        <v>-368.38690650000001</v>
      </c>
      <c r="AV236">
        <f ca="1">IFERROR(IF(0=LEN(ReferenceData!$AV$236),"",ReferenceData!$AV$236),"")</f>
        <v>884.76494690000004</v>
      </c>
      <c r="AW236">
        <f ca="1">IFERROR(IF(0=LEN(ReferenceData!$AW$236),"",ReferenceData!$AW$236),"")</f>
        <v>762.38597560000005</v>
      </c>
      <c r="AX236">
        <f ca="1">IFERROR(IF(0=LEN(ReferenceData!$AX$236),"",ReferenceData!$AX$236),"")</f>
        <v>910.80370440000002</v>
      </c>
      <c r="AY236">
        <f ca="1">IFERROR(IF(0=LEN(ReferenceData!$AY$236),"",ReferenceData!$AY$236),"")</f>
        <v>-103.9581044</v>
      </c>
      <c r="AZ236">
        <f ca="1">IFERROR(IF(0=LEN(ReferenceData!$AZ$236),"",ReferenceData!$AZ$236),"")</f>
        <v>912.72655510000004</v>
      </c>
      <c r="BA236">
        <f ca="1">IFERROR(IF(0=LEN(ReferenceData!$BA$236),"",ReferenceData!$BA$236),"")</f>
        <v>1253.4823409999999</v>
      </c>
      <c r="BB236">
        <f ca="1">IFERROR(IF(0=LEN(ReferenceData!$BB$236),"",ReferenceData!$BB$236),"")</f>
        <v>964.60183289999998</v>
      </c>
      <c r="BC236">
        <f ca="1">IFERROR(IF(0=LEN(ReferenceData!$BC$236),"",ReferenceData!$BC$236),"")</f>
        <v>763.57831050000004</v>
      </c>
      <c r="BD236">
        <f ca="1">IFERROR(IF(0=LEN(ReferenceData!$BD$236),"",ReferenceData!$BD$236),"")</f>
        <v>129.37665519999999</v>
      </c>
      <c r="BE236">
        <f ca="1">IFERROR(IF(0=LEN(ReferenceData!$BE$236),"",ReferenceData!$BE$236),"")</f>
        <v>260.44704250000001</v>
      </c>
      <c r="BF236">
        <f ca="1">IFERROR(IF(0=LEN(ReferenceData!$BF$236),"",ReferenceData!$BF$236),"")</f>
        <v>144.27262440000001</v>
      </c>
      <c r="BG236">
        <f ca="1">IFERROR(IF(0=LEN(ReferenceData!$BG$236),"",ReferenceData!$BG$236),"")</f>
        <v>122.736751</v>
      </c>
      <c r="BH236">
        <f ca="1">IFERROR(IF(0=LEN(ReferenceData!$BH$236),"",ReferenceData!$BH$236),"")</f>
        <v>126.8024358</v>
      </c>
      <c r="BI236">
        <f ca="1">IFERROR(IF(0=LEN(ReferenceData!$BI$236),"",ReferenceData!$BI$236),"")</f>
        <v>-39.811844870000002</v>
      </c>
      <c r="BJ236">
        <f ca="1">IFERROR(IF(0=LEN(ReferenceData!$BJ$236),"",ReferenceData!$BJ$236),"")</f>
        <v>88.013949280000006</v>
      </c>
      <c r="BK236">
        <f ca="1">IFERROR(IF(0=LEN(ReferenceData!$BK$236),"",ReferenceData!$BK$236),"")</f>
        <v>65.837912529999997</v>
      </c>
      <c r="BL236">
        <f ca="1">IFERROR(IF(0=LEN(ReferenceData!$BL$236),"",ReferenceData!$BL$236),"")</f>
        <v>44.656766570000002</v>
      </c>
      <c r="BM236">
        <f ca="1">IFERROR(IF(0=LEN(ReferenceData!$BM$236),"",ReferenceData!$BM$236),"")</f>
        <v>69.689453839999999</v>
      </c>
    </row>
    <row r="237" spans="1:65" x14ac:dyDescent="0.25">
      <c r="A237" t="str">
        <f>IFERROR(IF(0=LEN(ReferenceData!$A$237),"",ReferenceData!$A$237),"")</f>
        <v xml:space="preserve">    Sanyang Motor Co Ltd</v>
      </c>
      <c r="B237" t="str">
        <f>IFERROR(IF(0=LEN(ReferenceData!$B$237),"",ReferenceData!$B$237),"")</f>
        <v>2206 TT Equity</v>
      </c>
      <c r="C237" t="str">
        <f>IFERROR(IF(0=LEN(ReferenceData!$C$237),"",ReferenceData!$C$237),"")</f>
        <v>RR843</v>
      </c>
      <c r="D237" t="str">
        <f>IFERROR(IF(0=LEN(ReferenceData!$D$237),"",ReferenceData!$D$237),"")</f>
        <v>TRAIL_12M_FREE_CASH_FLOW</v>
      </c>
      <c r="E237" t="str">
        <f>IFERROR(IF(0=LEN(ReferenceData!$E$237),"",ReferenceData!$E$237),"")</f>
        <v>Dynamic</v>
      </c>
      <c r="F237" t="str">
        <f ca="1">IFERROR(IF(0=LEN(ReferenceData!$F$237),"",ReferenceData!$F$237),"")</f>
        <v/>
      </c>
      <c r="G237" t="str">
        <f ca="1">IFERROR(IF(0=LEN(ReferenceData!$G$237),"",ReferenceData!$G$237),"")</f>
        <v/>
      </c>
      <c r="H237">
        <f ca="1">IFERROR(IF(0=LEN(ReferenceData!$H$237),"",ReferenceData!$H$237),"")</f>
        <v>-43.419466989999997</v>
      </c>
      <c r="I237">
        <f ca="1">IFERROR(IF(0=LEN(ReferenceData!$I$237),"",ReferenceData!$I$237),"")</f>
        <v>-8.6080821160000003</v>
      </c>
      <c r="J237">
        <f ca="1">IFERROR(IF(0=LEN(ReferenceData!$J$237),"",ReferenceData!$J$237),"")</f>
        <v>-5.0156800459999999</v>
      </c>
      <c r="K237">
        <f ca="1">IFERROR(IF(0=LEN(ReferenceData!$K$237),"",ReferenceData!$K$237),"")</f>
        <v>40.594610709999998</v>
      </c>
      <c r="L237">
        <f ca="1">IFERROR(IF(0=LEN(ReferenceData!$L$237),"",ReferenceData!$L$237),"")</f>
        <v>108.24467439999999</v>
      </c>
      <c r="M237">
        <f ca="1">IFERROR(IF(0=LEN(ReferenceData!$M$237),"",ReferenceData!$M$237),"")</f>
        <v>93.926339179999999</v>
      </c>
      <c r="N237">
        <f ca="1">IFERROR(IF(0=LEN(ReferenceData!$N$237),"",ReferenceData!$N$237),"")</f>
        <v>120.6480182</v>
      </c>
      <c r="O237">
        <f ca="1">IFERROR(IF(0=LEN(ReferenceData!$O$237),"",ReferenceData!$O$237),"")</f>
        <v>106.09341910000001</v>
      </c>
      <c r="P237">
        <f ca="1">IFERROR(IF(0=LEN(ReferenceData!$P$237),"",ReferenceData!$P$237),"")</f>
        <v>93.699119830000001</v>
      </c>
      <c r="Q237">
        <f ca="1">IFERROR(IF(0=LEN(ReferenceData!$Q$237),"",ReferenceData!$Q$237),"")</f>
        <v>50.199222220000003</v>
      </c>
      <c r="R237">
        <f ca="1">IFERROR(IF(0=LEN(ReferenceData!$R$237),"",ReferenceData!$R$237),"")</f>
        <v>39.712147399999999</v>
      </c>
      <c r="S237">
        <f ca="1">IFERROR(IF(0=LEN(ReferenceData!$S$237),"",ReferenceData!$S$237),"")</f>
        <v>-39.325846319999997</v>
      </c>
      <c r="T237">
        <f ca="1">IFERROR(IF(0=LEN(ReferenceData!$T$237),"",ReferenceData!$T$237),"")</f>
        <v>-71.984772629999995</v>
      </c>
      <c r="U237">
        <f ca="1">IFERROR(IF(0=LEN(ReferenceData!$U$237),"",ReferenceData!$U$237),"")</f>
        <v>-41.93614797</v>
      </c>
      <c r="V237">
        <f ca="1">IFERROR(IF(0=LEN(ReferenceData!$V$237),"",ReferenceData!$V$237),"")</f>
        <v>-50.99847724</v>
      </c>
      <c r="W237">
        <f ca="1">IFERROR(IF(0=LEN(ReferenceData!$W$237),"",ReferenceData!$W$237),"")</f>
        <v>-34.161130929999999</v>
      </c>
      <c r="X237">
        <f ca="1">IFERROR(IF(0=LEN(ReferenceData!$X$237),"",ReferenceData!$X$237),"")</f>
        <v>-64.152827250000001</v>
      </c>
      <c r="Y237">
        <f ca="1">IFERROR(IF(0=LEN(ReferenceData!$Y$237),"",ReferenceData!$Y$237),"")</f>
        <v>-58.471842959999996</v>
      </c>
      <c r="Z237">
        <f ca="1">IFERROR(IF(0=LEN(ReferenceData!$Z$237),"",ReferenceData!$Z$237),"")</f>
        <v>-105.51921280000001</v>
      </c>
      <c r="AA237">
        <f ca="1">IFERROR(IF(0=LEN(ReferenceData!$AA$237),"",ReferenceData!$AA$237),"")</f>
        <v>-74.998210990000004</v>
      </c>
      <c r="AB237">
        <f ca="1">IFERROR(IF(0=LEN(ReferenceData!$AB$237),"",ReferenceData!$AB$237),"")</f>
        <v>-34.201329139999999</v>
      </c>
      <c r="AC237">
        <f ca="1">IFERROR(IF(0=LEN(ReferenceData!$AC$237),"",ReferenceData!$AC$237),"")</f>
        <v>1.5061718550000001</v>
      </c>
      <c r="AD237">
        <f ca="1">IFERROR(IF(0=LEN(ReferenceData!$AD$237),"",ReferenceData!$AD$237),"")</f>
        <v>17.387144249999999</v>
      </c>
      <c r="AE237">
        <f ca="1">IFERROR(IF(0=LEN(ReferenceData!$AE$237),"",ReferenceData!$AE$237),"")</f>
        <v>8.8508818849999997</v>
      </c>
      <c r="AF237">
        <f ca="1">IFERROR(IF(0=LEN(ReferenceData!$AF$237),"",ReferenceData!$AF$237),"")</f>
        <v>-12.089398579999999</v>
      </c>
      <c r="AG237">
        <f ca="1">IFERROR(IF(0=LEN(ReferenceData!$AG$237),"",ReferenceData!$AG$237),"")</f>
        <v>-49.436026660000003</v>
      </c>
      <c r="AH237">
        <f ca="1">IFERROR(IF(0=LEN(ReferenceData!$AH$237),"",ReferenceData!$AH$237),"")</f>
        <v>-21.998771040000001</v>
      </c>
      <c r="AI237">
        <f ca="1">IFERROR(IF(0=LEN(ReferenceData!$AI$237),"",ReferenceData!$AI$237),"")</f>
        <v>1.581519232</v>
      </c>
      <c r="AJ237">
        <f ca="1">IFERROR(IF(0=LEN(ReferenceData!$AJ$237),"",ReferenceData!$AJ$237),"")</f>
        <v>-1.924678552</v>
      </c>
      <c r="AK237">
        <f ca="1">IFERROR(IF(0=LEN(ReferenceData!$AK$237),"",ReferenceData!$AK$237),"")</f>
        <v>36.217432080000002</v>
      </c>
      <c r="AL237">
        <f ca="1">IFERROR(IF(0=LEN(ReferenceData!$AL$237),"",ReferenceData!$AL$237),"")</f>
        <v>-11.611357569999999</v>
      </c>
      <c r="AM237">
        <f ca="1">IFERROR(IF(0=LEN(ReferenceData!$AM$237),"",ReferenceData!$AM$237),"")</f>
        <v>-41.518305169999998</v>
      </c>
      <c r="AN237">
        <f ca="1">IFERROR(IF(0=LEN(ReferenceData!$AN$237),"",ReferenceData!$AN$237),"")</f>
        <v>-22.411186570000002</v>
      </c>
      <c r="AO237">
        <f ca="1">IFERROR(IF(0=LEN(ReferenceData!$AO$237),"",ReferenceData!$AO$237),"")</f>
        <v>11.410281899999999</v>
      </c>
      <c r="AP237">
        <f ca="1">IFERROR(IF(0=LEN(ReferenceData!$AP$237),"",ReferenceData!$AP$237),"")</f>
        <v>44.808754290000003</v>
      </c>
      <c r="AQ237">
        <f ca="1">IFERROR(IF(0=LEN(ReferenceData!$AQ$237),"",ReferenceData!$AQ$237),"")</f>
        <v>38.66562313</v>
      </c>
      <c r="AR237">
        <f ca="1">IFERROR(IF(0=LEN(ReferenceData!$AR$237),"",ReferenceData!$AR$237),"")</f>
        <v>43.456691679999999</v>
      </c>
      <c r="AS237">
        <f ca="1">IFERROR(IF(0=LEN(ReferenceData!$AS$237),"",ReferenceData!$AS$237),"")</f>
        <v>-22.06683786</v>
      </c>
      <c r="AT237">
        <f ca="1">IFERROR(IF(0=LEN(ReferenceData!$AT$237),"",ReferenceData!$AT$237),"")</f>
        <v>-17.699865089999999</v>
      </c>
      <c r="AU237">
        <f ca="1">IFERROR(IF(0=LEN(ReferenceData!$AU$237),"",ReferenceData!$AU$237),"")</f>
        <v>-37.702292870000001</v>
      </c>
      <c r="AV237" t="str">
        <f ca="1">IFERROR(IF(0=LEN(ReferenceData!$AV$237),"",ReferenceData!$AV$237),"")</f>
        <v/>
      </c>
      <c r="AW237" t="str">
        <f ca="1">IFERROR(IF(0=LEN(ReferenceData!$AW$237),"",ReferenceData!$AW$237),"")</f>
        <v/>
      </c>
      <c r="AX237" t="str">
        <f ca="1">IFERROR(IF(0=LEN(ReferenceData!$AX$237),"",ReferenceData!$AX$237),"")</f>
        <v/>
      </c>
      <c r="AY237" t="str">
        <f ca="1">IFERROR(IF(0=LEN(ReferenceData!$AY$237),"",ReferenceData!$AY$237),"")</f>
        <v/>
      </c>
      <c r="AZ237" t="str">
        <f ca="1">IFERROR(IF(0=LEN(ReferenceData!$AZ$237),"",ReferenceData!$AZ$237),"")</f>
        <v/>
      </c>
      <c r="BA237" t="str">
        <f ca="1">IFERROR(IF(0=LEN(ReferenceData!$BA$237),"",ReferenceData!$BA$237),"")</f>
        <v/>
      </c>
      <c r="BB237" t="str">
        <f ca="1">IFERROR(IF(0=LEN(ReferenceData!$BB$237),"",ReferenceData!$BB$237),"")</f>
        <v/>
      </c>
      <c r="BC237" t="str">
        <f ca="1">IFERROR(IF(0=LEN(ReferenceData!$BC$237),"",ReferenceData!$BC$237),"")</f>
        <v/>
      </c>
      <c r="BD237" t="str">
        <f ca="1">IFERROR(IF(0=LEN(ReferenceData!$BD$237),"",ReferenceData!$BD$237),"")</f>
        <v/>
      </c>
      <c r="BE237" t="str">
        <f ca="1">IFERROR(IF(0=LEN(ReferenceData!$BE$237),"",ReferenceData!$BE$237),"")</f>
        <v/>
      </c>
      <c r="BF237" t="str">
        <f ca="1">IFERROR(IF(0=LEN(ReferenceData!$BF$237),"",ReferenceData!$BF$237),"")</f>
        <v/>
      </c>
      <c r="BG237" t="str">
        <f ca="1">IFERROR(IF(0=LEN(ReferenceData!$BG$237),"",ReferenceData!$BG$237),"")</f>
        <v/>
      </c>
      <c r="BH237" t="str">
        <f ca="1">IFERROR(IF(0=LEN(ReferenceData!$BH$237),"",ReferenceData!$BH$237),"")</f>
        <v/>
      </c>
      <c r="BI237" t="str">
        <f ca="1">IFERROR(IF(0=LEN(ReferenceData!$BI$237),"",ReferenceData!$BI$237),"")</f>
        <v/>
      </c>
      <c r="BJ237" t="str">
        <f ca="1">IFERROR(IF(0=LEN(ReferenceData!$BJ$237),"",ReferenceData!$BJ$237),"")</f>
        <v/>
      </c>
      <c r="BK237" t="str">
        <f ca="1">IFERROR(IF(0=LEN(ReferenceData!$BK$237),"",ReferenceData!$BK$237),"")</f>
        <v/>
      </c>
      <c r="BL237" t="str">
        <f ca="1">IFERROR(IF(0=LEN(ReferenceData!$BL$237),"",ReferenceData!$BL$237),"")</f>
        <v/>
      </c>
      <c r="BM237" t="str">
        <f ca="1">IFERROR(IF(0=LEN(ReferenceData!$BM$237),"",ReferenceData!$BM$237),"")</f>
        <v/>
      </c>
    </row>
    <row r="238" spans="1:65" x14ac:dyDescent="0.25">
      <c r="A238" t="str">
        <f>IFERROR(IF(0=LEN(ReferenceData!$A$238),"",ReferenceData!$A$238),"")</f>
        <v xml:space="preserve">    Sollers PJSC</v>
      </c>
      <c r="B238" t="str">
        <f>IFERROR(IF(0=LEN(ReferenceData!$B$238),"",ReferenceData!$B$238),"")</f>
        <v>SVAV RM Equity</v>
      </c>
      <c r="C238" t="str">
        <f>IFERROR(IF(0=LEN(ReferenceData!$C$238),"",ReferenceData!$C$238),"")</f>
        <v>RR843</v>
      </c>
      <c r="D238" t="str">
        <f>IFERROR(IF(0=LEN(ReferenceData!$D$238),"",ReferenceData!$D$238),"")</f>
        <v>TRAIL_12M_FREE_CASH_FLOW</v>
      </c>
      <c r="E238" t="str">
        <f>IFERROR(IF(0=LEN(ReferenceData!$E$238),"",ReferenceData!$E$238),"")</f>
        <v>Dynamic</v>
      </c>
      <c r="F238" t="str">
        <f ca="1">IFERROR(IF(0=LEN(ReferenceData!$F$238),"",ReferenceData!$F$238),"")</f>
        <v/>
      </c>
      <c r="G238" t="str">
        <f ca="1">IFERROR(IF(0=LEN(ReferenceData!$G$238),"",ReferenceData!$G$238),"")</f>
        <v/>
      </c>
      <c r="H238" t="str">
        <f ca="1">IFERROR(IF(0=LEN(ReferenceData!$H$238),"",ReferenceData!$H$238),"")</f>
        <v/>
      </c>
      <c r="I238" t="str">
        <f ca="1">IFERROR(IF(0=LEN(ReferenceData!$I$238),"",ReferenceData!$I$238),"")</f>
        <v/>
      </c>
      <c r="J238" t="str">
        <f ca="1">IFERROR(IF(0=LEN(ReferenceData!$J$238),"",ReferenceData!$J$238),"")</f>
        <v/>
      </c>
      <c r="K238" t="str">
        <f ca="1">IFERROR(IF(0=LEN(ReferenceData!$K$238),"",ReferenceData!$K$238),"")</f>
        <v/>
      </c>
      <c r="L238" t="str">
        <f ca="1">IFERROR(IF(0=LEN(ReferenceData!$L$238),"",ReferenceData!$L$238),"")</f>
        <v/>
      </c>
      <c r="M238" t="str">
        <f ca="1">IFERROR(IF(0=LEN(ReferenceData!$M$238),"",ReferenceData!$M$238),"")</f>
        <v/>
      </c>
      <c r="N238" t="str">
        <f ca="1">IFERROR(IF(0=LEN(ReferenceData!$N$238),"",ReferenceData!$N$238),"")</f>
        <v/>
      </c>
      <c r="O238" t="str">
        <f ca="1">IFERROR(IF(0=LEN(ReferenceData!$O$238),"",ReferenceData!$O$238),"")</f>
        <v/>
      </c>
      <c r="P238" t="str">
        <f ca="1">IFERROR(IF(0=LEN(ReferenceData!$P$238),"",ReferenceData!$P$238),"")</f>
        <v/>
      </c>
      <c r="Q238" t="str">
        <f ca="1">IFERROR(IF(0=LEN(ReferenceData!$Q$238),"",ReferenceData!$Q$238),"")</f>
        <v/>
      </c>
      <c r="R238" t="str">
        <f ca="1">IFERROR(IF(0=LEN(ReferenceData!$R$238),"",ReferenceData!$R$238),"")</f>
        <v/>
      </c>
      <c r="S238" t="str">
        <f ca="1">IFERROR(IF(0=LEN(ReferenceData!$S$238),"",ReferenceData!$S$238),"")</f>
        <v/>
      </c>
      <c r="T238" t="str">
        <f ca="1">IFERROR(IF(0=LEN(ReferenceData!$T$238),"",ReferenceData!$T$238),"")</f>
        <v/>
      </c>
      <c r="U238" t="str">
        <f ca="1">IFERROR(IF(0=LEN(ReferenceData!$U$238),"",ReferenceData!$U$238),"")</f>
        <v/>
      </c>
      <c r="V238" t="str">
        <f ca="1">IFERROR(IF(0=LEN(ReferenceData!$V$238),"",ReferenceData!$V$238),"")</f>
        <v/>
      </c>
      <c r="W238" t="str">
        <f ca="1">IFERROR(IF(0=LEN(ReferenceData!$W$238),"",ReferenceData!$W$238),"")</f>
        <v/>
      </c>
      <c r="X238" t="str">
        <f ca="1">IFERROR(IF(0=LEN(ReferenceData!$X$238),"",ReferenceData!$X$238),"")</f>
        <v/>
      </c>
      <c r="Y238" t="str">
        <f ca="1">IFERROR(IF(0=LEN(ReferenceData!$Y$238),"",ReferenceData!$Y$238),"")</f>
        <v/>
      </c>
      <c r="Z238" t="str">
        <f ca="1">IFERROR(IF(0=LEN(ReferenceData!$Z$238),"",ReferenceData!$Z$238),"")</f>
        <v/>
      </c>
      <c r="AA238" t="str">
        <f ca="1">IFERROR(IF(0=LEN(ReferenceData!$AA$238),"",ReferenceData!$AA$238),"")</f>
        <v/>
      </c>
      <c r="AB238" t="str">
        <f ca="1">IFERROR(IF(0=LEN(ReferenceData!$AB$238),"",ReferenceData!$AB$238),"")</f>
        <v/>
      </c>
      <c r="AC238" t="str">
        <f ca="1">IFERROR(IF(0=LEN(ReferenceData!$AC$238),"",ReferenceData!$AC$238),"")</f>
        <v/>
      </c>
      <c r="AD238" t="str">
        <f ca="1">IFERROR(IF(0=LEN(ReferenceData!$AD$238),"",ReferenceData!$AD$238),"")</f>
        <v/>
      </c>
      <c r="AE238" t="str">
        <f ca="1">IFERROR(IF(0=LEN(ReferenceData!$AE$238),"",ReferenceData!$AE$238),"")</f>
        <v/>
      </c>
      <c r="AF238" t="str">
        <f ca="1">IFERROR(IF(0=LEN(ReferenceData!$AF$238),"",ReferenceData!$AF$238),"")</f>
        <v/>
      </c>
      <c r="AG238" t="str">
        <f ca="1">IFERROR(IF(0=LEN(ReferenceData!$AG$238),"",ReferenceData!$AG$238),"")</f>
        <v/>
      </c>
      <c r="AH238" t="str">
        <f ca="1">IFERROR(IF(0=LEN(ReferenceData!$AH$238),"",ReferenceData!$AH$238),"")</f>
        <v/>
      </c>
      <c r="AI238" t="str">
        <f ca="1">IFERROR(IF(0=LEN(ReferenceData!$AI$238),"",ReferenceData!$AI$238),"")</f>
        <v/>
      </c>
      <c r="AJ238" t="str">
        <f ca="1">IFERROR(IF(0=LEN(ReferenceData!$AJ$238),"",ReferenceData!$AJ$238),"")</f>
        <v/>
      </c>
      <c r="AK238" t="str">
        <f ca="1">IFERROR(IF(0=LEN(ReferenceData!$AK$238),"",ReferenceData!$AK$238),"")</f>
        <v/>
      </c>
      <c r="AL238" t="str">
        <f ca="1">IFERROR(IF(0=LEN(ReferenceData!$AL$238),"",ReferenceData!$AL$238),"")</f>
        <v/>
      </c>
      <c r="AM238" t="str">
        <f ca="1">IFERROR(IF(0=LEN(ReferenceData!$AM$238),"",ReferenceData!$AM$238),"")</f>
        <v/>
      </c>
      <c r="AN238" t="str">
        <f ca="1">IFERROR(IF(0=LEN(ReferenceData!$AN$238),"",ReferenceData!$AN$238),"")</f>
        <v/>
      </c>
      <c r="AO238" t="str">
        <f ca="1">IFERROR(IF(0=LEN(ReferenceData!$AO$238),"",ReferenceData!$AO$238),"")</f>
        <v/>
      </c>
      <c r="AP238" t="str">
        <f ca="1">IFERROR(IF(0=LEN(ReferenceData!$AP$238),"",ReferenceData!$AP$238),"")</f>
        <v/>
      </c>
      <c r="AQ238" t="str">
        <f ca="1">IFERROR(IF(0=LEN(ReferenceData!$AQ$238),"",ReferenceData!$AQ$238),"")</f>
        <v/>
      </c>
      <c r="AR238" t="str">
        <f ca="1">IFERROR(IF(0=LEN(ReferenceData!$AR$238),"",ReferenceData!$AR$238),"")</f>
        <v/>
      </c>
      <c r="AS238" t="str">
        <f ca="1">IFERROR(IF(0=LEN(ReferenceData!$AS$238),"",ReferenceData!$AS$238),"")</f>
        <v/>
      </c>
      <c r="AT238" t="str">
        <f ca="1">IFERROR(IF(0=LEN(ReferenceData!$AT$238),"",ReferenceData!$AT$238),"")</f>
        <v/>
      </c>
      <c r="AU238" t="str">
        <f ca="1">IFERROR(IF(0=LEN(ReferenceData!$AU$238),"",ReferenceData!$AU$238),"")</f>
        <v/>
      </c>
      <c r="AV238" t="str">
        <f ca="1">IFERROR(IF(0=LEN(ReferenceData!$AV$238),"",ReferenceData!$AV$238),"")</f>
        <v/>
      </c>
      <c r="AW238" t="str">
        <f ca="1">IFERROR(IF(0=LEN(ReferenceData!$AW$238),"",ReferenceData!$AW$238),"")</f>
        <v/>
      </c>
      <c r="AX238" t="str">
        <f ca="1">IFERROR(IF(0=LEN(ReferenceData!$AX$238),"",ReferenceData!$AX$238),"")</f>
        <v/>
      </c>
      <c r="AY238" t="str">
        <f ca="1">IFERROR(IF(0=LEN(ReferenceData!$AY$238),"",ReferenceData!$AY$238),"")</f>
        <v/>
      </c>
      <c r="AZ238" t="str">
        <f ca="1">IFERROR(IF(0=LEN(ReferenceData!$AZ$238),"",ReferenceData!$AZ$238),"")</f>
        <v/>
      </c>
      <c r="BA238" t="str">
        <f ca="1">IFERROR(IF(0=LEN(ReferenceData!$BA$238),"",ReferenceData!$BA$238),"")</f>
        <v/>
      </c>
      <c r="BB238" t="str">
        <f ca="1">IFERROR(IF(0=LEN(ReferenceData!$BB$238),"",ReferenceData!$BB$238),"")</f>
        <v/>
      </c>
      <c r="BC238" t="str">
        <f ca="1">IFERROR(IF(0=LEN(ReferenceData!$BC$238),"",ReferenceData!$BC$238),"")</f>
        <v/>
      </c>
      <c r="BD238" t="str">
        <f ca="1">IFERROR(IF(0=LEN(ReferenceData!$BD$238),"",ReferenceData!$BD$238),"")</f>
        <v/>
      </c>
      <c r="BE238" t="str">
        <f ca="1">IFERROR(IF(0=LEN(ReferenceData!$BE$238),"",ReferenceData!$BE$238),"")</f>
        <v/>
      </c>
      <c r="BF238" t="str">
        <f ca="1">IFERROR(IF(0=LEN(ReferenceData!$BF$238),"",ReferenceData!$BF$238),"")</f>
        <v/>
      </c>
      <c r="BG238" t="str">
        <f ca="1">IFERROR(IF(0=LEN(ReferenceData!$BG$238),"",ReferenceData!$BG$238),"")</f>
        <v/>
      </c>
      <c r="BH238" t="str">
        <f ca="1">IFERROR(IF(0=LEN(ReferenceData!$BH$238),"",ReferenceData!$BH$238),"")</f>
        <v/>
      </c>
      <c r="BI238" t="str">
        <f ca="1">IFERROR(IF(0=LEN(ReferenceData!$BI$238),"",ReferenceData!$BI$238),"")</f>
        <v/>
      </c>
      <c r="BJ238" t="str">
        <f ca="1">IFERROR(IF(0=LEN(ReferenceData!$BJ$238),"",ReferenceData!$BJ$238),"")</f>
        <v/>
      </c>
      <c r="BK238" t="str">
        <f ca="1">IFERROR(IF(0=LEN(ReferenceData!$BK$238),"",ReferenceData!$BK$238),"")</f>
        <v/>
      </c>
      <c r="BL238" t="str">
        <f ca="1">IFERROR(IF(0=LEN(ReferenceData!$BL$238),"",ReferenceData!$BL$238),"")</f>
        <v/>
      </c>
      <c r="BM238" t="str">
        <f ca="1">IFERROR(IF(0=LEN(ReferenceData!$BM$238),"",ReferenceData!$BM$238),"")</f>
        <v/>
      </c>
    </row>
    <row r="239" spans="1:65" x14ac:dyDescent="0.25">
      <c r="A239" t="str">
        <f>IFERROR(IF(0=LEN(ReferenceData!$A$239),"",ReferenceData!$A$239),"")</f>
        <v xml:space="preserve">    Ssangyong Motor Co</v>
      </c>
      <c r="B239" t="str">
        <f>IFERROR(IF(0=LEN(ReferenceData!$B$239),"",ReferenceData!$B$239),"")</f>
        <v>003620 KS Equity</v>
      </c>
      <c r="C239" t="str">
        <f>IFERROR(IF(0=LEN(ReferenceData!$C$239),"",ReferenceData!$C$239),"")</f>
        <v>RR843</v>
      </c>
      <c r="D239" t="str">
        <f>IFERROR(IF(0=LEN(ReferenceData!$D$239),"",ReferenceData!$D$239),"")</f>
        <v>TRAIL_12M_FREE_CASH_FLOW</v>
      </c>
      <c r="E239" t="str">
        <f>IFERROR(IF(0=LEN(ReferenceData!$E$239),"",ReferenceData!$E$239),"")</f>
        <v>Dynamic</v>
      </c>
      <c r="F239" t="str">
        <f ca="1">IFERROR(IF(0=LEN(ReferenceData!$F$239),"",ReferenceData!$F$239),"")</f>
        <v/>
      </c>
      <c r="G239" t="str">
        <f ca="1">IFERROR(IF(0=LEN(ReferenceData!$G$239),"",ReferenceData!$G$239),"")</f>
        <v/>
      </c>
      <c r="H239">
        <f ca="1">IFERROR(IF(0=LEN(ReferenceData!$H$239),"",ReferenceData!$H$239),"")</f>
        <v>159.76458629999999</v>
      </c>
      <c r="I239">
        <f ca="1">IFERROR(IF(0=LEN(ReferenceData!$I$239),"",ReferenceData!$I$239),"")</f>
        <v>-8.9548272519999994</v>
      </c>
      <c r="J239">
        <f ca="1">IFERROR(IF(0=LEN(ReferenceData!$J$239),"",ReferenceData!$J$239),"")</f>
        <v>90.548360779999996</v>
      </c>
      <c r="K239">
        <f ca="1">IFERROR(IF(0=LEN(ReferenceData!$K$239),"",ReferenceData!$K$239),"")</f>
        <v>41.476069320000001</v>
      </c>
      <c r="L239">
        <f ca="1">IFERROR(IF(0=LEN(ReferenceData!$L$239),"",ReferenceData!$L$239),"")</f>
        <v>77.973893410000002</v>
      </c>
      <c r="M239">
        <f ca="1">IFERROR(IF(0=LEN(ReferenceData!$M$239),"",ReferenceData!$M$239),"")</f>
        <v>106.11573490000001</v>
      </c>
      <c r="N239">
        <f ca="1">IFERROR(IF(0=LEN(ReferenceData!$N$239),"",ReferenceData!$N$239),"")</f>
        <v>171.48946789999999</v>
      </c>
      <c r="O239">
        <f ca="1">IFERROR(IF(0=LEN(ReferenceData!$O$239),"",ReferenceData!$O$239),"")</f>
        <v>100.7847963</v>
      </c>
      <c r="P239">
        <f ca="1">IFERROR(IF(0=LEN(ReferenceData!$P$239),"",ReferenceData!$P$239),"")</f>
        <v>78.404506789999999</v>
      </c>
      <c r="Q239">
        <f ca="1">IFERROR(IF(0=LEN(ReferenceData!$Q$239),"",ReferenceData!$Q$239),"")</f>
        <v>106.5467886</v>
      </c>
      <c r="R239">
        <f ca="1">IFERROR(IF(0=LEN(ReferenceData!$R$239),"",ReferenceData!$R$239),"")</f>
        <v>-67.627006190000003</v>
      </c>
      <c r="S239">
        <f ca="1">IFERROR(IF(0=LEN(ReferenceData!$S$239),"",ReferenceData!$S$239),"")</f>
        <v>44.605610319999997</v>
      </c>
      <c r="T239">
        <f ca="1">IFERROR(IF(0=LEN(ReferenceData!$T$239),"",ReferenceData!$T$239),"")</f>
        <v>-37.425138150000002</v>
      </c>
      <c r="U239">
        <f ca="1">IFERROR(IF(0=LEN(ReferenceData!$U$239),"",ReferenceData!$U$239),"")</f>
        <v>-100.9689455</v>
      </c>
      <c r="V239">
        <f ca="1">IFERROR(IF(0=LEN(ReferenceData!$V$239),"",ReferenceData!$V$239),"")</f>
        <v>-93.721216119999994</v>
      </c>
      <c r="W239">
        <f ca="1">IFERROR(IF(0=LEN(ReferenceData!$W$239),"",ReferenceData!$W$239),"")</f>
        <v>-109.7586098</v>
      </c>
      <c r="X239">
        <f ca="1">IFERROR(IF(0=LEN(ReferenceData!$X$239),"",ReferenceData!$X$239),"")</f>
        <v>-35.038440440000002</v>
      </c>
      <c r="Y239">
        <f ca="1">IFERROR(IF(0=LEN(ReferenceData!$Y$239),"",ReferenceData!$Y$239),"")</f>
        <v>-138.53020910000001</v>
      </c>
      <c r="Z239">
        <f ca="1">IFERROR(IF(0=LEN(ReferenceData!$Z$239),"",ReferenceData!$Z$239),"")</f>
        <v>9.5547388489999996</v>
      </c>
      <c r="AA239">
        <f ca="1">IFERROR(IF(0=LEN(ReferenceData!$AA$239),"",ReferenceData!$AA$239),"")</f>
        <v>111.30416409999999</v>
      </c>
      <c r="AB239">
        <f ca="1">IFERROR(IF(0=LEN(ReferenceData!$AB$239),"",ReferenceData!$AB$239),"")</f>
        <v>30.6459951</v>
      </c>
      <c r="AC239">
        <f ca="1">IFERROR(IF(0=LEN(ReferenceData!$AC$239),"",ReferenceData!$AC$239),"")</f>
        <v>189.70258810000001</v>
      </c>
      <c r="AD239">
        <f ca="1">IFERROR(IF(0=LEN(ReferenceData!$AD$239),"",ReferenceData!$AD$239),"")</f>
        <v>75.628975629999999</v>
      </c>
      <c r="AE239">
        <f ca="1">IFERROR(IF(0=LEN(ReferenceData!$AE$239),"",ReferenceData!$AE$239),"")</f>
        <v>25.105488090000001</v>
      </c>
      <c r="AF239" t="str">
        <f ca="1">IFERROR(IF(0=LEN(ReferenceData!$AF$239),"",ReferenceData!$AF$239),"")</f>
        <v/>
      </c>
      <c r="AG239" t="str">
        <f ca="1">IFERROR(IF(0=LEN(ReferenceData!$AG$239),"",ReferenceData!$AG$239),"")</f>
        <v/>
      </c>
      <c r="AH239" t="str">
        <f ca="1">IFERROR(IF(0=LEN(ReferenceData!$AH$239),"",ReferenceData!$AH$239),"")</f>
        <v/>
      </c>
      <c r="AI239" t="str">
        <f ca="1">IFERROR(IF(0=LEN(ReferenceData!$AI$239),"",ReferenceData!$AI$239),"")</f>
        <v/>
      </c>
      <c r="AJ239" t="str">
        <f ca="1">IFERROR(IF(0=LEN(ReferenceData!$AJ$239),"",ReferenceData!$AJ$239),"")</f>
        <v/>
      </c>
      <c r="AK239" t="str">
        <f ca="1">IFERROR(IF(0=LEN(ReferenceData!$AK$239),"",ReferenceData!$AK$239),"")</f>
        <v/>
      </c>
      <c r="AL239" t="str">
        <f ca="1">IFERROR(IF(0=LEN(ReferenceData!$AL$239),"",ReferenceData!$AL$239),"")</f>
        <v/>
      </c>
      <c r="AM239" t="str">
        <f ca="1">IFERROR(IF(0=LEN(ReferenceData!$AM$239),"",ReferenceData!$AM$239),"")</f>
        <v/>
      </c>
      <c r="AN239" t="str">
        <f ca="1">IFERROR(IF(0=LEN(ReferenceData!$AN$239),"",ReferenceData!$AN$239),"")</f>
        <v/>
      </c>
      <c r="AO239" t="str">
        <f ca="1">IFERROR(IF(0=LEN(ReferenceData!$AO$239),"",ReferenceData!$AO$239),"")</f>
        <v/>
      </c>
      <c r="AP239" t="str">
        <f ca="1">IFERROR(IF(0=LEN(ReferenceData!$AP$239),"",ReferenceData!$AP$239),"")</f>
        <v/>
      </c>
      <c r="AQ239" t="str">
        <f ca="1">IFERROR(IF(0=LEN(ReferenceData!$AQ$239),"",ReferenceData!$AQ$239),"")</f>
        <v/>
      </c>
      <c r="AR239" t="str">
        <f ca="1">IFERROR(IF(0=LEN(ReferenceData!$AR$239),"",ReferenceData!$AR$239),"")</f>
        <v/>
      </c>
      <c r="AS239" t="str">
        <f ca="1">IFERROR(IF(0=LEN(ReferenceData!$AS$239),"",ReferenceData!$AS$239),"")</f>
        <v/>
      </c>
      <c r="AT239" t="str">
        <f ca="1">IFERROR(IF(0=LEN(ReferenceData!$AT$239),"",ReferenceData!$AT$239),"")</f>
        <v/>
      </c>
      <c r="AU239" t="str">
        <f ca="1">IFERROR(IF(0=LEN(ReferenceData!$AU$239),"",ReferenceData!$AU$239),"")</f>
        <v/>
      </c>
      <c r="AV239" t="str">
        <f ca="1">IFERROR(IF(0=LEN(ReferenceData!$AV$239),"",ReferenceData!$AV$239),"")</f>
        <v/>
      </c>
      <c r="AW239" t="str">
        <f ca="1">IFERROR(IF(0=LEN(ReferenceData!$AW$239),"",ReferenceData!$AW$239),"")</f>
        <v/>
      </c>
      <c r="AX239" t="str">
        <f ca="1">IFERROR(IF(0=LEN(ReferenceData!$AX$239),"",ReferenceData!$AX$239),"")</f>
        <v/>
      </c>
      <c r="AY239" t="str">
        <f ca="1">IFERROR(IF(0=LEN(ReferenceData!$AY$239),"",ReferenceData!$AY$239),"")</f>
        <v/>
      </c>
      <c r="AZ239" t="str">
        <f ca="1">IFERROR(IF(0=LEN(ReferenceData!$AZ$239),"",ReferenceData!$AZ$239),"")</f>
        <v/>
      </c>
      <c r="BA239" t="str">
        <f ca="1">IFERROR(IF(0=LEN(ReferenceData!$BA$239),"",ReferenceData!$BA$239),"")</f>
        <v/>
      </c>
      <c r="BB239" t="str">
        <f ca="1">IFERROR(IF(0=LEN(ReferenceData!$BB$239),"",ReferenceData!$BB$239),"")</f>
        <v/>
      </c>
      <c r="BC239" t="str">
        <f ca="1">IFERROR(IF(0=LEN(ReferenceData!$BC$239),"",ReferenceData!$BC$239),"")</f>
        <v/>
      </c>
      <c r="BD239" t="str">
        <f ca="1">IFERROR(IF(0=LEN(ReferenceData!$BD$239),"",ReferenceData!$BD$239),"")</f>
        <v/>
      </c>
      <c r="BE239" t="str">
        <f ca="1">IFERROR(IF(0=LEN(ReferenceData!$BE$239),"",ReferenceData!$BE$239),"")</f>
        <v/>
      </c>
      <c r="BF239" t="str">
        <f ca="1">IFERROR(IF(0=LEN(ReferenceData!$BF$239),"",ReferenceData!$BF$239),"")</f>
        <v/>
      </c>
      <c r="BG239" t="str">
        <f ca="1">IFERROR(IF(0=LEN(ReferenceData!$BG$239),"",ReferenceData!$BG$239),"")</f>
        <v/>
      </c>
      <c r="BH239" t="str">
        <f ca="1">IFERROR(IF(0=LEN(ReferenceData!$BH$239),"",ReferenceData!$BH$239),"")</f>
        <v/>
      </c>
      <c r="BI239" t="str">
        <f ca="1">IFERROR(IF(0=LEN(ReferenceData!$BI$239),"",ReferenceData!$BI$239),"")</f>
        <v/>
      </c>
      <c r="BJ239" t="str">
        <f ca="1">IFERROR(IF(0=LEN(ReferenceData!$BJ$239),"",ReferenceData!$BJ$239),"")</f>
        <v/>
      </c>
      <c r="BK239" t="str">
        <f ca="1">IFERROR(IF(0=LEN(ReferenceData!$BK$239),"",ReferenceData!$BK$239),"")</f>
        <v/>
      </c>
      <c r="BL239" t="str">
        <f ca="1">IFERROR(IF(0=LEN(ReferenceData!$BL$239),"",ReferenceData!$BL$239),"")</f>
        <v/>
      </c>
      <c r="BM239" t="str">
        <f ca="1">IFERROR(IF(0=LEN(ReferenceData!$BM$239),"",ReferenceData!$BM$239),"")</f>
        <v/>
      </c>
    </row>
    <row r="240" spans="1:65" x14ac:dyDescent="0.25">
      <c r="A240" t="str">
        <f>IFERROR(IF(0=LEN(ReferenceData!$A$240),"",ReferenceData!$A$240),"")</f>
        <v xml:space="preserve">    Subaru Corp</v>
      </c>
      <c r="B240" t="str">
        <f>IFERROR(IF(0=LEN(ReferenceData!$B$240),"",ReferenceData!$B$240),"")</f>
        <v>7270 JP Equity</v>
      </c>
      <c r="C240" t="str">
        <f>IFERROR(IF(0=LEN(ReferenceData!$C$240),"",ReferenceData!$C$240),"")</f>
        <v>RR843</v>
      </c>
      <c r="D240" t="str">
        <f>IFERROR(IF(0=LEN(ReferenceData!$D$240),"",ReferenceData!$D$240),"")</f>
        <v>TRAIL_12M_FREE_CASH_FLOW</v>
      </c>
      <c r="E240" t="str">
        <f>IFERROR(IF(0=LEN(ReferenceData!$E$240),"",ReferenceData!$E$240),"")</f>
        <v>Dynamic</v>
      </c>
      <c r="F240" t="str">
        <f ca="1">IFERROR(IF(0=LEN(ReferenceData!$F$240),"",ReferenceData!$F$240),"")</f>
        <v/>
      </c>
      <c r="G240">
        <f ca="1">IFERROR(IF(0=LEN(ReferenceData!$G$240),"",ReferenceData!$G$240),"")</f>
        <v>561.11946120000005</v>
      </c>
      <c r="H240">
        <f ca="1">IFERROR(IF(0=LEN(ReferenceData!$H$240),"",ReferenceData!$H$240),"")</f>
        <v>636.54030850000004</v>
      </c>
      <c r="I240">
        <f ca="1">IFERROR(IF(0=LEN(ReferenceData!$I$240),"",ReferenceData!$I$240),"")</f>
        <v>945.58908610000003</v>
      </c>
      <c r="J240">
        <f ca="1">IFERROR(IF(0=LEN(ReferenceData!$J$240),"",ReferenceData!$J$240),"")</f>
        <v>1953.1989229999999</v>
      </c>
      <c r="K240">
        <f ca="1">IFERROR(IF(0=LEN(ReferenceData!$K$240),"",ReferenceData!$K$240),"")</f>
        <v>2179.036932</v>
      </c>
      <c r="L240">
        <f ca="1">IFERROR(IF(0=LEN(ReferenceData!$L$240),"",ReferenceData!$L$240),"")</f>
        <v>1637.332836</v>
      </c>
      <c r="M240">
        <f ca="1">IFERROR(IF(0=LEN(ReferenceData!$M$240),"",ReferenceData!$M$240),"")</f>
        <v>2324.1794690000002</v>
      </c>
      <c r="N240">
        <f ca="1">IFERROR(IF(0=LEN(ReferenceData!$N$240),"",ReferenceData!$N$240),"")</f>
        <v>1679.9662980000001</v>
      </c>
      <c r="O240">
        <f ca="1">IFERROR(IF(0=LEN(ReferenceData!$O$240),"",ReferenceData!$O$240),"")</f>
        <v>2151.6870760000002</v>
      </c>
      <c r="P240">
        <f ca="1">IFERROR(IF(0=LEN(ReferenceData!$P$240),"",ReferenceData!$P$240),"")</f>
        <v>3521.665872</v>
      </c>
      <c r="Q240">
        <f ca="1">IFERROR(IF(0=LEN(ReferenceData!$Q$240),"",ReferenceData!$Q$240),"")</f>
        <v>3757.0568739999999</v>
      </c>
      <c r="R240">
        <f ca="1">IFERROR(IF(0=LEN(ReferenceData!$R$240),"",ReferenceData!$R$240),"")</f>
        <v>4064.3004129999999</v>
      </c>
      <c r="S240">
        <f ca="1">IFERROR(IF(0=LEN(ReferenceData!$S$240),"",ReferenceData!$S$240),"")</f>
        <v>3692.2709789999999</v>
      </c>
      <c r="T240">
        <f ca="1">IFERROR(IF(0=LEN(ReferenceData!$T$240),"",ReferenceData!$T$240),"")</f>
        <v>2885.7297789999998</v>
      </c>
      <c r="U240">
        <f ca="1">IFERROR(IF(0=LEN(ReferenceData!$U$240),"",ReferenceData!$U$240),"")</f>
        <v>2611.0431159999998</v>
      </c>
      <c r="V240">
        <f ca="1">IFERROR(IF(0=LEN(ReferenceData!$V$240),"",ReferenceData!$V$240),"")</f>
        <v>1795.0457409999999</v>
      </c>
      <c r="W240">
        <f ca="1">IFERROR(IF(0=LEN(ReferenceData!$W$240),"",ReferenceData!$W$240),"")</f>
        <v>1622.6424019999999</v>
      </c>
      <c r="X240">
        <f ca="1">IFERROR(IF(0=LEN(ReferenceData!$X$240),"",ReferenceData!$X$240),"")</f>
        <v>1997.8833509999999</v>
      </c>
      <c r="Y240">
        <f ca="1">IFERROR(IF(0=LEN(ReferenceData!$Y$240),"",ReferenceData!$Y$240),"")</f>
        <v>1749.4361180000001</v>
      </c>
      <c r="Z240">
        <f ca="1">IFERROR(IF(0=LEN(ReferenceData!$Z$240),"",ReferenceData!$Z$240),"")</f>
        <v>2452.5447549999999</v>
      </c>
      <c r="AA240">
        <f ca="1">IFERROR(IF(0=LEN(ReferenceData!$AA$240),"",ReferenceData!$AA$240),"")</f>
        <v>2067.2347490000002</v>
      </c>
      <c r="AB240">
        <f ca="1">IFERROR(IF(0=LEN(ReferenceData!$AB$240),"",ReferenceData!$AB$240),"")</f>
        <v>1537.4801440000001</v>
      </c>
      <c r="AC240">
        <f ca="1">IFERROR(IF(0=LEN(ReferenceData!$AC$240),"",ReferenceData!$AC$240),"")</f>
        <v>1509.33925</v>
      </c>
      <c r="AD240">
        <f ca="1">IFERROR(IF(0=LEN(ReferenceData!$AD$240),"",ReferenceData!$AD$240),"")</f>
        <v>1272.629596</v>
      </c>
      <c r="AE240">
        <f ca="1">IFERROR(IF(0=LEN(ReferenceData!$AE$240),"",ReferenceData!$AE$240),"")</f>
        <v>1428.185964</v>
      </c>
      <c r="AF240">
        <f ca="1">IFERROR(IF(0=LEN(ReferenceData!$AF$240),"",ReferenceData!$AF$240),"")</f>
        <v>1517.5008829999999</v>
      </c>
      <c r="AG240">
        <f ca="1">IFERROR(IF(0=LEN(ReferenceData!$AG$240),"",ReferenceData!$AG$240),"")</f>
        <v>774.04294760000005</v>
      </c>
      <c r="AH240">
        <f ca="1">IFERROR(IF(0=LEN(ReferenceData!$AH$240),"",ReferenceData!$AH$240),"")</f>
        <v>73.584125380000003</v>
      </c>
      <c r="AI240">
        <f ca="1">IFERROR(IF(0=LEN(ReferenceData!$AI$240),"",ReferenceData!$AI$240),"")</f>
        <v>153.46458459999999</v>
      </c>
      <c r="AJ240">
        <f ca="1">IFERROR(IF(0=LEN(ReferenceData!$AJ$240),"",ReferenceData!$AJ$240),"")</f>
        <v>-41.273384249999999</v>
      </c>
      <c r="AK240">
        <f ca="1">IFERROR(IF(0=LEN(ReferenceData!$AK$240),"",ReferenceData!$AK$240),"")</f>
        <v>500.92362200000002</v>
      </c>
      <c r="AL240">
        <f ca="1">IFERROR(IF(0=LEN(ReferenceData!$AL$240),"",ReferenceData!$AL$240),"")</f>
        <v>1093.8217480000001</v>
      </c>
      <c r="AM240">
        <f ca="1">IFERROR(IF(0=LEN(ReferenceData!$AM$240),"",ReferenceData!$AM$240),"")</f>
        <v>1203.1165719999999</v>
      </c>
      <c r="AN240">
        <f ca="1">IFERROR(IF(0=LEN(ReferenceData!$AN$240),"",ReferenceData!$AN$240),"")</f>
        <v>1365.5075400000001</v>
      </c>
      <c r="AO240">
        <f ca="1">IFERROR(IF(0=LEN(ReferenceData!$AO$240),"",ReferenceData!$AO$240),"")</f>
        <v>1418.2243350000001</v>
      </c>
      <c r="AP240">
        <f ca="1">IFERROR(IF(0=LEN(ReferenceData!$AP$240),"",ReferenceData!$AP$240),"")</f>
        <v>1333.2607410000001</v>
      </c>
      <c r="AQ240">
        <f ca="1">IFERROR(IF(0=LEN(ReferenceData!$AQ$240),"",ReferenceData!$AQ$240),"")</f>
        <v>203.15093440000001</v>
      </c>
      <c r="AR240">
        <f ca="1">IFERROR(IF(0=LEN(ReferenceData!$AR$240),"",ReferenceData!$AR$240),"")</f>
        <v>-64.047998910000004</v>
      </c>
      <c r="AS240">
        <f ca="1">IFERROR(IF(0=LEN(ReferenceData!$AS$240),"",ReferenceData!$AS$240),"")</f>
        <v>-487.93202680000002</v>
      </c>
      <c r="AT240">
        <f ca="1">IFERROR(IF(0=LEN(ReferenceData!$AT$240),"",ReferenceData!$AT$240),"")</f>
        <v>-860.54427720000001</v>
      </c>
      <c r="AU240" t="str">
        <f ca="1">IFERROR(IF(0=LEN(ReferenceData!$AU$240),"",ReferenceData!$AU$240),"")</f>
        <v/>
      </c>
      <c r="AV240" t="str">
        <f ca="1">IFERROR(IF(0=LEN(ReferenceData!$AV$240),"",ReferenceData!$AV$240),"")</f>
        <v/>
      </c>
      <c r="AW240" t="str">
        <f ca="1">IFERROR(IF(0=LEN(ReferenceData!$AW$240),"",ReferenceData!$AW$240),"")</f>
        <v/>
      </c>
      <c r="AX240" t="str">
        <f ca="1">IFERROR(IF(0=LEN(ReferenceData!$AX$240),"",ReferenceData!$AX$240),"")</f>
        <v/>
      </c>
      <c r="AY240" t="str">
        <f ca="1">IFERROR(IF(0=LEN(ReferenceData!$AY$240),"",ReferenceData!$AY$240),"")</f>
        <v/>
      </c>
      <c r="AZ240" t="str">
        <f ca="1">IFERROR(IF(0=LEN(ReferenceData!$AZ$240),"",ReferenceData!$AZ$240),"")</f>
        <v/>
      </c>
      <c r="BA240" t="str">
        <f ca="1">IFERROR(IF(0=LEN(ReferenceData!$BA$240),"",ReferenceData!$BA$240),"")</f>
        <v/>
      </c>
      <c r="BB240" t="str">
        <f ca="1">IFERROR(IF(0=LEN(ReferenceData!$BB$240),"",ReferenceData!$BB$240),"")</f>
        <v/>
      </c>
      <c r="BC240" t="str">
        <f ca="1">IFERROR(IF(0=LEN(ReferenceData!$BC$240),"",ReferenceData!$BC$240),"")</f>
        <v/>
      </c>
      <c r="BD240" t="str">
        <f ca="1">IFERROR(IF(0=LEN(ReferenceData!$BD$240),"",ReferenceData!$BD$240),"")</f>
        <v/>
      </c>
      <c r="BE240" t="str">
        <f ca="1">IFERROR(IF(0=LEN(ReferenceData!$BE$240),"",ReferenceData!$BE$240),"")</f>
        <v/>
      </c>
      <c r="BF240" t="str">
        <f ca="1">IFERROR(IF(0=LEN(ReferenceData!$BF$240),"",ReferenceData!$BF$240),"")</f>
        <v/>
      </c>
      <c r="BG240" t="str">
        <f ca="1">IFERROR(IF(0=LEN(ReferenceData!$BG$240),"",ReferenceData!$BG$240),"")</f>
        <v/>
      </c>
      <c r="BH240" t="str">
        <f ca="1">IFERROR(IF(0=LEN(ReferenceData!$BH$240),"",ReferenceData!$BH$240),"")</f>
        <v/>
      </c>
      <c r="BI240" t="str">
        <f ca="1">IFERROR(IF(0=LEN(ReferenceData!$BI$240),"",ReferenceData!$BI$240),"")</f>
        <v/>
      </c>
      <c r="BJ240" t="str">
        <f ca="1">IFERROR(IF(0=LEN(ReferenceData!$BJ$240),"",ReferenceData!$BJ$240),"")</f>
        <v/>
      </c>
      <c r="BK240" t="str">
        <f ca="1">IFERROR(IF(0=LEN(ReferenceData!$BK$240),"",ReferenceData!$BK$240),"")</f>
        <v/>
      </c>
      <c r="BL240" t="str">
        <f ca="1">IFERROR(IF(0=LEN(ReferenceData!$BL$240),"",ReferenceData!$BL$240),"")</f>
        <v/>
      </c>
      <c r="BM240" t="str">
        <f ca="1">IFERROR(IF(0=LEN(ReferenceData!$BM$240),"",ReferenceData!$BM$240),"")</f>
        <v/>
      </c>
    </row>
    <row r="241" spans="1:65" x14ac:dyDescent="0.25">
      <c r="A241" t="str">
        <f>IFERROR(IF(0=LEN(ReferenceData!$A$241),"",ReferenceData!$A$241),"")</f>
        <v xml:space="preserve">    Suzuki Motor Corp</v>
      </c>
      <c r="B241" t="str">
        <f>IFERROR(IF(0=LEN(ReferenceData!$B$241),"",ReferenceData!$B$241),"")</f>
        <v>7269 JP Equity</v>
      </c>
      <c r="C241" t="str">
        <f>IFERROR(IF(0=LEN(ReferenceData!$C$241),"",ReferenceData!$C$241),"")</f>
        <v>RR843</v>
      </c>
      <c r="D241" t="str">
        <f>IFERROR(IF(0=LEN(ReferenceData!$D$241),"",ReferenceData!$D$241),"")</f>
        <v>TRAIL_12M_FREE_CASH_FLOW</v>
      </c>
      <c r="E241" t="str">
        <f>IFERROR(IF(0=LEN(ReferenceData!$E$241),"",ReferenceData!$E$241),"")</f>
        <v>Dynamic</v>
      </c>
      <c r="F241" t="str">
        <f ca="1">IFERROR(IF(0=LEN(ReferenceData!$F$241),"",ReferenceData!$F$241),"")</f>
        <v/>
      </c>
      <c r="G241">
        <f ca="1">IFERROR(IF(0=LEN(ReferenceData!$G$241),"",ReferenceData!$G$241),"")</f>
        <v>1473.674612</v>
      </c>
      <c r="H241">
        <f ca="1">IFERROR(IF(0=LEN(ReferenceData!$H$241),"",ReferenceData!$H$241),"")</f>
        <v>1752.0367839999999</v>
      </c>
      <c r="I241">
        <f ca="1">IFERROR(IF(0=LEN(ReferenceData!$I$241),"",ReferenceData!$I$241),"")</f>
        <v>2394.0083279999999</v>
      </c>
      <c r="J241">
        <f ca="1">IFERROR(IF(0=LEN(ReferenceData!$J$241),"",ReferenceData!$J$241),"")</f>
        <v>2160.0348730000001</v>
      </c>
      <c r="K241">
        <f ca="1">IFERROR(IF(0=LEN(ReferenceData!$K$241),"",ReferenceData!$K$241),"")</f>
        <v>1799.96153</v>
      </c>
      <c r="L241">
        <f ca="1">IFERROR(IF(0=LEN(ReferenceData!$L$241),"",ReferenceData!$L$241),"")</f>
        <v>2013.4449099999999</v>
      </c>
      <c r="M241">
        <f ca="1">IFERROR(IF(0=LEN(ReferenceData!$M$241),"",ReferenceData!$M$241),"")</f>
        <v>1071.8943099999999</v>
      </c>
      <c r="N241">
        <f ca="1">IFERROR(IF(0=LEN(ReferenceData!$N$241),"",ReferenceData!$N$241),"")</f>
        <v>1611.9939380000001</v>
      </c>
      <c r="O241">
        <f ca="1">IFERROR(IF(0=LEN(ReferenceData!$O$241),"",ReferenceData!$O$241),"")</f>
        <v>1800.4456070000001</v>
      </c>
      <c r="P241">
        <f ca="1">IFERROR(IF(0=LEN(ReferenceData!$P$241),"",ReferenceData!$P$241),"")</f>
        <v>1909.7247990000001</v>
      </c>
      <c r="Q241">
        <f ca="1">IFERROR(IF(0=LEN(ReferenceData!$Q$241),"",ReferenceData!$Q$241),"")</f>
        <v>1340.6854719999999</v>
      </c>
      <c r="R241">
        <f ca="1">IFERROR(IF(0=LEN(ReferenceData!$R$241),"",ReferenceData!$R$241),"")</f>
        <v>1096.4400820000001</v>
      </c>
      <c r="S241">
        <f ca="1">IFERROR(IF(0=LEN(ReferenceData!$S$241),"",ReferenceData!$S$241),"")</f>
        <v>976.7521309</v>
      </c>
      <c r="T241">
        <f ca="1">IFERROR(IF(0=LEN(ReferenceData!$T$241),"",ReferenceData!$T$241),"")</f>
        <v>547.29951189999997</v>
      </c>
      <c r="U241">
        <f ca="1">IFERROR(IF(0=LEN(ReferenceData!$U$241),"",ReferenceData!$U$241),"")</f>
        <v>1081.8099239999999</v>
      </c>
      <c r="V241">
        <f ca="1">IFERROR(IF(0=LEN(ReferenceData!$V$241),"",ReferenceData!$V$241),"")</f>
        <v>569.95287250000001</v>
      </c>
      <c r="W241">
        <f ca="1">IFERROR(IF(0=LEN(ReferenceData!$W$241),"",ReferenceData!$W$241),"")</f>
        <v>245.71601720000001</v>
      </c>
      <c r="X241">
        <f ca="1">IFERROR(IF(0=LEN(ReferenceData!$X$241),"",ReferenceData!$X$241),"")</f>
        <v>534.14870859999996</v>
      </c>
      <c r="Y241">
        <f ca="1">IFERROR(IF(0=LEN(ReferenceData!$Y$241),"",ReferenceData!$Y$241),"")</f>
        <v>771.30894360000002</v>
      </c>
      <c r="Z241">
        <f ca="1">IFERROR(IF(0=LEN(ReferenceData!$Z$241),"",ReferenceData!$Z$241),"")</f>
        <v>1180.025361</v>
      </c>
      <c r="AA241">
        <f ca="1">IFERROR(IF(0=LEN(ReferenceData!$AA$241),"",ReferenceData!$AA$241),"")</f>
        <v>1341.87032</v>
      </c>
      <c r="AB241">
        <f ca="1">IFERROR(IF(0=LEN(ReferenceData!$AB$241),"",ReferenceData!$AB$241),"")</f>
        <v>825.13580820000004</v>
      </c>
      <c r="AC241">
        <f ca="1">IFERROR(IF(0=LEN(ReferenceData!$AC$241),"",ReferenceData!$AC$241),"")</f>
        <v>210.843253</v>
      </c>
      <c r="AD241">
        <f ca="1">IFERROR(IF(0=LEN(ReferenceData!$AD$241),"",ReferenceData!$AD$241),"")</f>
        <v>316.20892850000001</v>
      </c>
      <c r="AE241">
        <f ca="1">IFERROR(IF(0=LEN(ReferenceData!$AE$241),"",ReferenceData!$AE$241),"")</f>
        <v>54.746042160000002</v>
      </c>
      <c r="AF241">
        <f ca="1">IFERROR(IF(0=LEN(ReferenceData!$AF$241),"",ReferenceData!$AF$241),"")</f>
        <v>597.93795699999998</v>
      </c>
      <c r="AG241">
        <f ca="1">IFERROR(IF(0=LEN(ReferenceData!$AG$241),"",ReferenceData!$AG$241),"")</f>
        <v>1471.7852479999999</v>
      </c>
      <c r="AH241">
        <f ca="1">IFERROR(IF(0=LEN(ReferenceData!$AH$241),"",ReferenceData!$AH$241),"")</f>
        <v>1362.5356790000001</v>
      </c>
      <c r="AI241">
        <f ca="1">IFERROR(IF(0=LEN(ReferenceData!$AI$241),"",ReferenceData!$AI$241),"")</f>
        <v>1594.0117809999999</v>
      </c>
      <c r="AJ241">
        <f ca="1">IFERROR(IF(0=LEN(ReferenceData!$AJ$241),"",ReferenceData!$AJ$241),"")</f>
        <v>695.74074250000001</v>
      </c>
      <c r="AK241">
        <f ca="1">IFERROR(IF(0=LEN(ReferenceData!$AK$241),"",ReferenceData!$AK$241),"")</f>
        <v>346.7747377</v>
      </c>
      <c r="AL241">
        <f ca="1">IFERROR(IF(0=LEN(ReferenceData!$AL$241),"",ReferenceData!$AL$241),"")</f>
        <v>1124.8768829999999</v>
      </c>
      <c r="AM241">
        <f ca="1">IFERROR(IF(0=LEN(ReferenceData!$AM$241),"",ReferenceData!$AM$241),"")</f>
        <v>1193.5549719999999</v>
      </c>
      <c r="AN241">
        <f ca="1">IFERROR(IF(0=LEN(ReferenceData!$AN$241),"",ReferenceData!$AN$241),"")</f>
        <v>2588.4555249999999</v>
      </c>
      <c r="AO241">
        <f ca="1">IFERROR(IF(0=LEN(ReferenceData!$AO$241),"",ReferenceData!$AO$241),"")</f>
        <v>2990.4348060000002</v>
      </c>
      <c r="AP241">
        <f ca="1">IFERROR(IF(0=LEN(ReferenceData!$AP$241),"",ReferenceData!$AP$241),"")</f>
        <v>2126.863961</v>
      </c>
      <c r="AQ241">
        <f ca="1">IFERROR(IF(0=LEN(ReferenceData!$AQ$241),"",ReferenceData!$AQ$241),"")</f>
        <v>1033.0566349999999</v>
      </c>
      <c r="AR241">
        <f ca="1">IFERROR(IF(0=LEN(ReferenceData!$AR$241),"",ReferenceData!$AR$241),"")</f>
        <v>-1120.2085509999999</v>
      </c>
      <c r="AS241">
        <f ca="1">IFERROR(IF(0=LEN(ReferenceData!$AS$241),"",ReferenceData!$AS$241),"")</f>
        <v>-1942.6262260000001</v>
      </c>
      <c r="AT241">
        <f ca="1">IFERROR(IF(0=LEN(ReferenceData!$AT$241),"",ReferenceData!$AT$241),"")</f>
        <v>-1692.3920880000001</v>
      </c>
      <c r="AU241">
        <f ca="1">IFERROR(IF(0=LEN(ReferenceData!$AU$241),"",ReferenceData!$AU$241),"")</f>
        <v>-1665.920067</v>
      </c>
      <c r="AV241">
        <f ca="1">IFERROR(IF(0=LEN(ReferenceData!$AV$241),"",ReferenceData!$AV$241),"")</f>
        <v>-319.48034469999999</v>
      </c>
      <c r="AW241">
        <f ca="1">IFERROR(IF(0=LEN(ReferenceData!$AW$241),"",ReferenceData!$AW$241),"")</f>
        <v>-344.95400699999999</v>
      </c>
      <c r="AX241">
        <f ca="1">IFERROR(IF(0=LEN(ReferenceData!$AX$241),"",ReferenceData!$AX$241),"")</f>
        <v>-187.98185219999999</v>
      </c>
      <c r="AY241">
        <f ca="1">IFERROR(IF(0=LEN(ReferenceData!$AY$241),"",ReferenceData!$AY$241),"")</f>
        <v>143.8130639</v>
      </c>
      <c r="AZ241">
        <f ca="1">IFERROR(IF(0=LEN(ReferenceData!$AZ$241),"",ReferenceData!$AZ$241),"")</f>
        <v>146.33647819999999</v>
      </c>
      <c r="BA241">
        <f ca="1">IFERROR(IF(0=LEN(ReferenceData!$BA$241),"",ReferenceData!$BA$241),"")</f>
        <v>255.1641046</v>
      </c>
      <c r="BB241">
        <f ca="1">IFERROR(IF(0=LEN(ReferenceData!$BB$241),"",ReferenceData!$BB$241),"")</f>
        <v>249.20565089999999</v>
      </c>
      <c r="BC241">
        <f ca="1">IFERROR(IF(0=LEN(ReferenceData!$BC$241),"",ReferenceData!$BC$241),"")</f>
        <v>517.60308069999996</v>
      </c>
      <c r="BD241">
        <f ca="1">IFERROR(IF(0=LEN(ReferenceData!$BD$241),"",ReferenceData!$BD$241),"")</f>
        <v>510.77653520000001</v>
      </c>
      <c r="BE241">
        <f ca="1">IFERROR(IF(0=LEN(ReferenceData!$BE$241),"",ReferenceData!$BE$241),"")</f>
        <v>666.32619439999996</v>
      </c>
      <c r="BF241">
        <f ca="1">IFERROR(IF(0=LEN(ReferenceData!$BF$241),"",ReferenceData!$BF$241),"")</f>
        <v>692.28557209999997</v>
      </c>
      <c r="BG241">
        <f ca="1">IFERROR(IF(0=LEN(ReferenceData!$BG$241),"",ReferenceData!$BG$241),"")</f>
        <v>451.22661099999999</v>
      </c>
      <c r="BH241">
        <f ca="1">IFERROR(IF(0=LEN(ReferenceData!$BH$241),"",ReferenceData!$BH$241),"")</f>
        <v>583.27007490000005</v>
      </c>
      <c r="BI241">
        <f ca="1">IFERROR(IF(0=LEN(ReferenceData!$BI$241),"",ReferenceData!$BI$241),"")</f>
        <v>708.79951200000005</v>
      </c>
      <c r="BJ241">
        <f ca="1">IFERROR(IF(0=LEN(ReferenceData!$BJ$241),"",ReferenceData!$BJ$241),"")</f>
        <v>771.14420070000006</v>
      </c>
      <c r="BK241">
        <f ca="1">IFERROR(IF(0=LEN(ReferenceData!$BK$241),"",ReferenceData!$BK$241),"")</f>
        <v>842.48101450000001</v>
      </c>
      <c r="BL241">
        <f ca="1">IFERROR(IF(0=LEN(ReferenceData!$BL$241),"",ReferenceData!$BL$241),"")</f>
        <v>816.70344480000006</v>
      </c>
      <c r="BM241">
        <f ca="1">IFERROR(IF(0=LEN(ReferenceData!$BM$241),"",ReferenceData!$BM$241),"")</f>
        <v>618.71772490000001</v>
      </c>
    </row>
    <row r="242" spans="1:65" x14ac:dyDescent="0.25">
      <c r="A242" t="str">
        <f>IFERROR(IF(0=LEN(ReferenceData!$A$242),"",ReferenceData!$A$242),"")</f>
        <v xml:space="preserve">    Tata Motors Ltd</v>
      </c>
      <c r="B242" t="str">
        <f>IFERROR(IF(0=LEN(ReferenceData!$B$242),"",ReferenceData!$B$242),"")</f>
        <v>TTMT IN Equity</v>
      </c>
      <c r="C242" t="str">
        <f>IFERROR(IF(0=LEN(ReferenceData!$C$242),"",ReferenceData!$C$242),"")</f>
        <v>RR843</v>
      </c>
      <c r="D242" t="str">
        <f>IFERROR(IF(0=LEN(ReferenceData!$D$242),"",ReferenceData!$D$242),"")</f>
        <v>TRAIL_12M_FREE_CASH_FLOW</v>
      </c>
      <c r="E242" t="str">
        <f>IFERROR(IF(0=LEN(ReferenceData!$E$242),"",ReferenceData!$E$242),"")</f>
        <v>Dynamic</v>
      </c>
      <c r="F242" t="str">
        <f ca="1">IFERROR(IF(0=LEN(ReferenceData!$F$242),"",ReferenceData!$F$242),"")</f>
        <v/>
      </c>
      <c r="G242" t="str">
        <f ca="1">IFERROR(IF(0=LEN(ReferenceData!$G$242),"",ReferenceData!$G$242),"")</f>
        <v/>
      </c>
      <c r="H242" t="str">
        <f ca="1">IFERROR(IF(0=LEN(ReferenceData!$H$242),"",ReferenceData!$H$242),"")</f>
        <v/>
      </c>
      <c r="I242" t="str">
        <f ca="1">IFERROR(IF(0=LEN(ReferenceData!$I$242),"",ReferenceData!$I$242),"")</f>
        <v/>
      </c>
      <c r="J242" t="str">
        <f ca="1">IFERROR(IF(0=LEN(ReferenceData!$J$242),"",ReferenceData!$J$242),"")</f>
        <v/>
      </c>
      <c r="K242" t="str">
        <f ca="1">IFERROR(IF(0=LEN(ReferenceData!$K$242),"",ReferenceData!$K$242),"")</f>
        <v/>
      </c>
      <c r="L242" t="str">
        <f ca="1">IFERROR(IF(0=LEN(ReferenceData!$L$242),"",ReferenceData!$L$242),"")</f>
        <v/>
      </c>
      <c r="M242" t="str">
        <f ca="1">IFERROR(IF(0=LEN(ReferenceData!$M$242),"",ReferenceData!$M$242),"")</f>
        <v/>
      </c>
      <c r="N242" t="str">
        <f ca="1">IFERROR(IF(0=LEN(ReferenceData!$N$242),"",ReferenceData!$N$242),"")</f>
        <v/>
      </c>
      <c r="O242" t="str">
        <f ca="1">IFERROR(IF(0=LEN(ReferenceData!$O$242),"",ReferenceData!$O$242),"")</f>
        <v/>
      </c>
      <c r="P242" t="str">
        <f ca="1">IFERROR(IF(0=LEN(ReferenceData!$P$242),"",ReferenceData!$P$242),"")</f>
        <v/>
      </c>
      <c r="Q242" t="str">
        <f ca="1">IFERROR(IF(0=LEN(ReferenceData!$Q$242),"",ReferenceData!$Q$242),"")</f>
        <v/>
      </c>
      <c r="R242" t="str">
        <f ca="1">IFERROR(IF(0=LEN(ReferenceData!$R$242),"",ReferenceData!$R$242),"")</f>
        <v/>
      </c>
      <c r="S242" t="str">
        <f ca="1">IFERROR(IF(0=LEN(ReferenceData!$S$242),"",ReferenceData!$S$242),"")</f>
        <v/>
      </c>
      <c r="T242" t="str">
        <f ca="1">IFERROR(IF(0=LEN(ReferenceData!$T$242),"",ReferenceData!$T$242),"")</f>
        <v/>
      </c>
      <c r="U242" t="str">
        <f ca="1">IFERROR(IF(0=LEN(ReferenceData!$U$242),"",ReferenceData!$U$242),"")</f>
        <v/>
      </c>
      <c r="V242" t="str">
        <f ca="1">IFERROR(IF(0=LEN(ReferenceData!$V$242),"",ReferenceData!$V$242),"")</f>
        <v/>
      </c>
      <c r="W242" t="str">
        <f ca="1">IFERROR(IF(0=LEN(ReferenceData!$W$242),"",ReferenceData!$W$242),"")</f>
        <v/>
      </c>
      <c r="X242" t="str">
        <f ca="1">IFERROR(IF(0=LEN(ReferenceData!$X$242),"",ReferenceData!$X$242),"")</f>
        <v/>
      </c>
      <c r="Y242" t="str">
        <f ca="1">IFERROR(IF(0=LEN(ReferenceData!$Y$242),"",ReferenceData!$Y$242),"")</f>
        <v/>
      </c>
      <c r="Z242" t="str">
        <f ca="1">IFERROR(IF(0=LEN(ReferenceData!$Z$242),"",ReferenceData!$Z$242),"")</f>
        <v/>
      </c>
      <c r="AA242" t="str">
        <f ca="1">IFERROR(IF(0=LEN(ReferenceData!$AA$242),"",ReferenceData!$AA$242),"")</f>
        <v/>
      </c>
      <c r="AB242" t="str">
        <f ca="1">IFERROR(IF(0=LEN(ReferenceData!$AB$242),"",ReferenceData!$AB$242),"")</f>
        <v/>
      </c>
      <c r="AC242" t="str">
        <f ca="1">IFERROR(IF(0=LEN(ReferenceData!$AC$242),"",ReferenceData!$AC$242),"")</f>
        <v/>
      </c>
      <c r="AD242" t="str">
        <f ca="1">IFERROR(IF(0=LEN(ReferenceData!$AD$242),"",ReferenceData!$AD$242),"")</f>
        <v/>
      </c>
      <c r="AE242" t="str">
        <f ca="1">IFERROR(IF(0=LEN(ReferenceData!$AE$242),"",ReferenceData!$AE$242),"")</f>
        <v/>
      </c>
      <c r="AF242" t="str">
        <f ca="1">IFERROR(IF(0=LEN(ReferenceData!$AF$242),"",ReferenceData!$AF$242),"")</f>
        <v/>
      </c>
      <c r="AG242" t="str">
        <f ca="1">IFERROR(IF(0=LEN(ReferenceData!$AG$242),"",ReferenceData!$AG$242),"")</f>
        <v/>
      </c>
      <c r="AH242" t="str">
        <f ca="1">IFERROR(IF(0=LEN(ReferenceData!$AH$242),"",ReferenceData!$AH$242),"")</f>
        <v/>
      </c>
      <c r="AI242" t="str">
        <f ca="1">IFERROR(IF(0=LEN(ReferenceData!$AI$242),"",ReferenceData!$AI$242),"")</f>
        <v/>
      </c>
      <c r="AJ242" t="str">
        <f ca="1">IFERROR(IF(0=LEN(ReferenceData!$AJ$242),"",ReferenceData!$AJ$242),"")</f>
        <v/>
      </c>
      <c r="AK242" t="str">
        <f ca="1">IFERROR(IF(0=LEN(ReferenceData!$AK$242),"",ReferenceData!$AK$242),"")</f>
        <v/>
      </c>
      <c r="AL242" t="str">
        <f ca="1">IFERROR(IF(0=LEN(ReferenceData!$AL$242),"",ReferenceData!$AL$242),"")</f>
        <v/>
      </c>
      <c r="AM242" t="str">
        <f ca="1">IFERROR(IF(0=LEN(ReferenceData!$AM$242),"",ReferenceData!$AM$242),"")</f>
        <v/>
      </c>
      <c r="AN242" t="str">
        <f ca="1">IFERROR(IF(0=LEN(ReferenceData!$AN$242),"",ReferenceData!$AN$242),"")</f>
        <v/>
      </c>
      <c r="AO242" t="str">
        <f ca="1">IFERROR(IF(0=LEN(ReferenceData!$AO$242),"",ReferenceData!$AO$242),"")</f>
        <v/>
      </c>
      <c r="AP242" t="str">
        <f ca="1">IFERROR(IF(0=LEN(ReferenceData!$AP$242),"",ReferenceData!$AP$242),"")</f>
        <v/>
      </c>
      <c r="AQ242" t="str">
        <f ca="1">IFERROR(IF(0=LEN(ReferenceData!$AQ$242),"",ReferenceData!$AQ$242),"")</f>
        <v/>
      </c>
      <c r="AR242" t="str">
        <f ca="1">IFERROR(IF(0=LEN(ReferenceData!$AR$242),"",ReferenceData!$AR$242),"")</f>
        <v/>
      </c>
      <c r="AS242" t="str">
        <f ca="1">IFERROR(IF(0=LEN(ReferenceData!$AS$242),"",ReferenceData!$AS$242),"")</f>
        <v/>
      </c>
      <c r="AT242" t="str">
        <f ca="1">IFERROR(IF(0=LEN(ReferenceData!$AT$242),"",ReferenceData!$AT$242),"")</f>
        <v/>
      </c>
      <c r="AU242" t="str">
        <f ca="1">IFERROR(IF(0=LEN(ReferenceData!$AU$242),"",ReferenceData!$AU$242),"")</f>
        <v/>
      </c>
      <c r="AV242" t="str">
        <f ca="1">IFERROR(IF(0=LEN(ReferenceData!$AV$242),"",ReferenceData!$AV$242),"")</f>
        <v/>
      </c>
      <c r="AW242" t="str">
        <f ca="1">IFERROR(IF(0=LEN(ReferenceData!$AW$242),"",ReferenceData!$AW$242),"")</f>
        <v/>
      </c>
      <c r="AX242" t="str">
        <f ca="1">IFERROR(IF(0=LEN(ReferenceData!$AX$242),"",ReferenceData!$AX$242),"")</f>
        <v/>
      </c>
      <c r="AY242" t="str">
        <f ca="1">IFERROR(IF(0=LEN(ReferenceData!$AY$242),"",ReferenceData!$AY$242),"")</f>
        <v/>
      </c>
      <c r="AZ242" t="str">
        <f ca="1">IFERROR(IF(0=LEN(ReferenceData!$AZ$242),"",ReferenceData!$AZ$242),"")</f>
        <v/>
      </c>
      <c r="BA242" t="str">
        <f ca="1">IFERROR(IF(0=LEN(ReferenceData!$BA$242),"",ReferenceData!$BA$242),"")</f>
        <v/>
      </c>
      <c r="BB242" t="str">
        <f ca="1">IFERROR(IF(0=LEN(ReferenceData!$BB$242),"",ReferenceData!$BB$242),"")</f>
        <v/>
      </c>
      <c r="BC242" t="str">
        <f ca="1">IFERROR(IF(0=LEN(ReferenceData!$BC$242),"",ReferenceData!$BC$242),"")</f>
        <v/>
      </c>
      <c r="BD242" t="str">
        <f ca="1">IFERROR(IF(0=LEN(ReferenceData!$BD$242),"",ReferenceData!$BD$242),"")</f>
        <v/>
      </c>
      <c r="BE242" t="str">
        <f ca="1">IFERROR(IF(0=LEN(ReferenceData!$BE$242),"",ReferenceData!$BE$242),"")</f>
        <v/>
      </c>
      <c r="BF242" t="str">
        <f ca="1">IFERROR(IF(0=LEN(ReferenceData!$BF$242),"",ReferenceData!$BF$242),"")</f>
        <v/>
      </c>
      <c r="BG242" t="str">
        <f ca="1">IFERROR(IF(0=LEN(ReferenceData!$BG$242),"",ReferenceData!$BG$242),"")</f>
        <v/>
      </c>
      <c r="BH242" t="str">
        <f ca="1">IFERROR(IF(0=LEN(ReferenceData!$BH$242),"",ReferenceData!$BH$242),"")</f>
        <v/>
      </c>
      <c r="BI242" t="str">
        <f ca="1">IFERROR(IF(0=LEN(ReferenceData!$BI$242),"",ReferenceData!$BI$242),"")</f>
        <v/>
      </c>
      <c r="BJ242" t="str">
        <f ca="1">IFERROR(IF(0=LEN(ReferenceData!$BJ$242),"",ReferenceData!$BJ$242),"")</f>
        <v/>
      </c>
      <c r="BK242" t="str">
        <f ca="1">IFERROR(IF(0=LEN(ReferenceData!$BK$242),"",ReferenceData!$BK$242),"")</f>
        <v/>
      </c>
      <c r="BL242" t="str">
        <f ca="1">IFERROR(IF(0=LEN(ReferenceData!$BL$242),"",ReferenceData!$BL$242),"")</f>
        <v/>
      </c>
      <c r="BM242" t="str">
        <f ca="1">IFERROR(IF(0=LEN(ReferenceData!$BM$242),"",ReferenceData!$BM$242),"")</f>
        <v/>
      </c>
    </row>
    <row r="243" spans="1:65" x14ac:dyDescent="0.25">
      <c r="A243" t="str">
        <f>IFERROR(IF(0=LEN(ReferenceData!$A$243),"",ReferenceData!$A$243),"")</f>
        <v xml:space="preserve">    Tesla Inc</v>
      </c>
      <c r="B243" t="str">
        <f>IFERROR(IF(0=LEN(ReferenceData!$B$243),"",ReferenceData!$B$243),"")</f>
        <v>TSLA US Equity</v>
      </c>
      <c r="C243" t="str">
        <f>IFERROR(IF(0=LEN(ReferenceData!$C$243),"",ReferenceData!$C$243),"")</f>
        <v>RR843</v>
      </c>
      <c r="D243" t="str">
        <f>IFERROR(IF(0=LEN(ReferenceData!$D$243),"",ReferenceData!$D$243),"")</f>
        <v>TRAIL_12M_FREE_CASH_FLOW</v>
      </c>
      <c r="E243" t="str">
        <f>IFERROR(IF(0=LEN(ReferenceData!$E$243),"",ReferenceData!$E$243),"")</f>
        <v>Dynamic</v>
      </c>
      <c r="F243" t="str">
        <f ca="1">IFERROR(IF(0=LEN(ReferenceData!$F$243),"",ReferenceData!$F$243),"")</f>
        <v/>
      </c>
      <c r="G243">
        <f ca="1">IFERROR(IF(0=LEN(ReferenceData!$G$243),"",ReferenceData!$G$243),"")</f>
        <v>-2.9220000000000002</v>
      </c>
      <c r="H243">
        <f ca="1">IFERROR(IF(0=LEN(ReferenceData!$H$243),"",ReferenceData!$H$243),"")</f>
        <v>-1189.3019999999999</v>
      </c>
      <c r="I243">
        <f ca="1">IFERROR(IF(0=LEN(ReferenceData!$I$243),"",ReferenceData!$I$243),"")</f>
        <v>-3379.8110000000001</v>
      </c>
      <c r="J243">
        <f ca="1">IFERROR(IF(0=LEN(ReferenceData!$J$243),"",ReferenceData!$J$243),"")</f>
        <v>-3907.0709999999999</v>
      </c>
      <c r="K243">
        <f ca="1">IFERROR(IF(0=LEN(ReferenceData!$K$243),"",ReferenceData!$K$243),"")</f>
        <v>-3475.4679999999998</v>
      </c>
      <c r="L243">
        <f ca="1">IFERROR(IF(0=LEN(ReferenceData!$L$243),"",ReferenceData!$L$243),"")</f>
        <v>-4168.4920000000002</v>
      </c>
      <c r="M243">
        <f ca="1">IFERROR(IF(0=LEN(ReferenceData!$M$243),"",ReferenceData!$M$243),"")</f>
        <v>-2575.4580000000001</v>
      </c>
      <c r="N243">
        <f ca="1">IFERROR(IF(0=LEN(ReferenceData!$N$243),"",ReferenceData!$N$243),"")</f>
        <v>-1560.6020000000001</v>
      </c>
      <c r="O243">
        <f ca="1">IFERROR(IF(0=LEN(ReferenceData!$O$243),"",ReferenceData!$O$243),"")</f>
        <v>-1404.6310000000001</v>
      </c>
      <c r="P243">
        <f ca="1">IFERROR(IF(0=LEN(ReferenceData!$P$243),"",ReferenceData!$P$243),"")</f>
        <v>-875.88099999999997</v>
      </c>
      <c r="Q243">
        <f ca="1">IFERROR(IF(0=LEN(ReferenceData!$Q$243),"",ReferenceData!$Q$243),"")</f>
        <v>-1647.662</v>
      </c>
      <c r="R243">
        <f ca="1">IFERROR(IF(0=LEN(ReferenceData!$R$243),"",ReferenceData!$R$243),"")</f>
        <v>-2067.9589999999998</v>
      </c>
      <c r="S243">
        <f ca="1">IFERROR(IF(0=LEN(ReferenceData!$S$243),"",ReferenceData!$S$243),"")</f>
        <v>-2159.3490000000002</v>
      </c>
      <c r="T243">
        <f ca="1">IFERROR(IF(0=LEN(ReferenceData!$T$243),"",ReferenceData!$T$243),"")</f>
        <v>-2173.3409999999999</v>
      </c>
      <c r="U243">
        <f ca="1">IFERROR(IF(0=LEN(ReferenceData!$U$243),"",ReferenceData!$U$243),"")</f>
        <v>-1889.769</v>
      </c>
      <c r="V243">
        <f ca="1">IFERROR(IF(0=LEN(ReferenceData!$V$243),"",ReferenceData!$V$243),"")</f>
        <v>-1504.3520000000001</v>
      </c>
      <c r="W243">
        <f ca="1">IFERROR(IF(0=LEN(ReferenceData!$W$243),"",ReferenceData!$W$243),"")</f>
        <v>-1027.222</v>
      </c>
      <c r="X243">
        <f ca="1">IFERROR(IF(0=LEN(ReferenceData!$X$243),"",ReferenceData!$X$243),"")</f>
        <v>-527.60599999999999</v>
      </c>
      <c r="Y243">
        <f ca="1">IFERROR(IF(0=LEN(ReferenceData!$Y$243),"",ReferenceData!$Y$243),"")</f>
        <v>-187.05199999999999</v>
      </c>
      <c r="Z243">
        <f ca="1">IFERROR(IF(0=LEN(ReferenceData!$Z$243),"",ReferenceData!$Z$243),"")</f>
        <v>-80.144000000000005</v>
      </c>
      <c r="AA243">
        <f ca="1">IFERROR(IF(0=LEN(ReferenceData!$AA$243),"",ReferenceData!$AA$243),"")</f>
        <v>6.9320000000000004</v>
      </c>
      <c r="AB243">
        <f ca="1">IFERROR(IF(0=LEN(ReferenceData!$AB$243),"",ReferenceData!$AB$243),"")</f>
        <v>-139.16499999999999</v>
      </c>
      <c r="AC243">
        <f ca="1">IFERROR(IF(0=LEN(ReferenceData!$AC$243),"",ReferenceData!$AC$243),"")</f>
        <v>-330.97199999999998</v>
      </c>
      <c r="AD243">
        <f ca="1">IFERROR(IF(0=LEN(ReferenceData!$AD$243),"",ReferenceData!$AD$243),"")</f>
        <v>-380.88299999999998</v>
      </c>
      <c r="AE243">
        <f ca="1">IFERROR(IF(0=LEN(ReferenceData!$AE$243),"",ReferenceData!$AE$243),"")</f>
        <v>-505.30900000000003</v>
      </c>
      <c r="AF243">
        <f ca="1">IFERROR(IF(0=LEN(ReferenceData!$AF$243),"",ReferenceData!$AF$243),"")</f>
        <v>-485.11599999999999</v>
      </c>
      <c r="AG243">
        <f ca="1">IFERROR(IF(0=LEN(ReferenceData!$AG$243),"",ReferenceData!$AG$243),"")</f>
        <v>-412.02699999999999</v>
      </c>
      <c r="AH243">
        <f ca="1">IFERROR(IF(0=LEN(ReferenceData!$AH$243),"",ReferenceData!$AH$243),"")</f>
        <v>-366.56200000000001</v>
      </c>
      <c r="AI243">
        <f ca="1">IFERROR(IF(0=LEN(ReferenceData!$AI$243),"",ReferenceData!$AI$243),"")</f>
        <v>-312.26100000000002</v>
      </c>
      <c r="AJ243">
        <f ca="1">IFERROR(IF(0=LEN(ReferenceData!$AJ$243),"",ReferenceData!$AJ$243),"")</f>
        <v>-282.34199999999998</v>
      </c>
      <c r="AK243">
        <f ca="1">IFERROR(IF(0=LEN(ReferenceData!$AK$243),"",ReferenceData!$AK$243),"")</f>
        <v>-241.25800000000001</v>
      </c>
      <c r="AL243">
        <f ca="1">IFERROR(IF(0=LEN(ReferenceData!$AL$243),"",ReferenceData!$AL$243),"")</f>
        <v>-198.99199999999999</v>
      </c>
      <c r="AM243">
        <f ca="1">IFERROR(IF(0=LEN(ReferenceData!$AM$243),"",ReferenceData!$AM$243),"")</f>
        <v>-168.02</v>
      </c>
      <c r="AN243">
        <f ca="1">IFERROR(IF(0=LEN(ReferenceData!$AN$243),"",ReferenceData!$AN$243),"")</f>
        <v>-151.79400000000001</v>
      </c>
      <c r="AO243" t="str">
        <f ca="1">IFERROR(IF(0=LEN(ReferenceData!$AO$243),"",ReferenceData!$AO$243),"")</f>
        <v/>
      </c>
      <c r="AP243" t="str">
        <f ca="1">IFERROR(IF(0=LEN(ReferenceData!$AP$243),"",ReferenceData!$AP$243),"")</f>
        <v/>
      </c>
      <c r="AQ243" t="str">
        <f ca="1">IFERROR(IF(0=LEN(ReferenceData!$AQ$243),"",ReferenceData!$AQ$243),"")</f>
        <v/>
      </c>
      <c r="AR243" t="str">
        <f ca="1">IFERROR(IF(0=LEN(ReferenceData!$AR$243),"",ReferenceData!$AR$243),"")</f>
        <v/>
      </c>
      <c r="AS243" t="str">
        <f ca="1">IFERROR(IF(0=LEN(ReferenceData!$AS$243),"",ReferenceData!$AS$243),"")</f>
        <v/>
      </c>
      <c r="AT243" t="str">
        <f ca="1">IFERROR(IF(0=LEN(ReferenceData!$AT$243),"",ReferenceData!$AT$243),"")</f>
        <v/>
      </c>
      <c r="AU243" t="str">
        <f ca="1">IFERROR(IF(0=LEN(ReferenceData!$AU$243),"",ReferenceData!$AU$243),"")</f>
        <v/>
      </c>
      <c r="AV243" t="str">
        <f ca="1">IFERROR(IF(0=LEN(ReferenceData!$AV$243),"",ReferenceData!$AV$243),"")</f>
        <v/>
      </c>
      <c r="AW243" t="str">
        <f ca="1">IFERROR(IF(0=LEN(ReferenceData!$AW$243),"",ReferenceData!$AW$243),"")</f>
        <v/>
      </c>
      <c r="AX243" t="str">
        <f ca="1">IFERROR(IF(0=LEN(ReferenceData!$AX$243),"",ReferenceData!$AX$243),"")</f>
        <v/>
      </c>
      <c r="AY243" t="str">
        <f ca="1">IFERROR(IF(0=LEN(ReferenceData!$AY$243),"",ReferenceData!$AY$243),"")</f>
        <v/>
      </c>
      <c r="AZ243" t="str">
        <f ca="1">IFERROR(IF(0=LEN(ReferenceData!$AZ$243),"",ReferenceData!$AZ$243),"")</f>
        <v/>
      </c>
      <c r="BA243" t="str">
        <f ca="1">IFERROR(IF(0=LEN(ReferenceData!$BA$243),"",ReferenceData!$BA$243),"")</f>
        <v/>
      </c>
      <c r="BB243" t="str">
        <f ca="1">IFERROR(IF(0=LEN(ReferenceData!$BB$243),"",ReferenceData!$BB$243),"")</f>
        <v/>
      </c>
      <c r="BC243" t="str">
        <f ca="1">IFERROR(IF(0=LEN(ReferenceData!$BC$243),"",ReferenceData!$BC$243),"")</f>
        <v/>
      </c>
      <c r="BD243" t="str">
        <f ca="1">IFERROR(IF(0=LEN(ReferenceData!$BD$243),"",ReferenceData!$BD$243),"")</f>
        <v/>
      </c>
      <c r="BE243" t="str">
        <f ca="1">IFERROR(IF(0=LEN(ReferenceData!$BE$243),"",ReferenceData!$BE$243),"")</f>
        <v/>
      </c>
      <c r="BF243" t="str">
        <f ca="1">IFERROR(IF(0=LEN(ReferenceData!$BF$243),"",ReferenceData!$BF$243),"")</f>
        <v/>
      </c>
      <c r="BG243" t="str">
        <f ca="1">IFERROR(IF(0=LEN(ReferenceData!$BG$243),"",ReferenceData!$BG$243),"")</f>
        <v/>
      </c>
      <c r="BH243" t="str">
        <f ca="1">IFERROR(IF(0=LEN(ReferenceData!$BH$243),"",ReferenceData!$BH$243),"")</f>
        <v/>
      </c>
      <c r="BI243" t="str">
        <f ca="1">IFERROR(IF(0=LEN(ReferenceData!$BI$243),"",ReferenceData!$BI$243),"")</f>
        <v/>
      </c>
      <c r="BJ243" t="str">
        <f ca="1">IFERROR(IF(0=LEN(ReferenceData!$BJ$243),"",ReferenceData!$BJ$243),"")</f>
        <v/>
      </c>
      <c r="BK243" t="str">
        <f ca="1">IFERROR(IF(0=LEN(ReferenceData!$BK$243),"",ReferenceData!$BK$243),"")</f>
        <v/>
      </c>
      <c r="BL243" t="str">
        <f ca="1">IFERROR(IF(0=LEN(ReferenceData!$BL$243),"",ReferenceData!$BL$243),"")</f>
        <v/>
      </c>
      <c r="BM243" t="str">
        <f ca="1">IFERROR(IF(0=LEN(ReferenceData!$BM$243),"",ReferenceData!$BM$243),"")</f>
        <v/>
      </c>
    </row>
    <row r="244" spans="1:65" x14ac:dyDescent="0.25">
      <c r="A244" t="str">
        <f>IFERROR(IF(0=LEN(ReferenceData!$A$244),"",ReferenceData!$A$244),"")</f>
        <v xml:space="preserve">    Tianjin Faw Xiali Automobile Co Ltd</v>
      </c>
      <c r="B244" t="str">
        <f>IFERROR(IF(0=LEN(ReferenceData!$B$244),"",ReferenceData!$B$244),"")</f>
        <v>000927 CH Equity</v>
      </c>
      <c r="C244" t="str">
        <f>IFERROR(IF(0=LEN(ReferenceData!$C$244),"",ReferenceData!$C$244),"")</f>
        <v>RR843</v>
      </c>
      <c r="D244" t="str">
        <f>IFERROR(IF(0=LEN(ReferenceData!$D$244),"",ReferenceData!$D$244),"")</f>
        <v>TRAIL_12M_FREE_CASH_FLOW</v>
      </c>
      <c r="E244" t="str">
        <f>IFERROR(IF(0=LEN(ReferenceData!$E$244),"",ReferenceData!$E$244),"")</f>
        <v>Dynamic</v>
      </c>
      <c r="F244" t="str">
        <f ca="1">IFERROR(IF(0=LEN(ReferenceData!$F$244),"",ReferenceData!$F$244),"")</f>
        <v/>
      </c>
      <c r="G244" t="str">
        <f ca="1">IFERROR(IF(0=LEN(ReferenceData!$G$244),"",ReferenceData!$G$244),"")</f>
        <v/>
      </c>
      <c r="H244" t="str">
        <f ca="1">IFERROR(IF(0=LEN(ReferenceData!$H$244),"",ReferenceData!$H$244),"")</f>
        <v/>
      </c>
      <c r="I244" t="str">
        <f ca="1">IFERROR(IF(0=LEN(ReferenceData!$I$244),"",ReferenceData!$I$244),"")</f>
        <v/>
      </c>
      <c r="J244">
        <f ca="1">IFERROR(IF(0=LEN(ReferenceData!$J$244),"",ReferenceData!$J$244),"")</f>
        <v>-271.49027319999999</v>
      </c>
      <c r="K244">
        <f ca="1">IFERROR(IF(0=LEN(ReferenceData!$K$244),"",ReferenceData!$K$244),"")</f>
        <v>-275.78132440000002</v>
      </c>
      <c r="L244">
        <f ca="1">IFERROR(IF(0=LEN(ReferenceData!$L$244),"",ReferenceData!$L$244),"")</f>
        <v>-277.41514619999998</v>
      </c>
      <c r="M244">
        <f ca="1">IFERROR(IF(0=LEN(ReferenceData!$M$244),"",ReferenceData!$M$244),"")</f>
        <v>-329.11331730000001</v>
      </c>
      <c r="N244">
        <f ca="1">IFERROR(IF(0=LEN(ReferenceData!$N$244),"",ReferenceData!$N$244),"")</f>
        <v>-266.25029740000002</v>
      </c>
      <c r="O244">
        <f ca="1">IFERROR(IF(0=LEN(ReferenceData!$O$244),"",ReferenceData!$O$244),"")</f>
        <v>-280.83943069999998</v>
      </c>
      <c r="P244">
        <f ca="1">IFERROR(IF(0=LEN(ReferenceData!$P$244),"",ReferenceData!$P$244),"")</f>
        <v>-290.2594886</v>
      </c>
      <c r="Q244">
        <f ca="1">IFERROR(IF(0=LEN(ReferenceData!$Q$244),"",ReferenceData!$Q$244),"")</f>
        <v>-297.9313042</v>
      </c>
      <c r="R244">
        <f ca="1">IFERROR(IF(0=LEN(ReferenceData!$R$244),"",ReferenceData!$R$244),"")</f>
        <v>-338.6236419</v>
      </c>
      <c r="S244">
        <f ca="1">IFERROR(IF(0=LEN(ReferenceData!$S$244),"",ReferenceData!$S$244),"")</f>
        <v>-275.77903079999999</v>
      </c>
      <c r="T244">
        <f ca="1">IFERROR(IF(0=LEN(ReferenceData!$T$244),"",ReferenceData!$T$244),"")</f>
        <v>-196.69505530000001</v>
      </c>
      <c r="U244">
        <f ca="1">IFERROR(IF(0=LEN(ReferenceData!$U$244),"",ReferenceData!$U$244),"")</f>
        <v>-169.76678620000001</v>
      </c>
      <c r="V244">
        <f ca="1">IFERROR(IF(0=LEN(ReferenceData!$V$244),"",ReferenceData!$V$244),"")</f>
        <v>-84.55204956</v>
      </c>
      <c r="W244">
        <f ca="1">IFERROR(IF(0=LEN(ReferenceData!$W$244),"",ReferenceData!$W$244),"")</f>
        <v>-116.51867110000001</v>
      </c>
      <c r="X244">
        <f ca="1">IFERROR(IF(0=LEN(ReferenceData!$X$244),"",ReferenceData!$X$244),"")</f>
        <v>-139.04453219999999</v>
      </c>
      <c r="Y244">
        <f ca="1">IFERROR(IF(0=LEN(ReferenceData!$Y$244),"",ReferenceData!$Y$244),"")</f>
        <v>-224.98766209999999</v>
      </c>
      <c r="Z244">
        <f ca="1">IFERROR(IF(0=LEN(ReferenceData!$Z$244),"",ReferenceData!$Z$244),"")</f>
        <v>-133.98413769999999</v>
      </c>
      <c r="AA244">
        <f ca="1">IFERROR(IF(0=LEN(ReferenceData!$AA$244),"",ReferenceData!$AA$244),"")</f>
        <v>-95.707263119999993</v>
      </c>
      <c r="AB244">
        <f ca="1">IFERROR(IF(0=LEN(ReferenceData!$AB$244),"",ReferenceData!$AB$244),"")</f>
        <v>-51.338177880000003</v>
      </c>
      <c r="AC244">
        <f ca="1">IFERROR(IF(0=LEN(ReferenceData!$AC$244),"",ReferenceData!$AC$244),"")</f>
        <v>29.1684059</v>
      </c>
      <c r="AD244">
        <f ca="1">IFERROR(IF(0=LEN(ReferenceData!$AD$244),"",ReferenceData!$AD$244),"")</f>
        <v>-0.23852242500000001</v>
      </c>
      <c r="AE244">
        <f ca="1">IFERROR(IF(0=LEN(ReferenceData!$AE$244),"",ReferenceData!$AE$244),"")</f>
        <v>-24.71982306</v>
      </c>
      <c r="AF244">
        <f ca="1">IFERROR(IF(0=LEN(ReferenceData!$AF$244),"",ReferenceData!$AF$244),"")</f>
        <v>-84.512413460000005</v>
      </c>
      <c r="AG244">
        <f ca="1">IFERROR(IF(0=LEN(ReferenceData!$AG$244),"",ReferenceData!$AG$244),"")</f>
        <v>-111.84228589999999</v>
      </c>
      <c r="AH244">
        <f ca="1">IFERROR(IF(0=LEN(ReferenceData!$AH$244),"",ReferenceData!$AH$244),"")</f>
        <v>-53.44704582</v>
      </c>
      <c r="AI244">
        <f ca="1">IFERROR(IF(0=LEN(ReferenceData!$AI$244),"",ReferenceData!$AI$244),"")</f>
        <v>-51.942479849999998</v>
      </c>
      <c r="AJ244">
        <f ca="1">IFERROR(IF(0=LEN(ReferenceData!$AJ$244),"",ReferenceData!$AJ$244),"")</f>
        <v>-113.73712399999999</v>
      </c>
      <c r="AK244">
        <f ca="1">IFERROR(IF(0=LEN(ReferenceData!$AK$244),"",ReferenceData!$AK$244),"")</f>
        <v>-128.12234040000001</v>
      </c>
      <c r="AL244">
        <f ca="1">IFERROR(IF(0=LEN(ReferenceData!$AL$244),"",ReferenceData!$AL$244),"")</f>
        <v>-251.1316645</v>
      </c>
      <c r="AM244">
        <f ca="1">IFERROR(IF(0=LEN(ReferenceData!$AM$244),"",ReferenceData!$AM$244),"")</f>
        <v>-193.20164840000001</v>
      </c>
      <c r="AN244">
        <f ca="1">IFERROR(IF(0=LEN(ReferenceData!$AN$244),"",ReferenceData!$AN$244),"")</f>
        <v>-155.1925263</v>
      </c>
      <c r="AO244">
        <f ca="1">IFERROR(IF(0=LEN(ReferenceData!$AO$244),"",ReferenceData!$AO$244),"")</f>
        <v>15.45321188</v>
      </c>
      <c r="AP244">
        <f ca="1">IFERROR(IF(0=LEN(ReferenceData!$AP$244),"",ReferenceData!$AP$244),"")</f>
        <v>15.5182912</v>
      </c>
      <c r="AQ244">
        <f ca="1">IFERROR(IF(0=LEN(ReferenceData!$AQ$244),"",ReferenceData!$AQ$244),"")</f>
        <v>8.0005900170000004</v>
      </c>
      <c r="AR244">
        <f ca="1">IFERROR(IF(0=LEN(ReferenceData!$AR$244),"",ReferenceData!$AR$244),"")</f>
        <v>79.774978349999998</v>
      </c>
      <c r="AS244">
        <f ca="1">IFERROR(IF(0=LEN(ReferenceData!$AS$244),"",ReferenceData!$AS$244),"")</f>
        <v>-83.920968959999996</v>
      </c>
      <c r="AT244">
        <f ca="1">IFERROR(IF(0=LEN(ReferenceData!$AT$244),"",ReferenceData!$AT$244),"")</f>
        <v>-89.307892289999998</v>
      </c>
      <c r="AU244">
        <f ca="1">IFERROR(IF(0=LEN(ReferenceData!$AU$244),"",ReferenceData!$AU$244),"")</f>
        <v>-89.804706080000003</v>
      </c>
      <c r="AV244">
        <f ca="1">IFERROR(IF(0=LEN(ReferenceData!$AV$244),"",ReferenceData!$AV$244),"")</f>
        <v>-82.985604910000006</v>
      </c>
      <c r="AW244">
        <f ca="1">IFERROR(IF(0=LEN(ReferenceData!$AW$244),"",ReferenceData!$AW$244),"")</f>
        <v>-37.175300710000002</v>
      </c>
      <c r="AX244">
        <f ca="1">IFERROR(IF(0=LEN(ReferenceData!$AX$244),"",ReferenceData!$AX$244),"")</f>
        <v>-2.723843478</v>
      </c>
      <c r="AY244">
        <f ca="1">IFERROR(IF(0=LEN(ReferenceData!$AY$244),"",ReferenceData!$AY$244),"")</f>
        <v>-4.5196247200000004</v>
      </c>
      <c r="AZ244">
        <f ca="1">IFERROR(IF(0=LEN(ReferenceData!$AZ$244),"",ReferenceData!$AZ$244),"")</f>
        <v>-10.966770479999999</v>
      </c>
      <c r="BA244">
        <f ca="1">IFERROR(IF(0=LEN(ReferenceData!$BA$244),"",ReferenceData!$BA$244),"")</f>
        <v>132.44030910000001</v>
      </c>
      <c r="BB244">
        <f ca="1">IFERROR(IF(0=LEN(ReferenceData!$BB$244),"",ReferenceData!$BB$244),"")</f>
        <v>154.8660558</v>
      </c>
      <c r="BC244">
        <f ca="1">IFERROR(IF(0=LEN(ReferenceData!$BC$244),"",ReferenceData!$BC$244),"")</f>
        <v>203.36343429999999</v>
      </c>
      <c r="BD244">
        <f ca="1">IFERROR(IF(0=LEN(ReferenceData!$BD$244),"",ReferenceData!$BD$244),"")</f>
        <v>206.1142346</v>
      </c>
      <c r="BE244">
        <f ca="1">IFERROR(IF(0=LEN(ReferenceData!$BE$244),"",ReferenceData!$BE$244),"")</f>
        <v>137.12046900000001</v>
      </c>
      <c r="BF244">
        <f ca="1">IFERROR(IF(0=LEN(ReferenceData!$BF$244),"",ReferenceData!$BF$244),"")</f>
        <v>118.3919975</v>
      </c>
      <c r="BG244">
        <f ca="1">IFERROR(IF(0=LEN(ReferenceData!$BG$244),"",ReferenceData!$BG$244),"")</f>
        <v>127.3076552</v>
      </c>
      <c r="BH244">
        <f ca="1">IFERROR(IF(0=LEN(ReferenceData!$BH$244),"",ReferenceData!$BH$244),"")</f>
        <v>122.8997337</v>
      </c>
      <c r="BI244">
        <f ca="1">IFERROR(IF(0=LEN(ReferenceData!$BI$244),"",ReferenceData!$BI$244),"")</f>
        <v>84.237018169999999</v>
      </c>
      <c r="BJ244">
        <f ca="1">IFERROR(IF(0=LEN(ReferenceData!$BJ$244),"",ReferenceData!$BJ$244),"")</f>
        <v>27.823025560000001</v>
      </c>
      <c r="BK244">
        <f ca="1">IFERROR(IF(0=LEN(ReferenceData!$BK$244),"",ReferenceData!$BK$244),"")</f>
        <v>0.49425018399999998</v>
      </c>
      <c r="BL244">
        <f ca="1">IFERROR(IF(0=LEN(ReferenceData!$BL$244),"",ReferenceData!$BL$244),"")</f>
        <v>-49.362042690000003</v>
      </c>
      <c r="BM244">
        <f ca="1">IFERROR(IF(0=LEN(ReferenceData!$BM$244),"",ReferenceData!$BM$244),"")</f>
        <v>-7.2736457000000003</v>
      </c>
    </row>
    <row r="245" spans="1:65" x14ac:dyDescent="0.25">
      <c r="A245" t="str">
        <f>IFERROR(IF(0=LEN(ReferenceData!$A$245),"",ReferenceData!$A$245),"")</f>
        <v xml:space="preserve">    Tofas Turk Otomobil Fabrikasi AS</v>
      </c>
      <c r="B245" t="str">
        <f>IFERROR(IF(0=LEN(ReferenceData!$B$245),"",ReferenceData!$B$245),"")</f>
        <v>TOASOTRY EO Equity</v>
      </c>
      <c r="C245" t="str">
        <f>IFERROR(IF(0=LEN(ReferenceData!$C$245),"",ReferenceData!$C$245),"")</f>
        <v>RR843</v>
      </c>
      <c r="D245" t="str">
        <f>IFERROR(IF(0=LEN(ReferenceData!$D$245),"",ReferenceData!$D$245),"")</f>
        <v>TRAIL_12M_FREE_CASH_FLOW</v>
      </c>
      <c r="E245" t="str">
        <f>IFERROR(IF(0=LEN(ReferenceData!$E$245),"",ReferenceData!$E$245),"")</f>
        <v>Dynamic</v>
      </c>
      <c r="F245" t="str">
        <f ca="1">IFERROR(IF(0=LEN(ReferenceData!$F$245),"",ReferenceData!$F$245),"")</f>
        <v/>
      </c>
      <c r="G245">
        <f ca="1">IFERROR(IF(0=LEN(ReferenceData!$G$245),"",ReferenceData!$G$245),"")</f>
        <v>223.06324799999999</v>
      </c>
      <c r="H245">
        <f ca="1">IFERROR(IF(0=LEN(ReferenceData!$H$245),"",ReferenceData!$H$245),"")</f>
        <v>-24.011538380000001</v>
      </c>
      <c r="I245">
        <f ca="1">IFERROR(IF(0=LEN(ReferenceData!$I$245),"",ReferenceData!$I$245),"")</f>
        <v>293.76469350000002</v>
      </c>
      <c r="J245">
        <f ca="1">IFERROR(IF(0=LEN(ReferenceData!$J$245),"",ReferenceData!$J$245),"")</f>
        <v>255.27032120000001</v>
      </c>
      <c r="K245">
        <f ca="1">IFERROR(IF(0=LEN(ReferenceData!$K$245),"",ReferenceData!$K$245),"")</f>
        <v>209.98859730000001</v>
      </c>
      <c r="L245">
        <f ca="1">IFERROR(IF(0=LEN(ReferenceData!$L$245),"",ReferenceData!$L$245),"")</f>
        <v>465.9048884</v>
      </c>
      <c r="M245">
        <f ca="1">IFERROR(IF(0=LEN(ReferenceData!$M$245),"",ReferenceData!$M$245),"")</f>
        <v>476.68311670000003</v>
      </c>
      <c r="N245">
        <f ca="1">IFERROR(IF(0=LEN(ReferenceData!$N$245),"",ReferenceData!$N$245),"")</f>
        <v>482.68244349999998</v>
      </c>
      <c r="O245">
        <f ca="1">IFERROR(IF(0=LEN(ReferenceData!$O$245),"",ReferenceData!$O$245),"")</f>
        <v>112.3878521</v>
      </c>
      <c r="P245">
        <f ca="1">IFERROR(IF(0=LEN(ReferenceData!$P$245),"",ReferenceData!$P$245),"")</f>
        <v>20.43471186</v>
      </c>
      <c r="Q245">
        <f ca="1">IFERROR(IF(0=LEN(ReferenceData!$Q$245),"",ReferenceData!$Q$245),"")</f>
        <v>-147.65825340000001</v>
      </c>
      <c r="R245">
        <f ca="1">IFERROR(IF(0=LEN(ReferenceData!$R$245),"",ReferenceData!$R$245),"")</f>
        <v>-21.06848252</v>
      </c>
      <c r="S245">
        <f ca="1">IFERROR(IF(0=LEN(ReferenceData!$S$245),"",ReferenceData!$S$245),"")</f>
        <v>30.305389300000002</v>
      </c>
      <c r="T245">
        <f ca="1">IFERROR(IF(0=LEN(ReferenceData!$T$245),"",ReferenceData!$T$245),"")</f>
        <v>-325.88441460000001</v>
      </c>
      <c r="U245">
        <f ca="1">IFERROR(IF(0=LEN(ReferenceData!$U$245),"",ReferenceData!$U$245),"")</f>
        <v>-247.94166530000001</v>
      </c>
      <c r="V245">
        <f ca="1">IFERROR(IF(0=LEN(ReferenceData!$V$245),"",ReferenceData!$V$245),"")</f>
        <v>-317.54836699999998</v>
      </c>
      <c r="W245">
        <f ca="1">IFERROR(IF(0=LEN(ReferenceData!$W$245),"",ReferenceData!$W$245),"")</f>
        <v>-70.884375289999994</v>
      </c>
      <c r="X245">
        <f ca="1">IFERROR(IF(0=LEN(ReferenceData!$X$245),"",ReferenceData!$X$245),"")</f>
        <v>111.63219839999999</v>
      </c>
      <c r="Y245">
        <f ca="1">IFERROR(IF(0=LEN(ReferenceData!$Y$245),"",ReferenceData!$Y$245),"")</f>
        <v>92.914615499999996</v>
      </c>
      <c r="Z245">
        <f ca="1">IFERROR(IF(0=LEN(ReferenceData!$Z$245),"",ReferenceData!$Z$245),"")</f>
        <v>153.39101120000001</v>
      </c>
      <c r="AA245">
        <f ca="1">IFERROR(IF(0=LEN(ReferenceData!$AA$245),"",ReferenceData!$AA$245),"")</f>
        <v>405.81584550000002</v>
      </c>
      <c r="AB245">
        <f ca="1">IFERROR(IF(0=LEN(ReferenceData!$AB$245),"",ReferenceData!$AB$245),"")</f>
        <v>495.57264320000002</v>
      </c>
      <c r="AC245">
        <f ca="1">IFERROR(IF(0=LEN(ReferenceData!$AC$245),"",ReferenceData!$AC$245),"")</f>
        <v>465.03987519999998</v>
      </c>
      <c r="AD245">
        <f ca="1">IFERROR(IF(0=LEN(ReferenceData!$AD$245),"",ReferenceData!$AD$245),"")</f>
        <v>686.41845920000003</v>
      </c>
      <c r="AE245">
        <f ca="1">IFERROR(IF(0=LEN(ReferenceData!$AE$245),"",ReferenceData!$AE$245),"")</f>
        <v>368.29224859999999</v>
      </c>
      <c r="AF245">
        <f ca="1">IFERROR(IF(0=LEN(ReferenceData!$AF$245),"",ReferenceData!$AF$245),"")</f>
        <v>321.33465790000002</v>
      </c>
      <c r="AG245">
        <f ca="1">IFERROR(IF(0=LEN(ReferenceData!$AG$245),"",ReferenceData!$AG$245),"")</f>
        <v>195.5604329</v>
      </c>
      <c r="AH245">
        <f ca="1">IFERROR(IF(0=LEN(ReferenceData!$AH$245),"",ReferenceData!$AH$245),"")</f>
        <v>-157.1935699</v>
      </c>
      <c r="AI245">
        <f ca="1">IFERROR(IF(0=LEN(ReferenceData!$AI$245),"",ReferenceData!$AI$245),"")</f>
        <v>-140.56499729999999</v>
      </c>
      <c r="AJ245">
        <f ca="1">IFERROR(IF(0=LEN(ReferenceData!$AJ$245),"",ReferenceData!$AJ$245),"")</f>
        <v>-174.7092198</v>
      </c>
      <c r="AK245">
        <f ca="1">IFERROR(IF(0=LEN(ReferenceData!$AK$245),"",ReferenceData!$AK$245),"")</f>
        <v>-18.315125550000001</v>
      </c>
      <c r="AL245">
        <f ca="1">IFERROR(IF(0=LEN(ReferenceData!$AL$245),"",ReferenceData!$AL$245),"")</f>
        <v>-5.9004960019999997</v>
      </c>
      <c r="AM245">
        <f ca="1">IFERROR(IF(0=LEN(ReferenceData!$AM$245),"",ReferenceData!$AM$245),"")</f>
        <v>140.2893498</v>
      </c>
      <c r="AN245">
        <f ca="1">IFERROR(IF(0=LEN(ReferenceData!$AN$245),"",ReferenceData!$AN$245),"")</f>
        <v>273.00308219999999</v>
      </c>
      <c r="AO245">
        <f ca="1">IFERROR(IF(0=LEN(ReferenceData!$AO$245),"",ReferenceData!$AO$245),"")</f>
        <v>216.59544579999999</v>
      </c>
      <c r="AP245">
        <f ca="1">IFERROR(IF(0=LEN(ReferenceData!$AP$245),"",ReferenceData!$AP$245),"")</f>
        <v>452.9717498</v>
      </c>
      <c r="AQ245">
        <f ca="1">IFERROR(IF(0=LEN(ReferenceData!$AQ$245),"",ReferenceData!$AQ$245),"")</f>
        <v>273.65087940000001</v>
      </c>
      <c r="AR245">
        <f ca="1">IFERROR(IF(0=LEN(ReferenceData!$AR$245),"",ReferenceData!$AR$245),"")</f>
        <v>-56.631078469999999</v>
      </c>
      <c r="AS245">
        <f ca="1">IFERROR(IF(0=LEN(ReferenceData!$AS$245),"",ReferenceData!$AS$245),"")</f>
        <v>-133.5113542</v>
      </c>
      <c r="AT245">
        <f ca="1">IFERROR(IF(0=LEN(ReferenceData!$AT$245),"",ReferenceData!$AT$245),"")</f>
        <v>-376.70011119999998</v>
      </c>
      <c r="AU245">
        <f ca="1">IFERROR(IF(0=LEN(ReferenceData!$AU$245),"",ReferenceData!$AU$245),"")</f>
        <v>-458.25431959999997</v>
      </c>
      <c r="AV245">
        <f ca="1">IFERROR(IF(0=LEN(ReferenceData!$AV$245),"",ReferenceData!$AV$245),"")</f>
        <v>-339.92530790000001</v>
      </c>
      <c r="AW245">
        <f ca="1">IFERROR(IF(0=LEN(ReferenceData!$AW$245),"",ReferenceData!$AW$245),"")</f>
        <v>-239.74159280000001</v>
      </c>
      <c r="AX245">
        <f ca="1">IFERROR(IF(0=LEN(ReferenceData!$AX$245),"",ReferenceData!$AX$245),"")</f>
        <v>-288.3887259</v>
      </c>
      <c r="AY245">
        <f ca="1">IFERROR(IF(0=LEN(ReferenceData!$AY$245),"",ReferenceData!$AY$245),"")</f>
        <v>-360.6086517</v>
      </c>
      <c r="AZ245">
        <f ca="1">IFERROR(IF(0=LEN(ReferenceData!$AZ$245),"",ReferenceData!$AZ$245),"")</f>
        <v>-368.98233850000003</v>
      </c>
      <c r="BA245">
        <f ca="1">IFERROR(IF(0=LEN(ReferenceData!$BA$245),"",ReferenceData!$BA$245),"")</f>
        <v>-425.66954040000002</v>
      </c>
      <c r="BB245">
        <f ca="1">IFERROR(IF(0=LEN(ReferenceData!$BB$245),"",ReferenceData!$BB$245),"")</f>
        <v>-233.63618410000001</v>
      </c>
      <c r="BC245">
        <f ca="1">IFERROR(IF(0=LEN(ReferenceData!$BC$245),"",ReferenceData!$BC$245),"")</f>
        <v>-102.6189644</v>
      </c>
      <c r="BD245">
        <f ca="1">IFERROR(IF(0=LEN(ReferenceData!$BD$245),"",ReferenceData!$BD$245),"")</f>
        <v>-59.918119050000001</v>
      </c>
      <c r="BE245">
        <f ca="1">IFERROR(IF(0=LEN(ReferenceData!$BE$245),"",ReferenceData!$BE$245),"")</f>
        <v>127.9567752</v>
      </c>
      <c r="BF245">
        <f ca="1">IFERROR(IF(0=LEN(ReferenceData!$BF$245),"",ReferenceData!$BF$245),"")</f>
        <v>120.0414899</v>
      </c>
      <c r="BG245">
        <f ca="1">IFERROR(IF(0=LEN(ReferenceData!$BG$245),"",ReferenceData!$BG$245),"")</f>
        <v>98.184117810000004</v>
      </c>
      <c r="BH245" t="str">
        <f ca="1">IFERROR(IF(0=LEN(ReferenceData!$BH$245),"",ReferenceData!$BH$245),"")</f>
        <v/>
      </c>
      <c r="BI245" t="str">
        <f ca="1">IFERROR(IF(0=LEN(ReferenceData!$BI$245),"",ReferenceData!$BI$245),"")</f>
        <v/>
      </c>
      <c r="BJ245" t="str">
        <f ca="1">IFERROR(IF(0=LEN(ReferenceData!$BJ$245),"",ReferenceData!$BJ$245),"")</f>
        <v/>
      </c>
      <c r="BK245" t="str">
        <f ca="1">IFERROR(IF(0=LEN(ReferenceData!$BK$245),"",ReferenceData!$BK$245),"")</f>
        <v/>
      </c>
      <c r="BL245" t="str">
        <f ca="1">IFERROR(IF(0=LEN(ReferenceData!$BL$245),"",ReferenceData!$BL$245),"")</f>
        <v/>
      </c>
      <c r="BM245" t="str">
        <f ca="1">IFERROR(IF(0=LEN(ReferenceData!$BM$245),"",ReferenceData!$BM$245),"")</f>
        <v/>
      </c>
    </row>
    <row r="246" spans="1:65" x14ac:dyDescent="0.25">
      <c r="A246" t="str">
        <f>IFERROR(IF(0=LEN(ReferenceData!$A$246),"",ReferenceData!$A$246),"")</f>
        <v xml:space="preserve">    Toyota Motor Corp</v>
      </c>
      <c r="B246" t="str">
        <f>IFERROR(IF(0=LEN(ReferenceData!$B$246),"",ReferenceData!$B$246),"")</f>
        <v>7203 JP Equity</v>
      </c>
      <c r="C246" t="str">
        <f>IFERROR(IF(0=LEN(ReferenceData!$C$246),"",ReferenceData!$C$246),"")</f>
        <v>RR843</v>
      </c>
      <c r="D246" t="str">
        <f>IFERROR(IF(0=LEN(ReferenceData!$D$246),"",ReferenceData!$D$246),"")</f>
        <v>TRAIL_12M_FREE_CASH_FLOW</v>
      </c>
      <c r="E246" t="str">
        <f>IFERROR(IF(0=LEN(ReferenceData!$E$246),"",ReferenceData!$E$246),"")</f>
        <v>Dynamic</v>
      </c>
      <c r="F246" t="str">
        <f ca="1">IFERROR(IF(0=LEN(ReferenceData!$F$246),"",ReferenceData!$F$246),"")</f>
        <v/>
      </c>
      <c r="G246">
        <f ca="1">IFERROR(IF(0=LEN(ReferenceData!$G$246),"",ReferenceData!$G$246),"")</f>
        <v>25003.976719999999</v>
      </c>
      <c r="H246">
        <f ca="1">IFERROR(IF(0=LEN(ReferenceData!$H$246),"",ReferenceData!$H$246),"")</f>
        <v>23262.335459999998</v>
      </c>
      <c r="I246">
        <f ca="1">IFERROR(IF(0=LEN(ReferenceData!$I$246),"",ReferenceData!$I$246),"")</f>
        <v>22926.987730000001</v>
      </c>
      <c r="J246">
        <f ca="1">IFERROR(IF(0=LEN(ReferenceData!$J$246),"",ReferenceData!$J$246),"")</f>
        <v>26345.426820000001</v>
      </c>
      <c r="K246">
        <f ca="1">IFERROR(IF(0=LEN(ReferenceData!$K$246),"",ReferenceData!$K$246),"")</f>
        <v>25530.829089999999</v>
      </c>
      <c r="L246">
        <f ca="1">IFERROR(IF(0=LEN(ReferenceData!$L$246),"",ReferenceData!$L$246),"")</f>
        <v>23989.530419999999</v>
      </c>
      <c r="M246">
        <f ca="1">IFERROR(IF(0=LEN(ReferenceData!$M$246),"",ReferenceData!$M$246),"")</f>
        <v>19713.130010000001</v>
      </c>
      <c r="N246">
        <f ca="1">IFERROR(IF(0=LEN(ReferenceData!$N$246),"",ReferenceData!$N$246),"")</f>
        <v>20261.822380000001</v>
      </c>
      <c r="O246">
        <f ca="1">IFERROR(IF(0=LEN(ReferenceData!$O$246),"",ReferenceData!$O$246),"")</f>
        <v>21666.928629999999</v>
      </c>
      <c r="P246">
        <f ca="1">IFERROR(IF(0=LEN(ReferenceData!$P$246),"",ReferenceData!$P$246),"")</f>
        <v>25474.933359999999</v>
      </c>
      <c r="Q246">
        <f ca="1">IFERROR(IF(0=LEN(ReferenceData!$Q$246),"",ReferenceData!$Q$246),"")</f>
        <v>28076.041990000002</v>
      </c>
      <c r="R246">
        <f ca="1">IFERROR(IF(0=LEN(ReferenceData!$R$246),"",ReferenceData!$R$246),"")</f>
        <v>26496.366900000001</v>
      </c>
      <c r="S246">
        <f ca="1">IFERROR(IF(0=LEN(ReferenceData!$S$246),"",ReferenceData!$S$246),"")</f>
        <v>25487.30126</v>
      </c>
      <c r="T246">
        <f ca="1">IFERROR(IF(0=LEN(ReferenceData!$T$246),"",ReferenceData!$T$246),"")</f>
        <v>22592.918669999999</v>
      </c>
      <c r="U246">
        <f ca="1">IFERROR(IF(0=LEN(ReferenceData!$U$246),"",ReferenceData!$U$246),"")</f>
        <v>23407.416740000001</v>
      </c>
      <c r="V246">
        <f ca="1">IFERROR(IF(0=LEN(ReferenceData!$V$246),"",ReferenceData!$V$246),"")</f>
        <v>23216.051080000001</v>
      </c>
      <c r="W246">
        <f ca="1">IFERROR(IF(0=LEN(ReferenceData!$W$246),"",ReferenceData!$W$246),"")</f>
        <v>20819.202700000002</v>
      </c>
      <c r="X246">
        <f ca="1">IFERROR(IF(0=LEN(ReferenceData!$X$246),"",ReferenceData!$X$246),"")</f>
        <v>22850.165120000001</v>
      </c>
      <c r="Y246">
        <f ca="1">IFERROR(IF(0=LEN(ReferenceData!$Y$246),"",ReferenceData!$Y$246),"")</f>
        <v>24722.960770000002</v>
      </c>
      <c r="Z246">
        <f ca="1">IFERROR(IF(0=LEN(ReferenceData!$Z$246),"",ReferenceData!$Z$246),"")</f>
        <v>26720.860290000001</v>
      </c>
      <c r="AA246">
        <f ca="1">IFERROR(IF(0=LEN(ReferenceData!$AA$246),"",ReferenceData!$AA$246),"")</f>
        <v>25455.87372</v>
      </c>
      <c r="AB246">
        <f ca="1">IFERROR(IF(0=LEN(ReferenceData!$AB$246),"",ReferenceData!$AB$246),"")</f>
        <v>24120.15294</v>
      </c>
      <c r="AC246">
        <f ca="1">IFERROR(IF(0=LEN(ReferenceData!$AC$246),"",ReferenceData!$AC$246),"")</f>
        <v>21499.345239999999</v>
      </c>
      <c r="AD246">
        <f ca="1">IFERROR(IF(0=LEN(ReferenceData!$AD$246),"",ReferenceData!$AD$246),"")</f>
        <v>19324.41012</v>
      </c>
      <c r="AE246">
        <f ca="1">IFERROR(IF(0=LEN(ReferenceData!$AE$246),"",ReferenceData!$AE$246),"")</f>
        <v>20046.579020000001</v>
      </c>
      <c r="AF246">
        <f ca="1">IFERROR(IF(0=LEN(ReferenceData!$AF$246),"",ReferenceData!$AF$246),"")</f>
        <v>18255.119549999999</v>
      </c>
      <c r="AG246">
        <f ca="1">IFERROR(IF(0=LEN(ReferenceData!$AG$246),"",ReferenceData!$AG$246),"")</f>
        <v>14058.336880000001</v>
      </c>
      <c r="AH246">
        <f ca="1">IFERROR(IF(0=LEN(ReferenceData!$AH$246),"",ReferenceData!$AH$246),"")</f>
        <v>9237.9128180000007</v>
      </c>
      <c r="AI246">
        <f ca="1">IFERROR(IF(0=LEN(ReferenceData!$AI$246),"",ReferenceData!$AI$246),"")</f>
        <v>8633.6233360000006</v>
      </c>
      <c r="AJ246">
        <f ca="1">IFERROR(IF(0=LEN(ReferenceData!$AJ$246),"",ReferenceData!$AJ$246),"")</f>
        <v>7783.9625530000003</v>
      </c>
      <c r="AK246">
        <f ca="1">IFERROR(IF(0=LEN(ReferenceData!$AK$246),"",ReferenceData!$AK$246),"")</f>
        <v>11042.93831</v>
      </c>
      <c r="AL246">
        <f ca="1">IFERROR(IF(0=LEN(ReferenceData!$AL$246),"",ReferenceData!$AL$246),"")</f>
        <v>16319.5434</v>
      </c>
      <c r="AM246">
        <f ca="1">IFERROR(IF(0=LEN(ReferenceData!$AM$246),"",ReferenceData!$AM$246),"")</f>
        <v>15617.43965</v>
      </c>
      <c r="AN246">
        <f ca="1">IFERROR(IF(0=LEN(ReferenceData!$AN$246),"",ReferenceData!$AN$246),"")</f>
        <v>18531.423480000001</v>
      </c>
      <c r="AO246">
        <f ca="1">IFERROR(IF(0=LEN(ReferenceData!$AO$246),"",ReferenceData!$AO$246),"")</f>
        <v>24426.616399999999</v>
      </c>
      <c r="AP246">
        <f ca="1">IFERROR(IF(0=LEN(ReferenceData!$AP$246),"",ReferenceData!$AP$246),"")</f>
        <v>21069.524450000001</v>
      </c>
      <c r="AQ246">
        <f ca="1">IFERROR(IF(0=LEN(ReferenceData!$AQ$246),"",ReferenceData!$AQ$246),"")</f>
        <v>17027.067849999999</v>
      </c>
      <c r="AR246">
        <f ca="1">IFERROR(IF(0=LEN(ReferenceData!$AR$246),"",ReferenceData!$AR$246),"")</f>
        <v>5674.2254359999997</v>
      </c>
      <c r="AS246">
        <f ca="1">IFERROR(IF(0=LEN(ReferenceData!$AS$246),"",ReferenceData!$AS$246),"")</f>
        <v>-1269.758208</v>
      </c>
      <c r="AT246">
        <f ca="1">IFERROR(IF(0=LEN(ReferenceData!$AT$246),"",ReferenceData!$AT$246),"")</f>
        <v>1122.309606</v>
      </c>
      <c r="AU246" t="str">
        <f ca="1">IFERROR(IF(0=LEN(ReferenceData!$AU$246),"",ReferenceData!$AU$246),"")</f>
        <v/>
      </c>
      <c r="AV246" t="str">
        <f ca="1">IFERROR(IF(0=LEN(ReferenceData!$AV$246),"",ReferenceData!$AV$246),"")</f>
        <v/>
      </c>
      <c r="AW246" t="str">
        <f ca="1">IFERROR(IF(0=LEN(ReferenceData!$AW$246),"",ReferenceData!$AW$246),"")</f>
        <v/>
      </c>
      <c r="AX246" t="str">
        <f ca="1">IFERROR(IF(0=LEN(ReferenceData!$AX$246),"",ReferenceData!$AX$246),"")</f>
        <v/>
      </c>
      <c r="AY246" t="str">
        <f ca="1">IFERROR(IF(0=LEN(ReferenceData!$AY$246),"",ReferenceData!$AY$246),"")</f>
        <v/>
      </c>
      <c r="AZ246" t="str">
        <f ca="1">IFERROR(IF(0=LEN(ReferenceData!$AZ$246),"",ReferenceData!$AZ$246),"")</f>
        <v/>
      </c>
      <c r="BA246" t="str">
        <f ca="1">IFERROR(IF(0=LEN(ReferenceData!$BA$246),"",ReferenceData!$BA$246),"")</f>
        <v/>
      </c>
      <c r="BB246" t="str">
        <f ca="1">IFERROR(IF(0=LEN(ReferenceData!$BB$246),"",ReferenceData!$BB$246),"")</f>
        <v/>
      </c>
      <c r="BC246" t="str">
        <f ca="1">IFERROR(IF(0=LEN(ReferenceData!$BC$246),"",ReferenceData!$BC$246),"")</f>
        <v/>
      </c>
      <c r="BD246" t="str">
        <f ca="1">IFERROR(IF(0=LEN(ReferenceData!$BD$246),"",ReferenceData!$BD$246),"")</f>
        <v/>
      </c>
      <c r="BE246" t="str">
        <f ca="1">IFERROR(IF(0=LEN(ReferenceData!$BE$246),"",ReferenceData!$BE$246),"")</f>
        <v/>
      </c>
      <c r="BF246" t="str">
        <f ca="1">IFERROR(IF(0=LEN(ReferenceData!$BF$246),"",ReferenceData!$BF$246),"")</f>
        <v/>
      </c>
      <c r="BG246" t="str">
        <f ca="1">IFERROR(IF(0=LEN(ReferenceData!$BG$246),"",ReferenceData!$BG$246),"")</f>
        <v/>
      </c>
      <c r="BH246" t="str">
        <f ca="1">IFERROR(IF(0=LEN(ReferenceData!$BH$246),"",ReferenceData!$BH$246),"")</f>
        <v/>
      </c>
      <c r="BI246" t="str">
        <f ca="1">IFERROR(IF(0=LEN(ReferenceData!$BI$246),"",ReferenceData!$BI$246),"")</f>
        <v/>
      </c>
      <c r="BJ246" t="str">
        <f ca="1">IFERROR(IF(0=LEN(ReferenceData!$BJ$246),"",ReferenceData!$BJ$246),"")</f>
        <v/>
      </c>
      <c r="BK246" t="str">
        <f ca="1">IFERROR(IF(0=LEN(ReferenceData!$BK$246),"",ReferenceData!$BK$246),"")</f>
        <v/>
      </c>
      <c r="BL246" t="str">
        <f ca="1">IFERROR(IF(0=LEN(ReferenceData!$BL$246),"",ReferenceData!$BL$246),"")</f>
        <v/>
      </c>
      <c r="BM246" t="str">
        <f ca="1">IFERROR(IF(0=LEN(ReferenceData!$BM$246),"",ReferenceData!$BM$246),"")</f>
        <v/>
      </c>
    </row>
    <row r="247" spans="1:65" x14ac:dyDescent="0.25">
      <c r="A247" t="str">
        <f>IFERROR(IF(0=LEN(ReferenceData!$A$247),"",ReferenceData!$A$247),"")</f>
        <v xml:space="preserve">    Volkswagen AG</v>
      </c>
      <c r="B247" t="str">
        <f>IFERROR(IF(0=LEN(ReferenceData!$B$247),"",ReferenceData!$B$247),"")</f>
        <v>VOW GR Equity</v>
      </c>
      <c r="C247" t="str">
        <f>IFERROR(IF(0=LEN(ReferenceData!$C$247),"",ReferenceData!$C$247),"")</f>
        <v>RR843</v>
      </c>
      <c r="D247" t="str">
        <f>IFERROR(IF(0=LEN(ReferenceData!$D$247),"",ReferenceData!$D$247),"")</f>
        <v>TRAIL_12M_FREE_CASH_FLOW</v>
      </c>
      <c r="E247" t="str">
        <f>IFERROR(IF(0=LEN(ReferenceData!$E$247),"",ReferenceData!$E$247),"")</f>
        <v>Dynamic</v>
      </c>
      <c r="F247" t="str">
        <f ca="1">IFERROR(IF(0=LEN(ReferenceData!$F$247),"",ReferenceData!$F$247),"")</f>
        <v/>
      </c>
      <c r="G247" t="str">
        <f ca="1">IFERROR(IF(0=LEN(ReferenceData!$G$247),"",ReferenceData!$G$247),"")</f>
        <v/>
      </c>
      <c r="H247">
        <f ca="1">IFERROR(IF(0=LEN(ReferenceData!$H$247),"",ReferenceData!$H$247),"")</f>
        <v>-6921.2228560000003</v>
      </c>
      <c r="I247">
        <f ca="1">IFERROR(IF(0=LEN(ReferenceData!$I$247),"",ReferenceData!$I$247),"")</f>
        <v>-7843.3824679999998</v>
      </c>
      <c r="J247">
        <f ca="1">IFERROR(IF(0=LEN(ReferenceData!$J$247),"",ReferenceData!$J$247),"")</f>
        <v>-12366.92009</v>
      </c>
      <c r="K247">
        <f ca="1">IFERROR(IF(0=LEN(ReferenceData!$K$247),"",ReferenceData!$K$247),"")</f>
        <v>-16304.137640000001</v>
      </c>
      <c r="L247">
        <f ca="1">IFERROR(IF(0=LEN(ReferenceData!$L$247),"",ReferenceData!$L$247),"")</f>
        <v>-19030.947240000001</v>
      </c>
      <c r="M247">
        <f ca="1">IFERROR(IF(0=LEN(ReferenceData!$M$247),"",ReferenceData!$M$247),"")</f>
        <v>-15584.370929999999</v>
      </c>
      <c r="N247">
        <f ca="1">IFERROR(IF(0=LEN(ReferenceData!$N$247),"",ReferenceData!$N$247),"")</f>
        <v>-6536.6187250000003</v>
      </c>
      <c r="O247">
        <f ca="1">IFERROR(IF(0=LEN(ReferenceData!$O$247),"",ReferenceData!$O$247),"")</f>
        <v>-4119.6163399999996</v>
      </c>
      <c r="P247">
        <f ca="1">IFERROR(IF(0=LEN(ReferenceData!$P$247),"",ReferenceData!$P$247),"")</f>
        <v>-2132.1005919999998</v>
      </c>
      <c r="Q247">
        <f ca="1">IFERROR(IF(0=LEN(ReferenceData!$Q$247),"",ReferenceData!$Q$247),"")</f>
        <v>-1896.961984</v>
      </c>
      <c r="R247">
        <f ca="1">IFERROR(IF(0=LEN(ReferenceData!$R$247),"",ReferenceData!$R$247),"")</f>
        <v>-1733.8271030000001</v>
      </c>
      <c r="S247">
        <f ca="1">IFERROR(IF(0=LEN(ReferenceData!$S$247),"",ReferenceData!$S$247),"")</f>
        <v>517.26029459999995</v>
      </c>
      <c r="T247">
        <f ca="1">IFERROR(IF(0=LEN(ReferenceData!$T$247),"",ReferenceData!$T$247),"")</f>
        <v>2016.2036430000001</v>
      </c>
      <c r="U247">
        <f ca="1">IFERROR(IF(0=LEN(ReferenceData!$U$247),"",ReferenceData!$U$247),"")</f>
        <v>2201.0845250000002</v>
      </c>
      <c r="V247">
        <f ca="1">IFERROR(IF(0=LEN(ReferenceData!$V$247),"",ReferenceData!$V$247),"")</f>
        <v>216.94339880000001</v>
      </c>
      <c r="W247">
        <f ca="1">IFERROR(IF(0=LEN(ReferenceData!$W$247),"",ReferenceData!$W$247),"")</f>
        <v>-1630.0520819999999</v>
      </c>
      <c r="X247">
        <f ca="1">IFERROR(IF(0=LEN(ReferenceData!$X$247),"",ReferenceData!$X$247),"")</f>
        <v>-1376.0084899999999</v>
      </c>
      <c r="Y247">
        <f ca="1">IFERROR(IF(0=LEN(ReferenceData!$Y$247),"",ReferenceData!$Y$247),"")</f>
        <v>-223.8805629</v>
      </c>
      <c r="Z247">
        <f ca="1">IFERROR(IF(0=LEN(ReferenceData!$Z$247),"",ReferenceData!$Z$247),"")</f>
        <v>269.46252529999998</v>
      </c>
      <c r="AA247">
        <f ca="1">IFERROR(IF(0=LEN(ReferenceData!$AA$247),"",ReferenceData!$AA$247),"")</f>
        <v>1605.928527</v>
      </c>
      <c r="AB247">
        <f ca="1">IFERROR(IF(0=LEN(ReferenceData!$AB$247),"",ReferenceData!$AB$247),"")</f>
        <v>1247.8302369999999</v>
      </c>
      <c r="AC247">
        <f ca="1">IFERROR(IF(0=LEN(ReferenceData!$AC$247),"",ReferenceData!$AC$247),"")</f>
        <v>-1593.7886699999999</v>
      </c>
      <c r="AD247">
        <f ca="1">IFERROR(IF(0=LEN(ReferenceData!$AD$247),"",ReferenceData!$AD$247),"")</f>
        <v>-2808.9188340000001</v>
      </c>
      <c r="AE247">
        <f ca="1">IFERROR(IF(0=LEN(ReferenceData!$AE$247),"",ReferenceData!$AE$247),"")</f>
        <v>-4224.0865370000001</v>
      </c>
      <c r="AF247">
        <f ca="1">IFERROR(IF(0=LEN(ReferenceData!$AF$247),"",ReferenceData!$AF$247),"")</f>
        <v>-2935.50639</v>
      </c>
      <c r="AG247">
        <f ca="1">IFERROR(IF(0=LEN(ReferenceData!$AG$247),"",ReferenceData!$AG$247),"")</f>
        <v>-2392.853799</v>
      </c>
      <c r="AH247">
        <f ca="1">IFERROR(IF(0=LEN(ReferenceData!$AH$247),"",ReferenceData!$AH$247),"")</f>
        <v>-1936.0612000000001</v>
      </c>
      <c r="AI247">
        <f ca="1">IFERROR(IF(0=LEN(ReferenceData!$AI$247),"",ReferenceData!$AI$247),"")</f>
        <v>575.06208160000006</v>
      </c>
      <c r="AJ247">
        <f ca="1">IFERROR(IF(0=LEN(ReferenceData!$AJ$247),"",ReferenceData!$AJ$247),"")</f>
        <v>1417.085425</v>
      </c>
      <c r="AK247">
        <f ca="1">IFERROR(IF(0=LEN(ReferenceData!$AK$247),"",ReferenceData!$AK$247),"")</f>
        <v>2854.3487660000001</v>
      </c>
      <c r="AL247">
        <f ca="1">IFERROR(IF(0=LEN(ReferenceData!$AL$247),"",ReferenceData!$AL$247),"")</f>
        <v>6625.5460080000003</v>
      </c>
      <c r="AM247">
        <f ca="1">IFERROR(IF(0=LEN(ReferenceData!$AM$247),"",ReferenceData!$AM$247),"")</f>
        <v>7557.7036090000001</v>
      </c>
      <c r="AN247">
        <f ca="1">IFERROR(IF(0=LEN(ReferenceData!$AN$247),"",ReferenceData!$AN$247),"")</f>
        <v>10504.115089999999</v>
      </c>
      <c r="AO247">
        <f ca="1">IFERROR(IF(0=LEN(ReferenceData!$AO$247),"",ReferenceData!$AO$247),"")</f>
        <v>9734.6501389999994</v>
      </c>
      <c r="AP247">
        <f ca="1">IFERROR(IF(0=LEN(ReferenceData!$AP$247),"",ReferenceData!$AP$247),"")</f>
        <v>10295.0497</v>
      </c>
      <c r="AQ247">
        <f ca="1">IFERROR(IF(0=LEN(ReferenceData!$AQ$247),"",ReferenceData!$AQ$247),"")</f>
        <v>9451.4918570000009</v>
      </c>
      <c r="AR247">
        <f ca="1">IFERROR(IF(0=LEN(ReferenceData!$AR$247),"",ReferenceData!$AR$247),"")</f>
        <v>1626.0476550000001</v>
      </c>
      <c r="AS247">
        <f ca="1">IFERROR(IF(0=LEN(ReferenceData!$AS$247),"",ReferenceData!$AS$247),"")</f>
        <v>1617.9280040000001</v>
      </c>
      <c r="AT247">
        <f ca="1">IFERROR(IF(0=LEN(ReferenceData!$AT$247),"",ReferenceData!$AT$247),"")</f>
        <v>-324.48933360000001</v>
      </c>
      <c r="AU247">
        <f ca="1">IFERROR(IF(0=LEN(ReferenceData!$AU$247),"",ReferenceData!$AU$247),"")</f>
        <v>-1993.0551479999999</v>
      </c>
      <c r="AV247">
        <f ca="1">IFERROR(IF(0=LEN(ReferenceData!$AV$247),"",ReferenceData!$AV$247),"")</f>
        <v>5910.2518570000002</v>
      </c>
      <c r="AW247">
        <f ca="1">IFERROR(IF(0=LEN(ReferenceData!$AW$247),"",ReferenceData!$AW$247),"")</f>
        <v>6759.481264</v>
      </c>
      <c r="AX247">
        <f ca="1">IFERROR(IF(0=LEN(ReferenceData!$AX$247),"",ReferenceData!$AX$247),"")</f>
        <v>9604.8404050000008</v>
      </c>
      <c r="AY247">
        <f ca="1">IFERROR(IF(0=LEN(ReferenceData!$AY$247),"",ReferenceData!$AY$247),"")</f>
        <v>11606.550139999999</v>
      </c>
      <c r="AZ247">
        <f ca="1">IFERROR(IF(0=LEN(ReferenceData!$AZ$247),"",ReferenceData!$AZ$247),"")</f>
        <v>11614.660749999999</v>
      </c>
      <c r="BA247">
        <f ca="1">IFERROR(IF(0=LEN(ReferenceData!$BA$247),"",ReferenceData!$BA$247),"")</f>
        <v>10796.72121</v>
      </c>
      <c r="BB247">
        <f ca="1">IFERROR(IF(0=LEN(ReferenceData!$BB$247),"",ReferenceData!$BB$247),"")</f>
        <v>9366.8773039999996</v>
      </c>
      <c r="BC247">
        <f ca="1">IFERROR(IF(0=LEN(ReferenceData!$BC$247),"",ReferenceData!$BC$247),"")</f>
        <v>9146.5074399999994</v>
      </c>
      <c r="BD247">
        <f ca="1">IFERROR(IF(0=LEN(ReferenceData!$BD$247),"",ReferenceData!$BD$247),"")</f>
        <v>9442.6185669999995</v>
      </c>
      <c r="BE247">
        <f ca="1">IFERROR(IF(0=LEN(ReferenceData!$BE$247),"",ReferenceData!$BE$247),"")</f>
        <v>8939.6952590000001</v>
      </c>
      <c r="BF247">
        <f ca="1">IFERROR(IF(0=LEN(ReferenceData!$BF$247),"",ReferenceData!$BF$247),"")</f>
        <v>7085.2372519999999</v>
      </c>
      <c r="BG247">
        <f ca="1">IFERROR(IF(0=LEN(ReferenceData!$BG$247),"",ReferenceData!$BG$247),"")</f>
        <v>4640.9309160000003</v>
      </c>
      <c r="BH247">
        <f ca="1">IFERROR(IF(0=LEN(ReferenceData!$BH$247),"",ReferenceData!$BH$247),"")</f>
        <v>2989.798902</v>
      </c>
      <c r="BI247">
        <f ca="1">IFERROR(IF(0=LEN(ReferenceData!$BI$247),"",ReferenceData!$BI$247),"")</f>
        <v>2519.5018279999999</v>
      </c>
      <c r="BJ247">
        <f ca="1">IFERROR(IF(0=LEN(ReferenceData!$BJ$247),"",ReferenceData!$BJ$247),"")</f>
        <v>2912.2597500000002</v>
      </c>
      <c r="BK247">
        <f ca="1">IFERROR(IF(0=LEN(ReferenceData!$BK$247),"",ReferenceData!$BK$247),"")</f>
        <v>3065.75065</v>
      </c>
      <c r="BL247" t="str">
        <f ca="1">IFERROR(IF(0=LEN(ReferenceData!$BL$247),"",ReferenceData!$BL$247),"")</f>
        <v/>
      </c>
      <c r="BM247" t="str">
        <f ca="1">IFERROR(IF(0=LEN(ReferenceData!$BM$247),"",ReferenceData!$BM$247),"")</f>
        <v/>
      </c>
    </row>
    <row r="248" spans="1:65" x14ac:dyDescent="0.25">
      <c r="A248" t="str">
        <f>IFERROR(IF(0=LEN(ReferenceData!$A$248),"",ReferenceData!$A$248),"")</f>
        <v xml:space="preserve">    Yulon Motor Co Ltd</v>
      </c>
      <c r="B248" t="str">
        <f>IFERROR(IF(0=LEN(ReferenceData!$B$248),"",ReferenceData!$B$248),"")</f>
        <v>2201 TT Equity</v>
      </c>
      <c r="C248" t="str">
        <f>IFERROR(IF(0=LEN(ReferenceData!$C$248),"",ReferenceData!$C$248),"")</f>
        <v>RR843</v>
      </c>
      <c r="D248" t="str">
        <f>IFERROR(IF(0=LEN(ReferenceData!$D$248),"",ReferenceData!$D$248),"")</f>
        <v>TRAIL_12M_FREE_CASH_FLOW</v>
      </c>
      <c r="E248" t="str">
        <f>IFERROR(IF(0=LEN(ReferenceData!$E$248),"",ReferenceData!$E$248),"")</f>
        <v>Dynamic</v>
      </c>
      <c r="F248" t="str">
        <f ca="1">IFERROR(IF(0=LEN(ReferenceData!$F$248),"",ReferenceData!$F$248),"")</f>
        <v/>
      </c>
      <c r="G248" t="str">
        <f ca="1">IFERROR(IF(0=LEN(ReferenceData!$G$248),"",ReferenceData!$G$248),"")</f>
        <v/>
      </c>
      <c r="H248">
        <f ca="1">IFERROR(IF(0=LEN(ReferenceData!$H$248),"",ReferenceData!$H$248),"")</f>
        <v>-1135.5703759999999</v>
      </c>
      <c r="I248">
        <f ca="1">IFERROR(IF(0=LEN(ReferenceData!$I$248),"",ReferenceData!$I$248),"")</f>
        <v>-941.45506790000002</v>
      </c>
      <c r="J248">
        <f ca="1">IFERROR(IF(0=LEN(ReferenceData!$J$248),"",ReferenceData!$J$248),"")</f>
        <v>-834.45150899999999</v>
      </c>
      <c r="K248">
        <f ca="1">IFERROR(IF(0=LEN(ReferenceData!$K$248),"",ReferenceData!$K$248),"")</f>
        <v>-691.96435069999995</v>
      </c>
      <c r="L248">
        <f ca="1">IFERROR(IF(0=LEN(ReferenceData!$L$248),"",ReferenceData!$L$248),"")</f>
        <v>-667.52889589999995</v>
      </c>
      <c r="M248">
        <f ca="1">IFERROR(IF(0=LEN(ReferenceData!$M$248),"",ReferenceData!$M$248),"")</f>
        <v>-500.85543610000002</v>
      </c>
      <c r="N248">
        <f ca="1">IFERROR(IF(0=LEN(ReferenceData!$N$248),"",ReferenceData!$N$248),"")</f>
        <v>-432.35873729999997</v>
      </c>
      <c r="O248">
        <f ca="1">IFERROR(IF(0=LEN(ReferenceData!$O$248),"",ReferenceData!$O$248),"")</f>
        <v>-292.26606709999999</v>
      </c>
      <c r="P248" t="str">
        <f ca="1">IFERROR(IF(0=LEN(ReferenceData!$P$248),"",ReferenceData!$P$248),"")</f>
        <v/>
      </c>
      <c r="Q248" t="str">
        <f ca="1">IFERROR(IF(0=LEN(ReferenceData!$Q$248),"",ReferenceData!$Q$248),"")</f>
        <v/>
      </c>
      <c r="R248" t="str">
        <f ca="1">IFERROR(IF(0=LEN(ReferenceData!$R$248),"",ReferenceData!$R$248),"")</f>
        <v/>
      </c>
      <c r="S248" t="str">
        <f ca="1">IFERROR(IF(0=LEN(ReferenceData!$S$248),"",ReferenceData!$S$248),"")</f>
        <v/>
      </c>
      <c r="T248">
        <f ca="1">IFERROR(IF(0=LEN(ReferenceData!$T$248),"",ReferenceData!$T$248),"")</f>
        <v>-436.99370499999998</v>
      </c>
      <c r="U248">
        <f ca="1">IFERROR(IF(0=LEN(ReferenceData!$U$248),"",ReferenceData!$U$248),"")</f>
        <v>-463.63717969999999</v>
      </c>
      <c r="V248">
        <f ca="1">IFERROR(IF(0=LEN(ReferenceData!$V$248),"",ReferenceData!$V$248),"")</f>
        <v>-505.88809029999999</v>
      </c>
      <c r="W248">
        <f ca="1">IFERROR(IF(0=LEN(ReferenceData!$W$248),"",ReferenceData!$W$248),"")</f>
        <v>-486.67080019999997</v>
      </c>
      <c r="X248">
        <f ca="1">IFERROR(IF(0=LEN(ReferenceData!$X$248),"",ReferenceData!$X$248),"")</f>
        <v>-529.16109489999997</v>
      </c>
      <c r="Y248">
        <f ca="1">IFERROR(IF(0=LEN(ReferenceData!$Y$248),"",ReferenceData!$Y$248),"")</f>
        <v>-407.54029359999998</v>
      </c>
      <c r="Z248">
        <f ca="1">IFERROR(IF(0=LEN(ReferenceData!$Z$248),"",ReferenceData!$Z$248),"")</f>
        <v>-282.89573380000002</v>
      </c>
      <c r="AA248">
        <f ca="1">IFERROR(IF(0=LEN(ReferenceData!$AA$248),"",ReferenceData!$AA$248),"")</f>
        <v>-219.1531253</v>
      </c>
      <c r="AB248">
        <f ca="1">IFERROR(IF(0=LEN(ReferenceData!$AB$248),"",ReferenceData!$AB$248),"")</f>
        <v>-49.765127819999996</v>
      </c>
      <c r="AC248">
        <f ca="1">IFERROR(IF(0=LEN(ReferenceData!$AC$248),"",ReferenceData!$AC$248),"")</f>
        <v>-49.755229290000003</v>
      </c>
      <c r="AD248">
        <f ca="1">IFERROR(IF(0=LEN(ReferenceData!$AD$248),"",ReferenceData!$AD$248),"")</f>
        <v>-252.53330750000001</v>
      </c>
      <c r="AE248">
        <f ca="1">IFERROR(IF(0=LEN(ReferenceData!$AE$248),"",ReferenceData!$AE$248),"")</f>
        <v>-317.92943159999999</v>
      </c>
      <c r="AF248">
        <f ca="1">IFERROR(IF(0=LEN(ReferenceData!$AF$248),"",ReferenceData!$AF$248),"")</f>
        <v>-312.7290615</v>
      </c>
      <c r="AG248">
        <f ca="1">IFERROR(IF(0=LEN(ReferenceData!$AG$248),"",ReferenceData!$AG$248),"")</f>
        <v>-461.5516609</v>
      </c>
      <c r="AH248">
        <f ca="1">IFERROR(IF(0=LEN(ReferenceData!$AH$248),"",ReferenceData!$AH$248),"")</f>
        <v>-327.81329369999997</v>
      </c>
      <c r="AI248">
        <f ca="1">IFERROR(IF(0=LEN(ReferenceData!$AI$248),"",ReferenceData!$AI$248),"")</f>
        <v>-404.75347629999999</v>
      </c>
      <c r="AJ248">
        <f ca="1">IFERROR(IF(0=LEN(ReferenceData!$AJ$248),"",ReferenceData!$AJ$248),"")</f>
        <v>-461.50012650000002</v>
      </c>
      <c r="AK248">
        <f ca="1">IFERROR(IF(0=LEN(ReferenceData!$AK$248),"",ReferenceData!$AK$248),"")</f>
        <v>-336.5135214</v>
      </c>
      <c r="AL248">
        <f ca="1">IFERROR(IF(0=LEN(ReferenceData!$AL$248),"",ReferenceData!$AL$248),"")</f>
        <v>-261.44851010000002</v>
      </c>
      <c r="AM248">
        <f ca="1">IFERROR(IF(0=LEN(ReferenceData!$AM$248),"",ReferenceData!$AM$248),"")</f>
        <v>-274.40328920000002</v>
      </c>
      <c r="AN248">
        <f ca="1">IFERROR(IF(0=LEN(ReferenceData!$AN$248),"",ReferenceData!$AN$248),"")</f>
        <v>8.0384845770000002</v>
      </c>
      <c r="AO248">
        <f ca="1">IFERROR(IF(0=LEN(ReferenceData!$AO$248),"",ReferenceData!$AO$248),"")</f>
        <v>-235.08933479999999</v>
      </c>
      <c r="AP248">
        <f ca="1">IFERROR(IF(0=LEN(ReferenceData!$AP$248),"",ReferenceData!$AP$248),"")</f>
        <v>-188.77652209999999</v>
      </c>
      <c r="AQ248">
        <f ca="1">IFERROR(IF(0=LEN(ReferenceData!$AQ$248),"",ReferenceData!$AQ$248),"")</f>
        <v>-135.8664574</v>
      </c>
      <c r="AR248">
        <f ca="1">IFERROR(IF(0=LEN(ReferenceData!$AR$248),"",ReferenceData!$AR$248),"")</f>
        <v>-366.14585039999997</v>
      </c>
      <c r="AS248">
        <f ca="1">IFERROR(IF(0=LEN(ReferenceData!$AS$248),"",ReferenceData!$AS$248),"")</f>
        <v>-139.2335214</v>
      </c>
      <c r="AT248">
        <f ca="1">IFERROR(IF(0=LEN(ReferenceData!$AT$248),"",ReferenceData!$AT$248),"")</f>
        <v>-160.95587420000001</v>
      </c>
      <c r="AU248">
        <f ca="1">IFERROR(IF(0=LEN(ReferenceData!$AU$248),"",ReferenceData!$AU$248),"")</f>
        <v>-48.230290369999999</v>
      </c>
      <c r="AV248" t="str">
        <f ca="1">IFERROR(IF(0=LEN(ReferenceData!$AV$248),"",ReferenceData!$AV$248),"")</f>
        <v/>
      </c>
      <c r="AW248" t="str">
        <f ca="1">IFERROR(IF(0=LEN(ReferenceData!$AW$248),"",ReferenceData!$AW$248),"")</f>
        <v/>
      </c>
      <c r="AX248" t="str">
        <f ca="1">IFERROR(IF(0=LEN(ReferenceData!$AX$248),"",ReferenceData!$AX$248),"")</f>
        <v/>
      </c>
      <c r="AY248" t="str">
        <f ca="1">IFERROR(IF(0=LEN(ReferenceData!$AY$248),"",ReferenceData!$AY$248),"")</f>
        <v/>
      </c>
      <c r="AZ248" t="str">
        <f ca="1">IFERROR(IF(0=LEN(ReferenceData!$AZ$248),"",ReferenceData!$AZ$248),"")</f>
        <v/>
      </c>
      <c r="BA248" t="str">
        <f ca="1">IFERROR(IF(0=LEN(ReferenceData!$BA$248),"",ReferenceData!$BA$248),"")</f>
        <v/>
      </c>
      <c r="BB248" t="str">
        <f ca="1">IFERROR(IF(0=LEN(ReferenceData!$BB$248),"",ReferenceData!$BB$248),"")</f>
        <v/>
      </c>
      <c r="BC248" t="str">
        <f ca="1">IFERROR(IF(0=LEN(ReferenceData!$BC$248),"",ReferenceData!$BC$248),"")</f>
        <v/>
      </c>
      <c r="BD248" t="str">
        <f ca="1">IFERROR(IF(0=LEN(ReferenceData!$BD$248),"",ReferenceData!$BD$248),"")</f>
        <v/>
      </c>
      <c r="BE248" t="str">
        <f ca="1">IFERROR(IF(0=LEN(ReferenceData!$BE$248),"",ReferenceData!$BE$248),"")</f>
        <v/>
      </c>
      <c r="BF248" t="str">
        <f ca="1">IFERROR(IF(0=LEN(ReferenceData!$BF$248),"",ReferenceData!$BF$248),"")</f>
        <v/>
      </c>
      <c r="BG248" t="str">
        <f ca="1">IFERROR(IF(0=LEN(ReferenceData!$BG$248),"",ReferenceData!$BG$248),"")</f>
        <v/>
      </c>
      <c r="BH248" t="str">
        <f ca="1">IFERROR(IF(0=LEN(ReferenceData!$BH$248),"",ReferenceData!$BH$248),"")</f>
        <v/>
      </c>
      <c r="BI248" t="str">
        <f ca="1">IFERROR(IF(0=LEN(ReferenceData!$BI$248),"",ReferenceData!$BI$248),"")</f>
        <v/>
      </c>
      <c r="BJ248" t="str">
        <f ca="1">IFERROR(IF(0=LEN(ReferenceData!$BJ$248),"",ReferenceData!$BJ$248),"")</f>
        <v/>
      </c>
      <c r="BK248" t="str">
        <f ca="1">IFERROR(IF(0=LEN(ReferenceData!$BK$248),"",ReferenceData!$BK$248),"")</f>
        <v/>
      </c>
      <c r="BL248" t="str">
        <f ca="1">IFERROR(IF(0=LEN(ReferenceData!$BL$248),"",ReferenceData!$BL$248),"")</f>
        <v/>
      </c>
      <c r="BM248" t="str">
        <f ca="1">IFERROR(IF(0=LEN(ReferenceData!$BM$248),"",ReferenceData!$BM$248),"")</f>
        <v/>
      </c>
    </row>
    <row r="249" spans="1:65" x14ac:dyDescent="0.25">
      <c r="A249" t="str">
        <f>IFERROR(IF(0=LEN(ReferenceData!$A$249),"",ReferenceData!$A$249),"")</f>
        <v>Book Value</v>
      </c>
      <c r="B249" t="str">
        <f>IFERROR(IF(0=LEN(ReferenceData!$B$249),"",ReferenceData!$B$249),"")</f>
        <v/>
      </c>
      <c r="C249" t="str">
        <f>IFERROR(IF(0=LEN(ReferenceData!$C$249),"",ReferenceData!$C$249),"")</f>
        <v/>
      </c>
      <c r="D249" t="str">
        <f>IFERROR(IF(0=LEN(ReferenceData!$D$249),"",ReferenceData!$D$249),"")</f>
        <v/>
      </c>
      <c r="E249" t="str">
        <f>IFERROR(IF(0=LEN(ReferenceData!$E$249),"",ReferenceData!$E$249),"")</f>
        <v>Average</v>
      </c>
      <c r="F249" t="str">
        <f ca="1">IFERROR(IF(0=LEN(ReferenceData!$F$249),"",ReferenceData!$F$249),"")</f>
        <v/>
      </c>
      <c r="G249">
        <f ca="1">IFERROR(IF(0=LEN(ReferenceData!$G$249),"",ReferenceData!$G$249),"")</f>
        <v>37650.968092928575</v>
      </c>
      <c r="H249">
        <f ca="1">IFERROR(IF(0=LEN(ReferenceData!$H$249),"",ReferenceData!$H$249),"")</f>
        <v>28195.387229632259</v>
      </c>
      <c r="I249">
        <f ca="1">IFERROR(IF(0=LEN(ReferenceData!$I$249),"",ReferenceData!$I$249),"")</f>
        <v>28461.483742307671</v>
      </c>
      <c r="J249">
        <f ca="1">IFERROR(IF(0=LEN(ReferenceData!$J$249),"",ReferenceData!$J$249),"")</f>
        <v>29248.086054303876</v>
      </c>
      <c r="K249">
        <f ca="1">IFERROR(IF(0=LEN(ReferenceData!$K$249),"",ReferenceData!$K$249),"")</f>
        <v>28478.519184106946</v>
      </c>
      <c r="L249">
        <f ca="1">IFERROR(IF(0=LEN(ReferenceData!$L$249),"",ReferenceData!$L$249),"")</f>
        <v>26815.481800589034</v>
      </c>
      <c r="M249">
        <f ca="1">IFERROR(IF(0=LEN(ReferenceData!$M$249),"",ReferenceData!$M$249),"")</f>
        <v>26480.122099133328</v>
      </c>
      <c r="N249">
        <f ca="1">IFERROR(IF(0=LEN(ReferenceData!$N$249),"",ReferenceData!$N$249),"")</f>
        <v>25305.179701822581</v>
      </c>
      <c r="O249">
        <f ca="1">IFERROR(IF(0=LEN(ReferenceData!$O$249),"",ReferenceData!$O$249),"")</f>
        <v>24054.492076119997</v>
      </c>
      <c r="P249">
        <f ca="1">IFERROR(IF(0=LEN(ReferenceData!$P$249),"",ReferenceData!$P$249),"")</f>
        <v>24427.405203967737</v>
      </c>
      <c r="Q249">
        <f ca="1">IFERROR(IF(0=LEN(ReferenceData!$Q$249),"",ReferenceData!$Q$249),"")</f>
        <v>24073.919872263334</v>
      </c>
      <c r="R249">
        <f ca="1">IFERROR(IF(0=LEN(ReferenceData!$R$249),"",ReferenceData!$R$249),"")</f>
        <v>22906.451404446874</v>
      </c>
      <c r="S249">
        <f ca="1">IFERROR(IF(0=LEN(ReferenceData!$S$249),"",ReferenceData!$S$249),"")</f>
        <v>22349.805538080644</v>
      </c>
      <c r="T249">
        <f ca="1">IFERROR(IF(0=LEN(ReferenceData!$T$249),"",ReferenceData!$T$249),"")</f>
        <v>21772.725488890625</v>
      </c>
      <c r="U249">
        <f ca="1">IFERROR(IF(0=LEN(ReferenceData!$U$249),"",ReferenceData!$U$249),"")</f>
        <v>22805.177908766665</v>
      </c>
      <c r="V249">
        <f ca="1">IFERROR(IF(0=LEN(ReferenceData!$V$249),"",ReferenceData!$V$249),"")</f>
        <v>21460.076718658063</v>
      </c>
      <c r="W249">
        <f ca="1">IFERROR(IF(0=LEN(ReferenceData!$W$249),"",ReferenceData!$W$249),"")</f>
        <v>22613.542678783331</v>
      </c>
      <c r="X249">
        <f ca="1">IFERROR(IF(0=LEN(ReferenceData!$X$249),"",ReferenceData!$X$249),"")</f>
        <v>22765.181104229032</v>
      </c>
      <c r="Y249">
        <f ca="1">IFERROR(IF(0=LEN(ReferenceData!$Y$249),"",ReferenceData!$Y$249),"")</f>
        <v>24142.638376572409</v>
      </c>
      <c r="Z249">
        <f ca="1">IFERROR(IF(0=LEN(ReferenceData!$Z$249),"",ReferenceData!$Z$249),"")</f>
        <v>23137.304035773333</v>
      </c>
      <c r="AA249">
        <f ca="1">IFERROR(IF(0=LEN(ReferenceData!$AA$249),"",ReferenceData!$AA$249),"")</f>
        <v>23118.185075962065</v>
      </c>
      <c r="AB249">
        <f ca="1">IFERROR(IF(0=LEN(ReferenceData!$AB$249),"",ReferenceData!$AB$249),"")</f>
        <v>21611.776105752004</v>
      </c>
      <c r="AC249">
        <f ca="1">IFERROR(IF(0=LEN(ReferenceData!$AC$249),"",ReferenceData!$AC$249),"")</f>
        <v>20753.505776655169</v>
      </c>
      <c r="AD249">
        <f ca="1">IFERROR(IF(0=LEN(ReferenceData!$AD$249),"",ReferenceData!$AD$249),"")</f>
        <v>19883.178008666666</v>
      </c>
      <c r="AE249">
        <f ca="1">IFERROR(IF(0=LEN(ReferenceData!$AE$249),"",ReferenceData!$AE$249),"")</f>
        <v>20209.639730172414</v>
      </c>
      <c r="AF249">
        <f ca="1">IFERROR(IF(0=LEN(ReferenceData!$AF$249),"",ReferenceData!$AF$249),"")</f>
        <v>20726.712982334477</v>
      </c>
      <c r="AG249">
        <f ca="1">IFERROR(IF(0=LEN(ReferenceData!$AG$249),"",ReferenceData!$AG$249),"")</f>
        <v>19773.450383532148</v>
      </c>
      <c r="AH249">
        <f ca="1">IFERROR(IF(0=LEN(ReferenceData!$AH$249),"",ReferenceData!$AH$249),"")</f>
        <v>19234.470195724138</v>
      </c>
      <c r="AI249">
        <f ca="1">IFERROR(IF(0=LEN(ReferenceData!$AI$249),"",ReferenceData!$AI$249),"")</f>
        <v>19612.585638359258</v>
      </c>
      <c r="AJ249">
        <f ca="1">IFERROR(IF(0=LEN(ReferenceData!$AJ$249),"",ReferenceData!$AJ$249),"")</f>
        <v>18286.32291714138</v>
      </c>
      <c r="AK249">
        <f ca="1">IFERROR(IF(0=LEN(ReferenceData!$AK$249),"",ReferenceData!$AK$249),"")</f>
        <v>19904.120509280772</v>
      </c>
      <c r="AL249">
        <f ca="1">IFERROR(IF(0=LEN(ReferenceData!$AL$249),"",ReferenceData!$AL$249),"")</f>
        <v>17713.454407250003</v>
      </c>
      <c r="AM249">
        <f ca="1">IFERROR(IF(0=LEN(ReferenceData!$AM$249),"",ReferenceData!$AM$249),"")</f>
        <v>17498.972883755556</v>
      </c>
      <c r="AN249">
        <f ca="1">IFERROR(IF(0=LEN(ReferenceData!$AN$249),"",ReferenceData!$AN$249),"")</f>
        <v>15939.342834407693</v>
      </c>
      <c r="AO249">
        <f ca="1">IFERROR(IF(0=LEN(ReferenceData!$AO$249),"",ReferenceData!$AO$249),"")</f>
        <v>14848.031069815999</v>
      </c>
      <c r="AP249">
        <f ca="1">IFERROR(IF(0=LEN(ReferenceData!$AP$249),"",ReferenceData!$AP$249),"")</f>
        <v>14160.950885038463</v>
      </c>
      <c r="AQ249">
        <f ca="1">IFERROR(IF(0=LEN(ReferenceData!$AQ$249),"",ReferenceData!$AQ$249),"")</f>
        <v>14205.421449800004</v>
      </c>
      <c r="AR249">
        <f ca="1">IFERROR(IF(0=LEN(ReferenceData!$AR$249),"",ReferenceData!$AR$249),"")</f>
        <v>14817.356652045833</v>
      </c>
      <c r="AS249">
        <f ca="1">IFERROR(IF(0=LEN(ReferenceData!$AS$249),"",ReferenceData!$AS$249),"")</f>
        <v>14261.261610786361</v>
      </c>
      <c r="AT249">
        <f ca="1">IFERROR(IF(0=LEN(ReferenceData!$AT$249),"",ReferenceData!$AT$249),"")</f>
        <v>12881.422260643481</v>
      </c>
      <c r="AU249">
        <f ca="1">IFERROR(IF(0=LEN(ReferenceData!$AU$249),"",ReferenceData!$AU$249),"")</f>
        <v>15842.98537359048</v>
      </c>
      <c r="AV249">
        <f ca="1">IFERROR(IF(0=LEN(ReferenceData!$AV$249),"",ReferenceData!$AV$249),"")</f>
        <v>16411.589089185716</v>
      </c>
      <c r="AW249">
        <f ca="1">IFERROR(IF(0=LEN(ReferenceData!$AW$249),"",ReferenceData!$AW$249),"")</f>
        <v>17404.329903114285</v>
      </c>
      <c r="AX249">
        <f ca="1">IFERROR(IF(0=LEN(ReferenceData!$AX$249),"",ReferenceData!$AX$249),"")</f>
        <v>17491.106489022724</v>
      </c>
      <c r="AY249">
        <f ca="1">IFERROR(IF(0=LEN(ReferenceData!$AY$249),"",ReferenceData!$AY$249),"")</f>
        <v>18603.750050521056</v>
      </c>
      <c r="AZ249">
        <f ca="1">IFERROR(IF(0=LEN(ReferenceData!$AZ$249),"",ReferenceData!$AZ$249),"")</f>
        <v>17631.083265426318</v>
      </c>
      <c r="BA249">
        <f ca="1">IFERROR(IF(0=LEN(ReferenceData!$BA$249),"",ReferenceData!$BA$249),"")</f>
        <v>16369.004061489473</v>
      </c>
      <c r="BB249">
        <f ca="1">IFERROR(IF(0=LEN(ReferenceData!$BB$249),"",ReferenceData!$BB$249),"")</f>
        <v>16004.661061752631</v>
      </c>
      <c r="BC249">
        <f ca="1">IFERROR(IF(0=LEN(ReferenceData!$BC$249),"",ReferenceData!$BC$249),"")</f>
        <v>15213.017054694739</v>
      </c>
      <c r="BD249">
        <f ca="1">IFERROR(IF(0=LEN(ReferenceData!$BD$249),"",ReferenceData!$BD$249),"")</f>
        <v>15153.251012426317</v>
      </c>
      <c r="BE249">
        <f ca="1">IFERROR(IF(0=LEN(ReferenceData!$BE$249),"",ReferenceData!$BE$249),"")</f>
        <v>15312.898083347367</v>
      </c>
      <c r="BF249">
        <f ca="1">IFERROR(IF(0=LEN(ReferenceData!$BF$249),"",ReferenceData!$BF$249),"")</f>
        <v>14613.141381378948</v>
      </c>
      <c r="BG249">
        <f ca="1">IFERROR(IF(0=LEN(ReferenceData!$BG$249),"",ReferenceData!$BG$249),"")</f>
        <v>14053.977400336844</v>
      </c>
      <c r="BH249">
        <f ca="1">IFERROR(IF(0=LEN(ReferenceData!$BH$249),"",ReferenceData!$BH$249),"")</f>
        <v>14116.104985252632</v>
      </c>
      <c r="BI249">
        <f ca="1">IFERROR(IF(0=LEN(ReferenceData!$BI$249),"",ReferenceData!$BI$249),"")</f>
        <v>13959.685576026315</v>
      </c>
      <c r="BJ249">
        <f ca="1">IFERROR(IF(0=LEN(ReferenceData!$BJ$249),"",ReferenceData!$BJ$249),"")</f>
        <v>14339.853277547367</v>
      </c>
      <c r="BK249">
        <f ca="1">IFERROR(IF(0=LEN(ReferenceData!$BK$249),"",ReferenceData!$BK$249),"")</f>
        <v>14485.11815338421</v>
      </c>
      <c r="BL249">
        <f ca="1">IFERROR(IF(0=LEN(ReferenceData!$BL$249),"",ReferenceData!$BL$249),"")</f>
        <v>14131.492249594447</v>
      </c>
      <c r="BM249">
        <f ca="1">IFERROR(IF(0=LEN(ReferenceData!$BM$249),"",ReferenceData!$BM$249),"")</f>
        <v>13895.780974155556</v>
      </c>
    </row>
    <row r="250" spans="1:65" x14ac:dyDescent="0.25">
      <c r="A250" t="str">
        <f>IFERROR(IF(0=LEN(ReferenceData!$A$250),"",ReferenceData!$A$250),"")</f>
        <v xml:space="preserve">    AUDI AG</v>
      </c>
      <c r="B250" t="str">
        <f>IFERROR(IF(0=LEN(ReferenceData!$B$250),"",ReferenceData!$B$250),"")</f>
        <v>NSU GR Equity</v>
      </c>
      <c r="C250" t="str">
        <f>IFERROR(IF(0=LEN(ReferenceData!$C$250),"",ReferenceData!$C$250),"")</f>
        <v>RR010</v>
      </c>
      <c r="D250" t="str">
        <f>IFERROR(IF(0=LEN(ReferenceData!$D$250),"",ReferenceData!$D$250),"")</f>
        <v>TOT_COMMON_EQY</v>
      </c>
      <c r="E250" t="str">
        <f>IFERROR(IF(0=LEN(ReferenceData!$E$250),"",ReferenceData!$E$250),"")</f>
        <v>Dynamic</v>
      </c>
      <c r="F250" t="str">
        <f ca="1">IFERROR(IF(0=LEN(ReferenceData!$F$250),"",ReferenceData!$F$250),"")</f>
        <v/>
      </c>
      <c r="G250" t="str">
        <f ca="1">IFERROR(IF(0=LEN(ReferenceData!$G$250),"",ReferenceData!$G$250),"")</f>
        <v/>
      </c>
      <c r="H250" t="str">
        <f ca="1">IFERROR(IF(0=LEN(ReferenceData!$H$250),"",ReferenceData!$H$250),"")</f>
        <v/>
      </c>
      <c r="I250" t="str">
        <f ca="1">IFERROR(IF(0=LEN(ReferenceData!$I$250),"",ReferenceData!$I$250),"")</f>
        <v/>
      </c>
      <c r="J250" t="str">
        <f ca="1">IFERROR(IF(0=LEN(ReferenceData!$J$250),"",ReferenceData!$J$250),"")</f>
        <v/>
      </c>
      <c r="K250" t="str">
        <f ca="1">IFERROR(IF(0=LEN(ReferenceData!$K$250),"",ReferenceData!$K$250),"")</f>
        <v/>
      </c>
      <c r="L250" t="str">
        <f ca="1">IFERROR(IF(0=LEN(ReferenceData!$L$250),"",ReferenceData!$L$250),"")</f>
        <v/>
      </c>
      <c r="M250" t="str">
        <f ca="1">IFERROR(IF(0=LEN(ReferenceData!$M$250),"",ReferenceData!$M$250),"")</f>
        <v/>
      </c>
      <c r="N250" t="str">
        <f ca="1">IFERROR(IF(0=LEN(ReferenceData!$N$250),"",ReferenceData!$N$250),"")</f>
        <v/>
      </c>
      <c r="O250" t="str">
        <f ca="1">IFERROR(IF(0=LEN(ReferenceData!$O$250),"",ReferenceData!$O$250),"")</f>
        <v/>
      </c>
      <c r="P250" t="str">
        <f ca="1">IFERROR(IF(0=LEN(ReferenceData!$P$250),"",ReferenceData!$P$250),"")</f>
        <v/>
      </c>
      <c r="Q250" t="str">
        <f ca="1">IFERROR(IF(0=LEN(ReferenceData!$Q$250),"",ReferenceData!$Q$250),"")</f>
        <v/>
      </c>
      <c r="R250" t="str">
        <f ca="1">IFERROR(IF(0=LEN(ReferenceData!$R$250),"",ReferenceData!$R$250),"")</f>
        <v/>
      </c>
      <c r="S250" t="str">
        <f ca="1">IFERROR(IF(0=LEN(ReferenceData!$S$250),"",ReferenceData!$S$250),"")</f>
        <v/>
      </c>
      <c r="T250" t="str">
        <f ca="1">IFERROR(IF(0=LEN(ReferenceData!$T$250),"",ReferenceData!$T$250),"")</f>
        <v/>
      </c>
      <c r="U250" t="str">
        <f ca="1">IFERROR(IF(0=LEN(ReferenceData!$U$250),"",ReferenceData!$U$250),"")</f>
        <v/>
      </c>
      <c r="V250" t="str">
        <f ca="1">IFERROR(IF(0=LEN(ReferenceData!$V$250),"",ReferenceData!$V$250),"")</f>
        <v/>
      </c>
      <c r="W250" t="str">
        <f ca="1">IFERROR(IF(0=LEN(ReferenceData!$W$250),"",ReferenceData!$W$250),"")</f>
        <v/>
      </c>
      <c r="X250" t="str">
        <f ca="1">IFERROR(IF(0=LEN(ReferenceData!$X$250),"",ReferenceData!$X$250),"")</f>
        <v/>
      </c>
      <c r="Y250" t="str">
        <f ca="1">IFERROR(IF(0=LEN(ReferenceData!$Y$250),"",ReferenceData!$Y$250),"")</f>
        <v/>
      </c>
      <c r="Z250" t="str">
        <f ca="1">IFERROR(IF(0=LEN(ReferenceData!$Z$250),"",ReferenceData!$Z$250),"")</f>
        <v/>
      </c>
      <c r="AA250" t="str">
        <f ca="1">IFERROR(IF(0=LEN(ReferenceData!$AA$250),"",ReferenceData!$AA$250),"")</f>
        <v/>
      </c>
      <c r="AB250" t="str">
        <f ca="1">IFERROR(IF(0=LEN(ReferenceData!$AB$250),"",ReferenceData!$AB$250),"")</f>
        <v/>
      </c>
      <c r="AC250" t="str">
        <f ca="1">IFERROR(IF(0=LEN(ReferenceData!$AC$250),"",ReferenceData!$AC$250),"")</f>
        <v/>
      </c>
      <c r="AD250" t="str">
        <f ca="1">IFERROR(IF(0=LEN(ReferenceData!$AD$250),"",ReferenceData!$AD$250),"")</f>
        <v/>
      </c>
      <c r="AE250" t="str">
        <f ca="1">IFERROR(IF(0=LEN(ReferenceData!$AE$250),"",ReferenceData!$AE$250),"")</f>
        <v/>
      </c>
      <c r="AF250" t="str">
        <f ca="1">IFERROR(IF(0=LEN(ReferenceData!$AF$250),"",ReferenceData!$AF$250),"")</f>
        <v/>
      </c>
      <c r="AG250" t="str">
        <f ca="1">IFERROR(IF(0=LEN(ReferenceData!$AG$250),"",ReferenceData!$AG$250),"")</f>
        <v/>
      </c>
      <c r="AH250" t="str">
        <f ca="1">IFERROR(IF(0=LEN(ReferenceData!$AH$250),"",ReferenceData!$AH$250),"")</f>
        <v/>
      </c>
      <c r="AI250" t="str">
        <f ca="1">IFERROR(IF(0=LEN(ReferenceData!$AI$250),"",ReferenceData!$AI$250),"")</f>
        <v/>
      </c>
      <c r="AJ250" t="str">
        <f ca="1">IFERROR(IF(0=LEN(ReferenceData!$AJ$250),"",ReferenceData!$AJ$250),"")</f>
        <v/>
      </c>
      <c r="AK250" t="str">
        <f ca="1">IFERROR(IF(0=LEN(ReferenceData!$AK$250),"",ReferenceData!$AK$250),"")</f>
        <v/>
      </c>
      <c r="AL250" t="str">
        <f ca="1">IFERROR(IF(0=LEN(ReferenceData!$AL$250),"",ReferenceData!$AL$250),"")</f>
        <v/>
      </c>
      <c r="AM250" t="str">
        <f ca="1">IFERROR(IF(0=LEN(ReferenceData!$AM$250),"",ReferenceData!$AM$250),"")</f>
        <v/>
      </c>
      <c r="AN250" t="str">
        <f ca="1">IFERROR(IF(0=LEN(ReferenceData!$AN$250),"",ReferenceData!$AN$250),"")</f>
        <v/>
      </c>
      <c r="AO250" t="str">
        <f ca="1">IFERROR(IF(0=LEN(ReferenceData!$AO$250),"",ReferenceData!$AO$250),"")</f>
        <v/>
      </c>
      <c r="AP250" t="str">
        <f ca="1">IFERROR(IF(0=LEN(ReferenceData!$AP$250),"",ReferenceData!$AP$250),"")</f>
        <v/>
      </c>
      <c r="AQ250" t="str">
        <f ca="1">IFERROR(IF(0=LEN(ReferenceData!$AQ$250),"",ReferenceData!$AQ$250),"")</f>
        <v/>
      </c>
      <c r="AR250" t="str">
        <f ca="1">IFERROR(IF(0=LEN(ReferenceData!$AR$250),"",ReferenceData!$AR$250),"")</f>
        <v/>
      </c>
      <c r="AS250" t="str">
        <f ca="1">IFERROR(IF(0=LEN(ReferenceData!$AS$250),"",ReferenceData!$AS$250),"")</f>
        <v/>
      </c>
      <c r="AT250" t="str">
        <f ca="1">IFERROR(IF(0=LEN(ReferenceData!$AT$250),"",ReferenceData!$AT$250),"")</f>
        <v/>
      </c>
      <c r="AU250" t="str">
        <f ca="1">IFERROR(IF(0=LEN(ReferenceData!$AU$250),"",ReferenceData!$AU$250),"")</f>
        <v/>
      </c>
      <c r="AV250" t="str">
        <f ca="1">IFERROR(IF(0=LEN(ReferenceData!$AV$250),"",ReferenceData!$AV$250),"")</f>
        <v/>
      </c>
      <c r="AW250" t="str">
        <f ca="1">IFERROR(IF(0=LEN(ReferenceData!$AW$250),"",ReferenceData!$AW$250),"")</f>
        <v/>
      </c>
      <c r="AX250" t="str">
        <f ca="1">IFERROR(IF(0=LEN(ReferenceData!$AX$250),"",ReferenceData!$AX$250),"")</f>
        <v/>
      </c>
      <c r="AY250" t="str">
        <f ca="1">IFERROR(IF(0=LEN(ReferenceData!$AY$250),"",ReferenceData!$AY$250),"")</f>
        <v/>
      </c>
      <c r="AZ250" t="str">
        <f ca="1">IFERROR(IF(0=LEN(ReferenceData!$AZ$250),"",ReferenceData!$AZ$250),"")</f>
        <v/>
      </c>
      <c r="BA250" t="str">
        <f ca="1">IFERROR(IF(0=LEN(ReferenceData!$BA$250),"",ReferenceData!$BA$250),"")</f>
        <v/>
      </c>
      <c r="BB250" t="str">
        <f ca="1">IFERROR(IF(0=LEN(ReferenceData!$BB$250),"",ReferenceData!$BB$250),"")</f>
        <v/>
      </c>
      <c r="BC250" t="str">
        <f ca="1">IFERROR(IF(0=LEN(ReferenceData!$BC$250),"",ReferenceData!$BC$250),"")</f>
        <v/>
      </c>
      <c r="BD250" t="str">
        <f ca="1">IFERROR(IF(0=LEN(ReferenceData!$BD$250),"",ReferenceData!$BD$250),"")</f>
        <v/>
      </c>
      <c r="BE250" t="str">
        <f ca="1">IFERROR(IF(0=LEN(ReferenceData!$BE$250),"",ReferenceData!$BE$250),"")</f>
        <v/>
      </c>
      <c r="BF250" t="str">
        <f ca="1">IFERROR(IF(0=LEN(ReferenceData!$BF$250),"",ReferenceData!$BF$250),"")</f>
        <v/>
      </c>
      <c r="BG250" t="str">
        <f ca="1">IFERROR(IF(0=LEN(ReferenceData!$BG$250),"",ReferenceData!$BG$250),"")</f>
        <v/>
      </c>
      <c r="BH250" t="str">
        <f ca="1">IFERROR(IF(0=LEN(ReferenceData!$BH$250),"",ReferenceData!$BH$250),"")</f>
        <v/>
      </c>
      <c r="BI250" t="str">
        <f ca="1">IFERROR(IF(0=LEN(ReferenceData!$BI$250),"",ReferenceData!$BI$250),"")</f>
        <v/>
      </c>
      <c r="BJ250" t="str">
        <f ca="1">IFERROR(IF(0=LEN(ReferenceData!$BJ$250),"",ReferenceData!$BJ$250),"")</f>
        <v/>
      </c>
      <c r="BK250" t="str">
        <f ca="1">IFERROR(IF(0=LEN(ReferenceData!$BK$250),"",ReferenceData!$BK$250),"")</f>
        <v/>
      </c>
      <c r="BL250" t="str">
        <f ca="1">IFERROR(IF(0=LEN(ReferenceData!$BL$250),"",ReferenceData!$BL$250),"")</f>
        <v/>
      </c>
      <c r="BM250" t="str">
        <f ca="1">IFERROR(IF(0=LEN(ReferenceData!$BM$250),"",ReferenceData!$BM$250),"")</f>
        <v/>
      </c>
    </row>
    <row r="251" spans="1:65" x14ac:dyDescent="0.25">
      <c r="A251" t="str">
        <f>IFERROR(IF(0=LEN(ReferenceData!$A$251),"",ReferenceData!$A$251),"")</f>
        <v xml:space="preserve">    Avtovaz PJSC</v>
      </c>
      <c r="B251" t="str">
        <f>IFERROR(IF(0=LEN(ReferenceData!$B$251),"",ReferenceData!$B$251),"")</f>
        <v>AVAZ RM Equity</v>
      </c>
      <c r="C251" t="str">
        <f>IFERROR(IF(0=LEN(ReferenceData!$C$251),"",ReferenceData!$C$251),"")</f>
        <v>RR010</v>
      </c>
      <c r="D251" t="str">
        <f>IFERROR(IF(0=LEN(ReferenceData!$D$251),"",ReferenceData!$D$251),"")</f>
        <v>TOT_COMMON_EQY</v>
      </c>
      <c r="E251" t="str">
        <f>IFERROR(IF(0=LEN(ReferenceData!$E$251),"",ReferenceData!$E$251),"")</f>
        <v>Dynamic</v>
      </c>
      <c r="F251" t="str">
        <f ca="1">IFERROR(IF(0=LEN(ReferenceData!$F$251),"",ReferenceData!$F$251),"")</f>
        <v/>
      </c>
      <c r="G251" t="str">
        <f ca="1">IFERROR(IF(0=LEN(ReferenceData!$G$251),"",ReferenceData!$G$251),"")</f>
        <v/>
      </c>
      <c r="H251">
        <f ca="1">IFERROR(IF(0=LEN(ReferenceData!$H$251),"",ReferenceData!$H$251),"")</f>
        <v>-411.91730810000001</v>
      </c>
      <c r="I251">
        <f ca="1">IFERROR(IF(0=LEN(ReferenceData!$I$251),"",ReferenceData!$I$251),"")</f>
        <v>-466.58750209999999</v>
      </c>
      <c r="J251">
        <f ca="1">IFERROR(IF(0=LEN(ReferenceData!$J$251),"",ReferenceData!$J$251),"")</f>
        <v>-435.16043009999999</v>
      </c>
      <c r="K251">
        <f ca="1">IFERROR(IF(0=LEN(ReferenceData!$K$251),"",ReferenceData!$K$251),"")</f>
        <v>-1339.812402</v>
      </c>
      <c r="L251">
        <f ca="1">IFERROR(IF(0=LEN(ReferenceData!$L$251),"",ReferenceData!$L$251),"")</f>
        <v>-1250.755602</v>
      </c>
      <c r="M251">
        <f ca="1">IFERROR(IF(0=LEN(ReferenceData!$M$251),"",ReferenceData!$M$251),"")</f>
        <v>-1215.9346869999999</v>
      </c>
      <c r="N251">
        <f ca="1">IFERROR(IF(0=LEN(ReferenceData!$N$251),"",ReferenceData!$N$251),"")</f>
        <v>-1248.598722</v>
      </c>
      <c r="O251">
        <f ca="1">IFERROR(IF(0=LEN(ReferenceData!$O$251),"",ReferenceData!$O$251),"")</f>
        <v>-1102.14562</v>
      </c>
      <c r="P251">
        <f ca="1">IFERROR(IF(0=LEN(ReferenceData!$P$251),"",ReferenceData!$P$251),"")</f>
        <v>-1170.1344329999999</v>
      </c>
      <c r="Q251">
        <f ca="1">IFERROR(IF(0=LEN(ReferenceData!$Q$251),"",ReferenceData!$Q$251),"")</f>
        <v>-1183.761111</v>
      </c>
      <c r="R251">
        <f ca="1">IFERROR(IF(0=LEN(ReferenceData!$R$251),"",ReferenceData!$R$251),"")</f>
        <v>-849.06446389999996</v>
      </c>
      <c r="S251">
        <f ca="1">IFERROR(IF(0=LEN(ReferenceData!$S$251),"",ReferenceData!$S$251),"")</f>
        <v>-664.20294820000004</v>
      </c>
      <c r="T251">
        <f ca="1">IFERROR(IF(0=LEN(ReferenceData!$T$251),"",ReferenceData!$T$251),"")</f>
        <v>284.19478400000003</v>
      </c>
      <c r="U251" t="str">
        <f ca="1">IFERROR(IF(0=LEN(ReferenceData!$U$251),"",ReferenceData!$U$251),"")</f>
        <v/>
      </c>
      <c r="V251" t="str">
        <f ca="1">IFERROR(IF(0=LEN(ReferenceData!$V$251),"",ReferenceData!$V$251),"")</f>
        <v/>
      </c>
      <c r="W251" t="str">
        <f ca="1">IFERROR(IF(0=LEN(ReferenceData!$W$251),"",ReferenceData!$W$251),"")</f>
        <v/>
      </c>
      <c r="X251" t="str">
        <f ca="1">IFERROR(IF(0=LEN(ReferenceData!$X$251),"",ReferenceData!$X$251),"")</f>
        <v/>
      </c>
      <c r="Y251" t="str">
        <f ca="1">IFERROR(IF(0=LEN(ReferenceData!$Y$251),"",ReferenceData!$Y$251),"")</f>
        <v/>
      </c>
      <c r="Z251" t="str">
        <f ca="1">IFERROR(IF(0=LEN(ReferenceData!$Z$251),"",ReferenceData!$Z$251),"")</f>
        <v/>
      </c>
      <c r="AA251" t="str">
        <f ca="1">IFERROR(IF(0=LEN(ReferenceData!$AA$251),"",ReferenceData!$AA$251),"")</f>
        <v/>
      </c>
      <c r="AB251" t="str">
        <f ca="1">IFERROR(IF(0=LEN(ReferenceData!$AB$251),"",ReferenceData!$AB$251),"")</f>
        <v/>
      </c>
      <c r="AC251" t="str">
        <f ca="1">IFERROR(IF(0=LEN(ReferenceData!$AC$251),"",ReferenceData!$AC$251),"")</f>
        <v/>
      </c>
      <c r="AD251" t="str">
        <f ca="1">IFERROR(IF(0=LEN(ReferenceData!$AD$251),"",ReferenceData!$AD$251),"")</f>
        <v/>
      </c>
      <c r="AE251" t="str">
        <f ca="1">IFERROR(IF(0=LEN(ReferenceData!$AE$251),"",ReferenceData!$AE$251),"")</f>
        <v/>
      </c>
      <c r="AF251" t="str">
        <f ca="1">IFERROR(IF(0=LEN(ReferenceData!$AF$251),"",ReferenceData!$AF$251),"")</f>
        <v/>
      </c>
      <c r="AG251" t="str">
        <f ca="1">IFERROR(IF(0=LEN(ReferenceData!$AG$251),"",ReferenceData!$AG$251),"")</f>
        <v/>
      </c>
      <c r="AH251" t="str">
        <f ca="1">IFERROR(IF(0=LEN(ReferenceData!$AH$251),"",ReferenceData!$AH$251),"")</f>
        <v/>
      </c>
      <c r="AI251" t="str">
        <f ca="1">IFERROR(IF(0=LEN(ReferenceData!$AI$251),"",ReferenceData!$AI$251),"")</f>
        <v/>
      </c>
      <c r="AJ251" t="str">
        <f ca="1">IFERROR(IF(0=LEN(ReferenceData!$AJ$251),"",ReferenceData!$AJ$251),"")</f>
        <v/>
      </c>
      <c r="AK251" t="str">
        <f ca="1">IFERROR(IF(0=LEN(ReferenceData!$AK$251),"",ReferenceData!$AK$251),"")</f>
        <v/>
      </c>
      <c r="AL251" t="str">
        <f ca="1">IFERROR(IF(0=LEN(ReferenceData!$AL$251),"",ReferenceData!$AL$251),"")</f>
        <v/>
      </c>
      <c r="AM251" t="str">
        <f ca="1">IFERROR(IF(0=LEN(ReferenceData!$AM$251),"",ReferenceData!$AM$251),"")</f>
        <v/>
      </c>
      <c r="AN251" t="str">
        <f ca="1">IFERROR(IF(0=LEN(ReferenceData!$AN$251),"",ReferenceData!$AN$251),"")</f>
        <v/>
      </c>
      <c r="AO251" t="str">
        <f ca="1">IFERROR(IF(0=LEN(ReferenceData!$AO$251),"",ReferenceData!$AO$251),"")</f>
        <v/>
      </c>
      <c r="AP251" t="str">
        <f ca="1">IFERROR(IF(0=LEN(ReferenceData!$AP$251),"",ReferenceData!$AP$251),"")</f>
        <v/>
      </c>
      <c r="AQ251" t="str">
        <f ca="1">IFERROR(IF(0=LEN(ReferenceData!$AQ$251),"",ReferenceData!$AQ$251),"")</f>
        <v/>
      </c>
      <c r="AR251" t="str">
        <f ca="1">IFERROR(IF(0=LEN(ReferenceData!$AR$251),"",ReferenceData!$AR$251),"")</f>
        <v/>
      </c>
      <c r="AS251" t="str">
        <f ca="1">IFERROR(IF(0=LEN(ReferenceData!$AS$251),"",ReferenceData!$AS$251),"")</f>
        <v/>
      </c>
      <c r="AT251" t="str">
        <f ca="1">IFERROR(IF(0=LEN(ReferenceData!$AT$251),"",ReferenceData!$AT$251),"")</f>
        <v/>
      </c>
      <c r="AU251" t="str">
        <f ca="1">IFERROR(IF(0=LEN(ReferenceData!$AU$251),"",ReferenceData!$AU$251),"")</f>
        <v/>
      </c>
      <c r="AV251" t="str">
        <f ca="1">IFERROR(IF(0=LEN(ReferenceData!$AV$251),"",ReferenceData!$AV$251),"")</f>
        <v/>
      </c>
      <c r="AW251" t="str">
        <f ca="1">IFERROR(IF(0=LEN(ReferenceData!$AW$251),"",ReferenceData!$AW$251),"")</f>
        <v/>
      </c>
      <c r="AX251" t="str">
        <f ca="1">IFERROR(IF(0=LEN(ReferenceData!$AX$251),"",ReferenceData!$AX$251),"")</f>
        <v/>
      </c>
      <c r="AY251" t="str">
        <f ca="1">IFERROR(IF(0=LEN(ReferenceData!$AY$251),"",ReferenceData!$AY$251),"")</f>
        <v/>
      </c>
      <c r="AZ251" t="str">
        <f ca="1">IFERROR(IF(0=LEN(ReferenceData!$AZ$251),"",ReferenceData!$AZ$251),"")</f>
        <v/>
      </c>
      <c r="BA251" t="str">
        <f ca="1">IFERROR(IF(0=LEN(ReferenceData!$BA$251),"",ReferenceData!$BA$251),"")</f>
        <v/>
      </c>
      <c r="BB251" t="str">
        <f ca="1">IFERROR(IF(0=LEN(ReferenceData!$BB$251),"",ReferenceData!$BB$251),"")</f>
        <v/>
      </c>
      <c r="BC251" t="str">
        <f ca="1">IFERROR(IF(0=LEN(ReferenceData!$BC$251),"",ReferenceData!$BC$251),"")</f>
        <v/>
      </c>
      <c r="BD251" t="str">
        <f ca="1">IFERROR(IF(0=LEN(ReferenceData!$BD$251),"",ReferenceData!$BD$251),"")</f>
        <v/>
      </c>
      <c r="BE251" t="str">
        <f ca="1">IFERROR(IF(0=LEN(ReferenceData!$BE$251),"",ReferenceData!$BE$251),"")</f>
        <v/>
      </c>
      <c r="BF251" t="str">
        <f ca="1">IFERROR(IF(0=LEN(ReferenceData!$BF$251),"",ReferenceData!$BF$251),"")</f>
        <v/>
      </c>
      <c r="BG251" t="str">
        <f ca="1">IFERROR(IF(0=LEN(ReferenceData!$BG$251),"",ReferenceData!$BG$251),"")</f>
        <v/>
      </c>
      <c r="BH251" t="str">
        <f ca="1">IFERROR(IF(0=LEN(ReferenceData!$BH$251),"",ReferenceData!$BH$251),"")</f>
        <v/>
      </c>
      <c r="BI251" t="str">
        <f ca="1">IFERROR(IF(0=LEN(ReferenceData!$BI$251),"",ReferenceData!$BI$251),"")</f>
        <v/>
      </c>
      <c r="BJ251" t="str">
        <f ca="1">IFERROR(IF(0=LEN(ReferenceData!$BJ$251),"",ReferenceData!$BJ$251),"")</f>
        <v/>
      </c>
      <c r="BK251" t="str">
        <f ca="1">IFERROR(IF(0=LEN(ReferenceData!$BK$251),"",ReferenceData!$BK$251),"")</f>
        <v/>
      </c>
      <c r="BL251" t="str">
        <f ca="1">IFERROR(IF(0=LEN(ReferenceData!$BL$251),"",ReferenceData!$BL$251),"")</f>
        <v/>
      </c>
      <c r="BM251" t="str">
        <f ca="1">IFERROR(IF(0=LEN(ReferenceData!$BM$251),"",ReferenceData!$BM$251),"")</f>
        <v/>
      </c>
    </row>
    <row r="252" spans="1:65" x14ac:dyDescent="0.25">
      <c r="A252" t="str">
        <f>IFERROR(IF(0=LEN(ReferenceData!$A$252),"",ReferenceData!$A$252),"")</f>
        <v xml:space="preserve">    Bayerische Motoren Werke AG</v>
      </c>
      <c r="B252" t="str">
        <f>IFERROR(IF(0=LEN(ReferenceData!$B$252),"",ReferenceData!$B$252),"")</f>
        <v>BMW GR Equity</v>
      </c>
      <c r="C252" t="str">
        <f>IFERROR(IF(0=LEN(ReferenceData!$C$252),"",ReferenceData!$C$252),"")</f>
        <v>RR010</v>
      </c>
      <c r="D252" t="str">
        <f>IFERROR(IF(0=LEN(ReferenceData!$D$252),"",ReferenceData!$D$252),"")</f>
        <v>TOT_COMMON_EQY</v>
      </c>
      <c r="E252" t="str">
        <f>IFERROR(IF(0=LEN(ReferenceData!$E$252),"",ReferenceData!$E$252),"")</f>
        <v>Dynamic</v>
      </c>
      <c r="F252" t="str">
        <f ca="1">IFERROR(IF(0=LEN(ReferenceData!$F$252),"",ReferenceData!$F$252),"")</f>
        <v/>
      </c>
      <c r="G252" t="str">
        <f ca="1">IFERROR(IF(0=LEN(ReferenceData!$G$252),"",ReferenceData!$G$252),"")</f>
        <v/>
      </c>
      <c r="H252">
        <f ca="1">IFERROR(IF(0=LEN(ReferenceData!$H$252),"",ReferenceData!$H$252),"")</f>
        <v>65473.925000000003</v>
      </c>
      <c r="I252">
        <f ca="1">IFERROR(IF(0=LEN(ReferenceData!$I$252),"",ReferenceData!$I$252),"")</f>
        <v>64551.623699999996</v>
      </c>
      <c r="J252">
        <f ca="1">IFERROR(IF(0=LEN(ReferenceData!$J$252),"",ReferenceData!$J$252),"")</f>
        <v>69041.061600000001</v>
      </c>
      <c r="K252">
        <f ca="1">IFERROR(IF(0=LEN(ReferenceData!$K$252),"",ReferenceData!$K$252),"")</f>
        <v>65053.446400000001</v>
      </c>
      <c r="L252">
        <f ca="1">IFERROR(IF(0=LEN(ReferenceData!$L$252),"",ReferenceData!$L$252),"")</f>
        <v>61822.933700000001</v>
      </c>
      <c r="M252">
        <f ca="1">IFERROR(IF(0=LEN(ReferenceData!$M$252),"",ReferenceData!$M$252),"")</f>
        <v>57319.509899999997</v>
      </c>
      <c r="N252">
        <f ca="1">IFERROR(IF(0=LEN(ReferenceData!$N$252),"",ReferenceData!$N$252),"")</f>
        <v>52753.325199999999</v>
      </c>
      <c r="O252">
        <f ca="1">IFERROR(IF(0=LEN(ReferenceData!$O$252),"",ReferenceData!$O$252),"")</f>
        <v>49684.8076</v>
      </c>
      <c r="P252">
        <f ca="1">IFERROR(IF(0=LEN(ReferenceData!$P$252),"",ReferenceData!$P$252),"")</f>
        <v>50738.209199999998</v>
      </c>
      <c r="Q252">
        <f ca="1">IFERROR(IF(0=LEN(ReferenceData!$Q$252),"",ReferenceData!$Q$252),"")</f>
        <v>48343.610699999997</v>
      </c>
      <c r="R252">
        <f ca="1">IFERROR(IF(0=LEN(ReferenceData!$R$252),"",ReferenceData!$R$252),"")</f>
        <v>50654.554799999998</v>
      </c>
      <c r="S252">
        <f ca="1">IFERROR(IF(0=LEN(ReferenceData!$S$252),"",ReferenceData!$S$252),"")</f>
        <v>46213.097999999998</v>
      </c>
      <c r="T252">
        <f ca="1">IFERROR(IF(0=LEN(ReferenceData!$T$252),"",ReferenceData!$T$252),"")</f>
        <v>45614.732600000003</v>
      </c>
      <c r="U252">
        <f ca="1">IFERROR(IF(0=LEN(ReferenceData!$U$252),"",ReferenceData!$U$252),"")</f>
        <v>42738.296000000002</v>
      </c>
      <c r="V252">
        <f ca="1">IFERROR(IF(0=LEN(ReferenceData!$V$252),"",ReferenceData!$V$252),"")</f>
        <v>38493.1368</v>
      </c>
      <c r="W252">
        <f ca="1">IFERROR(IF(0=LEN(ReferenceData!$W$252),"",ReferenceData!$W$252),"")</f>
        <v>47462.25</v>
      </c>
      <c r="X252">
        <f ca="1">IFERROR(IF(0=LEN(ReferenceData!$X$252),"",ReferenceData!$X$252),"")</f>
        <v>46358.533199999998</v>
      </c>
      <c r="Y252">
        <f ca="1">IFERROR(IF(0=LEN(ReferenceData!$Y$252),"",ReferenceData!$Y$252),"")</f>
        <v>49507.146999999997</v>
      </c>
      <c r="Z252">
        <f ca="1">IFERROR(IF(0=LEN(ReferenceData!$Z$252),"",ReferenceData!$Z$252),"")</f>
        <v>50636.889600000002</v>
      </c>
      <c r="AA252">
        <f ca="1">IFERROR(IF(0=LEN(ReferenceData!$AA$252),"",ReferenceData!$AA$252),"")</f>
        <v>48829.606800000001</v>
      </c>
      <c r="AB252">
        <f ca="1">IFERROR(IF(0=LEN(ReferenceData!$AB$252),"",ReferenceData!$AB$252),"")</f>
        <v>45657.653299999998</v>
      </c>
      <c r="AC252">
        <f ca="1">IFERROR(IF(0=LEN(ReferenceData!$AC$252),"",ReferenceData!$AC$252),"")</f>
        <v>41840.986499999999</v>
      </c>
      <c r="AD252">
        <f ca="1">IFERROR(IF(0=LEN(ReferenceData!$AD$252),"",ReferenceData!$AD$252),"")</f>
        <v>40564.443599999999</v>
      </c>
      <c r="AE252">
        <f ca="1">IFERROR(IF(0=LEN(ReferenceData!$AE$252),"",ReferenceData!$AE$252),"")</f>
        <v>40249.530299999999</v>
      </c>
      <c r="AF252">
        <f ca="1">IFERROR(IF(0=LEN(ReferenceData!$AF$252),"",ReferenceData!$AF$252),"")</f>
        <v>37017.212399999997</v>
      </c>
      <c r="AG252">
        <f ca="1">IFERROR(IF(0=LEN(ReferenceData!$AG$252),"",ReferenceData!$AG$252),"")</f>
        <v>34687.776899999997</v>
      </c>
      <c r="AH252">
        <f ca="1">IFERROR(IF(0=LEN(ReferenceData!$AH$252),"",ReferenceData!$AH$252),"")</f>
        <v>37950.871200000001</v>
      </c>
      <c r="AI252">
        <f ca="1">IFERROR(IF(0=LEN(ReferenceData!$AI$252),"",ReferenceData!$AI$252),"")</f>
        <v>35041.248</v>
      </c>
      <c r="AJ252">
        <f ca="1">IFERROR(IF(0=LEN(ReferenceData!$AJ$252),"",ReferenceData!$AJ$252),"")</f>
        <v>34917.638700000003</v>
      </c>
      <c r="AK252">
        <f ca="1">IFERROR(IF(0=LEN(ReferenceData!$AK$252),"",ReferenceData!$AK$252),"")</f>
        <v>37222.502999999997</v>
      </c>
      <c r="AL252">
        <f ca="1">IFERROR(IF(0=LEN(ReferenceData!$AL$252),"",ReferenceData!$AL$252),"")</f>
        <v>35052.137999999999</v>
      </c>
      <c r="AM252">
        <f ca="1">IFERROR(IF(0=LEN(ReferenceData!$AM$252),"",ReferenceData!$AM$252),"")</f>
        <v>31950.0864</v>
      </c>
      <c r="AN252">
        <f ca="1">IFERROR(IF(0=LEN(ReferenceData!$AN$252),"",ReferenceData!$AN$252),"")</f>
        <v>29559.486000000001</v>
      </c>
      <c r="AO252">
        <f ca="1">IFERROR(IF(0=LEN(ReferenceData!$AO$252),"",ReferenceData!$AO$252),"")</f>
        <v>24760.365699999998</v>
      </c>
      <c r="AP252">
        <f ca="1">IFERROR(IF(0=LEN(ReferenceData!$AP$252),"",ReferenceData!$AP$252),"")</f>
        <v>26921.196899999999</v>
      </c>
      <c r="AQ252">
        <f ca="1">IFERROR(IF(0=LEN(ReferenceData!$AQ$252),"",ReferenceData!$AQ$252),"")</f>
        <v>28521.556199999999</v>
      </c>
      <c r="AR252">
        <f ca="1">IFERROR(IF(0=LEN(ReferenceData!$AR$252),"",ReferenceData!$AR$252),"")</f>
        <v>29177.641800000001</v>
      </c>
      <c r="AS252">
        <f ca="1">IFERROR(IF(0=LEN(ReferenceData!$AS$252),"",ReferenceData!$AS$252),"")</f>
        <v>28312.154999999999</v>
      </c>
      <c r="AT252">
        <f ca="1">IFERROR(IF(0=LEN(ReferenceData!$AT$252),"",ReferenceData!$AT$252),"")</f>
        <v>26266.179499999998</v>
      </c>
      <c r="AU252">
        <f ca="1">IFERROR(IF(0=LEN(ReferenceData!$AU$252),"",ReferenceData!$AU$252),"")</f>
        <v>28275.754499999999</v>
      </c>
      <c r="AV252">
        <f ca="1">IFERROR(IF(0=LEN(ReferenceData!$AV$252),"",ReferenceData!$AV$252),"")</f>
        <v>31225.113399999998</v>
      </c>
      <c r="AW252">
        <f ca="1">IFERROR(IF(0=LEN(ReferenceData!$AW$252),"",ReferenceData!$AW$252),"")</f>
        <v>34628.641600000003</v>
      </c>
      <c r="AX252">
        <f ca="1">IFERROR(IF(0=LEN(ReferenceData!$AX$252),"",ReferenceData!$AX$252),"")</f>
        <v>35677.751199999999</v>
      </c>
      <c r="AY252">
        <f ca="1">IFERROR(IF(0=LEN(ReferenceData!$AY$252),"",ReferenceData!$AY$252),"")</f>
        <v>31693.233899999999</v>
      </c>
      <c r="AZ252">
        <f ca="1">IFERROR(IF(0=LEN(ReferenceData!$AZ$252),"",ReferenceData!$AZ$252),"")</f>
        <v>29762.538</v>
      </c>
      <c r="BA252">
        <f ca="1">IFERROR(IF(0=LEN(ReferenceData!$BA$252),"",ReferenceData!$BA$252),"")</f>
        <v>27208.672399999999</v>
      </c>
      <c r="BB252">
        <f ca="1">IFERROR(IF(0=LEN(ReferenceData!$BB$252),"",ReferenceData!$BB$252),"")</f>
        <v>26228.553599999999</v>
      </c>
      <c r="BC252">
        <f ca="1">IFERROR(IF(0=LEN(ReferenceData!$BC$252),"",ReferenceData!$BC$252),"")</f>
        <v>25225.2814</v>
      </c>
      <c r="BD252">
        <f ca="1">IFERROR(IF(0=LEN(ReferenceData!$BD$252),"",ReferenceData!$BD$252),"")</f>
        <v>23070.759600000001</v>
      </c>
      <c r="BE252">
        <f ca="1">IFERROR(IF(0=LEN(ReferenceData!$BE$252),"",ReferenceData!$BE$252),"")</f>
        <v>23010.442999999999</v>
      </c>
      <c r="BF252">
        <f ca="1">IFERROR(IF(0=LEN(ReferenceData!$BF$252),"",ReferenceData!$BF$252),"")</f>
        <v>20949.486199999999</v>
      </c>
      <c r="BG252">
        <f ca="1">IFERROR(IF(0=LEN(ReferenceData!$BG$252),"",ReferenceData!$BG$252),"")</f>
        <v>20084.150900000001</v>
      </c>
      <c r="BH252">
        <f ca="1">IFERROR(IF(0=LEN(ReferenceData!$BH$252),"",ReferenceData!$BH$252),"")</f>
        <v>21931.893</v>
      </c>
      <c r="BI252">
        <f ca="1">IFERROR(IF(0=LEN(ReferenceData!$BI$252),"",ReferenceData!$BI$252),"")</f>
        <v>21368.888599999998</v>
      </c>
      <c r="BJ252">
        <f ca="1">IFERROR(IF(0=LEN(ReferenceData!$BJ$252),"",ReferenceData!$BJ$252),"")</f>
        <v>22919.643199999999</v>
      </c>
      <c r="BK252">
        <f ca="1">IFERROR(IF(0=LEN(ReferenceData!$BK$252),"",ReferenceData!$BK$252),"")</f>
        <v>22413.490399999999</v>
      </c>
      <c r="BL252">
        <f ca="1">IFERROR(IF(0=LEN(ReferenceData!$BL$252),"",ReferenceData!$BL$252),"")</f>
        <v>20931.2376</v>
      </c>
      <c r="BM252">
        <f ca="1">IFERROR(IF(0=LEN(ReferenceData!$BM$252),"",ReferenceData!$BM$252),"")</f>
        <v>20194.4555</v>
      </c>
    </row>
    <row r="253" spans="1:65" x14ac:dyDescent="0.25">
      <c r="A253" t="str">
        <f>IFERROR(IF(0=LEN(ReferenceData!$A$253),"",ReferenceData!$A$253),"")</f>
        <v xml:space="preserve">    Brilliance China Automotive Holdings Ltd</v>
      </c>
      <c r="B253" t="str">
        <f>IFERROR(IF(0=LEN(ReferenceData!$B$253),"",ReferenceData!$B$253),"")</f>
        <v>1114 HK Equity</v>
      </c>
      <c r="C253" t="str">
        <f>IFERROR(IF(0=LEN(ReferenceData!$C$253),"",ReferenceData!$C$253),"")</f>
        <v>RR010</v>
      </c>
      <c r="D253" t="str">
        <f>IFERROR(IF(0=LEN(ReferenceData!$D$253),"",ReferenceData!$D$253),"")</f>
        <v>TOT_COMMON_EQY</v>
      </c>
      <c r="E253" t="str">
        <f>IFERROR(IF(0=LEN(ReferenceData!$E$253),"",ReferenceData!$E$253),"")</f>
        <v>Dynamic</v>
      </c>
      <c r="F253" t="str">
        <f ca="1">IFERROR(IF(0=LEN(ReferenceData!$F$253),"",ReferenceData!$F$253),"")</f>
        <v/>
      </c>
      <c r="G253" t="str">
        <f ca="1">IFERROR(IF(0=LEN(ReferenceData!$G$253),"",ReferenceData!$G$253),"")</f>
        <v/>
      </c>
      <c r="H253" t="str">
        <f ca="1">IFERROR(IF(0=LEN(ReferenceData!$H$253),"",ReferenceData!$H$253),"")</f>
        <v/>
      </c>
      <c r="I253" t="str">
        <f ca="1">IFERROR(IF(0=LEN(ReferenceData!$I$253),"",ReferenceData!$I$253),"")</f>
        <v/>
      </c>
      <c r="J253" t="str">
        <f ca="1">IFERROR(IF(0=LEN(ReferenceData!$J$253),"",ReferenceData!$J$253),"")</f>
        <v/>
      </c>
      <c r="K253" t="str">
        <f ca="1">IFERROR(IF(0=LEN(ReferenceData!$K$253),"",ReferenceData!$K$253),"")</f>
        <v/>
      </c>
      <c r="L253" t="str">
        <f ca="1">IFERROR(IF(0=LEN(ReferenceData!$L$253),"",ReferenceData!$L$253),"")</f>
        <v/>
      </c>
      <c r="M253" t="str">
        <f ca="1">IFERROR(IF(0=LEN(ReferenceData!$M$253),"",ReferenceData!$M$253),"")</f>
        <v/>
      </c>
      <c r="N253" t="str">
        <f ca="1">IFERROR(IF(0=LEN(ReferenceData!$N$253),"",ReferenceData!$N$253),"")</f>
        <v/>
      </c>
      <c r="O253" t="str">
        <f ca="1">IFERROR(IF(0=LEN(ReferenceData!$O$253),"",ReferenceData!$O$253),"")</f>
        <v/>
      </c>
      <c r="P253" t="str">
        <f ca="1">IFERROR(IF(0=LEN(ReferenceData!$P$253),"",ReferenceData!$P$253),"")</f>
        <v/>
      </c>
      <c r="Q253" t="str">
        <f ca="1">IFERROR(IF(0=LEN(ReferenceData!$Q$253),"",ReferenceData!$Q$253),"")</f>
        <v/>
      </c>
      <c r="R253" t="str">
        <f ca="1">IFERROR(IF(0=LEN(ReferenceData!$R$253),"",ReferenceData!$R$253),"")</f>
        <v/>
      </c>
      <c r="S253" t="str">
        <f ca="1">IFERROR(IF(0=LEN(ReferenceData!$S$253),"",ReferenceData!$S$253),"")</f>
        <v/>
      </c>
      <c r="T253" t="str">
        <f ca="1">IFERROR(IF(0=LEN(ReferenceData!$T$253),"",ReferenceData!$T$253),"")</f>
        <v/>
      </c>
      <c r="U253" t="str">
        <f ca="1">IFERROR(IF(0=LEN(ReferenceData!$U$253),"",ReferenceData!$U$253),"")</f>
        <v/>
      </c>
      <c r="V253" t="str">
        <f ca="1">IFERROR(IF(0=LEN(ReferenceData!$V$253),"",ReferenceData!$V$253),"")</f>
        <v/>
      </c>
      <c r="W253" t="str">
        <f ca="1">IFERROR(IF(0=LEN(ReferenceData!$W$253),"",ReferenceData!$W$253),"")</f>
        <v/>
      </c>
      <c r="X253" t="str">
        <f ca="1">IFERROR(IF(0=LEN(ReferenceData!$X$253),"",ReferenceData!$X$253),"")</f>
        <v/>
      </c>
      <c r="Y253" t="str">
        <f ca="1">IFERROR(IF(0=LEN(ReferenceData!$Y$253),"",ReferenceData!$Y$253),"")</f>
        <v/>
      </c>
      <c r="Z253" t="str">
        <f ca="1">IFERROR(IF(0=LEN(ReferenceData!$Z$253),"",ReferenceData!$Z$253),"")</f>
        <v/>
      </c>
      <c r="AA253" t="str">
        <f ca="1">IFERROR(IF(0=LEN(ReferenceData!$AA$253),"",ReferenceData!$AA$253),"")</f>
        <v/>
      </c>
      <c r="AB253" t="str">
        <f ca="1">IFERROR(IF(0=LEN(ReferenceData!$AB$253),"",ReferenceData!$AB$253),"")</f>
        <v/>
      </c>
      <c r="AC253" t="str">
        <f ca="1">IFERROR(IF(0=LEN(ReferenceData!$AC$253),"",ReferenceData!$AC$253),"")</f>
        <v/>
      </c>
      <c r="AD253" t="str">
        <f ca="1">IFERROR(IF(0=LEN(ReferenceData!$AD$253),"",ReferenceData!$AD$253),"")</f>
        <v/>
      </c>
      <c r="AE253" t="str">
        <f ca="1">IFERROR(IF(0=LEN(ReferenceData!$AE$253),"",ReferenceData!$AE$253),"")</f>
        <v/>
      </c>
      <c r="AF253" t="str">
        <f ca="1">IFERROR(IF(0=LEN(ReferenceData!$AF$253),"",ReferenceData!$AF$253),"")</f>
        <v/>
      </c>
      <c r="AG253" t="str">
        <f ca="1">IFERROR(IF(0=LEN(ReferenceData!$AG$253),"",ReferenceData!$AG$253),"")</f>
        <v/>
      </c>
      <c r="AH253" t="str">
        <f ca="1">IFERROR(IF(0=LEN(ReferenceData!$AH$253),"",ReferenceData!$AH$253),"")</f>
        <v/>
      </c>
      <c r="AI253" t="str">
        <f ca="1">IFERROR(IF(0=LEN(ReferenceData!$AI$253),"",ReferenceData!$AI$253),"")</f>
        <v/>
      </c>
      <c r="AJ253" t="str">
        <f ca="1">IFERROR(IF(0=LEN(ReferenceData!$AJ$253),"",ReferenceData!$AJ$253),"")</f>
        <v/>
      </c>
      <c r="AK253" t="str">
        <f ca="1">IFERROR(IF(0=LEN(ReferenceData!$AK$253),"",ReferenceData!$AK$253),"")</f>
        <v/>
      </c>
      <c r="AL253" t="str">
        <f ca="1">IFERROR(IF(0=LEN(ReferenceData!$AL$253),"",ReferenceData!$AL$253),"")</f>
        <v/>
      </c>
      <c r="AM253" t="str">
        <f ca="1">IFERROR(IF(0=LEN(ReferenceData!$AM$253),"",ReferenceData!$AM$253),"")</f>
        <v/>
      </c>
      <c r="AN253" t="str">
        <f ca="1">IFERROR(IF(0=LEN(ReferenceData!$AN$253),"",ReferenceData!$AN$253),"")</f>
        <v/>
      </c>
      <c r="AO253" t="str">
        <f ca="1">IFERROR(IF(0=LEN(ReferenceData!$AO$253),"",ReferenceData!$AO$253),"")</f>
        <v/>
      </c>
      <c r="AP253" t="str">
        <f ca="1">IFERROR(IF(0=LEN(ReferenceData!$AP$253),"",ReferenceData!$AP$253),"")</f>
        <v/>
      </c>
      <c r="AQ253" t="str">
        <f ca="1">IFERROR(IF(0=LEN(ReferenceData!$AQ$253),"",ReferenceData!$AQ$253),"")</f>
        <v/>
      </c>
      <c r="AR253" t="str">
        <f ca="1">IFERROR(IF(0=LEN(ReferenceData!$AR$253),"",ReferenceData!$AR$253),"")</f>
        <v/>
      </c>
      <c r="AS253" t="str">
        <f ca="1">IFERROR(IF(0=LEN(ReferenceData!$AS$253),"",ReferenceData!$AS$253),"")</f>
        <v/>
      </c>
      <c r="AT253" t="str">
        <f ca="1">IFERROR(IF(0=LEN(ReferenceData!$AT$253),"",ReferenceData!$AT$253),"")</f>
        <v/>
      </c>
      <c r="AU253" t="str">
        <f ca="1">IFERROR(IF(0=LEN(ReferenceData!$AU$253),"",ReferenceData!$AU$253),"")</f>
        <v/>
      </c>
      <c r="AV253" t="str">
        <f ca="1">IFERROR(IF(0=LEN(ReferenceData!$AV$253),"",ReferenceData!$AV$253),"")</f>
        <v/>
      </c>
      <c r="AW253" t="str">
        <f ca="1">IFERROR(IF(0=LEN(ReferenceData!$AW$253),"",ReferenceData!$AW$253),"")</f>
        <v/>
      </c>
      <c r="AX253" t="str">
        <f ca="1">IFERROR(IF(0=LEN(ReferenceData!$AX$253),"",ReferenceData!$AX$253),"")</f>
        <v/>
      </c>
      <c r="AY253" t="str">
        <f ca="1">IFERROR(IF(0=LEN(ReferenceData!$AY$253),"",ReferenceData!$AY$253),"")</f>
        <v/>
      </c>
      <c r="AZ253" t="str">
        <f ca="1">IFERROR(IF(0=LEN(ReferenceData!$AZ$253),"",ReferenceData!$AZ$253),"")</f>
        <v/>
      </c>
      <c r="BA253" t="str">
        <f ca="1">IFERROR(IF(0=LEN(ReferenceData!$BA$253),"",ReferenceData!$BA$253),"")</f>
        <v/>
      </c>
      <c r="BB253" t="str">
        <f ca="1">IFERROR(IF(0=LEN(ReferenceData!$BB$253),"",ReferenceData!$BB$253),"")</f>
        <v/>
      </c>
      <c r="BC253" t="str">
        <f ca="1">IFERROR(IF(0=LEN(ReferenceData!$BC$253),"",ReferenceData!$BC$253),"")</f>
        <v/>
      </c>
      <c r="BD253" t="str">
        <f ca="1">IFERROR(IF(0=LEN(ReferenceData!$BD$253),"",ReferenceData!$BD$253),"")</f>
        <v/>
      </c>
      <c r="BE253" t="str">
        <f ca="1">IFERROR(IF(0=LEN(ReferenceData!$BE$253),"",ReferenceData!$BE$253),"")</f>
        <v/>
      </c>
      <c r="BF253" t="str">
        <f ca="1">IFERROR(IF(0=LEN(ReferenceData!$BF$253),"",ReferenceData!$BF$253),"")</f>
        <v/>
      </c>
      <c r="BG253" t="str">
        <f ca="1">IFERROR(IF(0=LEN(ReferenceData!$BG$253),"",ReferenceData!$BG$253),"")</f>
        <v/>
      </c>
      <c r="BH253" t="str">
        <f ca="1">IFERROR(IF(0=LEN(ReferenceData!$BH$253),"",ReferenceData!$BH$253),"")</f>
        <v/>
      </c>
      <c r="BI253" t="str">
        <f ca="1">IFERROR(IF(0=LEN(ReferenceData!$BI$253),"",ReferenceData!$BI$253),"")</f>
        <v/>
      </c>
      <c r="BJ253" t="str">
        <f ca="1">IFERROR(IF(0=LEN(ReferenceData!$BJ$253),"",ReferenceData!$BJ$253),"")</f>
        <v/>
      </c>
      <c r="BK253" t="str">
        <f ca="1">IFERROR(IF(0=LEN(ReferenceData!$BK$253),"",ReferenceData!$BK$253),"")</f>
        <v/>
      </c>
      <c r="BL253" t="str">
        <f ca="1">IFERROR(IF(0=LEN(ReferenceData!$BL$253),"",ReferenceData!$BL$253),"")</f>
        <v/>
      </c>
      <c r="BM253" t="str">
        <f ca="1">IFERROR(IF(0=LEN(ReferenceData!$BM$253),"",ReferenceData!$BM$253),"")</f>
        <v/>
      </c>
    </row>
    <row r="254" spans="1:65" x14ac:dyDescent="0.25">
      <c r="A254" t="str">
        <f>IFERROR(IF(0=LEN(ReferenceData!$A$254),"",ReferenceData!$A$254),"")</f>
        <v xml:space="preserve">    BYD Co Ltd</v>
      </c>
      <c r="B254" t="str">
        <f>IFERROR(IF(0=LEN(ReferenceData!$B$254),"",ReferenceData!$B$254),"")</f>
        <v>1211 HK Equity</v>
      </c>
      <c r="C254" t="str">
        <f>IFERROR(IF(0=LEN(ReferenceData!$C$254),"",ReferenceData!$C$254),"")</f>
        <v>RR010</v>
      </c>
      <c r="D254" t="str">
        <f>IFERROR(IF(0=LEN(ReferenceData!$D$254),"",ReferenceData!$D$254),"")</f>
        <v>TOT_COMMON_EQY</v>
      </c>
      <c r="E254" t="str">
        <f>IFERROR(IF(0=LEN(ReferenceData!$E$254),"",ReferenceData!$E$254),"")</f>
        <v>Dynamic</v>
      </c>
      <c r="F254" t="str">
        <f ca="1">IFERROR(IF(0=LEN(ReferenceData!$F$254),"",ReferenceData!$F$254),"")</f>
        <v/>
      </c>
      <c r="G254" t="str">
        <f ca="1">IFERROR(IF(0=LEN(ReferenceData!$G$254),"",ReferenceData!$G$254),"")</f>
        <v/>
      </c>
      <c r="H254">
        <f ca="1">IFERROR(IF(0=LEN(ReferenceData!$H$254),"",ReferenceData!$H$254),"")</f>
        <v>7363.8824590000004</v>
      </c>
      <c r="I254">
        <f ca="1">IFERROR(IF(0=LEN(ReferenceData!$I$254),"",ReferenceData!$I$254),"")</f>
        <v>7598.0725860000002</v>
      </c>
      <c r="J254">
        <f ca="1">IFERROR(IF(0=LEN(ReferenceData!$J$254),"",ReferenceData!$J$254),"")</f>
        <v>8133.1579199999996</v>
      </c>
      <c r="K254">
        <f ca="1">IFERROR(IF(0=LEN(ReferenceData!$K$254),"",ReferenceData!$K$254),"")</f>
        <v>7854.7334289999999</v>
      </c>
      <c r="L254">
        <f ca="1">IFERROR(IF(0=LEN(ReferenceData!$L$254),"",ReferenceData!$L$254),"")</f>
        <v>7567.1981489999998</v>
      </c>
      <c r="M254">
        <f ca="1">IFERROR(IF(0=LEN(ReferenceData!$M$254),"",ReferenceData!$M$254),"")</f>
        <v>7217.6465980000003</v>
      </c>
      <c r="N254">
        <f ca="1">IFERROR(IF(0=LEN(ReferenceData!$N$254),"",ReferenceData!$N$254),"")</f>
        <v>7009.0490870000003</v>
      </c>
      <c r="O254">
        <f ca="1">IFERROR(IF(0=LEN(ReferenceData!$O$254),"",ReferenceData!$O$254),"")</f>
        <v>6838.930934</v>
      </c>
      <c r="P254">
        <f ca="1">IFERROR(IF(0=LEN(ReferenceData!$P$254),"",ReferenceData!$P$254),"")</f>
        <v>7016.1707390000001</v>
      </c>
      <c r="Q254">
        <f ca="1">IFERROR(IF(0=LEN(ReferenceData!$Q$254),"",ReferenceData!$Q$254),"")</f>
        <v>4663.376561</v>
      </c>
      <c r="R254">
        <f ca="1">IFERROR(IF(0=LEN(ReferenceData!$R$254),"",ReferenceData!$R$254),"")</f>
        <v>4541.4868189999997</v>
      </c>
      <c r="S254">
        <f ca="1">IFERROR(IF(0=LEN(ReferenceData!$S$254),"",ReferenceData!$S$254),"")</f>
        <v>4977.9428129999997</v>
      </c>
      <c r="T254">
        <f ca="1">IFERROR(IF(0=LEN(ReferenceData!$T$254),"",ReferenceData!$T$254),"")</f>
        <v>4290.1700250000004</v>
      </c>
      <c r="U254">
        <f ca="1">IFERROR(IF(0=LEN(ReferenceData!$U$254),"",ReferenceData!$U$254),"")</f>
        <v>4168.6487049999996</v>
      </c>
      <c r="V254">
        <f ca="1">IFERROR(IF(0=LEN(ReferenceData!$V$254),"",ReferenceData!$V$254),"")</f>
        <v>4111.580747</v>
      </c>
      <c r="W254">
        <f ca="1">IFERROR(IF(0=LEN(ReferenceData!$W$254),"",ReferenceData!$W$254),"")</f>
        <v>4086.3480679999998</v>
      </c>
      <c r="X254">
        <f ca="1">IFERROR(IF(0=LEN(ReferenceData!$X$254),"",ReferenceData!$X$254),"")</f>
        <v>4127.0949140000002</v>
      </c>
      <c r="Y254">
        <f ca="1">IFERROR(IF(0=LEN(ReferenceData!$Y$254),"",ReferenceData!$Y$254),"")</f>
        <v>4083.6866960000002</v>
      </c>
      <c r="Z254">
        <f ca="1">IFERROR(IF(0=LEN(ReferenceData!$Z$254),"",ReferenceData!$Z$254),"")</f>
        <v>3493.7544419999999</v>
      </c>
      <c r="AA254">
        <f ca="1">IFERROR(IF(0=LEN(ReferenceData!$AA$254),"",ReferenceData!$AA$254),"")</f>
        <v>3586.9678140000001</v>
      </c>
      <c r="AB254">
        <f ca="1">IFERROR(IF(0=LEN(ReferenceData!$AB$254),"",ReferenceData!$AB$254),"")</f>
        <v>3531.5997969999999</v>
      </c>
      <c r="AC254">
        <f ca="1">IFERROR(IF(0=LEN(ReferenceData!$AC$254),"",ReferenceData!$AC$254),"")</f>
        <v>3518.1013750000002</v>
      </c>
      <c r="AD254">
        <f ca="1">IFERROR(IF(0=LEN(ReferenceData!$AD$254),"",ReferenceData!$AD$254),"")</f>
        <v>3434.799704</v>
      </c>
      <c r="AE254">
        <f ca="1">IFERROR(IF(0=LEN(ReferenceData!$AE$254),"",ReferenceData!$AE$254),"")</f>
        <v>3399.6766640000001</v>
      </c>
      <c r="AF254">
        <f ca="1">IFERROR(IF(0=LEN(ReferenceData!$AF$254),"",ReferenceData!$AF$254),"")</f>
        <v>3365.4815619999999</v>
      </c>
      <c r="AG254">
        <f ca="1">IFERROR(IF(0=LEN(ReferenceData!$AG$254),"",ReferenceData!$AG$254),"")</f>
        <v>3321.7422230000002</v>
      </c>
      <c r="AH254">
        <f ca="1">IFERROR(IF(0=LEN(ReferenceData!$AH$254),"",ReferenceData!$AH$254),"")</f>
        <v>3358.7914770000002</v>
      </c>
      <c r="AI254">
        <f ca="1">IFERROR(IF(0=LEN(ReferenceData!$AI$254),"",ReferenceData!$AI$254),"")</f>
        <v>3353.257615</v>
      </c>
      <c r="AJ254">
        <f ca="1">IFERROR(IF(0=LEN(ReferenceData!$AJ$254),"",ReferenceData!$AJ$254),"")</f>
        <v>3152.4148519999999</v>
      </c>
      <c r="AK254" t="str">
        <f ca="1">IFERROR(IF(0=LEN(ReferenceData!$AK$254),"",ReferenceData!$AK$254),"")</f>
        <v/>
      </c>
      <c r="AL254" t="str">
        <f ca="1">IFERROR(IF(0=LEN(ReferenceData!$AL$254),"",ReferenceData!$AL$254),"")</f>
        <v/>
      </c>
      <c r="AM254">
        <f ca="1">IFERROR(IF(0=LEN(ReferenceData!$AM$254),"",ReferenceData!$AM$254),"")</f>
        <v>2801.3898960000001</v>
      </c>
      <c r="AN254">
        <f ca="1">IFERROR(IF(0=LEN(ReferenceData!$AN$254),"",ReferenceData!$AN$254),"")</f>
        <v>2745.9554560000001</v>
      </c>
      <c r="AO254">
        <f ca="1">IFERROR(IF(0=LEN(ReferenceData!$AO$254),"",ReferenceData!$AO$254),"")</f>
        <v>2707.275341</v>
      </c>
      <c r="AP254">
        <f ca="1">IFERROR(IF(0=LEN(ReferenceData!$AP$254),"",ReferenceData!$AP$254),"")</f>
        <v>2694.4333109999998</v>
      </c>
      <c r="AQ254">
        <f ca="1">IFERROR(IF(0=LEN(ReferenceData!$AQ$254),"",ReferenceData!$AQ$254),"")</f>
        <v>2443.5495310000001</v>
      </c>
      <c r="AR254">
        <f ca="1">IFERROR(IF(0=LEN(ReferenceData!$AR$254),"",ReferenceData!$AR$254),"")</f>
        <v>2226.587317</v>
      </c>
      <c r="AS254" t="str">
        <f ca="1">IFERROR(IF(0=LEN(ReferenceData!$AS$254),"",ReferenceData!$AS$254),"")</f>
        <v/>
      </c>
      <c r="AT254" t="str">
        <f ca="1">IFERROR(IF(0=LEN(ReferenceData!$AT$254),"",ReferenceData!$AT$254),"")</f>
        <v/>
      </c>
      <c r="AU254" t="str">
        <f ca="1">IFERROR(IF(0=LEN(ReferenceData!$AU$254),"",ReferenceData!$AU$254),"")</f>
        <v/>
      </c>
      <c r="AV254" t="str">
        <f ca="1">IFERROR(IF(0=LEN(ReferenceData!$AV$254),"",ReferenceData!$AV$254),"")</f>
        <v/>
      </c>
      <c r="AW254" t="str">
        <f ca="1">IFERROR(IF(0=LEN(ReferenceData!$AW$254),"",ReferenceData!$AW$254),"")</f>
        <v/>
      </c>
      <c r="AX254" t="str">
        <f ca="1">IFERROR(IF(0=LEN(ReferenceData!$AX$254),"",ReferenceData!$AX$254),"")</f>
        <v/>
      </c>
      <c r="AY254" t="str">
        <f ca="1">IFERROR(IF(0=LEN(ReferenceData!$AY$254),"",ReferenceData!$AY$254),"")</f>
        <v/>
      </c>
      <c r="AZ254" t="str">
        <f ca="1">IFERROR(IF(0=LEN(ReferenceData!$AZ$254),"",ReferenceData!$AZ$254),"")</f>
        <v/>
      </c>
      <c r="BA254" t="str">
        <f ca="1">IFERROR(IF(0=LEN(ReferenceData!$BA$254),"",ReferenceData!$BA$254),"")</f>
        <v/>
      </c>
      <c r="BB254" t="str">
        <f ca="1">IFERROR(IF(0=LEN(ReferenceData!$BB$254),"",ReferenceData!$BB$254),"")</f>
        <v/>
      </c>
      <c r="BC254" t="str">
        <f ca="1">IFERROR(IF(0=LEN(ReferenceData!$BC$254),"",ReferenceData!$BC$254),"")</f>
        <v/>
      </c>
      <c r="BD254" t="str">
        <f ca="1">IFERROR(IF(0=LEN(ReferenceData!$BD$254),"",ReferenceData!$BD$254),"")</f>
        <v/>
      </c>
      <c r="BE254" t="str">
        <f ca="1">IFERROR(IF(0=LEN(ReferenceData!$BE$254),"",ReferenceData!$BE$254),"")</f>
        <v/>
      </c>
      <c r="BF254" t="str">
        <f ca="1">IFERROR(IF(0=LEN(ReferenceData!$BF$254),"",ReferenceData!$BF$254),"")</f>
        <v/>
      </c>
      <c r="BG254" t="str">
        <f ca="1">IFERROR(IF(0=LEN(ReferenceData!$BG$254),"",ReferenceData!$BG$254),"")</f>
        <v/>
      </c>
      <c r="BH254" t="str">
        <f ca="1">IFERROR(IF(0=LEN(ReferenceData!$BH$254),"",ReferenceData!$BH$254),"")</f>
        <v/>
      </c>
      <c r="BI254" t="str">
        <f ca="1">IFERROR(IF(0=LEN(ReferenceData!$BI$254),"",ReferenceData!$BI$254),"")</f>
        <v/>
      </c>
      <c r="BJ254" t="str">
        <f ca="1">IFERROR(IF(0=LEN(ReferenceData!$BJ$254),"",ReferenceData!$BJ$254),"")</f>
        <v/>
      </c>
      <c r="BK254" t="str">
        <f ca="1">IFERROR(IF(0=LEN(ReferenceData!$BK$254),"",ReferenceData!$BK$254),"")</f>
        <v/>
      </c>
      <c r="BL254" t="str">
        <f ca="1">IFERROR(IF(0=LEN(ReferenceData!$BL$254),"",ReferenceData!$BL$254),"")</f>
        <v/>
      </c>
      <c r="BM254" t="str">
        <f ca="1">IFERROR(IF(0=LEN(ReferenceData!$BM$254),"",ReferenceData!$BM$254),"")</f>
        <v/>
      </c>
    </row>
    <row r="255" spans="1:65" x14ac:dyDescent="0.25">
      <c r="A255" t="str">
        <f>IFERROR(IF(0=LEN(ReferenceData!$A$255),"",ReferenceData!$A$255),"")</f>
        <v xml:space="preserve">    Chongqing Changan Automobile Co Ltd</v>
      </c>
      <c r="B255" t="str">
        <f>IFERROR(IF(0=LEN(ReferenceData!$B$255),"",ReferenceData!$B$255),"")</f>
        <v>200625 CH Equity</v>
      </c>
      <c r="C255" t="str">
        <f>IFERROR(IF(0=LEN(ReferenceData!$C$255),"",ReferenceData!$C$255),"")</f>
        <v>RR010</v>
      </c>
      <c r="D255" t="str">
        <f>IFERROR(IF(0=LEN(ReferenceData!$D$255),"",ReferenceData!$D$255),"")</f>
        <v>TOT_COMMON_EQY</v>
      </c>
      <c r="E255" t="str">
        <f>IFERROR(IF(0=LEN(ReferenceData!$E$255),"",ReferenceData!$E$255),"")</f>
        <v>Dynamic</v>
      </c>
      <c r="F255" t="str">
        <f ca="1">IFERROR(IF(0=LEN(ReferenceData!$F$255),"",ReferenceData!$F$255),"")</f>
        <v/>
      </c>
      <c r="G255" t="str">
        <f ca="1">IFERROR(IF(0=LEN(ReferenceData!$G$255),"",ReferenceData!$G$255),"")</f>
        <v/>
      </c>
      <c r="H255">
        <f ca="1">IFERROR(IF(0=LEN(ReferenceData!$H$255),"",ReferenceData!$H$255),"")</f>
        <v>6826.3432640000001</v>
      </c>
      <c r="I255">
        <f ca="1">IFERROR(IF(0=LEN(ReferenceData!$I$255),"",ReferenceData!$I$255),"")</f>
        <v>7143.1099249999997</v>
      </c>
      <c r="J255">
        <f ca="1">IFERROR(IF(0=LEN(ReferenceData!$J$255),"",ReferenceData!$J$255),"")</f>
        <v>7787.7351179999996</v>
      </c>
      <c r="K255">
        <f ca="1">IFERROR(IF(0=LEN(ReferenceData!$K$255),"",ReferenceData!$K$255),"")</f>
        <v>7315.3351069999999</v>
      </c>
      <c r="L255">
        <f ca="1">IFERROR(IF(0=LEN(ReferenceData!$L$255),"",ReferenceData!$L$255),"")</f>
        <v>6983.9601249999996</v>
      </c>
      <c r="M255">
        <f ca="1">IFERROR(IF(0=LEN(ReferenceData!$M$255),"",ReferenceData!$M$255),"")</f>
        <v>6666.5683740000004</v>
      </c>
      <c r="N255">
        <f ca="1">IFERROR(IF(0=LEN(ReferenceData!$N$255),"",ReferenceData!$N$255),"")</f>
        <v>6684.2216129999997</v>
      </c>
      <c r="O255">
        <f ca="1">IFERROR(IF(0=LEN(ReferenceData!$O$255),"",ReferenceData!$O$255),"")</f>
        <v>6278.9187430000002</v>
      </c>
      <c r="P255">
        <f ca="1">IFERROR(IF(0=LEN(ReferenceData!$P$255),"",ReferenceData!$P$255),"")</f>
        <v>5857.3903280000004</v>
      </c>
      <c r="Q255">
        <f ca="1">IFERROR(IF(0=LEN(ReferenceData!$Q$255),"",ReferenceData!$Q$255),"")</f>
        <v>5529.5420679999997</v>
      </c>
      <c r="R255">
        <f ca="1">IFERROR(IF(0=LEN(ReferenceData!$R$255),"",ReferenceData!$R$255),"")</f>
        <v>5738.0258059999996</v>
      </c>
      <c r="S255">
        <f ca="1">IFERROR(IF(0=LEN(ReferenceData!$S$255),"",ReferenceData!$S$255),"")</f>
        <v>5300.2218220000004</v>
      </c>
      <c r="T255">
        <f ca="1">IFERROR(IF(0=LEN(ReferenceData!$T$255),"",ReferenceData!$T$255),"")</f>
        <v>4890.8382750000001</v>
      </c>
      <c r="U255">
        <f ca="1">IFERROR(IF(0=LEN(ReferenceData!$U$255),"",ReferenceData!$U$255),"")</f>
        <v>4759.9507389999999</v>
      </c>
      <c r="V255">
        <f ca="1">IFERROR(IF(0=LEN(ReferenceData!$V$255),"",ReferenceData!$V$255),"")</f>
        <v>4532.4434799999999</v>
      </c>
      <c r="W255">
        <f ca="1">IFERROR(IF(0=LEN(ReferenceData!$W$255),"",ReferenceData!$W$255),"")</f>
        <v>4130.118657</v>
      </c>
      <c r="X255">
        <f ca="1">IFERROR(IF(0=LEN(ReferenceData!$X$255),"",ReferenceData!$X$255),"")</f>
        <v>3814.6014230000001</v>
      </c>
      <c r="Y255">
        <f ca="1">IFERROR(IF(0=LEN(ReferenceData!$Y$255),"",ReferenceData!$Y$255),"")</f>
        <v>3476.1296000000002</v>
      </c>
      <c r="Z255">
        <f ca="1">IFERROR(IF(0=LEN(ReferenceData!$Z$255),"",ReferenceData!$Z$255),"")</f>
        <v>3332.4262370000001</v>
      </c>
      <c r="AA255">
        <f ca="1">IFERROR(IF(0=LEN(ReferenceData!$AA$255),"",ReferenceData!$AA$255),"")</f>
        <v>3115.6421869999999</v>
      </c>
      <c r="AB255">
        <f ca="1">IFERROR(IF(0=LEN(ReferenceData!$AB$255),"",ReferenceData!$AB$255),"")</f>
        <v>2869.1728520000001</v>
      </c>
      <c r="AC255">
        <f ca="1">IFERROR(IF(0=LEN(ReferenceData!$AC$255),"",ReferenceData!$AC$255),"")</f>
        <v>2703.4664870000001</v>
      </c>
      <c r="AD255">
        <f ca="1">IFERROR(IF(0=LEN(ReferenceData!$AD$255),"",ReferenceData!$AD$255),"")</f>
        <v>2584.766251</v>
      </c>
      <c r="AE255">
        <f ca="1">IFERROR(IF(0=LEN(ReferenceData!$AE$255),"",ReferenceData!$AE$255),"")</f>
        <v>2488.0409540000001</v>
      </c>
      <c r="AF255">
        <f ca="1">IFERROR(IF(0=LEN(ReferenceData!$AF$255),"",ReferenceData!$AF$255),"")</f>
        <v>2362.777619</v>
      </c>
      <c r="AG255">
        <f ca="1">IFERROR(IF(0=LEN(ReferenceData!$AG$255),"",ReferenceData!$AG$255),"")</f>
        <v>2339.9364559999999</v>
      </c>
      <c r="AH255">
        <f ca="1">IFERROR(IF(0=LEN(ReferenceData!$AH$255),"",ReferenceData!$AH$255),"")</f>
        <v>2288.5806360000001</v>
      </c>
      <c r="AI255">
        <f ca="1">IFERROR(IF(0=LEN(ReferenceData!$AI$255),"",ReferenceData!$AI$255),"")</f>
        <v>2339.6719619999999</v>
      </c>
      <c r="AJ255">
        <f ca="1">IFERROR(IF(0=LEN(ReferenceData!$AJ$255),"",ReferenceData!$AJ$255),"")</f>
        <v>2311.078493</v>
      </c>
      <c r="AK255">
        <f ca="1">IFERROR(IF(0=LEN(ReferenceData!$AK$255),"",ReferenceData!$AK$255),"")</f>
        <v>2339.6960330000002</v>
      </c>
      <c r="AL255">
        <f ca="1">IFERROR(IF(0=LEN(ReferenceData!$AL$255),"",ReferenceData!$AL$255),"")</f>
        <v>2259.6726330000001</v>
      </c>
      <c r="AM255">
        <f ca="1">IFERROR(IF(0=LEN(ReferenceData!$AM$255),"",ReferenceData!$AM$255),"")</f>
        <v>1639.035674</v>
      </c>
      <c r="AN255">
        <f ca="1">IFERROR(IF(0=LEN(ReferenceData!$AN$255),"",ReferenceData!$AN$255),"")</f>
        <v>1540.6064180000001</v>
      </c>
      <c r="AO255">
        <f ca="1">IFERROR(IF(0=LEN(ReferenceData!$AO$255),"",ReferenceData!$AO$255),"")</f>
        <v>1461.0438300000001</v>
      </c>
      <c r="AP255">
        <f ca="1">IFERROR(IF(0=LEN(ReferenceData!$AP$255),"",ReferenceData!$AP$255),"")</f>
        <v>1402.767341</v>
      </c>
      <c r="AQ255">
        <f ca="1">IFERROR(IF(0=LEN(ReferenceData!$AQ$255),"",ReferenceData!$AQ$255),"")</f>
        <v>1316.881736</v>
      </c>
      <c r="AR255">
        <f ca="1">IFERROR(IF(0=LEN(ReferenceData!$AR$255),"",ReferenceData!$AR$255),"")</f>
        <v>1226.1456969999999</v>
      </c>
      <c r="AS255">
        <f ca="1">IFERROR(IF(0=LEN(ReferenceData!$AS$255),"",ReferenceData!$AS$255),"")</f>
        <v>1181.7184970000001</v>
      </c>
      <c r="AT255">
        <f ca="1">IFERROR(IF(0=LEN(ReferenceData!$AT$255),"",ReferenceData!$AT$255),"")</f>
        <v>1115.9074210000001</v>
      </c>
      <c r="AU255">
        <f ca="1">IFERROR(IF(0=LEN(ReferenceData!$AU$255),"",ReferenceData!$AU$255),"")</f>
        <v>1112.962393</v>
      </c>
      <c r="AV255">
        <f ca="1">IFERROR(IF(0=LEN(ReferenceData!$AV$255),"",ReferenceData!$AV$255),"")</f>
        <v>1156.3853489999999</v>
      </c>
      <c r="AW255">
        <f ca="1">IFERROR(IF(0=LEN(ReferenceData!$AW$255),"",ReferenceData!$AW$255),"")</f>
        <v>1170.54349</v>
      </c>
      <c r="AX255">
        <f ca="1">IFERROR(IF(0=LEN(ReferenceData!$AX$255),"",ReferenceData!$AX$255),"")</f>
        <v>1118.178177</v>
      </c>
      <c r="AY255">
        <f ca="1">IFERROR(IF(0=LEN(ReferenceData!$AY$255),"",ReferenceData!$AY$255),"")</f>
        <v>1037.8189540000001</v>
      </c>
      <c r="AZ255">
        <f ca="1">IFERROR(IF(0=LEN(ReferenceData!$AZ$255),"",ReferenceData!$AZ$255),"")</f>
        <v>1001.586575</v>
      </c>
      <c r="BA255">
        <f ca="1">IFERROR(IF(0=LEN(ReferenceData!$BA$255),"",ReferenceData!$BA$255),"")</f>
        <v>991.48968920000004</v>
      </c>
      <c r="BB255">
        <f ca="1">IFERROR(IF(0=LEN(ReferenceData!$BB$255),"",ReferenceData!$BB$255),"")</f>
        <v>942.56857730000002</v>
      </c>
      <c r="BC255">
        <f ca="1">IFERROR(IF(0=LEN(ReferenceData!$BC$255),"",ReferenceData!$BC$255),"")</f>
        <v>936.15448160000005</v>
      </c>
      <c r="BD255">
        <f ca="1">IFERROR(IF(0=LEN(ReferenceData!$BD$255),"",ReferenceData!$BD$255),"")</f>
        <v>907.1678647</v>
      </c>
      <c r="BE255">
        <f ca="1">IFERROR(IF(0=LEN(ReferenceData!$BE$255),"",ReferenceData!$BE$255),"")</f>
        <v>896.83457940000005</v>
      </c>
      <c r="BF255">
        <f ca="1">IFERROR(IF(0=LEN(ReferenceData!$BF$255),"",ReferenceData!$BF$255),"")</f>
        <v>865.17157689999999</v>
      </c>
      <c r="BG255">
        <f ca="1">IFERROR(IF(0=LEN(ReferenceData!$BG$255),"",ReferenceData!$BG$255),"")</f>
        <v>834.14497759999995</v>
      </c>
      <c r="BH255">
        <f ca="1">IFERROR(IF(0=LEN(ReferenceData!$BH$255),"",ReferenceData!$BH$255),"")</f>
        <v>825.36035589999994</v>
      </c>
      <c r="BI255">
        <f ca="1">IFERROR(IF(0=LEN(ReferenceData!$BI$255),"",ReferenceData!$BI$255),"")</f>
        <v>816.21776699999998</v>
      </c>
      <c r="BJ255">
        <f ca="1">IFERROR(IF(0=LEN(ReferenceData!$BJ$255),"",ReferenceData!$BJ$255),"")</f>
        <v>871.99072060000003</v>
      </c>
      <c r="BK255">
        <f ca="1">IFERROR(IF(0=LEN(ReferenceData!$BK$255),"",ReferenceData!$BK$255),"")</f>
        <v>843.04412579999996</v>
      </c>
      <c r="BL255" t="str">
        <f ca="1">IFERROR(IF(0=LEN(ReferenceData!$BL$255),"",ReferenceData!$BL$255),"")</f>
        <v/>
      </c>
      <c r="BM255" t="str">
        <f ca="1">IFERROR(IF(0=LEN(ReferenceData!$BM$255),"",ReferenceData!$BM$255),"")</f>
        <v/>
      </c>
    </row>
    <row r="256" spans="1:65" x14ac:dyDescent="0.25">
      <c r="A256" t="str">
        <f>IFERROR(IF(0=LEN(ReferenceData!$A$256),"",ReferenceData!$A$256),"")</f>
        <v xml:space="preserve">    Daihatsu Motor Co Ltd</v>
      </c>
      <c r="B256" t="str">
        <f>IFERROR(IF(0=LEN(ReferenceData!$B$256),"",ReferenceData!$B$256),"")</f>
        <v>7262 JP Equity</v>
      </c>
      <c r="C256" t="str">
        <f>IFERROR(IF(0=LEN(ReferenceData!$C$256),"",ReferenceData!$C$256),"")</f>
        <v>RR010</v>
      </c>
      <c r="D256" t="str">
        <f>IFERROR(IF(0=LEN(ReferenceData!$D$256),"",ReferenceData!$D$256),"")</f>
        <v>TOT_COMMON_EQY</v>
      </c>
      <c r="E256" t="str">
        <f>IFERROR(IF(0=LEN(ReferenceData!$E$256),"",ReferenceData!$E$256),"")</f>
        <v>Dynamic</v>
      </c>
      <c r="F256" t="str">
        <f ca="1">IFERROR(IF(0=LEN(ReferenceData!$F$256),"",ReferenceData!$F$256),"")</f>
        <v/>
      </c>
      <c r="G256" t="str">
        <f ca="1">IFERROR(IF(0=LEN(ReferenceData!$G$256),"",ReferenceData!$G$256),"")</f>
        <v/>
      </c>
      <c r="H256" t="str">
        <f ca="1">IFERROR(IF(0=LEN(ReferenceData!$H$256),"",ReferenceData!$H$256),"")</f>
        <v/>
      </c>
      <c r="I256" t="str">
        <f ca="1">IFERROR(IF(0=LEN(ReferenceData!$I$256),"",ReferenceData!$I$256),"")</f>
        <v/>
      </c>
      <c r="J256" t="str">
        <f ca="1">IFERROR(IF(0=LEN(ReferenceData!$J$256),"",ReferenceData!$J$256),"")</f>
        <v/>
      </c>
      <c r="K256" t="str">
        <f ca="1">IFERROR(IF(0=LEN(ReferenceData!$K$256),"",ReferenceData!$K$256),"")</f>
        <v/>
      </c>
      <c r="L256" t="str">
        <f ca="1">IFERROR(IF(0=LEN(ReferenceData!$L$256),"",ReferenceData!$L$256),"")</f>
        <v/>
      </c>
      <c r="M256" t="str">
        <f ca="1">IFERROR(IF(0=LEN(ReferenceData!$M$256),"",ReferenceData!$M$256),"")</f>
        <v/>
      </c>
      <c r="N256" t="str">
        <f ca="1">IFERROR(IF(0=LEN(ReferenceData!$N$256),"",ReferenceData!$N$256),"")</f>
        <v/>
      </c>
      <c r="O256" t="str">
        <f ca="1">IFERROR(IF(0=LEN(ReferenceData!$O$256),"",ReferenceData!$O$256),"")</f>
        <v/>
      </c>
      <c r="P256" t="str">
        <f ca="1">IFERROR(IF(0=LEN(ReferenceData!$P$256),"",ReferenceData!$P$256),"")</f>
        <v/>
      </c>
      <c r="Q256" t="str">
        <f ca="1">IFERROR(IF(0=LEN(ReferenceData!$Q$256),"",ReferenceData!$Q$256),"")</f>
        <v/>
      </c>
      <c r="R256">
        <f ca="1">IFERROR(IF(0=LEN(ReferenceData!$R$256),"",ReferenceData!$R$256),"")</f>
        <v>5508.64</v>
      </c>
      <c r="S256">
        <f ca="1">IFERROR(IF(0=LEN(ReferenceData!$S$256),"",ReferenceData!$S$256),"")</f>
        <v>5059.5341099999996</v>
      </c>
      <c r="T256">
        <f ca="1">IFERROR(IF(0=LEN(ReferenceData!$T$256),"",ReferenceData!$T$256),"")</f>
        <v>5057.3995150000001</v>
      </c>
      <c r="U256">
        <f ca="1">IFERROR(IF(0=LEN(ReferenceData!$U$256),"",ReferenceData!$U$256),"")</f>
        <v>5033.41795</v>
      </c>
      <c r="V256">
        <f ca="1">IFERROR(IF(0=LEN(ReferenceData!$V$256),"",ReferenceData!$V$256),"")</f>
        <v>5156.390163</v>
      </c>
      <c r="W256">
        <f ca="1">IFERROR(IF(0=LEN(ReferenceData!$W$256),"",ReferenceData!$W$256),"")</f>
        <v>4836.2650199999998</v>
      </c>
      <c r="X256">
        <f ca="1">IFERROR(IF(0=LEN(ReferenceData!$X$256),"",ReferenceData!$X$256),"")</f>
        <v>5212.4019699999999</v>
      </c>
      <c r="Y256">
        <f ca="1">IFERROR(IF(0=LEN(ReferenceData!$Y$256),"",ReferenceData!$Y$256),"")</f>
        <v>5534.7418299999999</v>
      </c>
      <c r="Z256">
        <f ca="1">IFERROR(IF(0=LEN(ReferenceData!$Z$256),"",ReferenceData!$Z$256),"")</f>
        <v>5346.269526</v>
      </c>
      <c r="AA256">
        <f ca="1">IFERROR(IF(0=LEN(ReferenceData!$AA$256),"",ReferenceData!$AA$256),"")</f>
        <v>5028.7098610000003</v>
      </c>
      <c r="AB256">
        <f ca="1">IFERROR(IF(0=LEN(ReferenceData!$AB$256),"",ReferenceData!$AB$256),"")</f>
        <v>5308.2883620000002</v>
      </c>
      <c r="AC256">
        <f ca="1">IFERROR(IF(0=LEN(ReferenceData!$AC$256),"",ReferenceData!$AC$256),"")</f>
        <v>5194.9763409999996</v>
      </c>
      <c r="AD256">
        <f ca="1">IFERROR(IF(0=LEN(ReferenceData!$AD$256),"",ReferenceData!$AD$256),"")</f>
        <v>5313.638293</v>
      </c>
      <c r="AE256">
        <f ca="1">IFERROR(IF(0=LEN(ReferenceData!$AE$256),"",ReferenceData!$AE$256),"")</f>
        <v>5366.4973449999998</v>
      </c>
      <c r="AF256">
        <f ca="1">IFERROR(IF(0=LEN(ReferenceData!$AF$256),"",ReferenceData!$AF$256),"")</f>
        <v>5825.5903490000001</v>
      </c>
      <c r="AG256">
        <f ca="1">IFERROR(IF(0=LEN(ReferenceData!$AG$256),"",ReferenceData!$AG$256),"")</f>
        <v>5441.7794489999997</v>
      </c>
      <c r="AH256">
        <f ca="1">IFERROR(IF(0=LEN(ReferenceData!$AH$256),"",ReferenceData!$AH$256),"")</f>
        <v>5207.3096939999996</v>
      </c>
      <c r="AI256">
        <f ca="1">IFERROR(IF(0=LEN(ReferenceData!$AI$256),"",ReferenceData!$AI$256),"")</f>
        <v>5118.7686709999998</v>
      </c>
      <c r="AJ256">
        <f ca="1">IFERROR(IF(0=LEN(ReferenceData!$AJ$256),"",ReferenceData!$AJ$256),"")</f>
        <v>5063.1578950000003</v>
      </c>
      <c r="AK256">
        <f ca="1">IFERROR(IF(0=LEN(ReferenceData!$AK$256),"",ReferenceData!$AK$256),"")</f>
        <v>4722.6911620000001</v>
      </c>
      <c r="AL256">
        <f ca="1">IFERROR(IF(0=LEN(ReferenceData!$AL$256),"",ReferenceData!$AL$256),"")</f>
        <v>4635.7841360000002</v>
      </c>
      <c r="AM256">
        <f ca="1">IFERROR(IF(0=LEN(ReferenceData!$AM$256),"",ReferenceData!$AM$256),"")</f>
        <v>4560.0566570000001</v>
      </c>
      <c r="AN256">
        <f ca="1">IFERROR(IF(0=LEN(ReferenceData!$AN$256),"",ReferenceData!$AN$256),"")</f>
        <v>4355.907021</v>
      </c>
      <c r="AO256">
        <f ca="1">IFERROR(IF(0=LEN(ReferenceData!$AO$256),"",ReferenceData!$AO$256),"")</f>
        <v>4041.465342</v>
      </c>
      <c r="AP256">
        <f ca="1">IFERROR(IF(0=LEN(ReferenceData!$AP$256),"",ReferenceData!$AP$256),"")</f>
        <v>3667.7440069999998</v>
      </c>
      <c r="AQ256">
        <f ca="1">IFERROR(IF(0=LEN(ReferenceData!$AQ$256),"",ReferenceData!$AQ$256),"")</f>
        <v>3582.7249299999999</v>
      </c>
      <c r="AR256">
        <f ca="1">IFERROR(IF(0=LEN(ReferenceData!$AR$256),"",ReferenceData!$AR$256),"")</f>
        <v>3651.2377339999998</v>
      </c>
      <c r="AS256">
        <f ca="1">IFERROR(IF(0=LEN(ReferenceData!$AS$256),"",ReferenceData!$AS$256),"")</f>
        <v>3416.2375419999998</v>
      </c>
      <c r="AT256">
        <f ca="1">IFERROR(IF(0=LEN(ReferenceData!$AT$256),"",ReferenceData!$AT$256),"")</f>
        <v>3223.1202819999999</v>
      </c>
      <c r="AU256">
        <f ca="1">IFERROR(IF(0=LEN(ReferenceData!$AU$256),"",ReferenceData!$AU$256),"")</f>
        <v>3528.3511400000002</v>
      </c>
      <c r="AV256">
        <f ca="1">IFERROR(IF(0=LEN(ReferenceData!$AV$256),"",ReferenceData!$AV$256),"")</f>
        <v>3183.6519450000001</v>
      </c>
      <c r="AW256">
        <f ca="1">IFERROR(IF(0=LEN(ReferenceData!$AW$256),"",ReferenceData!$AW$256),"")</f>
        <v>3181.2129199999999</v>
      </c>
      <c r="AX256">
        <f ca="1">IFERROR(IF(0=LEN(ReferenceData!$AX$256),"",ReferenceData!$AX$256),"")</f>
        <v>3286.1706389999999</v>
      </c>
      <c r="AY256">
        <f ca="1">IFERROR(IF(0=LEN(ReferenceData!$AY$256),"",ReferenceData!$AY$256),"")</f>
        <v>2890.4374269999998</v>
      </c>
      <c r="AZ256">
        <f ca="1">IFERROR(IF(0=LEN(ReferenceData!$AZ$256),"",ReferenceData!$AZ$256),"")</f>
        <v>2800.3310099999999</v>
      </c>
      <c r="BA256">
        <f ca="1">IFERROR(IF(0=LEN(ReferenceData!$BA$256),"",ReferenceData!$BA$256),"")</f>
        <v>2656.790524</v>
      </c>
      <c r="BB256">
        <f ca="1">IFERROR(IF(0=LEN(ReferenceData!$BB$256),"",ReferenceData!$BB$256),"")</f>
        <v>2721.6259890000001</v>
      </c>
      <c r="BC256">
        <f ca="1">IFERROR(IF(0=LEN(ReferenceData!$BC$256),"",ReferenceData!$BC$256),"")</f>
        <v>2569.2223720000002</v>
      </c>
      <c r="BD256">
        <f ca="1">IFERROR(IF(0=LEN(ReferenceData!$BD$256),"",ReferenceData!$BD$256),"")</f>
        <v>2567.2682599999998</v>
      </c>
      <c r="BE256">
        <f ca="1">IFERROR(IF(0=LEN(ReferenceData!$BE$256),"",ReferenceData!$BE$256),"")</f>
        <v>2613.4183630000002</v>
      </c>
      <c r="BF256">
        <f ca="1">IFERROR(IF(0=LEN(ReferenceData!$BF$256),"",ReferenceData!$BF$256),"")</f>
        <v>2581.3276599999999</v>
      </c>
      <c r="BG256">
        <f ca="1">IFERROR(IF(0=LEN(ReferenceData!$BG$256),"",ReferenceData!$BG$256),"")</f>
        <v>2341.3494959999998</v>
      </c>
      <c r="BH256">
        <f ca="1">IFERROR(IF(0=LEN(ReferenceData!$BH$256),"",ReferenceData!$BH$256),"")</f>
        <v>2294.6988379999998</v>
      </c>
      <c r="BI256">
        <f ca="1">IFERROR(IF(0=LEN(ReferenceData!$BI$256),"",ReferenceData!$BI$256),"")</f>
        <v>2203.0830249999999</v>
      </c>
      <c r="BJ256">
        <f ca="1">IFERROR(IF(0=LEN(ReferenceData!$BJ$256),"",ReferenceData!$BJ$256),"")</f>
        <v>2243.8899249999999</v>
      </c>
      <c r="BK256">
        <f ca="1">IFERROR(IF(0=LEN(ReferenceData!$BK$256),"",ReferenceData!$BK$256),"")</f>
        <v>2250.1121840000001</v>
      </c>
      <c r="BL256">
        <f ca="1">IFERROR(IF(0=LEN(ReferenceData!$BL$256),"",ReferenceData!$BL$256),"")</f>
        <v>2027.599381</v>
      </c>
      <c r="BM256">
        <f ca="1">IFERROR(IF(0=LEN(ReferenceData!$BM$256),"",ReferenceData!$BM$256),"")</f>
        <v>2006.4825820000001</v>
      </c>
    </row>
    <row r="257" spans="1:65" x14ac:dyDescent="0.25">
      <c r="A257" t="str">
        <f>IFERROR(IF(0=LEN(ReferenceData!$A$257),"",ReferenceData!$A$257),"")</f>
        <v xml:space="preserve">    Daimler AG</v>
      </c>
      <c r="B257" t="str">
        <f>IFERROR(IF(0=LEN(ReferenceData!$B$257),"",ReferenceData!$B$257),"")</f>
        <v>DAI GR Equity</v>
      </c>
      <c r="C257" t="str">
        <f>IFERROR(IF(0=LEN(ReferenceData!$C$257),"",ReferenceData!$C$257),"")</f>
        <v>RR010</v>
      </c>
      <c r="D257" t="str">
        <f>IFERROR(IF(0=LEN(ReferenceData!$D$257),"",ReferenceData!$D$257),"")</f>
        <v>TOT_COMMON_EQY</v>
      </c>
      <c r="E257" t="str">
        <f>IFERROR(IF(0=LEN(ReferenceData!$E$257),"",ReferenceData!$E$257),"")</f>
        <v>Dynamic</v>
      </c>
      <c r="F257" t="str">
        <f ca="1">IFERROR(IF(0=LEN(ReferenceData!$F$257),"",ReferenceData!$F$257),"")</f>
        <v/>
      </c>
      <c r="G257">
        <f ca="1">IFERROR(IF(0=LEN(ReferenceData!$G$257),"",ReferenceData!$G$257),"")</f>
        <v>74056.648400000005</v>
      </c>
      <c r="H257">
        <f ca="1">IFERROR(IF(0=LEN(ReferenceData!$H$257),"",ReferenceData!$H$257),"")</f>
        <v>74592.076400000005</v>
      </c>
      <c r="I257">
        <f ca="1">IFERROR(IF(0=LEN(ReferenceData!$I$257),"",ReferenceData!$I$257),"")</f>
        <v>73520.727400000003</v>
      </c>
      <c r="J257">
        <f ca="1">IFERROR(IF(0=LEN(ReferenceData!$J$257),"",ReferenceData!$J$257),"")</f>
        <v>80755.409700000004</v>
      </c>
      <c r="K257">
        <f ca="1">IFERROR(IF(0=LEN(ReferenceData!$K$257),"",ReferenceData!$K$257),"")</f>
        <v>76783.311799999996</v>
      </c>
      <c r="L257">
        <f ca="1">IFERROR(IF(0=LEN(ReferenceData!$L$257),"",ReferenceData!$L$257),"")</f>
        <v>72662.808900000004</v>
      </c>
      <c r="M257">
        <f ca="1">IFERROR(IF(0=LEN(ReferenceData!$M$257),"",ReferenceData!$M$257),"")</f>
        <v>67999.795299999998</v>
      </c>
      <c r="N257">
        <f ca="1">IFERROR(IF(0=LEN(ReferenceData!$N$257),"",ReferenceData!$N$257),"")</f>
        <v>61435.010399999999</v>
      </c>
      <c r="O257">
        <f ca="1">IFERROR(IF(0=LEN(ReferenceData!$O$257),"",ReferenceData!$O$257),"")</f>
        <v>61119.864999999998</v>
      </c>
      <c r="P257">
        <f ca="1">IFERROR(IF(0=LEN(ReferenceData!$P$257),"",ReferenceData!$P$257),"")</f>
        <v>60284.254800000002</v>
      </c>
      <c r="Q257">
        <f ca="1">IFERROR(IF(0=LEN(ReferenceData!$Q$257),"",ReferenceData!$Q$257),"")</f>
        <v>56870.928</v>
      </c>
      <c r="R257">
        <f ca="1">IFERROR(IF(0=LEN(ReferenceData!$R$257),"",ReferenceData!$R$257),"")</f>
        <v>61105.727099999996</v>
      </c>
      <c r="S257">
        <f ca="1">IFERROR(IF(0=LEN(ReferenceData!$S$257),"",ReferenceData!$S$257),"")</f>
        <v>58199.382599999997</v>
      </c>
      <c r="T257">
        <f ca="1">IFERROR(IF(0=LEN(ReferenceData!$T$257),"",ReferenceData!$T$257),"")</f>
        <v>55743.388200000001</v>
      </c>
      <c r="U257">
        <f ca="1">IFERROR(IF(0=LEN(ReferenceData!$U$257),"",ReferenceData!$U$257),"")</f>
        <v>54074.205199999997</v>
      </c>
      <c r="V257">
        <f ca="1">IFERROR(IF(0=LEN(ReferenceData!$V$257),"",ReferenceData!$V$257),"")</f>
        <v>48856.3848</v>
      </c>
      <c r="W257">
        <f ca="1">IFERROR(IF(0=LEN(ReferenceData!$W$257),"",ReferenceData!$W$257),"")</f>
        <v>52834.65</v>
      </c>
      <c r="X257">
        <f ca="1">IFERROR(IF(0=LEN(ReferenceData!$X$257),"",ReferenceData!$X$257),"")</f>
        <v>55914.897499999999</v>
      </c>
      <c r="Y257">
        <f ca="1">IFERROR(IF(0=LEN(ReferenceData!$Y$257),"",ReferenceData!$Y$257),"")</f>
        <v>57555.498</v>
      </c>
      <c r="Z257">
        <f ca="1">IFERROR(IF(0=LEN(ReferenceData!$Z$257),"",ReferenceData!$Z$257),"")</f>
        <v>58917.993199999997</v>
      </c>
      <c r="AA257">
        <f ca="1">IFERROR(IF(0=LEN(ReferenceData!$AA$257),"",ReferenceData!$AA$257),"")</f>
        <v>58851.451999999997</v>
      </c>
      <c r="AB257">
        <f ca="1">IFERROR(IF(0=LEN(ReferenceData!$AB$257),"",ReferenceData!$AB$257),"")</f>
        <v>55616.469299999997</v>
      </c>
      <c r="AC257">
        <f ca="1">IFERROR(IF(0=LEN(ReferenceData!$AC$257),"",ReferenceData!$AC$257),"")</f>
        <v>51307.326000000001</v>
      </c>
      <c r="AD257">
        <f ca="1">IFERROR(IF(0=LEN(ReferenceData!$AD$257),"",ReferenceData!$AD$257),"")</f>
        <v>49756.948499999999</v>
      </c>
      <c r="AE257">
        <f ca="1">IFERROR(IF(0=LEN(ReferenceData!$AE$257),"",ReferenceData!$AE$257),"")</f>
        <v>50023.228499999997</v>
      </c>
      <c r="AF257">
        <f ca="1">IFERROR(IF(0=LEN(ReferenceData!$AF$257),"",ReferenceData!$AF$257),"")</f>
        <v>53038.819199999998</v>
      </c>
      <c r="AG257">
        <f ca="1">IFERROR(IF(0=LEN(ReferenceData!$AG$257),"",ReferenceData!$AG$257),"")</f>
        <v>50887.382400000002</v>
      </c>
      <c r="AH257">
        <f ca="1">IFERROR(IF(0=LEN(ReferenceData!$AH$257),"",ReferenceData!$AH$257),"")</f>
        <v>55171.815600000002</v>
      </c>
      <c r="AI257">
        <f ca="1">IFERROR(IF(0=LEN(ReferenceData!$AI$257),"",ReferenceData!$AI$257),"")</f>
        <v>51352.703999999998</v>
      </c>
      <c r="AJ257">
        <f ca="1">IFERROR(IF(0=LEN(ReferenceData!$AJ$257),"",ReferenceData!$AJ$257),"")</f>
        <v>51209.757299999997</v>
      </c>
      <c r="AK257">
        <f ca="1">IFERROR(IF(0=LEN(ReferenceData!$AK$257),"",ReferenceData!$AK$257),"")</f>
        <v>53747.942000000003</v>
      </c>
      <c r="AL257">
        <f ca="1">IFERROR(IF(0=LEN(ReferenceData!$AL$257),"",ReferenceData!$AL$257),"")</f>
        <v>52571.112000000001</v>
      </c>
      <c r="AM257">
        <f ca="1">IFERROR(IF(0=LEN(ReferenceData!$AM$257),"",ReferenceData!$AM$257),"")</f>
        <v>48616.1518</v>
      </c>
      <c r="AN257">
        <f ca="1">IFERROR(IF(0=LEN(ReferenceData!$AN$257),"",ReferenceData!$AN$257),"")</f>
        <v>46865.057999999997</v>
      </c>
      <c r="AO257">
        <f ca="1">IFERROR(IF(0=LEN(ReferenceData!$AO$257),"",ReferenceData!$AO$257),"")</f>
        <v>40750.847900000001</v>
      </c>
      <c r="AP257">
        <f ca="1">IFERROR(IF(0=LEN(ReferenceData!$AP$257),"",ReferenceData!$AP$257),"")</f>
        <v>41849.449200000003</v>
      </c>
      <c r="AQ257">
        <f ca="1">IFERROR(IF(0=LEN(ReferenceData!$AQ$257),"",ReferenceData!$AQ$257),"")</f>
        <v>43367.039100000002</v>
      </c>
      <c r="AR257">
        <f ca="1">IFERROR(IF(0=LEN(ReferenceData!$AR$257),"",ReferenceData!$AR$257),"")</f>
        <v>44574.756300000001</v>
      </c>
      <c r="AS257">
        <f ca="1">IFERROR(IF(0=LEN(ReferenceData!$AS$257),"",ReferenceData!$AS$257),"")</f>
        <v>42279.26</v>
      </c>
      <c r="AT257">
        <f ca="1">IFERROR(IF(0=LEN(ReferenceData!$AT$257),"",ReferenceData!$AT$257),"")</f>
        <v>42076.157399999996</v>
      </c>
      <c r="AU257">
        <f ca="1">IFERROR(IF(0=LEN(ReferenceData!$AU$257),"",ReferenceData!$AU$257),"")</f>
        <v>43555.684800000003</v>
      </c>
      <c r="AV257">
        <f ca="1">IFERROR(IF(0=LEN(ReferenceData!$AV$257),"",ReferenceData!$AV$257),"")</f>
        <v>46133.666799999999</v>
      </c>
      <c r="AW257">
        <f ca="1">IFERROR(IF(0=LEN(ReferenceData!$AW$257),"",ReferenceData!$AW$257),"")</f>
        <v>53551.181600000004</v>
      </c>
      <c r="AX257">
        <f ca="1">IFERROR(IF(0=LEN(ReferenceData!$AX$257),"",ReferenceData!$AX$257),"")</f>
        <v>55518.046199999997</v>
      </c>
      <c r="AY257">
        <f ca="1">IFERROR(IF(0=LEN(ReferenceData!$AY$257),"",ReferenceData!$AY$257),"")</f>
        <v>53545.859400000001</v>
      </c>
      <c r="AZ257">
        <f ca="1">IFERROR(IF(0=LEN(ReferenceData!$AZ$257),"",ReferenceData!$AZ$257),"")</f>
        <v>52988.364000000001</v>
      </c>
      <c r="BA257">
        <f ca="1">IFERROR(IF(0=LEN(ReferenceData!$BA$257),"",ReferenceData!$BA$257),"")</f>
        <v>53843.333599999998</v>
      </c>
      <c r="BB257">
        <f ca="1">IFERROR(IF(0=LEN(ReferenceData!$BB$257),"",ReferenceData!$BB$257),"")</f>
        <v>51537.182399999998</v>
      </c>
      <c r="BC257">
        <f ca="1">IFERROR(IF(0=LEN(ReferenceData!$BC$257),"",ReferenceData!$BC$257),"")</f>
        <v>48700.3825</v>
      </c>
      <c r="BD257">
        <f ca="1">IFERROR(IF(0=LEN(ReferenceData!$BD$257),"",ReferenceData!$BD$257),"")</f>
        <v>46759.327400000002</v>
      </c>
      <c r="BE257">
        <f ca="1">IFERROR(IF(0=LEN(ReferenceData!$BE$257),"",ReferenceData!$BE$257),"")</f>
        <v>46469.639499999997</v>
      </c>
      <c r="BF257">
        <f ca="1">IFERROR(IF(0=LEN(ReferenceData!$BF$257),"",ReferenceData!$BF$257),"")</f>
        <v>44334.055800000002</v>
      </c>
      <c r="BG257">
        <f ca="1">IFERROR(IF(0=LEN(ReferenceData!$BG$257),"",ReferenceData!$BG$257),"")</f>
        <v>43130.101699999999</v>
      </c>
      <c r="BH257">
        <f ca="1">IFERROR(IF(0=LEN(ReferenceData!$BH$257),"",ReferenceData!$BH$257),"")</f>
        <v>42661.989000000001</v>
      </c>
      <c r="BI257">
        <f ca="1">IFERROR(IF(0=LEN(ReferenceData!$BI$257),"",ReferenceData!$BI$257),"")</f>
        <v>41178.8606</v>
      </c>
      <c r="BJ257">
        <f ca="1">IFERROR(IF(0=LEN(ReferenceData!$BJ$257),"",ReferenceData!$BJ$257),"")</f>
        <v>44654.011200000001</v>
      </c>
      <c r="BK257">
        <f ca="1">IFERROR(IF(0=LEN(ReferenceData!$BK$257),"",ReferenceData!$BK$257),"")</f>
        <v>45468.179600000003</v>
      </c>
      <c r="BL257">
        <f ca="1">IFERROR(IF(0=LEN(ReferenceData!$BL$257),"",ReferenceData!$BL$257),"")</f>
        <v>42889.027999999998</v>
      </c>
      <c r="BM257">
        <f ca="1">IFERROR(IF(0=LEN(ReferenceData!$BM$257),"",ReferenceData!$BM$257),"")</f>
        <v>41767.6587</v>
      </c>
    </row>
    <row r="258" spans="1:65" x14ac:dyDescent="0.25">
      <c r="A258" t="str">
        <f>IFERROR(IF(0=LEN(ReferenceData!$A$258),"",ReferenceData!$A$258),"")</f>
        <v xml:space="preserve">    Dongfeng Motor Group Co Ltd</v>
      </c>
      <c r="B258" t="str">
        <f>IFERROR(IF(0=LEN(ReferenceData!$B$258),"",ReferenceData!$B$258),"")</f>
        <v>489 HK Equity</v>
      </c>
      <c r="C258" t="str">
        <f>IFERROR(IF(0=LEN(ReferenceData!$C$258),"",ReferenceData!$C$258),"")</f>
        <v>RR010</v>
      </c>
      <c r="D258" t="str">
        <f>IFERROR(IF(0=LEN(ReferenceData!$D$258),"",ReferenceData!$D$258),"")</f>
        <v>TOT_COMMON_EQY</v>
      </c>
      <c r="E258" t="str">
        <f>IFERROR(IF(0=LEN(ReferenceData!$E$258),"",ReferenceData!$E$258),"")</f>
        <v>Dynamic</v>
      </c>
      <c r="F258" t="str">
        <f ca="1">IFERROR(IF(0=LEN(ReferenceData!$F$258),"",ReferenceData!$F$258),"")</f>
        <v/>
      </c>
      <c r="G258" t="str">
        <f ca="1">IFERROR(IF(0=LEN(ReferenceData!$G$258),"",ReferenceData!$G$258),"")</f>
        <v/>
      </c>
      <c r="H258" t="str">
        <f ca="1">IFERROR(IF(0=LEN(ReferenceData!$H$258),"",ReferenceData!$H$258),"")</f>
        <v/>
      </c>
      <c r="I258" t="str">
        <f ca="1">IFERROR(IF(0=LEN(ReferenceData!$I$258),"",ReferenceData!$I$258),"")</f>
        <v/>
      </c>
      <c r="J258" t="str">
        <f ca="1">IFERROR(IF(0=LEN(ReferenceData!$J$258),"",ReferenceData!$J$258),"")</f>
        <v/>
      </c>
      <c r="K258" t="str">
        <f ca="1">IFERROR(IF(0=LEN(ReferenceData!$K$258),"",ReferenceData!$K$258),"")</f>
        <v/>
      </c>
      <c r="L258" t="str">
        <f ca="1">IFERROR(IF(0=LEN(ReferenceData!$L$258),"",ReferenceData!$L$258),"")</f>
        <v/>
      </c>
      <c r="M258" t="str">
        <f ca="1">IFERROR(IF(0=LEN(ReferenceData!$M$258),"",ReferenceData!$M$258),"")</f>
        <v/>
      </c>
      <c r="N258" t="str">
        <f ca="1">IFERROR(IF(0=LEN(ReferenceData!$N$258),"",ReferenceData!$N$258),"")</f>
        <v/>
      </c>
      <c r="O258" t="str">
        <f ca="1">IFERROR(IF(0=LEN(ReferenceData!$O$258),"",ReferenceData!$O$258),"")</f>
        <v/>
      </c>
      <c r="P258" t="str">
        <f ca="1">IFERROR(IF(0=LEN(ReferenceData!$P$258),"",ReferenceData!$P$258),"")</f>
        <v/>
      </c>
      <c r="Q258" t="str">
        <f ca="1">IFERROR(IF(0=LEN(ReferenceData!$Q$258),"",ReferenceData!$Q$258),"")</f>
        <v/>
      </c>
      <c r="R258" t="str">
        <f ca="1">IFERROR(IF(0=LEN(ReferenceData!$R$258),"",ReferenceData!$R$258),"")</f>
        <v/>
      </c>
      <c r="S258" t="str">
        <f ca="1">IFERROR(IF(0=LEN(ReferenceData!$S$258),"",ReferenceData!$S$258),"")</f>
        <v/>
      </c>
      <c r="T258" t="str">
        <f ca="1">IFERROR(IF(0=LEN(ReferenceData!$T$258),"",ReferenceData!$T$258),"")</f>
        <v/>
      </c>
      <c r="U258" t="str">
        <f ca="1">IFERROR(IF(0=LEN(ReferenceData!$U$258),"",ReferenceData!$U$258),"")</f>
        <v/>
      </c>
      <c r="V258" t="str">
        <f ca="1">IFERROR(IF(0=LEN(ReferenceData!$V$258),"",ReferenceData!$V$258),"")</f>
        <v/>
      </c>
      <c r="W258" t="str">
        <f ca="1">IFERROR(IF(0=LEN(ReferenceData!$W$258),"",ReferenceData!$W$258),"")</f>
        <v/>
      </c>
      <c r="X258" t="str">
        <f ca="1">IFERROR(IF(0=LEN(ReferenceData!$X$258),"",ReferenceData!$X$258),"")</f>
        <v/>
      </c>
      <c r="Y258" t="str">
        <f ca="1">IFERROR(IF(0=LEN(ReferenceData!$Y$258),"",ReferenceData!$Y$258),"")</f>
        <v/>
      </c>
      <c r="Z258" t="str">
        <f ca="1">IFERROR(IF(0=LEN(ReferenceData!$Z$258),"",ReferenceData!$Z$258),"")</f>
        <v/>
      </c>
      <c r="AA258" t="str">
        <f ca="1">IFERROR(IF(0=LEN(ReferenceData!$AA$258),"",ReferenceData!$AA$258),"")</f>
        <v/>
      </c>
      <c r="AB258" t="str">
        <f ca="1">IFERROR(IF(0=LEN(ReferenceData!$AB$258),"",ReferenceData!$AB$258),"")</f>
        <v/>
      </c>
      <c r="AC258" t="str">
        <f ca="1">IFERROR(IF(0=LEN(ReferenceData!$AC$258),"",ReferenceData!$AC$258),"")</f>
        <v/>
      </c>
      <c r="AD258" t="str">
        <f ca="1">IFERROR(IF(0=LEN(ReferenceData!$AD$258),"",ReferenceData!$AD$258),"")</f>
        <v/>
      </c>
      <c r="AE258" t="str">
        <f ca="1">IFERROR(IF(0=LEN(ReferenceData!$AE$258),"",ReferenceData!$AE$258),"")</f>
        <v/>
      </c>
      <c r="AF258" t="str">
        <f ca="1">IFERROR(IF(0=LEN(ReferenceData!$AF$258),"",ReferenceData!$AF$258),"")</f>
        <v/>
      </c>
      <c r="AG258" t="str">
        <f ca="1">IFERROR(IF(0=LEN(ReferenceData!$AG$258),"",ReferenceData!$AG$258),"")</f>
        <v/>
      </c>
      <c r="AH258" t="str">
        <f ca="1">IFERROR(IF(0=LEN(ReferenceData!$AH$258),"",ReferenceData!$AH$258),"")</f>
        <v/>
      </c>
      <c r="AI258" t="str">
        <f ca="1">IFERROR(IF(0=LEN(ReferenceData!$AI$258),"",ReferenceData!$AI$258),"")</f>
        <v/>
      </c>
      <c r="AJ258" t="str">
        <f ca="1">IFERROR(IF(0=LEN(ReferenceData!$AJ$258),"",ReferenceData!$AJ$258),"")</f>
        <v/>
      </c>
      <c r="AK258" t="str">
        <f ca="1">IFERROR(IF(0=LEN(ReferenceData!$AK$258),"",ReferenceData!$AK$258),"")</f>
        <v/>
      </c>
      <c r="AL258" t="str">
        <f ca="1">IFERROR(IF(0=LEN(ReferenceData!$AL$258),"",ReferenceData!$AL$258),"")</f>
        <v/>
      </c>
      <c r="AM258" t="str">
        <f ca="1">IFERROR(IF(0=LEN(ReferenceData!$AM$258),"",ReferenceData!$AM$258),"")</f>
        <v/>
      </c>
      <c r="AN258" t="str">
        <f ca="1">IFERROR(IF(0=LEN(ReferenceData!$AN$258),"",ReferenceData!$AN$258),"")</f>
        <v/>
      </c>
      <c r="AO258" t="str">
        <f ca="1">IFERROR(IF(0=LEN(ReferenceData!$AO$258),"",ReferenceData!$AO$258),"")</f>
        <v/>
      </c>
      <c r="AP258" t="str">
        <f ca="1">IFERROR(IF(0=LEN(ReferenceData!$AP$258),"",ReferenceData!$AP$258),"")</f>
        <v/>
      </c>
      <c r="AQ258" t="str">
        <f ca="1">IFERROR(IF(0=LEN(ReferenceData!$AQ$258),"",ReferenceData!$AQ$258),"")</f>
        <v/>
      </c>
      <c r="AR258" t="str">
        <f ca="1">IFERROR(IF(0=LEN(ReferenceData!$AR$258),"",ReferenceData!$AR$258),"")</f>
        <v/>
      </c>
      <c r="AS258" t="str">
        <f ca="1">IFERROR(IF(0=LEN(ReferenceData!$AS$258),"",ReferenceData!$AS$258),"")</f>
        <v/>
      </c>
      <c r="AT258" t="str">
        <f ca="1">IFERROR(IF(0=LEN(ReferenceData!$AT$258),"",ReferenceData!$AT$258),"")</f>
        <v/>
      </c>
      <c r="AU258" t="str">
        <f ca="1">IFERROR(IF(0=LEN(ReferenceData!$AU$258),"",ReferenceData!$AU$258),"")</f>
        <v/>
      </c>
      <c r="AV258" t="str">
        <f ca="1">IFERROR(IF(0=LEN(ReferenceData!$AV$258),"",ReferenceData!$AV$258),"")</f>
        <v/>
      </c>
      <c r="AW258" t="str">
        <f ca="1">IFERROR(IF(0=LEN(ReferenceData!$AW$258),"",ReferenceData!$AW$258),"")</f>
        <v/>
      </c>
      <c r="AX258" t="str">
        <f ca="1">IFERROR(IF(0=LEN(ReferenceData!$AX$258),"",ReferenceData!$AX$258),"")</f>
        <v/>
      </c>
      <c r="AY258" t="str">
        <f ca="1">IFERROR(IF(0=LEN(ReferenceData!$AY$258),"",ReferenceData!$AY$258),"")</f>
        <v/>
      </c>
      <c r="AZ258" t="str">
        <f ca="1">IFERROR(IF(0=LEN(ReferenceData!$AZ$258),"",ReferenceData!$AZ$258),"")</f>
        <v/>
      </c>
      <c r="BA258" t="str">
        <f ca="1">IFERROR(IF(0=LEN(ReferenceData!$BA$258),"",ReferenceData!$BA$258),"")</f>
        <v/>
      </c>
      <c r="BB258" t="str">
        <f ca="1">IFERROR(IF(0=LEN(ReferenceData!$BB$258),"",ReferenceData!$BB$258),"")</f>
        <v/>
      </c>
      <c r="BC258" t="str">
        <f ca="1">IFERROR(IF(0=LEN(ReferenceData!$BC$258),"",ReferenceData!$BC$258),"")</f>
        <v/>
      </c>
      <c r="BD258" t="str">
        <f ca="1">IFERROR(IF(0=LEN(ReferenceData!$BD$258),"",ReferenceData!$BD$258),"")</f>
        <v/>
      </c>
      <c r="BE258" t="str">
        <f ca="1">IFERROR(IF(0=LEN(ReferenceData!$BE$258),"",ReferenceData!$BE$258),"")</f>
        <v/>
      </c>
      <c r="BF258" t="str">
        <f ca="1">IFERROR(IF(0=LEN(ReferenceData!$BF$258),"",ReferenceData!$BF$258),"")</f>
        <v/>
      </c>
      <c r="BG258" t="str">
        <f ca="1">IFERROR(IF(0=LEN(ReferenceData!$BG$258),"",ReferenceData!$BG$258),"")</f>
        <v/>
      </c>
      <c r="BH258" t="str">
        <f ca="1">IFERROR(IF(0=LEN(ReferenceData!$BH$258),"",ReferenceData!$BH$258),"")</f>
        <v/>
      </c>
      <c r="BI258" t="str">
        <f ca="1">IFERROR(IF(0=LEN(ReferenceData!$BI$258),"",ReferenceData!$BI$258),"")</f>
        <v/>
      </c>
      <c r="BJ258" t="str">
        <f ca="1">IFERROR(IF(0=LEN(ReferenceData!$BJ$258),"",ReferenceData!$BJ$258),"")</f>
        <v/>
      </c>
      <c r="BK258" t="str">
        <f ca="1">IFERROR(IF(0=LEN(ReferenceData!$BK$258),"",ReferenceData!$BK$258),"")</f>
        <v/>
      </c>
      <c r="BL258" t="str">
        <f ca="1">IFERROR(IF(0=LEN(ReferenceData!$BL$258),"",ReferenceData!$BL$258),"")</f>
        <v/>
      </c>
      <c r="BM258" t="str">
        <f ca="1">IFERROR(IF(0=LEN(ReferenceData!$BM$258),"",ReferenceData!$BM$258),"")</f>
        <v/>
      </c>
    </row>
    <row r="259" spans="1:65" x14ac:dyDescent="0.25">
      <c r="A259" t="str">
        <f>IFERROR(IF(0=LEN(ReferenceData!$A$259),"",ReferenceData!$A$259),"")</f>
        <v xml:space="preserve">    DRB-Hicom Bhd</v>
      </c>
      <c r="B259" t="str">
        <f>IFERROR(IF(0=LEN(ReferenceData!$B$259),"",ReferenceData!$B$259),"")</f>
        <v>DRB MK Equity</v>
      </c>
      <c r="C259" t="str">
        <f>IFERROR(IF(0=LEN(ReferenceData!$C$259),"",ReferenceData!$C$259),"")</f>
        <v>RR010</v>
      </c>
      <c r="D259" t="str">
        <f>IFERROR(IF(0=LEN(ReferenceData!$D$259),"",ReferenceData!$D$259),"")</f>
        <v>TOT_COMMON_EQY</v>
      </c>
      <c r="E259" t="str">
        <f>IFERROR(IF(0=LEN(ReferenceData!$E$259),"",ReferenceData!$E$259),"")</f>
        <v>Dynamic</v>
      </c>
      <c r="F259" t="str">
        <f ca="1">IFERROR(IF(0=LEN(ReferenceData!$F$259),"",ReferenceData!$F$259),"")</f>
        <v/>
      </c>
      <c r="G259" t="str">
        <f ca="1">IFERROR(IF(0=LEN(ReferenceData!$G$259),"",ReferenceData!$G$259),"")</f>
        <v/>
      </c>
      <c r="H259">
        <f ca="1">IFERROR(IF(0=LEN(ReferenceData!$H$259),"",ReferenceData!$H$259),"")</f>
        <v>1574.7480969999999</v>
      </c>
      <c r="I259">
        <f ca="1">IFERROR(IF(0=LEN(ReferenceData!$I$259),"",ReferenceData!$I$259),"")</f>
        <v>1627.085028</v>
      </c>
      <c r="J259">
        <f ca="1">IFERROR(IF(0=LEN(ReferenceData!$J$259),"",ReferenceData!$J$259),"")</f>
        <v>1722.4068890000001</v>
      </c>
      <c r="K259">
        <f ca="1">IFERROR(IF(0=LEN(ReferenceData!$K$259),"",ReferenceData!$K$259),"")</f>
        <v>1666.915103</v>
      </c>
      <c r="L259">
        <f ca="1">IFERROR(IF(0=LEN(ReferenceData!$L$259),"",ReferenceData!$L$259),"")</f>
        <v>1620.2240380000001</v>
      </c>
      <c r="M259">
        <f ca="1">IFERROR(IF(0=LEN(ReferenceData!$M$259),"",ReferenceData!$M$259),"")</f>
        <v>1371.703385</v>
      </c>
      <c r="N259">
        <f ca="1">IFERROR(IF(0=LEN(ReferenceData!$N$259),"",ReferenceData!$N$259),"")</f>
        <v>1361.464919</v>
      </c>
      <c r="O259">
        <f ca="1">IFERROR(IF(0=LEN(ReferenceData!$O$259),"",ReferenceData!$O$259),"")</f>
        <v>1419.0713169999999</v>
      </c>
      <c r="P259">
        <f ca="1">IFERROR(IF(0=LEN(ReferenceData!$P$259),"",ReferenceData!$P$259),"")</f>
        <v>1480.5434729999999</v>
      </c>
      <c r="Q259">
        <f ca="1">IFERROR(IF(0=LEN(ReferenceData!$Q$259),"",ReferenceData!$Q$259),"")</f>
        <v>1592.5529779999999</v>
      </c>
      <c r="R259">
        <f ca="1">IFERROR(IF(0=LEN(ReferenceData!$R$259),"",ReferenceData!$R$259),"")</f>
        <v>1688.969924</v>
      </c>
      <c r="S259">
        <f ca="1">IFERROR(IF(0=LEN(ReferenceData!$S$259),"",ReferenceData!$S$259),"")</f>
        <v>1706.522547</v>
      </c>
      <c r="T259">
        <f ca="1">IFERROR(IF(0=LEN(ReferenceData!$T$259),"",ReferenceData!$T$259),"")</f>
        <v>1722.4407200000001</v>
      </c>
      <c r="U259">
        <f ca="1">IFERROR(IF(0=LEN(ReferenceData!$U$259),"",ReferenceData!$U$259),"")</f>
        <v>2026.913976</v>
      </c>
      <c r="V259">
        <f ca="1">IFERROR(IF(0=LEN(ReferenceData!$V$259),"",ReferenceData!$V$259),"")</f>
        <v>2043.26307</v>
      </c>
      <c r="W259">
        <f ca="1">IFERROR(IF(0=LEN(ReferenceData!$W$259),"",ReferenceData!$W$259),"")</f>
        <v>2135.6610019999998</v>
      </c>
      <c r="X259">
        <f ca="1">IFERROR(IF(0=LEN(ReferenceData!$X$259),"",ReferenceData!$X$259),"")</f>
        <v>2273.9688540000002</v>
      </c>
      <c r="Y259">
        <f ca="1">IFERROR(IF(0=LEN(ReferenceData!$Y$259),"",ReferenceData!$Y$259),"")</f>
        <v>2308.1834610000001</v>
      </c>
      <c r="Z259">
        <f ca="1">IFERROR(IF(0=LEN(ReferenceData!$Z$259),"",ReferenceData!$Z$259),"")</f>
        <v>2245.196684</v>
      </c>
      <c r="AA259">
        <f ca="1">IFERROR(IF(0=LEN(ReferenceData!$AA$259),"",ReferenceData!$AA$259),"")</f>
        <v>2188.6341609999999</v>
      </c>
      <c r="AB259">
        <f ca="1">IFERROR(IF(0=LEN(ReferenceData!$AB$259),"",ReferenceData!$AB$259),"")</f>
        <v>2173.001197</v>
      </c>
      <c r="AC259">
        <f ca="1">IFERROR(IF(0=LEN(ReferenceData!$AC$259),"",ReferenceData!$AC$259),"")</f>
        <v>2218.8536720000002</v>
      </c>
      <c r="AD259">
        <f ca="1">IFERROR(IF(0=LEN(ReferenceData!$AD$259),"",ReferenceData!$AD$259),"")</f>
        <v>2288.8669410000002</v>
      </c>
      <c r="AE259">
        <f ca="1">IFERROR(IF(0=LEN(ReferenceData!$AE$259),"",ReferenceData!$AE$259),"")</f>
        <v>2198.1935800000001</v>
      </c>
      <c r="AF259">
        <f ca="1">IFERROR(IF(0=LEN(ReferenceData!$AF$259),"",ReferenceData!$AF$259),"")</f>
        <v>2064.660879</v>
      </c>
      <c r="AG259">
        <f ca="1">IFERROR(IF(0=LEN(ReferenceData!$AG$259),"",ReferenceData!$AG$259),"")</f>
        <v>1995.1134420000001</v>
      </c>
      <c r="AH259">
        <f ca="1">IFERROR(IF(0=LEN(ReferenceData!$AH$259),"",ReferenceData!$AH$259),"")</f>
        <v>2141.8479430000002</v>
      </c>
      <c r="AI259">
        <f ca="1">IFERROR(IF(0=LEN(ReferenceData!$AI$259),"",ReferenceData!$AI$259),"")</f>
        <v>1631.239223</v>
      </c>
      <c r="AJ259">
        <f ca="1">IFERROR(IF(0=LEN(ReferenceData!$AJ$259),"",ReferenceData!$AJ$259),"")</f>
        <v>1599.1542939999999</v>
      </c>
      <c r="AK259">
        <f ca="1">IFERROR(IF(0=LEN(ReferenceData!$AK$259),"",ReferenceData!$AK$259),"")</f>
        <v>1683.3050539999999</v>
      </c>
      <c r="AL259">
        <f ca="1">IFERROR(IF(0=LEN(ReferenceData!$AL$259),"",ReferenceData!$AL$259),"")</f>
        <v>1646.1226240000001</v>
      </c>
      <c r="AM259">
        <f ca="1">IFERROR(IF(0=LEN(ReferenceData!$AM$259),"",ReferenceData!$AM$259),"")</f>
        <v>1606.690196</v>
      </c>
      <c r="AN259">
        <f ca="1">IFERROR(IF(0=LEN(ReferenceData!$AN$259),"",ReferenceData!$AN$259),"")</f>
        <v>1565.816826</v>
      </c>
      <c r="AO259">
        <f ca="1">IFERROR(IF(0=LEN(ReferenceData!$AO$259),"",ReferenceData!$AO$259),"")</f>
        <v>1459.926213</v>
      </c>
      <c r="AP259">
        <f ca="1">IFERROR(IF(0=LEN(ReferenceData!$AP$259),"",ReferenceData!$AP$259),"")</f>
        <v>1403.9656649999999</v>
      </c>
      <c r="AQ259">
        <f ca="1">IFERROR(IF(0=LEN(ReferenceData!$AQ$259),"",ReferenceData!$AQ$259),"")</f>
        <v>1259.5527770000001</v>
      </c>
      <c r="AR259">
        <f ca="1">IFERROR(IF(0=LEN(ReferenceData!$AR$259),"",ReferenceData!$AR$259),"")</f>
        <v>1221.7897620000001</v>
      </c>
      <c r="AS259">
        <f ca="1">IFERROR(IF(0=LEN(ReferenceData!$AS$259),"",ReferenceData!$AS$259),"")</f>
        <v>1194.182646</v>
      </c>
      <c r="AT259">
        <f ca="1">IFERROR(IF(0=LEN(ReferenceData!$AT$259),"",ReferenceData!$AT$259),"")</f>
        <v>1141.3369909999999</v>
      </c>
      <c r="AU259">
        <f ca="1">IFERROR(IF(0=LEN(ReferenceData!$AU$259),"",ReferenceData!$AU$259),"")</f>
        <v>1219.546243</v>
      </c>
      <c r="AV259">
        <f ca="1">IFERROR(IF(0=LEN(ReferenceData!$AV$259),"",ReferenceData!$AV$259),"")</f>
        <v>1000.304139</v>
      </c>
      <c r="AW259">
        <f ca="1">IFERROR(IF(0=LEN(ReferenceData!$AW$259),"",ReferenceData!$AW$259),"")</f>
        <v>1074.2160670000001</v>
      </c>
      <c r="AX259">
        <f ca="1">IFERROR(IF(0=LEN(ReferenceData!$AX$259),"",ReferenceData!$AX$259),"")</f>
        <v>903.45187039999996</v>
      </c>
      <c r="AY259">
        <f ca="1">IFERROR(IF(0=LEN(ReferenceData!$AY$259),"",ReferenceData!$AY$259),"")</f>
        <v>860.48447090000002</v>
      </c>
      <c r="AZ259">
        <f ca="1">IFERROR(IF(0=LEN(ReferenceData!$AZ$259),"",ReferenceData!$AZ$259),"")</f>
        <v>782.62691470000004</v>
      </c>
      <c r="BA259">
        <f ca="1">IFERROR(IF(0=LEN(ReferenceData!$BA$259),"",ReferenceData!$BA$259),"")</f>
        <v>764.68472120000001</v>
      </c>
      <c r="BB259">
        <f ca="1">IFERROR(IF(0=LEN(ReferenceData!$BB$259),"",ReferenceData!$BB$259),"")</f>
        <v>752.39219089999995</v>
      </c>
      <c r="BC259">
        <f ca="1">IFERROR(IF(0=LEN(ReferenceData!$BC$259),"",ReferenceData!$BC$259),"")</f>
        <v>726.7842971</v>
      </c>
      <c r="BD259">
        <f ca="1">IFERROR(IF(0=LEN(ReferenceData!$BD$259),"",ReferenceData!$BD$259),"")</f>
        <v>681.48210410000002</v>
      </c>
      <c r="BE259">
        <f ca="1">IFERROR(IF(0=LEN(ReferenceData!$BE$259),"",ReferenceData!$BE$259),"")</f>
        <v>681.88896450000004</v>
      </c>
      <c r="BF259">
        <f ca="1">IFERROR(IF(0=LEN(ReferenceData!$BF$259),"",ReferenceData!$BF$259),"")</f>
        <v>663.48537920000001</v>
      </c>
      <c r="BG259">
        <f ca="1">IFERROR(IF(0=LEN(ReferenceData!$BG$259),"",ReferenceData!$BG$259),"")</f>
        <v>675.99974599999996</v>
      </c>
      <c r="BH259">
        <f ca="1">IFERROR(IF(0=LEN(ReferenceData!$BH$259),"",ReferenceData!$BH$259),"")</f>
        <v>719.00771129999998</v>
      </c>
      <c r="BI259">
        <f ca="1">IFERROR(IF(0=LEN(ReferenceData!$BI$259),"",ReferenceData!$BI$259),"")</f>
        <v>894.62131580000005</v>
      </c>
      <c r="BJ259">
        <f ca="1">IFERROR(IF(0=LEN(ReferenceData!$BJ$259),"",ReferenceData!$BJ$259),"")</f>
        <v>697.16186530000004</v>
      </c>
      <c r="BK259">
        <f ca="1">IFERROR(IF(0=LEN(ReferenceData!$BK$259),"",ReferenceData!$BK$259),"")</f>
        <v>698.58000100000004</v>
      </c>
      <c r="BL259">
        <f ca="1">IFERROR(IF(0=LEN(ReferenceData!$BL$259),"",ReferenceData!$BL$259),"")</f>
        <v>688.68867569999998</v>
      </c>
      <c r="BM259">
        <f ca="1">IFERROR(IF(0=LEN(ReferenceData!$BM$259),"",ReferenceData!$BM$259),"")</f>
        <v>675.76525240000001</v>
      </c>
    </row>
    <row r="260" spans="1:65" x14ac:dyDescent="0.25">
      <c r="A260" t="str">
        <f>IFERROR(IF(0=LEN(ReferenceData!$A$260),"",ReferenceData!$A$260),"")</f>
        <v xml:space="preserve">    FAW CAR Co Ltd</v>
      </c>
      <c r="B260" t="str">
        <f>IFERROR(IF(0=LEN(ReferenceData!$B$260),"",ReferenceData!$B$260),"")</f>
        <v>000800 CH Equity</v>
      </c>
      <c r="C260" t="str">
        <f>IFERROR(IF(0=LEN(ReferenceData!$C$260),"",ReferenceData!$C$260),"")</f>
        <v>RR010</v>
      </c>
      <c r="D260" t="str">
        <f>IFERROR(IF(0=LEN(ReferenceData!$D$260),"",ReferenceData!$D$260),"")</f>
        <v>TOT_COMMON_EQY</v>
      </c>
      <c r="E260" t="str">
        <f>IFERROR(IF(0=LEN(ReferenceData!$E$260),"",ReferenceData!$E$260),"")</f>
        <v>Dynamic</v>
      </c>
      <c r="F260" t="str">
        <f ca="1">IFERROR(IF(0=LEN(ReferenceData!$F$260),"",ReferenceData!$F$260),"")</f>
        <v/>
      </c>
      <c r="G260" t="str">
        <f ca="1">IFERROR(IF(0=LEN(ReferenceData!$G$260),"",ReferenceData!$G$260),"")</f>
        <v/>
      </c>
      <c r="H260">
        <f ca="1">IFERROR(IF(0=LEN(ReferenceData!$H$260),"",ReferenceData!$H$260),"")</f>
        <v>1174.601881</v>
      </c>
      <c r="I260">
        <f ca="1">IFERROR(IF(0=LEN(ReferenceData!$I$260),"",ReferenceData!$I$260),"")</f>
        <v>1209.137663</v>
      </c>
      <c r="J260">
        <f ca="1">IFERROR(IF(0=LEN(ReferenceData!$J$260),"",ReferenceData!$J$260),"")</f>
        <v>1274.206181</v>
      </c>
      <c r="K260">
        <f ca="1">IFERROR(IF(0=LEN(ReferenceData!$K$260),"",ReferenceData!$K$260),"")</f>
        <v>1225.8602579999999</v>
      </c>
      <c r="L260">
        <f ca="1">IFERROR(IF(0=LEN(ReferenceData!$L$260),"",ReferenceData!$L$260),"")</f>
        <v>1204.2124220000001</v>
      </c>
      <c r="M260">
        <f ca="1">IFERROR(IF(0=LEN(ReferenceData!$M$260),"",ReferenceData!$M$260),"")</f>
        <v>1177.6004310000001</v>
      </c>
      <c r="N260">
        <f ca="1">IFERROR(IF(0=LEN(ReferenceData!$N$260),"",ReferenceData!$N$260),"")</f>
        <v>1142.023702</v>
      </c>
      <c r="O260">
        <f ca="1">IFERROR(IF(0=LEN(ReferenceData!$O$260),"",ReferenceData!$O$260),"")</f>
        <v>1107.9364519999999</v>
      </c>
      <c r="P260">
        <f ca="1">IFERROR(IF(0=LEN(ReferenceData!$P$260),"",ReferenceData!$P$260),"")</f>
        <v>1189.194657</v>
      </c>
      <c r="Q260">
        <f ca="1">IFERROR(IF(0=LEN(ReferenceData!$Q$260),"",ReferenceData!$Q$260),"")</f>
        <v>1174.2046969999999</v>
      </c>
      <c r="R260">
        <f ca="1">IFERROR(IF(0=LEN(ReferenceData!$R$260),"",ReferenceData!$R$260),"")</f>
        <v>1283.99126</v>
      </c>
      <c r="S260">
        <f ca="1">IFERROR(IF(0=LEN(ReferenceData!$S$260),"",ReferenceData!$S$260),"")</f>
        <v>1342.883648</v>
      </c>
      <c r="T260">
        <f ca="1">IFERROR(IF(0=LEN(ReferenceData!$T$260),"",ReferenceData!$T$260),"")</f>
        <v>1377.4100599999999</v>
      </c>
      <c r="U260">
        <f ca="1">IFERROR(IF(0=LEN(ReferenceData!$U$260),"",ReferenceData!$U$260),"")</f>
        <v>1435.607516</v>
      </c>
      <c r="V260">
        <f ca="1">IFERROR(IF(0=LEN(ReferenceData!$V$260),"",ReferenceData!$V$260),"")</f>
        <v>1432.4752000000001</v>
      </c>
      <c r="W260">
        <f ca="1">IFERROR(IF(0=LEN(ReferenceData!$W$260),"",ReferenceData!$W$260),"")</f>
        <v>1397.0308110000001</v>
      </c>
      <c r="X260">
        <f ca="1">IFERROR(IF(0=LEN(ReferenceData!$X$260),"",ReferenceData!$X$260),"")</f>
        <v>1438.362717</v>
      </c>
      <c r="Y260">
        <f ca="1">IFERROR(IF(0=LEN(ReferenceData!$Y$260),"",ReferenceData!$Y$260),"")</f>
        <v>1434.1614119999999</v>
      </c>
      <c r="Z260">
        <f ca="1">IFERROR(IF(0=LEN(ReferenceData!$Z$260),"",ReferenceData!$Z$260),"")</f>
        <v>1427.3575499999999</v>
      </c>
      <c r="AA260">
        <f ca="1">IFERROR(IF(0=LEN(ReferenceData!$AA$260),"",ReferenceData!$AA$260),"")</f>
        <v>1422.1602660000001</v>
      </c>
      <c r="AB260">
        <f ca="1">IFERROR(IF(0=LEN(ReferenceData!$AB$260),"",ReferenceData!$AB$260),"")</f>
        <v>1370.161787</v>
      </c>
      <c r="AC260">
        <f ca="1">IFERROR(IF(0=LEN(ReferenceData!$AC$260),"",ReferenceData!$AC$260),"")</f>
        <v>1341.661744</v>
      </c>
      <c r="AD260">
        <f ca="1">IFERROR(IF(0=LEN(ReferenceData!$AD$260),"",ReferenceData!$AD$260),"")</f>
        <v>1282.242634</v>
      </c>
      <c r="AE260">
        <f ca="1">IFERROR(IF(0=LEN(ReferenceData!$AE$260),"",ReferenceData!$AE$260),"")</f>
        <v>1220.035435</v>
      </c>
      <c r="AF260">
        <f ca="1">IFERROR(IF(0=LEN(ReferenceData!$AF$260),"",ReferenceData!$AF$260),"")</f>
        <v>1281.7762090000001</v>
      </c>
      <c r="AG260">
        <f ca="1">IFERROR(IF(0=LEN(ReferenceData!$AG$260),"",ReferenceData!$AG$260),"")</f>
        <v>1306.92821</v>
      </c>
      <c r="AH260">
        <f ca="1">IFERROR(IF(0=LEN(ReferenceData!$AH$260),"",ReferenceData!$AH$260),"")</f>
        <v>1326.345002</v>
      </c>
      <c r="AI260">
        <f ca="1">IFERROR(IF(0=LEN(ReferenceData!$AI$260),"",ReferenceData!$AI$260),"")</f>
        <v>1327.5985009999999</v>
      </c>
      <c r="AJ260">
        <f ca="1">IFERROR(IF(0=LEN(ReferenceData!$AJ$260),"",ReferenceData!$AJ$260),"")</f>
        <v>1395.857015</v>
      </c>
      <c r="AK260">
        <f ca="1">IFERROR(IF(0=LEN(ReferenceData!$AK$260),"",ReferenceData!$AK$260),"")</f>
        <v>1385.716105</v>
      </c>
      <c r="AL260">
        <f ca="1">IFERROR(IF(0=LEN(ReferenceData!$AL$260),"",ReferenceData!$AL$260),"")</f>
        <v>1378.8633950000001</v>
      </c>
      <c r="AM260">
        <f ca="1">IFERROR(IF(0=LEN(ReferenceData!$AM$260),"",ReferenceData!$AM$260),"")</f>
        <v>1309.557219</v>
      </c>
      <c r="AN260">
        <f ca="1">IFERROR(IF(0=LEN(ReferenceData!$AN$260),"",ReferenceData!$AN$260),"")</f>
        <v>1282.208842</v>
      </c>
      <c r="AO260">
        <f ca="1">IFERROR(IF(0=LEN(ReferenceData!$AO$260),"",ReferenceData!$AO$260),"")</f>
        <v>1219.5194630000001</v>
      </c>
      <c r="AP260">
        <f ca="1">IFERROR(IF(0=LEN(ReferenceData!$AP$260),"",ReferenceData!$AP$260),"")</f>
        <v>1220.2650349999999</v>
      </c>
      <c r="AQ260">
        <f ca="1">IFERROR(IF(0=LEN(ReferenceData!$AQ$260),"",ReferenceData!$AQ$260),"")</f>
        <v>1097.1386460000001</v>
      </c>
      <c r="AR260">
        <f ca="1">IFERROR(IF(0=LEN(ReferenceData!$AR$260),"",ReferenceData!$AR$260),"")</f>
        <v>1011.194077</v>
      </c>
      <c r="AS260">
        <f ca="1">IFERROR(IF(0=LEN(ReferenceData!$AS$260),"",ReferenceData!$AS$260),"")</f>
        <v>957.2807497</v>
      </c>
      <c r="AT260">
        <f ca="1">IFERROR(IF(0=LEN(ReferenceData!$AT$260),"",ReferenceData!$AT$260),"")</f>
        <v>997.82501969999998</v>
      </c>
      <c r="AU260">
        <f ca="1">IFERROR(IF(0=LEN(ReferenceData!$AU$260),"",ReferenceData!$AU$260),"")</f>
        <v>962.11531749999995</v>
      </c>
      <c r="AV260">
        <f ca="1">IFERROR(IF(0=LEN(ReferenceData!$AV$260),"",ReferenceData!$AV$260),"")</f>
        <v>921.36324999999999</v>
      </c>
      <c r="AW260">
        <f ca="1">IFERROR(IF(0=LEN(ReferenceData!$AW$260),"",ReferenceData!$AW$260),"")</f>
        <v>869.99612070000001</v>
      </c>
      <c r="AX260">
        <f ca="1">IFERROR(IF(0=LEN(ReferenceData!$AX$260),"",ReferenceData!$AX$260),"")</f>
        <v>869.18230310000001</v>
      </c>
      <c r="AY260">
        <f ca="1">IFERROR(IF(0=LEN(ReferenceData!$AY$260),"",ReferenceData!$AY$260),"")</f>
        <v>801.4482064</v>
      </c>
      <c r="AZ260">
        <f ca="1">IFERROR(IF(0=LEN(ReferenceData!$AZ$260),"",ReferenceData!$AZ$260),"")</f>
        <v>773.02637849999996</v>
      </c>
      <c r="BA260">
        <f ca="1">IFERROR(IF(0=LEN(ReferenceData!$BA$260),"",ReferenceData!$BA$260),"")</f>
        <v>715.09010899999998</v>
      </c>
      <c r="BB260">
        <f ca="1">IFERROR(IF(0=LEN(ReferenceData!$BB$260),"",ReferenceData!$BB$260),"")</f>
        <v>715.49734090000004</v>
      </c>
      <c r="BC260">
        <f ca="1">IFERROR(IF(0=LEN(ReferenceData!$BC$260),"",ReferenceData!$BC$260),"")</f>
        <v>691.68506170000001</v>
      </c>
      <c r="BD260">
        <f ca="1">IFERROR(IF(0=LEN(ReferenceData!$BD$260),"",ReferenceData!$BD$260),"")</f>
        <v>677.92272600000001</v>
      </c>
      <c r="BE260">
        <f ca="1">IFERROR(IF(0=LEN(ReferenceData!$BE$260),"",ReferenceData!$BE$260),"")</f>
        <v>662.11799120000001</v>
      </c>
      <c r="BF260">
        <f ca="1">IFERROR(IF(0=LEN(ReferenceData!$BF$260),"",ReferenceData!$BF$260),"")</f>
        <v>688.26623710000001</v>
      </c>
      <c r="BG260">
        <f ca="1">IFERROR(IF(0=LEN(ReferenceData!$BG$260),"",ReferenceData!$BG$260),"")</f>
        <v>664.26325310000004</v>
      </c>
      <c r="BH260">
        <f ca="1">IFERROR(IF(0=LEN(ReferenceData!$BH$260),"",ReferenceData!$BH$260),"")</f>
        <v>651.03968550000002</v>
      </c>
      <c r="BI260">
        <f ca="1">IFERROR(IF(0=LEN(ReferenceData!$BI$260),"",ReferenceData!$BI$260),"")</f>
        <v>628.94989580000004</v>
      </c>
      <c r="BJ260">
        <f ca="1">IFERROR(IF(0=LEN(ReferenceData!$BJ$260),"",ReferenceData!$BJ$260),"")</f>
        <v>616.58705399999997</v>
      </c>
      <c r="BK260">
        <f ca="1">IFERROR(IF(0=LEN(ReferenceData!$BK$260),"",ReferenceData!$BK$260),"")</f>
        <v>616.77424710000003</v>
      </c>
      <c r="BL260">
        <f ca="1">IFERROR(IF(0=LEN(ReferenceData!$BL$260),"",ReferenceData!$BL$260),"")</f>
        <v>630.583347</v>
      </c>
      <c r="BM260">
        <f ca="1">IFERROR(IF(0=LEN(ReferenceData!$BM$260),"",ReferenceData!$BM$260),"")</f>
        <v>617.918093</v>
      </c>
    </row>
    <row r="261" spans="1:65" x14ac:dyDescent="0.25">
      <c r="A261" t="str">
        <f>IFERROR(IF(0=LEN(ReferenceData!$A$261),"",ReferenceData!$A$261),"")</f>
        <v xml:space="preserve">    Fiat Chrysler Automobiles NV</v>
      </c>
      <c r="B261" t="str">
        <f>IFERROR(IF(0=LEN(ReferenceData!$B$261),"",ReferenceData!$B$261),"")</f>
        <v>FCAU US Equity</v>
      </c>
      <c r="C261" t="str">
        <f>IFERROR(IF(0=LEN(ReferenceData!$C$261),"",ReferenceData!$C$261),"")</f>
        <v>RR010</v>
      </c>
      <c r="D261" t="str">
        <f>IFERROR(IF(0=LEN(ReferenceData!$D$261),"",ReferenceData!$D$261),"")</f>
        <v>TOT_COMMON_EQY</v>
      </c>
      <c r="E261" t="str">
        <f>IFERROR(IF(0=LEN(ReferenceData!$E$261),"",ReferenceData!$E$261),"")</f>
        <v>Dynamic</v>
      </c>
      <c r="F261" t="str">
        <f ca="1">IFERROR(IF(0=LEN(ReferenceData!$F$261),"",ReferenceData!$F$261),"")</f>
        <v/>
      </c>
      <c r="G261">
        <f ca="1">IFERROR(IF(0=LEN(ReferenceData!$G$261),"",ReferenceData!$G$261),"")</f>
        <v>28288.7304</v>
      </c>
      <c r="H261">
        <f ca="1">IFERROR(IF(0=LEN(ReferenceData!$H$261),"",ReferenceData!$H$261),"")</f>
        <v>26558.895199999999</v>
      </c>
      <c r="I261">
        <f ca="1">IFERROR(IF(0=LEN(ReferenceData!$I$261),"",ReferenceData!$I$261),"")</f>
        <v>26255.734499999999</v>
      </c>
      <c r="J261">
        <f ca="1">IFERROR(IF(0=LEN(ReferenceData!$J$261),"",ReferenceData!$J$261),"")</f>
        <v>26531.402099999999</v>
      </c>
      <c r="K261">
        <f ca="1">IFERROR(IF(0=LEN(ReferenceData!$K$261),"",ReferenceData!$K$261),"")</f>
        <v>25028.6018</v>
      </c>
      <c r="L261">
        <f ca="1">IFERROR(IF(0=LEN(ReferenceData!$L$261),"",ReferenceData!$L$261),"")</f>
        <v>23964.8112</v>
      </c>
      <c r="M261">
        <f ca="1">IFERROR(IF(0=LEN(ReferenceData!$M$261),"",ReferenceData!$M$261),"")</f>
        <v>22685.6201</v>
      </c>
      <c r="N261">
        <f ca="1">IFERROR(IF(0=LEN(ReferenceData!$N$261),"",ReferenceData!$N$261),"")</f>
        <v>21253.869299999998</v>
      </c>
      <c r="O261">
        <f ca="1">IFERROR(IF(0=LEN(ReferenceData!$O$261),"",ReferenceData!$O$261),"")</f>
        <v>20216.489600000001</v>
      </c>
      <c r="P261">
        <f ca="1">IFERROR(IF(0=LEN(ReferenceData!$P$261),"",ReferenceData!$P$261),"")</f>
        <v>19342.475600000002</v>
      </c>
      <c r="Q261">
        <f ca="1">IFERROR(IF(0=LEN(ReferenceData!$Q$261),"",ReferenceData!$Q$261),"")</f>
        <v>18353.497500000001</v>
      </c>
      <c r="R261">
        <f ca="1">IFERROR(IF(0=LEN(ReferenceData!$R$261),"",ReferenceData!$R$261),"")</f>
        <v>18157.2474</v>
      </c>
      <c r="S261">
        <f ca="1">IFERROR(IF(0=LEN(ReferenceData!$S$261),"",ReferenceData!$S$261),"")</f>
        <v>18260.312999999998</v>
      </c>
      <c r="T261">
        <f ca="1">IFERROR(IF(0=LEN(ReferenceData!$T$261),"",ReferenceData!$T$261),"")</f>
        <v>15875.0854</v>
      </c>
      <c r="U261">
        <f ca="1">IFERROR(IF(0=LEN(ReferenceData!$U$261),"",ReferenceData!$U$261),"")</f>
        <v>16370.3734</v>
      </c>
      <c r="V261">
        <f ca="1">IFERROR(IF(0=LEN(ReferenceData!$V$261),"",ReferenceData!$V$261),"")</f>
        <v>15977.2104</v>
      </c>
      <c r="W261">
        <f ca="1">IFERROR(IF(0=LEN(ReferenceData!$W$261),"",ReferenceData!$W$261),"")</f>
        <v>17017.439999999999</v>
      </c>
      <c r="X261">
        <f ca="1">IFERROR(IF(0=LEN(ReferenceData!$X$261),"",ReferenceData!$X$261),"")</f>
        <v>13150.5777</v>
      </c>
      <c r="Y261" t="str">
        <f ca="1">IFERROR(IF(0=LEN(ReferenceData!$Y$261),"",ReferenceData!$Y$261),"")</f>
        <v/>
      </c>
      <c r="Z261" t="str">
        <f ca="1">IFERROR(IF(0=LEN(ReferenceData!$Z$261),"",ReferenceData!$Z$261),"")</f>
        <v/>
      </c>
      <c r="AA261" t="str">
        <f ca="1">IFERROR(IF(0=LEN(ReferenceData!$AA$261),"",ReferenceData!$AA$261),"")</f>
        <v/>
      </c>
      <c r="AB261" t="str">
        <f ca="1">IFERROR(IF(0=LEN(ReferenceData!$AB$261),"",ReferenceData!$AB$261),"")</f>
        <v/>
      </c>
      <c r="AC261" t="str">
        <f ca="1">IFERROR(IF(0=LEN(ReferenceData!$AC$261),"",ReferenceData!$AC$261),"")</f>
        <v/>
      </c>
      <c r="AD261" t="str">
        <f ca="1">IFERROR(IF(0=LEN(ReferenceData!$AD$261),"",ReferenceData!$AD$261),"")</f>
        <v/>
      </c>
      <c r="AE261" t="str">
        <f ca="1">IFERROR(IF(0=LEN(ReferenceData!$AE$261),"",ReferenceData!$AE$261),"")</f>
        <v/>
      </c>
      <c r="AF261" t="str">
        <f ca="1">IFERROR(IF(0=LEN(ReferenceData!$AF$261),"",ReferenceData!$AF$261),"")</f>
        <v/>
      </c>
      <c r="AG261" t="str">
        <f ca="1">IFERROR(IF(0=LEN(ReferenceData!$AG$261),"",ReferenceData!$AG$261),"")</f>
        <v/>
      </c>
      <c r="AH261" t="str">
        <f ca="1">IFERROR(IF(0=LEN(ReferenceData!$AH$261),"",ReferenceData!$AH$261),"")</f>
        <v/>
      </c>
      <c r="AI261" t="str">
        <f ca="1">IFERROR(IF(0=LEN(ReferenceData!$AI$261),"",ReferenceData!$AI$261),"")</f>
        <v/>
      </c>
      <c r="AJ261" t="str">
        <f ca="1">IFERROR(IF(0=LEN(ReferenceData!$AJ$261),"",ReferenceData!$AJ$261),"")</f>
        <v/>
      </c>
      <c r="AK261" t="str">
        <f ca="1">IFERROR(IF(0=LEN(ReferenceData!$AK$261),"",ReferenceData!$AK$261),"")</f>
        <v/>
      </c>
      <c r="AL261" t="str">
        <f ca="1">IFERROR(IF(0=LEN(ReferenceData!$AL$261),"",ReferenceData!$AL$261),"")</f>
        <v/>
      </c>
      <c r="AM261" t="str">
        <f ca="1">IFERROR(IF(0=LEN(ReferenceData!$AM$261),"",ReferenceData!$AM$261),"")</f>
        <v/>
      </c>
      <c r="AN261" t="str">
        <f ca="1">IFERROR(IF(0=LEN(ReferenceData!$AN$261),"",ReferenceData!$AN$261),"")</f>
        <v/>
      </c>
      <c r="AO261" t="str">
        <f ca="1">IFERROR(IF(0=LEN(ReferenceData!$AO$261),"",ReferenceData!$AO$261),"")</f>
        <v/>
      </c>
      <c r="AP261" t="str">
        <f ca="1">IFERROR(IF(0=LEN(ReferenceData!$AP$261),"",ReferenceData!$AP$261),"")</f>
        <v/>
      </c>
      <c r="AQ261" t="str">
        <f ca="1">IFERROR(IF(0=LEN(ReferenceData!$AQ$261),"",ReferenceData!$AQ$261),"")</f>
        <v/>
      </c>
      <c r="AR261" t="str">
        <f ca="1">IFERROR(IF(0=LEN(ReferenceData!$AR$261),"",ReferenceData!$AR$261),"")</f>
        <v/>
      </c>
      <c r="AS261" t="str">
        <f ca="1">IFERROR(IF(0=LEN(ReferenceData!$AS$261),"",ReferenceData!$AS$261),"")</f>
        <v/>
      </c>
      <c r="AT261" t="str">
        <f ca="1">IFERROR(IF(0=LEN(ReferenceData!$AT$261),"",ReferenceData!$AT$261),"")</f>
        <v/>
      </c>
      <c r="AU261" t="str">
        <f ca="1">IFERROR(IF(0=LEN(ReferenceData!$AU$261),"",ReferenceData!$AU$261),"")</f>
        <v/>
      </c>
      <c r="AV261" t="str">
        <f ca="1">IFERROR(IF(0=LEN(ReferenceData!$AV$261),"",ReferenceData!$AV$261),"")</f>
        <v/>
      </c>
      <c r="AW261" t="str">
        <f ca="1">IFERROR(IF(0=LEN(ReferenceData!$AW$261),"",ReferenceData!$AW$261),"")</f>
        <v/>
      </c>
      <c r="AX261" t="str">
        <f ca="1">IFERROR(IF(0=LEN(ReferenceData!$AX$261),"",ReferenceData!$AX$261),"")</f>
        <v/>
      </c>
      <c r="AY261" t="str">
        <f ca="1">IFERROR(IF(0=LEN(ReferenceData!$AY$261),"",ReferenceData!$AY$261),"")</f>
        <v/>
      </c>
      <c r="AZ261" t="str">
        <f ca="1">IFERROR(IF(0=LEN(ReferenceData!$AZ$261),"",ReferenceData!$AZ$261),"")</f>
        <v/>
      </c>
      <c r="BA261" t="str">
        <f ca="1">IFERROR(IF(0=LEN(ReferenceData!$BA$261),"",ReferenceData!$BA$261),"")</f>
        <v/>
      </c>
      <c r="BB261" t="str">
        <f ca="1">IFERROR(IF(0=LEN(ReferenceData!$BB$261),"",ReferenceData!$BB$261),"")</f>
        <v/>
      </c>
      <c r="BC261" t="str">
        <f ca="1">IFERROR(IF(0=LEN(ReferenceData!$BC$261),"",ReferenceData!$BC$261),"")</f>
        <v/>
      </c>
      <c r="BD261" t="str">
        <f ca="1">IFERROR(IF(0=LEN(ReferenceData!$BD$261),"",ReferenceData!$BD$261),"")</f>
        <v/>
      </c>
      <c r="BE261" t="str">
        <f ca="1">IFERROR(IF(0=LEN(ReferenceData!$BE$261),"",ReferenceData!$BE$261),"")</f>
        <v/>
      </c>
      <c r="BF261" t="str">
        <f ca="1">IFERROR(IF(0=LEN(ReferenceData!$BF$261),"",ReferenceData!$BF$261),"")</f>
        <v/>
      </c>
      <c r="BG261" t="str">
        <f ca="1">IFERROR(IF(0=LEN(ReferenceData!$BG$261),"",ReferenceData!$BG$261),"")</f>
        <v/>
      </c>
      <c r="BH261" t="str">
        <f ca="1">IFERROR(IF(0=LEN(ReferenceData!$BH$261),"",ReferenceData!$BH$261),"")</f>
        <v/>
      </c>
      <c r="BI261" t="str">
        <f ca="1">IFERROR(IF(0=LEN(ReferenceData!$BI$261),"",ReferenceData!$BI$261),"")</f>
        <v/>
      </c>
      <c r="BJ261" t="str">
        <f ca="1">IFERROR(IF(0=LEN(ReferenceData!$BJ$261),"",ReferenceData!$BJ$261),"")</f>
        <v/>
      </c>
      <c r="BK261" t="str">
        <f ca="1">IFERROR(IF(0=LEN(ReferenceData!$BK$261),"",ReferenceData!$BK$261),"")</f>
        <v/>
      </c>
      <c r="BL261" t="str">
        <f ca="1">IFERROR(IF(0=LEN(ReferenceData!$BL$261),"",ReferenceData!$BL$261),"")</f>
        <v/>
      </c>
      <c r="BM261" t="str">
        <f ca="1">IFERROR(IF(0=LEN(ReferenceData!$BM$261),"",ReferenceData!$BM$261),"")</f>
        <v/>
      </c>
    </row>
    <row r="262" spans="1:65" x14ac:dyDescent="0.25">
      <c r="A262" t="str">
        <f>IFERROR(IF(0=LEN(ReferenceData!$A$262),"",ReferenceData!$A$262),"")</f>
        <v xml:space="preserve">    Ford Motor Co</v>
      </c>
      <c r="B262" t="str">
        <f>IFERROR(IF(0=LEN(ReferenceData!$B$262),"",ReferenceData!$B$262),"")</f>
        <v>F US Equity</v>
      </c>
      <c r="C262" t="str">
        <f>IFERROR(IF(0=LEN(ReferenceData!$C$262),"",ReferenceData!$C$262),"")</f>
        <v>RR010</v>
      </c>
      <c r="D262" t="str">
        <f>IFERROR(IF(0=LEN(ReferenceData!$D$262),"",ReferenceData!$D$262),"")</f>
        <v>TOT_COMMON_EQY</v>
      </c>
      <c r="E262" t="str">
        <f>IFERROR(IF(0=LEN(ReferenceData!$E$262),"",ReferenceData!$E$262),"")</f>
        <v>Dynamic</v>
      </c>
      <c r="F262" t="str">
        <f ca="1">IFERROR(IF(0=LEN(ReferenceData!$F$262),"",ReferenceData!$F$262),"")</f>
        <v/>
      </c>
      <c r="G262">
        <f ca="1">IFERROR(IF(0=LEN(ReferenceData!$G$262),"",ReferenceData!$G$262),"")</f>
        <v>35932</v>
      </c>
      <c r="H262">
        <f ca="1">IFERROR(IF(0=LEN(ReferenceData!$H$262),"",ReferenceData!$H$262),"")</f>
        <v>36590</v>
      </c>
      <c r="I262">
        <f ca="1">IFERROR(IF(0=LEN(ReferenceData!$I$262),"",ReferenceData!$I$262),"")</f>
        <v>36441</v>
      </c>
      <c r="J262">
        <f ca="1">IFERROR(IF(0=LEN(ReferenceData!$J$262),"",ReferenceData!$J$262),"")</f>
        <v>36400</v>
      </c>
      <c r="K262">
        <f ca="1">IFERROR(IF(0=LEN(ReferenceData!$K$262),"",ReferenceData!$K$262),"")</f>
        <v>35578</v>
      </c>
      <c r="L262">
        <f ca="1">IFERROR(IF(0=LEN(ReferenceData!$L$262),"",ReferenceData!$L$262),"")</f>
        <v>33238</v>
      </c>
      <c r="M262">
        <f ca="1">IFERROR(IF(0=LEN(ReferenceData!$M$262),"",ReferenceData!$M$262),"")</f>
        <v>32244</v>
      </c>
      <c r="N262">
        <f ca="1">IFERROR(IF(0=LEN(ReferenceData!$N$262),"",ReferenceData!$N$262),"")</f>
        <v>30619</v>
      </c>
      <c r="O262">
        <f ca="1">IFERROR(IF(0=LEN(ReferenceData!$O$262),"",ReferenceData!$O$262),"")</f>
        <v>29170</v>
      </c>
      <c r="P262">
        <f ca="1">IFERROR(IF(0=LEN(ReferenceData!$P$262),"",ReferenceData!$P$262),"")</f>
        <v>31484</v>
      </c>
      <c r="Q262">
        <f ca="1">IFERROR(IF(0=LEN(ReferenceData!$Q$262),"",ReferenceData!$Q$262),"")</f>
        <v>31141</v>
      </c>
      <c r="R262">
        <f ca="1">IFERROR(IF(0=LEN(ReferenceData!$R$262),"",ReferenceData!$R$262),"")</f>
        <v>29605</v>
      </c>
      <c r="S262">
        <f ca="1">IFERROR(IF(0=LEN(ReferenceData!$S$262),"",ReferenceData!$S$262),"")</f>
        <v>28642</v>
      </c>
      <c r="T262">
        <f ca="1">IFERROR(IF(0=LEN(ReferenceData!$T$262),"",ReferenceData!$T$262),"")</f>
        <v>27465</v>
      </c>
      <c r="U262">
        <f ca="1">IFERROR(IF(0=LEN(ReferenceData!$U$262),"",ReferenceData!$U$262),"")</f>
        <v>26334</v>
      </c>
      <c r="V262">
        <f ca="1">IFERROR(IF(0=LEN(ReferenceData!$V$262),"",ReferenceData!$V$262),"")</f>
        <v>24947</v>
      </c>
      <c r="W262">
        <f ca="1">IFERROR(IF(0=LEN(ReferenceData!$W$262),"",ReferenceData!$W$262),"")</f>
        <v>24438</v>
      </c>
      <c r="X262">
        <f ca="1">IFERROR(IF(0=LEN(ReferenceData!$X$262),"",ReferenceData!$X$262),"")</f>
        <v>26136</v>
      </c>
      <c r="Y262">
        <f ca="1">IFERROR(IF(0=LEN(ReferenceData!$Y$262),"",ReferenceData!$Y$262),"")</f>
        <v>26776</v>
      </c>
      <c r="Z262">
        <f ca="1">IFERROR(IF(0=LEN(ReferenceData!$Z$262),"",ReferenceData!$Z$262),"")</f>
        <v>26773</v>
      </c>
      <c r="AA262">
        <f ca="1">IFERROR(IF(0=LEN(ReferenceData!$AA$262),"",ReferenceData!$AA$262),"")</f>
        <v>26112</v>
      </c>
      <c r="AB262">
        <f ca="1">IFERROR(IF(0=LEN(ReferenceData!$AB$262),"",ReferenceData!$AB$262),"")</f>
        <v>20467</v>
      </c>
      <c r="AC262">
        <f ca="1">IFERROR(IF(0=LEN(ReferenceData!$AC$262),"",ReferenceData!$AC$262),"")</f>
        <v>19179</v>
      </c>
      <c r="AD262">
        <f ca="1">IFERROR(IF(0=LEN(ReferenceData!$AD$262),"",ReferenceData!$AD$262),"")</f>
        <v>17595</v>
      </c>
      <c r="AE262">
        <f ca="1">IFERROR(IF(0=LEN(ReferenceData!$AE$262),"",ReferenceData!$AE$262),"")</f>
        <v>15947</v>
      </c>
      <c r="AF262">
        <f ca="1">IFERROR(IF(0=LEN(ReferenceData!$AF$262),"",ReferenceData!$AF$262),"")</f>
        <v>18841</v>
      </c>
      <c r="AG262">
        <f ca="1">IFERROR(IF(0=LEN(ReferenceData!$AG$262),"",ReferenceData!$AG$262),"")</f>
        <v>17036</v>
      </c>
      <c r="AH262">
        <f ca="1">IFERROR(IF(0=LEN(ReferenceData!$AH$262),"",ReferenceData!$AH$262),"")</f>
        <v>16606</v>
      </c>
      <c r="AI262">
        <f ca="1">IFERROR(IF(0=LEN(ReferenceData!$AI$262),"",ReferenceData!$AI$262),"")</f>
        <v>15028</v>
      </c>
      <c r="AJ262">
        <f ca="1">IFERROR(IF(0=LEN(ReferenceData!$AJ$262),"",ReferenceData!$AJ$262),"")</f>
        <v>5982</v>
      </c>
      <c r="AK262">
        <f ca="1">IFERROR(IF(0=LEN(ReferenceData!$AK$262),"",ReferenceData!$AK$262),"")</f>
        <v>5309</v>
      </c>
      <c r="AL262">
        <f ca="1">IFERROR(IF(0=LEN(ReferenceData!$AL$262),"",ReferenceData!$AL$262),"")</f>
        <v>2426</v>
      </c>
      <c r="AM262">
        <f ca="1">IFERROR(IF(0=LEN(ReferenceData!$AM$262),"",ReferenceData!$AM$262),"")</f>
        <v>-673</v>
      </c>
      <c r="AN262">
        <f ca="1">IFERROR(IF(0=LEN(ReferenceData!$AN$262),"",ReferenceData!$AN$262),"")</f>
        <v>-1773</v>
      </c>
      <c r="AO262">
        <f ca="1">IFERROR(IF(0=LEN(ReferenceData!$AO$262),"",ReferenceData!$AO$262),"")</f>
        <v>-3574</v>
      </c>
      <c r="AP262">
        <f ca="1">IFERROR(IF(0=LEN(ReferenceData!$AP$262),"",ReferenceData!$AP$262),"")</f>
        <v>-5475</v>
      </c>
      <c r="AQ262">
        <f ca="1">IFERROR(IF(0=LEN(ReferenceData!$AQ$262),"",ReferenceData!$AQ$262),"")</f>
        <v>-7820</v>
      </c>
      <c r="AR262">
        <f ca="1">IFERROR(IF(0=LEN(ReferenceData!$AR$262),"",ReferenceData!$AR$262),"")</f>
        <v>-8675</v>
      </c>
      <c r="AS262">
        <f ca="1">IFERROR(IF(0=LEN(ReferenceData!$AS$262),"",ReferenceData!$AS$262),"")</f>
        <v>-10743</v>
      </c>
      <c r="AT262">
        <f ca="1">IFERROR(IF(0=LEN(ReferenceData!$AT$262),"",ReferenceData!$AT$262),"")</f>
        <v>-17577</v>
      </c>
      <c r="AU262">
        <f ca="1">IFERROR(IF(0=LEN(ReferenceData!$AU$262),"",ReferenceData!$AU$262),"")</f>
        <v>-18257</v>
      </c>
      <c r="AV262">
        <f ca="1">IFERROR(IF(0=LEN(ReferenceData!$AV$262),"",ReferenceData!$AV$262),"")</f>
        <v>-5998</v>
      </c>
      <c r="AW262">
        <f ca="1">IFERROR(IF(0=LEN(ReferenceData!$AW$262),"",ReferenceData!$AW$262),"")</f>
        <v>-4688</v>
      </c>
      <c r="AX262">
        <f ca="1">IFERROR(IF(0=LEN(ReferenceData!$AX$262),"",ReferenceData!$AX$262),"")</f>
        <v>4883</v>
      </c>
      <c r="AY262">
        <f ca="1">IFERROR(IF(0=LEN(ReferenceData!$AY$262),"",ReferenceData!$AY$262),"")</f>
        <v>3605</v>
      </c>
      <c r="AZ262">
        <f ca="1">IFERROR(IF(0=LEN(ReferenceData!$AZ$262),"",ReferenceData!$AZ$262),"")</f>
        <v>-275</v>
      </c>
      <c r="BA262">
        <f ca="1">IFERROR(IF(0=LEN(ReferenceData!$BA$262),"",ReferenceData!$BA$262),"")</f>
        <v>-2673</v>
      </c>
      <c r="BB262">
        <f ca="1">IFERROR(IF(0=LEN(ReferenceData!$BB$262),"",ReferenceData!$BB$262),"")</f>
        <v>-4580</v>
      </c>
      <c r="BC262">
        <f ca="1">IFERROR(IF(0=LEN(ReferenceData!$BC$262),"",ReferenceData!$BC$262),"")</f>
        <v>-4932</v>
      </c>
      <c r="BD262">
        <f ca="1">IFERROR(IF(0=LEN(ReferenceData!$BD$262),"",ReferenceData!$BD$262),"")</f>
        <v>8169</v>
      </c>
      <c r="BE262">
        <f ca="1">IFERROR(IF(0=LEN(ReferenceData!$BE$262),"",ReferenceData!$BE$262),"")</f>
        <v>14336</v>
      </c>
      <c r="BF262">
        <f ca="1">IFERROR(IF(0=LEN(ReferenceData!$BF$262),"",ReferenceData!$BF$262),"")</f>
        <v>11954</v>
      </c>
      <c r="BG262">
        <f ca="1">IFERROR(IF(0=LEN(ReferenceData!$BG$262),"",ReferenceData!$BG$262),"")</f>
        <v>12874</v>
      </c>
      <c r="BH262">
        <f ca="1">IFERROR(IF(0=LEN(ReferenceData!$BH$262),"",ReferenceData!$BH$262),"")</f>
        <v>12395</v>
      </c>
      <c r="BI262">
        <f ca="1">IFERROR(IF(0=LEN(ReferenceData!$BI$262),"",ReferenceData!$BI$262),"")</f>
        <v>12548</v>
      </c>
      <c r="BJ262">
        <f ca="1">IFERROR(IF(0=LEN(ReferenceData!$BJ$262),"",ReferenceData!$BJ$262),"")</f>
        <v>15670</v>
      </c>
      <c r="BK262">
        <f ca="1">IFERROR(IF(0=LEN(ReferenceData!$BK$262),"",ReferenceData!$BK$262),"")</f>
        <v>13292</v>
      </c>
      <c r="BL262">
        <f ca="1">IFERROR(IF(0=LEN(ReferenceData!$BL$262),"",ReferenceData!$BL$262),"")</f>
        <v>14069</v>
      </c>
      <c r="BM262">
        <f ca="1">IFERROR(IF(0=LEN(ReferenceData!$BM$262),"",ReferenceData!$BM$262),"")</f>
        <v>13561</v>
      </c>
    </row>
    <row r="263" spans="1:65" x14ac:dyDescent="0.25">
      <c r="A263" t="str">
        <f>IFERROR(IF(0=LEN(ReferenceData!$A$263),"",ReferenceData!$A$263),"")</f>
        <v xml:space="preserve">    Ford Otomotiv Sanayi AS</v>
      </c>
      <c r="B263" t="str">
        <f>IFERROR(IF(0=LEN(ReferenceData!$B$263),"",ReferenceData!$B$263),"")</f>
        <v>FROTOTRY EO Equity</v>
      </c>
      <c r="C263" t="str">
        <f>IFERROR(IF(0=LEN(ReferenceData!$C$263),"",ReferenceData!$C$263),"")</f>
        <v>RR010</v>
      </c>
      <c r="D263" t="str">
        <f>IFERROR(IF(0=LEN(ReferenceData!$D$263),"",ReferenceData!$D$263),"")</f>
        <v>TOT_COMMON_EQY</v>
      </c>
      <c r="E263" t="str">
        <f>IFERROR(IF(0=LEN(ReferenceData!$E$263),"",ReferenceData!$E$263),"")</f>
        <v>Dynamic</v>
      </c>
      <c r="F263" t="str">
        <f ca="1">IFERROR(IF(0=LEN(ReferenceData!$F$263),"",ReferenceData!$F$263),"")</f>
        <v/>
      </c>
      <c r="G263">
        <f ca="1">IFERROR(IF(0=LEN(ReferenceData!$G$263),"",ReferenceData!$G$263),"")</f>
        <v>735.85072200000002</v>
      </c>
      <c r="H263">
        <f ca="1">IFERROR(IF(0=LEN(ReferenceData!$H$263),"",ReferenceData!$H$263),"")</f>
        <v>561.27678779999997</v>
      </c>
      <c r="I263">
        <f ca="1">IFERROR(IF(0=LEN(ReferenceData!$I$263),"",ReferenceData!$I$263),"")</f>
        <v>783.642338</v>
      </c>
      <c r="J263">
        <f ca="1">IFERROR(IF(0=LEN(ReferenceData!$J$263),"",ReferenceData!$J$263),"")</f>
        <v>816.00566360000005</v>
      </c>
      <c r="K263">
        <f ca="1">IFERROR(IF(0=LEN(ReferenceData!$K$263),"",ReferenceData!$K$263),"")</f>
        <v>975.88165400000003</v>
      </c>
      <c r="L263">
        <f ca="1">IFERROR(IF(0=LEN(ReferenceData!$L$263),"",ReferenceData!$L$263),"")</f>
        <v>1021.39721</v>
      </c>
      <c r="M263">
        <f ca="1">IFERROR(IF(0=LEN(ReferenceData!$M$263),"",ReferenceData!$M$263),"")</f>
        <v>947.47205099999996</v>
      </c>
      <c r="N263">
        <f ca="1">IFERROR(IF(0=LEN(ReferenceData!$N$263),"",ReferenceData!$N$263),"")</f>
        <v>818.79213540000001</v>
      </c>
      <c r="O263">
        <f ca="1">IFERROR(IF(0=LEN(ReferenceData!$O$263),"",ReferenceData!$O$263),"")</f>
        <v>897.48065559999998</v>
      </c>
      <c r="P263">
        <f ca="1">IFERROR(IF(0=LEN(ReferenceData!$P$263),"",ReferenceData!$P$263),"")</f>
        <v>1099.1622789999999</v>
      </c>
      <c r="Q263">
        <f ca="1">IFERROR(IF(0=LEN(ReferenceData!$Q$263),"",ReferenceData!$Q$263),"")</f>
        <v>1108.5487949999999</v>
      </c>
      <c r="R263">
        <f ca="1">IFERROR(IF(0=LEN(ReferenceData!$R$263),"",ReferenceData!$R$263),"")</f>
        <v>1033.541115</v>
      </c>
      <c r="S263">
        <f ca="1">IFERROR(IF(0=LEN(ReferenceData!$S$263),"",ReferenceData!$S$263),"")</f>
        <v>1048.973379</v>
      </c>
      <c r="T263">
        <f ca="1">IFERROR(IF(0=LEN(ReferenceData!$T$263),"",ReferenceData!$T$263),"")</f>
        <v>937.64479549999999</v>
      </c>
      <c r="U263">
        <f ca="1">IFERROR(IF(0=LEN(ReferenceData!$U$263),"",ReferenceData!$U$263),"")</f>
        <v>1078.233467</v>
      </c>
      <c r="V263">
        <f ca="1">IFERROR(IF(0=LEN(ReferenceData!$V$263),"",ReferenceData!$V$263),"")</f>
        <v>1070.2583090000001</v>
      </c>
      <c r="W263">
        <f ca="1">IFERROR(IF(0=LEN(ReferenceData!$W$263),"",ReferenceData!$W$263),"")</f>
        <v>1178.5116370000001</v>
      </c>
      <c r="X263">
        <f ca="1">IFERROR(IF(0=LEN(ReferenceData!$X$263),"",ReferenceData!$X$263),"")</f>
        <v>1213.541168</v>
      </c>
      <c r="Y263">
        <f ca="1">IFERROR(IF(0=LEN(ReferenceData!$Y$263),"",ReferenceData!$Y$263),"")</f>
        <v>1244.008178</v>
      </c>
      <c r="Z263">
        <f ca="1">IFERROR(IF(0=LEN(ReferenceData!$Z$263),"",ReferenceData!$Z$263),"")</f>
        <v>1133.1009160000001</v>
      </c>
      <c r="AA263">
        <f ca="1">IFERROR(IF(0=LEN(ReferenceData!$AA$263),"",ReferenceData!$AA$263),"")</f>
        <v>1040.281086</v>
      </c>
      <c r="AB263">
        <f ca="1">IFERROR(IF(0=LEN(ReferenceData!$AB$263),"",ReferenceData!$AB$263),"")</f>
        <v>1055.4264579999999</v>
      </c>
      <c r="AC263">
        <f ca="1">IFERROR(IF(0=LEN(ReferenceData!$AC$263),"",ReferenceData!$AC$263),"")</f>
        <v>1083.711415</v>
      </c>
      <c r="AD263">
        <f ca="1">IFERROR(IF(0=LEN(ReferenceData!$AD$263),"",ReferenceData!$AD$263),"")</f>
        <v>1034.064648</v>
      </c>
      <c r="AE263">
        <f ca="1">IFERROR(IF(0=LEN(ReferenceData!$AE$263),"",ReferenceData!$AE$263),"")</f>
        <v>1118.5835070000001</v>
      </c>
      <c r="AF263">
        <f ca="1">IFERROR(IF(0=LEN(ReferenceData!$AF$263),"",ReferenceData!$AF$263),"")</f>
        <v>1127.267251</v>
      </c>
      <c r="AG263">
        <f ca="1">IFERROR(IF(0=LEN(ReferenceData!$AG$263),"",ReferenceData!$AG$263),"")</f>
        <v>1039.091467</v>
      </c>
      <c r="AH263">
        <f ca="1">IFERROR(IF(0=LEN(ReferenceData!$AH$263),"",ReferenceData!$AH$263),"")</f>
        <v>961.48888650000004</v>
      </c>
      <c r="AI263">
        <f ca="1">IFERROR(IF(0=LEN(ReferenceData!$AI$263),"",ReferenceData!$AI$263),"")</f>
        <v>1007.226193</v>
      </c>
      <c r="AJ263">
        <f ca="1">IFERROR(IF(0=LEN(ReferenceData!$AJ$263),"",ReferenceData!$AJ$263),"")</f>
        <v>1057.2978330000001</v>
      </c>
      <c r="AK263">
        <f ca="1">IFERROR(IF(0=LEN(ReferenceData!$AK$263),"",ReferenceData!$AK$263),"")</f>
        <v>1100.299381</v>
      </c>
      <c r="AL263">
        <f ca="1">IFERROR(IF(0=LEN(ReferenceData!$AL$263),"",ReferenceData!$AL$263),"")</f>
        <v>1034.517703</v>
      </c>
      <c r="AM263">
        <f ca="1">IFERROR(IF(0=LEN(ReferenceData!$AM$263),"",ReferenceData!$AM$263),"")</f>
        <v>1136.5393280000001</v>
      </c>
      <c r="AN263">
        <f ca="1">IFERROR(IF(0=LEN(ReferenceData!$AN$263),"",ReferenceData!$AN$263),"")</f>
        <v>1173.289978</v>
      </c>
      <c r="AO263">
        <f ca="1">IFERROR(IF(0=LEN(ReferenceData!$AO$263),"",ReferenceData!$AO$263),"")</f>
        <v>1004.553483</v>
      </c>
      <c r="AP263">
        <f ca="1">IFERROR(IF(0=LEN(ReferenceData!$AP$263),"",ReferenceData!$AP$263),"")</f>
        <v>961.63913400000001</v>
      </c>
      <c r="AQ263">
        <f ca="1">IFERROR(IF(0=LEN(ReferenceData!$AQ$263),"",ReferenceData!$AQ$263),"")</f>
        <v>1104.770716</v>
      </c>
      <c r="AR263">
        <f ca="1">IFERROR(IF(0=LEN(ReferenceData!$AR$263),"",ReferenceData!$AR$263),"")</f>
        <v>1233.5428340000001</v>
      </c>
      <c r="AS263">
        <f ca="1">IFERROR(IF(0=LEN(ReferenceData!$AS$263),"",ReferenceData!$AS$263),"")</f>
        <v>1127.613147</v>
      </c>
      <c r="AT263">
        <f ca="1">IFERROR(IF(0=LEN(ReferenceData!$AT$263),"",ReferenceData!$AT$263),"")</f>
        <v>991.38943700000004</v>
      </c>
      <c r="AU263">
        <f ca="1">IFERROR(IF(0=LEN(ReferenceData!$AU$263),"",ReferenceData!$AU$263),"")</f>
        <v>1113.4125550000001</v>
      </c>
      <c r="AV263">
        <f ca="1">IFERROR(IF(0=LEN(ReferenceData!$AV$263),"",ReferenceData!$AV$263),"")</f>
        <v>1450.8702679999999</v>
      </c>
      <c r="AW263">
        <f ca="1">IFERROR(IF(0=LEN(ReferenceData!$AW$263),"",ReferenceData!$AW$263),"")</f>
        <v>1446.2995980000001</v>
      </c>
      <c r="AX263">
        <f ca="1">IFERROR(IF(0=LEN(ReferenceData!$AX$263),"",ReferenceData!$AX$263),"")</f>
        <v>1416.087401</v>
      </c>
      <c r="AY263">
        <f ca="1">IFERROR(IF(0=LEN(ReferenceData!$AY$263),"",ReferenceData!$AY$263),"")</f>
        <v>1464.5080250000001</v>
      </c>
      <c r="AZ263">
        <f ca="1">IFERROR(IF(0=LEN(ReferenceData!$AZ$263),"",ReferenceData!$AZ$263),"")</f>
        <v>1472.1498919999999</v>
      </c>
      <c r="BA263">
        <f ca="1">IFERROR(IF(0=LEN(ReferenceData!$BA$263),"",ReferenceData!$BA$263),"")</f>
        <v>1259.568225</v>
      </c>
      <c r="BB263">
        <f ca="1">IFERROR(IF(0=LEN(ReferenceData!$BB$263),"",ReferenceData!$BB$263),"")</f>
        <v>1096.601046</v>
      </c>
      <c r="BC263">
        <f ca="1">IFERROR(IF(0=LEN(ReferenceData!$BC$263),"",ReferenceData!$BC$263),"")</f>
        <v>1151.395904</v>
      </c>
      <c r="BD263">
        <f ca="1">IFERROR(IF(0=LEN(ReferenceData!$BD$263),"",ReferenceData!$BD$263),"")</f>
        <v>987.19788470000003</v>
      </c>
      <c r="BE263">
        <f ca="1">IFERROR(IF(0=LEN(ReferenceData!$BE$263),"",ReferenceData!$BE$263),"")</f>
        <v>1073.8577499999999</v>
      </c>
      <c r="BF263">
        <f ca="1">IFERROR(IF(0=LEN(ReferenceData!$BF$263),"",ReferenceData!$BF$263),"")</f>
        <v>1160.1422299999999</v>
      </c>
      <c r="BG263">
        <f ca="1">IFERROR(IF(0=LEN(ReferenceData!$BG$263),"",ReferenceData!$BG$263),"")</f>
        <v>1188.7889110000001</v>
      </c>
      <c r="BH263">
        <f ca="1">IFERROR(IF(0=LEN(ReferenceData!$BH$263),"",ReferenceData!$BH$263),"")</f>
        <v>1132.9452409999999</v>
      </c>
      <c r="BI263">
        <f ca="1">IFERROR(IF(0=LEN(ReferenceData!$BI$263),"",ReferenceData!$BI$263),"")</f>
        <v>1202.699541</v>
      </c>
      <c r="BJ263">
        <f ca="1">IFERROR(IF(0=LEN(ReferenceData!$BJ$263),"",ReferenceData!$BJ$263),"")</f>
        <v>1101.3624239999999</v>
      </c>
      <c r="BK263">
        <f ca="1">IFERROR(IF(0=LEN(ReferenceData!$BK$263),"",ReferenceData!$BK$263),"")</f>
        <v>1183.827174</v>
      </c>
      <c r="BL263">
        <f ca="1">IFERROR(IF(0=LEN(ReferenceData!$BL$263),"",ReferenceData!$BL$263),"")</f>
        <v>1010.531379</v>
      </c>
      <c r="BM263">
        <f ca="1">IFERROR(IF(0=LEN(ReferenceData!$BM$263),"",ReferenceData!$BM$263),"")</f>
        <v>999.74581350000005</v>
      </c>
    </row>
    <row r="264" spans="1:65" x14ac:dyDescent="0.25">
      <c r="A264" t="str">
        <f>IFERROR(IF(0=LEN(ReferenceData!$A$264),"",ReferenceData!$A$264),"")</f>
        <v xml:space="preserve">    GAZ PJSC</v>
      </c>
      <c r="B264" t="str">
        <f>IFERROR(IF(0=LEN(ReferenceData!$B$264),"",ReferenceData!$B$264),"")</f>
        <v>GAZA RM Equity</v>
      </c>
      <c r="C264" t="str">
        <f>IFERROR(IF(0=LEN(ReferenceData!$C$264),"",ReferenceData!$C$264),"")</f>
        <v>RR010</v>
      </c>
      <c r="D264" t="str">
        <f>IFERROR(IF(0=LEN(ReferenceData!$D$264),"",ReferenceData!$D$264),"")</f>
        <v>TOT_COMMON_EQY</v>
      </c>
      <c r="E264" t="str">
        <f>IFERROR(IF(0=LEN(ReferenceData!$E$264),"",ReferenceData!$E$264),"")</f>
        <v>Dynamic</v>
      </c>
      <c r="F264" t="str">
        <f ca="1">IFERROR(IF(0=LEN(ReferenceData!$F$264),"",ReferenceData!$F$264),"")</f>
        <v/>
      </c>
      <c r="G264" t="str">
        <f ca="1">IFERROR(IF(0=LEN(ReferenceData!$G$264),"",ReferenceData!$G$264),"")</f>
        <v/>
      </c>
      <c r="H264" t="str">
        <f ca="1">IFERROR(IF(0=LEN(ReferenceData!$H$264),"",ReferenceData!$H$264),"")</f>
        <v/>
      </c>
      <c r="I264" t="str">
        <f ca="1">IFERROR(IF(0=LEN(ReferenceData!$I$264),"",ReferenceData!$I$264),"")</f>
        <v/>
      </c>
      <c r="J264" t="str">
        <f ca="1">IFERROR(IF(0=LEN(ReferenceData!$J$264),"",ReferenceData!$J$264),"")</f>
        <v/>
      </c>
      <c r="K264" t="str">
        <f ca="1">IFERROR(IF(0=LEN(ReferenceData!$K$264),"",ReferenceData!$K$264),"")</f>
        <v/>
      </c>
      <c r="L264" t="str">
        <f ca="1">IFERROR(IF(0=LEN(ReferenceData!$L$264),"",ReferenceData!$L$264),"")</f>
        <v/>
      </c>
      <c r="M264" t="str">
        <f ca="1">IFERROR(IF(0=LEN(ReferenceData!$M$264),"",ReferenceData!$M$264),"")</f>
        <v/>
      </c>
      <c r="N264" t="str">
        <f ca="1">IFERROR(IF(0=LEN(ReferenceData!$N$264),"",ReferenceData!$N$264),"")</f>
        <v/>
      </c>
      <c r="O264" t="str">
        <f ca="1">IFERROR(IF(0=LEN(ReferenceData!$O$264),"",ReferenceData!$O$264),"")</f>
        <v/>
      </c>
      <c r="P264" t="str">
        <f ca="1">IFERROR(IF(0=LEN(ReferenceData!$P$264),"",ReferenceData!$P$264),"")</f>
        <v/>
      </c>
      <c r="Q264" t="str">
        <f ca="1">IFERROR(IF(0=LEN(ReferenceData!$Q$264),"",ReferenceData!$Q$264),"")</f>
        <v/>
      </c>
      <c r="R264" t="str">
        <f ca="1">IFERROR(IF(0=LEN(ReferenceData!$R$264),"",ReferenceData!$R$264),"")</f>
        <v/>
      </c>
      <c r="S264" t="str">
        <f ca="1">IFERROR(IF(0=LEN(ReferenceData!$S$264),"",ReferenceData!$S$264),"")</f>
        <v/>
      </c>
      <c r="T264" t="str">
        <f ca="1">IFERROR(IF(0=LEN(ReferenceData!$T$264),"",ReferenceData!$T$264),"")</f>
        <v/>
      </c>
      <c r="U264" t="str">
        <f ca="1">IFERROR(IF(0=LEN(ReferenceData!$U$264),"",ReferenceData!$U$264),"")</f>
        <v/>
      </c>
      <c r="V264" t="str">
        <f ca="1">IFERROR(IF(0=LEN(ReferenceData!$V$264),"",ReferenceData!$V$264),"")</f>
        <v/>
      </c>
      <c r="W264" t="str">
        <f ca="1">IFERROR(IF(0=LEN(ReferenceData!$W$264),"",ReferenceData!$W$264),"")</f>
        <v/>
      </c>
      <c r="X264" t="str">
        <f ca="1">IFERROR(IF(0=LEN(ReferenceData!$X$264),"",ReferenceData!$X$264),"")</f>
        <v/>
      </c>
      <c r="Y264" t="str">
        <f ca="1">IFERROR(IF(0=LEN(ReferenceData!$Y$264),"",ReferenceData!$Y$264),"")</f>
        <v/>
      </c>
      <c r="Z264" t="str">
        <f ca="1">IFERROR(IF(0=LEN(ReferenceData!$Z$264),"",ReferenceData!$Z$264),"")</f>
        <v/>
      </c>
      <c r="AA264" t="str">
        <f ca="1">IFERROR(IF(0=LEN(ReferenceData!$AA$264),"",ReferenceData!$AA$264),"")</f>
        <v/>
      </c>
      <c r="AB264" t="str">
        <f ca="1">IFERROR(IF(0=LEN(ReferenceData!$AB$264),"",ReferenceData!$AB$264),"")</f>
        <v/>
      </c>
      <c r="AC264" t="str">
        <f ca="1">IFERROR(IF(0=LEN(ReferenceData!$AC$264),"",ReferenceData!$AC$264),"")</f>
        <v/>
      </c>
      <c r="AD264" t="str">
        <f ca="1">IFERROR(IF(0=LEN(ReferenceData!$AD$264),"",ReferenceData!$AD$264),"")</f>
        <v/>
      </c>
      <c r="AE264" t="str">
        <f ca="1">IFERROR(IF(0=LEN(ReferenceData!$AE$264),"",ReferenceData!$AE$264),"")</f>
        <v/>
      </c>
      <c r="AF264" t="str">
        <f ca="1">IFERROR(IF(0=LEN(ReferenceData!$AF$264),"",ReferenceData!$AF$264),"")</f>
        <v/>
      </c>
      <c r="AG264" t="str">
        <f ca="1">IFERROR(IF(0=LEN(ReferenceData!$AG$264),"",ReferenceData!$AG$264),"")</f>
        <v/>
      </c>
      <c r="AH264" t="str">
        <f ca="1">IFERROR(IF(0=LEN(ReferenceData!$AH$264),"",ReferenceData!$AH$264),"")</f>
        <v/>
      </c>
      <c r="AI264" t="str">
        <f ca="1">IFERROR(IF(0=LEN(ReferenceData!$AI$264),"",ReferenceData!$AI$264),"")</f>
        <v/>
      </c>
      <c r="AJ264" t="str">
        <f ca="1">IFERROR(IF(0=LEN(ReferenceData!$AJ$264),"",ReferenceData!$AJ$264),"")</f>
        <v/>
      </c>
      <c r="AK264" t="str">
        <f ca="1">IFERROR(IF(0=LEN(ReferenceData!$AK$264),"",ReferenceData!$AK$264),"")</f>
        <v/>
      </c>
      <c r="AL264" t="str">
        <f ca="1">IFERROR(IF(0=LEN(ReferenceData!$AL$264),"",ReferenceData!$AL$264),"")</f>
        <v/>
      </c>
      <c r="AM264" t="str">
        <f ca="1">IFERROR(IF(0=LEN(ReferenceData!$AM$264),"",ReferenceData!$AM$264),"")</f>
        <v/>
      </c>
      <c r="AN264" t="str">
        <f ca="1">IFERROR(IF(0=LEN(ReferenceData!$AN$264),"",ReferenceData!$AN$264),"")</f>
        <v/>
      </c>
      <c r="AO264" t="str">
        <f ca="1">IFERROR(IF(0=LEN(ReferenceData!$AO$264),"",ReferenceData!$AO$264),"")</f>
        <v/>
      </c>
      <c r="AP264" t="str">
        <f ca="1">IFERROR(IF(0=LEN(ReferenceData!$AP$264),"",ReferenceData!$AP$264),"")</f>
        <v/>
      </c>
      <c r="AQ264" t="str">
        <f ca="1">IFERROR(IF(0=LEN(ReferenceData!$AQ$264),"",ReferenceData!$AQ$264),"")</f>
        <v/>
      </c>
      <c r="AR264" t="str">
        <f ca="1">IFERROR(IF(0=LEN(ReferenceData!$AR$264),"",ReferenceData!$AR$264),"")</f>
        <v/>
      </c>
      <c r="AS264" t="str">
        <f ca="1">IFERROR(IF(0=LEN(ReferenceData!$AS$264),"",ReferenceData!$AS$264),"")</f>
        <v/>
      </c>
      <c r="AT264" t="str">
        <f ca="1">IFERROR(IF(0=LEN(ReferenceData!$AT$264),"",ReferenceData!$AT$264),"")</f>
        <v/>
      </c>
      <c r="AU264" t="str">
        <f ca="1">IFERROR(IF(0=LEN(ReferenceData!$AU$264),"",ReferenceData!$AU$264),"")</f>
        <v/>
      </c>
      <c r="AV264" t="str">
        <f ca="1">IFERROR(IF(0=LEN(ReferenceData!$AV$264),"",ReferenceData!$AV$264),"")</f>
        <v/>
      </c>
      <c r="AW264" t="str">
        <f ca="1">IFERROR(IF(0=LEN(ReferenceData!$AW$264),"",ReferenceData!$AW$264),"")</f>
        <v/>
      </c>
      <c r="AX264" t="str">
        <f ca="1">IFERROR(IF(0=LEN(ReferenceData!$AX$264),"",ReferenceData!$AX$264),"")</f>
        <v/>
      </c>
      <c r="AY264" t="str">
        <f ca="1">IFERROR(IF(0=LEN(ReferenceData!$AY$264),"",ReferenceData!$AY$264),"")</f>
        <v/>
      </c>
      <c r="AZ264" t="str">
        <f ca="1">IFERROR(IF(0=LEN(ReferenceData!$AZ$264),"",ReferenceData!$AZ$264),"")</f>
        <v/>
      </c>
      <c r="BA264" t="str">
        <f ca="1">IFERROR(IF(0=LEN(ReferenceData!$BA$264),"",ReferenceData!$BA$264),"")</f>
        <v/>
      </c>
      <c r="BB264" t="str">
        <f ca="1">IFERROR(IF(0=LEN(ReferenceData!$BB$264),"",ReferenceData!$BB$264),"")</f>
        <v/>
      </c>
      <c r="BC264" t="str">
        <f ca="1">IFERROR(IF(0=LEN(ReferenceData!$BC$264),"",ReferenceData!$BC$264),"")</f>
        <v/>
      </c>
      <c r="BD264" t="str">
        <f ca="1">IFERROR(IF(0=LEN(ReferenceData!$BD$264),"",ReferenceData!$BD$264),"")</f>
        <v/>
      </c>
      <c r="BE264" t="str">
        <f ca="1">IFERROR(IF(0=LEN(ReferenceData!$BE$264),"",ReferenceData!$BE$264),"")</f>
        <v/>
      </c>
      <c r="BF264" t="str">
        <f ca="1">IFERROR(IF(0=LEN(ReferenceData!$BF$264),"",ReferenceData!$BF$264),"")</f>
        <v/>
      </c>
      <c r="BG264" t="str">
        <f ca="1">IFERROR(IF(0=LEN(ReferenceData!$BG$264),"",ReferenceData!$BG$264),"")</f>
        <v/>
      </c>
      <c r="BH264" t="str">
        <f ca="1">IFERROR(IF(0=LEN(ReferenceData!$BH$264),"",ReferenceData!$BH$264),"")</f>
        <v/>
      </c>
      <c r="BI264" t="str">
        <f ca="1">IFERROR(IF(0=LEN(ReferenceData!$BI$264),"",ReferenceData!$BI$264),"")</f>
        <v/>
      </c>
      <c r="BJ264" t="str">
        <f ca="1">IFERROR(IF(0=LEN(ReferenceData!$BJ$264),"",ReferenceData!$BJ$264),"")</f>
        <v/>
      </c>
      <c r="BK264" t="str">
        <f ca="1">IFERROR(IF(0=LEN(ReferenceData!$BK$264),"",ReferenceData!$BK$264),"")</f>
        <v/>
      </c>
      <c r="BL264" t="str">
        <f ca="1">IFERROR(IF(0=LEN(ReferenceData!$BL$264),"",ReferenceData!$BL$264),"")</f>
        <v/>
      </c>
      <c r="BM264" t="str">
        <f ca="1">IFERROR(IF(0=LEN(ReferenceData!$BM$264),"",ReferenceData!$BM$264),"")</f>
        <v/>
      </c>
    </row>
    <row r="265" spans="1:65" x14ac:dyDescent="0.25">
      <c r="A265" t="str">
        <f>IFERROR(IF(0=LEN(ReferenceData!$A$265),"",ReferenceData!$A$265),"")</f>
        <v xml:space="preserve">    Geely Automobile Holdings Ltd</v>
      </c>
      <c r="B265" t="str">
        <f>IFERROR(IF(0=LEN(ReferenceData!$B$265),"",ReferenceData!$B$265),"")</f>
        <v>175 HK Equity</v>
      </c>
      <c r="C265" t="str">
        <f>IFERROR(IF(0=LEN(ReferenceData!$C$265),"",ReferenceData!$C$265),"")</f>
        <v>RR010</v>
      </c>
      <c r="D265" t="str">
        <f>IFERROR(IF(0=LEN(ReferenceData!$D$265),"",ReferenceData!$D$265),"")</f>
        <v>TOT_COMMON_EQY</v>
      </c>
      <c r="E265" t="str">
        <f>IFERROR(IF(0=LEN(ReferenceData!$E$265),"",ReferenceData!$E$265),"")</f>
        <v>Dynamic</v>
      </c>
      <c r="F265" t="str">
        <f ca="1">IFERROR(IF(0=LEN(ReferenceData!$F$265),"",ReferenceData!$F$265),"")</f>
        <v/>
      </c>
      <c r="G265" t="str">
        <f ca="1">IFERROR(IF(0=LEN(ReferenceData!$G$265),"",ReferenceData!$G$265),"")</f>
        <v/>
      </c>
      <c r="H265" t="str">
        <f ca="1">IFERROR(IF(0=LEN(ReferenceData!$H$265),"",ReferenceData!$H$265),"")</f>
        <v/>
      </c>
      <c r="I265" t="str">
        <f ca="1">IFERROR(IF(0=LEN(ReferenceData!$I$265),"",ReferenceData!$I$265),"")</f>
        <v/>
      </c>
      <c r="J265" t="str">
        <f ca="1">IFERROR(IF(0=LEN(ReferenceData!$J$265),"",ReferenceData!$J$265),"")</f>
        <v/>
      </c>
      <c r="K265" t="str">
        <f ca="1">IFERROR(IF(0=LEN(ReferenceData!$K$265),"",ReferenceData!$K$265),"")</f>
        <v/>
      </c>
      <c r="L265" t="str">
        <f ca="1">IFERROR(IF(0=LEN(ReferenceData!$L$265),"",ReferenceData!$L$265),"")</f>
        <v/>
      </c>
      <c r="M265" t="str">
        <f ca="1">IFERROR(IF(0=LEN(ReferenceData!$M$265),"",ReferenceData!$M$265),"")</f>
        <v/>
      </c>
      <c r="N265" t="str">
        <f ca="1">IFERROR(IF(0=LEN(ReferenceData!$N$265),"",ReferenceData!$N$265),"")</f>
        <v/>
      </c>
      <c r="O265" t="str">
        <f ca="1">IFERROR(IF(0=LEN(ReferenceData!$O$265),"",ReferenceData!$O$265),"")</f>
        <v/>
      </c>
      <c r="P265" t="str">
        <f ca="1">IFERROR(IF(0=LEN(ReferenceData!$P$265),"",ReferenceData!$P$265),"")</f>
        <v/>
      </c>
      <c r="Q265" t="str">
        <f ca="1">IFERROR(IF(0=LEN(ReferenceData!$Q$265),"",ReferenceData!$Q$265),"")</f>
        <v/>
      </c>
      <c r="R265" t="str">
        <f ca="1">IFERROR(IF(0=LEN(ReferenceData!$R$265),"",ReferenceData!$R$265),"")</f>
        <v/>
      </c>
      <c r="S265" t="str">
        <f ca="1">IFERROR(IF(0=LEN(ReferenceData!$S$265),"",ReferenceData!$S$265),"")</f>
        <v/>
      </c>
      <c r="T265" t="str">
        <f ca="1">IFERROR(IF(0=LEN(ReferenceData!$T$265),"",ReferenceData!$T$265),"")</f>
        <v/>
      </c>
      <c r="U265" t="str">
        <f ca="1">IFERROR(IF(0=LEN(ReferenceData!$U$265),"",ReferenceData!$U$265),"")</f>
        <v/>
      </c>
      <c r="V265" t="str">
        <f ca="1">IFERROR(IF(0=LEN(ReferenceData!$V$265),"",ReferenceData!$V$265),"")</f>
        <v/>
      </c>
      <c r="W265" t="str">
        <f ca="1">IFERROR(IF(0=LEN(ReferenceData!$W$265),"",ReferenceData!$W$265),"")</f>
        <v/>
      </c>
      <c r="X265" t="str">
        <f ca="1">IFERROR(IF(0=LEN(ReferenceData!$X$265),"",ReferenceData!$X$265),"")</f>
        <v/>
      </c>
      <c r="Y265" t="str">
        <f ca="1">IFERROR(IF(0=LEN(ReferenceData!$Y$265),"",ReferenceData!$Y$265),"")</f>
        <v/>
      </c>
      <c r="Z265" t="str">
        <f ca="1">IFERROR(IF(0=LEN(ReferenceData!$Z$265),"",ReferenceData!$Z$265),"")</f>
        <v/>
      </c>
      <c r="AA265" t="str">
        <f ca="1">IFERROR(IF(0=LEN(ReferenceData!$AA$265),"",ReferenceData!$AA$265),"")</f>
        <v/>
      </c>
      <c r="AB265" t="str">
        <f ca="1">IFERROR(IF(0=LEN(ReferenceData!$AB$265),"",ReferenceData!$AB$265),"")</f>
        <v/>
      </c>
      <c r="AC265" t="str">
        <f ca="1">IFERROR(IF(0=LEN(ReferenceData!$AC$265),"",ReferenceData!$AC$265),"")</f>
        <v/>
      </c>
      <c r="AD265" t="str">
        <f ca="1">IFERROR(IF(0=LEN(ReferenceData!$AD$265),"",ReferenceData!$AD$265),"")</f>
        <v/>
      </c>
      <c r="AE265" t="str">
        <f ca="1">IFERROR(IF(0=LEN(ReferenceData!$AE$265),"",ReferenceData!$AE$265),"")</f>
        <v/>
      </c>
      <c r="AF265" t="str">
        <f ca="1">IFERROR(IF(0=LEN(ReferenceData!$AF$265),"",ReferenceData!$AF$265),"")</f>
        <v/>
      </c>
      <c r="AG265" t="str">
        <f ca="1">IFERROR(IF(0=LEN(ReferenceData!$AG$265),"",ReferenceData!$AG$265),"")</f>
        <v/>
      </c>
      <c r="AH265" t="str">
        <f ca="1">IFERROR(IF(0=LEN(ReferenceData!$AH$265),"",ReferenceData!$AH$265),"")</f>
        <v/>
      </c>
      <c r="AI265" t="str">
        <f ca="1">IFERROR(IF(0=LEN(ReferenceData!$AI$265),"",ReferenceData!$AI$265),"")</f>
        <v/>
      </c>
      <c r="AJ265" t="str">
        <f ca="1">IFERROR(IF(0=LEN(ReferenceData!$AJ$265),"",ReferenceData!$AJ$265),"")</f>
        <v/>
      </c>
      <c r="AK265" t="str">
        <f ca="1">IFERROR(IF(0=LEN(ReferenceData!$AK$265),"",ReferenceData!$AK$265),"")</f>
        <v/>
      </c>
      <c r="AL265" t="str">
        <f ca="1">IFERROR(IF(0=LEN(ReferenceData!$AL$265),"",ReferenceData!$AL$265),"")</f>
        <v/>
      </c>
      <c r="AM265" t="str">
        <f ca="1">IFERROR(IF(0=LEN(ReferenceData!$AM$265),"",ReferenceData!$AM$265),"")</f>
        <v/>
      </c>
      <c r="AN265" t="str">
        <f ca="1">IFERROR(IF(0=LEN(ReferenceData!$AN$265),"",ReferenceData!$AN$265),"")</f>
        <v/>
      </c>
      <c r="AO265" t="str">
        <f ca="1">IFERROR(IF(0=LEN(ReferenceData!$AO$265),"",ReferenceData!$AO$265),"")</f>
        <v/>
      </c>
      <c r="AP265" t="str">
        <f ca="1">IFERROR(IF(0=LEN(ReferenceData!$AP$265),"",ReferenceData!$AP$265),"")</f>
        <v/>
      </c>
      <c r="AQ265" t="str">
        <f ca="1">IFERROR(IF(0=LEN(ReferenceData!$AQ$265),"",ReferenceData!$AQ$265),"")</f>
        <v/>
      </c>
      <c r="AR265" t="str">
        <f ca="1">IFERROR(IF(0=LEN(ReferenceData!$AR$265),"",ReferenceData!$AR$265),"")</f>
        <v/>
      </c>
      <c r="AS265" t="str">
        <f ca="1">IFERROR(IF(0=LEN(ReferenceData!$AS$265),"",ReferenceData!$AS$265),"")</f>
        <v/>
      </c>
      <c r="AT265" t="str">
        <f ca="1">IFERROR(IF(0=LEN(ReferenceData!$AT$265),"",ReferenceData!$AT$265),"")</f>
        <v/>
      </c>
      <c r="AU265" t="str">
        <f ca="1">IFERROR(IF(0=LEN(ReferenceData!$AU$265),"",ReferenceData!$AU$265),"")</f>
        <v/>
      </c>
      <c r="AV265" t="str">
        <f ca="1">IFERROR(IF(0=LEN(ReferenceData!$AV$265),"",ReferenceData!$AV$265),"")</f>
        <v/>
      </c>
      <c r="AW265" t="str">
        <f ca="1">IFERROR(IF(0=LEN(ReferenceData!$AW$265),"",ReferenceData!$AW$265),"")</f>
        <v/>
      </c>
      <c r="AX265" t="str">
        <f ca="1">IFERROR(IF(0=LEN(ReferenceData!$AX$265),"",ReferenceData!$AX$265),"")</f>
        <v/>
      </c>
      <c r="AY265" t="str">
        <f ca="1">IFERROR(IF(0=LEN(ReferenceData!$AY$265),"",ReferenceData!$AY$265),"")</f>
        <v/>
      </c>
      <c r="AZ265" t="str">
        <f ca="1">IFERROR(IF(0=LEN(ReferenceData!$AZ$265),"",ReferenceData!$AZ$265),"")</f>
        <v/>
      </c>
      <c r="BA265" t="str">
        <f ca="1">IFERROR(IF(0=LEN(ReferenceData!$BA$265),"",ReferenceData!$BA$265),"")</f>
        <v/>
      </c>
      <c r="BB265" t="str">
        <f ca="1">IFERROR(IF(0=LEN(ReferenceData!$BB$265),"",ReferenceData!$BB$265),"")</f>
        <v/>
      </c>
      <c r="BC265" t="str">
        <f ca="1">IFERROR(IF(0=LEN(ReferenceData!$BC$265),"",ReferenceData!$BC$265),"")</f>
        <v/>
      </c>
      <c r="BD265" t="str">
        <f ca="1">IFERROR(IF(0=LEN(ReferenceData!$BD$265),"",ReferenceData!$BD$265),"")</f>
        <v/>
      </c>
      <c r="BE265" t="str">
        <f ca="1">IFERROR(IF(0=LEN(ReferenceData!$BE$265),"",ReferenceData!$BE$265),"")</f>
        <v/>
      </c>
      <c r="BF265" t="str">
        <f ca="1">IFERROR(IF(0=LEN(ReferenceData!$BF$265),"",ReferenceData!$BF$265),"")</f>
        <v/>
      </c>
      <c r="BG265" t="str">
        <f ca="1">IFERROR(IF(0=LEN(ReferenceData!$BG$265),"",ReferenceData!$BG$265),"")</f>
        <v/>
      </c>
      <c r="BH265" t="str">
        <f ca="1">IFERROR(IF(0=LEN(ReferenceData!$BH$265),"",ReferenceData!$BH$265),"")</f>
        <v/>
      </c>
      <c r="BI265" t="str">
        <f ca="1">IFERROR(IF(0=LEN(ReferenceData!$BI$265),"",ReferenceData!$BI$265),"")</f>
        <v/>
      </c>
      <c r="BJ265" t="str">
        <f ca="1">IFERROR(IF(0=LEN(ReferenceData!$BJ$265),"",ReferenceData!$BJ$265),"")</f>
        <v/>
      </c>
      <c r="BK265" t="str">
        <f ca="1">IFERROR(IF(0=LEN(ReferenceData!$BK$265),"",ReferenceData!$BK$265),"")</f>
        <v/>
      </c>
      <c r="BL265" t="str">
        <f ca="1">IFERROR(IF(0=LEN(ReferenceData!$BL$265),"",ReferenceData!$BL$265),"")</f>
        <v/>
      </c>
      <c r="BM265" t="str">
        <f ca="1">IFERROR(IF(0=LEN(ReferenceData!$BM$265),"",ReferenceData!$BM$265),"")</f>
        <v/>
      </c>
    </row>
    <row r="266" spans="1:65" x14ac:dyDescent="0.25">
      <c r="A266" t="str">
        <f>IFERROR(IF(0=LEN(ReferenceData!$A$266),"",ReferenceData!$A$266),"")</f>
        <v xml:space="preserve">    General Motors Co</v>
      </c>
      <c r="B266" t="str">
        <f>IFERROR(IF(0=LEN(ReferenceData!$B$266),"",ReferenceData!$B$266),"")</f>
        <v>GM US Equity</v>
      </c>
      <c r="C266" t="str">
        <f>IFERROR(IF(0=LEN(ReferenceData!$C$266),"",ReferenceData!$C$266),"")</f>
        <v>RR010</v>
      </c>
      <c r="D266" t="str">
        <f>IFERROR(IF(0=LEN(ReferenceData!$D$266),"",ReferenceData!$D$266),"")</f>
        <v>TOT_COMMON_EQY</v>
      </c>
      <c r="E266" t="str">
        <f>IFERROR(IF(0=LEN(ReferenceData!$E$266),"",ReferenceData!$E$266),"")</f>
        <v>Dynamic</v>
      </c>
      <c r="F266" t="str">
        <f ca="1">IFERROR(IF(0=LEN(ReferenceData!$F$266),"",ReferenceData!$F$266),"")</f>
        <v/>
      </c>
      <c r="G266">
        <f ca="1">IFERROR(IF(0=LEN(ReferenceData!$G$266),"",ReferenceData!$G$266),"")</f>
        <v>38860</v>
      </c>
      <c r="H266">
        <f ca="1">IFERROR(IF(0=LEN(ReferenceData!$H$266),"",ReferenceData!$H$266),"")</f>
        <v>38061</v>
      </c>
      <c r="I266">
        <f ca="1">IFERROR(IF(0=LEN(ReferenceData!$I$266),"",ReferenceData!$I$266),"")</f>
        <v>36181</v>
      </c>
      <c r="J266">
        <f ca="1">IFERROR(IF(0=LEN(ReferenceData!$J$266),"",ReferenceData!$J$266),"")</f>
        <v>34298</v>
      </c>
      <c r="K266">
        <f ca="1">IFERROR(IF(0=LEN(ReferenceData!$K$266),"",ReferenceData!$K$266),"")</f>
        <v>35001</v>
      </c>
      <c r="L266">
        <f ca="1">IFERROR(IF(0=LEN(ReferenceData!$L$266),"",ReferenceData!$L$266),"")</f>
        <v>42243</v>
      </c>
      <c r="M266">
        <f ca="1">IFERROR(IF(0=LEN(ReferenceData!$M$266),"",ReferenceData!$M$266),"")</f>
        <v>45521</v>
      </c>
      <c r="N266">
        <f ca="1">IFERROR(IF(0=LEN(ReferenceData!$N$266),"",ReferenceData!$N$266),"")</f>
        <v>45972</v>
      </c>
      <c r="O266">
        <f ca="1">IFERROR(IF(0=LEN(ReferenceData!$O$266),"",ReferenceData!$O$266),"")</f>
        <v>43836</v>
      </c>
      <c r="P266">
        <f ca="1">IFERROR(IF(0=LEN(ReferenceData!$P$266),"",ReferenceData!$P$266),"")</f>
        <v>44720</v>
      </c>
      <c r="Q266">
        <f ca="1">IFERROR(IF(0=LEN(ReferenceData!$Q$266),"",ReferenceData!$Q$266),"")</f>
        <v>43630</v>
      </c>
      <c r="R266">
        <f ca="1">IFERROR(IF(0=LEN(ReferenceData!$R$266),"",ReferenceData!$R$266),"")</f>
        <v>40932</v>
      </c>
      <c r="S266">
        <f ca="1">IFERROR(IF(0=LEN(ReferenceData!$S$266),"",ReferenceData!$S$266),"")</f>
        <v>39871</v>
      </c>
      <c r="T266">
        <f ca="1">IFERROR(IF(0=LEN(ReferenceData!$T$266),"",ReferenceData!$T$266),"")</f>
        <v>34638</v>
      </c>
      <c r="U266">
        <f ca="1">IFERROR(IF(0=LEN(ReferenceData!$U$266),"",ReferenceData!$U$266),"")</f>
        <v>35146</v>
      </c>
      <c r="V266">
        <f ca="1">IFERROR(IF(0=LEN(ReferenceData!$V$266),"",ReferenceData!$V$266),"")</f>
        <v>36329</v>
      </c>
      <c r="W266">
        <f ca="1">IFERROR(IF(0=LEN(ReferenceData!$W$266),"",ReferenceData!$W$266),"")</f>
        <v>35457</v>
      </c>
      <c r="X266">
        <f ca="1">IFERROR(IF(0=LEN(ReferenceData!$X$266),"",ReferenceData!$X$266),"")</f>
        <v>39893</v>
      </c>
      <c r="Y266">
        <f ca="1">IFERROR(IF(0=LEN(ReferenceData!$Y$266),"",ReferenceData!$Y$266),"")</f>
        <v>38885</v>
      </c>
      <c r="Z266">
        <f ca="1">IFERROR(IF(0=LEN(ReferenceData!$Z$266),"",ReferenceData!$Z$266),"")</f>
        <v>39113</v>
      </c>
      <c r="AA266">
        <f ca="1">IFERROR(IF(0=LEN(ReferenceData!$AA$266),"",ReferenceData!$AA$266),"")</f>
        <v>39498</v>
      </c>
      <c r="AB266">
        <f ca="1">IFERROR(IF(0=LEN(ReferenceData!$AB$266),"",ReferenceData!$AB$266),"")</f>
        <v>28814</v>
      </c>
      <c r="AC266">
        <f ca="1">IFERROR(IF(0=LEN(ReferenceData!$AC$266),"",ReferenceData!$AC$266),"")</f>
        <v>27983</v>
      </c>
      <c r="AD266">
        <f ca="1">IFERROR(IF(0=LEN(ReferenceData!$AD$266),"",ReferenceData!$AD$266),"")</f>
        <v>27196</v>
      </c>
      <c r="AE266">
        <f ca="1">IFERROR(IF(0=LEN(ReferenceData!$AE$266),"",ReferenceData!$AE$266),"")</f>
        <v>25853</v>
      </c>
      <c r="AF266">
        <f ca="1">IFERROR(IF(0=LEN(ReferenceData!$AF$266),"",ReferenceData!$AF$266),"")</f>
        <v>31268</v>
      </c>
      <c r="AG266">
        <f ca="1">IFERROR(IF(0=LEN(ReferenceData!$AG$266),"",ReferenceData!$AG$266),"")</f>
        <v>30309</v>
      </c>
      <c r="AH266">
        <f ca="1">IFERROR(IF(0=LEN(ReferenceData!$AH$266),"",ReferenceData!$AH$266),"")</f>
        <v>28865</v>
      </c>
      <c r="AI266">
        <f ca="1">IFERROR(IF(0=LEN(ReferenceData!$AI$266),"",ReferenceData!$AI$266),"")</f>
        <v>27729</v>
      </c>
      <c r="AJ266">
        <f ca="1">IFERROR(IF(0=LEN(ReferenceData!$AJ$266),"",ReferenceData!$AJ$266),"")</f>
        <v>34353</v>
      </c>
      <c r="AK266">
        <f ca="1">IFERROR(IF(0=LEN(ReferenceData!$AK$266),"",ReferenceData!$AK$266),"")</f>
        <v>30727</v>
      </c>
      <c r="AL266">
        <f ca="1">IFERROR(IF(0=LEN(ReferenceData!$AL$266),"",ReferenceData!$AL$266),"")</f>
        <v>27807</v>
      </c>
      <c r="AM266">
        <f ca="1">IFERROR(IF(0=LEN(ReferenceData!$AM$266),"",ReferenceData!$AM$266),"")</f>
        <v>25789</v>
      </c>
      <c r="AN266">
        <f ca="1">IFERROR(IF(0=LEN(ReferenceData!$AN$266),"",ReferenceData!$AN$266),"")</f>
        <v>22747</v>
      </c>
      <c r="AO266">
        <f ca="1">IFERROR(IF(0=LEN(ReferenceData!$AO$266),"",ReferenceData!$AO$266),"")</f>
        <v>23015</v>
      </c>
      <c r="AP266">
        <f ca="1">IFERROR(IF(0=LEN(ReferenceData!$AP$266),"",ReferenceData!$AP$266),"")</f>
        <v>22239</v>
      </c>
      <c r="AQ266">
        <f ca="1">IFERROR(IF(0=LEN(ReferenceData!$AQ$266),"",ReferenceData!$AQ$266),"")</f>
        <v>21249</v>
      </c>
      <c r="AR266">
        <f ca="1">IFERROR(IF(0=LEN(ReferenceData!$AR$266),"",ReferenceData!$AR$266),"")</f>
        <v>18569</v>
      </c>
      <c r="AS266" t="str">
        <f ca="1">IFERROR(IF(0=LEN(ReferenceData!$AS$266),"",ReferenceData!$AS$266),"")</f>
        <v/>
      </c>
      <c r="AT266" t="str">
        <f ca="1">IFERROR(IF(0=LEN(ReferenceData!$AT$266),"",ReferenceData!$AT$266),"")</f>
        <v/>
      </c>
      <c r="AU266" t="str">
        <f ca="1">IFERROR(IF(0=LEN(ReferenceData!$AU$266),"",ReferenceData!$AU$266),"")</f>
        <v/>
      </c>
      <c r="AV266" t="str">
        <f ca="1">IFERROR(IF(0=LEN(ReferenceData!$AV$266),"",ReferenceData!$AV$266),"")</f>
        <v/>
      </c>
      <c r="AW266" t="str">
        <f ca="1">IFERROR(IF(0=LEN(ReferenceData!$AW$266),"",ReferenceData!$AW$266),"")</f>
        <v/>
      </c>
      <c r="AX266" t="str">
        <f ca="1">IFERROR(IF(0=LEN(ReferenceData!$AX$266),"",ReferenceData!$AX$266),"")</f>
        <v/>
      </c>
      <c r="AY266" t="str">
        <f ca="1">IFERROR(IF(0=LEN(ReferenceData!$AY$266),"",ReferenceData!$AY$266),"")</f>
        <v/>
      </c>
      <c r="AZ266" t="str">
        <f ca="1">IFERROR(IF(0=LEN(ReferenceData!$AZ$266),"",ReferenceData!$AZ$266),"")</f>
        <v/>
      </c>
      <c r="BA266" t="str">
        <f ca="1">IFERROR(IF(0=LEN(ReferenceData!$BA$266),"",ReferenceData!$BA$266),"")</f>
        <v/>
      </c>
      <c r="BB266" t="str">
        <f ca="1">IFERROR(IF(0=LEN(ReferenceData!$BB$266),"",ReferenceData!$BB$266),"")</f>
        <v/>
      </c>
      <c r="BC266" t="str">
        <f ca="1">IFERROR(IF(0=LEN(ReferenceData!$BC$266),"",ReferenceData!$BC$266),"")</f>
        <v/>
      </c>
      <c r="BD266" t="str">
        <f ca="1">IFERROR(IF(0=LEN(ReferenceData!$BD$266),"",ReferenceData!$BD$266),"")</f>
        <v/>
      </c>
      <c r="BE266" t="str">
        <f ca="1">IFERROR(IF(0=LEN(ReferenceData!$BE$266),"",ReferenceData!$BE$266),"")</f>
        <v/>
      </c>
      <c r="BF266" t="str">
        <f ca="1">IFERROR(IF(0=LEN(ReferenceData!$BF$266),"",ReferenceData!$BF$266),"")</f>
        <v/>
      </c>
      <c r="BG266" t="str">
        <f ca="1">IFERROR(IF(0=LEN(ReferenceData!$BG$266),"",ReferenceData!$BG$266),"")</f>
        <v/>
      </c>
      <c r="BH266" t="str">
        <f ca="1">IFERROR(IF(0=LEN(ReferenceData!$BH$266),"",ReferenceData!$BH$266),"")</f>
        <v/>
      </c>
      <c r="BI266" t="str">
        <f ca="1">IFERROR(IF(0=LEN(ReferenceData!$BI$266),"",ReferenceData!$BI$266),"")</f>
        <v/>
      </c>
      <c r="BJ266" t="str">
        <f ca="1">IFERROR(IF(0=LEN(ReferenceData!$BJ$266),"",ReferenceData!$BJ$266),"")</f>
        <v/>
      </c>
      <c r="BK266" t="str">
        <f ca="1">IFERROR(IF(0=LEN(ReferenceData!$BK$266),"",ReferenceData!$BK$266),"")</f>
        <v/>
      </c>
      <c r="BL266" t="str">
        <f ca="1">IFERROR(IF(0=LEN(ReferenceData!$BL$266),"",ReferenceData!$BL$266),"")</f>
        <v/>
      </c>
      <c r="BM266" t="str">
        <f ca="1">IFERROR(IF(0=LEN(ReferenceData!$BM$266),"",ReferenceData!$BM$266),"")</f>
        <v/>
      </c>
    </row>
    <row r="267" spans="1:65" x14ac:dyDescent="0.25">
      <c r="A267" t="str">
        <f>IFERROR(IF(0=LEN(ReferenceData!$A$267),"",ReferenceData!$A$267),"")</f>
        <v xml:space="preserve">    Great Wall Motor Co Ltd</v>
      </c>
      <c r="B267" t="str">
        <f>IFERROR(IF(0=LEN(ReferenceData!$B$267),"",ReferenceData!$B$267),"")</f>
        <v>2333 HK Equity</v>
      </c>
      <c r="C267" t="str">
        <f>IFERROR(IF(0=LEN(ReferenceData!$C$267),"",ReferenceData!$C$267),"")</f>
        <v>RR010</v>
      </c>
      <c r="D267" t="str">
        <f>IFERROR(IF(0=LEN(ReferenceData!$D$267),"",ReferenceData!$D$267),"")</f>
        <v>TOT_COMMON_EQY</v>
      </c>
      <c r="E267" t="str">
        <f>IFERROR(IF(0=LEN(ReferenceData!$E$267),"",ReferenceData!$E$267),"")</f>
        <v>Dynamic</v>
      </c>
      <c r="F267" t="str">
        <f ca="1">IFERROR(IF(0=LEN(ReferenceData!$F$267),"",ReferenceData!$F$267),"")</f>
        <v/>
      </c>
      <c r="G267" t="str">
        <f ca="1">IFERROR(IF(0=LEN(ReferenceData!$G$267),"",ReferenceData!$G$267),"")</f>
        <v/>
      </c>
      <c r="H267">
        <f ca="1">IFERROR(IF(0=LEN(ReferenceData!$H$267),"",ReferenceData!$H$267),"")</f>
        <v>7469.2358670000003</v>
      </c>
      <c r="I267">
        <f ca="1">IFERROR(IF(0=LEN(ReferenceData!$I$267),"",ReferenceData!$I$267),"")</f>
        <v>7721.8505109999996</v>
      </c>
      <c r="J267">
        <f ca="1">IFERROR(IF(0=LEN(ReferenceData!$J$267),"",ReferenceData!$J$267),"")</f>
        <v>8140.6556339999997</v>
      </c>
      <c r="K267">
        <f ca="1">IFERROR(IF(0=LEN(ReferenceData!$K$267),"",ReferenceData!$K$267),"")</f>
        <v>7551.3747990000002</v>
      </c>
      <c r="L267">
        <f ca="1">IFERROR(IF(0=LEN(ReferenceData!$L$267),"",ReferenceData!$L$267),"")</f>
        <v>7077.3784960000003</v>
      </c>
      <c r="M267">
        <f ca="1">IFERROR(IF(0=LEN(ReferenceData!$M$267),"",ReferenceData!$M$267),"")</f>
        <v>6875.7471640000003</v>
      </c>
      <c r="N267">
        <f ca="1">IFERROR(IF(0=LEN(ReferenceData!$N$267),"",ReferenceData!$N$267),"")</f>
        <v>7169.4501870000004</v>
      </c>
      <c r="O267">
        <f ca="1">IFERROR(IF(0=LEN(ReferenceData!$O$267),"",ReferenceData!$O$267),"")</f>
        <v>6815.1075309999997</v>
      </c>
      <c r="P267">
        <f ca="1">IFERROR(IF(0=LEN(ReferenceData!$P$267),"",ReferenceData!$P$267),"")</f>
        <v>6585.1048099999998</v>
      </c>
      <c r="Q267">
        <f ca="1">IFERROR(IF(0=LEN(ReferenceData!$Q$267),"",ReferenceData!$Q$267),"")</f>
        <v>6251.2409939999998</v>
      </c>
      <c r="R267">
        <f ca="1">IFERROR(IF(0=LEN(ReferenceData!$R$267),"",ReferenceData!$R$267),"")</f>
        <v>6317.2729159999999</v>
      </c>
      <c r="S267">
        <f ca="1">IFERROR(IF(0=LEN(ReferenceData!$S$267),"",ReferenceData!$S$267),"")</f>
        <v>5908.4191719999999</v>
      </c>
      <c r="T267">
        <f ca="1">IFERROR(IF(0=LEN(ReferenceData!$T$267),"",ReferenceData!$T$267),"")</f>
        <v>5263.5590780000002</v>
      </c>
      <c r="U267">
        <f ca="1">IFERROR(IF(0=LEN(ReferenceData!$U$267),"",ReferenceData!$U$267),"")</f>
        <v>5765.4595390000004</v>
      </c>
      <c r="V267">
        <f ca="1">IFERROR(IF(0=LEN(ReferenceData!$V$267),"",ReferenceData!$V$267),"")</f>
        <v>5802.5671860000002</v>
      </c>
      <c r="W267">
        <f ca="1">IFERROR(IF(0=LEN(ReferenceData!$W$267),"",ReferenceData!$W$267),"")</f>
        <v>5389.0292989999998</v>
      </c>
      <c r="X267">
        <f ca="1">IFERROR(IF(0=LEN(ReferenceData!$X$267),"",ReferenceData!$X$267),"")</f>
        <v>5061.2191300000004</v>
      </c>
      <c r="Y267">
        <f ca="1">IFERROR(IF(0=LEN(ReferenceData!$Y$267),"",ReferenceData!$Y$267),"")</f>
        <v>4748.1514710000001</v>
      </c>
      <c r="Z267">
        <f ca="1">IFERROR(IF(0=LEN(ReferenceData!$Z$267),"",ReferenceData!$Z$267),"")</f>
        <v>4824.3112920000003</v>
      </c>
      <c r="AA267">
        <f ca="1">IFERROR(IF(0=LEN(ReferenceData!$AA$267),"",ReferenceData!$AA$267),"")</f>
        <v>4625.586217</v>
      </c>
      <c r="AB267">
        <f ca="1">IFERROR(IF(0=LEN(ReferenceData!$AB$267),"",ReferenceData!$AB$267),"")</f>
        <v>4239.5924770000001</v>
      </c>
      <c r="AC267">
        <f ca="1">IFERROR(IF(0=LEN(ReferenceData!$AC$267),"",ReferenceData!$AC$267),"")</f>
        <v>3888.7128699999998</v>
      </c>
      <c r="AD267">
        <f ca="1">IFERROR(IF(0=LEN(ReferenceData!$AD$267),"",ReferenceData!$AD$267),"")</f>
        <v>3769.3349020000001</v>
      </c>
      <c r="AE267">
        <f ca="1">IFERROR(IF(0=LEN(ReferenceData!$AE$267),"",ReferenceData!$AE$267),"")</f>
        <v>3450.5603839999999</v>
      </c>
      <c r="AF267">
        <f ca="1">IFERROR(IF(0=LEN(ReferenceData!$AF$267),"",ReferenceData!$AF$267),"")</f>
        <v>3128.2120679999998</v>
      </c>
      <c r="AG267">
        <f ca="1">IFERROR(IF(0=LEN(ReferenceData!$AG$267),"",ReferenceData!$AG$267),"")</f>
        <v>2859.9585400000001</v>
      </c>
      <c r="AH267">
        <f ca="1">IFERROR(IF(0=LEN(ReferenceData!$AH$267),"",ReferenceData!$AH$267),"")</f>
        <v>2830.972757</v>
      </c>
      <c r="AI267" t="str">
        <f ca="1">IFERROR(IF(0=LEN(ReferenceData!$AI$267),"",ReferenceData!$AI$267),"")</f>
        <v/>
      </c>
      <c r="AJ267">
        <f ca="1">IFERROR(IF(0=LEN(ReferenceData!$AJ$267),"",ReferenceData!$AJ$267),"")</f>
        <v>2485.4807070000002</v>
      </c>
      <c r="AK267" t="str">
        <f ca="1">IFERROR(IF(0=LEN(ReferenceData!$AK$267),"",ReferenceData!$AK$267),"")</f>
        <v/>
      </c>
      <c r="AL267">
        <f ca="1">IFERROR(IF(0=LEN(ReferenceData!$AL$267),"",ReferenceData!$AL$267),"")</f>
        <v>1660.8916810000001</v>
      </c>
      <c r="AM267" t="str">
        <f ca="1">IFERROR(IF(0=LEN(ReferenceData!$AM$267),"",ReferenceData!$AM$267),"")</f>
        <v/>
      </c>
      <c r="AN267" t="str">
        <f ca="1">IFERROR(IF(0=LEN(ReferenceData!$AN$267),"",ReferenceData!$AN$267),"")</f>
        <v/>
      </c>
      <c r="AO267" t="str">
        <f ca="1">IFERROR(IF(0=LEN(ReferenceData!$AO$267),"",ReferenceData!$AO$267),"")</f>
        <v/>
      </c>
      <c r="AP267" t="str">
        <f ca="1">IFERROR(IF(0=LEN(ReferenceData!$AP$267),"",ReferenceData!$AP$267),"")</f>
        <v/>
      </c>
      <c r="AQ267" t="str">
        <f ca="1">IFERROR(IF(0=LEN(ReferenceData!$AQ$267),"",ReferenceData!$AQ$267),"")</f>
        <v/>
      </c>
      <c r="AR267" t="str">
        <f ca="1">IFERROR(IF(0=LEN(ReferenceData!$AR$267),"",ReferenceData!$AR$267),"")</f>
        <v/>
      </c>
      <c r="AS267" t="str">
        <f ca="1">IFERROR(IF(0=LEN(ReferenceData!$AS$267),"",ReferenceData!$AS$267),"")</f>
        <v/>
      </c>
      <c r="AT267" t="str">
        <f ca="1">IFERROR(IF(0=LEN(ReferenceData!$AT$267),"",ReferenceData!$AT$267),"")</f>
        <v/>
      </c>
      <c r="AU267" t="str">
        <f ca="1">IFERROR(IF(0=LEN(ReferenceData!$AU$267),"",ReferenceData!$AU$267),"")</f>
        <v/>
      </c>
      <c r="AV267" t="str">
        <f ca="1">IFERROR(IF(0=LEN(ReferenceData!$AV$267),"",ReferenceData!$AV$267),"")</f>
        <v/>
      </c>
      <c r="AW267" t="str">
        <f ca="1">IFERROR(IF(0=LEN(ReferenceData!$AW$267),"",ReferenceData!$AW$267),"")</f>
        <v/>
      </c>
      <c r="AX267" t="str">
        <f ca="1">IFERROR(IF(0=LEN(ReferenceData!$AX$267),"",ReferenceData!$AX$267),"")</f>
        <v/>
      </c>
      <c r="AY267" t="str">
        <f ca="1">IFERROR(IF(0=LEN(ReferenceData!$AY$267),"",ReferenceData!$AY$267),"")</f>
        <v/>
      </c>
      <c r="AZ267" t="str">
        <f ca="1">IFERROR(IF(0=LEN(ReferenceData!$AZ$267),"",ReferenceData!$AZ$267),"")</f>
        <v/>
      </c>
      <c r="BA267" t="str">
        <f ca="1">IFERROR(IF(0=LEN(ReferenceData!$BA$267),"",ReferenceData!$BA$267),"")</f>
        <v/>
      </c>
      <c r="BB267" t="str">
        <f ca="1">IFERROR(IF(0=LEN(ReferenceData!$BB$267),"",ReferenceData!$BB$267),"")</f>
        <v/>
      </c>
      <c r="BC267" t="str">
        <f ca="1">IFERROR(IF(0=LEN(ReferenceData!$BC$267),"",ReferenceData!$BC$267),"")</f>
        <v/>
      </c>
      <c r="BD267" t="str">
        <f ca="1">IFERROR(IF(0=LEN(ReferenceData!$BD$267),"",ReferenceData!$BD$267),"")</f>
        <v/>
      </c>
      <c r="BE267" t="str">
        <f ca="1">IFERROR(IF(0=LEN(ReferenceData!$BE$267),"",ReferenceData!$BE$267),"")</f>
        <v/>
      </c>
      <c r="BF267" t="str">
        <f ca="1">IFERROR(IF(0=LEN(ReferenceData!$BF$267),"",ReferenceData!$BF$267),"")</f>
        <v/>
      </c>
      <c r="BG267" t="str">
        <f ca="1">IFERROR(IF(0=LEN(ReferenceData!$BG$267),"",ReferenceData!$BG$267),"")</f>
        <v/>
      </c>
      <c r="BH267" t="str">
        <f ca="1">IFERROR(IF(0=LEN(ReferenceData!$BH$267),"",ReferenceData!$BH$267),"")</f>
        <v/>
      </c>
      <c r="BI267" t="str">
        <f ca="1">IFERROR(IF(0=LEN(ReferenceData!$BI$267),"",ReferenceData!$BI$267),"")</f>
        <v/>
      </c>
      <c r="BJ267" t="str">
        <f ca="1">IFERROR(IF(0=LEN(ReferenceData!$BJ$267),"",ReferenceData!$BJ$267),"")</f>
        <v/>
      </c>
      <c r="BK267" t="str">
        <f ca="1">IFERROR(IF(0=LEN(ReferenceData!$BK$267),"",ReferenceData!$BK$267),"")</f>
        <v/>
      </c>
      <c r="BL267" t="str">
        <f ca="1">IFERROR(IF(0=LEN(ReferenceData!$BL$267),"",ReferenceData!$BL$267),"")</f>
        <v/>
      </c>
      <c r="BM267" t="str">
        <f ca="1">IFERROR(IF(0=LEN(ReferenceData!$BM$267),"",ReferenceData!$BM$267),"")</f>
        <v/>
      </c>
    </row>
    <row r="268" spans="1:65" x14ac:dyDescent="0.25">
      <c r="A268" t="str">
        <f>IFERROR(IF(0=LEN(ReferenceData!$A$268),"",ReferenceData!$A$268),"")</f>
        <v xml:space="preserve">    Guangzhou Automobile Group Co Ltd</v>
      </c>
      <c r="B268" t="str">
        <f>IFERROR(IF(0=LEN(ReferenceData!$B$268),"",ReferenceData!$B$268),"")</f>
        <v>2238 HK Equity</v>
      </c>
      <c r="C268" t="str">
        <f>IFERROR(IF(0=LEN(ReferenceData!$C$268),"",ReferenceData!$C$268),"")</f>
        <v>RR010</v>
      </c>
      <c r="D268" t="str">
        <f>IFERROR(IF(0=LEN(ReferenceData!$D$268),"",ReferenceData!$D$268),"")</f>
        <v>TOT_COMMON_EQY</v>
      </c>
      <c r="E268" t="str">
        <f>IFERROR(IF(0=LEN(ReferenceData!$E$268),"",ReferenceData!$E$268),"")</f>
        <v>Dynamic</v>
      </c>
      <c r="F268" t="str">
        <f ca="1">IFERROR(IF(0=LEN(ReferenceData!$F$268),"",ReferenceData!$F$268),"")</f>
        <v/>
      </c>
      <c r="G268" t="str">
        <f ca="1">IFERROR(IF(0=LEN(ReferenceData!$G$268),"",ReferenceData!$G$268),"")</f>
        <v/>
      </c>
      <c r="H268">
        <f ca="1">IFERROR(IF(0=LEN(ReferenceData!$H$268),"",ReferenceData!$H$268),"")</f>
        <v>11008.838159999999</v>
      </c>
      <c r="I268">
        <f ca="1">IFERROR(IF(0=LEN(ReferenceData!$I$268),"",ReferenceData!$I$268),"")</f>
        <v>11079.904769999999</v>
      </c>
      <c r="J268">
        <f ca="1">IFERROR(IF(0=LEN(ReferenceData!$J$268),"",ReferenceData!$J$268),"")</f>
        <v>11626.35514</v>
      </c>
      <c r="K268">
        <f ca="1">IFERROR(IF(0=LEN(ReferenceData!$K$268),"",ReferenceData!$K$268),"")</f>
        <v>10661.35578</v>
      </c>
      <c r="L268">
        <f ca="1">IFERROR(IF(0=LEN(ReferenceData!$L$268),"",ReferenceData!$L$268),"")</f>
        <v>7803.0608380000003</v>
      </c>
      <c r="M268">
        <f ca="1">IFERROR(IF(0=LEN(ReferenceData!$M$268),"",ReferenceData!$M$268),"")</f>
        <v>7330.0928309999999</v>
      </c>
      <c r="N268">
        <f ca="1">IFERROR(IF(0=LEN(ReferenceData!$N$268),"",ReferenceData!$N$268),"")</f>
        <v>6913.1382709999998</v>
      </c>
      <c r="O268">
        <f ca="1">IFERROR(IF(0=LEN(ReferenceData!$O$268),"",ReferenceData!$O$268),"")</f>
        <v>6311.8190770000001</v>
      </c>
      <c r="P268">
        <f ca="1">IFERROR(IF(0=LEN(ReferenceData!$P$268),"",ReferenceData!$P$268),"")</f>
        <v>6216.0893219999998</v>
      </c>
      <c r="Q268">
        <f ca="1">IFERROR(IF(0=LEN(ReferenceData!$Q$268),"",ReferenceData!$Q$268),"")</f>
        <v>6287.0531360000004</v>
      </c>
      <c r="R268">
        <f ca="1">IFERROR(IF(0=LEN(ReferenceData!$R$268),"",ReferenceData!$R$268),"")</f>
        <v>6329.3131540000004</v>
      </c>
      <c r="S268">
        <f ca="1">IFERROR(IF(0=LEN(ReferenceData!$S$268),"",ReferenceData!$S$268),"")</f>
        <v>5948.7668350000004</v>
      </c>
      <c r="T268">
        <f ca="1">IFERROR(IF(0=LEN(ReferenceData!$T$268),"",ReferenceData!$T$268),"")</f>
        <v>5812.1833770000003</v>
      </c>
      <c r="U268">
        <f ca="1">IFERROR(IF(0=LEN(ReferenceData!$U$268),"",ReferenceData!$U$268),"")</f>
        <v>5897.3531919999996</v>
      </c>
      <c r="V268">
        <f ca="1">IFERROR(IF(0=LEN(ReferenceData!$V$268),"",ReferenceData!$V$268),"")</f>
        <v>5775.5989939999999</v>
      </c>
      <c r="W268">
        <f ca="1">IFERROR(IF(0=LEN(ReferenceData!$W$268),"",ReferenceData!$W$268),"")</f>
        <v>5702.833576</v>
      </c>
      <c r="X268">
        <f ca="1">IFERROR(IF(0=LEN(ReferenceData!$X$268),"",ReferenceData!$X$268),"")</f>
        <v>5599.8220959999999</v>
      </c>
      <c r="Y268">
        <f ca="1">IFERROR(IF(0=LEN(ReferenceData!$Y$268),"",ReferenceData!$Y$268),"")</f>
        <v>5534.8528710000001</v>
      </c>
      <c r="Z268">
        <f ca="1">IFERROR(IF(0=LEN(ReferenceData!$Z$268),"",ReferenceData!$Z$268),"")</f>
        <v>5484.6028249999999</v>
      </c>
      <c r="AA268">
        <f ca="1">IFERROR(IF(0=LEN(ReferenceData!$AA$268),"",ReferenceData!$AA$268),"")</f>
        <v>5494.978572</v>
      </c>
      <c r="AB268">
        <f ca="1">IFERROR(IF(0=LEN(ReferenceData!$AB$268),"",ReferenceData!$AB$268),"")</f>
        <v>5361.588788</v>
      </c>
      <c r="AC268">
        <f ca="1">IFERROR(IF(0=LEN(ReferenceData!$AC$268),"",ReferenceData!$AC$268),"")</f>
        <v>5242.9718030000004</v>
      </c>
      <c r="AD268">
        <f ca="1">IFERROR(IF(0=LEN(ReferenceData!$AD$268),"",ReferenceData!$AD$268),"")</f>
        <v>5083.116145</v>
      </c>
      <c r="AE268">
        <f ca="1">IFERROR(IF(0=LEN(ReferenceData!$AE$268),"",ReferenceData!$AE$268),"")</f>
        <v>4986.3438690000003</v>
      </c>
      <c r="AF268">
        <f ca="1">IFERROR(IF(0=LEN(ReferenceData!$AF$268),"",ReferenceData!$AF$268),"")</f>
        <v>5053.9127600000002</v>
      </c>
      <c r="AG268">
        <f ca="1">IFERROR(IF(0=LEN(ReferenceData!$AG$268),"",ReferenceData!$AG$268),"")</f>
        <v>5017.3347030000004</v>
      </c>
      <c r="AH268">
        <f ca="1">IFERROR(IF(0=LEN(ReferenceData!$AH$268),"",ReferenceData!$AH$268),"")</f>
        <v>5173.0728230000004</v>
      </c>
      <c r="AI268">
        <f ca="1">IFERROR(IF(0=LEN(ReferenceData!$AI$268),"",ReferenceData!$AI$268),"")</f>
        <v>4628.5971179999997</v>
      </c>
      <c r="AJ268">
        <f ca="1">IFERROR(IF(0=LEN(ReferenceData!$AJ$268),"",ReferenceData!$AJ$268),"")</f>
        <v>4301.6532340000003</v>
      </c>
      <c r="AK268">
        <f ca="1">IFERROR(IF(0=LEN(ReferenceData!$AK$268),"",ReferenceData!$AK$268),"")</f>
        <v>4114.6147810000002</v>
      </c>
      <c r="AL268">
        <f ca="1">IFERROR(IF(0=LEN(ReferenceData!$AL$268),"",ReferenceData!$AL$268),"")</f>
        <v>4123.2876749999996</v>
      </c>
      <c r="AM268">
        <f ca="1">IFERROR(IF(0=LEN(ReferenceData!$AM$268),"",ReferenceData!$AM$268),"")</f>
        <v>3879.00317</v>
      </c>
      <c r="AN268">
        <f ca="1">IFERROR(IF(0=LEN(ReferenceData!$AN$268),"",ReferenceData!$AN$268),"")</f>
        <v>3761.4074009999999</v>
      </c>
      <c r="AO268">
        <f ca="1">IFERROR(IF(0=LEN(ReferenceData!$AO$268),"",ReferenceData!$AO$268),"")</f>
        <v>2258.9741429999999</v>
      </c>
      <c r="AP268">
        <f ca="1">IFERROR(IF(0=LEN(ReferenceData!$AP$268),"",ReferenceData!$AP$268),"")</f>
        <v>2106.605067</v>
      </c>
      <c r="AQ268">
        <f ca="1">IFERROR(IF(0=LEN(ReferenceData!$AQ$268),"",ReferenceData!$AQ$268),"")</f>
        <v>1905.9388469999999</v>
      </c>
      <c r="AR268">
        <f ca="1">IFERROR(IF(0=LEN(ReferenceData!$AR$268),"",ReferenceData!$AR$268),"")</f>
        <v>1821.6021189999999</v>
      </c>
      <c r="AS268">
        <f ca="1">IFERROR(IF(0=LEN(ReferenceData!$AS$268),"",ReferenceData!$AS$268),"")</f>
        <v>1819.6056590000001</v>
      </c>
      <c r="AT268">
        <f ca="1">IFERROR(IF(0=LEN(ReferenceData!$AT$268),"",ReferenceData!$AT$268),"")</f>
        <v>1755.228593</v>
      </c>
      <c r="AU268" t="str">
        <f ca="1">IFERROR(IF(0=LEN(ReferenceData!$AU$268),"",ReferenceData!$AU$268),"")</f>
        <v/>
      </c>
      <c r="AV268" t="str">
        <f ca="1">IFERROR(IF(0=LEN(ReferenceData!$AV$268),"",ReferenceData!$AV$268),"")</f>
        <v/>
      </c>
      <c r="AW268" t="str">
        <f ca="1">IFERROR(IF(0=LEN(ReferenceData!$AW$268),"",ReferenceData!$AW$268),"")</f>
        <v/>
      </c>
      <c r="AX268" t="str">
        <f ca="1">IFERROR(IF(0=LEN(ReferenceData!$AX$268),"",ReferenceData!$AX$268),"")</f>
        <v/>
      </c>
      <c r="AY268" t="str">
        <f ca="1">IFERROR(IF(0=LEN(ReferenceData!$AY$268),"",ReferenceData!$AY$268),"")</f>
        <v/>
      </c>
      <c r="AZ268" t="str">
        <f ca="1">IFERROR(IF(0=LEN(ReferenceData!$AZ$268),"",ReferenceData!$AZ$268),"")</f>
        <v/>
      </c>
      <c r="BA268" t="str">
        <f ca="1">IFERROR(IF(0=LEN(ReferenceData!$BA$268),"",ReferenceData!$BA$268),"")</f>
        <v/>
      </c>
      <c r="BB268" t="str">
        <f ca="1">IFERROR(IF(0=LEN(ReferenceData!$BB$268),"",ReferenceData!$BB$268),"")</f>
        <v/>
      </c>
      <c r="BC268" t="str">
        <f ca="1">IFERROR(IF(0=LEN(ReferenceData!$BC$268),"",ReferenceData!$BC$268),"")</f>
        <v/>
      </c>
      <c r="BD268" t="str">
        <f ca="1">IFERROR(IF(0=LEN(ReferenceData!$BD$268),"",ReferenceData!$BD$268),"")</f>
        <v/>
      </c>
      <c r="BE268" t="str">
        <f ca="1">IFERROR(IF(0=LEN(ReferenceData!$BE$268),"",ReferenceData!$BE$268),"")</f>
        <v/>
      </c>
      <c r="BF268" t="str">
        <f ca="1">IFERROR(IF(0=LEN(ReferenceData!$BF$268),"",ReferenceData!$BF$268),"")</f>
        <v/>
      </c>
      <c r="BG268" t="str">
        <f ca="1">IFERROR(IF(0=LEN(ReferenceData!$BG$268),"",ReferenceData!$BG$268),"")</f>
        <v/>
      </c>
      <c r="BH268" t="str">
        <f ca="1">IFERROR(IF(0=LEN(ReferenceData!$BH$268),"",ReferenceData!$BH$268),"")</f>
        <v/>
      </c>
      <c r="BI268" t="str">
        <f ca="1">IFERROR(IF(0=LEN(ReferenceData!$BI$268),"",ReferenceData!$BI$268),"")</f>
        <v/>
      </c>
      <c r="BJ268" t="str">
        <f ca="1">IFERROR(IF(0=LEN(ReferenceData!$BJ$268),"",ReferenceData!$BJ$268),"")</f>
        <v/>
      </c>
      <c r="BK268" t="str">
        <f ca="1">IFERROR(IF(0=LEN(ReferenceData!$BK$268),"",ReferenceData!$BK$268),"")</f>
        <v/>
      </c>
      <c r="BL268" t="str">
        <f ca="1">IFERROR(IF(0=LEN(ReferenceData!$BL$268),"",ReferenceData!$BL$268),"")</f>
        <v/>
      </c>
      <c r="BM268" t="str">
        <f ca="1">IFERROR(IF(0=LEN(ReferenceData!$BM$268),"",ReferenceData!$BM$268),"")</f>
        <v/>
      </c>
    </row>
    <row r="269" spans="1:65" x14ac:dyDescent="0.25">
      <c r="A269" t="str">
        <f>IFERROR(IF(0=LEN(ReferenceData!$A$269),"",ReferenceData!$A$269),"")</f>
        <v xml:space="preserve">    Honda Motor Co Ltd</v>
      </c>
      <c r="B269" t="str">
        <f>IFERROR(IF(0=LEN(ReferenceData!$B$269),"",ReferenceData!$B$269),"")</f>
        <v>7267 JP Equity</v>
      </c>
      <c r="C269" t="str">
        <f>IFERROR(IF(0=LEN(ReferenceData!$C$269),"",ReferenceData!$C$269),"")</f>
        <v>RR010</v>
      </c>
      <c r="D269" t="str">
        <f>IFERROR(IF(0=LEN(ReferenceData!$D$269),"",ReferenceData!$D$269),"")</f>
        <v>TOT_COMMON_EQY</v>
      </c>
      <c r="E269" t="str">
        <f>IFERROR(IF(0=LEN(ReferenceData!$E$269),"",ReferenceData!$E$269),"")</f>
        <v>Dynamic</v>
      </c>
      <c r="F269" t="str">
        <f ca="1">IFERROR(IF(0=LEN(ReferenceData!$F$269),"",ReferenceData!$F$269),"")</f>
        <v/>
      </c>
      <c r="G269">
        <f ca="1">IFERROR(IF(0=LEN(ReferenceData!$G$269),"",ReferenceData!$G$269),"")</f>
        <v>75565.748680000004</v>
      </c>
      <c r="H269">
        <f ca="1">IFERROR(IF(0=LEN(ReferenceData!$H$269),"",ReferenceData!$H$269),"")</f>
        <v>73683.233479999995</v>
      </c>
      <c r="I269">
        <f ca="1">IFERROR(IF(0=LEN(ReferenceData!$I$269),"",ReferenceData!$I$269),"")</f>
        <v>73096.506590000005</v>
      </c>
      <c r="J269">
        <f ca="1">IFERROR(IF(0=LEN(ReferenceData!$J$269),"",ReferenceData!$J$269),"")</f>
        <v>74689.681790000002</v>
      </c>
      <c r="K269">
        <f ca="1">IFERROR(IF(0=LEN(ReferenceData!$K$269),"",ReferenceData!$K$269),"")</f>
        <v>72402.664770000003</v>
      </c>
      <c r="L269">
        <f ca="1">IFERROR(IF(0=LEN(ReferenceData!$L$269),"",ReferenceData!$L$269),"")</f>
        <v>68313.523350000003</v>
      </c>
      <c r="M269">
        <f ca="1">IFERROR(IF(0=LEN(ReferenceData!$M$269),"",ReferenceData!$M$269),"")</f>
        <v>66505.509569999995</v>
      </c>
      <c r="N269">
        <f ca="1">IFERROR(IF(0=LEN(ReferenceData!$N$269),"",ReferenceData!$N$269),"")</f>
        <v>65540.346780000007</v>
      </c>
      <c r="O269">
        <f ca="1">IFERROR(IF(0=LEN(ReferenceData!$O$269),"",ReferenceData!$O$269),"")</f>
        <v>62617.755490000003</v>
      </c>
      <c r="P269">
        <f ca="1">IFERROR(IF(0=LEN(ReferenceData!$P$269),"",ReferenceData!$P$269),"")</f>
        <v>64719.865919999997</v>
      </c>
      <c r="Q269">
        <f ca="1">IFERROR(IF(0=LEN(ReferenceData!$Q$269),"",ReferenceData!$Q$269),"")</f>
        <v>62961.362540000002</v>
      </c>
      <c r="R269">
        <f ca="1">IFERROR(IF(0=LEN(ReferenceData!$R$269),"",ReferenceData!$R$269),"")</f>
        <v>60101.626669999998</v>
      </c>
      <c r="S269">
        <f ca="1">IFERROR(IF(0=LEN(ReferenceData!$S$269),"",ReferenceData!$S$269),"")</f>
        <v>60210.465889999999</v>
      </c>
      <c r="T269">
        <f ca="1">IFERROR(IF(0=LEN(ReferenceData!$T$269),"",ReferenceData!$T$269),"")</f>
        <v>59659.154340000001</v>
      </c>
      <c r="U269">
        <f ca="1">IFERROR(IF(0=LEN(ReferenceData!$U$269),"",ReferenceData!$U$269),"")</f>
        <v>60145.799209999997</v>
      </c>
      <c r="V269">
        <f ca="1">IFERROR(IF(0=LEN(ReferenceData!$V$269),"",ReferenceData!$V$269),"")</f>
        <v>56077.115460000001</v>
      </c>
      <c r="W269">
        <f ca="1">IFERROR(IF(0=LEN(ReferenceData!$W$269),"",ReferenceData!$W$269),"")</f>
        <v>56599.457609999998</v>
      </c>
      <c r="X269">
        <f ca="1">IFERROR(IF(0=LEN(ReferenceData!$X$269),"",ReferenceData!$X$269),"")</f>
        <v>57564.408170000002</v>
      </c>
      <c r="Y269">
        <f ca="1">IFERROR(IF(0=LEN(ReferenceData!$Y$269),"",ReferenceData!$Y$269),"")</f>
        <v>59018.777770000001</v>
      </c>
      <c r="Z269">
        <f ca="1">IFERROR(IF(0=LEN(ReferenceData!$Z$269),"",ReferenceData!$Z$269),"")</f>
        <v>57426.787620000003</v>
      </c>
      <c r="AA269">
        <f ca="1">IFERROR(IF(0=LEN(ReferenceData!$AA$269),"",ReferenceData!$AA$269),"")</f>
        <v>54902.080560000002</v>
      </c>
      <c r="AB269">
        <f ca="1">IFERROR(IF(0=LEN(ReferenceData!$AB$269),"",ReferenceData!$AB$269),"")</f>
        <v>55766.286529999998</v>
      </c>
      <c r="AC269">
        <f ca="1">IFERROR(IF(0=LEN(ReferenceData!$AC$269),"",ReferenceData!$AC$269),"")</f>
        <v>53606.664649999999</v>
      </c>
      <c r="AD269">
        <f ca="1">IFERROR(IF(0=LEN(ReferenceData!$AD$269),"",ReferenceData!$AD$269),"")</f>
        <v>53465.049879999999</v>
      </c>
      <c r="AE269">
        <f ca="1">IFERROR(IF(0=LEN(ReferenceData!$AE$269),"",ReferenceData!$AE$269),"")</f>
        <v>54255.091200000003</v>
      </c>
      <c r="AF269">
        <f ca="1">IFERROR(IF(0=LEN(ReferenceData!$AF$269),"",ReferenceData!$AF$269),"")</f>
        <v>56414.386550000003</v>
      </c>
      <c r="AG269">
        <f ca="1">IFERROR(IF(0=LEN(ReferenceData!$AG$269),"",ReferenceData!$AG$269),"")</f>
        <v>55759.29825</v>
      </c>
      <c r="AH269">
        <f ca="1">IFERROR(IF(0=LEN(ReferenceData!$AH$269),"",ReferenceData!$AH$269),"")</f>
        <v>53281.060149999998</v>
      </c>
      <c r="AI269">
        <f ca="1">IFERROR(IF(0=LEN(ReferenceData!$AI$269),"",ReferenceData!$AI$269),"")</f>
        <v>55142.00546</v>
      </c>
      <c r="AJ269">
        <f ca="1">IFERROR(IF(0=LEN(ReferenceData!$AJ$269),"",ReferenceData!$AJ$269),"")</f>
        <v>55707.518799999998</v>
      </c>
      <c r="AK269">
        <f ca="1">IFERROR(IF(0=LEN(ReferenceData!$AK$269),"",ReferenceData!$AK$269),"")</f>
        <v>54907.584410000003</v>
      </c>
      <c r="AL269">
        <f ca="1">IFERROR(IF(0=LEN(ReferenceData!$AL$269),"",ReferenceData!$AL$269),"")</f>
        <v>53724.194130000003</v>
      </c>
      <c r="AM269">
        <f ca="1">IFERROR(IF(0=LEN(ReferenceData!$AM$269),"",ReferenceData!$AM$269),"")</f>
        <v>54052.050750000002</v>
      </c>
      <c r="AN269">
        <f ca="1">IFERROR(IF(0=LEN(ReferenceData!$AN$269),"",ReferenceData!$AN$269),"")</f>
        <v>52460.771630000003</v>
      </c>
      <c r="AO269">
        <f ca="1">IFERROR(IF(0=LEN(ReferenceData!$AO$269),"",ReferenceData!$AO$269),"")</f>
        <v>49818.107929999998</v>
      </c>
      <c r="AP269">
        <f ca="1">IFERROR(IF(0=LEN(ReferenceData!$AP$269),"",ReferenceData!$AP$269),"")</f>
        <v>46325.342470000003</v>
      </c>
      <c r="AQ269">
        <f ca="1">IFERROR(IF(0=LEN(ReferenceData!$AQ$269),"",ReferenceData!$AQ$269),"")</f>
        <v>45087.942880000002</v>
      </c>
      <c r="AR269">
        <f ca="1">IFERROR(IF(0=LEN(ReferenceData!$AR$269),"",ReferenceData!$AR$269),"")</f>
        <v>44945.149420000002</v>
      </c>
      <c r="AS269">
        <f ca="1">IFERROR(IF(0=LEN(ReferenceData!$AS$269),"",ReferenceData!$AS$269),"")</f>
        <v>42159.281560000003</v>
      </c>
      <c r="AT269">
        <f ca="1">IFERROR(IF(0=LEN(ReferenceData!$AT$269),"",ReferenceData!$AT$269),"")</f>
        <v>40335.05788</v>
      </c>
      <c r="AU269">
        <f ca="1">IFERROR(IF(0=LEN(ReferenceData!$AU$269),"",ReferenceData!$AU$269),"")</f>
        <v>46881.121270000003</v>
      </c>
      <c r="AV269">
        <f ca="1">IFERROR(IF(0=LEN(ReferenceData!$AV$269),"",ReferenceData!$AV$269),"")</f>
        <v>44845.18316</v>
      </c>
      <c r="AW269">
        <f ca="1">IFERROR(IF(0=LEN(ReferenceData!$AW$269),"",ReferenceData!$AW$269),"")</f>
        <v>44846.303800000002</v>
      </c>
      <c r="AX269">
        <f ca="1">IFERROR(IF(0=LEN(ReferenceData!$AX$269),"",ReferenceData!$AX$269),"")</f>
        <v>45506.358899999999</v>
      </c>
      <c r="AY269">
        <f ca="1">IFERROR(IF(0=LEN(ReferenceData!$AY$269),"",ReferenceData!$AY$269),"")</f>
        <v>44361.43662</v>
      </c>
      <c r="AZ269">
        <f ca="1">IFERROR(IF(0=LEN(ReferenceData!$AZ$269),"",ReferenceData!$AZ$269),"")</f>
        <v>42131.986060000003</v>
      </c>
      <c r="BA269">
        <f ca="1">IFERROR(IF(0=LEN(ReferenceData!$BA$269),"",ReferenceData!$BA$269),"")</f>
        <v>38556.904110000003</v>
      </c>
      <c r="BB269">
        <f ca="1">IFERROR(IF(0=LEN(ReferenceData!$BB$269),"",ReferenceData!$BB$269),"")</f>
        <v>38120.682030000004</v>
      </c>
      <c r="BC269">
        <f ca="1">IFERROR(IF(0=LEN(ReferenceData!$BC$269),"",ReferenceData!$BC$269),"")</f>
        <v>37770.809670000002</v>
      </c>
      <c r="BD269">
        <f ca="1">IFERROR(IF(0=LEN(ReferenceData!$BD$269),"",ReferenceData!$BD$269),"")</f>
        <v>36915.616000000002</v>
      </c>
      <c r="BE269">
        <f ca="1">IFERROR(IF(0=LEN(ReferenceData!$BE$269),"",ReferenceData!$BE$269),"")</f>
        <v>36698.672279999999</v>
      </c>
      <c r="BF269">
        <f ca="1">IFERROR(IF(0=LEN(ReferenceData!$BF$269),"",ReferenceData!$BF$269),"")</f>
        <v>35112.765959999997</v>
      </c>
      <c r="BG269">
        <f ca="1">IFERROR(IF(0=LEN(ReferenceData!$BG$269),"",ReferenceData!$BG$269),"")</f>
        <v>32370.17038</v>
      </c>
      <c r="BH269">
        <f ca="1">IFERROR(IF(0=LEN(ReferenceData!$BH$269),"",ReferenceData!$BH$269),"")</f>
        <v>31936.121869999999</v>
      </c>
      <c r="BI269">
        <f ca="1">IFERROR(IF(0=LEN(ReferenceData!$BI$269),"",ReferenceData!$BI$269),"")</f>
        <v>30790.615699999998</v>
      </c>
      <c r="BJ269">
        <f ca="1">IFERROR(IF(0=LEN(ReferenceData!$BJ$269),"",ReferenceData!$BJ$269),"")</f>
        <v>30683.71269</v>
      </c>
      <c r="BK269">
        <f ca="1">IFERROR(IF(0=LEN(ReferenceData!$BK$269),"",ReferenceData!$BK$269),"")</f>
        <v>30798.829379999999</v>
      </c>
      <c r="BL269">
        <f ca="1">IFERROR(IF(0=LEN(ReferenceData!$BL$269),"",ReferenceData!$BL$269),"")</f>
        <v>28512.671699999999</v>
      </c>
      <c r="BM269">
        <f ca="1">IFERROR(IF(0=LEN(ReferenceData!$BM$269),"",ReferenceData!$BM$269),"")</f>
        <v>27318.761999999999</v>
      </c>
    </row>
    <row r="270" spans="1:65" x14ac:dyDescent="0.25">
      <c r="A270" t="str">
        <f>IFERROR(IF(0=LEN(ReferenceData!$A$270),"",ReferenceData!$A$270),"")</f>
        <v xml:space="preserve">    Hyundai Motor Co</v>
      </c>
      <c r="B270" t="str">
        <f>IFERROR(IF(0=LEN(ReferenceData!$B$270),"",ReferenceData!$B$270),"")</f>
        <v>005380 KS Equity</v>
      </c>
      <c r="C270" t="str">
        <f>IFERROR(IF(0=LEN(ReferenceData!$C$270),"",ReferenceData!$C$270),"")</f>
        <v>RR010</v>
      </c>
      <c r="D270" t="str">
        <f>IFERROR(IF(0=LEN(ReferenceData!$D$270),"",ReferenceData!$D$270),"")</f>
        <v>TOT_COMMON_EQY</v>
      </c>
      <c r="E270" t="str">
        <f>IFERROR(IF(0=LEN(ReferenceData!$E$270),"",ReferenceData!$E$270),"")</f>
        <v>Dynamic</v>
      </c>
      <c r="F270" t="str">
        <f ca="1">IFERROR(IF(0=LEN(ReferenceData!$F$270),"",ReferenceData!$F$270),"")</f>
        <v/>
      </c>
      <c r="G270" t="str">
        <f ca="1">IFERROR(IF(0=LEN(ReferenceData!$G$270),"",ReferenceData!$G$270),"")</f>
        <v/>
      </c>
      <c r="H270">
        <f ca="1">IFERROR(IF(0=LEN(ReferenceData!$H$270),"",ReferenceData!$H$270),"")</f>
        <v>61797.022230000002</v>
      </c>
      <c r="I270">
        <f ca="1">IFERROR(IF(0=LEN(ReferenceData!$I$270),"",ReferenceData!$I$270),"")</f>
        <v>61913.058900000004</v>
      </c>
      <c r="J270">
        <f ca="1">IFERROR(IF(0=LEN(ReferenceData!$J$270),"",ReferenceData!$J$270),"")</f>
        <v>64639.89933</v>
      </c>
      <c r="K270">
        <f ca="1">IFERROR(IF(0=LEN(ReferenceData!$K$270),"",ReferenceData!$K$270),"")</f>
        <v>64432.916100000002</v>
      </c>
      <c r="L270">
        <f ca="1">IFERROR(IF(0=LEN(ReferenceData!$L$270),"",ReferenceData!$L$270),"")</f>
        <v>60124.968540000002</v>
      </c>
      <c r="M270">
        <f ca="1">IFERROR(IF(0=LEN(ReferenceData!$M$270),"",ReferenceData!$M$270),"")</f>
        <v>59474.427770000002</v>
      </c>
      <c r="N270">
        <f ca="1">IFERROR(IF(0=LEN(ReferenceData!$N$270),"",ReferenceData!$N$270),"")</f>
        <v>59287.571909999999</v>
      </c>
      <c r="O270">
        <f ca="1">IFERROR(IF(0=LEN(ReferenceData!$O$270),"",ReferenceData!$O$270),"")</f>
        <v>55347.020259999998</v>
      </c>
      <c r="P270">
        <f ca="1">IFERROR(IF(0=LEN(ReferenceData!$P$270),"",ReferenceData!$P$270),"")</f>
        <v>58152.596870000001</v>
      </c>
      <c r="Q270">
        <f ca="1">IFERROR(IF(0=LEN(ReferenceData!$Q$270),"",ReferenceData!$Q$270),"")</f>
        <v>55459.262600000002</v>
      </c>
      <c r="R270">
        <f ca="1">IFERROR(IF(0=LEN(ReferenceData!$R$270),"",ReferenceData!$R$270),"")</f>
        <v>54590.279629999997</v>
      </c>
      <c r="S270">
        <f ca="1">IFERROR(IF(0=LEN(ReferenceData!$S$270),"",ReferenceData!$S$270),"")</f>
        <v>52465.788740000004</v>
      </c>
      <c r="T270">
        <f ca="1">IFERROR(IF(0=LEN(ReferenceData!$T$270),"",ReferenceData!$T$270),"")</f>
        <v>51598.733760000003</v>
      </c>
      <c r="U270">
        <f ca="1">IFERROR(IF(0=LEN(ReferenceData!$U$270),"",ReferenceData!$U$270),"")</f>
        <v>53575.439769999997</v>
      </c>
      <c r="V270">
        <f ca="1">IFERROR(IF(0=LEN(ReferenceData!$V$270),"",ReferenceData!$V$270),"")</f>
        <v>52074.712500000001</v>
      </c>
      <c r="W270">
        <f ca="1">IFERROR(IF(0=LEN(ReferenceData!$W$270),"",ReferenceData!$W$270),"")</f>
        <v>52441.512210000001</v>
      </c>
      <c r="X270">
        <f ca="1">IFERROR(IF(0=LEN(ReferenceData!$X$270),"",ReferenceData!$X$270),"")</f>
        <v>53108.153120000003</v>
      </c>
      <c r="Y270">
        <f ca="1">IFERROR(IF(0=LEN(ReferenceData!$Y$270),"",ReferenceData!$Y$270),"")</f>
        <v>53878.243670000003</v>
      </c>
      <c r="Z270">
        <f ca="1">IFERROR(IF(0=LEN(ReferenceData!$Z$270),"",ReferenceData!$Z$270),"")</f>
        <v>49793.404150000002</v>
      </c>
      <c r="AA270">
        <f ca="1">IFERROR(IF(0=LEN(ReferenceData!$AA$270),"",ReferenceData!$AA$270),"")</f>
        <v>49009.900750000001</v>
      </c>
      <c r="AB270">
        <f ca="1">IFERROR(IF(0=LEN(ReferenceData!$AB$270),"",ReferenceData!$AB$270),"")</f>
        <v>46027.346610000001</v>
      </c>
      <c r="AC270">
        <f ca="1">IFERROR(IF(0=LEN(ReferenceData!$AC$270),"",ReferenceData!$AC$270),"")</f>
        <v>41996.224240000003</v>
      </c>
      <c r="AD270">
        <f ca="1">IFERROR(IF(0=LEN(ReferenceData!$AD$270),"",ReferenceData!$AD$270),"")</f>
        <v>40736.91188</v>
      </c>
      <c r="AE270">
        <f ca="1">IFERROR(IF(0=LEN(ReferenceData!$AE$270),"",ReferenceData!$AE$270),"")</f>
        <v>41088.646769999999</v>
      </c>
      <c r="AF270">
        <f ca="1">IFERROR(IF(0=LEN(ReferenceData!$AF$270),"",ReferenceData!$AF$270),"")</f>
        <v>38460.611019999997</v>
      </c>
      <c r="AG270">
        <f ca="1">IFERROR(IF(0=LEN(ReferenceData!$AG$270),"",ReferenceData!$AG$270),"")</f>
        <v>35766.493049999997</v>
      </c>
      <c r="AH270">
        <f ca="1">IFERROR(IF(0=LEN(ReferenceData!$AH$270),"",ReferenceData!$AH$270),"")</f>
        <v>34149.153109999999</v>
      </c>
      <c r="AI270">
        <f ca="1">IFERROR(IF(0=LEN(ReferenceData!$AI$270),"",ReferenceData!$AI$270),"")</f>
        <v>31740.38004</v>
      </c>
      <c r="AJ270">
        <f ca="1">IFERROR(IF(0=LEN(ReferenceData!$AJ$270),"",ReferenceData!$AJ$270),"")</f>
        <v>29737.539479999999</v>
      </c>
      <c r="AK270">
        <f ca="1">IFERROR(IF(0=LEN(ReferenceData!$AK$270),"",ReferenceData!$AK$270),"")</f>
        <v>31203.865819999999</v>
      </c>
      <c r="AL270">
        <f ca="1">IFERROR(IF(0=LEN(ReferenceData!$AL$270),"",ReferenceData!$AL$270),"")</f>
        <v>28489.034930000002</v>
      </c>
      <c r="AM270">
        <f ca="1">IFERROR(IF(0=LEN(ReferenceData!$AM$270),"",ReferenceData!$AM$270),"")</f>
        <v>26446.430629999999</v>
      </c>
      <c r="AN270" t="str">
        <f ca="1">IFERROR(IF(0=LEN(ReferenceData!$AN$270),"",ReferenceData!$AN$270),"")</f>
        <v/>
      </c>
      <c r="AO270" t="str">
        <f ca="1">IFERROR(IF(0=LEN(ReferenceData!$AO$270),"",ReferenceData!$AO$270),"")</f>
        <v/>
      </c>
      <c r="AP270" t="str">
        <f ca="1">IFERROR(IF(0=LEN(ReferenceData!$AP$270),"",ReferenceData!$AP$270),"")</f>
        <v/>
      </c>
      <c r="AQ270" t="str">
        <f ca="1">IFERROR(IF(0=LEN(ReferenceData!$AQ$270),"",ReferenceData!$AQ$270),"")</f>
        <v/>
      </c>
      <c r="AR270" t="str">
        <f ca="1">IFERROR(IF(0=LEN(ReferenceData!$AR$270),"",ReferenceData!$AR$270),"")</f>
        <v/>
      </c>
      <c r="AS270" t="str">
        <f ca="1">IFERROR(IF(0=LEN(ReferenceData!$AS$270),"",ReferenceData!$AS$270),"")</f>
        <v/>
      </c>
      <c r="AT270" t="str">
        <f ca="1">IFERROR(IF(0=LEN(ReferenceData!$AT$270),"",ReferenceData!$AT$270),"")</f>
        <v/>
      </c>
      <c r="AU270" t="str">
        <f ca="1">IFERROR(IF(0=LEN(ReferenceData!$AU$270),"",ReferenceData!$AU$270),"")</f>
        <v/>
      </c>
      <c r="AV270" t="str">
        <f ca="1">IFERROR(IF(0=LEN(ReferenceData!$AV$270),"",ReferenceData!$AV$270),"")</f>
        <v/>
      </c>
      <c r="AW270" t="str">
        <f ca="1">IFERROR(IF(0=LEN(ReferenceData!$AW$270),"",ReferenceData!$AW$270),"")</f>
        <v/>
      </c>
      <c r="AX270" t="str">
        <f ca="1">IFERROR(IF(0=LEN(ReferenceData!$AX$270),"",ReferenceData!$AX$270),"")</f>
        <v/>
      </c>
      <c r="AY270" t="str">
        <f ca="1">IFERROR(IF(0=LEN(ReferenceData!$AY$270),"",ReferenceData!$AY$270),"")</f>
        <v/>
      </c>
      <c r="AZ270" t="str">
        <f ca="1">IFERROR(IF(0=LEN(ReferenceData!$AZ$270),"",ReferenceData!$AZ$270),"")</f>
        <v/>
      </c>
      <c r="BA270" t="str">
        <f ca="1">IFERROR(IF(0=LEN(ReferenceData!$BA$270),"",ReferenceData!$BA$270),"")</f>
        <v/>
      </c>
      <c r="BB270" t="str">
        <f ca="1">IFERROR(IF(0=LEN(ReferenceData!$BB$270),"",ReferenceData!$BB$270),"")</f>
        <v/>
      </c>
      <c r="BC270" t="str">
        <f ca="1">IFERROR(IF(0=LEN(ReferenceData!$BC$270),"",ReferenceData!$BC$270),"")</f>
        <v/>
      </c>
      <c r="BD270" t="str">
        <f ca="1">IFERROR(IF(0=LEN(ReferenceData!$BD$270),"",ReferenceData!$BD$270),"")</f>
        <v/>
      </c>
      <c r="BE270" t="str">
        <f ca="1">IFERROR(IF(0=LEN(ReferenceData!$BE$270),"",ReferenceData!$BE$270),"")</f>
        <v/>
      </c>
      <c r="BF270" t="str">
        <f ca="1">IFERROR(IF(0=LEN(ReferenceData!$BF$270),"",ReferenceData!$BF$270),"")</f>
        <v/>
      </c>
      <c r="BG270" t="str">
        <f ca="1">IFERROR(IF(0=LEN(ReferenceData!$BG$270),"",ReferenceData!$BG$270),"")</f>
        <v/>
      </c>
      <c r="BH270" t="str">
        <f ca="1">IFERROR(IF(0=LEN(ReferenceData!$BH$270),"",ReferenceData!$BH$270),"")</f>
        <v/>
      </c>
      <c r="BI270" t="str">
        <f ca="1">IFERROR(IF(0=LEN(ReferenceData!$BI$270),"",ReferenceData!$BI$270),"")</f>
        <v/>
      </c>
      <c r="BJ270" t="str">
        <f ca="1">IFERROR(IF(0=LEN(ReferenceData!$BJ$270),"",ReferenceData!$BJ$270),"")</f>
        <v/>
      </c>
      <c r="BK270" t="str">
        <f ca="1">IFERROR(IF(0=LEN(ReferenceData!$BK$270),"",ReferenceData!$BK$270),"")</f>
        <v/>
      </c>
      <c r="BL270" t="str">
        <f ca="1">IFERROR(IF(0=LEN(ReferenceData!$BL$270),"",ReferenceData!$BL$270),"")</f>
        <v/>
      </c>
      <c r="BM270" t="str">
        <f ca="1">IFERROR(IF(0=LEN(ReferenceData!$BM$270),"",ReferenceData!$BM$270),"")</f>
        <v/>
      </c>
    </row>
    <row r="271" spans="1:65" x14ac:dyDescent="0.25">
      <c r="A271" t="str">
        <f>IFERROR(IF(0=LEN(ReferenceData!$A$271),"",ReferenceData!$A$271),"")</f>
        <v xml:space="preserve">    Kia Motors Corp</v>
      </c>
      <c r="B271" t="str">
        <f>IFERROR(IF(0=LEN(ReferenceData!$B$271),"",ReferenceData!$B$271),"")</f>
        <v>000270 KS Equity</v>
      </c>
      <c r="C271" t="str">
        <f>IFERROR(IF(0=LEN(ReferenceData!$C$271),"",ReferenceData!$C$271),"")</f>
        <v>RR010</v>
      </c>
      <c r="D271" t="str">
        <f>IFERROR(IF(0=LEN(ReferenceData!$D$271),"",ReferenceData!$D$271),"")</f>
        <v>TOT_COMMON_EQY</v>
      </c>
      <c r="E271" t="str">
        <f>IFERROR(IF(0=LEN(ReferenceData!$E$271),"",ReferenceData!$E$271),"")</f>
        <v>Dynamic</v>
      </c>
      <c r="F271" t="str">
        <f ca="1">IFERROR(IF(0=LEN(ReferenceData!$F$271),"",ReferenceData!$F$271),"")</f>
        <v/>
      </c>
      <c r="G271" t="str">
        <f ca="1">IFERROR(IF(0=LEN(ReferenceData!$G$271),"",ReferenceData!$G$271),"")</f>
        <v/>
      </c>
      <c r="H271">
        <f ca="1">IFERROR(IF(0=LEN(ReferenceData!$H$271),"",ReferenceData!$H$271),"")</f>
        <v>24637.95421</v>
      </c>
      <c r="I271">
        <f ca="1">IFERROR(IF(0=LEN(ReferenceData!$I$271),"",ReferenceData!$I$271),"")</f>
        <v>24457.95624</v>
      </c>
      <c r="J271">
        <f ca="1">IFERROR(IF(0=LEN(ReferenceData!$J$271),"",ReferenceData!$J$271),"")</f>
        <v>25426.88077</v>
      </c>
      <c r="K271">
        <f ca="1">IFERROR(IF(0=LEN(ReferenceData!$K$271),"",ReferenceData!$K$271),"")</f>
        <v>25166.231319999999</v>
      </c>
      <c r="L271">
        <f ca="1">IFERROR(IF(0=LEN(ReferenceData!$L$271),"",ReferenceData!$L$271),"")</f>
        <v>23592.222399999999</v>
      </c>
      <c r="M271">
        <f ca="1">IFERROR(IF(0=LEN(ReferenceData!$M$271),"",ReferenceData!$M$271),"")</f>
        <v>23737.304380000001</v>
      </c>
      <c r="N271">
        <f ca="1">IFERROR(IF(0=LEN(ReferenceData!$N$271),"",ReferenceData!$N$271),"")</f>
        <v>23675.978490000001</v>
      </c>
      <c r="O271">
        <f ca="1">IFERROR(IF(0=LEN(ReferenceData!$O$271),"",ReferenceData!$O$271),"")</f>
        <v>22003.01658</v>
      </c>
      <c r="P271">
        <f ca="1">IFERROR(IF(0=LEN(ReferenceData!$P$271),"",ReferenceData!$P$271),"")</f>
        <v>23269.918140000002</v>
      </c>
      <c r="Q271">
        <f ca="1">IFERROR(IF(0=LEN(ReferenceData!$Q$271),"",ReferenceData!$Q$271),"")</f>
        <v>21929.425599999999</v>
      </c>
      <c r="R271">
        <f ca="1">IFERROR(IF(0=LEN(ReferenceData!$R$271),"",ReferenceData!$R$271),"")</f>
        <v>21533.99986</v>
      </c>
      <c r="S271">
        <f ca="1">IFERROR(IF(0=LEN(ReferenceData!$S$271),"",ReferenceData!$S$271),"")</f>
        <v>20583.934450000001</v>
      </c>
      <c r="T271">
        <f ca="1">IFERROR(IF(0=LEN(ReferenceData!$T$271),"",ReferenceData!$T$271),"")</f>
        <v>20228.52202</v>
      </c>
      <c r="U271">
        <f ca="1">IFERROR(IF(0=LEN(ReferenceData!$U$271),"",ReferenceData!$U$271),"")</f>
        <v>20824.137009999999</v>
      </c>
      <c r="V271">
        <f ca="1">IFERROR(IF(0=LEN(ReferenceData!$V$271),"",ReferenceData!$V$271),"")</f>
        <v>20237.715680000001</v>
      </c>
      <c r="W271">
        <f ca="1">IFERROR(IF(0=LEN(ReferenceData!$W$271),"",ReferenceData!$W$271),"")</f>
        <v>20568.900379999999</v>
      </c>
      <c r="X271">
        <f ca="1">IFERROR(IF(0=LEN(ReferenceData!$X$271),"",ReferenceData!$X$271),"")</f>
        <v>21062.138940000001</v>
      </c>
      <c r="Y271">
        <f ca="1">IFERROR(IF(0=LEN(ReferenceData!$Y$271),"",ReferenceData!$Y$271),"")</f>
        <v>21368.662189999999</v>
      </c>
      <c r="Z271">
        <f ca="1">IFERROR(IF(0=LEN(ReferenceData!$Z$271),"",ReferenceData!$Z$271),"")</f>
        <v>19582.650580000001</v>
      </c>
      <c r="AA271">
        <f ca="1">IFERROR(IF(0=LEN(ReferenceData!$AA$271),"",ReferenceData!$AA$271),"")</f>
        <v>19238.06335</v>
      </c>
      <c r="AB271">
        <f ca="1">IFERROR(IF(0=LEN(ReferenceData!$AB$271),"",ReferenceData!$AB$271),"")</f>
        <v>18083.247780000002</v>
      </c>
      <c r="AC271">
        <f ca="1">IFERROR(IF(0=LEN(ReferenceData!$AC$271),"",ReferenceData!$AC$271),"")</f>
        <v>16315.69822</v>
      </c>
      <c r="AD271">
        <f ca="1">IFERROR(IF(0=LEN(ReferenceData!$AD$271),"",ReferenceData!$AD$271),"")</f>
        <v>15523.51028</v>
      </c>
      <c r="AE271">
        <f ca="1">IFERROR(IF(0=LEN(ReferenceData!$AE$271),"",ReferenceData!$AE$271),"")</f>
        <v>15838.36616</v>
      </c>
      <c r="AF271">
        <f ca="1">IFERROR(IF(0=LEN(ReferenceData!$AF$271),"",ReferenceData!$AF$271),"")</f>
        <v>14736.51096</v>
      </c>
      <c r="AG271">
        <f ca="1">IFERROR(IF(0=LEN(ReferenceData!$AG$271),"",ReferenceData!$AG$271),"")</f>
        <v>13551.42902</v>
      </c>
      <c r="AH271">
        <f ca="1">IFERROR(IF(0=LEN(ReferenceData!$AH$271),"",ReferenceData!$AH$271),"")</f>
        <v>12764.04652</v>
      </c>
      <c r="AI271">
        <f ca="1">IFERROR(IF(0=LEN(ReferenceData!$AI$271),"",ReferenceData!$AI$271),"")</f>
        <v>11657.96918</v>
      </c>
      <c r="AJ271">
        <f ca="1">IFERROR(IF(0=LEN(ReferenceData!$AJ$271),"",ReferenceData!$AJ$271),"")</f>
        <v>10885.20723</v>
      </c>
      <c r="AK271">
        <f ca="1">IFERROR(IF(0=LEN(ReferenceData!$AK$271),"",ReferenceData!$AK$271),"")</f>
        <v>11701.74612</v>
      </c>
      <c r="AL271">
        <f ca="1">IFERROR(IF(0=LEN(ReferenceData!$AL$271),"",ReferenceData!$AL$271),"")</f>
        <v>9923.710889</v>
      </c>
      <c r="AM271">
        <f ca="1">IFERROR(IF(0=LEN(ReferenceData!$AM$271),"",ReferenceData!$AM$271),"")</f>
        <v>8869.6530590000002</v>
      </c>
      <c r="AN271" t="str">
        <f ca="1">IFERROR(IF(0=LEN(ReferenceData!$AN$271),"",ReferenceData!$AN$271),"")</f>
        <v/>
      </c>
      <c r="AO271" t="str">
        <f ca="1">IFERROR(IF(0=LEN(ReferenceData!$AO$271),"",ReferenceData!$AO$271),"")</f>
        <v/>
      </c>
      <c r="AP271" t="str">
        <f ca="1">IFERROR(IF(0=LEN(ReferenceData!$AP$271),"",ReferenceData!$AP$271),"")</f>
        <v/>
      </c>
      <c r="AQ271" t="str">
        <f ca="1">IFERROR(IF(0=LEN(ReferenceData!$AQ$271),"",ReferenceData!$AQ$271),"")</f>
        <v/>
      </c>
      <c r="AR271" t="str">
        <f ca="1">IFERROR(IF(0=LEN(ReferenceData!$AR$271),"",ReferenceData!$AR$271),"")</f>
        <v/>
      </c>
      <c r="AS271" t="str">
        <f ca="1">IFERROR(IF(0=LEN(ReferenceData!$AS$271),"",ReferenceData!$AS$271),"")</f>
        <v/>
      </c>
      <c r="AT271" t="str">
        <f ca="1">IFERROR(IF(0=LEN(ReferenceData!$AT$271),"",ReferenceData!$AT$271),"")</f>
        <v/>
      </c>
      <c r="AU271" t="str">
        <f ca="1">IFERROR(IF(0=LEN(ReferenceData!$AU$271),"",ReferenceData!$AU$271),"")</f>
        <v/>
      </c>
      <c r="AV271" t="str">
        <f ca="1">IFERROR(IF(0=LEN(ReferenceData!$AV$271),"",ReferenceData!$AV$271),"")</f>
        <v/>
      </c>
      <c r="AW271" t="str">
        <f ca="1">IFERROR(IF(0=LEN(ReferenceData!$AW$271),"",ReferenceData!$AW$271),"")</f>
        <v/>
      </c>
      <c r="AX271" t="str">
        <f ca="1">IFERROR(IF(0=LEN(ReferenceData!$AX$271),"",ReferenceData!$AX$271),"")</f>
        <v/>
      </c>
      <c r="AY271" t="str">
        <f ca="1">IFERROR(IF(0=LEN(ReferenceData!$AY$271),"",ReferenceData!$AY$271),"")</f>
        <v/>
      </c>
      <c r="AZ271" t="str">
        <f ca="1">IFERROR(IF(0=LEN(ReferenceData!$AZ$271),"",ReferenceData!$AZ$271),"")</f>
        <v/>
      </c>
      <c r="BA271" t="str">
        <f ca="1">IFERROR(IF(0=LEN(ReferenceData!$BA$271),"",ReferenceData!$BA$271),"")</f>
        <v/>
      </c>
      <c r="BB271" t="str">
        <f ca="1">IFERROR(IF(0=LEN(ReferenceData!$BB$271),"",ReferenceData!$BB$271),"")</f>
        <v/>
      </c>
      <c r="BC271" t="str">
        <f ca="1">IFERROR(IF(0=LEN(ReferenceData!$BC$271),"",ReferenceData!$BC$271),"")</f>
        <v/>
      </c>
      <c r="BD271" t="str">
        <f ca="1">IFERROR(IF(0=LEN(ReferenceData!$BD$271),"",ReferenceData!$BD$271),"")</f>
        <v/>
      </c>
      <c r="BE271" t="str">
        <f ca="1">IFERROR(IF(0=LEN(ReferenceData!$BE$271),"",ReferenceData!$BE$271),"")</f>
        <v/>
      </c>
      <c r="BF271" t="str">
        <f ca="1">IFERROR(IF(0=LEN(ReferenceData!$BF$271),"",ReferenceData!$BF$271),"")</f>
        <v/>
      </c>
      <c r="BG271" t="str">
        <f ca="1">IFERROR(IF(0=LEN(ReferenceData!$BG$271),"",ReferenceData!$BG$271),"")</f>
        <v/>
      </c>
      <c r="BH271" t="str">
        <f ca="1">IFERROR(IF(0=LEN(ReferenceData!$BH$271),"",ReferenceData!$BH$271),"")</f>
        <v/>
      </c>
      <c r="BI271" t="str">
        <f ca="1">IFERROR(IF(0=LEN(ReferenceData!$BI$271),"",ReferenceData!$BI$271),"")</f>
        <v/>
      </c>
      <c r="BJ271" t="str">
        <f ca="1">IFERROR(IF(0=LEN(ReferenceData!$BJ$271),"",ReferenceData!$BJ$271),"")</f>
        <v/>
      </c>
      <c r="BK271" t="str">
        <f ca="1">IFERROR(IF(0=LEN(ReferenceData!$BK$271),"",ReferenceData!$BK$271),"")</f>
        <v/>
      </c>
      <c r="BL271" t="str">
        <f ca="1">IFERROR(IF(0=LEN(ReferenceData!$BL$271),"",ReferenceData!$BL$271),"")</f>
        <v/>
      </c>
      <c r="BM271" t="str">
        <f ca="1">IFERROR(IF(0=LEN(ReferenceData!$BM$271),"",ReferenceData!$BM$271),"")</f>
        <v/>
      </c>
    </row>
    <row r="272" spans="1:65" x14ac:dyDescent="0.25">
      <c r="A272" t="str">
        <f>IFERROR(IF(0=LEN(ReferenceData!$A$272),"",ReferenceData!$A$272),"")</f>
        <v xml:space="preserve">    Mazda Motor Corp</v>
      </c>
      <c r="B272" t="str">
        <f>IFERROR(IF(0=LEN(ReferenceData!$B$272),"",ReferenceData!$B$272),"")</f>
        <v>7261 JP Equity</v>
      </c>
      <c r="C272" t="str">
        <f>IFERROR(IF(0=LEN(ReferenceData!$C$272),"",ReferenceData!$C$272),"")</f>
        <v>RR010</v>
      </c>
      <c r="D272" t="str">
        <f>IFERROR(IF(0=LEN(ReferenceData!$D$272),"",ReferenceData!$D$272),"")</f>
        <v>TOT_COMMON_EQY</v>
      </c>
      <c r="E272" t="str">
        <f>IFERROR(IF(0=LEN(ReferenceData!$E$272),"",ReferenceData!$E$272),"")</f>
        <v>Dynamic</v>
      </c>
      <c r="F272" t="str">
        <f ca="1">IFERROR(IF(0=LEN(ReferenceData!$F$272),"",ReferenceData!$F$272),"")</f>
        <v/>
      </c>
      <c r="G272">
        <f ca="1">IFERROR(IF(0=LEN(ReferenceData!$G$272),"",ReferenceData!$G$272),"")</f>
        <v>10944.163780000001</v>
      </c>
      <c r="H272">
        <f ca="1">IFERROR(IF(0=LEN(ReferenceData!$H$272),"",ReferenceData!$H$272),"")</f>
        <v>10615.39207</v>
      </c>
      <c r="I272">
        <f ca="1">IFERROR(IF(0=LEN(ReferenceData!$I$272),"",ReferenceData!$I$272),"")</f>
        <v>10825.762769999999</v>
      </c>
      <c r="J272">
        <f ca="1">IFERROR(IF(0=LEN(ReferenceData!$J$272),"",ReferenceData!$J$272),"")</f>
        <v>11232.423269999999</v>
      </c>
      <c r="K272">
        <f ca="1">IFERROR(IF(0=LEN(ReferenceData!$K$272),"",ReferenceData!$K$272),"")</f>
        <v>10426.31018</v>
      </c>
      <c r="L272">
        <f ca="1">IFERROR(IF(0=LEN(ReferenceData!$L$272),"",ReferenceData!$L$272),"")</f>
        <v>9739.6909959999994</v>
      </c>
      <c r="M272">
        <f ca="1">IFERROR(IF(0=LEN(ReferenceData!$M$272),"",ReferenceData!$M$272),"")</f>
        <v>9455.4873160000006</v>
      </c>
      <c r="N272">
        <f ca="1">IFERROR(IF(0=LEN(ReferenceData!$N$272),"",ReferenceData!$N$272),"")</f>
        <v>9338.8913840000005</v>
      </c>
      <c r="O272">
        <f ca="1">IFERROR(IF(0=LEN(ReferenceData!$O$272),"",ReferenceData!$O$272),"")</f>
        <v>8648.3196160000007</v>
      </c>
      <c r="P272">
        <f ca="1">IFERROR(IF(0=LEN(ReferenceData!$P$272),"",ReferenceData!$P$272),"")</f>
        <v>9651.0105490000005</v>
      </c>
      <c r="Q272">
        <f ca="1">IFERROR(IF(0=LEN(ReferenceData!$Q$272),"",ReferenceData!$Q$272),"")</f>
        <v>9255.4220370000003</v>
      </c>
      <c r="R272">
        <f ca="1">IFERROR(IF(0=LEN(ReferenceData!$R$272),"",ReferenceData!$R$272),"")</f>
        <v>8480.1422220000004</v>
      </c>
      <c r="S272">
        <f ca="1">IFERROR(IF(0=LEN(ReferenceData!$S$272),"",ReferenceData!$S$272),"")</f>
        <v>8071.1314480000001</v>
      </c>
      <c r="T272">
        <f ca="1">IFERROR(IF(0=LEN(ReferenceData!$T$272),"",ReferenceData!$T$272),"")</f>
        <v>8968.7975270000006</v>
      </c>
      <c r="U272">
        <f ca="1">IFERROR(IF(0=LEN(ReferenceData!$U$272),"",ReferenceData!$U$272),"")</f>
        <v>7362.1683590000002</v>
      </c>
      <c r="V272">
        <f ca="1">IFERROR(IF(0=LEN(ReferenceData!$V$272),"",ReferenceData!$V$272),"")</f>
        <v>7249.6456859999998</v>
      </c>
      <c r="W272">
        <f ca="1">IFERROR(IF(0=LEN(ReferenceData!$W$272),"",ReferenceData!$W$272),"")</f>
        <v>8033.9369159999997</v>
      </c>
      <c r="X272">
        <f ca="1">IFERROR(IF(0=LEN(ReferenceData!$X$272),"",ReferenceData!$X$272),"")</f>
        <v>6900.1185480000004</v>
      </c>
      <c r="Y272">
        <f ca="1">IFERROR(IF(0=LEN(ReferenceData!$Y$272),"",ReferenceData!$Y$272),"")</f>
        <v>6994.2936120000004</v>
      </c>
      <c r="Z272">
        <f ca="1">IFERROR(IF(0=LEN(ReferenceData!$Z$272),"",ReferenceData!$Z$272),"")</f>
        <v>6410.4201030000004</v>
      </c>
      <c r="AA272">
        <f ca="1">IFERROR(IF(0=LEN(ReferenceData!$AA$272),"",ReferenceData!$AA$272),"")</f>
        <v>5637.7256319999997</v>
      </c>
      <c r="AB272">
        <f ca="1">IFERROR(IF(0=LEN(ReferenceData!$AB$272),"",ReferenceData!$AB$272),"")</f>
        <v>5560.228083</v>
      </c>
      <c r="AC272">
        <f ca="1">IFERROR(IF(0=LEN(ReferenceData!$AC$272),"",ReferenceData!$AC$272),"")</f>
        <v>5242.2732310000001</v>
      </c>
      <c r="AD272">
        <f ca="1">IFERROR(IF(0=LEN(ReferenceData!$AD$272),"",ReferenceData!$AD$272),"")</f>
        <v>5267.6501799999996</v>
      </c>
      <c r="AE272">
        <f ca="1">IFERROR(IF(0=LEN(ReferenceData!$AE$272),"",ReferenceData!$AE$272),"")</f>
        <v>5532.1750169999996</v>
      </c>
      <c r="AF272">
        <f ca="1">IFERROR(IF(0=LEN(ReferenceData!$AF$272),"",ReferenceData!$AF$272),"")</f>
        <v>6142.2869609999998</v>
      </c>
      <c r="AG272">
        <f ca="1">IFERROR(IF(0=LEN(ReferenceData!$AG$272),"",ReferenceData!$AG$272),"")</f>
        <v>5906.2656639999996</v>
      </c>
      <c r="AH272">
        <f ca="1">IFERROR(IF(0=LEN(ReferenceData!$AH$272),"",ReferenceData!$AH$272),"")</f>
        <v>5677.2721769999998</v>
      </c>
      <c r="AI272">
        <f ca="1">IFERROR(IF(0=LEN(ReferenceData!$AI$272),"",ReferenceData!$AI$272),"")</f>
        <v>4206.1566439999997</v>
      </c>
      <c r="AJ272">
        <f ca="1">IFERROR(IF(0=LEN(ReferenceData!$AJ$272),"",ReferenceData!$AJ$272),"")</f>
        <v>5089.616282</v>
      </c>
      <c r="AK272">
        <f ca="1">IFERROR(IF(0=LEN(ReferenceData!$AK$272),"",ReferenceData!$AK$272),"")</f>
        <v>5074.3048660000004</v>
      </c>
      <c r="AL272">
        <f ca="1">IFERROR(IF(0=LEN(ReferenceData!$AL$272),"",ReferenceData!$AL$272),"")</f>
        <v>5182.5667030000004</v>
      </c>
      <c r="AM272">
        <f ca="1">IFERROR(IF(0=LEN(ReferenceData!$AM$272),"",ReferenceData!$AM$272),"")</f>
        <v>6101.4287469999999</v>
      </c>
      <c r="AN272">
        <f ca="1">IFERROR(IF(0=LEN(ReferenceData!$AN$272),"",ReferenceData!$AN$272),"")</f>
        <v>5994.7040500000003</v>
      </c>
      <c r="AO272">
        <f ca="1">IFERROR(IF(0=LEN(ReferenceData!$AO$272),"",ReferenceData!$AO$272),"")</f>
        <v>5644.6263259999996</v>
      </c>
      <c r="AP272">
        <f ca="1">IFERROR(IF(0=LEN(ReferenceData!$AP$272),"",ReferenceData!$AP$272),"")</f>
        <v>5440.4323629999999</v>
      </c>
      <c r="AQ272">
        <f ca="1">IFERROR(IF(0=LEN(ReferenceData!$AQ$272),"",ReferenceData!$AQ$272),"")</f>
        <v>5341.6040370000001</v>
      </c>
      <c r="AR272">
        <f ca="1">IFERROR(IF(0=LEN(ReferenceData!$AR$272),"",ReferenceData!$AR$272),"")</f>
        <v>4516.9826050000001</v>
      </c>
      <c r="AS272">
        <f ca="1">IFERROR(IF(0=LEN(ReferenceData!$AS$272),"",ReferenceData!$AS$272),"")</f>
        <v>4151.0485879999997</v>
      </c>
      <c r="AT272">
        <f ca="1">IFERROR(IF(0=LEN(ReferenceData!$AT$272),"",ReferenceData!$AT$272),"")</f>
        <v>4161.6406639999996</v>
      </c>
      <c r="AU272">
        <f ca="1">IFERROR(IF(0=LEN(ReferenceData!$AU$272),"",ReferenceData!$AU$272),"")</f>
        <v>5734.6183499999997</v>
      </c>
      <c r="AV272">
        <f ca="1">IFERROR(IF(0=LEN(ReferenceData!$AV$272),"",ReferenceData!$AV$272),"")</f>
        <v>5371.663998</v>
      </c>
      <c r="AW272">
        <f ca="1">IFERROR(IF(0=LEN(ReferenceData!$AW$272),"",ReferenceData!$AW$272),"")</f>
        <v>5162.2092480000001</v>
      </c>
      <c r="AX272">
        <f ca="1">IFERROR(IF(0=LEN(ReferenceData!$AX$272),"",ReferenceData!$AX$272),"")</f>
        <v>5531.7344279999998</v>
      </c>
      <c r="AY272">
        <f ca="1">IFERROR(IF(0=LEN(ReferenceData!$AY$272),"",ReferenceData!$AY$272),"")</f>
        <v>4507.1294390000003</v>
      </c>
      <c r="AZ272">
        <f ca="1">IFERROR(IF(0=LEN(ReferenceData!$AZ$272),"",ReferenceData!$AZ$272),"")</f>
        <v>4353.2578400000002</v>
      </c>
      <c r="BA272">
        <f ca="1">IFERROR(IF(0=LEN(ReferenceData!$BA$272),"",ReferenceData!$BA$272),"")</f>
        <v>3836.4514039999999</v>
      </c>
      <c r="BB272">
        <f ca="1">IFERROR(IF(0=LEN(ReferenceData!$BB$272),"",ReferenceData!$BB$272),"")</f>
        <v>4026.447827</v>
      </c>
      <c r="BC272">
        <f ca="1">IFERROR(IF(0=LEN(ReferenceData!$BC$272),"",ReferenceData!$BC$272),"")</f>
        <v>3653.7789720000001</v>
      </c>
      <c r="BD272">
        <f ca="1">IFERROR(IF(0=LEN(ReferenceData!$BD$272),"",ReferenceData!$BD$272),"")</f>
        <v>3516.3616339999999</v>
      </c>
      <c r="BE272">
        <f ca="1">IFERROR(IF(0=LEN(ReferenceData!$BE$272),"",ReferenceData!$BE$272),"")</f>
        <v>3470.2280070000002</v>
      </c>
      <c r="BF272">
        <f ca="1">IFERROR(IF(0=LEN(ReferenceData!$BF$272),"",ReferenceData!$BF$272),"")</f>
        <v>3387.438298</v>
      </c>
      <c r="BG272">
        <f ca="1">IFERROR(IF(0=LEN(ReferenceData!$BG$272),"",ReferenceData!$BG$272),"")</f>
        <v>3005.3572939999999</v>
      </c>
      <c r="BH272">
        <f ca="1">IFERROR(IF(0=LEN(ReferenceData!$BH$272),"",ReferenceData!$BH$272),"")</f>
        <v>2919.7780910000001</v>
      </c>
      <c r="BI272">
        <f ca="1">IFERROR(IF(0=LEN(ReferenceData!$BI$272),"",ReferenceData!$BI$272),"")</f>
        <v>2424.3847470000001</v>
      </c>
      <c r="BJ272">
        <f ca="1">IFERROR(IF(0=LEN(ReferenceData!$BJ$272),"",ReferenceData!$BJ$272),"")</f>
        <v>2498.2742539999999</v>
      </c>
      <c r="BK272">
        <f ca="1">IFERROR(IF(0=LEN(ReferenceData!$BK$272),"",ReferenceData!$BK$272),"")</f>
        <v>2428.1923710000001</v>
      </c>
      <c r="BL272">
        <f ca="1">IFERROR(IF(0=LEN(ReferenceData!$BL$272),"",ReferenceData!$BL$272),"")</f>
        <v>2191.603748</v>
      </c>
      <c r="BM272">
        <f ca="1">IFERROR(IF(0=LEN(ReferenceData!$BM$272),"",ReferenceData!$BM$272),"")</f>
        <v>2115.4887079999999</v>
      </c>
    </row>
    <row r="273" spans="1:65" x14ac:dyDescent="0.25">
      <c r="A273" t="str">
        <f>IFERROR(IF(0=LEN(ReferenceData!$A$273),"",ReferenceData!$A$273),"")</f>
        <v xml:space="preserve">    Mitsubishi Motors Corp</v>
      </c>
      <c r="B273" t="str">
        <f>IFERROR(IF(0=LEN(ReferenceData!$B$273),"",ReferenceData!$B$273),"")</f>
        <v>7211 JP Equity</v>
      </c>
      <c r="C273" t="str">
        <f>IFERROR(IF(0=LEN(ReferenceData!$C$273),"",ReferenceData!$C$273),"")</f>
        <v>RR010</v>
      </c>
      <c r="D273" t="str">
        <f>IFERROR(IF(0=LEN(ReferenceData!$D$273),"",ReferenceData!$D$273),"")</f>
        <v>TOT_COMMON_EQY</v>
      </c>
      <c r="E273" t="str">
        <f>IFERROR(IF(0=LEN(ReferenceData!$E$273),"",ReferenceData!$E$273),"")</f>
        <v>Dynamic</v>
      </c>
      <c r="F273" t="str">
        <f ca="1">IFERROR(IF(0=LEN(ReferenceData!$F$273),"",ReferenceData!$F$273),"")</f>
        <v/>
      </c>
      <c r="G273">
        <f ca="1">IFERROR(IF(0=LEN(ReferenceData!$G$273),"",ReferenceData!$G$273),"")</f>
        <v>7364.5996720000003</v>
      </c>
      <c r="H273">
        <f ca="1">IFERROR(IF(0=LEN(ReferenceData!$H$273),"",ReferenceData!$H$273),"")</f>
        <v>7177.7092510000002</v>
      </c>
      <c r="I273">
        <f ca="1">IFERROR(IF(0=LEN(ReferenceData!$I$273),"",ReferenceData!$I$273),"")</f>
        <v>7066.212313</v>
      </c>
      <c r="J273">
        <f ca="1">IFERROR(IF(0=LEN(ReferenceData!$J$273),"",ReferenceData!$J$273),"")</f>
        <v>7353.370363</v>
      </c>
      <c r="K273">
        <f ca="1">IFERROR(IF(0=LEN(ReferenceData!$K$273),"",ReferenceData!$K$273),"")</f>
        <v>6678.8328300000003</v>
      </c>
      <c r="L273">
        <f ca="1">IFERROR(IF(0=LEN(ReferenceData!$L$273),"",ReferenceData!$L$273),"")</f>
        <v>6523.8323570000002</v>
      </c>
      <c r="M273">
        <f ca="1">IFERROR(IF(0=LEN(ReferenceData!$M$273),"",ReferenceData!$M$273),"")</f>
        <v>6267.1918109999997</v>
      </c>
      <c r="N273">
        <f ca="1">IFERROR(IF(0=LEN(ReferenceData!$N$273),"",ReferenceData!$N$273),"")</f>
        <v>6202.9916450000001</v>
      </c>
      <c r="O273">
        <f ca="1">IFERROR(IF(0=LEN(ReferenceData!$O$273),"",ReferenceData!$O$273),"")</f>
        <v>5800.7887520000004</v>
      </c>
      <c r="P273">
        <f ca="1">IFERROR(IF(0=LEN(ReferenceData!$P$273),"",ReferenceData!$P$273),"")</f>
        <v>4051.5626539999998</v>
      </c>
      <c r="Q273">
        <f ca="1">IFERROR(IF(0=LEN(ReferenceData!$Q$273),"",ReferenceData!$Q$273),"")</f>
        <v>4930.564977</v>
      </c>
      <c r="R273">
        <f ca="1">IFERROR(IF(0=LEN(ReferenceData!$R$273),"",ReferenceData!$R$273),"")</f>
        <v>5965.76</v>
      </c>
      <c r="S273">
        <f ca="1">IFERROR(IF(0=LEN(ReferenceData!$S$273),"",ReferenceData!$S$273),"")</f>
        <v>5766.7637269999996</v>
      </c>
      <c r="T273">
        <f ca="1">IFERROR(IF(0=LEN(ReferenceData!$T$273),"",ReferenceData!$T$273),"")</f>
        <v>5643.6199550000001</v>
      </c>
      <c r="U273">
        <f ca="1">IFERROR(IF(0=LEN(ReferenceData!$U$273),"",ReferenceData!$U$273),"")</f>
        <v>5494.6036690000001</v>
      </c>
      <c r="V273">
        <f ca="1">IFERROR(IF(0=LEN(ReferenceData!$V$273),"",ReferenceData!$V$273),"")</f>
        <v>5491.0629429999999</v>
      </c>
      <c r="W273">
        <f ca="1">IFERROR(IF(0=LEN(ReferenceData!$W$273),"",ReferenceData!$W$273),"")</f>
        <v>5409.0120159999997</v>
      </c>
      <c r="X273">
        <f ca="1">IFERROR(IF(0=LEN(ReferenceData!$X$273),"",ReferenceData!$X$273),"")</f>
        <v>5422.5059270000002</v>
      </c>
      <c r="Y273">
        <f ca="1">IFERROR(IF(0=LEN(ReferenceData!$Y$273),"",ReferenceData!$Y$273),"")</f>
        <v>5386.0203380000003</v>
      </c>
      <c r="Z273">
        <f ca="1">IFERROR(IF(0=LEN(ReferenceData!$Z$273),"",ReferenceData!$Z$273),"")</f>
        <v>5244.3193950000004</v>
      </c>
      <c r="AA273">
        <f ca="1">IFERROR(IF(0=LEN(ReferenceData!$AA$273),"",ReferenceData!$AA$273),"")</f>
        <v>521.97415920000003</v>
      </c>
      <c r="AB273">
        <f ca="1">IFERROR(IF(0=LEN(ReferenceData!$AB$273),"",ReferenceData!$AB$273),"")</f>
        <v>52.795031059999999</v>
      </c>
      <c r="AC273">
        <f ca="1">IFERROR(IF(0=LEN(ReferenceData!$AC$273),"",ReferenceData!$AC$273),"")</f>
        <v>-283.70079529999998</v>
      </c>
      <c r="AD273">
        <f ca="1">IFERROR(IF(0=LEN(ReferenceData!$AD$273),"",ReferenceData!$AD$273),"")</f>
        <v>-581.64933140000005</v>
      </c>
      <c r="AE273">
        <f ca="1">IFERROR(IF(0=LEN(ReferenceData!$AE$273),"",ReferenceData!$AE$273),"")</f>
        <v>-1317.3285619999999</v>
      </c>
      <c r="AF273">
        <f ca="1">IFERROR(IF(0=LEN(ReferenceData!$AF$273),"",ReferenceData!$AF$273),"")</f>
        <v>-2077.810575</v>
      </c>
      <c r="AG273">
        <f ca="1">IFERROR(IF(0=LEN(ReferenceData!$AG$273),"",ReferenceData!$AG$273),"")</f>
        <v>-2361.453634</v>
      </c>
      <c r="AH273">
        <f ca="1">IFERROR(IF(0=LEN(ReferenceData!$AH$273),"",ReferenceData!$AH$273),"")</f>
        <v>-2185.6347569999998</v>
      </c>
      <c r="AI273">
        <f ca="1">IFERROR(IF(0=LEN(ReferenceData!$AI$273),"",ReferenceData!$AI$273),"")</f>
        <v>-2759.2934150000001</v>
      </c>
      <c r="AJ273">
        <f ca="1">IFERROR(IF(0=LEN(ReferenceData!$AJ$273),"",ReferenceData!$AJ$273),"")</f>
        <v>-2782.7715840000001</v>
      </c>
      <c r="AK273">
        <f ca="1">IFERROR(IF(0=LEN(ReferenceData!$AK$273),"",ReferenceData!$AK$273),"")</f>
        <v>-2481.7899699999998</v>
      </c>
      <c r="AL273">
        <f ca="1">IFERROR(IF(0=LEN(ReferenceData!$AL$273),"",ReferenceData!$AL$273),"")</f>
        <v>-2393.1667269999998</v>
      </c>
      <c r="AM273">
        <f ca="1">IFERROR(IF(0=LEN(ReferenceData!$AM$273),"",ReferenceData!$AM$273),"")</f>
        <v>-2778.753541</v>
      </c>
      <c r="AN273">
        <f ca="1">IFERROR(IF(0=LEN(ReferenceData!$AN$273),"",ReferenceData!$AN$273),"")</f>
        <v>-2701.9410499999999</v>
      </c>
      <c r="AO273">
        <f ca="1">IFERROR(IF(0=LEN(ReferenceData!$AO$273),"",ReferenceData!$AO$273),"")</f>
        <v>-2679.5777830000002</v>
      </c>
      <c r="AP273">
        <f ca="1">IFERROR(IF(0=LEN(ReferenceData!$AP$273),"",ReferenceData!$AP$273),"")</f>
        <v>-2283.9041099999999</v>
      </c>
      <c r="AQ273">
        <f ca="1">IFERROR(IF(0=LEN(ReferenceData!$AQ$273),"",ReferenceData!$AQ$273),"")</f>
        <v>-2639.360103</v>
      </c>
      <c r="AR273">
        <f ca="1">IFERROR(IF(0=LEN(ReferenceData!$AR$273),"",ReferenceData!$AR$273),"")</f>
        <v>-2919.000892</v>
      </c>
      <c r="AS273">
        <f ca="1">IFERROR(IF(0=LEN(ReferenceData!$AS$273),"",ReferenceData!$AS$273),"")</f>
        <v>-2548.5049829999998</v>
      </c>
      <c r="AT273">
        <f ca="1">IFERROR(IF(0=LEN(ReferenceData!$AT$273),"",ReferenceData!$AT$273),"")</f>
        <v>-2256.08455</v>
      </c>
      <c r="AU273">
        <f ca="1">IFERROR(IF(0=LEN(ReferenceData!$AU$273),"",ReferenceData!$AU$273),"")</f>
        <v>-2117.0943940000002</v>
      </c>
      <c r="AV273">
        <f ca="1">IFERROR(IF(0=LEN(ReferenceData!$AV$273),"",ReferenceData!$AV$273),"")</f>
        <v>-1319.954798</v>
      </c>
      <c r="AW273">
        <f ca="1">IFERROR(IF(0=LEN(ReferenceData!$AW$273),"",ReferenceData!$AW$273),"")</f>
        <v>-1232.9127040000001</v>
      </c>
      <c r="AX273">
        <f ca="1">IFERROR(IF(0=LEN(ReferenceData!$AX$273),"",ReferenceData!$AX$273),"")</f>
        <v>-1203.5349490000001</v>
      </c>
      <c r="AY273">
        <f ca="1">IFERROR(IF(0=LEN(ReferenceData!$AY$273),"",ReferenceData!$AY$273),"")</f>
        <v>-1032.981483</v>
      </c>
      <c r="AZ273">
        <f ca="1">IFERROR(IF(0=LEN(ReferenceData!$AZ$273),"",ReferenceData!$AZ$273),"")</f>
        <v>-1066.1149829999999</v>
      </c>
      <c r="BA273">
        <f ca="1">IFERROR(IF(0=LEN(ReferenceData!$BA$273),"",ReferenceData!$BA$273),"")</f>
        <v>-1197.4363129999999</v>
      </c>
      <c r="BB273">
        <f ca="1">IFERROR(IF(0=LEN(ReferenceData!$BB$273),"",ReferenceData!$BB$273),"")</f>
        <v>-1243.4560759999999</v>
      </c>
      <c r="BC273">
        <f ca="1">IFERROR(IF(0=LEN(ReferenceData!$BC$273),"",ReferenceData!$BC$273),"")</f>
        <v>-1490.812899</v>
      </c>
      <c r="BD273">
        <f ca="1">IFERROR(IF(0=LEN(ReferenceData!$BD$273),"",ReferenceData!$BD$273),"")</f>
        <v>-1603.8722250000001</v>
      </c>
      <c r="BE273">
        <f ca="1">IFERROR(IF(0=LEN(ReferenceData!$BE$273),"",ReferenceData!$BE$273),"")</f>
        <v>-1685.708046</v>
      </c>
      <c r="BF273">
        <f ca="1">IFERROR(IF(0=LEN(ReferenceData!$BF$273),"",ReferenceData!$BF$273),"")</f>
        <v>-1480.1276600000001</v>
      </c>
      <c r="BG273">
        <f ca="1">IFERROR(IF(0=LEN(ReferenceData!$BG$273),"",ReferenceData!$BG$273),"")</f>
        <v>-2247.037382</v>
      </c>
      <c r="BH273">
        <f ca="1">IFERROR(IF(0=LEN(ReferenceData!$BH$273),"",ReferenceData!$BH$273),"")</f>
        <v>-2271.8034520000001</v>
      </c>
      <c r="BI273">
        <f ca="1">IFERROR(IF(0=LEN(ReferenceData!$BI$273),"",ReferenceData!$BI$273),"")</f>
        <v>2719.9405029999998</v>
      </c>
      <c r="BJ273">
        <f ca="1">IFERROR(IF(0=LEN(ReferenceData!$BJ$273),"",ReferenceData!$BJ$273),"")</f>
        <v>-1878.8339550000001</v>
      </c>
      <c r="BK273">
        <f ca="1">IFERROR(IF(0=LEN(ReferenceData!$BK$273),"",ReferenceData!$BK$273),"")</f>
        <v>2826.9924890000002</v>
      </c>
      <c r="BL273">
        <f ca="1">IFERROR(IF(0=LEN(ReferenceData!$BL$273),"",ReferenceData!$BL$273),"")</f>
        <v>-456.54507410000002</v>
      </c>
      <c r="BM273">
        <f ca="1">IFERROR(IF(0=LEN(ReferenceData!$BM$273),"",ReferenceData!$BM$273),"")</f>
        <v>2408.0277959999999</v>
      </c>
    </row>
    <row r="274" spans="1:65" x14ac:dyDescent="0.25">
      <c r="A274" t="str">
        <f>IFERROR(IF(0=LEN(ReferenceData!$A$274),"",ReferenceData!$A$274),"")</f>
        <v xml:space="preserve">    Nissan Motor Co Ltd</v>
      </c>
      <c r="B274" t="str">
        <f>IFERROR(IF(0=LEN(ReferenceData!$B$274),"",ReferenceData!$B$274),"")</f>
        <v>7201 JP Equity</v>
      </c>
      <c r="C274" t="str">
        <f>IFERROR(IF(0=LEN(ReferenceData!$C$274),"",ReferenceData!$C$274),"")</f>
        <v>RR010</v>
      </c>
      <c r="D274" t="str">
        <f>IFERROR(IF(0=LEN(ReferenceData!$D$274),"",ReferenceData!$D$274),"")</f>
        <v>TOT_COMMON_EQY</v>
      </c>
      <c r="E274" t="str">
        <f>IFERROR(IF(0=LEN(ReferenceData!$E$274),"",ReferenceData!$E$274),"")</f>
        <v>Dynamic</v>
      </c>
      <c r="F274" t="str">
        <f ca="1">IFERROR(IF(0=LEN(ReferenceData!$F$274),"",ReferenceData!$F$274),"")</f>
        <v/>
      </c>
      <c r="G274">
        <f ca="1">IFERROR(IF(0=LEN(ReferenceData!$G$274),"",ReferenceData!$G$274),"")</f>
        <v>48681.925949999997</v>
      </c>
      <c r="H274">
        <f ca="1">IFERROR(IF(0=LEN(ReferenceData!$H$274),"",ReferenceData!$H$274),"")</f>
        <v>48260.167399999998</v>
      </c>
      <c r="I274">
        <f ca="1">IFERROR(IF(0=LEN(ReferenceData!$I$274),"",ReferenceData!$I$274),"")</f>
        <v>47873.966419999997</v>
      </c>
      <c r="J274">
        <f ca="1">IFERROR(IF(0=LEN(ReferenceData!$J$274),"",ReferenceData!$J$274),"")</f>
        <v>50694.982109999997</v>
      </c>
      <c r="K274">
        <f ca="1">IFERROR(IF(0=LEN(ReferenceData!$K$274),"",ReferenceData!$K$274),"")</f>
        <v>47184.082430000002</v>
      </c>
      <c r="L274">
        <f ca="1">IFERROR(IF(0=LEN(ReferenceData!$L$274),"",ReferenceData!$L$274),"")</f>
        <v>45173.423900000002</v>
      </c>
      <c r="M274">
        <f ca="1">IFERROR(IF(0=LEN(ReferenceData!$M$274),"",ReferenceData!$M$274),"")</f>
        <v>43500.987979999998</v>
      </c>
      <c r="N274">
        <f ca="1">IFERROR(IF(0=LEN(ReferenceData!$N$274),"",ReferenceData!$N$274),"")</f>
        <v>43681.951309999997</v>
      </c>
      <c r="O274">
        <f ca="1">IFERROR(IF(0=LEN(ReferenceData!$O$274),"",ReferenceData!$O$274),"")</f>
        <v>38400.660150000003</v>
      </c>
      <c r="P274">
        <f ca="1">IFERROR(IF(0=LEN(ReferenceData!$P$274),"",ReferenceData!$P$274),"")</f>
        <v>41661.372380000001</v>
      </c>
      <c r="Q274">
        <f ca="1">IFERROR(IF(0=LEN(ReferenceData!$Q$274),"",ReferenceData!$Q$274),"")</f>
        <v>42519.779049999997</v>
      </c>
      <c r="R274">
        <f ca="1">IFERROR(IF(0=LEN(ReferenceData!$R$274),"",ReferenceData!$R$274),"")</f>
        <v>41971.262219999997</v>
      </c>
      <c r="S274">
        <f ca="1">IFERROR(IF(0=LEN(ReferenceData!$S$274),"",ReferenceData!$S$274),"")</f>
        <v>41056.01498</v>
      </c>
      <c r="T274">
        <f ca="1">IFERROR(IF(0=LEN(ReferenceData!$T$274),"",ReferenceData!$T$274),"")</f>
        <v>41211.197460000003</v>
      </c>
      <c r="U274">
        <f ca="1">IFERROR(IF(0=LEN(ReferenceData!$U$274),"",ReferenceData!$U$274),"")</f>
        <v>40394.095970000002</v>
      </c>
      <c r="V274">
        <f ca="1">IFERROR(IF(0=LEN(ReferenceData!$V$274),"",ReferenceData!$V$274),"")</f>
        <v>40322.717799999999</v>
      </c>
      <c r="W274">
        <f ca="1">IFERROR(IF(0=LEN(ReferenceData!$W$274),"",ReferenceData!$W$274),"")</f>
        <v>39300.050069999998</v>
      </c>
      <c r="X274">
        <f ca="1">IFERROR(IF(0=LEN(ReferenceData!$X$274),"",ReferenceData!$X$274),"")</f>
        <v>41078.54277</v>
      </c>
      <c r="Y274">
        <f ca="1">IFERROR(IF(0=LEN(ReferenceData!$Y$274),"",ReferenceData!$Y$274),"")</f>
        <v>42302.448420000001</v>
      </c>
      <c r="Z274">
        <f ca="1">IFERROR(IF(0=LEN(ReferenceData!$Z$274),"",ReferenceData!$Z$274),"")</f>
        <v>42117.54148</v>
      </c>
      <c r="AA274">
        <f ca="1">IFERROR(IF(0=LEN(ReferenceData!$AA$274),"",ReferenceData!$AA$274),"")</f>
        <v>40104.227630000001</v>
      </c>
      <c r="AB274">
        <f ca="1">IFERROR(IF(0=LEN(ReferenceData!$AB$274),"",ReferenceData!$AB$274),"")</f>
        <v>41177.833209999997</v>
      </c>
      <c r="AC274">
        <f ca="1">IFERROR(IF(0=LEN(ReferenceData!$AC$274),"",ReferenceData!$AC$274),"")</f>
        <v>39083.388700000003</v>
      </c>
      <c r="AD274">
        <f ca="1">IFERROR(IF(0=LEN(ReferenceData!$AD$274),"",ReferenceData!$AD$274),"")</f>
        <v>39633.443010000003</v>
      </c>
      <c r="AE274">
        <f ca="1">IFERROR(IF(0=LEN(ReferenceData!$AE$274),"",ReferenceData!$AE$274),"")</f>
        <v>38882.244290000002</v>
      </c>
      <c r="AF274">
        <f ca="1">IFERROR(IF(0=LEN(ReferenceData!$AF$274),"",ReferenceData!$AF$274),"")</f>
        <v>40655.749490000002</v>
      </c>
      <c r="AG274">
        <f ca="1">IFERROR(IF(0=LEN(ReferenceData!$AG$274),"",ReferenceData!$AG$274),"")</f>
        <v>38753.909769999998</v>
      </c>
      <c r="AH274">
        <f ca="1">IFERROR(IF(0=LEN(ReferenceData!$AH$274),"",ReferenceData!$AH$274),"")</f>
        <v>38111.025049999997</v>
      </c>
      <c r="AI274">
        <f ca="1">IFERROR(IF(0=LEN(ReferenceData!$AI$274),"",ReferenceData!$AI$274),"")</f>
        <v>37790.284449999999</v>
      </c>
      <c r="AJ274">
        <f ca="1">IFERROR(IF(0=LEN(ReferenceData!$AJ$274),"",ReferenceData!$AJ$274),"")</f>
        <v>37717.448790000002</v>
      </c>
      <c r="AK274">
        <f ca="1">IFERROR(IF(0=LEN(ReferenceData!$AK$274),"",ReferenceData!$AK$274),"")</f>
        <v>37231.740319999997</v>
      </c>
      <c r="AL274">
        <f ca="1">IFERROR(IF(0=LEN(ReferenceData!$AL$274),"",ReferenceData!$AL$274),"")</f>
        <v>35540.625379999998</v>
      </c>
      <c r="AM274">
        <f ca="1">IFERROR(IF(0=LEN(ReferenceData!$AM$274),"",ReferenceData!$AM$274),"")</f>
        <v>35199.692080000001</v>
      </c>
      <c r="AN274">
        <f ca="1">IFERROR(IF(0=LEN(ReferenceData!$AN$274),"",ReferenceData!$AN$274),"")</f>
        <v>33959.166069999999</v>
      </c>
      <c r="AO274">
        <f ca="1">IFERROR(IF(0=LEN(ReferenceData!$AO$274),"",ReferenceData!$AO$274),"")</f>
        <v>31447.358319999999</v>
      </c>
      <c r="AP274">
        <f ca="1">IFERROR(IF(0=LEN(ReferenceData!$AP$274),"",ReferenceData!$AP$274),"")</f>
        <v>28999.76455</v>
      </c>
      <c r="AQ274">
        <f ca="1">IFERROR(IF(0=LEN(ReferenceData!$AQ$274),"",ReferenceData!$AQ$274),"")</f>
        <v>28887.5671</v>
      </c>
      <c r="AR274">
        <f ca="1">IFERROR(IF(0=LEN(ReferenceData!$AR$274),"",ReferenceData!$AR$274),"")</f>
        <v>29041.057089999998</v>
      </c>
      <c r="AS274">
        <f ca="1">IFERROR(IF(0=LEN(ReferenceData!$AS$274),"",ReferenceData!$AS$274),"")</f>
        <v>27797.53945</v>
      </c>
      <c r="AT274">
        <f ca="1">IFERROR(IF(0=LEN(ReferenceData!$AT$274),"",ReferenceData!$AT$274),"")</f>
        <v>26449.13941</v>
      </c>
      <c r="AU274">
        <f ca="1">IFERROR(IF(0=LEN(ReferenceData!$AU$274),"",ReferenceData!$AU$274),"")</f>
        <v>32066.758450000001</v>
      </c>
      <c r="AV274">
        <f ca="1">IFERROR(IF(0=LEN(ReferenceData!$AV$274),"",ReferenceData!$AV$274),"")</f>
        <v>33128.345419999998</v>
      </c>
      <c r="AW274">
        <f ca="1">IFERROR(IF(0=LEN(ReferenceData!$AW$274),"",ReferenceData!$AW$274),"")</f>
        <v>33745.776440000001</v>
      </c>
      <c r="AX274">
        <f ca="1">IFERROR(IF(0=LEN(ReferenceData!$AX$274),"",ReferenceData!$AX$274),"")</f>
        <v>35115.942320000002</v>
      </c>
      <c r="AY274">
        <f ca="1">IFERROR(IF(0=LEN(ReferenceData!$AY$274),"",ReferenceData!$AY$274),"")</f>
        <v>33215.511229999996</v>
      </c>
      <c r="AZ274">
        <f ca="1">IFERROR(IF(0=LEN(ReferenceData!$AZ$274),"",ReferenceData!$AZ$274),"")</f>
        <v>32229.146339999999</v>
      </c>
      <c r="BA274">
        <f ca="1">IFERROR(IF(0=LEN(ReferenceData!$BA$274),"",ReferenceData!$BA$274),"")</f>
        <v>30127.46227</v>
      </c>
      <c r="BB274">
        <f ca="1">IFERROR(IF(0=LEN(ReferenceData!$BB$274),"",ReferenceData!$BB$274),"")</f>
        <v>30172.191510000001</v>
      </c>
      <c r="BC274">
        <f ca="1">IFERROR(IF(0=LEN(ReferenceData!$BC$274),"",ReferenceData!$BC$274),"")</f>
        <v>28800.386289999999</v>
      </c>
      <c r="BD274">
        <f ca="1">IFERROR(IF(0=LEN(ReferenceData!$BD$274),"",ReferenceData!$BD$274),"")</f>
        <v>28141.738689999998</v>
      </c>
      <c r="BE274">
        <f ca="1">IFERROR(IF(0=LEN(ReferenceData!$BE$274),"",ReferenceData!$BE$274),"")</f>
        <v>27405.468680000002</v>
      </c>
      <c r="BF274">
        <f ca="1">IFERROR(IF(0=LEN(ReferenceData!$BF$274),"",ReferenceData!$BF$274),"")</f>
        <v>26280.70638</v>
      </c>
      <c r="BG274">
        <f ca="1">IFERROR(IF(0=LEN(ReferenceData!$BG$274),"",ReferenceData!$BG$274),"")</f>
        <v>24427.66805</v>
      </c>
      <c r="BH274">
        <f ca="1">IFERROR(IF(0=LEN(ReferenceData!$BH$274),"",ReferenceData!$BH$274),"")</f>
        <v>23889.459320000002</v>
      </c>
      <c r="BI274">
        <f ca="1">IFERROR(IF(0=LEN(ReferenceData!$BI$274),"",ReferenceData!$BI$274),"")</f>
        <v>22963.183990000001</v>
      </c>
      <c r="BJ274">
        <f ca="1">IFERROR(IF(0=LEN(ReferenceData!$BJ$274),"",ReferenceData!$BJ$274),"")</f>
        <v>23001.399249999999</v>
      </c>
      <c r="BK274">
        <f ca="1">IFERROR(IF(0=LEN(ReferenceData!$BK$274),"",ReferenceData!$BK$274),"")</f>
        <v>22309.950250000002</v>
      </c>
      <c r="BL274">
        <f ca="1">IFERROR(IF(0=LEN(ReferenceData!$BL$274),"",ReferenceData!$BL$274),"")</f>
        <v>20528.90021</v>
      </c>
      <c r="BM274">
        <f ca="1">IFERROR(IF(0=LEN(ReferenceData!$BM$274),"",ReferenceData!$BM$274),"")</f>
        <v>19299.698270000001</v>
      </c>
    </row>
    <row r="275" spans="1:65" x14ac:dyDescent="0.25">
      <c r="A275" t="str">
        <f>IFERROR(IF(0=LEN(ReferenceData!$A$275),"",ReferenceData!$A$275),"")</f>
        <v xml:space="preserve">    Peugeot SA</v>
      </c>
      <c r="B275" t="str">
        <f>IFERROR(IF(0=LEN(ReferenceData!$B$275),"",ReferenceData!$B$275),"")</f>
        <v>UG FP Equity</v>
      </c>
      <c r="C275" t="str">
        <f>IFERROR(IF(0=LEN(ReferenceData!$C$275),"",ReferenceData!$C$275),"")</f>
        <v>RR010</v>
      </c>
      <c r="D275" t="str">
        <f>IFERROR(IF(0=LEN(ReferenceData!$D$275),"",ReferenceData!$D$275),"")</f>
        <v>TOT_COMMON_EQY</v>
      </c>
      <c r="E275" t="str">
        <f>IFERROR(IF(0=LEN(ReferenceData!$E$275),"",ReferenceData!$E$275),"")</f>
        <v>Dynamic</v>
      </c>
      <c r="F275" t="str">
        <f ca="1">IFERROR(IF(0=LEN(ReferenceData!$F$275),"",ReferenceData!$F$275),"")</f>
        <v/>
      </c>
      <c r="G275" t="str">
        <f ca="1">IFERROR(IF(0=LEN(ReferenceData!$G$275),"",ReferenceData!$G$275),"")</f>
        <v/>
      </c>
      <c r="H275" t="str">
        <f ca="1">IFERROR(IF(0=LEN(ReferenceData!$H$275),"",ReferenceData!$H$275),"")</f>
        <v/>
      </c>
      <c r="I275" t="str">
        <f ca="1">IFERROR(IF(0=LEN(ReferenceData!$I$275),"",ReferenceData!$I$275),"")</f>
        <v/>
      </c>
      <c r="J275" t="str">
        <f ca="1">IFERROR(IF(0=LEN(ReferenceData!$J$275),"",ReferenceData!$J$275),"")</f>
        <v/>
      </c>
      <c r="K275" t="str">
        <f ca="1">IFERROR(IF(0=LEN(ReferenceData!$K$275),"",ReferenceData!$K$275),"")</f>
        <v/>
      </c>
      <c r="L275" t="str">
        <f ca="1">IFERROR(IF(0=LEN(ReferenceData!$L$275),"",ReferenceData!$L$275),"")</f>
        <v/>
      </c>
      <c r="M275" t="str">
        <f ca="1">IFERROR(IF(0=LEN(ReferenceData!$M$275),"",ReferenceData!$M$275),"")</f>
        <v/>
      </c>
      <c r="N275" t="str">
        <f ca="1">IFERROR(IF(0=LEN(ReferenceData!$N$275),"",ReferenceData!$N$275),"")</f>
        <v/>
      </c>
      <c r="O275" t="str">
        <f ca="1">IFERROR(IF(0=LEN(ReferenceData!$O$275),"",ReferenceData!$O$275),"")</f>
        <v/>
      </c>
      <c r="P275" t="str">
        <f ca="1">IFERROR(IF(0=LEN(ReferenceData!$P$275),"",ReferenceData!$P$275),"")</f>
        <v/>
      </c>
      <c r="Q275" t="str">
        <f ca="1">IFERROR(IF(0=LEN(ReferenceData!$Q$275),"",ReferenceData!$Q$275),"")</f>
        <v/>
      </c>
      <c r="R275" t="str">
        <f ca="1">IFERROR(IF(0=LEN(ReferenceData!$R$275),"",ReferenceData!$R$275),"")</f>
        <v/>
      </c>
      <c r="S275" t="str">
        <f ca="1">IFERROR(IF(0=LEN(ReferenceData!$S$275),"",ReferenceData!$S$275),"")</f>
        <v/>
      </c>
      <c r="T275" t="str">
        <f ca="1">IFERROR(IF(0=LEN(ReferenceData!$T$275),"",ReferenceData!$T$275),"")</f>
        <v/>
      </c>
      <c r="U275" t="str">
        <f ca="1">IFERROR(IF(0=LEN(ReferenceData!$U$275),"",ReferenceData!$U$275),"")</f>
        <v/>
      </c>
      <c r="V275" t="str">
        <f ca="1">IFERROR(IF(0=LEN(ReferenceData!$V$275),"",ReferenceData!$V$275),"")</f>
        <v/>
      </c>
      <c r="W275" t="str">
        <f ca="1">IFERROR(IF(0=LEN(ReferenceData!$W$275),"",ReferenceData!$W$275),"")</f>
        <v/>
      </c>
      <c r="X275" t="str">
        <f ca="1">IFERROR(IF(0=LEN(ReferenceData!$X$275),"",ReferenceData!$X$275),"")</f>
        <v/>
      </c>
      <c r="Y275" t="str">
        <f ca="1">IFERROR(IF(0=LEN(ReferenceData!$Y$275),"",ReferenceData!$Y$275),"")</f>
        <v/>
      </c>
      <c r="Z275" t="str">
        <f ca="1">IFERROR(IF(0=LEN(ReferenceData!$Z$275),"",ReferenceData!$Z$275),"")</f>
        <v/>
      </c>
      <c r="AA275" t="str">
        <f ca="1">IFERROR(IF(0=LEN(ReferenceData!$AA$275),"",ReferenceData!$AA$275),"")</f>
        <v/>
      </c>
      <c r="AB275" t="str">
        <f ca="1">IFERROR(IF(0=LEN(ReferenceData!$AB$275),"",ReferenceData!$AB$275),"")</f>
        <v/>
      </c>
      <c r="AC275" t="str">
        <f ca="1">IFERROR(IF(0=LEN(ReferenceData!$AC$275),"",ReferenceData!$AC$275),"")</f>
        <v/>
      </c>
      <c r="AD275" t="str">
        <f ca="1">IFERROR(IF(0=LEN(ReferenceData!$AD$275),"",ReferenceData!$AD$275),"")</f>
        <v/>
      </c>
      <c r="AE275" t="str">
        <f ca="1">IFERROR(IF(0=LEN(ReferenceData!$AE$275),"",ReferenceData!$AE$275),"")</f>
        <v/>
      </c>
      <c r="AF275" t="str">
        <f ca="1">IFERROR(IF(0=LEN(ReferenceData!$AF$275),"",ReferenceData!$AF$275),"")</f>
        <v/>
      </c>
      <c r="AG275" t="str">
        <f ca="1">IFERROR(IF(0=LEN(ReferenceData!$AG$275),"",ReferenceData!$AG$275),"")</f>
        <v/>
      </c>
      <c r="AH275" t="str">
        <f ca="1">IFERROR(IF(0=LEN(ReferenceData!$AH$275),"",ReferenceData!$AH$275),"")</f>
        <v/>
      </c>
      <c r="AI275" t="str">
        <f ca="1">IFERROR(IF(0=LEN(ReferenceData!$AI$275),"",ReferenceData!$AI$275),"")</f>
        <v/>
      </c>
      <c r="AJ275" t="str">
        <f ca="1">IFERROR(IF(0=LEN(ReferenceData!$AJ$275),"",ReferenceData!$AJ$275),"")</f>
        <v/>
      </c>
      <c r="AK275" t="str">
        <f ca="1">IFERROR(IF(0=LEN(ReferenceData!$AK$275),"",ReferenceData!$AK$275),"")</f>
        <v/>
      </c>
      <c r="AL275" t="str">
        <f ca="1">IFERROR(IF(0=LEN(ReferenceData!$AL$275),"",ReferenceData!$AL$275),"")</f>
        <v/>
      </c>
      <c r="AM275" t="str">
        <f ca="1">IFERROR(IF(0=LEN(ReferenceData!$AM$275),"",ReferenceData!$AM$275),"")</f>
        <v/>
      </c>
      <c r="AN275" t="str">
        <f ca="1">IFERROR(IF(0=LEN(ReferenceData!$AN$275),"",ReferenceData!$AN$275),"")</f>
        <v/>
      </c>
      <c r="AO275" t="str">
        <f ca="1">IFERROR(IF(0=LEN(ReferenceData!$AO$275),"",ReferenceData!$AO$275),"")</f>
        <v/>
      </c>
      <c r="AP275" t="str">
        <f ca="1">IFERROR(IF(0=LEN(ReferenceData!$AP$275),"",ReferenceData!$AP$275),"")</f>
        <v/>
      </c>
      <c r="AQ275" t="str">
        <f ca="1">IFERROR(IF(0=LEN(ReferenceData!$AQ$275),"",ReferenceData!$AQ$275),"")</f>
        <v/>
      </c>
      <c r="AR275" t="str">
        <f ca="1">IFERROR(IF(0=LEN(ReferenceData!$AR$275),"",ReferenceData!$AR$275),"")</f>
        <v/>
      </c>
      <c r="AS275" t="str">
        <f ca="1">IFERROR(IF(0=LEN(ReferenceData!$AS$275),"",ReferenceData!$AS$275),"")</f>
        <v/>
      </c>
      <c r="AT275" t="str">
        <f ca="1">IFERROR(IF(0=LEN(ReferenceData!$AT$275),"",ReferenceData!$AT$275),"")</f>
        <v/>
      </c>
      <c r="AU275" t="str">
        <f ca="1">IFERROR(IF(0=LEN(ReferenceData!$AU$275),"",ReferenceData!$AU$275),"")</f>
        <v/>
      </c>
      <c r="AV275" t="str">
        <f ca="1">IFERROR(IF(0=LEN(ReferenceData!$AV$275),"",ReferenceData!$AV$275),"")</f>
        <v/>
      </c>
      <c r="AW275" t="str">
        <f ca="1">IFERROR(IF(0=LEN(ReferenceData!$AW$275),"",ReferenceData!$AW$275),"")</f>
        <v/>
      </c>
      <c r="AX275" t="str">
        <f ca="1">IFERROR(IF(0=LEN(ReferenceData!$AX$275),"",ReferenceData!$AX$275),"")</f>
        <v/>
      </c>
      <c r="AY275" t="str">
        <f ca="1">IFERROR(IF(0=LEN(ReferenceData!$AY$275),"",ReferenceData!$AY$275),"")</f>
        <v/>
      </c>
      <c r="AZ275" t="str">
        <f ca="1">IFERROR(IF(0=LEN(ReferenceData!$AZ$275),"",ReferenceData!$AZ$275),"")</f>
        <v/>
      </c>
      <c r="BA275" t="str">
        <f ca="1">IFERROR(IF(0=LEN(ReferenceData!$BA$275),"",ReferenceData!$BA$275),"")</f>
        <v/>
      </c>
      <c r="BB275" t="str">
        <f ca="1">IFERROR(IF(0=LEN(ReferenceData!$BB$275),"",ReferenceData!$BB$275),"")</f>
        <v/>
      </c>
      <c r="BC275" t="str">
        <f ca="1">IFERROR(IF(0=LEN(ReferenceData!$BC$275),"",ReferenceData!$BC$275),"")</f>
        <v/>
      </c>
      <c r="BD275" t="str">
        <f ca="1">IFERROR(IF(0=LEN(ReferenceData!$BD$275),"",ReferenceData!$BD$275),"")</f>
        <v/>
      </c>
      <c r="BE275" t="str">
        <f ca="1">IFERROR(IF(0=LEN(ReferenceData!$BE$275),"",ReferenceData!$BE$275),"")</f>
        <v/>
      </c>
      <c r="BF275" t="str">
        <f ca="1">IFERROR(IF(0=LEN(ReferenceData!$BF$275),"",ReferenceData!$BF$275),"")</f>
        <v/>
      </c>
      <c r="BG275" t="str">
        <f ca="1">IFERROR(IF(0=LEN(ReferenceData!$BG$275),"",ReferenceData!$BG$275),"")</f>
        <v/>
      </c>
      <c r="BH275" t="str">
        <f ca="1">IFERROR(IF(0=LEN(ReferenceData!$BH$275),"",ReferenceData!$BH$275),"")</f>
        <v/>
      </c>
      <c r="BI275" t="str">
        <f ca="1">IFERROR(IF(0=LEN(ReferenceData!$BI$275),"",ReferenceData!$BI$275),"")</f>
        <v/>
      </c>
      <c r="BJ275" t="str">
        <f ca="1">IFERROR(IF(0=LEN(ReferenceData!$BJ$275),"",ReferenceData!$BJ$275),"")</f>
        <v/>
      </c>
      <c r="BK275" t="str">
        <f ca="1">IFERROR(IF(0=LEN(ReferenceData!$BK$275),"",ReferenceData!$BK$275),"")</f>
        <v/>
      </c>
      <c r="BL275" t="str">
        <f ca="1">IFERROR(IF(0=LEN(ReferenceData!$BL$275),"",ReferenceData!$BL$275),"")</f>
        <v/>
      </c>
      <c r="BM275" t="str">
        <f ca="1">IFERROR(IF(0=LEN(ReferenceData!$BM$275),"",ReferenceData!$BM$275),"")</f>
        <v/>
      </c>
    </row>
    <row r="276" spans="1:65" x14ac:dyDescent="0.25">
      <c r="A276" t="str">
        <f>IFERROR(IF(0=LEN(ReferenceData!$A$276),"",ReferenceData!$A$276),"")</f>
        <v xml:space="preserve">    Renault SA</v>
      </c>
      <c r="B276" t="str">
        <f>IFERROR(IF(0=LEN(ReferenceData!$B$276),"",ReferenceData!$B$276),"")</f>
        <v>RNO FP Equity</v>
      </c>
      <c r="C276" t="str">
        <f>IFERROR(IF(0=LEN(ReferenceData!$C$276),"",ReferenceData!$C$276),"")</f>
        <v>RR010</v>
      </c>
      <c r="D276" t="str">
        <f>IFERROR(IF(0=LEN(ReferenceData!$D$276),"",ReferenceData!$D$276),"")</f>
        <v>TOT_COMMON_EQY</v>
      </c>
      <c r="E276" t="str">
        <f>IFERROR(IF(0=LEN(ReferenceData!$E$276),"",ReferenceData!$E$276),"")</f>
        <v>Dynamic</v>
      </c>
      <c r="F276" t="str">
        <f ca="1">IFERROR(IF(0=LEN(ReferenceData!$F$276),"",ReferenceData!$F$276),"")</f>
        <v/>
      </c>
      <c r="G276" t="str">
        <f ca="1">IFERROR(IF(0=LEN(ReferenceData!$G$276),"",ReferenceData!$G$276),"")</f>
        <v/>
      </c>
      <c r="H276" t="str">
        <f ca="1">IFERROR(IF(0=LEN(ReferenceData!$H$276),"",ReferenceData!$H$276),"")</f>
        <v/>
      </c>
      <c r="I276" t="str">
        <f ca="1">IFERROR(IF(0=LEN(ReferenceData!$I$276),"",ReferenceData!$I$276),"")</f>
        <v/>
      </c>
      <c r="J276" t="str">
        <f ca="1">IFERROR(IF(0=LEN(ReferenceData!$J$276),"",ReferenceData!$J$276),"")</f>
        <v/>
      </c>
      <c r="K276" t="str">
        <f ca="1">IFERROR(IF(0=LEN(ReferenceData!$K$276),"",ReferenceData!$K$276),"")</f>
        <v/>
      </c>
      <c r="L276" t="str">
        <f ca="1">IFERROR(IF(0=LEN(ReferenceData!$L$276),"",ReferenceData!$L$276),"")</f>
        <v/>
      </c>
      <c r="M276" t="str">
        <f ca="1">IFERROR(IF(0=LEN(ReferenceData!$M$276),"",ReferenceData!$M$276),"")</f>
        <v/>
      </c>
      <c r="N276" t="str">
        <f ca="1">IFERROR(IF(0=LEN(ReferenceData!$N$276),"",ReferenceData!$N$276),"")</f>
        <v/>
      </c>
      <c r="O276" t="str">
        <f ca="1">IFERROR(IF(0=LEN(ReferenceData!$O$276),"",ReferenceData!$O$276),"")</f>
        <v/>
      </c>
      <c r="P276" t="str">
        <f ca="1">IFERROR(IF(0=LEN(ReferenceData!$P$276),"",ReferenceData!$P$276),"")</f>
        <v/>
      </c>
      <c r="Q276" t="str">
        <f ca="1">IFERROR(IF(0=LEN(ReferenceData!$Q$276),"",ReferenceData!$Q$276),"")</f>
        <v/>
      </c>
      <c r="R276" t="str">
        <f ca="1">IFERROR(IF(0=LEN(ReferenceData!$R$276),"",ReferenceData!$R$276),"")</f>
        <v/>
      </c>
      <c r="S276" t="str">
        <f ca="1">IFERROR(IF(0=LEN(ReferenceData!$S$276),"",ReferenceData!$S$276),"")</f>
        <v/>
      </c>
      <c r="T276" t="str">
        <f ca="1">IFERROR(IF(0=LEN(ReferenceData!$T$276),"",ReferenceData!$T$276),"")</f>
        <v/>
      </c>
      <c r="U276" t="str">
        <f ca="1">IFERROR(IF(0=LEN(ReferenceData!$U$276),"",ReferenceData!$U$276),"")</f>
        <v/>
      </c>
      <c r="V276" t="str">
        <f ca="1">IFERROR(IF(0=LEN(ReferenceData!$V$276),"",ReferenceData!$V$276),"")</f>
        <v/>
      </c>
      <c r="W276" t="str">
        <f ca="1">IFERROR(IF(0=LEN(ReferenceData!$W$276),"",ReferenceData!$W$276),"")</f>
        <v/>
      </c>
      <c r="X276" t="str">
        <f ca="1">IFERROR(IF(0=LEN(ReferenceData!$X$276),"",ReferenceData!$X$276),"")</f>
        <v/>
      </c>
      <c r="Y276" t="str">
        <f ca="1">IFERROR(IF(0=LEN(ReferenceData!$Y$276),"",ReferenceData!$Y$276),"")</f>
        <v/>
      </c>
      <c r="Z276" t="str">
        <f ca="1">IFERROR(IF(0=LEN(ReferenceData!$Z$276),"",ReferenceData!$Z$276),"")</f>
        <v/>
      </c>
      <c r="AA276" t="str">
        <f ca="1">IFERROR(IF(0=LEN(ReferenceData!$AA$276),"",ReferenceData!$AA$276),"")</f>
        <v/>
      </c>
      <c r="AB276" t="str">
        <f ca="1">IFERROR(IF(0=LEN(ReferenceData!$AB$276),"",ReferenceData!$AB$276),"")</f>
        <v/>
      </c>
      <c r="AC276" t="str">
        <f ca="1">IFERROR(IF(0=LEN(ReferenceData!$AC$276),"",ReferenceData!$AC$276),"")</f>
        <v/>
      </c>
      <c r="AD276" t="str">
        <f ca="1">IFERROR(IF(0=LEN(ReferenceData!$AD$276),"",ReferenceData!$AD$276),"")</f>
        <v/>
      </c>
      <c r="AE276" t="str">
        <f ca="1">IFERROR(IF(0=LEN(ReferenceData!$AE$276),"",ReferenceData!$AE$276),"")</f>
        <v/>
      </c>
      <c r="AF276" t="str">
        <f ca="1">IFERROR(IF(0=LEN(ReferenceData!$AF$276),"",ReferenceData!$AF$276),"")</f>
        <v/>
      </c>
      <c r="AG276" t="str">
        <f ca="1">IFERROR(IF(0=LEN(ReferenceData!$AG$276),"",ReferenceData!$AG$276),"")</f>
        <v/>
      </c>
      <c r="AH276" t="str">
        <f ca="1">IFERROR(IF(0=LEN(ReferenceData!$AH$276),"",ReferenceData!$AH$276),"")</f>
        <v/>
      </c>
      <c r="AI276" t="str">
        <f ca="1">IFERROR(IF(0=LEN(ReferenceData!$AI$276),"",ReferenceData!$AI$276),"")</f>
        <v/>
      </c>
      <c r="AJ276" t="str">
        <f ca="1">IFERROR(IF(0=LEN(ReferenceData!$AJ$276),"",ReferenceData!$AJ$276),"")</f>
        <v/>
      </c>
      <c r="AK276" t="str">
        <f ca="1">IFERROR(IF(0=LEN(ReferenceData!$AK$276),"",ReferenceData!$AK$276),"")</f>
        <v/>
      </c>
      <c r="AL276" t="str">
        <f ca="1">IFERROR(IF(0=LEN(ReferenceData!$AL$276),"",ReferenceData!$AL$276),"")</f>
        <v/>
      </c>
      <c r="AM276" t="str">
        <f ca="1">IFERROR(IF(0=LEN(ReferenceData!$AM$276),"",ReferenceData!$AM$276),"")</f>
        <v/>
      </c>
      <c r="AN276" t="str">
        <f ca="1">IFERROR(IF(0=LEN(ReferenceData!$AN$276),"",ReferenceData!$AN$276),"")</f>
        <v/>
      </c>
      <c r="AO276" t="str">
        <f ca="1">IFERROR(IF(0=LEN(ReferenceData!$AO$276),"",ReferenceData!$AO$276),"")</f>
        <v/>
      </c>
      <c r="AP276" t="str">
        <f ca="1">IFERROR(IF(0=LEN(ReferenceData!$AP$276),"",ReferenceData!$AP$276),"")</f>
        <v/>
      </c>
      <c r="AQ276" t="str">
        <f ca="1">IFERROR(IF(0=LEN(ReferenceData!$AQ$276),"",ReferenceData!$AQ$276),"")</f>
        <v/>
      </c>
      <c r="AR276" t="str">
        <f ca="1">IFERROR(IF(0=LEN(ReferenceData!$AR$276),"",ReferenceData!$AR$276),"")</f>
        <v/>
      </c>
      <c r="AS276" t="str">
        <f ca="1">IFERROR(IF(0=LEN(ReferenceData!$AS$276),"",ReferenceData!$AS$276),"")</f>
        <v/>
      </c>
      <c r="AT276" t="str">
        <f ca="1">IFERROR(IF(0=LEN(ReferenceData!$AT$276),"",ReferenceData!$AT$276),"")</f>
        <v/>
      </c>
      <c r="AU276" t="str">
        <f ca="1">IFERROR(IF(0=LEN(ReferenceData!$AU$276),"",ReferenceData!$AU$276),"")</f>
        <v/>
      </c>
      <c r="AV276" t="str">
        <f ca="1">IFERROR(IF(0=LEN(ReferenceData!$AV$276),"",ReferenceData!$AV$276),"")</f>
        <v/>
      </c>
      <c r="AW276" t="str">
        <f ca="1">IFERROR(IF(0=LEN(ReferenceData!$AW$276),"",ReferenceData!$AW$276),"")</f>
        <v/>
      </c>
      <c r="AX276" t="str">
        <f ca="1">IFERROR(IF(0=LEN(ReferenceData!$AX$276),"",ReferenceData!$AX$276),"")</f>
        <v/>
      </c>
      <c r="AY276" t="str">
        <f ca="1">IFERROR(IF(0=LEN(ReferenceData!$AY$276),"",ReferenceData!$AY$276),"")</f>
        <v/>
      </c>
      <c r="AZ276" t="str">
        <f ca="1">IFERROR(IF(0=LEN(ReferenceData!$AZ$276),"",ReferenceData!$AZ$276),"")</f>
        <v/>
      </c>
      <c r="BA276" t="str">
        <f ca="1">IFERROR(IF(0=LEN(ReferenceData!$BA$276),"",ReferenceData!$BA$276),"")</f>
        <v/>
      </c>
      <c r="BB276" t="str">
        <f ca="1">IFERROR(IF(0=LEN(ReferenceData!$BB$276),"",ReferenceData!$BB$276),"")</f>
        <v/>
      </c>
      <c r="BC276" t="str">
        <f ca="1">IFERROR(IF(0=LEN(ReferenceData!$BC$276),"",ReferenceData!$BC$276),"")</f>
        <v/>
      </c>
      <c r="BD276" t="str">
        <f ca="1">IFERROR(IF(0=LEN(ReferenceData!$BD$276),"",ReferenceData!$BD$276),"")</f>
        <v/>
      </c>
      <c r="BE276" t="str">
        <f ca="1">IFERROR(IF(0=LEN(ReferenceData!$BE$276),"",ReferenceData!$BE$276),"")</f>
        <v/>
      </c>
      <c r="BF276" t="str">
        <f ca="1">IFERROR(IF(0=LEN(ReferenceData!$BF$276),"",ReferenceData!$BF$276),"")</f>
        <v/>
      </c>
      <c r="BG276" t="str">
        <f ca="1">IFERROR(IF(0=LEN(ReferenceData!$BG$276),"",ReferenceData!$BG$276),"")</f>
        <v/>
      </c>
      <c r="BH276" t="str">
        <f ca="1">IFERROR(IF(0=LEN(ReferenceData!$BH$276),"",ReferenceData!$BH$276),"")</f>
        <v/>
      </c>
      <c r="BI276" t="str">
        <f ca="1">IFERROR(IF(0=LEN(ReferenceData!$BI$276),"",ReferenceData!$BI$276),"")</f>
        <v/>
      </c>
      <c r="BJ276" t="str">
        <f ca="1">IFERROR(IF(0=LEN(ReferenceData!$BJ$276),"",ReferenceData!$BJ$276),"")</f>
        <v/>
      </c>
      <c r="BK276" t="str">
        <f ca="1">IFERROR(IF(0=LEN(ReferenceData!$BK$276),"",ReferenceData!$BK$276),"")</f>
        <v/>
      </c>
      <c r="BL276" t="str">
        <f ca="1">IFERROR(IF(0=LEN(ReferenceData!$BL$276),"",ReferenceData!$BL$276),"")</f>
        <v/>
      </c>
      <c r="BM276" t="str">
        <f ca="1">IFERROR(IF(0=LEN(ReferenceData!$BM$276),"",ReferenceData!$BM$276),"")</f>
        <v/>
      </c>
    </row>
    <row r="277" spans="1:65" x14ac:dyDescent="0.25">
      <c r="A277" t="str">
        <f>IFERROR(IF(0=LEN(ReferenceData!$A$277),"",ReferenceData!$A$277),"")</f>
        <v xml:space="preserve">    SAIC Motor Corp Ltd</v>
      </c>
      <c r="B277" t="str">
        <f>IFERROR(IF(0=LEN(ReferenceData!$B$277),"",ReferenceData!$B$277),"")</f>
        <v>600104 CH Equity</v>
      </c>
      <c r="C277" t="str">
        <f>IFERROR(IF(0=LEN(ReferenceData!$C$277),"",ReferenceData!$C$277),"")</f>
        <v>RR010</v>
      </c>
      <c r="D277" t="str">
        <f>IFERROR(IF(0=LEN(ReferenceData!$D$277),"",ReferenceData!$D$277),"")</f>
        <v>TOT_COMMON_EQY</v>
      </c>
      <c r="E277" t="str">
        <f>IFERROR(IF(0=LEN(ReferenceData!$E$277),"",ReferenceData!$E$277),"")</f>
        <v>Dynamic</v>
      </c>
      <c r="F277" t="str">
        <f ca="1">IFERROR(IF(0=LEN(ReferenceData!$F$277),"",ReferenceData!$F$277),"")</f>
        <v/>
      </c>
      <c r="G277" t="str">
        <f ca="1">IFERROR(IF(0=LEN(ReferenceData!$G$277),"",ReferenceData!$G$277),"")</f>
        <v/>
      </c>
      <c r="H277">
        <f ca="1">IFERROR(IF(0=LEN(ReferenceData!$H$277),"",ReferenceData!$H$277),"")</f>
        <v>33585.311710000002</v>
      </c>
      <c r="I277">
        <f ca="1">IFERROR(IF(0=LEN(ReferenceData!$I$277),"",ReferenceData!$I$277),"")</f>
        <v>33263.295290000002</v>
      </c>
      <c r="J277">
        <f ca="1">IFERROR(IF(0=LEN(ReferenceData!$J$277),"",ReferenceData!$J$277),"")</f>
        <v>37268.143730000003</v>
      </c>
      <c r="K277">
        <f ca="1">IFERROR(IF(0=LEN(ReferenceData!$K$277),"",ReferenceData!$K$277),"")</f>
        <v>34631.272799999999</v>
      </c>
      <c r="L277">
        <f ca="1">IFERROR(IF(0=LEN(ReferenceData!$L$277),"",ReferenceData!$L$277),"")</f>
        <v>32495.83581</v>
      </c>
      <c r="M277">
        <f ca="1">IFERROR(IF(0=LEN(ReferenceData!$M$277),"",ReferenceData!$M$277),"")</f>
        <v>30427.884020000001</v>
      </c>
      <c r="N277">
        <f ca="1">IFERROR(IF(0=LEN(ReferenceData!$N$277),"",ReferenceData!$N$277),"")</f>
        <v>31334.948710000001</v>
      </c>
      <c r="O277">
        <f ca="1">IFERROR(IF(0=LEN(ReferenceData!$O$277),"",ReferenceData!$O$277),"")</f>
        <v>27681.03025</v>
      </c>
      <c r="P277">
        <f ca="1">IFERROR(IF(0=LEN(ReferenceData!$P$277),"",ReferenceData!$P$277),"")</f>
        <v>27627.23561</v>
      </c>
      <c r="Q277">
        <f ca="1">IFERROR(IF(0=LEN(ReferenceData!$Q$277),"",ReferenceData!$Q$277),"")</f>
        <v>26431.99856</v>
      </c>
      <c r="R277">
        <f ca="1">IFERROR(IF(0=LEN(ReferenceData!$R$277),"",ReferenceData!$R$277),"")</f>
        <v>28427.73576</v>
      </c>
      <c r="S277">
        <f ca="1">IFERROR(IF(0=LEN(ReferenceData!$S$277),"",ReferenceData!$S$277),"")</f>
        <v>26994.79594</v>
      </c>
      <c r="T277">
        <f ca="1">IFERROR(IF(0=LEN(ReferenceData!$T$277),"",ReferenceData!$T$277),"")</f>
        <v>26078.355609999999</v>
      </c>
      <c r="U277">
        <f ca="1">IFERROR(IF(0=LEN(ReferenceData!$U$277),"",ReferenceData!$U$277),"")</f>
        <v>25661.513429999999</v>
      </c>
      <c r="V277">
        <f ca="1">IFERROR(IF(0=LEN(ReferenceData!$V$277),"",ReferenceData!$V$277),"")</f>
        <v>26632.589790000002</v>
      </c>
      <c r="W277">
        <f ca="1">IFERROR(IF(0=LEN(ReferenceData!$W$277),"",ReferenceData!$W$277),"")</f>
        <v>25399.424230000001</v>
      </c>
      <c r="X277">
        <f ca="1">IFERROR(IF(0=LEN(ReferenceData!$X$277),"",ReferenceData!$X$277),"")</f>
        <v>23595.58742</v>
      </c>
      <c r="Y277">
        <f ca="1">IFERROR(IF(0=LEN(ReferenceData!$Y$277),"",ReferenceData!$Y$277),"")</f>
        <v>22223.08827</v>
      </c>
      <c r="Z277">
        <f ca="1">IFERROR(IF(0=LEN(ReferenceData!$Z$277),"",ReferenceData!$Z$277),"")</f>
        <v>23184.802049999998</v>
      </c>
      <c r="AA277">
        <f ca="1">IFERROR(IF(0=LEN(ReferenceData!$AA$277),"",ReferenceData!$AA$277),"")</f>
        <v>22760.762449999998</v>
      </c>
      <c r="AB277">
        <f ca="1">IFERROR(IF(0=LEN(ReferenceData!$AB$277),"",ReferenceData!$AB$277),"")</f>
        <v>21678.26957</v>
      </c>
      <c r="AC277">
        <f ca="1">IFERROR(IF(0=LEN(ReferenceData!$AC$277),"",ReferenceData!$AC$277),"")</f>
        <v>20554.666689999998</v>
      </c>
      <c r="AD277">
        <f ca="1">IFERROR(IF(0=LEN(ReferenceData!$AD$277),"",ReferenceData!$AD$277),"")</f>
        <v>20578.591</v>
      </c>
      <c r="AE277">
        <f ca="1">IFERROR(IF(0=LEN(ReferenceData!$AE$277),"",ReferenceData!$AE$277),"")</f>
        <v>19621.069350000002</v>
      </c>
      <c r="AF277">
        <f ca="1">IFERROR(IF(0=LEN(ReferenceData!$AF$277),"",ReferenceData!$AF$277),"")</f>
        <v>18224.64112</v>
      </c>
      <c r="AG277">
        <f ca="1">IFERROR(IF(0=LEN(ReferenceData!$AG$277),"",ReferenceData!$AG$277),"")</f>
        <v>17224.743989999999</v>
      </c>
      <c r="AH277">
        <f ca="1">IFERROR(IF(0=LEN(ReferenceData!$AH$277),"",ReferenceData!$AH$277),"")</f>
        <v>17268.891530000001</v>
      </c>
      <c r="AI277">
        <f ca="1">IFERROR(IF(0=LEN(ReferenceData!$AI$277),"",ReferenceData!$AI$277),"")</f>
        <v>16248.76021</v>
      </c>
      <c r="AJ277">
        <f ca="1">IFERROR(IF(0=LEN(ReferenceData!$AJ$277),"",ReferenceData!$AJ$277),"")</f>
        <v>12047.575860000001</v>
      </c>
      <c r="AK277">
        <f ca="1">IFERROR(IF(0=LEN(ReferenceData!$AK$277),"",ReferenceData!$AK$277),"")</f>
        <v>11192.009749999999</v>
      </c>
      <c r="AL277">
        <f ca="1">IFERROR(IF(0=LEN(ReferenceData!$AL$277),"",ReferenceData!$AL$277),"")</f>
        <v>10799.72898</v>
      </c>
      <c r="AM277">
        <f ca="1">IFERROR(IF(0=LEN(ReferenceData!$AM$277),"",ReferenceData!$AM$277),"")</f>
        <v>13189.446250000001</v>
      </c>
      <c r="AN277">
        <f ca="1">IFERROR(IF(0=LEN(ReferenceData!$AN$277),"",ReferenceData!$AN$277),"")</f>
        <v>7718.2242640000004</v>
      </c>
      <c r="AO277">
        <f ca="1">IFERROR(IF(0=LEN(ReferenceData!$AO$277),"",ReferenceData!$AO$277),"")</f>
        <v>7080.5268340000002</v>
      </c>
      <c r="AP277">
        <f ca="1">IFERROR(IF(0=LEN(ReferenceData!$AP$277),"",ReferenceData!$AP$277),"")</f>
        <v>6627.6544789999998</v>
      </c>
      <c r="AQ277">
        <f ca="1">IFERROR(IF(0=LEN(ReferenceData!$AQ$277),"",ReferenceData!$AQ$277),"")</f>
        <v>6219.6913459999996</v>
      </c>
      <c r="AR277">
        <f ca="1">IFERROR(IF(0=LEN(ReferenceData!$AR$277),"",ReferenceData!$AR$277),"")</f>
        <v>5825.6588000000002</v>
      </c>
      <c r="AS277">
        <f ca="1">IFERROR(IF(0=LEN(ReferenceData!$AS$277),"",ReferenceData!$AS$277),"")</f>
        <v>5454.0504449999999</v>
      </c>
      <c r="AT277">
        <f ca="1">IFERROR(IF(0=LEN(ReferenceData!$AT$277),"",ReferenceData!$AT$277),"")</f>
        <v>5343.2313059999997</v>
      </c>
      <c r="AU277">
        <f ca="1">IFERROR(IF(0=LEN(ReferenceData!$AU$277),"",ReferenceData!$AU$277),"")</f>
        <v>5075.052772</v>
      </c>
      <c r="AV277">
        <f ca="1">IFERROR(IF(0=LEN(ReferenceData!$AV$277),"",ReferenceData!$AV$277),"")</f>
        <v>5337.5992900000001</v>
      </c>
      <c r="AW277">
        <f ca="1">IFERROR(IF(0=LEN(ReferenceData!$AW$277),"",ReferenceData!$AW$277),"")</f>
        <v>5468.2982080000002</v>
      </c>
      <c r="AX277">
        <f ca="1">IFERROR(IF(0=LEN(ReferenceData!$AX$277),"",ReferenceData!$AX$277),"")</f>
        <v>5374.9057789999997</v>
      </c>
      <c r="AY277">
        <f ca="1">IFERROR(IF(0=LEN(ReferenceData!$AY$277),"",ReferenceData!$AY$277),"")</f>
        <v>5123.236355</v>
      </c>
      <c r="AZ277">
        <f ca="1">IFERROR(IF(0=LEN(ReferenceData!$AZ$277),"",ReferenceData!$AZ$277),"")</f>
        <v>4718.8694670000004</v>
      </c>
      <c r="BA277">
        <f ca="1">IFERROR(IF(0=LEN(ReferenceData!$BA$277),"",ReferenceData!$BA$277),"")</f>
        <v>4591.5065800000002</v>
      </c>
      <c r="BB277">
        <f ca="1">IFERROR(IF(0=LEN(ReferenceData!$BB$277),"",ReferenceData!$BB$277),"")</f>
        <v>4296.2607360000002</v>
      </c>
      <c r="BC277">
        <f ca="1">IFERROR(IF(0=LEN(ReferenceData!$BC$277),"",ReferenceData!$BC$277),"")</f>
        <v>4142.6927759999999</v>
      </c>
      <c r="BD277">
        <f ca="1">IFERROR(IF(0=LEN(ReferenceData!$BD$277),"",ReferenceData!$BD$277),"")</f>
        <v>1481.1865170000001</v>
      </c>
      <c r="BE277">
        <f ca="1">IFERROR(IF(0=LEN(ReferenceData!$BE$277),"",ReferenceData!$BE$277),"")</f>
        <v>1428.9019430000001</v>
      </c>
      <c r="BF277">
        <f ca="1">IFERROR(IF(0=LEN(ReferenceData!$BF$277),"",ReferenceData!$BF$277),"")</f>
        <v>1487.3156670000001</v>
      </c>
      <c r="BG277">
        <f ca="1">IFERROR(IF(0=LEN(ReferenceData!$BG$277),"",ReferenceData!$BG$277),"")</f>
        <v>1444.2450240000001</v>
      </c>
      <c r="BH277">
        <f ca="1">IFERROR(IF(0=LEN(ReferenceData!$BH$277),"",ReferenceData!$BH$277),"")</f>
        <v>1405.052377</v>
      </c>
      <c r="BI277">
        <f ca="1">IFERROR(IF(0=LEN(ReferenceData!$BI$277),"",ReferenceData!$BI$277),"")</f>
        <v>1332.5542150000001</v>
      </c>
      <c r="BJ277">
        <f ca="1">IFERROR(IF(0=LEN(ReferenceData!$BJ$277),"",ReferenceData!$BJ$277),"")</f>
        <v>1393.2624699999999</v>
      </c>
      <c r="BK277">
        <f ca="1">IFERROR(IF(0=LEN(ReferenceData!$BK$277),"",ReferenceData!$BK$277),"")</f>
        <v>1374.9060589999999</v>
      </c>
      <c r="BL277">
        <f ca="1">IFERROR(IF(0=LEN(ReferenceData!$BL$277),"",ReferenceData!$BL$277),"")</f>
        <v>1357.3720530000001</v>
      </c>
      <c r="BM277">
        <f ca="1">IFERROR(IF(0=LEN(ReferenceData!$BM$277),"",ReferenceData!$BM$277),"")</f>
        <v>1310.9715289999999</v>
      </c>
    </row>
    <row r="278" spans="1:65" x14ac:dyDescent="0.25">
      <c r="A278" t="str">
        <f>IFERROR(IF(0=LEN(ReferenceData!$A$278),"",ReferenceData!$A$278),"")</f>
        <v xml:space="preserve">    Sanyang Motor Co Ltd</v>
      </c>
      <c r="B278" t="str">
        <f>IFERROR(IF(0=LEN(ReferenceData!$B$278),"",ReferenceData!$B$278),"")</f>
        <v>2206 TT Equity</v>
      </c>
      <c r="C278" t="str">
        <f>IFERROR(IF(0=LEN(ReferenceData!$C$278),"",ReferenceData!$C$278),"")</f>
        <v>RR010</v>
      </c>
      <c r="D278" t="str">
        <f>IFERROR(IF(0=LEN(ReferenceData!$D$278),"",ReferenceData!$D$278),"")</f>
        <v>TOT_COMMON_EQY</v>
      </c>
      <c r="E278" t="str">
        <f>IFERROR(IF(0=LEN(ReferenceData!$E$278),"",ReferenceData!$E$278),"")</f>
        <v>Dynamic</v>
      </c>
      <c r="F278" t="str">
        <f ca="1">IFERROR(IF(0=LEN(ReferenceData!$F$278),"",ReferenceData!$F$278),"")</f>
        <v/>
      </c>
      <c r="G278" t="str">
        <f ca="1">IFERROR(IF(0=LEN(ReferenceData!$G$278),"",ReferenceData!$G$278),"")</f>
        <v/>
      </c>
      <c r="H278">
        <f ca="1">IFERROR(IF(0=LEN(ReferenceData!$H$278),"",ReferenceData!$H$278),"")</f>
        <v>443.76631129999998</v>
      </c>
      <c r="I278">
        <f ca="1">IFERROR(IF(0=LEN(ReferenceData!$I$278),"",ReferenceData!$I$278),"")</f>
        <v>406.8768594</v>
      </c>
      <c r="J278">
        <f ca="1">IFERROR(IF(0=LEN(ReferenceData!$J$278),"",ReferenceData!$J$278),"")</f>
        <v>436.7215046</v>
      </c>
      <c r="K278">
        <f ca="1">IFERROR(IF(0=LEN(ReferenceData!$K$278),"",ReferenceData!$K$278),"")</f>
        <v>436.05426540000002</v>
      </c>
      <c r="L278">
        <f ca="1">IFERROR(IF(0=LEN(ReferenceData!$L$278),"",ReferenceData!$L$278),"")</f>
        <v>440.56354629999998</v>
      </c>
      <c r="M278">
        <f ca="1">IFERROR(IF(0=LEN(ReferenceData!$M$278),"",ReferenceData!$M$278),"")</f>
        <v>444.62108239999998</v>
      </c>
      <c r="N278">
        <f ca="1">IFERROR(IF(0=LEN(ReferenceData!$N$278),"",ReferenceData!$N$278),"")</f>
        <v>472.0101133</v>
      </c>
      <c r="O278">
        <f ca="1">IFERROR(IF(0=LEN(ReferenceData!$O$278),"",ReferenceData!$O$278),"")</f>
        <v>456.8903158</v>
      </c>
      <c r="P278">
        <f ca="1">IFERROR(IF(0=LEN(ReferenceData!$P$278),"",ReferenceData!$P$278),"")</f>
        <v>482.75864489999998</v>
      </c>
      <c r="Q278">
        <f ca="1">IFERROR(IF(0=LEN(ReferenceData!$Q$278),"",ReferenceData!$Q$278),"")</f>
        <v>486.15591920000003</v>
      </c>
      <c r="R278">
        <f ca="1">IFERROR(IF(0=LEN(ReferenceData!$R$278),"",ReferenceData!$R$278),"")</f>
        <v>515.3306619</v>
      </c>
      <c r="S278">
        <f ca="1">IFERROR(IF(0=LEN(ReferenceData!$S$278),"",ReferenceData!$S$278),"")</f>
        <v>506.88643819999999</v>
      </c>
      <c r="T278">
        <f ca="1">IFERROR(IF(0=LEN(ReferenceData!$T$278),"",ReferenceData!$T$278),"")</f>
        <v>529.12173910000001</v>
      </c>
      <c r="U278">
        <f ca="1">IFERROR(IF(0=LEN(ReferenceData!$U$278),"",ReferenceData!$U$278),"")</f>
        <v>463.44004139999998</v>
      </c>
      <c r="V278">
        <f ca="1">IFERROR(IF(0=LEN(ReferenceData!$V$278),"",ReferenceData!$V$278),"")</f>
        <v>452.64656189999999</v>
      </c>
      <c r="W278">
        <f ca="1">IFERROR(IF(0=LEN(ReferenceData!$W$278),"",ReferenceData!$W$278),"")</f>
        <v>449.6061229</v>
      </c>
      <c r="X278">
        <f ca="1">IFERROR(IF(0=LEN(ReferenceData!$X$278),"",ReferenceData!$X$278),"")</f>
        <v>462.79265570000001</v>
      </c>
      <c r="Y278">
        <f ca="1">IFERROR(IF(0=LEN(ReferenceData!$Y$278),"",ReferenceData!$Y$278),"")</f>
        <v>477.73290930000002</v>
      </c>
      <c r="Z278">
        <f ca="1">IFERROR(IF(0=LEN(ReferenceData!$Z$278),"",ReferenceData!$Z$278),"")</f>
        <v>426.25648519999999</v>
      </c>
      <c r="AA278">
        <f ca="1">IFERROR(IF(0=LEN(ReferenceData!$AA$278),"",ReferenceData!$AA$278),"")</f>
        <v>430.8238589</v>
      </c>
      <c r="AB278">
        <f ca="1">IFERROR(IF(0=LEN(ReferenceData!$AB$278),"",ReferenceData!$AB$278),"")</f>
        <v>446.42814609999999</v>
      </c>
      <c r="AC278">
        <f ca="1">IFERROR(IF(0=LEN(ReferenceData!$AC$278),"",ReferenceData!$AC$278),"")</f>
        <v>431.41397019999999</v>
      </c>
      <c r="AD278">
        <f ca="1">IFERROR(IF(0=LEN(ReferenceData!$AD$278),"",ReferenceData!$AD$278),"")</f>
        <v>440.5507523</v>
      </c>
      <c r="AE278">
        <f ca="1">IFERROR(IF(0=LEN(ReferenceData!$AE$278),"",ReferenceData!$AE$278),"")</f>
        <v>498.42742520000002</v>
      </c>
      <c r="AF278">
        <f ca="1">IFERROR(IF(0=LEN(ReferenceData!$AF$278),"",ReferenceData!$AF$278),"")</f>
        <v>489.61127970000001</v>
      </c>
      <c r="AG278">
        <f ca="1">IFERROR(IF(0=LEN(ReferenceData!$AG$278),"",ReferenceData!$AG$278),"")</f>
        <v>497.47094700000002</v>
      </c>
      <c r="AH278">
        <f ca="1">IFERROR(IF(0=LEN(ReferenceData!$AH$278),"",ReferenceData!$AH$278),"")</f>
        <v>476.77612090000002</v>
      </c>
      <c r="AI278">
        <f ca="1">IFERROR(IF(0=LEN(ReferenceData!$AI$278),"",ReferenceData!$AI$278),"")</f>
        <v>484.17980720000003</v>
      </c>
      <c r="AJ278">
        <f ca="1">IFERROR(IF(0=LEN(ReferenceData!$AJ$278),"",ReferenceData!$AJ$278),"")</f>
        <v>488.36154579999999</v>
      </c>
      <c r="AK278">
        <f ca="1">IFERROR(IF(0=LEN(ReferenceData!$AK$278),"",ReferenceData!$AK$278),"")</f>
        <v>482.24336410000001</v>
      </c>
      <c r="AL278">
        <f ca="1">IFERROR(IF(0=LEN(ReferenceData!$AL$278),"",ReferenceData!$AL$278),"")</f>
        <v>463.85628780000002</v>
      </c>
      <c r="AM278">
        <f ca="1">IFERROR(IF(0=LEN(ReferenceData!$AM$278),"",ReferenceData!$AM$278),"")</f>
        <v>456.05936819999999</v>
      </c>
      <c r="AN278">
        <f ca="1">IFERROR(IF(0=LEN(ReferenceData!$AN$278),"",ReferenceData!$AN$278),"")</f>
        <v>447.85692330000001</v>
      </c>
      <c r="AO278">
        <f ca="1">IFERROR(IF(0=LEN(ReferenceData!$AO$278),"",ReferenceData!$AO$278),"")</f>
        <v>433.39950829999998</v>
      </c>
      <c r="AP278">
        <f ca="1">IFERROR(IF(0=LEN(ReferenceData!$AP$278),"",ReferenceData!$AP$278),"")</f>
        <v>429.54411210000001</v>
      </c>
      <c r="AQ278">
        <f ca="1">IFERROR(IF(0=LEN(ReferenceData!$AQ$278),"",ReferenceData!$AQ$278),"")</f>
        <v>427.47422230000001</v>
      </c>
      <c r="AR278">
        <f ca="1">IFERROR(IF(0=LEN(ReferenceData!$AR$278),"",ReferenceData!$AR$278),"")</f>
        <v>428.44304469999997</v>
      </c>
      <c r="AS278">
        <f ca="1">IFERROR(IF(0=LEN(ReferenceData!$AS$278),"",ReferenceData!$AS$278),"")</f>
        <v>417.30563849999999</v>
      </c>
      <c r="AT278">
        <f ca="1">IFERROR(IF(0=LEN(ReferenceData!$AT$278),"",ReferenceData!$AT$278),"")</f>
        <v>410.87753600000002</v>
      </c>
      <c r="AU278">
        <f ca="1">IFERROR(IF(0=LEN(ReferenceData!$AU$278),"",ReferenceData!$AU$278),"")</f>
        <v>429.01532600000002</v>
      </c>
      <c r="AV278">
        <f ca="1">IFERROR(IF(0=LEN(ReferenceData!$AV$278),"",ReferenceData!$AV$278),"")</f>
        <v>436.48526220000002</v>
      </c>
      <c r="AW278">
        <f ca="1">IFERROR(IF(0=LEN(ReferenceData!$AW$278),"",ReferenceData!$AW$278),"")</f>
        <v>457.6488142</v>
      </c>
      <c r="AX278">
        <f ca="1">IFERROR(IF(0=LEN(ReferenceData!$AX$278),"",ReferenceData!$AX$278),"")</f>
        <v>464.97080319999998</v>
      </c>
      <c r="AY278" t="str">
        <f ca="1">IFERROR(IF(0=LEN(ReferenceData!$AY$278),"",ReferenceData!$AY$278),"")</f>
        <v/>
      </c>
      <c r="AZ278" t="str">
        <f ca="1">IFERROR(IF(0=LEN(ReferenceData!$AZ$278),"",ReferenceData!$AZ$278),"")</f>
        <v/>
      </c>
      <c r="BA278" t="str">
        <f ca="1">IFERROR(IF(0=LEN(ReferenceData!$BA$278),"",ReferenceData!$BA$278),"")</f>
        <v/>
      </c>
      <c r="BB278" t="str">
        <f ca="1">IFERROR(IF(0=LEN(ReferenceData!$BB$278),"",ReferenceData!$BB$278),"")</f>
        <v/>
      </c>
      <c r="BC278" t="str">
        <f ca="1">IFERROR(IF(0=LEN(ReferenceData!$BC$278),"",ReferenceData!$BC$278),"")</f>
        <v/>
      </c>
      <c r="BD278" t="str">
        <f ca="1">IFERROR(IF(0=LEN(ReferenceData!$BD$278),"",ReferenceData!$BD$278),"")</f>
        <v/>
      </c>
      <c r="BE278" t="str">
        <f ca="1">IFERROR(IF(0=LEN(ReferenceData!$BE$278),"",ReferenceData!$BE$278),"")</f>
        <v/>
      </c>
      <c r="BF278" t="str">
        <f ca="1">IFERROR(IF(0=LEN(ReferenceData!$BF$278),"",ReferenceData!$BF$278),"")</f>
        <v/>
      </c>
      <c r="BG278" t="str">
        <f ca="1">IFERROR(IF(0=LEN(ReferenceData!$BG$278),"",ReferenceData!$BG$278),"")</f>
        <v/>
      </c>
      <c r="BH278" t="str">
        <f ca="1">IFERROR(IF(0=LEN(ReferenceData!$BH$278),"",ReferenceData!$BH$278),"")</f>
        <v/>
      </c>
      <c r="BI278" t="str">
        <f ca="1">IFERROR(IF(0=LEN(ReferenceData!$BI$278),"",ReferenceData!$BI$278),"")</f>
        <v/>
      </c>
      <c r="BJ278" t="str">
        <f ca="1">IFERROR(IF(0=LEN(ReferenceData!$BJ$278),"",ReferenceData!$BJ$278),"")</f>
        <v/>
      </c>
      <c r="BK278" t="str">
        <f ca="1">IFERROR(IF(0=LEN(ReferenceData!$BK$278),"",ReferenceData!$BK$278),"")</f>
        <v/>
      </c>
      <c r="BL278" t="str">
        <f ca="1">IFERROR(IF(0=LEN(ReferenceData!$BL$278),"",ReferenceData!$BL$278),"")</f>
        <v/>
      </c>
      <c r="BM278" t="str">
        <f ca="1">IFERROR(IF(0=LEN(ReferenceData!$BM$278),"",ReferenceData!$BM$278),"")</f>
        <v/>
      </c>
    </row>
    <row r="279" spans="1:65" x14ac:dyDescent="0.25">
      <c r="A279" t="str">
        <f>IFERROR(IF(0=LEN(ReferenceData!$A$279),"",ReferenceData!$A$279),"")</f>
        <v xml:space="preserve">    Sollers PJSC</v>
      </c>
      <c r="B279" t="str">
        <f>IFERROR(IF(0=LEN(ReferenceData!$B$279),"",ReferenceData!$B$279),"")</f>
        <v>SVAV RM Equity</v>
      </c>
      <c r="C279" t="str">
        <f>IFERROR(IF(0=LEN(ReferenceData!$C$279),"",ReferenceData!$C$279),"")</f>
        <v>RR010</v>
      </c>
      <c r="D279" t="str">
        <f>IFERROR(IF(0=LEN(ReferenceData!$D$279),"",ReferenceData!$D$279),"")</f>
        <v>TOT_COMMON_EQY</v>
      </c>
      <c r="E279" t="str">
        <f>IFERROR(IF(0=LEN(ReferenceData!$E$279),"",ReferenceData!$E$279),"")</f>
        <v>Dynamic</v>
      </c>
      <c r="F279" t="str">
        <f ca="1">IFERROR(IF(0=LEN(ReferenceData!$F$279),"",ReferenceData!$F$279),"")</f>
        <v/>
      </c>
      <c r="G279" t="str">
        <f ca="1">IFERROR(IF(0=LEN(ReferenceData!$G$279),"",ReferenceData!$G$279),"")</f>
        <v/>
      </c>
      <c r="H279" t="str">
        <f ca="1">IFERROR(IF(0=LEN(ReferenceData!$H$279),"",ReferenceData!$H$279),"")</f>
        <v/>
      </c>
      <c r="I279" t="str">
        <f ca="1">IFERROR(IF(0=LEN(ReferenceData!$I$279),"",ReferenceData!$I$279),"")</f>
        <v/>
      </c>
      <c r="J279" t="str">
        <f ca="1">IFERROR(IF(0=LEN(ReferenceData!$J$279),"",ReferenceData!$J$279),"")</f>
        <v/>
      </c>
      <c r="K279" t="str">
        <f ca="1">IFERROR(IF(0=LEN(ReferenceData!$K$279),"",ReferenceData!$K$279),"")</f>
        <v/>
      </c>
      <c r="L279" t="str">
        <f ca="1">IFERROR(IF(0=LEN(ReferenceData!$L$279),"",ReferenceData!$L$279),"")</f>
        <v/>
      </c>
      <c r="M279" t="str">
        <f ca="1">IFERROR(IF(0=LEN(ReferenceData!$M$279),"",ReferenceData!$M$279),"")</f>
        <v/>
      </c>
      <c r="N279" t="str">
        <f ca="1">IFERROR(IF(0=LEN(ReferenceData!$N$279),"",ReferenceData!$N$279),"")</f>
        <v/>
      </c>
      <c r="O279" t="str">
        <f ca="1">IFERROR(IF(0=LEN(ReferenceData!$O$279),"",ReferenceData!$O$279),"")</f>
        <v/>
      </c>
      <c r="P279" t="str">
        <f ca="1">IFERROR(IF(0=LEN(ReferenceData!$P$279),"",ReferenceData!$P$279),"")</f>
        <v/>
      </c>
      <c r="Q279" t="str">
        <f ca="1">IFERROR(IF(0=LEN(ReferenceData!$Q$279),"",ReferenceData!$Q$279),"")</f>
        <v/>
      </c>
      <c r="R279" t="str">
        <f ca="1">IFERROR(IF(0=LEN(ReferenceData!$R$279),"",ReferenceData!$R$279),"")</f>
        <v/>
      </c>
      <c r="S279" t="str">
        <f ca="1">IFERROR(IF(0=LEN(ReferenceData!$S$279),"",ReferenceData!$S$279),"")</f>
        <v/>
      </c>
      <c r="T279" t="str">
        <f ca="1">IFERROR(IF(0=LEN(ReferenceData!$T$279),"",ReferenceData!$T$279),"")</f>
        <v/>
      </c>
      <c r="U279" t="str">
        <f ca="1">IFERROR(IF(0=LEN(ReferenceData!$U$279),"",ReferenceData!$U$279),"")</f>
        <v/>
      </c>
      <c r="V279" t="str">
        <f ca="1">IFERROR(IF(0=LEN(ReferenceData!$V$279),"",ReferenceData!$V$279),"")</f>
        <v/>
      </c>
      <c r="W279" t="str">
        <f ca="1">IFERROR(IF(0=LEN(ReferenceData!$W$279),"",ReferenceData!$W$279),"")</f>
        <v/>
      </c>
      <c r="X279" t="str">
        <f ca="1">IFERROR(IF(0=LEN(ReferenceData!$X$279),"",ReferenceData!$X$279),"")</f>
        <v/>
      </c>
      <c r="Y279" t="str">
        <f ca="1">IFERROR(IF(0=LEN(ReferenceData!$Y$279),"",ReferenceData!$Y$279),"")</f>
        <v/>
      </c>
      <c r="Z279" t="str">
        <f ca="1">IFERROR(IF(0=LEN(ReferenceData!$Z$279),"",ReferenceData!$Z$279),"")</f>
        <v/>
      </c>
      <c r="AA279" t="str">
        <f ca="1">IFERROR(IF(0=LEN(ReferenceData!$AA$279),"",ReferenceData!$AA$279),"")</f>
        <v/>
      </c>
      <c r="AB279" t="str">
        <f ca="1">IFERROR(IF(0=LEN(ReferenceData!$AB$279),"",ReferenceData!$AB$279),"")</f>
        <v/>
      </c>
      <c r="AC279" t="str">
        <f ca="1">IFERROR(IF(0=LEN(ReferenceData!$AC$279),"",ReferenceData!$AC$279),"")</f>
        <v/>
      </c>
      <c r="AD279" t="str">
        <f ca="1">IFERROR(IF(0=LEN(ReferenceData!$AD$279),"",ReferenceData!$AD$279),"")</f>
        <v/>
      </c>
      <c r="AE279" t="str">
        <f ca="1">IFERROR(IF(0=LEN(ReferenceData!$AE$279),"",ReferenceData!$AE$279),"")</f>
        <v/>
      </c>
      <c r="AF279" t="str">
        <f ca="1">IFERROR(IF(0=LEN(ReferenceData!$AF$279),"",ReferenceData!$AF$279),"")</f>
        <v/>
      </c>
      <c r="AG279" t="str">
        <f ca="1">IFERROR(IF(0=LEN(ReferenceData!$AG$279),"",ReferenceData!$AG$279),"")</f>
        <v/>
      </c>
      <c r="AH279" t="str">
        <f ca="1">IFERROR(IF(0=LEN(ReferenceData!$AH$279),"",ReferenceData!$AH$279),"")</f>
        <v/>
      </c>
      <c r="AI279" t="str">
        <f ca="1">IFERROR(IF(0=LEN(ReferenceData!$AI$279),"",ReferenceData!$AI$279),"")</f>
        <v/>
      </c>
      <c r="AJ279" t="str">
        <f ca="1">IFERROR(IF(0=LEN(ReferenceData!$AJ$279),"",ReferenceData!$AJ$279),"")</f>
        <v/>
      </c>
      <c r="AK279" t="str">
        <f ca="1">IFERROR(IF(0=LEN(ReferenceData!$AK$279),"",ReferenceData!$AK$279),"")</f>
        <v/>
      </c>
      <c r="AL279" t="str">
        <f ca="1">IFERROR(IF(0=LEN(ReferenceData!$AL$279),"",ReferenceData!$AL$279),"")</f>
        <v/>
      </c>
      <c r="AM279" t="str">
        <f ca="1">IFERROR(IF(0=LEN(ReferenceData!$AM$279),"",ReferenceData!$AM$279),"")</f>
        <v/>
      </c>
      <c r="AN279" t="str">
        <f ca="1">IFERROR(IF(0=LEN(ReferenceData!$AN$279),"",ReferenceData!$AN$279),"")</f>
        <v/>
      </c>
      <c r="AO279" t="str">
        <f ca="1">IFERROR(IF(0=LEN(ReferenceData!$AO$279),"",ReferenceData!$AO$279),"")</f>
        <v/>
      </c>
      <c r="AP279" t="str">
        <f ca="1">IFERROR(IF(0=LEN(ReferenceData!$AP$279),"",ReferenceData!$AP$279),"")</f>
        <v/>
      </c>
      <c r="AQ279" t="str">
        <f ca="1">IFERROR(IF(0=LEN(ReferenceData!$AQ$279),"",ReferenceData!$AQ$279),"")</f>
        <v/>
      </c>
      <c r="AR279" t="str">
        <f ca="1">IFERROR(IF(0=LEN(ReferenceData!$AR$279),"",ReferenceData!$AR$279),"")</f>
        <v/>
      </c>
      <c r="AS279" t="str">
        <f ca="1">IFERROR(IF(0=LEN(ReferenceData!$AS$279),"",ReferenceData!$AS$279),"")</f>
        <v/>
      </c>
      <c r="AT279" t="str">
        <f ca="1">IFERROR(IF(0=LEN(ReferenceData!$AT$279),"",ReferenceData!$AT$279),"")</f>
        <v/>
      </c>
      <c r="AU279" t="str">
        <f ca="1">IFERROR(IF(0=LEN(ReferenceData!$AU$279),"",ReferenceData!$AU$279),"")</f>
        <v/>
      </c>
      <c r="AV279" t="str">
        <f ca="1">IFERROR(IF(0=LEN(ReferenceData!$AV$279),"",ReferenceData!$AV$279),"")</f>
        <v/>
      </c>
      <c r="AW279" t="str">
        <f ca="1">IFERROR(IF(0=LEN(ReferenceData!$AW$279),"",ReferenceData!$AW$279),"")</f>
        <v/>
      </c>
      <c r="AX279" t="str">
        <f ca="1">IFERROR(IF(0=LEN(ReferenceData!$AX$279),"",ReferenceData!$AX$279),"")</f>
        <v/>
      </c>
      <c r="AY279" t="str">
        <f ca="1">IFERROR(IF(0=LEN(ReferenceData!$AY$279),"",ReferenceData!$AY$279),"")</f>
        <v/>
      </c>
      <c r="AZ279" t="str">
        <f ca="1">IFERROR(IF(0=LEN(ReferenceData!$AZ$279),"",ReferenceData!$AZ$279),"")</f>
        <v/>
      </c>
      <c r="BA279" t="str">
        <f ca="1">IFERROR(IF(0=LEN(ReferenceData!$BA$279),"",ReferenceData!$BA$279),"")</f>
        <v/>
      </c>
      <c r="BB279" t="str">
        <f ca="1">IFERROR(IF(0=LEN(ReferenceData!$BB$279),"",ReferenceData!$BB$279),"")</f>
        <v/>
      </c>
      <c r="BC279" t="str">
        <f ca="1">IFERROR(IF(0=LEN(ReferenceData!$BC$279),"",ReferenceData!$BC$279),"")</f>
        <v/>
      </c>
      <c r="BD279" t="str">
        <f ca="1">IFERROR(IF(0=LEN(ReferenceData!$BD$279),"",ReferenceData!$BD$279),"")</f>
        <v/>
      </c>
      <c r="BE279" t="str">
        <f ca="1">IFERROR(IF(0=LEN(ReferenceData!$BE$279),"",ReferenceData!$BE$279),"")</f>
        <v/>
      </c>
      <c r="BF279" t="str">
        <f ca="1">IFERROR(IF(0=LEN(ReferenceData!$BF$279),"",ReferenceData!$BF$279),"")</f>
        <v/>
      </c>
      <c r="BG279" t="str">
        <f ca="1">IFERROR(IF(0=LEN(ReferenceData!$BG$279),"",ReferenceData!$BG$279),"")</f>
        <v/>
      </c>
      <c r="BH279" t="str">
        <f ca="1">IFERROR(IF(0=LEN(ReferenceData!$BH$279),"",ReferenceData!$BH$279),"")</f>
        <v/>
      </c>
      <c r="BI279" t="str">
        <f ca="1">IFERROR(IF(0=LEN(ReferenceData!$BI$279),"",ReferenceData!$BI$279),"")</f>
        <v/>
      </c>
      <c r="BJ279" t="str">
        <f ca="1">IFERROR(IF(0=LEN(ReferenceData!$BJ$279),"",ReferenceData!$BJ$279),"")</f>
        <v/>
      </c>
      <c r="BK279" t="str">
        <f ca="1">IFERROR(IF(0=LEN(ReferenceData!$BK$279),"",ReferenceData!$BK$279),"")</f>
        <v/>
      </c>
      <c r="BL279" t="str">
        <f ca="1">IFERROR(IF(0=LEN(ReferenceData!$BL$279),"",ReferenceData!$BL$279),"")</f>
        <v/>
      </c>
      <c r="BM279" t="str">
        <f ca="1">IFERROR(IF(0=LEN(ReferenceData!$BM$279),"",ReferenceData!$BM$279),"")</f>
        <v/>
      </c>
    </row>
    <row r="280" spans="1:65" x14ac:dyDescent="0.25">
      <c r="A280" t="str">
        <f>IFERROR(IF(0=LEN(ReferenceData!$A$280),"",ReferenceData!$A$280),"")</f>
        <v xml:space="preserve">    Ssangyong Motor Co</v>
      </c>
      <c r="B280" t="str">
        <f>IFERROR(IF(0=LEN(ReferenceData!$B$280),"",ReferenceData!$B$280),"")</f>
        <v>003620 KS Equity</v>
      </c>
      <c r="C280" t="str">
        <f>IFERROR(IF(0=LEN(ReferenceData!$C$280),"",ReferenceData!$C$280),"")</f>
        <v>RR010</v>
      </c>
      <c r="D280" t="str">
        <f>IFERROR(IF(0=LEN(ReferenceData!$D$280),"",ReferenceData!$D$280),"")</f>
        <v>TOT_COMMON_EQY</v>
      </c>
      <c r="E280" t="str">
        <f>IFERROR(IF(0=LEN(ReferenceData!$E$280),"",ReferenceData!$E$280),"")</f>
        <v>Dynamic</v>
      </c>
      <c r="F280" t="str">
        <f ca="1">IFERROR(IF(0=LEN(ReferenceData!$F$280),"",ReferenceData!$F$280),"")</f>
        <v/>
      </c>
      <c r="G280" t="str">
        <f ca="1">IFERROR(IF(0=LEN(ReferenceData!$G$280),"",ReferenceData!$G$280),"")</f>
        <v/>
      </c>
      <c r="H280">
        <f ca="1">IFERROR(IF(0=LEN(ReferenceData!$H$280),"",ReferenceData!$H$280),"")</f>
        <v>647.13001559999998</v>
      </c>
      <c r="I280">
        <f ca="1">IFERROR(IF(0=LEN(ReferenceData!$I$280),"",ReferenceData!$I$280),"")</f>
        <v>660.78120790000003</v>
      </c>
      <c r="J280">
        <f ca="1">IFERROR(IF(0=LEN(ReferenceData!$J$280),"",ReferenceData!$J$280),"")</f>
        <v>699.07963840000002</v>
      </c>
      <c r="K280">
        <f ca="1">IFERROR(IF(0=LEN(ReferenceData!$K$280),"",ReferenceData!$K$280),"")</f>
        <v>726.24249220000002</v>
      </c>
      <c r="L280">
        <f ca="1">IFERROR(IF(0=LEN(ReferenceData!$L$280),"",ReferenceData!$L$280),"")</f>
        <v>685.26144050000005</v>
      </c>
      <c r="M280">
        <f ca="1">IFERROR(IF(0=LEN(ReferenceData!$M$280),"",ReferenceData!$M$280),"")</f>
        <v>702.01292909999995</v>
      </c>
      <c r="N280">
        <f ca="1">IFERROR(IF(0=LEN(ReferenceData!$N$280),"",ReferenceData!$N$280),"")</f>
        <v>728.02751769999998</v>
      </c>
      <c r="O280">
        <f ca="1">IFERROR(IF(0=LEN(ReferenceData!$O$280),"",ReferenceData!$O$280),"")</f>
        <v>672.76544090000004</v>
      </c>
      <c r="P280">
        <f ca="1">IFERROR(IF(0=LEN(ReferenceData!$P$280),"",ReferenceData!$P$280),"")</f>
        <v>687.72102600000005</v>
      </c>
      <c r="Q280">
        <f ca="1">IFERROR(IF(0=LEN(ReferenceData!$Q$280),"",ReferenceData!$Q$280),"")</f>
        <v>641.11551870000005</v>
      </c>
      <c r="R280">
        <f ca="1">IFERROR(IF(0=LEN(ReferenceData!$R$280),"",ReferenceData!$R$280),"")</f>
        <v>631.66342710000004</v>
      </c>
      <c r="S280">
        <f ca="1">IFERROR(IF(0=LEN(ReferenceData!$S$280),"",ReferenceData!$S$280),"")</f>
        <v>609.80820670000003</v>
      </c>
      <c r="T280">
        <f ca="1">IFERROR(IF(0=LEN(ReferenceData!$T$280),"",ReferenceData!$T$280),"")</f>
        <v>585.62948119999999</v>
      </c>
      <c r="U280">
        <f ca="1">IFERROR(IF(0=LEN(ReferenceData!$U$280),"",ReferenceData!$U$280),"")</f>
        <v>651.28686489999996</v>
      </c>
      <c r="V280">
        <f ca="1">IFERROR(IF(0=LEN(ReferenceData!$V$280),"",ReferenceData!$V$280),"")</f>
        <v>677.30718420000005</v>
      </c>
      <c r="W280">
        <f ca="1">IFERROR(IF(0=LEN(ReferenceData!$W$280),"",ReferenceData!$W$280),"")</f>
        <v>711.17369499999995</v>
      </c>
      <c r="X280">
        <f ca="1">IFERROR(IF(0=LEN(ReferenceData!$X$280),"",ReferenceData!$X$280),"")</f>
        <v>776.52167110000005</v>
      </c>
      <c r="Y280">
        <f ca="1">IFERROR(IF(0=LEN(ReferenceData!$Y$280),"",ReferenceData!$Y$280),"")</f>
        <v>837.1665395</v>
      </c>
      <c r="Z280">
        <f ca="1">IFERROR(IF(0=LEN(ReferenceData!$Z$280),"",ReferenceData!$Z$280),"")</f>
        <v>829.3808123</v>
      </c>
      <c r="AA280">
        <f ca="1">IFERROR(IF(0=LEN(ReferenceData!$AA$280),"",ReferenceData!$AA$280),"")</f>
        <v>839.81370949999996</v>
      </c>
      <c r="AB280">
        <f ca="1">IFERROR(IF(0=LEN(ReferenceData!$AB$280),"",ReferenceData!$AB$280),"")</f>
        <v>822.71448699999996</v>
      </c>
      <c r="AC280">
        <f ca="1">IFERROR(IF(0=LEN(ReferenceData!$AC$280),"",ReferenceData!$AC$280),"")</f>
        <v>724.93613500000004</v>
      </c>
      <c r="AD280">
        <f ca="1">IFERROR(IF(0=LEN(ReferenceData!$AD$280),"",ReferenceData!$AD$280),"")</f>
        <v>693.531924</v>
      </c>
      <c r="AE280">
        <f ca="1">IFERROR(IF(0=LEN(ReferenceData!$AE$280),"",ReferenceData!$AE$280),"")</f>
        <v>752.67940309999994</v>
      </c>
      <c r="AF280" t="str">
        <f ca="1">IFERROR(IF(0=LEN(ReferenceData!$AF$280),"",ReferenceData!$AF$280),"")</f>
        <v/>
      </c>
      <c r="AG280" t="str">
        <f ca="1">IFERROR(IF(0=LEN(ReferenceData!$AG$280),"",ReferenceData!$AG$280),"")</f>
        <v/>
      </c>
      <c r="AH280" t="str">
        <f ca="1">IFERROR(IF(0=LEN(ReferenceData!$AH$280),"",ReferenceData!$AH$280),"")</f>
        <v/>
      </c>
      <c r="AI280" t="str">
        <f ca="1">IFERROR(IF(0=LEN(ReferenceData!$AI$280),"",ReferenceData!$AI$280),"")</f>
        <v/>
      </c>
      <c r="AJ280" t="str">
        <f ca="1">IFERROR(IF(0=LEN(ReferenceData!$AJ$280),"",ReferenceData!$AJ$280),"")</f>
        <v/>
      </c>
      <c r="AK280" t="str">
        <f ca="1">IFERROR(IF(0=LEN(ReferenceData!$AK$280),"",ReferenceData!$AK$280),"")</f>
        <v/>
      </c>
      <c r="AL280" t="str">
        <f ca="1">IFERROR(IF(0=LEN(ReferenceData!$AL$280),"",ReferenceData!$AL$280),"")</f>
        <v/>
      </c>
      <c r="AM280" t="str">
        <f ca="1">IFERROR(IF(0=LEN(ReferenceData!$AM$280),"",ReferenceData!$AM$280),"")</f>
        <v/>
      </c>
      <c r="AN280" t="str">
        <f ca="1">IFERROR(IF(0=LEN(ReferenceData!$AN$280),"",ReferenceData!$AN$280),"")</f>
        <v/>
      </c>
      <c r="AO280" t="str">
        <f ca="1">IFERROR(IF(0=LEN(ReferenceData!$AO$280),"",ReferenceData!$AO$280),"")</f>
        <v/>
      </c>
      <c r="AP280" t="str">
        <f ca="1">IFERROR(IF(0=LEN(ReferenceData!$AP$280),"",ReferenceData!$AP$280),"")</f>
        <v/>
      </c>
      <c r="AQ280" t="str">
        <f ca="1">IFERROR(IF(0=LEN(ReferenceData!$AQ$280),"",ReferenceData!$AQ$280),"")</f>
        <v/>
      </c>
      <c r="AR280" t="str">
        <f ca="1">IFERROR(IF(0=LEN(ReferenceData!$AR$280),"",ReferenceData!$AR$280),"")</f>
        <v/>
      </c>
      <c r="AS280" t="str">
        <f ca="1">IFERROR(IF(0=LEN(ReferenceData!$AS$280),"",ReferenceData!$AS$280),"")</f>
        <v/>
      </c>
      <c r="AT280" t="str">
        <f ca="1">IFERROR(IF(0=LEN(ReferenceData!$AT$280),"",ReferenceData!$AT$280),"")</f>
        <v/>
      </c>
      <c r="AU280" t="str">
        <f ca="1">IFERROR(IF(0=LEN(ReferenceData!$AU$280),"",ReferenceData!$AU$280),"")</f>
        <v/>
      </c>
      <c r="AV280" t="str">
        <f ca="1">IFERROR(IF(0=LEN(ReferenceData!$AV$280),"",ReferenceData!$AV$280),"")</f>
        <v/>
      </c>
      <c r="AW280" t="str">
        <f ca="1">IFERROR(IF(0=LEN(ReferenceData!$AW$280),"",ReferenceData!$AW$280),"")</f>
        <v/>
      </c>
      <c r="AX280" t="str">
        <f ca="1">IFERROR(IF(0=LEN(ReferenceData!$AX$280),"",ReferenceData!$AX$280),"")</f>
        <v/>
      </c>
      <c r="AY280" t="str">
        <f ca="1">IFERROR(IF(0=LEN(ReferenceData!$AY$280),"",ReferenceData!$AY$280),"")</f>
        <v/>
      </c>
      <c r="AZ280" t="str">
        <f ca="1">IFERROR(IF(0=LEN(ReferenceData!$AZ$280),"",ReferenceData!$AZ$280),"")</f>
        <v/>
      </c>
      <c r="BA280" t="str">
        <f ca="1">IFERROR(IF(0=LEN(ReferenceData!$BA$280),"",ReferenceData!$BA$280),"")</f>
        <v/>
      </c>
      <c r="BB280" t="str">
        <f ca="1">IFERROR(IF(0=LEN(ReferenceData!$BB$280),"",ReferenceData!$BB$280),"")</f>
        <v/>
      </c>
      <c r="BC280" t="str">
        <f ca="1">IFERROR(IF(0=LEN(ReferenceData!$BC$280),"",ReferenceData!$BC$280),"")</f>
        <v/>
      </c>
      <c r="BD280" t="str">
        <f ca="1">IFERROR(IF(0=LEN(ReferenceData!$BD$280),"",ReferenceData!$BD$280),"")</f>
        <v/>
      </c>
      <c r="BE280" t="str">
        <f ca="1">IFERROR(IF(0=LEN(ReferenceData!$BE$280),"",ReferenceData!$BE$280),"")</f>
        <v/>
      </c>
      <c r="BF280" t="str">
        <f ca="1">IFERROR(IF(0=LEN(ReferenceData!$BF$280),"",ReferenceData!$BF$280),"")</f>
        <v/>
      </c>
      <c r="BG280" t="str">
        <f ca="1">IFERROR(IF(0=LEN(ReferenceData!$BG$280),"",ReferenceData!$BG$280),"")</f>
        <v/>
      </c>
      <c r="BH280" t="str">
        <f ca="1">IFERROR(IF(0=LEN(ReferenceData!$BH$280),"",ReferenceData!$BH$280),"")</f>
        <v/>
      </c>
      <c r="BI280" t="str">
        <f ca="1">IFERROR(IF(0=LEN(ReferenceData!$BI$280),"",ReferenceData!$BI$280),"")</f>
        <v/>
      </c>
      <c r="BJ280" t="str">
        <f ca="1">IFERROR(IF(0=LEN(ReferenceData!$BJ$280),"",ReferenceData!$BJ$280),"")</f>
        <v/>
      </c>
      <c r="BK280" t="str">
        <f ca="1">IFERROR(IF(0=LEN(ReferenceData!$BK$280),"",ReferenceData!$BK$280),"")</f>
        <v/>
      </c>
      <c r="BL280" t="str">
        <f ca="1">IFERROR(IF(0=LEN(ReferenceData!$BL$280),"",ReferenceData!$BL$280),"")</f>
        <v/>
      </c>
      <c r="BM280" t="str">
        <f ca="1">IFERROR(IF(0=LEN(ReferenceData!$BM$280),"",ReferenceData!$BM$280),"")</f>
        <v/>
      </c>
    </row>
    <row r="281" spans="1:65" x14ac:dyDescent="0.25">
      <c r="A281" t="str">
        <f>IFERROR(IF(0=LEN(ReferenceData!$A$281),"",ReferenceData!$A$281),"")</f>
        <v xml:space="preserve">    Subaru Corp</v>
      </c>
      <c r="B281" t="str">
        <f>IFERROR(IF(0=LEN(ReferenceData!$B$281),"",ReferenceData!$B$281),"")</f>
        <v>7270 JP Equity</v>
      </c>
      <c r="C281" t="str">
        <f>IFERROR(IF(0=LEN(ReferenceData!$C$281),"",ReferenceData!$C$281),"")</f>
        <v>RR010</v>
      </c>
      <c r="D281" t="str">
        <f>IFERROR(IF(0=LEN(ReferenceData!$D$281),"",ReferenceData!$D$281),"")</f>
        <v>TOT_COMMON_EQY</v>
      </c>
      <c r="E281" t="str">
        <f>IFERROR(IF(0=LEN(ReferenceData!$E$281),"",ReferenceData!$E$281),"")</f>
        <v>Dynamic</v>
      </c>
      <c r="F281" t="str">
        <f ca="1">IFERROR(IF(0=LEN(ReferenceData!$F$281),"",ReferenceData!$F$281),"")</f>
        <v/>
      </c>
      <c r="G281">
        <f ca="1">IFERROR(IF(0=LEN(ReferenceData!$G$281),"",ReferenceData!$G$281),"")</f>
        <v>14345.76874</v>
      </c>
      <c r="H281">
        <f ca="1">IFERROR(IF(0=LEN(ReferenceData!$H$281),"",ReferenceData!$H$281),"")</f>
        <v>13828.334800000001</v>
      </c>
      <c r="I281">
        <f ca="1">IFERROR(IF(0=LEN(ReferenceData!$I$281),"",ReferenceData!$I$281),"")</f>
        <v>14057.149299999999</v>
      </c>
      <c r="J281">
        <f ca="1">IFERROR(IF(0=LEN(ReferenceData!$J$281),"",ReferenceData!$J$281),"")</f>
        <v>14619.13011</v>
      </c>
      <c r="K281">
        <f ca="1">IFERROR(IF(0=LEN(ReferenceData!$K$281),"",ReferenceData!$K$281),"")</f>
        <v>13440.58447</v>
      </c>
      <c r="L281">
        <f ca="1">IFERROR(IF(0=LEN(ReferenceData!$L$281),"",ReferenceData!$L$281),"")</f>
        <v>13301.553900000001</v>
      </c>
      <c r="M281">
        <f ca="1">IFERROR(IF(0=LEN(ReferenceData!$M$281),"",ReferenceData!$M$281),"")</f>
        <v>13250.68981</v>
      </c>
      <c r="N281">
        <f ca="1">IFERROR(IF(0=LEN(ReferenceData!$N$281),"",ReferenceData!$N$281),"")</f>
        <v>13104.518910000001</v>
      </c>
      <c r="O281">
        <f ca="1">IFERROR(IF(0=LEN(ReferenceData!$O$281),"",ReferenceData!$O$281),"")</f>
        <v>11975.90021</v>
      </c>
      <c r="P281">
        <f ca="1">IFERROR(IF(0=LEN(ReferenceData!$P$281),"",ReferenceData!$P$281),"")</f>
        <v>13369.40747</v>
      </c>
      <c r="Q281">
        <f ca="1">IFERROR(IF(0=LEN(ReferenceData!$Q$281),"",ReferenceData!$Q$281),"")</f>
        <v>12925.51604</v>
      </c>
      <c r="R281">
        <f ca="1">IFERROR(IF(0=LEN(ReferenceData!$R$281),"",ReferenceData!$R$281),"")</f>
        <v>11944.284439999999</v>
      </c>
      <c r="S281">
        <f ca="1">IFERROR(IF(0=LEN(ReferenceData!$S$281),"",ReferenceData!$S$281),"")</f>
        <v>10601.855240000001</v>
      </c>
      <c r="T281">
        <f ca="1">IFERROR(IF(0=LEN(ReferenceData!$T$281),"",ReferenceData!$T$281),"")</f>
        <v>9905.0722819999992</v>
      </c>
      <c r="U281">
        <f ca="1">IFERROR(IF(0=LEN(ReferenceData!$U$281),"",ReferenceData!$U$281),"")</f>
        <v>8908.016705</v>
      </c>
      <c r="V281">
        <f ca="1">IFERROR(IF(0=LEN(ReferenceData!$V$281),"",ReferenceData!$V$281),"")</f>
        <v>8523.6932059999999</v>
      </c>
      <c r="W281">
        <f ca="1">IFERROR(IF(0=LEN(ReferenceData!$W$281),"",ReferenceData!$W$281),"")</f>
        <v>7972.6134849999999</v>
      </c>
      <c r="X281">
        <f ca="1">IFERROR(IF(0=LEN(ReferenceData!$X$281),"",ReferenceData!$X$281),"")</f>
        <v>7969.6151739999996</v>
      </c>
      <c r="Y281">
        <f ca="1">IFERROR(IF(0=LEN(ReferenceData!$Y$281),"",ReferenceData!$Y$281),"")</f>
        <v>7833.0733540000001</v>
      </c>
      <c r="Z281">
        <f ca="1">IFERROR(IF(0=LEN(ReferenceData!$Z$281),"",ReferenceData!$Z$281),"")</f>
        <v>7427.418259</v>
      </c>
      <c r="AA281">
        <f ca="1">IFERROR(IF(0=LEN(ReferenceData!$AA$281),"",ReferenceData!$AA$281),"")</f>
        <v>7231.6454489999996</v>
      </c>
      <c r="AB281">
        <f ca="1">IFERROR(IF(0=LEN(ReferenceData!$AB$281),"",ReferenceData!$AB$281),"")</f>
        <v>7211.0172080000002</v>
      </c>
      <c r="AC281">
        <f ca="1">IFERROR(IF(0=LEN(ReferenceData!$AC$281),"",ReferenceData!$AC$281),"")</f>
        <v>6523.2457469999999</v>
      </c>
      <c r="AD281">
        <f ca="1">IFERROR(IF(0=LEN(ReferenceData!$AD$281),"",ReferenceData!$AD$281),"")</f>
        <v>6318.8813419999997</v>
      </c>
      <c r="AE281">
        <f ca="1">IFERROR(IF(0=LEN(ReferenceData!$AE$281),"",ReferenceData!$AE$281),"")</f>
        <v>5859.4550909999998</v>
      </c>
      <c r="AF281">
        <f ca="1">IFERROR(IF(0=LEN(ReferenceData!$AF$281),"",ReferenceData!$AF$281),"")</f>
        <v>6125.936858</v>
      </c>
      <c r="AG281">
        <f ca="1">IFERROR(IF(0=LEN(ReferenceData!$AG$281),"",ReferenceData!$AG$281),"")</f>
        <v>5713.7343360000004</v>
      </c>
      <c r="AH281">
        <f ca="1">IFERROR(IF(0=LEN(ReferenceData!$AH$281),"",ReferenceData!$AH$281),"")</f>
        <v>5449.6187829999999</v>
      </c>
      <c r="AI281">
        <f ca="1">IFERROR(IF(0=LEN(ReferenceData!$AI$281),"",ReferenceData!$AI$281),"")</f>
        <v>5634.835693</v>
      </c>
      <c r="AJ281">
        <f ca="1">IFERROR(IF(0=LEN(ReferenceData!$AJ$281),"",ReferenceData!$AJ$281),"")</f>
        <v>5613.106041</v>
      </c>
      <c r="AK281">
        <f ca="1">IFERROR(IF(0=LEN(ReferenceData!$AK$281),"",ReferenceData!$AK$281),"")</f>
        <v>5433.3167830000002</v>
      </c>
      <c r="AL281">
        <f ca="1">IFERROR(IF(0=LEN(ReferenceData!$AL$281),"",ReferenceData!$AL$281),"")</f>
        <v>4982.0234209999999</v>
      </c>
      <c r="AM281">
        <f ca="1">IFERROR(IF(0=LEN(ReferenceData!$AM$281),"",ReferenceData!$AM$281),"")</f>
        <v>5147.5797510000002</v>
      </c>
      <c r="AN281">
        <f ca="1">IFERROR(IF(0=LEN(ReferenceData!$AN$281),"",ReferenceData!$AN$281),"")</f>
        <v>4891.3850949999996</v>
      </c>
      <c r="AO281">
        <f ca="1">IFERROR(IF(0=LEN(ReferenceData!$AO$281),"",ReferenceData!$AO$281),"")</f>
        <v>4417.1257619999997</v>
      </c>
      <c r="AP281">
        <f ca="1">IFERROR(IF(0=LEN(ReferenceData!$AP$281),"",ReferenceData!$AP$281),"")</f>
        <v>4073.0629279999998</v>
      </c>
      <c r="AQ281">
        <f ca="1">IFERROR(IF(0=LEN(ReferenceData!$AQ$281),"",ReferenceData!$AQ$281),"")</f>
        <v>4066.9529739999998</v>
      </c>
      <c r="AR281">
        <f ca="1">IFERROR(IF(0=LEN(ReferenceData!$AR$281),"",ReferenceData!$AR$281),"")</f>
        <v>4123.9964319999999</v>
      </c>
      <c r="AS281">
        <f ca="1">IFERROR(IF(0=LEN(ReferenceData!$AS$281),"",ReferenceData!$AS$281),"")</f>
        <v>3920.7952660000001</v>
      </c>
      <c r="AT281">
        <f ca="1">IFERROR(IF(0=LEN(ReferenceData!$AT$281),"",ReferenceData!$AT$281),"")</f>
        <v>3965.2340210000002</v>
      </c>
      <c r="AU281">
        <f ca="1">IFERROR(IF(0=LEN(ReferenceData!$AU$281),"",ReferenceData!$AU$281),"")</f>
        <v>5116.940192</v>
      </c>
      <c r="AV281">
        <f ca="1">IFERROR(IF(0=LEN(ReferenceData!$AV$281),"",ReferenceData!$AV$281),"")</f>
        <v>4707.5713340000002</v>
      </c>
      <c r="AW281">
        <f ca="1">IFERROR(IF(0=LEN(ReferenceData!$AW$281),"",ReferenceData!$AW$281),"")</f>
        <v>4349.7975329999999</v>
      </c>
      <c r="AX281">
        <f ca="1">IFERROR(IF(0=LEN(ReferenceData!$AX$281),"",ReferenceData!$AX$281),"")</f>
        <v>4940.8872419999998</v>
      </c>
      <c r="AY281">
        <f ca="1">IFERROR(IF(0=LEN(ReferenceData!$AY$281),"",ReferenceData!$AY$281),"")</f>
        <v>4473.3697110000003</v>
      </c>
      <c r="AZ281">
        <f ca="1">IFERROR(IF(0=LEN(ReferenceData!$AZ$281),"",ReferenceData!$AZ$281),"")</f>
        <v>4397.4912889999996</v>
      </c>
      <c r="BA281">
        <f ca="1">IFERROR(IF(0=LEN(ReferenceData!$BA$281),"",ReferenceData!$BA$281),"")</f>
        <v>3998.4260909999998</v>
      </c>
      <c r="BB281">
        <f ca="1">IFERROR(IF(0=LEN(ReferenceData!$BB$281),"",ReferenceData!$BB$281),"")</f>
        <v>4201.0715200000004</v>
      </c>
      <c r="BC281">
        <f ca="1">IFERROR(IF(0=LEN(ReferenceData!$BC$281),"",ReferenceData!$BC$281),"")</f>
        <v>4091.0732280000002</v>
      </c>
      <c r="BD281">
        <f ca="1">IFERROR(IF(0=LEN(ReferenceData!$BD$281),"",ReferenceData!$BD$281),"")</f>
        <v>3982.070835</v>
      </c>
      <c r="BE281">
        <f ca="1">IFERROR(IF(0=LEN(ReferenceData!$BE$281),"",ReferenceData!$BE$281),"")</f>
        <v>4051.419586</v>
      </c>
      <c r="BF281">
        <f ca="1">IFERROR(IF(0=LEN(ReferenceData!$BF$281),"",ReferenceData!$BF$281),"")</f>
        <v>3961.8893619999999</v>
      </c>
      <c r="BG281">
        <f ca="1">IFERROR(IF(0=LEN(ReferenceData!$BG$281),"",ReferenceData!$BG$281),"")</f>
        <v>3841.0867170000001</v>
      </c>
      <c r="BH281">
        <f ca="1">IFERROR(IF(0=LEN(ReferenceData!$BH$281),"",ReferenceData!$BH$281),"")</f>
        <v>4271.0197250000001</v>
      </c>
      <c r="BI281">
        <f ca="1">IFERROR(IF(0=LEN(ReferenceData!$BI$281),"",ReferenceData!$BI$281),"")</f>
        <v>4218.624358</v>
      </c>
      <c r="BJ281">
        <f ca="1">IFERROR(IF(0=LEN(ReferenceData!$BJ$281),"",ReferenceData!$BJ$281),"")</f>
        <v>4395.0466420000002</v>
      </c>
      <c r="BK281">
        <f ca="1">IFERROR(IF(0=LEN(ReferenceData!$BK$281),"",ReferenceData!$BK$281),"")</f>
        <v>4692.0983319999996</v>
      </c>
      <c r="BL281">
        <f ca="1">IFERROR(IF(0=LEN(ReferenceData!$BL$281),"",ReferenceData!$BL$281),"")</f>
        <v>4222.8236150000002</v>
      </c>
      <c r="BM281">
        <f ca="1">IFERROR(IF(0=LEN(ReferenceData!$BM$281),"",ReferenceData!$BM$281),"")</f>
        <v>4123.61708</v>
      </c>
    </row>
    <row r="282" spans="1:65" x14ac:dyDescent="0.25">
      <c r="A282" t="str">
        <f>IFERROR(IF(0=LEN(ReferenceData!$A$282),"",ReferenceData!$A$282),"")</f>
        <v xml:space="preserve">    Suzuki Motor Corp</v>
      </c>
      <c r="B282" t="str">
        <f>IFERROR(IF(0=LEN(ReferenceData!$B$282),"",ReferenceData!$B$282),"")</f>
        <v>7269 JP Equity</v>
      </c>
      <c r="C282" t="str">
        <f>IFERROR(IF(0=LEN(ReferenceData!$C$282),"",ReferenceData!$C$282),"")</f>
        <v>RR010</v>
      </c>
      <c r="D282" t="str">
        <f>IFERROR(IF(0=LEN(ReferenceData!$D$282),"",ReferenceData!$D$282),"")</f>
        <v>TOT_COMMON_EQY</v>
      </c>
      <c r="E282" t="str">
        <f>IFERROR(IF(0=LEN(ReferenceData!$E$282),"",ReferenceData!$E$282),"")</f>
        <v>Dynamic</v>
      </c>
      <c r="F282" t="str">
        <f ca="1">IFERROR(IF(0=LEN(ReferenceData!$F$282),"",ReferenceData!$F$282),"")</f>
        <v/>
      </c>
      <c r="G282">
        <f ca="1">IFERROR(IF(0=LEN(ReferenceData!$G$282),"",ReferenceData!$G$282),"")</f>
        <v>12637.71658</v>
      </c>
      <c r="H282">
        <f ca="1">IFERROR(IF(0=LEN(ReferenceData!$H$282),"",ReferenceData!$H$282),"")</f>
        <v>12167.154189999999</v>
      </c>
      <c r="I282">
        <f ca="1">IFERROR(IF(0=LEN(ReferenceData!$I$282),"",ReferenceData!$I$282),"")</f>
        <v>12072.061739999999</v>
      </c>
      <c r="J282">
        <f ca="1">IFERROR(IF(0=LEN(ReferenceData!$J$282),"",ReferenceData!$J$282),"")</f>
        <v>12216.74826</v>
      </c>
      <c r="K282">
        <f ca="1">IFERROR(IF(0=LEN(ReferenceData!$K$282),"",ReferenceData!$K$282),"")</f>
        <v>11643.38248</v>
      </c>
      <c r="L282">
        <f ca="1">IFERROR(IF(0=LEN(ReferenceData!$L$282),"",ReferenceData!$L$282),"")</f>
        <v>11045.1252</v>
      </c>
      <c r="M282">
        <f ca="1">IFERROR(IF(0=LEN(ReferenceData!$M$282),"",ReferenceData!$M$282),"")</f>
        <v>10570.769920000001</v>
      </c>
      <c r="N282">
        <f ca="1">IFERROR(IF(0=LEN(ReferenceData!$N$282),"",ReferenceData!$N$282),"")</f>
        <v>10061.917170000001</v>
      </c>
      <c r="O282">
        <f ca="1">IFERROR(IF(0=LEN(ReferenceData!$O$282),"",ReferenceData!$O$282),"")</f>
        <v>9399.0655009999991</v>
      </c>
      <c r="P282">
        <f ca="1">IFERROR(IF(0=LEN(ReferenceData!$P$282),"",ReferenceData!$P$282),"")</f>
        <v>9575.9144240000005</v>
      </c>
      <c r="Q282">
        <f ca="1">IFERROR(IF(0=LEN(ReferenceData!$Q$282),"",ReferenceData!$Q$282),"")</f>
        <v>8895.8620019999998</v>
      </c>
      <c r="R282">
        <f ca="1">IFERROR(IF(0=LEN(ReferenceData!$R$282),"",ReferenceData!$R$282),"")</f>
        <v>8514.5511110000007</v>
      </c>
      <c r="S282">
        <f ca="1">IFERROR(IF(0=LEN(ReferenceData!$S$282),"",ReferenceData!$S$282),"")</f>
        <v>8443.8519130000004</v>
      </c>
      <c r="T282">
        <f ca="1">IFERROR(IF(0=LEN(ReferenceData!$T$282),"",ReferenceData!$T$282),"")</f>
        <v>8215.2502719999993</v>
      </c>
      <c r="U282">
        <f ca="1">IFERROR(IF(0=LEN(ReferenceData!$U$282),"",ReferenceData!$U$282),"")</f>
        <v>12389.54307</v>
      </c>
      <c r="V282">
        <f ca="1">IFERROR(IF(0=LEN(ReferenceData!$V$282),"",ReferenceData!$V$282),"")</f>
        <v>12357.999169999999</v>
      </c>
      <c r="W282">
        <f ca="1">IFERROR(IF(0=LEN(ReferenceData!$W$282),"",ReferenceData!$W$282),"")</f>
        <v>12188.22597</v>
      </c>
      <c r="X282">
        <f ca="1">IFERROR(IF(0=LEN(ReferenceData!$X$282),"",ReferenceData!$X$282),"")</f>
        <v>12598.58654</v>
      </c>
      <c r="Y282">
        <f ca="1">IFERROR(IF(0=LEN(ReferenceData!$Y$282),"",ReferenceData!$Y$282),"")</f>
        <v>13229.598180000001</v>
      </c>
      <c r="Z282">
        <f ca="1">IFERROR(IF(0=LEN(ReferenceData!$Z$282),"",ReferenceData!$Z$282),"")</f>
        <v>12873.707189999999</v>
      </c>
      <c r="AA282">
        <f ca="1">IFERROR(IF(0=LEN(ReferenceData!$AA$282),"",ReferenceData!$AA$282),"")</f>
        <v>12398.660459999999</v>
      </c>
      <c r="AB282">
        <f ca="1">IFERROR(IF(0=LEN(ReferenceData!$AB$282),"",ReferenceData!$AB$282),"")</f>
        <v>12540.240299999999</v>
      </c>
      <c r="AC282">
        <f ca="1">IFERROR(IF(0=LEN(ReferenceData!$AC$282),"",ReferenceData!$AC$282),"")</f>
        <v>12090.244640000001</v>
      </c>
      <c r="AD282">
        <f ca="1">IFERROR(IF(0=LEN(ReferenceData!$AD$282),"",ReferenceData!$AD$282),"")</f>
        <v>12174.06071</v>
      </c>
      <c r="AE282">
        <f ca="1">IFERROR(IF(0=LEN(ReferenceData!$AE$282),"",ReferenceData!$AE$282),"")</f>
        <v>12124.26691</v>
      </c>
      <c r="AF282">
        <f ca="1">IFERROR(IF(0=LEN(ReferenceData!$AF$282),"",ReferenceData!$AF$282),"")</f>
        <v>12828.78593</v>
      </c>
      <c r="AG282">
        <f ca="1">IFERROR(IF(0=LEN(ReferenceData!$AG$282),"",ReferenceData!$AG$282),"")</f>
        <v>12270.563910000001</v>
      </c>
      <c r="AH282">
        <f ca="1">IFERROR(IF(0=LEN(ReferenceData!$AH$282),"",ReferenceData!$AH$282),"")</f>
        <v>11953.86663</v>
      </c>
      <c r="AI282">
        <f ca="1">IFERROR(IF(0=LEN(ReferenceData!$AI$282),"",ReferenceData!$AI$282),"")</f>
        <v>12184.374589999999</v>
      </c>
      <c r="AJ282">
        <f ca="1">IFERROR(IF(0=LEN(ReferenceData!$AJ$282),"",ReferenceData!$AJ$282),"")</f>
        <v>12212.79492</v>
      </c>
      <c r="AK282">
        <f ca="1">IFERROR(IF(0=LEN(ReferenceData!$AK$282),"",ReferenceData!$AK$282),"")</f>
        <v>12303.97219</v>
      </c>
      <c r="AL282">
        <f ca="1">IFERROR(IF(0=LEN(ReferenceData!$AL$282),"",ReferenceData!$AL$282),"")</f>
        <v>11705.625980000001</v>
      </c>
      <c r="AM282">
        <f ca="1">IFERROR(IF(0=LEN(ReferenceData!$AM$282),"",ReferenceData!$AM$282),"")</f>
        <v>11726.21012</v>
      </c>
      <c r="AN282">
        <f ca="1">IFERROR(IF(0=LEN(ReferenceData!$AN$282),"",ReferenceData!$AN$282),"")</f>
        <v>11351.52169</v>
      </c>
      <c r="AO282">
        <f ca="1">IFERROR(IF(0=LEN(ReferenceData!$AO$282),"",ReferenceData!$AO$282),"")</f>
        <v>10604.944680000001</v>
      </c>
      <c r="AP282">
        <f ca="1">IFERROR(IF(0=LEN(ReferenceData!$AP$282),"",ReferenceData!$AP$282),"")</f>
        <v>10188.174230000001</v>
      </c>
      <c r="AQ282">
        <f ca="1">IFERROR(IF(0=LEN(ReferenceData!$AQ$282),"",ReferenceData!$AQ$282),"")</f>
        <v>7299.4631740000004</v>
      </c>
      <c r="AR282">
        <f ca="1">IFERROR(IF(0=LEN(ReferenceData!$AR$282),"",ReferenceData!$AR$282),"")</f>
        <v>7480.2743090000004</v>
      </c>
      <c r="AS282">
        <f ca="1">IFERROR(IF(0=LEN(ReferenceData!$AS$282),"",ReferenceData!$AS$282),"")</f>
        <v>6959.7487540000002</v>
      </c>
      <c r="AT282">
        <f ca="1">IFERROR(IF(0=LEN(ReferenceData!$AT$282),"",ReferenceData!$AT$282),"")</f>
        <v>6436.1650730000001</v>
      </c>
      <c r="AU282">
        <f ca="1">IFERROR(IF(0=LEN(ReferenceData!$AU$282),"",ReferenceData!$AU$282),"")</f>
        <v>7203.7779490000003</v>
      </c>
      <c r="AV282">
        <f ca="1">IFERROR(IF(0=LEN(ReferenceData!$AV$282),"",ReferenceData!$AV$282),"")</f>
        <v>7160.4576699999998</v>
      </c>
      <c r="AW282">
        <f ca="1">IFERROR(IF(0=LEN(ReferenceData!$AW$282),"",ReferenceData!$AW$282),"")</f>
        <v>7512.5623880000003</v>
      </c>
      <c r="AX282">
        <f ca="1">IFERROR(IF(0=LEN(ReferenceData!$AX$282),"",ReferenceData!$AX$282),"")</f>
        <v>7797.0058079999999</v>
      </c>
      <c r="AY282">
        <f ca="1">IFERROR(IF(0=LEN(ReferenceData!$AY$282),"",ReferenceData!$AY$282),"")</f>
        <v>7208.9721799999998</v>
      </c>
      <c r="AZ282">
        <f ca="1">IFERROR(IF(0=LEN(ReferenceData!$AZ$282),"",ReferenceData!$AZ$282),"")</f>
        <v>6965.0348430000004</v>
      </c>
      <c r="BA282">
        <f ca="1">IFERROR(IF(0=LEN(ReferenceData!$BA$282),"",ReferenceData!$BA$282),"")</f>
        <v>6424.0791820000004</v>
      </c>
      <c r="BB282">
        <f ca="1">IFERROR(IF(0=LEN(ReferenceData!$BB$282),"",ReferenceData!$BB$282),"")</f>
        <v>6306.0209199999999</v>
      </c>
      <c r="BC282">
        <f ca="1">IFERROR(IF(0=LEN(ReferenceData!$BC$282),"",ReferenceData!$BC$282),"")</f>
        <v>5746.3217999999997</v>
      </c>
      <c r="BD282">
        <f ca="1">IFERROR(IF(0=LEN(ReferenceData!$BD$282),"",ReferenceData!$BD$282),"")</f>
        <v>5505.8125739999996</v>
      </c>
      <c r="BE282">
        <f ca="1">IFERROR(IF(0=LEN(ReferenceData!$BE$282),"",ReferenceData!$BE$282),"")</f>
        <v>5485.9002360000004</v>
      </c>
      <c r="BF282">
        <f ca="1">IFERROR(IF(0=LEN(ReferenceData!$BF$282),"",ReferenceData!$BF$282),"")</f>
        <v>5249.1063830000003</v>
      </c>
      <c r="BG282">
        <f ca="1">IFERROR(IF(0=LEN(ReferenceData!$BG$282),"",ReferenceData!$BG$282),"")</f>
        <v>6913.2321780000002</v>
      </c>
      <c r="BH282">
        <f ca="1">IFERROR(IF(0=LEN(ReferenceData!$BH$282),"",ReferenceData!$BH$282),"")</f>
        <v>6847.8777739999996</v>
      </c>
      <c r="BI282">
        <f ca="1">IFERROR(IF(0=LEN(ReferenceData!$BI$282),"",ReferenceData!$BI$282),"")</f>
        <v>6765.5278099999996</v>
      </c>
      <c r="BJ282">
        <f ca="1">IFERROR(IF(0=LEN(ReferenceData!$BJ$282),"",ReferenceData!$BJ$282),"")</f>
        <v>6949.7761190000001</v>
      </c>
      <c r="BK282">
        <f ca="1">IFERROR(IF(0=LEN(ReferenceData!$BK$282),"",ReferenceData!$BK$282),"")</f>
        <v>7161.7305630000001</v>
      </c>
      <c r="BL282">
        <f ca="1">IFERROR(IF(0=LEN(ReferenceData!$BL$282),"",ReferenceData!$BL$282),"")</f>
        <v>6505.5035019999996</v>
      </c>
      <c r="BM282">
        <f ca="1">IFERROR(IF(0=LEN(ReferenceData!$BM$282),"",ReferenceData!$BM$282),"")</f>
        <v>6443.1654019999996</v>
      </c>
    </row>
    <row r="283" spans="1:65" x14ac:dyDescent="0.25">
      <c r="A283" t="str">
        <f>IFERROR(IF(0=LEN(ReferenceData!$A$283),"",ReferenceData!$A$283),"")</f>
        <v xml:space="preserve">    Tata Motors Ltd</v>
      </c>
      <c r="B283" t="str">
        <f>IFERROR(IF(0=LEN(ReferenceData!$B$283),"",ReferenceData!$B$283),"")</f>
        <v>TTMT IN Equity</v>
      </c>
      <c r="C283" t="str">
        <f>IFERROR(IF(0=LEN(ReferenceData!$C$283),"",ReferenceData!$C$283),"")</f>
        <v>RR010</v>
      </c>
      <c r="D283" t="str">
        <f>IFERROR(IF(0=LEN(ReferenceData!$D$283),"",ReferenceData!$D$283),"")</f>
        <v>TOT_COMMON_EQY</v>
      </c>
      <c r="E283" t="str">
        <f>IFERROR(IF(0=LEN(ReferenceData!$E$283),"",ReferenceData!$E$283),"")</f>
        <v>Dynamic</v>
      </c>
      <c r="F283" t="str">
        <f ca="1">IFERROR(IF(0=LEN(ReferenceData!$F$283),"",ReferenceData!$F$283),"")</f>
        <v/>
      </c>
      <c r="G283" t="str">
        <f ca="1">IFERROR(IF(0=LEN(ReferenceData!$G$283),"",ReferenceData!$G$283),"")</f>
        <v/>
      </c>
      <c r="H283">
        <f ca="1">IFERROR(IF(0=LEN(ReferenceData!$H$283),"",ReferenceData!$H$283),"")</f>
        <v>13106.80983</v>
      </c>
      <c r="I283" t="str">
        <f ca="1">IFERROR(IF(0=LEN(ReferenceData!$I$283),"",ReferenceData!$I$283),"")</f>
        <v/>
      </c>
      <c r="J283">
        <f ca="1">IFERROR(IF(0=LEN(ReferenceData!$J$283),"",ReferenceData!$J$283),"")</f>
        <v>14649.6638</v>
      </c>
      <c r="K283" t="str">
        <f ca="1">IFERROR(IF(0=LEN(ReferenceData!$K$283),"",ReferenceData!$K$283),"")</f>
        <v/>
      </c>
      <c r="L283">
        <f ca="1">IFERROR(IF(0=LEN(ReferenceData!$L$283),"",ReferenceData!$L$283),"")</f>
        <v>12100.17598</v>
      </c>
      <c r="M283" t="str">
        <f ca="1">IFERROR(IF(0=LEN(ReferenceData!$M$283),"",ReferenceData!$M$283),"")</f>
        <v/>
      </c>
      <c r="N283">
        <f ca="1">IFERROR(IF(0=LEN(ReferenceData!$N$283),"",ReferenceData!$N$283),"")</f>
        <v>8951.3273929999996</v>
      </c>
      <c r="O283" t="str">
        <f ca="1">IFERROR(IF(0=LEN(ReferenceData!$O$283),"",ReferenceData!$O$283),"")</f>
        <v/>
      </c>
      <c r="P283">
        <f ca="1">IFERROR(IF(0=LEN(ReferenceData!$P$283),"",ReferenceData!$P$283),"")</f>
        <v>8209.2846649999992</v>
      </c>
      <c r="Q283" t="str">
        <f ca="1">IFERROR(IF(0=LEN(ReferenceData!$Q$283),"",ReferenceData!$Q$283),"")</f>
        <v/>
      </c>
      <c r="R283">
        <f ca="1">IFERROR(IF(0=LEN(ReferenceData!$R$283),"",ReferenceData!$R$283),"")</f>
        <v>11935.84772</v>
      </c>
      <c r="S283" t="str">
        <f ca="1">IFERROR(IF(0=LEN(ReferenceData!$S$283),"",ReferenceData!$S$283),"")</f>
        <v/>
      </c>
      <c r="T283">
        <f ca="1">IFERROR(IF(0=LEN(ReferenceData!$T$283),"",ReferenceData!$T$283),"")</f>
        <v>12352.87017</v>
      </c>
      <c r="U283" t="str">
        <f ca="1">IFERROR(IF(0=LEN(ReferenceData!$U$283),"",ReferenceData!$U$283),"")</f>
        <v/>
      </c>
      <c r="V283">
        <f ca="1">IFERROR(IF(0=LEN(ReferenceData!$V$283),"",ReferenceData!$V$283),"")</f>
        <v>9029.5158479999991</v>
      </c>
      <c r="W283" t="str">
        <f ca="1">IFERROR(IF(0=LEN(ReferenceData!$W$283),"",ReferenceData!$W$283),"")</f>
        <v/>
      </c>
      <c r="X283">
        <f ca="1">IFERROR(IF(0=LEN(ReferenceData!$X$283),"",ReferenceData!$X$283),"")</f>
        <v>10955.43442</v>
      </c>
      <c r="Y283" t="str">
        <f ca="1">IFERROR(IF(0=LEN(ReferenceData!$Y$283),"",ReferenceData!$Y$283),"")</f>
        <v/>
      </c>
      <c r="Z283">
        <f ca="1">IFERROR(IF(0=LEN(ReferenceData!$Z$283),"",ReferenceData!$Z$283),"")</f>
        <v>10953.7163</v>
      </c>
      <c r="AA283" t="str">
        <f ca="1">IFERROR(IF(0=LEN(ReferenceData!$AA$283),"",ReferenceData!$AA$283),"")</f>
        <v/>
      </c>
      <c r="AB283">
        <f ca="1">IFERROR(IF(0=LEN(ReferenceData!$AB$283),"",ReferenceData!$AB$283),"")</f>
        <v>8819.0677589999996</v>
      </c>
      <c r="AC283" t="str">
        <f ca="1">IFERROR(IF(0=LEN(ReferenceData!$AC$283),"",ReferenceData!$AC$283),"")</f>
        <v/>
      </c>
      <c r="AD283">
        <f ca="1">IFERROR(IF(0=LEN(ReferenceData!$AD$283),"",ReferenceData!$AD$283),"")</f>
        <v>6907.827843</v>
      </c>
      <c r="AE283" t="str">
        <f ca="1">IFERROR(IF(0=LEN(ReferenceData!$AE$283),"",ReferenceData!$AE$283),"")</f>
        <v/>
      </c>
      <c r="AF283">
        <f ca="1">IFERROR(IF(0=LEN(ReferenceData!$AF$283),"",ReferenceData!$AF$283),"")</f>
        <v>7634.6741080000002</v>
      </c>
      <c r="AG283" t="str">
        <f ca="1">IFERROR(IF(0=LEN(ReferenceData!$AG$283),"",ReferenceData!$AG$283),"")</f>
        <v/>
      </c>
      <c r="AH283">
        <f ca="1">IFERROR(IF(0=LEN(ReferenceData!$AH$283),"",ReferenceData!$AH$283),"")</f>
        <v>6418.3923839999998</v>
      </c>
      <c r="AI283" t="str">
        <f ca="1">IFERROR(IF(0=LEN(ReferenceData!$AI$283),"",ReferenceData!$AI$283),"")</f>
        <v/>
      </c>
      <c r="AJ283">
        <f ca="1">IFERROR(IF(0=LEN(ReferenceData!$AJ$283),"",ReferenceData!$AJ$283),"")</f>
        <v>4716.9461449999999</v>
      </c>
      <c r="AK283" t="str">
        <f ca="1">IFERROR(IF(0=LEN(ReferenceData!$AK$283),"",ReferenceData!$AK$283),"")</f>
        <v/>
      </c>
      <c r="AL283">
        <f ca="1">IFERROR(IF(0=LEN(ReferenceData!$AL$283),"",ReferenceData!$AL$283),"")</f>
        <v>4299.7409589999997</v>
      </c>
      <c r="AM283" t="str">
        <f ca="1">IFERROR(IF(0=LEN(ReferenceData!$AM$283),"",ReferenceData!$AM$283),"")</f>
        <v/>
      </c>
      <c r="AN283">
        <f ca="1">IFERROR(IF(0=LEN(ReferenceData!$AN$283),"",ReferenceData!$AN$283),"")</f>
        <v>2773.7395750000001</v>
      </c>
      <c r="AO283" t="str">
        <f ca="1">IFERROR(IF(0=LEN(ReferenceData!$AO$283),"",ReferenceData!$AO$283),"")</f>
        <v/>
      </c>
      <c r="AP283">
        <f ca="1">IFERROR(IF(0=LEN(ReferenceData!$AP$283),"",ReferenceData!$AP$283),"")</f>
        <v>1825.6907679999999</v>
      </c>
      <c r="AQ283" t="str">
        <f ca="1">IFERROR(IF(0=LEN(ReferenceData!$AQ$283),"",ReferenceData!$AQ$283),"")</f>
        <v/>
      </c>
      <c r="AR283" t="str">
        <f ca="1">IFERROR(IF(0=LEN(ReferenceData!$AR$283),"",ReferenceData!$AR$283),"")</f>
        <v/>
      </c>
      <c r="AS283" t="str">
        <f ca="1">IFERROR(IF(0=LEN(ReferenceData!$AS$283),"",ReferenceData!$AS$283),"")</f>
        <v/>
      </c>
      <c r="AT283">
        <f ca="1">IFERROR(IF(0=LEN(ReferenceData!$AT$283),"",ReferenceData!$AT$283),"")</f>
        <v>1170.915542</v>
      </c>
      <c r="AU283" t="str">
        <f ca="1">IFERROR(IF(0=LEN(ReferenceData!$AU$283),"",ReferenceData!$AU$283),"")</f>
        <v/>
      </c>
      <c r="AV283" t="str">
        <f ca="1">IFERROR(IF(0=LEN(ReferenceData!$AV$283),"",ReferenceData!$AV$283),"")</f>
        <v/>
      </c>
      <c r="AW283" t="str">
        <f ca="1">IFERROR(IF(0=LEN(ReferenceData!$AW$283),"",ReferenceData!$AW$283),"")</f>
        <v/>
      </c>
      <c r="AX283">
        <f ca="1">IFERROR(IF(0=LEN(ReferenceData!$AX$283),"",ReferenceData!$AX$283),"")</f>
        <v>2051.6604339999999</v>
      </c>
      <c r="AY283" t="str">
        <f ca="1">IFERROR(IF(0=LEN(ReferenceData!$AY$283),"",ReferenceData!$AY$283),"")</f>
        <v/>
      </c>
      <c r="AZ283" t="str">
        <f ca="1">IFERROR(IF(0=LEN(ReferenceData!$AZ$283),"",ReferenceData!$AZ$283),"")</f>
        <v/>
      </c>
      <c r="BA283" t="str">
        <f ca="1">IFERROR(IF(0=LEN(ReferenceData!$BA$283),"",ReferenceData!$BA$283),"")</f>
        <v/>
      </c>
      <c r="BB283" t="str">
        <f ca="1">IFERROR(IF(0=LEN(ReferenceData!$BB$283),"",ReferenceData!$BB$283),"")</f>
        <v/>
      </c>
      <c r="BC283" t="str">
        <f ca="1">IFERROR(IF(0=LEN(ReferenceData!$BC$283),"",ReferenceData!$BC$283),"")</f>
        <v/>
      </c>
      <c r="BD283" t="str">
        <f ca="1">IFERROR(IF(0=LEN(ReferenceData!$BD$283),"",ReferenceData!$BD$283),"")</f>
        <v/>
      </c>
      <c r="BE283" t="str">
        <f ca="1">IFERROR(IF(0=LEN(ReferenceData!$BE$283),"",ReferenceData!$BE$283),"")</f>
        <v/>
      </c>
      <c r="BF283" t="str">
        <f ca="1">IFERROR(IF(0=LEN(ReferenceData!$BF$283),"",ReferenceData!$BF$283),"")</f>
        <v/>
      </c>
      <c r="BG283" t="str">
        <f ca="1">IFERROR(IF(0=LEN(ReferenceData!$BG$283),"",ReferenceData!$BG$283),"")</f>
        <v/>
      </c>
      <c r="BH283" t="str">
        <f ca="1">IFERROR(IF(0=LEN(ReferenceData!$BH$283),"",ReferenceData!$BH$283),"")</f>
        <v/>
      </c>
      <c r="BI283" t="str">
        <f ca="1">IFERROR(IF(0=LEN(ReferenceData!$BI$283),"",ReferenceData!$BI$283),"")</f>
        <v/>
      </c>
      <c r="BJ283" t="str">
        <f ca="1">IFERROR(IF(0=LEN(ReferenceData!$BJ$283),"",ReferenceData!$BJ$283),"")</f>
        <v/>
      </c>
      <c r="BK283" t="str">
        <f ca="1">IFERROR(IF(0=LEN(ReferenceData!$BK$283),"",ReferenceData!$BK$283),"")</f>
        <v/>
      </c>
      <c r="BL283" t="str">
        <f ca="1">IFERROR(IF(0=LEN(ReferenceData!$BL$283),"",ReferenceData!$BL$283),"")</f>
        <v/>
      </c>
      <c r="BM283" t="str">
        <f ca="1">IFERROR(IF(0=LEN(ReferenceData!$BM$283),"",ReferenceData!$BM$283),"")</f>
        <v/>
      </c>
    </row>
    <row r="284" spans="1:65" x14ac:dyDescent="0.25">
      <c r="A284" t="str">
        <f>IFERROR(IF(0=LEN(ReferenceData!$A$284),"",ReferenceData!$A$284),"")</f>
        <v xml:space="preserve">    Tesla Inc</v>
      </c>
      <c r="B284" t="str">
        <f>IFERROR(IF(0=LEN(ReferenceData!$B$284),"",ReferenceData!$B$284),"")</f>
        <v>TSLA US Equity</v>
      </c>
      <c r="C284" t="str">
        <f>IFERROR(IF(0=LEN(ReferenceData!$C$284),"",ReferenceData!$C$284),"")</f>
        <v>RR010</v>
      </c>
      <c r="D284" t="str">
        <f>IFERROR(IF(0=LEN(ReferenceData!$D$284),"",ReferenceData!$D$284),"")</f>
        <v>TOT_COMMON_EQY</v>
      </c>
      <c r="E284" t="str">
        <f>IFERROR(IF(0=LEN(ReferenceData!$E$284),"",ReferenceData!$E$284),"")</f>
        <v>Dynamic</v>
      </c>
      <c r="F284" t="str">
        <f ca="1">IFERROR(IF(0=LEN(ReferenceData!$F$284),"",ReferenceData!$F$284),"")</f>
        <v/>
      </c>
      <c r="G284">
        <f ca="1">IFERROR(IF(0=LEN(ReferenceData!$G$284),"",ReferenceData!$G$284),"")</f>
        <v>4923.2430000000004</v>
      </c>
      <c r="H284">
        <f ca="1">IFERROR(IF(0=LEN(ReferenceData!$H$284),"",ReferenceData!$H$284),"")</f>
        <v>4508.8379999999997</v>
      </c>
      <c r="I284">
        <f ca="1">IFERROR(IF(0=LEN(ReferenceData!$I$284),"",ReferenceData!$I$284),"")</f>
        <v>3906.4209999999998</v>
      </c>
      <c r="J284">
        <f ca="1">IFERROR(IF(0=LEN(ReferenceData!$J$284),"",ReferenceData!$J$284),"")</f>
        <v>4450.6970000000001</v>
      </c>
      <c r="K284">
        <f ca="1">IFERROR(IF(0=LEN(ReferenceData!$K$284),"",ReferenceData!$K$284),"")</f>
        <v>4237.3119999999999</v>
      </c>
      <c r="L284">
        <f ca="1">IFERROR(IF(0=LEN(ReferenceData!$L$284),"",ReferenceData!$L$284),"")</f>
        <v>4711.8370000000004</v>
      </c>
      <c r="M284">
        <f ca="1">IFERROR(IF(0=LEN(ReferenceData!$M$284),"",ReferenceData!$M$284),"")</f>
        <v>5107.4399999999996</v>
      </c>
      <c r="N284">
        <f ca="1">IFERROR(IF(0=LEN(ReferenceData!$N$284),"",ReferenceData!$N$284),"")</f>
        <v>4995.0020000000004</v>
      </c>
      <c r="O284">
        <f ca="1">IFERROR(IF(0=LEN(ReferenceData!$O$284),"",ReferenceData!$O$284),"")</f>
        <v>4761.6949999999997</v>
      </c>
      <c r="P284">
        <f ca="1">IFERROR(IF(0=LEN(ReferenceData!$P$284),"",ReferenceData!$P$284),"")</f>
        <v>2691.7579999999998</v>
      </c>
      <c r="Q284">
        <f ca="1">IFERROR(IF(0=LEN(ReferenceData!$Q$284),"",ReferenceData!$Q$284),"")</f>
        <v>2557.44</v>
      </c>
      <c r="R284">
        <f ca="1">IFERROR(IF(0=LEN(ReferenceData!$R$284),"",ReferenceData!$R$284),"")</f>
        <v>970.36500000000001</v>
      </c>
      <c r="S284">
        <f ca="1">IFERROR(IF(0=LEN(ReferenceData!$S$284),"",ReferenceData!$S$284),"")</f>
        <v>1130.989</v>
      </c>
      <c r="T284">
        <f ca="1">IFERROR(IF(0=LEN(ReferenceData!$T$284),"",ReferenceData!$T$284),"")</f>
        <v>1360.837</v>
      </c>
      <c r="U284">
        <f ca="1">IFERROR(IF(0=LEN(ReferenceData!$U$284),"",ReferenceData!$U$284),"")</f>
        <v>715.93399999999997</v>
      </c>
      <c r="V284">
        <f ca="1">IFERROR(IF(0=LEN(ReferenceData!$V$284),"",ReferenceData!$V$284),"")</f>
        <v>880.274</v>
      </c>
      <c r="W284">
        <f ca="1">IFERROR(IF(0=LEN(ReferenceData!$W$284),"",ReferenceData!$W$284),"")</f>
        <v>911.71</v>
      </c>
      <c r="X284">
        <f ca="1">IFERROR(IF(0=LEN(ReferenceData!$X$284),"",ReferenceData!$X$284),"")</f>
        <v>1020.255</v>
      </c>
      <c r="Y284">
        <f ca="1">IFERROR(IF(0=LEN(ReferenceData!$Y$284),"",ReferenceData!$Y$284),"")</f>
        <v>952.33299999999997</v>
      </c>
      <c r="Z284">
        <f ca="1">IFERROR(IF(0=LEN(ReferenceData!$Z$284),"",ReferenceData!$Z$284),"")</f>
        <v>981.99800000000005</v>
      </c>
      <c r="AA284">
        <f ca="1">IFERROR(IF(0=LEN(ReferenceData!$AA$284),"",ReferenceData!$AA$284),"")</f>
        <v>667.12</v>
      </c>
      <c r="AB284">
        <f ca="1">IFERROR(IF(0=LEN(ReferenceData!$AB$284),"",ReferenceData!$AB$284),"")</f>
        <v>641.66300000000001</v>
      </c>
      <c r="AC284">
        <f ca="1">IFERROR(IF(0=LEN(ReferenceData!$AC$284),"",ReferenceData!$AC$284),"")</f>
        <v>629.42600000000004</v>
      </c>
      <c r="AD284">
        <f ca="1">IFERROR(IF(0=LEN(ReferenceData!$AD$284),"",ReferenceData!$AD$284),"")</f>
        <v>168.583</v>
      </c>
      <c r="AE284">
        <f ca="1">IFERROR(IF(0=LEN(ReferenceData!$AE$284),"",ReferenceData!$AE$284),"")</f>
        <v>124.7</v>
      </c>
      <c r="AF284">
        <f ca="1">IFERROR(IF(0=LEN(ReferenceData!$AF$284),"",ReferenceData!$AF$284),"")</f>
        <v>-27.875</v>
      </c>
      <c r="AG284">
        <f ca="1">IFERROR(IF(0=LEN(ReferenceData!$AG$284),"",ReferenceData!$AG$284),"")</f>
        <v>62.215000000000003</v>
      </c>
      <c r="AH284">
        <f ca="1">IFERROR(IF(0=LEN(ReferenceData!$AH$284),"",ReferenceData!$AH$284),"")</f>
        <v>153.874</v>
      </c>
      <c r="AI284">
        <f ca="1">IFERROR(IF(0=LEN(ReferenceData!$AI$284),"",ReferenceData!$AI$284),"")</f>
        <v>224.04499999999999</v>
      </c>
      <c r="AJ284">
        <f ca="1">IFERROR(IF(0=LEN(ReferenceData!$AJ$284),"",ReferenceData!$AJ$284),"")</f>
        <v>294.11799999999999</v>
      </c>
      <c r="AK284">
        <f ca="1">IFERROR(IF(0=LEN(ReferenceData!$AK$284),"",ReferenceData!$AK$284),"")</f>
        <v>348.452</v>
      </c>
      <c r="AL284">
        <f ca="1">IFERROR(IF(0=LEN(ReferenceData!$AL$284),"",ReferenceData!$AL$284),"")</f>
        <v>167.738</v>
      </c>
      <c r="AM284">
        <f ca="1">IFERROR(IF(0=LEN(ReferenceData!$AM$284),"",ReferenceData!$AM$284),"")</f>
        <v>207.048</v>
      </c>
      <c r="AN284">
        <f ca="1">IFERROR(IF(0=LEN(ReferenceData!$AN$284),"",ReferenceData!$AN$284),"")</f>
        <v>219.923</v>
      </c>
      <c r="AO284">
        <f ca="1">IFERROR(IF(0=LEN(ReferenceData!$AO$284),"",ReferenceData!$AO$284),"")</f>
        <v>-309.77499999999998</v>
      </c>
      <c r="AP284">
        <f ca="1">IFERROR(IF(0=LEN(ReferenceData!$AP$284),"",ReferenceData!$AP$284),"")</f>
        <v>-279.29700000000003</v>
      </c>
      <c r="AQ284">
        <f ca="1">IFERROR(IF(0=LEN(ReferenceData!$AQ$284),"",ReferenceData!$AQ$284),"")</f>
        <v>-253.523</v>
      </c>
      <c r="AR284" t="str">
        <f ca="1">IFERROR(IF(0=LEN(ReferenceData!$AR$284),"",ReferenceData!$AR$284),"")</f>
        <v/>
      </c>
      <c r="AS284" t="str">
        <f ca="1">IFERROR(IF(0=LEN(ReferenceData!$AS$284),"",ReferenceData!$AS$284),"")</f>
        <v/>
      </c>
      <c r="AT284" t="str">
        <f ca="1">IFERROR(IF(0=LEN(ReferenceData!$AT$284),"",ReferenceData!$AT$284),"")</f>
        <v/>
      </c>
      <c r="AU284" t="str">
        <f ca="1">IFERROR(IF(0=LEN(ReferenceData!$AU$284),"",ReferenceData!$AU$284),"")</f>
        <v/>
      </c>
      <c r="AV284" t="str">
        <f ca="1">IFERROR(IF(0=LEN(ReferenceData!$AV$284),"",ReferenceData!$AV$284),"")</f>
        <v/>
      </c>
      <c r="AW284" t="str">
        <f ca="1">IFERROR(IF(0=LEN(ReferenceData!$AW$284),"",ReferenceData!$AW$284),"")</f>
        <v/>
      </c>
      <c r="AX284" t="str">
        <f ca="1">IFERROR(IF(0=LEN(ReferenceData!$AX$284),"",ReferenceData!$AX$284),"")</f>
        <v/>
      </c>
      <c r="AY284" t="str">
        <f ca="1">IFERROR(IF(0=LEN(ReferenceData!$AY$284),"",ReferenceData!$AY$284),"")</f>
        <v/>
      </c>
      <c r="AZ284" t="str">
        <f ca="1">IFERROR(IF(0=LEN(ReferenceData!$AZ$284),"",ReferenceData!$AZ$284),"")</f>
        <v/>
      </c>
      <c r="BA284" t="str">
        <f ca="1">IFERROR(IF(0=LEN(ReferenceData!$BA$284),"",ReferenceData!$BA$284),"")</f>
        <v/>
      </c>
      <c r="BB284" t="str">
        <f ca="1">IFERROR(IF(0=LEN(ReferenceData!$BB$284),"",ReferenceData!$BB$284),"")</f>
        <v/>
      </c>
      <c r="BC284" t="str">
        <f ca="1">IFERROR(IF(0=LEN(ReferenceData!$BC$284),"",ReferenceData!$BC$284),"")</f>
        <v/>
      </c>
      <c r="BD284" t="str">
        <f ca="1">IFERROR(IF(0=LEN(ReferenceData!$BD$284),"",ReferenceData!$BD$284),"")</f>
        <v/>
      </c>
      <c r="BE284" t="str">
        <f ca="1">IFERROR(IF(0=LEN(ReferenceData!$BE$284),"",ReferenceData!$BE$284),"")</f>
        <v/>
      </c>
      <c r="BF284" t="str">
        <f ca="1">IFERROR(IF(0=LEN(ReferenceData!$BF$284),"",ReferenceData!$BF$284),"")</f>
        <v/>
      </c>
      <c r="BG284" t="str">
        <f ca="1">IFERROR(IF(0=LEN(ReferenceData!$BG$284),"",ReferenceData!$BG$284),"")</f>
        <v/>
      </c>
      <c r="BH284" t="str">
        <f ca="1">IFERROR(IF(0=LEN(ReferenceData!$BH$284),"",ReferenceData!$BH$284),"")</f>
        <v/>
      </c>
      <c r="BI284" t="str">
        <f ca="1">IFERROR(IF(0=LEN(ReferenceData!$BI$284),"",ReferenceData!$BI$284),"")</f>
        <v/>
      </c>
      <c r="BJ284" t="str">
        <f ca="1">IFERROR(IF(0=LEN(ReferenceData!$BJ$284),"",ReferenceData!$BJ$284),"")</f>
        <v/>
      </c>
      <c r="BK284" t="str">
        <f ca="1">IFERROR(IF(0=LEN(ReferenceData!$BK$284),"",ReferenceData!$BK$284),"")</f>
        <v/>
      </c>
      <c r="BL284" t="str">
        <f ca="1">IFERROR(IF(0=LEN(ReferenceData!$BL$284),"",ReferenceData!$BL$284),"")</f>
        <v/>
      </c>
      <c r="BM284" t="str">
        <f ca="1">IFERROR(IF(0=LEN(ReferenceData!$BM$284),"",ReferenceData!$BM$284),"")</f>
        <v/>
      </c>
    </row>
    <row r="285" spans="1:65" x14ac:dyDescent="0.25">
      <c r="A285" t="str">
        <f>IFERROR(IF(0=LEN(ReferenceData!$A$285),"",ReferenceData!$A$285),"")</f>
        <v xml:space="preserve">    Tianjin Faw Xiali Automobile Co Ltd</v>
      </c>
      <c r="B285" t="str">
        <f>IFERROR(IF(0=LEN(ReferenceData!$B$285),"",ReferenceData!$B$285),"")</f>
        <v>000927 CH Equity</v>
      </c>
      <c r="C285" t="str">
        <f>IFERROR(IF(0=LEN(ReferenceData!$C$285),"",ReferenceData!$C$285),"")</f>
        <v>RR010</v>
      </c>
      <c r="D285" t="str">
        <f>IFERROR(IF(0=LEN(ReferenceData!$D$285),"",ReferenceData!$D$285),"")</f>
        <v>TOT_COMMON_EQY</v>
      </c>
      <c r="E285" t="str">
        <f>IFERROR(IF(0=LEN(ReferenceData!$E$285),"",ReferenceData!$E$285),"")</f>
        <v>Dynamic</v>
      </c>
      <c r="F285" t="str">
        <f ca="1">IFERROR(IF(0=LEN(ReferenceData!$F$285),"",ReferenceData!$F$285),"")</f>
        <v/>
      </c>
      <c r="G285" t="str">
        <f ca="1">IFERROR(IF(0=LEN(ReferenceData!$G$285),"",ReferenceData!$G$285),"")</f>
        <v/>
      </c>
      <c r="H285">
        <f ca="1">IFERROR(IF(0=LEN(ReferenceData!$H$285),"",ReferenceData!$H$285),"")</f>
        <v>-137.52603010000001</v>
      </c>
      <c r="I285">
        <f ca="1">IFERROR(IF(0=LEN(ReferenceData!$I$285),"",ReferenceData!$I$285),"")</f>
        <v>-87.460407169999996</v>
      </c>
      <c r="J285">
        <f ca="1">IFERROR(IF(0=LEN(ReferenceData!$J$285),"",ReferenceData!$J$285),"")</f>
        <v>-26.233797679999999</v>
      </c>
      <c r="K285">
        <f ca="1">IFERROR(IF(0=LEN(ReferenceData!$K$285),"",ReferenceData!$K$285),"")</f>
        <v>8.9116470079999992</v>
      </c>
      <c r="L285">
        <f ca="1">IFERROR(IF(0=LEN(ReferenceData!$L$285),"",ReferenceData!$L$285),"")</f>
        <v>86.640490659999998</v>
      </c>
      <c r="M285">
        <f ca="1">IFERROR(IF(0=LEN(ReferenceData!$M$285),"",ReferenceData!$M$285),"")</f>
        <v>149.67848900000001</v>
      </c>
      <c r="N285">
        <f ca="1">IFERROR(IF(0=LEN(ReferenceData!$N$285),"",ReferenceData!$N$285),"")</f>
        <v>208.26170450000001</v>
      </c>
      <c r="O285">
        <f ca="1">IFERROR(IF(0=LEN(ReferenceData!$O$285),"",ReferenceData!$O$285),"")</f>
        <v>244.69284780000001</v>
      </c>
      <c r="P285">
        <f ca="1">IFERROR(IF(0=LEN(ReferenceData!$P$285),"",ReferenceData!$P$285),"")</f>
        <v>106.60035790000001</v>
      </c>
      <c r="Q285">
        <f ca="1">IFERROR(IF(0=LEN(ReferenceData!$Q$285),"",ReferenceData!$Q$285),"")</f>
        <v>152.82801000000001</v>
      </c>
      <c r="R285">
        <f ca="1">IFERROR(IF(0=LEN(ReferenceData!$R$285),"",ReferenceData!$R$285),"")</f>
        <v>212.1381562</v>
      </c>
      <c r="S285">
        <f ca="1">IFERROR(IF(0=LEN(ReferenceData!$S$285),"",ReferenceData!$S$285),"")</f>
        <v>236.71147160000001</v>
      </c>
      <c r="T285">
        <f ca="1">IFERROR(IF(0=LEN(ReferenceData!$T$285),"",ReferenceData!$T$285),"")</f>
        <v>104.37758940000001</v>
      </c>
      <c r="U285">
        <f ca="1">IFERROR(IF(0=LEN(ReferenceData!$U$285),"",ReferenceData!$U$285),"")</f>
        <v>158.1324717</v>
      </c>
      <c r="V285">
        <f ca="1">IFERROR(IF(0=LEN(ReferenceData!$V$285),"",ReferenceData!$V$285),"")</f>
        <v>203.2324662</v>
      </c>
      <c r="W285">
        <f ca="1">IFERROR(IF(0=LEN(ReferenceData!$W$285),"",ReferenceData!$W$285),"")</f>
        <v>244.45207640000001</v>
      </c>
      <c r="X285">
        <f ca="1">IFERROR(IF(0=LEN(ReferenceData!$X$285),"",ReferenceData!$X$285),"")</f>
        <v>404.26245119999999</v>
      </c>
      <c r="Y285">
        <f ca="1">IFERROR(IF(0=LEN(ReferenceData!$Y$285),"",ReferenceData!$Y$285),"")</f>
        <v>441.75299560000002</v>
      </c>
      <c r="Z285">
        <f ca="1">IFERROR(IF(0=LEN(ReferenceData!$Z$285),"",ReferenceData!$Z$285),"")</f>
        <v>478.3066488</v>
      </c>
      <c r="AA285">
        <f ca="1">IFERROR(IF(0=LEN(ReferenceData!$AA$285),"",ReferenceData!$AA$285),"")</f>
        <v>524.76402199999995</v>
      </c>
      <c r="AB285">
        <f ca="1">IFERROR(IF(0=LEN(ReferenceData!$AB$285),"",ReferenceData!$AB$285),"")</f>
        <v>581.00296089999995</v>
      </c>
      <c r="AC285">
        <f ca="1">IFERROR(IF(0=LEN(ReferenceData!$AC$285),"",ReferenceData!$AC$285),"")</f>
        <v>596.46142899999995</v>
      </c>
      <c r="AD285">
        <f ca="1">IFERROR(IF(0=LEN(ReferenceData!$AD$285),"",ReferenceData!$AD$285),"")</f>
        <v>581.80682460000003</v>
      </c>
      <c r="AE285">
        <f ca="1">IFERROR(IF(0=LEN(ReferenceData!$AE$285),"",ReferenceData!$AE$285),"")</f>
        <v>588.53324669999995</v>
      </c>
      <c r="AF285">
        <f ca="1">IFERROR(IF(0=LEN(ReferenceData!$AF$285),"",ReferenceData!$AF$285),"")</f>
        <v>591.48113999999998</v>
      </c>
      <c r="AG285">
        <f ca="1">IFERROR(IF(0=LEN(ReferenceData!$AG$285),"",ReferenceData!$AG$285),"")</f>
        <v>586.14199989999997</v>
      </c>
      <c r="AH285">
        <f ca="1">IFERROR(IF(0=LEN(ReferenceData!$AH$285),"",ReferenceData!$AH$285),"")</f>
        <v>590.84656540000003</v>
      </c>
      <c r="AI285">
        <f ca="1">IFERROR(IF(0=LEN(ReferenceData!$AI$285),"",ReferenceData!$AI$285),"")</f>
        <v>582.03542560000005</v>
      </c>
      <c r="AJ285">
        <f ca="1">IFERROR(IF(0=LEN(ReferenceData!$AJ$285),"",ReferenceData!$AJ$285),"")</f>
        <v>574.33328600000004</v>
      </c>
      <c r="AK285">
        <f ca="1">IFERROR(IF(0=LEN(ReferenceData!$AK$285),"",ReferenceData!$AK$285),"")</f>
        <v>557.45053419999999</v>
      </c>
      <c r="AL285">
        <f ca="1">IFERROR(IF(0=LEN(ReferenceData!$AL$285),"",ReferenceData!$AL$285),"")</f>
        <v>558.37564550000002</v>
      </c>
      <c r="AM285">
        <f ca="1">IFERROR(IF(0=LEN(ReferenceData!$AM$285),"",ReferenceData!$AM$285),"")</f>
        <v>547.08521919999998</v>
      </c>
      <c r="AN285">
        <f ca="1">IFERROR(IF(0=LEN(ReferenceData!$AN$285),"",ReferenceData!$AN$285),"")</f>
        <v>542.08685230000003</v>
      </c>
      <c r="AO285">
        <f ca="1">IFERROR(IF(0=LEN(ReferenceData!$AO$285),"",ReferenceData!$AO$285),"")</f>
        <v>534.71384020000005</v>
      </c>
      <c r="AP285">
        <f ca="1">IFERROR(IF(0=LEN(ReferenceData!$AP$285),"",ReferenceData!$AP$285),"")</f>
        <v>536.34232299999996</v>
      </c>
      <c r="AQ285">
        <f ca="1">IFERROR(IF(0=LEN(ReferenceData!$AQ$285),"",ReferenceData!$AQ$285),"")</f>
        <v>500.52104930000002</v>
      </c>
      <c r="AR285">
        <f ca="1">IFERROR(IF(0=LEN(ReferenceData!$AR$285),"",ReferenceData!$AR$285),"")</f>
        <v>489.7874334</v>
      </c>
      <c r="AS285">
        <f ca="1">IFERROR(IF(0=LEN(ReferenceData!$AS$285),"",ReferenceData!$AS$285),"")</f>
        <v>486.8751054</v>
      </c>
      <c r="AT285">
        <f ca="1">IFERROR(IF(0=LEN(ReferenceData!$AT$285),"",ReferenceData!$AT$285),"")</f>
        <v>479.05471039999998</v>
      </c>
      <c r="AU285">
        <f ca="1">IFERROR(IF(0=LEN(ReferenceData!$AU$285),"",ReferenceData!$AU$285),"")</f>
        <v>482.38024200000001</v>
      </c>
      <c r="AV285">
        <f ca="1">IFERROR(IF(0=LEN(ReferenceData!$AV$285),"",ReferenceData!$AV$285),"")</f>
        <v>486.25317280000002</v>
      </c>
      <c r="AW285">
        <f ca="1">IFERROR(IF(0=LEN(ReferenceData!$AW$285),"",ReferenceData!$AW$285),"")</f>
        <v>480.4004668</v>
      </c>
      <c r="AX285">
        <f ca="1">IFERROR(IF(0=LEN(ReferenceData!$AX$285),"",ReferenceData!$AX$285),"")</f>
        <v>484.42221050000001</v>
      </c>
      <c r="AY285">
        <f ca="1">IFERROR(IF(0=LEN(ReferenceData!$AY$285),"",ReferenceData!$AY$285),"")</f>
        <v>448.4927275</v>
      </c>
      <c r="AZ285">
        <f ca="1">IFERROR(IF(0=LEN(ReferenceData!$AZ$285),"",ReferenceData!$AZ$285),"")</f>
        <v>429.7378741</v>
      </c>
      <c r="BA285">
        <f ca="1">IFERROR(IF(0=LEN(ReferenceData!$BA$285),"",ReferenceData!$BA$285),"")</f>
        <v>425.90042169999998</v>
      </c>
      <c r="BB285">
        <f ca="1">IFERROR(IF(0=LEN(ReferenceData!$BB$285),"",ReferenceData!$BB$285),"")</f>
        <v>423.32339309999998</v>
      </c>
      <c r="BC285">
        <f ca="1">IFERROR(IF(0=LEN(ReferenceData!$BC$285),"",ReferenceData!$BC$285),"")</f>
        <v>413.66145979999999</v>
      </c>
      <c r="BD285">
        <f ca="1">IFERROR(IF(0=LEN(ReferenceData!$BD$285),"",ReferenceData!$BD$285),"")</f>
        <v>413.06865770000002</v>
      </c>
      <c r="BE285">
        <f ca="1">IFERROR(IF(0=LEN(ReferenceData!$BE$285),"",ReferenceData!$BE$285),"")</f>
        <v>394.70239290000001</v>
      </c>
      <c r="BF285">
        <f ca="1">IFERROR(IF(0=LEN(ReferenceData!$BF$285),"",ReferenceData!$BF$285),"")</f>
        <v>380.39183420000001</v>
      </c>
      <c r="BG285">
        <f ca="1">IFERROR(IF(0=LEN(ReferenceData!$BG$285),"",ReferenceData!$BG$285),"")</f>
        <v>366.88333610000001</v>
      </c>
      <c r="BH285">
        <f ca="1">IFERROR(IF(0=LEN(ReferenceData!$BH$285),"",ReferenceData!$BH$285),"")</f>
        <v>353.02482830000002</v>
      </c>
      <c r="BI285">
        <f ca="1">IFERROR(IF(0=LEN(ReferenceData!$BI$285),"",ReferenceData!$BI$285),"")</f>
        <v>334.41896730000002</v>
      </c>
      <c r="BJ285">
        <f ca="1">IFERROR(IF(0=LEN(ReferenceData!$BJ$285),"",ReferenceData!$BJ$285),"")</f>
        <v>323.22542579999998</v>
      </c>
      <c r="BK285">
        <f ca="1">IFERROR(IF(0=LEN(ReferenceData!$BK$285),"",ReferenceData!$BK$285),"")</f>
        <v>326.98318019999999</v>
      </c>
      <c r="BL285">
        <f ca="1">IFERROR(IF(0=LEN(ReferenceData!$BL$285),"",ReferenceData!$BL$285),"")</f>
        <v>330.0374453</v>
      </c>
      <c r="BM285">
        <f ca="1">IFERROR(IF(0=LEN(ReferenceData!$BM$285),"",ReferenceData!$BM$285),"")</f>
        <v>335.43574180000002</v>
      </c>
    </row>
    <row r="286" spans="1:65" x14ac:dyDescent="0.25">
      <c r="A286" t="str">
        <f>IFERROR(IF(0=LEN(ReferenceData!$A$286),"",ReferenceData!$A$286),"")</f>
        <v xml:space="preserve">    Tofas Turk Otomobil Fabrikasi AS</v>
      </c>
      <c r="B286" t="str">
        <f>IFERROR(IF(0=LEN(ReferenceData!$B$286),"",ReferenceData!$B$286),"")</f>
        <v>TOASOTRY EO Equity</v>
      </c>
      <c r="C286" t="str">
        <f>IFERROR(IF(0=LEN(ReferenceData!$C$286),"",ReferenceData!$C$286),"")</f>
        <v>RR010</v>
      </c>
      <c r="D286" t="str">
        <f>IFERROR(IF(0=LEN(ReferenceData!$D$286),"",ReferenceData!$D$286),"")</f>
        <v>TOT_COMMON_EQY</v>
      </c>
      <c r="E286" t="str">
        <f>IFERROR(IF(0=LEN(ReferenceData!$E$286),"",ReferenceData!$E$286),"")</f>
        <v>Dynamic</v>
      </c>
      <c r="F286" t="str">
        <f ca="1">IFERROR(IF(0=LEN(ReferenceData!$F$286),"",ReferenceData!$F$286),"")</f>
        <v/>
      </c>
      <c r="G286">
        <f ca="1">IFERROR(IF(0=LEN(ReferenceData!$G$286),"",ReferenceData!$G$286),"")</f>
        <v>700.56607699999995</v>
      </c>
      <c r="H286">
        <f ca="1">IFERROR(IF(0=LEN(ReferenceData!$H$286),"",ReferenceData!$H$286),"")</f>
        <v>483.43999209999998</v>
      </c>
      <c r="I286">
        <f ca="1">IFERROR(IF(0=LEN(ReferenceData!$I$286),"",ReferenceData!$I$286),"")</f>
        <v>700.3960482</v>
      </c>
      <c r="J286">
        <f ca="1">IFERROR(IF(0=LEN(ReferenceData!$J$286),"",ReferenceData!$J$286),"")</f>
        <v>755.38241760000005</v>
      </c>
      <c r="K286">
        <f ca="1">IFERROR(IF(0=LEN(ReferenceData!$K$286),"",ReferenceData!$K$286),"")</f>
        <v>946.09130760000005</v>
      </c>
      <c r="L286">
        <f ca="1">IFERROR(IF(0=LEN(ReferenceData!$L$286),"",ReferenceData!$L$286),"")</f>
        <v>920.15496480000002</v>
      </c>
      <c r="M286">
        <f ca="1">IFERROR(IF(0=LEN(ReferenceData!$M$286),"",ReferenceData!$M$286),"")</f>
        <v>872.53014450000001</v>
      </c>
      <c r="N286">
        <f ca="1">IFERROR(IF(0=LEN(ReferenceData!$N$286),"",ReferenceData!$N$286),"")</f>
        <v>772.4622756</v>
      </c>
      <c r="O286">
        <f ca="1">IFERROR(IF(0=LEN(ReferenceData!$O$286),"",ReferenceData!$O$286),"")</f>
        <v>838.99319149999997</v>
      </c>
      <c r="P286">
        <f ca="1">IFERROR(IF(0=LEN(ReferenceData!$P$286),"",ReferenceData!$P$286),"")</f>
        <v>947.93901019999998</v>
      </c>
      <c r="Q286">
        <f ca="1">IFERROR(IF(0=LEN(ReferenceData!$Q$286),"",ReferenceData!$Q$286),"")</f>
        <v>942.34473400000002</v>
      </c>
      <c r="R286">
        <f ca="1">IFERROR(IF(0=LEN(ReferenceData!$R$286),"",ReferenceData!$R$286),"")</f>
        <v>868.11042899999995</v>
      </c>
      <c r="S286">
        <f ca="1">IFERROR(IF(0=LEN(ReferenceData!$S$286),"",ReferenceData!$S$286),"")</f>
        <v>885.25574219999999</v>
      </c>
      <c r="T286">
        <f ca="1">IFERROR(IF(0=LEN(ReferenceData!$T$286),"",ReferenceData!$T$286),"")</f>
        <v>716.1450873</v>
      </c>
      <c r="U286">
        <f ca="1">IFERROR(IF(0=LEN(ReferenceData!$U$286),"",ReferenceData!$U$286),"")</f>
        <v>797.43886499999996</v>
      </c>
      <c r="V286">
        <f ca="1">IFERROR(IF(0=LEN(ReferenceData!$V$286),"",ReferenceData!$V$286),"")</f>
        <v>757.22966210000004</v>
      </c>
      <c r="W286">
        <f ca="1">IFERROR(IF(0=LEN(ReferenceData!$W$286),"",ReferenceData!$W$286),"")</f>
        <v>958.99486520000005</v>
      </c>
      <c r="X286">
        <f ca="1">IFERROR(IF(0=LEN(ReferenceData!$X$286),"",ReferenceData!$X$286),"")</f>
        <v>894.87144609999996</v>
      </c>
      <c r="Y286">
        <f ca="1">IFERROR(IF(0=LEN(ReferenceData!$Y$286),"",ReferenceData!$Y$286),"")</f>
        <v>894.88272219999999</v>
      </c>
      <c r="Z286">
        <f ca="1">IFERROR(IF(0=LEN(ReferenceData!$Z$286),"",ReferenceData!$Z$286),"")</f>
        <v>800.63526990000003</v>
      </c>
      <c r="AA286">
        <f ca="1">IFERROR(IF(0=LEN(ReferenceData!$AA$286),"",ReferenceData!$AA$286),"")</f>
        <v>883.16930230000003</v>
      </c>
      <c r="AB286">
        <f ca="1">IFERROR(IF(0=LEN(ReferenceData!$AB$286),"",ReferenceData!$AB$286),"")</f>
        <v>897.58473949999996</v>
      </c>
      <c r="AC286">
        <f ca="1">IFERROR(IF(0=LEN(ReferenceData!$AC$286),"",ReferenceData!$AC$286),"")</f>
        <v>912.93045410000002</v>
      </c>
      <c r="AD286">
        <f ca="1">IFERROR(IF(0=LEN(ReferenceData!$AD$286),"",ReferenceData!$AD$286),"")</f>
        <v>942.25147649999997</v>
      </c>
      <c r="AE286">
        <f ca="1">IFERROR(IF(0=LEN(ReferenceData!$AE$286),"",ReferenceData!$AE$286),"")</f>
        <v>1155.8214230000001</v>
      </c>
      <c r="AF286">
        <f ca="1">IFERROR(IF(0=LEN(ReferenceData!$AF$286),"",ReferenceData!$AF$286),"")</f>
        <v>1083.3990530000001</v>
      </c>
      <c r="AG286">
        <f ca="1">IFERROR(IF(0=LEN(ReferenceData!$AG$286),"",ReferenceData!$AG$286),"")</f>
        <v>1023.037779</v>
      </c>
      <c r="AH286">
        <f ca="1">IFERROR(IF(0=LEN(ReferenceData!$AH$286),"",ReferenceData!$AH$286),"")</f>
        <v>943.95938520000004</v>
      </c>
      <c r="AI286">
        <f ca="1">IFERROR(IF(0=LEN(ReferenceData!$AI$286),"",ReferenceData!$AI$286),"")</f>
        <v>949.44656689999999</v>
      </c>
      <c r="AJ286">
        <f ca="1">IFERROR(IF(0=LEN(ReferenceData!$AJ$286),"",ReferenceData!$AJ$286),"")</f>
        <v>871.84993529999997</v>
      </c>
      <c r="AK286">
        <f ca="1">IFERROR(IF(0=LEN(ReferenceData!$AK$286),"",ReferenceData!$AK$286),"")</f>
        <v>953.66518900000005</v>
      </c>
      <c r="AL286">
        <f ca="1">IFERROR(IF(0=LEN(ReferenceData!$AL$286),"",ReferenceData!$AL$286),"")</f>
        <v>965.73048270000004</v>
      </c>
      <c r="AM286">
        <f ca="1">IFERROR(IF(0=LEN(ReferenceData!$AM$286),"",ReferenceData!$AM$286),"")</f>
        <v>1104.698226</v>
      </c>
      <c r="AN286">
        <f ca="1">IFERROR(IF(0=LEN(ReferenceData!$AN$286),"",ReferenceData!$AN$286),"")</f>
        <v>1115.962149</v>
      </c>
      <c r="AO286">
        <f ca="1">IFERROR(IF(0=LEN(ReferenceData!$AO$286),"",ReferenceData!$AO$286),"")</f>
        <v>991.77368290000004</v>
      </c>
      <c r="AP286">
        <f ca="1">IFERROR(IF(0=LEN(ReferenceData!$AP$286),"",ReferenceData!$AP$286),"")</f>
        <v>953.39211690000002</v>
      </c>
      <c r="AQ286">
        <f ca="1">IFERROR(IF(0=LEN(ReferenceData!$AQ$286),"",ReferenceData!$AQ$286),"")</f>
        <v>952.47656040000004</v>
      </c>
      <c r="AR286">
        <f ca="1">IFERROR(IF(0=LEN(ReferenceData!$AR$286),"",ReferenceData!$AR$286),"")</f>
        <v>868.55100800000002</v>
      </c>
      <c r="AS286">
        <f ca="1">IFERROR(IF(0=LEN(ReferenceData!$AS$286),"",ReferenceData!$AS$286),"")</f>
        <v>768.33906669999999</v>
      </c>
      <c r="AT286">
        <f ca="1">IFERROR(IF(0=LEN(ReferenceData!$AT$286),"",ReferenceData!$AT$286),"")</f>
        <v>654.90486769999995</v>
      </c>
      <c r="AU286">
        <f ca="1">IFERROR(IF(0=LEN(ReferenceData!$AU$286),"",ReferenceData!$AU$286),"")</f>
        <v>728.1520749</v>
      </c>
      <c r="AV286">
        <f ca="1">IFERROR(IF(0=LEN(ReferenceData!$AV$286),"",ReferenceData!$AV$286),"")</f>
        <v>939.94761189999997</v>
      </c>
      <c r="AW286">
        <f ca="1">IFERROR(IF(0=LEN(ReferenceData!$AW$286),"",ReferenceData!$AW$286),"")</f>
        <v>942.46623969999996</v>
      </c>
      <c r="AX286">
        <f ca="1">IFERROR(IF(0=LEN(ReferenceData!$AX$286),"",ReferenceData!$AX$286),"")</f>
        <v>850.20682729999999</v>
      </c>
      <c r="AY286">
        <f ca="1">IFERROR(IF(0=LEN(ReferenceData!$AY$286),"",ReferenceData!$AY$286),"")</f>
        <v>991.01229709999996</v>
      </c>
      <c r="AZ286">
        <f ca="1">IFERROR(IF(0=LEN(ReferenceData!$AZ$286),"",ReferenceData!$AZ$286),"")</f>
        <v>922.8694428</v>
      </c>
      <c r="BA286">
        <f ca="1">IFERROR(IF(0=LEN(ReferenceData!$BA$286),"",ReferenceData!$BA$286),"")</f>
        <v>803.30614419999995</v>
      </c>
      <c r="BB286">
        <f ca="1">IFERROR(IF(0=LEN(ReferenceData!$BB$286),"",ReferenceData!$BB$286),"")</f>
        <v>753.20476910000002</v>
      </c>
      <c r="BC286">
        <f ca="1">IFERROR(IF(0=LEN(ReferenceData!$BC$286),"",ReferenceData!$BC$286),"")</f>
        <v>718.46707600000002</v>
      </c>
      <c r="BD286">
        <f ca="1">IFERROR(IF(0=LEN(ReferenceData!$BD$286),"",ReferenceData!$BD$286),"")</f>
        <v>650.76282389999994</v>
      </c>
      <c r="BE286">
        <f ca="1">IFERROR(IF(0=LEN(ReferenceData!$BE$286),"",ReferenceData!$BE$286),"")</f>
        <v>590.11719660000006</v>
      </c>
      <c r="BF286">
        <f ca="1">IFERROR(IF(0=LEN(ReferenceData!$BF$286),"",ReferenceData!$BF$286),"")</f>
        <v>784.09233879999999</v>
      </c>
      <c r="BG286">
        <f ca="1">IFERROR(IF(0=LEN(ReferenceData!$BG$286),"",ReferenceData!$BG$286),"")</f>
        <v>769.26500559999999</v>
      </c>
      <c r="BH286">
        <f ca="1">IFERROR(IF(0=LEN(ReferenceData!$BH$286),"",ReferenceData!$BH$286),"")</f>
        <v>751.08167479999997</v>
      </c>
      <c r="BI286">
        <f ca="1">IFERROR(IF(0=LEN(ReferenceData!$BI$286),"",ReferenceData!$BI$286),"")</f>
        <v>740.57203960000004</v>
      </c>
      <c r="BJ286">
        <f ca="1">IFERROR(IF(0=LEN(ReferenceData!$BJ$286),"",ReferenceData!$BJ$286),"")</f>
        <v>687.99260870000001</v>
      </c>
      <c r="BK286">
        <f ca="1">IFERROR(IF(0=LEN(ReferenceData!$BK$286),"",ReferenceData!$BK$286),"")</f>
        <v>796.55804820000003</v>
      </c>
      <c r="BL286">
        <f ca="1">IFERROR(IF(0=LEN(ReferenceData!$BL$286),"",ReferenceData!$BL$286),"")</f>
        <v>595.57691079999995</v>
      </c>
      <c r="BM286">
        <f ca="1">IFERROR(IF(0=LEN(ReferenceData!$BM$286),"",ReferenceData!$BM$286),"")</f>
        <v>614.63465710000003</v>
      </c>
    </row>
    <row r="287" spans="1:65" x14ac:dyDescent="0.25">
      <c r="A287" t="str">
        <f>IFERROR(IF(0=LEN(ReferenceData!$A$287),"",ReferenceData!$A$287),"")</f>
        <v xml:space="preserve">    Toyota Motor Corp</v>
      </c>
      <c r="B287" t="str">
        <f>IFERROR(IF(0=LEN(ReferenceData!$B$287),"",ReferenceData!$B$287),"")</f>
        <v>7203 JP Equity</v>
      </c>
      <c r="C287" t="str">
        <f>IFERROR(IF(0=LEN(ReferenceData!$C$287),"",ReferenceData!$C$287),"")</f>
        <v>RR010</v>
      </c>
      <c r="D287" t="str">
        <f>IFERROR(IF(0=LEN(ReferenceData!$D$287),"",ReferenceData!$D$287),"")</f>
        <v>TOT_COMMON_EQY</v>
      </c>
      <c r="E287" t="str">
        <f>IFERROR(IF(0=LEN(ReferenceData!$E$287),"",ReferenceData!$E$287),"")</f>
        <v>Dynamic</v>
      </c>
      <c r="F287" t="str">
        <f ca="1">IFERROR(IF(0=LEN(ReferenceData!$F$287),"",ReferenceData!$F$287),"")</f>
        <v/>
      </c>
      <c r="G287">
        <f ca="1">IFERROR(IF(0=LEN(ReferenceData!$G$287),"",ReferenceData!$G$287),"")</f>
        <v>174076.5913</v>
      </c>
      <c r="H287">
        <f ca="1">IFERROR(IF(0=LEN(ReferenceData!$H$287),"",ReferenceData!$H$287),"")</f>
        <v>171906.5374</v>
      </c>
      <c r="I287">
        <f ca="1">IFERROR(IF(0=LEN(ReferenceData!$I$287),"",ReferenceData!$I$287),"")</f>
        <v>171031.92809999999</v>
      </c>
      <c r="J287">
        <f ca="1">IFERROR(IF(0=LEN(ReferenceData!$J$287),"",ReferenceData!$J$287),"")</f>
        <v>176388.45790000001</v>
      </c>
      <c r="K287">
        <f ca="1">IFERROR(IF(0=LEN(ReferenceData!$K$287),"",ReferenceData!$K$287),"")</f>
        <v>168737.67989999999</v>
      </c>
      <c r="L287">
        <f ca="1">IFERROR(IF(0=LEN(ReferenceData!$L$287),"",ReferenceData!$L$287),"")</f>
        <v>162080.39420000001</v>
      </c>
      <c r="M287">
        <f ca="1">IFERROR(IF(0=LEN(ReferenceData!$M$287),"",ReferenceData!$M$287),"")</f>
        <v>159094.64170000001</v>
      </c>
      <c r="N287">
        <f ca="1">IFERROR(IF(0=LEN(ReferenceData!$N$287),"",ReferenceData!$N$287),"")</f>
        <v>157351.64850000001</v>
      </c>
      <c r="O287">
        <f ca="1">IFERROR(IF(0=LEN(ReferenceData!$O$287),"",ReferenceData!$O$287),"")</f>
        <v>148261.5655</v>
      </c>
      <c r="P287">
        <f ca="1">IFERROR(IF(0=LEN(ReferenceData!$P$287),"",ReferenceData!$P$287),"")</f>
        <v>161608.08439999999</v>
      </c>
      <c r="Q287">
        <f ca="1">IFERROR(IF(0=LEN(ReferenceData!$Q$287),"",ReferenceData!$Q$287),"")</f>
        <v>156304.21549999999</v>
      </c>
      <c r="R287">
        <f ca="1">IFERROR(IF(0=LEN(ReferenceData!$R$287),"",ReferenceData!$R$287),"")</f>
        <v>148861.64439999999</v>
      </c>
      <c r="S287">
        <f ca="1">IFERROR(IF(0=LEN(ReferenceData!$S$287),"",ReferenceData!$S$287),"")</f>
        <v>143822.03829999999</v>
      </c>
      <c r="T287">
        <f ca="1">IFERROR(IF(0=LEN(ReferenceData!$T$287),"",ReferenceData!$T$287),"")</f>
        <v>142388.65210000001</v>
      </c>
      <c r="U287">
        <f ca="1">IFERROR(IF(0=LEN(ReferenceData!$U$287),"",ReferenceData!$U$287),"")</f>
        <v>140886.08749999999</v>
      </c>
      <c r="V287">
        <f ca="1">IFERROR(IF(0=LEN(ReferenceData!$V$287),"",ReferenceData!$V$287),"")</f>
        <v>139959.4081</v>
      </c>
      <c r="W287">
        <f ca="1">IFERROR(IF(0=LEN(ReferenceData!$W$287),"",ReferenceData!$W$287),"")</f>
        <v>136148.68160000001</v>
      </c>
      <c r="X287">
        <f ca="1">IFERROR(IF(0=LEN(ReferenceData!$X$287),"",ReferenceData!$X$287),"")</f>
        <v>141068.34760000001</v>
      </c>
      <c r="Y287">
        <f ca="1">IFERROR(IF(0=LEN(ReferenceData!$Y$287),"",ReferenceData!$Y$287),"")</f>
        <v>145266.39350000001</v>
      </c>
      <c r="Z287">
        <f ca="1">IFERROR(IF(0=LEN(ReferenceData!$Z$287),"",ReferenceData!$Z$287),"")</f>
        <v>140381.76000000001</v>
      </c>
      <c r="AA287">
        <f ca="1">IFERROR(IF(0=LEN(ReferenceData!$AA$287),"",ReferenceData!$AA$287),"")</f>
        <v>134999.95250000001</v>
      </c>
      <c r="AB287">
        <f ca="1">IFERROR(IF(0=LEN(ReferenceData!$AB$287),"",ReferenceData!$AB$287),"")</f>
        <v>136137.4198</v>
      </c>
      <c r="AC287">
        <f ca="1">IFERROR(IF(0=LEN(ReferenceData!$AC$287),"",ReferenceData!$AC$287),"")</f>
        <v>129845.3438</v>
      </c>
      <c r="AD287">
        <f ca="1">IFERROR(IF(0=LEN(ReferenceData!$AD$287),"",ReferenceData!$AD$287),"")</f>
        <v>128932.65760000001</v>
      </c>
      <c r="AE287">
        <f ca="1">IFERROR(IF(0=LEN(ReferenceData!$AE$287),"",ReferenceData!$AE$287),"")</f>
        <v>130013.6574</v>
      </c>
      <c r="AF287">
        <f ca="1">IFERROR(IF(0=LEN(ReferenceData!$AF$287),"",ReferenceData!$AF$287),"")</f>
        <v>137819.4944</v>
      </c>
      <c r="AG287">
        <f ca="1">IFERROR(IF(0=LEN(ReferenceData!$AG$287),"",ReferenceData!$AG$287),"")</f>
        <v>131707.49369999999</v>
      </c>
      <c r="AH287">
        <f ca="1">IFERROR(IF(0=LEN(ReferenceData!$AH$287),"",ReferenceData!$AH$287),"")</f>
        <v>127680.7576</v>
      </c>
      <c r="AI287">
        <f ca="1">IFERROR(IF(0=LEN(ReferenceData!$AI$287),"",ReferenceData!$AI$287),"")</f>
        <v>130196.9996</v>
      </c>
      <c r="AJ287">
        <f ca="1">IFERROR(IF(0=LEN(ReferenceData!$AJ$287),"",ReferenceData!$AJ$287),"")</f>
        <v>129847.4592</v>
      </c>
      <c r="AK287">
        <f ca="1">IFERROR(IF(0=LEN(ReferenceData!$AK$287),"",ReferenceData!$AK$287),"")</f>
        <v>127122.6912</v>
      </c>
      <c r="AL287">
        <f ca="1">IFERROR(IF(0=LEN(ReferenceData!$AL$287),"",ReferenceData!$AL$287),"")</f>
        <v>124741.893</v>
      </c>
      <c r="AM287">
        <f ca="1">IFERROR(IF(0=LEN(ReferenceData!$AM$287),"",ReferenceData!$AM$287),"")</f>
        <v>126000.0493</v>
      </c>
      <c r="AN287">
        <f ca="1">IFERROR(IF(0=LEN(ReferenceData!$AN$287),"",ReferenceData!$AN$287),"")</f>
        <v>122494.9437</v>
      </c>
      <c r="AO287">
        <f ca="1">IFERROR(IF(0=LEN(ReferenceData!$AO$287),"",ReferenceData!$AO$287),"")</f>
        <v>114992.1991</v>
      </c>
      <c r="AP287">
        <f ca="1">IFERROR(IF(0=LEN(ReferenceData!$AP$287),"",ReferenceData!$AP$287),"")</f>
        <v>110870.3232</v>
      </c>
      <c r="AQ287">
        <f ca="1">IFERROR(IF(0=LEN(ReferenceData!$AQ$287),"",ReferenceData!$AQ$287),"")</f>
        <v>108794.6317</v>
      </c>
      <c r="AR287">
        <f ca="1">IFERROR(IF(0=LEN(ReferenceData!$AR$287),"",ReferenceData!$AR$287),"")</f>
        <v>111213.86040000001</v>
      </c>
      <c r="AS287">
        <f ca="1">IFERROR(IF(0=LEN(ReferenceData!$AS$287),"",ReferenceData!$AS$287),"")</f>
        <v>104507.9734</v>
      </c>
      <c r="AT287">
        <f ca="1">IFERROR(IF(0=LEN(ReferenceData!$AT$287),"",ReferenceData!$AT$287),"")</f>
        <v>101270.32709999999</v>
      </c>
      <c r="AU287">
        <f ca="1">IFERROR(IF(0=LEN(ReferenceData!$AU$287),"",ReferenceData!$AU$287),"")</f>
        <v>118990.88009999999</v>
      </c>
      <c r="AV287">
        <f ca="1">IFERROR(IF(0=LEN(ReferenceData!$AV$287),"",ReferenceData!$AV$287),"")</f>
        <v>112317.4687</v>
      </c>
      <c r="AW287">
        <f ca="1">IFERROR(IF(0=LEN(ReferenceData!$AW$287),"",ReferenceData!$AW$287),"")</f>
        <v>115387.8708</v>
      </c>
      <c r="AX287">
        <f ca="1">IFERROR(IF(0=LEN(ReferenceData!$AX$287),"",ReferenceData!$AX$287),"")</f>
        <v>118861.67630000001</v>
      </c>
      <c r="AY287">
        <f ca="1">IFERROR(IF(0=LEN(ReferenceData!$AY$287),"",ReferenceData!$AY$287),"")</f>
        <v>111792.969</v>
      </c>
      <c r="AZ287">
        <f ca="1">IFERROR(IF(0=LEN(ReferenceData!$AZ$287),"",ReferenceData!$AZ$287),"")</f>
        <v>107850.7056</v>
      </c>
      <c r="BA287">
        <f ca="1">IFERROR(IF(0=LEN(ReferenceData!$BA$287),"",ReferenceData!$BA$287),"")</f>
        <v>99669.454809999996</v>
      </c>
      <c r="BB287">
        <f ca="1">IFERROR(IF(0=LEN(ReferenceData!$BB$287),"",ReferenceData!$BB$287),"")</f>
        <v>100655.6</v>
      </c>
      <c r="BC287">
        <f ca="1">IFERROR(IF(0=LEN(ReferenceData!$BC$287),"",ReferenceData!$BC$287),"")</f>
        <v>94648.354049999994</v>
      </c>
      <c r="BD287">
        <f ca="1">IFERROR(IF(0=LEN(ReferenceData!$BD$287),"",ReferenceData!$BD$287),"")</f>
        <v>93158.235889999996</v>
      </c>
      <c r="BE287">
        <f ca="1">IFERROR(IF(0=LEN(ReferenceData!$BE$287),"",ReferenceData!$BE$287),"")</f>
        <v>91315.558659999995</v>
      </c>
      <c r="BF287">
        <f ca="1">IFERROR(IF(0=LEN(ReferenceData!$BF$287),"",ReferenceData!$BF$287),"")</f>
        <v>89876.161699999997</v>
      </c>
      <c r="BG287">
        <f ca="1">IFERROR(IF(0=LEN(ReferenceData!$BG$287),"",ReferenceData!$BG$287),"")</f>
        <v>86416.02102</v>
      </c>
      <c r="BH287">
        <f ca="1">IFERROR(IF(0=LEN(ReferenceData!$BH$287),"",ReferenceData!$BH$287),"")</f>
        <v>85353.689679999996</v>
      </c>
      <c r="BI287">
        <f ca="1">IFERROR(IF(0=LEN(ReferenceData!$BI$287),"",ReferenceData!$BI$287),"")</f>
        <v>82643.108269999997</v>
      </c>
      <c r="BJ287">
        <f ca="1">IFERROR(IF(0=LEN(ReferenceData!$BJ$287),"",ReferenceData!$BJ$287),"")</f>
        <v>84374.533580000003</v>
      </c>
      <c r="BK287">
        <f ca="1">IFERROR(IF(0=LEN(ReferenceData!$BK$287),"",ReferenceData!$BK$287),"")</f>
        <v>85052.346109999999</v>
      </c>
      <c r="BL287">
        <f ca="1">IFERROR(IF(0=LEN(ReferenceData!$BL$287),"",ReferenceData!$BL$287),"")</f>
        <v>77704.684800000003</v>
      </c>
      <c r="BM287">
        <f ca="1">IFERROR(IF(0=LEN(ReferenceData!$BM$287),"",ReferenceData!$BM$287),"")</f>
        <v>76345.597510000007</v>
      </c>
    </row>
    <row r="288" spans="1:65" x14ac:dyDescent="0.25">
      <c r="A288" t="str">
        <f>IFERROR(IF(0=LEN(ReferenceData!$A$288),"",ReferenceData!$A$288),"")</f>
        <v xml:space="preserve">    Volkswagen AG</v>
      </c>
      <c r="B288" t="str">
        <f>IFERROR(IF(0=LEN(ReferenceData!$B$288),"",ReferenceData!$B$288),"")</f>
        <v>VOW GR Equity</v>
      </c>
      <c r="C288" t="str">
        <f>IFERROR(IF(0=LEN(ReferenceData!$C$288),"",ReferenceData!$C$288),"")</f>
        <v>RR010</v>
      </c>
      <c r="D288" t="str">
        <f>IFERROR(IF(0=LEN(ReferenceData!$D$288),"",ReferenceData!$D$288),"")</f>
        <v>TOT_COMMON_EQY</v>
      </c>
      <c r="E288" t="str">
        <f>IFERROR(IF(0=LEN(ReferenceData!$E$288),"",ReferenceData!$E$288),"")</f>
        <v>Dynamic</v>
      </c>
      <c r="F288" t="str">
        <f ca="1">IFERROR(IF(0=LEN(ReferenceData!$F$288),"",ReferenceData!$F$288),"")</f>
        <v/>
      </c>
      <c r="G288" t="str">
        <f ca="1">IFERROR(IF(0=LEN(ReferenceData!$G$288),"",ReferenceData!$G$288),"")</f>
        <v/>
      </c>
      <c r="H288">
        <f ca="1">IFERROR(IF(0=LEN(ReferenceData!$H$288),"",ReferenceData!$H$288),"")</f>
        <v>118158.5132</v>
      </c>
      <c r="I288">
        <f ca="1">IFERROR(IF(0=LEN(ReferenceData!$I$288),"",ReferenceData!$I$288),"")</f>
        <v>116593.6773</v>
      </c>
      <c r="J288">
        <f ca="1">IFERROR(IF(0=LEN(ReferenceData!$J$288),"",ReferenceData!$J$288),"")</f>
        <v>122604.342</v>
      </c>
      <c r="K288">
        <f ca="1">IFERROR(IF(0=LEN(ReferenceData!$K$288),"",ReferenceData!$K$288),"")</f>
        <v>117527.072</v>
      </c>
      <c r="L288">
        <f ca="1">IFERROR(IF(0=LEN(ReferenceData!$L$288),"",ReferenceData!$L$288),"")</f>
        <v>111652.8391</v>
      </c>
      <c r="M288">
        <f ca="1">IFERROR(IF(0=LEN(ReferenceData!$M$288),"",ReferenceData!$M$288),"")</f>
        <v>106412.5294</v>
      </c>
      <c r="N288">
        <f ca="1">IFERROR(IF(0=LEN(ReferenceData!$N$288),"",ReferenceData!$N$288),"")</f>
        <v>104573.872</v>
      </c>
      <c r="O288">
        <f ca="1">IFERROR(IF(0=LEN(ReferenceData!$O$288),"",ReferenceData!$O$288),"")</f>
        <v>89778.1734</v>
      </c>
      <c r="P288">
        <f ca="1">IFERROR(IF(0=LEN(ReferenceData!$P$288),"",ReferenceData!$P$288),"")</f>
        <v>93330.504400000005</v>
      </c>
      <c r="Q288">
        <f ca="1">IFERROR(IF(0=LEN(ReferenceData!$Q$288),"",ReferenceData!$Q$288),"")</f>
        <v>89864.038799999995</v>
      </c>
      <c r="R288">
        <f ca="1">IFERROR(IF(0=LEN(ReferenceData!$R$288),"",ReferenceData!$R$288),"")</f>
        <v>93201.285199999998</v>
      </c>
      <c r="S288">
        <f ca="1">IFERROR(IF(0=LEN(ReferenceData!$S$288),"",ReferenceData!$S$288),"")</f>
        <v>87471.3</v>
      </c>
      <c r="T288">
        <f ca="1">IFERROR(IF(0=LEN(ReferenceData!$T$288),"",ReferenceData!$T$288),"")</f>
        <v>96054.498200000002</v>
      </c>
      <c r="U288">
        <f ca="1">IFERROR(IF(0=LEN(ReferenceData!$U$288),"",ReferenceData!$U$288),"")</f>
        <v>98639.362599999993</v>
      </c>
      <c r="V288">
        <f ca="1">IFERROR(IF(0=LEN(ReferenceData!$V$288),"",ReferenceData!$V$288),"")</f>
        <v>87551.207999999999</v>
      </c>
      <c r="W288">
        <f ca="1">IFERROR(IF(0=LEN(ReferenceData!$W$288),"",ReferenceData!$W$288),"")</f>
        <v>102789.5</v>
      </c>
      <c r="X288">
        <f ca="1">IFERROR(IF(0=LEN(ReferenceData!$X$288),"",ReferenceData!$X$288),"")</f>
        <v>108365.6603</v>
      </c>
      <c r="Y288">
        <f ca="1">IFERROR(IF(0=LEN(ReferenceData!$Y$288),"",ReferenceData!$Y$288),"")</f>
        <v>115675.024</v>
      </c>
      <c r="Z288">
        <f ca="1">IFERROR(IF(0=LEN(ReferenceData!$Z$288),"",ReferenceData!$Z$288),"")</f>
        <v>110218.69319999999</v>
      </c>
      <c r="AA288">
        <f ca="1">IFERROR(IF(0=LEN(ReferenceData!$AA$288),"",ReferenceData!$AA$288),"")</f>
        <v>118211.7181</v>
      </c>
      <c r="AB288">
        <f ca="1">IFERROR(IF(0=LEN(ReferenceData!$AB$288),"",ReferenceData!$AB$288),"")</f>
        <v>113157.0468</v>
      </c>
      <c r="AC288">
        <f ca="1">IFERROR(IF(0=LEN(ReferenceData!$AC$288),"",ReferenceData!$AC$288),"")</f>
        <v>105842.493</v>
      </c>
      <c r="AD288">
        <f ca="1">IFERROR(IF(0=LEN(ReferenceData!$AD$288),"",ReferenceData!$AD$288),"")</f>
        <v>102566.1009</v>
      </c>
      <c r="AE288">
        <f ca="1">IFERROR(IF(0=LEN(ReferenceData!$AE$288),"",ReferenceData!$AE$288),"")</f>
        <v>102516.9354</v>
      </c>
      <c r="AF288">
        <f ca="1">IFERROR(IF(0=LEN(ReferenceData!$AF$288),"",ReferenceData!$AF$288),"")</f>
        <v>95393.133600000001</v>
      </c>
      <c r="AG288">
        <f ca="1">IFERROR(IF(0=LEN(ReferenceData!$AG$288),"",ReferenceData!$AG$288),"")</f>
        <v>78805.609200000006</v>
      </c>
      <c r="AH288">
        <f ca="1">IFERROR(IF(0=LEN(ReferenceData!$AH$288),"",ReferenceData!$AH$288),"")</f>
        <v>80975.901599999997</v>
      </c>
      <c r="AI288">
        <f ca="1">IFERROR(IF(0=LEN(ReferenceData!$AI$288),"",ReferenceData!$AI$288),"")</f>
        <v>74570.543999999994</v>
      </c>
      <c r="AJ288">
        <f ca="1">IFERROR(IF(0=LEN(ReferenceData!$AJ$288),"",ReferenceData!$AJ$288),"")</f>
        <v>77341.164300000004</v>
      </c>
      <c r="AK288">
        <f ca="1">IFERROR(IF(0=LEN(ReferenceData!$AK$288),"",ReferenceData!$AK$288),"")</f>
        <v>76929.118000000002</v>
      </c>
      <c r="AL288">
        <f ca="1">IFERROR(IF(0=LEN(ReferenceData!$AL$288),"",ReferenceData!$AL$288),"")</f>
        <v>70047.516000000003</v>
      </c>
      <c r="AM288">
        <f ca="1">IFERROR(IF(0=LEN(ReferenceData!$AM$288),"",ReferenceData!$AM$288),"")</f>
        <v>61454.194799999997</v>
      </c>
      <c r="AN288">
        <f ca="1">IFERROR(IF(0=LEN(ReferenceData!$AN$288),"",ReferenceData!$AN$288),"")</f>
        <v>57356.544000000002</v>
      </c>
      <c r="AO288">
        <f ca="1">IFERROR(IF(0=LEN(ReferenceData!$AO$288),"",ReferenceData!$AO$288),"")</f>
        <v>47222.543899999997</v>
      </c>
      <c r="AP288">
        <f ca="1">IFERROR(IF(0=LEN(ReferenceData!$AP$288),"",ReferenceData!$AP$288),"")</f>
        <v>53574.440399999999</v>
      </c>
      <c r="AQ288">
        <f ca="1">IFERROR(IF(0=LEN(ReferenceData!$AQ$288),"",ReferenceData!$AQ$288),"")</f>
        <v>50561.201099999998</v>
      </c>
      <c r="AR288">
        <f ca="1">IFERROR(IF(0=LEN(ReferenceData!$AR$288),"",ReferenceData!$AR$288),"")</f>
        <v>51719.076000000001</v>
      </c>
      <c r="AS288">
        <f ca="1">IFERROR(IF(0=LEN(ReferenceData!$AS$288),"",ReferenceData!$AS$288),"")</f>
        <v>48343.24</v>
      </c>
      <c r="AT288">
        <f ca="1">IFERROR(IF(0=LEN(ReferenceData!$AT$288),"",ReferenceData!$AT$288),"")</f>
        <v>46149.366499999996</v>
      </c>
      <c r="AU288">
        <f ca="1">IFERROR(IF(0=LEN(ReferenceData!$AU$288),"",ReferenceData!$AU$288),"")</f>
        <v>48850.848299999998</v>
      </c>
      <c r="AV288">
        <f ca="1">IFERROR(IF(0=LEN(ReferenceData!$AV$288),"",ReferenceData!$AV$288),"")</f>
        <v>50345.027199999997</v>
      </c>
      <c r="AW288">
        <f ca="1">IFERROR(IF(0=LEN(ReferenceData!$AW$288),"",ReferenceData!$AW$288),"")</f>
        <v>55233.36</v>
      </c>
      <c r="AX288">
        <f ca="1">IFERROR(IF(0=LEN(ReferenceData!$AX$288),"",ReferenceData!$AX$288),"")</f>
        <v>53409.125599999999</v>
      </c>
      <c r="AY288">
        <f ca="1">IFERROR(IF(0=LEN(ReferenceData!$AY$288),"",ReferenceData!$AY$288),"")</f>
        <v>46483.3125</v>
      </c>
      <c r="AZ288">
        <f ca="1">IFERROR(IF(0=LEN(ReferenceData!$AZ$288),"",ReferenceData!$AZ$288),"")</f>
        <v>42751.9755</v>
      </c>
      <c r="BA288">
        <f ca="1">IFERROR(IF(0=LEN(ReferenceData!$BA$288),"",ReferenceData!$BA$288),"")</f>
        <v>39008.393199999999</v>
      </c>
      <c r="BB288">
        <f ca="1">IFERROR(IF(0=LEN(ReferenceData!$BB$288),"",ReferenceData!$BB$288),"")</f>
        <v>36962.792399999998</v>
      </c>
      <c r="BC288">
        <f ca="1">IFERROR(IF(0=LEN(ReferenceData!$BC$288),"",ReferenceData!$BC$288),"")</f>
        <v>35483.685599999997</v>
      </c>
      <c r="BD288">
        <f ca="1">IFERROR(IF(0=LEN(ReferenceData!$BD$288),"",ReferenceData!$BD$288),"")</f>
        <v>31930.662</v>
      </c>
      <c r="BE288">
        <f ca="1">IFERROR(IF(0=LEN(ReferenceData!$BE$288),"",ReferenceData!$BE$288),"")</f>
        <v>32045.602500000001</v>
      </c>
      <c r="BF288">
        <f ca="1">IFERROR(IF(0=LEN(ReferenceData!$BF$288),"",ReferenceData!$BF$288),"")</f>
        <v>29414.010900000001</v>
      </c>
      <c r="BG288">
        <f ca="1">IFERROR(IF(0=LEN(ReferenceData!$BG$288),"",ReferenceData!$BG$288),"")</f>
        <v>27925.88</v>
      </c>
      <c r="BH288">
        <f ca="1">IFERROR(IF(0=LEN(ReferenceData!$BH$288),"",ReferenceData!$BH$288),"")</f>
        <v>30138.758999999998</v>
      </c>
      <c r="BI288">
        <f ca="1">IFERROR(IF(0=LEN(ReferenceData!$BI$288),"",ReferenceData!$BI$288),"")</f>
        <v>29459.774600000001</v>
      </c>
      <c r="BJ288">
        <f ca="1">IFERROR(IF(0=LEN(ReferenceData!$BJ$288),"",ReferenceData!$BJ$288),"")</f>
        <v>31254.176800000001</v>
      </c>
      <c r="BK288">
        <f ca="1">IFERROR(IF(0=LEN(ReferenceData!$BK$288),"",ReferenceData!$BK$288),"")</f>
        <v>30682.650399999999</v>
      </c>
      <c r="BL288">
        <f ca="1">IFERROR(IF(0=LEN(ReferenceData!$BL$288),"",ReferenceData!$BL$288),"")</f>
        <v>30627.563200000001</v>
      </c>
      <c r="BM288">
        <f ca="1">IFERROR(IF(0=LEN(ReferenceData!$BM$288),"",ReferenceData!$BM$288),"")</f>
        <v>29985.632900000001</v>
      </c>
    </row>
    <row r="289" spans="1:65" x14ac:dyDescent="0.25">
      <c r="A289" t="str">
        <f>IFERROR(IF(0=LEN(ReferenceData!$A$289),"",ReferenceData!$A$289),"")</f>
        <v xml:space="preserve">    Yulon Motor Co Ltd</v>
      </c>
      <c r="B289" t="str">
        <f>IFERROR(IF(0=LEN(ReferenceData!$B$289),"",ReferenceData!$B$289),"")</f>
        <v>2201 TT Equity</v>
      </c>
      <c r="C289" t="str">
        <f>IFERROR(IF(0=LEN(ReferenceData!$C$289),"",ReferenceData!$C$289),"")</f>
        <v>RR010</v>
      </c>
      <c r="D289" t="str">
        <f>IFERROR(IF(0=LEN(ReferenceData!$D$289),"",ReferenceData!$D$289),"")</f>
        <v>TOT_COMMON_EQY</v>
      </c>
      <c r="E289" t="str">
        <f>IFERROR(IF(0=LEN(ReferenceData!$E$289),"",ReferenceData!$E$289),"")</f>
        <v>Dynamic</v>
      </c>
      <c r="F289" t="str">
        <f ca="1">IFERROR(IF(0=LEN(ReferenceData!$F$289),"",ReferenceData!$F$289),"")</f>
        <v/>
      </c>
      <c r="G289" t="str">
        <f ca="1">IFERROR(IF(0=LEN(ReferenceData!$G$289),"",ReferenceData!$G$289),"")</f>
        <v/>
      </c>
      <c r="H289">
        <f ca="1">IFERROR(IF(0=LEN(ReferenceData!$H$289),"",ReferenceData!$H$289),"")</f>
        <v>2344.3102509999999</v>
      </c>
      <c r="I289">
        <f ca="1">IFERROR(IF(0=LEN(ReferenceData!$I$289),"",ReferenceData!$I$289),"")</f>
        <v>2359.6216789999999</v>
      </c>
      <c r="J289">
        <f ca="1">IFERROR(IF(0=LEN(ReferenceData!$J$289),"",ReferenceData!$J$289),"")</f>
        <v>2500.061972</v>
      </c>
      <c r="K289">
        <f ca="1">IFERROR(IF(0=LEN(ReferenceData!$K$289),"",ReferenceData!$K$289),"")</f>
        <v>2373.9308030000002</v>
      </c>
      <c r="L289">
        <f ca="1">IFERROR(IF(0=LEN(ReferenceData!$L$289),"",ReferenceData!$L$289),"")</f>
        <v>2333.6631670000002</v>
      </c>
      <c r="M289">
        <f ca="1">IFERROR(IF(0=LEN(ReferenceData!$M$289),"",ReferenceData!$M$289),"")</f>
        <v>2289.135205</v>
      </c>
      <c r="N289">
        <f ca="1">IFERROR(IF(0=LEN(ReferenceData!$N$289),"",ReferenceData!$N$289),"")</f>
        <v>2296.0968509999998</v>
      </c>
      <c r="O289">
        <f ca="1">IFERROR(IF(0=LEN(ReferenceData!$O$289),"",ReferenceData!$O$289),"")</f>
        <v>2152.1484890000002</v>
      </c>
      <c r="P289">
        <f ca="1">IFERROR(IF(0=LEN(ReferenceData!$P$289),"",ReferenceData!$P$289),"")</f>
        <v>2263.5660269999998</v>
      </c>
      <c r="Q289">
        <f ca="1">IFERROR(IF(0=LEN(ReferenceData!$Q$289),"",ReferenceData!$Q$289),"")</f>
        <v>2198.4699620000001</v>
      </c>
      <c r="R289">
        <f ca="1">IFERROR(IF(0=LEN(ReferenceData!$R$289),"",ReferenceData!$R$289),"")</f>
        <v>2233.7122049999998</v>
      </c>
      <c r="S289">
        <f ca="1">IFERROR(IF(0=LEN(ReferenceData!$S$289),"",ReferenceData!$S$289),"")</f>
        <v>2171.525216</v>
      </c>
      <c r="T289">
        <f ca="1">IFERROR(IF(0=LEN(ReferenceData!$T$289),"",ReferenceData!$T$289),"")</f>
        <v>2154.334222</v>
      </c>
      <c r="U289">
        <f ca="1">IFERROR(IF(0=LEN(ReferenceData!$U$289),"",ReferenceData!$U$289),"")</f>
        <v>2259.8780430000002</v>
      </c>
      <c r="V289">
        <f ca="1">IFERROR(IF(0=LEN(ReferenceData!$V$289),"",ReferenceData!$V$289),"")</f>
        <v>2256.9950720000002</v>
      </c>
      <c r="W289">
        <f ca="1">IFERROR(IF(0=LEN(ReferenceData!$W$289),"",ReferenceData!$W$289),"")</f>
        <v>2213.8910470000001</v>
      </c>
      <c r="X289">
        <f ca="1">IFERROR(IF(0=LEN(ReferenceData!$X$289),"",ReferenceData!$X$289),"")</f>
        <v>2278.7914059999998</v>
      </c>
      <c r="Y289">
        <f ca="1">IFERROR(IF(0=LEN(ReferenceData!$Y$289),"",ReferenceData!$Y$289),"")</f>
        <v>2269.4609310000001</v>
      </c>
      <c r="Z289">
        <f ca="1">IFERROR(IF(0=LEN(ReferenceData!$Z$289),"",ReferenceData!$Z$289),"")</f>
        <v>2259.4212579999999</v>
      </c>
      <c r="AA289">
        <f ca="1">IFERROR(IF(0=LEN(ReferenceData!$AA$289),"",ReferenceData!$AA$289),"")</f>
        <v>2270.9463059999998</v>
      </c>
      <c r="AB289">
        <f ca="1">IFERROR(IF(0=LEN(ReferenceData!$AB$289),"",ReferenceData!$AB$289),"")</f>
        <v>2289.1368400000001</v>
      </c>
      <c r="AC289">
        <f ca="1">IFERROR(IF(0=LEN(ReferenceData!$AC$289),"",ReferenceData!$AC$289),"")</f>
        <v>2237.1892050000001</v>
      </c>
      <c r="AD289">
        <f ca="1">IFERROR(IF(0=LEN(ReferenceData!$AD$289),"",ReferenceData!$AD$289),"")</f>
        <v>2242.359371</v>
      </c>
      <c r="AE289">
        <f ca="1">IFERROR(IF(0=LEN(ReferenceData!$AE$289),"",ReferenceData!$AE$289),"")</f>
        <v>2244.1211130000002</v>
      </c>
      <c r="AF289">
        <f ca="1">IFERROR(IF(0=LEN(ReferenceData!$AF$289),"",ReferenceData!$AF$289),"")</f>
        <v>2204.9492959999998</v>
      </c>
      <c r="AG289">
        <f ca="1">IFERROR(IF(0=LEN(ReferenceData!$AG$289),"",ReferenceData!$AG$289),"")</f>
        <v>2147.6139669999998</v>
      </c>
      <c r="AH289">
        <f ca="1">IFERROR(IF(0=LEN(ReferenceData!$AH$289),"",ReferenceData!$AH$289),"")</f>
        <v>2207.7328090000001</v>
      </c>
      <c r="AI289">
        <f ca="1">IFERROR(IF(0=LEN(ReferenceData!$AI$289),"",ReferenceData!$AI$289),"")</f>
        <v>2129.777701</v>
      </c>
      <c r="AJ289">
        <f ca="1">IFERROR(IF(0=LEN(ReferenceData!$AJ$289),"",ReferenceData!$AJ$289),"")</f>
        <v>2112.6060430000002</v>
      </c>
      <c r="AK289">
        <f ca="1">IFERROR(IF(0=LEN(ReferenceData!$AK$289),"",ReferenceData!$AK$289),"")</f>
        <v>2193.9951489999999</v>
      </c>
      <c r="AL289">
        <f ca="1">IFERROR(IF(0=LEN(ReferenceData!$AL$289),"",ReferenceData!$AL$289),"")</f>
        <v>2182.1394949999999</v>
      </c>
      <c r="AM289">
        <f ca="1">IFERROR(IF(0=LEN(ReferenceData!$AM$289),"",ReferenceData!$AM$289),"")</f>
        <v>2134.8847620000001</v>
      </c>
      <c r="AN289">
        <f ca="1">IFERROR(IF(0=LEN(ReferenceData!$AN$289),"",ReferenceData!$AN$289),"")</f>
        <v>1974.289804</v>
      </c>
      <c r="AO289">
        <f ca="1">IFERROR(IF(0=LEN(ReferenceData!$AO$289),"",ReferenceData!$AO$289),"")</f>
        <v>1897.8382300000001</v>
      </c>
      <c r="AP289">
        <f ca="1">IFERROR(IF(0=LEN(ReferenceData!$AP$289),"",ReferenceData!$AP$289),"")</f>
        <v>1911.6945209999999</v>
      </c>
      <c r="AQ289">
        <f ca="1">IFERROR(IF(0=LEN(ReferenceData!$AQ$289),"",ReferenceData!$AQ$289),"")</f>
        <v>1860.740722</v>
      </c>
      <c r="AR289">
        <f ca="1">IFERROR(IF(0=LEN(ReferenceData!$AR$289),"",ReferenceData!$AR$289),"")</f>
        <v>1844.226359</v>
      </c>
      <c r="AS289">
        <f ca="1">IFERROR(IF(0=LEN(ReferenceData!$AS$289),"",ReferenceData!$AS$289),"")</f>
        <v>1785.009906</v>
      </c>
      <c r="AT289">
        <f ca="1">IFERROR(IF(0=LEN(ReferenceData!$AT$289),"",ReferenceData!$AT$289),"")</f>
        <v>1712.7372909999999</v>
      </c>
      <c r="AU289">
        <f ca="1">IFERROR(IF(0=LEN(ReferenceData!$AU$289),"",ReferenceData!$AU$289),"")</f>
        <v>1749.4152650000001</v>
      </c>
      <c r="AV289">
        <f ca="1">IFERROR(IF(0=LEN(ReferenceData!$AV$289),"",ReferenceData!$AV$289),"")</f>
        <v>1813.967701</v>
      </c>
      <c r="AW289">
        <f ca="1">IFERROR(IF(0=LEN(ReferenceData!$AW$289),"",ReferenceData!$AW$289),"")</f>
        <v>1903.0553359999999</v>
      </c>
      <c r="AX289">
        <f ca="1">IFERROR(IF(0=LEN(ReferenceData!$AX$289),"",ReferenceData!$AX$289),"")</f>
        <v>1947.113265</v>
      </c>
      <c r="AY289" t="str">
        <f ca="1">IFERROR(IF(0=LEN(ReferenceData!$AY$289),"",ReferenceData!$AY$289),"")</f>
        <v/>
      </c>
      <c r="AZ289" t="str">
        <f ca="1">IFERROR(IF(0=LEN(ReferenceData!$AZ$289),"",ReferenceData!$AZ$289),"")</f>
        <v/>
      </c>
      <c r="BA289" t="str">
        <f ca="1">IFERROR(IF(0=LEN(ReferenceData!$BA$289),"",ReferenceData!$BA$289),"")</f>
        <v/>
      </c>
      <c r="BB289" t="str">
        <f ca="1">IFERROR(IF(0=LEN(ReferenceData!$BB$289),"",ReferenceData!$BB$289),"")</f>
        <v/>
      </c>
      <c r="BC289" t="str">
        <f ca="1">IFERROR(IF(0=LEN(ReferenceData!$BC$289),"",ReferenceData!$BC$289),"")</f>
        <v/>
      </c>
      <c r="BD289" t="str">
        <f ca="1">IFERROR(IF(0=LEN(ReferenceData!$BD$289),"",ReferenceData!$BD$289),"")</f>
        <v/>
      </c>
      <c r="BE289" t="str">
        <f ca="1">IFERROR(IF(0=LEN(ReferenceData!$BE$289),"",ReferenceData!$BE$289),"")</f>
        <v/>
      </c>
      <c r="BF289" t="str">
        <f ca="1">IFERROR(IF(0=LEN(ReferenceData!$BF$289),"",ReferenceData!$BF$289),"")</f>
        <v/>
      </c>
      <c r="BG289" t="str">
        <f ca="1">IFERROR(IF(0=LEN(ReferenceData!$BG$289),"",ReferenceData!$BG$289),"")</f>
        <v/>
      </c>
      <c r="BH289" t="str">
        <f ca="1">IFERROR(IF(0=LEN(ReferenceData!$BH$289),"",ReferenceData!$BH$289),"")</f>
        <v/>
      </c>
      <c r="BI289" t="str">
        <f ca="1">IFERROR(IF(0=LEN(ReferenceData!$BI$289),"",ReferenceData!$BI$289),"")</f>
        <v/>
      </c>
      <c r="BJ289" t="str">
        <f ca="1">IFERROR(IF(0=LEN(ReferenceData!$BJ$289),"",ReferenceData!$BJ$289),"")</f>
        <v/>
      </c>
      <c r="BK289" t="str">
        <f ca="1">IFERROR(IF(0=LEN(ReferenceData!$BK$289),"",ReferenceData!$BK$289),"")</f>
        <v/>
      </c>
      <c r="BL289" t="str">
        <f ca="1">IFERROR(IF(0=LEN(ReferenceData!$BL$289),"",ReferenceData!$BL$289),"")</f>
        <v/>
      </c>
      <c r="BM289" t="str">
        <f ca="1">IFERROR(IF(0=LEN(ReferenceData!$BM$289),"",ReferenceData!$BM$289),"")</f>
        <v/>
      </c>
    </row>
    <row r="290" spans="1:65" x14ac:dyDescent="0.25">
      <c r="A290" t="str">
        <f>IFERROR(IF(0=LEN(ReferenceData!$A$290),"",ReferenceData!$A$290),"")</f>
        <v>Tangible Book Value</v>
      </c>
      <c r="B290" t="str">
        <f>IFERROR(IF(0=LEN(ReferenceData!$B$290),"",ReferenceData!$B$290),"")</f>
        <v/>
      </c>
      <c r="C290" t="str">
        <f>IFERROR(IF(0=LEN(ReferenceData!$C$290),"",ReferenceData!$C$290),"")</f>
        <v/>
      </c>
      <c r="D290" t="str">
        <f>IFERROR(IF(0=LEN(ReferenceData!$D$290),"",ReferenceData!$D$290),"")</f>
        <v/>
      </c>
      <c r="E290" t="str">
        <f>IFERROR(IF(0=LEN(ReferenceData!$E$290),"",ReferenceData!$E$290),"")</f>
        <v>Average</v>
      </c>
      <c r="F290" t="str">
        <f ca="1">IFERROR(IF(0=LEN(ReferenceData!$F$290),"",ReferenceData!$F$290),"")</f>
        <v/>
      </c>
      <c r="G290">
        <f ca="1">IFERROR(IF(0=LEN(ReferenceData!$G$290),"",ReferenceData!$G$290),"")</f>
        <v>33239.519719078569</v>
      </c>
      <c r="H290">
        <f ca="1">IFERROR(IF(0=LEN(ReferenceData!$H$290),"",ReferenceData!$H$290),"")</f>
        <v>22631.949716690324</v>
      </c>
      <c r="I290">
        <f ca="1">IFERROR(IF(0=LEN(ReferenceData!$I$290),"",ReferenceData!$I$290),"")</f>
        <v>23178.179756296664</v>
      </c>
      <c r="J290">
        <f ca="1">IFERROR(IF(0=LEN(ReferenceData!$J$290),"",ReferenceData!$J$290),"")</f>
        <v>23011.827310721997</v>
      </c>
      <c r="K290">
        <f ca="1">IFERROR(IF(0=LEN(ReferenceData!$K$290),"",ReferenceData!$K$290),"")</f>
        <v>23120.72243841576</v>
      </c>
      <c r="L290">
        <f ca="1">IFERROR(IF(0=LEN(ReferenceData!$L$290),"",ReferenceData!$L$290),"")</f>
        <v>21646.666340565171</v>
      </c>
      <c r="M290">
        <f ca="1">IFERROR(IF(0=LEN(ReferenceData!$M$290),"",ReferenceData!$M$290),"")</f>
        <v>21072.104130348278</v>
      </c>
      <c r="N290">
        <f ca="1">IFERROR(IF(0=LEN(ReferenceData!$N$290),"",ReferenceData!$N$290),"")</f>
        <v>19898.088173516666</v>
      </c>
      <c r="O290">
        <f ca="1">IFERROR(IF(0=LEN(ReferenceData!$O$290),"",ReferenceData!$O$290),"")</f>
        <v>14923.016394155175</v>
      </c>
      <c r="P290">
        <f ca="1">IFERROR(IF(0=LEN(ReferenceData!$P$290),"",ReferenceData!$P$290),"")</f>
        <v>14971.93850864074</v>
      </c>
      <c r="Q290">
        <f ca="1">IFERROR(IF(0=LEN(ReferenceData!$Q$290),"",ReferenceData!$Q$290),"")</f>
        <v>14999.756236723078</v>
      </c>
      <c r="R290">
        <f ca="1">IFERROR(IF(0=LEN(ReferenceData!$R$290),"",ReferenceData!$R$290),"")</f>
        <v>18867.717278931032</v>
      </c>
      <c r="S290">
        <f ca="1">IFERROR(IF(0=LEN(ReferenceData!$S$290),"",ReferenceData!$S$290),"")</f>
        <v>13756.323708440003</v>
      </c>
      <c r="T290">
        <f ca="1">IFERROR(IF(0=LEN(ReferenceData!$T$290),"",ReferenceData!$T$290),"")</f>
        <v>13258.043801532069</v>
      </c>
      <c r="U290">
        <f ca="1">IFERROR(IF(0=LEN(ReferenceData!$U$290),"",ReferenceData!$U$290),"")</f>
        <v>14065.955558125926</v>
      </c>
      <c r="V290">
        <f ca="1">IFERROR(IF(0=LEN(ReferenceData!$V$290),"",ReferenceData!$V$290),"")</f>
        <v>17913.461030628572</v>
      </c>
      <c r="W290">
        <f ca="1">IFERROR(IF(0=LEN(ReferenceData!$W$290),"",ReferenceData!$W$290),"")</f>
        <v>12479.324352260714</v>
      </c>
      <c r="X290">
        <f ca="1">IFERROR(IF(0=LEN(ReferenceData!$X$290),"",ReferenceData!$X$290),"")</f>
        <v>12499.667600807405</v>
      </c>
      <c r="Y290">
        <f ca="1">IFERROR(IF(0=LEN(ReferenceData!$Y$290),"",ReferenceData!$Y$290),"")</f>
        <v>13948.208020168002</v>
      </c>
      <c r="Z290">
        <f ca="1">IFERROR(IF(0=LEN(ReferenceData!$Z$290),"",ReferenceData!$Z$290),"")</f>
        <v>19131.448804914289</v>
      </c>
      <c r="AA290">
        <f ca="1">IFERROR(IF(0=LEN(ReferenceData!$AA$290),"",ReferenceData!$AA$290),"")</f>
        <v>13374.076313755557</v>
      </c>
      <c r="AB290">
        <f ca="1">IFERROR(IF(0=LEN(ReferenceData!$AB$290),"",ReferenceData!$AB$290),"")</f>
        <v>12432.131726914075</v>
      </c>
      <c r="AC290">
        <f ca="1">IFERROR(IF(0=LEN(ReferenceData!$AC$290),"",ReferenceData!$AC$290),"")</f>
        <v>11742.496132173077</v>
      </c>
      <c r="AD290">
        <f ca="1">IFERROR(IF(0=LEN(ReferenceData!$AD$290),"",ReferenceData!$AD$290),"")</f>
        <v>16393.001470689655</v>
      </c>
      <c r="AE290">
        <f ca="1">IFERROR(IF(0=LEN(ReferenceData!$AE$290),"",ReferenceData!$AE$290),"")</f>
        <v>10638.274861596299</v>
      </c>
      <c r="AF290">
        <f ca="1">IFERROR(IF(0=LEN(ReferenceData!$AF$290),"",ReferenceData!$AF$290),"")</f>
        <v>10151.074116792308</v>
      </c>
      <c r="AG290">
        <f ca="1">IFERROR(IF(0=LEN(ReferenceData!$AG$290),"",ReferenceData!$AG$290),"")</f>
        <v>10983.460105808004</v>
      </c>
      <c r="AH290">
        <f ca="1">IFERROR(IF(0=LEN(ReferenceData!$AH$290),"",ReferenceData!$AH$290),"")</f>
        <v>16818.658618274072</v>
      </c>
      <c r="AI290">
        <f ca="1">IFERROR(IF(0=LEN(ReferenceData!$AI$290),"",ReferenceData!$AI$290),"")</f>
        <v>10025.959390168002</v>
      </c>
      <c r="AJ290">
        <f ca="1">IFERROR(IF(0=LEN(ReferenceData!$AJ$290),"",ReferenceData!$AJ$290),"")</f>
        <v>10144.023671764002</v>
      </c>
      <c r="AK290">
        <f ca="1">IFERROR(IF(0=LEN(ReferenceData!$AK$290),"",ReferenceData!$AK$290),"")</f>
        <v>10767.7396269</v>
      </c>
      <c r="AL290">
        <f ca="1">IFERROR(IF(0=LEN(ReferenceData!$AL$290),"",ReferenceData!$AL$290),"")</f>
        <v>14915.245917903703</v>
      </c>
      <c r="AM290">
        <f ca="1">IFERROR(IF(0=LEN(ReferenceData!$AM$290),"",ReferenceData!$AM$290),"")</f>
        <v>8265.8518994800015</v>
      </c>
      <c r="AN290">
        <f ca="1">IFERROR(IF(0=LEN(ReferenceData!$AN$290),"",ReferenceData!$AN$290),"")</f>
        <v>7011.1340516499995</v>
      </c>
      <c r="AO290">
        <f ca="1">IFERROR(IF(0=LEN(ReferenceData!$AO$290),"",ReferenceData!$AO$290),"")</f>
        <v>5848.0272160227269</v>
      </c>
      <c r="AP290">
        <f ca="1">IFERROR(IF(0=LEN(ReferenceData!$AP$290),"",ReferenceData!$AP$290),"")</f>
        <v>11300.778000375998</v>
      </c>
      <c r="AQ290">
        <f ca="1">IFERROR(IF(0=LEN(ReferenceData!$AQ$290),"",ReferenceData!$AQ$290),"")</f>
        <v>5060.931571073912</v>
      </c>
      <c r="AR290">
        <f ca="1">IFERROR(IF(0=LEN(ReferenceData!$AR$290),"",ReferenceData!$AR$290),"")</f>
        <v>5123.6545253090917</v>
      </c>
      <c r="AS290">
        <f ca="1">IFERROR(IF(0=LEN(ReferenceData!$AS$290),"",ReferenceData!$AS$290),"")</f>
        <v>6451.4312622450007</v>
      </c>
      <c r="AT290">
        <f ca="1">IFERROR(IF(0=LEN(ReferenceData!$AT$290),"",ReferenceData!$AT$290),"")</f>
        <v>11235.339433508696</v>
      </c>
      <c r="AU290">
        <f ca="1">IFERROR(IF(0=LEN(ReferenceData!$AU$290),"",ReferenceData!$AU$290),"")</f>
        <v>6831.2019217157913</v>
      </c>
      <c r="AV290">
        <f ca="1">IFERROR(IF(0=LEN(ReferenceData!$AV$290),"",ReferenceData!$AV$290),"")</f>
        <v>7800.1921653578938</v>
      </c>
      <c r="AW290">
        <f ca="1">IFERROR(IF(0=LEN(ReferenceData!$AW$290),"",ReferenceData!$AW$290),"")</f>
        <v>9051.3395022105251</v>
      </c>
      <c r="AX290">
        <f ca="1">IFERROR(IF(0=LEN(ReferenceData!$AX$290),"",ReferenceData!$AX$290),"")</f>
        <v>9318.6304278550015</v>
      </c>
      <c r="AY290">
        <f ca="1">IFERROR(IF(0=LEN(ReferenceData!$AY$290),"",ReferenceData!$AY$290),"")</f>
        <v>9784.9221766764695</v>
      </c>
      <c r="AZ290">
        <f ca="1">IFERROR(IF(0=LEN(ReferenceData!$AZ$290),"",ReferenceData!$AZ$290),"")</f>
        <v>8846.729708552939</v>
      </c>
      <c r="BA290">
        <f ca="1">IFERROR(IF(0=LEN(ReferenceData!$BA$290),"",ReferenceData!$BA$290),"")</f>
        <v>8228.4586597882335</v>
      </c>
      <c r="BB290">
        <f ca="1">IFERROR(IF(0=LEN(ReferenceData!$BB$290),"",ReferenceData!$BB$290),"")</f>
        <v>7601.9490876235286</v>
      </c>
      <c r="BC290">
        <f ca="1">IFERROR(IF(0=LEN(ReferenceData!$BC$290),"",ReferenceData!$BC$290),"")</f>
        <v>7279.864358629412</v>
      </c>
      <c r="BD290">
        <f ca="1">IFERROR(IF(0=LEN(ReferenceData!$BD$290),"",ReferenceData!$BD$290),"")</f>
        <v>12887.221734576469</v>
      </c>
      <c r="BE290">
        <f ca="1">IFERROR(IF(0=LEN(ReferenceData!$BE$290),"",ReferenceData!$BE$290),"")</f>
        <v>7750.1467213764709</v>
      </c>
      <c r="BF290">
        <f ca="1">IFERROR(IF(0=LEN(ReferenceData!$BF$290),"",ReferenceData!$BF$290),"")</f>
        <v>9231.2059294352966</v>
      </c>
      <c r="BG290">
        <f ca="1">IFERROR(IF(0=LEN(ReferenceData!$BG$290),"",ReferenceData!$BG$290),"")</f>
        <v>7015.3018056529399</v>
      </c>
      <c r="BH290">
        <f ca="1">IFERROR(IF(0=LEN(ReferenceData!$BH$290),"",ReferenceData!$BH$290),"")</f>
        <v>9100.9560848230776</v>
      </c>
      <c r="BI290">
        <f ca="1">IFERROR(IF(0=LEN(ReferenceData!$BI$290),"",ReferenceData!$BI$290),"")</f>
        <v>7586.5280933250006</v>
      </c>
      <c r="BJ290">
        <f ca="1">IFERROR(IF(0=LEN(ReferenceData!$BJ$290),"",ReferenceData!$BJ$290),"")</f>
        <v>9950.3339345615404</v>
      </c>
      <c r="BK290">
        <f ca="1">IFERROR(IF(0=LEN(ReferenceData!$BK$290),"",ReferenceData!$BK$290),"")</f>
        <v>7991.4426978812517</v>
      </c>
      <c r="BL290">
        <f ca="1">IFERROR(IF(0=LEN(ReferenceData!$BL$290),"",ReferenceData!$BL$290),"")</f>
        <v>8881.3955730545458</v>
      </c>
      <c r="BM290">
        <f ca="1">IFERROR(IF(0=LEN(ReferenceData!$BM$290),"",ReferenceData!$BM$290),"")</f>
        <v>7613.9754002692307</v>
      </c>
    </row>
    <row r="291" spans="1:65" x14ac:dyDescent="0.25">
      <c r="A291" t="str">
        <f>IFERROR(IF(0=LEN(ReferenceData!$A$291),"",ReferenceData!$A$291),"")</f>
        <v xml:space="preserve">    AUDI AG</v>
      </c>
      <c r="B291" t="str">
        <f>IFERROR(IF(0=LEN(ReferenceData!$B$291),"",ReferenceData!$B$291),"")</f>
        <v>NSU GR Equity</v>
      </c>
      <c r="C291" t="str">
        <f>IFERROR(IF(0=LEN(ReferenceData!$C$291),"",ReferenceData!$C$291),"")</f>
        <v>RR179</v>
      </c>
      <c r="D291" t="str">
        <f>IFERROR(IF(0=LEN(ReferenceData!$D$291),"",ReferenceData!$D$291),"")</f>
        <v>TANGIBLE_COMMON_EQUITY</v>
      </c>
      <c r="E291" t="str">
        <f>IFERROR(IF(0=LEN(ReferenceData!$E$291),"",ReferenceData!$E$291),"")</f>
        <v>Dynamic</v>
      </c>
      <c r="F291" t="str">
        <f ca="1">IFERROR(IF(0=LEN(ReferenceData!$F$291),"",ReferenceData!$F$291),"")</f>
        <v/>
      </c>
      <c r="G291" t="str">
        <f ca="1">IFERROR(IF(0=LEN(ReferenceData!$G$291),"",ReferenceData!$G$291),"")</f>
        <v/>
      </c>
      <c r="H291" t="str">
        <f ca="1">IFERROR(IF(0=LEN(ReferenceData!$H$291),"",ReferenceData!$H$291),"")</f>
        <v/>
      </c>
      <c r="I291" t="str">
        <f ca="1">IFERROR(IF(0=LEN(ReferenceData!$I$291),"",ReferenceData!$I$291),"")</f>
        <v/>
      </c>
      <c r="J291" t="str">
        <f ca="1">IFERROR(IF(0=LEN(ReferenceData!$J$291),"",ReferenceData!$J$291),"")</f>
        <v/>
      </c>
      <c r="K291" t="str">
        <f ca="1">IFERROR(IF(0=LEN(ReferenceData!$K$291),"",ReferenceData!$K$291),"")</f>
        <v/>
      </c>
      <c r="L291" t="str">
        <f ca="1">IFERROR(IF(0=LEN(ReferenceData!$L$291),"",ReferenceData!$L$291),"")</f>
        <v/>
      </c>
      <c r="M291" t="str">
        <f ca="1">IFERROR(IF(0=LEN(ReferenceData!$M$291),"",ReferenceData!$M$291),"")</f>
        <v/>
      </c>
      <c r="N291" t="str">
        <f ca="1">IFERROR(IF(0=LEN(ReferenceData!$N$291),"",ReferenceData!$N$291),"")</f>
        <v/>
      </c>
      <c r="O291" t="str">
        <f ca="1">IFERROR(IF(0=LEN(ReferenceData!$O$291),"",ReferenceData!$O$291),"")</f>
        <v/>
      </c>
      <c r="P291" t="str">
        <f ca="1">IFERROR(IF(0=LEN(ReferenceData!$P$291),"",ReferenceData!$P$291),"")</f>
        <v/>
      </c>
      <c r="Q291" t="str">
        <f ca="1">IFERROR(IF(0=LEN(ReferenceData!$Q$291),"",ReferenceData!$Q$291),"")</f>
        <v/>
      </c>
      <c r="R291" t="str">
        <f ca="1">IFERROR(IF(0=LEN(ReferenceData!$R$291),"",ReferenceData!$R$291),"")</f>
        <v/>
      </c>
      <c r="S291" t="str">
        <f ca="1">IFERROR(IF(0=LEN(ReferenceData!$S$291),"",ReferenceData!$S$291),"")</f>
        <v/>
      </c>
      <c r="T291" t="str">
        <f ca="1">IFERROR(IF(0=LEN(ReferenceData!$T$291),"",ReferenceData!$T$291),"")</f>
        <v/>
      </c>
      <c r="U291" t="str">
        <f ca="1">IFERROR(IF(0=LEN(ReferenceData!$U$291),"",ReferenceData!$U$291),"")</f>
        <v/>
      </c>
      <c r="V291" t="str">
        <f ca="1">IFERROR(IF(0=LEN(ReferenceData!$V$291),"",ReferenceData!$V$291),"")</f>
        <v/>
      </c>
      <c r="W291" t="str">
        <f ca="1">IFERROR(IF(0=LEN(ReferenceData!$W$291),"",ReferenceData!$W$291),"")</f>
        <v/>
      </c>
      <c r="X291" t="str">
        <f ca="1">IFERROR(IF(0=LEN(ReferenceData!$X$291),"",ReferenceData!$X$291),"")</f>
        <v/>
      </c>
      <c r="Y291" t="str">
        <f ca="1">IFERROR(IF(0=LEN(ReferenceData!$Y$291),"",ReferenceData!$Y$291),"")</f>
        <v/>
      </c>
      <c r="Z291" t="str">
        <f ca="1">IFERROR(IF(0=LEN(ReferenceData!$Z$291),"",ReferenceData!$Z$291),"")</f>
        <v/>
      </c>
      <c r="AA291" t="str">
        <f ca="1">IFERROR(IF(0=LEN(ReferenceData!$AA$291),"",ReferenceData!$AA$291),"")</f>
        <v/>
      </c>
      <c r="AB291" t="str">
        <f ca="1">IFERROR(IF(0=LEN(ReferenceData!$AB$291),"",ReferenceData!$AB$291),"")</f>
        <v/>
      </c>
      <c r="AC291" t="str">
        <f ca="1">IFERROR(IF(0=LEN(ReferenceData!$AC$291),"",ReferenceData!$AC$291),"")</f>
        <v/>
      </c>
      <c r="AD291" t="str">
        <f ca="1">IFERROR(IF(0=LEN(ReferenceData!$AD$291),"",ReferenceData!$AD$291),"")</f>
        <v/>
      </c>
      <c r="AE291" t="str">
        <f ca="1">IFERROR(IF(0=LEN(ReferenceData!$AE$291),"",ReferenceData!$AE$291),"")</f>
        <v/>
      </c>
      <c r="AF291" t="str">
        <f ca="1">IFERROR(IF(0=LEN(ReferenceData!$AF$291),"",ReferenceData!$AF$291),"")</f>
        <v/>
      </c>
      <c r="AG291" t="str">
        <f ca="1">IFERROR(IF(0=LEN(ReferenceData!$AG$291),"",ReferenceData!$AG$291),"")</f>
        <v/>
      </c>
      <c r="AH291" t="str">
        <f ca="1">IFERROR(IF(0=LEN(ReferenceData!$AH$291),"",ReferenceData!$AH$291),"")</f>
        <v/>
      </c>
      <c r="AI291" t="str">
        <f ca="1">IFERROR(IF(0=LEN(ReferenceData!$AI$291),"",ReferenceData!$AI$291),"")</f>
        <v/>
      </c>
      <c r="AJ291" t="str">
        <f ca="1">IFERROR(IF(0=LEN(ReferenceData!$AJ$291),"",ReferenceData!$AJ$291),"")</f>
        <v/>
      </c>
      <c r="AK291" t="str">
        <f ca="1">IFERROR(IF(0=LEN(ReferenceData!$AK$291),"",ReferenceData!$AK$291),"")</f>
        <v/>
      </c>
      <c r="AL291" t="str">
        <f ca="1">IFERROR(IF(0=LEN(ReferenceData!$AL$291),"",ReferenceData!$AL$291),"")</f>
        <v/>
      </c>
      <c r="AM291" t="str">
        <f ca="1">IFERROR(IF(0=LEN(ReferenceData!$AM$291),"",ReferenceData!$AM$291),"")</f>
        <v/>
      </c>
      <c r="AN291" t="str">
        <f ca="1">IFERROR(IF(0=LEN(ReferenceData!$AN$291),"",ReferenceData!$AN$291),"")</f>
        <v/>
      </c>
      <c r="AO291" t="str">
        <f ca="1">IFERROR(IF(0=LEN(ReferenceData!$AO$291),"",ReferenceData!$AO$291),"")</f>
        <v/>
      </c>
      <c r="AP291" t="str">
        <f ca="1">IFERROR(IF(0=LEN(ReferenceData!$AP$291),"",ReferenceData!$AP$291),"")</f>
        <v/>
      </c>
      <c r="AQ291" t="str">
        <f ca="1">IFERROR(IF(0=LEN(ReferenceData!$AQ$291),"",ReferenceData!$AQ$291),"")</f>
        <v/>
      </c>
      <c r="AR291" t="str">
        <f ca="1">IFERROR(IF(0=LEN(ReferenceData!$AR$291),"",ReferenceData!$AR$291),"")</f>
        <v/>
      </c>
      <c r="AS291" t="str">
        <f ca="1">IFERROR(IF(0=LEN(ReferenceData!$AS$291),"",ReferenceData!$AS$291),"")</f>
        <v/>
      </c>
      <c r="AT291" t="str">
        <f ca="1">IFERROR(IF(0=LEN(ReferenceData!$AT$291),"",ReferenceData!$AT$291),"")</f>
        <v/>
      </c>
      <c r="AU291" t="str">
        <f ca="1">IFERROR(IF(0=LEN(ReferenceData!$AU$291),"",ReferenceData!$AU$291),"")</f>
        <v/>
      </c>
      <c r="AV291" t="str">
        <f ca="1">IFERROR(IF(0=LEN(ReferenceData!$AV$291),"",ReferenceData!$AV$291),"")</f>
        <v/>
      </c>
      <c r="AW291" t="str">
        <f ca="1">IFERROR(IF(0=LEN(ReferenceData!$AW$291),"",ReferenceData!$AW$291),"")</f>
        <v/>
      </c>
      <c r="AX291" t="str">
        <f ca="1">IFERROR(IF(0=LEN(ReferenceData!$AX$291),"",ReferenceData!$AX$291),"")</f>
        <v/>
      </c>
      <c r="AY291" t="str">
        <f ca="1">IFERROR(IF(0=LEN(ReferenceData!$AY$291),"",ReferenceData!$AY$291),"")</f>
        <v/>
      </c>
      <c r="AZ291" t="str">
        <f ca="1">IFERROR(IF(0=LEN(ReferenceData!$AZ$291),"",ReferenceData!$AZ$291),"")</f>
        <v/>
      </c>
      <c r="BA291" t="str">
        <f ca="1">IFERROR(IF(0=LEN(ReferenceData!$BA$291),"",ReferenceData!$BA$291),"")</f>
        <v/>
      </c>
      <c r="BB291" t="str">
        <f ca="1">IFERROR(IF(0=LEN(ReferenceData!$BB$291),"",ReferenceData!$BB$291),"")</f>
        <v/>
      </c>
      <c r="BC291" t="str">
        <f ca="1">IFERROR(IF(0=LEN(ReferenceData!$BC$291),"",ReferenceData!$BC$291),"")</f>
        <v/>
      </c>
      <c r="BD291" t="str">
        <f ca="1">IFERROR(IF(0=LEN(ReferenceData!$BD$291),"",ReferenceData!$BD$291),"")</f>
        <v/>
      </c>
      <c r="BE291" t="str">
        <f ca="1">IFERROR(IF(0=LEN(ReferenceData!$BE$291),"",ReferenceData!$BE$291),"")</f>
        <v/>
      </c>
      <c r="BF291" t="str">
        <f ca="1">IFERROR(IF(0=LEN(ReferenceData!$BF$291),"",ReferenceData!$BF$291),"")</f>
        <v/>
      </c>
      <c r="BG291" t="str">
        <f ca="1">IFERROR(IF(0=LEN(ReferenceData!$BG$291),"",ReferenceData!$BG$291),"")</f>
        <v/>
      </c>
      <c r="BH291" t="str">
        <f ca="1">IFERROR(IF(0=LEN(ReferenceData!$BH$291),"",ReferenceData!$BH$291),"")</f>
        <v/>
      </c>
      <c r="BI291" t="str">
        <f ca="1">IFERROR(IF(0=LEN(ReferenceData!$BI$291),"",ReferenceData!$BI$291),"")</f>
        <v/>
      </c>
      <c r="BJ291" t="str">
        <f ca="1">IFERROR(IF(0=LEN(ReferenceData!$BJ$291),"",ReferenceData!$BJ$291),"")</f>
        <v/>
      </c>
      <c r="BK291" t="str">
        <f ca="1">IFERROR(IF(0=LEN(ReferenceData!$BK$291),"",ReferenceData!$BK$291),"")</f>
        <v/>
      </c>
      <c r="BL291" t="str">
        <f ca="1">IFERROR(IF(0=LEN(ReferenceData!$BL$291),"",ReferenceData!$BL$291),"")</f>
        <v/>
      </c>
      <c r="BM291" t="str">
        <f ca="1">IFERROR(IF(0=LEN(ReferenceData!$BM$291),"",ReferenceData!$BM$291),"")</f>
        <v/>
      </c>
    </row>
    <row r="292" spans="1:65" x14ac:dyDescent="0.25">
      <c r="A292" t="str">
        <f>IFERROR(IF(0=LEN(ReferenceData!$A$292),"",ReferenceData!$A$292),"")</f>
        <v xml:space="preserve">    Avtovaz PJSC</v>
      </c>
      <c r="B292" t="str">
        <f>IFERROR(IF(0=LEN(ReferenceData!$B$292),"",ReferenceData!$B$292),"")</f>
        <v>AVAZ RM Equity</v>
      </c>
      <c r="C292" t="str">
        <f>IFERROR(IF(0=LEN(ReferenceData!$C$292),"",ReferenceData!$C$292),"")</f>
        <v>RR179</v>
      </c>
      <c r="D292" t="str">
        <f>IFERROR(IF(0=LEN(ReferenceData!$D$292),"",ReferenceData!$D$292),"")</f>
        <v>TANGIBLE_COMMON_EQUITY</v>
      </c>
      <c r="E292" t="str">
        <f>IFERROR(IF(0=LEN(ReferenceData!$E$292),"",ReferenceData!$E$292),"")</f>
        <v>Dynamic</v>
      </c>
      <c r="F292" t="str">
        <f ca="1">IFERROR(IF(0=LEN(ReferenceData!$F$292),"",ReferenceData!$F$292),"")</f>
        <v/>
      </c>
      <c r="G292" t="str">
        <f ca="1">IFERROR(IF(0=LEN(ReferenceData!$G$292),"",ReferenceData!$G$292),"")</f>
        <v/>
      </c>
      <c r="H292">
        <f ca="1">IFERROR(IF(0=LEN(ReferenceData!$H$292),"",ReferenceData!$H$292),"")</f>
        <v>-515.22874030000003</v>
      </c>
      <c r="I292">
        <f ca="1">IFERROR(IF(0=LEN(ReferenceData!$I$292),"",ReferenceData!$I$292),"")</f>
        <v>-571.26007159999995</v>
      </c>
      <c r="J292">
        <f ca="1">IFERROR(IF(0=LEN(ReferenceData!$J$292),"",ReferenceData!$J$292),"")</f>
        <v>-549.49560069999995</v>
      </c>
      <c r="K292">
        <f ca="1">IFERROR(IF(0=LEN(ReferenceData!$K$292),"",ReferenceData!$K$292),"")</f>
        <v>-1455.619246</v>
      </c>
      <c r="L292">
        <f ca="1">IFERROR(IF(0=LEN(ReferenceData!$L$292),"",ReferenceData!$L$292),"")</f>
        <v>-1367.5872850000001</v>
      </c>
      <c r="M292">
        <f ca="1">IFERROR(IF(0=LEN(ReferenceData!$M$292),"",ReferenceData!$M$292),"")</f>
        <v>-1327.659445</v>
      </c>
      <c r="N292">
        <f ca="1">IFERROR(IF(0=LEN(ReferenceData!$N$292),"",ReferenceData!$N$292),"")</f>
        <v>-1367.043361</v>
      </c>
      <c r="O292">
        <f ca="1">IFERROR(IF(0=LEN(ReferenceData!$O$292),"",ReferenceData!$O$292),"")</f>
        <v>-1210.9129989999999</v>
      </c>
      <c r="P292">
        <f ca="1">IFERROR(IF(0=LEN(ReferenceData!$P$292),"",ReferenceData!$P$292),"")</f>
        <v>-1297.012839</v>
      </c>
      <c r="Q292">
        <f ca="1">IFERROR(IF(0=LEN(ReferenceData!$Q$292),"",ReferenceData!$Q$292),"")</f>
        <v>-1310.09277</v>
      </c>
      <c r="R292">
        <f ca="1">IFERROR(IF(0=LEN(ReferenceData!$R$292),"",ReferenceData!$R$292),"")</f>
        <v>-1034.8475289999999</v>
      </c>
      <c r="S292">
        <f ca="1">IFERROR(IF(0=LEN(ReferenceData!$S$292),"",ReferenceData!$S$292),"")</f>
        <v>-837.91566680000005</v>
      </c>
      <c r="T292">
        <f ca="1">IFERROR(IF(0=LEN(ReferenceData!$T$292),"",ReferenceData!$T$292),"")</f>
        <v>50.099955739999999</v>
      </c>
      <c r="U292" t="str">
        <f ca="1">IFERROR(IF(0=LEN(ReferenceData!$U$292),"",ReferenceData!$U$292),"")</f>
        <v/>
      </c>
      <c r="V292" t="str">
        <f ca="1">IFERROR(IF(0=LEN(ReferenceData!$V$292),"",ReferenceData!$V$292),"")</f>
        <v/>
      </c>
      <c r="W292" t="str">
        <f ca="1">IFERROR(IF(0=LEN(ReferenceData!$W$292),"",ReferenceData!$W$292),"")</f>
        <v/>
      </c>
      <c r="X292" t="str">
        <f ca="1">IFERROR(IF(0=LEN(ReferenceData!$X$292),"",ReferenceData!$X$292),"")</f>
        <v/>
      </c>
      <c r="Y292" t="str">
        <f ca="1">IFERROR(IF(0=LEN(ReferenceData!$Y$292),"",ReferenceData!$Y$292),"")</f>
        <v/>
      </c>
      <c r="Z292" t="str">
        <f ca="1">IFERROR(IF(0=LEN(ReferenceData!$Z$292),"",ReferenceData!$Z$292),"")</f>
        <v/>
      </c>
      <c r="AA292" t="str">
        <f ca="1">IFERROR(IF(0=LEN(ReferenceData!$AA$292),"",ReferenceData!$AA$292),"")</f>
        <v/>
      </c>
      <c r="AB292" t="str">
        <f ca="1">IFERROR(IF(0=LEN(ReferenceData!$AB$292),"",ReferenceData!$AB$292),"")</f>
        <v/>
      </c>
      <c r="AC292" t="str">
        <f ca="1">IFERROR(IF(0=LEN(ReferenceData!$AC$292),"",ReferenceData!$AC$292),"")</f>
        <v/>
      </c>
      <c r="AD292" t="str">
        <f ca="1">IFERROR(IF(0=LEN(ReferenceData!$AD$292),"",ReferenceData!$AD$292),"")</f>
        <v/>
      </c>
      <c r="AE292" t="str">
        <f ca="1">IFERROR(IF(0=LEN(ReferenceData!$AE$292),"",ReferenceData!$AE$292),"")</f>
        <v/>
      </c>
      <c r="AF292" t="str">
        <f ca="1">IFERROR(IF(0=LEN(ReferenceData!$AF$292),"",ReferenceData!$AF$292),"")</f>
        <v/>
      </c>
      <c r="AG292" t="str">
        <f ca="1">IFERROR(IF(0=LEN(ReferenceData!$AG$292),"",ReferenceData!$AG$292),"")</f>
        <v/>
      </c>
      <c r="AH292" t="str">
        <f ca="1">IFERROR(IF(0=LEN(ReferenceData!$AH$292),"",ReferenceData!$AH$292),"")</f>
        <v/>
      </c>
      <c r="AI292" t="str">
        <f ca="1">IFERROR(IF(0=LEN(ReferenceData!$AI$292),"",ReferenceData!$AI$292),"")</f>
        <v/>
      </c>
      <c r="AJ292" t="str">
        <f ca="1">IFERROR(IF(0=LEN(ReferenceData!$AJ$292),"",ReferenceData!$AJ$292),"")</f>
        <v/>
      </c>
      <c r="AK292" t="str">
        <f ca="1">IFERROR(IF(0=LEN(ReferenceData!$AK$292),"",ReferenceData!$AK$292),"")</f>
        <v/>
      </c>
      <c r="AL292" t="str">
        <f ca="1">IFERROR(IF(0=LEN(ReferenceData!$AL$292),"",ReferenceData!$AL$292),"")</f>
        <v/>
      </c>
      <c r="AM292" t="str">
        <f ca="1">IFERROR(IF(0=LEN(ReferenceData!$AM$292),"",ReferenceData!$AM$292),"")</f>
        <v/>
      </c>
      <c r="AN292" t="str">
        <f ca="1">IFERROR(IF(0=LEN(ReferenceData!$AN$292),"",ReferenceData!$AN$292),"")</f>
        <v/>
      </c>
      <c r="AO292" t="str">
        <f ca="1">IFERROR(IF(0=LEN(ReferenceData!$AO$292),"",ReferenceData!$AO$292),"")</f>
        <v/>
      </c>
      <c r="AP292" t="str">
        <f ca="1">IFERROR(IF(0=LEN(ReferenceData!$AP$292),"",ReferenceData!$AP$292),"")</f>
        <v/>
      </c>
      <c r="AQ292" t="str">
        <f ca="1">IFERROR(IF(0=LEN(ReferenceData!$AQ$292),"",ReferenceData!$AQ$292),"")</f>
        <v/>
      </c>
      <c r="AR292" t="str">
        <f ca="1">IFERROR(IF(0=LEN(ReferenceData!$AR$292),"",ReferenceData!$AR$292),"")</f>
        <v/>
      </c>
      <c r="AS292" t="str">
        <f ca="1">IFERROR(IF(0=LEN(ReferenceData!$AS$292),"",ReferenceData!$AS$292),"")</f>
        <v/>
      </c>
      <c r="AT292" t="str">
        <f ca="1">IFERROR(IF(0=LEN(ReferenceData!$AT$292),"",ReferenceData!$AT$292),"")</f>
        <v/>
      </c>
      <c r="AU292" t="str">
        <f ca="1">IFERROR(IF(0=LEN(ReferenceData!$AU$292),"",ReferenceData!$AU$292),"")</f>
        <v/>
      </c>
      <c r="AV292" t="str">
        <f ca="1">IFERROR(IF(0=LEN(ReferenceData!$AV$292),"",ReferenceData!$AV$292),"")</f>
        <v/>
      </c>
      <c r="AW292" t="str">
        <f ca="1">IFERROR(IF(0=LEN(ReferenceData!$AW$292),"",ReferenceData!$AW$292),"")</f>
        <v/>
      </c>
      <c r="AX292" t="str">
        <f ca="1">IFERROR(IF(0=LEN(ReferenceData!$AX$292),"",ReferenceData!$AX$292),"")</f>
        <v/>
      </c>
      <c r="AY292" t="str">
        <f ca="1">IFERROR(IF(0=LEN(ReferenceData!$AY$292),"",ReferenceData!$AY$292),"")</f>
        <v/>
      </c>
      <c r="AZ292" t="str">
        <f ca="1">IFERROR(IF(0=LEN(ReferenceData!$AZ$292),"",ReferenceData!$AZ$292),"")</f>
        <v/>
      </c>
      <c r="BA292" t="str">
        <f ca="1">IFERROR(IF(0=LEN(ReferenceData!$BA$292),"",ReferenceData!$BA$292),"")</f>
        <v/>
      </c>
      <c r="BB292" t="str">
        <f ca="1">IFERROR(IF(0=LEN(ReferenceData!$BB$292),"",ReferenceData!$BB$292),"")</f>
        <v/>
      </c>
      <c r="BC292" t="str">
        <f ca="1">IFERROR(IF(0=LEN(ReferenceData!$BC$292),"",ReferenceData!$BC$292),"")</f>
        <v/>
      </c>
      <c r="BD292" t="str">
        <f ca="1">IFERROR(IF(0=LEN(ReferenceData!$BD$292),"",ReferenceData!$BD$292),"")</f>
        <v/>
      </c>
      <c r="BE292" t="str">
        <f ca="1">IFERROR(IF(0=LEN(ReferenceData!$BE$292),"",ReferenceData!$BE$292),"")</f>
        <v/>
      </c>
      <c r="BF292" t="str">
        <f ca="1">IFERROR(IF(0=LEN(ReferenceData!$BF$292),"",ReferenceData!$BF$292),"")</f>
        <v/>
      </c>
      <c r="BG292" t="str">
        <f ca="1">IFERROR(IF(0=LEN(ReferenceData!$BG$292),"",ReferenceData!$BG$292),"")</f>
        <v/>
      </c>
      <c r="BH292" t="str">
        <f ca="1">IFERROR(IF(0=LEN(ReferenceData!$BH$292),"",ReferenceData!$BH$292),"")</f>
        <v/>
      </c>
      <c r="BI292" t="str">
        <f ca="1">IFERROR(IF(0=LEN(ReferenceData!$BI$292),"",ReferenceData!$BI$292),"")</f>
        <v/>
      </c>
      <c r="BJ292" t="str">
        <f ca="1">IFERROR(IF(0=LEN(ReferenceData!$BJ$292),"",ReferenceData!$BJ$292),"")</f>
        <v/>
      </c>
      <c r="BK292" t="str">
        <f ca="1">IFERROR(IF(0=LEN(ReferenceData!$BK$292),"",ReferenceData!$BK$292),"")</f>
        <v/>
      </c>
      <c r="BL292" t="str">
        <f ca="1">IFERROR(IF(0=LEN(ReferenceData!$BL$292),"",ReferenceData!$BL$292),"")</f>
        <v/>
      </c>
      <c r="BM292" t="str">
        <f ca="1">IFERROR(IF(0=LEN(ReferenceData!$BM$292),"",ReferenceData!$BM$292),"")</f>
        <v/>
      </c>
    </row>
    <row r="293" spans="1:65" x14ac:dyDescent="0.25">
      <c r="A293" t="str">
        <f>IFERROR(IF(0=LEN(ReferenceData!$A$293),"",ReferenceData!$A$293),"")</f>
        <v xml:space="preserve">    Bayerische Motoren Werke AG</v>
      </c>
      <c r="B293" t="str">
        <f>IFERROR(IF(0=LEN(ReferenceData!$B$293),"",ReferenceData!$B$293),"")</f>
        <v>BMW GR Equity</v>
      </c>
      <c r="C293" t="str">
        <f>IFERROR(IF(0=LEN(ReferenceData!$C$293),"",ReferenceData!$C$293),"")</f>
        <v>RR179</v>
      </c>
      <c r="D293" t="str">
        <f>IFERROR(IF(0=LEN(ReferenceData!$D$293),"",ReferenceData!$D$293),"")</f>
        <v>TANGIBLE_COMMON_EQUITY</v>
      </c>
      <c r="E293" t="str">
        <f>IFERROR(IF(0=LEN(ReferenceData!$E$293),"",ReferenceData!$E$293),"")</f>
        <v>Dynamic</v>
      </c>
      <c r="F293" t="str">
        <f ca="1">IFERROR(IF(0=LEN(ReferenceData!$F$293),"",ReferenceData!$F$293),"")</f>
        <v/>
      </c>
      <c r="G293" t="str">
        <f ca="1">IFERROR(IF(0=LEN(ReferenceData!$G$293),"",ReferenceData!$G$293),"")</f>
        <v/>
      </c>
      <c r="H293">
        <f ca="1">IFERROR(IF(0=LEN(ReferenceData!$H$293),"",ReferenceData!$H$293),"")</f>
        <v>53921.479200000002</v>
      </c>
      <c r="I293">
        <f ca="1">IFERROR(IF(0=LEN(ReferenceData!$I$293),"",ReferenceData!$I$293),"")</f>
        <v>53430.448900000003</v>
      </c>
      <c r="J293">
        <f ca="1">IFERROR(IF(0=LEN(ReferenceData!$J$293),"",ReferenceData!$J$293),"")</f>
        <v>56984.022900000004</v>
      </c>
      <c r="K293">
        <f ca="1">IFERROR(IF(0=LEN(ReferenceData!$K$293),"",ReferenceData!$K$293),"")</f>
        <v>53675.825599999996</v>
      </c>
      <c r="L293">
        <f ca="1">IFERROR(IF(0=LEN(ReferenceData!$L$293),"",ReferenceData!$L$293),"")</f>
        <v>51464.620900000002</v>
      </c>
      <c r="M293">
        <f ca="1">IFERROR(IF(0=LEN(ReferenceData!$M$293),"",ReferenceData!$M$293),"")</f>
        <v>47644.709799999997</v>
      </c>
      <c r="N293">
        <f ca="1">IFERROR(IF(0=LEN(ReferenceData!$N$293),"",ReferenceData!$N$293),"")</f>
        <v>43880.163699999997</v>
      </c>
      <c r="O293">
        <f ca="1">IFERROR(IF(0=LEN(ReferenceData!$O$293),"",ReferenceData!$O$293),"")</f>
        <v>41081.619700000003</v>
      </c>
      <c r="P293">
        <f ca="1">IFERROR(IF(0=LEN(ReferenceData!$P$293),"",ReferenceData!$P$293),"")</f>
        <v>42266.683199999999</v>
      </c>
      <c r="Q293">
        <f ca="1">IFERROR(IF(0=LEN(ReferenceData!$Q$293),"",ReferenceData!$Q$293),"")</f>
        <v>40176.1659</v>
      </c>
      <c r="R293">
        <f ca="1">IFERROR(IF(0=LEN(ReferenceData!$R$293),"",ReferenceData!$R$293),"")</f>
        <v>42331.629500000003</v>
      </c>
      <c r="S293">
        <f ca="1">IFERROR(IF(0=LEN(ReferenceData!$S$293),"",ReferenceData!$S$293),"")</f>
        <v>38202.682800000002</v>
      </c>
      <c r="T293">
        <f ca="1">IFERROR(IF(0=LEN(ReferenceData!$T$293),"",ReferenceData!$T$293),"")</f>
        <v>37940.525999999998</v>
      </c>
      <c r="U293">
        <f ca="1">IFERROR(IF(0=LEN(ReferenceData!$U$293),"",ReferenceData!$U$293),"")</f>
        <v>35475.462399999997</v>
      </c>
      <c r="V293">
        <f ca="1">IFERROR(IF(0=LEN(ReferenceData!$V$293),"",ReferenceData!$V$293),"")</f>
        <v>31570.358400000001</v>
      </c>
      <c r="W293">
        <f ca="1">IFERROR(IF(0=LEN(ReferenceData!$W$293),"",ReferenceData!$W$293),"")</f>
        <v>39598.46</v>
      </c>
      <c r="X293">
        <f ca="1">IFERROR(IF(0=LEN(ReferenceData!$X$293),"",ReferenceData!$X$293),"")</f>
        <v>38422.469599999997</v>
      </c>
      <c r="Y293">
        <f ca="1">IFERROR(IF(0=LEN(ReferenceData!$Y$293),"",ReferenceData!$Y$293),"")</f>
        <v>41053.572</v>
      </c>
      <c r="Z293">
        <f ca="1">IFERROR(IF(0=LEN(ReferenceData!$Z$293),"",ReferenceData!$Z$293),"")</f>
        <v>42167.109600000003</v>
      </c>
      <c r="AA293">
        <f ca="1">IFERROR(IF(0=LEN(ReferenceData!$AA$293),"",ReferenceData!$AA$293),"")</f>
        <v>40309.383699999998</v>
      </c>
      <c r="AB293">
        <f ca="1">IFERROR(IF(0=LEN(ReferenceData!$AB$293),"",ReferenceData!$AB$293),"")</f>
        <v>37873.269</v>
      </c>
      <c r="AC293">
        <f ca="1">IFERROR(IF(0=LEN(ReferenceData!$AC$293),"",ReferenceData!$AC$293),"")</f>
        <v>34645.32</v>
      </c>
      <c r="AD293">
        <f ca="1">IFERROR(IF(0=LEN(ReferenceData!$AD$293),"",ReferenceData!$AD$293),"")</f>
        <v>33498.610800000002</v>
      </c>
      <c r="AE293">
        <f ca="1">IFERROR(IF(0=LEN(ReferenceData!$AE$293),"",ReferenceData!$AE$293),"")</f>
        <v>33377.852400000003</v>
      </c>
      <c r="AF293">
        <f ca="1">IFERROR(IF(0=LEN(ReferenceData!$AF$293),"",ReferenceData!$AF$293),"")</f>
        <v>30471.054</v>
      </c>
      <c r="AG293">
        <f ca="1">IFERROR(IF(0=LEN(ReferenceData!$AG$293),"",ReferenceData!$AG$293),"")</f>
        <v>28280.045399999999</v>
      </c>
      <c r="AH293">
        <f ca="1">IFERROR(IF(0=LEN(ReferenceData!$AH$293),"",ReferenceData!$AH$293),"")</f>
        <v>31130.22</v>
      </c>
      <c r="AI293">
        <f ca="1">IFERROR(IF(0=LEN(ReferenceData!$AI$293),"",ReferenceData!$AI$293),"")</f>
        <v>28252.799999999999</v>
      </c>
      <c r="AJ293">
        <f ca="1">IFERROR(IF(0=LEN(ReferenceData!$AJ$293),"",ReferenceData!$AJ$293),"")</f>
        <v>28132.618200000001</v>
      </c>
      <c r="AK293">
        <f ca="1">IFERROR(IF(0=LEN(ReferenceData!$AK$293),"",ReferenceData!$AK$293),"")</f>
        <v>30308.488000000001</v>
      </c>
      <c r="AL293">
        <f ca="1">IFERROR(IF(0=LEN(ReferenceData!$AL$293),"",ReferenceData!$AL$293),"")</f>
        <v>28154.379000000001</v>
      </c>
      <c r="AM293">
        <f ca="1">IFERROR(IF(0=LEN(ReferenceData!$AM$293),"",ReferenceData!$AM$293),"")</f>
        <v>25225.6518</v>
      </c>
      <c r="AN293">
        <f ca="1">IFERROR(IF(0=LEN(ReferenceData!$AN$293),"",ReferenceData!$AN$293),"")</f>
        <v>22690.92</v>
      </c>
      <c r="AO293">
        <f ca="1">IFERROR(IF(0=LEN(ReferenceData!$AO$293),"",ReferenceData!$AO$293),"")</f>
        <v>18457.816299999999</v>
      </c>
      <c r="AP293">
        <f ca="1">IFERROR(IF(0=LEN(ReferenceData!$AP$293),"",ReferenceData!$AP$293),"")</f>
        <v>19790.659199999998</v>
      </c>
      <c r="AQ293">
        <f ca="1">IFERROR(IF(0=LEN(ReferenceData!$AQ$293),"",ReferenceData!$AQ$293),"")</f>
        <v>20812.9113</v>
      </c>
      <c r="AR293">
        <f ca="1">IFERROR(IF(0=LEN(ReferenceData!$AR$293),"",ReferenceData!$AR$293),"")</f>
        <v>21270.4218</v>
      </c>
      <c r="AS293">
        <f ca="1">IFERROR(IF(0=LEN(ReferenceData!$AS$293),"",ReferenceData!$AS$293),"")</f>
        <v>20593.084999999999</v>
      </c>
      <c r="AT293">
        <f ca="1">IFERROR(IF(0=LEN(ReferenceData!$AT$293),"",ReferenceData!$AT$293),"")</f>
        <v>18885.720399999998</v>
      </c>
      <c r="AU293">
        <f ca="1">IFERROR(IF(0=LEN(ReferenceData!$AU$293),"",ReferenceData!$AU$293),"")</f>
        <v>20404.867200000001</v>
      </c>
      <c r="AV293">
        <f ca="1">IFERROR(IF(0=LEN(ReferenceData!$AV$293),"",ReferenceData!$AV$293),"")</f>
        <v>23470.527600000001</v>
      </c>
      <c r="AW293">
        <f ca="1">IFERROR(IF(0=LEN(ReferenceData!$AW$293),"",ReferenceData!$AW$293),"")</f>
        <v>25884.146400000001</v>
      </c>
      <c r="AX293">
        <f ca="1">IFERROR(IF(0=LEN(ReferenceData!$AX$293),"",ReferenceData!$AX$293),"")</f>
        <v>26873.719099999998</v>
      </c>
      <c r="AY293">
        <f ca="1">IFERROR(IF(0=LEN(ReferenceData!$AY$293),"",ReferenceData!$AY$293),"")</f>
        <v>23424.672900000001</v>
      </c>
      <c r="AZ293">
        <f ca="1">IFERROR(IF(0=LEN(ReferenceData!$AZ$293),"",ReferenceData!$AZ$293),"")</f>
        <v>21866.3835</v>
      </c>
      <c r="BA293">
        <f ca="1">IFERROR(IF(0=LEN(ReferenceData!$BA$293),"",ReferenceData!$BA$293),"")</f>
        <v>19703.2052</v>
      </c>
      <c r="BB293">
        <f ca="1">IFERROR(IF(0=LEN(ReferenceData!$BB$293),"",ReferenceData!$BB$293),"")</f>
        <v>19049.663700000001</v>
      </c>
      <c r="BC293">
        <f ca="1">IFERROR(IF(0=LEN(ReferenceData!$BC$293),"",ReferenceData!$BC$293),"")</f>
        <v>18219.284599999999</v>
      </c>
      <c r="BD293">
        <f ca="1">IFERROR(IF(0=LEN(ReferenceData!$BD$293),"",ReferenceData!$BD$293),"")</f>
        <v>16751.863000000001</v>
      </c>
      <c r="BE293">
        <f ca="1">IFERROR(IF(0=LEN(ReferenceData!$BE$293),"",ReferenceData!$BE$293),"")</f>
        <v>16809.718000000001</v>
      </c>
      <c r="BF293">
        <f ca="1">IFERROR(IF(0=LEN(ReferenceData!$BF$293),"",ReferenceData!$BF$293),"")</f>
        <v>15249.0118</v>
      </c>
      <c r="BG293">
        <f ca="1">IFERROR(IF(0=LEN(ReferenceData!$BG$293),"",ReferenceData!$BG$293),"")</f>
        <v>14649.254000000001</v>
      </c>
      <c r="BH293">
        <f ca="1">IFERROR(IF(0=LEN(ReferenceData!$BH$293),"",ReferenceData!$BH$293),"")</f>
        <v>16921.398000000001</v>
      </c>
      <c r="BI293">
        <f ca="1">IFERROR(IF(0=LEN(ReferenceData!$BI$293),"",ReferenceData!$BI$293),"")</f>
        <v>16555.476600000002</v>
      </c>
      <c r="BJ293">
        <f ca="1">IFERROR(IF(0=LEN(ReferenceData!$BJ$293),"",ReferenceData!$BJ$293),"")</f>
        <v>17985.319200000002</v>
      </c>
      <c r="BK293">
        <f ca="1">IFERROR(IF(0=LEN(ReferenceData!$BK$293),"",ReferenceData!$BK$293),"")</f>
        <v>17319.1456</v>
      </c>
      <c r="BL293" t="str">
        <f ca="1">IFERROR(IF(0=LEN(ReferenceData!$BL$293),"",ReferenceData!$BL$293),"")</f>
        <v/>
      </c>
      <c r="BM293" t="str">
        <f ca="1">IFERROR(IF(0=LEN(ReferenceData!$BM$293),"",ReferenceData!$BM$293),"")</f>
        <v/>
      </c>
    </row>
    <row r="294" spans="1:65" x14ac:dyDescent="0.25">
      <c r="A294" t="str">
        <f>IFERROR(IF(0=LEN(ReferenceData!$A$294),"",ReferenceData!$A$294),"")</f>
        <v xml:space="preserve">    Brilliance China Automotive Holdings Ltd</v>
      </c>
      <c r="B294" t="str">
        <f>IFERROR(IF(0=LEN(ReferenceData!$B$294),"",ReferenceData!$B$294),"")</f>
        <v>1114 HK Equity</v>
      </c>
      <c r="C294" t="str">
        <f>IFERROR(IF(0=LEN(ReferenceData!$C$294),"",ReferenceData!$C$294),"")</f>
        <v>RR179</v>
      </c>
      <c r="D294" t="str">
        <f>IFERROR(IF(0=LEN(ReferenceData!$D$294),"",ReferenceData!$D$294),"")</f>
        <v>TANGIBLE_COMMON_EQUITY</v>
      </c>
      <c r="E294" t="str">
        <f>IFERROR(IF(0=LEN(ReferenceData!$E$294),"",ReferenceData!$E$294),"")</f>
        <v>Dynamic</v>
      </c>
      <c r="F294" t="str">
        <f ca="1">IFERROR(IF(0=LEN(ReferenceData!$F$294),"",ReferenceData!$F$294),"")</f>
        <v/>
      </c>
      <c r="G294" t="str">
        <f ca="1">IFERROR(IF(0=LEN(ReferenceData!$G$294),"",ReferenceData!$G$294),"")</f>
        <v/>
      </c>
      <c r="H294" t="str">
        <f ca="1">IFERROR(IF(0=LEN(ReferenceData!$H$294),"",ReferenceData!$H$294),"")</f>
        <v/>
      </c>
      <c r="I294" t="str">
        <f ca="1">IFERROR(IF(0=LEN(ReferenceData!$I$294),"",ReferenceData!$I$294),"")</f>
        <v/>
      </c>
      <c r="J294" t="str">
        <f ca="1">IFERROR(IF(0=LEN(ReferenceData!$J$294),"",ReferenceData!$J$294),"")</f>
        <v/>
      </c>
      <c r="K294" t="str">
        <f ca="1">IFERROR(IF(0=LEN(ReferenceData!$K$294),"",ReferenceData!$K$294),"")</f>
        <v/>
      </c>
      <c r="L294" t="str">
        <f ca="1">IFERROR(IF(0=LEN(ReferenceData!$L$294),"",ReferenceData!$L$294),"")</f>
        <v/>
      </c>
      <c r="M294" t="str">
        <f ca="1">IFERROR(IF(0=LEN(ReferenceData!$M$294),"",ReferenceData!$M$294),"")</f>
        <v/>
      </c>
      <c r="N294" t="str">
        <f ca="1">IFERROR(IF(0=LEN(ReferenceData!$N$294),"",ReferenceData!$N$294),"")</f>
        <v/>
      </c>
      <c r="O294" t="str">
        <f ca="1">IFERROR(IF(0=LEN(ReferenceData!$O$294),"",ReferenceData!$O$294),"")</f>
        <v/>
      </c>
      <c r="P294" t="str">
        <f ca="1">IFERROR(IF(0=LEN(ReferenceData!$P$294),"",ReferenceData!$P$294),"")</f>
        <v/>
      </c>
      <c r="Q294" t="str">
        <f ca="1">IFERROR(IF(0=LEN(ReferenceData!$Q$294),"",ReferenceData!$Q$294),"")</f>
        <v/>
      </c>
      <c r="R294" t="str">
        <f ca="1">IFERROR(IF(0=LEN(ReferenceData!$R$294),"",ReferenceData!$R$294),"")</f>
        <v/>
      </c>
      <c r="S294" t="str">
        <f ca="1">IFERROR(IF(0=LEN(ReferenceData!$S$294),"",ReferenceData!$S$294),"")</f>
        <v/>
      </c>
      <c r="T294" t="str">
        <f ca="1">IFERROR(IF(0=LEN(ReferenceData!$T$294),"",ReferenceData!$T$294),"")</f>
        <v/>
      </c>
      <c r="U294" t="str">
        <f ca="1">IFERROR(IF(0=LEN(ReferenceData!$U$294),"",ReferenceData!$U$294),"")</f>
        <v/>
      </c>
      <c r="V294" t="str">
        <f ca="1">IFERROR(IF(0=LEN(ReferenceData!$V$294),"",ReferenceData!$V$294),"")</f>
        <v/>
      </c>
      <c r="W294" t="str">
        <f ca="1">IFERROR(IF(0=LEN(ReferenceData!$W$294),"",ReferenceData!$W$294),"")</f>
        <v/>
      </c>
      <c r="X294" t="str">
        <f ca="1">IFERROR(IF(0=LEN(ReferenceData!$X$294),"",ReferenceData!$X$294),"")</f>
        <v/>
      </c>
      <c r="Y294" t="str">
        <f ca="1">IFERROR(IF(0=LEN(ReferenceData!$Y$294),"",ReferenceData!$Y$294),"")</f>
        <v/>
      </c>
      <c r="Z294" t="str">
        <f ca="1">IFERROR(IF(0=LEN(ReferenceData!$Z$294),"",ReferenceData!$Z$294),"")</f>
        <v/>
      </c>
      <c r="AA294" t="str">
        <f ca="1">IFERROR(IF(0=LEN(ReferenceData!$AA$294),"",ReferenceData!$AA$294),"")</f>
        <v/>
      </c>
      <c r="AB294" t="str">
        <f ca="1">IFERROR(IF(0=LEN(ReferenceData!$AB$294),"",ReferenceData!$AB$294),"")</f>
        <v/>
      </c>
      <c r="AC294" t="str">
        <f ca="1">IFERROR(IF(0=LEN(ReferenceData!$AC$294),"",ReferenceData!$AC$294),"")</f>
        <v/>
      </c>
      <c r="AD294" t="str">
        <f ca="1">IFERROR(IF(0=LEN(ReferenceData!$AD$294),"",ReferenceData!$AD$294),"")</f>
        <v/>
      </c>
      <c r="AE294" t="str">
        <f ca="1">IFERROR(IF(0=LEN(ReferenceData!$AE$294),"",ReferenceData!$AE$294),"")</f>
        <v/>
      </c>
      <c r="AF294" t="str">
        <f ca="1">IFERROR(IF(0=LEN(ReferenceData!$AF$294),"",ReferenceData!$AF$294),"")</f>
        <v/>
      </c>
      <c r="AG294" t="str">
        <f ca="1">IFERROR(IF(0=LEN(ReferenceData!$AG$294),"",ReferenceData!$AG$294),"")</f>
        <v/>
      </c>
      <c r="AH294" t="str">
        <f ca="1">IFERROR(IF(0=LEN(ReferenceData!$AH$294),"",ReferenceData!$AH$294),"")</f>
        <v/>
      </c>
      <c r="AI294" t="str">
        <f ca="1">IFERROR(IF(0=LEN(ReferenceData!$AI$294),"",ReferenceData!$AI$294),"")</f>
        <v/>
      </c>
      <c r="AJ294" t="str">
        <f ca="1">IFERROR(IF(0=LEN(ReferenceData!$AJ$294),"",ReferenceData!$AJ$294),"")</f>
        <v/>
      </c>
      <c r="AK294" t="str">
        <f ca="1">IFERROR(IF(0=LEN(ReferenceData!$AK$294),"",ReferenceData!$AK$294),"")</f>
        <v/>
      </c>
      <c r="AL294" t="str">
        <f ca="1">IFERROR(IF(0=LEN(ReferenceData!$AL$294),"",ReferenceData!$AL$294),"")</f>
        <v/>
      </c>
      <c r="AM294" t="str">
        <f ca="1">IFERROR(IF(0=LEN(ReferenceData!$AM$294),"",ReferenceData!$AM$294),"")</f>
        <v/>
      </c>
      <c r="AN294" t="str">
        <f ca="1">IFERROR(IF(0=LEN(ReferenceData!$AN$294),"",ReferenceData!$AN$294),"")</f>
        <v/>
      </c>
      <c r="AO294" t="str">
        <f ca="1">IFERROR(IF(0=LEN(ReferenceData!$AO$294),"",ReferenceData!$AO$294),"")</f>
        <v/>
      </c>
      <c r="AP294" t="str">
        <f ca="1">IFERROR(IF(0=LEN(ReferenceData!$AP$294),"",ReferenceData!$AP$294),"")</f>
        <v/>
      </c>
      <c r="AQ294" t="str">
        <f ca="1">IFERROR(IF(0=LEN(ReferenceData!$AQ$294),"",ReferenceData!$AQ$294),"")</f>
        <v/>
      </c>
      <c r="AR294" t="str">
        <f ca="1">IFERROR(IF(0=LEN(ReferenceData!$AR$294),"",ReferenceData!$AR$294),"")</f>
        <v/>
      </c>
      <c r="AS294" t="str">
        <f ca="1">IFERROR(IF(0=LEN(ReferenceData!$AS$294),"",ReferenceData!$AS$294),"")</f>
        <v/>
      </c>
      <c r="AT294" t="str">
        <f ca="1">IFERROR(IF(0=LEN(ReferenceData!$AT$294),"",ReferenceData!$AT$294),"")</f>
        <v/>
      </c>
      <c r="AU294" t="str">
        <f ca="1">IFERROR(IF(0=LEN(ReferenceData!$AU$294),"",ReferenceData!$AU$294),"")</f>
        <v/>
      </c>
      <c r="AV294" t="str">
        <f ca="1">IFERROR(IF(0=LEN(ReferenceData!$AV$294),"",ReferenceData!$AV$294),"")</f>
        <v/>
      </c>
      <c r="AW294" t="str">
        <f ca="1">IFERROR(IF(0=LEN(ReferenceData!$AW$294),"",ReferenceData!$AW$294),"")</f>
        <v/>
      </c>
      <c r="AX294" t="str">
        <f ca="1">IFERROR(IF(0=LEN(ReferenceData!$AX$294),"",ReferenceData!$AX$294),"")</f>
        <v/>
      </c>
      <c r="AY294" t="str">
        <f ca="1">IFERROR(IF(0=LEN(ReferenceData!$AY$294),"",ReferenceData!$AY$294),"")</f>
        <v/>
      </c>
      <c r="AZ294" t="str">
        <f ca="1">IFERROR(IF(0=LEN(ReferenceData!$AZ$294),"",ReferenceData!$AZ$294),"")</f>
        <v/>
      </c>
      <c r="BA294" t="str">
        <f ca="1">IFERROR(IF(0=LEN(ReferenceData!$BA$294),"",ReferenceData!$BA$294),"")</f>
        <v/>
      </c>
      <c r="BB294" t="str">
        <f ca="1">IFERROR(IF(0=LEN(ReferenceData!$BB$294),"",ReferenceData!$BB$294),"")</f>
        <v/>
      </c>
      <c r="BC294" t="str">
        <f ca="1">IFERROR(IF(0=LEN(ReferenceData!$BC$294),"",ReferenceData!$BC$294),"")</f>
        <v/>
      </c>
      <c r="BD294" t="str">
        <f ca="1">IFERROR(IF(0=LEN(ReferenceData!$BD$294),"",ReferenceData!$BD$294),"")</f>
        <v/>
      </c>
      <c r="BE294" t="str">
        <f ca="1">IFERROR(IF(0=LEN(ReferenceData!$BE$294),"",ReferenceData!$BE$294),"")</f>
        <v/>
      </c>
      <c r="BF294" t="str">
        <f ca="1">IFERROR(IF(0=LEN(ReferenceData!$BF$294),"",ReferenceData!$BF$294),"")</f>
        <v/>
      </c>
      <c r="BG294" t="str">
        <f ca="1">IFERROR(IF(0=LEN(ReferenceData!$BG$294),"",ReferenceData!$BG$294),"")</f>
        <v/>
      </c>
      <c r="BH294" t="str">
        <f ca="1">IFERROR(IF(0=LEN(ReferenceData!$BH$294),"",ReferenceData!$BH$294),"")</f>
        <v/>
      </c>
      <c r="BI294" t="str">
        <f ca="1">IFERROR(IF(0=LEN(ReferenceData!$BI$294),"",ReferenceData!$BI$294),"")</f>
        <v/>
      </c>
      <c r="BJ294" t="str">
        <f ca="1">IFERROR(IF(0=LEN(ReferenceData!$BJ$294),"",ReferenceData!$BJ$294),"")</f>
        <v/>
      </c>
      <c r="BK294" t="str">
        <f ca="1">IFERROR(IF(0=LEN(ReferenceData!$BK$294),"",ReferenceData!$BK$294),"")</f>
        <v/>
      </c>
      <c r="BL294" t="str">
        <f ca="1">IFERROR(IF(0=LEN(ReferenceData!$BL$294),"",ReferenceData!$BL$294),"")</f>
        <v/>
      </c>
      <c r="BM294" t="str">
        <f ca="1">IFERROR(IF(0=LEN(ReferenceData!$BM$294),"",ReferenceData!$BM$294),"")</f>
        <v/>
      </c>
    </row>
    <row r="295" spans="1:65" x14ac:dyDescent="0.25">
      <c r="A295" t="str">
        <f>IFERROR(IF(0=LEN(ReferenceData!$A$295),"",ReferenceData!$A$295),"")</f>
        <v xml:space="preserve">    BYD Co Ltd</v>
      </c>
      <c r="B295" t="str">
        <f>IFERROR(IF(0=LEN(ReferenceData!$B$295),"",ReferenceData!$B$295),"")</f>
        <v>1211 HK Equity</v>
      </c>
      <c r="C295" t="str">
        <f>IFERROR(IF(0=LEN(ReferenceData!$C$295),"",ReferenceData!$C$295),"")</f>
        <v>RR179</v>
      </c>
      <c r="D295" t="str">
        <f>IFERROR(IF(0=LEN(ReferenceData!$D$295),"",ReferenceData!$D$295),"")</f>
        <v>TANGIBLE_COMMON_EQUITY</v>
      </c>
      <c r="E295" t="str">
        <f>IFERROR(IF(0=LEN(ReferenceData!$E$295),"",ReferenceData!$E$295),"")</f>
        <v>Dynamic</v>
      </c>
      <c r="F295" t="str">
        <f ca="1">IFERROR(IF(0=LEN(ReferenceData!$F$295),"",ReferenceData!$F$295),"")</f>
        <v/>
      </c>
      <c r="G295" t="str">
        <f ca="1">IFERROR(IF(0=LEN(ReferenceData!$G$295),"",ReferenceData!$G$295),"")</f>
        <v/>
      </c>
      <c r="H295">
        <f ca="1">IFERROR(IF(0=LEN(ReferenceData!$H$295),"",ReferenceData!$H$295),"")</f>
        <v>5049.026656</v>
      </c>
      <c r="I295">
        <f ca="1">IFERROR(IF(0=LEN(ReferenceData!$I$295),"",ReferenceData!$I$295),"")</f>
        <v>6200.2866889999996</v>
      </c>
      <c r="J295">
        <f ca="1">IFERROR(IF(0=LEN(ReferenceData!$J$295),"",ReferenceData!$J$295),"")</f>
        <v>5771.8713420000004</v>
      </c>
      <c r="K295">
        <f ca="1">IFERROR(IF(0=LEN(ReferenceData!$K$295),"",ReferenceData!$K$295),"")</f>
        <v>6581.6553709999998</v>
      </c>
      <c r="L295">
        <f ca="1">IFERROR(IF(0=LEN(ReferenceData!$L$295),"",ReferenceData!$L$295),"")</f>
        <v>5530.7924759999996</v>
      </c>
      <c r="M295">
        <f ca="1">IFERROR(IF(0=LEN(ReferenceData!$M$295),"",ReferenceData!$M$295),"")</f>
        <v>6080.1912759999996</v>
      </c>
      <c r="N295">
        <f ca="1">IFERROR(IF(0=LEN(ReferenceData!$N$295),"",ReferenceData!$N$295),"")</f>
        <v>5147.7557580000002</v>
      </c>
      <c r="O295">
        <f ca="1">IFERROR(IF(0=LEN(ReferenceData!$O$295),"",ReferenceData!$O$295),"")</f>
        <v>5855.4554230000003</v>
      </c>
      <c r="P295">
        <f ca="1">IFERROR(IF(0=LEN(ReferenceData!$P$295),"",ReferenceData!$P$295),"")</f>
        <v>5273.0037650000004</v>
      </c>
      <c r="Q295">
        <f ca="1">IFERROR(IF(0=LEN(ReferenceData!$Q$295),"",ReferenceData!$Q$295),"")</f>
        <v>3589.0361699999999</v>
      </c>
      <c r="R295">
        <f ca="1">IFERROR(IF(0=LEN(ReferenceData!$R$295),"",ReferenceData!$R$295),"")</f>
        <v>2678.8465289999999</v>
      </c>
      <c r="S295">
        <f ca="1">IFERROR(IF(0=LEN(ReferenceData!$S$295),"",ReferenceData!$S$295),"")</f>
        <v>3872.9362620000002</v>
      </c>
      <c r="T295">
        <f ca="1">IFERROR(IF(0=LEN(ReferenceData!$T$295),"",ReferenceData!$T$295),"")</f>
        <v>2411.2865879999999</v>
      </c>
      <c r="U295">
        <f ca="1">IFERROR(IF(0=LEN(ReferenceData!$U$295),"",ReferenceData!$U$295),"")</f>
        <v>3057.8773900000001</v>
      </c>
      <c r="V295">
        <f ca="1">IFERROR(IF(0=LEN(ReferenceData!$V$295),"",ReferenceData!$V$295),"")</f>
        <v>2321.8476179999998</v>
      </c>
      <c r="W295">
        <f ca="1">IFERROR(IF(0=LEN(ReferenceData!$W$295),"",ReferenceData!$W$295),"")</f>
        <v>3059.6897250000002</v>
      </c>
      <c r="X295">
        <f ca="1">IFERROR(IF(0=LEN(ReferenceData!$X$295),"",ReferenceData!$X$295),"")</f>
        <v>2396.2704050000002</v>
      </c>
      <c r="Y295">
        <f ca="1">IFERROR(IF(0=LEN(ReferenceData!$Y$295),"",ReferenceData!$Y$295),"")</f>
        <v>3171.6869219999999</v>
      </c>
      <c r="Z295">
        <f ca="1">IFERROR(IF(0=LEN(ReferenceData!$Z$295),"",ReferenceData!$Z$295),"")</f>
        <v>1880.8405560000001</v>
      </c>
      <c r="AA295">
        <f ca="1">IFERROR(IF(0=LEN(ReferenceData!$AA$295),"",ReferenceData!$AA$295),"")</f>
        <v>2761.6454629999998</v>
      </c>
      <c r="AB295">
        <f ca="1">IFERROR(IF(0=LEN(ReferenceData!$AB$295),"",ReferenceData!$AB$295),"")</f>
        <v>2046.2007060000001</v>
      </c>
      <c r="AC295">
        <f ca="1">IFERROR(IF(0=LEN(ReferenceData!$AC$295),"",ReferenceData!$AC$295),"")</f>
        <v>2838.3557089999999</v>
      </c>
      <c r="AD295">
        <f ca="1">IFERROR(IF(0=LEN(ReferenceData!$AD$295),"",ReferenceData!$AD$295),"")</f>
        <v>2075.9737879999998</v>
      </c>
      <c r="AE295">
        <f ca="1">IFERROR(IF(0=LEN(ReferenceData!$AE$295),"",ReferenceData!$AE$295),"")</f>
        <v>2811.1653569999999</v>
      </c>
      <c r="AF295">
        <f ca="1">IFERROR(IF(0=LEN(ReferenceData!$AF$295),"",ReferenceData!$AF$295),"")</f>
        <v>2106.3952079999999</v>
      </c>
      <c r="AG295">
        <f ca="1">IFERROR(IF(0=LEN(ReferenceData!$AG$295),"",ReferenceData!$AG$295),"")</f>
        <v>2826.2785789999998</v>
      </c>
      <c r="AH295">
        <f ca="1">IFERROR(IF(0=LEN(ReferenceData!$AH$295),"",ReferenceData!$AH$295),"")</f>
        <v>2235.1192329999999</v>
      </c>
      <c r="AI295">
        <f ca="1">IFERROR(IF(0=LEN(ReferenceData!$AI$295),"",ReferenceData!$AI$295),"")</f>
        <v>2959.4285439999999</v>
      </c>
      <c r="AJ295">
        <f ca="1">IFERROR(IF(0=LEN(ReferenceData!$AJ$295),"",ReferenceData!$AJ$295),"")</f>
        <v>2211.2824690000002</v>
      </c>
      <c r="AK295" t="str">
        <f ca="1">IFERROR(IF(0=LEN(ReferenceData!$AK$295),"",ReferenceData!$AK$295),"")</f>
        <v/>
      </c>
      <c r="AL295" t="str">
        <f ca="1">IFERROR(IF(0=LEN(ReferenceData!$AL$295),"",ReferenceData!$AL$295),"")</f>
        <v/>
      </c>
      <c r="AM295">
        <f ca="1">IFERROR(IF(0=LEN(ReferenceData!$AM$295),"",ReferenceData!$AM$295),"")</f>
        <v>2605.8292489999999</v>
      </c>
      <c r="AN295">
        <f ca="1">IFERROR(IF(0=LEN(ReferenceData!$AN$295),"",ReferenceData!$AN$295),"")</f>
        <v>2593.6603890000001</v>
      </c>
      <c r="AO295">
        <f ca="1">IFERROR(IF(0=LEN(ReferenceData!$AO$295),"",ReferenceData!$AO$295),"")</f>
        <v>2573.6961390000001</v>
      </c>
      <c r="AP295">
        <f ca="1">IFERROR(IF(0=LEN(ReferenceData!$AP$295),"",ReferenceData!$AP$295),"")</f>
        <v>2572.6118799999999</v>
      </c>
      <c r="AQ295">
        <f ca="1">IFERROR(IF(0=LEN(ReferenceData!$AQ$295),"",ReferenceData!$AQ$295),"")</f>
        <v>2322.0695460000002</v>
      </c>
      <c r="AR295">
        <f ca="1">IFERROR(IF(0=LEN(ReferenceData!$AR$295),"",ReferenceData!$AR$295),"")</f>
        <v>2089.6838699999998</v>
      </c>
      <c r="AS295" t="str">
        <f ca="1">IFERROR(IF(0=LEN(ReferenceData!$AS$295),"",ReferenceData!$AS$295),"")</f>
        <v/>
      </c>
      <c r="AT295" t="str">
        <f ca="1">IFERROR(IF(0=LEN(ReferenceData!$AT$295),"",ReferenceData!$AT$295),"")</f>
        <v/>
      </c>
      <c r="AU295" t="str">
        <f ca="1">IFERROR(IF(0=LEN(ReferenceData!$AU$295),"",ReferenceData!$AU$295),"")</f>
        <v/>
      </c>
      <c r="AV295" t="str">
        <f ca="1">IFERROR(IF(0=LEN(ReferenceData!$AV$295),"",ReferenceData!$AV$295),"")</f>
        <v/>
      </c>
      <c r="AW295" t="str">
        <f ca="1">IFERROR(IF(0=LEN(ReferenceData!$AW$295),"",ReferenceData!$AW$295),"")</f>
        <v/>
      </c>
      <c r="AX295" t="str">
        <f ca="1">IFERROR(IF(0=LEN(ReferenceData!$AX$295),"",ReferenceData!$AX$295),"")</f>
        <v/>
      </c>
      <c r="AY295" t="str">
        <f ca="1">IFERROR(IF(0=LEN(ReferenceData!$AY$295),"",ReferenceData!$AY$295),"")</f>
        <v/>
      </c>
      <c r="AZ295" t="str">
        <f ca="1">IFERROR(IF(0=LEN(ReferenceData!$AZ$295),"",ReferenceData!$AZ$295),"")</f>
        <v/>
      </c>
      <c r="BA295" t="str">
        <f ca="1">IFERROR(IF(0=LEN(ReferenceData!$BA$295),"",ReferenceData!$BA$295),"")</f>
        <v/>
      </c>
      <c r="BB295" t="str">
        <f ca="1">IFERROR(IF(0=LEN(ReferenceData!$BB$295),"",ReferenceData!$BB$295),"")</f>
        <v/>
      </c>
      <c r="BC295" t="str">
        <f ca="1">IFERROR(IF(0=LEN(ReferenceData!$BC$295),"",ReferenceData!$BC$295),"")</f>
        <v/>
      </c>
      <c r="BD295" t="str">
        <f ca="1">IFERROR(IF(0=LEN(ReferenceData!$BD$295),"",ReferenceData!$BD$295),"")</f>
        <v/>
      </c>
      <c r="BE295" t="str">
        <f ca="1">IFERROR(IF(0=LEN(ReferenceData!$BE$295),"",ReferenceData!$BE$295),"")</f>
        <v/>
      </c>
      <c r="BF295" t="str">
        <f ca="1">IFERROR(IF(0=LEN(ReferenceData!$BF$295),"",ReferenceData!$BF$295),"")</f>
        <v/>
      </c>
      <c r="BG295" t="str">
        <f ca="1">IFERROR(IF(0=LEN(ReferenceData!$BG$295),"",ReferenceData!$BG$295),"")</f>
        <v/>
      </c>
      <c r="BH295" t="str">
        <f ca="1">IFERROR(IF(0=LEN(ReferenceData!$BH$295),"",ReferenceData!$BH$295),"")</f>
        <v/>
      </c>
      <c r="BI295" t="str">
        <f ca="1">IFERROR(IF(0=LEN(ReferenceData!$BI$295),"",ReferenceData!$BI$295),"")</f>
        <v/>
      </c>
      <c r="BJ295" t="str">
        <f ca="1">IFERROR(IF(0=LEN(ReferenceData!$BJ$295),"",ReferenceData!$BJ$295),"")</f>
        <v/>
      </c>
      <c r="BK295" t="str">
        <f ca="1">IFERROR(IF(0=LEN(ReferenceData!$BK$295),"",ReferenceData!$BK$295),"")</f>
        <v/>
      </c>
      <c r="BL295" t="str">
        <f ca="1">IFERROR(IF(0=LEN(ReferenceData!$BL$295),"",ReferenceData!$BL$295),"")</f>
        <v/>
      </c>
      <c r="BM295" t="str">
        <f ca="1">IFERROR(IF(0=LEN(ReferenceData!$BM$295),"",ReferenceData!$BM$295),"")</f>
        <v/>
      </c>
    </row>
    <row r="296" spans="1:65" x14ac:dyDescent="0.25">
      <c r="A296" t="str">
        <f>IFERROR(IF(0=LEN(ReferenceData!$A$296),"",ReferenceData!$A$296),"")</f>
        <v xml:space="preserve">    Chongqing Changan Automobile Co Ltd</v>
      </c>
      <c r="B296" t="str">
        <f>IFERROR(IF(0=LEN(ReferenceData!$B$296),"",ReferenceData!$B$296),"")</f>
        <v>200625 CH Equity</v>
      </c>
      <c r="C296" t="str">
        <f>IFERROR(IF(0=LEN(ReferenceData!$C$296),"",ReferenceData!$C$296),"")</f>
        <v>RR179</v>
      </c>
      <c r="D296" t="str">
        <f>IFERROR(IF(0=LEN(ReferenceData!$D$296),"",ReferenceData!$D$296),"")</f>
        <v>TANGIBLE_COMMON_EQUITY</v>
      </c>
      <c r="E296" t="str">
        <f>IFERROR(IF(0=LEN(ReferenceData!$E$296),"",ReferenceData!$E$296),"")</f>
        <v>Dynamic</v>
      </c>
      <c r="F296" t="str">
        <f ca="1">IFERROR(IF(0=LEN(ReferenceData!$F$296),"",ReferenceData!$F$296),"")</f>
        <v/>
      </c>
      <c r="G296" t="str">
        <f ca="1">IFERROR(IF(0=LEN(ReferenceData!$G$296),"",ReferenceData!$G$296),"")</f>
        <v/>
      </c>
      <c r="H296">
        <f ca="1">IFERROR(IF(0=LEN(ReferenceData!$H$296),"",ReferenceData!$H$296),"")</f>
        <v>6076.4920279999997</v>
      </c>
      <c r="I296">
        <f ca="1">IFERROR(IF(0=LEN(ReferenceData!$I$296),"",ReferenceData!$I$296),"")</f>
        <v>6716.5991080000003</v>
      </c>
      <c r="J296">
        <f ca="1">IFERROR(IF(0=LEN(ReferenceData!$J$296),"",ReferenceData!$J$296),"")</f>
        <v>6999.7642509999996</v>
      </c>
      <c r="K296">
        <f ca="1">IFERROR(IF(0=LEN(ReferenceData!$K$296),"",ReferenceData!$K$296),"")</f>
        <v>6886.3743539999996</v>
      </c>
      <c r="L296">
        <f ca="1">IFERROR(IF(0=LEN(ReferenceData!$L$296),"",ReferenceData!$L$296),"")</f>
        <v>6248.9214700000002</v>
      </c>
      <c r="M296">
        <f ca="1">IFERROR(IF(0=LEN(ReferenceData!$M$296),"",ReferenceData!$M$296),"")</f>
        <v>6270.7314370000004</v>
      </c>
      <c r="N296">
        <f ca="1">IFERROR(IF(0=LEN(ReferenceData!$N$296),"",ReferenceData!$N$296),"")</f>
        <v>6002.2646569999997</v>
      </c>
      <c r="O296">
        <f ca="1">IFERROR(IF(0=LEN(ReferenceData!$O$296),"",ReferenceData!$O$296),"")</f>
        <v>5926.8795419999997</v>
      </c>
      <c r="P296">
        <f ca="1">IFERROR(IF(0=LEN(ReferenceData!$P$296),"",ReferenceData!$P$296),"")</f>
        <v>5194.3572750000003</v>
      </c>
      <c r="Q296">
        <f ca="1">IFERROR(IF(0=LEN(ReferenceData!$Q$296),"",ReferenceData!$Q$296),"")</f>
        <v>5204.6184579999999</v>
      </c>
      <c r="R296">
        <f ca="1">IFERROR(IF(0=LEN(ReferenceData!$R$296),"",ReferenceData!$R$296),"")</f>
        <v>5119.35754</v>
      </c>
      <c r="S296">
        <f ca="1">IFERROR(IF(0=LEN(ReferenceData!$S$296),"",ReferenceData!$S$296),"")</f>
        <v>4992.6029390000003</v>
      </c>
      <c r="T296">
        <f ca="1">IFERROR(IF(0=LEN(ReferenceData!$T$296),"",ReferenceData!$T$296),"")</f>
        <v>4289.0544600000003</v>
      </c>
      <c r="U296">
        <f ca="1">IFERROR(IF(0=LEN(ReferenceData!$U$296),"",ReferenceData!$U$296),"")</f>
        <v>4469.6715759999997</v>
      </c>
      <c r="V296">
        <f ca="1">IFERROR(IF(0=LEN(ReferenceData!$V$296),"",ReferenceData!$V$296),"")</f>
        <v>3963.214019</v>
      </c>
      <c r="W296">
        <f ca="1">IFERROR(IF(0=LEN(ReferenceData!$W$296),"",ReferenceData!$W$296),"")</f>
        <v>3848.2025659999999</v>
      </c>
      <c r="X296">
        <f ca="1">IFERROR(IF(0=LEN(ReferenceData!$X$296),"",ReferenceData!$X$296),"")</f>
        <v>3309.7450690000001</v>
      </c>
      <c r="Y296">
        <f ca="1">IFERROR(IF(0=LEN(ReferenceData!$Y$296),"",ReferenceData!$Y$296),"")</f>
        <v>3210.459996</v>
      </c>
      <c r="Z296">
        <f ca="1">IFERROR(IF(0=LEN(ReferenceData!$Z$296),"",ReferenceData!$Z$296),"")</f>
        <v>2882.4630480000001</v>
      </c>
      <c r="AA296">
        <f ca="1">IFERROR(IF(0=LEN(ReferenceData!$AA$296),"",ReferenceData!$AA$296),"")</f>
        <v>2862.8549760000001</v>
      </c>
      <c r="AB296">
        <f ca="1">IFERROR(IF(0=LEN(ReferenceData!$AB$296),"",ReferenceData!$AB$296),"")</f>
        <v>2447.8339820000001</v>
      </c>
      <c r="AC296">
        <f ca="1">IFERROR(IF(0=LEN(ReferenceData!$AC$296),"",ReferenceData!$AC$296),"")</f>
        <v>2493.1786860000002</v>
      </c>
      <c r="AD296">
        <f ca="1">IFERROR(IF(0=LEN(ReferenceData!$AD$296),"",ReferenceData!$AD$296),"")</f>
        <v>2179.5662790000001</v>
      </c>
      <c r="AE296">
        <f ca="1">IFERROR(IF(0=LEN(ReferenceData!$AE$296),"",ReferenceData!$AE$296),"")</f>
        <v>2279.1362610000001</v>
      </c>
      <c r="AF296">
        <f ca="1">IFERROR(IF(0=LEN(ReferenceData!$AF$296),"",ReferenceData!$AF$296),"")</f>
        <v>1986.7096959999999</v>
      </c>
      <c r="AG296">
        <f ca="1">IFERROR(IF(0=LEN(ReferenceData!$AG$296),"",ReferenceData!$AG$296),"")</f>
        <v>2159.2043699999999</v>
      </c>
      <c r="AH296">
        <f ca="1">IFERROR(IF(0=LEN(ReferenceData!$AH$296),"",ReferenceData!$AH$296),"")</f>
        <v>1928.77836</v>
      </c>
      <c r="AI296">
        <f ca="1">IFERROR(IF(0=LEN(ReferenceData!$AI$296),"",ReferenceData!$AI$296),"")</f>
        <v>2172.7357099999999</v>
      </c>
      <c r="AJ296">
        <f ca="1">IFERROR(IF(0=LEN(ReferenceData!$AJ$296),"",ReferenceData!$AJ$296),"")</f>
        <v>2052.8489180000001</v>
      </c>
      <c r="AK296">
        <f ca="1">IFERROR(IF(0=LEN(ReferenceData!$AK$296),"",ReferenceData!$AK$296),"")</f>
        <v>2204.1944199999998</v>
      </c>
      <c r="AL296">
        <f ca="1">IFERROR(IF(0=LEN(ReferenceData!$AL$296),"",ReferenceData!$AL$296),"")</f>
        <v>2084.395732</v>
      </c>
      <c r="AM296">
        <f ca="1">IFERROR(IF(0=LEN(ReferenceData!$AM$296),"",ReferenceData!$AM$296),"")</f>
        <v>1551.3388870000001</v>
      </c>
      <c r="AN296">
        <f ca="1">IFERROR(IF(0=LEN(ReferenceData!$AN$296),"",ReferenceData!$AN$296),"")</f>
        <v>1373.589146</v>
      </c>
      <c r="AO296">
        <f ca="1">IFERROR(IF(0=LEN(ReferenceData!$AO$296),"",ReferenceData!$AO$296),"")</f>
        <v>1387.775425</v>
      </c>
      <c r="AP296">
        <f ca="1">IFERROR(IF(0=LEN(ReferenceData!$AP$296),"",ReferenceData!$AP$296),"")</f>
        <v>1316.653691</v>
      </c>
      <c r="AQ296">
        <f ca="1">IFERROR(IF(0=LEN(ReferenceData!$AQ$296),"",ReferenceData!$AQ$296),"")</f>
        <v>1254.6781450000001</v>
      </c>
      <c r="AR296">
        <f ca="1">IFERROR(IF(0=LEN(ReferenceData!$AR$296),"",ReferenceData!$AR$296),"")</f>
        <v>1149.8742239999999</v>
      </c>
      <c r="AS296">
        <f ca="1">IFERROR(IF(0=LEN(ReferenceData!$AS$296),"",ReferenceData!$AS$296),"")</f>
        <v>1116.144591</v>
      </c>
      <c r="AT296">
        <f ca="1">IFERROR(IF(0=LEN(ReferenceData!$AT$296),"",ReferenceData!$AT$296),"")</f>
        <v>1049.2350409999999</v>
      </c>
      <c r="AU296">
        <f ca="1">IFERROR(IF(0=LEN(ReferenceData!$AU$296),"",ReferenceData!$AU$296),"")</f>
        <v>1104.2112050000001</v>
      </c>
      <c r="AV296">
        <f ca="1">IFERROR(IF(0=LEN(ReferenceData!$AV$296),"",ReferenceData!$AV$296),"")</f>
        <v>1136.7545729999999</v>
      </c>
      <c r="AW296">
        <f ca="1">IFERROR(IF(0=LEN(ReferenceData!$AW$296),"",ReferenceData!$AW$296),"")</f>
        <v>1164.8776379999999</v>
      </c>
      <c r="AX296">
        <f ca="1">IFERROR(IF(0=LEN(ReferenceData!$AX$296),"",ReferenceData!$AX$296),"")</f>
        <v>1078.7448870000001</v>
      </c>
      <c r="AY296">
        <f ca="1">IFERROR(IF(0=LEN(ReferenceData!$AY$296),"",ReferenceData!$AY$296),"")</f>
        <v>1032.9187710000001</v>
      </c>
      <c r="AZ296">
        <f ca="1">IFERROR(IF(0=LEN(ReferenceData!$AZ$296),"",ReferenceData!$AZ$296),"")</f>
        <v>996.29334110000002</v>
      </c>
      <c r="BA296">
        <f ca="1">IFERROR(IF(0=LEN(ReferenceData!$BA$296),"",ReferenceData!$BA$296),"")</f>
        <v>987.09202449999998</v>
      </c>
      <c r="BB296">
        <f ca="1">IFERROR(IF(0=LEN(ReferenceData!$BB$296),"",ReferenceData!$BB$296),"")</f>
        <v>940.81853160000003</v>
      </c>
      <c r="BC296">
        <f ca="1">IFERROR(IF(0=LEN(ReferenceData!$BC$296),"",ReferenceData!$BC$296),"")</f>
        <v>887.45453010000006</v>
      </c>
      <c r="BD296" t="str">
        <f ca="1">IFERROR(IF(0=LEN(ReferenceData!$BD$296),"",ReferenceData!$BD$296),"")</f>
        <v/>
      </c>
      <c r="BE296">
        <f ca="1">IFERROR(IF(0=LEN(ReferenceData!$BE$296),"",ReferenceData!$BE$296),"")</f>
        <v>896.83457940000005</v>
      </c>
      <c r="BF296" t="str">
        <f ca="1">IFERROR(IF(0=LEN(ReferenceData!$BF$296),"",ReferenceData!$BF$296),"")</f>
        <v/>
      </c>
      <c r="BG296">
        <f ca="1">IFERROR(IF(0=LEN(ReferenceData!$BG$296),"",ReferenceData!$BG$296),"")</f>
        <v>828.20507859999998</v>
      </c>
      <c r="BH296" t="str">
        <f ca="1">IFERROR(IF(0=LEN(ReferenceData!$BH$296),"",ReferenceData!$BH$296),"")</f>
        <v/>
      </c>
      <c r="BI296" t="str">
        <f ca="1">IFERROR(IF(0=LEN(ReferenceData!$BI$296),"",ReferenceData!$BI$296),"")</f>
        <v/>
      </c>
      <c r="BJ296" t="str">
        <f ca="1">IFERROR(IF(0=LEN(ReferenceData!$BJ$296),"",ReferenceData!$BJ$296),"")</f>
        <v/>
      </c>
      <c r="BK296">
        <f ca="1">IFERROR(IF(0=LEN(ReferenceData!$BK$296),"",ReferenceData!$BK$296),"")</f>
        <v>837.46008410000002</v>
      </c>
      <c r="BL296" t="str">
        <f ca="1">IFERROR(IF(0=LEN(ReferenceData!$BL$296),"",ReferenceData!$BL$296),"")</f>
        <v/>
      </c>
      <c r="BM296" t="str">
        <f ca="1">IFERROR(IF(0=LEN(ReferenceData!$BM$296),"",ReferenceData!$BM$296),"")</f>
        <v/>
      </c>
    </row>
    <row r="297" spans="1:65" x14ac:dyDescent="0.25">
      <c r="A297" t="str">
        <f>IFERROR(IF(0=LEN(ReferenceData!$A$297),"",ReferenceData!$A$297),"")</f>
        <v xml:space="preserve">    Daihatsu Motor Co Ltd</v>
      </c>
      <c r="B297" t="str">
        <f>IFERROR(IF(0=LEN(ReferenceData!$B$297),"",ReferenceData!$B$297),"")</f>
        <v>7262 JP Equity</v>
      </c>
      <c r="C297" t="str">
        <f>IFERROR(IF(0=LEN(ReferenceData!$C$297),"",ReferenceData!$C$297),"")</f>
        <v>RR179</v>
      </c>
      <c r="D297" t="str">
        <f>IFERROR(IF(0=LEN(ReferenceData!$D$297),"",ReferenceData!$D$297),"")</f>
        <v>TANGIBLE_COMMON_EQUITY</v>
      </c>
      <c r="E297" t="str">
        <f>IFERROR(IF(0=LEN(ReferenceData!$E$297),"",ReferenceData!$E$297),"")</f>
        <v>Dynamic</v>
      </c>
      <c r="F297" t="str">
        <f ca="1">IFERROR(IF(0=LEN(ReferenceData!$F$297),"",ReferenceData!$F$297),"")</f>
        <v/>
      </c>
      <c r="G297" t="str">
        <f ca="1">IFERROR(IF(0=LEN(ReferenceData!$G$297),"",ReferenceData!$G$297),"")</f>
        <v/>
      </c>
      <c r="H297" t="str">
        <f ca="1">IFERROR(IF(0=LEN(ReferenceData!$H$297),"",ReferenceData!$H$297),"")</f>
        <v/>
      </c>
      <c r="I297" t="str">
        <f ca="1">IFERROR(IF(0=LEN(ReferenceData!$I$297),"",ReferenceData!$I$297),"")</f>
        <v/>
      </c>
      <c r="J297" t="str">
        <f ca="1">IFERROR(IF(0=LEN(ReferenceData!$J$297),"",ReferenceData!$J$297),"")</f>
        <v/>
      </c>
      <c r="K297" t="str">
        <f ca="1">IFERROR(IF(0=LEN(ReferenceData!$K$297),"",ReferenceData!$K$297),"")</f>
        <v/>
      </c>
      <c r="L297" t="str">
        <f ca="1">IFERROR(IF(0=LEN(ReferenceData!$L$297),"",ReferenceData!$L$297),"")</f>
        <v/>
      </c>
      <c r="M297" t="str">
        <f ca="1">IFERROR(IF(0=LEN(ReferenceData!$M$297),"",ReferenceData!$M$297),"")</f>
        <v/>
      </c>
      <c r="N297" t="str">
        <f ca="1">IFERROR(IF(0=LEN(ReferenceData!$N$297),"",ReferenceData!$N$297),"")</f>
        <v/>
      </c>
      <c r="O297" t="str">
        <f ca="1">IFERROR(IF(0=LEN(ReferenceData!$O$297),"",ReferenceData!$O$297),"")</f>
        <v/>
      </c>
      <c r="P297" t="str">
        <f ca="1">IFERROR(IF(0=LEN(ReferenceData!$P$297),"",ReferenceData!$P$297),"")</f>
        <v/>
      </c>
      <c r="Q297" t="str">
        <f ca="1">IFERROR(IF(0=LEN(ReferenceData!$Q$297),"",ReferenceData!$Q$297),"")</f>
        <v/>
      </c>
      <c r="R297">
        <f ca="1">IFERROR(IF(0=LEN(ReferenceData!$R$297),"",ReferenceData!$R$297),"")</f>
        <v>5436.7111109999996</v>
      </c>
      <c r="S297">
        <f ca="1">IFERROR(IF(0=LEN(ReferenceData!$S$297),"",ReferenceData!$S$297),"")</f>
        <v>4995.2995010000004</v>
      </c>
      <c r="T297">
        <f ca="1">IFERROR(IF(0=LEN(ReferenceData!$T$297),"",ReferenceData!$T$297),"")</f>
        <v>4996.5070610000002</v>
      </c>
      <c r="U297">
        <f ca="1">IFERROR(IF(0=LEN(ReferenceData!$U$297),"",ReferenceData!$U$297),"")</f>
        <v>4967.9249920000002</v>
      </c>
      <c r="V297">
        <f ca="1">IFERROR(IF(0=LEN(ReferenceData!$V$297),"",ReferenceData!$V$297),"")</f>
        <v>5089.6373489999996</v>
      </c>
      <c r="W297">
        <f ca="1">IFERROR(IF(0=LEN(ReferenceData!$W$297),"",ReferenceData!$W$297),"")</f>
        <v>4770.8694930000001</v>
      </c>
      <c r="X297">
        <f ca="1">IFERROR(IF(0=LEN(ReferenceData!$X$297),"",ReferenceData!$X$297),"")</f>
        <v>5144.9662589999998</v>
      </c>
      <c r="Y297">
        <f ca="1">IFERROR(IF(0=LEN(ReferenceData!$Y$297),"",ReferenceData!$Y$297),"")</f>
        <v>5464.6658109999998</v>
      </c>
      <c r="Z297">
        <f ca="1">IFERROR(IF(0=LEN(ReferenceData!$Z$297),"",ReferenceData!$Z$297),"")</f>
        <v>5278.9366449999998</v>
      </c>
      <c r="AA297">
        <f ca="1">IFERROR(IF(0=LEN(ReferenceData!$AA$297),"",ReferenceData!$AA$297),"")</f>
        <v>4966.0364810000001</v>
      </c>
      <c r="AB297">
        <f ca="1">IFERROR(IF(0=LEN(ReferenceData!$AB$297),"",ReferenceData!$AB$297),"")</f>
        <v>5241.3196209999996</v>
      </c>
      <c r="AC297">
        <f ca="1">IFERROR(IF(0=LEN(ReferenceData!$AC$297),"",ReferenceData!$AC$297),"")</f>
        <v>5117.9200639999999</v>
      </c>
      <c r="AD297">
        <f ca="1">IFERROR(IF(0=LEN(ReferenceData!$AD$297),"",ReferenceData!$AD$297),"")</f>
        <v>5233.2625770000004</v>
      </c>
      <c r="AE297">
        <f ca="1">IFERROR(IF(0=LEN(ReferenceData!$AE$297),"",ReferenceData!$AE$297),"")</f>
        <v>5282.8099750000001</v>
      </c>
      <c r="AF297">
        <f ca="1">IFERROR(IF(0=LEN(ReferenceData!$AF$297),"",ReferenceData!$AF$297),"")</f>
        <v>5739.5533880000003</v>
      </c>
      <c r="AG297">
        <f ca="1">IFERROR(IF(0=LEN(ReferenceData!$AG$297),"",ReferenceData!$AG$297),"")</f>
        <v>5354.6491230000001</v>
      </c>
      <c r="AH297">
        <f ca="1">IFERROR(IF(0=LEN(ReferenceData!$AH$297),"",ReferenceData!$AH$297),"")</f>
        <v>5120.9246039999998</v>
      </c>
      <c r="AI297">
        <f ca="1">IFERROR(IF(0=LEN(ReferenceData!$AI$297),"",ReferenceData!$AI$297),"")</f>
        <v>5065.5279909999999</v>
      </c>
      <c r="AJ297">
        <f ca="1">IFERROR(IF(0=LEN(ReferenceData!$AJ$297),"",ReferenceData!$AJ$297),"")</f>
        <v>5009.2947889999996</v>
      </c>
      <c r="AK297">
        <f ca="1">IFERROR(IF(0=LEN(ReferenceData!$AK$297),"",ReferenceData!$AK$297),"")</f>
        <v>4669.3768620000001</v>
      </c>
      <c r="AL297">
        <f ca="1">IFERROR(IF(0=LEN(ReferenceData!$AL$297),"",ReferenceData!$AL$297),"")</f>
        <v>4569.1053970000003</v>
      </c>
      <c r="AM297">
        <f ca="1">IFERROR(IF(0=LEN(ReferenceData!$AM$297),"",ReferenceData!$AM$297),"")</f>
        <v>4493.0163810000004</v>
      </c>
      <c r="AN297">
        <f ca="1">IFERROR(IF(0=LEN(ReferenceData!$AN$297),"",ReferenceData!$AN$297),"")</f>
        <v>4289.7915169999997</v>
      </c>
      <c r="AO297">
        <f ca="1">IFERROR(IF(0=LEN(ReferenceData!$AO$297),"",ReferenceData!$AO$297),"")</f>
        <v>3976.202303</v>
      </c>
      <c r="AP297">
        <f ca="1">IFERROR(IF(0=LEN(ReferenceData!$AP$297),"",ReferenceData!$AP$297),"")</f>
        <v>3604.2166099999999</v>
      </c>
      <c r="AQ297">
        <f ca="1">IFERROR(IF(0=LEN(ReferenceData!$AQ$297),"",ReferenceData!$AQ$297),"")</f>
        <v>3526.3044880000002</v>
      </c>
      <c r="AR297">
        <f ca="1">IFERROR(IF(0=LEN(ReferenceData!$AR$297),"",ReferenceData!$AR$297),"")</f>
        <v>3591.9826050000001</v>
      </c>
      <c r="AS297">
        <f ca="1">IFERROR(IF(0=LEN(ReferenceData!$AS$297),"",ReferenceData!$AS$297),"")</f>
        <v>3360.6727569999998</v>
      </c>
      <c r="AT297">
        <f ca="1">IFERROR(IF(0=LEN(ReferenceData!$AT$297),"",ReferenceData!$AT$297),"")</f>
        <v>3169.330649</v>
      </c>
      <c r="AU297">
        <f ca="1">IFERROR(IF(0=LEN(ReferenceData!$AU$297),"",ReferenceData!$AU$297),"")</f>
        <v>3474.6778279999999</v>
      </c>
      <c r="AV297">
        <f ca="1">IFERROR(IF(0=LEN(ReferenceData!$AV$297),"",ReferenceData!$AV$297),"")</f>
        <v>3128.9104440000001</v>
      </c>
      <c r="AW297">
        <f ca="1">IFERROR(IF(0=LEN(ReferenceData!$AW$297),"",ReferenceData!$AW$297),"")</f>
        <v>3126.706846</v>
      </c>
      <c r="AX297">
        <f ca="1">IFERROR(IF(0=LEN(ReferenceData!$AX$297),"",ReferenceData!$AX$297),"")</f>
        <v>3270.7991189999998</v>
      </c>
      <c r="AY297">
        <f ca="1">IFERROR(IF(0=LEN(ReferenceData!$AY$297),"",ReferenceData!$AY$297),"")</f>
        <v>2882.2703280000001</v>
      </c>
      <c r="AZ297">
        <f ca="1">IFERROR(IF(0=LEN(ReferenceData!$AZ$297),"",ReferenceData!$AZ$297),"")</f>
        <v>2792.3344950000001</v>
      </c>
      <c r="BA297">
        <f ca="1">IFERROR(IF(0=LEN(ReferenceData!$BA$297),"",ReferenceData!$BA$297),"")</f>
        <v>2649.3915299999999</v>
      </c>
      <c r="BB297">
        <f ca="1">IFERROR(IF(0=LEN(ReferenceData!$BB$297),"",ReferenceData!$BB$297),"")</f>
        <v>2710.8852790000001</v>
      </c>
      <c r="BC297">
        <f ca="1">IFERROR(IF(0=LEN(ReferenceData!$BC$297),"",ReferenceData!$BC$297),"")</f>
        <v>2558.548875</v>
      </c>
      <c r="BD297">
        <f ca="1">IFERROR(IF(0=LEN(ReferenceData!$BD$297),"",ReferenceData!$BD$297),"")</f>
        <v>2556.507372</v>
      </c>
      <c r="BE297">
        <f ca="1">IFERROR(IF(0=LEN(ReferenceData!$BE$297),"",ReferenceData!$BE$297),"")</f>
        <v>2602.1402990000001</v>
      </c>
      <c r="BF297">
        <f ca="1">IFERROR(IF(0=LEN(ReferenceData!$BF$297),"",ReferenceData!$BF$297),"")</f>
        <v>2570.3489359999999</v>
      </c>
      <c r="BG297">
        <f ca="1">IFERROR(IF(0=LEN(ReferenceData!$BG$297),"",ReferenceData!$BG$297),"")</f>
        <v>2330.812919</v>
      </c>
      <c r="BH297">
        <f ca="1">IFERROR(IF(0=LEN(ReferenceData!$BH$297),"",ReferenceData!$BH$297),"")</f>
        <v>2284.0612890000002</v>
      </c>
      <c r="BI297">
        <f ca="1">IFERROR(IF(0=LEN(ReferenceData!$BI$297),"",ReferenceData!$BI$297),"")</f>
        <v>2192.1031280000002</v>
      </c>
      <c r="BJ297">
        <f ca="1">IFERROR(IF(0=LEN(ReferenceData!$BJ$297),"",ReferenceData!$BJ$297),"")</f>
        <v>2232.3600750000001</v>
      </c>
      <c r="BK297">
        <f ca="1">IFERROR(IF(0=LEN(ReferenceData!$BK$297),"",ReferenceData!$BK$297),"")</f>
        <v>2238.308458</v>
      </c>
      <c r="BL297">
        <f ca="1">IFERROR(IF(0=LEN(ReferenceData!$BL$297),"",ReferenceData!$BL$297),"")</f>
        <v>2016.6651509999999</v>
      </c>
      <c r="BM297">
        <f ca="1">IFERROR(IF(0=LEN(ReferenceData!$BM$297),"",ReferenceData!$BM$297),"")</f>
        <v>1995.437506</v>
      </c>
    </row>
    <row r="298" spans="1:65" x14ac:dyDescent="0.25">
      <c r="A298" t="str">
        <f>IFERROR(IF(0=LEN(ReferenceData!$A$298),"",ReferenceData!$A$298),"")</f>
        <v xml:space="preserve">    Daimler AG</v>
      </c>
      <c r="B298" t="str">
        <f>IFERROR(IF(0=LEN(ReferenceData!$B$298),"",ReferenceData!$B$298),"")</f>
        <v>DAI GR Equity</v>
      </c>
      <c r="C298" t="str">
        <f>IFERROR(IF(0=LEN(ReferenceData!$C$298),"",ReferenceData!$C$298),"")</f>
        <v>RR179</v>
      </c>
      <c r="D298" t="str">
        <f>IFERROR(IF(0=LEN(ReferenceData!$D$298),"",ReferenceData!$D$298),"")</f>
        <v>TANGIBLE_COMMON_EQUITY</v>
      </c>
      <c r="E298" t="str">
        <f>IFERROR(IF(0=LEN(ReferenceData!$E$298),"",ReferenceData!$E$298),"")</f>
        <v>Dynamic</v>
      </c>
      <c r="F298" t="str">
        <f ca="1">IFERROR(IF(0=LEN(ReferenceData!$F$298),"",ReferenceData!$F$298),"")</f>
        <v/>
      </c>
      <c r="G298">
        <f ca="1">IFERROR(IF(0=LEN(ReferenceData!$G$298),"",ReferenceData!$G$298),"")</f>
        <v>57106.5432</v>
      </c>
      <c r="H298">
        <f ca="1">IFERROR(IF(0=LEN(ReferenceData!$H$298),"",ReferenceData!$H$298),"")</f>
        <v>57716.934399999998</v>
      </c>
      <c r="I298">
        <f ca="1">IFERROR(IF(0=LEN(ReferenceData!$I$298),"",ReferenceData!$I$298),"")</f>
        <v>56864.654600000002</v>
      </c>
      <c r="J298">
        <f ca="1">IFERROR(IF(0=LEN(ReferenceData!$J$298),"",ReferenceData!$J$298),"")</f>
        <v>63544.452299999997</v>
      </c>
      <c r="K298">
        <f ca="1">IFERROR(IF(0=LEN(ReferenceData!$K$298),"",ReferenceData!$K$298),"")</f>
        <v>60271.094799999999</v>
      </c>
      <c r="L298">
        <f ca="1">IFERROR(IF(0=LEN(ReferenceData!$L$298),"",ReferenceData!$L$298),"")</f>
        <v>56978.982499999998</v>
      </c>
      <c r="M298">
        <f ca="1">IFERROR(IF(0=LEN(ReferenceData!$M$298),"",ReferenceData!$M$298),"")</f>
        <v>53237.0798</v>
      </c>
      <c r="N298">
        <f ca="1">IFERROR(IF(0=LEN(ReferenceData!$N$298),"",ReferenceData!$N$298),"")</f>
        <v>48017.763299999999</v>
      </c>
      <c r="O298">
        <f ca="1">IFERROR(IF(0=LEN(ReferenceData!$O$298),"",ReferenceData!$O$298),"")</f>
        <v>48360.104399999997</v>
      </c>
      <c r="P298">
        <f ca="1">IFERROR(IF(0=LEN(ReferenceData!$P$298),"",ReferenceData!$P$298),"")</f>
        <v>47925.595200000003</v>
      </c>
      <c r="Q298">
        <f ca="1">IFERROR(IF(0=LEN(ReferenceData!$Q$298),"",ReferenceData!$Q$298),"")</f>
        <v>45072.646500000003</v>
      </c>
      <c r="R298">
        <f ca="1">IFERROR(IF(0=LEN(ReferenceData!$R$298),"",ReferenceData!$R$298),"")</f>
        <v>49404.921000000002</v>
      </c>
      <c r="S298">
        <f ca="1">IFERROR(IF(0=LEN(ReferenceData!$S$298),"",ReferenceData!$S$298),"")</f>
        <v>47258.407200000001</v>
      </c>
      <c r="T298">
        <f ca="1">IFERROR(IF(0=LEN(ReferenceData!$T$298),"",ReferenceData!$T$298),"")</f>
        <v>44789.500999999997</v>
      </c>
      <c r="U298">
        <f ca="1">IFERROR(IF(0=LEN(ReferenceData!$U$298),"",ReferenceData!$U$298),"")</f>
        <v>43322.713199999998</v>
      </c>
      <c r="V298">
        <f ca="1">IFERROR(IF(0=LEN(ReferenceData!$V$298),"",ReferenceData!$V$298),"")</f>
        <v>38622.945599999999</v>
      </c>
      <c r="W298">
        <f ca="1">IFERROR(IF(0=LEN(ReferenceData!$W$298),"",ReferenceData!$W$298),"")</f>
        <v>41500.58</v>
      </c>
      <c r="X298">
        <f ca="1">IFERROR(IF(0=LEN(ReferenceData!$X$298),"",ReferenceData!$X$298),"")</f>
        <v>44226.758000000002</v>
      </c>
      <c r="Y298">
        <f ca="1">IFERROR(IF(0=LEN(ReferenceData!$Y$298),"",ReferenceData!$Y$298),"")</f>
        <v>44853.915999999997</v>
      </c>
      <c r="Z298">
        <f ca="1">IFERROR(IF(0=LEN(ReferenceData!$Z$298),"",ReferenceData!$Z$298),"")</f>
        <v>45995.725599999998</v>
      </c>
      <c r="AA298">
        <f ca="1">IFERROR(IF(0=LEN(ReferenceData!$AA$298),"",ReferenceData!$AA$298),"")</f>
        <v>45906.338799999998</v>
      </c>
      <c r="AB298">
        <f ca="1">IFERROR(IF(0=LEN(ReferenceData!$AB$298),"",ReferenceData!$AB$298),"")</f>
        <v>43132.768700000001</v>
      </c>
      <c r="AC298">
        <f ca="1">IFERROR(IF(0=LEN(ReferenceData!$AC$298),"",ReferenceData!$AC$298),"")</f>
        <v>39328.4205</v>
      </c>
      <c r="AD298">
        <f ca="1">IFERROR(IF(0=LEN(ReferenceData!$AD$298),"",ReferenceData!$AD$298),"")</f>
        <v>38208.311399999999</v>
      </c>
      <c r="AE298">
        <f ca="1">IFERROR(IF(0=LEN(ReferenceData!$AE$298),"",ReferenceData!$AE$298),"")</f>
        <v>38297.694000000003</v>
      </c>
      <c r="AF298">
        <f ca="1">IFERROR(IF(0=LEN(ReferenceData!$AF$298),"",ReferenceData!$AF$298),"")</f>
        <v>41805.796799999996</v>
      </c>
      <c r="AG298">
        <f ca="1">IFERROR(IF(0=LEN(ReferenceData!$AG$298),"",ReferenceData!$AG$298),"")</f>
        <v>40066.982100000001</v>
      </c>
      <c r="AH298">
        <f ca="1">IFERROR(IF(0=LEN(ReferenceData!$AH$298),"",ReferenceData!$AH$298),"")</f>
        <v>44071.592400000001</v>
      </c>
      <c r="AI298">
        <f ca="1">IFERROR(IF(0=LEN(ReferenceData!$AI$298),"",ReferenceData!$AI$298),"")</f>
        <v>40649.040000000001</v>
      </c>
      <c r="AJ298">
        <f ca="1">IFERROR(IF(0=LEN(ReferenceData!$AJ$298),"",ReferenceData!$AJ$298),"")</f>
        <v>40443.832799999996</v>
      </c>
      <c r="AK298">
        <f ca="1">IFERROR(IF(0=LEN(ReferenceData!$AK$298),"",ReferenceData!$AK$298),"")</f>
        <v>42517.201999999997</v>
      </c>
      <c r="AL298">
        <f ca="1">IFERROR(IF(0=LEN(ReferenceData!$AL$298),"",ReferenceData!$AL$298),"")</f>
        <v>41815.091999999997</v>
      </c>
      <c r="AM298">
        <f ca="1">IFERROR(IF(0=LEN(ReferenceData!$AM$298),"",ReferenceData!$AM$298),"")</f>
        <v>38586.305399999997</v>
      </c>
      <c r="AN298">
        <f ca="1">IFERROR(IF(0=LEN(ReferenceData!$AN$298),"",ReferenceData!$AN$298),"")</f>
        <v>36833.928</v>
      </c>
      <c r="AO298">
        <f ca="1">IFERROR(IF(0=LEN(ReferenceData!$AO$298),"",ReferenceData!$AO$298),"")</f>
        <v>31837.557499999999</v>
      </c>
      <c r="AP298">
        <f ca="1">IFERROR(IF(0=LEN(ReferenceData!$AP$298),"",ReferenceData!$AP$298),"")</f>
        <v>32426.421300000002</v>
      </c>
      <c r="AQ298">
        <f ca="1">IFERROR(IF(0=LEN(ReferenceData!$AQ$298),"",ReferenceData!$AQ$298),"")</f>
        <v>33689.3148</v>
      </c>
      <c r="AR298">
        <f ca="1">IFERROR(IF(0=LEN(ReferenceData!$AR$298),"",ReferenceData!$AR$298),"")</f>
        <v>35055.341999999997</v>
      </c>
      <c r="AS298">
        <f ca="1">IFERROR(IF(0=LEN(ReferenceData!$AS$298),"",ReferenceData!$AS$298),"")</f>
        <v>33360.32</v>
      </c>
      <c r="AT298">
        <f ca="1">IFERROR(IF(0=LEN(ReferenceData!$AT$298),"",ReferenceData!$AT$298),"")</f>
        <v>33863.5942</v>
      </c>
      <c r="AU298">
        <f ca="1">IFERROR(IF(0=LEN(ReferenceData!$AU$298),"",ReferenceData!$AU$298),"")</f>
        <v>35132.258699999998</v>
      </c>
      <c r="AV298">
        <f ca="1">IFERROR(IF(0=LEN(ReferenceData!$AV$298),"",ReferenceData!$AV$298),"")</f>
        <v>38199.036200000002</v>
      </c>
      <c r="AW298">
        <f ca="1">IFERROR(IF(0=LEN(ReferenceData!$AW$298),"",ReferenceData!$AW$298),"")</f>
        <v>45055.315199999997</v>
      </c>
      <c r="AX298">
        <f ca="1">IFERROR(IF(0=LEN(ReferenceData!$AX$298),"",ReferenceData!$AX$298),"")</f>
        <v>47164.570599999999</v>
      </c>
      <c r="AY298">
        <f ca="1">IFERROR(IF(0=LEN(ReferenceData!$AY$298),"",ReferenceData!$AY$298),"")</f>
        <v>45959.782800000001</v>
      </c>
      <c r="AZ298">
        <f ca="1">IFERROR(IF(0=LEN(ReferenceData!$AZ$298),"",ReferenceData!$AZ$298),"")</f>
        <v>45828.159</v>
      </c>
      <c r="BA298">
        <f ca="1">IFERROR(IF(0=LEN(ReferenceData!$BA$298),"",ReferenceData!$BA$298),"")</f>
        <v>47114.9476</v>
      </c>
      <c r="BB298">
        <f ca="1">IFERROR(IF(0=LEN(ReferenceData!$BB$298),"",ReferenceData!$BB$298),"")</f>
        <v>41549.045400000003</v>
      </c>
      <c r="BC298">
        <f ca="1">IFERROR(IF(0=LEN(ReferenceData!$BC$298),"",ReferenceData!$BC$298),"")</f>
        <v>38658.277900000001</v>
      </c>
      <c r="BD298">
        <f ca="1">IFERROR(IF(0=LEN(ReferenceData!$BD$298),"",ReferenceData!$BD$298),"")</f>
        <v>40697.956599999998</v>
      </c>
      <c r="BE298">
        <f ca="1">IFERROR(IF(0=LEN(ReferenceData!$BE$298),"",ReferenceData!$BE$298),"")</f>
        <v>40349.46</v>
      </c>
      <c r="BF298">
        <f ca="1">IFERROR(IF(0=LEN(ReferenceData!$BF$298),"",ReferenceData!$BF$298),"")</f>
        <v>38294.903299999998</v>
      </c>
      <c r="BG298">
        <f ca="1">IFERROR(IF(0=LEN(ReferenceData!$BG$298),"",ReferenceData!$BG$298),"")</f>
        <v>37128.4041</v>
      </c>
      <c r="BH298">
        <f ca="1">IFERROR(IF(0=LEN(ReferenceData!$BH$298),"",ReferenceData!$BH$298),"")</f>
        <v>36231.953999999998</v>
      </c>
      <c r="BI298">
        <f ca="1">IFERROR(IF(0=LEN(ReferenceData!$BI$298),"",ReferenceData!$BI$298),"")</f>
        <v>35070.181199999999</v>
      </c>
      <c r="BJ298">
        <f ca="1">IFERROR(IF(0=LEN(ReferenceData!$BJ$298),"",ReferenceData!$BJ$298),"")</f>
        <v>38526.631200000003</v>
      </c>
      <c r="BK298">
        <f ca="1">IFERROR(IF(0=LEN(ReferenceData!$BK$298),"",ReferenceData!$BK$298),"")</f>
        <v>39132.105199999998</v>
      </c>
      <c r="BL298">
        <f ca="1">IFERROR(IF(0=LEN(ReferenceData!$BL$298),"",ReferenceData!$BL$298),"")</f>
        <v>36496.0648</v>
      </c>
      <c r="BM298">
        <f ca="1">IFERROR(IF(0=LEN(ReferenceData!$BM$298),"",ReferenceData!$BM$298),"")</f>
        <v>35517.660300000003</v>
      </c>
    </row>
    <row r="299" spans="1:65" x14ac:dyDescent="0.25">
      <c r="A299" t="str">
        <f>IFERROR(IF(0=LEN(ReferenceData!$A$299),"",ReferenceData!$A$299),"")</f>
        <v xml:space="preserve">    Dongfeng Motor Group Co Ltd</v>
      </c>
      <c r="B299" t="str">
        <f>IFERROR(IF(0=LEN(ReferenceData!$B$299),"",ReferenceData!$B$299),"")</f>
        <v>489 HK Equity</v>
      </c>
      <c r="C299" t="str">
        <f>IFERROR(IF(0=LEN(ReferenceData!$C$299),"",ReferenceData!$C$299),"")</f>
        <v>RR179</v>
      </c>
      <c r="D299" t="str">
        <f>IFERROR(IF(0=LEN(ReferenceData!$D$299),"",ReferenceData!$D$299),"")</f>
        <v>TANGIBLE_COMMON_EQUITY</v>
      </c>
      <c r="E299" t="str">
        <f>IFERROR(IF(0=LEN(ReferenceData!$E$299),"",ReferenceData!$E$299),"")</f>
        <v>Dynamic</v>
      </c>
      <c r="F299" t="str">
        <f ca="1">IFERROR(IF(0=LEN(ReferenceData!$F$299),"",ReferenceData!$F$299),"")</f>
        <v/>
      </c>
      <c r="G299" t="str">
        <f ca="1">IFERROR(IF(0=LEN(ReferenceData!$G$299),"",ReferenceData!$G$299),"")</f>
        <v/>
      </c>
      <c r="H299" t="str">
        <f ca="1">IFERROR(IF(0=LEN(ReferenceData!$H$299),"",ReferenceData!$H$299),"")</f>
        <v/>
      </c>
      <c r="I299" t="str">
        <f ca="1">IFERROR(IF(0=LEN(ReferenceData!$I$299),"",ReferenceData!$I$299),"")</f>
        <v/>
      </c>
      <c r="J299" t="str">
        <f ca="1">IFERROR(IF(0=LEN(ReferenceData!$J$299),"",ReferenceData!$J$299),"")</f>
        <v/>
      </c>
      <c r="K299" t="str">
        <f ca="1">IFERROR(IF(0=LEN(ReferenceData!$K$299),"",ReferenceData!$K$299),"")</f>
        <v/>
      </c>
      <c r="L299" t="str">
        <f ca="1">IFERROR(IF(0=LEN(ReferenceData!$L$299),"",ReferenceData!$L$299),"")</f>
        <v/>
      </c>
      <c r="M299" t="str">
        <f ca="1">IFERROR(IF(0=LEN(ReferenceData!$M$299),"",ReferenceData!$M$299),"")</f>
        <v/>
      </c>
      <c r="N299" t="str">
        <f ca="1">IFERROR(IF(0=LEN(ReferenceData!$N$299),"",ReferenceData!$N$299),"")</f>
        <v/>
      </c>
      <c r="O299" t="str">
        <f ca="1">IFERROR(IF(0=LEN(ReferenceData!$O$299),"",ReferenceData!$O$299),"")</f>
        <v/>
      </c>
      <c r="P299" t="str">
        <f ca="1">IFERROR(IF(0=LEN(ReferenceData!$P$299),"",ReferenceData!$P$299),"")</f>
        <v/>
      </c>
      <c r="Q299" t="str">
        <f ca="1">IFERROR(IF(0=LEN(ReferenceData!$Q$299),"",ReferenceData!$Q$299),"")</f>
        <v/>
      </c>
      <c r="R299" t="str">
        <f ca="1">IFERROR(IF(0=LEN(ReferenceData!$R$299),"",ReferenceData!$R$299),"")</f>
        <v/>
      </c>
      <c r="S299" t="str">
        <f ca="1">IFERROR(IF(0=LEN(ReferenceData!$S$299),"",ReferenceData!$S$299),"")</f>
        <v/>
      </c>
      <c r="T299" t="str">
        <f ca="1">IFERROR(IF(0=LEN(ReferenceData!$T$299),"",ReferenceData!$T$299),"")</f>
        <v/>
      </c>
      <c r="U299" t="str">
        <f ca="1">IFERROR(IF(0=LEN(ReferenceData!$U$299),"",ReferenceData!$U$299),"")</f>
        <v/>
      </c>
      <c r="V299" t="str">
        <f ca="1">IFERROR(IF(0=LEN(ReferenceData!$V$299),"",ReferenceData!$V$299),"")</f>
        <v/>
      </c>
      <c r="W299" t="str">
        <f ca="1">IFERROR(IF(0=LEN(ReferenceData!$W$299),"",ReferenceData!$W$299),"")</f>
        <v/>
      </c>
      <c r="X299" t="str">
        <f ca="1">IFERROR(IF(0=LEN(ReferenceData!$X$299),"",ReferenceData!$X$299),"")</f>
        <v/>
      </c>
      <c r="Y299" t="str">
        <f ca="1">IFERROR(IF(0=LEN(ReferenceData!$Y$299),"",ReferenceData!$Y$299),"")</f>
        <v/>
      </c>
      <c r="Z299" t="str">
        <f ca="1">IFERROR(IF(0=LEN(ReferenceData!$Z$299),"",ReferenceData!$Z$299),"")</f>
        <v/>
      </c>
      <c r="AA299" t="str">
        <f ca="1">IFERROR(IF(0=LEN(ReferenceData!$AA$299),"",ReferenceData!$AA$299),"")</f>
        <v/>
      </c>
      <c r="AB299" t="str">
        <f ca="1">IFERROR(IF(0=LEN(ReferenceData!$AB$299),"",ReferenceData!$AB$299),"")</f>
        <v/>
      </c>
      <c r="AC299" t="str">
        <f ca="1">IFERROR(IF(0=LEN(ReferenceData!$AC$299),"",ReferenceData!$AC$299),"")</f>
        <v/>
      </c>
      <c r="AD299" t="str">
        <f ca="1">IFERROR(IF(0=LEN(ReferenceData!$AD$299),"",ReferenceData!$AD$299),"")</f>
        <v/>
      </c>
      <c r="AE299" t="str">
        <f ca="1">IFERROR(IF(0=LEN(ReferenceData!$AE$299),"",ReferenceData!$AE$299),"")</f>
        <v/>
      </c>
      <c r="AF299" t="str">
        <f ca="1">IFERROR(IF(0=LEN(ReferenceData!$AF$299),"",ReferenceData!$AF$299),"")</f>
        <v/>
      </c>
      <c r="AG299" t="str">
        <f ca="1">IFERROR(IF(0=LEN(ReferenceData!$AG$299),"",ReferenceData!$AG$299),"")</f>
        <v/>
      </c>
      <c r="AH299" t="str">
        <f ca="1">IFERROR(IF(0=LEN(ReferenceData!$AH$299),"",ReferenceData!$AH$299),"")</f>
        <v/>
      </c>
      <c r="AI299" t="str">
        <f ca="1">IFERROR(IF(0=LEN(ReferenceData!$AI$299),"",ReferenceData!$AI$299),"")</f>
        <v/>
      </c>
      <c r="AJ299" t="str">
        <f ca="1">IFERROR(IF(0=LEN(ReferenceData!$AJ$299),"",ReferenceData!$AJ$299),"")</f>
        <v/>
      </c>
      <c r="AK299" t="str">
        <f ca="1">IFERROR(IF(0=LEN(ReferenceData!$AK$299),"",ReferenceData!$AK$299),"")</f>
        <v/>
      </c>
      <c r="AL299" t="str">
        <f ca="1">IFERROR(IF(0=LEN(ReferenceData!$AL$299),"",ReferenceData!$AL$299),"")</f>
        <v/>
      </c>
      <c r="AM299" t="str">
        <f ca="1">IFERROR(IF(0=LEN(ReferenceData!$AM$299),"",ReferenceData!$AM$299),"")</f>
        <v/>
      </c>
      <c r="AN299" t="str">
        <f ca="1">IFERROR(IF(0=LEN(ReferenceData!$AN$299),"",ReferenceData!$AN$299),"")</f>
        <v/>
      </c>
      <c r="AO299" t="str">
        <f ca="1">IFERROR(IF(0=LEN(ReferenceData!$AO$299),"",ReferenceData!$AO$299),"")</f>
        <v/>
      </c>
      <c r="AP299" t="str">
        <f ca="1">IFERROR(IF(0=LEN(ReferenceData!$AP$299),"",ReferenceData!$AP$299),"")</f>
        <v/>
      </c>
      <c r="AQ299" t="str">
        <f ca="1">IFERROR(IF(0=LEN(ReferenceData!$AQ$299),"",ReferenceData!$AQ$299),"")</f>
        <v/>
      </c>
      <c r="AR299" t="str">
        <f ca="1">IFERROR(IF(0=LEN(ReferenceData!$AR$299),"",ReferenceData!$AR$299),"")</f>
        <v/>
      </c>
      <c r="AS299" t="str">
        <f ca="1">IFERROR(IF(0=LEN(ReferenceData!$AS$299),"",ReferenceData!$AS$299),"")</f>
        <v/>
      </c>
      <c r="AT299" t="str">
        <f ca="1">IFERROR(IF(0=LEN(ReferenceData!$AT$299),"",ReferenceData!$AT$299),"")</f>
        <v/>
      </c>
      <c r="AU299" t="str">
        <f ca="1">IFERROR(IF(0=LEN(ReferenceData!$AU$299),"",ReferenceData!$AU$299),"")</f>
        <v/>
      </c>
      <c r="AV299" t="str">
        <f ca="1">IFERROR(IF(0=LEN(ReferenceData!$AV$299),"",ReferenceData!$AV$299),"")</f>
        <v/>
      </c>
      <c r="AW299" t="str">
        <f ca="1">IFERROR(IF(0=LEN(ReferenceData!$AW$299),"",ReferenceData!$AW$299),"")</f>
        <v/>
      </c>
      <c r="AX299" t="str">
        <f ca="1">IFERROR(IF(0=LEN(ReferenceData!$AX$299),"",ReferenceData!$AX$299),"")</f>
        <v/>
      </c>
      <c r="AY299" t="str">
        <f ca="1">IFERROR(IF(0=LEN(ReferenceData!$AY$299),"",ReferenceData!$AY$299),"")</f>
        <v/>
      </c>
      <c r="AZ299" t="str">
        <f ca="1">IFERROR(IF(0=LEN(ReferenceData!$AZ$299),"",ReferenceData!$AZ$299),"")</f>
        <v/>
      </c>
      <c r="BA299" t="str">
        <f ca="1">IFERROR(IF(0=LEN(ReferenceData!$BA$299),"",ReferenceData!$BA$299),"")</f>
        <v/>
      </c>
      <c r="BB299" t="str">
        <f ca="1">IFERROR(IF(0=LEN(ReferenceData!$BB$299),"",ReferenceData!$BB$299),"")</f>
        <v/>
      </c>
      <c r="BC299" t="str">
        <f ca="1">IFERROR(IF(0=LEN(ReferenceData!$BC$299),"",ReferenceData!$BC$299),"")</f>
        <v/>
      </c>
      <c r="BD299" t="str">
        <f ca="1">IFERROR(IF(0=LEN(ReferenceData!$BD$299),"",ReferenceData!$BD$299),"")</f>
        <v/>
      </c>
      <c r="BE299" t="str">
        <f ca="1">IFERROR(IF(0=LEN(ReferenceData!$BE$299),"",ReferenceData!$BE$299),"")</f>
        <v/>
      </c>
      <c r="BF299" t="str">
        <f ca="1">IFERROR(IF(0=LEN(ReferenceData!$BF$299),"",ReferenceData!$BF$299),"")</f>
        <v/>
      </c>
      <c r="BG299" t="str">
        <f ca="1">IFERROR(IF(0=LEN(ReferenceData!$BG$299),"",ReferenceData!$BG$299),"")</f>
        <v/>
      </c>
      <c r="BH299" t="str">
        <f ca="1">IFERROR(IF(0=LEN(ReferenceData!$BH$299),"",ReferenceData!$BH$299),"")</f>
        <v/>
      </c>
      <c r="BI299" t="str">
        <f ca="1">IFERROR(IF(0=LEN(ReferenceData!$BI$299),"",ReferenceData!$BI$299),"")</f>
        <v/>
      </c>
      <c r="BJ299" t="str">
        <f ca="1">IFERROR(IF(0=LEN(ReferenceData!$BJ$299),"",ReferenceData!$BJ$299),"")</f>
        <v/>
      </c>
      <c r="BK299" t="str">
        <f ca="1">IFERROR(IF(0=LEN(ReferenceData!$BK$299),"",ReferenceData!$BK$299),"")</f>
        <v/>
      </c>
      <c r="BL299" t="str">
        <f ca="1">IFERROR(IF(0=LEN(ReferenceData!$BL$299),"",ReferenceData!$BL$299),"")</f>
        <v/>
      </c>
      <c r="BM299" t="str">
        <f ca="1">IFERROR(IF(0=LEN(ReferenceData!$BM$299),"",ReferenceData!$BM$299),"")</f>
        <v/>
      </c>
    </row>
    <row r="300" spans="1:65" x14ac:dyDescent="0.25">
      <c r="A300" t="str">
        <f>IFERROR(IF(0=LEN(ReferenceData!$A$300),"",ReferenceData!$A$300),"")</f>
        <v xml:space="preserve">    DRB-Hicom Bhd</v>
      </c>
      <c r="B300" t="str">
        <f>IFERROR(IF(0=LEN(ReferenceData!$B$300),"",ReferenceData!$B$300),"")</f>
        <v>DRB MK Equity</v>
      </c>
      <c r="C300" t="str">
        <f>IFERROR(IF(0=LEN(ReferenceData!$C$300),"",ReferenceData!$C$300),"")</f>
        <v>RR179</v>
      </c>
      <c r="D300" t="str">
        <f>IFERROR(IF(0=LEN(ReferenceData!$D$300),"",ReferenceData!$D$300),"")</f>
        <v>TANGIBLE_COMMON_EQUITY</v>
      </c>
      <c r="E300" t="str">
        <f>IFERROR(IF(0=LEN(ReferenceData!$E$300),"",ReferenceData!$E$300),"")</f>
        <v>Dynamic</v>
      </c>
      <c r="F300" t="str">
        <f ca="1">IFERROR(IF(0=LEN(ReferenceData!$F$300),"",ReferenceData!$F$300),"")</f>
        <v/>
      </c>
      <c r="G300" t="str">
        <f ca="1">IFERROR(IF(0=LEN(ReferenceData!$G$300),"",ReferenceData!$G$300),"")</f>
        <v/>
      </c>
      <c r="H300">
        <f ca="1">IFERROR(IF(0=LEN(ReferenceData!$H$300),"",ReferenceData!$H$300),"")</f>
        <v>1199.595022</v>
      </c>
      <c r="I300">
        <f ca="1">IFERROR(IF(0=LEN(ReferenceData!$I$300),"",ReferenceData!$I$300),"")</f>
        <v>1234.417105</v>
      </c>
      <c r="J300">
        <f ca="1">IFERROR(IF(0=LEN(ReferenceData!$J$300),"",ReferenceData!$J$300),"")</f>
        <v>1304.5964779999999</v>
      </c>
      <c r="K300">
        <f ca="1">IFERROR(IF(0=LEN(ReferenceData!$K$300),"",ReferenceData!$K$300),"")</f>
        <v>1259.7461470000001</v>
      </c>
      <c r="L300">
        <f ca="1">IFERROR(IF(0=LEN(ReferenceData!$L$300),"",ReferenceData!$L$300),"")</f>
        <v>1191.725518</v>
      </c>
      <c r="M300">
        <f ca="1">IFERROR(IF(0=LEN(ReferenceData!$M$300),"",ReferenceData!$M$300),"")</f>
        <v>1031.1462140000001</v>
      </c>
      <c r="N300">
        <f ca="1">IFERROR(IF(0=LEN(ReferenceData!$N$300),"",ReferenceData!$N$300),"")</f>
        <v>932.46412829999997</v>
      </c>
      <c r="O300">
        <f ca="1">IFERROR(IF(0=LEN(ReferenceData!$O$300),"",ReferenceData!$O$300),"")</f>
        <v>980.25941609999995</v>
      </c>
      <c r="P300">
        <f ca="1">IFERROR(IF(0=LEN(ReferenceData!$P$300),"",ReferenceData!$P$300),"")</f>
        <v>998.73698230000002</v>
      </c>
      <c r="Q300">
        <f ca="1">IFERROR(IF(0=LEN(ReferenceData!$Q$300),"",ReferenceData!$Q$300),"")</f>
        <v>1168.174941</v>
      </c>
      <c r="R300">
        <f ca="1">IFERROR(IF(0=LEN(ReferenceData!$R$300),"",ReferenceData!$R$300),"")</f>
        <v>1255.1705179999999</v>
      </c>
      <c r="S300">
        <f ca="1">IFERROR(IF(0=LEN(ReferenceData!$S$300),"",ReferenceData!$S$300),"")</f>
        <v>1295.6787400000001</v>
      </c>
      <c r="T300">
        <f ca="1">IFERROR(IF(0=LEN(ReferenceData!$T$300),"",ReferenceData!$T$300),"")</f>
        <v>1349.164387</v>
      </c>
      <c r="U300">
        <f ca="1">IFERROR(IF(0=LEN(ReferenceData!$U$300),"",ReferenceData!$U$300),"")</f>
        <v>1628.501456</v>
      </c>
      <c r="V300">
        <f ca="1">IFERROR(IF(0=LEN(ReferenceData!$V$300),"",ReferenceData!$V$300),"")</f>
        <v>1667.437046</v>
      </c>
      <c r="W300">
        <f ca="1">IFERROR(IF(0=LEN(ReferenceData!$W$300),"",ReferenceData!$W$300),"")</f>
        <v>1770.9798659999999</v>
      </c>
      <c r="X300">
        <f ca="1">IFERROR(IF(0=LEN(ReferenceData!$X$300),"",ReferenceData!$X$300),"")</f>
        <v>1881.1020020000001</v>
      </c>
      <c r="Y300">
        <f ca="1">IFERROR(IF(0=LEN(ReferenceData!$Y$300),"",ReferenceData!$Y$300),"")</f>
        <v>1948.728734</v>
      </c>
      <c r="Z300">
        <f ca="1">IFERROR(IF(0=LEN(ReferenceData!$Z$300),"",ReferenceData!$Z$300),"")</f>
        <v>1905.2891139999999</v>
      </c>
      <c r="AA300">
        <f ca="1">IFERROR(IF(0=LEN(ReferenceData!$AA$300),"",ReferenceData!$AA$300),"")</f>
        <v>1836.161816</v>
      </c>
      <c r="AB300">
        <f ca="1">IFERROR(IF(0=LEN(ReferenceData!$AB$300),"",ReferenceData!$AB$300),"")</f>
        <v>1892.428093</v>
      </c>
      <c r="AC300">
        <f ca="1">IFERROR(IF(0=LEN(ReferenceData!$AC$300),"",ReferenceData!$AC$300),"")</f>
        <v>1964.2224040000001</v>
      </c>
      <c r="AD300">
        <f ca="1">IFERROR(IF(0=LEN(ReferenceData!$AD$300),"",ReferenceData!$AD$300),"")</f>
        <v>2026.8670059999999</v>
      </c>
      <c r="AE300">
        <f ca="1">IFERROR(IF(0=LEN(ReferenceData!$AE$300),"",ReferenceData!$AE$300),"")</f>
        <v>1841.581723</v>
      </c>
      <c r="AF300">
        <f ca="1">IFERROR(IF(0=LEN(ReferenceData!$AF$300),"",ReferenceData!$AF$300),"")</f>
        <v>1654.9663820000001</v>
      </c>
      <c r="AG300">
        <f ca="1">IFERROR(IF(0=LEN(ReferenceData!$AG$300),"",ReferenceData!$AG$300),"")</f>
        <v>1598.9346599999999</v>
      </c>
      <c r="AH300">
        <f ca="1">IFERROR(IF(0=LEN(ReferenceData!$AH$300),"",ReferenceData!$AH$300),"")</f>
        <v>1858.237658</v>
      </c>
      <c r="AI300">
        <f ca="1">IFERROR(IF(0=LEN(ReferenceData!$AI$300),"",ReferenceData!$AI$300),"")</f>
        <v>1566.428549</v>
      </c>
      <c r="AJ300">
        <f ca="1">IFERROR(IF(0=LEN(ReferenceData!$AJ$300),"",ReferenceData!$AJ$300),"")</f>
        <v>1532.9292740000001</v>
      </c>
      <c r="AK300">
        <f ca="1">IFERROR(IF(0=LEN(ReferenceData!$AK$300),"",ReferenceData!$AK$300),"")</f>
        <v>1612.3781280000001</v>
      </c>
      <c r="AL300">
        <f ca="1">IFERROR(IF(0=LEN(ReferenceData!$AL$300),"",ReferenceData!$AL$300),"")</f>
        <v>1573.7309540000001</v>
      </c>
      <c r="AM300">
        <f ca="1">IFERROR(IF(0=LEN(ReferenceData!$AM$300),"",ReferenceData!$AM$300),"")</f>
        <v>1535.25098</v>
      </c>
      <c r="AN300">
        <f ca="1">IFERROR(IF(0=LEN(ReferenceData!$AN$300),"",ReferenceData!$AN$300),"")</f>
        <v>1493.326309</v>
      </c>
      <c r="AO300">
        <f ca="1">IFERROR(IF(0=LEN(ReferenceData!$AO$300),"",ReferenceData!$AO$300),"")</f>
        <v>1389.0147260000001</v>
      </c>
      <c r="AP300">
        <f ca="1">IFERROR(IF(0=LEN(ReferenceData!$AP$300),"",ReferenceData!$AP$300),"")</f>
        <v>1332.307174</v>
      </c>
      <c r="AQ300">
        <f ca="1">IFERROR(IF(0=LEN(ReferenceData!$AQ$300),"",ReferenceData!$AQ$300),"")</f>
        <v>1190.5827280000001</v>
      </c>
      <c r="AR300">
        <f ca="1">IFERROR(IF(0=LEN(ReferenceData!$AR$300),"",ReferenceData!$AR$300),"")</f>
        <v>1151.9250179999999</v>
      </c>
      <c r="AS300">
        <f ca="1">IFERROR(IF(0=LEN(ReferenceData!$AS$300),"",ReferenceData!$AS$300),"")</f>
        <v>1118.7866289999999</v>
      </c>
      <c r="AT300">
        <f ca="1">IFERROR(IF(0=LEN(ReferenceData!$AT$300),"",ReferenceData!$AT$300),"")</f>
        <v>1067.3625019999999</v>
      </c>
      <c r="AU300">
        <f ca="1">IFERROR(IF(0=LEN(ReferenceData!$AU$300),"",ReferenceData!$AU$300),"")</f>
        <v>1167.2329480000001</v>
      </c>
      <c r="AV300">
        <f ca="1">IFERROR(IF(0=LEN(ReferenceData!$AV$300),"",ReferenceData!$AV$300),"")</f>
        <v>993.73769059999995</v>
      </c>
      <c r="AW300">
        <f ca="1">IFERROR(IF(0=LEN(ReferenceData!$AW$300),"",ReferenceData!$AW$300),"")</f>
        <v>1067.2302979999999</v>
      </c>
      <c r="AX300">
        <f ca="1">IFERROR(IF(0=LEN(ReferenceData!$AX$300),"",ReferenceData!$AX$300),"")</f>
        <v>896.24072620000004</v>
      </c>
      <c r="AY300">
        <f ca="1">IFERROR(IF(0=LEN(ReferenceData!$AY$300),"",ReferenceData!$AY$300),"")</f>
        <v>851.83475969999995</v>
      </c>
      <c r="AZ300">
        <f ca="1">IFERROR(IF(0=LEN(ReferenceData!$AZ$300),"",ReferenceData!$AZ$300),"")</f>
        <v>774.13463230000002</v>
      </c>
      <c r="BA300">
        <f ca="1">IFERROR(IF(0=LEN(ReferenceData!$BA$300),"",ReferenceData!$BA$300),"")</f>
        <v>761.82273710000004</v>
      </c>
      <c r="BB300">
        <f ca="1">IFERROR(IF(0=LEN(ReferenceData!$BB$300),"",ReferenceData!$BB$300),"")</f>
        <v>749.58235720000005</v>
      </c>
      <c r="BC300">
        <f ca="1">IFERROR(IF(0=LEN(ReferenceData!$BC$300),"",ReferenceData!$BC$300),"")</f>
        <v>724.25907029999996</v>
      </c>
      <c r="BD300">
        <f ca="1">IFERROR(IF(0=LEN(ReferenceData!$BD$300),"",ReferenceData!$BD$300),"")</f>
        <v>680.16323209999996</v>
      </c>
      <c r="BE300">
        <f ca="1">IFERROR(IF(0=LEN(ReferenceData!$BE$300),"",ReferenceData!$BE$300),"")</f>
        <v>680.9451626</v>
      </c>
      <c r="BF300">
        <f ca="1">IFERROR(IF(0=LEN(ReferenceData!$BF$300),"",ReferenceData!$BF$300),"")</f>
        <v>662.57826290000003</v>
      </c>
      <c r="BG300">
        <f ca="1">IFERROR(IF(0=LEN(ReferenceData!$BG$300),"",ReferenceData!$BG$300),"")</f>
        <v>675.32849320000003</v>
      </c>
      <c r="BH300">
        <f ca="1">IFERROR(IF(0=LEN(ReferenceData!$BH$300),"",ReferenceData!$BH$300),"")</f>
        <v>718.32822069999997</v>
      </c>
      <c r="BI300">
        <f ca="1">IFERROR(IF(0=LEN(ReferenceData!$BI$300),"",ReferenceData!$BI$300),"")</f>
        <v>893.95631579999997</v>
      </c>
      <c r="BJ300">
        <f ca="1">IFERROR(IF(0=LEN(ReferenceData!$BJ$300),"",ReferenceData!$BJ$300),"")</f>
        <v>696.50291790000006</v>
      </c>
      <c r="BK300">
        <f ca="1">IFERROR(IF(0=LEN(ReferenceData!$BK$300),"",ReferenceData!$BK$300),"")</f>
        <v>697.89473780000003</v>
      </c>
      <c r="BL300">
        <f ca="1">IFERROR(IF(0=LEN(ReferenceData!$BL$300),"",ReferenceData!$BL$300),"")</f>
        <v>687.97446520000005</v>
      </c>
      <c r="BM300">
        <f ca="1">IFERROR(IF(0=LEN(ReferenceData!$BM$300),"",ReferenceData!$BM$300),"")</f>
        <v>675.02341030000002</v>
      </c>
    </row>
    <row r="301" spans="1:65" x14ac:dyDescent="0.25">
      <c r="A301" t="str">
        <f>IFERROR(IF(0=LEN(ReferenceData!$A$301),"",ReferenceData!$A$301),"")</f>
        <v xml:space="preserve">    FAW CAR Co Ltd</v>
      </c>
      <c r="B301" t="str">
        <f>IFERROR(IF(0=LEN(ReferenceData!$B$301),"",ReferenceData!$B$301),"")</f>
        <v>000800 CH Equity</v>
      </c>
      <c r="C301" t="str">
        <f>IFERROR(IF(0=LEN(ReferenceData!$C$301),"",ReferenceData!$C$301),"")</f>
        <v>RR179</v>
      </c>
      <c r="D301" t="str">
        <f>IFERROR(IF(0=LEN(ReferenceData!$D$301),"",ReferenceData!$D$301),"")</f>
        <v>TANGIBLE_COMMON_EQUITY</v>
      </c>
      <c r="E301" t="str">
        <f>IFERROR(IF(0=LEN(ReferenceData!$E$301),"",ReferenceData!$E$301),"")</f>
        <v>Dynamic</v>
      </c>
      <c r="F301" t="str">
        <f ca="1">IFERROR(IF(0=LEN(ReferenceData!$F$301),"",ReferenceData!$F$301),"")</f>
        <v/>
      </c>
      <c r="G301" t="str">
        <f ca="1">IFERROR(IF(0=LEN(ReferenceData!$G$301),"",ReferenceData!$G$301),"")</f>
        <v/>
      </c>
      <c r="H301">
        <f ca="1">IFERROR(IF(0=LEN(ReferenceData!$H$301),"",ReferenceData!$H$301),"")</f>
        <v>1081.944039</v>
      </c>
      <c r="I301">
        <f ca="1">IFERROR(IF(0=LEN(ReferenceData!$I$301),"",ReferenceData!$I$301),"")</f>
        <v>1172.4691479999999</v>
      </c>
      <c r="J301">
        <f ca="1">IFERROR(IF(0=LEN(ReferenceData!$J$301),"",ReferenceData!$J$301),"")</f>
        <v>1167.266617</v>
      </c>
      <c r="K301">
        <f ca="1">IFERROR(IF(0=LEN(ReferenceData!$K$301),"",ReferenceData!$K$301),"")</f>
        <v>1186.095174</v>
      </c>
      <c r="L301">
        <f ca="1">IFERROR(IF(0=LEN(ReferenceData!$L$301),"",ReferenceData!$L$301),"")</f>
        <v>1084.622492</v>
      </c>
      <c r="M301">
        <f ca="1">IFERROR(IF(0=LEN(ReferenceData!$M$301),"",ReferenceData!$M$301),"")</f>
        <v>1117.5641270000001</v>
      </c>
      <c r="N301">
        <f ca="1">IFERROR(IF(0=LEN(ReferenceData!$N$301),"",ReferenceData!$N$301),"")</f>
        <v>1024.9390060000001</v>
      </c>
      <c r="O301">
        <f ca="1">IFERROR(IF(0=LEN(ReferenceData!$O$301),"",ReferenceData!$O$301),"")</f>
        <v>1041.57044</v>
      </c>
      <c r="P301">
        <f ca="1">IFERROR(IF(0=LEN(ReferenceData!$P$301),"",ReferenceData!$P$301),"")</f>
        <v>1009.2755100000001</v>
      </c>
      <c r="Q301">
        <f ca="1">IFERROR(IF(0=LEN(ReferenceData!$Q$301),"",ReferenceData!$Q$301),"")</f>
        <v>1094.5737999999999</v>
      </c>
      <c r="R301">
        <f ca="1">IFERROR(IF(0=LEN(ReferenceData!$R$301),"",ReferenceData!$R$301),"")</f>
        <v>1097.396753</v>
      </c>
      <c r="S301">
        <f ca="1">IFERROR(IF(0=LEN(ReferenceData!$S$301),"",ReferenceData!$S$301),"")</f>
        <v>1253.424614</v>
      </c>
      <c r="T301">
        <f ca="1">IFERROR(IF(0=LEN(ReferenceData!$T$301),"",ReferenceData!$T$301),"")</f>
        <v>1180.7348300000001</v>
      </c>
      <c r="U301">
        <f ca="1">IFERROR(IF(0=LEN(ReferenceData!$U$301),"",ReferenceData!$U$301),"")</f>
        <v>1335.632891</v>
      </c>
      <c r="V301">
        <f ca="1">IFERROR(IF(0=LEN(ReferenceData!$V$301),"",ReferenceData!$V$301),"")</f>
        <v>1220.827612</v>
      </c>
      <c r="W301">
        <f ca="1">IFERROR(IF(0=LEN(ReferenceData!$W$301),"",ReferenceData!$W$301),"")</f>
        <v>1286.2523289999999</v>
      </c>
      <c r="X301">
        <f ca="1">IFERROR(IF(0=LEN(ReferenceData!$X$301),"",ReferenceData!$X$301),"")</f>
        <v>1214.592958</v>
      </c>
      <c r="Y301">
        <f ca="1">IFERROR(IF(0=LEN(ReferenceData!$Y$301),"",ReferenceData!$Y$301),"")</f>
        <v>1319.1337289999999</v>
      </c>
      <c r="Z301">
        <f ca="1">IFERROR(IF(0=LEN(ReferenceData!$Z$301),"",ReferenceData!$Z$301),"")</f>
        <v>1207.6684499999999</v>
      </c>
      <c r="AA301">
        <f ca="1">IFERROR(IF(0=LEN(ReferenceData!$AA$301),"",ReferenceData!$AA$301),"")</f>
        <v>1307.2249039999999</v>
      </c>
      <c r="AB301">
        <f ca="1">IFERROR(IF(0=LEN(ReferenceData!$AB$301),"",ReferenceData!$AB$301),"")</f>
        <v>1155.9917869999999</v>
      </c>
      <c r="AC301">
        <f ca="1">IFERROR(IF(0=LEN(ReferenceData!$AC$301),"",ReferenceData!$AC$301),"")</f>
        <v>1239.892609</v>
      </c>
      <c r="AD301">
        <f ca="1">IFERROR(IF(0=LEN(ReferenceData!$AD$301),"",ReferenceData!$AD$301),"")</f>
        <v>1074.9903220000001</v>
      </c>
      <c r="AE301">
        <f ca="1">IFERROR(IF(0=LEN(ReferenceData!$AE$301),"",ReferenceData!$AE$301),"")</f>
        <v>1123.2246640000001</v>
      </c>
      <c r="AF301">
        <f ca="1">IFERROR(IF(0=LEN(ReferenceData!$AF$301),"",ReferenceData!$AF$301),"")</f>
        <v>1128.684571</v>
      </c>
      <c r="AG301">
        <f ca="1">IFERROR(IF(0=LEN(ReferenceData!$AG$301),"",ReferenceData!$AG$301),"")</f>
        <v>1232.261626</v>
      </c>
      <c r="AH301">
        <f ca="1">IFERROR(IF(0=LEN(ReferenceData!$AH$301),"",ReferenceData!$AH$301),"")</f>
        <v>1188.101379</v>
      </c>
      <c r="AI301">
        <f ca="1">IFERROR(IF(0=LEN(ReferenceData!$AI$301),"",ReferenceData!$AI$301),"")</f>
        <v>1259.6666680000001</v>
      </c>
      <c r="AJ301">
        <f ca="1">IFERROR(IF(0=LEN(ReferenceData!$AJ$301),"",ReferenceData!$AJ$301),"")</f>
        <v>1313.8258599999999</v>
      </c>
      <c r="AK301">
        <f ca="1">IFERROR(IF(0=LEN(ReferenceData!$AK$301),"",ReferenceData!$AK$301),"")</f>
        <v>1343.5634130000001</v>
      </c>
      <c r="AL301">
        <f ca="1">IFERROR(IF(0=LEN(ReferenceData!$AL$301),"",ReferenceData!$AL$301),"")</f>
        <v>1305.8284610000001</v>
      </c>
      <c r="AM301">
        <f ca="1">IFERROR(IF(0=LEN(ReferenceData!$AM$301),"",ReferenceData!$AM$301),"")</f>
        <v>1271.4124710000001</v>
      </c>
      <c r="AN301">
        <f ca="1">IFERROR(IF(0=LEN(ReferenceData!$AN$301),"",ReferenceData!$AN$301),"")</f>
        <v>1226.3596199999999</v>
      </c>
      <c r="AO301">
        <f ca="1">IFERROR(IF(0=LEN(ReferenceData!$AO$301),"",ReferenceData!$AO$301),"")</f>
        <v>1186.4810660000001</v>
      </c>
      <c r="AP301">
        <f ca="1">IFERROR(IF(0=LEN(ReferenceData!$AP$301),"",ReferenceData!$AP$301),"")</f>
        <v>1161.620269</v>
      </c>
      <c r="AQ301">
        <f ca="1">IFERROR(IF(0=LEN(ReferenceData!$AQ$301),"",ReferenceData!$AQ$301),"")</f>
        <v>1061.0523619999999</v>
      </c>
      <c r="AR301">
        <f ca="1">IFERROR(IF(0=LEN(ReferenceData!$AR$301),"",ReferenceData!$AR$301),"")</f>
        <v>951.76531120000004</v>
      </c>
      <c r="AS301">
        <f ca="1">IFERROR(IF(0=LEN(ReferenceData!$AS$301),"",ReferenceData!$AS$301),"")</f>
        <v>922.20496170000001</v>
      </c>
      <c r="AT301">
        <f ca="1">IFERROR(IF(0=LEN(ReferenceData!$AT$301),"",ReferenceData!$AT$301),"")</f>
        <v>937.87542699999995</v>
      </c>
      <c r="AU301">
        <f ca="1">IFERROR(IF(0=LEN(ReferenceData!$AU$301),"",ReferenceData!$AU$301),"")</f>
        <v>932.2927866</v>
      </c>
      <c r="AV301">
        <f ca="1">IFERROR(IF(0=LEN(ReferenceData!$AV$301),"",ReferenceData!$AV$301),"")</f>
        <v>908.70660929999997</v>
      </c>
      <c r="AW301">
        <f ca="1">IFERROR(IF(0=LEN(ReferenceData!$AW$301),"",ReferenceData!$AW$301),"")</f>
        <v>868.4706099</v>
      </c>
      <c r="AX301">
        <f ca="1">IFERROR(IF(0=LEN(ReferenceData!$AX$301),"",ReferenceData!$AX$301),"")</f>
        <v>856.52828609999995</v>
      </c>
      <c r="AY301">
        <f ca="1">IFERROR(IF(0=LEN(ReferenceData!$AY$301),"",ReferenceData!$AY$301),"")</f>
        <v>799.9486789</v>
      </c>
      <c r="AZ301">
        <f ca="1">IFERROR(IF(0=LEN(ReferenceData!$AZ$301),"",ReferenceData!$AZ$301),"")</f>
        <v>761.02111669999999</v>
      </c>
      <c r="BA301">
        <f ca="1">IFERROR(IF(0=LEN(ReferenceData!$BA$301),"",ReferenceData!$BA$301),"")</f>
        <v>714.0099007</v>
      </c>
      <c r="BB301">
        <f ca="1">IFERROR(IF(0=LEN(ReferenceData!$BB$301),"",ReferenceData!$BB$301),"")</f>
        <v>705.09644330000003</v>
      </c>
      <c r="BC301">
        <f ca="1">IFERROR(IF(0=LEN(ReferenceData!$BC$301),"",ReferenceData!$BC$301),"")</f>
        <v>690.27210239999999</v>
      </c>
      <c r="BD301">
        <f ca="1">IFERROR(IF(0=LEN(ReferenceData!$BD$301),"",ReferenceData!$BD$301),"")</f>
        <v>667.93991119999998</v>
      </c>
      <c r="BE301">
        <f ca="1">IFERROR(IF(0=LEN(ReferenceData!$BE$301),"",ReferenceData!$BE$301),"")</f>
        <v>661.17203819999997</v>
      </c>
      <c r="BF301">
        <f ca="1">IFERROR(IF(0=LEN(ReferenceData!$BF$301),"",ReferenceData!$BF$301),"")</f>
        <v>678.21834190000004</v>
      </c>
      <c r="BG301">
        <f ca="1">IFERROR(IF(0=LEN(ReferenceData!$BG$301),"",ReferenceData!$BG$301),"")</f>
        <v>660.35337130000005</v>
      </c>
      <c r="BH301" t="str">
        <f ca="1">IFERROR(IF(0=LEN(ReferenceData!$BH$301),"",ReferenceData!$BH$301),"")</f>
        <v/>
      </c>
      <c r="BI301">
        <f ca="1">IFERROR(IF(0=LEN(ReferenceData!$BI$301),"",ReferenceData!$BI$301),"")</f>
        <v>628.19702070000005</v>
      </c>
      <c r="BJ301" t="str">
        <f ca="1">IFERROR(IF(0=LEN(ReferenceData!$BJ$301),"",ReferenceData!$BJ$301),"")</f>
        <v/>
      </c>
      <c r="BK301">
        <f ca="1">IFERROR(IF(0=LEN(ReferenceData!$BK$301),"",ReferenceData!$BK$301),"")</f>
        <v>615.92847889999996</v>
      </c>
      <c r="BL301" t="str">
        <f ca="1">IFERROR(IF(0=LEN(ReferenceData!$BL$301),"",ReferenceData!$BL$301),"")</f>
        <v/>
      </c>
      <c r="BM301">
        <f ca="1">IFERROR(IF(0=LEN(ReferenceData!$BM$301),"",ReferenceData!$BM$301),"")</f>
        <v>616.94751359999998</v>
      </c>
    </row>
    <row r="302" spans="1:65" x14ac:dyDescent="0.25">
      <c r="A302" t="str">
        <f>IFERROR(IF(0=LEN(ReferenceData!$A$302),"",ReferenceData!$A$302),"")</f>
        <v xml:space="preserve">    Fiat Chrysler Automobiles NV</v>
      </c>
      <c r="B302" t="str">
        <f>IFERROR(IF(0=LEN(ReferenceData!$B$302),"",ReferenceData!$B$302),"")</f>
        <v>FCAU US Equity</v>
      </c>
      <c r="C302" t="str">
        <f>IFERROR(IF(0=LEN(ReferenceData!$C$302),"",ReferenceData!$C$302),"")</f>
        <v>RR179</v>
      </c>
      <c r="D302" t="str">
        <f>IFERROR(IF(0=LEN(ReferenceData!$D$302),"",ReferenceData!$D$302),"")</f>
        <v>TANGIBLE_COMMON_EQUITY</v>
      </c>
      <c r="E302" t="str">
        <f>IFERROR(IF(0=LEN(ReferenceData!$E$302),"",ReferenceData!$E$302),"")</f>
        <v>Dynamic</v>
      </c>
      <c r="F302" t="str">
        <f ca="1">IFERROR(IF(0=LEN(ReferenceData!$F$302),"",ReferenceData!$F$302),"")</f>
        <v/>
      </c>
      <c r="G302">
        <f ca="1">IFERROR(IF(0=LEN(ReferenceData!$G$302),"",ReferenceData!$G$302),"")</f>
        <v>-1164.6684</v>
      </c>
      <c r="H302">
        <f ca="1">IFERROR(IF(0=LEN(ReferenceData!$H$302),"",ReferenceData!$H$302),"")</f>
        <v>-2816.395</v>
      </c>
      <c r="I302">
        <f ca="1">IFERROR(IF(0=LEN(ReferenceData!$I$302),"",ReferenceData!$I$302),"")</f>
        <v>-3626.8762000000002</v>
      </c>
      <c r="J302">
        <f ca="1">IFERROR(IF(0=LEN(ReferenceData!$J$302),"",ReferenceData!$J$302),"")</f>
        <v>-3679.6095</v>
      </c>
      <c r="K302">
        <f ca="1">IFERROR(IF(0=LEN(ReferenceData!$K$302),"",ReferenceData!$K$302),"")</f>
        <v>-4944.6486000000004</v>
      </c>
      <c r="L302">
        <f ca="1">IFERROR(IF(0=LEN(ReferenceData!$L$302),"",ReferenceData!$L$302),"")</f>
        <v>-5515.5419000000002</v>
      </c>
      <c r="M302">
        <f ca="1">IFERROR(IF(0=LEN(ReferenceData!$M$302),"",ReferenceData!$M$302),"")</f>
        <v>-6383.2909</v>
      </c>
      <c r="N302">
        <f ca="1">IFERROR(IF(0=LEN(ReferenceData!$N$302),"",ReferenceData!$N$302),"")</f>
        <v>-7302.8419000000004</v>
      </c>
      <c r="O302">
        <f ca="1">IFERROR(IF(0=LEN(ReferenceData!$O$302),"",ReferenceData!$O$302),"")</f>
        <v>-7884.9372000000003</v>
      </c>
      <c r="P302">
        <f ca="1">IFERROR(IF(0=LEN(ReferenceData!$P$302),"",ReferenceData!$P$302),"")</f>
        <v>-8988.0139999999992</v>
      </c>
      <c r="Q302">
        <f ca="1">IFERROR(IF(0=LEN(ReferenceData!$Q$302),"",ReferenceData!$Q$302),"")</f>
        <v>-9347.8266000000003</v>
      </c>
      <c r="R302">
        <f ca="1">IFERROR(IF(0=LEN(ReferenceData!$R$302),"",ReferenceData!$R$302),"")</f>
        <v>-9400.7060000000001</v>
      </c>
      <c r="S302">
        <f ca="1">IFERROR(IF(0=LEN(ReferenceData!$S$302),"",ReferenceData!$S$302),"")</f>
        <v>-8617.8245999999999</v>
      </c>
      <c r="T302">
        <f ca="1">IFERROR(IF(0=LEN(ReferenceData!$T$302),"",ReferenceData!$T$302),"")</f>
        <v>-12105.6332</v>
      </c>
      <c r="U302">
        <f ca="1">IFERROR(IF(0=LEN(ReferenceData!$U$302),"",ReferenceData!$U$302),"")</f>
        <v>-11466.399299999999</v>
      </c>
      <c r="V302">
        <f ca="1">IFERROR(IF(0=LEN(ReferenceData!$V$302),"",ReferenceData!$V$302),"")</f>
        <v>-11187.1584</v>
      </c>
      <c r="W302">
        <f ca="1">IFERROR(IF(0=LEN(ReferenceData!$W$302),"",ReferenceData!$W$302),"")</f>
        <v>-10627.43</v>
      </c>
      <c r="X302">
        <f ca="1">IFERROR(IF(0=LEN(ReferenceData!$X$302),"",ReferenceData!$X$302),"")</f>
        <v>-14397.06</v>
      </c>
      <c r="Y302" t="str">
        <f ca="1">IFERROR(IF(0=LEN(ReferenceData!$Y$302),"",ReferenceData!$Y$302),"")</f>
        <v/>
      </c>
      <c r="Z302" t="str">
        <f ca="1">IFERROR(IF(0=LEN(ReferenceData!$Z$302),"",ReferenceData!$Z$302),"")</f>
        <v/>
      </c>
      <c r="AA302" t="str">
        <f ca="1">IFERROR(IF(0=LEN(ReferenceData!$AA$302),"",ReferenceData!$AA$302),"")</f>
        <v/>
      </c>
      <c r="AB302" t="str">
        <f ca="1">IFERROR(IF(0=LEN(ReferenceData!$AB$302),"",ReferenceData!$AB$302),"")</f>
        <v/>
      </c>
      <c r="AC302" t="str">
        <f ca="1">IFERROR(IF(0=LEN(ReferenceData!$AC$302),"",ReferenceData!$AC$302),"")</f>
        <v/>
      </c>
      <c r="AD302" t="str">
        <f ca="1">IFERROR(IF(0=LEN(ReferenceData!$AD$302),"",ReferenceData!$AD$302),"")</f>
        <v/>
      </c>
      <c r="AE302" t="str">
        <f ca="1">IFERROR(IF(0=LEN(ReferenceData!$AE$302),"",ReferenceData!$AE$302),"")</f>
        <v/>
      </c>
      <c r="AF302" t="str">
        <f ca="1">IFERROR(IF(0=LEN(ReferenceData!$AF$302),"",ReferenceData!$AF$302),"")</f>
        <v/>
      </c>
      <c r="AG302" t="str">
        <f ca="1">IFERROR(IF(0=LEN(ReferenceData!$AG$302),"",ReferenceData!$AG$302),"")</f>
        <v/>
      </c>
      <c r="AH302" t="str">
        <f ca="1">IFERROR(IF(0=LEN(ReferenceData!$AH$302),"",ReferenceData!$AH$302),"")</f>
        <v/>
      </c>
      <c r="AI302" t="str">
        <f ca="1">IFERROR(IF(0=LEN(ReferenceData!$AI$302),"",ReferenceData!$AI$302),"")</f>
        <v/>
      </c>
      <c r="AJ302" t="str">
        <f ca="1">IFERROR(IF(0=LEN(ReferenceData!$AJ$302),"",ReferenceData!$AJ$302),"")</f>
        <v/>
      </c>
      <c r="AK302" t="str">
        <f ca="1">IFERROR(IF(0=LEN(ReferenceData!$AK$302),"",ReferenceData!$AK$302),"")</f>
        <v/>
      </c>
      <c r="AL302" t="str">
        <f ca="1">IFERROR(IF(0=LEN(ReferenceData!$AL$302),"",ReferenceData!$AL$302),"")</f>
        <v/>
      </c>
      <c r="AM302" t="str">
        <f ca="1">IFERROR(IF(0=LEN(ReferenceData!$AM$302),"",ReferenceData!$AM$302),"")</f>
        <v/>
      </c>
      <c r="AN302" t="str">
        <f ca="1">IFERROR(IF(0=LEN(ReferenceData!$AN$302),"",ReferenceData!$AN$302),"")</f>
        <v/>
      </c>
      <c r="AO302" t="str">
        <f ca="1">IFERROR(IF(0=LEN(ReferenceData!$AO$302),"",ReferenceData!$AO$302),"")</f>
        <v/>
      </c>
      <c r="AP302" t="str">
        <f ca="1">IFERROR(IF(0=LEN(ReferenceData!$AP$302),"",ReferenceData!$AP$302),"")</f>
        <v/>
      </c>
      <c r="AQ302" t="str">
        <f ca="1">IFERROR(IF(0=LEN(ReferenceData!$AQ$302),"",ReferenceData!$AQ$302),"")</f>
        <v/>
      </c>
      <c r="AR302" t="str">
        <f ca="1">IFERROR(IF(0=LEN(ReferenceData!$AR$302),"",ReferenceData!$AR$302),"")</f>
        <v/>
      </c>
      <c r="AS302" t="str">
        <f ca="1">IFERROR(IF(0=LEN(ReferenceData!$AS$302),"",ReferenceData!$AS$302),"")</f>
        <v/>
      </c>
      <c r="AT302" t="str">
        <f ca="1">IFERROR(IF(0=LEN(ReferenceData!$AT$302),"",ReferenceData!$AT$302),"")</f>
        <v/>
      </c>
      <c r="AU302" t="str">
        <f ca="1">IFERROR(IF(0=LEN(ReferenceData!$AU$302),"",ReferenceData!$AU$302),"")</f>
        <v/>
      </c>
      <c r="AV302" t="str">
        <f ca="1">IFERROR(IF(0=LEN(ReferenceData!$AV$302),"",ReferenceData!$AV$302),"")</f>
        <v/>
      </c>
      <c r="AW302" t="str">
        <f ca="1">IFERROR(IF(0=LEN(ReferenceData!$AW$302),"",ReferenceData!$AW$302),"")</f>
        <v/>
      </c>
      <c r="AX302" t="str">
        <f ca="1">IFERROR(IF(0=LEN(ReferenceData!$AX$302),"",ReferenceData!$AX$302),"")</f>
        <v/>
      </c>
      <c r="AY302" t="str">
        <f ca="1">IFERROR(IF(0=LEN(ReferenceData!$AY$302),"",ReferenceData!$AY$302),"")</f>
        <v/>
      </c>
      <c r="AZ302" t="str">
        <f ca="1">IFERROR(IF(0=LEN(ReferenceData!$AZ$302),"",ReferenceData!$AZ$302),"")</f>
        <v/>
      </c>
      <c r="BA302" t="str">
        <f ca="1">IFERROR(IF(0=LEN(ReferenceData!$BA$302),"",ReferenceData!$BA$302),"")</f>
        <v/>
      </c>
      <c r="BB302" t="str">
        <f ca="1">IFERROR(IF(0=LEN(ReferenceData!$BB$302),"",ReferenceData!$BB$302),"")</f>
        <v/>
      </c>
      <c r="BC302" t="str">
        <f ca="1">IFERROR(IF(0=LEN(ReferenceData!$BC$302),"",ReferenceData!$BC$302),"")</f>
        <v/>
      </c>
      <c r="BD302" t="str">
        <f ca="1">IFERROR(IF(0=LEN(ReferenceData!$BD$302),"",ReferenceData!$BD$302),"")</f>
        <v/>
      </c>
      <c r="BE302" t="str">
        <f ca="1">IFERROR(IF(0=LEN(ReferenceData!$BE$302),"",ReferenceData!$BE$302),"")</f>
        <v/>
      </c>
      <c r="BF302" t="str">
        <f ca="1">IFERROR(IF(0=LEN(ReferenceData!$BF$302),"",ReferenceData!$BF$302),"")</f>
        <v/>
      </c>
      <c r="BG302" t="str">
        <f ca="1">IFERROR(IF(0=LEN(ReferenceData!$BG$302),"",ReferenceData!$BG$302),"")</f>
        <v/>
      </c>
      <c r="BH302" t="str">
        <f ca="1">IFERROR(IF(0=LEN(ReferenceData!$BH$302),"",ReferenceData!$BH$302),"")</f>
        <v/>
      </c>
      <c r="BI302" t="str">
        <f ca="1">IFERROR(IF(0=LEN(ReferenceData!$BI$302),"",ReferenceData!$BI$302),"")</f>
        <v/>
      </c>
      <c r="BJ302" t="str">
        <f ca="1">IFERROR(IF(0=LEN(ReferenceData!$BJ$302),"",ReferenceData!$BJ$302),"")</f>
        <v/>
      </c>
      <c r="BK302" t="str">
        <f ca="1">IFERROR(IF(0=LEN(ReferenceData!$BK$302),"",ReferenceData!$BK$302),"")</f>
        <v/>
      </c>
      <c r="BL302" t="str">
        <f ca="1">IFERROR(IF(0=LEN(ReferenceData!$BL$302),"",ReferenceData!$BL$302),"")</f>
        <v/>
      </c>
      <c r="BM302" t="str">
        <f ca="1">IFERROR(IF(0=LEN(ReferenceData!$BM$302),"",ReferenceData!$BM$302),"")</f>
        <v/>
      </c>
    </row>
    <row r="303" spans="1:65" x14ac:dyDescent="0.25">
      <c r="A303" t="str">
        <f>IFERROR(IF(0=LEN(ReferenceData!$A$303),"",ReferenceData!$A$303),"")</f>
        <v xml:space="preserve">    Ford Motor Co</v>
      </c>
      <c r="B303" t="str">
        <f>IFERROR(IF(0=LEN(ReferenceData!$B$303),"",ReferenceData!$B$303),"")</f>
        <v>F US Equity</v>
      </c>
      <c r="C303" t="str">
        <f>IFERROR(IF(0=LEN(ReferenceData!$C$303),"",ReferenceData!$C$303),"")</f>
        <v>RR179</v>
      </c>
      <c r="D303" t="str">
        <f>IFERROR(IF(0=LEN(ReferenceData!$D$303),"",ReferenceData!$D$303),"")</f>
        <v>TANGIBLE_COMMON_EQUITY</v>
      </c>
      <c r="E303" t="str">
        <f>IFERROR(IF(0=LEN(ReferenceData!$E$303),"",ReferenceData!$E$303),"")</f>
        <v>Dynamic</v>
      </c>
      <c r="F303" t="str">
        <f ca="1">IFERROR(IF(0=LEN(ReferenceData!$F$303),"",ReferenceData!$F$303),"")</f>
        <v/>
      </c>
      <c r="G303">
        <f ca="1">IFERROR(IF(0=LEN(ReferenceData!$G$303),"",ReferenceData!$G$303),"")</f>
        <v>35754</v>
      </c>
      <c r="H303">
        <f ca="1">IFERROR(IF(0=LEN(ReferenceData!$H$303),"",ReferenceData!$H$303),"")</f>
        <v>36317</v>
      </c>
      <c r="I303">
        <f ca="1">IFERROR(IF(0=LEN(ReferenceData!$I$303),"",ReferenceData!$I$303),"")</f>
        <v>36168</v>
      </c>
      <c r="J303" t="str">
        <f ca="1">IFERROR(IF(0=LEN(ReferenceData!$J$303),"",ReferenceData!$J$303),"")</f>
        <v/>
      </c>
      <c r="K303">
        <f ca="1">IFERROR(IF(0=LEN(ReferenceData!$K$303),"",ReferenceData!$K$303),"")</f>
        <v>35365</v>
      </c>
      <c r="L303" t="str">
        <f ca="1">IFERROR(IF(0=LEN(ReferenceData!$L$303),"",ReferenceData!$L$303),"")</f>
        <v/>
      </c>
      <c r="M303" t="str">
        <f ca="1">IFERROR(IF(0=LEN(ReferenceData!$M$303),"",ReferenceData!$M$303),"")</f>
        <v/>
      </c>
      <c r="N303" t="str">
        <f ca="1">IFERROR(IF(0=LEN(ReferenceData!$N$303),"",ReferenceData!$N$303),"")</f>
        <v/>
      </c>
      <c r="O303">
        <f ca="1">IFERROR(IF(0=LEN(ReferenceData!$O$303),"",ReferenceData!$O$303),"")</f>
        <v>28972</v>
      </c>
      <c r="P303" t="str">
        <f ca="1">IFERROR(IF(0=LEN(ReferenceData!$P$303),"",ReferenceData!$P$303),"")</f>
        <v/>
      </c>
      <c r="Q303" t="str">
        <f ca="1">IFERROR(IF(0=LEN(ReferenceData!$Q$303),"",ReferenceData!$Q$303),"")</f>
        <v/>
      </c>
      <c r="R303" t="str">
        <f ca="1">IFERROR(IF(0=LEN(ReferenceData!$R$303),"",ReferenceData!$R$303),"")</f>
        <v/>
      </c>
      <c r="S303">
        <f ca="1">IFERROR(IF(0=LEN(ReferenceData!$S$303),"",ReferenceData!$S$303),"")</f>
        <v>28518</v>
      </c>
      <c r="T303" t="str">
        <f ca="1">IFERROR(IF(0=LEN(ReferenceData!$T$303),"",ReferenceData!$T$303),"")</f>
        <v/>
      </c>
      <c r="U303" t="str">
        <f ca="1">IFERROR(IF(0=LEN(ReferenceData!$U$303),"",ReferenceData!$U$303),"")</f>
        <v/>
      </c>
      <c r="V303" t="str">
        <f ca="1">IFERROR(IF(0=LEN(ReferenceData!$V$303),"",ReferenceData!$V$303),"")</f>
        <v/>
      </c>
      <c r="W303">
        <f ca="1">IFERROR(IF(0=LEN(ReferenceData!$W$303),"",ReferenceData!$W$303),"")</f>
        <v>24305</v>
      </c>
      <c r="X303" t="str">
        <f ca="1">IFERROR(IF(0=LEN(ReferenceData!$X$303),"",ReferenceData!$X$303),"")</f>
        <v/>
      </c>
      <c r="Y303" t="str">
        <f ca="1">IFERROR(IF(0=LEN(ReferenceData!$Y$303),"",ReferenceData!$Y$303),"")</f>
        <v/>
      </c>
      <c r="Z303" t="str">
        <f ca="1">IFERROR(IF(0=LEN(ReferenceData!$Z$303),"",ReferenceData!$Z$303),"")</f>
        <v/>
      </c>
      <c r="AA303">
        <f ca="1">IFERROR(IF(0=LEN(ReferenceData!$AA$303),"",ReferenceData!$AA$303),"")</f>
        <v>26027</v>
      </c>
      <c r="AB303">
        <f ca="1">IFERROR(IF(0=LEN(ReferenceData!$AB$303),"",ReferenceData!$AB$303),"")</f>
        <v>20381</v>
      </c>
      <c r="AC303">
        <f ca="1">IFERROR(IF(0=LEN(ReferenceData!$AC$303),"",ReferenceData!$AC$303),"")</f>
        <v>19097</v>
      </c>
      <c r="AD303">
        <f ca="1">IFERROR(IF(0=LEN(ReferenceData!$AD$303),"",ReferenceData!$AD$303),"")</f>
        <v>17511</v>
      </c>
      <c r="AE303">
        <f ca="1">IFERROR(IF(0=LEN(ReferenceData!$AE$303),"",ReferenceData!$AE$303),"")</f>
        <v>15845</v>
      </c>
      <c r="AF303">
        <f ca="1">IFERROR(IF(0=LEN(ReferenceData!$AF$303),"",ReferenceData!$AF$303),"")</f>
        <v>18752</v>
      </c>
      <c r="AG303">
        <f ca="1">IFERROR(IF(0=LEN(ReferenceData!$AG$303),"",ReferenceData!$AG$303),"")</f>
        <v>16941</v>
      </c>
      <c r="AH303">
        <f ca="1">IFERROR(IF(0=LEN(ReferenceData!$AH$303),"",ReferenceData!$AH$303),"")</f>
        <v>16509</v>
      </c>
      <c r="AI303">
        <f ca="1">IFERROR(IF(0=LEN(ReferenceData!$AI$303),"",ReferenceData!$AI$303),"")</f>
        <v>14928</v>
      </c>
      <c r="AJ303">
        <f ca="1">IFERROR(IF(0=LEN(ReferenceData!$AJ$303),"",ReferenceData!$AJ$303),"")</f>
        <v>5882</v>
      </c>
      <c r="AK303">
        <f ca="1">IFERROR(IF(0=LEN(ReferenceData!$AK$303),"",ReferenceData!$AK$303),"")</f>
        <v>5206</v>
      </c>
      <c r="AL303">
        <f ca="1">IFERROR(IF(0=LEN(ReferenceData!$AL$303),"",ReferenceData!$AL$303),"")</f>
        <v>2328</v>
      </c>
      <c r="AM303">
        <f ca="1">IFERROR(IF(0=LEN(ReferenceData!$AM$303),"",ReferenceData!$AM$303),"")</f>
        <v>-775</v>
      </c>
      <c r="AN303">
        <f ca="1">IFERROR(IF(0=LEN(ReferenceData!$AN$303),"",ReferenceData!$AN$303),"")</f>
        <v>-1896</v>
      </c>
      <c r="AO303">
        <f ca="1">IFERROR(IF(0=LEN(ReferenceData!$AO$303),"",ReferenceData!$AO$303),"")</f>
        <v>-3757</v>
      </c>
      <c r="AP303">
        <f ca="1">IFERROR(IF(0=LEN(ReferenceData!$AP$303),"",ReferenceData!$AP$303),"")</f>
        <v>-5667</v>
      </c>
      <c r="AQ303">
        <f ca="1">IFERROR(IF(0=LEN(ReferenceData!$AQ$303),"",ReferenceData!$AQ$303),"")</f>
        <v>-7985</v>
      </c>
      <c r="AR303">
        <f ca="1">IFERROR(IF(0=LEN(ReferenceData!$AR$303),"",ReferenceData!$AR$303),"")</f>
        <v>-8900</v>
      </c>
      <c r="AS303">
        <f ca="1">IFERROR(IF(0=LEN(ReferenceData!$AS$303),"",ReferenceData!$AS$303),"")</f>
        <v>-10978</v>
      </c>
      <c r="AT303">
        <f ca="1">IFERROR(IF(0=LEN(ReferenceData!$AT$303),"",ReferenceData!$AT$303),"")</f>
        <v>-17804</v>
      </c>
      <c r="AU303">
        <f ca="1">IFERROR(IF(0=LEN(ReferenceData!$AU$303),"",ReferenceData!$AU$303),"")</f>
        <v>-18503</v>
      </c>
      <c r="AV303">
        <f ca="1">IFERROR(IF(0=LEN(ReferenceData!$AV$303),"",ReferenceData!$AV$303),"")</f>
        <v>-7803</v>
      </c>
      <c r="AW303">
        <f ca="1">IFERROR(IF(0=LEN(ReferenceData!$AW$303),"",ReferenceData!$AW$303),"")</f>
        <v>-6732</v>
      </c>
      <c r="AX303">
        <f ca="1">IFERROR(IF(0=LEN(ReferenceData!$AX$303),"",ReferenceData!$AX$303),"")</f>
        <v>2819</v>
      </c>
      <c r="AY303">
        <f ca="1">IFERROR(IF(0=LEN(ReferenceData!$AY$303),"",ReferenceData!$AY$303),"")</f>
        <v>1536</v>
      </c>
      <c r="AZ303">
        <f ca="1">IFERROR(IF(0=LEN(ReferenceData!$AZ$303),"",ReferenceData!$AZ$303),"")</f>
        <v>-6762</v>
      </c>
      <c r="BA303">
        <f ca="1">IFERROR(IF(0=LEN(ReferenceData!$BA$303),"",ReferenceData!$BA$303),"")</f>
        <v>-9017</v>
      </c>
      <c r="BB303">
        <f ca="1">IFERROR(IF(0=LEN(ReferenceData!$BB$303),"",ReferenceData!$BB$303),"")</f>
        <v>-10888</v>
      </c>
      <c r="BC303">
        <f ca="1">IFERROR(IF(0=LEN(ReferenceData!$BC$303),"",ReferenceData!$BC$303),"")</f>
        <v>-8543</v>
      </c>
      <c r="BD303">
        <f ca="1">IFERROR(IF(0=LEN(ReferenceData!$BD$303),"",ReferenceData!$BD$303),"")</f>
        <v>1773</v>
      </c>
      <c r="BE303">
        <f ca="1">IFERROR(IF(0=LEN(ReferenceData!$BE$303),"",ReferenceData!$BE$303),"")</f>
        <v>7944</v>
      </c>
      <c r="BF303">
        <f ca="1">IFERROR(IF(0=LEN(ReferenceData!$BF$303),"",ReferenceData!$BF$303),"")</f>
        <v>5882</v>
      </c>
      <c r="BG303">
        <f ca="1">IFERROR(IF(0=LEN(ReferenceData!$BG$303),"",ReferenceData!$BG$303),"")</f>
        <v>6929</v>
      </c>
      <c r="BH303">
        <f ca="1">IFERROR(IF(0=LEN(ReferenceData!$BH$303),"",ReferenceData!$BH$303),"")</f>
        <v>6323</v>
      </c>
      <c r="BI303">
        <f ca="1">IFERROR(IF(0=LEN(ReferenceData!$BI$303),"",ReferenceData!$BI$303),"")</f>
        <v>5869</v>
      </c>
      <c r="BJ303">
        <f ca="1">IFERROR(IF(0=LEN(ReferenceData!$BJ$303),"",ReferenceData!$BJ$303),"")</f>
        <v>14545</v>
      </c>
      <c r="BK303">
        <f ca="1">IFERROR(IF(0=LEN(ReferenceData!$BK$303),"",ReferenceData!$BK$303),"")</f>
        <v>6898</v>
      </c>
      <c r="BL303">
        <f ca="1">IFERROR(IF(0=LEN(ReferenceData!$BL$303),"",ReferenceData!$BL$303),"")</f>
        <v>7055</v>
      </c>
      <c r="BM303">
        <f ca="1">IFERROR(IF(0=LEN(ReferenceData!$BM$303),"",ReferenceData!$BM$303),"")</f>
        <v>6375</v>
      </c>
    </row>
    <row r="304" spans="1:65" x14ac:dyDescent="0.25">
      <c r="A304" t="str">
        <f>IFERROR(IF(0=LEN(ReferenceData!$A$304),"",ReferenceData!$A$304),"")</f>
        <v xml:space="preserve">    Ford Otomotiv Sanayi AS</v>
      </c>
      <c r="B304" t="str">
        <f>IFERROR(IF(0=LEN(ReferenceData!$B$304),"",ReferenceData!$B$304),"")</f>
        <v>FROTOTRY EO Equity</v>
      </c>
      <c r="C304" t="str">
        <f>IFERROR(IF(0=LEN(ReferenceData!$C$304),"",ReferenceData!$C$304),"")</f>
        <v>RR179</v>
      </c>
      <c r="D304" t="str">
        <f>IFERROR(IF(0=LEN(ReferenceData!$D$304),"",ReferenceData!$D$304),"")</f>
        <v>TANGIBLE_COMMON_EQUITY</v>
      </c>
      <c r="E304" t="str">
        <f>IFERROR(IF(0=LEN(ReferenceData!$E$304),"",ReferenceData!$E$304),"")</f>
        <v>Dynamic</v>
      </c>
      <c r="F304" t="str">
        <f ca="1">IFERROR(IF(0=LEN(ReferenceData!$F$304),"",ReferenceData!$F$304),"")</f>
        <v/>
      </c>
      <c r="G304">
        <f ca="1">IFERROR(IF(0=LEN(ReferenceData!$G$304),"",ReferenceData!$G$304),"")</f>
        <v>649.4110531</v>
      </c>
      <c r="H304">
        <f ca="1">IFERROR(IF(0=LEN(ReferenceData!$H$304),"",ReferenceData!$H$304),"")</f>
        <v>431.3209281</v>
      </c>
      <c r="I304">
        <f ca="1">IFERROR(IF(0=LEN(ReferenceData!$I$304),"",ReferenceData!$I$304),"")</f>
        <v>623.46389869999996</v>
      </c>
      <c r="J304">
        <f ca="1">IFERROR(IF(0=LEN(ReferenceData!$J$304),"",ReferenceData!$J$304),"")</f>
        <v>634.34653990000004</v>
      </c>
      <c r="K304">
        <f ca="1">IFERROR(IF(0=LEN(ReferenceData!$K$304),"",ReferenceData!$K$304),"")</f>
        <v>793.60002110000005</v>
      </c>
      <c r="L304">
        <f ca="1">IFERROR(IF(0=LEN(ReferenceData!$L$304),"",ReferenceData!$L$304),"")</f>
        <v>849.16678360000003</v>
      </c>
      <c r="M304">
        <f ca="1">IFERROR(IF(0=LEN(ReferenceData!$M$304),"",ReferenceData!$M$304),"")</f>
        <v>776.26181459999998</v>
      </c>
      <c r="N304">
        <f ca="1">IFERROR(IF(0=LEN(ReferenceData!$N$304),"",ReferenceData!$N$304),"")</f>
        <v>660.52907419999997</v>
      </c>
      <c r="O304">
        <f ca="1">IFERROR(IF(0=LEN(ReferenceData!$O$304),"",ReferenceData!$O$304),"")</f>
        <v>740.72507040000005</v>
      </c>
      <c r="P304">
        <f ca="1">IFERROR(IF(0=LEN(ReferenceData!$P$304),"",ReferenceData!$P$304),"")</f>
        <v>914.22986270000001</v>
      </c>
      <c r="Q304">
        <f ca="1">IFERROR(IF(0=LEN(ReferenceData!$Q$304),"",ReferenceData!$Q$304),"")</f>
        <v>914.02744229999996</v>
      </c>
      <c r="R304">
        <f ca="1">IFERROR(IF(0=LEN(ReferenceData!$R$304),"",ReferenceData!$R$304),"")</f>
        <v>840.27760509999996</v>
      </c>
      <c r="S304">
        <f ca="1">IFERROR(IF(0=LEN(ReferenceData!$S$304),"",ReferenceData!$S$304),"")</f>
        <v>863.94773599999996</v>
      </c>
      <c r="T304">
        <f ca="1">IFERROR(IF(0=LEN(ReferenceData!$T$304),"",ReferenceData!$T$304),"")</f>
        <v>766.12043570000003</v>
      </c>
      <c r="U304">
        <f ca="1">IFERROR(IF(0=LEN(ReferenceData!$U$304),"",ReferenceData!$U$304),"")</f>
        <v>882.70757809999998</v>
      </c>
      <c r="V304">
        <f ca="1">IFERROR(IF(0=LEN(ReferenceData!$V$304),"",ReferenceData!$V$304),"")</f>
        <v>870.11277029999997</v>
      </c>
      <c r="W304">
        <f ca="1">IFERROR(IF(0=LEN(ReferenceData!$W$304),"",ReferenceData!$W$304),"")</f>
        <v>955.83722550000005</v>
      </c>
      <c r="X304">
        <f ca="1">IFERROR(IF(0=LEN(ReferenceData!$X$304),"",ReferenceData!$X$304),"")</f>
        <v>988.08744730000001</v>
      </c>
      <c r="Y304">
        <f ca="1">IFERROR(IF(0=LEN(ReferenceData!$Y$304),"",ReferenceData!$Y$304),"")</f>
        <v>1009.074874</v>
      </c>
      <c r="Z304">
        <f ca="1">IFERROR(IF(0=LEN(ReferenceData!$Z$304),"",ReferenceData!$Z$304),"")</f>
        <v>918.10666920000006</v>
      </c>
      <c r="AA304">
        <f ca="1">IFERROR(IF(0=LEN(ReferenceData!$AA$304),"",ReferenceData!$AA$304),"")</f>
        <v>847.11258369999996</v>
      </c>
      <c r="AB304">
        <f ca="1">IFERROR(IF(0=LEN(ReferenceData!$AB$304),"",ReferenceData!$AB$304),"")</f>
        <v>862.45508489999997</v>
      </c>
      <c r="AC304">
        <f ca="1">IFERROR(IF(0=LEN(ReferenceData!$AC$304),"",ReferenceData!$AC$304),"")</f>
        <v>917.79069179999999</v>
      </c>
      <c r="AD304">
        <f ca="1">IFERROR(IF(0=LEN(ReferenceData!$AD$304),"",ReferenceData!$AD$304),"")</f>
        <v>879.12838939999995</v>
      </c>
      <c r="AE304">
        <f ca="1">IFERROR(IF(0=LEN(ReferenceData!$AE$304),"",ReferenceData!$AE$304),"")</f>
        <v>984.98075219999998</v>
      </c>
      <c r="AF304">
        <f ca="1">IFERROR(IF(0=LEN(ReferenceData!$AF$304),"",ReferenceData!$AF$304),"")</f>
        <v>1115.211419</v>
      </c>
      <c r="AG304">
        <f ca="1">IFERROR(IF(0=LEN(ReferenceData!$AG$304),"",ReferenceData!$AG$304),"")</f>
        <v>1027.2819569999999</v>
      </c>
      <c r="AH304">
        <f ca="1">IFERROR(IF(0=LEN(ReferenceData!$AH$304),"",ReferenceData!$AH$304),"")</f>
        <v>948.04064679999999</v>
      </c>
      <c r="AI304">
        <f ca="1">IFERROR(IF(0=LEN(ReferenceData!$AI$304),"",ReferenceData!$AI$304),"")</f>
        <v>991.95654939999997</v>
      </c>
      <c r="AJ304">
        <f ca="1">IFERROR(IF(0=LEN(ReferenceData!$AJ$304),"",ReferenceData!$AJ$304),"")</f>
        <v>1026.427463</v>
      </c>
      <c r="AK304">
        <f ca="1">IFERROR(IF(0=LEN(ReferenceData!$AK$304),"",ReferenceData!$AK$304),"")</f>
        <v>1073.525905</v>
      </c>
      <c r="AL304">
        <f ca="1">IFERROR(IF(0=LEN(ReferenceData!$AL$304),"",ReferenceData!$AL$304),"")</f>
        <v>1009.795553</v>
      </c>
      <c r="AM304">
        <f ca="1">IFERROR(IF(0=LEN(ReferenceData!$AM$304),"",ReferenceData!$AM$304),"")</f>
        <v>1109.1467869999999</v>
      </c>
      <c r="AN304">
        <f ca="1">IFERROR(IF(0=LEN(ReferenceData!$AN$304),"",ReferenceData!$AN$304),"")</f>
        <v>1147.421636</v>
      </c>
      <c r="AO304">
        <f ca="1">IFERROR(IF(0=LEN(ReferenceData!$AO$304),"",ReferenceData!$AO$304),"")</f>
        <v>978.75651089999997</v>
      </c>
      <c r="AP304">
        <f ca="1">IFERROR(IF(0=LEN(ReferenceData!$AP$304),"",ReferenceData!$AP$304),"")</f>
        <v>931.76216750000003</v>
      </c>
      <c r="AQ304">
        <f ca="1">IFERROR(IF(0=LEN(ReferenceData!$AQ$304),"",ReferenceData!$AQ$304),"")</f>
        <v>1071.2461880000001</v>
      </c>
      <c r="AR304">
        <f ca="1">IFERROR(IF(0=LEN(ReferenceData!$AR$304),"",ReferenceData!$AR$304),"")</f>
        <v>1196.8742319999999</v>
      </c>
      <c r="AS304">
        <f ca="1">IFERROR(IF(0=LEN(ReferenceData!$AS$304),"",ReferenceData!$AS$304),"")</f>
        <v>1089.2339509999999</v>
      </c>
      <c r="AT304">
        <f ca="1">IFERROR(IF(0=LEN(ReferenceData!$AT$304),"",ReferenceData!$AT$304),"")</f>
        <v>953.15239059999999</v>
      </c>
      <c r="AU304">
        <f ca="1">IFERROR(IF(0=LEN(ReferenceData!$AU$304),"",ReferenceData!$AU$304),"")</f>
        <v>1068.895123</v>
      </c>
      <c r="AV304">
        <f ca="1">IFERROR(IF(0=LEN(ReferenceData!$AV$304),"",ReferenceData!$AV$304),"")</f>
        <v>1393.501483</v>
      </c>
      <c r="AW304">
        <f ca="1">IFERROR(IF(0=LEN(ReferenceData!$AW$304),"",ReferenceData!$AW$304),"")</f>
        <v>1381.92931</v>
      </c>
      <c r="AX304">
        <f ca="1">IFERROR(IF(0=LEN(ReferenceData!$AX$304),"",ReferenceData!$AX$304),"")</f>
        <v>1351.6524850000001</v>
      </c>
      <c r="AY304">
        <f ca="1">IFERROR(IF(0=LEN(ReferenceData!$AY$304),"",ReferenceData!$AY$304),"")</f>
        <v>1384.376471</v>
      </c>
      <c r="AZ304">
        <f ca="1">IFERROR(IF(0=LEN(ReferenceData!$AZ$304),"",ReferenceData!$AZ$304),"")</f>
        <v>1396.2272660000001</v>
      </c>
      <c r="BA304">
        <f ca="1">IFERROR(IF(0=LEN(ReferenceData!$BA$304),"",ReferenceData!$BA$304),"")</f>
        <v>1187.957676</v>
      </c>
      <c r="BB304">
        <f ca="1">IFERROR(IF(0=LEN(ReferenceData!$BB$304),"",ReferenceData!$BB$304),"")</f>
        <v>1026.5882810000001</v>
      </c>
      <c r="BC304">
        <f ca="1">IFERROR(IF(0=LEN(ReferenceData!$BC$304),"",ReferenceData!$BC$304),"")</f>
        <v>1074.735414</v>
      </c>
      <c r="BD304">
        <f ca="1">IFERROR(IF(0=LEN(ReferenceData!$BD$304),"",ReferenceData!$BD$304),"")</f>
        <v>910.3496159</v>
      </c>
      <c r="BE304">
        <f ca="1">IFERROR(IF(0=LEN(ReferenceData!$BE$304),"",ReferenceData!$BE$304),"")</f>
        <v>994.39256330000001</v>
      </c>
      <c r="BF304">
        <f ca="1">IFERROR(IF(0=LEN(ReferenceData!$BF$304),"",ReferenceData!$BF$304),"")</f>
        <v>1060.1392510000001</v>
      </c>
      <c r="BG304">
        <f ca="1">IFERROR(IF(0=LEN(ReferenceData!$BG$304),"",ReferenceData!$BG$304),"")</f>
        <v>1081.172822</v>
      </c>
      <c r="BH304">
        <f ca="1">IFERROR(IF(0=LEN(ReferenceData!$BH$304),"",ReferenceData!$BH$304),"")</f>
        <v>1024.5561600000001</v>
      </c>
      <c r="BI304">
        <f ca="1">IFERROR(IF(0=LEN(ReferenceData!$BI$304),"",ReferenceData!$BI$304),"")</f>
        <v>1085.9493010000001</v>
      </c>
      <c r="BJ304">
        <f ca="1">IFERROR(IF(0=LEN(ReferenceData!$BJ$304),"",ReferenceData!$BJ$304),"")</f>
        <v>977.65713370000003</v>
      </c>
      <c r="BK304">
        <f ca="1">IFERROR(IF(0=LEN(ReferenceData!$BK$304),"",ReferenceData!$BK$304),"")</f>
        <v>1048.1705239999999</v>
      </c>
      <c r="BL304">
        <f ca="1">IFERROR(IF(0=LEN(ReferenceData!$BL$304),"",ReferenceData!$BL$304),"")</f>
        <v>885.87576390000004</v>
      </c>
      <c r="BM304" t="str">
        <f ca="1">IFERROR(IF(0=LEN(ReferenceData!$BM$304),"",ReferenceData!$BM$304),"")</f>
        <v/>
      </c>
    </row>
    <row r="305" spans="1:65" x14ac:dyDescent="0.25">
      <c r="A305" t="str">
        <f>IFERROR(IF(0=LEN(ReferenceData!$A$305),"",ReferenceData!$A$305),"")</f>
        <v xml:space="preserve">    GAZ PJSC</v>
      </c>
      <c r="B305" t="str">
        <f>IFERROR(IF(0=LEN(ReferenceData!$B$305),"",ReferenceData!$B$305),"")</f>
        <v>GAZA RM Equity</v>
      </c>
      <c r="C305" t="str">
        <f>IFERROR(IF(0=LEN(ReferenceData!$C$305),"",ReferenceData!$C$305),"")</f>
        <v>RR179</v>
      </c>
      <c r="D305" t="str">
        <f>IFERROR(IF(0=LEN(ReferenceData!$D$305),"",ReferenceData!$D$305),"")</f>
        <v>TANGIBLE_COMMON_EQUITY</v>
      </c>
      <c r="E305" t="str">
        <f>IFERROR(IF(0=LEN(ReferenceData!$E$305),"",ReferenceData!$E$305),"")</f>
        <v>Dynamic</v>
      </c>
      <c r="F305" t="str">
        <f ca="1">IFERROR(IF(0=LEN(ReferenceData!$F$305),"",ReferenceData!$F$305),"")</f>
        <v/>
      </c>
      <c r="G305" t="str">
        <f ca="1">IFERROR(IF(0=LEN(ReferenceData!$G$305),"",ReferenceData!$G$305),"")</f>
        <v/>
      </c>
      <c r="H305" t="str">
        <f ca="1">IFERROR(IF(0=LEN(ReferenceData!$H$305),"",ReferenceData!$H$305),"")</f>
        <v/>
      </c>
      <c r="I305" t="str">
        <f ca="1">IFERROR(IF(0=LEN(ReferenceData!$I$305),"",ReferenceData!$I$305),"")</f>
        <v/>
      </c>
      <c r="J305" t="str">
        <f ca="1">IFERROR(IF(0=LEN(ReferenceData!$J$305),"",ReferenceData!$J$305),"")</f>
        <v/>
      </c>
      <c r="K305" t="str">
        <f ca="1">IFERROR(IF(0=LEN(ReferenceData!$K$305),"",ReferenceData!$K$305),"")</f>
        <v/>
      </c>
      <c r="L305" t="str">
        <f ca="1">IFERROR(IF(0=LEN(ReferenceData!$L$305),"",ReferenceData!$L$305),"")</f>
        <v/>
      </c>
      <c r="M305" t="str">
        <f ca="1">IFERROR(IF(0=LEN(ReferenceData!$M$305),"",ReferenceData!$M$305),"")</f>
        <v/>
      </c>
      <c r="N305" t="str">
        <f ca="1">IFERROR(IF(0=LEN(ReferenceData!$N$305),"",ReferenceData!$N$305),"")</f>
        <v/>
      </c>
      <c r="O305" t="str">
        <f ca="1">IFERROR(IF(0=LEN(ReferenceData!$O$305),"",ReferenceData!$O$305),"")</f>
        <v/>
      </c>
      <c r="P305" t="str">
        <f ca="1">IFERROR(IF(0=LEN(ReferenceData!$P$305),"",ReferenceData!$P$305),"")</f>
        <v/>
      </c>
      <c r="Q305" t="str">
        <f ca="1">IFERROR(IF(0=LEN(ReferenceData!$Q$305),"",ReferenceData!$Q$305),"")</f>
        <v/>
      </c>
      <c r="R305" t="str">
        <f ca="1">IFERROR(IF(0=LEN(ReferenceData!$R$305),"",ReferenceData!$R$305),"")</f>
        <v/>
      </c>
      <c r="S305" t="str">
        <f ca="1">IFERROR(IF(0=LEN(ReferenceData!$S$305),"",ReferenceData!$S$305),"")</f>
        <v/>
      </c>
      <c r="T305" t="str">
        <f ca="1">IFERROR(IF(0=LEN(ReferenceData!$T$305),"",ReferenceData!$T$305),"")</f>
        <v/>
      </c>
      <c r="U305" t="str">
        <f ca="1">IFERROR(IF(0=LEN(ReferenceData!$U$305),"",ReferenceData!$U$305),"")</f>
        <v/>
      </c>
      <c r="V305" t="str">
        <f ca="1">IFERROR(IF(0=LEN(ReferenceData!$V$305),"",ReferenceData!$V$305),"")</f>
        <v/>
      </c>
      <c r="W305" t="str">
        <f ca="1">IFERROR(IF(0=LEN(ReferenceData!$W$305),"",ReferenceData!$W$305),"")</f>
        <v/>
      </c>
      <c r="X305" t="str">
        <f ca="1">IFERROR(IF(0=LEN(ReferenceData!$X$305),"",ReferenceData!$X$305),"")</f>
        <v/>
      </c>
      <c r="Y305" t="str">
        <f ca="1">IFERROR(IF(0=LEN(ReferenceData!$Y$305),"",ReferenceData!$Y$305),"")</f>
        <v/>
      </c>
      <c r="Z305" t="str">
        <f ca="1">IFERROR(IF(0=LEN(ReferenceData!$Z$305),"",ReferenceData!$Z$305),"")</f>
        <v/>
      </c>
      <c r="AA305" t="str">
        <f ca="1">IFERROR(IF(0=LEN(ReferenceData!$AA$305),"",ReferenceData!$AA$305),"")</f>
        <v/>
      </c>
      <c r="AB305" t="str">
        <f ca="1">IFERROR(IF(0=LEN(ReferenceData!$AB$305),"",ReferenceData!$AB$305),"")</f>
        <v/>
      </c>
      <c r="AC305" t="str">
        <f ca="1">IFERROR(IF(0=LEN(ReferenceData!$AC$305),"",ReferenceData!$AC$305),"")</f>
        <v/>
      </c>
      <c r="AD305" t="str">
        <f ca="1">IFERROR(IF(0=LEN(ReferenceData!$AD$305),"",ReferenceData!$AD$305),"")</f>
        <v/>
      </c>
      <c r="AE305" t="str">
        <f ca="1">IFERROR(IF(0=LEN(ReferenceData!$AE$305),"",ReferenceData!$AE$305),"")</f>
        <v/>
      </c>
      <c r="AF305" t="str">
        <f ca="1">IFERROR(IF(0=LEN(ReferenceData!$AF$305),"",ReferenceData!$AF$305),"")</f>
        <v/>
      </c>
      <c r="AG305" t="str">
        <f ca="1">IFERROR(IF(0=LEN(ReferenceData!$AG$305),"",ReferenceData!$AG$305),"")</f>
        <v/>
      </c>
      <c r="AH305" t="str">
        <f ca="1">IFERROR(IF(0=LEN(ReferenceData!$AH$305),"",ReferenceData!$AH$305),"")</f>
        <v/>
      </c>
      <c r="AI305" t="str">
        <f ca="1">IFERROR(IF(0=LEN(ReferenceData!$AI$305),"",ReferenceData!$AI$305),"")</f>
        <v/>
      </c>
      <c r="AJ305" t="str">
        <f ca="1">IFERROR(IF(0=LEN(ReferenceData!$AJ$305),"",ReferenceData!$AJ$305),"")</f>
        <v/>
      </c>
      <c r="AK305" t="str">
        <f ca="1">IFERROR(IF(0=LEN(ReferenceData!$AK$305),"",ReferenceData!$AK$305),"")</f>
        <v/>
      </c>
      <c r="AL305" t="str">
        <f ca="1">IFERROR(IF(0=LEN(ReferenceData!$AL$305),"",ReferenceData!$AL$305),"")</f>
        <v/>
      </c>
      <c r="AM305" t="str">
        <f ca="1">IFERROR(IF(0=LEN(ReferenceData!$AM$305),"",ReferenceData!$AM$305),"")</f>
        <v/>
      </c>
      <c r="AN305" t="str">
        <f ca="1">IFERROR(IF(0=LEN(ReferenceData!$AN$305),"",ReferenceData!$AN$305),"")</f>
        <v/>
      </c>
      <c r="AO305" t="str">
        <f ca="1">IFERROR(IF(0=LEN(ReferenceData!$AO$305),"",ReferenceData!$AO$305),"")</f>
        <v/>
      </c>
      <c r="AP305" t="str">
        <f ca="1">IFERROR(IF(0=LEN(ReferenceData!$AP$305),"",ReferenceData!$AP$305),"")</f>
        <v/>
      </c>
      <c r="AQ305" t="str">
        <f ca="1">IFERROR(IF(0=LEN(ReferenceData!$AQ$305),"",ReferenceData!$AQ$305),"")</f>
        <v/>
      </c>
      <c r="AR305" t="str">
        <f ca="1">IFERROR(IF(0=LEN(ReferenceData!$AR$305),"",ReferenceData!$AR$305),"")</f>
        <v/>
      </c>
      <c r="AS305" t="str">
        <f ca="1">IFERROR(IF(0=LEN(ReferenceData!$AS$305),"",ReferenceData!$AS$305),"")</f>
        <v/>
      </c>
      <c r="AT305" t="str">
        <f ca="1">IFERROR(IF(0=LEN(ReferenceData!$AT$305),"",ReferenceData!$AT$305),"")</f>
        <v/>
      </c>
      <c r="AU305" t="str">
        <f ca="1">IFERROR(IF(0=LEN(ReferenceData!$AU$305),"",ReferenceData!$AU$305),"")</f>
        <v/>
      </c>
      <c r="AV305" t="str">
        <f ca="1">IFERROR(IF(0=LEN(ReferenceData!$AV$305),"",ReferenceData!$AV$305),"")</f>
        <v/>
      </c>
      <c r="AW305" t="str">
        <f ca="1">IFERROR(IF(0=LEN(ReferenceData!$AW$305),"",ReferenceData!$AW$305),"")</f>
        <v/>
      </c>
      <c r="AX305" t="str">
        <f ca="1">IFERROR(IF(0=LEN(ReferenceData!$AX$305),"",ReferenceData!$AX$305),"")</f>
        <v/>
      </c>
      <c r="AY305" t="str">
        <f ca="1">IFERROR(IF(0=LEN(ReferenceData!$AY$305),"",ReferenceData!$AY$305),"")</f>
        <v/>
      </c>
      <c r="AZ305" t="str">
        <f ca="1">IFERROR(IF(0=LEN(ReferenceData!$AZ$305),"",ReferenceData!$AZ$305),"")</f>
        <v/>
      </c>
      <c r="BA305" t="str">
        <f ca="1">IFERROR(IF(0=LEN(ReferenceData!$BA$305),"",ReferenceData!$BA$305),"")</f>
        <v/>
      </c>
      <c r="BB305" t="str">
        <f ca="1">IFERROR(IF(0=LEN(ReferenceData!$BB$305),"",ReferenceData!$BB$305),"")</f>
        <v/>
      </c>
      <c r="BC305" t="str">
        <f ca="1">IFERROR(IF(0=LEN(ReferenceData!$BC$305),"",ReferenceData!$BC$305),"")</f>
        <v/>
      </c>
      <c r="BD305" t="str">
        <f ca="1">IFERROR(IF(0=LEN(ReferenceData!$BD$305),"",ReferenceData!$BD$305),"")</f>
        <v/>
      </c>
      <c r="BE305" t="str">
        <f ca="1">IFERROR(IF(0=LEN(ReferenceData!$BE$305),"",ReferenceData!$BE$305),"")</f>
        <v/>
      </c>
      <c r="BF305" t="str">
        <f ca="1">IFERROR(IF(0=LEN(ReferenceData!$BF$305),"",ReferenceData!$BF$305),"")</f>
        <v/>
      </c>
      <c r="BG305" t="str">
        <f ca="1">IFERROR(IF(0=LEN(ReferenceData!$BG$305),"",ReferenceData!$BG$305),"")</f>
        <v/>
      </c>
      <c r="BH305" t="str">
        <f ca="1">IFERROR(IF(0=LEN(ReferenceData!$BH$305),"",ReferenceData!$BH$305),"")</f>
        <v/>
      </c>
      <c r="BI305" t="str">
        <f ca="1">IFERROR(IF(0=LEN(ReferenceData!$BI$305),"",ReferenceData!$BI$305),"")</f>
        <v/>
      </c>
      <c r="BJ305" t="str">
        <f ca="1">IFERROR(IF(0=LEN(ReferenceData!$BJ$305),"",ReferenceData!$BJ$305),"")</f>
        <v/>
      </c>
      <c r="BK305" t="str">
        <f ca="1">IFERROR(IF(0=LEN(ReferenceData!$BK$305),"",ReferenceData!$BK$305),"")</f>
        <v/>
      </c>
      <c r="BL305" t="str">
        <f ca="1">IFERROR(IF(0=LEN(ReferenceData!$BL$305),"",ReferenceData!$BL$305),"")</f>
        <v/>
      </c>
      <c r="BM305" t="str">
        <f ca="1">IFERROR(IF(0=LEN(ReferenceData!$BM$305),"",ReferenceData!$BM$305),"")</f>
        <v/>
      </c>
    </row>
    <row r="306" spans="1:65" x14ac:dyDescent="0.25">
      <c r="A306" t="str">
        <f>IFERROR(IF(0=LEN(ReferenceData!$A$306),"",ReferenceData!$A$306),"")</f>
        <v xml:space="preserve">    Geely Automobile Holdings Ltd</v>
      </c>
      <c r="B306" t="str">
        <f>IFERROR(IF(0=LEN(ReferenceData!$B$306),"",ReferenceData!$B$306),"")</f>
        <v>175 HK Equity</v>
      </c>
      <c r="C306" t="str">
        <f>IFERROR(IF(0=LEN(ReferenceData!$C$306),"",ReferenceData!$C$306),"")</f>
        <v>RR179</v>
      </c>
      <c r="D306" t="str">
        <f>IFERROR(IF(0=LEN(ReferenceData!$D$306),"",ReferenceData!$D$306),"")</f>
        <v>TANGIBLE_COMMON_EQUITY</v>
      </c>
      <c r="E306" t="str">
        <f>IFERROR(IF(0=LEN(ReferenceData!$E$306),"",ReferenceData!$E$306),"")</f>
        <v>Dynamic</v>
      </c>
      <c r="F306" t="str">
        <f ca="1">IFERROR(IF(0=LEN(ReferenceData!$F$306),"",ReferenceData!$F$306),"")</f>
        <v/>
      </c>
      <c r="G306" t="str">
        <f ca="1">IFERROR(IF(0=LEN(ReferenceData!$G$306),"",ReferenceData!$G$306),"")</f>
        <v/>
      </c>
      <c r="H306" t="str">
        <f ca="1">IFERROR(IF(0=LEN(ReferenceData!$H$306),"",ReferenceData!$H$306),"")</f>
        <v/>
      </c>
      <c r="I306" t="str">
        <f ca="1">IFERROR(IF(0=LEN(ReferenceData!$I$306),"",ReferenceData!$I$306),"")</f>
        <v/>
      </c>
      <c r="J306" t="str">
        <f ca="1">IFERROR(IF(0=LEN(ReferenceData!$J$306),"",ReferenceData!$J$306),"")</f>
        <v/>
      </c>
      <c r="K306" t="str">
        <f ca="1">IFERROR(IF(0=LEN(ReferenceData!$K$306),"",ReferenceData!$K$306),"")</f>
        <v/>
      </c>
      <c r="L306" t="str">
        <f ca="1">IFERROR(IF(0=LEN(ReferenceData!$L$306),"",ReferenceData!$L$306),"")</f>
        <v/>
      </c>
      <c r="M306" t="str">
        <f ca="1">IFERROR(IF(0=LEN(ReferenceData!$M$306),"",ReferenceData!$M$306),"")</f>
        <v/>
      </c>
      <c r="N306" t="str">
        <f ca="1">IFERROR(IF(0=LEN(ReferenceData!$N$306),"",ReferenceData!$N$306),"")</f>
        <v/>
      </c>
      <c r="O306" t="str">
        <f ca="1">IFERROR(IF(0=LEN(ReferenceData!$O$306),"",ReferenceData!$O$306),"")</f>
        <v/>
      </c>
      <c r="P306" t="str">
        <f ca="1">IFERROR(IF(0=LEN(ReferenceData!$P$306),"",ReferenceData!$P$306),"")</f>
        <v/>
      </c>
      <c r="Q306" t="str">
        <f ca="1">IFERROR(IF(0=LEN(ReferenceData!$Q$306),"",ReferenceData!$Q$306),"")</f>
        <v/>
      </c>
      <c r="R306" t="str">
        <f ca="1">IFERROR(IF(0=LEN(ReferenceData!$R$306),"",ReferenceData!$R$306),"")</f>
        <v/>
      </c>
      <c r="S306" t="str">
        <f ca="1">IFERROR(IF(0=LEN(ReferenceData!$S$306),"",ReferenceData!$S$306),"")</f>
        <v/>
      </c>
      <c r="T306" t="str">
        <f ca="1">IFERROR(IF(0=LEN(ReferenceData!$T$306),"",ReferenceData!$T$306),"")</f>
        <v/>
      </c>
      <c r="U306" t="str">
        <f ca="1">IFERROR(IF(0=LEN(ReferenceData!$U$306),"",ReferenceData!$U$306),"")</f>
        <v/>
      </c>
      <c r="V306" t="str">
        <f ca="1">IFERROR(IF(0=LEN(ReferenceData!$V$306),"",ReferenceData!$V$306),"")</f>
        <v/>
      </c>
      <c r="W306" t="str">
        <f ca="1">IFERROR(IF(0=LEN(ReferenceData!$W$306),"",ReferenceData!$W$306),"")</f>
        <v/>
      </c>
      <c r="X306" t="str">
        <f ca="1">IFERROR(IF(0=LEN(ReferenceData!$X$306),"",ReferenceData!$X$306),"")</f>
        <v/>
      </c>
      <c r="Y306" t="str">
        <f ca="1">IFERROR(IF(0=LEN(ReferenceData!$Y$306),"",ReferenceData!$Y$306),"")</f>
        <v/>
      </c>
      <c r="Z306" t="str">
        <f ca="1">IFERROR(IF(0=LEN(ReferenceData!$Z$306),"",ReferenceData!$Z$306),"")</f>
        <v/>
      </c>
      <c r="AA306" t="str">
        <f ca="1">IFERROR(IF(0=LEN(ReferenceData!$AA$306),"",ReferenceData!$AA$306),"")</f>
        <v/>
      </c>
      <c r="AB306" t="str">
        <f ca="1">IFERROR(IF(0=LEN(ReferenceData!$AB$306),"",ReferenceData!$AB$306),"")</f>
        <v/>
      </c>
      <c r="AC306" t="str">
        <f ca="1">IFERROR(IF(0=LEN(ReferenceData!$AC$306),"",ReferenceData!$AC$306),"")</f>
        <v/>
      </c>
      <c r="AD306" t="str">
        <f ca="1">IFERROR(IF(0=LEN(ReferenceData!$AD$306),"",ReferenceData!$AD$306),"")</f>
        <v/>
      </c>
      <c r="AE306" t="str">
        <f ca="1">IFERROR(IF(0=LEN(ReferenceData!$AE$306),"",ReferenceData!$AE$306),"")</f>
        <v/>
      </c>
      <c r="AF306" t="str">
        <f ca="1">IFERROR(IF(0=LEN(ReferenceData!$AF$306),"",ReferenceData!$AF$306),"")</f>
        <v/>
      </c>
      <c r="AG306" t="str">
        <f ca="1">IFERROR(IF(0=LEN(ReferenceData!$AG$306),"",ReferenceData!$AG$306),"")</f>
        <v/>
      </c>
      <c r="AH306" t="str">
        <f ca="1">IFERROR(IF(0=LEN(ReferenceData!$AH$306),"",ReferenceData!$AH$306),"")</f>
        <v/>
      </c>
      <c r="AI306" t="str">
        <f ca="1">IFERROR(IF(0=LEN(ReferenceData!$AI$306),"",ReferenceData!$AI$306),"")</f>
        <v/>
      </c>
      <c r="AJ306" t="str">
        <f ca="1">IFERROR(IF(0=LEN(ReferenceData!$AJ$306),"",ReferenceData!$AJ$306),"")</f>
        <v/>
      </c>
      <c r="AK306" t="str">
        <f ca="1">IFERROR(IF(0=LEN(ReferenceData!$AK$306),"",ReferenceData!$AK$306),"")</f>
        <v/>
      </c>
      <c r="AL306" t="str">
        <f ca="1">IFERROR(IF(0=LEN(ReferenceData!$AL$306),"",ReferenceData!$AL$306),"")</f>
        <v/>
      </c>
      <c r="AM306" t="str">
        <f ca="1">IFERROR(IF(0=LEN(ReferenceData!$AM$306),"",ReferenceData!$AM$306),"")</f>
        <v/>
      </c>
      <c r="AN306" t="str">
        <f ca="1">IFERROR(IF(0=LEN(ReferenceData!$AN$306),"",ReferenceData!$AN$306),"")</f>
        <v/>
      </c>
      <c r="AO306" t="str">
        <f ca="1">IFERROR(IF(0=LEN(ReferenceData!$AO$306),"",ReferenceData!$AO$306),"")</f>
        <v/>
      </c>
      <c r="AP306" t="str">
        <f ca="1">IFERROR(IF(0=LEN(ReferenceData!$AP$306),"",ReferenceData!$AP$306),"")</f>
        <v/>
      </c>
      <c r="AQ306" t="str">
        <f ca="1">IFERROR(IF(0=LEN(ReferenceData!$AQ$306),"",ReferenceData!$AQ$306),"")</f>
        <v/>
      </c>
      <c r="AR306" t="str">
        <f ca="1">IFERROR(IF(0=LEN(ReferenceData!$AR$306),"",ReferenceData!$AR$306),"")</f>
        <v/>
      </c>
      <c r="AS306" t="str">
        <f ca="1">IFERROR(IF(0=LEN(ReferenceData!$AS$306),"",ReferenceData!$AS$306),"")</f>
        <v/>
      </c>
      <c r="AT306" t="str">
        <f ca="1">IFERROR(IF(0=LEN(ReferenceData!$AT$306),"",ReferenceData!$AT$306),"")</f>
        <v/>
      </c>
      <c r="AU306" t="str">
        <f ca="1">IFERROR(IF(0=LEN(ReferenceData!$AU$306),"",ReferenceData!$AU$306),"")</f>
        <v/>
      </c>
      <c r="AV306" t="str">
        <f ca="1">IFERROR(IF(0=LEN(ReferenceData!$AV$306),"",ReferenceData!$AV$306),"")</f>
        <v/>
      </c>
      <c r="AW306" t="str">
        <f ca="1">IFERROR(IF(0=LEN(ReferenceData!$AW$306),"",ReferenceData!$AW$306),"")</f>
        <v/>
      </c>
      <c r="AX306" t="str">
        <f ca="1">IFERROR(IF(0=LEN(ReferenceData!$AX$306),"",ReferenceData!$AX$306),"")</f>
        <v/>
      </c>
      <c r="AY306" t="str">
        <f ca="1">IFERROR(IF(0=LEN(ReferenceData!$AY$306),"",ReferenceData!$AY$306),"")</f>
        <v/>
      </c>
      <c r="AZ306" t="str">
        <f ca="1">IFERROR(IF(0=LEN(ReferenceData!$AZ$306),"",ReferenceData!$AZ$306),"")</f>
        <v/>
      </c>
      <c r="BA306" t="str">
        <f ca="1">IFERROR(IF(0=LEN(ReferenceData!$BA$306),"",ReferenceData!$BA$306),"")</f>
        <v/>
      </c>
      <c r="BB306" t="str">
        <f ca="1">IFERROR(IF(0=LEN(ReferenceData!$BB$306),"",ReferenceData!$BB$306),"")</f>
        <v/>
      </c>
      <c r="BC306" t="str">
        <f ca="1">IFERROR(IF(0=LEN(ReferenceData!$BC$306),"",ReferenceData!$BC$306),"")</f>
        <v/>
      </c>
      <c r="BD306" t="str">
        <f ca="1">IFERROR(IF(0=LEN(ReferenceData!$BD$306),"",ReferenceData!$BD$306),"")</f>
        <v/>
      </c>
      <c r="BE306" t="str">
        <f ca="1">IFERROR(IF(0=LEN(ReferenceData!$BE$306),"",ReferenceData!$BE$306),"")</f>
        <v/>
      </c>
      <c r="BF306" t="str">
        <f ca="1">IFERROR(IF(0=LEN(ReferenceData!$BF$306),"",ReferenceData!$BF$306),"")</f>
        <v/>
      </c>
      <c r="BG306" t="str">
        <f ca="1">IFERROR(IF(0=LEN(ReferenceData!$BG$306),"",ReferenceData!$BG$306),"")</f>
        <v/>
      </c>
      <c r="BH306" t="str">
        <f ca="1">IFERROR(IF(0=LEN(ReferenceData!$BH$306),"",ReferenceData!$BH$306),"")</f>
        <v/>
      </c>
      <c r="BI306" t="str">
        <f ca="1">IFERROR(IF(0=LEN(ReferenceData!$BI$306),"",ReferenceData!$BI$306),"")</f>
        <v/>
      </c>
      <c r="BJ306" t="str">
        <f ca="1">IFERROR(IF(0=LEN(ReferenceData!$BJ$306),"",ReferenceData!$BJ$306),"")</f>
        <v/>
      </c>
      <c r="BK306" t="str">
        <f ca="1">IFERROR(IF(0=LEN(ReferenceData!$BK$306),"",ReferenceData!$BK$306),"")</f>
        <v/>
      </c>
      <c r="BL306" t="str">
        <f ca="1">IFERROR(IF(0=LEN(ReferenceData!$BL$306),"",ReferenceData!$BL$306),"")</f>
        <v/>
      </c>
      <c r="BM306" t="str">
        <f ca="1">IFERROR(IF(0=LEN(ReferenceData!$BM$306),"",ReferenceData!$BM$306),"")</f>
        <v/>
      </c>
    </row>
    <row r="307" spans="1:65" x14ac:dyDescent="0.25">
      <c r="A307" t="str">
        <f>IFERROR(IF(0=LEN(ReferenceData!$A$307),"",ReferenceData!$A$307),"")</f>
        <v xml:space="preserve">    General Motors Co</v>
      </c>
      <c r="B307" t="str">
        <f>IFERROR(IF(0=LEN(ReferenceData!$B$307),"",ReferenceData!$B$307),"")</f>
        <v>GM US Equity</v>
      </c>
      <c r="C307" t="str">
        <f>IFERROR(IF(0=LEN(ReferenceData!$C$307),"",ReferenceData!$C$307),"")</f>
        <v>RR179</v>
      </c>
      <c r="D307" t="str">
        <f>IFERROR(IF(0=LEN(ReferenceData!$D$307),"",ReferenceData!$D$307),"")</f>
        <v>TANGIBLE_COMMON_EQUITY</v>
      </c>
      <c r="E307" t="str">
        <f>IFERROR(IF(0=LEN(ReferenceData!$E$307),"",ReferenceData!$E$307),"")</f>
        <v>Dynamic</v>
      </c>
      <c r="F307" t="str">
        <f ca="1">IFERROR(IF(0=LEN(ReferenceData!$F$307),"",ReferenceData!$F$307),"")</f>
        <v/>
      </c>
      <c r="G307">
        <f ca="1">IFERROR(IF(0=LEN(ReferenceData!$G$307),"",ReferenceData!$G$307),"")</f>
        <v>33281</v>
      </c>
      <c r="H307">
        <f ca="1">IFERROR(IF(0=LEN(ReferenceData!$H$307),"",ReferenceData!$H$307),"")</f>
        <v>32410</v>
      </c>
      <c r="I307">
        <f ca="1">IFERROR(IF(0=LEN(ReferenceData!$I$307),"",ReferenceData!$I$307),"")</f>
        <v>30461</v>
      </c>
      <c r="J307">
        <f ca="1">IFERROR(IF(0=LEN(ReferenceData!$J$307),"",ReferenceData!$J$307),"")</f>
        <v>28508</v>
      </c>
      <c r="K307">
        <f ca="1">IFERROR(IF(0=LEN(ReferenceData!$K$307),"",ReferenceData!$K$307),"")</f>
        <v>29152</v>
      </c>
      <c r="L307">
        <f ca="1">IFERROR(IF(0=LEN(ReferenceData!$L$307),"",ReferenceData!$L$307),"")</f>
        <v>36389</v>
      </c>
      <c r="M307">
        <f ca="1">IFERROR(IF(0=LEN(ReferenceData!$M$307),"",ReferenceData!$M$307),"")</f>
        <v>39532</v>
      </c>
      <c r="N307">
        <f ca="1">IFERROR(IF(0=LEN(ReferenceData!$N$307),"",ReferenceData!$N$307),"")</f>
        <v>39779</v>
      </c>
      <c r="O307">
        <f ca="1">IFERROR(IF(0=LEN(ReferenceData!$O$307),"",ReferenceData!$O$307),"")</f>
        <v>37687</v>
      </c>
      <c r="P307">
        <f ca="1">IFERROR(IF(0=LEN(ReferenceData!$P$307),"",ReferenceData!$P$307),"")</f>
        <v>38366</v>
      </c>
      <c r="Q307">
        <f ca="1">IFERROR(IF(0=LEN(ReferenceData!$Q$307),"",ReferenceData!$Q$307),"")</f>
        <v>37197</v>
      </c>
      <c r="R307">
        <f ca="1">IFERROR(IF(0=LEN(ReferenceData!$R$307),"",ReferenceData!$R$307),"")</f>
        <v>35041</v>
      </c>
      <c r="S307">
        <f ca="1">IFERROR(IF(0=LEN(ReferenceData!$S$307),"",ReferenceData!$S$307),"")</f>
        <v>33924</v>
      </c>
      <c r="T307">
        <f ca="1">IFERROR(IF(0=LEN(ReferenceData!$T$307),"",ReferenceData!$T$307),"")</f>
        <v>28555</v>
      </c>
      <c r="U307">
        <f ca="1">IFERROR(IF(0=LEN(ReferenceData!$U$307),"",ReferenceData!$U$307),"")</f>
        <v>28965</v>
      </c>
      <c r="V307">
        <f ca="1">IFERROR(IF(0=LEN(ReferenceData!$V$307),"",ReferenceData!$V$307),"")</f>
        <v>30032</v>
      </c>
      <c r="W307">
        <f ca="1">IFERROR(IF(0=LEN(ReferenceData!$W$307),"",ReferenceData!$W$307),"")</f>
        <v>29047</v>
      </c>
      <c r="X307">
        <f ca="1">IFERROR(IF(0=LEN(ReferenceData!$X$307),"",ReferenceData!$X$307),"")</f>
        <v>33249</v>
      </c>
      <c r="Y307">
        <f ca="1">IFERROR(IF(0=LEN(ReferenceData!$Y$307),"",ReferenceData!$Y$307),"")</f>
        <v>32092</v>
      </c>
      <c r="Z307">
        <f ca="1">IFERROR(IF(0=LEN(ReferenceData!$Z$307),"",ReferenceData!$Z$307),"")</f>
        <v>32108</v>
      </c>
      <c r="AA307">
        <f ca="1">IFERROR(IF(0=LEN(ReferenceData!$AA$307),"",ReferenceData!$AA$307),"")</f>
        <v>32270</v>
      </c>
      <c r="AB307">
        <f ca="1">IFERROR(IF(0=LEN(ReferenceData!$AB$307),"",ReferenceData!$AB$307),"")</f>
        <v>20497</v>
      </c>
      <c r="AC307">
        <f ca="1">IFERROR(IF(0=LEN(ReferenceData!$AC$307),"",ReferenceData!$AC$307),"")</f>
        <v>19392</v>
      </c>
      <c r="AD307">
        <f ca="1">IFERROR(IF(0=LEN(ReferenceData!$AD$307),"",ReferenceData!$AD$307),"")</f>
        <v>18231</v>
      </c>
      <c r="AE307">
        <f ca="1">IFERROR(IF(0=LEN(ReferenceData!$AE$307),"",ReferenceData!$AE$307),"")</f>
        <v>17071</v>
      </c>
      <c r="AF307">
        <f ca="1">IFERROR(IF(0=LEN(ReferenceData!$AF$307),"",ReferenceData!$AF$307),"")</f>
        <v>-6044</v>
      </c>
      <c r="AG307">
        <f ca="1">IFERROR(IF(0=LEN(ReferenceData!$AG$307),"",ReferenceData!$AG$307),"")</f>
        <v>-7288</v>
      </c>
      <c r="AH307">
        <f ca="1">IFERROR(IF(0=LEN(ReferenceData!$AH$307),"",ReferenceData!$AH$307),"")</f>
        <v>-9255</v>
      </c>
      <c r="AI307">
        <f ca="1">IFERROR(IF(0=LEN(ReferenceData!$AI$307),"",ReferenceData!$AI$307),"")</f>
        <v>-11304</v>
      </c>
      <c r="AJ307">
        <f ca="1">IFERROR(IF(0=LEN(ReferenceData!$AJ$307),"",ReferenceData!$AJ$307),"")</f>
        <v>-6028</v>
      </c>
      <c r="AK307">
        <f ca="1">IFERROR(IF(0=LEN(ReferenceData!$AK$307),"",ReferenceData!$AK$307),"")</f>
        <v>-10402</v>
      </c>
      <c r="AL307">
        <f ca="1">IFERROR(IF(0=LEN(ReferenceData!$AL$307),"",ReferenceData!$AL$307),"")</f>
        <v>-13698</v>
      </c>
      <c r="AM307">
        <f ca="1">IFERROR(IF(0=LEN(ReferenceData!$AM$307),"",ReferenceData!$AM$307),"")</f>
        <v>-17871</v>
      </c>
      <c r="AN307">
        <f ca="1">IFERROR(IF(0=LEN(ReferenceData!$AN$307),"",ReferenceData!$AN$307),"")</f>
        <v>-20263</v>
      </c>
      <c r="AO307">
        <f ca="1">IFERROR(IF(0=LEN(ReferenceData!$AO$307),"",ReferenceData!$AO$307),"")</f>
        <v>-19991</v>
      </c>
      <c r="AP307">
        <f ca="1">IFERROR(IF(0=LEN(ReferenceData!$AP$307),"",ReferenceData!$AP$307),"")</f>
        <v>-21938</v>
      </c>
      <c r="AQ307">
        <f ca="1">IFERROR(IF(0=LEN(ReferenceData!$AQ$307),"",ReferenceData!$AQ$307),"")</f>
        <v>-23970</v>
      </c>
      <c r="AR307">
        <f ca="1">IFERROR(IF(0=LEN(ReferenceData!$AR$307),"",ReferenceData!$AR$307),"")</f>
        <v>-27449</v>
      </c>
      <c r="AS307" t="str">
        <f ca="1">IFERROR(IF(0=LEN(ReferenceData!$AS$307),"",ReferenceData!$AS$307),"")</f>
        <v/>
      </c>
      <c r="AT307" t="str">
        <f ca="1">IFERROR(IF(0=LEN(ReferenceData!$AT$307),"",ReferenceData!$AT$307),"")</f>
        <v/>
      </c>
      <c r="AU307" t="str">
        <f ca="1">IFERROR(IF(0=LEN(ReferenceData!$AU$307),"",ReferenceData!$AU$307),"")</f>
        <v/>
      </c>
      <c r="AV307" t="str">
        <f ca="1">IFERROR(IF(0=LEN(ReferenceData!$AV$307),"",ReferenceData!$AV$307),"")</f>
        <v/>
      </c>
      <c r="AW307" t="str">
        <f ca="1">IFERROR(IF(0=LEN(ReferenceData!$AW$307),"",ReferenceData!$AW$307),"")</f>
        <v/>
      </c>
      <c r="AX307" t="str">
        <f ca="1">IFERROR(IF(0=LEN(ReferenceData!$AX$307),"",ReferenceData!$AX$307),"")</f>
        <v/>
      </c>
      <c r="AY307" t="str">
        <f ca="1">IFERROR(IF(0=LEN(ReferenceData!$AY$307),"",ReferenceData!$AY$307),"")</f>
        <v/>
      </c>
      <c r="AZ307" t="str">
        <f ca="1">IFERROR(IF(0=LEN(ReferenceData!$AZ$307),"",ReferenceData!$AZ$307),"")</f>
        <v/>
      </c>
      <c r="BA307" t="str">
        <f ca="1">IFERROR(IF(0=LEN(ReferenceData!$BA$307),"",ReferenceData!$BA$307),"")</f>
        <v/>
      </c>
      <c r="BB307" t="str">
        <f ca="1">IFERROR(IF(0=LEN(ReferenceData!$BB$307),"",ReferenceData!$BB$307),"")</f>
        <v/>
      </c>
      <c r="BC307" t="str">
        <f ca="1">IFERROR(IF(0=LEN(ReferenceData!$BC$307),"",ReferenceData!$BC$307),"")</f>
        <v/>
      </c>
      <c r="BD307" t="str">
        <f ca="1">IFERROR(IF(0=LEN(ReferenceData!$BD$307),"",ReferenceData!$BD$307),"")</f>
        <v/>
      </c>
      <c r="BE307" t="str">
        <f ca="1">IFERROR(IF(0=LEN(ReferenceData!$BE$307),"",ReferenceData!$BE$307),"")</f>
        <v/>
      </c>
      <c r="BF307" t="str">
        <f ca="1">IFERROR(IF(0=LEN(ReferenceData!$BF$307),"",ReferenceData!$BF$307),"")</f>
        <v/>
      </c>
      <c r="BG307" t="str">
        <f ca="1">IFERROR(IF(0=LEN(ReferenceData!$BG$307),"",ReferenceData!$BG$307),"")</f>
        <v/>
      </c>
      <c r="BH307" t="str">
        <f ca="1">IFERROR(IF(0=LEN(ReferenceData!$BH$307),"",ReferenceData!$BH$307),"")</f>
        <v/>
      </c>
      <c r="BI307" t="str">
        <f ca="1">IFERROR(IF(0=LEN(ReferenceData!$BI$307),"",ReferenceData!$BI$307),"")</f>
        <v/>
      </c>
      <c r="BJ307" t="str">
        <f ca="1">IFERROR(IF(0=LEN(ReferenceData!$BJ$307),"",ReferenceData!$BJ$307),"")</f>
        <v/>
      </c>
      <c r="BK307" t="str">
        <f ca="1">IFERROR(IF(0=LEN(ReferenceData!$BK$307),"",ReferenceData!$BK$307),"")</f>
        <v/>
      </c>
      <c r="BL307" t="str">
        <f ca="1">IFERROR(IF(0=LEN(ReferenceData!$BL$307),"",ReferenceData!$BL$307),"")</f>
        <v/>
      </c>
      <c r="BM307" t="str">
        <f ca="1">IFERROR(IF(0=LEN(ReferenceData!$BM$307),"",ReferenceData!$BM$307),"")</f>
        <v/>
      </c>
    </row>
    <row r="308" spans="1:65" x14ac:dyDescent="0.25">
      <c r="A308" t="str">
        <f>IFERROR(IF(0=LEN(ReferenceData!$A$308),"",ReferenceData!$A$308),"")</f>
        <v xml:space="preserve">    Great Wall Motor Co Ltd</v>
      </c>
      <c r="B308" t="str">
        <f>IFERROR(IF(0=LEN(ReferenceData!$B$308),"",ReferenceData!$B$308),"")</f>
        <v>2333 HK Equity</v>
      </c>
      <c r="C308" t="str">
        <f>IFERROR(IF(0=LEN(ReferenceData!$C$308),"",ReferenceData!$C$308),"")</f>
        <v>RR179</v>
      </c>
      <c r="D308" t="str">
        <f>IFERROR(IF(0=LEN(ReferenceData!$D$308),"",ReferenceData!$D$308),"")</f>
        <v>TANGIBLE_COMMON_EQUITY</v>
      </c>
      <c r="E308" t="str">
        <f>IFERROR(IF(0=LEN(ReferenceData!$E$308),"",ReferenceData!$E$308),"")</f>
        <v>Dynamic</v>
      </c>
      <c r="F308" t="str">
        <f ca="1">IFERROR(IF(0=LEN(ReferenceData!$F$308),"",ReferenceData!$F$308),"")</f>
        <v/>
      </c>
      <c r="G308" t="str">
        <f ca="1">IFERROR(IF(0=LEN(ReferenceData!$G$308),"",ReferenceData!$G$308),"")</f>
        <v/>
      </c>
      <c r="H308">
        <f ca="1">IFERROR(IF(0=LEN(ReferenceData!$H$308),"",ReferenceData!$H$308),"")</f>
        <v>6834.9002099999998</v>
      </c>
      <c r="I308">
        <f ca="1">IFERROR(IF(0=LEN(ReferenceData!$I$308),"",ReferenceData!$I$308),"")</f>
        <v>7582.0878210000001</v>
      </c>
      <c r="J308">
        <f ca="1">IFERROR(IF(0=LEN(ReferenceData!$J$308),"",ReferenceData!$J$308),"")</f>
        <v>7555.6011319999998</v>
      </c>
      <c r="K308">
        <f ca="1">IFERROR(IF(0=LEN(ReferenceData!$K$308),"",ReferenceData!$K$308),"")</f>
        <v>7518.6760050000003</v>
      </c>
      <c r="L308">
        <f ca="1">IFERROR(IF(0=LEN(ReferenceData!$L$308),"",ReferenceData!$L$308),"")</f>
        <v>6592.479765</v>
      </c>
      <c r="M308">
        <f ca="1">IFERROR(IF(0=LEN(ReferenceData!$M$308),"",ReferenceData!$M$308),"")</f>
        <v>6845.423992</v>
      </c>
      <c r="N308">
        <f ca="1">IFERROR(IF(0=LEN(ReferenceData!$N$308),"",ReferenceData!$N$308),"")</f>
        <v>6699.120962</v>
      </c>
      <c r="O308">
        <f ca="1">IFERROR(IF(0=LEN(ReferenceData!$O$308),"",ReferenceData!$O$308),"")</f>
        <v>6793.3520120000003</v>
      </c>
      <c r="P308">
        <f ca="1">IFERROR(IF(0=LEN(ReferenceData!$P$308),"",ReferenceData!$P$308),"")</f>
        <v>6102.2956910000003</v>
      </c>
      <c r="Q308">
        <f ca="1">IFERROR(IF(0=LEN(ReferenceData!$Q$308),"",ReferenceData!$Q$308),"")</f>
        <v>6228.3387439999997</v>
      </c>
      <c r="R308">
        <f ca="1">IFERROR(IF(0=LEN(ReferenceData!$R$308),"",ReferenceData!$R$308),"")</f>
        <v>5832.2302520000003</v>
      </c>
      <c r="S308">
        <f ca="1">IFERROR(IF(0=LEN(ReferenceData!$S$308),"",ReferenceData!$S$308),"")</f>
        <v>5894.7213190000002</v>
      </c>
      <c r="T308">
        <f ca="1">IFERROR(IF(0=LEN(ReferenceData!$T$308),"",ReferenceData!$T$308),"")</f>
        <v>4768.1222319999997</v>
      </c>
      <c r="U308">
        <f ca="1">IFERROR(IF(0=LEN(ReferenceData!$U$308),"",ReferenceData!$U$308),"")</f>
        <v>5752.2950289999999</v>
      </c>
      <c r="V308">
        <f ca="1">IFERROR(IF(0=LEN(ReferenceData!$V$308),"",ReferenceData!$V$308),"")</f>
        <v>5350.7455739999996</v>
      </c>
      <c r="W308">
        <f ca="1">IFERROR(IF(0=LEN(ReferenceData!$W$308),"",ReferenceData!$W$308),"")</f>
        <v>5376.3241559999997</v>
      </c>
      <c r="X308">
        <f ca="1">IFERROR(IF(0=LEN(ReferenceData!$X$308),"",ReferenceData!$X$308),"")</f>
        <v>4658.2068879999997</v>
      </c>
      <c r="Y308">
        <f ca="1">IFERROR(IF(0=LEN(ReferenceData!$Y$308),"",ReferenceData!$Y$308),"")</f>
        <v>4737.7791630000002</v>
      </c>
      <c r="Z308">
        <f ca="1">IFERROR(IF(0=LEN(ReferenceData!$Z$308),"",ReferenceData!$Z$308),"")</f>
        <v>4431.8650690000004</v>
      </c>
      <c r="AA308">
        <f ca="1">IFERROR(IF(0=LEN(ReferenceData!$AA$308),"",ReferenceData!$AA$308),"")</f>
        <v>4616.6708470000003</v>
      </c>
      <c r="AB308">
        <f ca="1">IFERROR(IF(0=LEN(ReferenceData!$AB$308),"",ReferenceData!$AB$308),"")</f>
        <v>3840.382537</v>
      </c>
      <c r="AC308">
        <f ca="1">IFERROR(IF(0=LEN(ReferenceData!$AC$308),"",ReferenceData!$AC$308),"")</f>
        <v>3882.2807929999999</v>
      </c>
      <c r="AD308">
        <f ca="1">IFERROR(IF(0=LEN(ReferenceData!$AD$308),"",ReferenceData!$AD$308),"")</f>
        <v>3411.3294139999998</v>
      </c>
      <c r="AE308">
        <f ca="1">IFERROR(IF(0=LEN(ReferenceData!$AE$308),"",ReferenceData!$AE$308),"")</f>
        <v>3445.8508280000001</v>
      </c>
      <c r="AF308">
        <f ca="1">IFERROR(IF(0=LEN(ReferenceData!$AF$308),"",ReferenceData!$AF$308),"")</f>
        <v>2754.473125</v>
      </c>
      <c r="AG308">
        <f ca="1">IFERROR(IF(0=LEN(ReferenceData!$AG$308),"",ReferenceData!$AG$308),"")</f>
        <v>2855.6549530000002</v>
      </c>
      <c r="AH308">
        <f ca="1">IFERROR(IF(0=LEN(ReferenceData!$AH$308),"",ReferenceData!$AH$308),"")</f>
        <v>2533.9159079999999</v>
      </c>
      <c r="AI308" t="str">
        <f ca="1">IFERROR(IF(0=LEN(ReferenceData!$AI$308),"",ReferenceData!$AI$308),"")</f>
        <v/>
      </c>
      <c r="AJ308">
        <f ca="1">IFERROR(IF(0=LEN(ReferenceData!$AJ$308),"",ReferenceData!$AJ$308),"")</f>
        <v>2243.704174</v>
      </c>
      <c r="AK308" t="str">
        <f ca="1">IFERROR(IF(0=LEN(ReferenceData!$AK$308),"",ReferenceData!$AK$308),"")</f>
        <v/>
      </c>
      <c r="AL308">
        <f ca="1">IFERROR(IF(0=LEN(ReferenceData!$AL$308),"",ReferenceData!$AL$308),"")</f>
        <v>1480.4639979999999</v>
      </c>
      <c r="AM308" t="str">
        <f ca="1">IFERROR(IF(0=LEN(ReferenceData!$AM$308),"",ReferenceData!$AM$308),"")</f>
        <v/>
      </c>
      <c r="AN308" t="str">
        <f ca="1">IFERROR(IF(0=LEN(ReferenceData!$AN$308),"",ReferenceData!$AN$308),"")</f>
        <v/>
      </c>
      <c r="AO308" t="str">
        <f ca="1">IFERROR(IF(0=LEN(ReferenceData!$AO$308),"",ReferenceData!$AO$308),"")</f>
        <v/>
      </c>
      <c r="AP308" t="str">
        <f ca="1">IFERROR(IF(0=LEN(ReferenceData!$AP$308),"",ReferenceData!$AP$308),"")</f>
        <v/>
      </c>
      <c r="AQ308" t="str">
        <f ca="1">IFERROR(IF(0=LEN(ReferenceData!$AQ$308),"",ReferenceData!$AQ$308),"")</f>
        <v/>
      </c>
      <c r="AR308" t="str">
        <f ca="1">IFERROR(IF(0=LEN(ReferenceData!$AR$308),"",ReferenceData!$AR$308),"")</f>
        <v/>
      </c>
      <c r="AS308" t="str">
        <f ca="1">IFERROR(IF(0=LEN(ReferenceData!$AS$308),"",ReferenceData!$AS$308),"")</f>
        <v/>
      </c>
      <c r="AT308" t="str">
        <f ca="1">IFERROR(IF(0=LEN(ReferenceData!$AT$308),"",ReferenceData!$AT$308),"")</f>
        <v/>
      </c>
      <c r="AU308" t="str">
        <f ca="1">IFERROR(IF(0=LEN(ReferenceData!$AU$308),"",ReferenceData!$AU$308),"")</f>
        <v/>
      </c>
      <c r="AV308" t="str">
        <f ca="1">IFERROR(IF(0=LEN(ReferenceData!$AV$308),"",ReferenceData!$AV$308),"")</f>
        <v/>
      </c>
      <c r="AW308" t="str">
        <f ca="1">IFERROR(IF(0=LEN(ReferenceData!$AW$308),"",ReferenceData!$AW$308),"")</f>
        <v/>
      </c>
      <c r="AX308" t="str">
        <f ca="1">IFERROR(IF(0=LEN(ReferenceData!$AX$308),"",ReferenceData!$AX$308),"")</f>
        <v/>
      </c>
      <c r="AY308" t="str">
        <f ca="1">IFERROR(IF(0=LEN(ReferenceData!$AY$308),"",ReferenceData!$AY$308),"")</f>
        <v/>
      </c>
      <c r="AZ308" t="str">
        <f ca="1">IFERROR(IF(0=LEN(ReferenceData!$AZ$308),"",ReferenceData!$AZ$308),"")</f>
        <v/>
      </c>
      <c r="BA308" t="str">
        <f ca="1">IFERROR(IF(0=LEN(ReferenceData!$BA$308),"",ReferenceData!$BA$308),"")</f>
        <v/>
      </c>
      <c r="BB308" t="str">
        <f ca="1">IFERROR(IF(0=LEN(ReferenceData!$BB$308),"",ReferenceData!$BB$308),"")</f>
        <v/>
      </c>
      <c r="BC308" t="str">
        <f ca="1">IFERROR(IF(0=LEN(ReferenceData!$BC$308),"",ReferenceData!$BC$308),"")</f>
        <v/>
      </c>
      <c r="BD308" t="str">
        <f ca="1">IFERROR(IF(0=LEN(ReferenceData!$BD$308),"",ReferenceData!$BD$308),"")</f>
        <v/>
      </c>
      <c r="BE308" t="str">
        <f ca="1">IFERROR(IF(0=LEN(ReferenceData!$BE$308),"",ReferenceData!$BE$308),"")</f>
        <v/>
      </c>
      <c r="BF308" t="str">
        <f ca="1">IFERROR(IF(0=LEN(ReferenceData!$BF$308),"",ReferenceData!$BF$308),"")</f>
        <v/>
      </c>
      <c r="BG308" t="str">
        <f ca="1">IFERROR(IF(0=LEN(ReferenceData!$BG$308),"",ReferenceData!$BG$308),"")</f>
        <v/>
      </c>
      <c r="BH308" t="str">
        <f ca="1">IFERROR(IF(0=LEN(ReferenceData!$BH$308),"",ReferenceData!$BH$308),"")</f>
        <v/>
      </c>
      <c r="BI308" t="str">
        <f ca="1">IFERROR(IF(0=LEN(ReferenceData!$BI$308),"",ReferenceData!$BI$308),"")</f>
        <v/>
      </c>
      <c r="BJ308" t="str">
        <f ca="1">IFERROR(IF(0=LEN(ReferenceData!$BJ$308),"",ReferenceData!$BJ$308),"")</f>
        <v/>
      </c>
      <c r="BK308" t="str">
        <f ca="1">IFERROR(IF(0=LEN(ReferenceData!$BK$308),"",ReferenceData!$BK$308),"")</f>
        <v/>
      </c>
      <c r="BL308" t="str">
        <f ca="1">IFERROR(IF(0=LEN(ReferenceData!$BL$308),"",ReferenceData!$BL$308),"")</f>
        <v/>
      </c>
      <c r="BM308" t="str">
        <f ca="1">IFERROR(IF(0=LEN(ReferenceData!$BM$308),"",ReferenceData!$BM$308),"")</f>
        <v/>
      </c>
    </row>
    <row r="309" spans="1:65" x14ac:dyDescent="0.25">
      <c r="A309" t="str">
        <f>IFERROR(IF(0=LEN(ReferenceData!$A$309),"",ReferenceData!$A$309),"")</f>
        <v xml:space="preserve">    Guangzhou Automobile Group Co Ltd</v>
      </c>
      <c r="B309" t="str">
        <f>IFERROR(IF(0=LEN(ReferenceData!$B$309),"",ReferenceData!$B$309),"")</f>
        <v>2238 HK Equity</v>
      </c>
      <c r="C309" t="str">
        <f>IFERROR(IF(0=LEN(ReferenceData!$C$309),"",ReferenceData!$C$309),"")</f>
        <v>RR179</v>
      </c>
      <c r="D309" t="str">
        <f>IFERROR(IF(0=LEN(ReferenceData!$D$309),"",ReferenceData!$D$309),"")</f>
        <v>TANGIBLE_COMMON_EQUITY</v>
      </c>
      <c r="E309" t="str">
        <f>IFERROR(IF(0=LEN(ReferenceData!$E$309),"",ReferenceData!$E$309),"")</f>
        <v>Dynamic</v>
      </c>
      <c r="F309" t="str">
        <f ca="1">IFERROR(IF(0=LEN(ReferenceData!$F$309),"",ReferenceData!$F$309),"")</f>
        <v/>
      </c>
      <c r="G309" t="str">
        <f ca="1">IFERROR(IF(0=LEN(ReferenceData!$G$309),"",ReferenceData!$G$309),"")</f>
        <v/>
      </c>
      <c r="H309">
        <f ca="1">IFERROR(IF(0=LEN(ReferenceData!$H$309),"",ReferenceData!$H$309),"")</f>
        <v>9385.7006569999994</v>
      </c>
      <c r="I309">
        <f ca="1">IFERROR(IF(0=LEN(ReferenceData!$I$309),"",ReferenceData!$I$309),"")</f>
        <v>10089.355879999999</v>
      </c>
      <c r="J309">
        <f ca="1">IFERROR(IF(0=LEN(ReferenceData!$J$309),"",ReferenceData!$J$309),"")</f>
        <v>10059.786980000001</v>
      </c>
      <c r="K309">
        <f ca="1">IFERROR(IF(0=LEN(ReferenceData!$K$309),"",ReferenceData!$K$309),"")</f>
        <v>9764.0574500000002</v>
      </c>
      <c r="L309">
        <f ca="1">IFERROR(IF(0=LEN(ReferenceData!$L$309),"",ReferenceData!$L$309),"")</f>
        <v>6505.4755830000004</v>
      </c>
      <c r="M309">
        <f ca="1">IFERROR(IF(0=LEN(ReferenceData!$M$309),"",ReferenceData!$M$309),"")</f>
        <v>6552.7529219999997</v>
      </c>
      <c r="N309">
        <f ca="1">IFERROR(IF(0=LEN(ReferenceData!$N$309),"",ReferenceData!$N$309),"")</f>
        <v>5773.8677209999996</v>
      </c>
      <c r="O309">
        <f ca="1">IFERROR(IF(0=LEN(ReferenceData!$O$309),"",ReferenceData!$O$309),"")</f>
        <v>5548.5831980000003</v>
      </c>
      <c r="P309">
        <f ca="1">IFERROR(IF(0=LEN(ReferenceData!$P$309),"",ReferenceData!$P$309),"")</f>
        <v>5758.5543729999999</v>
      </c>
      <c r="Q309">
        <f ca="1">IFERROR(IF(0=LEN(ReferenceData!$Q$309),"",ReferenceData!$Q$309),"")</f>
        <v>5549.5712350000003</v>
      </c>
      <c r="R309">
        <f ca="1">IFERROR(IF(0=LEN(ReferenceData!$R$309),"",ReferenceData!$R$309),"")</f>
        <v>5285.2510419999999</v>
      </c>
      <c r="S309">
        <f ca="1">IFERROR(IF(0=LEN(ReferenceData!$S$309),"",ReferenceData!$S$309),"")</f>
        <v>5208.2184399999996</v>
      </c>
      <c r="T309">
        <f ca="1">IFERROR(IF(0=LEN(ReferenceData!$T$309),"",ReferenceData!$T$309),"")</f>
        <v>4839.645845</v>
      </c>
      <c r="U309">
        <f ca="1">IFERROR(IF(0=LEN(ReferenceData!$U$309),"",ReferenceData!$U$309),"")</f>
        <v>5200.9069799999997</v>
      </c>
      <c r="V309">
        <f ca="1">IFERROR(IF(0=LEN(ReferenceData!$V$309),"",ReferenceData!$V$309),"")</f>
        <v>4865.5570390000003</v>
      </c>
      <c r="W309">
        <f ca="1">IFERROR(IF(0=LEN(ReferenceData!$W$309),"",ReferenceData!$W$309),"")</f>
        <v>5054.7448899999999</v>
      </c>
      <c r="X309">
        <f ca="1">IFERROR(IF(0=LEN(ReferenceData!$X$309),"",ReferenceData!$X$309),"")</f>
        <v>4796.6829280000002</v>
      </c>
      <c r="Y309">
        <f ca="1">IFERROR(IF(0=LEN(ReferenceData!$Y$309),"",ReferenceData!$Y$309),"")</f>
        <v>5011.4597469999999</v>
      </c>
      <c r="Z309">
        <f ca="1">IFERROR(IF(0=LEN(ReferenceData!$Z$309),"",ReferenceData!$Z$309),"")</f>
        <v>4767.4810889999999</v>
      </c>
      <c r="AA309">
        <f ca="1">IFERROR(IF(0=LEN(ReferenceData!$AA$309),"",ReferenceData!$AA$309),"")</f>
        <v>4989.2228420000001</v>
      </c>
      <c r="AB309">
        <f ca="1">IFERROR(IF(0=LEN(ReferenceData!$AB$309),"",ReferenceData!$AB$309),"")</f>
        <v>4648.6806319999996</v>
      </c>
      <c r="AC309">
        <f ca="1">IFERROR(IF(0=LEN(ReferenceData!$AC$309),"",ReferenceData!$AC$309),"")</f>
        <v>4731.9898229999999</v>
      </c>
      <c r="AD309">
        <f ca="1">IFERROR(IF(0=LEN(ReferenceData!$AD$309),"",ReferenceData!$AD$309),"")</f>
        <v>4414.8384020000003</v>
      </c>
      <c r="AE309">
        <f ca="1">IFERROR(IF(0=LEN(ReferenceData!$AE$309),"",ReferenceData!$AE$309),"")</f>
        <v>4496.5446199999997</v>
      </c>
      <c r="AF309">
        <f ca="1">IFERROR(IF(0=LEN(ReferenceData!$AF$309),"",ReferenceData!$AF$309),"")</f>
        <v>4413.1975759999996</v>
      </c>
      <c r="AG309">
        <f ca="1">IFERROR(IF(0=LEN(ReferenceData!$AG$309),"",ReferenceData!$AG$309),"")</f>
        <v>4609.2913680000001</v>
      </c>
      <c r="AH309">
        <f ca="1">IFERROR(IF(0=LEN(ReferenceData!$AH$309),"",ReferenceData!$AH$309),"")</f>
        <v>3963.7974730000001</v>
      </c>
      <c r="AI309">
        <f ca="1">IFERROR(IF(0=LEN(ReferenceData!$AI$309),"",ReferenceData!$AI$309),"")</f>
        <v>4271.307847</v>
      </c>
      <c r="AJ309">
        <f ca="1">IFERROR(IF(0=LEN(ReferenceData!$AJ$309),"",ReferenceData!$AJ$309),"")</f>
        <v>3813.4847479999999</v>
      </c>
      <c r="AK309">
        <f ca="1">IFERROR(IF(0=LEN(ReferenceData!$AK$309),"",ReferenceData!$AK$309),"")</f>
        <v>3684.345722</v>
      </c>
      <c r="AL309">
        <f ca="1">IFERROR(IF(0=LEN(ReferenceData!$AL$309),"",ReferenceData!$AL$309),"")</f>
        <v>3800.102609</v>
      </c>
      <c r="AM309">
        <f ca="1">IFERROR(IF(0=LEN(ReferenceData!$AM$309),"",ReferenceData!$AM$309),"")</f>
        <v>3662.966105</v>
      </c>
      <c r="AN309">
        <f ca="1">IFERROR(IF(0=LEN(ReferenceData!$AN$309),"",ReferenceData!$AN$309),"")</f>
        <v>3540.4363800000001</v>
      </c>
      <c r="AO309">
        <f ca="1">IFERROR(IF(0=LEN(ReferenceData!$AO$309),"",ReferenceData!$AO$309),"")</f>
        <v>2052.084922</v>
      </c>
      <c r="AP309">
        <f ca="1">IFERROR(IF(0=LEN(ReferenceData!$AP$309),"",ReferenceData!$AP$309),"")</f>
        <v>1912.4210419999999</v>
      </c>
      <c r="AQ309">
        <f ca="1">IFERROR(IF(0=LEN(ReferenceData!$AQ$309),"",ReferenceData!$AQ$309),"")</f>
        <v>1808.367191</v>
      </c>
      <c r="AR309">
        <f ca="1">IFERROR(IF(0=LEN(ReferenceData!$AR$309),"",ReferenceData!$AR$309),"")</f>
        <v>1649.1066920000001</v>
      </c>
      <c r="AS309">
        <f ca="1">IFERROR(IF(0=LEN(ReferenceData!$AS$309),"",ReferenceData!$AS$309),"")</f>
        <v>1666.754938</v>
      </c>
      <c r="AT309">
        <f ca="1">IFERROR(IF(0=LEN(ReferenceData!$AT$309),"",ReferenceData!$AT$309),"")</f>
        <v>1609.137559</v>
      </c>
      <c r="AU309" t="str">
        <f ca="1">IFERROR(IF(0=LEN(ReferenceData!$AU$309),"",ReferenceData!$AU$309),"")</f>
        <v/>
      </c>
      <c r="AV309" t="str">
        <f ca="1">IFERROR(IF(0=LEN(ReferenceData!$AV$309),"",ReferenceData!$AV$309),"")</f>
        <v/>
      </c>
      <c r="AW309" t="str">
        <f ca="1">IFERROR(IF(0=LEN(ReferenceData!$AW$309),"",ReferenceData!$AW$309),"")</f>
        <v/>
      </c>
      <c r="AX309" t="str">
        <f ca="1">IFERROR(IF(0=LEN(ReferenceData!$AX$309),"",ReferenceData!$AX$309),"")</f>
        <v/>
      </c>
      <c r="AY309" t="str">
        <f ca="1">IFERROR(IF(0=LEN(ReferenceData!$AY$309),"",ReferenceData!$AY$309),"")</f>
        <v/>
      </c>
      <c r="AZ309" t="str">
        <f ca="1">IFERROR(IF(0=LEN(ReferenceData!$AZ$309),"",ReferenceData!$AZ$309),"")</f>
        <v/>
      </c>
      <c r="BA309" t="str">
        <f ca="1">IFERROR(IF(0=LEN(ReferenceData!$BA$309),"",ReferenceData!$BA$309),"")</f>
        <v/>
      </c>
      <c r="BB309" t="str">
        <f ca="1">IFERROR(IF(0=LEN(ReferenceData!$BB$309),"",ReferenceData!$BB$309),"")</f>
        <v/>
      </c>
      <c r="BC309" t="str">
        <f ca="1">IFERROR(IF(0=LEN(ReferenceData!$BC$309),"",ReferenceData!$BC$309),"")</f>
        <v/>
      </c>
      <c r="BD309" t="str">
        <f ca="1">IFERROR(IF(0=LEN(ReferenceData!$BD$309),"",ReferenceData!$BD$309),"")</f>
        <v/>
      </c>
      <c r="BE309" t="str">
        <f ca="1">IFERROR(IF(0=LEN(ReferenceData!$BE$309),"",ReferenceData!$BE$309),"")</f>
        <v/>
      </c>
      <c r="BF309" t="str">
        <f ca="1">IFERROR(IF(0=LEN(ReferenceData!$BF$309),"",ReferenceData!$BF$309),"")</f>
        <v/>
      </c>
      <c r="BG309" t="str">
        <f ca="1">IFERROR(IF(0=LEN(ReferenceData!$BG$309),"",ReferenceData!$BG$309),"")</f>
        <v/>
      </c>
      <c r="BH309" t="str">
        <f ca="1">IFERROR(IF(0=LEN(ReferenceData!$BH$309),"",ReferenceData!$BH$309),"")</f>
        <v/>
      </c>
      <c r="BI309" t="str">
        <f ca="1">IFERROR(IF(0=LEN(ReferenceData!$BI$309),"",ReferenceData!$BI$309),"")</f>
        <v/>
      </c>
      <c r="BJ309" t="str">
        <f ca="1">IFERROR(IF(0=LEN(ReferenceData!$BJ$309),"",ReferenceData!$BJ$309),"")</f>
        <v/>
      </c>
      <c r="BK309" t="str">
        <f ca="1">IFERROR(IF(0=LEN(ReferenceData!$BK$309),"",ReferenceData!$BK$309),"")</f>
        <v/>
      </c>
      <c r="BL309" t="str">
        <f ca="1">IFERROR(IF(0=LEN(ReferenceData!$BL$309),"",ReferenceData!$BL$309),"")</f>
        <v/>
      </c>
      <c r="BM309" t="str">
        <f ca="1">IFERROR(IF(0=LEN(ReferenceData!$BM$309),"",ReferenceData!$BM$309),"")</f>
        <v/>
      </c>
    </row>
    <row r="310" spans="1:65" x14ac:dyDescent="0.25">
      <c r="A310" t="str">
        <f>IFERROR(IF(0=LEN(ReferenceData!$A$310),"",ReferenceData!$A$310),"")</f>
        <v xml:space="preserve">    Honda Motor Co Ltd</v>
      </c>
      <c r="B310" t="str">
        <f>IFERROR(IF(0=LEN(ReferenceData!$B$310),"",ReferenceData!$B$310),"")</f>
        <v>7267 JP Equity</v>
      </c>
      <c r="C310" t="str">
        <f>IFERROR(IF(0=LEN(ReferenceData!$C$310),"",ReferenceData!$C$310),"")</f>
        <v>RR179</v>
      </c>
      <c r="D310" t="str">
        <f>IFERROR(IF(0=LEN(ReferenceData!$D$310),"",ReferenceData!$D$310),"")</f>
        <v>TANGIBLE_COMMON_EQUITY</v>
      </c>
      <c r="E310" t="str">
        <f>IFERROR(IF(0=LEN(ReferenceData!$E$310),"",ReferenceData!$E$310),"")</f>
        <v>Dynamic</v>
      </c>
      <c r="F310" t="str">
        <f ca="1">IFERROR(IF(0=LEN(ReferenceData!$F$310),"",ReferenceData!$F$310),"")</f>
        <v/>
      </c>
      <c r="G310">
        <f ca="1">IFERROR(IF(0=LEN(ReferenceData!$G$310),"",ReferenceData!$G$310),"")</f>
        <v>68777.074590000004</v>
      </c>
      <c r="H310">
        <f ca="1">IFERROR(IF(0=LEN(ReferenceData!$H$310),"",ReferenceData!$H$310),"")</f>
        <v>67092.995590000006</v>
      </c>
      <c r="I310">
        <f ca="1">IFERROR(IF(0=LEN(ReferenceData!$I$310),"",ReferenceData!$I$310),"")</f>
        <v>66504.152369999996</v>
      </c>
      <c r="J310">
        <f ca="1">IFERROR(IF(0=LEN(ReferenceData!$J$310),"",ReferenceData!$J$310),"")</f>
        <v>67708.755409999998</v>
      </c>
      <c r="K310">
        <f ca="1">IFERROR(IF(0=LEN(ReferenceData!$K$310),"",ReferenceData!$K$310),"")</f>
        <v>65742.769589999996</v>
      </c>
      <c r="L310">
        <f ca="1">IFERROR(IF(0=LEN(ReferenceData!$L$310),"",ReferenceData!$L$310),"")</f>
        <v>61590.134969999999</v>
      </c>
      <c r="M310">
        <f ca="1">IFERROR(IF(0=LEN(ReferenceData!$M$310),"",ReferenceData!$M$310),"")</f>
        <v>59694.543839999998</v>
      </c>
      <c r="N310">
        <f ca="1">IFERROR(IF(0=LEN(ReferenceData!$N$310),"",ReferenceData!$N$310),"")</f>
        <v>58549.133049999997</v>
      </c>
      <c r="O310">
        <f ca="1">IFERROR(IF(0=LEN(ReferenceData!$O$310),"",ReferenceData!$O$310),"")</f>
        <v>55782.073049999999</v>
      </c>
      <c r="P310">
        <f ca="1">IFERROR(IF(0=LEN(ReferenceData!$P$310),"",ReferenceData!$P$310),"")</f>
        <v>56828.255940000003</v>
      </c>
      <c r="Q310">
        <f ca="1">IFERROR(IF(0=LEN(ReferenceData!$Q$310),"",ReferenceData!$Q$310),"")</f>
        <v>55145.266009999999</v>
      </c>
      <c r="R310">
        <f ca="1">IFERROR(IF(0=LEN(ReferenceData!$R$310),"",ReferenceData!$R$310),"")</f>
        <v>52768.83556</v>
      </c>
      <c r="S310">
        <f ca="1">IFERROR(IF(0=LEN(ReferenceData!$S$310),"",ReferenceData!$S$310),"")</f>
        <v>53430.124790000002</v>
      </c>
      <c r="T310">
        <f ca="1">IFERROR(IF(0=LEN(ReferenceData!$T$310),"",ReferenceData!$T$310),"")</f>
        <v>53004.545830000003</v>
      </c>
      <c r="U310">
        <f ca="1">IFERROR(IF(0=LEN(ReferenceData!$U$310),"",ReferenceData!$U$310),"")</f>
        <v>53713.093679999998</v>
      </c>
      <c r="V310">
        <f ca="1">IFERROR(IF(0=LEN(ReferenceData!$V$310),"",ReferenceData!$V$310),"")</f>
        <v>56077.115460000001</v>
      </c>
      <c r="W310" t="str">
        <f ca="1">IFERROR(IF(0=LEN(ReferenceData!$W$310),"",ReferenceData!$W$310),"")</f>
        <v/>
      </c>
      <c r="X310" t="str">
        <f ca="1">IFERROR(IF(0=LEN(ReferenceData!$X$310),"",ReferenceData!$X$310),"")</f>
        <v/>
      </c>
      <c r="Y310" t="str">
        <f ca="1">IFERROR(IF(0=LEN(ReferenceData!$Y$310),"",ReferenceData!$Y$310),"")</f>
        <v/>
      </c>
      <c r="Z310">
        <f ca="1">IFERROR(IF(0=LEN(ReferenceData!$Z$310),"",ReferenceData!$Z$310),"")</f>
        <v>57315.804790000002</v>
      </c>
      <c r="AA310" t="str">
        <f ca="1">IFERROR(IF(0=LEN(ReferenceData!$AA$310),"",ReferenceData!$AA$310),"")</f>
        <v/>
      </c>
      <c r="AB310" t="str">
        <f ca="1">IFERROR(IF(0=LEN(ReferenceData!$AB$310),"",ReferenceData!$AB$310),"")</f>
        <v/>
      </c>
      <c r="AC310" t="str">
        <f ca="1">IFERROR(IF(0=LEN(ReferenceData!$AC$310),"",ReferenceData!$AC$310),"")</f>
        <v/>
      </c>
      <c r="AD310">
        <f ca="1">IFERROR(IF(0=LEN(ReferenceData!$AD$310),"",ReferenceData!$AD$310),"")</f>
        <v>53355.773719999997</v>
      </c>
      <c r="AE310" t="str">
        <f ca="1">IFERROR(IF(0=LEN(ReferenceData!$AE$310),"",ReferenceData!$AE$310),"")</f>
        <v/>
      </c>
      <c r="AF310" t="str">
        <f ca="1">IFERROR(IF(0=LEN(ReferenceData!$AF$310),"",ReferenceData!$AF$310),"")</f>
        <v/>
      </c>
      <c r="AG310" t="str">
        <f ca="1">IFERROR(IF(0=LEN(ReferenceData!$AG$310),"",ReferenceData!$AG$310),"")</f>
        <v/>
      </c>
      <c r="AH310">
        <f ca="1">IFERROR(IF(0=LEN(ReferenceData!$AH$310),"",ReferenceData!$AH$310),"")</f>
        <v>53154.88321</v>
      </c>
      <c r="AI310" t="str">
        <f ca="1">IFERROR(IF(0=LEN(ReferenceData!$AI$310),"",ReferenceData!$AI$310),"")</f>
        <v/>
      </c>
      <c r="AJ310" t="str">
        <f ca="1">IFERROR(IF(0=LEN(ReferenceData!$AJ$310),"",ReferenceData!$AJ$310),"")</f>
        <v/>
      </c>
      <c r="AK310" t="str">
        <f ca="1">IFERROR(IF(0=LEN(ReferenceData!$AK$310),"",ReferenceData!$AK$310),"")</f>
        <v/>
      </c>
      <c r="AL310">
        <f ca="1">IFERROR(IF(0=LEN(ReferenceData!$AL$310),"",ReferenceData!$AL$310),"")</f>
        <v>53579.222500000003</v>
      </c>
      <c r="AM310" t="str">
        <f ca="1">IFERROR(IF(0=LEN(ReferenceData!$AM$310),"",ReferenceData!$AM$310),"")</f>
        <v/>
      </c>
      <c r="AN310" t="str">
        <f ca="1">IFERROR(IF(0=LEN(ReferenceData!$AN$310),"",ReferenceData!$AN$310),"")</f>
        <v/>
      </c>
      <c r="AO310" t="str">
        <f ca="1">IFERROR(IF(0=LEN(ReferenceData!$AO$310),"",ReferenceData!$AO$310),"")</f>
        <v/>
      </c>
      <c r="AP310">
        <f ca="1">IFERROR(IF(0=LEN(ReferenceData!$AP$310),"",ReferenceData!$AP$310),"")</f>
        <v>46196.254280000001</v>
      </c>
      <c r="AQ310" t="str">
        <f ca="1">IFERROR(IF(0=LEN(ReferenceData!$AQ$310),"",ReferenceData!$AQ$310),"")</f>
        <v/>
      </c>
      <c r="AR310" t="str">
        <f ca="1">IFERROR(IF(0=LEN(ReferenceData!$AR$310),"",ReferenceData!$AR$310),"")</f>
        <v/>
      </c>
      <c r="AS310" t="str">
        <f ca="1">IFERROR(IF(0=LEN(ReferenceData!$AS$310),"",ReferenceData!$AS$310),"")</f>
        <v/>
      </c>
      <c r="AT310">
        <f ca="1">IFERROR(IF(0=LEN(ReferenceData!$AT$310),"",ReferenceData!$AT$310),"")</f>
        <v>40213.356820000001</v>
      </c>
      <c r="AU310" t="str">
        <f ca="1">IFERROR(IF(0=LEN(ReferenceData!$AU$310),"",ReferenceData!$AU$310),"")</f>
        <v/>
      </c>
      <c r="AV310" t="str">
        <f ca="1">IFERROR(IF(0=LEN(ReferenceData!$AV$310),"",ReferenceData!$AV$310),"")</f>
        <v/>
      </c>
      <c r="AW310" t="str">
        <f ca="1">IFERROR(IF(0=LEN(ReferenceData!$AW$310),"",ReferenceData!$AW$310),"")</f>
        <v/>
      </c>
      <c r="AX310" t="str">
        <f ca="1">IFERROR(IF(0=LEN(ReferenceData!$AX$310),"",ReferenceData!$AX$310),"")</f>
        <v/>
      </c>
      <c r="AY310" t="str">
        <f ca="1">IFERROR(IF(0=LEN(ReferenceData!$AY$310),"",ReferenceData!$AY$310),"")</f>
        <v/>
      </c>
      <c r="AZ310" t="str">
        <f ca="1">IFERROR(IF(0=LEN(ReferenceData!$AZ$310),"",ReferenceData!$AZ$310),"")</f>
        <v/>
      </c>
      <c r="BA310" t="str">
        <f ca="1">IFERROR(IF(0=LEN(ReferenceData!$BA$310),"",ReferenceData!$BA$310),"")</f>
        <v/>
      </c>
      <c r="BB310" t="str">
        <f ca="1">IFERROR(IF(0=LEN(ReferenceData!$BB$310),"",ReferenceData!$BB$310),"")</f>
        <v/>
      </c>
      <c r="BC310" t="str">
        <f ca="1">IFERROR(IF(0=LEN(ReferenceData!$BC$310),"",ReferenceData!$BC$310),"")</f>
        <v/>
      </c>
      <c r="BD310" t="str">
        <f ca="1">IFERROR(IF(0=LEN(ReferenceData!$BD$310),"",ReferenceData!$BD$310),"")</f>
        <v/>
      </c>
      <c r="BE310" t="str">
        <f ca="1">IFERROR(IF(0=LEN(ReferenceData!$BE$310),"",ReferenceData!$BE$310),"")</f>
        <v/>
      </c>
      <c r="BF310">
        <f ca="1">IFERROR(IF(0=LEN(ReferenceData!$BF$310),"",ReferenceData!$BF$310),"")</f>
        <v>34874.885110000003</v>
      </c>
      <c r="BG310" t="str">
        <f ca="1">IFERROR(IF(0=LEN(ReferenceData!$BG$310),"",ReferenceData!$BG$310),"")</f>
        <v/>
      </c>
      <c r="BH310" t="str">
        <f ca="1">IFERROR(IF(0=LEN(ReferenceData!$BH$310),"",ReferenceData!$BH$310),"")</f>
        <v/>
      </c>
      <c r="BI310" t="str">
        <f ca="1">IFERROR(IF(0=LEN(ReferenceData!$BI$310),"",ReferenceData!$BI$310),"")</f>
        <v/>
      </c>
      <c r="BJ310" t="str">
        <f ca="1">IFERROR(IF(0=LEN(ReferenceData!$BJ$310),"",ReferenceData!$BJ$310),"")</f>
        <v/>
      </c>
      <c r="BK310" t="str">
        <f ca="1">IFERROR(IF(0=LEN(ReferenceData!$BK$310),"",ReferenceData!$BK$310),"")</f>
        <v/>
      </c>
      <c r="BL310" t="str">
        <f ca="1">IFERROR(IF(0=LEN(ReferenceData!$BL$310),"",ReferenceData!$BL$310),"")</f>
        <v/>
      </c>
      <c r="BM310" t="str">
        <f ca="1">IFERROR(IF(0=LEN(ReferenceData!$BM$310),"",ReferenceData!$BM$310),"")</f>
        <v/>
      </c>
    </row>
    <row r="311" spans="1:65" x14ac:dyDescent="0.25">
      <c r="A311" t="str">
        <f>IFERROR(IF(0=LEN(ReferenceData!$A$311),"",ReferenceData!$A$311),"")</f>
        <v xml:space="preserve">    Hyundai Motor Co</v>
      </c>
      <c r="B311" t="str">
        <f>IFERROR(IF(0=LEN(ReferenceData!$B$311),"",ReferenceData!$B$311),"")</f>
        <v>005380 KS Equity</v>
      </c>
      <c r="C311" t="str">
        <f>IFERROR(IF(0=LEN(ReferenceData!$C$311),"",ReferenceData!$C$311),"")</f>
        <v>RR179</v>
      </c>
      <c r="D311" t="str">
        <f>IFERROR(IF(0=LEN(ReferenceData!$D$311),"",ReferenceData!$D$311),"")</f>
        <v>TANGIBLE_COMMON_EQUITY</v>
      </c>
      <c r="E311" t="str">
        <f>IFERROR(IF(0=LEN(ReferenceData!$E$311),"",ReferenceData!$E$311),"")</f>
        <v>Dynamic</v>
      </c>
      <c r="F311" t="str">
        <f ca="1">IFERROR(IF(0=LEN(ReferenceData!$F$311),"",ReferenceData!$F$311),"")</f>
        <v/>
      </c>
      <c r="G311" t="str">
        <f ca="1">IFERROR(IF(0=LEN(ReferenceData!$G$311),"",ReferenceData!$G$311),"")</f>
        <v/>
      </c>
      <c r="H311">
        <f ca="1">IFERROR(IF(0=LEN(ReferenceData!$H$311),"",ReferenceData!$H$311),"")</f>
        <v>57519.917289999998</v>
      </c>
      <c r="I311">
        <f ca="1">IFERROR(IF(0=LEN(ReferenceData!$I$311),"",ReferenceData!$I$311),"")</f>
        <v>57643.027289999998</v>
      </c>
      <c r="J311">
        <f ca="1">IFERROR(IF(0=LEN(ReferenceData!$J$311),"",ReferenceData!$J$311),"")</f>
        <v>60150.018380000001</v>
      </c>
      <c r="K311">
        <f ca="1">IFERROR(IF(0=LEN(ReferenceData!$K$311),"",ReferenceData!$K$311),"")</f>
        <v>59927.050170000002</v>
      </c>
      <c r="L311">
        <f ca="1">IFERROR(IF(0=LEN(ReferenceData!$L$311),"",ReferenceData!$L$311),"")</f>
        <v>56095.87659</v>
      </c>
      <c r="M311">
        <f ca="1">IFERROR(IF(0=LEN(ReferenceData!$M$311),"",ReferenceData!$M$311),"")</f>
        <v>55474.279139999999</v>
      </c>
      <c r="N311">
        <f ca="1">IFERROR(IF(0=LEN(ReferenceData!$N$311),"",ReferenceData!$N$311),"")</f>
        <v>55247.515189999998</v>
      </c>
      <c r="O311">
        <f ca="1">IFERROR(IF(0=LEN(ReferenceData!$O$311),"",ReferenceData!$O$311),"")</f>
        <v>51550.488830000002</v>
      </c>
      <c r="P311">
        <f ca="1">IFERROR(IF(0=LEN(ReferenceData!$P$311),"",ReferenceData!$P$311),"")</f>
        <v>54195.819539999997</v>
      </c>
      <c r="Q311">
        <f ca="1">IFERROR(IF(0=LEN(ReferenceData!$Q$311),"",ReferenceData!$Q$311),"")</f>
        <v>51676.314919999997</v>
      </c>
      <c r="R311">
        <f ca="1">IFERROR(IF(0=LEN(ReferenceData!$R$311),"",ReferenceData!$R$311),"")</f>
        <v>50840.347040000001</v>
      </c>
      <c r="S311">
        <f ca="1">IFERROR(IF(0=LEN(ReferenceData!$S$311),"",ReferenceData!$S$311),"")</f>
        <v>48810.547930000001</v>
      </c>
      <c r="T311">
        <f ca="1">IFERROR(IF(0=LEN(ReferenceData!$T$311),"",ReferenceData!$T$311),"")</f>
        <v>48138.818120000004</v>
      </c>
      <c r="U311">
        <f ca="1">IFERROR(IF(0=LEN(ReferenceData!$U$311),"",ReferenceData!$U$311),"")</f>
        <v>50031.92856</v>
      </c>
      <c r="V311">
        <f ca="1">IFERROR(IF(0=LEN(ReferenceData!$V$311),"",ReferenceData!$V$311),"")</f>
        <v>48578.325770000003</v>
      </c>
      <c r="W311">
        <f ca="1">IFERROR(IF(0=LEN(ReferenceData!$W$311),"",ReferenceData!$W$311),"")</f>
        <v>48945.349009999998</v>
      </c>
      <c r="X311">
        <f ca="1">IFERROR(IF(0=LEN(ReferenceData!$X$311),"",ReferenceData!$X$311),"")</f>
        <v>49950.281660000001</v>
      </c>
      <c r="Y311">
        <f ca="1">IFERROR(IF(0=LEN(ReferenceData!$Y$311),"",ReferenceData!$Y$311),"")</f>
        <v>50684.933210000003</v>
      </c>
      <c r="Z311">
        <f ca="1">IFERROR(IF(0=LEN(ReferenceData!$Z$311),"",ReferenceData!$Z$311),"")</f>
        <v>46797.51384</v>
      </c>
      <c r="AA311">
        <f ca="1">IFERROR(IF(0=LEN(ReferenceData!$AA$311),"",ReferenceData!$AA$311),"")</f>
        <v>46037.881939999999</v>
      </c>
      <c r="AB311">
        <f ca="1">IFERROR(IF(0=LEN(ReferenceData!$AB$311),"",ReferenceData!$AB$311),"")</f>
        <v>43297.012219999997</v>
      </c>
      <c r="AC311">
        <f ca="1">IFERROR(IF(0=LEN(ReferenceData!$AC$311),"",ReferenceData!$AC$311),"")</f>
        <v>39494.300470000002</v>
      </c>
      <c r="AD311">
        <f ca="1">IFERROR(IF(0=LEN(ReferenceData!$AD$311),"",ReferenceData!$AD$311),"")</f>
        <v>38170.732060000002</v>
      </c>
      <c r="AE311">
        <f ca="1">IFERROR(IF(0=LEN(ReferenceData!$AE$311),"",ReferenceData!$AE$311),"")</f>
        <v>38378.218569999997</v>
      </c>
      <c r="AF311">
        <f ca="1">IFERROR(IF(0=LEN(ReferenceData!$AF$311),"",ReferenceData!$AF$311),"")</f>
        <v>35955.18664</v>
      </c>
      <c r="AG311">
        <f ca="1">IFERROR(IF(0=LEN(ReferenceData!$AG$311),"",ReferenceData!$AG$311),"")</f>
        <v>33418.383390000003</v>
      </c>
      <c r="AH311">
        <f ca="1">IFERROR(IF(0=LEN(ReferenceData!$AH$311),"",ReferenceData!$AH$311),"")</f>
        <v>31757.202529999999</v>
      </c>
      <c r="AI311">
        <f ca="1">IFERROR(IF(0=LEN(ReferenceData!$AI$311),"",ReferenceData!$AI$311),"")</f>
        <v>29444.887129999999</v>
      </c>
      <c r="AJ311">
        <f ca="1">IFERROR(IF(0=LEN(ReferenceData!$AJ$311),"",ReferenceData!$AJ$311),"")</f>
        <v>27497.734219999998</v>
      </c>
      <c r="AK311">
        <f ca="1">IFERROR(IF(0=LEN(ReferenceData!$AK$311),"",ReferenceData!$AK$311),"")</f>
        <v>28756.807540000002</v>
      </c>
      <c r="AL311">
        <f ca="1">IFERROR(IF(0=LEN(ReferenceData!$AL$311),"",ReferenceData!$AL$311),"")</f>
        <v>26131.673729999999</v>
      </c>
      <c r="AM311">
        <f ca="1">IFERROR(IF(0=LEN(ReferenceData!$AM$311),"",ReferenceData!$AM$311),"")</f>
        <v>24090.633020000001</v>
      </c>
      <c r="AN311" t="str">
        <f ca="1">IFERROR(IF(0=LEN(ReferenceData!$AN$311),"",ReferenceData!$AN$311),"")</f>
        <v/>
      </c>
      <c r="AO311" t="str">
        <f ca="1">IFERROR(IF(0=LEN(ReferenceData!$AO$311),"",ReferenceData!$AO$311),"")</f>
        <v/>
      </c>
      <c r="AP311" t="str">
        <f ca="1">IFERROR(IF(0=LEN(ReferenceData!$AP$311),"",ReferenceData!$AP$311),"")</f>
        <v/>
      </c>
      <c r="AQ311" t="str">
        <f ca="1">IFERROR(IF(0=LEN(ReferenceData!$AQ$311),"",ReferenceData!$AQ$311),"")</f>
        <v/>
      </c>
      <c r="AR311" t="str">
        <f ca="1">IFERROR(IF(0=LEN(ReferenceData!$AR$311),"",ReferenceData!$AR$311),"")</f>
        <v/>
      </c>
      <c r="AS311" t="str">
        <f ca="1">IFERROR(IF(0=LEN(ReferenceData!$AS$311),"",ReferenceData!$AS$311),"")</f>
        <v/>
      </c>
      <c r="AT311" t="str">
        <f ca="1">IFERROR(IF(0=LEN(ReferenceData!$AT$311),"",ReferenceData!$AT$311),"")</f>
        <v/>
      </c>
      <c r="AU311" t="str">
        <f ca="1">IFERROR(IF(0=LEN(ReferenceData!$AU$311),"",ReferenceData!$AU$311),"")</f>
        <v/>
      </c>
      <c r="AV311" t="str">
        <f ca="1">IFERROR(IF(0=LEN(ReferenceData!$AV$311),"",ReferenceData!$AV$311),"")</f>
        <v/>
      </c>
      <c r="AW311" t="str">
        <f ca="1">IFERROR(IF(0=LEN(ReferenceData!$AW$311),"",ReferenceData!$AW$311),"")</f>
        <v/>
      </c>
      <c r="AX311" t="str">
        <f ca="1">IFERROR(IF(0=LEN(ReferenceData!$AX$311),"",ReferenceData!$AX$311),"")</f>
        <v/>
      </c>
      <c r="AY311" t="str">
        <f ca="1">IFERROR(IF(0=LEN(ReferenceData!$AY$311),"",ReferenceData!$AY$311),"")</f>
        <v/>
      </c>
      <c r="AZ311" t="str">
        <f ca="1">IFERROR(IF(0=LEN(ReferenceData!$AZ$311),"",ReferenceData!$AZ$311),"")</f>
        <v/>
      </c>
      <c r="BA311" t="str">
        <f ca="1">IFERROR(IF(0=LEN(ReferenceData!$BA$311),"",ReferenceData!$BA$311),"")</f>
        <v/>
      </c>
      <c r="BB311" t="str">
        <f ca="1">IFERROR(IF(0=LEN(ReferenceData!$BB$311),"",ReferenceData!$BB$311),"")</f>
        <v/>
      </c>
      <c r="BC311" t="str">
        <f ca="1">IFERROR(IF(0=LEN(ReferenceData!$BC$311),"",ReferenceData!$BC$311),"")</f>
        <v/>
      </c>
      <c r="BD311" t="str">
        <f ca="1">IFERROR(IF(0=LEN(ReferenceData!$BD$311),"",ReferenceData!$BD$311),"")</f>
        <v/>
      </c>
      <c r="BE311" t="str">
        <f ca="1">IFERROR(IF(0=LEN(ReferenceData!$BE$311),"",ReferenceData!$BE$311),"")</f>
        <v/>
      </c>
      <c r="BF311" t="str">
        <f ca="1">IFERROR(IF(0=LEN(ReferenceData!$BF$311),"",ReferenceData!$BF$311),"")</f>
        <v/>
      </c>
      <c r="BG311" t="str">
        <f ca="1">IFERROR(IF(0=LEN(ReferenceData!$BG$311),"",ReferenceData!$BG$311),"")</f>
        <v/>
      </c>
      <c r="BH311" t="str">
        <f ca="1">IFERROR(IF(0=LEN(ReferenceData!$BH$311),"",ReferenceData!$BH$311),"")</f>
        <v/>
      </c>
      <c r="BI311" t="str">
        <f ca="1">IFERROR(IF(0=LEN(ReferenceData!$BI$311),"",ReferenceData!$BI$311),"")</f>
        <v/>
      </c>
      <c r="BJ311" t="str">
        <f ca="1">IFERROR(IF(0=LEN(ReferenceData!$BJ$311),"",ReferenceData!$BJ$311),"")</f>
        <v/>
      </c>
      <c r="BK311" t="str">
        <f ca="1">IFERROR(IF(0=LEN(ReferenceData!$BK$311),"",ReferenceData!$BK$311),"")</f>
        <v/>
      </c>
      <c r="BL311" t="str">
        <f ca="1">IFERROR(IF(0=LEN(ReferenceData!$BL$311),"",ReferenceData!$BL$311),"")</f>
        <v/>
      </c>
      <c r="BM311" t="str">
        <f ca="1">IFERROR(IF(0=LEN(ReferenceData!$BM$311),"",ReferenceData!$BM$311),"")</f>
        <v/>
      </c>
    </row>
    <row r="312" spans="1:65" x14ac:dyDescent="0.25">
      <c r="A312" t="str">
        <f>IFERROR(IF(0=LEN(ReferenceData!$A$312),"",ReferenceData!$A$312),"")</f>
        <v xml:space="preserve">    Kia Motors Corp</v>
      </c>
      <c r="B312" t="str">
        <f>IFERROR(IF(0=LEN(ReferenceData!$B$312),"",ReferenceData!$B$312),"")</f>
        <v>000270 KS Equity</v>
      </c>
      <c r="C312" t="str">
        <f>IFERROR(IF(0=LEN(ReferenceData!$C$312),"",ReferenceData!$C$312),"")</f>
        <v>RR179</v>
      </c>
      <c r="D312" t="str">
        <f>IFERROR(IF(0=LEN(ReferenceData!$D$312),"",ReferenceData!$D$312),"")</f>
        <v>TANGIBLE_COMMON_EQUITY</v>
      </c>
      <c r="E312" t="str">
        <f>IFERROR(IF(0=LEN(ReferenceData!$E$312),"",ReferenceData!$E$312),"")</f>
        <v>Dynamic</v>
      </c>
      <c r="F312" t="str">
        <f ca="1">IFERROR(IF(0=LEN(ReferenceData!$F$312),"",ReferenceData!$F$312),"")</f>
        <v/>
      </c>
      <c r="G312" t="str">
        <f ca="1">IFERROR(IF(0=LEN(ReferenceData!$G$312),"",ReferenceData!$G$312),"")</f>
        <v/>
      </c>
      <c r="H312">
        <f ca="1">IFERROR(IF(0=LEN(ReferenceData!$H$312),"",ReferenceData!$H$312),"")</f>
        <v>22421.609349999999</v>
      </c>
      <c r="I312">
        <f ca="1">IFERROR(IF(0=LEN(ReferenceData!$I$312),"",ReferenceData!$I$312),"")</f>
        <v>22240.769219999998</v>
      </c>
      <c r="J312">
        <f ca="1">IFERROR(IF(0=LEN(ReferenceData!$J$312),"",ReferenceData!$J$312),"")</f>
        <v>23116.927619999999</v>
      </c>
      <c r="K312">
        <f ca="1">IFERROR(IF(0=LEN(ReferenceData!$K$312),"",ReferenceData!$K$312),"")</f>
        <v>22851.651290000002</v>
      </c>
      <c r="L312">
        <f ca="1">IFERROR(IF(0=LEN(ReferenceData!$L$312),"",ReferenceData!$L$312),"")</f>
        <v>21581.897700000001</v>
      </c>
      <c r="M312">
        <f ca="1">IFERROR(IF(0=LEN(ReferenceData!$M$312),"",ReferenceData!$M$312),"")</f>
        <v>21752.350979999999</v>
      </c>
      <c r="N312">
        <f ca="1">IFERROR(IF(0=LEN(ReferenceData!$N$312),"",ReferenceData!$N$312),"")</f>
        <v>21636.106960000001</v>
      </c>
      <c r="O312">
        <f ca="1">IFERROR(IF(0=LEN(ReferenceData!$O$312),"",ReferenceData!$O$312),"")</f>
        <v>20102.91145</v>
      </c>
      <c r="P312">
        <f ca="1">IFERROR(IF(0=LEN(ReferenceData!$P$312),"",ReferenceData!$P$312),"")</f>
        <v>21227.49955</v>
      </c>
      <c r="Q312">
        <f ca="1">IFERROR(IF(0=LEN(ReferenceData!$Q$312),"",ReferenceData!$Q$312),"")</f>
        <v>20032.260279999999</v>
      </c>
      <c r="R312">
        <f ca="1">IFERROR(IF(0=LEN(ReferenceData!$R$312),"",ReferenceData!$R$312),"")</f>
        <v>19644.075680000002</v>
      </c>
      <c r="S312">
        <f ca="1">IFERROR(IF(0=LEN(ReferenceData!$S$312),"",ReferenceData!$S$312),"")</f>
        <v>18769.290819999998</v>
      </c>
      <c r="T312">
        <f ca="1">IFERROR(IF(0=LEN(ReferenceData!$T$312),"",ReferenceData!$T$312),"")</f>
        <v>18544.68028</v>
      </c>
      <c r="U312">
        <f ca="1">IFERROR(IF(0=LEN(ReferenceData!$U$312),"",ReferenceData!$U$312),"")</f>
        <v>19087.54407</v>
      </c>
      <c r="V312">
        <f ca="1">IFERROR(IF(0=LEN(ReferenceData!$V$312),"",ReferenceData!$V$312),"")</f>
        <v>18518.82041</v>
      </c>
      <c r="W312">
        <f ca="1">IFERROR(IF(0=LEN(ReferenceData!$W$312),"",ReferenceData!$W$312),"")</f>
        <v>18840.945019999999</v>
      </c>
      <c r="X312">
        <f ca="1">IFERROR(IF(0=LEN(ReferenceData!$X$312),"",ReferenceData!$X$312),"")</f>
        <v>19378.767489999998</v>
      </c>
      <c r="Y312">
        <f ca="1">IFERROR(IF(0=LEN(ReferenceData!$Y$312),"",ReferenceData!$Y$312),"")</f>
        <v>19630.403490000001</v>
      </c>
      <c r="Z312">
        <f ca="1">IFERROR(IF(0=LEN(ReferenceData!$Z$312),"",ReferenceData!$Z$312),"")</f>
        <v>17936.247029999999</v>
      </c>
      <c r="AA312">
        <f ca="1">IFERROR(IF(0=LEN(ReferenceData!$AA$312),"",ReferenceData!$AA$312),"")</f>
        <v>17608.44945</v>
      </c>
      <c r="AB312">
        <f ca="1">IFERROR(IF(0=LEN(ReferenceData!$AB$312),"",ReferenceData!$AB$312),"")</f>
        <v>16615.084900000002</v>
      </c>
      <c r="AC312">
        <f ca="1">IFERROR(IF(0=LEN(ReferenceData!$AC$312),"",ReferenceData!$AC$312),"")</f>
        <v>14957.04083</v>
      </c>
      <c r="AD312">
        <f ca="1">IFERROR(IF(0=LEN(ReferenceData!$AD$312),"",ReferenceData!$AD$312),"")</f>
        <v>14148.44247</v>
      </c>
      <c r="AE312">
        <f ca="1">IFERROR(IF(0=LEN(ReferenceData!$AE$312),"",ReferenceData!$AE$312),"")</f>
        <v>14405.697770000001</v>
      </c>
      <c r="AF312">
        <f ca="1">IFERROR(IF(0=LEN(ReferenceData!$AF$312),"",ReferenceData!$AF$312),"")</f>
        <v>13374.08972</v>
      </c>
      <c r="AG312">
        <f ca="1">IFERROR(IF(0=LEN(ReferenceData!$AG$312),"",ReferenceData!$AG$312),"")</f>
        <v>12226.08041</v>
      </c>
      <c r="AH312">
        <f ca="1">IFERROR(IF(0=LEN(ReferenceData!$AH$312),"",ReferenceData!$AH$312),"")</f>
        <v>11424.380510000001</v>
      </c>
      <c r="AI312">
        <f ca="1">IFERROR(IF(0=LEN(ReferenceData!$AI$312),"",ReferenceData!$AI$312),"")</f>
        <v>10348.66246</v>
      </c>
      <c r="AJ312">
        <f ca="1">IFERROR(IF(0=LEN(ReferenceData!$AJ$312),"",ReferenceData!$AJ$312),"")</f>
        <v>9632.688709</v>
      </c>
      <c r="AK312">
        <f ca="1">IFERROR(IF(0=LEN(ReferenceData!$AK$312),"",ReferenceData!$AK$312),"")</f>
        <v>10370.95349</v>
      </c>
      <c r="AL312">
        <f ca="1">IFERROR(IF(0=LEN(ReferenceData!$AL$312),"",ReferenceData!$AL$312),"")</f>
        <v>8683.630733</v>
      </c>
      <c r="AM312">
        <f ca="1">IFERROR(IF(0=LEN(ReferenceData!$AM$312),"",ReferenceData!$AM$312),"")</f>
        <v>7659.9520229999998</v>
      </c>
      <c r="AN312" t="str">
        <f ca="1">IFERROR(IF(0=LEN(ReferenceData!$AN$312),"",ReferenceData!$AN$312),"")</f>
        <v/>
      </c>
      <c r="AO312" t="str">
        <f ca="1">IFERROR(IF(0=LEN(ReferenceData!$AO$312),"",ReferenceData!$AO$312),"")</f>
        <v/>
      </c>
      <c r="AP312" t="str">
        <f ca="1">IFERROR(IF(0=LEN(ReferenceData!$AP$312),"",ReferenceData!$AP$312),"")</f>
        <v/>
      </c>
      <c r="AQ312" t="str">
        <f ca="1">IFERROR(IF(0=LEN(ReferenceData!$AQ$312),"",ReferenceData!$AQ$312),"")</f>
        <v/>
      </c>
      <c r="AR312" t="str">
        <f ca="1">IFERROR(IF(0=LEN(ReferenceData!$AR$312),"",ReferenceData!$AR$312),"")</f>
        <v/>
      </c>
      <c r="AS312" t="str">
        <f ca="1">IFERROR(IF(0=LEN(ReferenceData!$AS$312),"",ReferenceData!$AS$312),"")</f>
        <v/>
      </c>
      <c r="AT312" t="str">
        <f ca="1">IFERROR(IF(0=LEN(ReferenceData!$AT$312),"",ReferenceData!$AT$312),"")</f>
        <v/>
      </c>
      <c r="AU312" t="str">
        <f ca="1">IFERROR(IF(0=LEN(ReferenceData!$AU$312),"",ReferenceData!$AU$312),"")</f>
        <v/>
      </c>
      <c r="AV312" t="str">
        <f ca="1">IFERROR(IF(0=LEN(ReferenceData!$AV$312),"",ReferenceData!$AV$312),"")</f>
        <v/>
      </c>
      <c r="AW312" t="str">
        <f ca="1">IFERROR(IF(0=LEN(ReferenceData!$AW$312),"",ReferenceData!$AW$312),"")</f>
        <v/>
      </c>
      <c r="AX312" t="str">
        <f ca="1">IFERROR(IF(0=LEN(ReferenceData!$AX$312),"",ReferenceData!$AX$312),"")</f>
        <v/>
      </c>
      <c r="AY312" t="str">
        <f ca="1">IFERROR(IF(0=LEN(ReferenceData!$AY$312),"",ReferenceData!$AY$312),"")</f>
        <v/>
      </c>
      <c r="AZ312" t="str">
        <f ca="1">IFERROR(IF(0=LEN(ReferenceData!$AZ$312),"",ReferenceData!$AZ$312),"")</f>
        <v/>
      </c>
      <c r="BA312" t="str">
        <f ca="1">IFERROR(IF(0=LEN(ReferenceData!$BA$312),"",ReferenceData!$BA$312),"")</f>
        <v/>
      </c>
      <c r="BB312" t="str">
        <f ca="1">IFERROR(IF(0=LEN(ReferenceData!$BB$312),"",ReferenceData!$BB$312),"")</f>
        <v/>
      </c>
      <c r="BC312" t="str">
        <f ca="1">IFERROR(IF(0=LEN(ReferenceData!$BC$312),"",ReferenceData!$BC$312),"")</f>
        <v/>
      </c>
      <c r="BD312" t="str">
        <f ca="1">IFERROR(IF(0=LEN(ReferenceData!$BD$312),"",ReferenceData!$BD$312),"")</f>
        <v/>
      </c>
      <c r="BE312" t="str">
        <f ca="1">IFERROR(IF(0=LEN(ReferenceData!$BE$312),"",ReferenceData!$BE$312),"")</f>
        <v/>
      </c>
      <c r="BF312" t="str">
        <f ca="1">IFERROR(IF(0=LEN(ReferenceData!$BF$312),"",ReferenceData!$BF$312),"")</f>
        <v/>
      </c>
      <c r="BG312" t="str">
        <f ca="1">IFERROR(IF(0=LEN(ReferenceData!$BG$312),"",ReferenceData!$BG$312),"")</f>
        <v/>
      </c>
      <c r="BH312" t="str">
        <f ca="1">IFERROR(IF(0=LEN(ReferenceData!$BH$312),"",ReferenceData!$BH$312),"")</f>
        <v/>
      </c>
      <c r="BI312" t="str">
        <f ca="1">IFERROR(IF(0=LEN(ReferenceData!$BI$312),"",ReferenceData!$BI$312),"")</f>
        <v/>
      </c>
      <c r="BJ312" t="str">
        <f ca="1">IFERROR(IF(0=LEN(ReferenceData!$BJ$312),"",ReferenceData!$BJ$312),"")</f>
        <v/>
      </c>
      <c r="BK312" t="str">
        <f ca="1">IFERROR(IF(0=LEN(ReferenceData!$BK$312),"",ReferenceData!$BK$312),"")</f>
        <v/>
      </c>
      <c r="BL312" t="str">
        <f ca="1">IFERROR(IF(0=LEN(ReferenceData!$BL$312),"",ReferenceData!$BL$312),"")</f>
        <v/>
      </c>
      <c r="BM312" t="str">
        <f ca="1">IFERROR(IF(0=LEN(ReferenceData!$BM$312),"",ReferenceData!$BM$312),"")</f>
        <v/>
      </c>
    </row>
    <row r="313" spans="1:65" x14ac:dyDescent="0.25">
      <c r="A313" t="str">
        <f>IFERROR(IF(0=LEN(ReferenceData!$A$313),"",ReferenceData!$A$313),"")</f>
        <v xml:space="preserve">    Mazda Motor Corp</v>
      </c>
      <c r="B313" t="str">
        <f>IFERROR(IF(0=LEN(ReferenceData!$B$313),"",ReferenceData!$B$313),"")</f>
        <v>7261 JP Equity</v>
      </c>
      <c r="C313" t="str">
        <f>IFERROR(IF(0=LEN(ReferenceData!$C$313),"",ReferenceData!$C$313),"")</f>
        <v>RR179</v>
      </c>
      <c r="D313" t="str">
        <f>IFERROR(IF(0=LEN(ReferenceData!$D$313),"",ReferenceData!$D$313),"")</f>
        <v>TANGIBLE_COMMON_EQUITY</v>
      </c>
      <c r="E313" t="str">
        <f>IFERROR(IF(0=LEN(ReferenceData!$E$313),"",ReferenceData!$E$313),"")</f>
        <v>Dynamic</v>
      </c>
      <c r="F313" t="str">
        <f ca="1">IFERROR(IF(0=LEN(ReferenceData!$F$313),"",ReferenceData!$F$313),"")</f>
        <v/>
      </c>
      <c r="G313">
        <f ca="1">IFERROR(IF(0=LEN(ReferenceData!$G$313),"",ReferenceData!$G$313),"")</f>
        <v>10618.502640000001</v>
      </c>
      <c r="H313">
        <f ca="1">IFERROR(IF(0=LEN(ReferenceData!$H$313),"",ReferenceData!$H$313),"")</f>
        <v>10301.12775</v>
      </c>
      <c r="I313">
        <f ca="1">IFERROR(IF(0=LEN(ReferenceData!$I$313),"",ReferenceData!$I$313),"")</f>
        <v>10505.984829999999</v>
      </c>
      <c r="J313">
        <f ca="1">IFERROR(IF(0=LEN(ReferenceData!$J$313),"",ReferenceData!$J$313),"")</f>
        <v>10894.803239999999</v>
      </c>
      <c r="K313">
        <f ca="1">IFERROR(IF(0=LEN(ReferenceData!$K$313),"",ReferenceData!$K$313),"")</f>
        <v>10115.02931</v>
      </c>
      <c r="L313">
        <f ca="1">IFERROR(IF(0=LEN(ReferenceData!$L$313),"",ReferenceData!$L$313),"")</f>
        <v>9433.1735040000003</v>
      </c>
      <c r="M313">
        <f ca="1">IFERROR(IF(0=LEN(ReferenceData!$M$313),"",ReferenceData!$M$313),"")</f>
        <v>9146.2750329999999</v>
      </c>
      <c r="N313">
        <f ca="1">IFERROR(IF(0=LEN(ReferenceData!$N$313),"",ReferenceData!$N$313),"")</f>
        <v>9040.2479559999992</v>
      </c>
      <c r="O313">
        <f ca="1">IFERROR(IF(0=LEN(ReferenceData!$O$313),"",ReferenceData!$O$313),"")</f>
        <v>8377.5462960000004</v>
      </c>
      <c r="P313">
        <f ca="1">IFERROR(IF(0=LEN(ReferenceData!$P$313),"",ReferenceData!$P$313),"")</f>
        <v>9353.5738930000007</v>
      </c>
      <c r="Q313">
        <f ca="1">IFERROR(IF(0=LEN(ReferenceData!$Q$313),"",ReferenceData!$Q$313),"")</f>
        <v>8965.8978580000003</v>
      </c>
      <c r="R313">
        <f ca="1">IFERROR(IF(0=LEN(ReferenceData!$R$313),"",ReferenceData!$R$313),"")</f>
        <v>8206.9155559999999</v>
      </c>
      <c r="S313">
        <f ca="1">IFERROR(IF(0=LEN(ReferenceData!$S$313),"",ReferenceData!$S$313),"")</f>
        <v>7824.4259570000004</v>
      </c>
      <c r="T313">
        <f ca="1">IFERROR(IF(0=LEN(ReferenceData!$T$313),"",ReferenceData!$T$313),"")</f>
        <v>8724.4839979999997</v>
      </c>
      <c r="U313">
        <f ca="1">IFERROR(IF(0=LEN(ReferenceData!$U$313),"",ReferenceData!$U$313),"")</f>
        <v>7111.6934160000001</v>
      </c>
      <c r="V313">
        <f ca="1">IFERROR(IF(0=LEN(ReferenceData!$V$313),"",ReferenceData!$V$313),"")</f>
        <v>7004.8686950000001</v>
      </c>
      <c r="W313">
        <f ca="1">IFERROR(IF(0=LEN(ReferenceData!$W$313),"",ReferenceData!$W$313),"")</f>
        <v>7813.6181580000002</v>
      </c>
      <c r="X313">
        <f ca="1">IFERROR(IF(0=LEN(ReferenceData!$X$313),"",ReferenceData!$X$313),"")</f>
        <v>6671.3386829999999</v>
      </c>
      <c r="Y313">
        <f ca="1">IFERROR(IF(0=LEN(ReferenceData!$Y$313),"",ReferenceData!$Y$313),"")</f>
        <v>6760.5489189999998</v>
      </c>
      <c r="Z313">
        <f ca="1">IFERROR(IF(0=LEN(ReferenceData!$Z$313),"",ReferenceData!$Z$313),"")</f>
        <v>6188.9589599999999</v>
      </c>
      <c r="AA313">
        <f ca="1">IFERROR(IF(0=LEN(ReferenceData!$AA$313),"",ReferenceData!$AA$313),"")</f>
        <v>5436.7091010000004</v>
      </c>
      <c r="AB313">
        <f ca="1">IFERROR(IF(0=LEN(ReferenceData!$AB$313),"",ReferenceData!$AB$313),"")</f>
        <v>5348.640668</v>
      </c>
      <c r="AC313">
        <f ca="1">IFERROR(IF(0=LEN(ReferenceData!$AC$313),"",ReferenceData!$AC$313),"")</f>
        <v>5035.5582400000003</v>
      </c>
      <c r="AD313">
        <f ca="1">IFERROR(IF(0=LEN(ReferenceData!$AD$313),"",ReferenceData!$AD$313),"")</f>
        <v>5050.5306730000002</v>
      </c>
      <c r="AE313">
        <f ca="1">IFERROR(IF(0=LEN(ReferenceData!$AE$313),"",ReferenceData!$AE$313),"")</f>
        <v>5297.8873240000003</v>
      </c>
      <c r="AF313">
        <f ca="1">IFERROR(IF(0=LEN(ReferenceData!$AF$313),"",ReferenceData!$AF$313),"")</f>
        <v>5887.6026689999999</v>
      </c>
      <c r="AG313">
        <f ca="1">IFERROR(IF(0=LEN(ReferenceData!$AG$313),"",ReferenceData!$AG$313),"")</f>
        <v>5648.6842109999998</v>
      </c>
      <c r="AH313">
        <f ca="1">IFERROR(IF(0=LEN(ReferenceData!$AH$313),"",ReferenceData!$AH$313),"")</f>
        <v>5426.3221590000003</v>
      </c>
      <c r="AI313">
        <f ca="1">IFERROR(IF(0=LEN(ReferenceData!$AI$313),"",ReferenceData!$AI$313),"")</f>
        <v>3941.5768280000002</v>
      </c>
      <c r="AJ313">
        <f ca="1">IFERROR(IF(0=LEN(ReferenceData!$AJ$313),"",ReferenceData!$AJ$313),"")</f>
        <v>4821.7526580000003</v>
      </c>
      <c r="AK313">
        <f ca="1">IFERROR(IF(0=LEN(ReferenceData!$AK$313),"",ReferenceData!$AK$313),"")</f>
        <v>4808.7760680000001</v>
      </c>
      <c r="AL313">
        <f ca="1">IFERROR(IF(0=LEN(ReferenceData!$AL$313),"",ReferenceData!$AL$313),"")</f>
        <v>4939.8527100000001</v>
      </c>
      <c r="AM313">
        <f ca="1">IFERROR(IF(0=LEN(ReferenceData!$AM$313),"",ReferenceData!$AM$313),"")</f>
        <v>5848.5035099999996</v>
      </c>
      <c r="AN313">
        <f ca="1">IFERROR(IF(0=LEN(ReferenceData!$AN$313),"",ReferenceData!$AN$313),"")</f>
        <v>5738.9288280000001</v>
      </c>
      <c r="AO313">
        <f ca="1">IFERROR(IF(0=LEN(ReferenceData!$AO$313),"",ReferenceData!$AO$313),"")</f>
        <v>5396.1842399999996</v>
      </c>
      <c r="AP313">
        <f ca="1">IFERROR(IF(0=LEN(ReferenceData!$AP$313),"",ReferenceData!$AP$313),"")</f>
        <v>5190.5286820000001</v>
      </c>
      <c r="AQ313">
        <f ca="1">IFERROR(IF(0=LEN(ReferenceData!$AQ$313),"",ReferenceData!$AQ$313),"")</f>
        <v>5084.4320379999999</v>
      </c>
      <c r="AR313">
        <f ca="1">IFERROR(IF(0=LEN(ReferenceData!$AR$313),"",ReferenceData!$AR$313),"")</f>
        <v>4240.6222120000002</v>
      </c>
      <c r="AS313">
        <f ca="1">IFERROR(IF(0=LEN(ReferenceData!$AS$313),"",ReferenceData!$AS$313),"")</f>
        <v>3880.3363789999999</v>
      </c>
      <c r="AT313">
        <f ca="1">IFERROR(IF(0=LEN(ReferenceData!$AT$313),"",ReferenceData!$AT$313),"")</f>
        <v>3889.0890789999999</v>
      </c>
      <c r="AU313">
        <f ca="1">IFERROR(IF(0=LEN(ReferenceData!$AU$313),"",ReferenceData!$AU$313),"")</f>
        <v>5407.2474940000002</v>
      </c>
      <c r="AV313">
        <f ca="1">IFERROR(IF(0=LEN(ReferenceData!$AV$313),"",ReferenceData!$AV$313),"")</f>
        <v>5077.0505700000003</v>
      </c>
      <c r="AW313">
        <f ca="1">IFERROR(IF(0=LEN(ReferenceData!$AW$313),"",ReferenceData!$AW$313),"")</f>
        <v>4854.1482249999999</v>
      </c>
      <c r="AX313">
        <f ca="1">IFERROR(IF(0=LEN(ReferenceData!$AX$313),"",ReferenceData!$AX$313),"")</f>
        <v>5191.7484480000003</v>
      </c>
      <c r="AY313">
        <f ca="1">IFERROR(IF(0=LEN(ReferenceData!$AY$313),"",ReferenceData!$AY$313),"")</f>
        <v>4204.8125950000003</v>
      </c>
      <c r="AZ313">
        <f ca="1">IFERROR(IF(0=LEN(ReferenceData!$AZ$313),"",ReferenceData!$AZ$313),"")</f>
        <v>4055.4790939999998</v>
      </c>
      <c r="BA313">
        <f ca="1">IFERROR(IF(0=LEN(ReferenceData!$BA$313),"",ReferenceData!$BA$313),"")</f>
        <v>3574.0629560000002</v>
      </c>
      <c r="BB313">
        <f ca="1">IFERROR(IF(0=LEN(ReferenceData!$BB$313),"",ReferenceData!$BB$313),"")</f>
        <v>3780.9252489999999</v>
      </c>
      <c r="BC313">
        <f ca="1">IFERROR(IF(0=LEN(ReferenceData!$BC$313),"",ReferenceData!$BC$313),"")</f>
        <v>3433.6244539999998</v>
      </c>
      <c r="BD313">
        <f ca="1">IFERROR(IF(0=LEN(ReferenceData!$BD$313),"",ReferenceData!$BD$313),"")</f>
        <v>3297.7969840000001</v>
      </c>
      <c r="BE313">
        <f ca="1">IFERROR(IF(0=LEN(ReferenceData!$BE$313),"",ReferenceData!$BE$313),"")</f>
        <v>3251.1225650000001</v>
      </c>
      <c r="BF313">
        <f ca="1">IFERROR(IF(0=LEN(ReferenceData!$BF$313),"",ReferenceData!$BF$313),"")</f>
        <v>3176.4425529999999</v>
      </c>
      <c r="BG313">
        <f ca="1">IFERROR(IF(0=LEN(ReferenceData!$BG$313),"",ReferenceData!$BG$313),"")</f>
        <v>2803.2211579999998</v>
      </c>
      <c r="BH313">
        <f ca="1">IFERROR(IF(0=LEN(ReferenceData!$BH$313),"",ReferenceData!$BH$313),"")</f>
        <v>2712.9887279999998</v>
      </c>
      <c r="BI313">
        <f ca="1">IFERROR(IF(0=LEN(ReferenceData!$BI$313),"",ReferenceData!$BI$313),"")</f>
        <v>2215.1897589999999</v>
      </c>
      <c r="BJ313">
        <f ca="1">IFERROR(IF(0=LEN(ReferenceData!$BJ$313),"",ReferenceData!$BJ$313),"")</f>
        <v>2280.298507</v>
      </c>
      <c r="BK313">
        <f ca="1">IFERROR(IF(0=LEN(ReferenceData!$BK$313),"",ReferenceData!$BK$313),"")</f>
        <v>2205.6092090000002</v>
      </c>
      <c r="BL313">
        <f ca="1">IFERROR(IF(0=LEN(ReferenceData!$BL$313),"",ReferenceData!$BL$313),"")</f>
        <v>1989.8662790000001</v>
      </c>
      <c r="BM313">
        <f ca="1">IFERROR(IF(0=LEN(ReferenceData!$BM$313),"",ReferenceData!$BM$313),"")</f>
        <v>1917.0796379999999</v>
      </c>
    </row>
    <row r="314" spans="1:65" x14ac:dyDescent="0.25">
      <c r="A314" t="str">
        <f>IFERROR(IF(0=LEN(ReferenceData!$A$314),"",ReferenceData!$A$314),"")</f>
        <v xml:space="preserve">    Mitsubishi Motors Corp</v>
      </c>
      <c r="B314" t="str">
        <f>IFERROR(IF(0=LEN(ReferenceData!$B$314),"",ReferenceData!$B$314),"")</f>
        <v>7211 JP Equity</v>
      </c>
      <c r="C314" t="str">
        <f>IFERROR(IF(0=LEN(ReferenceData!$C$314),"",ReferenceData!$C$314),"")</f>
        <v>RR179</v>
      </c>
      <c r="D314" t="str">
        <f>IFERROR(IF(0=LEN(ReferenceData!$D$314),"",ReferenceData!$D$314),"")</f>
        <v>TANGIBLE_COMMON_EQUITY</v>
      </c>
      <c r="E314" t="str">
        <f>IFERROR(IF(0=LEN(ReferenceData!$E$314),"",ReferenceData!$E$314),"")</f>
        <v>Dynamic</v>
      </c>
      <c r="F314" t="str">
        <f ca="1">IFERROR(IF(0=LEN(ReferenceData!$F$314),"",ReferenceData!$F$314),"")</f>
        <v/>
      </c>
      <c r="G314">
        <f ca="1">IFERROR(IF(0=LEN(ReferenceData!$G$314),"",ReferenceData!$G$314),"")</f>
        <v>7052.5259889999998</v>
      </c>
      <c r="H314">
        <f ca="1">IFERROR(IF(0=LEN(ReferenceData!$H$314),"",ReferenceData!$H$314),"")</f>
        <v>6881.6299559999998</v>
      </c>
      <c r="I314">
        <f ca="1">IFERROR(IF(0=LEN(ReferenceData!$I$314),"",ReferenceData!$I$314),"")</f>
        <v>6773.424806</v>
      </c>
      <c r="J314">
        <f ca="1">IFERROR(IF(0=LEN(ReferenceData!$J$314),"",ReferenceData!$J$314),"")</f>
        <v>7080.1449819999998</v>
      </c>
      <c r="K314">
        <f ca="1">IFERROR(IF(0=LEN(ReferenceData!$K$314),"",ReferenceData!$K$314),"")</f>
        <v>6435.4414640000005</v>
      </c>
      <c r="L314">
        <f ca="1">IFERROR(IF(0=LEN(ReferenceData!$L$314),"",ReferenceData!$L$314),"")</f>
        <v>6288.5455510000002</v>
      </c>
      <c r="M314">
        <f ca="1">IFERROR(IF(0=LEN(ReferenceData!$M$314),"",ReferenceData!$M$314),"")</f>
        <v>6039.8219849999996</v>
      </c>
      <c r="N314">
        <f ca="1">IFERROR(IF(0=LEN(ReferenceData!$N$314),"",ReferenceData!$N$314),"")</f>
        <v>5996.9095319999997</v>
      </c>
      <c r="O314">
        <f ca="1">IFERROR(IF(0=LEN(ReferenceData!$O$314),"",ReferenceData!$O$314),"")</f>
        <v>5634.4050070000003</v>
      </c>
      <c r="P314">
        <f ca="1">IFERROR(IF(0=LEN(ReferenceData!$P$314),"",ReferenceData!$P$314),"")</f>
        <v>3876.6341320000001</v>
      </c>
      <c r="Q314">
        <f ca="1">IFERROR(IF(0=LEN(ReferenceData!$Q$314),"",ReferenceData!$Q$314),"")</f>
        <v>4769.1733700000004</v>
      </c>
      <c r="R314">
        <f ca="1">IFERROR(IF(0=LEN(ReferenceData!$R$314),"",ReferenceData!$R$314),"")</f>
        <v>5818.9244440000002</v>
      </c>
      <c r="S314">
        <f ca="1">IFERROR(IF(0=LEN(ReferenceData!$S$314),"",ReferenceData!$S$314),"")</f>
        <v>5639.7504159999999</v>
      </c>
      <c r="T314">
        <f ca="1">IFERROR(IF(0=LEN(ReferenceData!$T$314),"",ReferenceData!$T$314),"")</f>
        <v>5521.3838050000004</v>
      </c>
      <c r="U314">
        <f ca="1">IFERROR(IF(0=LEN(ReferenceData!$U$314),"",ReferenceData!$U$314),"")</f>
        <v>5381.7474620000003</v>
      </c>
      <c r="V314">
        <f ca="1">IFERROR(IF(0=LEN(ReferenceData!$V$314),"",ReferenceData!$V$314),"")</f>
        <v>5373.9891619999999</v>
      </c>
      <c r="W314">
        <f ca="1">IFERROR(IF(0=LEN(ReferenceData!$W$314),"",ReferenceData!$W$314),"")</f>
        <v>5301.8190919999997</v>
      </c>
      <c r="X314">
        <f ca="1">IFERROR(IF(0=LEN(ReferenceData!$X$314),"",ReferenceData!$X$314),"")</f>
        <v>5306.6934160000001</v>
      </c>
      <c r="Y314">
        <f ca="1">IFERROR(IF(0=LEN(ReferenceData!$Y$314),"",ReferenceData!$Y$314),"")</f>
        <v>5262.3654850000003</v>
      </c>
      <c r="Z314">
        <f ca="1">IFERROR(IF(0=LEN(ReferenceData!$Z$314),"",ReferenceData!$Z$314),"")</f>
        <v>5118.8027549999997</v>
      </c>
      <c r="AA314">
        <f ca="1">IFERROR(IF(0=LEN(ReferenceData!$AA$314),"",ReferenceData!$AA$314),"")</f>
        <v>405.64316930000001</v>
      </c>
      <c r="AB314">
        <f ca="1">IFERROR(IF(0=LEN(ReferenceData!$AB$314),"",ReferenceData!$AB$314),"")</f>
        <v>-72.843905919999997</v>
      </c>
      <c r="AC314">
        <f ca="1">IFERROR(IF(0=LEN(ReferenceData!$AC$314),"",ReferenceData!$AC$314),"")</f>
        <v>-410.96345509999998</v>
      </c>
      <c r="AD314">
        <f ca="1">IFERROR(IF(0=LEN(ReferenceData!$AD$314),"",ReferenceData!$AD$314),"")</f>
        <v>-718.49925710000002</v>
      </c>
      <c r="AE314">
        <f ca="1">IFERROR(IF(0=LEN(ReferenceData!$AE$314),"",ReferenceData!$AE$314),"")</f>
        <v>-1445.8785499999999</v>
      </c>
      <c r="AF314">
        <f ca="1">IFERROR(IF(0=LEN(ReferenceData!$AF$314),"",ReferenceData!$AF$314),"")</f>
        <v>-2221.36807</v>
      </c>
      <c r="AG314">
        <f ca="1">IFERROR(IF(0=LEN(ReferenceData!$AG$314),"",ReferenceData!$AG$314),"")</f>
        <v>-2503.5839599999999</v>
      </c>
      <c r="AH314">
        <f ca="1">IFERROR(IF(0=LEN(ReferenceData!$AH$314),"",ReferenceData!$AH$314),"")</f>
        <v>-2326.8546529999999</v>
      </c>
      <c r="AI314">
        <f ca="1">IFERROR(IF(0=LEN(ReferenceData!$AI$314),"",ReferenceData!$AI$314),"")</f>
        <v>-2905.143525</v>
      </c>
      <c r="AJ314">
        <f ca="1">IFERROR(IF(0=LEN(ReferenceData!$AJ$314),"",ReferenceData!$AJ$314),"")</f>
        <v>-2928.0917810000001</v>
      </c>
      <c r="AK314">
        <f ca="1">IFERROR(IF(0=LEN(ReferenceData!$AK$314),"",ReferenceData!$AK$314),"")</f>
        <v>-2623.845581</v>
      </c>
      <c r="AL314">
        <f ca="1">IFERROR(IF(0=LEN(ReferenceData!$AL$314),"",ReferenceData!$AL$314),"")</f>
        <v>-2536.3032720000001</v>
      </c>
      <c r="AM314">
        <f ca="1">IFERROR(IF(0=LEN(ReferenceData!$AM$314),"",ReferenceData!$AM$314),"")</f>
        <v>-2915.8147560000002</v>
      </c>
      <c r="AN314">
        <f ca="1">IFERROR(IF(0=LEN(ReferenceData!$AN$314),"",ReferenceData!$AN$314),"")</f>
        <v>-2836.113108</v>
      </c>
      <c r="AO314">
        <f ca="1">IFERROR(IF(0=LEN(ReferenceData!$AO$314),"",ReferenceData!$AO$314),"")</f>
        <v>-2805.9494239999999</v>
      </c>
      <c r="AP314">
        <f ca="1">IFERROR(IF(0=LEN(ReferenceData!$AP$314),"",ReferenceData!$AP$314),"")</f>
        <v>-2416.9841609999999</v>
      </c>
      <c r="AQ314">
        <f ca="1">IFERROR(IF(0=LEN(ReferenceData!$AQ$314),"",ReferenceData!$AQ$314),"")</f>
        <v>-2784.056259</v>
      </c>
      <c r="AR314">
        <f ca="1">IFERROR(IF(0=LEN(ReferenceData!$AR$314),"",ReferenceData!$AR$314),"")</f>
        <v>-3081.054862</v>
      </c>
      <c r="AS314">
        <f ca="1">IFERROR(IF(0=LEN(ReferenceData!$AS$314),"",ReferenceData!$AS$314),"")</f>
        <v>-2709.7176079999999</v>
      </c>
      <c r="AT314">
        <f ca="1">IFERROR(IF(0=LEN(ReferenceData!$AT$314),"",ReferenceData!$AT$314),"")</f>
        <v>-2421.5198789999999</v>
      </c>
      <c r="AU314">
        <f ca="1">IFERROR(IF(0=LEN(ReferenceData!$AU$314),"",ReferenceData!$AU$314),"")</f>
        <v>-2305.6063439999998</v>
      </c>
      <c r="AV314">
        <f ca="1">IFERROR(IF(0=LEN(ReferenceData!$AV$314),"",ReferenceData!$AV$314),"")</f>
        <v>-1487.362275</v>
      </c>
      <c r="AW314">
        <f ca="1">IFERROR(IF(0=LEN(ReferenceData!$AW$314),"",ReferenceData!$AW$314),"")</f>
        <v>-1409.464168</v>
      </c>
      <c r="AX314">
        <f ca="1">IFERROR(IF(0=LEN(ReferenceData!$AX$314),"",ReferenceData!$AX$314),"")</f>
        <v>-1522.2311239999999</v>
      </c>
      <c r="AY314">
        <f ca="1">IFERROR(IF(0=LEN(ReferenceData!$AY$314),"",ReferenceData!$AY$314),"")</f>
        <v>-1320.1359689999999</v>
      </c>
      <c r="AZ314">
        <f ca="1">IFERROR(IF(0=LEN(ReferenceData!$AZ$314),"",ReferenceData!$AZ$314),"")</f>
        <v>-1360.4703830000001</v>
      </c>
      <c r="BA314">
        <f ca="1">IFERROR(IF(0=LEN(ReferenceData!$BA$314),"",ReferenceData!$BA$314),"")</f>
        <v>-1491.521986</v>
      </c>
      <c r="BB314">
        <f ca="1">IFERROR(IF(0=LEN(ReferenceData!$BB$314),"",ReferenceData!$BB$314),"")</f>
        <v>-1571.119993</v>
      </c>
      <c r="BC314">
        <f ca="1">IFERROR(IF(0=LEN(ReferenceData!$BC$314),"",ReferenceData!$BC$314),"")</f>
        <v>-1710.908633</v>
      </c>
      <c r="BD314">
        <f ca="1">IFERROR(IF(0=LEN(ReferenceData!$BD$314),"",ReferenceData!$BD$314),"")</f>
        <v>-1816.1159130000001</v>
      </c>
      <c r="BE314">
        <f ca="1">IFERROR(IF(0=LEN(ReferenceData!$BE$314),"",ReferenceData!$BE$314),"")</f>
        <v>-1897.4927929999999</v>
      </c>
      <c r="BF314">
        <f ca="1">IFERROR(IF(0=LEN(ReferenceData!$BF$314),"",ReferenceData!$BF$314),"")</f>
        <v>-1700.008511</v>
      </c>
      <c r="BG314">
        <f ca="1">IFERROR(IF(0=LEN(ReferenceData!$BG$314),"",ReferenceData!$BG$314),"")</f>
        <v>-2467.8901420000002</v>
      </c>
      <c r="BH314">
        <f ca="1">IFERROR(IF(0=LEN(ReferenceData!$BH$314),"",ReferenceData!$BH$314),"")</f>
        <v>-2510.2324760000001</v>
      </c>
      <c r="BI314">
        <f ca="1">IFERROR(IF(0=LEN(ReferenceData!$BI$314),"",ReferenceData!$BI$314),"")</f>
        <v>2444.4875149999998</v>
      </c>
      <c r="BJ314">
        <f ca="1">IFERROR(IF(0=LEN(ReferenceData!$BJ$314),"",ReferenceData!$BJ$314),"")</f>
        <v>-2178.3395519999999</v>
      </c>
      <c r="BK314">
        <f ca="1">IFERROR(IF(0=LEN(ReferenceData!$BK$314),"",ReferenceData!$BK$314),"")</f>
        <v>2513.2669980000001</v>
      </c>
      <c r="BL314">
        <f ca="1">IFERROR(IF(0=LEN(ReferenceData!$BL$314),"",ReferenceData!$BL$314),"")</f>
        <v>-749.36777949999998</v>
      </c>
      <c r="BM314">
        <f ca="1">IFERROR(IF(0=LEN(ReferenceData!$BM$314),"",ReferenceData!$BM$314),"")</f>
        <v>2117.8019570000001</v>
      </c>
    </row>
    <row r="315" spans="1:65" x14ac:dyDescent="0.25">
      <c r="A315" t="str">
        <f>IFERROR(IF(0=LEN(ReferenceData!$A$315),"",ReferenceData!$A$315),"")</f>
        <v xml:space="preserve">    Nissan Motor Co Ltd</v>
      </c>
      <c r="B315" t="str">
        <f>IFERROR(IF(0=LEN(ReferenceData!$B$315),"",ReferenceData!$B$315),"")</f>
        <v>7201 JP Equity</v>
      </c>
      <c r="C315" t="str">
        <f>IFERROR(IF(0=LEN(ReferenceData!$C$315),"",ReferenceData!$C$315),"")</f>
        <v>RR179</v>
      </c>
      <c r="D315" t="str">
        <f>IFERROR(IF(0=LEN(ReferenceData!$D$315),"",ReferenceData!$D$315),"")</f>
        <v>TANGIBLE_COMMON_EQUITY</v>
      </c>
      <c r="E315" t="str">
        <f>IFERROR(IF(0=LEN(ReferenceData!$E$315),"",ReferenceData!$E$315),"")</f>
        <v>Dynamic</v>
      </c>
      <c r="F315" t="str">
        <f ca="1">IFERROR(IF(0=LEN(ReferenceData!$F$315),"",ReferenceData!$F$315),"")</f>
        <v/>
      </c>
      <c r="G315">
        <f ca="1">IFERROR(IF(0=LEN(ReferenceData!$G$315),"",ReferenceData!$G$315),"")</f>
        <v>47544.364399999999</v>
      </c>
      <c r="H315">
        <f ca="1">IFERROR(IF(0=LEN(ReferenceData!$H$315),"",ReferenceData!$H$315),"")</f>
        <v>47150.229070000001</v>
      </c>
      <c r="I315">
        <f ca="1">IFERROR(IF(0=LEN(ReferenceData!$I$315),"",ReferenceData!$I$315),"")</f>
        <v>46732.7857</v>
      </c>
      <c r="J315">
        <f ca="1">IFERROR(IF(0=LEN(ReferenceData!$J$315),"",ReferenceData!$J$315),"")</f>
        <v>49482.573900000003</v>
      </c>
      <c r="K315">
        <f ca="1">IFERROR(IF(0=LEN(ReferenceData!$K$315),"",ReferenceData!$K$315),"")</f>
        <v>46002.655890000002</v>
      </c>
      <c r="L315">
        <f ca="1">IFERROR(IF(0=LEN(ReferenceData!$L$315),"",ReferenceData!$L$315),"")</f>
        <v>43991.919730000001</v>
      </c>
      <c r="M315">
        <f ca="1">IFERROR(IF(0=LEN(ReferenceData!$M$315),"",ReferenceData!$M$315),"")</f>
        <v>42331.740100000003</v>
      </c>
      <c r="N315">
        <f ca="1">IFERROR(IF(0=LEN(ReferenceData!$N$315),"",ReferenceData!$N$315),"")</f>
        <v>42533.743600000002</v>
      </c>
      <c r="O315">
        <f ca="1">IFERROR(IF(0=LEN(ReferenceData!$O$315),"",ReferenceData!$O$315),"")</f>
        <v>37257.261659999996</v>
      </c>
      <c r="P315">
        <f ca="1">IFERROR(IF(0=LEN(ReferenceData!$P$315),"",ReferenceData!$P$315),"")</f>
        <v>40459.479440000003</v>
      </c>
      <c r="Q315">
        <f ca="1">IFERROR(IF(0=LEN(ReferenceData!$Q$315),"",ReferenceData!$Q$315),"")</f>
        <v>41298.061829999999</v>
      </c>
      <c r="R315">
        <f ca="1">IFERROR(IF(0=LEN(ReferenceData!$R$315),"",ReferenceData!$R$315),"")</f>
        <v>40807.911110000001</v>
      </c>
      <c r="S315">
        <f ca="1">IFERROR(IF(0=LEN(ReferenceData!$S$315),"",ReferenceData!$S$315),"")</f>
        <v>40029.667220000003</v>
      </c>
      <c r="T315">
        <f ca="1">IFERROR(IF(0=LEN(ReferenceData!$T$315),"",ReferenceData!$T$315),"")</f>
        <v>40238.572740000003</v>
      </c>
      <c r="U315">
        <f ca="1">IFERROR(IF(0=LEN(ReferenceData!$U$315),"",ReferenceData!$U$315),"")</f>
        <v>39406.239759999997</v>
      </c>
      <c r="V315">
        <f ca="1">IFERROR(IF(0=LEN(ReferenceData!$V$315),"",ReferenceData!$V$315),"")</f>
        <v>39368.520219999999</v>
      </c>
      <c r="W315">
        <f ca="1">IFERROR(IF(0=LEN(ReferenceData!$W$315),"",ReferenceData!$W$315),"")</f>
        <v>38366.079769999997</v>
      </c>
      <c r="X315">
        <f ca="1">IFERROR(IF(0=LEN(ReferenceData!$X$315),"",ReferenceData!$X$315),"")</f>
        <v>40196.899510000003</v>
      </c>
      <c r="Y315">
        <f ca="1">IFERROR(IF(0=LEN(ReferenceData!$Y$315),"",ReferenceData!$Y$315),"")</f>
        <v>41347.467669999998</v>
      </c>
      <c r="Z315">
        <f ca="1">IFERROR(IF(0=LEN(ReferenceData!$Z$315),"",ReferenceData!$Z$315),"")</f>
        <v>41221.703699999998</v>
      </c>
      <c r="AA315">
        <f ca="1">IFERROR(IF(0=LEN(ReferenceData!$AA$315),"",ReferenceData!$AA$315),"")</f>
        <v>39293.463799999998</v>
      </c>
      <c r="AB315">
        <f ca="1">IFERROR(IF(0=LEN(ReferenceData!$AB$315),"",ReferenceData!$AB$315),"")</f>
        <v>40370.104879999999</v>
      </c>
      <c r="AC315">
        <f ca="1">IFERROR(IF(0=LEN(ReferenceData!$AC$315),"",ReferenceData!$AC$315),"")</f>
        <v>38263.978660000001</v>
      </c>
      <c r="AD315">
        <f ca="1">IFERROR(IF(0=LEN(ReferenceData!$AD$315),"",ReferenceData!$AD$315),"")</f>
        <v>38832.700060000003</v>
      </c>
      <c r="AE315">
        <f ca="1">IFERROR(IF(0=LEN(ReferenceData!$AE$315),"",ReferenceData!$AE$315),"")</f>
        <v>37609.524360000003</v>
      </c>
      <c r="AF315">
        <f ca="1">IFERROR(IF(0=LEN(ReferenceData!$AF$315),"",ReferenceData!$AF$315),"")</f>
        <v>39187.230490000002</v>
      </c>
      <c r="AG315">
        <f ca="1">IFERROR(IF(0=LEN(ReferenceData!$AG$315),"",ReferenceData!$AG$315),"")</f>
        <v>37271.942360000001</v>
      </c>
      <c r="AH315">
        <f ca="1">IFERROR(IF(0=LEN(ReferenceData!$AH$315),"",ReferenceData!$AH$315),"")</f>
        <v>36657.388359999997</v>
      </c>
      <c r="AI315">
        <f ca="1">IFERROR(IF(0=LEN(ReferenceData!$AI$315),"",ReferenceData!$AI$315),"")</f>
        <v>36223.912199999999</v>
      </c>
      <c r="AJ315">
        <f ca="1">IFERROR(IF(0=LEN(ReferenceData!$AJ$315),"",ReferenceData!$AJ$315),"")</f>
        <v>36102.100079999997</v>
      </c>
      <c r="AK315">
        <f ca="1">IFERROR(IF(0=LEN(ReferenceData!$AK$315),"",ReferenceData!$AK$315),"")</f>
        <v>35622.318769999998</v>
      </c>
      <c r="AL315">
        <f ca="1">IFERROR(IF(0=LEN(ReferenceData!$AL$315),"",ReferenceData!$AL$315),"")</f>
        <v>33925.642879999999</v>
      </c>
      <c r="AM315">
        <f ca="1">IFERROR(IF(0=LEN(ReferenceData!$AM$315),"",ReferenceData!$AM$315),"")</f>
        <v>33581.709569999999</v>
      </c>
      <c r="AN315">
        <f ca="1">IFERROR(IF(0=LEN(ReferenceData!$AN$315),"",ReferenceData!$AN$315),"")</f>
        <v>32359.010300000002</v>
      </c>
      <c r="AO315">
        <f ca="1">IFERROR(IF(0=LEN(ReferenceData!$AO$315),"",ReferenceData!$AO$315),"")</f>
        <v>29886.136829999999</v>
      </c>
      <c r="AP315">
        <f ca="1">IFERROR(IF(0=LEN(ReferenceData!$AP$315),"",ReferenceData!$AP$315),"")</f>
        <v>27459.621149999999</v>
      </c>
      <c r="AQ315">
        <f ca="1">IFERROR(IF(0=LEN(ReferenceData!$AQ$315),"",ReferenceData!$AQ$315),"")</f>
        <v>27305.464889999999</v>
      </c>
      <c r="AR315">
        <f ca="1">IFERROR(IF(0=LEN(ReferenceData!$AR$315),"",ReferenceData!$AR$315),"")</f>
        <v>27180.932199999999</v>
      </c>
      <c r="AS315">
        <f ca="1">IFERROR(IF(0=LEN(ReferenceData!$AS$315),"",ReferenceData!$AS$315),"")</f>
        <v>25970.20349</v>
      </c>
      <c r="AT315">
        <f ca="1">IFERROR(IF(0=LEN(ReferenceData!$AT$315),"",ReferenceData!$AT$315),"")</f>
        <v>24766.019120000001</v>
      </c>
      <c r="AU315">
        <f ca="1">IFERROR(IF(0=LEN(ReferenceData!$AU$315),"",ReferenceData!$AU$315),"")</f>
        <v>30207.588940000001</v>
      </c>
      <c r="AV315">
        <f ca="1">IFERROR(IF(0=LEN(ReferenceData!$AV$315),"",ReferenceData!$AV$315),"")</f>
        <v>31439.956679999999</v>
      </c>
      <c r="AW315">
        <f ca="1">IFERROR(IF(0=LEN(ReferenceData!$AW$315),"",ReferenceData!$AW$315),"")</f>
        <v>32023.570960000001</v>
      </c>
      <c r="AX315">
        <f ca="1">IFERROR(IF(0=LEN(ReferenceData!$AX$315),"",ReferenceData!$AX$315),"")</f>
        <v>33249.86982</v>
      </c>
      <c r="AY315">
        <f ca="1">IFERROR(IF(0=LEN(ReferenceData!$AY$315),"",ReferenceData!$AY$315),"")</f>
        <v>31572.680919999999</v>
      </c>
      <c r="AZ315">
        <f ca="1">IFERROR(IF(0=LEN(ReferenceData!$AZ$315),"",ReferenceData!$AZ$315),"")</f>
        <v>30690.418119999998</v>
      </c>
      <c r="BA315">
        <f ca="1">IFERROR(IF(0=LEN(ReferenceData!$BA$315),"",ReferenceData!$BA$315),"")</f>
        <v>28646.18692</v>
      </c>
      <c r="BB315">
        <f ca="1">IFERROR(IF(0=LEN(ReferenceData!$BB$315),"",ReferenceData!$BB$315),"")</f>
        <v>28596.26669</v>
      </c>
      <c r="BC315">
        <f ca="1">IFERROR(IF(0=LEN(ReferenceData!$BC$315),"",ReferenceData!$BC$315),"")</f>
        <v>27246.943230000001</v>
      </c>
      <c r="BD315">
        <f ca="1">IFERROR(IF(0=LEN(ReferenceData!$BD$315),"",ReferenceData!$BD$315),"")</f>
        <v>26551.067620000002</v>
      </c>
      <c r="BE315">
        <f ca="1">IFERROR(IF(0=LEN(ReferenceData!$BE$315),"",ReferenceData!$BE$315),"")</f>
        <v>25712.474880000002</v>
      </c>
      <c r="BF315">
        <f ca="1">IFERROR(IF(0=LEN(ReferenceData!$BF$315),"",ReferenceData!$BF$315),"")</f>
        <v>24689.65106</v>
      </c>
      <c r="BG315">
        <f ca="1">IFERROR(IF(0=LEN(ReferenceData!$BG$315),"",ReferenceData!$BG$315),"")</f>
        <v>22972.51844</v>
      </c>
      <c r="BH315">
        <f ca="1">IFERROR(IF(0=LEN(ReferenceData!$BH$315),"",ReferenceData!$BH$315),"")</f>
        <v>22357.088759999999</v>
      </c>
      <c r="BI315">
        <f ca="1">IFERROR(IF(0=LEN(ReferenceData!$BI$315),"",ReferenceData!$BI$315),"")</f>
        <v>21353.60137</v>
      </c>
      <c r="BJ315">
        <f ca="1">IFERROR(IF(0=LEN(ReferenceData!$BJ$315),"",ReferenceData!$BJ$315),"")</f>
        <v>21339.45896</v>
      </c>
      <c r="BK315">
        <f ca="1">IFERROR(IF(0=LEN(ReferenceData!$BK$315),"",ReferenceData!$BK$315),"")</f>
        <v>20768.110430000001</v>
      </c>
      <c r="BL315">
        <f ca="1">IFERROR(IF(0=LEN(ReferenceData!$BL$315),"",ReferenceData!$BL$315),"")</f>
        <v>19041.435460000001</v>
      </c>
      <c r="BM315">
        <f ca="1">IFERROR(IF(0=LEN(ReferenceData!$BM$315),"",ReferenceData!$BM$315),"")</f>
        <v>18286.129649999999</v>
      </c>
    </row>
    <row r="316" spans="1:65" x14ac:dyDescent="0.25">
      <c r="A316" t="str">
        <f>IFERROR(IF(0=LEN(ReferenceData!$A$316),"",ReferenceData!$A$316),"")</f>
        <v xml:space="preserve">    Peugeot SA</v>
      </c>
      <c r="B316" t="str">
        <f>IFERROR(IF(0=LEN(ReferenceData!$B$316),"",ReferenceData!$B$316),"")</f>
        <v>UG FP Equity</v>
      </c>
      <c r="C316" t="str">
        <f>IFERROR(IF(0=LEN(ReferenceData!$C$316),"",ReferenceData!$C$316),"")</f>
        <v>RR179</v>
      </c>
      <c r="D316" t="str">
        <f>IFERROR(IF(0=LEN(ReferenceData!$D$316),"",ReferenceData!$D$316),"")</f>
        <v>TANGIBLE_COMMON_EQUITY</v>
      </c>
      <c r="E316" t="str">
        <f>IFERROR(IF(0=LEN(ReferenceData!$E$316),"",ReferenceData!$E$316),"")</f>
        <v>Dynamic</v>
      </c>
      <c r="F316" t="str">
        <f ca="1">IFERROR(IF(0=LEN(ReferenceData!$F$316),"",ReferenceData!$F$316),"")</f>
        <v/>
      </c>
      <c r="G316" t="str">
        <f ca="1">IFERROR(IF(0=LEN(ReferenceData!$G$316),"",ReferenceData!$G$316),"")</f>
        <v/>
      </c>
      <c r="H316" t="str">
        <f ca="1">IFERROR(IF(0=LEN(ReferenceData!$H$316),"",ReferenceData!$H$316),"")</f>
        <v/>
      </c>
      <c r="I316" t="str">
        <f ca="1">IFERROR(IF(0=LEN(ReferenceData!$I$316),"",ReferenceData!$I$316),"")</f>
        <v/>
      </c>
      <c r="J316" t="str">
        <f ca="1">IFERROR(IF(0=LEN(ReferenceData!$J$316),"",ReferenceData!$J$316),"")</f>
        <v/>
      </c>
      <c r="K316" t="str">
        <f ca="1">IFERROR(IF(0=LEN(ReferenceData!$K$316),"",ReferenceData!$K$316),"")</f>
        <v/>
      </c>
      <c r="L316" t="str">
        <f ca="1">IFERROR(IF(0=LEN(ReferenceData!$L$316),"",ReferenceData!$L$316),"")</f>
        <v/>
      </c>
      <c r="M316" t="str">
        <f ca="1">IFERROR(IF(0=LEN(ReferenceData!$M$316),"",ReferenceData!$M$316),"")</f>
        <v/>
      </c>
      <c r="N316" t="str">
        <f ca="1">IFERROR(IF(0=LEN(ReferenceData!$N$316),"",ReferenceData!$N$316),"")</f>
        <v/>
      </c>
      <c r="O316" t="str">
        <f ca="1">IFERROR(IF(0=LEN(ReferenceData!$O$316),"",ReferenceData!$O$316),"")</f>
        <v/>
      </c>
      <c r="P316" t="str">
        <f ca="1">IFERROR(IF(0=LEN(ReferenceData!$P$316),"",ReferenceData!$P$316),"")</f>
        <v/>
      </c>
      <c r="Q316" t="str">
        <f ca="1">IFERROR(IF(0=LEN(ReferenceData!$Q$316),"",ReferenceData!$Q$316),"")</f>
        <v/>
      </c>
      <c r="R316" t="str">
        <f ca="1">IFERROR(IF(0=LEN(ReferenceData!$R$316),"",ReferenceData!$R$316),"")</f>
        <v/>
      </c>
      <c r="S316" t="str">
        <f ca="1">IFERROR(IF(0=LEN(ReferenceData!$S$316),"",ReferenceData!$S$316),"")</f>
        <v/>
      </c>
      <c r="T316" t="str">
        <f ca="1">IFERROR(IF(0=LEN(ReferenceData!$T$316),"",ReferenceData!$T$316),"")</f>
        <v/>
      </c>
      <c r="U316" t="str">
        <f ca="1">IFERROR(IF(0=LEN(ReferenceData!$U$316),"",ReferenceData!$U$316),"")</f>
        <v/>
      </c>
      <c r="V316" t="str">
        <f ca="1">IFERROR(IF(0=LEN(ReferenceData!$V$316),"",ReferenceData!$V$316),"")</f>
        <v/>
      </c>
      <c r="W316" t="str">
        <f ca="1">IFERROR(IF(0=LEN(ReferenceData!$W$316),"",ReferenceData!$W$316),"")</f>
        <v/>
      </c>
      <c r="X316" t="str">
        <f ca="1">IFERROR(IF(0=LEN(ReferenceData!$X$316),"",ReferenceData!$X$316),"")</f>
        <v/>
      </c>
      <c r="Y316" t="str">
        <f ca="1">IFERROR(IF(0=LEN(ReferenceData!$Y$316),"",ReferenceData!$Y$316),"")</f>
        <v/>
      </c>
      <c r="Z316" t="str">
        <f ca="1">IFERROR(IF(0=LEN(ReferenceData!$Z$316),"",ReferenceData!$Z$316),"")</f>
        <v/>
      </c>
      <c r="AA316" t="str">
        <f ca="1">IFERROR(IF(0=LEN(ReferenceData!$AA$316),"",ReferenceData!$AA$316),"")</f>
        <v/>
      </c>
      <c r="AB316" t="str">
        <f ca="1">IFERROR(IF(0=LEN(ReferenceData!$AB$316),"",ReferenceData!$AB$316),"")</f>
        <v/>
      </c>
      <c r="AC316" t="str">
        <f ca="1">IFERROR(IF(0=LEN(ReferenceData!$AC$316),"",ReferenceData!$AC$316),"")</f>
        <v/>
      </c>
      <c r="AD316" t="str">
        <f ca="1">IFERROR(IF(0=LEN(ReferenceData!$AD$316),"",ReferenceData!$AD$316),"")</f>
        <v/>
      </c>
      <c r="AE316" t="str">
        <f ca="1">IFERROR(IF(0=LEN(ReferenceData!$AE$316),"",ReferenceData!$AE$316),"")</f>
        <v/>
      </c>
      <c r="AF316" t="str">
        <f ca="1">IFERROR(IF(0=LEN(ReferenceData!$AF$316),"",ReferenceData!$AF$316),"")</f>
        <v/>
      </c>
      <c r="AG316" t="str">
        <f ca="1">IFERROR(IF(0=LEN(ReferenceData!$AG$316),"",ReferenceData!$AG$316),"")</f>
        <v/>
      </c>
      <c r="AH316" t="str">
        <f ca="1">IFERROR(IF(0=LEN(ReferenceData!$AH$316),"",ReferenceData!$AH$316),"")</f>
        <v/>
      </c>
      <c r="AI316" t="str">
        <f ca="1">IFERROR(IF(0=LEN(ReferenceData!$AI$316),"",ReferenceData!$AI$316),"")</f>
        <v/>
      </c>
      <c r="AJ316" t="str">
        <f ca="1">IFERROR(IF(0=LEN(ReferenceData!$AJ$316),"",ReferenceData!$AJ$316),"")</f>
        <v/>
      </c>
      <c r="AK316" t="str">
        <f ca="1">IFERROR(IF(0=LEN(ReferenceData!$AK$316),"",ReferenceData!$AK$316),"")</f>
        <v/>
      </c>
      <c r="AL316" t="str">
        <f ca="1">IFERROR(IF(0=LEN(ReferenceData!$AL$316),"",ReferenceData!$AL$316),"")</f>
        <v/>
      </c>
      <c r="AM316" t="str">
        <f ca="1">IFERROR(IF(0=LEN(ReferenceData!$AM$316),"",ReferenceData!$AM$316),"")</f>
        <v/>
      </c>
      <c r="AN316" t="str">
        <f ca="1">IFERROR(IF(0=LEN(ReferenceData!$AN$316),"",ReferenceData!$AN$316),"")</f>
        <v/>
      </c>
      <c r="AO316" t="str">
        <f ca="1">IFERROR(IF(0=LEN(ReferenceData!$AO$316),"",ReferenceData!$AO$316),"")</f>
        <v/>
      </c>
      <c r="AP316" t="str">
        <f ca="1">IFERROR(IF(0=LEN(ReferenceData!$AP$316),"",ReferenceData!$AP$316),"")</f>
        <v/>
      </c>
      <c r="AQ316" t="str">
        <f ca="1">IFERROR(IF(0=LEN(ReferenceData!$AQ$316),"",ReferenceData!$AQ$316),"")</f>
        <v/>
      </c>
      <c r="AR316" t="str">
        <f ca="1">IFERROR(IF(0=LEN(ReferenceData!$AR$316),"",ReferenceData!$AR$316),"")</f>
        <v/>
      </c>
      <c r="AS316" t="str">
        <f ca="1">IFERROR(IF(0=LEN(ReferenceData!$AS$316),"",ReferenceData!$AS$316),"")</f>
        <v/>
      </c>
      <c r="AT316" t="str">
        <f ca="1">IFERROR(IF(0=LEN(ReferenceData!$AT$316),"",ReferenceData!$AT$316),"")</f>
        <v/>
      </c>
      <c r="AU316" t="str">
        <f ca="1">IFERROR(IF(0=LEN(ReferenceData!$AU$316),"",ReferenceData!$AU$316),"")</f>
        <v/>
      </c>
      <c r="AV316" t="str">
        <f ca="1">IFERROR(IF(0=LEN(ReferenceData!$AV$316),"",ReferenceData!$AV$316),"")</f>
        <v/>
      </c>
      <c r="AW316" t="str">
        <f ca="1">IFERROR(IF(0=LEN(ReferenceData!$AW$316),"",ReferenceData!$AW$316),"")</f>
        <v/>
      </c>
      <c r="AX316" t="str">
        <f ca="1">IFERROR(IF(0=LEN(ReferenceData!$AX$316),"",ReferenceData!$AX$316),"")</f>
        <v/>
      </c>
      <c r="AY316" t="str">
        <f ca="1">IFERROR(IF(0=LEN(ReferenceData!$AY$316),"",ReferenceData!$AY$316),"")</f>
        <v/>
      </c>
      <c r="AZ316" t="str">
        <f ca="1">IFERROR(IF(0=LEN(ReferenceData!$AZ$316),"",ReferenceData!$AZ$316),"")</f>
        <v/>
      </c>
      <c r="BA316" t="str">
        <f ca="1">IFERROR(IF(0=LEN(ReferenceData!$BA$316),"",ReferenceData!$BA$316),"")</f>
        <v/>
      </c>
      <c r="BB316" t="str">
        <f ca="1">IFERROR(IF(0=LEN(ReferenceData!$BB$316),"",ReferenceData!$BB$316),"")</f>
        <v/>
      </c>
      <c r="BC316" t="str">
        <f ca="1">IFERROR(IF(0=LEN(ReferenceData!$BC$316),"",ReferenceData!$BC$316),"")</f>
        <v/>
      </c>
      <c r="BD316" t="str">
        <f ca="1">IFERROR(IF(0=LEN(ReferenceData!$BD$316),"",ReferenceData!$BD$316),"")</f>
        <v/>
      </c>
      <c r="BE316" t="str">
        <f ca="1">IFERROR(IF(0=LEN(ReferenceData!$BE$316),"",ReferenceData!$BE$316),"")</f>
        <v/>
      </c>
      <c r="BF316" t="str">
        <f ca="1">IFERROR(IF(0=LEN(ReferenceData!$BF$316),"",ReferenceData!$BF$316),"")</f>
        <v/>
      </c>
      <c r="BG316" t="str">
        <f ca="1">IFERROR(IF(0=LEN(ReferenceData!$BG$316),"",ReferenceData!$BG$316),"")</f>
        <v/>
      </c>
      <c r="BH316" t="str">
        <f ca="1">IFERROR(IF(0=LEN(ReferenceData!$BH$316),"",ReferenceData!$BH$316),"")</f>
        <v/>
      </c>
      <c r="BI316" t="str">
        <f ca="1">IFERROR(IF(0=LEN(ReferenceData!$BI$316),"",ReferenceData!$BI$316),"")</f>
        <v/>
      </c>
      <c r="BJ316" t="str">
        <f ca="1">IFERROR(IF(0=LEN(ReferenceData!$BJ$316),"",ReferenceData!$BJ$316),"")</f>
        <v/>
      </c>
      <c r="BK316" t="str">
        <f ca="1">IFERROR(IF(0=LEN(ReferenceData!$BK$316),"",ReferenceData!$BK$316),"")</f>
        <v/>
      </c>
      <c r="BL316" t="str">
        <f ca="1">IFERROR(IF(0=LEN(ReferenceData!$BL$316),"",ReferenceData!$BL$316),"")</f>
        <v/>
      </c>
      <c r="BM316" t="str">
        <f ca="1">IFERROR(IF(0=LEN(ReferenceData!$BM$316),"",ReferenceData!$BM$316),"")</f>
        <v/>
      </c>
    </row>
    <row r="317" spans="1:65" x14ac:dyDescent="0.25">
      <c r="A317" t="str">
        <f>IFERROR(IF(0=LEN(ReferenceData!$A$317),"",ReferenceData!$A$317),"")</f>
        <v xml:space="preserve">    Renault SA</v>
      </c>
      <c r="B317" t="str">
        <f>IFERROR(IF(0=LEN(ReferenceData!$B$317),"",ReferenceData!$B$317),"")</f>
        <v>RNO FP Equity</v>
      </c>
      <c r="C317" t="str">
        <f>IFERROR(IF(0=LEN(ReferenceData!$C$317),"",ReferenceData!$C$317),"")</f>
        <v>RR179</v>
      </c>
      <c r="D317" t="str">
        <f>IFERROR(IF(0=LEN(ReferenceData!$D$317),"",ReferenceData!$D$317),"")</f>
        <v>TANGIBLE_COMMON_EQUITY</v>
      </c>
      <c r="E317" t="str">
        <f>IFERROR(IF(0=LEN(ReferenceData!$E$317),"",ReferenceData!$E$317),"")</f>
        <v>Dynamic</v>
      </c>
      <c r="F317" t="str">
        <f ca="1">IFERROR(IF(0=LEN(ReferenceData!$F$317),"",ReferenceData!$F$317),"")</f>
        <v/>
      </c>
      <c r="G317" t="str">
        <f ca="1">IFERROR(IF(0=LEN(ReferenceData!$G$317),"",ReferenceData!$G$317),"")</f>
        <v/>
      </c>
      <c r="H317" t="str">
        <f ca="1">IFERROR(IF(0=LEN(ReferenceData!$H$317),"",ReferenceData!$H$317),"")</f>
        <v/>
      </c>
      <c r="I317" t="str">
        <f ca="1">IFERROR(IF(0=LEN(ReferenceData!$I$317),"",ReferenceData!$I$317),"")</f>
        <v/>
      </c>
      <c r="J317" t="str">
        <f ca="1">IFERROR(IF(0=LEN(ReferenceData!$J$317),"",ReferenceData!$J$317),"")</f>
        <v/>
      </c>
      <c r="K317" t="str">
        <f ca="1">IFERROR(IF(0=LEN(ReferenceData!$K$317),"",ReferenceData!$K$317),"")</f>
        <v/>
      </c>
      <c r="L317" t="str">
        <f ca="1">IFERROR(IF(0=LEN(ReferenceData!$L$317),"",ReferenceData!$L$317),"")</f>
        <v/>
      </c>
      <c r="M317" t="str">
        <f ca="1">IFERROR(IF(0=LEN(ReferenceData!$M$317),"",ReferenceData!$M$317),"")</f>
        <v/>
      </c>
      <c r="N317" t="str">
        <f ca="1">IFERROR(IF(0=LEN(ReferenceData!$N$317),"",ReferenceData!$N$317),"")</f>
        <v/>
      </c>
      <c r="O317" t="str">
        <f ca="1">IFERROR(IF(0=LEN(ReferenceData!$O$317),"",ReferenceData!$O$317),"")</f>
        <v/>
      </c>
      <c r="P317" t="str">
        <f ca="1">IFERROR(IF(0=LEN(ReferenceData!$P$317),"",ReferenceData!$P$317),"")</f>
        <v/>
      </c>
      <c r="Q317" t="str">
        <f ca="1">IFERROR(IF(0=LEN(ReferenceData!$Q$317),"",ReferenceData!$Q$317),"")</f>
        <v/>
      </c>
      <c r="R317" t="str">
        <f ca="1">IFERROR(IF(0=LEN(ReferenceData!$R$317),"",ReferenceData!$R$317),"")</f>
        <v/>
      </c>
      <c r="S317" t="str">
        <f ca="1">IFERROR(IF(0=LEN(ReferenceData!$S$317),"",ReferenceData!$S$317),"")</f>
        <v/>
      </c>
      <c r="T317" t="str">
        <f ca="1">IFERROR(IF(0=LEN(ReferenceData!$T$317),"",ReferenceData!$T$317),"")</f>
        <v/>
      </c>
      <c r="U317" t="str">
        <f ca="1">IFERROR(IF(0=LEN(ReferenceData!$U$317),"",ReferenceData!$U$317),"")</f>
        <v/>
      </c>
      <c r="V317" t="str">
        <f ca="1">IFERROR(IF(0=LEN(ReferenceData!$V$317),"",ReferenceData!$V$317),"")</f>
        <v/>
      </c>
      <c r="W317" t="str">
        <f ca="1">IFERROR(IF(0=LEN(ReferenceData!$W$317),"",ReferenceData!$W$317),"")</f>
        <v/>
      </c>
      <c r="X317" t="str">
        <f ca="1">IFERROR(IF(0=LEN(ReferenceData!$X$317),"",ReferenceData!$X$317),"")</f>
        <v/>
      </c>
      <c r="Y317" t="str">
        <f ca="1">IFERROR(IF(0=LEN(ReferenceData!$Y$317),"",ReferenceData!$Y$317),"")</f>
        <v/>
      </c>
      <c r="Z317" t="str">
        <f ca="1">IFERROR(IF(0=LEN(ReferenceData!$Z$317),"",ReferenceData!$Z$317),"")</f>
        <v/>
      </c>
      <c r="AA317" t="str">
        <f ca="1">IFERROR(IF(0=LEN(ReferenceData!$AA$317),"",ReferenceData!$AA$317),"")</f>
        <v/>
      </c>
      <c r="AB317" t="str">
        <f ca="1">IFERROR(IF(0=LEN(ReferenceData!$AB$317),"",ReferenceData!$AB$317),"")</f>
        <v/>
      </c>
      <c r="AC317" t="str">
        <f ca="1">IFERROR(IF(0=LEN(ReferenceData!$AC$317),"",ReferenceData!$AC$317),"")</f>
        <v/>
      </c>
      <c r="AD317" t="str">
        <f ca="1">IFERROR(IF(0=LEN(ReferenceData!$AD$317),"",ReferenceData!$AD$317),"")</f>
        <v/>
      </c>
      <c r="AE317" t="str">
        <f ca="1">IFERROR(IF(0=LEN(ReferenceData!$AE$317),"",ReferenceData!$AE$317),"")</f>
        <v/>
      </c>
      <c r="AF317" t="str">
        <f ca="1">IFERROR(IF(0=LEN(ReferenceData!$AF$317),"",ReferenceData!$AF$317),"")</f>
        <v/>
      </c>
      <c r="AG317" t="str">
        <f ca="1">IFERROR(IF(0=LEN(ReferenceData!$AG$317),"",ReferenceData!$AG$317),"")</f>
        <v/>
      </c>
      <c r="AH317" t="str">
        <f ca="1">IFERROR(IF(0=LEN(ReferenceData!$AH$317),"",ReferenceData!$AH$317),"")</f>
        <v/>
      </c>
      <c r="AI317" t="str">
        <f ca="1">IFERROR(IF(0=LEN(ReferenceData!$AI$317),"",ReferenceData!$AI$317),"")</f>
        <v/>
      </c>
      <c r="AJ317" t="str">
        <f ca="1">IFERROR(IF(0=LEN(ReferenceData!$AJ$317),"",ReferenceData!$AJ$317),"")</f>
        <v/>
      </c>
      <c r="AK317" t="str">
        <f ca="1">IFERROR(IF(0=LEN(ReferenceData!$AK$317),"",ReferenceData!$AK$317),"")</f>
        <v/>
      </c>
      <c r="AL317" t="str">
        <f ca="1">IFERROR(IF(0=LEN(ReferenceData!$AL$317),"",ReferenceData!$AL$317),"")</f>
        <v/>
      </c>
      <c r="AM317" t="str">
        <f ca="1">IFERROR(IF(0=LEN(ReferenceData!$AM$317),"",ReferenceData!$AM$317),"")</f>
        <v/>
      </c>
      <c r="AN317" t="str">
        <f ca="1">IFERROR(IF(0=LEN(ReferenceData!$AN$317),"",ReferenceData!$AN$317),"")</f>
        <v/>
      </c>
      <c r="AO317" t="str">
        <f ca="1">IFERROR(IF(0=LEN(ReferenceData!$AO$317),"",ReferenceData!$AO$317),"")</f>
        <v/>
      </c>
      <c r="AP317" t="str">
        <f ca="1">IFERROR(IF(0=LEN(ReferenceData!$AP$317),"",ReferenceData!$AP$317),"")</f>
        <v/>
      </c>
      <c r="AQ317" t="str">
        <f ca="1">IFERROR(IF(0=LEN(ReferenceData!$AQ$317),"",ReferenceData!$AQ$317),"")</f>
        <v/>
      </c>
      <c r="AR317" t="str">
        <f ca="1">IFERROR(IF(0=LEN(ReferenceData!$AR$317),"",ReferenceData!$AR$317),"")</f>
        <v/>
      </c>
      <c r="AS317" t="str">
        <f ca="1">IFERROR(IF(0=LEN(ReferenceData!$AS$317),"",ReferenceData!$AS$317),"")</f>
        <v/>
      </c>
      <c r="AT317" t="str">
        <f ca="1">IFERROR(IF(0=LEN(ReferenceData!$AT$317),"",ReferenceData!$AT$317),"")</f>
        <v/>
      </c>
      <c r="AU317" t="str">
        <f ca="1">IFERROR(IF(0=LEN(ReferenceData!$AU$317),"",ReferenceData!$AU$317),"")</f>
        <v/>
      </c>
      <c r="AV317" t="str">
        <f ca="1">IFERROR(IF(0=LEN(ReferenceData!$AV$317),"",ReferenceData!$AV$317),"")</f>
        <v/>
      </c>
      <c r="AW317" t="str">
        <f ca="1">IFERROR(IF(0=LEN(ReferenceData!$AW$317),"",ReferenceData!$AW$317),"")</f>
        <v/>
      </c>
      <c r="AX317" t="str">
        <f ca="1">IFERROR(IF(0=LEN(ReferenceData!$AX$317),"",ReferenceData!$AX$317),"")</f>
        <v/>
      </c>
      <c r="AY317" t="str">
        <f ca="1">IFERROR(IF(0=LEN(ReferenceData!$AY$317),"",ReferenceData!$AY$317),"")</f>
        <v/>
      </c>
      <c r="AZ317" t="str">
        <f ca="1">IFERROR(IF(0=LEN(ReferenceData!$AZ$317),"",ReferenceData!$AZ$317),"")</f>
        <v/>
      </c>
      <c r="BA317" t="str">
        <f ca="1">IFERROR(IF(0=LEN(ReferenceData!$BA$317),"",ReferenceData!$BA$317),"")</f>
        <v/>
      </c>
      <c r="BB317" t="str">
        <f ca="1">IFERROR(IF(0=LEN(ReferenceData!$BB$317),"",ReferenceData!$BB$317),"")</f>
        <v/>
      </c>
      <c r="BC317" t="str">
        <f ca="1">IFERROR(IF(0=LEN(ReferenceData!$BC$317),"",ReferenceData!$BC$317),"")</f>
        <v/>
      </c>
      <c r="BD317" t="str">
        <f ca="1">IFERROR(IF(0=LEN(ReferenceData!$BD$317),"",ReferenceData!$BD$317),"")</f>
        <v/>
      </c>
      <c r="BE317" t="str">
        <f ca="1">IFERROR(IF(0=LEN(ReferenceData!$BE$317),"",ReferenceData!$BE$317),"")</f>
        <v/>
      </c>
      <c r="BF317" t="str">
        <f ca="1">IFERROR(IF(0=LEN(ReferenceData!$BF$317),"",ReferenceData!$BF$317),"")</f>
        <v/>
      </c>
      <c r="BG317" t="str">
        <f ca="1">IFERROR(IF(0=LEN(ReferenceData!$BG$317),"",ReferenceData!$BG$317),"")</f>
        <v/>
      </c>
      <c r="BH317" t="str">
        <f ca="1">IFERROR(IF(0=LEN(ReferenceData!$BH$317),"",ReferenceData!$BH$317),"")</f>
        <v/>
      </c>
      <c r="BI317" t="str">
        <f ca="1">IFERROR(IF(0=LEN(ReferenceData!$BI$317),"",ReferenceData!$BI$317),"")</f>
        <v/>
      </c>
      <c r="BJ317" t="str">
        <f ca="1">IFERROR(IF(0=LEN(ReferenceData!$BJ$317),"",ReferenceData!$BJ$317),"")</f>
        <v/>
      </c>
      <c r="BK317" t="str">
        <f ca="1">IFERROR(IF(0=LEN(ReferenceData!$BK$317),"",ReferenceData!$BK$317),"")</f>
        <v/>
      </c>
      <c r="BL317" t="str">
        <f ca="1">IFERROR(IF(0=LEN(ReferenceData!$BL$317),"",ReferenceData!$BL$317),"")</f>
        <v/>
      </c>
      <c r="BM317" t="str">
        <f ca="1">IFERROR(IF(0=LEN(ReferenceData!$BM$317),"",ReferenceData!$BM$317),"")</f>
        <v/>
      </c>
    </row>
    <row r="318" spans="1:65" x14ac:dyDescent="0.25">
      <c r="A318" t="str">
        <f>IFERROR(IF(0=LEN(ReferenceData!$A$318),"",ReferenceData!$A$318),"")</f>
        <v xml:space="preserve">    SAIC Motor Corp Ltd</v>
      </c>
      <c r="B318" t="str">
        <f>IFERROR(IF(0=LEN(ReferenceData!$B$318),"",ReferenceData!$B$318),"")</f>
        <v>600104 CH Equity</v>
      </c>
      <c r="C318" t="str">
        <f>IFERROR(IF(0=LEN(ReferenceData!$C$318),"",ReferenceData!$C$318),"")</f>
        <v>RR179</v>
      </c>
      <c r="D318" t="str">
        <f>IFERROR(IF(0=LEN(ReferenceData!$D$318),"",ReferenceData!$D$318),"")</f>
        <v>TANGIBLE_COMMON_EQUITY</v>
      </c>
      <c r="E318" t="str">
        <f>IFERROR(IF(0=LEN(ReferenceData!$E$318),"",ReferenceData!$E$318),"")</f>
        <v>Dynamic</v>
      </c>
      <c r="F318" t="str">
        <f ca="1">IFERROR(IF(0=LEN(ReferenceData!$F$318),"",ReferenceData!$F$318),"")</f>
        <v/>
      </c>
      <c r="G318" t="str">
        <f ca="1">IFERROR(IF(0=LEN(ReferenceData!$G$318),"",ReferenceData!$G$318),"")</f>
        <v/>
      </c>
      <c r="H318">
        <f ca="1">IFERROR(IF(0=LEN(ReferenceData!$H$318),"",ReferenceData!$H$318),"")</f>
        <v>31472.572349999999</v>
      </c>
      <c r="I318">
        <f ca="1">IFERROR(IF(0=LEN(ReferenceData!$I$318),"",ReferenceData!$I$318),"")</f>
        <v>32638.055700000001</v>
      </c>
      <c r="J318">
        <f ca="1">IFERROR(IF(0=LEN(ReferenceData!$J$318),"",ReferenceData!$J$318),"")</f>
        <v>35116.823409999997</v>
      </c>
      <c r="K318">
        <f ca="1">IFERROR(IF(0=LEN(ReferenceData!$K$318),"",ReferenceData!$K$318),"")</f>
        <v>34307.006609999997</v>
      </c>
      <c r="L318">
        <f ca="1">IFERROR(IF(0=LEN(ReferenceData!$L$318),"",ReferenceData!$L$318),"")</f>
        <v>30697.024689999998</v>
      </c>
      <c r="M318">
        <f ca="1">IFERROR(IF(0=LEN(ReferenceData!$M$318),"",ReferenceData!$M$318),"")</f>
        <v>30142.422729999998</v>
      </c>
      <c r="N318">
        <f ca="1">IFERROR(IF(0=LEN(ReferenceData!$N$318),"",ReferenceData!$N$318),"")</f>
        <v>29855.63825</v>
      </c>
      <c r="O318">
        <f ca="1">IFERROR(IF(0=LEN(ReferenceData!$O$318),"",ReferenceData!$O$318),"")</f>
        <v>27398.774130000002</v>
      </c>
      <c r="P318">
        <f ca="1">IFERROR(IF(0=LEN(ReferenceData!$P$318),"",ReferenceData!$P$318),"")</f>
        <v>26245.76425</v>
      </c>
      <c r="Q318">
        <f ca="1">IFERROR(IF(0=LEN(ReferenceData!$Q$318),"",ReferenceData!$Q$318),"")</f>
        <v>26183.928510000002</v>
      </c>
      <c r="R318">
        <f ca="1">IFERROR(IF(0=LEN(ReferenceData!$R$318),"",ReferenceData!$R$318),"")</f>
        <v>27096.224689999999</v>
      </c>
      <c r="S318">
        <f ca="1">IFERROR(IF(0=LEN(ReferenceData!$S$318),"",ReferenceData!$S$318),"")</f>
        <v>26756.512019999998</v>
      </c>
      <c r="T318">
        <f ca="1">IFERROR(IF(0=LEN(ReferenceData!$T$318),"",ReferenceData!$T$318),"")</f>
        <v>24826.520079999998</v>
      </c>
      <c r="U318">
        <f ca="1">IFERROR(IF(0=LEN(ReferenceData!$U$318),"",ReferenceData!$U$318),"")</f>
        <v>25435.414690000001</v>
      </c>
      <c r="V318">
        <f ca="1">IFERROR(IF(0=LEN(ReferenceData!$V$318),"",ReferenceData!$V$318),"")</f>
        <v>25509.360339999999</v>
      </c>
      <c r="W318">
        <f ca="1">IFERROR(IF(0=LEN(ReferenceData!$W$318),"",ReferenceData!$W$318),"")</f>
        <v>25250.744780000001</v>
      </c>
      <c r="X318">
        <f ca="1">IFERROR(IF(0=LEN(ReferenceData!$X$318),"",ReferenceData!$X$318),"")</f>
        <v>22605.484799999998</v>
      </c>
      <c r="Y318">
        <f ca="1">IFERROR(IF(0=LEN(ReferenceData!$Y$318),"",ReferenceData!$Y$318),"")</f>
        <v>22057.072090000001</v>
      </c>
      <c r="Z318">
        <f ca="1">IFERROR(IF(0=LEN(ReferenceData!$Z$318),"",ReferenceData!$Z$318),"")</f>
        <v>22263.334920000001</v>
      </c>
      <c r="AA318">
        <f ca="1">IFERROR(IF(0=LEN(ReferenceData!$AA$318),"",ReferenceData!$AA$318),"")</f>
        <v>22575.02533</v>
      </c>
      <c r="AB318">
        <f ca="1">IFERROR(IF(0=LEN(ReferenceData!$AB$318),"",ReferenceData!$AB$318),"")</f>
        <v>20572.457989999999</v>
      </c>
      <c r="AC318">
        <f ca="1">IFERROR(IF(0=LEN(ReferenceData!$AC$318),"",ReferenceData!$AC$318),"")</f>
        <v>20151.415010000001</v>
      </c>
      <c r="AD318">
        <f ca="1">IFERROR(IF(0=LEN(ReferenceData!$AD$318),"",ReferenceData!$AD$318),"")</f>
        <v>19586.850050000001</v>
      </c>
      <c r="AE318">
        <f ca="1">IFERROR(IF(0=LEN(ReferenceData!$AE$318),"",ReferenceData!$AE$318),"")</f>
        <v>19229.560799999999</v>
      </c>
      <c r="AF318">
        <f ca="1">IFERROR(IF(0=LEN(ReferenceData!$AF$318),"",ReferenceData!$AF$318),"")</f>
        <v>17234.459070000001</v>
      </c>
      <c r="AG318">
        <f ca="1">IFERROR(IF(0=LEN(ReferenceData!$AG$318),"",ReferenceData!$AG$318),"")</f>
        <v>16630.530330000001</v>
      </c>
      <c r="AH318">
        <f ca="1">IFERROR(IF(0=LEN(ReferenceData!$AH$318),"",ReferenceData!$AH$318),"")</f>
        <v>15783.908789999999</v>
      </c>
      <c r="AI318">
        <f ca="1">IFERROR(IF(0=LEN(ReferenceData!$AI$318),"",ReferenceData!$AI$318),"")</f>
        <v>15627.26125</v>
      </c>
      <c r="AJ318">
        <f ca="1">IFERROR(IF(0=LEN(ReferenceData!$AJ$318),"",ReferenceData!$AJ$318),"")</f>
        <v>10937.75829</v>
      </c>
      <c r="AK318">
        <f ca="1">IFERROR(IF(0=LEN(ReferenceData!$AK$318),"",ReferenceData!$AK$318),"")</f>
        <v>10674.37851</v>
      </c>
      <c r="AL318">
        <f ca="1">IFERROR(IF(0=LEN(ReferenceData!$AL$318),"",ReferenceData!$AL$318),"")</f>
        <v>9701.879175</v>
      </c>
      <c r="AM318">
        <f ca="1">IFERROR(IF(0=LEN(ReferenceData!$AM$318),"",ReferenceData!$AM$318),"")</f>
        <v>12587.290859999999</v>
      </c>
      <c r="AN318">
        <f ca="1">IFERROR(IF(0=LEN(ReferenceData!$AN$318),"",ReferenceData!$AN$318),"")</f>
        <v>6742.1358719999998</v>
      </c>
      <c r="AO318">
        <f ca="1">IFERROR(IF(0=LEN(ReferenceData!$AO$318),"",ReferenceData!$AO$318),"")</f>
        <v>6538.7265719999996</v>
      </c>
      <c r="AP318">
        <f ca="1">IFERROR(IF(0=LEN(ReferenceData!$AP$318),"",ReferenceData!$AP$318),"")</f>
        <v>5653.267535</v>
      </c>
      <c r="AQ318">
        <f ca="1">IFERROR(IF(0=LEN(ReferenceData!$AQ$318),"",ReferenceData!$AQ$318),"")</f>
        <v>5876.8689700000004</v>
      </c>
      <c r="AR318">
        <f ca="1">IFERROR(IF(0=LEN(ReferenceData!$AR$318),"",ReferenceData!$AR$318),"")</f>
        <v>5233.4187810000003</v>
      </c>
      <c r="AS318">
        <f ca="1">IFERROR(IF(0=LEN(ReferenceData!$AS$318),"",ReferenceData!$AS$318),"")</f>
        <v>5177.3565070000004</v>
      </c>
      <c r="AT318">
        <f ca="1">IFERROR(IF(0=LEN(ReferenceData!$AT$318),"",ReferenceData!$AT$318),"")</f>
        <v>4794.9701869999999</v>
      </c>
      <c r="AU318">
        <f ca="1">IFERROR(IF(0=LEN(ReferenceData!$AU$318),"",ReferenceData!$AU$318),"")</f>
        <v>4967.8752910000003</v>
      </c>
      <c r="AV318">
        <f ca="1">IFERROR(IF(0=LEN(ReferenceData!$AV$318),"",ReferenceData!$AV$318),"")</f>
        <v>5056.131727</v>
      </c>
      <c r="AW318">
        <f ca="1">IFERROR(IF(0=LEN(ReferenceData!$AW$318),"",ReferenceData!$AW$318),"")</f>
        <v>5425.4700309999998</v>
      </c>
      <c r="AX318">
        <f ca="1">IFERROR(IF(0=LEN(ReferenceData!$AX$318),"",ReferenceData!$AX$318),"")</f>
        <v>5168.1115010000003</v>
      </c>
      <c r="AY318">
        <f ca="1">IFERROR(IF(0=LEN(ReferenceData!$AY$318),"",ReferenceData!$AY$318),"")</f>
        <v>5086.0784350000004</v>
      </c>
      <c r="AZ318">
        <f ca="1">IFERROR(IF(0=LEN(ReferenceData!$AZ$318),"",ReferenceData!$AZ$318),"")</f>
        <v>4480.770211</v>
      </c>
      <c r="BA318">
        <f ca="1">IFERROR(IF(0=LEN(ReferenceData!$BA$318),"",ReferenceData!$BA$318),"")</f>
        <v>4490.7795150000002</v>
      </c>
      <c r="BB318">
        <f ca="1">IFERROR(IF(0=LEN(ReferenceData!$BB$318),"",ReferenceData!$BB$318),"")</f>
        <v>4090.7036969999999</v>
      </c>
      <c r="BC318">
        <f ca="1">IFERROR(IF(0=LEN(ReferenceData!$BC$318),"",ReferenceData!$BC$318),"")</f>
        <v>4112.5218420000001</v>
      </c>
      <c r="BD318">
        <f ca="1">IFERROR(IF(0=LEN(ReferenceData!$BD$318),"",ReferenceData!$BD$318),"")</f>
        <v>1470.8754220000001</v>
      </c>
      <c r="BE318">
        <f ca="1">IFERROR(IF(0=LEN(ReferenceData!$BE$318),"",ReferenceData!$BE$318),"")</f>
        <v>1418.9004500000001</v>
      </c>
      <c r="BF318">
        <f ca="1">IFERROR(IF(0=LEN(ReferenceData!$BF$318),"",ReferenceData!$BF$318),"")</f>
        <v>1477.315151</v>
      </c>
      <c r="BG318">
        <f ca="1">IFERROR(IF(0=LEN(ReferenceData!$BG$318),"",ReferenceData!$BG$318),"")</f>
        <v>1441.0467940000001</v>
      </c>
      <c r="BH318" t="str">
        <f ca="1">IFERROR(IF(0=LEN(ReferenceData!$BH$318),"",ReferenceData!$BH$318),"")</f>
        <v/>
      </c>
      <c r="BI318">
        <f ca="1">IFERROR(IF(0=LEN(ReferenceData!$BI$318),"",ReferenceData!$BI$318),"")</f>
        <v>1329.235306</v>
      </c>
      <c r="BJ318" t="str">
        <f ca="1">IFERROR(IF(0=LEN(ReferenceData!$BJ$318),"",ReferenceData!$BJ$318),"")</f>
        <v/>
      </c>
      <c r="BK318">
        <f ca="1">IFERROR(IF(0=LEN(ReferenceData!$BK$318),"",ReferenceData!$BK$318),"")</f>
        <v>1373.7912160000001</v>
      </c>
      <c r="BL318" t="str">
        <f ca="1">IFERROR(IF(0=LEN(ReferenceData!$BL$318),"",ReferenceData!$BL$318),"")</f>
        <v/>
      </c>
      <c r="BM318">
        <f ca="1">IFERROR(IF(0=LEN(ReferenceData!$BM$318),"",ReferenceData!$BM$318),"")</f>
        <v>1297.6967139999999</v>
      </c>
    </row>
    <row r="319" spans="1:65" x14ac:dyDescent="0.25">
      <c r="A319" t="str">
        <f>IFERROR(IF(0=LEN(ReferenceData!$A$319),"",ReferenceData!$A$319),"")</f>
        <v xml:space="preserve">    Sanyang Motor Co Ltd</v>
      </c>
      <c r="B319" t="str">
        <f>IFERROR(IF(0=LEN(ReferenceData!$B$319),"",ReferenceData!$B$319),"")</f>
        <v>2206 TT Equity</v>
      </c>
      <c r="C319" t="str">
        <f>IFERROR(IF(0=LEN(ReferenceData!$C$319),"",ReferenceData!$C$319),"")</f>
        <v>RR179</v>
      </c>
      <c r="D319" t="str">
        <f>IFERROR(IF(0=LEN(ReferenceData!$D$319),"",ReferenceData!$D$319),"")</f>
        <v>TANGIBLE_COMMON_EQUITY</v>
      </c>
      <c r="E319" t="str">
        <f>IFERROR(IF(0=LEN(ReferenceData!$E$319),"",ReferenceData!$E$319),"")</f>
        <v>Dynamic</v>
      </c>
      <c r="F319" t="str">
        <f ca="1">IFERROR(IF(0=LEN(ReferenceData!$F$319),"",ReferenceData!$F$319),"")</f>
        <v/>
      </c>
      <c r="G319" t="str">
        <f ca="1">IFERROR(IF(0=LEN(ReferenceData!$G$319),"",ReferenceData!$G$319),"")</f>
        <v/>
      </c>
      <c r="H319">
        <f ca="1">IFERROR(IF(0=LEN(ReferenceData!$H$319),"",ReferenceData!$H$319),"")</f>
        <v>443.76631129999998</v>
      </c>
      <c r="I319">
        <f ca="1">IFERROR(IF(0=LEN(ReferenceData!$I$319),"",ReferenceData!$I$319),"")</f>
        <v>406.8768594</v>
      </c>
      <c r="J319">
        <f ca="1">IFERROR(IF(0=LEN(ReferenceData!$J$319),"",ReferenceData!$J$319),"")</f>
        <v>436.7215046</v>
      </c>
      <c r="K319">
        <f ca="1">IFERROR(IF(0=LEN(ReferenceData!$K$319),"",ReferenceData!$K$319),"")</f>
        <v>436.05426540000002</v>
      </c>
      <c r="L319" t="str">
        <f ca="1">IFERROR(IF(0=LEN(ReferenceData!$L$319),"",ReferenceData!$L$319),"")</f>
        <v/>
      </c>
      <c r="M319">
        <f ca="1">IFERROR(IF(0=LEN(ReferenceData!$M$319),"",ReferenceData!$M$319),"")</f>
        <v>444.62108239999998</v>
      </c>
      <c r="N319">
        <f ca="1">IFERROR(IF(0=LEN(ReferenceData!$N$319),"",ReferenceData!$N$319),"")</f>
        <v>472.0101133</v>
      </c>
      <c r="O319">
        <f ca="1">IFERROR(IF(0=LEN(ReferenceData!$O$319),"",ReferenceData!$O$319),"")</f>
        <v>456.8903158</v>
      </c>
      <c r="P319" t="str">
        <f ca="1">IFERROR(IF(0=LEN(ReferenceData!$P$319),"",ReferenceData!$P$319),"")</f>
        <v/>
      </c>
      <c r="Q319" t="str">
        <f ca="1">IFERROR(IF(0=LEN(ReferenceData!$Q$319),"",ReferenceData!$Q$319),"")</f>
        <v/>
      </c>
      <c r="R319" t="str">
        <f ca="1">IFERROR(IF(0=LEN(ReferenceData!$R$319),"",ReferenceData!$R$319),"")</f>
        <v/>
      </c>
      <c r="S319">
        <f ca="1">IFERROR(IF(0=LEN(ReferenceData!$S$319),"",ReferenceData!$S$319),"")</f>
        <v>493.80994049999998</v>
      </c>
      <c r="T319">
        <f ca="1">IFERROR(IF(0=LEN(ReferenceData!$T$319),"",ReferenceData!$T$319),"")</f>
        <v>515.46859570000004</v>
      </c>
      <c r="U319">
        <f ca="1">IFERROR(IF(0=LEN(ReferenceData!$U$319),"",ReferenceData!$U$319),"")</f>
        <v>463.44004139999998</v>
      </c>
      <c r="V319" t="str">
        <f ca="1">IFERROR(IF(0=LEN(ReferenceData!$V$319),"",ReferenceData!$V$319),"")</f>
        <v/>
      </c>
      <c r="W319">
        <f ca="1">IFERROR(IF(0=LEN(ReferenceData!$W$319),"",ReferenceData!$W$319),"")</f>
        <v>449.6061229</v>
      </c>
      <c r="X319">
        <f ca="1">IFERROR(IF(0=LEN(ReferenceData!$X$319),"",ReferenceData!$X$319),"")</f>
        <v>462.79265570000001</v>
      </c>
      <c r="Y319">
        <f ca="1">IFERROR(IF(0=LEN(ReferenceData!$Y$319),"",ReferenceData!$Y$319),"")</f>
        <v>477.73290930000002</v>
      </c>
      <c r="Z319">
        <f ca="1">IFERROR(IF(0=LEN(ReferenceData!$Z$319),"",ReferenceData!$Z$319),"")</f>
        <v>426.25648519999999</v>
      </c>
      <c r="AA319">
        <f ca="1">IFERROR(IF(0=LEN(ReferenceData!$AA$319),"",ReferenceData!$AA$319),"")</f>
        <v>430.8238589</v>
      </c>
      <c r="AB319">
        <f ca="1">IFERROR(IF(0=LEN(ReferenceData!$AB$319),"",ReferenceData!$AB$319),"")</f>
        <v>446.42814609999999</v>
      </c>
      <c r="AC319">
        <f ca="1">IFERROR(IF(0=LEN(ReferenceData!$AC$319),"",ReferenceData!$AC$319),"")</f>
        <v>431.41397019999999</v>
      </c>
      <c r="AD319">
        <f ca="1">IFERROR(IF(0=LEN(ReferenceData!$AD$319),"",ReferenceData!$AD$319),"")</f>
        <v>440.5507523</v>
      </c>
      <c r="AE319">
        <f ca="1">IFERROR(IF(0=LEN(ReferenceData!$AE$319),"",ReferenceData!$AE$319),"")</f>
        <v>496.9326767</v>
      </c>
      <c r="AF319">
        <f ca="1">IFERROR(IF(0=LEN(ReferenceData!$AF$319),"",ReferenceData!$AF$319),"")</f>
        <v>489.61127970000001</v>
      </c>
      <c r="AG319">
        <f ca="1">IFERROR(IF(0=LEN(ReferenceData!$AG$319),"",ReferenceData!$AG$319),"")</f>
        <v>493.72702900000002</v>
      </c>
      <c r="AH319" t="str">
        <f ca="1">IFERROR(IF(0=LEN(ReferenceData!$AH$319),"",ReferenceData!$AH$319),"")</f>
        <v/>
      </c>
      <c r="AI319">
        <f ca="1">IFERROR(IF(0=LEN(ReferenceData!$AI$319),"",ReferenceData!$AI$319),"")</f>
        <v>480.49101949999999</v>
      </c>
      <c r="AJ319">
        <f ca="1">IFERROR(IF(0=LEN(ReferenceData!$AJ$319),"",ReferenceData!$AJ$319),"")</f>
        <v>483.21060920000002</v>
      </c>
      <c r="AK319">
        <f ca="1">IFERROR(IF(0=LEN(ReferenceData!$AK$319),"",ReferenceData!$AK$319),"")</f>
        <v>476.80237720000002</v>
      </c>
      <c r="AL319">
        <f ca="1">IFERROR(IF(0=LEN(ReferenceData!$AL$319),"",ReferenceData!$AL$319),"")</f>
        <v>458.51669729999998</v>
      </c>
      <c r="AM319">
        <f ca="1">IFERROR(IF(0=LEN(ReferenceData!$AM$319),"",ReferenceData!$AM$319),"")</f>
        <v>450.67417769999997</v>
      </c>
      <c r="AN319">
        <f ca="1">IFERROR(IF(0=LEN(ReferenceData!$AN$319),"",ReferenceData!$AN$319),"")</f>
        <v>441.09805299999999</v>
      </c>
      <c r="AO319">
        <f ca="1">IFERROR(IF(0=LEN(ReferenceData!$AO$319),"",ReferenceData!$AO$319),"")</f>
        <v>426.60914350000002</v>
      </c>
      <c r="AP319">
        <f ca="1">IFERROR(IF(0=LEN(ReferenceData!$AP$319),"",ReferenceData!$AP$319),"")</f>
        <v>422.67421280000002</v>
      </c>
      <c r="AQ319">
        <f ca="1">IFERROR(IF(0=LEN(ReferenceData!$AQ$319),"",ReferenceData!$AQ$319),"")</f>
        <v>420.65264969999998</v>
      </c>
      <c r="AR319">
        <f ca="1">IFERROR(IF(0=LEN(ReferenceData!$AR$319),"",ReferenceData!$AR$319),"")</f>
        <v>419.92074159999999</v>
      </c>
      <c r="AS319">
        <f ca="1">IFERROR(IF(0=LEN(ReferenceData!$AS$319),"",ReferenceData!$AS$319),"")</f>
        <v>408.955288</v>
      </c>
      <c r="AT319">
        <f ca="1">IFERROR(IF(0=LEN(ReferenceData!$AT$319),"",ReferenceData!$AT$319),"")</f>
        <v>402.69751120000001</v>
      </c>
      <c r="AU319">
        <f ca="1">IFERROR(IF(0=LEN(ReferenceData!$AU$319),"",ReferenceData!$AU$319),"")</f>
        <v>420.6493906</v>
      </c>
      <c r="AV319">
        <f ca="1">IFERROR(IF(0=LEN(ReferenceData!$AV$319),"",ReferenceData!$AV$319),"")</f>
        <v>426.62894820000002</v>
      </c>
      <c r="AW319">
        <f ca="1">IFERROR(IF(0=LEN(ReferenceData!$AW$319),"",ReferenceData!$AW$319),"")</f>
        <v>445.9618906</v>
      </c>
      <c r="AX319">
        <f ca="1">IFERROR(IF(0=LEN(ReferenceData!$AX$319),"",ReferenceData!$AX$319),"")</f>
        <v>450.31234360000002</v>
      </c>
      <c r="AY319" t="str">
        <f ca="1">IFERROR(IF(0=LEN(ReferenceData!$AY$319),"",ReferenceData!$AY$319),"")</f>
        <v/>
      </c>
      <c r="AZ319" t="str">
        <f ca="1">IFERROR(IF(0=LEN(ReferenceData!$AZ$319),"",ReferenceData!$AZ$319),"")</f>
        <v/>
      </c>
      <c r="BA319" t="str">
        <f ca="1">IFERROR(IF(0=LEN(ReferenceData!$BA$319),"",ReferenceData!$BA$319),"")</f>
        <v/>
      </c>
      <c r="BB319" t="str">
        <f ca="1">IFERROR(IF(0=LEN(ReferenceData!$BB$319),"",ReferenceData!$BB$319),"")</f>
        <v/>
      </c>
      <c r="BC319" t="str">
        <f ca="1">IFERROR(IF(0=LEN(ReferenceData!$BC$319),"",ReferenceData!$BC$319),"")</f>
        <v/>
      </c>
      <c r="BD319" t="str">
        <f ca="1">IFERROR(IF(0=LEN(ReferenceData!$BD$319),"",ReferenceData!$BD$319),"")</f>
        <v/>
      </c>
      <c r="BE319" t="str">
        <f ca="1">IFERROR(IF(0=LEN(ReferenceData!$BE$319),"",ReferenceData!$BE$319),"")</f>
        <v/>
      </c>
      <c r="BF319" t="str">
        <f ca="1">IFERROR(IF(0=LEN(ReferenceData!$BF$319),"",ReferenceData!$BF$319),"")</f>
        <v/>
      </c>
      <c r="BG319" t="str">
        <f ca="1">IFERROR(IF(0=LEN(ReferenceData!$BG$319),"",ReferenceData!$BG$319),"")</f>
        <v/>
      </c>
      <c r="BH319" t="str">
        <f ca="1">IFERROR(IF(0=LEN(ReferenceData!$BH$319),"",ReferenceData!$BH$319),"")</f>
        <v/>
      </c>
      <c r="BI319" t="str">
        <f ca="1">IFERROR(IF(0=LEN(ReferenceData!$BI$319),"",ReferenceData!$BI$319),"")</f>
        <v/>
      </c>
      <c r="BJ319" t="str">
        <f ca="1">IFERROR(IF(0=LEN(ReferenceData!$BJ$319),"",ReferenceData!$BJ$319),"")</f>
        <v/>
      </c>
      <c r="BK319" t="str">
        <f ca="1">IFERROR(IF(0=LEN(ReferenceData!$BK$319),"",ReferenceData!$BK$319),"")</f>
        <v/>
      </c>
      <c r="BL319" t="str">
        <f ca="1">IFERROR(IF(0=LEN(ReferenceData!$BL$319),"",ReferenceData!$BL$319),"")</f>
        <v/>
      </c>
      <c r="BM319" t="str">
        <f ca="1">IFERROR(IF(0=LEN(ReferenceData!$BM$319),"",ReferenceData!$BM$319),"")</f>
        <v/>
      </c>
    </row>
    <row r="320" spans="1:65" x14ac:dyDescent="0.25">
      <c r="A320" t="str">
        <f>IFERROR(IF(0=LEN(ReferenceData!$A$320),"",ReferenceData!$A$320),"")</f>
        <v xml:space="preserve">    Sollers PJSC</v>
      </c>
      <c r="B320" t="str">
        <f>IFERROR(IF(0=LEN(ReferenceData!$B$320),"",ReferenceData!$B$320),"")</f>
        <v>SVAV RM Equity</v>
      </c>
      <c r="C320" t="str">
        <f>IFERROR(IF(0=LEN(ReferenceData!$C$320),"",ReferenceData!$C$320),"")</f>
        <v>RR179</v>
      </c>
      <c r="D320" t="str">
        <f>IFERROR(IF(0=LEN(ReferenceData!$D$320),"",ReferenceData!$D$320),"")</f>
        <v>TANGIBLE_COMMON_EQUITY</v>
      </c>
      <c r="E320" t="str">
        <f>IFERROR(IF(0=LEN(ReferenceData!$E$320),"",ReferenceData!$E$320),"")</f>
        <v>Dynamic</v>
      </c>
      <c r="F320" t="str">
        <f ca="1">IFERROR(IF(0=LEN(ReferenceData!$F$320),"",ReferenceData!$F$320),"")</f>
        <v/>
      </c>
      <c r="G320" t="str">
        <f ca="1">IFERROR(IF(0=LEN(ReferenceData!$G$320),"",ReferenceData!$G$320),"")</f>
        <v/>
      </c>
      <c r="H320" t="str">
        <f ca="1">IFERROR(IF(0=LEN(ReferenceData!$H$320),"",ReferenceData!$H$320),"")</f>
        <v/>
      </c>
      <c r="I320" t="str">
        <f ca="1">IFERROR(IF(0=LEN(ReferenceData!$I$320),"",ReferenceData!$I$320),"")</f>
        <v/>
      </c>
      <c r="J320" t="str">
        <f ca="1">IFERROR(IF(0=LEN(ReferenceData!$J$320),"",ReferenceData!$J$320),"")</f>
        <v/>
      </c>
      <c r="K320" t="str">
        <f ca="1">IFERROR(IF(0=LEN(ReferenceData!$K$320),"",ReferenceData!$K$320),"")</f>
        <v/>
      </c>
      <c r="L320" t="str">
        <f ca="1">IFERROR(IF(0=LEN(ReferenceData!$L$320),"",ReferenceData!$L$320),"")</f>
        <v/>
      </c>
      <c r="M320" t="str">
        <f ca="1">IFERROR(IF(0=LEN(ReferenceData!$M$320),"",ReferenceData!$M$320),"")</f>
        <v/>
      </c>
      <c r="N320" t="str">
        <f ca="1">IFERROR(IF(0=LEN(ReferenceData!$N$320),"",ReferenceData!$N$320),"")</f>
        <v/>
      </c>
      <c r="O320" t="str">
        <f ca="1">IFERROR(IF(0=LEN(ReferenceData!$O$320),"",ReferenceData!$O$320),"")</f>
        <v/>
      </c>
      <c r="P320" t="str">
        <f ca="1">IFERROR(IF(0=LEN(ReferenceData!$P$320),"",ReferenceData!$P$320),"")</f>
        <v/>
      </c>
      <c r="Q320" t="str">
        <f ca="1">IFERROR(IF(0=LEN(ReferenceData!$Q$320),"",ReferenceData!$Q$320),"")</f>
        <v/>
      </c>
      <c r="R320" t="str">
        <f ca="1">IFERROR(IF(0=LEN(ReferenceData!$R$320),"",ReferenceData!$R$320),"")</f>
        <v/>
      </c>
      <c r="S320" t="str">
        <f ca="1">IFERROR(IF(0=LEN(ReferenceData!$S$320),"",ReferenceData!$S$320),"")</f>
        <v/>
      </c>
      <c r="T320" t="str">
        <f ca="1">IFERROR(IF(0=LEN(ReferenceData!$T$320),"",ReferenceData!$T$320),"")</f>
        <v/>
      </c>
      <c r="U320" t="str">
        <f ca="1">IFERROR(IF(0=LEN(ReferenceData!$U$320),"",ReferenceData!$U$320),"")</f>
        <v/>
      </c>
      <c r="V320" t="str">
        <f ca="1">IFERROR(IF(0=LEN(ReferenceData!$V$320),"",ReferenceData!$V$320),"")</f>
        <v/>
      </c>
      <c r="W320" t="str">
        <f ca="1">IFERROR(IF(0=LEN(ReferenceData!$W$320),"",ReferenceData!$W$320),"")</f>
        <v/>
      </c>
      <c r="X320" t="str">
        <f ca="1">IFERROR(IF(0=LEN(ReferenceData!$X$320),"",ReferenceData!$X$320),"")</f>
        <v/>
      </c>
      <c r="Y320" t="str">
        <f ca="1">IFERROR(IF(0=LEN(ReferenceData!$Y$320),"",ReferenceData!$Y$320),"")</f>
        <v/>
      </c>
      <c r="Z320" t="str">
        <f ca="1">IFERROR(IF(0=LEN(ReferenceData!$Z$320),"",ReferenceData!$Z$320),"")</f>
        <v/>
      </c>
      <c r="AA320" t="str">
        <f ca="1">IFERROR(IF(0=LEN(ReferenceData!$AA$320),"",ReferenceData!$AA$320),"")</f>
        <v/>
      </c>
      <c r="AB320" t="str">
        <f ca="1">IFERROR(IF(0=LEN(ReferenceData!$AB$320),"",ReferenceData!$AB$320),"")</f>
        <v/>
      </c>
      <c r="AC320" t="str">
        <f ca="1">IFERROR(IF(0=LEN(ReferenceData!$AC$320),"",ReferenceData!$AC$320),"")</f>
        <v/>
      </c>
      <c r="AD320" t="str">
        <f ca="1">IFERROR(IF(0=LEN(ReferenceData!$AD$320),"",ReferenceData!$AD$320),"")</f>
        <v/>
      </c>
      <c r="AE320" t="str">
        <f ca="1">IFERROR(IF(0=LEN(ReferenceData!$AE$320),"",ReferenceData!$AE$320),"")</f>
        <v/>
      </c>
      <c r="AF320" t="str">
        <f ca="1">IFERROR(IF(0=LEN(ReferenceData!$AF$320),"",ReferenceData!$AF$320),"")</f>
        <v/>
      </c>
      <c r="AG320" t="str">
        <f ca="1">IFERROR(IF(0=LEN(ReferenceData!$AG$320),"",ReferenceData!$AG$320),"")</f>
        <v/>
      </c>
      <c r="AH320" t="str">
        <f ca="1">IFERROR(IF(0=LEN(ReferenceData!$AH$320),"",ReferenceData!$AH$320),"")</f>
        <v/>
      </c>
      <c r="AI320" t="str">
        <f ca="1">IFERROR(IF(0=LEN(ReferenceData!$AI$320),"",ReferenceData!$AI$320),"")</f>
        <v/>
      </c>
      <c r="AJ320" t="str">
        <f ca="1">IFERROR(IF(0=LEN(ReferenceData!$AJ$320),"",ReferenceData!$AJ$320),"")</f>
        <v/>
      </c>
      <c r="AK320" t="str">
        <f ca="1">IFERROR(IF(0=LEN(ReferenceData!$AK$320),"",ReferenceData!$AK$320),"")</f>
        <v/>
      </c>
      <c r="AL320" t="str">
        <f ca="1">IFERROR(IF(0=LEN(ReferenceData!$AL$320),"",ReferenceData!$AL$320),"")</f>
        <v/>
      </c>
      <c r="AM320" t="str">
        <f ca="1">IFERROR(IF(0=LEN(ReferenceData!$AM$320),"",ReferenceData!$AM$320),"")</f>
        <v/>
      </c>
      <c r="AN320" t="str">
        <f ca="1">IFERROR(IF(0=LEN(ReferenceData!$AN$320),"",ReferenceData!$AN$320),"")</f>
        <v/>
      </c>
      <c r="AO320" t="str">
        <f ca="1">IFERROR(IF(0=LEN(ReferenceData!$AO$320),"",ReferenceData!$AO$320),"")</f>
        <v/>
      </c>
      <c r="AP320" t="str">
        <f ca="1">IFERROR(IF(0=LEN(ReferenceData!$AP$320),"",ReferenceData!$AP$320),"")</f>
        <v/>
      </c>
      <c r="AQ320" t="str">
        <f ca="1">IFERROR(IF(0=LEN(ReferenceData!$AQ$320),"",ReferenceData!$AQ$320),"")</f>
        <v/>
      </c>
      <c r="AR320" t="str">
        <f ca="1">IFERROR(IF(0=LEN(ReferenceData!$AR$320),"",ReferenceData!$AR$320),"")</f>
        <v/>
      </c>
      <c r="AS320" t="str">
        <f ca="1">IFERROR(IF(0=LEN(ReferenceData!$AS$320),"",ReferenceData!$AS$320),"")</f>
        <v/>
      </c>
      <c r="AT320" t="str">
        <f ca="1">IFERROR(IF(0=LEN(ReferenceData!$AT$320),"",ReferenceData!$AT$320),"")</f>
        <v/>
      </c>
      <c r="AU320" t="str">
        <f ca="1">IFERROR(IF(0=LEN(ReferenceData!$AU$320),"",ReferenceData!$AU$320),"")</f>
        <v/>
      </c>
      <c r="AV320" t="str">
        <f ca="1">IFERROR(IF(0=LEN(ReferenceData!$AV$320),"",ReferenceData!$AV$320),"")</f>
        <v/>
      </c>
      <c r="AW320" t="str">
        <f ca="1">IFERROR(IF(0=LEN(ReferenceData!$AW$320),"",ReferenceData!$AW$320),"")</f>
        <v/>
      </c>
      <c r="AX320" t="str">
        <f ca="1">IFERROR(IF(0=LEN(ReferenceData!$AX$320),"",ReferenceData!$AX$320),"")</f>
        <v/>
      </c>
      <c r="AY320" t="str">
        <f ca="1">IFERROR(IF(0=LEN(ReferenceData!$AY$320),"",ReferenceData!$AY$320),"")</f>
        <v/>
      </c>
      <c r="AZ320" t="str">
        <f ca="1">IFERROR(IF(0=LEN(ReferenceData!$AZ$320),"",ReferenceData!$AZ$320),"")</f>
        <v/>
      </c>
      <c r="BA320" t="str">
        <f ca="1">IFERROR(IF(0=LEN(ReferenceData!$BA$320),"",ReferenceData!$BA$320),"")</f>
        <v/>
      </c>
      <c r="BB320" t="str">
        <f ca="1">IFERROR(IF(0=LEN(ReferenceData!$BB$320),"",ReferenceData!$BB$320),"")</f>
        <v/>
      </c>
      <c r="BC320" t="str">
        <f ca="1">IFERROR(IF(0=LEN(ReferenceData!$BC$320),"",ReferenceData!$BC$320),"")</f>
        <v/>
      </c>
      <c r="BD320" t="str">
        <f ca="1">IFERROR(IF(0=LEN(ReferenceData!$BD$320),"",ReferenceData!$BD$320),"")</f>
        <v/>
      </c>
      <c r="BE320" t="str">
        <f ca="1">IFERROR(IF(0=LEN(ReferenceData!$BE$320),"",ReferenceData!$BE$320),"")</f>
        <v/>
      </c>
      <c r="BF320" t="str">
        <f ca="1">IFERROR(IF(0=LEN(ReferenceData!$BF$320),"",ReferenceData!$BF$320),"")</f>
        <v/>
      </c>
      <c r="BG320" t="str">
        <f ca="1">IFERROR(IF(0=LEN(ReferenceData!$BG$320),"",ReferenceData!$BG$320),"")</f>
        <v/>
      </c>
      <c r="BH320" t="str">
        <f ca="1">IFERROR(IF(0=LEN(ReferenceData!$BH$320),"",ReferenceData!$BH$320),"")</f>
        <v/>
      </c>
      <c r="BI320" t="str">
        <f ca="1">IFERROR(IF(0=LEN(ReferenceData!$BI$320),"",ReferenceData!$BI$320),"")</f>
        <v/>
      </c>
      <c r="BJ320" t="str">
        <f ca="1">IFERROR(IF(0=LEN(ReferenceData!$BJ$320),"",ReferenceData!$BJ$320),"")</f>
        <v/>
      </c>
      <c r="BK320" t="str">
        <f ca="1">IFERROR(IF(0=LEN(ReferenceData!$BK$320),"",ReferenceData!$BK$320),"")</f>
        <v/>
      </c>
      <c r="BL320" t="str">
        <f ca="1">IFERROR(IF(0=LEN(ReferenceData!$BL$320),"",ReferenceData!$BL$320),"")</f>
        <v/>
      </c>
      <c r="BM320" t="str">
        <f ca="1">IFERROR(IF(0=LEN(ReferenceData!$BM$320),"",ReferenceData!$BM$320),"")</f>
        <v/>
      </c>
    </row>
    <row r="321" spans="1:65" x14ac:dyDescent="0.25">
      <c r="A321" t="str">
        <f>IFERROR(IF(0=LEN(ReferenceData!$A$321),"",ReferenceData!$A$321),"")</f>
        <v xml:space="preserve">    Ssangyong Motor Co</v>
      </c>
      <c r="B321" t="str">
        <f>IFERROR(IF(0=LEN(ReferenceData!$B$321),"",ReferenceData!$B$321),"")</f>
        <v>003620 KS Equity</v>
      </c>
      <c r="C321" t="str">
        <f>IFERROR(IF(0=LEN(ReferenceData!$C$321),"",ReferenceData!$C$321),"")</f>
        <v>RR179</v>
      </c>
      <c r="D321" t="str">
        <f>IFERROR(IF(0=LEN(ReferenceData!$D$321),"",ReferenceData!$D$321),"")</f>
        <v>TANGIBLE_COMMON_EQUITY</v>
      </c>
      <c r="E321" t="str">
        <f>IFERROR(IF(0=LEN(ReferenceData!$E$321),"",ReferenceData!$E$321),"")</f>
        <v>Dynamic</v>
      </c>
      <c r="F321" t="str">
        <f ca="1">IFERROR(IF(0=LEN(ReferenceData!$F$321),"",ReferenceData!$F$321),"")</f>
        <v/>
      </c>
      <c r="G321" t="str">
        <f ca="1">IFERROR(IF(0=LEN(ReferenceData!$G$321),"",ReferenceData!$G$321),"")</f>
        <v/>
      </c>
      <c r="H321">
        <f ca="1">IFERROR(IF(0=LEN(ReferenceData!$H$321),"",ReferenceData!$H$321),"")</f>
        <v>348.77310720000003</v>
      </c>
      <c r="I321">
        <f ca="1">IFERROR(IF(0=LEN(ReferenceData!$I$321),"",ReferenceData!$I$321),"")</f>
        <v>378.52002529999999</v>
      </c>
      <c r="J321">
        <f ca="1">IFERROR(IF(0=LEN(ReferenceData!$J$321),"",ReferenceData!$J$321),"")</f>
        <v>409.37663900000001</v>
      </c>
      <c r="K321">
        <f ca="1">IFERROR(IF(0=LEN(ReferenceData!$K$321),"",ReferenceData!$K$321),"")</f>
        <v>442.11008759999999</v>
      </c>
      <c r="L321">
        <f ca="1">IFERROR(IF(0=LEN(ReferenceData!$L$321),"",ReferenceData!$L$321),"")</f>
        <v>436.98340669999999</v>
      </c>
      <c r="M321">
        <f ca="1">IFERROR(IF(0=LEN(ReferenceData!$M$321),"",ReferenceData!$M$321),"")</f>
        <v>466.17163269999998</v>
      </c>
      <c r="N321">
        <f ca="1">IFERROR(IF(0=LEN(ReferenceData!$N$321),"",ReferenceData!$N$321),"")</f>
        <v>506.33610249999998</v>
      </c>
      <c r="O321">
        <f ca="1">IFERROR(IF(0=LEN(ReferenceData!$O$321),"",ReferenceData!$O$321),"")</f>
        <v>478.77004529999999</v>
      </c>
      <c r="P321">
        <f ca="1">IFERROR(IF(0=LEN(ReferenceData!$P$321),"",ReferenceData!$P$321),"")</f>
        <v>492.62380480000002</v>
      </c>
      <c r="Q321">
        <f ca="1">IFERROR(IF(0=LEN(ReferenceData!$Q$321),"",ReferenceData!$Q$321),"")</f>
        <v>468.25740780000001</v>
      </c>
      <c r="R321">
        <f ca="1">IFERROR(IF(0=LEN(ReferenceData!$R$321),"",ReferenceData!$R$321),"")</f>
        <v>464.66038839999999</v>
      </c>
      <c r="S321">
        <f ca="1">IFERROR(IF(0=LEN(ReferenceData!$S$321),"",ReferenceData!$S$321),"")</f>
        <v>450.8241481</v>
      </c>
      <c r="T321">
        <f ca="1">IFERROR(IF(0=LEN(ReferenceData!$T$321),"",ReferenceData!$T$321),"")</f>
        <v>438.25986</v>
      </c>
      <c r="U321">
        <f ca="1">IFERROR(IF(0=LEN(ReferenceData!$U$321),"",ReferenceData!$U$321),"")</f>
        <v>501.19494370000001</v>
      </c>
      <c r="V321">
        <f ca="1">IFERROR(IF(0=LEN(ReferenceData!$V$321),"",ReferenceData!$V$321),"")</f>
        <v>532.26484679999999</v>
      </c>
      <c r="W321">
        <f ca="1">IFERROR(IF(0=LEN(ReferenceData!$W$321),"",ReferenceData!$W$321),"")</f>
        <v>573.11182140000005</v>
      </c>
      <c r="X321">
        <f ca="1">IFERROR(IF(0=LEN(ReferenceData!$X$321),"",ReferenceData!$X$321),"")</f>
        <v>653.47637150000003</v>
      </c>
      <c r="Y321">
        <f ca="1">IFERROR(IF(0=LEN(ReferenceData!$Y$321),"",ReferenceData!$Y$321),"")</f>
        <v>724.3871785</v>
      </c>
      <c r="Z321">
        <f ca="1">IFERROR(IF(0=LEN(ReferenceData!$Z$321),"",ReferenceData!$Z$321),"")</f>
        <v>734.83183129999998</v>
      </c>
      <c r="AA321">
        <f ca="1">IFERROR(IF(0=LEN(ReferenceData!$AA$321),"",ReferenceData!$AA$321),"")</f>
        <v>754.78045499999996</v>
      </c>
      <c r="AB321">
        <f ca="1">IFERROR(IF(0=LEN(ReferenceData!$AB$321),"",ReferenceData!$AB$321),"")</f>
        <v>759.59782959999995</v>
      </c>
      <c r="AC321">
        <f ca="1">IFERROR(IF(0=LEN(ReferenceData!$AC$321),"",ReferenceData!$AC$321),"")</f>
        <v>674.67271100000005</v>
      </c>
      <c r="AD321">
        <f ca="1">IFERROR(IF(0=LEN(ReferenceData!$AD$321),"",ReferenceData!$AD$321),"")</f>
        <v>643.69644930000004</v>
      </c>
      <c r="AE321">
        <f ca="1">IFERROR(IF(0=LEN(ReferenceData!$AE$321),"",ReferenceData!$AE$321),"")</f>
        <v>699.45730019999996</v>
      </c>
      <c r="AF321" t="str">
        <f ca="1">IFERROR(IF(0=LEN(ReferenceData!$AF$321),"",ReferenceData!$AF$321),"")</f>
        <v/>
      </c>
      <c r="AG321" t="str">
        <f ca="1">IFERROR(IF(0=LEN(ReferenceData!$AG$321),"",ReferenceData!$AG$321),"")</f>
        <v/>
      </c>
      <c r="AH321" t="str">
        <f ca="1">IFERROR(IF(0=LEN(ReferenceData!$AH$321),"",ReferenceData!$AH$321),"")</f>
        <v/>
      </c>
      <c r="AI321" t="str">
        <f ca="1">IFERROR(IF(0=LEN(ReferenceData!$AI$321),"",ReferenceData!$AI$321),"")</f>
        <v/>
      </c>
      <c r="AJ321" t="str">
        <f ca="1">IFERROR(IF(0=LEN(ReferenceData!$AJ$321),"",ReferenceData!$AJ$321),"")</f>
        <v/>
      </c>
      <c r="AK321" t="str">
        <f ca="1">IFERROR(IF(0=LEN(ReferenceData!$AK$321),"",ReferenceData!$AK$321),"")</f>
        <v/>
      </c>
      <c r="AL321" t="str">
        <f ca="1">IFERROR(IF(0=LEN(ReferenceData!$AL$321),"",ReferenceData!$AL$321),"")</f>
        <v/>
      </c>
      <c r="AM321" t="str">
        <f ca="1">IFERROR(IF(0=LEN(ReferenceData!$AM$321),"",ReferenceData!$AM$321),"")</f>
        <v/>
      </c>
      <c r="AN321" t="str">
        <f ca="1">IFERROR(IF(0=LEN(ReferenceData!$AN$321),"",ReferenceData!$AN$321),"")</f>
        <v/>
      </c>
      <c r="AO321" t="str">
        <f ca="1">IFERROR(IF(0=LEN(ReferenceData!$AO$321),"",ReferenceData!$AO$321),"")</f>
        <v/>
      </c>
      <c r="AP321" t="str">
        <f ca="1">IFERROR(IF(0=LEN(ReferenceData!$AP$321),"",ReferenceData!$AP$321),"")</f>
        <v/>
      </c>
      <c r="AQ321" t="str">
        <f ca="1">IFERROR(IF(0=LEN(ReferenceData!$AQ$321),"",ReferenceData!$AQ$321),"")</f>
        <v/>
      </c>
      <c r="AR321" t="str">
        <f ca="1">IFERROR(IF(0=LEN(ReferenceData!$AR$321),"",ReferenceData!$AR$321),"")</f>
        <v/>
      </c>
      <c r="AS321" t="str">
        <f ca="1">IFERROR(IF(0=LEN(ReferenceData!$AS$321),"",ReferenceData!$AS$321),"")</f>
        <v/>
      </c>
      <c r="AT321" t="str">
        <f ca="1">IFERROR(IF(0=LEN(ReferenceData!$AT$321),"",ReferenceData!$AT$321),"")</f>
        <v/>
      </c>
      <c r="AU321" t="str">
        <f ca="1">IFERROR(IF(0=LEN(ReferenceData!$AU$321),"",ReferenceData!$AU$321),"")</f>
        <v/>
      </c>
      <c r="AV321" t="str">
        <f ca="1">IFERROR(IF(0=LEN(ReferenceData!$AV$321),"",ReferenceData!$AV$321),"")</f>
        <v/>
      </c>
      <c r="AW321" t="str">
        <f ca="1">IFERROR(IF(0=LEN(ReferenceData!$AW$321),"",ReferenceData!$AW$321),"")</f>
        <v/>
      </c>
      <c r="AX321" t="str">
        <f ca="1">IFERROR(IF(0=LEN(ReferenceData!$AX$321),"",ReferenceData!$AX$321),"")</f>
        <v/>
      </c>
      <c r="AY321" t="str">
        <f ca="1">IFERROR(IF(0=LEN(ReferenceData!$AY$321),"",ReferenceData!$AY$321),"")</f>
        <v/>
      </c>
      <c r="AZ321" t="str">
        <f ca="1">IFERROR(IF(0=LEN(ReferenceData!$AZ$321),"",ReferenceData!$AZ$321),"")</f>
        <v/>
      </c>
      <c r="BA321" t="str">
        <f ca="1">IFERROR(IF(0=LEN(ReferenceData!$BA$321),"",ReferenceData!$BA$321),"")</f>
        <v/>
      </c>
      <c r="BB321" t="str">
        <f ca="1">IFERROR(IF(0=LEN(ReferenceData!$BB$321),"",ReferenceData!$BB$321),"")</f>
        <v/>
      </c>
      <c r="BC321" t="str">
        <f ca="1">IFERROR(IF(0=LEN(ReferenceData!$BC$321),"",ReferenceData!$BC$321),"")</f>
        <v/>
      </c>
      <c r="BD321" t="str">
        <f ca="1">IFERROR(IF(0=LEN(ReferenceData!$BD$321),"",ReferenceData!$BD$321),"")</f>
        <v/>
      </c>
      <c r="BE321" t="str">
        <f ca="1">IFERROR(IF(0=LEN(ReferenceData!$BE$321),"",ReferenceData!$BE$321),"")</f>
        <v/>
      </c>
      <c r="BF321" t="str">
        <f ca="1">IFERROR(IF(0=LEN(ReferenceData!$BF$321),"",ReferenceData!$BF$321),"")</f>
        <v/>
      </c>
      <c r="BG321" t="str">
        <f ca="1">IFERROR(IF(0=LEN(ReferenceData!$BG$321),"",ReferenceData!$BG$321),"")</f>
        <v/>
      </c>
      <c r="BH321" t="str">
        <f ca="1">IFERROR(IF(0=LEN(ReferenceData!$BH$321),"",ReferenceData!$BH$321),"")</f>
        <v/>
      </c>
      <c r="BI321" t="str">
        <f ca="1">IFERROR(IF(0=LEN(ReferenceData!$BI$321),"",ReferenceData!$BI$321),"")</f>
        <v/>
      </c>
      <c r="BJ321" t="str">
        <f ca="1">IFERROR(IF(0=LEN(ReferenceData!$BJ$321),"",ReferenceData!$BJ$321),"")</f>
        <v/>
      </c>
      <c r="BK321" t="str">
        <f ca="1">IFERROR(IF(0=LEN(ReferenceData!$BK$321),"",ReferenceData!$BK$321),"")</f>
        <v/>
      </c>
      <c r="BL321" t="str">
        <f ca="1">IFERROR(IF(0=LEN(ReferenceData!$BL$321),"",ReferenceData!$BL$321),"")</f>
        <v/>
      </c>
      <c r="BM321" t="str">
        <f ca="1">IFERROR(IF(0=LEN(ReferenceData!$BM$321),"",ReferenceData!$BM$321),"")</f>
        <v/>
      </c>
    </row>
    <row r="322" spans="1:65" x14ac:dyDescent="0.25">
      <c r="A322" t="str">
        <f>IFERROR(IF(0=LEN(ReferenceData!$A$322),"",ReferenceData!$A$322),"")</f>
        <v xml:space="preserve">    Subaru Corp</v>
      </c>
      <c r="B322" t="str">
        <f>IFERROR(IF(0=LEN(ReferenceData!$B$322),"",ReferenceData!$B$322),"")</f>
        <v>7270 JP Equity</v>
      </c>
      <c r="C322" t="str">
        <f>IFERROR(IF(0=LEN(ReferenceData!$C$322),"",ReferenceData!$C$322),"")</f>
        <v>RR179</v>
      </c>
      <c r="D322" t="str">
        <f>IFERROR(IF(0=LEN(ReferenceData!$D$322),"",ReferenceData!$D$322),"")</f>
        <v>TANGIBLE_COMMON_EQUITY</v>
      </c>
      <c r="E322" t="str">
        <f>IFERROR(IF(0=LEN(ReferenceData!$E$322),"",ReferenceData!$E$322),"")</f>
        <v>Dynamic</v>
      </c>
      <c r="F322" t="str">
        <f ca="1">IFERROR(IF(0=LEN(ReferenceData!$F$322),"",ReferenceData!$F$322),"")</f>
        <v/>
      </c>
      <c r="G322">
        <f ca="1">IFERROR(IF(0=LEN(ReferenceData!$G$322),"",ReferenceData!$G$322),"")</f>
        <v>14065.703079999999</v>
      </c>
      <c r="H322">
        <f ca="1">IFERROR(IF(0=LEN(ReferenceData!$H$322),"",ReferenceData!$H$322),"")</f>
        <v>13583.76211</v>
      </c>
      <c r="I322">
        <f ca="1">IFERROR(IF(0=LEN(ReferenceData!$I$322),"",ReferenceData!$I$322),"")</f>
        <v>13809.40603</v>
      </c>
      <c r="J322">
        <f ca="1">IFERROR(IF(0=LEN(ReferenceData!$J$322),"",ReferenceData!$J$322),"")</f>
        <v>14352.76784</v>
      </c>
      <c r="K322">
        <f ca="1">IFERROR(IF(0=LEN(ReferenceData!$K$322),"",ReferenceData!$K$322),"")</f>
        <v>13207.82555</v>
      </c>
      <c r="L322">
        <f ca="1">IFERROR(IF(0=LEN(ReferenceData!$L$322),"",ReferenceData!$L$322),"")</f>
        <v>13075.31522</v>
      </c>
      <c r="M322">
        <f ca="1">IFERROR(IF(0=LEN(ReferenceData!$M$322),"",ReferenceData!$M$322),"")</f>
        <v>13026.52425</v>
      </c>
      <c r="N322">
        <f ca="1">IFERROR(IF(0=LEN(ReferenceData!$N$322),"",ReferenceData!$N$322),"")</f>
        <v>12880.77441</v>
      </c>
      <c r="O322">
        <f ca="1">IFERROR(IF(0=LEN(ReferenceData!$O$322),"",ReferenceData!$O$322),"")</f>
        <v>11779.903979999999</v>
      </c>
      <c r="P322">
        <f ca="1">IFERROR(IF(0=LEN(ReferenceData!$P$322),"",ReferenceData!$P$322),"")</f>
        <v>13149.07818</v>
      </c>
      <c r="Q322">
        <f ca="1">IFERROR(IF(0=LEN(ReferenceData!$Q$322),"",ReferenceData!$Q$322),"")</f>
        <v>12725.264080000001</v>
      </c>
      <c r="R322">
        <f ca="1">IFERROR(IF(0=LEN(ReferenceData!$R$322),"",ReferenceData!$R$322),"")</f>
        <v>11757.715560000001</v>
      </c>
      <c r="S322">
        <f ca="1">IFERROR(IF(0=LEN(ReferenceData!$S$322),"",ReferenceData!$S$322),"")</f>
        <v>10449.60067</v>
      </c>
      <c r="T322">
        <f ca="1">IFERROR(IF(0=LEN(ReferenceData!$T$322),"",ReferenceData!$T$322),"")</f>
        <v>9758.0680200000006</v>
      </c>
      <c r="U322">
        <f ca="1">IFERROR(IF(0=LEN(ReferenceData!$U$322),"",ReferenceData!$U$322),"")</f>
        <v>8772.4041930000003</v>
      </c>
      <c r="V322">
        <f ca="1">IFERROR(IF(0=LEN(ReferenceData!$V$322),"",ReferenceData!$V$322),"")</f>
        <v>8383.2180079999998</v>
      </c>
      <c r="W322">
        <f ca="1">IFERROR(IF(0=LEN(ReferenceData!$W$322),"",ReferenceData!$W$322),"")</f>
        <v>7842.5317089999999</v>
      </c>
      <c r="X322">
        <f ca="1">IFERROR(IF(0=LEN(ReferenceData!$X$322),"",ReferenceData!$X$322),"")</f>
        <v>7829.0899140000001</v>
      </c>
      <c r="Y322">
        <f ca="1">IFERROR(IF(0=LEN(ReferenceData!$Y$322),"",ReferenceData!$Y$322),"")</f>
        <v>7687.4617440000002</v>
      </c>
      <c r="Z322">
        <f ca="1">IFERROR(IF(0=LEN(ReferenceData!$Z$322),"",ReferenceData!$Z$322),"")</f>
        <v>7284.6803140000002</v>
      </c>
      <c r="AA322">
        <f ca="1">IFERROR(IF(0=LEN(ReferenceData!$AA$322),"",ReferenceData!$AA$322),"")</f>
        <v>7103.049591</v>
      </c>
      <c r="AB322">
        <f ca="1">IFERROR(IF(0=LEN(ReferenceData!$AB$322),"",ReferenceData!$AB$322),"")</f>
        <v>7077.3342839999996</v>
      </c>
      <c r="AC322">
        <f ca="1">IFERROR(IF(0=LEN(ReferenceData!$AC$322),"",ReferenceData!$AC$322),"")</f>
        <v>6390.8587539999999</v>
      </c>
      <c r="AD322">
        <f ca="1">IFERROR(IF(0=LEN(ReferenceData!$AD$322),"",ReferenceData!$AD$322),"")</f>
        <v>6183.5491400000001</v>
      </c>
      <c r="AE322">
        <f ca="1">IFERROR(IF(0=LEN(ReferenceData!$AE$322),"",ReferenceData!$AE$322),"")</f>
        <v>5711.1059800000003</v>
      </c>
      <c r="AF322">
        <f ca="1">IFERROR(IF(0=LEN(ReferenceData!$AF$322),"",ReferenceData!$AF$322),"")</f>
        <v>5965.3747430000003</v>
      </c>
      <c r="AG322">
        <f ca="1">IFERROR(IF(0=LEN(ReferenceData!$AG$322),"",ReferenceData!$AG$322),"")</f>
        <v>5561.9799499999999</v>
      </c>
      <c r="AH322">
        <f ca="1">IFERROR(IF(0=LEN(ReferenceData!$AH$322),"",ReferenceData!$AH$322),"")</f>
        <v>5306.5956669999996</v>
      </c>
      <c r="AI322">
        <f ca="1">IFERROR(IF(0=LEN(ReferenceData!$AI$322),"",ReferenceData!$AI$322),"")</f>
        <v>5488.1413169999996</v>
      </c>
      <c r="AJ322">
        <f ca="1">IFERROR(IF(0=LEN(ReferenceData!$AJ$322),"",ReferenceData!$AJ$322),"")</f>
        <v>5466.0228159999997</v>
      </c>
      <c r="AK322">
        <f ca="1">IFERROR(IF(0=LEN(ReferenceData!$AK$322),"",ReferenceData!$AK$322),"")</f>
        <v>5287.2393249999996</v>
      </c>
      <c r="AL322">
        <f ca="1">IFERROR(IF(0=LEN(ReferenceData!$AL$322),"",ReferenceData!$AL$322),"")</f>
        <v>4836.6654589999998</v>
      </c>
      <c r="AM322">
        <f ca="1">IFERROR(IF(0=LEN(ReferenceData!$AM$322),"",ReferenceData!$AM$322),"")</f>
        <v>4998.0539479999998</v>
      </c>
      <c r="AN322">
        <f ca="1">IFERROR(IF(0=LEN(ReferenceData!$AN$322),"",ReferenceData!$AN$322),"")</f>
        <v>4742.6431819999998</v>
      </c>
      <c r="AO322">
        <f ca="1">IFERROR(IF(0=LEN(ReferenceData!$AO$322),"",ReferenceData!$AO$322),"")</f>
        <v>4278.3811240000005</v>
      </c>
      <c r="AP322">
        <f ca="1">IFERROR(IF(0=LEN(ReferenceData!$AP$322),"",ReferenceData!$AP$322),"")</f>
        <v>3944.6489729999998</v>
      </c>
      <c r="AQ322">
        <f ca="1">IFERROR(IF(0=LEN(ReferenceData!$AQ$322),"",ReferenceData!$AQ$322),"")</f>
        <v>3937.5348939999999</v>
      </c>
      <c r="AR322">
        <f ca="1">IFERROR(IF(0=LEN(ReferenceData!$AR$322),"",ReferenceData!$AR$322),"")</f>
        <v>3984.5227479999999</v>
      </c>
      <c r="AS322">
        <f ca="1">IFERROR(IF(0=LEN(ReferenceData!$AS$322),"",ReferenceData!$AS$322),"")</f>
        <v>3786.4825580000002</v>
      </c>
      <c r="AT322">
        <f ca="1">IFERROR(IF(0=LEN(ReferenceData!$AT$322),"",ReferenceData!$AT$322),"")</f>
        <v>3824.5998989999998</v>
      </c>
      <c r="AU322">
        <f ca="1">IFERROR(IF(0=LEN(ReferenceData!$AU$322),"",ReferenceData!$AU$322),"")</f>
        <v>4961.0970369999995</v>
      </c>
      <c r="AV322">
        <f ca="1">IFERROR(IF(0=LEN(ReferenceData!$AV$322),"",ReferenceData!$AV$322),"")</f>
        <v>4566.701196</v>
      </c>
      <c r="AW322">
        <f ca="1">IFERROR(IF(0=LEN(ReferenceData!$AW$322),"",ReferenceData!$AW$322),"")</f>
        <v>4206.8744699999997</v>
      </c>
      <c r="AX322">
        <f ca="1">IFERROR(IF(0=LEN(ReferenceData!$AX$322),"",ReferenceData!$AX$322),"")</f>
        <v>4625.7260159999996</v>
      </c>
      <c r="AY322">
        <f ca="1">IFERROR(IF(0=LEN(ReferenceData!$AY$322),"",ReferenceData!$AY$322),"")</f>
        <v>4183.1201359999995</v>
      </c>
      <c r="AZ322">
        <f ca="1">IFERROR(IF(0=LEN(ReferenceData!$AZ$322),"",ReferenceData!$AZ$322),"")</f>
        <v>4093.0226480000001</v>
      </c>
      <c r="BA322">
        <f ca="1">IFERROR(IF(0=LEN(ReferenceData!$BA$322),"",ReferenceData!$BA$322),"")</f>
        <v>3713.1510629999998</v>
      </c>
      <c r="BB322">
        <f ca="1">IFERROR(IF(0=LEN(ReferenceData!$BB$322),"",ReferenceData!$BB$322),"")</f>
        <v>3901.7943700000001</v>
      </c>
      <c r="BC322">
        <f ca="1">IFERROR(IF(0=LEN(ReferenceData!$BC$322),"",ReferenceData!$BC$322),"")</f>
        <v>3792.1565329999999</v>
      </c>
      <c r="BD322">
        <f ca="1">IFERROR(IF(0=LEN(ReferenceData!$BD$322),"",ReferenceData!$BD$322),"")</f>
        <v>3679.0882900000001</v>
      </c>
      <c r="BE322">
        <f ca="1">IFERROR(IF(0=LEN(ReferenceData!$BE$322),"",ReferenceData!$BE$322),"")</f>
        <v>3726.7930459999998</v>
      </c>
      <c r="BF322">
        <f ca="1">IFERROR(IF(0=LEN(ReferenceData!$BF$322),"",ReferenceData!$BF$322),"")</f>
        <v>3636.6893620000001</v>
      </c>
      <c r="BG322">
        <f ca="1">IFERROR(IF(0=LEN(ReferenceData!$BG$322),"",ReferenceData!$BG$322),"")</f>
        <v>3487.920658</v>
      </c>
      <c r="BH322">
        <f ca="1">IFERROR(IF(0=LEN(ReferenceData!$BH$322),"",ReferenceData!$BH$322),"")</f>
        <v>3897.5519549999999</v>
      </c>
      <c r="BI322">
        <f ca="1">IFERROR(IF(0=LEN(ReferenceData!$BI$322),"",ReferenceData!$BI$322),"")</f>
        <v>3833.1650589999999</v>
      </c>
      <c r="BJ322">
        <f ca="1">IFERROR(IF(0=LEN(ReferenceData!$BJ$322),"",ReferenceData!$BJ$322),"")</f>
        <v>3991.9589550000001</v>
      </c>
      <c r="BK322">
        <f ca="1">IFERROR(IF(0=LEN(ReferenceData!$BK$322),"",ReferenceData!$BK$322),"")</f>
        <v>4278.5874549999999</v>
      </c>
      <c r="BL322">
        <f ca="1">IFERROR(IF(0=LEN(ReferenceData!$BL$322),"",ReferenceData!$BL$322),"")</f>
        <v>3841.990358</v>
      </c>
      <c r="BM322">
        <f ca="1">IFERROR(IF(0=LEN(ReferenceData!$BM$322),"",ReferenceData!$BM$322),"")</f>
        <v>3757.1637559999999</v>
      </c>
    </row>
    <row r="323" spans="1:65" x14ac:dyDescent="0.25">
      <c r="A323" t="str">
        <f>IFERROR(IF(0=LEN(ReferenceData!$A$323),"",ReferenceData!$A$323),"")</f>
        <v xml:space="preserve">    Suzuki Motor Corp</v>
      </c>
      <c r="B323" t="str">
        <f>IFERROR(IF(0=LEN(ReferenceData!$B$323),"",ReferenceData!$B$323),"")</f>
        <v>7269 JP Equity</v>
      </c>
      <c r="C323" t="str">
        <f>IFERROR(IF(0=LEN(ReferenceData!$C$323),"",ReferenceData!$C$323),"")</f>
        <v>RR179</v>
      </c>
      <c r="D323" t="str">
        <f>IFERROR(IF(0=LEN(ReferenceData!$D$323),"",ReferenceData!$D$323),"")</f>
        <v>TANGIBLE_COMMON_EQUITY</v>
      </c>
      <c r="E323" t="str">
        <f>IFERROR(IF(0=LEN(ReferenceData!$E$323),"",ReferenceData!$E$323),"")</f>
        <v>Dynamic</v>
      </c>
      <c r="F323" t="str">
        <f ca="1">IFERROR(IF(0=LEN(ReferenceData!$F$323),"",ReferenceData!$F$323),"")</f>
        <v/>
      </c>
      <c r="G323">
        <f ca="1">IFERROR(IF(0=LEN(ReferenceData!$G$323),"",ReferenceData!$G$323),"")</f>
        <v>12617.599850000001</v>
      </c>
      <c r="H323">
        <f ca="1">IFERROR(IF(0=LEN(ReferenceData!$H$323),"",ReferenceData!$H$323),"")</f>
        <v>12146.625550000001</v>
      </c>
      <c r="I323">
        <f ca="1">IFERROR(IF(0=LEN(ReferenceData!$I$323),"",ReferenceData!$I$323),"")</f>
        <v>12049.990970000001</v>
      </c>
      <c r="J323">
        <f ca="1">IFERROR(IF(0=LEN(ReferenceData!$J$323),"",ReferenceData!$J$323),"")</f>
        <v>12192.68499</v>
      </c>
      <c r="K323">
        <f ca="1">IFERROR(IF(0=LEN(ReferenceData!$K$323),"",ReferenceData!$K$323),"")</f>
        <v>11615.19808</v>
      </c>
      <c r="L323">
        <f ca="1">IFERROR(IF(0=LEN(ReferenceData!$L$323),"",ReferenceData!$L$323),"")</f>
        <v>11019.827740000001</v>
      </c>
      <c r="M323">
        <f ca="1">IFERROR(IF(0=LEN(ReferenceData!$M$323),"",ReferenceData!$M$323),"")</f>
        <v>10543.62261</v>
      </c>
      <c r="N323">
        <f ca="1">IFERROR(IF(0=LEN(ReferenceData!$N$323),"",ReferenceData!$N$323),"")</f>
        <v>10037.8223</v>
      </c>
      <c r="O323">
        <f ca="1">IFERROR(IF(0=LEN(ReferenceData!$O$323),"",ReferenceData!$O$323),"")</f>
        <v>9371.9821670000001</v>
      </c>
      <c r="P323">
        <f ca="1">IFERROR(IF(0=LEN(ReferenceData!$P$323),"",ReferenceData!$P$323),"")</f>
        <v>9552.9330570000002</v>
      </c>
      <c r="Q323">
        <f ca="1">IFERROR(IF(0=LEN(ReferenceData!$Q$323),"",ReferenceData!$Q$323),"")</f>
        <v>8868.9601710000006</v>
      </c>
      <c r="R323">
        <f ca="1">IFERROR(IF(0=LEN(ReferenceData!$R$323),"",ReferenceData!$R$323),"")</f>
        <v>8475.7333330000001</v>
      </c>
      <c r="S323">
        <f ca="1">IFERROR(IF(0=LEN(ReferenceData!$S$323),"",ReferenceData!$S$323),"")</f>
        <v>8408.7354410000007</v>
      </c>
      <c r="T323">
        <f ca="1">IFERROR(IF(0=LEN(ReferenceData!$T$323),"",ReferenceData!$T$323),"")</f>
        <v>8176.1845069999999</v>
      </c>
      <c r="U323">
        <f ca="1">IFERROR(IF(0=LEN(ReferenceData!$U$323),"",ReferenceData!$U$323),"")</f>
        <v>12344.677369999999</v>
      </c>
      <c r="V323">
        <f ca="1">IFERROR(IF(0=LEN(ReferenceData!$V$323),"",ReferenceData!$V$323),"")</f>
        <v>12307.44477</v>
      </c>
      <c r="W323">
        <f ca="1">IFERROR(IF(0=LEN(ReferenceData!$W$323),"",ReferenceData!$W$323),"")</f>
        <v>12137.967290000001</v>
      </c>
      <c r="X323">
        <f ca="1">IFERROR(IF(0=LEN(ReferenceData!$X$323),"",ReferenceData!$X$323),"")</f>
        <v>12538.801750000001</v>
      </c>
      <c r="Y323">
        <f ca="1">IFERROR(IF(0=LEN(ReferenceData!$Y$323),"",ReferenceData!$Y$323),"")</f>
        <v>13164.68556</v>
      </c>
      <c r="Z323">
        <f ca="1">IFERROR(IF(0=LEN(ReferenceData!$Z$323),"",ReferenceData!$Z$323),"")</f>
        <v>12803.44426</v>
      </c>
      <c r="AA323">
        <f ca="1">IFERROR(IF(0=LEN(ReferenceData!$AA$323),"",ReferenceData!$AA$323),"")</f>
        <v>12322.876689999999</v>
      </c>
      <c r="AB323">
        <f ca="1">IFERROR(IF(0=LEN(ReferenceData!$AB$323),"",ReferenceData!$AB$323),"")</f>
        <v>12461.87761</v>
      </c>
      <c r="AC323">
        <f ca="1">IFERROR(IF(0=LEN(ReferenceData!$AC$323),"",ReferenceData!$AC$323),"")</f>
        <v>12002.03363</v>
      </c>
      <c r="AD323">
        <f ca="1">IFERROR(IF(0=LEN(ReferenceData!$AD$323),"",ReferenceData!$AD$323),"")</f>
        <v>12061.36701</v>
      </c>
      <c r="AE323">
        <f ca="1">IFERROR(IF(0=LEN(ReferenceData!$AE$323),"",ReferenceData!$AE$323),"")</f>
        <v>12077.53406</v>
      </c>
      <c r="AF323">
        <f ca="1">IFERROR(IF(0=LEN(ReferenceData!$AF$323),"",ReferenceData!$AF$323),"")</f>
        <v>12792.92864</v>
      </c>
      <c r="AG323">
        <f ca="1">IFERROR(IF(0=LEN(ReferenceData!$AG$323),"",ReferenceData!$AG$323),"")</f>
        <v>12232.79449</v>
      </c>
      <c r="AH323">
        <f ca="1">IFERROR(IF(0=LEN(ReferenceData!$AH$323),"",ReferenceData!$AH$323),"")</f>
        <v>11874.101420000001</v>
      </c>
      <c r="AI323">
        <f ca="1">IFERROR(IF(0=LEN(ReferenceData!$AI$323),"",ReferenceData!$AI$323),"")</f>
        <v>12114.05377</v>
      </c>
      <c r="AJ323">
        <f ca="1">IFERROR(IF(0=LEN(ReferenceData!$AJ$323),"",ReferenceData!$AJ$323),"")</f>
        <v>12152.43713</v>
      </c>
      <c r="AK323">
        <f ca="1">IFERROR(IF(0=LEN(ReferenceData!$AK$323),"",ReferenceData!$AK$323),"")</f>
        <v>12251.154420000001</v>
      </c>
      <c r="AL323">
        <f ca="1">IFERROR(IF(0=LEN(ReferenceData!$AL$323),"",ReferenceData!$AL$323),"")</f>
        <v>11647.91742</v>
      </c>
      <c r="AM323">
        <f ca="1">IFERROR(IF(0=LEN(ReferenceData!$AM$323),"",ReferenceData!$AM$323),"")</f>
        <v>11671.89309</v>
      </c>
      <c r="AN323">
        <f ca="1">IFERROR(IF(0=LEN(ReferenceData!$AN$323),"",ReferenceData!$AN$323),"")</f>
        <v>11300.64702</v>
      </c>
      <c r="AO323">
        <f ca="1">IFERROR(IF(0=LEN(ReferenceData!$AO$323),"",ReferenceData!$AO$323),"")</f>
        <v>10561.28923</v>
      </c>
      <c r="AP323">
        <f ca="1">IFERROR(IF(0=LEN(ReferenceData!$AP$323),"",ReferenceData!$AP$323),"")</f>
        <v>10157.96233</v>
      </c>
      <c r="AQ323">
        <f ca="1">IFERROR(IF(0=LEN(ReferenceData!$AQ$323),"",ReferenceData!$AQ$323),"")</f>
        <v>7275.1986260000003</v>
      </c>
      <c r="AR323">
        <f ca="1">IFERROR(IF(0=LEN(ReferenceData!$AR$323),"",ReferenceData!$AR$323),"")</f>
        <v>7455.6645850000004</v>
      </c>
      <c r="AS323">
        <f ca="1">IFERROR(IF(0=LEN(ReferenceData!$AS$323),"",ReferenceData!$AS$323),"")</f>
        <v>6936.762874</v>
      </c>
      <c r="AT323">
        <f ca="1">IFERROR(IF(0=LEN(ReferenceData!$AT$323),"",ReferenceData!$AT$323),"")</f>
        <v>6411.1826870000004</v>
      </c>
      <c r="AU323">
        <f ca="1">IFERROR(IF(0=LEN(ReferenceData!$AU$323),"",ReferenceData!$AU$323),"")</f>
        <v>7178.7641809999996</v>
      </c>
      <c r="AV323">
        <f ca="1">IFERROR(IF(0=LEN(ReferenceData!$AV$323),"",ReferenceData!$AV$323),"")</f>
        <v>7136.0956779999997</v>
      </c>
      <c r="AW323">
        <f ca="1">IFERROR(IF(0=LEN(ReferenceData!$AW$323),"",ReferenceData!$AW$323),"")</f>
        <v>7485.2245970000004</v>
      </c>
      <c r="AX323">
        <f ca="1">IFERROR(IF(0=LEN(ReferenceData!$AX$323),"",ReferenceData!$AX$323),"")</f>
        <v>7759.7336269999996</v>
      </c>
      <c r="AY323">
        <f ca="1">IFERROR(IF(0=LEN(ReferenceData!$AY$323),"",ReferenceData!$AY$323),"")</f>
        <v>7171.3212270000004</v>
      </c>
      <c r="AZ323">
        <f ca="1">IFERROR(IF(0=LEN(ReferenceData!$AZ$323),"",ReferenceData!$AZ$323),"")</f>
        <v>6930.0783970000002</v>
      </c>
      <c r="BA323">
        <f ca="1">IFERROR(IF(0=LEN(ReferenceData!$BA$323),"",ReferenceData!$BA$323),"")</f>
        <v>6389.9724159999996</v>
      </c>
      <c r="BB323">
        <f ca="1">IFERROR(IF(0=LEN(ReferenceData!$BB$323),"",ReferenceData!$BB$323),"")</f>
        <v>6269.8698869999998</v>
      </c>
      <c r="BC323">
        <f ca="1">IFERROR(IF(0=LEN(ReferenceData!$BC$323),"",ReferenceData!$BC$323),"")</f>
        <v>5707.7930800000004</v>
      </c>
      <c r="BD323">
        <f ca="1">IFERROR(IF(0=LEN(ReferenceData!$BD$323),"",ReferenceData!$BD$323),"")</f>
        <v>5462.0318589999997</v>
      </c>
      <c r="BE323">
        <f ca="1">IFERROR(IF(0=LEN(ReferenceData!$BE$323),"",ReferenceData!$BE$323),"")</f>
        <v>5435.4153930000002</v>
      </c>
      <c r="BF323">
        <f ca="1">IFERROR(IF(0=LEN(ReferenceData!$BF$323),"",ReferenceData!$BF$323),"")</f>
        <v>5196.0936170000004</v>
      </c>
      <c r="BG323">
        <f ca="1">IFERROR(IF(0=LEN(ReferenceData!$BG$323),"",ReferenceData!$BG$323),"")</f>
        <v>6859.6931420000001</v>
      </c>
      <c r="BH323">
        <f ca="1">IFERROR(IF(0=LEN(ReferenceData!$BH$323),"",ReferenceData!$BH$323),"")</f>
        <v>6787.4075380000004</v>
      </c>
      <c r="BI323">
        <f ca="1">IFERROR(IF(0=LEN(ReferenceData!$BI$323),"",ReferenceData!$BI$323),"")</f>
        <v>6700.0180289999998</v>
      </c>
      <c r="BJ323">
        <f ca="1">IFERROR(IF(0=LEN(ReferenceData!$BJ$323),"",ReferenceData!$BJ$323),"")</f>
        <v>6876.5018659999996</v>
      </c>
      <c r="BK323">
        <f ca="1">IFERROR(IF(0=LEN(ReferenceData!$BK$323),"",ReferenceData!$BK$323),"")</f>
        <v>7081.3871820000004</v>
      </c>
      <c r="BL323">
        <f ca="1">IFERROR(IF(0=LEN(ReferenceData!$BL$323),"",ReferenceData!$BL$323),"")</f>
        <v>6426.9808059999996</v>
      </c>
      <c r="BM323">
        <f ca="1">IFERROR(IF(0=LEN(ReferenceData!$BM$323),"",ReferenceData!$BM$323),"")</f>
        <v>6360.4827649999997</v>
      </c>
    </row>
    <row r="324" spans="1:65" x14ac:dyDescent="0.25">
      <c r="A324" t="str">
        <f>IFERROR(IF(0=LEN(ReferenceData!$A$324),"",ReferenceData!$A$324),"")</f>
        <v xml:space="preserve">    Tata Motors Ltd</v>
      </c>
      <c r="B324" t="str">
        <f>IFERROR(IF(0=LEN(ReferenceData!$B$324),"",ReferenceData!$B$324),"")</f>
        <v>TTMT IN Equity</v>
      </c>
      <c r="C324" t="str">
        <f>IFERROR(IF(0=LEN(ReferenceData!$C$324),"",ReferenceData!$C$324),"")</f>
        <v>RR179</v>
      </c>
      <c r="D324" t="str">
        <f>IFERROR(IF(0=LEN(ReferenceData!$D$324),"",ReferenceData!$D$324),"")</f>
        <v>TANGIBLE_COMMON_EQUITY</v>
      </c>
      <c r="E324" t="str">
        <f>IFERROR(IF(0=LEN(ReferenceData!$E$324),"",ReferenceData!$E$324),"")</f>
        <v>Dynamic</v>
      </c>
      <c r="F324" t="str">
        <f ca="1">IFERROR(IF(0=LEN(ReferenceData!$F$324),"",ReferenceData!$F$324),"")</f>
        <v/>
      </c>
      <c r="G324" t="str">
        <f ca="1">IFERROR(IF(0=LEN(ReferenceData!$G$324),"",ReferenceData!$G$324),"")</f>
        <v/>
      </c>
      <c r="H324">
        <f ca="1">IFERROR(IF(0=LEN(ReferenceData!$H$324),"",ReferenceData!$H$324),"")</f>
        <v>2588.6601559999999</v>
      </c>
      <c r="I324" t="str">
        <f ca="1">IFERROR(IF(0=LEN(ReferenceData!$I$324),"",ReferenceData!$I$324),"")</f>
        <v/>
      </c>
      <c r="J324">
        <f ca="1">IFERROR(IF(0=LEN(ReferenceData!$J$324),"",ReferenceData!$J$324),"")</f>
        <v>3683.041142</v>
      </c>
      <c r="K324" t="str">
        <f ca="1">IFERROR(IF(0=LEN(ReferenceData!$K$324),"",ReferenceData!$K$324),"")</f>
        <v/>
      </c>
      <c r="L324">
        <f ca="1">IFERROR(IF(0=LEN(ReferenceData!$L$324),"",ReferenceData!$L$324),"")</f>
        <v>1953.983168</v>
      </c>
      <c r="M324" t="str">
        <f ca="1">IFERROR(IF(0=LEN(ReferenceData!$M$324),"",ReferenceData!$M$324),"")</f>
        <v/>
      </c>
      <c r="N324">
        <f ca="1">IFERROR(IF(0=LEN(ReferenceData!$N$324),"",ReferenceData!$N$324),"")</f>
        <v>-277.4481993</v>
      </c>
      <c r="O324" t="str">
        <f ca="1">IFERROR(IF(0=LEN(ReferenceData!$O$324),"",ReferenceData!$O$324),"")</f>
        <v/>
      </c>
      <c r="P324">
        <f ca="1">IFERROR(IF(0=LEN(ReferenceData!$P$324),"",ReferenceData!$P$324),"")</f>
        <v>-821.28551119999997</v>
      </c>
      <c r="Q324" t="str">
        <f ca="1">IFERROR(IF(0=LEN(ReferenceData!$Q$324),"",ReferenceData!$Q$324),"")</f>
        <v/>
      </c>
      <c r="R324">
        <f ca="1">IFERROR(IF(0=LEN(ReferenceData!$R$324),"",ReferenceData!$R$324),"")</f>
        <v>2612.3137299999999</v>
      </c>
      <c r="S324" t="str">
        <f ca="1">IFERROR(IF(0=LEN(ReferenceData!$S$324),"",ReferenceData!$S$324),"")</f>
        <v/>
      </c>
      <c r="T324">
        <f ca="1">IFERROR(IF(0=LEN(ReferenceData!$T$324),"",ReferenceData!$T$324),"")</f>
        <v>11588.65057</v>
      </c>
      <c r="U324" t="str">
        <f ca="1">IFERROR(IF(0=LEN(ReferenceData!$U$324),"",ReferenceData!$U$324),"")</f>
        <v/>
      </c>
      <c r="V324">
        <f ca="1">IFERROR(IF(0=LEN(ReferenceData!$V$324),"",ReferenceData!$V$324),"")</f>
        <v>128.2352922</v>
      </c>
      <c r="W324" t="str">
        <f ca="1">IFERROR(IF(0=LEN(ReferenceData!$W$324),"",ReferenceData!$W$324),"")</f>
        <v/>
      </c>
      <c r="X324">
        <f ca="1">IFERROR(IF(0=LEN(ReferenceData!$X$324),"",ReferenceData!$X$324),"")</f>
        <v>10147.62701</v>
      </c>
      <c r="Y324" t="str">
        <f ca="1">IFERROR(IF(0=LEN(ReferenceData!$Y$324),"",ReferenceData!$Y$324),"")</f>
        <v/>
      </c>
      <c r="Z324">
        <f ca="1">IFERROR(IF(0=LEN(ReferenceData!$Z$324),"",ReferenceData!$Z$324),"")</f>
        <v>2351.0531540000002</v>
      </c>
      <c r="AA324" t="str">
        <f ca="1">IFERROR(IF(0=LEN(ReferenceData!$AA$324),"",ReferenceData!$AA$324),"")</f>
        <v/>
      </c>
      <c r="AB324">
        <f ca="1">IFERROR(IF(0=LEN(ReferenceData!$AB$324),"",ReferenceData!$AB$324),"")</f>
        <v>8005.6930359999997</v>
      </c>
      <c r="AC324" t="str">
        <f ca="1">IFERROR(IF(0=LEN(ReferenceData!$AC$324),"",ReferenceData!$AC$324),"")</f>
        <v/>
      </c>
      <c r="AD324">
        <f ca="1">IFERROR(IF(0=LEN(ReferenceData!$AD$324),"",ReferenceData!$AD$324),"")</f>
        <v>136.9331009</v>
      </c>
      <c r="AE324" t="str">
        <f ca="1">IFERROR(IF(0=LEN(ReferenceData!$AE$324),"",ReferenceData!$AE$324),"")</f>
        <v/>
      </c>
      <c r="AF324">
        <f ca="1">IFERROR(IF(0=LEN(ReferenceData!$AF$324),"",ReferenceData!$AF$324),"")</f>
        <v>6831.5656040000003</v>
      </c>
      <c r="AG324" t="str">
        <f ca="1">IFERROR(IF(0=LEN(ReferenceData!$AG$324),"",ReferenceData!$AG$324),"")</f>
        <v/>
      </c>
      <c r="AH324">
        <f ca="1">IFERROR(IF(0=LEN(ReferenceData!$AH$324),"",ReferenceData!$AH$324),"")</f>
        <v>516.70428890000005</v>
      </c>
      <c r="AI324" t="str">
        <f ca="1">IFERROR(IF(0=LEN(ReferenceData!$AI$324),"",ReferenceData!$AI$324),"")</f>
        <v/>
      </c>
      <c r="AJ324" t="str">
        <f ca="1">IFERROR(IF(0=LEN(ReferenceData!$AJ$324),"",ReferenceData!$AJ$324),"")</f>
        <v/>
      </c>
      <c r="AK324" t="str">
        <f ca="1">IFERROR(IF(0=LEN(ReferenceData!$AK$324),"",ReferenceData!$AK$324),"")</f>
        <v/>
      </c>
      <c r="AL324">
        <f ca="1">IFERROR(IF(0=LEN(ReferenceData!$AL$324),"",ReferenceData!$AL$324),"")</f>
        <v>-589.31539110000006</v>
      </c>
      <c r="AM324" t="str">
        <f ca="1">IFERROR(IF(0=LEN(ReferenceData!$AM$324),"",ReferenceData!$AM$324),"")</f>
        <v/>
      </c>
      <c r="AN324" t="str">
        <f ca="1">IFERROR(IF(0=LEN(ReferenceData!$AN$324),"",ReferenceData!$AN$324),"")</f>
        <v/>
      </c>
      <c r="AO324" t="str">
        <f ca="1">IFERROR(IF(0=LEN(ReferenceData!$AO$324),"",ReferenceData!$AO$324),"")</f>
        <v/>
      </c>
      <c r="AP324">
        <f ca="1">IFERROR(IF(0=LEN(ReferenceData!$AP$324),"",ReferenceData!$AP$324),"")</f>
        <v>-969.85761960000002</v>
      </c>
      <c r="AQ324" t="str">
        <f ca="1">IFERROR(IF(0=LEN(ReferenceData!$AQ$324),"",ReferenceData!$AQ$324),"")</f>
        <v/>
      </c>
      <c r="AR324" t="str">
        <f ca="1">IFERROR(IF(0=LEN(ReferenceData!$AR$324),"",ReferenceData!$AR$324),"")</f>
        <v/>
      </c>
      <c r="AS324" t="str">
        <f ca="1">IFERROR(IF(0=LEN(ReferenceData!$AS$324),"",ReferenceData!$AS$324),"")</f>
        <v/>
      </c>
      <c r="AT324">
        <f ca="1">IFERROR(IF(0=LEN(ReferenceData!$AT$324),"",ReferenceData!$AT$324),"")</f>
        <v>-635.6814822</v>
      </c>
      <c r="AU324" t="str">
        <f ca="1">IFERROR(IF(0=LEN(ReferenceData!$AU$324),"",ReferenceData!$AU$324),"")</f>
        <v/>
      </c>
      <c r="AV324" t="str">
        <f ca="1">IFERROR(IF(0=LEN(ReferenceData!$AV$324),"",ReferenceData!$AV$324),"")</f>
        <v/>
      </c>
      <c r="AW324" t="str">
        <f ca="1">IFERROR(IF(0=LEN(ReferenceData!$AW$324),"",ReferenceData!$AW$324),"")</f>
        <v/>
      </c>
      <c r="AX324">
        <f ca="1">IFERROR(IF(0=LEN(ReferenceData!$AX$324),"",ReferenceData!$AX$324),"")</f>
        <v>1876.4971330000001</v>
      </c>
      <c r="AY324" t="str">
        <f ca="1">IFERROR(IF(0=LEN(ReferenceData!$AY$324),"",ReferenceData!$AY$324),"")</f>
        <v/>
      </c>
      <c r="AZ324" t="str">
        <f ca="1">IFERROR(IF(0=LEN(ReferenceData!$AZ$324),"",ReferenceData!$AZ$324),"")</f>
        <v/>
      </c>
      <c r="BA324" t="str">
        <f ca="1">IFERROR(IF(0=LEN(ReferenceData!$BA$324),"",ReferenceData!$BA$324),"")</f>
        <v/>
      </c>
      <c r="BB324" t="str">
        <f ca="1">IFERROR(IF(0=LEN(ReferenceData!$BB$324),"",ReferenceData!$BB$324),"")</f>
        <v/>
      </c>
      <c r="BC324" t="str">
        <f ca="1">IFERROR(IF(0=LEN(ReferenceData!$BC$324),"",ReferenceData!$BC$324),"")</f>
        <v/>
      </c>
      <c r="BD324" t="str">
        <f ca="1">IFERROR(IF(0=LEN(ReferenceData!$BD$324),"",ReferenceData!$BD$324),"")</f>
        <v/>
      </c>
      <c r="BE324" t="str">
        <f ca="1">IFERROR(IF(0=LEN(ReferenceData!$BE$324),"",ReferenceData!$BE$324),"")</f>
        <v/>
      </c>
      <c r="BF324" t="str">
        <f ca="1">IFERROR(IF(0=LEN(ReferenceData!$BF$324),"",ReferenceData!$BF$324),"")</f>
        <v/>
      </c>
      <c r="BG324" t="str">
        <f ca="1">IFERROR(IF(0=LEN(ReferenceData!$BG$324),"",ReferenceData!$BG$324),"")</f>
        <v/>
      </c>
      <c r="BH324" t="str">
        <f ca="1">IFERROR(IF(0=LEN(ReferenceData!$BH$324),"",ReferenceData!$BH$324),"")</f>
        <v/>
      </c>
      <c r="BI324" t="str">
        <f ca="1">IFERROR(IF(0=LEN(ReferenceData!$BI$324),"",ReferenceData!$BI$324),"")</f>
        <v/>
      </c>
      <c r="BJ324" t="str">
        <f ca="1">IFERROR(IF(0=LEN(ReferenceData!$BJ$324),"",ReferenceData!$BJ$324),"")</f>
        <v/>
      </c>
      <c r="BK324" t="str">
        <f ca="1">IFERROR(IF(0=LEN(ReferenceData!$BK$324),"",ReferenceData!$BK$324),"")</f>
        <v/>
      </c>
      <c r="BL324" t="str">
        <f ca="1">IFERROR(IF(0=LEN(ReferenceData!$BL$324),"",ReferenceData!$BL$324),"")</f>
        <v/>
      </c>
      <c r="BM324" t="str">
        <f ca="1">IFERROR(IF(0=LEN(ReferenceData!$BM$324),"",ReferenceData!$BM$324),"")</f>
        <v/>
      </c>
    </row>
    <row r="325" spans="1:65" x14ac:dyDescent="0.25">
      <c r="A325" t="str">
        <f>IFERROR(IF(0=LEN(ReferenceData!$A$325),"",ReferenceData!$A$325),"")</f>
        <v xml:space="preserve">    Tesla Inc</v>
      </c>
      <c r="B325" t="str">
        <f>IFERROR(IF(0=LEN(ReferenceData!$B$325),"",ReferenceData!$B$325),"")</f>
        <v>TSLA US Equity</v>
      </c>
      <c r="C325" t="str">
        <f>IFERROR(IF(0=LEN(ReferenceData!$C$325),"",ReferenceData!$C$325),"")</f>
        <v>RR179</v>
      </c>
      <c r="D325" t="str">
        <f>IFERROR(IF(0=LEN(ReferenceData!$D$325),"",ReferenceData!$D$325),"")</f>
        <v>TANGIBLE_COMMON_EQUITY</v>
      </c>
      <c r="E325" t="str">
        <f>IFERROR(IF(0=LEN(ReferenceData!$E$325),"",ReferenceData!$E$325),"")</f>
        <v>Dynamic</v>
      </c>
      <c r="F325" t="str">
        <f ca="1">IFERROR(IF(0=LEN(ReferenceData!$F$325),"",ReferenceData!$F$325),"")</f>
        <v/>
      </c>
      <c r="G325">
        <f ca="1">IFERROR(IF(0=LEN(ReferenceData!$G$325),"",ReferenceData!$G$325),"")</f>
        <v>4572.5919999999996</v>
      </c>
      <c r="H325">
        <f ca="1">IFERROR(IF(0=LEN(ReferenceData!$H$325),"",ReferenceData!$H$325),"")</f>
        <v>4152.1360000000004</v>
      </c>
      <c r="I325">
        <f ca="1">IFERROR(IF(0=LEN(ReferenceData!$I$325),"",ReferenceData!$I$325),"")</f>
        <v>3541.7310000000002</v>
      </c>
      <c r="J325">
        <f ca="1">IFERROR(IF(0=LEN(ReferenceData!$J$325),"",ReferenceData!$J$325),"")</f>
        <v>4042.9850000000001</v>
      </c>
      <c r="K325">
        <f ca="1">IFERROR(IF(0=LEN(ReferenceData!$K$325),"",ReferenceData!$K$325),"")</f>
        <v>3815.5729999999999</v>
      </c>
      <c r="L325">
        <f ca="1">IFERROR(IF(0=LEN(ReferenceData!$L$325),"",ReferenceData!$L$325),"")</f>
        <v>4294.3630000000003</v>
      </c>
      <c r="M325">
        <f ca="1">IFERROR(IF(0=LEN(ReferenceData!$M$325),"",ReferenceData!$M$325),"")</f>
        <v>4682.8270000000002</v>
      </c>
      <c r="N325">
        <f ca="1">IFERROR(IF(0=LEN(ReferenceData!$N$325),"",ReferenceData!$N$325),"")</f>
        <v>4565.41</v>
      </c>
      <c r="O325">
        <f ca="1">IFERROR(IF(0=LEN(ReferenceData!$O$325),"",ReferenceData!$O$325),"")</f>
        <v>4385.55</v>
      </c>
      <c r="P325" t="str">
        <f ca="1">IFERROR(IF(0=LEN(ReferenceData!$P$325),"",ReferenceData!$P$325),"")</f>
        <v/>
      </c>
      <c r="Q325" t="str">
        <f ca="1">IFERROR(IF(0=LEN(ReferenceData!$Q$325),"",ReferenceData!$Q$325),"")</f>
        <v/>
      </c>
      <c r="R325" t="str">
        <f ca="1">IFERROR(IF(0=LEN(ReferenceData!$R$325),"",ReferenceData!$R$325),"")</f>
        <v/>
      </c>
      <c r="S325">
        <f ca="1">IFERROR(IF(0=LEN(ReferenceData!$S$325),"",ReferenceData!$S$325),"")</f>
        <v>1118.173</v>
      </c>
      <c r="T325" t="str">
        <f ca="1">IFERROR(IF(0=LEN(ReferenceData!$T$325),"",ReferenceData!$T$325),"")</f>
        <v/>
      </c>
      <c r="U325" t="str">
        <f ca="1">IFERROR(IF(0=LEN(ReferenceData!$U$325),"",ReferenceData!$U$325),"")</f>
        <v/>
      </c>
      <c r="V325" t="str">
        <f ca="1">IFERROR(IF(0=LEN(ReferenceData!$V$325),"",ReferenceData!$V$325),"")</f>
        <v/>
      </c>
      <c r="W325">
        <f ca="1">IFERROR(IF(0=LEN(ReferenceData!$W$325),"",ReferenceData!$W$325),"")</f>
        <v>911.71</v>
      </c>
      <c r="X325" t="str">
        <f ca="1">IFERROR(IF(0=LEN(ReferenceData!$X$325),"",ReferenceData!$X$325),"")</f>
        <v/>
      </c>
      <c r="Y325" t="str">
        <f ca="1">IFERROR(IF(0=LEN(ReferenceData!$Y$325),"",ReferenceData!$Y$325),"")</f>
        <v/>
      </c>
      <c r="Z325" t="str">
        <f ca="1">IFERROR(IF(0=LEN(ReferenceData!$Z$325),"",ReferenceData!$Z$325),"")</f>
        <v/>
      </c>
      <c r="AA325">
        <f ca="1">IFERROR(IF(0=LEN(ReferenceData!$AA$325),"",ReferenceData!$AA$325),"")</f>
        <v>667.12</v>
      </c>
      <c r="AB325" t="str">
        <f ca="1">IFERROR(IF(0=LEN(ReferenceData!$AB$325),"",ReferenceData!$AB$325),"")</f>
        <v/>
      </c>
      <c r="AC325" t="str">
        <f ca="1">IFERROR(IF(0=LEN(ReferenceData!$AC$325),"",ReferenceData!$AC$325),"")</f>
        <v/>
      </c>
      <c r="AD325" t="str">
        <f ca="1">IFERROR(IF(0=LEN(ReferenceData!$AD$325),"",ReferenceData!$AD$325),"")</f>
        <v/>
      </c>
      <c r="AE325">
        <f ca="1">IFERROR(IF(0=LEN(ReferenceData!$AE$325),"",ReferenceData!$AE$325),"")</f>
        <v>124.7</v>
      </c>
      <c r="AF325" t="str">
        <f ca="1">IFERROR(IF(0=LEN(ReferenceData!$AF$325),"",ReferenceData!$AF$325),"")</f>
        <v/>
      </c>
      <c r="AG325" t="str">
        <f ca="1">IFERROR(IF(0=LEN(ReferenceData!$AG$325),"",ReferenceData!$AG$325),"")</f>
        <v/>
      </c>
      <c r="AH325" t="str">
        <f ca="1">IFERROR(IF(0=LEN(ReferenceData!$AH$325),"",ReferenceData!$AH$325),"")</f>
        <v/>
      </c>
      <c r="AI325">
        <f ca="1">IFERROR(IF(0=LEN(ReferenceData!$AI$325),"",ReferenceData!$AI$325),"")</f>
        <v>224.04499999999999</v>
      </c>
      <c r="AJ325" t="str">
        <f ca="1">IFERROR(IF(0=LEN(ReferenceData!$AJ$325),"",ReferenceData!$AJ$325),"")</f>
        <v/>
      </c>
      <c r="AK325" t="str">
        <f ca="1">IFERROR(IF(0=LEN(ReferenceData!$AK$325),"",ReferenceData!$AK$325),"")</f>
        <v/>
      </c>
      <c r="AL325" t="str">
        <f ca="1">IFERROR(IF(0=LEN(ReferenceData!$AL$325),"",ReferenceData!$AL$325),"")</f>
        <v/>
      </c>
      <c r="AM325">
        <f ca="1">IFERROR(IF(0=LEN(ReferenceData!$AM$325),"",ReferenceData!$AM$325),"")</f>
        <v>207.048</v>
      </c>
      <c r="AN325" t="str">
        <f ca="1">IFERROR(IF(0=LEN(ReferenceData!$AN$325),"",ReferenceData!$AN$325),"")</f>
        <v/>
      </c>
      <c r="AO325" t="str">
        <f ca="1">IFERROR(IF(0=LEN(ReferenceData!$AO$325),"",ReferenceData!$AO$325),"")</f>
        <v/>
      </c>
      <c r="AP325" t="str">
        <f ca="1">IFERROR(IF(0=LEN(ReferenceData!$AP$325),"",ReferenceData!$AP$325),"")</f>
        <v/>
      </c>
      <c r="AQ325">
        <f ca="1">IFERROR(IF(0=LEN(ReferenceData!$AQ$325),"",ReferenceData!$AQ$325),"")</f>
        <v>-253.523</v>
      </c>
      <c r="AR325" t="str">
        <f ca="1">IFERROR(IF(0=LEN(ReferenceData!$AR$325),"",ReferenceData!$AR$325),"")</f>
        <v/>
      </c>
      <c r="AS325" t="str">
        <f ca="1">IFERROR(IF(0=LEN(ReferenceData!$AS$325),"",ReferenceData!$AS$325),"")</f>
        <v/>
      </c>
      <c r="AT325" t="str">
        <f ca="1">IFERROR(IF(0=LEN(ReferenceData!$AT$325),"",ReferenceData!$AT$325),"")</f>
        <v/>
      </c>
      <c r="AU325" t="str">
        <f ca="1">IFERROR(IF(0=LEN(ReferenceData!$AU$325),"",ReferenceData!$AU$325),"")</f>
        <v/>
      </c>
      <c r="AV325" t="str">
        <f ca="1">IFERROR(IF(0=LEN(ReferenceData!$AV$325),"",ReferenceData!$AV$325),"")</f>
        <v/>
      </c>
      <c r="AW325" t="str">
        <f ca="1">IFERROR(IF(0=LEN(ReferenceData!$AW$325),"",ReferenceData!$AW$325),"")</f>
        <v/>
      </c>
      <c r="AX325" t="str">
        <f ca="1">IFERROR(IF(0=LEN(ReferenceData!$AX$325),"",ReferenceData!$AX$325),"")</f>
        <v/>
      </c>
      <c r="AY325" t="str">
        <f ca="1">IFERROR(IF(0=LEN(ReferenceData!$AY$325),"",ReferenceData!$AY$325),"")</f>
        <v/>
      </c>
      <c r="AZ325" t="str">
        <f ca="1">IFERROR(IF(0=LEN(ReferenceData!$AZ$325),"",ReferenceData!$AZ$325),"")</f>
        <v/>
      </c>
      <c r="BA325" t="str">
        <f ca="1">IFERROR(IF(0=LEN(ReferenceData!$BA$325),"",ReferenceData!$BA$325),"")</f>
        <v/>
      </c>
      <c r="BB325" t="str">
        <f ca="1">IFERROR(IF(0=LEN(ReferenceData!$BB$325),"",ReferenceData!$BB$325),"")</f>
        <v/>
      </c>
      <c r="BC325" t="str">
        <f ca="1">IFERROR(IF(0=LEN(ReferenceData!$BC$325),"",ReferenceData!$BC$325),"")</f>
        <v/>
      </c>
      <c r="BD325" t="str">
        <f ca="1">IFERROR(IF(0=LEN(ReferenceData!$BD$325),"",ReferenceData!$BD$325),"")</f>
        <v/>
      </c>
      <c r="BE325" t="str">
        <f ca="1">IFERROR(IF(0=LEN(ReferenceData!$BE$325),"",ReferenceData!$BE$325),"")</f>
        <v/>
      </c>
      <c r="BF325" t="str">
        <f ca="1">IFERROR(IF(0=LEN(ReferenceData!$BF$325),"",ReferenceData!$BF$325),"")</f>
        <v/>
      </c>
      <c r="BG325" t="str">
        <f ca="1">IFERROR(IF(0=LEN(ReferenceData!$BG$325),"",ReferenceData!$BG$325),"")</f>
        <v/>
      </c>
      <c r="BH325" t="str">
        <f ca="1">IFERROR(IF(0=LEN(ReferenceData!$BH$325),"",ReferenceData!$BH$325),"")</f>
        <v/>
      </c>
      <c r="BI325" t="str">
        <f ca="1">IFERROR(IF(0=LEN(ReferenceData!$BI$325),"",ReferenceData!$BI$325),"")</f>
        <v/>
      </c>
      <c r="BJ325" t="str">
        <f ca="1">IFERROR(IF(0=LEN(ReferenceData!$BJ$325),"",ReferenceData!$BJ$325),"")</f>
        <v/>
      </c>
      <c r="BK325" t="str">
        <f ca="1">IFERROR(IF(0=LEN(ReferenceData!$BK$325),"",ReferenceData!$BK$325),"")</f>
        <v/>
      </c>
      <c r="BL325" t="str">
        <f ca="1">IFERROR(IF(0=LEN(ReferenceData!$BL$325),"",ReferenceData!$BL$325),"")</f>
        <v/>
      </c>
      <c r="BM325" t="str">
        <f ca="1">IFERROR(IF(0=LEN(ReferenceData!$BM$325),"",ReferenceData!$BM$325),"")</f>
        <v/>
      </c>
    </row>
    <row r="326" spans="1:65" x14ac:dyDescent="0.25">
      <c r="A326" t="str">
        <f>IFERROR(IF(0=LEN(ReferenceData!$A$326),"",ReferenceData!$A$326),"")</f>
        <v xml:space="preserve">    Tianjin Faw Xiali Automobile Co Ltd</v>
      </c>
      <c r="B326" t="str">
        <f>IFERROR(IF(0=LEN(ReferenceData!$B$326),"",ReferenceData!$B$326),"")</f>
        <v>000927 CH Equity</v>
      </c>
      <c r="C326" t="str">
        <f>IFERROR(IF(0=LEN(ReferenceData!$C$326),"",ReferenceData!$C$326),"")</f>
        <v>RR179</v>
      </c>
      <c r="D326" t="str">
        <f>IFERROR(IF(0=LEN(ReferenceData!$D$326),"",ReferenceData!$D$326),"")</f>
        <v>TANGIBLE_COMMON_EQUITY</v>
      </c>
      <c r="E326" t="str">
        <f>IFERROR(IF(0=LEN(ReferenceData!$E$326),"",ReferenceData!$E$326),"")</f>
        <v>Dynamic</v>
      </c>
      <c r="F326" t="str">
        <f ca="1">IFERROR(IF(0=LEN(ReferenceData!$F$326),"",ReferenceData!$F$326),"")</f>
        <v/>
      </c>
      <c r="G326" t="str">
        <f ca="1">IFERROR(IF(0=LEN(ReferenceData!$G$326),"",ReferenceData!$G$326),"")</f>
        <v/>
      </c>
      <c r="H326">
        <f ca="1">IFERROR(IF(0=LEN(ReferenceData!$H$326),"",ReferenceData!$H$326),"")</f>
        <v>-163.56048129999999</v>
      </c>
      <c r="I326">
        <f ca="1">IFERROR(IF(0=LEN(ReferenceData!$I$326),"",ReferenceData!$I$326),"")</f>
        <v>-87.531465299999994</v>
      </c>
      <c r="J326">
        <f ca="1">IFERROR(IF(0=LEN(ReferenceData!$J$326),"",ReferenceData!$J$326),"")</f>
        <v>-54.348779239999999</v>
      </c>
      <c r="K326">
        <f ca="1">IFERROR(IF(0=LEN(ReferenceData!$K$326),"",ReferenceData!$K$326),"")</f>
        <v>8.8196930729999998</v>
      </c>
      <c r="L326">
        <f ca="1">IFERROR(IF(0=LEN(ReferenceData!$L$326),"",ReferenceData!$L$326),"")</f>
        <v>59.483798389999997</v>
      </c>
      <c r="M326">
        <f ca="1">IFERROR(IF(0=LEN(ReferenceData!$M$326),"",ReferenceData!$M$326),"")</f>
        <v>149.56558440000001</v>
      </c>
      <c r="N326">
        <f ca="1">IFERROR(IF(0=LEN(ReferenceData!$N$326),"",ReferenceData!$N$326),"")</f>
        <v>181.55015900000001</v>
      </c>
      <c r="O326">
        <f ca="1">IFERROR(IF(0=LEN(ReferenceData!$O$326),"",ReferenceData!$O$326),"")</f>
        <v>244.52475290000001</v>
      </c>
      <c r="P326">
        <f ca="1">IFERROR(IF(0=LEN(ReferenceData!$P$326),"",ReferenceData!$P$326),"")</f>
        <v>78.262648200000001</v>
      </c>
      <c r="Q326">
        <f ca="1">IFERROR(IF(0=LEN(ReferenceData!$Q$326),"",ReferenceData!$Q$326),"")</f>
        <v>152.3494288</v>
      </c>
      <c r="R326">
        <f ca="1">IFERROR(IF(0=LEN(ReferenceData!$R$326),"",ReferenceData!$R$326),"")</f>
        <v>182.25633239999999</v>
      </c>
      <c r="S326">
        <f ca="1">IFERROR(IF(0=LEN(ReferenceData!$S$326),"",ReferenceData!$S$326),"")</f>
        <v>236.1107255</v>
      </c>
      <c r="T326">
        <f ca="1">IFERROR(IF(0=LEN(ReferenceData!$T$326),"",ReferenceData!$T$326),"")</f>
        <v>40.85955139</v>
      </c>
      <c r="U326">
        <f ca="1">IFERROR(IF(0=LEN(ReferenceData!$U$326),"",ReferenceData!$U$326),"")</f>
        <v>133.80958570000001</v>
      </c>
      <c r="V326">
        <f ca="1">IFERROR(IF(0=LEN(ReferenceData!$V$326),"",ReferenceData!$V$326),"")</f>
        <v>134.14603310000001</v>
      </c>
      <c r="W326">
        <f ca="1">IFERROR(IF(0=LEN(ReferenceData!$W$326),"",ReferenceData!$W$326),"")</f>
        <v>216.7734792</v>
      </c>
      <c r="X326">
        <f ca="1">IFERROR(IF(0=LEN(ReferenceData!$X$326),"",ReferenceData!$X$326),"")</f>
        <v>324.5970873</v>
      </c>
      <c r="Y326">
        <f ca="1">IFERROR(IF(0=LEN(ReferenceData!$Y$326),"",ReferenceData!$Y$326),"")</f>
        <v>408.25237720000001</v>
      </c>
      <c r="Z326">
        <f ca="1">IFERROR(IF(0=LEN(ReferenceData!$Z$326),"",ReferenceData!$Z$326),"")</f>
        <v>398.61985970000001</v>
      </c>
      <c r="AA326">
        <f ca="1">IFERROR(IF(0=LEN(ReferenceData!$AA$326),"",ReferenceData!$AA$326),"")</f>
        <v>492.94114960000002</v>
      </c>
      <c r="AB326">
        <f ca="1">IFERROR(IF(0=LEN(ReferenceData!$AB$326),"",ReferenceData!$AB$326),"")</f>
        <v>503.09957960000003</v>
      </c>
      <c r="AC326">
        <f ca="1">IFERROR(IF(0=LEN(ReferenceData!$AC$326),"",ReferenceData!$AC$326),"")</f>
        <v>570.46193979999998</v>
      </c>
      <c r="AD326">
        <f ca="1">IFERROR(IF(0=LEN(ReferenceData!$AD$326),"",ReferenceData!$AD$326),"")</f>
        <v>509.62438980000002</v>
      </c>
      <c r="AE326">
        <f ca="1">IFERROR(IF(0=LEN(ReferenceData!$AE$326),"",ReferenceData!$AE$326),"")</f>
        <v>565.95652580000001</v>
      </c>
      <c r="AF326">
        <f ca="1">IFERROR(IF(0=LEN(ReferenceData!$AF$326),"",ReferenceData!$AF$326),"")</f>
        <v>528.59046239999998</v>
      </c>
      <c r="AG326">
        <f ca="1">IFERROR(IF(0=LEN(ReferenceData!$AG$326),"",ReferenceData!$AG$326),"")</f>
        <v>573.5939138</v>
      </c>
      <c r="AH326">
        <f ca="1">IFERROR(IF(0=LEN(ReferenceData!$AH$326),"",ReferenceData!$AH$326),"")</f>
        <v>533.32011950000003</v>
      </c>
      <c r="AI326">
        <f ca="1">IFERROR(IF(0=LEN(ReferenceData!$AI$326),"",ReferenceData!$AI$326),"")</f>
        <v>574.16105340000001</v>
      </c>
      <c r="AJ326">
        <f ca="1">IFERROR(IF(0=LEN(ReferenceData!$AJ$326),"",ReferenceData!$AJ$326),"")</f>
        <v>522.5514518</v>
      </c>
      <c r="AK326">
        <f ca="1">IFERROR(IF(0=LEN(ReferenceData!$AK$326),"",ReferenceData!$AK$326),"")</f>
        <v>554.74894470000004</v>
      </c>
      <c r="AL326">
        <f ca="1">IFERROR(IF(0=LEN(ReferenceData!$AL$326),"",ReferenceData!$AL$326),"")</f>
        <v>510.03088539999999</v>
      </c>
      <c r="AM326">
        <f ca="1">IFERROR(IF(0=LEN(ReferenceData!$AM$326),"",ReferenceData!$AM$326),"")</f>
        <v>546.6678402</v>
      </c>
      <c r="AN326">
        <f ca="1">IFERROR(IF(0=LEN(ReferenceData!$AN$326),"",ReferenceData!$AN$326),"")</f>
        <v>493.95466349999998</v>
      </c>
      <c r="AO326">
        <f ca="1">IFERROR(IF(0=LEN(ReferenceData!$AO$326),"",ReferenceData!$AO$326),"")</f>
        <v>534.18614520000006</v>
      </c>
      <c r="AP326">
        <f ca="1">IFERROR(IF(0=LEN(ReferenceData!$AP$326),"",ReferenceData!$AP$326),"")</f>
        <v>478.01127359999998</v>
      </c>
      <c r="AQ326">
        <f ca="1">IFERROR(IF(0=LEN(ReferenceData!$AQ$326),"",ReferenceData!$AQ$326),"")</f>
        <v>499.51390029999999</v>
      </c>
      <c r="AR326">
        <f ca="1">IFERROR(IF(0=LEN(ReferenceData!$AR$326),"",ReferenceData!$AR$326),"")</f>
        <v>437.91539990000001</v>
      </c>
      <c r="AS326">
        <f ca="1">IFERROR(IF(0=LEN(ReferenceData!$AS$326),"",ReferenceData!$AS$326),"")</f>
        <v>485.5408195</v>
      </c>
      <c r="AT326">
        <f ca="1">IFERROR(IF(0=LEN(ReferenceData!$AT$326),"",ReferenceData!$AT$326),"")</f>
        <v>426.12288519999998</v>
      </c>
      <c r="AU326">
        <f ca="1">IFERROR(IF(0=LEN(ReferenceData!$AU$326),"",ReferenceData!$AU$326),"")</f>
        <v>480.5052354</v>
      </c>
      <c r="AV326">
        <f ca="1">IFERROR(IF(0=LEN(ReferenceData!$AV$326),"",ReferenceData!$AV$326),"")</f>
        <v>433.01742869999998</v>
      </c>
      <c r="AW326">
        <f ca="1">IFERROR(IF(0=LEN(ReferenceData!$AW$326),"",ReferenceData!$AW$326),"")</f>
        <v>479.06320490000002</v>
      </c>
      <c r="AX326">
        <f ca="1">IFERROR(IF(0=LEN(ReferenceData!$AX$326),"",ReferenceData!$AX$326),"")</f>
        <v>431.3540074</v>
      </c>
      <c r="AY326">
        <f ca="1">IFERROR(IF(0=LEN(ReferenceData!$AY$326),"",ReferenceData!$AY$326),"")</f>
        <v>446.8282438</v>
      </c>
      <c r="AZ326">
        <f ca="1">IFERROR(IF(0=LEN(ReferenceData!$AZ$326),"",ReferenceData!$AZ$326),"")</f>
        <v>380.20767119999999</v>
      </c>
      <c r="BA326">
        <f ca="1">IFERROR(IF(0=LEN(ReferenceData!$BA$326),"",ReferenceData!$BA$326),"")</f>
        <v>424.7384318</v>
      </c>
      <c r="BB326">
        <f ca="1">IFERROR(IF(0=LEN(ReferenceData!$BB$326),"",ReferenceData!$BB$326),"")</f>
        <v>374.36485970000001</v>
      </c>
      <c r="BC326">
        <f ca="1">IFERROR(IF(0=LEN(ReferenceData!$BC$326),"",ReferenceData!$BC$326),"")</f>
        <v>412.05079649999999</v>
      </c>
      <c r="BD326">
        <f ca="1">IFERROR(IF(0=LEN(ReferenceData!$BD$326),"",ReferenceData!$BD$326),"")</f>
        <v>365.7507076</v>
      </c>
      <c r="BE326">
        <f ca="1">IFERROR(IF(0=LEN(ReferenceData!$BE$326),"",ReferenceData!$BE$326),"")</f>
        <v>393.79905059999999</v>
      </c>
      <c r="BF326">
        <f ca="1">IFERROR(IF(0=LEN(ReferenceData!$BF$326),"",ReferenceData!$BF$326),"")</f>
        <v>333.11536599999999</v>
      </c>
      <c r="BG326">
        <f ca="1">IFERROR(IF(0=LEN(ReferenceData!$BG$326),"",ReferenceData!$BG$326),"")</f>
        <v>366.07071680000001</v>
      </c>
      <c r="BH326" t="str">
        <f ca="1">IFERROR(IF(0=LEN(ReferenceData!$BH$326),"",ReferenceData!$BH$326),"")</f>
        <v/>
      </c>
      <c r="BI326">
        <f ca="1">IFERROR(IF(0=LEN(ReferenceData!$BI$326),"",ReferenceData!$BI$326),"")</f>
        <v>333.66006240000002</v>
      </c>
      <c r="BJ326" t="str">
        <f ca="1">IFERROR(IF(0=LEN(ReferenceData!$BJ$326),"",ReferenceData!$BJ$326),"")</f>
        <v/>
      </c>
      <c r="BK326">
        <f ca="1">IFERROR(IF(0=LEN(ReferenceData!$BK$326),"",ReferenceData!$BK$326),"")</f>
        <v>326.11119330000002</v>
      </c>
      <c r="BL326" t="str">
        <f ca="1">IFERROR(IF(0=LEN(ReferenceData!$BL$326),"",ReferenceData!$BL$326),"")</f>
        <v/>
      </c>
      <c r="BM326">
        <f ca="1">IFERROR(IF(0=LEN(ReferenceData!$BM$326),"",ReferenceData!$BM$326),"")</f>
        <v>334.44039359999999</v>
      </c>
    </row>
    <row r="327" spans="1:65" x14ac:dyDescent="0.25">
      <c r="A327" t="str">
        <f>IFERROR(IF(0=LEN(ReferenceData!$A$327),"",ReferenceData!$A$327),"")</f>
        <v xml:space="preserve">    Tofas Turk Otomobil Fabrikasi AS</v>
      </c>
      <c r="B327" t="str">
        <f>IFERROR(IF(0=LEN(ReferenceData!$B$327),"",ReferenceData!$B$327),"")</f>
        <v>TOASOTRY EO Equity</v>
      </c>
      <c r="C327" t="str">
        <f>IFERROR(IF(0=LEN(ReferenceData!$C$327),"",ReferenceData!$C$327),"")</f>
        <v>RR179</v>
      </c>
      <c r="D327" t="str">
        <f>IFERROR(IF(0=LEN(ReferenceData!$D$327),"",ReferenceData!$D$327),"")</f>
        <v>TANGIBLE_COMMON_EQUITY</v>
      </c>
      <c r="E327" t="str">
        <f>IFERROR(IF(0=LEN(ReferenceData!$E$327),"",ReferenceData!$E$327),"")</f>
        <v>Dynamic</v>
      </c>
      <c r="F327" t="str">
        <f ca="1">IFERROR(IF(0=LEN(ReferenceData!$F$327),"",ReferenceData!$F$327),"")</f>
        <v/>
      </c>
      <c r="G327">
        <f ca="1">IFERROR(IF(0=LEN(ReferenceData!$G$327),"",ReferenceData!$G$327),"")</f>
        <v>402.03636499999999</v>
      </c>
      <c r="H327">
        <f ca="1">IFERROR(IF(0=LEN(ReferenceData!$H$327),"",ReferenceData!$H$327),"")</f>
        <v>224.77388339999999</v>
      </c>
      <c r="I327">
        <f ca="1">IFERROR(IF(0=LEN(ReferenceData!$I$327),"",ReferenceData!$I$327),"")</f>
        <v>349.1056274</v>
      </c>
      <c r="J327">
        <f ca="1">IFERROR(IF(0=LEN(ReferenceData!$J$327),"",ReferenceData!$J$327),"")</f>
        <v>335.66129810000001</v>
      </c>
      <c r="K327">
        <f ca="1">IFERROR(IF(0=LEN(ReferenceData!$K$327),"",ReferenceData!$K$327),"")</f>
        <v>496.19032529999998</v>
      </c>
      <c r="L327">
        <f ca="1">IFERROR(IF(0=LEN(ReferenceData!$L$327),"",ReferenceData!$L$327),"")</f>
        <v>436.18286970000003</v>
      </c>
      <c r="M327">
        <f ca="1">IFERROR(IF(0=LEN(ReferenceData!$M$327),"",ReferenceData!$M$327),"")</f>
        <v>372.63707199999999</v>
      </c>
      <c r="N327">
        <f ca="1">IFERROR(IF(0=LEN(ReferenceData!$N$327),"",ReferenceData!$N$327),"")</f>
        <v>280.05837650000001</v>
      </c>
      <c r="O327">
        <f ca="1">IFERROR(IF(0=LEN(ReferenceData!$O$327),"",ReferenceData!$O$327),"")</f>
        <v>336.809078</v>
      </c>
      <c r="P327">
        <f ca="1">IFERROR(IF(0=LEN(ReferenceData!$P$327),"",ReferenceData!$P$327),"")</f>
        <v>395.08515249999999</v>
      </c>
      <c r="Q327">
        <f ca="1">IFERROR(IF(0=LEN(ReferenceData!$Q$327),"",ReferenceData!$Q$327),"")</f>
        <v>384.6313629</v>
      </c>
      <c r="R327">
        <f ca="1">IFERROR(IF(0=LEN(ReferenceData!$R$327),"",ReferenceData!$R$327),"")</f>
        <v>294.8717221</v>
      </c>
      <c r="S327">
        <f ca="1">IFERROR(IF(0=LEN(ReferenceData!$S$327),"",ReferenceData!$S$327),"")</f>
        <v>445.08673290000002</v>
      </c>
      <c r="T327">
        <f ca="1">IFERROR(IF(0=LEN(ReferenceData!$T$327),"",ReferenceData!$T$327),"")</f>
        <v>380.76603189999997</v>
      </c>
      <c r="U327">
        <f ca="1">IFERROR(IF(0=LEN(ReferenceData!$U$327),"",ReferenceData!$U$327),"")</f>
        <v>434.46817249999998</v>
      </c>
      <c r="V327">
        <f ca="1">IFERROR(IF(0=LEN(ReferenceData!$V$327),"",ReferenceData!$V$327),"")</f>
        <v>392.3097052</v>
      </c>
      <c r="W327">
        <f ca="1">IFERROR(IF(0=LEN(ReferenceData!$W$327),"",ReferenceData!$W$327),"")</f>
        <v>576.15147630000001</v>
      </c>
      <c r="X327">
        <f ca="1">IFERROR(IF(0=LEN(ReferenceData!$X$327),"",ReferenceData!$X$327),"")</f>
        <v>618.78860999999995</v>
      </c>
      <c r="Y327">
        <f ca="1">IFERROR(IF(0=LEN(ReferenceData!$Y$327),"",ReferenceData!$Y$327),"")</f>
        <v>604.31922220000001</v>
      </c>
      <c r="Z327">
        <f ca="1">IFERROR(IF(0=LEN(ReferenceData!$Z$327),"",ReferenceData!$Z$327),"")</f>
        <v>510.2265812</v>
      </c>
      <c r="AA327">
        <f ca="1">IFERROR(IF(0=LEN(ReferenceData!$AA$327),"",ReferenceData!$AA$327),"")</f>
        <v>593.4637209</v>
      </c>
      <c r="AB327">
        <f ca="1">IFERROR(IF(0=LEN(ReferenceData!$AB$327),"",ReferenceData!$AB$327),"")</f>
        <v>580.19842640000002</v>
      </c>
      <c r="AC327">
        <f ca="1">IFERROR(IF(0=LEN(ReferenceData!$AC$327),"",ReferenceData!$AC$327),"")</f>
        <v>572.89938380000001</v>
      </c>
      <c r="AD327">
        <f ca="1">IFERROR(IF(0=LEN(ReferenceData!$AD$327),"",ReferenceData!$AD$327),"")</f>
        <v>575.2326544</v>
      </c>
      <c r="AE327">
        <f ca="1">IFERROR(IF(0=LEN(ReferenceData!$AE$327),"",ReferenceData!$AE$327),"")</f>
        <v>772.40065019999997</v>
      </c>
      <c r="AF327">
        <f ca="1">IFERROR(IF(0=LEN(ReferenceData!$AF$327),"",ReferenceData!$AF$327),"")</f>
        <v>663.46031749999997</v>
      </c>
      <c r="AG327">
        <f ca="1">IFERROR(IF(0=LEN(ReferenceData!$AG$327),"",ReferenceData!$AG$327),"")</f>
        <v>591.84800040000005</v>
      </c>
      <c r="AH327">
        <f ca="1">IFERROR(IF(0=LEN(ReferenceData!$AH$327),"",ReferenceData!$AH$327),"")</f>
        <v>504.89117019999998</v>
      </c>
      <c r="AI327">
        <f ca="1">IFERROR(IF(0=LEN(ReferenceData!$AI$327),"",ReferenceData!$AI$327),"")</f>
        <v>534.39403589999995</v>
      </c>
      <c r="AJ327">
        <f ca="1">IFERROR(IF(0=LEN(ReferenceData!$AJ$327),"",ReferenceData!$AJ$327),"")</f>
        <v>421.78094010000001</v>
      </c>
      <c r="AK327">
        <f ca="1">IFERROR(IF(0=LEN(ReferenceData!$AK$327),"",ReferenceData!$AK$327),"")</f>
        <v>442.65607679999999</v>
      </c>
      <c r="AL327">
        <f ca="1">IFERROR(IF(0=LEN(ReferenceData!$AL$327),"",ReferenceData!$AL$327),"")</f>
        <v>423.21930680000003</v>
      </c>
      <c r="AM327">
        <f ca="1">IFERROR(IF(0=LEN(ReferenceData!$AM$327),"",ReferenceData!$AM$327),"")</f>
        <v>543.40694210000004</v>
      </c>
      <c r="AN327">
        <f ca="1">IFERROR(IF(0=LEN(ReferenceData!$AN$327),"",ReferenceData!$AN$327),"")</f>
        <v>537.25031079999997</v>
      </c>
      <c r="AO327">
        <f ca="1">IFERROR(IF(0=LEN(ReferenceData!$AO$327),"",ReferenceData!$AO$327),"")</f>
        <v>446.63183889999999</v>
      </c>
      <c r="AP327">
        <f ca="1">IFERROR(IF(0=LEN(ReferenceData!$AP$327),"",ReferenceData!$AP$327),"")</f>
        <v>429.44067910000001</v>
      </c>
      <c r="AQ327">
        <f ca="1">IFERROR(IF(0=LEN(ReferenceData!$AQ$327),"",ReferenceData!$AQ$327),"")</f>
        <v>386.28448969999999</v>
      </c>
      <c r="AR327">
        <f ca="1">IFERROR(IF(0=LEN(ReferenceData!$AR$327),"",ReferenceData!$AR$327),"")</f>
        <v>424.98752610000003</v>
      </c>
      <c r="AS327">
        <f ca="1">IFERROR(IF(0=LEN(ReferenceData!$AS$327),"",ReferenceData!$AS$327),"")</f>
        <v>250.07788669999999</v>
      </c>
      <c r="AT327">
        <f ca="1">IFERROR(IF(0=LEN(ReferenceData!$AT$327),"",ReferenceData!$AT$327),"")</f>
        <v>211.1998079</v>
      </c>
      <c r="AU327">
        <f ca="1">IFERROR(IF(0=LEN(ReferenceData!$AU$327),"",ReferenceData!$AU$327),"")</f>
        <v>277.48406399999999</v>
      </c>
      <c r="AV327">
        <f ca="1">IFERROR(IF(0=LEN(ReferenceData!$AV$327),"",ReferenceData!$AV$327),"")</f>
        <v>487.10155200000003</v>
      </c>
      <c r="AW327">
        <f ca="1">IFERROR(IF(0=LEN(ReferenceData!$AW$327),"",ReferenceData!$AW$327),"")</f>
        <v>547.92555359999994</v>
      </c>
      <c r="AX327">
        <f ca="1">IFERROR(IF(0=LEN(ReferenceData!$AX$327),"",ReferenceData!$AX$327),"")</f>
        <v>461.09053779999999</v>
      </c>
      <c r="AY327">
        <f ca="1">IFERROR(IF(0=LEN(ReferenceData!$AY$327),"",ReferenceData!$AY$327),"")</f>
        <v>604.04320710000002</v>
      </c>
      <c r="AZ327">
        <f ca="1">IFERROR(IF(0=LEN(ReferenceData!$AZ$327),"",ReferenceData!$AZ$327),"")</f>
        <v>553.90843610000002</v>
      </c>
      <c r="BA327">
        <f ca="1">IFERROR(IF(0=LEN(ReferenceData!$BA$327),"",ReferenceData!$BA$327),"")</f>
        <v>476.13203229999999</v>
      </c>
      <c r="BB327">
        <f ca="1">IFERROR(IF(0=LEN(ReferenceData!$BB$327),"",ReferenceData!$BB$327),"")</f>
        <v>516.04323780000004</v>
      </c>
      <c r="BC327">
        <f ca="1">IFERROR(IF(0=LEN(ReferenceData!$BC$327),"",ReferenceData!$BC$327),"")</f>
        <v>496.84240240000003</v>
      </c>
      <c r="BD327">
        <f ca="1">IFERROR(IF(0=LEN(ReferenceData!$BD$327),"",ReferenceData!$BD$327),"")</f>
        <v>463.90269699999999</v>
      </c>
      <c r="BE327">
        <f ca="1">IFERROR(IF(0=LEN(ReferenceData!$BE$327),"",ReferenceData!$BE$327),"")</f>
        <v>433.5885293</v>
      </c>
      <c r="BF327">
        <f ca="1">IFERROR(IF(0=LEN(ReferenceData!$BF$327),"",ReferenceData!$BF$327),"")</f>
        <v>659.53240059999996</v>
      </c>
      <c r="BG327">
        <f ca="1">IFERROR(IF(0=LEN(ReferenceData!$BG$327),"",ReferenceData!$BG$327),"")</f>
        <v>662.68354520000003</v>
      </c>
      <c r="BH327">
        <f ca="1">IFERROR(IF(0=LEN(ReferenceData!$BH$327),"",ReferenceData!$BH$327),"")</f>
        <v>733.17892800000004</v>
      </c>
      <c r="BI327">
        <f ca="1">IFERROR(IF(0=LEN(ReferenceData!$BI$327),"",ReferenceData!$BI$327),"")</f>
        <v>719.53082730000006</v>
      </c>
      <c r="BJ327">
        <f ca="1">IFERROR(IF(0=LEN(ReferenceData!$BJ$327),"",ReferenceData!$BJ$327),"")</f>
        <v>664.33988669999997</v>
      </c>
      <c r="BK327" t="str">
        <f ca="1">IFERROR(IF(0=LEN(ReferenceData!$BK$327),"",ReferenceData!$BK$327),"")</f>
        <v/>
      </c>
      <c r="BL327" t="str">
        <f ca="1">IFERROR(IF(0=LEN(ReferenceData!$BL$327),"",ReferenceData!$BL$327),"")</f>
        <v/>
      </c>
      <c r="BM327" t="str">
        <f ca="1">IFERROR(IF(0=LEN(ReferenceData!$BM$327),"",ReferenceData!$BM$327),"")</f>
        <v/>
      </c>
    </row>
    <row r="328" spans="1:65" x14ac:dyDescent="0.25">
      <c r="A328" t="str">
        <f>IFERROR(IF(0=LEN(ReferenceData!$A$328),"",ReferenceData!$A$328),"")</f>
        <v xml:space="preserve">    Toyota Motor Corp</v>
      </c>
      <c r="B328" t="str">
        <f>IFERROR(IF(0=LEN(ReferenceData!$B$328),"",ReferenceData!$B$328),"")</f>
        <v>7203 JP Equity</v>
      </c>
      <c r="C328" t="str">
        <f>IFERROR(IF(0=LEN(ReferenceData!$C$328),"",ReferenceData!$C$328),"")</f>
        <v>RR179</v>
      </c>
      <c r="D328" t="str">
        <f>IFERROR(IF(0=LEN(ReferenceData!$D$328),"",ReferenceData!$D$328),"")</f>
        <v>TANGIBLE_COMMON_EQUITY</v>
      </c>
      <c r="E328" t="str">
        <f>IFERROR(IF(0=LEN(ReferenceData!$E$328),"",ReferenceData!$E$328),"")</f>
        <v>Dynamic</v>
      </c>
      <c r="F328" t="str">
        <f ca="1">IFERROR(IF(0=LEN(ReferenceData!$F$328),"",ReferenceData!$F$328),"")</f>
        <v/>
      </c>
      <c r="G328">
        <f ca="1">IFERROR(IF(0=LEN(ReferenceData!$G$328),"",ReferenceData!$G$328),"")</f>
        <v>174076.5913</v>
      </c>
      <c r="H328">
        <f ca="1">IFERROR(IF(0=LEN(ReferenceData!$H$328),"",ReferenceData!$H$328),"")</f>
        <v>171906.5374</v>
      </c>
      <c r="I328">
        <f ca="1">IFERROR(IF(0=LEN(ReferenceData!$I$328),"",ReferenceData!$I$328),"")</f>
        <v>171031.92809999999</v>
      </c>
      <c r="J328">
        <f ca="1">IFERROR(IF(0=LEN(ReferenceData!$J$328),"",ReferenceData!$J$328),"")</f>
        <v>176388.45790000001</v>
      </c>
      <c r="K328">
        <f ca="1">IFERROR(IF(0=LEN(ReferenceData!$K$328),"",ReferenceData!$K$328),"")</f>
        <v>168737.67989999999</v>
      </c>
      <c r="L328">
        <f ca="1">IFERROR(IF(0=LEN(ReferenceData!$L$328),"",ReferenceData!$L$328),"")</f>
        <v>162080.39420000001</v>
      </c>
      <c r="M328">
        <f ca="1">IFERROR(IF(0=LEN(ReferenceData!$M$328),"",ReferenceData!$M$328),"")</f>
        <v>159094.64170000001</v>
      </c>
      <c r="N328">
        <f ca="1">IFERROR(IF(0=LEN(ReferenceData!$N$328),"",ReferenceData!$N$328),"")</f>
        <v>157351.64850000001</v>
      </c>
      <c r="O328" t="str">
        <f ca="1">IFERROR(IF(0=LEN(ReferenceData!$O$328),"",ReferenceData!$O$328),"")</f>
        <v/>
      </c>
      <c r="P328" t="str">
        <f ca="1">IFERROR(IF(0=LEN(ReferenceData!$P$328),"",ReferenceData!$P$328),"")</f>
        <v/>
      </c>
      <c r="Q328" t="str">
        <f ca="1">IFERROR(IF(0=LEN(ReferenceData!$Q$328),"",ReferenceData!$Q$328),"")</f>
        <v/>
      </c>
      <c r="R328">
        <f ca="1">IFERROR(IF(0=LEN(ReferenceData!$R$328),"",ReferenceData!$R$328),"")</f>
        <v>148861.64439999999</v>
      </c>
      <c r="S328" t="str">
        <f ca="1">IFERROR(IF(0=LEN(ReferenceData!$S$328),"",ReferenceData!$S$328),"")</f>
        <v/>
      </c>
      <c r="T328" t="str">
        <f ca="1">IFERROR(IF(0=LEN(ReferenceData!$T$328),"",ReferenceData!$T$328),"")</f>
        <v/>
      </c>
      <c r="U328" t="str">
        <f ca="1">IFERROR(IF(0=LEN(ReferenceData!$U$328),"",ReferenceData!$U$328),"")</f>
        <v/>
      </c>
      <c r="V328">
        <f ca="1">IFERROR(IF(0=LEN(ReferenceData!$V$328),"",ReferenceData!$V$328),"")</f>
        <v>139959.4081</v>
      </c>
      <c r="W328" t="str">
        <f ca="1">IFERROR(IF(0=LEN(ReferenceData!$W$328),"",ReferenceData!$W$328),"")</f>
        <v/>
      </c>
      <c r="X328" t="str">
        <f ca="1">IFERROR(IF(0=LEN(ReferenceData!$X$328),"",ReferenceData!$X$328),"")</f>
        <v/>
      </c>
      <c r="Y328" t="str">
        <f ca="1">IFERROR(IF(0=LEN(ReferenceData!$Y$328),"",ReferenceData!$Y$328),"")</f>
        <v/>
      </c>
      <c r="Z328">
        <f ca="1">IFERROR(IF(0=LEN(ReferenceData!$Z$328),"",ReferenceData!$Z$328),"")</f>
        <v>140381.76000000001</v>
      </c>
      <c r="AA328" t="str">
        <f ca="1">IFERROR(IF(0=LEN(ReferenceData!$AA$328),"",ReferenceData!$AA$328),"")</f>
        <v/>
      </c>
      <c r="AB328" t="str">
        <f ca="1">IFERROR(IF(0=LEN(ReferenceData!$AB$328),"",ReferenceData!$AB$328),"")</f>
        <v/>
      </c>
      <c r="AC328" t="str">
        <f ca="1">IFERROR(IF(0=LEN(ReferenceData!$AC$328),"",ReferenceData!$AC$328),"")</f>
        <v/>
      </c>
      <c r="AD328">
        <f ca="1">IFERROR(IF(0=LEN(ReferenceData!$AD$328),"",ReferenceData!$AD$328),"")</f>
        <v>128932.65760000001</v>
      </c>
      <c r="AE328" t="str">
        <f ca="1">IFERROR(IF(0=LEN(ReferenceData!$AE$328),"",ReferenceData!$AE$328),"")</f>
        <v/>
      </c>
      <c r="AF328" t="str">
        <f ca="1">IFERROR(IF(0=LEN(ReferenceData!$AF$328),"",ReferenceData!$AF$328),"")</f>
        <v/>
      </c>
      <c r="AG328" t="str">
        <f ca="1">IFERROR(IF(0=LEN(ReferenceData!$AG$328),"",ReferenceData!$AG$328),"")</f>
        <v/>
      </c>
      <c r="AH328">
        <f ca="1">IFERROR(IF(0=LEN(ReferenceData!$AH$328),"",ReferenceData!$AH$328),"")</f>
        <v>127680.7576</v>
      </c>
      <c r="AI328" t="str">
        <f ca="1">IFERROR(IF(0=LEN(ReferenceData!$AI$328),"",ReferenceData!$AI$328),"")</f>
        <v/>
      </c>
      <c r="AJ328" t="str">
        <f ca="1">IFERROR(IF(0=LEN(ReferenceData!$AJ$328),"",ReferenceData!$AJ$328),"")</f>
        <v/>
      </c>
      <c r="AK328" t="str">
        <f ca="1">IFERROR(IF(0=LEN(ReferenceData!$AK$328),"",ReferenceData!$AK$328),"")</f>
        <v/>
      </c>
      <c r="AL328">
        <f ca="1">IFERROR(IF(0=LEN(ReferenceData!$AL$328),"",ReferenceData!$AL$328),"")</f>
        <v>124741.893</v>
      </c>
      <c r="AM328" t="str">
        <f ca="1">IFERROR(IF(0=LEN(ReferenceData!$AM$328),"",ReferenceData!$AM$328),"")</f>
        <v/>
      </c>
      <c r="AN328" t="str">
        <f ca="1">IFERROR(IF(0=LEN(ReferenceData!$AN$328),"",ReferenceData!$AN$328),"")</f>
        <v/>
      </c>
      <c r="AO328" t="str">
        <f ca="1">IFERROR(IF(0=LEN(ReferenceData!$AO$328),"",ReferenceData!$AO$328),"")</f>
        <v/>
      </c>
      <c r="AP328">
        <f ca="1">IFERROR(IF(0=LEN(ReferenceData!$AP$328),"",ReferenceData!$AP$328),"")</f>
        <v>110870.3232</v>
      </c>
      <c r="AQ328" t="str">
        <f ca="1">IFERROR(IF(0=LEN(ReferenceData!$AQ$328),"",ReferenceData!$AQ$328),"")</f>
        <v/>
      </c>
      <c r="AR328" t="str">
        <f ca="1">IFERROR(IF(0=LEN(ReferenceData!$AR$328),"",ReferenceData!$AR$328),"")</f>
        <v/>
      </c>
      <c r="AS328" t="str">
        <f ca="1">IFERROR(IF(0=LEN(ReferenceData!$AS$328),"",ReferenceData!$AS$328),"")</f>
        <v/>
      </c>
      <c r="AT328">
        <f ca="1">IFERROR(IF(0=LEN(ReferenceData!$AT$328),"",ReferenceData!$AT$328),"")</f>
        <v>101270.32709999999</v>
      </c>
      <c r="AU328" t="str">
        <f ca="1">IFERROR(IF(0=LEN(ReferenceData!$AU$328),"",ReferenceData!$AU$328),"")</f>
        <v/>
      </c>
      <c r="AV328" t="str">
        <f ca="1">IFERROR(IF(0=LEN(ReferenceData!$AV$328),"",ReferenceData!$AV$328),"")</f>
        <v/>
      </c>
      <c r="AW328" t="str">
        <f ca="1">IFERROR(IF(0=LEN(ReferenceData!$AW$328),"",ReferenceData!$AW$328),"")</f>
        <v/>
      </c>
      <c r="AX328" t="str">
        <f ca="1">IFERROR(IF(0=LEN(ReferenceData!$AX$328),"",ReferenceData!$AX$328),"")</f>
        <v/>
      </c>
      <c r="AY328" t="str">
        <f ca="1">IFERROR(IF(0=LEN(ReferenceData!$AY$328),"",ReferenceData!$AY$328),"")</f>
        <v/>
      </c>
      <c r="AZ328" t="str">
        <f ca="1">IFERROR(IF(0=LEN(ReferenceData!$AZ$328),"",ReferenceData!$AZ$328),"")</f>
        <v/>
      </c>
      <c r="BA328" t="str">
        <f ca="1">IFERROR(IF(0=LEN(ReferenceData!$BA$328),"",ReferenceData!$BA$328),"")</f>
        <v/>
      </c>
      <c r="BB328" t="str">
        <f ca="1">IFERROR(IF(0=LEN(ReferenceData!$BB$328),"",ReferenceData!$BB$328),"")</f>
        <v/>
      </c>
      <c r="BC328" t="str">
        <f ca="1">IFERROR(IF(0=LEN(ReferenceData!$BC$328),"",ReferenceData!$BC$328),"")</f>
        <v/>
      </c>
      <c r="BD328">
        <f ca="1">IFERROR(IF(0=LEN(ReferenceData!$BD$328),"",ReferenceData!$BD$328),"")</f>
        <v>93158.235889999996</v>
      </c>
      <c r="BE328" t="str">
        <f ca="1">IFERROR(IF(0=LEN(ReferenceData!$BE$328),"",ReferenceData!$BE$328),"")</f>
        <v/>
      </c>
      <c r="BF328" t="str">
        <f ca="1">IFERROR(IF(0=LEN(ReferenceData!$BF$328),"",ReferenceData!$BF$328),"")</f>
        <v/>
      </c>
      <c r="BG328" t="str">
        <f ca="1">IFERROR(IF(0=LEN(ReferenceData!$BG$328),"",ReferenceData!$BG$328),"")</f>
        <v/>
      </c>
      <c r="BH328" t="str">
        <f ca="1">IFERROR(IF(0=LEN(ReferenceData!$BH$328),"",ReferenceData!$BH$328),"")</f>
        <v/>
      </c>
      <c r="BI328" t="str">
        <f ca="1">IFERROR(IF(0=LEN(ReferenceData!$BI$328),"",ReferenceData!$BI$328),"")</f>
        <v/>
      </c>
      <c r="BJ328" t="str">
        <f ca="1">IFERROR(IF(0=LEN(ReferenceData!$BJ$328),"",ReferenceData!$BJ$328),"")</f>
        <v/>
      </c>
      <c r="BK328" t="str">
        <f ca="1">IFERROR(IF(0=LEN(ReferenceData!$BK$328),"",ReferenceData!$BK$328),"")</f>
        <v/>
      </c>
      <c r="BL328" t="str">
        <f ca="1">IFERROR(IF(0=LEN(ReferenceData!$BL$328),"",ReferenceData!$BL$328),"")</f>
        <v/>
      </c>
      <c r="BM328" t="str">
        <f ca="1">IFERROR(IF(0=LEN(ReferenceData!$BM$328),"",ReferenceData!$BM$328),"")</f>
        <v/>
      </c>
    </row>
    <row r="329" spans="1:65" x14ac:dyDescent="0.25">
      <c r="A329" t="str">
        <f>IFERROR(IF(0=LEN(ReferenceData!$A$329),"",ReferenceData!$A$329),"")</f>
        <v xml:space="preserve">    Volkswagen AG</v>
      </c>
      <c r="B329" t="str">
        <f>IFERROR(IF(0=LEN(ReferenceData!$B$329),"",ReferenceData!$B$329),"")</f>
        <v>VOW GR Equity</v>
      </c>
      <c r="C329" t="str">
        <f>IFERROR(IF(0=LEN(ReferenceData!$C$329),"",ReferenceData!$C$329),"")</f>
        <v>RR179</v>
      </c>
      <c r="D329" t="str">
        <f>IFERROR(IF(0=LEN(ReferenceData!$D$329),"",ReferenceData!$D$329),"")</f>
        <v>TANGIBLE_COMMON_EQUITY</v>
      </c>
      <c r="E329" t="str">
        <f>IFERROR(IF(0=LEN(ReferenceData!$E$329),"",ReferenceData!$E$329),"")</f>
        <v>Dynamic</v>
      </c>
      <c r="F329" t="str">
        <f ca="1">IFERROR(IF(0=LEN(ReferenceData!$F$329),"",ReferenceData!$F$329),"")</f>
        <v/>
      </c>
      <c r="G329" t="str">
        <f ca="1">IFERROR(IF(0=LEN(ReferenceData!$G$329),"",ReferenceData!$G$329),"")</f>
        <v/>
      </c>
      <c r="H329">
        <f ca="1">IFERROR(IF(0=LEN(ReferenceData!$H$329),"",ReferenceData!$H$329),"")</f>
        <v>44292.311800000003</v>
      </c>
      <c r="I329">
        <f ca="1">IFERROR(IF(0=LEN(ReferenceData!$I$329),"",ReferenceData!$I$329),"")</f>
        <v>42336.131200000003</v>
      </c>
      <c r="J329">
        <f ca="1">IFERROR(IF(0=LEN(ReferenceData!$J$329),"",ReferenceData!$J$329),"")</f>
        <v>44447.463900000002</v>
      </c>
      <c r="K329">
        <f ca="1">IFERROR(IF(0=LEN(ReferenceData!$K$329),"",ReferenceData!$K$329),"")</f>
        <v>41284.750200000002</v>
      </c>
      <c r="L329">
        <f ca="1">IFERROR(IF(0=LEN(ReferenceData!$L$329),"",ReferenceData!$L$329),"")</f>
        <v>36619.987800000003</v>
      </c>
      <c r="M329">
        <f ca="1">IFERROR(IF(0=LEN(ReferenceData!$M$329),"",ReferenceData!$M$329),"")</f>
        <v>34249.271699999998</v>
      </c>
      <c r="N329">
        <f ca="1">IFERROR(IF(0=LEN(ReferenceData!$N$329),"",ReferenceData!$N$329),"")</f>
        <v>36734.5677</v>
      </c>
      <c r="O329">
        <f ca="1">IFERROR(IF(0=LEN(ReferenceData!$O$329),"",ReferenceData!$O$329),"")</f>
        <v>23755.008099999999</v>
      </c>
      <c r="P329">
        <f ca="1">IFERROR(IF(0=LEN(ReferenceData!$P$329),"",ReferenceData!$P$329),"")</f>
        <v>23619.220799999999</v>
      </c>
      <c r="Q329">
        <f ca="1">IFERROR(IF(0=LEN(ReferenceData!$Q$329),"",ReferenceData!$Q$329),"")</f>
        <v>21783.912899999999</v>
      </c>
      <c r="R329">
        <f ca="1">IFERROR(IF(0=LEN(ReferenceData!$R$329),"",ReferenceData!$R$329),"")</f>
        <v>23407.3027</v>
      </c>
      <c r="S329">
        <f ca="1">IFERROR(IF(0=LEN(ReferenceData!$S$329),"",ReferenceData!$S$329),"")</f>
        <v>21028.969799999999</v>
      </c>
      <c r="T329">
        <f ca="1">IFERROR(IF(0=LEN(ReferenceData!$T$329),"",ReferenceData!$T$329),"")</f>
        <v>28822.7232</v>
      </c>
      <c r="U329">
        <f ca="1">IFERROR(IF(0=LEN(ReferenceData!$U$329),"",ReferenceData!$U$329),"")</f>
        <v>31316.508699999998</v>
      </c>
      <c r="V329">
        <f ca="1">IFERROR(IF(0=LEN(ReferenceData!$V$329),"",ReferenceData!$V$329),"")</f>
        <v>22877.46</v>
      </c>
      <c r="W329">
        <f ca="1">IFERROR(IF(0=LEN(ReferenceData!$W$329),"",ReferenceData!$W$329),"")</f>
        <v>30268.15</v>
      </c>
      <c r="X329">
        <f ca="1">IFERROR(IF(0=LEN(ReferenceData!$X$329),"",ReferenceData!$X$329),"")</f>
        <v>32740.682499999999</v>
      </c>
      <c r="Y329">
        <f ca="1">IFERROR(IF(0=LEN(ReferenceData!$Y$329),"",ReferenceData!$Y$329),"")</f>
        <v>33860.845999999998</v>
      </c>
      <c r="Z329">
        <f ca="1">IFERROR(IF(0=LEN(ReferenceData!$Z$329),"",ReferenceData!$Z$329),"")</f>
        <v>28251.880799999999</v>
      </c>
      <c r="AA329">
        <f ca="1">IFERROR(IF(0=LEN(ReferenceData!$AA$329),"",ReferenceData!$AA$329),"")</f>
        <v>36521.545400000003</v>
      </c>
      <c r="AB329">
        <f ca="1">IFERROR(IF(0=LEN(ReferenceData!$AB$329),"",ReferenceData!$AB$329),"")</f>
        <v>33490.578099999999</v>
      </c>
      <c r="AC329">
        <f ca="1">IFERROR(IF(0=LEN(ReferenceData!$AC$329),"",ReferenceData!$AC$329),"")</f>
        <v>29378.294999999998</v>
      </c>
      <c r="AD329">
        <f ca="1">IFERROR(IF(0=LEN(ReferenceData!$AD$329),"",ReferenceData!$AD$329),"")</f>
        <v>26792.991900000001</v>
      </c>
      <c r="AE329">
        <f ca="1">IFERROR(IF(0=LEN(ReferenceData!$AE$329),"",ReferenceData!$AE$329),"")</f>
        <v>24508.148700000002</v>
      </c>
      <c r="AF329">
        <f ca="1">IFERROR(IF(0=LEN(ReferenceData!$AF$329),"",ReferenceData!$AF$329),"")</f>
        <v>19337.176800000001</v>
      </c>
      <c r="AG329">
        <f ca="1">IFERROR(IF(0=LEN(ReferenceData!$AG$329),"",ReferenceData!$AG$329),"")</f>
        <v>50817.801899999999</v>
      </c>
      <c r="AH329">
        <f ca="1">IFERROR(IF(0=LEN(ReferenceData!$AH$329),"",ReferenceData!$AH$329),"")</f>
        <v>51564.176399999997</v>
      </c>
      <c r="AI329">
        <f ca="1">IFERROR(IF(0=LEN(ReferenceData!$AI$329),"",ReferenceData!$AI$329),"")</f>
        <v>45830.447999999997</v>
      </c>
      <c r="AJ329">
        <f ca="1">IFERROR(IF(0=LEN(ReferenceData!$AJ$329),"",ReferenceData!$AJ$329),"")</f>
        <v>58860.893400000001</v>
      </c>
      <c r="AK329">
        <f ca="1">IFERROR(IF(0=LEN(ReferenceData!$AK$329),"",ReferenceData!$AK$329),"")</f>
        <v>56750.061000000002</v>
      </c>
      <c r="AL329">
        <f ca="1">IFERROR(IF(0=LEN(ReferenceData!$AL$329),"",ReferenceData!$AL$329),"")</f>
        <v>49821.09</v>
      </c>
      <c r="AM329">
        <f ca="1">IFERROR(IF(0=LEN(ReferenceData!$AM$329),"",ReferenceData!$AM$329),"")</f>
        <v>43939.388400000003</v>
      </c>
      <c r="AN329">
        <f ca="1">IFERROR(IF(0=LEN(ReferenceData!$AN$329),"",ReferenceData!$AN$329),"")</f>
        <v>39769.038</v>
      </c>
      <c r="AO329">
        <f ca="1">IFERROR(IF(0=LEN(ReferenceData!$AO$329),"",ReferenceData!$AO$329),"")</f>
        <v>31455.1391</v>
      </c>
      <c r="AP329">
        <f ca="1">IFERROR(IF(0=LEN(ReferenceData!$AP$329),"",ReferenceData!$AP$329),"")</f>
        <v>35800.198199999999</v>
      </c>
      <c r="AQ329">
        <f ca="1">IFERROR(IF(0=LEN(ReferenceData!$AQ$329),"",ReferenceData!$AQ$329),"")</f>
        <v>32064.179400000001</v>
      </c>
      <c r="AR329">
        <f ca="1">IFERROR(IF(0=LEN(ReferenceData!$AR$329),"",ReferenceData!$AR$329),"")</f>
        <v>32860.356299999999</v>
      </c>
      <c r="AS329">
        <f ca="1">IFERROR(IF(0=LEN(ReferenceData!$AS$329),"",ReferenceData!$AS$329),"")</f>
        <v>30846.775000000001</v>
      </c>
      <c r="AT329">
        <f ca="1">IFERROR(IF(0=LEN(ReferenceData!$AT$329),"",ReferenceData!$AT$329),"")</f>
        <v>29852.561399999999</v>
      </c>
      <c r="AU329">
        <f ca="1">IFERROR(IF(0=LEN(ReferenceData!$AU$329),"",ReferenceData!$AU$329),"")</f>
        <v>31701.216</v>
      </c>
      <c r="AV329">
        <f ca="1">IFERROR(IF(0=LEN(ReferenceData!$AV$329),"",ReferenceData!$AV$329),"")</f>
        <v>31853.863600000001</v>
      </c>
      <c r="AW329">
        <f ca="1">IFERROR(IF(0=LEN(ReferenceData!$AW$329),"",ReferenceData!$AW$329),"")</f>
        <v>44226.027999999998</v>
      </c>
      <c r="AX329">
        <f ca="1">IFERROR(IF(0=LEN(ReferenceData!$AX$329),"",ReferenceData!$AX$329),"")</f>
        <v>42451.907700000003</v>
      </c>
      <c r="AY329">
        <f ca="1">IFERROR(IF(0=LEN(ReferenceData!$AY$329),"",ReferenceData!$AY$329),"")</f>
        <v>36523.123500000002</v>
      </c>
      <c r="AZ329">
        <f ca="1">IFERROR(IF(0=LEN(ReferenceData!$AZ$329),"",ReferenceData!$AZ$329),"")</f>
        <v>32918.4375</v>
      </c>
      <c r="BA329">
        <f ca="1">IFERROR(IF(0=LEN(ReferenceData!$BA$329),"",ReferenceData!$BA$329),"")</f>
        <v>29558.869200000001</v>
      </c>
      <c r="BB329">
        <f ca="1">IFERROR(IF(0=LEN(ReferenceData!$BB$329),"",ReferenceData!$BB$329),"")</f>
        <v>27430.606500000002</v>
      </c>
      <c r="BC329">
        <f ca="1">IFERROR(IF(0=LEN(ReferenceData!$BC$329),"",ReferenceData!$BC$329),"")</f>
        <v>25996.837899999999</v>
      </c>
      <c r="BD329">
        <f ca="1">IFERROR(IF(0=LEN(ReferenceData!$BD$329),"",ReferenceData!$BD$329),"")</f>
        <v>22412.356199999998</v>
      </c>
      <c r="BE329">
        <f ca="1">IFERROR(IF(0=LEN(ReferenceData!$BE$329),"",ReferenceData!$BE$329),"")</f>
        <v>22339.230500000001</v>
      </c>
      <c r="BF329">
        <f ca="1">IFERROR(IF(0=LEN(ReferenceData!$BF$329),"",ReferenceData!$BF$329),"")</f>
        <v>20189.584800000001</v>
      </c>
      <c r="BG329">
        <f ca="1">IFERROR(IF(0=LEN(ReferenceData!$BG$329),"",ReferenceData!$BG$329),"")</f>
        <v>18852.335599999999</v>
      </c>
      <c r="BH329">
        <f ca="1">IFERROR(IF(0=LEN(ReferenceData!$BH$329),"",ReferenceData!$BH$329),"")</f>
        <v>20831.148000000001</v>
      </c>
      <c r="BI329">
        <f ca="1">IFERROR(IF(0=LEN(ReferenceData!$BI$329),"",ReferenceData!$BI$329),"")</f>
        <v>20160.698</v>
      </c>
      <c r="BJ329">
        <f ca="1">IFERROR(IF(0=LEN(ReferenceData!$BJ$329),"",ReferenceData!$BJ$329),"")</f>
        <v>21416.651999999998</v>
      </c>
      <c r="BK329">
        <f ca="1">IFERROR(IF(0=LEN(ReferenceData!$BK$329),"",ReferenceData!$BK$329),"")</f>
        <v>20529.206399999999</v>
      </c>
      <c r="BL329">
        <f ca="1">IFERROR(IF(0=LEN(ReferenceData!$BL$329),"",ReferenceData!$BL$329),"")</f>
        <v>20002.866000000002</v>
      </c>
      <c r="BM329">
        <f ca="1">IFERROR(IF(0=LEN(ReferenceData!$BM$329),"",ReferenceData!$BM$329),"")</f>
        <v>19730.816599999998</v>
      </c>
    </row>
    <row r="330" spans="1:65" x14ac:dyDescent="0.25">
      <c r="A330" t="str">
        <f>IFERROR(IF(0=LEN(ReferenceData!$A$330),"",ReferenceData!$A$330),"")</f>
        <v xml:space="preserve">    Yulon Motor Co Ltd</v>
      </c>
      <c r="B330" t="str">
        <f>IFERROR(IF(0=LEN(ReferenceData!$B$330),"",ReferenceData!$B$330),"")</f>
        <v>2201 TT Equity</v>
      </c>
      <c r="C330" t="str">
        <f>IFERROR(IF(0=LEN(ReferenceData!$C$330),"",ReferenceData!$C$330),"")</f>
        <v>RR179</v>
      </c>
      <c r="D330" t="str">
        <f>IFERROR(IF(0=LEN(ReferenceData!$D$330),"",ReferenceData!$D$330),"")</f>
        <v>TANGIBLE_COMMON_EQUITY</v>
      </c>
      <c r="E330" t="str">
        <f>IFERROR(IF(0=LEN(ReferenceData!$E$330),"",ReferenceData!$E$330),"")</f>
        <v>Dynamic</v>
      </c>
      <c r="F330" t="str">
        <f ca="1">IFERROR(IF(0=LEN(ReferenceData!$F$330),"",ReferenceData!$F$330),"")</f>
        <v/>
      </c>
      <c r="G330" t="str">
        <f ca="1">IFERROR(IF(0=LEN(ReferenceData!$G$330),"",ReferenceData!$G$330),"")</f>
        <v/>
      </c>
      <c r="H330">
        <f ca="1">IFERROR(IF(0=LEN(ReferenceData!$H$330),"",ReferenceData!$H$330),"")</f>
        <v>2133.8046250000002</v>
      </c>
      <c r="I330">
        <f ca="1">IFERROR(IF(0=LEN(ReferenceData!$I$330),"",ReferenceData!$I$330),"")</f>
        <v>2146.3875480000002</v>
      </c>
      <c r="J330">
        <f ca="1">IFERROR(IF(0=LEN(ReferenceData!$J$330),"",ReferenceData!$J$330),"")</f>
        <v>2269.3575059999998</v>
      </c>
      <c r="K330">
        <f ca="1">IFERROR(IF(0=LEN(ReferenceData!$K$330),"",ReferenceData!$K$330),"")</f>
        <v>2142.0106510000001</v>
      </c>
      <c r="L330">
        <f ca="1">IFERROR(IF(0=LEN(ReferenceData!$L$330),"",ReferenceData!$L$330),"")</f>
        <v>2145.5716360000001</v>
      </c>
      <c r="M330">
        <f ca="1">IFERROR(IF(0=LEN(ReferenceData!$M$330),"",ReferenceData!$M$330),"")</f>
        <v>2102.7923030000002</v>
      </c>
      <c r="N330">
        <f ca="1">IFERROR(IF(0=LEN(ReferenceData!$N$330),"",ReferenceData!$N$330),"")</f>
        <v>2102.63816</v>
      </c>
      <c r="O330">
        <f ca="1">IFERROR(IF(0=LEN(ReferenceData!$O$330),"",ReferenceData!$O$330),"")</f>
        <v>1962.8775659999999</v>
      </c>
      <c r="P330">
        <f ca="1">IFERROR(IF(0=LEN(ReferenceData!$P$330),"",ReferenceData!$P$330),"")</f>
        <v>2065.6898369999999</v>
      </c>
      <c r="Q330">
        <f ca="1">IFERROR(IF(0=LEN(ReferenceData!$Q$330),"",ReferenceData!$Q$330),"")</f>
        <v>2003.150206</v>
      </c>
      <c r="R330">
        <f ca="1">IFERROR(IF(0=LEN(ReferenceData!$R$330),"",ReferenceData!$R$330),"")</f>
        <v>2036.830522</v>
      </c>
      <c r="S330">
        <f ca="1">IFERROR(IF(0=LEN(ReferenceData!$S$330),"",ReferenceData!$S$330),"")</f>
        <v>1973.902358</v>
      </c>
      <c r="T330">
        <f ca="1">IFERROR(IF(0=LEN(ReferenceData!$T$330),"",ReferenceData!$T$330),"")</f>
        <v>1933.1554610000001</v>
      </c>
      <c r="U330">
        <f ca="1">IFERROR(IF(0=LEN(ReferenceData!$U$330),"",ReferenceData!$U$330),"")</f>
        <v>2054.3412330000001</v>
      </c>
      <c r="V330">
        <f ca="1">IFERROR(IF(0=LEN(ReferenceData!$V$330),"",ReferenceData!$V$330),"")</f>
        <v>2043.897418</v>
      </c>
      <c r="W330">
        <f ca="1">IFERROR(IF(0=LEN(ReferenceData!$W$330),"",ReferenceData!$W$330),"")</f>
        <v>1980.013884</v>
      </c>
      <c r="X330">
        <f ca="1">IFERROR(IF(0=LEN(ReferenceData!$X$330),"",ReferenceData!$X$330),"")</f>
        <v>2174.882208</v>
      </c>
      <c r="Y330">
        <f ca="1">IFERROR(IF(0=LEN(ReferenceData!$Y$330),"",ReferenceData!$Y$330),"")</f>
        <v>2162.2476729999998</v>
      </c>
      <c r="Z330">
        <f ca="1">IFERROR(IF(0=LEN(ReferenceData!$Z$330),"",ReferenceData!$Z$330),"")</f>
        <v>2151.961417</v>
      </c>
      <c r="AA330">
        <f ca="1">IFERROR(IF(0=LEN(ReferenceData!$AA$330),"",ReferenceData!$AA$330),"")</f>
        <v>2156.634403</v>
      </c>
      <c r="AB330">
        <f ca="1">IFERROR(IF(0=LEN(ReferenceData!$AB$330),"",ReferenceData!$AB$330),"")</f>
        <v>2192.96272</v>
      </c>
      <c r="AC330">
        <f ca="1">IFERROR(IF(0=LEN(ReferenceData!$AC$330),"",ReferenceData!$AC$330),"")</f>
        <v>2144.563013</v>
      </c>
      <c r="AD330">
        <f ca="1">IFERROR(IF(0=LEN(ReferenceData!$AD$330),"",ReferenceData!$AD$330),"")</f>
        <v>1949.0315000000001</v>
      </c>
      <c r="AE330">
        <f ca="1">IFERROR(IF(0=LEN(ReferenceData!$AE$330),"",ReferenceData!$AE$330),"")</f>
        <v>1945.3345159999999</v>
      </c>
      <c r="AF330">
        <f ca="1">IFERROR(IF(0=LEN(ReferenceData!$AF$330),"",ReferenceData!$AF$330),"")</f>
        <v>2017.976506</v>
      </c>
      <c r="AG330">
        <f ca="1">IFERROR(IF(0=LEN(ReferenceData!$AG$330),"",ReferenceData!$AG$330),"")</f>
        <v>1959.136485</v>
      </c>
      <c r="AH330">
        <f ca="1">IFERROR(IF(0=LEN(ReferenceData!$AH$330),"",ReferenceData!$AH$330),"")</f>
        <v>2013.27746</v>
      </c>
      <c r="AI330">
        <f ca="1">IFERROR(IF(0=LEN(ReferenceData!$AI$330),"",ReferenceData!$AI$330),"")</f>
        <v>1909.2023569999999</v>
      </c>
      <c r="AJ330">
        <f ca="1">IFERROR(IF(0=LEN(ReferenceData!$AJ$330),"",ReferenceData!$AJ$330),"")</f>
        <v>1995.504576</v>
      </c>
      <c r="AK330">
        <f ca="1">IFERROR(IF(0=LEN(ReferenceData!$AK$330),"",ReferenceData!$AK$330),"")</f>
        <v>2068.8860279999999</v>
      </c>
      <c r="AL330">
        <f ca="1">IFERROR(IF(0=LEN(ReferenceData!$AL$330),"",ReferenceData!$AL$330),"")</f>
        <v>2013.1302459999999</v>
      </c>
      <c r="AM330">
        <f ca="1">IFERROR(IF(0=LEN(ReferenceData!$AM$330),"",ReferenceData!$AM$330),"")</f>
        <v>2041.972802</v>
      </c>
      <c r="AN330">
        <f ca="1">IFERROR(IF(0=LEN(ReferenceData!$AN$330),"",ReferenceData!$AN$330),"")</f>
        <v>1925.923018</v>
      </c>
      <c r="AO330">
        <f ca="1">IFERROR(IF(0=LEN(ReferenceData!$AO$330),"",ReferenceData!$AO$330),"")</f>
        <v>1847.8790610000001</v>
      </c>
      <c r="AP330">
        <f ca="1">IFERROR(IF(0=LEN(ReferenceData!$AP$330),"",ReferenceData!$AP$330),"")</f>
        <v>1859.6879409999999</v>
      </c>
      <c r="AQ330">
        <f ca="1">IFERROR(IF(0=LEN(ReferenceData!$AQ$330),"",ReferenceData!$AQ$330),"")</f>
        <v>1807.348788</v>
      </c>
      <c r="AR330">
        <f ca="1">IFERROR(IF(0=LEN(ReferenceData!$AR$330),"",ReferenceData!$AR$330),"")</f>
        <v>1805.1381730000001</v>
      </c>
      <c r="AS330">
        <f ca="1">IFERROR(IF(0=LEN(ReferenceData!$AS$330),"",ReferenceData!$AS$330),"")</f>
        <v>1746.6492229999999</v>
      </c>
      <c r="AT330">
        <f ca="1">IFERROR(IF(0=LEN(ReferenceData!$AT$330),"",ReferenceData!$AT$330),"")</f>
        <v>1676.473667</v>
      </c>
      <c r="AU330">
        <f ca="1">IFERROR(IF(0=LEN(ReferenceData!$AU$330),"",ReferenceData!$AU$330),"")</f>
        <v>1714.5794330000001</v>
      </c>
      <c r="AV330">
        <f ca="1">IFERROR(IF(0=LEN(ReferenceData!$AV$330),"",ReferenceData!$AV$330),"")</f>
        <v>1786.2914370000001</v>
      </c>
      <c r="AW330">
        <f ca="1">IFERROR(IF(0=LEN(ReferenceData!$AW$330),"",ReferenceData!$AW$330),"")</f>
        <v>1873.9714759999999</v>
      </c>
      <c r="AX330">
        <f ca="1">IFERROR(IF(0=LEN(ReferenceData!$AX$330),"",ReferenceData!$AX$330),"")</f>
        <v>1917.233344</v>
      </c>
      <c r="AY330" t="str">
        <f ca="1">IFERROR(IF(0=LEN(ReferenceData!$AY$330),"",ReferenceData!$AY$330),"")</f>
        <v/>
      </c>
      <c r="AZ330" t="str">
        <f ca="1">IFERROR(IF(0=LEN(ReferenceData!$AZ$330),"",ReferenceData!$AZ$330),"")</f>
        <v/>
      </c>
      <c r="BA330" t="str">
        <f ca="1">IFERROR(IF(0=LEN(ReferenceData!$BA$330),"",ReferenceData!$BA$330),"")</f>
        <v/>
      </c>
      <c r="BB330" t="str">
        <f ca="1">IFERROR(IF(0=LEN(ReferenceData!$BB$330),"",ReferenceData!$BB$330),"")</f>
        <v/>
      </c>
      <c r="BC330" t="str">
        <f ca="1">IFERROR(IF(0=LEN(ReferenceData!$BC$330),"",ReferenceData!$BC$330),"")</f>
        <v/>
      </c>
      <c r="BD330" t="str">
        <f ca="1">IFERROR(IF(0=LEN(ReferenceData!$BD$330),"",ReferenceData!$BD$330),"")</f>
        <v/>
      </c>
      <c r="BE330" t="str">
        <f ca="1">IFERROR(IF(0=LEN(ReferenceData!$BE$330),"",ReferenceData!$BE$330),"")</f>
        <v/>
      </c>
      <c r="BF330" t="str">
        <f ca="1">IFERROR(IF(0=LEN(ReferenceData!$BF$330),"",ReferenceData!$BF$330),"")</f>
        <v/>
      </c>
      <c r="BG330" t="str">
        <f ca="1">IFERROR(IF(0=LEN(ReferenceData!$BG$330),"",ReferenceData!$BG$330),"")</f>
        <v/>
      </c>
      <c r="BH330" t="str">
        <f ca="1">IFERROR(IF(0=LEN(ReferenceData!$BH$330),"",ReferenceData!$BH$330),"")</f>
        <v/>
      </c>
      <c r="BI330" t="str">
        <f ca="1">IFERROR(IF(0=LEN(ReferenceData!$BI$330),"",ReferenceData!$BI$330),"")</f>
        <v/>
      </c>
      <c r="BJ330" t="str">
        <f ca="1">IFERROR(IF(0=LEN(ReferenceData!$BJ$330),"",ReferenceData!$BJ$330),"")</f>
        <v/>
      </c>
      <c r="BK330" t="str">
        <f ca="1">IFERROR(IF(0=LEN(ReferenceData!$BK$330),"",ReferenceData!$BK$330),"")</f>
        <v/>
      </c>
      <c r="BL330" t="str">
        <f ca="1">IFERROR(IF(0=LEN(ReferenceData!$BL$330),"",ReferenceData!$BL$330),"")</f>
        <v/>
      </c>
      <c r="BM330" t="str">
        <f ca="1">IFERROR(IF(0=LEN(ReferenceData!$BM$330),"",ReferenceData!$BM$330),"")</f>
        <v/>
      </c>
    </row>
    <row r="331" spans="1:65" x14ac:dyDescent="0.25">
      <c r="A331" t="str">
        <f>IFERROR(IF(0=LEN(ReferenceData!$A$331),"",ReferenceData!$A$331),"")</f>
        <v>T12M Dividends Paid</v>
      </c>
      <c r="B331" t="str">
        <f>IFERROR(IF(0=LEN(ReferenceData!$B$331),"",ReferenceData!$B$331),"")</f>
        <v/>
      </c>
      <c r="C331" t="str">
        <f>IFERROR(IF(0=LEN(ReferenceData!$C$331),"",ReferenceData!$C$331),"")</f>
        <v/>
      </c>
      <c r="D331" t="str">
        <f>IFERROR(IF(0=LEN(ReferenceData!$D$331),"",ReferenceData!$D$331),"")</f>
        <v/>
      </c>
      <c r="E331" t="str">
        <f>IFERROR(IF(0=LEN(ReferenceData!$E$331),"",ReferenceData!$E$331),"")</f>
        <v>Average</v>
      </c>
      <c r="F331" t="str">
        <f ca="1">IFERROR(IF(0=LEN(ReferenceData!$F$331),"",ReferenceData!$F$331),"")</f>
        <v/>
      </c>
      <c r="G331">
        <f ca="1">IFERROR(IF(0=LEN(ReferenceData!$G$331),"",ReferenceData!$G$331),"")</f>
        <v>-1741.0289509919166</v>
      </c>
      <c r="H331">
        <f ca="1">IFERROR(IF(0=LEN(ReferenceData!$H$331),"",ReferenceData!$H$331),"")</f>
        <v>-1328.7177278822858</v>
      </c>
      <c r="I331">
        <f ca="1">IFERROR(IF(0=LEN(ReferenceData!$I$331),"",ReferenceData!$I$331),"")</f>
        <v>-1173.3929753017915</v>
      </c>
      <c r="J331">
        <f ca="1">IFERROR(IF(0=LEN(ReferenceData!$J$331),"",ReferenceData!$J$331),"")</f>
        <v>-1072.49446366452</v>
      </c>
      <c r="K331">
        <f ca="1">IFERROR(IF(0=LEN(ReferenceData!$K$331),"",ReferenceData!$K$331),"")</f>
        <v>-1001.354703348</v>
      </c>
      <c r="L331">
        <f ca="1">IFERROR(IF(0=LEN(ReferenceData!$L$331),"",ReferenceData!$L$331),"")</f>
        <v>-1015.9830001036363</v>
      </c>
      <c r="M331">
        <f ca="1">IFERROR(IF(0=LEN(ReferenceData!$M$331),"",ReferenceData!$M$331),"")</f>
        <v>-1020.6940597727272</v>
      </c>
      <c r="N331">
        <f ca="1">IFERROR(IF(0=LEN(ReferenceData!$N$331),"",ReferenceData!$N$331),"")</f>
        <v>-1079.3239735036364</v>
      </c>
      <c r="O331">
        <f ca="1">IFERROR(IF(0=LEN(ReferenceData!$O$331),"",ReferenceData!$O$331),"")</f>
        <v>-1115.3069241281817</v>
      </c>
      <c r="P331">
        <f ca="1">IFERROR(IF(0=LEN(ReferenceData!$P$331),"",ReferenceData!$P$331),"")</f>
        <v>-1138.8340193973079</v>
      </c>
      <c r="Q331">
        <f ca="1">IFERROR(IF(0=LEN(ReferenceData!$Q$331),"",ReferenceData!$Q$331),"")</f>
        <v>-989.0788036429999</v>
      </c>
      <c r="R331">
        <f ca="1">IFERROR(IF(0=LEN(ReferenceData!$R$331),"",ReferenceData!$R$331),"")</f>
        <v>-1017.5926881781201</v>
      </c>
      <c r="S331">
        <f ca="1">IFERROR(IF(0=LEN(ReferenceData!$S$331),"",ReferenceData!$S$331),"")</f>
        <v>-973.56909125228003</v>
      </c>
      <c r="T331">
        <f ca="1">IFERROR(IF(0=LEN(ReferenceData!$T$331),"",ReferenceData!$T$331),"")</f>
        <v>-1032.7862910417391</v>
      </c>
      <c r="U331">
        <f ca="1">IFERROR(IF(0=LEN(ReferenceData!$U$331),"",ReferenceData!$U$331),"")</f>
        <v>-1047.8198982799997</v>
      </c>
      <c r="V331">
        <f ca="1">IFERROR(IF(0=LEN(ReferenceData!$V$331),"",ReferenceData!$V$331),"")</f>
        <v>-977.17920657391289</v>
      </c>
      <c r="W331">
        <f ca="1">IFERROR(IF(0=LEN(ReferenceData!$W$331),"",ReferenceData!$W$331),"")</f>
        <v>-999.68353360739115</v>
      </c>
      <c r="X331">
        <f ca="1">IFERROR(IF(0=LEN(ReferenceData!$X$331),"",ReferenceData!$X$331),"")</f>
        <v>-905.61395856266665</v>
      </c>
      <c r="Y331">
        <f ca="1">IFERROR(IF(0=LEN(ReferenceData!$Y$331),"",ReferenceData!$Y$331),"")</f>
        <v>-954.0547181660869</v>
      </c>
      <c r="Z331">
        <f ca="1">IFERROR(IF(0=LEN(ReferenceData!$Z$331),"",ReferenceData!$Z$331),"")</f>
        <v>-741.16286330239132</v>
      </c>
      <c r="AA331">
        <f ca="1">IFERROR(IF(0=LEN(ReferenceData!$AA$331),"",ReferenceData!$AA$331),"")</f>
        <v>-718.48460100379145</v>
      </c>
      <c r="AB331">
        <f ca="1">IFERROR(IF(0=LEN(ReferenceData!$AB$331),"",ReferenceData!$AB$331),"")</f>
        <v>-715.74953114895459</v>
      </c>
      <c r="AC331">
        <f ca="1">IFERROR(IF(0=LEN(ReferenceData!$AC$331),"",ReferenceData!$AC$331),"")</f>
        <v>-654.34970139369568</v>
      </c>
      <c r="AD331">
        <f ca="1">IFERROR(IF(0=LEN(ReferenceData!$AD$331),"",ReferenceData!$AD$331),"")</f>
        <v>-588.2102225474348</v>
      </c>
      <c r="AE331">
        <f ca="1">IFERROR(IF(0=LEN(ReferenceData!$AE$331),"",ReferenceData!$AE$331),"")</f>
        <v>-572.93031511552169</v>
      </c>
      <c r="AF331">
        <f ca="1">IFERROR(IF(0=LEN(ReferenceData!$AF$331),"",ReferenceData!$AF$331),"")</f>
        <v>-592.64802296961898</v>
      </c>
      <c r="AG331">
        <f ca="1">IFERROR(IF(0=LEN(ReferenceData!$AG$331),"",ReferenceData!$AG$331),"")</f>
        <v>-590.0832270919999</v>
      </c>
      <c r="AH331">
        <f ca="1">IFERROR(IF(0=LEN(ReferenceData!$AH$331),"",ReferenceData!$AH$331),"")</f>
        <v>-503.07299251133327</v>
      </c>
      <c r="AI331">
        <f ca="1">IFERROR(IF(0=LEN(ReferenceData!$AI$331),"",ReferenceData!$AI$331),"")</f>
        <v>-493.69973892271412</v>
      </c>
      <c r="AJ331">
        <f ca="1">IFERROR(IF(0=LEN(ReferenceData!$AJ$331),"",ReferenceData!$AJ$331),"")</f>
        <v>-550.96942288205003</v>
      </c>
      <c r="AK331">
        <f ca="1">IFERROR(IF(0=LEN(ReferenceData!$AK$331),"",ReferenceData!$AK$331),"")</f>
        <v>-537.73050285349996</v>
      </c>
      <c r="AL331">
        <f ca="1">IFERROR(IF(0=LEN(ReferenceData!$AL$331),"",ReferenceData!$AL$331),"")</f>
        <v>-282.75519776681813</v>
      </c>
      <c r="AM331">
        <f ca="1">IFERROR(IF(0=LEN(ReferenceData!$AM$331),"",ReferenceData!$AM$331),"")</f>
        <v>-265.2742850047826</v>
      </c>
      <c r="AN331">
        <f ca="1">IFERROR(IF(0=LEN(ReferenceData!$AN$331),"",ReferenceData!$AN$331),"")</f>
        <v>-207.19296428571428</v>
      </c>
      <c r="AO331">
        <f ca="1">IFERROR(IF(0=LEN(ReferenceData!$AO$331),"",ReferenceData!$AO$331),"")</f>
        <v>-201.11873911750001</v>
      </c>
      <c r="AP331">
        <f ca="1">IFERROR(IF(0=LEN(ReferenceData!$AP$331),"",ReferenceData!$AP$331),"")</f>
        <v>-245.131931932421</v>
      </c>
      <c r="AQ331">
        <f ca="1">IFERROR(IF(0=LEN(ReferenceData!$AQ$331),"",ReferenceData!$AQ$331),"")</f>
        <v>-222.390572738</v>
      </c>
      <c r="AR331">
        <f ca="1">IFERROR(IF(0=LEN(ReferenceData!$AR$331),"",ReferenceData!$AR$331),"")</f>
        <v>-386.93236744816664</v>
      </c>
      <c r="AS331">
        <f ca="1">IFERROR(IF(0=LEN(ReferenceData!$AS$331),"",ReferenceData!$AS$331),"")</f>
        <v>-419.72455561652941</v>
      </c>
      <c r="AT331">
        <f ca="1">IFERROR(IF(0=LEN(ReferenceData!$AT$331),"",ReferenceData!$AT$331),"")</f>
        <v>-696.3730643194117</v>
      </c>
      <c r="AU331">
        <f ca="1">IFERROR(IF(0=LEN(ReferenceData!$AU$331),"",ReferenceData!$AU$331),"")</f>
        <v>-721.42737857000009</v>
      </c>
      <c r="AV331">
        <f ca="1">IFERROR(IF(0=LEN(ReferenceData!$AV$331),"",ReferenceData!$AV$331),"")</f>
        <v>-775.60564076285721</v>
      </c>
      <c r="AW331">
        <f ca="1">IFERROR(IF(0=LEN(ReferenceData!$AW$331),"",ReferenceData!$AW$331),"")</f>
        <v>-749.83930583728579</v>
      </c>
      <c r="AX331">
        <f ca="1">IFERROR(IF(0=LEN(ReferenceData!$AX$331),"",ReferenceData!$AX$331),"")</f>
        <v>-552.06118832375</v>
      </c>
      <c r="AY331">
        <f ca="1">IFERROR(IF(0=LEN(ReferenceData!$AY$331),"",ReferenceData!$AY$331),"")</f>
        <v>-596.44858488542855</v>
      </c>
      <c r="AZ331">
        <f ca="1">IFERROR(IF(0=LEN(ReferenceData!$AZ$331),"",ReferenceData!$AZ$331),"")</f>
        <v>-585.67303188983317</v>
      </c>
      <c r="BA331">
        <f ca="1">IFERROR(IF(0=LEN(ReferenceData!$BA$331),"",ReferenceData!$BA$331),"")</f>
        <v>-547.85504323016676</v>
      </c>
      <c r="BB331">
        <f ca="1">IFERROR(IF(0=LEN(ReferenceData!$BB$331),"",ReferenceData!$BB$331),"")</f>
        <v>-509.92806344614286</v>
      </c>
      <c r="BC331">
        <f ca="1">IFERROR(IF(0=LEN(ReferenceData!$BC$331),"",ReferenceData!$BC$331),"")</f>
        <v>-422.56746160222224</v>
      </c>
      <c r="BD331">
        <f ca="1">IFERROR(IF(0=LEN(ReferenceData!$BD$331),"",ReferenceData!$BD$331),"")</f>
        <v>-436.2851639472222</v>
      </c>
      <c r="BE331">
        <f ca="1">IFERROR(IF(0=LEN(ReferenceData!$BE$331),"",ReferenceData!$BE$331),"")</f>
        <v>-485.30256908937503</v>
      </c>
      <c r="BF331">
        <f ca="1">IFERROR(IF(0=LEN(ReferenceData!$BF$331),"",ReferenceData!$BF$331),"")</f>
        <v>-459.93205409425002</v>
      </c>
      <c r="BG331">
        <f ca="1">IFERROR(IF(0=LEN(ReferenceData!$BG$331),"",ReferenceData!$BG$331),"")</f>
        <v>-531.80291852714288</v>
      </c>
      <c r="BH331">
        <f ca="1">IFERROR(IF(0=LEN(ReferenceData!$BH$331),"",ReferenceData!$BH$331),"")</f>
        <v>-837.85217949025002</v>
      </c>
      <c r="BI331">
        <f ca="1">IFERROR(IF(0=LEN(ReferenceData!$BI$331),"",ReferenceData!$BI$331),"")</f>
        <v>-1312.6970144924999</v>
      </c>
      <c r="BJ331">
        <f ca="1">IFERROR(IF(0=LEN(ReferenceData!$BJ$331),"",ReferenceData!$BJ$331),"")</f>
        <v>-1268.0120394675002</v>
      </c>
      <c r="BK331">
        <f ca="1">IFERROR(IF(0=LEN(ReferenceData!$BK$331),"",ReferenceData!$BK$331),"")</f>
        <v>-1525.7694505899999</v>
      </c>
      <c r="BL331">
        <f ca="1">IFERROR(IF(0=LEN(ReferenceData!$BL$331),"",ReferenceData!$BL$331),"")</f>
        <v>-1120.3182381004999</v>
      </c>
      <c r="BM331">
        <f ca="1">IFERROR(IF(0=LEN(ReferenceData!$BM$331),"",ReferenceData!$BM$331),"")</f>
        <v>-1100.5091328505</v>
      </c>
    </row>
    <row r="332" spans="1:65" x14ac:dyDescent="0.25">
      <c r="A332" t="str">
        <f>IFERROR(IF(0=LEN(ReferenceData!$A$332),"",ReferenceData!$A$332),"")</f>
        <v xml:space="preserve">    AUDI AG</v>
      </c>
      <c r="B332" t="str">
        <f>IFERROR(IF(0=LEN(ReferenceData!$B$332),"",ReferenceData!$B$332),"")</f>
        <v>NSU GR Equity</v>
      </c>
      <c r="C332" t="str">
        <f>IFERROR(IF(0=LEN(ReferenceData!$C$332),"",ReferenceData!$C$332),"")</f>
        <v>RX530</v>
      </c>
      <c r="D332" t="str">
        <f>IFERROR(IF(0=LEN(ReferenceData!$D$332),"",ReferenceData!$D$332),"")</f>
        <v>T12M_DVDS_PAID</v>
      </c>
      <c r="E332" t="str">
        <f>IFERROR(IF(0=LEN(ReferenceData!$E$332),"",ReferenceData!$E$332),"")</f>
        <v>Dynamic</v>
      </c>
      <c r="F332" t="str">
        <f ca="1">IFERROR(IF(0=LEN(ReferenceData!$F$332),"",ReferenceData!$F$332),"")</f>
        <v/>
      </c>
      <c r="G332" t="str">
        <f ca="1">IFERROR(IF(0=LEN(ReferenceData!$G$332),"",ReferenceData!$G$332),"")</f>
        <v/>
      </c>
      <c r="H332" t="str">
        <f ca="1">IFERROR(IF(0=LEN(ReferenceData!$H$332),"",ReferenceData!$H$332),"")</f>
        <v/>
      </c>
      <c r="I332" t="str">
        <f ca="1">IFERROR(IF(0=LEN(ReferenceData!$I$332),"",ReferenceData!$I$332),"")</f>
        <v/>
      </c>
      <c r="J332" t="str">
        <f ca="1">IFERROR(IF(0=LEN(ReferenceData!$J$332),"",ReferenceData!$J$332),"")</f>
        <v/>
      </c>
      <c r="K332" t="str">
        <f ca="1">IFERROR(IF(0=LEN(ReferenceData!$K$332),"",ReferenceData!$K$332),"")</f>
        <v/>
      </c>
      <c r="L332" t="str">
        <f ca="1">IFERROR(IF(0=LEN(ReferenceData!$L$332),"",ReferenceData!$L$332),"")</f>
        <v/>
      </c>
      <c r="M332" t="str">
        <f ca="1">IFERROR(IF(0=LEN(ReferenceData!$M$332),"",ReferenceData!$M$332),"")</f>
        <v/>
      </c>
      <c r="N332" t="str">
        <f ca="1">IFERROR(IF(0=LEN(ReferenceData!$N$332),"",ReferenceData!$N$332),"")</f>
        <v/>
      </c>
      <c r="O332" t="str">
        <f ca="1">IFERROR(IF(0=LEN(ReferenceData!$O$332),"",ReferenceData!$O$332),"")</f>
        <v/>
      </c>
      <c r="P332" t="str">
        <f ca="1">IFERROR(IF(0=LEN(ReferenceData!$P$332),"",ReferenceData!$P$332),"")</f>
        <v/>
      </c>
      <c r="Q332" t="str">
        <f ca="1">IFERROR(IF(0=LEN(ReferenceData!$Q$332),"",ReferenceData!$Q$332),"")</f>
        <v/>
      </c>
      <c r="R332" t="str">
        <f ca="1">IFERROR(IF(0=LEN(ReferenceData!$R$332),"",ReferenceData!$R$332),"")</f>
        <v/>
      </c>
      <c r="S332" t="str">
        <f ca="1">IFERROR(IF(0=LEN(ReferenceData!$S$332),"",ReferenceData!$S$332),"")</f>
        <v/>
      </c>
      <c r="T332" t="str">
        <f ca="1">IFERROR(IF(0=LEN(ReferenceData!$T$332),"",ReferenceData!$T$332),"")</f>
        <v/>
      </c>
      <c r="U332" t="str">
        <f ca="1">IFERROR(IF(0=LEN(ReferenceData!$U$332),"",ReferenceData!$U$332),"")</f>
        <v/>
      </c>
      <c r="V332" t="str">
        <f ca="1">IFERROR(IF(0=LEN(ReferenceData!$V$332),"",ReferenceData!$V$332),"")</f>
        <v/>
      </c>
      <c r="W332" t="str">
        <f ca="1">IFERROR(IF(0=LEN(ReferenceData!$W$332),"",ReferenceData!$W$332),"")</f>
        <v/>
      </c>
      <c r="X332" t="str">
        <f ca="1">IFERROR(IF(0=LEN(ReferenceData!$X$332),"",ReferenceData!$X$332),"")</f>
        <v/>
      </c>
      <c r="Y332" t="str">
        <f ca="1">IFERROR(IF(0=LEN(ReferenceData!$Y$332),"",ReferenceData!$Y$332),"")</f>
        <v/>
      </c>
      <c r="Z332" t="str">
        <f ca="1">IFERROR(IF(0=LEN(ReferenceData!$Z$332),"",ReferenceData!$Z$332),"")</f>
        <v/>
      </c>
      <c r="AA332" t="str">
        <f ca="1">IFERROR(IF(0=LEN(ReferenceData!$AA$332),"",ReferenceData!$AA$332),"")</f>
        <v/>
      </c>
      <c r="AB332" t="str">
        <f ca="1">IFERROR(IF(0=LEN(ReferenceData!$AB$332),"",ReferenceData!$AB$332),"")</f>
        <v/>
      </c>
      <c r="AC332" t="str">
        <f ca="1">IFERROR(IF(0=LEN(ReferenceData!$AC$332),"",ReferenceData!$AC$332),"")</f>
        <v/>
      </c>
      <c r="AD332" t="str">
        <f ca="1">IFERROR(IF(0=LEN(ReferenceData!$AD$332),"",ReferenceData!$AD$332),"")</f>
        <v/>
      </c>
      <c r="AE332" t="str">
        <f ca="1">IFERROR(IF(0=LEN(ReferenceData!$AE$332),"",ReferenceData!$AE$332),"")</f>
        <v/>
      </c>
      <c r="AF332" t="str">
        <f ca="1">IFERROR(IF(0=LEN(ReferenceData!$AF$332),"",ReferenceData!$AF$332),"")</f>
        <v/>
      </c>
      <c r="AG332" t="str">
        <f ca="1">IFERROR(IF(0=LEN(ReferenceData!$AG$332),"",ReferenceData!$AG$332),"")</f>
        <v/>
      </c>
      <c r="AH332" t="str">
        <f ca="1">IFERROR(IF(0=LEN(ReferenceData!$AH$332),"",ReferenceData!$AH$332),"")</f>
        <v/>
      </c>
      <c r="AI332" t="str">
        <f ca="1">IFERROR(IF(0=LEN(ReferenceData!$AI$332),"",ReferenceData!$AI$332),"")</f>
        <v/>
      </c>
      <c r="AJ332" t="str">
        <f ca="1">IFERROR(IF(0=LEN(ReferenceData!$AJ$332),"",ReferenceData!$AJ$332),"")</f>
        <v/>
      </c>
      <c r="AK332" t="str">
        <f ca="1">IFERROR(IF(0=LEN(ReferenceData!$AK$332),"",ReferenceData!$AK$332),"")</f>
        <v/>
      </c>
      <c r="AL332" t="str">
        <f ca="1">IFERROR(IF(0=LEN(ReferenceData!$AL$332),"",ReferenceData!$AL$332),"")</f>
        <v/>
      </c>
      <c r="AM332" t="str">
        <f ca="1">IFERROR(IF(0=LEN(ReferenceData!$AM$332),"",ReferenceData!$AM$332),"")</f>
        <v/>
      </c>
      <c r="AN332" t="str">
        <f ca="1">IFERROR(IF(0=LEN(ReferenceData!$AN$332),"",ReferenceData!$AN$332),"")</f>
        <v/>
      </c>
      <c r="AO332" t="str">
        <f ca="1">IFERROR(IF(0=LEN(ReferenceData!$AO$332),"",ReferenceData!$AO$332),"")</f>
        <v/>
      </c>
      <c r="AP332" t="str">
        <f ca="1">IFERROR(IF(0=LEN(ReferenceData!$AP$332),"",ReferenceData!$AP$332),"")</f>
        <v/>
      </c>
      <c r="AQ332" t="str">
        <f ca="1">IFERROR(IF(0=LEN(ReferenceData!$AQ$332),"",ReferenceData!$AQ$332),"")</f>
        <v/>
      </c>
      <c r="AR332" t="str">
        <f ca="1">IFERROR(IF(0=LEN(ReferenceData!$AR$332),"",ReferenceData!$AR$332),"")</f>
        <v/>
      </c>
      <c r="AS332" t="str">
        <f ca="1">IFERROR(IF(0=LEN(ReferenceData!$AS$332),"",ReferenceData!$AS$332),"")</f>
        <v/>
      </c>
      <c r="AT332" t="str">
        <f ca="1">IFERROR(IF(0=LEN(ReferenceData!$AT$332),"",ReferenceData!$AT$332),"")</f>
        <v/>
      </c>
      <c r="AU332" t="str">
        <f ca="1">IFERROR(IF(0=LEN(ReferenceData!$AU$332),"",ReferenceData!$AU$332),"")</f>
        <v/>
      </c>
      <c r="AV332" t="str">
        <f ca="1">IFERROR(IF(0=LEN(ReferenceData!$AV$332),"",ReferenceData!$AV$332),"")</f>
        <v/>
      </c>
      <c r="AW332" t="str">
        <f ca="1">IFERROR(IF(0=LEN(ReferenceData!$AW$332),"",ReferenceData!$AW$332),"")</f>
        <v/>
      </c>
      <c r="AX332" t="str">
        <f ca="1">IFERROR(IF(0=LEN(ReferenceData!$AX$332),"",ReferenceData!$AX$332),"")</f>
        <v/>
      </c>
      <c r="AY332" t="str">
        <f ca="1">IFERROR(IF(0=LEN(ReferenceData!$AY$332),"",ReferenceData!$AY$332),"")</f>
        <v/>
      </c>
      <c r="AZ332" t="str">
        <f ca="1">IFERROR(IF(0=LEN(ReferenceData!$AZ$332),"",ReferenceData!$AZ$332),"")</f>
        <v/>
      </c>
      <c r="BA332" t="str">
        <f ca="1">IFERROR(IF(0=LEN(ReferenceData!$BA$332),"",ReferenceData!$BA$332),"")</f>
        <v/>
      </c>
      <c r="BB332" t="str">
        <f ca="1">IFERROR(IF(0=LEN(ReferenceData!$BB$332),"",ReferenceData!$BB$332),"")</f>
        <v/>
      </c>
      <c r="BC332" t="str">
        <f ca="1">IFERROR(IF(0=LEN(ReferenceData!$BC$332),"",ReferenceData!$BC$332),"")</f>
        <v/>
      </c>
      <c r="BD332" t="str">
        <f ca="1">IFERROR(IF(0=LEN(ReferenceData!$BD$332),"",ReferenceData!$BD$332),"")</f>
        <v/>
      </c>
      <c r="BE332" t="str">
        <f ca="1">IFERROR(IF(0=LEN(ReferenceData!$BE$332),"",ReferenceData!$BE$332),"")</f>
        <v/>
      </c>
      <c r="BF332" t="str">
        <f ca="1">IFERROR(IF(0=LEN(ReferenceData!$BF$332),"",ReferenceData!$BF$332),"")</f>
        <v/>
      </c>
      <c r="BG332" t="str">
        <f ca="1">IFERROR(IF(0=LEN(ReferenceData!$BG$332),"",ReferenceData!$BG$332),"")</f>
        <v/>
      </c>
      <c r="BH332" t="str">
        <f ca="1">IFERROR(IF(0=LEN(ReferenceData!$BH$332),"",ReferenceData!$BH$332),"")</f>
        <v/>
      </c>
      <c r="BI332" t="str">
        <f ca="1">IFERROR(IF(0=LEN(ReferenceData!$BI$332),"",ReferenceData!$BI$332),"")</f>
        <v/>
      </c>
      <c r="BJ332" t="str">
        <f ca="1">IFERROR(IF(0=LEN(ReferenceData!$BJ$332),"",ReferenceData!$BJ$332),"")</f>
        <v/>
      </c>
      <c r="BK332" t="str">
        <f ca="1">IFERROR(IF(0=LEN(ReferenceData!$BK$332),"",ReferenceData!$BK$332),"")</f>
        <v/>
      </c>
      <c r="BL332" t="str">
        <f ca="1">IFERROR(IF(0=LEN(ReferenceData!$BL$332),"",ReferenceData!$BL$332),"")</f>
        <v/>
      </c>
      <c r="BM332" t="str">
        <f ca="1">IFERROR(IF(0=LEN(ReferenceData!$BM$332),"",ReferenceData!$BM$332),"")</f>
        <v/>
      </c>
    </row>
    <row r="333" spans="1:65" x14ac:dyDescent="0.25">
      <c r="A333" t="str">
        <f>IFERROR(IF(0=LEN(ReferenceData!$A$333),"",ReferenceData!$A$333),"")</f>
        <v xml:space="preserve">    Avtovaz PJSC</v>
      </c>
      <c r="B333" t="str">
        <f>IFERROR(IF(0=LEN(ReferenceData!$B$333),"",ReferenceData!$B$333),"")</f>
        <v>AVAZ RM Equity</v>
      </c>
      <c r="C333" t="str">
        <f>IFERROR(IF(0=LEN(ReferenceData!$C$333),"",ReferenceData!$C$333),"")</f>
        <v>RX530</v>
      </c>
      <c r="D333" t="str">
        <f>IFERROR(IF(0=LEN(ReferenceData!$D$333),"",ReferenceData!$D$333),"")</f>
        <v>T12M_DVDS_PAID</v>
      </c>
      <c r="E333" t="str">
        <f>IFERROR(IF(0=LEN(ReferenceData!$E$333),"",ReferenceData!$E$333),"")</f>
        <v>Dynamic</v>
      </c>
      <c r="F333" t="str">
        <f ca="1">IFERROR(IF(0=LEN(ReferenceData!$F$333),"",ReferenceData!$F$333),"")</f>
        <v/>
      </c>
      <c r="G333" t="str">
        <f ca="1">IFERROR(IF(0=LEN(ReferenceData!$G$333),"",ReferenceData!$G$333),"")</f>
        <v/>
      </c>
      <c r="H333" t="str">
        <f ca="1">IFERROR(IF(0=LEN(ReferenceData!$H$333),"",ReferenceData!$H$333),"")</f>
        <v/>
      </c>
      <c r="I333" t="str">
        <f ca="1">IFERROR(IF(0=LEN(ReferenceData!$I$333),"",ReferenceData!$I$333),"")</f>
        <v/>
      </c>
      <c r="J333" t="str">
        <f ca="1">IFERROR(IF(0=LEN(ReferenceData!$J$333),"",ReferenceData!$J$333),"")</f>
        <v/>
      </c>
      <c r="K333" t="str">
        <f ca="1">IFERROR(IF(0=LEN(ReferenceData!$K$333),"",ReferenceData!$K$333),"")</f>
        <v/>
      </c>
      <c r="L333" t="str">
        <f ca="1">IFERROR(IF(0=LEN(ReferenceData!$L$333),"",ReferenceData!$L$333),"")</f>
        <v/>
      </c>
      <c r="M333" t="str">
        <f ca="1">IFERROR(IF(0=LEN(ReferenceData!$M$333),"",ReferenceData!$M$333),"")</f>
        <v/>
      </c>
      <c r="N333" t="str">
        <f ca="1">IFERROR(IF(0=LEN(ReferenceData!$N$333),"",ReferenceData!$N$333),"")</f>
        <v/>
      </c>
      <c r="O333" t="str">
        <f ca="1">IFERROR(IF(0=LEN(ReferenceData!$O$333),"",ReferenceData!$O$333),"")</f>
        <v/>
      </c>
      <c r="P333" t="str">
        <f ca="1">IFERROR(IF(0=LEN(ReferenceData!$P$333),"",ReferenceData!$P$333),"")</f>
        <v/>
      </c>
      <c r="Q333" t="str">
        <f ca="1">IFERROR(IF(0=LEN(ReferenceData!$Q$333),"",ReferenceData!$Q$333),"")</f>
        <v/>
      </c>
      <c r="R333" t="str">
        <f ca="1">IFERROR(IF(0=LEN(ReferenceData!$R$333),"",ReferenceData!$R$333),"")</f>
        <v/>
      </c>
      <c r="S333" t="str">
        <f ca="1">IFERROR(IF(0=LEN(ReferenceData!$S$333),"",ReferenceData!$S$333),"")</f>
        <v/>
      </c>
      <c r="T333" t="str">
        <f ca="1">IFERROR(IF(0=LEN(ReferenceData!$T$333),"",ReferenceData!$T$333),"")</f>
        <v/>
      </c>
      <c r="U333" t="str">
        <f ca="1">IFERROR(IF(0=LEN(ReferenceData!$U$333),"",ReferenceData!$U$333),"")</f>
        <v/>
      </c>
      <c r="V333" t="str">
        <f ca="1">IFERROR(IF(0=LEN(ReferenceData!$V$333),"",ReferenceData!$V$333),"")</f>
        <v/>
      </c>
      <c r="W333" t="str">
        <f ca="1">IFERROR(IF(0=LEN(ReferenceData!$W$333),"",ReferenceData!$W$333),"")</f>
        <v/>
      </c>
      <c r="X333" t="str">
        <f ca="1">IFERROR(IF(0=LEN(ReferenceData!$X$333),"",ReferenceData!$X$333),"")</f>
        <v/>
      </c>
      <c r="Y333" t="str">
        <f ca="1">IFERROR(IF(0=LEN(ReferenceData!$Y$333),"",ReferenceData!$Y$333),"")</f>
        <v/>
      </c>
      <c r="Z333" t="str">
        <f ca="1">IFERROR(IF(0=LEN(ReferenceData!$Z$333),"",ReferenceData!$Z$333),"")</f>
        <v/>
      </c>
      <c r="AA333" t="str">
        <f ca="1">IFERROR(IF(0=LEN(ReferenceData!$AA$333),"",ReferenceData!$AA$333),"")</f>
        <v/>
      </c>
      <c r="AB333" t="str">
        <f ca="1">IFERROR(IF(0=LEN(ReferenceData!$AB$333),"",ReferenceData!$AB$333),"")</f>
        <v/>
      </c>
      <c r="AC333" t="str">
        <f ca="1">IFERROR(IF(0=LEN(ReferenceData!$AC$333),"",ReferenceData!$AC$333),"")</f>
        <v/>
      </c>
      <c r="AD333" t="str">
        <f ca="1">IFERROR(IF(0=LEN(ReferenceData!$AD$333),"",ReferenceData!$AD$333),"")</f>
        <v/>
      </c>
      <c r="AE333" t="str">
        <f ca="1">IFERROR(IF(0=LEN(ReferenceData!$AE$333),"",ReferenceData!$AE$333),"")</f>
        <v/>
      </c>
      <c r="AF333" t="str">
        <f ca="1">IFERROR(IF(0=LEN(ReferenceData!$AF$333),"",ReferenceData!$AF$333),"")</f>
        <v/>
      </c>
      <c r="AG333" t="str">
        <f ca="1">IFERROR(IF(0=LEN(ReferenceData!$AG$333),"",ReferenceData!$AG$333),"")</f>
        <v/>
      </c>
      <c r="AH333" t="str">
        <f ca="1">IFERROR(IF(0=LEN(ReferenceData!$AH$333),"",ReferenceData!$AH$333),"")</f>
        <v/>
      </c>
      <c r="AI333" t="str">
        <f ca="1">IFERROR(IF(0=LEN(ReferenceData!$AI$333),"",ReferenceData!$AI$333),"")</f>
        <v/>
      </c>
      <c r="AJ333" t="str">
        <f ca="1">IFERROR(IF(0=LEN(ReferenceData!$AJ$333),"",ReferenceData!$AJ$333),"")</f>
        <v/>
      </c>
      <c r="AK333" t="str">
        <f ca="1">IFERROR(IF(0=LEN(ReferenceData!$AK$333),"",ReferenceData!$AK$333),"")</f>
        <v/>
      </c>
      <c r="AL333" t="str">
        <f ca="1">IFERROR(IF(0=LEN(ReferenceData!$AL$333),"",ReferenceData!$AL$333),"")</f>
        <v/>
      </c>
      <c r="AM333" t="str">
        <f ca="1">IFERROR(IF(0=LEN(ReferenceData!$AM$333),"",ReferenceData!$AM$333),"")</f>
        <v/>
      </c>
      <c r="AN333" t="str">
        <f ca="1">IFERROR(IF(0=LEN(ReferenceData!$AN$333),"",ReferenceData!$AN$333),"")</f>
        <v/>
      </c>
      <c r="AO333" t="str">
        <f ca="1">IFERROR(IF(0=LEN(ReferenceData!$AO$333),"",ReferenceData!$AO$333),"")</f>
        <v/>
      </c>
      <c r="AP333" t="str">
        <f ca="1">IFERROR(IF(0=LEN(ReferenceData!$AP$333),"",ReferenceData!$AP$333),"")</f>
        <v/>
      </c>
      <c r="AQ333" t="str">
        <f ca="1">IFERROR(IF(0=LEN(ReferenceData!$AQ$333),"",ReferenceData!$AQ$333),"")</f>
        <v/>
      </c>
      <c r="AR333" t="str">
        <f ca="1">IFERROR(IF(0=LEN(ReferenceData!$AR$333),"",ReferenceData!$AR$333),"")</f>
        <v/>
      </c>
      <c r="AS333" t="str">
        <f ca="1">IFERROR(IF(0=LEN(ReferenceData!$AS$333),"",ReferenceData!$AS$333),"")</f>
        <v/>
      </c>
      <c r="AT333" t="str">
        <f ca="1">IFERROR(IF(0=LEN(ReferenceData!$AT$333),"",ReferenceData!$AT$333),"")</f>
        <v/>
      </c>
      <c r="AU333" t="str">
        <f ca="1">IFERROR(IF(0=LEN(ReferenceData!$AU$333),"",ReferenceData!$AU$333),"")</f>
        <v/>
      </c>
      <c r="AV333" t="str">
        <f ca="1">IFERROR(IF(0=LEN(ReferenceData!$AV$333),"",ReferenceData!$AV$333),"")</f>
        <v/>
      </c>
      <c r="AW333" t="str">
        <f ca="1">IFERROR(IF(0=LEN(ReferenceData!$AW$333),"",ReferenceData!$AW$333),"")</f>
        <v/>
      </c>
      <c r="AX333" t="str">
        <f ca="1">IFERROR(IF(0=LEN(ReferenceData!$AX$333),"",ReferenceData!$AX$333),"")</f>
        <v/>
      </c>
      <c r="AY333" t="str">
        <f ca="1">IFERROR(IF(0=LEN(ReferenceData!$AY$333),"",ReferenceData!$AY$333),"")</f>
        <v/>
      </c>
      <c r="AZ333" t="str">
        <f ca="1">IFERROR(IF(0=LEN(ReferenceData!$AZ$333),"",ReferenceData!$AZ$333),"")</f>
        <v/>
      </c>
      <c r="BA333" t="str">
        <f ca="1">IFERROR(IF(0=LEN(ReferenceData!$BA$333),"",ReferenceData!$BA$333),"")</f>
        <v/>
      </c>
      <c r="BB333" t="str">
        <f ca="1">IFERROR(IF(0=LEN(ReferenceData!$BB$333),"",ReferenceData!$BB$333),"")</f>
        <v/>
      </c>
      <c r="BC333" t="str">
        <f ca="1">IFERROR(IF(0=LEN(ReferenceData!$BC$333),"",ReferenceData!$BC$333),"")</f>
        <v/>
      </c>
      <c r="BD333" t="str">
        <f ca="1">IFERROR(IF(0=LEN(ReferenceData!$BD$333),"",ReferenceData!$BD$333),"")</f>
        <v/>
      </c>
      <c r="BE333" t="str">
        <f ca="1">IFERROR(IF(0=LEN(ReferenceData!$BE$333),"",ReferenceData!$BE$333),"")</f>
        <v/>
      </c>
      <c r="BF333" t="str">
        <f ca="1">IFERROR(IF(0=LEN(ReferenceData!$BF$333),"",ReferenceData!$BF$333),"")</f>
        <v/>
      </c>
      <c r="BG333" t="str">
        <f ca="1">IFERROR(IF(0=LEN(ReferenceData!$BG$333),"",ReferenceData!$BG$333),"")</f>
        <v/>
      </c>
      <c r="BH333" t="str">
        <f ca="1">IFERROR(IF(0=LEN(ReferenceData!$BH$333),"",ReferenceData!$BH$333),"")</f>
        <v/>
      </c>
      <c r="BI333" t="str">
        <f ca="1">IFERROR(IF(0=LEN(ReferenceData!$BI$333),"",ReferenceData!$BI$333),"")</f>
        <v/>
      </c>
      <c r="BJ333" t="str">
        <f ca="1">IFERROR(IF(0=LEN(ReferenceData!$BJ$333),"",ReferenceData!$BJ$333),"")</f>
        <v/>
      </c>
      <c r="BK333" t="str">
        <f ca="1">IFERROR(IF(0=LEN(ReferenceData!$BK$333),"",ReferenceData!$BK$333),"")</f>
        <v/>
      </c>
      <c r="BL333" t="str">
        <f ca="1">IFERROR(IF(0=LEN(ReferenceData!$BL$333),"",ReferenceData!$BL$333),"")</f>
        <v/>
      </c>
      <c r="BM333" t="str">
        <f ca="1">IFERROR(IF(0=LEN(ReferenceData!$BM$333),"",ReferenceData!$BM$333),"")</f>
        <v/>
      </c>
    </row>
    <row r="334" spans="1:65" x14ac:dyDescent="0.25">
      <c r="A334" t="str">
        <f>IFERROR(IF(0=LEN(ReferenceData!$A$334),"",ReferenceData!$A$334),"")</f>
        <v xml:space="preserve">    Bayerische Motoren Werke AG</v>
      </c>
      <c r="B334" t="str">
        <f>IFERROR(IF(0=LEN(ReferenceData!$B$334),"",ReferenceData!$B$334),"")</f>
        <v>BMW GR Equity</v>
      </c>
      <c r="C334" t="str">
        <f>IFERROR(IF(0=LEN(ReferenceData!$C$334),"",ReferenceData!$C$334),"")</f>
        <v>RX530</v>
      </c>
      <c r="D334" t="str">
        <f>IFERROR(IF(0=LEN(ReferenceData!$D$334),"",ReferenceData!$D$334),"")</f>
        <v>T12M_DVDS_PAID</v>
      </c>
      <c r="E334" t="str">
        <f>IFERROR(IF(0=LEN(ReferenceData!$E$334),"",ReferenceData!$E$334),"")</f>
        <v>Dynamic</v>
      </c>
      <c r="F334" t="str">
        <f ca="1">IFERROR(IF(0=LEN(ReferenceData!$F$334),"",ReferenceData!$F$334),"")</f>
        <v/>
      </c>
      <c r="G334" t="str">
        <f ca="1">IFERROR(IF(0=LEN(ReferenceData!$G$334),"",ReferenceData!$G$334),"")</f>
        <v/>
      </c>
      <c r="H334">
        <f ca="1">IFERROR(IF(0=LEN(ReferenceData!$H$334),"",ReferenceData!$H$334),"")</f>
        <v>-2766.584437</v>
      </c>
      <c r="I334">
        <f ca="1">IFERROR(IF(0=LEN(ReferenceData!$I$334),"",ReferenceData!$I$334),"")</f>
        <v>-2773.5880790000001</v>
      </c>
      <c r="J334">
        <f ca="1">IFERROR(IF(0=LEN(ReferenceData!$J$334),"",ReferenceData!$J$334),"")</f>
        <v>-2720.6287670000002</v>
      </c>
      <c r="K334">
        <f ca="1">IFERROR(IF(0=LEN(ReferenceData!$K$334),"",ReferenceData!$K$334),"")</f>
        <v>-2625.4722740000002</v>
      </c>
      <c r="L334">
        <f ca="1">IFERROR(IF(0=LEN(ReferenceData!$L$334),"",ReferenceData!$L$334),"")</f>
        <v>0</v>
      </c>
      <c r="M334">
        <f ca="1">IFERROR(IF(0=LEN(ReferenceData!$M$334),"",ReferenceData!$M$334),"")</f>
        <v>0</v>
      </c>
      <c r="N334">
        <f ca="1">IFERROR(IF(0=LEN(ReferenceData!$N$334),"",ReferenceData!$N$334),"")</f>
        <v>-2327.3742350000002</v>
      </c>
      <c r="O334">
        <f ca="1">IFERROR(IF(0=LEN(ReferenceData!$O$334),"",ReferenceData!$O$334),"")</f>
        <v>-2347.5836260000001</v>
      </c>
      <c r="P334">
        <f ca="1">IFERROR(IF(0=LEN(ReferenceData!$P$334),"",ReferenceData!$P$334),"")</f>
        <v>-2356.5322329999999</v>
      </c>
      <c r="Q334">
        <f ca="1">IFERROR(IF(0=LEN(ReferenceData!$Q$334),"",ReferenceData!$Q$334),"")</f>
        <v>-2354.2752300000002</v>
      </c>
      <c r="R334">
        <f ca="1">IFERROR(IF(0=LEN(ReferenceData!$R$334),"",ReferenceData!$R$334),"")</f>
        <v>-2117.0360230000001</v>
      </c>
      <c r="S334">
        <f ca="1">IFERROR(IF(0=LEN(ReferenceData!$S$334),"",ReferenceData!$S$334),"")</f>
        <v>-2127.871212</v>
      </c>
      <c r="T334">
        <f ca="1">IFERROR(IF(0=LEN(ReferenceData!$T$334),"",ReferenceData!$T$334),"")</f>
        <v>-2203.4635830000002</v>
      </c>
      <c r="U334">
        <f ca="1">IFERROR(IF(0=LEN(ReferenceData!$U$334),"",ReferenceData!$U$334),"")</f>
        <v>-2308.131805</v>
      </c>
      <c r="V334">
        <f ca="1">IFERROR(IF(0=LEN(ReferenceData!$V$334),"",ReferenceData!$V$334),"")</f>
        <v>-2175.7773619999998</v>
      </c>
      <c r="W334">
        <f ca="1">IFERROR(IF(0=LEN(ReferenceData!$W$334),"",ReferenceData!$W$334),"")</f>
        <v>-2278.3531549999998</v>
      </c>
      <c r="X334">
        <f ca="1">IFERROR(IF(0=LEN(ReferenceData!$X$334),"",ReferenceData!$X$334),"")</f>
        <v>-2327.2727410000002</v>
      </c>
      <c r="Y334">
        <f ca="1">IFERROR(IF(0=LEN(ReferenceData!$Y$334),"",ReferenceData!$Y$334),"")</f>
        <v>-2325.644151</v>
      </c>
      <c r="Z334">
        <f ca="1">IFERROR(IF(0=LEN(ReferenceData!$Z$334),"",ReferenceData!$Z$334),"")</f>
        <v>-2216.0276330000002</v>
      </c>
      <c r="AA334">
        <f ca="1">IFERROR(IF(0=LEN(ReferenceData!$AA$334),"",ReferenceData!$AA$334),"")</f>
        <v>-2195.698805</v>
      </c>
      <c r="AB334">
        <f ca="1">IFERROR(IF(0=LEN(ReferenceData!$AB$334),"",ReferenceData!$AB$334),"")</f>
        <v>-2168.9415170000002</v>
      </c>
      <c r="AC334">
        <f ca="1">IFERROR(IF(0=LEN(ReferenceData!$AC$334),"",ReferenceData!$AC$334),"")</f>
        <v>-2142.3003549999999</v>
      </c>
      <c r="AD334">
        <f ca="1">IFERROR(IF(0=LEN(ReferenceData!$AD$334),"",ReferenceData!$AD$334),"")</f>
        <v>-1952.46261</v>
      </c>
      <c r="AE334">
        <f ca="1">IFERROR(IF(0=LEN(ReferenceData!$AE$334),"",ReferenceData!$AE$334),"")</f>
        <v>-1949.3805749999999</v>
      </c>
      <c r="AF334">
        <f ca="1">IFERROR(IF(0=LEN(ReferenceData!$AF$334),"",ReferenceData!$AF$334),"")</f>
        <v>-1966.958063</v>
      </c>
      <c r="AG334">
        <f ca="1">IFERROR(IF(0=LEN(ReferenceData!$AG$334),"",ReferenceData!$AG$334),"")</f>
        <v>-2024.619443</v>
      </c>
      <c r="AH334">
        <f ca="1">IFERROR(IF(0=LEN(ReferenceData!$AH$334),"",ReferenceData!$AH$334),"")</f>
        <v>-1174.038536</v>
      </c>
      <c r="AI334">
        <f ca="1">IFERROR(IF(0=LEN(ReferenceData!$AI$334),"",ReferenceData!$AI$334),"")</f>
        <v>-1186.3266189999999</v>
      </c>
      <c r="AJ334">
        <f ca="1">IFERROR(IF(0=LEN(ReferenceData!$AJ$334),"",ReferenceData!$AJ$334),"")</f>
        <v>-1463.1128060000001</v>
      </c>
      <c r="AK334">
        <f ca="1">IFERROR(IF(0=LEN(ReferenceData!$AK$334),"",ReferenceData!$AK$334),"")</f>
        <v>-1431.267617</v>
      </c>
      <c r="AL334">
        <f ca="1">IFERROR(IF(0=LEN(ReferenceData!$AL$334),"",ReferenceData!$AL$334),"")</f>
        <v>-260.62950549999999</v>
      </c>
      <c r="AM334">
        <f ca="1">IFERROR(IF(0=LEN(ReferenceData!$AM$334),"",ReferenceData!$AM$334),"")</f>
        <v>-261.3423927</v>
      </c>
      <c r="AN334">
        <f ca="1">IFERROR(IF(0=LEN(ReferenceData!$AN$334),"",ReferenceData!$AN$334),"")</f>
        <v>-267.24921499999999</v>
      </c>
      <c r="AO334">
        <f ca="1">IFERROR(IF(0=LEN(ReferenceData!$AO$334),"",ReferenceData!$AO$334),"")</f>
        <v>-274.1175068</v>
      </c>
      <c r="AP334">
        <f ca="1">IFERROR(IF(0=LEN(ReferenceData!$AP$334),"",ReferenceData!$AP$334),"")</f>
        <v>-278.51205599999997</v>
      </c>
      <c r="AQ334">
        <f ca="1">IFERROR(IF(0=LEN(ReferenceData!$AQ$334),"",ReferenceData!$AQ$334),"")</f>
        <v>-274.70402710000002</v>
      </c>
      <c r="AR334">
        <f ca="1">IFERROR(IF(0=LEN(ReferenceData!$AR$334),"",ReferenceData!$AR$334),"")</f>
        <v>-940.39756060000002</v>
      </c>
      <c r="AS334">
        <f ca="1">IFERROR(IF(0=LEN(ReferenceData!$AS$334),"",ReferenceData!$AS$334),"")</f>
        <v>-953.17660000000001</v>
      </c>
      <c r="AT334">
        <f ca="1">IFERROR(IF(0=LEN(ReferenceData!$AT$334),"",ReferenceData!$AT$334),"")</f>
        <v>-987.69998899999996</v>
      </c>
      <c r="AU334">
        <f ca="1">IFERROR(IF(0=LEN(ReferenceData!$AU$334),"",ReferenceData!$AU$334),"")</f>
        <v>-1020.797249</v>
      </c>
      <c r="AV334" t="str">
        <f ca="1">IFERROR(IF(0=LEN(ReferenceData!$AV$334),"",ReferenceData!$AV$334),"")</f>
        <v/>
      </c>
      <c r="AW334" t="str">
        <f ca="1">IFERROR(IF(0=LEN(ReferenceData!$AW$334),"",ReferenceData!$AW$334),"")</f>
        <v/>
      </c>
      <c r="AX334" t="str">
        <f ca="1">IFERROR(IF(0=LEN(ReferenceData!$AX$334),"",ReferenceData!$AX$334),"")</f>
        <v/>
      </c>
      <c r="AY334" t="str">
        <f ca="1">IFERROR(IF(0=LEN(ReferenceData!$AY$334),"",ReferenceData!$AY$334),"")</f>
        <v/>
      </c>
      <c r="AZ334" t="str">
        <f ca="1">IFERROR(IF(0=LEN(ReferenceData!$AZ$334),"",ReferenceData!$AZ$334),"")</f>
        <v/>
      </c>
      <c r="BA334" t="str">
        <f ca="1">IFERROR(IF(0=LEN(ReferenceData!$BA$334),"",ReferenceData!$BA$334),"")</f>
        <v/>
      </c>
      <c r="BB334" t="str">
        <f ca="1">IFERROR(IF(0=LEN(ReferenceData!$BB$334),"",ReferenceData!$BB$334),"")</f>
        <v/>
      </c>
      <c r="BC334" t="str">
        <f ca="1">IFERROR(IF(0=LEN(ReferenceData!$BC$334),"",ReferenceData!$BC$334),"")</f>
        <v/>
      </c>
      <c r="BD334" t="str">
        <f ca="1">IFERROR(IF(0=LEN(ReferenceData!$BD$334),"",ReferenceData!$BD$334),"")</f>
        <v/>
      </c>
      <c r="BE334" t="str">
        <f ca="1">IFERROR(IF(0=LEN(ReferenceData!$BE$334),"",ReferenceData!$BE$334),"")</f>
        <v/>
      </c>
      <c r="BF334" t="str">
        <f ca="1">IFERROR(IF(0=LEN(ReferenceData!$BF$334),"",ReferenceData!$BF$334),"")</f>
        <v/>
      </c>
      <c r="BG334" t="str">
        <f ca="1">IFERROR(IF(0=LEN(ReferenceData!$BG$334),"",ReferenceData!$BG$334),"")</f>
        <v/>
      </c>
      <c r="BH334" t="str">
        <f ca="1">IFERROR(IF(0=LEN(ReferenceData!$BH$334),"",ReferenceData!$BH$334),"")</f>
        <v/>
      </c>
      <c r="BI334" t="str">
        <f ca="1">IFERROR(IF(0=LEN(ReferenceData!$BI$334),"",ReferenceData!$BI$334),"")</f>
        <v/>
      </c>
      <c r="BJ334" t="str">
        <f ca="1">IFERROR(IF(0=LEN(ReferenceData!$BJ$334),"",ReferenceData!$BJ$334),"")</f>
        <v/>
      </c>
      <c r="BK334" t="str">
        <f ca="1">IFERROR(IF(0=LEN(ReferenceData!$BK$334),"",ReferenceData!$BK$334),"")</f>
        <v/>
      </c>
      <c r="BL334" t="str">
        <f ca="1">IFERROR(IF(0=LEN(ReferenceData!$BL$334),"",ReferenceData!$BL$334),"")</f>
        <v/>
      </c>
      <c r="BM334" t="str">
        <f ca="1">IFERROR(IF(0=LEN(ReferenceData!$BM$334),"",ReferenceData!$BM$334),"")</f>
        <v/>
      </c>
    </row>
    <row r="335" spans="1:65" x14ac:dyDescent="0.25">
      <c r="A335" t="str">
        <f>IFERROR(IF(0=LEN(ReferenceData!$A$335),"",ReferenceData!$A$335),"")</f>
        <v xml:space="preserve">    Brilliance China Automotive Holdings Ltd</v>
      </c>
      <c r="B335" t="str">
        <f>IFERROR(IF(0=LEN(ReferenceData!$B$335),"",ReferenceData!$B$335),"")</f>
        <v>1114 HK Equity</v>
      </c>
      <c r="C335" t="str">
        <f>IFERROR(IF(0=LEN(ReferenceData!$C$335),"",ReferenceData!$C$335),"")</f>
        <v>RX530</v>
      </c>
      <c r="D335" t="str">
        <f>IFERROR(IF(0=LEN(ReferenceData!$D$335),"",ReferenceData!$D$335),"")</f>
        <v>T12M_DVDS_PAID</v>
      </c>
      <c r="E335" t="str">
        <f>IFERROR(IF(0=LEN(ReferenceData!$E$335),"",ReferenceData!$E$335),"")</f>
        <v>Dynamic</v>
      </c>
      <c r="F335" t="str">
        <f ca="1">IFERROR(IF(0=LEN(ReferenceData!$F$335),"",ReferenceData!$F$335),"")</f>
        <v/>
      </c>
      <c r="G335" t="str">
        <f ca="1">IFERROR(IF(0=LEN(ReferenceData!$G$335),"",ReferenceData!$G$335),"")</f>
        <v/>
      </c>
      <c r="H335" t="str">
        <f ca="1">IFERROR(IF(0=LEN(ReferenceData!$H$335),"",ReferenceData!$H$335),"")</f>
        <v/>
      </c>
      <c r="I335" t="str">
        <f ca="1">IFERROR(IF(0=LEN(ReferenceData!$I$335),"",ReferenceData!$I$335),"")</f>
        <v/>
      </c>
      <c r="J335" t="str">
        <f ca="1">IFERROR(IF(0=LEN(ReferenceData!$J$335),"",ReferenceData!$J$335),"")</f>
        <v/>
      </c>
      <c r="K335" t="str">
        <f ca="1">IFERROR(IF(0=LEN(ReferenceData!$K$335),"",ReferenceData!$K$335),"")</f>
        <v/>
      </c>
      <c r="L335" t="str">
        <f ca="1">IFERROR(IF(0=LEN(ReferenceData!$L$335),"",ReferenceData!$L$335),"")</f>
        <v/>
      </c>
      <c r="M335" t="str">
        <f ca="1">IFERROR(IF(0=LEN(ReferenceData!$M$335),"",ReferenceData!$M$335),"")</f>
        <v/>
      </c>
      <c r="N335" t="str">
        <f ca="1">IFERROR(IF(0=LEN(ReferenceData!$N$335),"",ReferenceData!$N$335),"")</f>
        <v/>
      </c>
      <c r="O335" t="str">
        <f ca="1">IFERROR(IF(0=LEN(ReferenceData!$O$335),"",ReferenceData!$O$335),"")</f>
        <v/>
      </c>
      <c r="P335" t="str">
        <f ca="1">IFERROR(IF(0=LEN(ReferenceData!$P$335),"",ReferenceData!$P$335),"")</f>
        <v/>
      </c>
      <c r="Q335" t="str">
        <f ca="1">IFERROR(IF(0=LEN(ReferenceData!$Q$335),"",ReferenceData!$Q$335),"")</f>
        <v/>
      </c>
      <c r="R335" t="str">
        <f ca="1">IFERROR(IF(0=LEN(ReferenceData!$R$335),"",ReferenceData!$R$335),"")</f>
        <v/>
      </c>
      <c r="S335" t="str">
        <f ca="1">IFERROR(IF(0=LEN(ReferenceData!$S$335),"",ReferenceData!$S$335),"")</f>
        <v/>
      </c>
      <c r="T335" t="str">
        <f ca="1">IFERROR(IF(0=LEN(ReferenceData!$T$335),"",ReferenceData!$T$335),"")</f>
        <v/>
      </c>
      <c r="U335" t="str">
        <f ca="1">IFERROR(IF(0=LEN(ReferenceData!$U$335),"",ReferenceData!$U$335),"")</f>
        <v/>
      </c>
      <c r="V335" t="str">
        <f ca="1">IFERROR(IF(0=LEN(ReferenceData!$V$335),"",ReferenceData!$V$335),"")</f>
        <v/>
      </c>
      <c r="W335" t="str">
        <f ca="1">IFERROR(IF(0=LEN(ReferenceData!$W$335),"",ReferenceData!$W$335),"")</f>
        <v/>
      </c>
      <c r="X335" t="str">
        <f ca="1">IFERROR(IF(0=LEN(ReferenceData!$X$335),"",ReferenceData!$X$335),"")</f>
        <v/>
      </c>
      <c r="Y335" t="str">
        <f ca="1">IFERROR(IF(0=LEN(ReferenceData!$Y$335),"",ReferenceData!$Y$335),"")</f>
        <v/>
      </c>
      <c r="Z335" t="str">
        <f ca="1">IFERROR(IF(0=LEN(ReferenceData!$Z$335),"",ReferenceData!$Z$335),"")</f>
        <v/>
      </c>
      <c r="AA335" t="str">
        <f ca="1">IFERROR(IF(0=LEN(ReferenceData!$AA$335),"",ReferenceData!$AA$335),"")</f>
        <v/>
      </c>
      <c r="AB335" t="str">
        <f ca="1">IFERROR(IF(0=LEN(ReferenceData!$AB$335),"",ReferenceData!$AB$335),"")</f>
        <v/>
      </c>
      <c r="AC335" t="str">
        <f ca="1">IFERROR(IF(0=LEN(ReferenceData!$AC$335),"",ReferenceData!$AC$335),"")</f>
        <v/>
      </c>
      <c r="AD335" t="str">
        <f ca="1">IFERROR(IF(0=LEN(ReferenceData!$AD$335),"",ReferenceData!$AD$335),"")</f>
        <v/>
      </c>
      <c r="AE335" t="str">
        <f ca="1">IFERROR(IF(0=LEN(ReferenceData!$AE$335),"",ReferenceData!$AE$335),"")</f>
        <v/>
      </c>
      <c r="AF335" t="str">
        <f ca="1">IFERROR(IF(0=LEN(ReferenceData!$AF$335),"",ReferenceData!$AF$335),"")</f>
        <v/>
      </c>
      <c r="AG335" t="str">
        <f ca="1">IFERROR(IF(0=LEN(ReferenceData!$AG$335),"",ReferenceData!$AG$335),"")</f>
        <v/>
      </c>
      <c r="AH335" t="str">
        <f ca="1">IFERROR(IF(0=LEN(ReferenceData!$AH$335),"",ReferenceData!$AH$335),"")</f>
        <v/>
      </c>
      <c r="AI335" t="str">
        <f ca="1">IFERROR(IF(0=LEN(ReferenceData!$AI$335),"",ReferenceData!$AI$335),"")</f>
        <v/>
      </c>
      <c r="AJ335" t="str">
        <f ca="1">IFERROR(IF(0=LEN(ReferenceData!$AJ$335),"",ReferenceData!$AJ$335),"")</f>
        <v/>
      </c>
      <c r="AK335" t="str">
        <f ca="1">IFERROR(IF(0=LEN(ReferenceData!$AK$335),"",ReferenceData!$AK$335),"")</f>
        <v/>
      </c>
      <c r="AL335" t="str">
        <f ca="1">IFERROR(IF(0=LEN(ReferenceData!$AL$335),"",ReferenceData!$AL$335),"")</f>
        <v/>
      </c>
      <c r="AM335" t="str">
        <f ca="1">IFERROR(IF(0=LEN(ReferenceData!$AM$335),"",ReferenceData!$AM$335),"")</f>
        <v/>
      </c>
      <c r="AN335" t="str">
        <f ca="1">IFERROR(IF(0=LEN(ReferenceData!$AN$335),"",ReferenceData!$AN$335),"")</f>
        <v/>
      </c>
      <c r="AO335" t="str">
        <f ca="1">IFERROR(IF(0=LEN(ReferenceData!$AO$335),"",ReferenceData!$AO$335),"")</f>
        <v/>
      </c>
      <c r="AP335" t="str">
        <f ca="1">IFERROR(IF(0=LEN(ReferenceData!$AP$335),"",ReferenceData!$AP$335),"")</f>
        <v/>
      </c>
      <c r="AQ335" t="str">
        <f ca="1">IFERROR(IF(0=LEN(ReferenceData!$AQ$335),"",ReferenceData!$AQ$335),"")</f>
        <v/>
      </c>
      <c r="AR335" t="str">
        <f ca="1">IFERROR(IF(0=LEN(ReferenceData!$AR$335),"",ReferenceData!$AR$335),"")</f>
        <v/>
      </c>
      <c r="AS335" t="str">
        <f ca="1">IFERROR(IF(0=LEN(ReferenceData!$AS$335),"",ReferenceData!$AS$335),"")</f>
        <v/>
      </c>
      <c r="AT335" t="str">
        <f ca="1">IFERROR(IF(0=LEN(ReferenceData!$AT$335),"",ReferenceData!$AT$335),"")</f>
        <v/>
      </c>
      <c r="AU335" t="str">
        <f ca="1">IFERROR(IF(0=LEN(ReferenceData!$AU$335),"",ReferenceData!$AU$335),"")</f>
        <v/>
      </c>
      <c r="AV335" t="str">
        <f ca="1">IFERROR(IF(0=LEN(ReferenceData!$AV$335),"",ReferenceData!$AV$335),"")</f>
        <v/>
      </c>
      <c r="AW335" t="str">
        <f ca="1">IFERROR(IF(0=LEN(ReferenceData!$AW$335),"",ReferenceData!$AW$335),"")</f>
        <v/>
      </c>
      <c r="AX335" t="str">
        <f ca="1">IFERROR(IF(0=LEN(ReferenceData!$AX$335),"",ReferenceData!$AX$335),"")</f>
        <v/>
      </c>
      <c r="AY335" t="str">
        <f ca="1">IFERROR(IF(0=LEN(ReferenceData!$AY$335),"",ReferenceData!$AY$335),"")</f>
        <v/>
      </c>
      <c r="AZ335" t="str">
        <f ca="1">IFERROR(IF(0=LEN(ReferenceData!$AZ$335),"",ReferenceData!$AZ$335),"")</f>
        <v/>
      </c>
      <c r="BA335" t="str">
        <f ca="1">IFERROR(IF(0=LEN(ReferenceData!$BA$335),"",ReferenceData!$BA$335),"")</f>
        <v/>
      </c>
      <c r="BB335" t="str">
        <f ca="1">IFERROR(IF(0=LEN(ReferenceData!$BB$335),"",ReferenceData!$BB$335),"")</f>
        <v/>
      </c>
      <c r="BC335" t="str">
        <f ca="1">IFERROR(IF(0=LEN(ReferenceData!$BC$335),"",ReferenceData!$BC$335),"")</f>
        <v/>
      </c>
      <c r="BD335" t="str">
        <f ca="1">IFERROR(IF(0=LEN(ReferenceData!$BD$335),"",ReferenceData!$BD$335),"")</f>
        <v/>
      </c>
      <c r="BE335" t="str">
        <f ca="1">IFERROR(IF(0=LEN(ReferenceData!$BE$335),"",ReferenceData!$BE$335),"")</f>
        <v/>
      </c>
      <c r="BF335" t="str">
        <f ca="1">IFERROR(IF(0=LEN(ReferenceData!$BF$335),"",ReferenceData!$BF$335),"")</f>
        <v/>
      </c>
      <c r="BG335" t="str">
        <f ca="1">IFERROR(IF(0=LEN(ReferenceData!$BG$335),"",ReferenceData!$BG$335),"")</f>
        <v/>
      </c>
      <c r="BH335" t="str">
        <f ca="1">IFERROR(IF(0=LEN(ReferenceData!$BH$335),"",ReferenceData!$BH$335),"")</f>
        <v/>
      </c>
      <c r="BI335" t="str">
        <f ca="1">IFERROR(IF(0=LEN(ReferenceData!$BI$335),"",ReferenceData!$BI$335),"")</f>
        <v/>
      </c>
      <c r="BJ335" t="str">
        <f ca="1">IFERROR(IF(0=LEN(ReferenceData!$BJ$335),"",ReferenceData!$BJ$335),"")</f>
        <v/>
      </c>
      <c r="BK335" t="str">
        <f ca="1">IFERROR(IF(0=LEN(ReferenceData!$BK$335),"",ReferenceData!$BK$335),"")</f>
        <v/>
      </c>
      <c r="BL335" t="str">
        <f ca="1">IFERROR(IF(0=LEN(ReferenceData!$BL$335),"",ReferenceData!$BL$335),"")</f>
        <v/>
      </c>
      <c r="BM335" t="str">
        <f ca="1">IFERROR(IF(0=LEN(ReferenceData!$BM$335),"",ReferenceData!$BM$335),"")</f>
        <v/>
      </c>
    </row>
    <row r="336" spans="1:65" x14ac:dyDescent="0.25">
      <c r="A336" t="str">
        <f>IFERROR(IF(0=LEN(ReferenceData!$A$336),"",ReferenceData!$A$336),"")</f>
        <v xml:space="preserve">    BYD Co Ltd</v>
      </c>
      <c r="B336" t="str">
        <f>IFERROR(IF(0=LEN(ReferenceData!$B$336),"",ReferenceData!$B$336),"")</f>
        <v>1211 HK Equity</v>
      </c>
      <c r="C336" t="str">
        <f>IFERROR(IF(0=LEN(ReferenceData!$C$336),"",ReferenceData!$C$336),"")</f>
        <v>RX530</v>
      </c>
      <c r="D336" t="str">
        <f>IFERROR(IF(0=LEN(ReferenceData!$D$336),"",ReferenceData!$D$336),"")</f>
        <v>T12M_DVDS_PAID</v>
      </c>
      <c r="E336" t="str">
        <f>IFERROR(IF(0=LEN(ReferenceData!$E$336),"",ReferenceData!$E$336),"")</f>
        <v>Dynamic</v>
      </c>
      <c r="F336" t="str">
        <f ca="1">IFERROR(IF(0=LEN(ReferenceData!$F$336),"",ReferenceData!$F$336),"")</f>
        <v/>
      </c>
      <c r="G336" t="str">
        <f ca="1">IFERROR(IF(0=LEN(ReferenceData!$G$336),"",ReferenceData!$G$336),"")</f>
        <v/>
      </c>
      <c r="H336" t="str">
        <f ca="1">IFERROR(IF(0=LEN(ReferenceData!$H$336),"",ReferenceData!$H$336),"")</f>
        <v/>
      </c>
      <c r="I336" t="str">
        <f ca="1">IFERROR(IF(0=LEN(ReferenceData!$I$336),"",ReferenceData!$I$336),"")</f>
        <v/>
      </c>
      <c r="J336">
        <f ca="1">IFERROR(IF(0=LEN(ReferenceData!$J$336),"",ReferenceData!$J$336),"")</f>
        <v>-110.9295317</v>
      </c>
      <c r="K336">
        <f ca="1">IFERROR(IF(0=LEN(ReferenceData!$K$336),"",ReferenceData!$K$336),"")</f>
        <v>-107.946066</v>
      </c>
      <c r="L336">
        <f ca="1">IFERROR(IF(0=LEN(ReferenceData!$L$336),"",ReferenceData!$L$336),"")</f>
        <v>-246.25142690000001</v>
      </c>
      <c r="M336">
        <f ca="1">IFERROR(IF(0=LEN(ReferenceData!$M$336),"",ReferenceData!$M$336),"")</f>
        <v>-166.48749530000001</v>
      </c>
      <c r="N336">
        <f ca="1">IFERROR(IF(0=LEN(ReferenceData!$N$336),"",ReferenceData!$N$336),"")</f>
        <v>-160.26723100000001</v>
      </c>
      <c r="O336">
        <f ca="1">IFERROR(IF(0=LEN(ReferenceData!$O$336),"",ReferenceData!$O$336),"")</f>
        <v>-150.77279999999999</v>
      </c>
      <c r="P336">
        <f ca="1">IFERROR(IF(0=LEN(ReferenceData!$P$336),"",ReferenceData!$P$336),"")</f>
        <v>0</v>
      </c>
      <c r="Q336">
        <f ca="1">IFERROR(IF(0=LEN(ReferenceData!$Q$336),"",ReferenceData!$Q$336),"")</f>
        <v>0</v>
      </c>
      <c r="R336">
        <f ca="1">IFERROR(IF(0=LEN(ReferenceData!$R$336),"",ReferenceData!$R$336),"")</f>
        <v>0</v>
      </c>
      <c r="S336">
        <f ca="1">IFERROR(IF(0=LEN(ReferenceData!$S$336),"",ReferenceData!$S$336),"")</f>
        <v>0</v>
      </c>
      <c r="T336">
        <f ca="1">IFERROR(IF(0=LEN(ReferenceData!$T$336),"",ReferenceData!$T$336),"")</f>
        <v>0</v>
      </c>
      <c r="U336">
        <f ca="1">IFERROR(IF(0=LEN(ReferenceData!$U$336),"",ReferenceData!$U$336),"")</f>
        <v>-20.008222069999999</v>
      </c>
      <c r="V336">
        <f ca="1">IFERROR(IF(0=LEN(ReferenceData!$V$336),"",ReferenceData!$V$336),"")</f>
        <v>-19.985618379999998</v>
      </c>
      <c r="W336">
        <f ca="1">IFERROR(IF(0=LEN(ReferenceData!$W$336),"",ReferenceData!$W$336),"")</f>
        <v>-20.09397718</v>
      </c>
      <c r="X336">
        <f ca="1">IFERROR(IF(0=LEN(ReferenceData!$X$336),"",ReferenceData!$X$336),"")</f>
        <v>-20.142530019999999</v>
      </c>
      <c r="Y336">
        <f ca="1">IFERROR(IF(0=LEN(ReferenceData!$Y$336),"",ReferenceData!$Y$336),"")</f>
        <v>0</v>
      </c>
      <c r="Z336">
        <f ca="1">IFERROR(IF(0=LEN(ReferenceData!$Z$336),"",ReferenceData!$Z$336),"")</f>
        <v>0</v>
      </c>
      <c r="AA336">
        <f ca="1">IFERROR(IF(0=LEN(ReferenceData!$AA$336),"",ReferenceData!$AA$336),"")</f>
        <v>0</v>
      </c>
      <c r="AB336">
        <f ca="1">IFERROR(IF(0=LEN(ReferenceData!$AB$336),"",ReferenceData!$AB$336),"")</f>
        <v>0</v>
      </c>
      <c r="AC336">
        <f ca="1">IFERROR(IF(0=LEN(ReferenceData!$AC$336),"",ReferenceData!$AC$336),"")</f>
        <v>0</v>
      </c>
      <c r="AD336">
        <f ca="1">IFERROR(IF(0=LEN(ReferenceData!$AD$336),"",ReferenceData!$AD$336),"")</f>
        <v>0</v>
      </c>
      <c r="AE336">
        <f ca="1">IFERROR(IF(0=LEN(ReferenceData!$AE$336),"",ReferenceData!$AE$336),"")</f>
        <v>0</v>
      </c>
      <c r="AF336" t="str">
        <f ca="1">IFERROR(IF(0=LEN(ReferenceData!$AF$336),"",ReferenceData!$AF$336),"")</f>
        <v/>
      </c>
      <c r="AG336" t="str">
        <f ca="1">IFERROR(IF(0=LEN(ReferenceData!$AG$336),"",ReferenceData!$AG$336),"")</f>
        <v/>
      </c>
      <c r="AH336" t="str">
        <f ca="1">IFERROR(IF(0=LEN(ReferenceData!$AH$336),"",ReferenceData!$AH$336),"")</f>
        <v/>
      </c>
      <c r="AI336" t="str">
        <f ca="1">IFERROR(IF(0=LEN(ReferenceData!$AI$336),"",ReferenceData!$AI$336),"")</f>
        <v/>
      </c>
      <c r="AJ336" t="str">
        <f ca="1">IFERROR(IF(0=LEN(ReferenceData!$AJ$336),"",ReferenceData!$AJ$336),"")</f>
        <v/>
      </c>
      <c r="AK336" t="str">
        <f ca="1">IFERROR(IF(0=LEN(ReferenceData!$AK$336),"",ReferenceData!$AK$336),"")</f>
        <v/>
      </c>
      <c r="AL336" t="str">
        <f ca="1">IFERROR(IF(0=LEN(ReferenceData!$AL$336),"",ReferenceData!$AL$336),"")</f>
        <v/>
      </c>
      <c r="AM336" t="str">
        <f ca="1">IFERROR(IF(0=LEN(ReferenceData!$AM$336),"",ReferenceData!$AM$336),"")</f>
        <v/>
      </c>
      <c r="AN336" t="str">
        <f ca="1">IFERROR(IF(0=LEN(ReferenceData!$AN$336),"",ReferenceData!$AN$336),"")</f>
        <v/>
      </c>
      <c r="AO336" t="str">
        <f ca="1">IFERROR(IF(0=LEN(ReferenceData!$AO$336),"",ReferenceData!$AO$336),"")</f>
        <v/>
      </c>
      <c r="AP336" t="str">
        <f ca="1">IFERROR(IF(0=LEN(ReferenceData!$AP$336),"",ReferenceData!$AP$336),"")</f>
        <v/>
      </c>
      <c r="AQ336" t="str">
        <f ca="1">IFERROR(IF(0=LEN(ReferenceData!$AQ$336),"",ReferenceData!$AQ$336),"")</f>
        <v/>
      </c>
      <c r="AR336" t="str">
        <f ca="1">IFERROR(IF(0=LEN(ReferenceData!$AR$336),"",ReferenceData!$AR$336),"")</f>
        <v/>
      </c>
      <c r="AS336" t="str">
        <f ca="1">IFERROR(IF(0=LEN(ReferenceData!$AS$336),"",ReferenceData!$AS$336),"")</f>
        <v/>
      </c>
      <c r="AT336" t="str">
        <f ca="1">IFERROR(IF(0=LEN(ReferenceData!$AT$336),"",ReferenceData!$AT$336),"")</f>
        <v/>
      </c>
      <c r="AU336" t="str">
        <f ca="1">IFERROR(IF(0=LEN(ReferenceData!$AU$336),"",ReferenceData!$AU$336),"")</f>
        <v/>
      </c>
      <c r="AV336" t="str">
        <f ca="1">IFERROR(IF(0=LEN(ReferenceData!$AV$336),"",ReferenceData!$AV$336),"")</f>
        <v/>
      </c>
      <c r="AW336" t="str">
        <f ca="1">IFERROR(IF(0=LEN(ReferenceData!$AW$336),"",ReferenceData!$AW$336),"")</f>
        <v/>
      </c>
      <c r="AX336" t="str">
        <f ca="1">IFERROR(IF(0=LEN(ReferenceData!$AX$336),"",ReferenceData!$AX$336),"")</f>
        <v/>
      </c>
      <c r="AY336" t="str">
        <f ca="1">IFERROR(IF(0=LEN(ReferenceData!$AY$336),"",ReferenceData!$AY$336),"")</f>
        <v/>
      </c>
      <c r="AZ336" t="str">
        <f ca="1">IFERROR(IF(0=LEN(ReferenceData!$AZ$336),"",ReferenceData!$AZ$336),"")</f>
        <v/>
      </c>
      <c r="BA336" t="str">
        <f ca="1">IFERROR(IF(0=LEN(ReferenceData!$BA$336),"",ReferenceData!$BA$336),"")</f>
        <v/>
      </c>
      <c r="BB336" t="str">
        <f ca="1">IFERROR(IF(0=LEN(ReferenceData!$BB$336),"",ReferenceData!$BB$336),"")</f>
        <v/>
      </c>
      <c r="BC336" t="str">
        <f ca="1">IFERROR(IF(0=LEN(ReferenceData!$BC$336),"",ReferenceData!$BC$336),"")</f>
        <v/>
      </c>
      <c r="BD336" t="str">
        <f ca="1">IFERROR(IF(0=LEN(ReferenceData!$BD$336),"",ReferenceData!$BD$336),"")</f>
        <v/>
      </c>
      <c r="BE336" t="str">
        <f ca="1">IFERROR(IF(0=LEN(ReferenceData!$BE$336),"",ReferenceData!$BE$336),"")</f>
        <v/>
      </c>
      <c r="BF336" t="str">
        <f ca="1">IFERROR(IF(0=LEN(ReferenceData!$BF$336),"",ReferenceData!$BF$336),"")</f>
        <v/>
      </c>
      <c r="BG336" t="str">
        <f ca="1">IFERROR(IF(0=LEN(ReferenceData!$BG$336),"",ReferenceData!$BG$336),"")</f>
        <v/>
      </c>
      <c r="BH336" t="str">
        <f ca="1">IFERROR(IF(0=LEN(ReferenceData!$BH$336),"",ReferenceData!$BH$336),"")</f>
        <v/>
      </c>
      <c r="BI336" t="str">
        <f ca="1">IFERROR(IF(0=LEN(ReferenceData!$BI$336),"",ReferenceData!$BI$336),"")</f>
        <v/>
      </c>
      <c r="BJ336" t="str">
        <f ca="1">IFERROR(IF(0=LEN(ReferenceData!$BJ$336),"",ReferenceData!$BJ$336),"")</f>
        <v/>
      </c>
      <c r="BK336" t="str">
        <f ca="1">IFERROR(IF(0=LEN(ReferenceData!$BK$336),"",ReferenceData!$BK$336),"")</f>
        <v/>
      </c>
      <c r="BL336" t="str">
        <f ca="1">IFERROR(IF(0=LEN(ReferenceData!$BL$336),"",ReferenceData!$BL$336),"")</f>
        <v/>
      </c>
      <c r="BM336" t="str">
        <f ca="1">IFERROR(IF(0=LEN(ReferenceData!$BM$336),"",ReferenceData!$BM$336),"")</f>
        <v/>
      </c>
    </row>
    <row r="337" spans="1:65" x14ac:dyDescent="0.25">
      <c r="A337" t="str">
        <f>IFERROR(IF(0=LEN(ReferenceData!$A$337),"",ReferenceData!$A$337),"")</f>
        <v xml:space="preserve">    Chongqing Changan Automobile Co Ltd</v>
      </c>
      <c r="B337" t="str">
        <f>IFERROR(IF(0=LEN(ReferenceData!$B$337),"",ReferenceData!$B$337),"")</f>
        <v>200625 CH Equity</v>
      </c>
      <c r="C337" t="str">
        <f>IFERROR(IF(0=LEN(ReferenceData!$C$337),"",ReferenceData!$C$337),"")</f>
        <v>RX530</v>
      </c>
      <c r="D337" t="str">
        <f>IFERROR(IF(0=LEN(ReferenceData!$D$337),"",ReferenceData!$D$337),"")</f>
        <v>T12M_DVDS_PAID</v>
      </c>
      <c r="E337" t="str">
        <f>IFERROR(IF(0=LEN(ReferenceData!$E$337),"",ReferenceData!$E$337),"")</f>
        <v>Dynamic</v>
      </c>
      <c r="F337" t="str">
        <f ca="1">IFERROR(IF(0=LEN(ReferenceData!$F$337),"",ReferenceData!$F$337),"")</f>
        <v/>
      </c>
      <c r="G337" t="str">
        <f ca="1">IFERROR(IF(0=LEN(ReferenceData!$G$337),"",ReferenceData!$G$337),"")</f>
        <v/>
      </c>
      <c r="H337" t="str">
        <f ca="1">IFERROR(IF(0=LEN(ReferenceData!$H$337),"",ReferenceData!$H$337),"")</f>
        <v/>
      </c>
      <c r="I337">
        <f ca="1">IFERROR(IF(0=LEN(ReferenceData!$I$337),"",ReferenceData!$I$337),"")</f>
        <v>0</v>
      </c>
      <c r="J337">
        <f ca="1">IFERROR(IF(0=LEN(ReferenceData!$J$337),"",ReferenceData!$J$337),"")</f>
        <v>-465.48903100000001</v>
      </c>
      <c r="K337">
        <f ca="1">IFERROR(IF(0=LEN(ReferenceData!$K$337),"",ReferenceData!$K$337),"")</f>
        <v>-456.27127430000002</v>
      </c>
      <c r="L337" t="str">
        <f ca="1">IFERROR(IF(0=LEN(ReferenceData!$L$337),"",ReferenceData!$L$337),"")</f>
        <v/>
      </c>
      <c r="M337" t="str">
        <f ca="1">IFERROR(IF(0=LEN(ReferenceData!$M$337),"",ReferenceData!$M$337),"")</f>
        <v/>
      </c>
      <c r="N337" t="str">
        <f ca="1">IFERROR(IF(0=LEN(ReferenceData!$N$337),"",ReferenceData!$N$337),"")</f>
        <v/>
      </c>
      <c r="O337" t="str">
        <f ca="1">IFERROR(IF(0=LEN(ReferenceData!$O$337),"",ReferenceData!$O$337),"")</f>
        <v/>
      </c>
      <c r="P337">
        <f ca="1">IFERROR(IF(0=LEN(ReferenceData!$P$337),"",ReferenceData!$P$337),"")</f>
        <v>-461.11993059999998</v>
      </c>
      <c r="Q337">
        <f ca="1">IFERROR(IF(0=LEN(ReferenceData!$Q$337),"",ReferenceData!$Q$337),"")</f>
        <v>-464.01537889999997</v>
      </c>
      <c r="R337">
        <f ca="1">IFERROR(IF(0=LEN(ReferenceData!$R$337),"",ReferenceData!$R$337),"")</f>
        <v>-183.8993906</v>
      </c>
      <c r="S337">
        <f ca="1">IFERROR(IF(0=LEN(ReferenceData!$S$337),"",ReferenceData!$S$337),"")</f>
        <v>-186.05490979999999</v>
      </c>
      <c r="T337" t="str">
        <f ca="1">IFERROR(IF(0=LEN(ReferenceData!$T$337),"",ReferenceData!$T$337),"")</f>
        <v/>
      </c>
      <c r="U337" t="str">
        <f ca="1">IFERROR(IF(0=LEN(ReferenceData!$U$337),"",ReferenceData!$U$337),"")</f>
        <v/>
      </c>
      <c r="V337" t="str">
        <f ca="1">IFERROR(IF(0=LEN(ReferenceData!$V$337),"",ReferenceData!$V$337),"")</f>
        <v/>
      </c>
      <c r="W337" t="str">
        <f ca="1">IFERROR(IF(0=LEN(ReferenceData!$W$337),"",ReferenceData!$W$337),"")</f>
        <v/>
      </c>
      <c r="X337">
        <f ca="1">IFERROR(IF(0=LEN(ReferenceData!$X$337),"",ReferenceData!$X$337),"")</f>
        <v>-76.737157830000001</v>
      </c>
      <c r="Y337" t="str">
        <f ca="1">IFERROR(IF(0=LEN(ReferenceData!$Y$337),"",ReferenceData!$Y$337),"")</f>
        <v/>
      </c>
      <c r="Z337" t="str">
        <f ca="1">IFERROR(IF(0=LEN(ReferenceData!$Z$337),"",ReferenceData!$Z$337),"")</f>
        <v/>
      </c>
      <c r="AA337" t="str">
        <f ca="1">IFERROR(IF(0=LEN(ReferenceData!$AA$337),"",ReferenceData!$AA$337),"")</f>
        <v/>
      </c>
      <c r="AB337" t="str">
        <f ca="1">IFERROR(IF(0=LEN(ReferenceData!$AB$337),"",ReferenceData!$AB$337),"")</f>
        <v/>
      </c>
      <c r="AC337">
        <f ca="1">IFERROR(IF(0=LEN(ReferenceData!$AC$337),"",ReferenceData!$AC$337),"")</f>
        <v>-66.538529080000004</v>
      </c>
      <c r="AD337">
        <f ca="1">IFERROR(IF(0=LEN(ReferenceData!$AD$337),"",ReferenceData!$AD$337),"")</f>
        <v>-29.69047046</v>
      </c>
      <c r="AE337">
        <f ca="1">IFERROR(IF(0=LEN(ReferenceData!$AE$337),"",ReferenceData!$AE$337),"")</f>
        <v>-29.591130020000001</v>
      </c>
      <c r="AF337" t="str">
        <f ca="1">IFERROR(IF(0=LEN(ReferenceData!$AF$337),"",ReferenceData!$AF$337),"")</f>
        <v/>
      </c>
      <c r="AG337" t="str">
        <f ca="1">IFERROR(IF(0=LEN(ReferenceData!$AG$337),"",ReferenceData!$AG$337),"")</f>
        <v/>
      </c>
      <c r="AH337" t="str">
        <f ca="1">IFERROR(IF(0=LEN(ReferenceData!$AH$337),"",ReferenceData!$AH$337),"")</f>
        <v/>
      </c>
      <c r="AI337" t="str">
        <f ca="1">IFERROR(IF(0=LEN(ReferenceData!$AI$337),"",ReferenceData!$AI$337),"")</f>
        <v/>
      </c>
      <c r="AJ337" t="str">
        <f ca="1">IFERROR(IF(0=LEN(ReferenceData!$AJ$337),"",ReferenceData!$AJ$337),"")</f>
        <v/>
      </c>
      <c r="AK337" t="str">
        <f ca="1">IFERROR(IF(0=LEN(ReferenceData!$AK$337),"",ReferenceData!$AK$337),"")</f>
        <v/>
      </c>
      <c r="AL337" t="str">
        <f ca="1">IFERROR(IF(0=LEN(ReferenceData!$AL$337),"",ReferenceData!$AL$337),"")</f>
        <v/>
      </c>
      <c r="AM337" t="str">
        <f ca="1">IFERROR(IF(0=LEN(ReferenceData!$AM$337),"",ReferenceData!$AM$337),"")</f>
        <v/>
      </c>
      <c r="AN337">
        <f ca="1">IFERROR(IF(0=LEN(ReferenceData!$AN$337),"",ReferenceData!$AN$337),"")</f>
        <v>-27.99235814</v>
      </c>
      <c r="AO337">
        <f ca="1">IFERROR(IF(0=LEN(ReferenceData!$AO$337),"",ReferenceData!$AO$337),"")</f>
        <v>-27.34890687</v>
      </c>
      <c r="AP337">
        <f ca="1">IFERROR(IF(0=LEN(ReferenceData!$AP$337),"",ReferenceData!$AP$337),"")</f>
        <v>-11.93727239</v>
      </c>
      <c r="AQ337">
        <f ca="1">IFERROR(IF(0=LEN(ReferenceData!$AQ$337),"",ReferenceData!$AQ$337),"")</f>
        <v>-11.932567580000001</v>
      </c>
      <c r="AR337">
        <f ca="1">IFERROR(IF(0=LEN(ReferenceData!$AR$337),"",ReferenceData!$AR$337),"")</f>
        <v>-6.1473830200000004</v>
      </c>
      <c r="AS337">
        <f ca="1">IFERROR(IF(0=LEN(ReferenceData!$AS$337),"",ReferenceData!$AS$337),"")</f>
        <v>-6.144349601</v>
      </c>
      <c r="AT337" t="str">
        <f ca="1">IFERROR(IF(0=LEN(ReferenceData!$AT$337),"",ReferenceData!$AT$337),"")</f>
        <v/>
      </c>
      <c r="AU337" t="str">
        <f ca="1">IFERROR(IF(0=LEN(ReferenceData!$AU$337),"",ReferenceData!$AU$337),"")</f>
        <v/>
      </c>
      <c r="AV337" t="str">
        <f ca="1">IFERROR(IF(0=LEN(ReferenceData!$AV$337),"",ReferenceData!$AV$337),"")</f>
        <v/>
      </c>
      <c r="AW337" t="str">
        <f ca="1">IFERROR(IF(0=LEN(ReferenceData!$AW$337),"",ReferenceData!$AW$337),"")</f>
        <v/>
      </c>
      <c r="AX337">
        <f ca="1">IFERROR(IF(0=LEN(ReferenceData!$AX$337),"",ReferenceData!$AX$337),"")</f>
        <v>-20.432841849999999</v>
      </c>
      <c r="AY337" t="str">
        <f ca="1">IFERROR(IF(0=LEN(ReferenceData!$AY$337),"",ReferenceData!$AY$337),"")</f>
        <v/>
      </c>
      <c r="AZ337" t="str">
        <f ca="1">IFERROR(IF(0=LEN(ReferenceData!$AZ$337),"",ReferenceData!$AZ$337),"")</f>
        <v/>
      </c>
      <c r="BA337" t="str">
        <f ca="1">IFERROR(IF(0=LEN(ReferenceData!$BA$337),"",ReferenceData!$BA$337),"")</f>
        <v/>
      </c>
      <c r="BB337" t="str">
        <f ca="1">IFERROR(IF(0=LEN(ReferenceData!$BB$337),"",ReferenceData!$BB$337),"")</f>
        <v/>
      </c>
      <c r="BC337" t="str">
        <f ca="1">IFERROR(IF(0=LEN(ReferenceData!$BC$337),"",ReferenceData!$BC$337),"")</f>
        <v/>
      </c>
      <c r="BD337" t="str">
        <f ca="1">IFERROR(IF(0=LEN(ReferenceData!$BD$337),"",ReferenceData!$BD$337),"")</f>
        <v/>
      </c>
      <c r="BE337" t="str">
        <f ca="1">IFERROR(IF(0=LEN(ReferenceData!$BE$337),"",ReferenceData!$BE$337),"")</f>
        <v/>
      </c>
      <c r="BF337" t="str">
        <f ca="1">IFERROR(IF(0=LEN(ReferenceData!$BF$337),"",ReferenceData!$BF$337),"")</f>
        <v/>
      </c>
      <c r="BG337" t="str">
        <f ca="1">IFERROR(IF(0=LEN(ReferenceData!$BG$337),"",ReferenceData!$BG$337),"")</f>
        <v/>
      </c>
      <c r="BH337" t="str">
        <f ca="1">IFERROR(IF(0=LEN(ReferenceData!$BH$337),"",ReferenceData!$BH$337),"")</f>
        <v/>
      </c>
      <c r="BI337" t="str">
        <f ca="1">IFERROR(IF(0=LEN(ReferenceData!$BI$337),"",ReferenceData!$BI$337),"")</f>
        <v/>
      </c>
      <c r="BJ337" t="str">
        <f ca="1">IFERROR(IF(0=LEN(ReferenceData!$BJ$337),"",ReferenceData!$BJ$337),"")</f>
        <v/>
      </c>
      <c r="BK337" t="str">
        <f ca="1">IFERROR(IF(0=LEN(ReferenceData!$BK$337),"",ReferenceData!$BK$337),"")</f>
        <v/>
      </c>
      <c r="BL337" t="str">
        <f ca="1">IFERROR(IF(0=LEN(ReferenceData!$BL$337),"",ReferenceData!$BL$337),"")</f>
        <v/>
      </c>
      <c r="BM337" t="str">
        <f ca="1">IFERROR(IF(0=LEN(ReferenceData!$BM$337),"",ReferenceData!$BM$337),"")</f>
        <v/>
      </c>
    </row>
    <row r="338" spans="1:65" x14ac:dyDescent="0.25">
      <c r="A338" t="str">
        <f>IFERROR(IF(0=LEN(ReferenceData!$A$338),"",ReferenceData!$A$338),"")</f>
        <v xml:space="preserve">    Daihatsu Motor Co Ltd</v>
      </c>
      <c r="B338" t="str">
        <f>IFERROR(IF(0=LEN(ReferenceData!$B$338),"",ReferenceData!$B$338),"")</f>
        <v>7262 JP Equity</v>
      </c>
      <c r="C338" t="str">
        <f>IFERROR(IF(0=LEN(ReferenceData!$C$338),"",ReferenceData!$C$338),"")</f>
        <v>RX530</v>
      </c>
      <c r="D338" t="str">
        <f>IFERROR(IF(0=LEN(ReferenceData!$D$338),"",ReferenceData!$D$338),"")</f>
        <v>T12M_DVDS_PAID</v>
      </c>
      <c r="E338" t="str">
        <f>IFERROR(IF(0=LEN(ReferenceData!$E$338),"",ReferenceData!$E$338),"")</f>
        <v>Dynamic</v>
      </c>
      <c r="F338" t="str">
        <f ca="1">IFERROR(IF(0=LEN(ReferenceData!$F$338),"",ReferenceData!$F$338),"")</f>
        <v/>
      </c>
      <c r="G338" t="str">
        <f ca="1">IFERROR(IF(0=LEN(ReferenceData!$G$338),"",ReferenceData!$G$338),"")</f>
        <v/>
      </c>
      <c r="H338" t="str">
        <f ca="1">IFERROR(IF(0=LEN(ReferenceData!$H$338),"",ReferenceData!$H$338),"")</f>
        <v/>
      </c>
      <c r="I338" t="str">
        <f ca="1">IFERROR(IF(0=LEN(ReferenceData!$I$338),"",ReferenceData!$I$338),"")</f>
        <v/>
      </c>
      <c r="J338" t="str">
        <f ca="1">IFERROR(IF(0=LEN(ReferenceData!$J$338),"",ReferenceData!$J$338),"")</f>
        <v/>
      </c>
      <c r="K338" t="str">
        <f ca="1">IFERROR(IF(0=LEN(ReferenceData!$K$338),"",ReferenceData!$K$338),"")</f>
        <v/>
      </c>
      <c r="L338" t="str">
        <f ca="1">IFERROR(IF(0=LEN(ReferenceData!$L$338),"",ReferenceData!$L$338),"")</f>
        <v/>
      </c>
      <c r="M338" t="str">
        <f ca="1">IFERROR(IF(0=LEN(ReferenceData!$M$338),"",ReferenceData!$M$338),"")</f>
        <v/>
      </c>
      <c r="N338" t="str">
        <f ca="1">IFERROR(IF(0=LEN(ReferenceData!$N$338),"",ReferenceData!$N$338),"")</f>
        <v/>
      </c>
      <c r="O338" t="str">
        <f ca="1">IFERROR(IF(0=LEN(ReferenceData!$O$338),"",ReferenceData!$O$338),"")</f>
        <v/>
      </c>
      <c r="P338" t="str">
        <f ca="1">IFERROR(IF(0=LEN(ReferenceData!$P$338),"",ReferenceData!$P$338),"")</f>
        <v/>
      </c>
      <c r="Q338" t="str">
        <f ca="1">IFERROR(IF(0=LEN(ReferenceData!$Q$338),"",ReferenceData!$Q$338),"")</f>
        <v/>
      </c>
      <c r="R338" t="str">
        <f ca="1">IFERROR(IF(0=LEN(ReferenceData!$R$338),"",ReferenceData!$R$338),"")</f>
        <v/>
      </c>
      <c r="S338" t="str">
        <f ca="1">IFERROR(IF(0=LEN(ReferenceData!$S$338),"",ReferenceData!$S$338),"")</f>
        <v/>
      </c>
      <c r="T338" t="str">
        <f ca="1">IFERROR(IF(0=LEN(ReferenceData!$T$338),"",ReferenceData!$T$338),"")</f>
        <v/>
      </c>
      <c r="U338" t="str">
        <f ca="1">IFERROR(IF(0=LEN(ReferenceData!$U$338),"",ReferenceData!$U$338),"")</f>
        <v/>
      </c>
      <c r="V338" t="str">
        <f ca="1">IFERROR(IF(0=LEN(ReferenceData!$V$338),"",ReferenceData!$V$338),"")</f>
        <v/>
      </c>
      <c r="W338" t="str">
        <f ca="1">IFERROR(IF(0=LEN(ReferenceData!$W$338),"",ReferenceData!$W$338),"")</f>
        <v/>
      </c>
      <c r="X338" t="str">
        <f ca="1">IFERROR(IF(0=LEN(ReferenceData!$X$338),"",ReferenceData!$X$338),"")</f>
        <v/>
      </c>
      <c r="Y338" t="str">
        <f ca="1">IFERROR(IF(0=LEN(ReferenceData!$Y$338),"",ReferenceData!$Y$338),"")</f>
        <v/>
      </c>
      <c r="Z338" t="str">
        <f ca="1">IFERROR(IF(0=LEN(ReferenceData!$Z$338),"",ReferenceData!$Z$338),"")</f>
        <v/>
      </c>
      <c r="AA338" t="str">
        <f ca="1">IFERROR(IF(0=LEN(ReferenceData!$AA$338),"",ReferenceData!$AA$338),"")</f>
        <v/>
      </c>
      <c r="AB338" t="str">
        <f ca="1">IFERROR(IF(0=LEN(ReferenceData!$AB$338),"",ReferenceData!$AB$338),"")</f>
        <v/>
      </c>
      <c r="AC338" t="str">
        <f ca="1">IFERROR(IF(0=LEN(ReferenceData!$AC$338),"",ReferenceData!$AC$338),"")</f>
        <v/>
      </c>
      <c r="AD338" t="str">
        <f ca="1">IFERROR(IF(0=LEN(ReferenceData!$AD$338),"",ReferenceData!$AD$338),"")</f>
        <v/>
      </c>
      <c r="AE338" t="str">
        <f ca="1">IFERROR(IF(0=LEN(ReferenceData!$AE$338),"",ReferenceData!$AE$338),"")</f>
        <v/>
      </c>
      <c r="AF338" t="str">
        <f ca="1">IFERROR(IF(0=LEN(ReferenceData!$AF$338),"",ReferenceData!$AF$338),"")</f>
        <v/>
      </c>
      <c r="AG338" t="str">
        <f ca="1">IFERROR(IF(0=LEN(ReferenceData!$AG$338),"",ReferenceData!$AG$338),"")</f>
        <v/>
      </c>
      <c r="AH338" t="str">
        <f ca="1">IFERROR(IF(0=LEN(ReferenceData!$AH$338),"",ReferenceData!$AH$338),"")</f>
        <v/>
      </c>
      <c r="AI338" t="str">
        <f ca="1">IFERROR(IF(0=LEN(ReferenceData!$AI$338),"",ReferenceData!$AI$338),"")</f>
        <v/>
      </c>
      <c r="AJ338" t="str">
        <f ca="1">IFERROR(IF(0=LEN(ReferenceData!$AJ$338),"",ReferenceData!$AJ$338),"")</f>
        <v/>
      </c>
      <c r="AK338" t="str">
        <f ca="1">IFERROR(IF(0=LEN(ReferenceData!$AK$338),"",ReferenceData!$AK$338),"")</f>
        <v/>
      </c>
      <c r="AL338">
        <f ca="1">IFERROR(IF(0=LEN(ReferenceData!$AL$338),"",ReferenceData!$AL$338),"")</f>
        <v>-84.834108979999996</v>
      </c>
      <c r="AM338">
        <f ca="1">IFERROR(IF(0=LEN(ReferenceData!$AM$338),"",ReferenceData!$AM$338),"")</f>
        <v>-82.821503890000002</v>
      </c>
      <c r="AN338">
        <f ca="1">IFERROR(IF(0=LEN(ReferenceData!$AN$338),"",ReferenceData!$AN$338),"")</f>
        <v>-57.193682039999999</v>
      </c>
      <c r="AO338">
        <f ca="1">IFERROR(IF(0=LEN(ReferenceData!$AO$338),"",ReferenceData!$AO$338),"")</f>
        <v>-55.933360149999999</v>
      </c>
      <c r="AP338">
        <f ca="1">IFERROR(IF(0=LEN(ReferenceData!$AP$338),"",ReferenceData!$AP$338),"")</f>
        <v>-45.988637509999997</v>
      </c>
      <c r="AQ338">
        <f ca="1">IFERROR(IF(0=LEN(ReferenceData!$AQ$338),"",ReferenceData!$AQ$338),"")</f>
        <v>-45.635664970000001</v>
      </c>
      <c r="AR338">
        <f ca="1">IFERROR(IF(0=LEN(ReferenceData!$AR$338),"",ReferenceData!$AR$338),"")</f>
        <v>-53.86093632</v>
      </c>
      <c r="AS338">
        <f ca="1">IFERROR(IF(0=LEN(ReferenceData!$AS$338),"",ReferenceData!$AS$338),"")</f>
        <v>-52.048523580000001</v>
      </c>
      <c r="AT338">
        <f ca="1">IFERROR(IF(0=LEN(ReferenceData!$AT$338),"",ReferenceData!$AT$338),"")</f>
        <v>-72.460575890000001</v>
      </c>
      <c r="AU338">
        <f ca="1">IFERROR(IF(0=LEN(ReferenceData!$AU$338),"",ReferenceData!$AU$338),"")</f>
        <v>-70.347405190000003</v>
      </c>
      <c r="AV338">
        <f ca="1">IFERROR(IF(0=LEN(ReferenceData!$AV$338),"",ReferenceData!$AV$338),"")</f>
        <v>-67.465068709999997</v>
      </c>
      <c r="AW338">
        <f ca="1">IFERROR(IF(0=LEN(ReferenceData!$AW$338),"",ReferenceData!$AW$338),"")</f>
        <v>-66.017075660000003</v>
      </c>
      <c r="AX338">
        <f ca="1">IFERROR(IF(0=LEN(ReferenceData!$AX$338),"",ReferenceData!$AX$338),"")</f>
        <v>-59.976834770000004</v>
      </c>
      <c r="AY338">
        <f ca="1">IFERROR(IF(0=LEN(ReferenceData!$AY$338),"",ReferenceData!$AY$338),"")</f>
        <v>-58.060699730000003</v>
      </c>
      <c r="AZ338">
        <f ca="1">IFERROR(IF(0=LEN(ReferenceData!$AZ$338),"",ReferenceData!$AZ$338),"")</f>
        <v>-53.864740400000002</v>
      </c>
      <c r="BA338">
        <f ca="1">IFERROR(IF(0=LEN(ReferenceData!$BA$338),"",ReferenceData!$BA$338),"")</f>
        <v>-54.034948350000001</v>
      </c>
      <c r="BB338">
        <f ca="1">IFERROR(IF(0=LEN(ReferenceData!$BB$338),"",ReferenceData!$BB$338),"")</f>
        <v>-47.488517729999998</v>
      </c>
      <c r="BC338">
        <f ca="1">IFERROR(IF(0=LEN(ReferenceData!$BC$338),"",ReferenceData!$BC$338),"")</f>
        <v>-47.734161589999999</v>
      </c>
      <c r="BD338">
        <f ca="1">IFERROR(IF(0=LEN(ReferenceData!$BD$338),"",ReferenceData!$BD$338),"")</f>
        <v>-44.110679830000002</v>
      </c>
      <c r="BE338">
        <f ca="1">IFERROR(IF(0=LEN(ReferenceData!$BE$338),"",ReferenceData!$BE$338),"")</f>
        <v>-44.616209339999997</v>
      </c>
      <c r="BF338">
        <f ca="1">IFERROR(IF(0=LEN(ReferenceData!$BF$338),"",ReferenceData!$BF$338),"")</f>
        <v>-41.54314866</v>
      </c>
      <c r="BG338" t="str">
        <f ca="1">IFERROR(IF(0=LEN(ReferenceData!$BG$338),"",ReferenceData!$BG$338),"")</f>
        <v/>
      </c>
      <c r="BH338" t="str">
        <f ca="1">IFERROR(IF(0=LEN(ReferenceData!$BH$338),"",ReferenceData!$BH$338),"")</f>
        <v/>
      </c>
      <c r="BI338" t="str">
        <f ca="1">IFERROR(IF(0=LEN(ReferenceData!$BI$338),"",ReferenceData!$BI$338),"")</f>
        <v/>
      </c>
      <c r="BJ338" t="str">
        <f ca="1">IFERROR(IF(0=LEN(ReferenceData!$BJ$338),"",ReferenceData!$BJ$338),"")</f>
        <v/>
      </c>
      <c r="BK338" t="str">
        <f ca="1">IFERROR(IF(0=LEN(ReferenceData!$BK$338),"",ReferenceData!$BK$338),"")</f>
        <v/>
      </c>
      <c r="BL338" t="str">
        <f ca="1">IFERROR(IF(0=LEN(ReferenceData!$BL$338),"",ReferenceData!$BL$338),"")</f>
        <v/>
      </c>
      <c r="BM338" t="str">
        <f ca="1">IFERROR(IF(0=LEN(ReferenceData!$BM$338),"",ReferenceData!$BM$338),"")</f>
        <v/>
      </c>
    </row>
    <row r="339" spans="1:65" x14ac:dyDescent="0.25">
      <c r="A339" t="str">
        <f>IFERROR(IF(0=LEN(ReferenceData!$A$339),"",ReferenceData!$A$339),"")</f>
        <v xml:space="preserve">    Daimler AG</v>
      </c>
      <c r="B339" t="str">
        <f>IFERROR(IF(0=LEN(ReferenceData!$B$339),"",ReferenceData!$B$339),"")</f>
        <v>DAI GR Equity</v>
      </c>
      <c r="C339" t="str">
        <f>IFERROR(IF(0=LEN(ReferenceData!$C$339),"",ReferenceData!$C$339),"")</f>
        <v>RX530</v>
      </c>
      <c r="D339" t="str">
        <f>IFERROR(IF(0=LEN(ReferenceData!$D$339),"",ReferenceData!$D$339),"")</f>
        <v>T12M_DVDS_PAID</v>
      </c>
      <c r="E339" t="str">
        <f>IFERROR(IF(0=LEN(ReferenceData!$E$339),"",ReferenceData!$E$339),"")</f>
        <v>Dynamic</v>
      </c>
      <c r="F339" t="str">
        <f ca="1">IFERROR(IF(0=LEN(ReferenceData!$F$339),"",ReferenceData!$F$339),"")</f>
        <v/>
      </c>
      <c r="G339">
        <f ca="1">IFERROR(IF(0=LEN(ReferenceData!$G$339),"",ReferenceData!$G$339),"")</f>
        <v>-4612.2904019999996</v>
      </c>
      <c r="H339">
        <f ca="1">IFERROR(IF(0=LEN(ReferenceData!$H$339),"",ReferenceData!$H$339),"")</f>
        <v>-4648.6713540000001</v>
      </c>
      <c r="I339">
        <f ca="1">IFERROR(IF(0=LEN(ReferenceData!$I$339),"",ReferenceData!$I$339),"")</f>
        <v>-4660.4395219999997</v>
      </c>
      <c r="J339">
        <f ca="1">IFERROR(IF(0=LEN(ReferenceData!$J$339),"",ReferenceData!$J$339),"")</f>
        <v>-4070.4071530000001</v>
      </c>
      <c r="K339">
        <f ca="1">IFERROR(IF(0=LEN(ReferenceData!$K$339),"",ReferenceData!$K$339),"")</f>
        <v>-3928.0409199999999</v>
      </c>
      <c r="L339">
        <f ca="1">IFERROR(IF(0=LEN(ReferenceData!$L$339),"",ReferenceData!$L$339),"")</f>
        <v>-3841.3214640000001</v>
      </c>
      <c r="M339">
        <f ca="1">IFERROR(IF(0=LEN(ReferenceData!$M$339),"",ReferenceData!$M$339),"")</f>
        <v>-3790.616141</v>
      </c>
      <c r="N339">
        <f ca="1">IFERROR(IF(0=LEN(ReferenceData!$N$339),"",ReferenceData!$N$339),"")</f>
        <v>-3815.3136319999999</v>
      </c>
      <c r="O339">
        <f ca="1">IFERROR(IF(0=LEN(ReferenceData!$O$339),"",ReferenceData!$O$339),"")</f>
        <v>-3848.4433140000001</v>
      </c>
      <c r="P339">
        <f ca="1">IFERROR(IF(0=LEN(ReferenceData!$P$339),"",ReferenceData!$P$339),"")</f>
        <v>-3863.1129540000002</v>
      </c>
      <c r="Q339">
        <f ca="1">IFERROR(IF(0=LEN(ReferenceData!$Q$339),"",ReferenceData!$Q$339),"")</f>
        <v>-3859.4130009999999</v>
      </c>
      <c r="R339">
        <f ca="1">IFERROR(IF(0=LEN(ReferenceData!$R$339),"",ReferenceData!$R$339),"")</f>
        <v>-2894.4973479999999</v>
      </c>
      <c r="S339">
        <f ca="1">IFERROR(IF(0=LEN(ReferenceData!$S$339),"",ReferenceData!$S$339),"")</f>
        <v>-2909.3116570000002</v>
      </c>
      <c r="T339">
        <f ca="1">IFERROR(IF(0=LEN(ReferenceData!$T$339),"",ReferenceData!$T$339),"")</f>
        <v>-3011.0938740000001</v>
      </c>
      <c r="U339">
        <f ca="1">IFERROR(IF(0=LEN(ReferenceData!$U$339),"",ReferenceData!$U$339),"")</f>
        <v>-3152.4822629999999</v>
      </c>
      <c r="V339">
        <f ca="1">IFERROR(IF(0=LEN(ReferenceData!$V$339),"",ReferenceData!$V$339),"")</f>
        <v>-3053.7003559999998</v>
      </c>
      <c r="W339">
        <f ca="1">IFERROR(IF(0=LEN(ReferenceData!$W$339),"",ReferenceData!$W$339),"")</f>
        <v>-3197.665332</v>
      </c>
      <c r="X339">
        <f ca="1">IFERROR(IF(0=LEN(ReferenceData!$X$339),"",ReferenceData!$X$339),"")</f>
        <v>-3266.3238999999999</v>
      </c>
      <c r="Y339">
        <f ca="1">IFERROR(IF(0=LEN(ReferenceData!$Y$339),"",ReferenceData!$Y$339),"")</f>
        <v>-3265.9425150000002</v>
      </c>
      <c r="Z339">
        <f ca="1">IFERROR(IF(0=LEN(ReferenceData!$Z$339),"",ReferenceData!$Z$339),"")</f>
        <v>-3149.0918999999999</v>
      </c>
      <c r="AA339">
        <f ca="1">IFERROR(IF(0=LEN(ReferenceData!$AA$339),"",ReferenceData!$AA$339),"")</f>
        <v>-3120.2035649999998</v>
      </c>
      <c r="AB339">
        <f ca="1">IFERROR(IF(0=LEN(ReferenceData!$AB$339),"",ReferenceData!$AB$339),"")</f>
        <v>-3082.1800499999999</v>
      </c>
      <c r="AC339">
        <f ca="1">IFERROR(IF(0=LEN(ReferenceData!$AC$339),"",ReferenceData!$AC$339),"")</f>
        <v>-3038.806482</v>
      </c>
      <c r="AD339">
        <f ca="1">IFERROR(IF(0=LEN(ReferenceData!$AD$339),"",ReferenceData!$AD$339),"")</f>
        <v>-3021.42301</v>
      </c>
      <c r="AE339">
        <f ca="1">IFERROR(IF(0=LEN(ReferenceData!$AE$339),"",ReferenceData!$AE$339),"")</f>
        <v>-3016.6535819999999</v>
      </c>
      <c r="AF339">
        <f ca="1">IFERROR(IF(0=LEN(ReferenceData!$AF$339),"",ReferenceData!$AF$339),"")</f>
        <v>-3045.863773</v>
      </c>
      <c r="AG339">
        <f ca="1">IFERROR(IF(0=LEN(ReferenceData!$AG$339),"",ReferenceData!$AG$339),"")</f>
        <v>-3141.373818</v>
      </c>
      <c r="AH339">
        <f ca="1">IFERROR(IF(0=LEN(ReferenceData!$AH$339),"",ReferenceData!$AH$339),"")</f>
        <v>-2715.9975979999999</v>
      </c>
      <c r="AI339">
        <f ca="1">IFERROR(IF(0=LEN(ReferenceData!$AI$339),"",ReferenceData!$AI$339),"")</f>
        <v>-2744.4246069999999</v>
      </c>
      <c r="AJ339">
        <f ca="1">IFERROR(IF(0=LEN(ReferenceData!$AJ$339),"",ReferenceData!$AJ$339),"")</f>
        <v>-2760.2480860000001</v>
      </c>
      <c r="AK339">
        <f ca="1">IFERROR(IF(0=LEN(ReferenceData!$AK$339),"",ReferenceData!$AK$339),"")</f>
        <v>-2704.2635059999998</v>
      </c>
      <c r="AL339">
        <f ca="1">IFERROR(IF(0=LEN(ReferenceData!$AL$339),"",ReferenceData!$AL$339),"")</f>
        <v>-93.932461380000007</v>
      </c>
      <c r="AM339">
        <f ca="1">IFERROR(IF(0=LEN(ReferenceData!$AM$339),"",ReferenceData!$AM$339),"")</f>
        <v>-123.3748351</v>
      </c>
      <c r="AN339">
        <f ca="1">IFERROR(IF(0=LEN(ReferenceData!$AN$339),"",ReferenceData!$AN$339),"")</f>
        <v>-164.14799500000001</v>
      </c>
      <c r="AO339">
        <f ca="1">IFERROR(IF(0=LEN(ReferenceData!$AO$339),"",ReferenceData!$AO$339),"")</f>
        <v>-182.28118470000001</v>
      </c>
      <c r="AP339">
        <f ca="1">IFERROR(IF(0=LEN(ReferenceData!$AP$339),"",ReferenceData!$AP$339),"")</f>
        <v>-938.74114299999997</v>
      </c>
      <c r="AQ339">
        <f ca="1">IFERROR(IF(0=LEN(ReferenceData!$AQ$339),"",ReferenceData!$AQ$339),"")</f>
        <v>-916.14490260000002</v>
      </c>
      <c r="AR339">
        <f ca="1">IFERROR(IF(0=LEN(ReferenceData!$AR$339),"",ReferenceData!$AR$339),"")</f>
        <v>-861.80525720000003</v>
      </c>
      <c r="AS339">
        <f ca="1">IFERROR(IF(0=LEN(ReferenceData!$AS$339),"",ReferenceData!$AS$339),"")</f>
        <v>-879.01012109999999</v>
      </c>
      <c r="AT339">
        <f ca="1">IFERROR(IF(0=LEN(ReferenceData!$AT$339),"",ReferenceData!$AT$339),"")</f>
        <v>-2894.786423</v>
      </c>
      <c r="AU339">
        <f ca="1">IFERROR(IF(0=LEN(ReferenceData!$AU$339),"",ReferenceData!$AU$339),"")</f>
        <v>-2971.1966050000001</v>
      </c>
      <c r="AV339">
        <f ca="1">IFERROR(IF(0=LEN(ReferenceData!$AV$339),"",ReferenceData!$AV$339),"")</f>
        <v>-3021.2630300000001</v>
      </c>
      <c r="AW339">
        <f ca="1">IFERROR(IF(0=LEN(ReferenceData!$AW$339),"",ReferenceData!$AW$339),"")</f>
        <v>-2933.276527</v>
      </c>
      <c r="AX339">
        <f ca="1">IFERROR(IF(0=LEN(ReferenceData!$AX$339),"",ReferenceData!$AX$339),"")</f>
        <v>-2237.1126429999999</v>
      </c>
      <c r="AY339">
        <f ca="1">IFERROR(IF(0=LEN(ReferenceData!$AY$339),"",ReferenceData!$AY$339),"")</f>
        <v>-2164.4906890000002</v>
      </c>
      <c r="AZ339">
        <f ca="1">IFERROR(IF(0=LEN(ReferenceData!$AZ$339),"",ReferenceData!$AZ$339),"")</f>
        <v>-2100.1414759999998</v>
      </c>
      <c r="BA339">
        <f ca="1">IFERROR(IF(0=LEN(ReferenceData!$BA$339),"",ReferenceData!$BA$339),"")</f>
        <v>-2060.6224090000001</v>
      </c>
      <c r="BB339">
        <f ca="1">IFERROR(IF(0=LEN(ReferenceData!$BB$339),"",ReferenceData!$BB$339),"")</f>
        <v>-1992.979922</v>
      </c>
      <c r="BC339">
        <f ca="1">IFERROR(IF(0=LEN(ReferenceData!$BC$339),"",ReferenceData!$BC$339),"")</f>
        <v>-1951.171161</v>
      </c>
      <c r="BD339">
        <f ca="1">IFERROR(IF(0=LEN(ReferenceData!$BD$339),"",ReferenceData!$BD$339),"")</f>
        <v>-1918.070369</v>
      </c>
      <c r="BE339">
        <f ca="1">IFERROR(IF(0=LEN(ReferenceData!$BE$339),"",ReferenceData!$BE$339),"")</f>
        <v>-1952.781043</v>
      </c>
      <c r="BF339">
        <f ca="1">IFERROR(IF(0=LEN(ReferenceData!$BF$339),"",ReferenceData!$BF$339),"")</f>
        <v>-1935.9902440000001</v>
      </c>
      <c r="BG339">
        <f ca="1">IFERROR(IF(0=LEN(ReferenceData!$BG$339),"",ReferenceData!$BG$339),"")</f>
        <v>-1979.54989</v>
      </c>
      <c r="BH339">
        <f ca="1">IFERROR(IF(0=LEN(ReferenceData!$BH$339),"",ReferenceData!$BH$339),"")</f>
        <v>-2047.459053</v>
      </c>
      <c r="BI339">
        <f ca="1">IFERROR(IF(0=LEN(ReferenceData!$BI$339),"",ReferenceData!$BI$339),"")</f>
        <v>-3947.2195299999998</v>
      </c>
      <c r="BJ339">
        <f ca="1">IFERROR(IF(0=LEN(ReferenceData!$BJ$339),"",ReferenceData!$BJ$339),"")</f>
        <v>-3889.3084170000002</v>
      </c>
      <c r="BK339">
        <f ca="1">IFERROR(IF(0=LEN(ReferenceData!$BK$339),"",ReferenceData!$BK$339),"")</f>
        <v>-3839.6536150000002</v>
      </c>
      <c r="BL339">
        <f ca="1">IFERROR(IF(0=LEN(ReferenceData!$BL$339),"",ReferenceData!$BL$339),"")</f>
        <v>-3744.5674260000001</v>
      </c>
      <c r="BM339">
        <f ca="1">IFERROR(IF(0=LEN(ReferenceData!$BM$339),"",ReferenceData!$BM$339),"")</f>
        <v>-3665.331005</v>
      </c>
    </row>
    <row r="340" spans="1:65" x14ac:dyDescent="0.25">
      <c r="A340" t="str">
        <f>IFERROR(IF(0=LEN(ReferenceData!$A$340),"",ReferenceData!$A$340),"")</f>
        <v xml:space="preserve">    Dongfeng Motor Group Co Ltd</v>
      </c>
      <c r="B340" t="str">
        <f>IFERROR(IF(0=LEN(ReferenceData!$B$340),"",ReferenceData!$B$340),"")</f>
        <v>489 HK Equity</v>
      </c>
      <c r="C340" t="str">
        <f>IFERROR(IF(0=LEN(ReferenceData!$C$340),"",ReferenceData!$C$340),"")</f>
        <v>RX530</v>
      </c>
      <c r="D340" t="str">
        <f>IFERROR(IF(0=LEN(ReferenceData!$D$340),"",ReferenceData!$D$340),"")</f>
        <v>T12M_DVDS_PAID</v>
      </c>
      <c r="E340" t="str">
        <f>IFERROR(IF(0=LEN(ReferenceData!$E$340),"",ReferenceData!$E$340),"")</f>
        <v>Dynamic</v>
      </c>
      <c r="F340" t="str">
        <f ca="1">IFERROR(IF(0=LEN(ReferenceData!$F$340),"",ReferenceData!$F$340),"")</f>
        <v/>
      </c>
      <c r="G340" t="str">
        <f ca="1">IFERROR(IF(0=LEN(ReferenceData!$G$340),"",ReferenceData!$G$340),"")</f>
        <v/>
      </c>
      <c r="H340" t="str">
        <f ca="1">IFERROR(IF(0=LEN(ReferenceData!$H$340),"",ReferenceData!$H$340),"")</f>
        <v/>
      </c>
      <c r="I340" t="str">
        <f ca="1">IFERROR(IF(0=LEN(ReferenceData!$I$340),"",ReferenceData!$I$340),"")</f>
        <v/>
      </c>
      <c r="J340" t="str">
        <f ca="1">IFERROR(IF(0=LEN(ReferenceData!$J$340),"",ReferenceData!$J$340),"")</f>
        <v/>
      </c>
      <c r="K340" t="str">
        <f ca="1">IFERROR(IF(0=LEN(ReferenceData!$K$340),"",ReferenceData!$K$340),"")</f>
        <v/>
      </c>
      <c r="L340" t="str">
        <f ca="1">IFERROR(IF(0=LEN(ReferenceData!$L$340),"",ReferenceData!$L$340),"")</f>
        <v/>
      </c>
      <c r="M340" t="str">
        <f ca="1">IFERROR(IF(0=LEN(ReferenceData!$M$340),"",ReferenceData!$M$340),"")</f>
        <v/>
      </c>
      <c r="N340" t="str">
        <f ca="1">IFERROR(IF(0=LEN(ReferenceData!$N$340),"",ReferenceData!$N$340),"")</f>
        <v/>
      </c>
      <c r="O340" t="str">
        <f ca="1">IFERROR(IF(0=LEN(ReferenceData!$O$340),"",ReferenceData!$O$340),"")</f>
        <v/>
      </c>
      <c r="P340" t="str">
        <f ca="1">IFERROR(IF(0=LEN(ReferenceData!$P$340),"",ReferenceData!$P$340),"")</f>
        <v/>
      </c>
      <c r="Q340" t="str">
        <f ca="1">IFERROR(IF(0=LEN(ReferenceData!$Q$340),"",ReferenceData!$Q$340),"")</f>
        <v/>
      </c>
      <c r="R340" t="str">
        <f ca="1">IFERROR(IF(0=LEN(ReferenceData!$R$340),"",ReferenceData!$R$340),"")</f>
        <v/>
      </c>
      <c r="S340" t="str">
        <f ca="1">IFERROR(IF(0=LEN(ReferenceData!$S$340),"",ReferenceData!$S$340),"")</f>
        <v/>
      </c>
      <c r="T340" t="str">
        <f ca="1">IFERROR(IF(0=LEN(ReferenceData!$T$340),"",ReferenceData!$T$340),"")</f>
        <v/>
      </c>
      <c r="U340" t="str">
        <f ca="1">IFERROR(IF(0=LEN(ReferenceData!$U$340),"",ReferenceData!$U$340),"")</f>
        <v/>
      </c>
      <c r="V340" t="str">
        <f ca="1">IFERROR(IF(0=LEN(ReferenceData!$V$340),"",ReferenceData!$V$340),"")</f>
        <v/>
      </c>
      <c r="W340" t="str">
        <f ca="1">IFERROR(IF(0=LEN(ReferenceData!$W$340),"",ReferenceData!$W$340),"")</f>
        <v/>
      </c>
      <c r="X340" t="str">
        <f ca="1">IFERROR(IF(0=LEN(ReferenceData!$X$340),"",ReferenceData!$X$340),"")</f>
        <v/>
      </c>
      <c r="Y340" t="str">
        <f ca="1">IFERROR(IF(0=LEN(ReferenceData!$Y$340),"",ReferenceData!$Y$340),"")</f>
        <v/>
      </c>
      <c r="Z340" t="str">
        <f ca="1">IFERROR(IF(0=LEN(ReferenceData!$Z$340),"",ReferenceData!$Z$340),"")</f>
        <v/>
      </c>
      <c r="AA340" t="str">
        <f ca="1">IFERROR(IF(0=LEN(ReferenceData!$AA$340),"",ReferenceData!$AA$340),"")</f>
        <v/>
      </c>
      <c r="AB340" t="str">
        <f ca="1">IFERROR(IF(0=LEN(ReferenceData!$AB$340),"",ReferenceData!$AB$340),"")</f>
        <v/>
      </c>
      <c r="AC340" t="str">
        <f ca="1">IFERROR(IF(0=LEN(ReferenceData!$AC$340),"",ReferenceData!$AC$340),"")</f>
        <v/>
      </c>
      <c r="AD340" t="str">
        <f ca="1">IFERROR(IF(0=LEN(ReferenceData!$AD$340),"",ReferenceData!$AD$340),"")</f>
        <v/>
      </c>
      <c r="AE340" t="str">
        <f ca="1">IFERROR(IF(0=LEN(ReferenceData!$AE$340),"",ReferenceData!$AE$340),"")</f>
        <v/>
      </c>
      <c r="AF340" t="str">
        <f ca="1">IFERROR(IF(0=LEN(ReferenceData!$AF$340),"",ReferenceData!$AF$340),"")</f>
        <v/>
      </c>
      <c r="AG340" t="str">
        <f ca="1">IFERROR(IF(0=LEN(ReferenceData!$AG$340),"",ReferenceData!$AG$340),"")</f>
        <v/>
      </c>
      <c r="AH340" t="str">
        <f ca="1">IFERROR(IF(0=LEN(ReferenceData!$AH$340),"",ReferenceData!$AH$340),"")</f>
        <v/>
      </c>
      <c r="AI340" t="str">
        <f ca="1">IFERROR(IF(0=LEN(ReferenceData!$AI$340),"",ReferenceData!$AI$340),"")</f>
        <v/>
      </c>
      <c r="AJ340" t="str">
        <f ca="1">IFERROR(IF(0=LEN(ReferenceData!$AJ$340),"",ReferenceData!$AJ$340),"")</f>
        <v/>
      </c>
      <c r="AK340" t="str">
        <f ca="1">IFERROR(IF(0=LEN(ReferenceData!$AK$340),"",ReferenceData!$AK$340),"")</f>
        <v/>
      </c>
      <c r="AL340" t="str">
        <f ca="1">IFERROR(IF(0=LEN(ReferenceData!$AL$340),"",ReferenceData!$AL$340),"")</f>
        <v/>
      </c>
      <c r="AM340" t="str">
        <f ca="1">IFERROR(IF(0=LEN(ReferenceData!$AM$340),"",ReferenceData!$AM$340),"")</f>
        <v/>
      </c>
      <c r="AN340" t="str">
        <f ca="1">IFERROR(IF(0=LEN(ReferenceData!$AN$340),"",ReferenceData!$AN$340),"")</f>
        <v/>
      </c>
      <c r="AO340" t="str">
        <f ca="1">IFERROR(IF(0=LEN(ReferenceData!$AO$340),"",ReferenceData!$AO$340),"")</f>
        <v/>
      </c>
      <c r="AP340" t="str">
        <f ca="1">IFERROR(IF(0=LEN(ReferenceData!$AP$340),"",ReferenceData!$AP$340),"")</f>
        <v/>
      </c>
      <c r="AQ340" t="str">
        <f ca="1">IFERROR(IF(0=LEN(ReferenceData!$AQ$340),"",ReferenceData!$AQ$340),"")</f>
        <v/>
      </c>
      <c r="AR340" t="str">
        <f ca="1">IFERROR(IF(0=LEN(ReferenceData!$AR$340),"",ReferenceData!$AR$340),"")</f>
        <v/>
      </c>
      <c r="AS340" t="str">
        <f ca="1">IFERROR(IF(0=LEN(ReferenceData!$AS$340),"",ReferenceData!$AS$340),"")</f>
        <v/>
      </c>
      <c r="AT340" t="str">
        <f ca="1">IFERROR(IF(0=LEN(ReferenceData!$AT$340),"",ReferenceData!$AT$340),"")</f>
        <v/>
      </c>
      <c r="AU340" t="str">
        <f ca="1">IFERROR(IF(0=LEN(ReferenceData!$AU$340),"",ReferenceData!$AU$340),"")</f>
        <v/>
      </c>
      <c r="AV340" t="str">
        <f ca="1">IFERROR(IF(0=LEN(ReferenceData!$AV$340),"",ReferenceData!$AV$340),"")</f>
        <v/>
      </c>
      <c r="AW340" t="str">
        <f ca="1">IFERROR(IF(0=LEN(ReferenceData!$AW$340),"",ReferenceData!$AW$340),"")</f>
        <v/>
      </c>
      <c r="AX340" t="str">
        <f ca="1">IFERROR(IF(0=LEN(ReferenceData!$AX$340),"",ReferenceData!$AX$340),"")</f>
        <v/>
      </c>
      <c r="AY340" t="str">
        <f ca="1">IFERROR(IF(0=LEN(ReferenceData!$AY$340),"",ReferenceData!$AY$340),"")</f>
        <v/>
      </c>
      <c r="AZ340" t="str">
        <f ca="1">IFERROR(IF(0=LEN(ReferenceData!$AZ$340),"",ReferenceData!$AZ$340),"")</f>
        <v/>
      </c>
      <c r="BA340" t="str">
        <f ca="1">IFERROR(IF(0=LEN(ReferenceData!$BA$340),"",ReferenceData!$BA$340),"")</f>
        <v/>
      </c>
      <c r="BB340" t="str">
        <f ca="1">IFERROR(IF(0=LEN(ReferenceData!$BB$340),"",ReferenceData!$BB$340),"")</f>
        <v/>
      </c>
      <c r="BC340" t="str">
        <f ca="1">IFERROR(IF(0=LEN(ReferenceData!$BC$340),"",ReferenceData!$BC$340),"")</f>
        <v/>
      </c>
      <c r="BD340" t="str">
        <f ca="1">IFERROR(IF(0=LEN(ReferenceData!$BD$340),"",ReferenceData!$BD$340),"")</f>
        <v/>
      </c>
      <c r="BE340" t="str">
        <f ca="1">IFERROR(IF(0=LEN(ReferenceData!$BE$340),"",ReferenceData!$BE$340),"")</f>
        <v/>
      </c>
      <c r="BF340" t="str">
        <f ca="1">IFERROR(IF(0=LEN(ReferenceData!$BF$340),"",ReferenceData!$BF$340),"")</f>
        <v/>
      </c>
      <c r="BG340" t="str">
        <f ca="1">IFERROR(IF(0=LEN(ReferenceData!$BG$340),"",ReferenceData!$BG$340),"")</f>
        <v/>
      </c>
      <c r="BH340" t="str">
        <f ca="1">IFERROR(IF(0=LEN(ReferenceData!$BH$340),"",ReferenceData!$BH$340),"")</f>
        <v/>
      </c>
      <c r="BI340" t="str">
        <f ca="1">IFERROR(IF(0=LEN(ReferenceData!$BI$340),"",ReferenceData!$BI$340),"")</f>
        <v/>
      </c>
      <c r="BJ340" t="str">
        <f ca="1">IFERROR(IF(0=LEN(ReferenceData!$BJ$340),"",ReferenceData!$BJ$340),"")</f>
        <v/>
      </c>
      <c r="BK340" t="str">
        <f ca="1">IFERROR(IF(0=LEN(ReferenceData!$BK$340),"",ReferenceData!$BK$340),"")</f>
        <v/>
      </c>
      <c r="BL340" t="str">
        <f ca="1">IFERROR(IF(0=LEN(ReferenceData!$BL$340),"",ReferenceData!$BL$340),"")</f>
        <v/>
      </c>
      <c r="BM340" t="str">
        <f ca="1">IFERROR(IF(0=LEN(ReferenceData!$BM$340),"",ReferenceData!$BM$340),"")</f>
        <v/>
      </c>
    </row>
    <row r="341" spans="1:65" x14ac:dyDescent="0.25">
      <c r="A341" t="str">
        <f>IFERROR(IF(0=LEN(ReferenceData!$A$341),"",ReferenceData!$A$341),"")</f>
        <v xml:space="preserve">    DRB-Hicom Bhd</v>
      </c>
      <c r="B341" t="str">
        <f>IFERROR(IF(0=LEN(ReferenceData!$B$341),"",ReferenceData!$B$341),"")</f>
        <v>DRB MK Equity</v>
      </c>
      <c r="C341" t="str">
        <f>IFERROR(IF(0=LEN(ReferenceData!$C$341),"",ReferenceData!$C$341),"")</f>
        <v>RX530</v>
      </c>
      <c r="D341" t="str">
        <f>IFERROR(IF(0=LEN(ReferenceData!$D$341),"",ReferenceData!$D$341),"")</f>
        <v>T12M_DVDS_PAID</v>
      </c>
      <c r="E341" t="str">
        <f>IFERROR(IF(0=LEN(ReferenceData!$E$341),"",ReferenceData!$E$341),"")</f>
        <v>Dynamic</v>
      </c>
      <c r="F341" t="str">
        <f ca="1">IFERROR(IF(0=LEN(ReferenceData!$F$341),"",ReferenceData!$F$341),"")</f>
        <v/>
      </c>
      <c r="G341" t="str">
        <f ca="1">IFERROR(IF(0=LEN(ReferenceData!$G$341),"",ReferenceData!$G$341),"")</f>
        <v/>
      </c>
      <c r="H341">
        <f ca="1">IFERROR(IF(0=LEN(ReferenceData!$H$341),"",ReferenceData!$H$341),"")</f>
        <v>-24.452554859999999</v>
      </c>
      <c r="I341">
        <f ca="1">IFERROR(IF(0=LEN(ReferenceData!$I$341),"",ReferenceData!$I$341),"")</f>
        <v>-24.213190489999999</v>
      </c>
      <c r="J341">
        <f ca="1">IFERROR(IF(0=LEN(ReferenceData!$J$341),"",ReferenceData!$J$341),"")</f>
        <v>-23.67098395</v>
      </c>
      <c r="K341">
        <f ca="1">IFERROR(IF(0=LEN(ReferenceData!$K$341),"",ReferenceData!$K$341),"")</f>
        <v>-22.954306819999999</v>
      </c>
      <c r="L341">
        <f ca="1">IFERROR(IF(0=LEN(ReferenceData!$L$341),"",ReferenceData!$L$341),"")</f>
        <v>-27.22817044</v>
      </c>
      <c r="M341">
        <f ca="1">IFERROR(IF(0=LEN(ReferenceData!$M$341),"",ReferenceData!$M$341),"")</f>
        <v>-27.593665690000002</v>
      </c>
      <c r="N341">
        <f ca="1">IFERROR(IF(0=LEN(ReferenceData!$N$341),"",ReferenceData!$N$341),"")</f>
        <v>-28.190796330000001</v>
      </c>
      <c r="O341">
        <f ca="1">IFERROR(IF(0=LEN(ReferenceData!$O$341),"",ReferenceData!$O$341),"")</f>
        <v>-28.62249173</v>
      </c>
      <c r="P341">
        <f ca="1">IFERROR(IF(0=LEN(ReferenceData!$P$341),"",ReferenceData!$P$341),"")</f>
        <v>-40.384217239999998</v>
      </c>
      <c r="Q341">
        <f ca="1">IFERROR(IF(0=LEN(ReferenceData!$Q$341),"",ReferenceData!$Q$341),"")</f>
        <v>-39.732931209999997</v>
      </c>
      <c r="R341">
        <f ca="1">IFERROR(IF(0=LEN(ReferenceData!$R$341),"",ReferenceData!$R$341),"")</f>
        <v>-46.435206569999998</v>
      </c>
      <c r="S341">
        <f ca="1">IFERROR(IF(0=LEN(ReferenceData!$S$341),"",ReferenceData!$S$341),"")</f>
        <v>-46.447542470000002</v>
      </c>
      <c r="T341">
        <f ca="1">IFERROR(IF(0=LEN(ReferenceData!$T$341),"",ReferenceData!$T$341),"")</f>
        <v>-40.267534269999999</v>
      </c>
      <c r="U341">
        <f ca="1">IFERROR(IF(0=LEN(ReferenceData!$U$341),"",ReferenceData!$U$341),"")</f>
        <v>-41.651466489999997</v>
      </c>
      <c r="V341">
        <f ca="1">IFERROR(IF(0=LEN(ReferenceData!$V$341),"",ReferenceData!$V$341),"")</f>
        <v>-34.684209009999996</v>
      </c>
      <c r="W341">
        <f ca="1">IFERROR(IF(0=LEN(ReferenceData!$W$341),"",ReferenceData!$W$341),"")</f>
        <v>-35.457637570000003</v>
      </c>
      <c r="X341">
        <f ca="1">IFERROR(IF(0=LEN(ReferenceData!$X$341),"",ReferenceData!$X$341),"")</f>
        <v>-35.141561379999999</v>
      </c>
      <c r="Y341">
        <f ca="1">IFERROR(IF(0=LEN(ReferenceData!$Y$341),"",ReferenceData!$Y$341),"")</f>
        <v>-35.01785521</v>
      </c>
      <c r="Z341">
        <f ca="1">IFERROR(IF(0=LEN(ReferenceData!$Z$341),"",ReferenceData!$Z$341),"")</f>
        <v>-33.22571301</v>
      </c>
      <c r="AA341">
        <f ca="1">IFERROR(IF(0=LEN(ReferenceData!$AA$341),"",ReferenceData!$AA$341),"")</f>
        <v>-33.777564869999999</v>
      </c>
      <c r="AB341">
        <f ca="1">IFERROR(IF(0=LEN(ReferenceData!$AB$341),"",ReferenceData!$AB$341),"")</f>
        <v>-25.642817990000001</v>
      </c>
      <c r="AC341">
        <f ca="1">IFERROR(IF(0=LEN(ReferenceData!$AC$341),"",ReferenceData!$AC$341),"")</f>
        <v>-25.876007049999998</v>
      </c>
      <c r="AD341">
        <f ca="1">IFERROR(IF(0=LEN(ReferenceData!$AD$341),"",ReferenceData!$AD$341),"")</f>
        <v>-18.7523336</v>
      </c>
      <c r="AE341">
        <f ca="1">IFERROR(IF(0=LEN(ReferenceData!$AE$341),"",ReferenceData!$AE$341),"")</f>
        <v>-28.177813390000001</v>
      </c>
      <c r="AF341">
        <f ca="1">IFERROR(IF(0=LEN(ReferenceData!$AF$341),"",ReferenceData!$AF$341),"")</f>
        <v>-27.965371489999999</v>
      </c>
      <c r="AG341">
        <f ca="1">IFERROR(IF(0=LEN(ReferenceData!$AG$341),"",ReferenceData!$AG$341),"")</f>
        <v>-28.202018420000002</v>
      </c>
      <c r="AH341">
        <f ca="1">IFERROR(IF(0=LEN(ReferenceData!$AH$341),"",ReferenceData!$AH$341),"")</f>
        <v>-28.416309980000001</v>
      </c>
      <c r="AI341">
        <f ca="1">IFERROR(IF(0=LEN(ReferenceData!$AI$341),"",ReferenceData!$AI$341),"")</f>
        <v>-28.450073719999999</v>
      </c>
      <c r="AJ341">
        <f ca="1">IFERROR(IF(0=LEN(ReferenceData!$AJ$341),"",ReferenceData!$AJ$341),"")</f>
        <v>-21.39462447</v>
      </c>
      <c r="AK341">
        <f ca="1">IFERROR(IF(0=LEN(ReferenceData!$AK$341),"",ReferenceData!$AK$341),"")</f>
        <v>-21.16311735</v>
      </c>
      <c r="AL341">
        <f ca="1">IFERROR(IF(0=LEN(ReferenceData!$AL$341),"",ReferenceData!$AL$341),"")</f>
        <v>-20.794341410000001</v>
      </c>
      <c r="AM341">
        <f ca="1">IFERROR(IF(0=LEN(ReferenceData!$AM$341),"",ReferenceData!$AM$341),"")</f>
        <v>-11.27224476</v>
      </c>
      <c r="AN341">
        <f ca="1">IFERROR(IF(0=LEN(ReferenceData!$AN$341),"",ReferenceData!$AN$341),"")</f>
        <v>-11.023394659999999</v>
      </c>
      <c r="AO341">
        <f ca="1">IFERROR(IF(0=LEN(ReferenceData!$AO$341),"",ReferenceData!$AO$341),"")</f>
        <v>-10.722395990000001</v>
      </c>
      <c r="AP341">
        <f ca="1">IFERROR(IF(0=LEN(ReferenceData!$AP$341),"",ReferenceData!$AP$341),"")</f>
        <v>-10.482548489999999</v>
      </c>
      <c r="AQ341">
        <f ca="1">IFERROR(IF(0=LEN(ReferenceData!$AQ$341),"",ReferenceData!$AQ$341),"")</f>
        <v>-10.29688447</v>
      </c>
      <c r="AR341">
        <f ca="1">IFERROR(IF(0=LEN(ReferenceData!$AR$341),"",ReferenceData!$AR$341),"")</f>
        <v>-7.4326937519999996</v>
      </c>
      <c r="AS341">
        <f ca="1">IFERROR(IF(0=LEN(ReferenceData!$AS$341),"",ReferenceData!$AS$341),"")</f>
        <v>-36.245709609999999</v>
      </c>
      <c r="AT341">
        <f ca="1">IFERROR(IF(0=LEN(ReferenceData!$AT$341),"",ReferenceData!$AT$341),"")</f>
        <v>-37.184734659999997</v>
      </c>
      <c r="AU341">
        <f ca="1">IFERROR(IF(0=LEN(ReferenceData!$AU$341),"",ReferenceData!$AU$341),"")</f>
        <v>-41.611686890000001</v>
      </c>
      <c r="AV341">
        <f ca="1">IFERROR(IF(0=LEN(ReferenceData!$AV$341),"",ReferenceData!$AV$341),"")</f>
        <v>-39.721774099999998</v>
      </c>
      <c r="AW341">
        <f ca="1">IFERROR(IF(0=LEN(ReferenceData!$AW$341),"",ReferenceData!$AW$341),"")</f>
        <v>-8.931344631</v>
      </c>
      <c r="AX341">
        <f ca="1">IFERROR(IF(0=LEN(ReferenceData!$AX$341),"",ReferenceData!$AX$341),"")</f>
        <v>-10.970788929999999</v>
      </c>
      <c r="AY341">
        <f ca="1">IFERROR(IF(0=LEN(ReferenceData!$AY$341),"",ReferenceData!$AY$341),"")</f>
        <v>-7.4949692280000004</v>
      </c>
      <c r="AZ341">
        <f ca="1">IFERROR(IF(0=LEN(ReferenceData!$AZ$341),"",ReferenceData!$AZ$341),"")</f>
        <v>-6.2252989090000002</v>
      </c>
      <c r="BA341">
        <f ca="1">IFERROR(IF(0=LEN(ReferenceData!$BA$341),"",ReferenceData!$BA$341),"")</f>
        <v>-6.1366434510000003</v>
      </c>
      <c r="BB341">
        <f ca="1">IFERROR(IF(0=LEN(ReferenceData!$BB$341),"",ReferenceData!$BB$341),"")</f>
        <v>-4.0029275130000004</v>
      </c>
      <c r="BC341">
        <f ca="1">IFERROR(IF(0=LEN(ReferenceData!$BC$341),"",ReferenceData!$BC$341),"")</f>
        <v>-3.9403169199999999</v>
      </c>
      <c r="BD341">
        <f ca="1">IFERROR(IF(0=LEN(ReferenceData!$BD$341),"",ReferenceData!$BD$341),"")</f>
        <v>-5.7530568049999999</v>
      </c>
      <c r="BE341">
        <f ca="1">IFERROR(IF(0=LEN(ReferenceData!$BE$341),"",ReferenceData!$BE$341),"")</f>
        <v>-5.7140900449999998</v>
      </c>
      <c r="BF341">
        <f ca="1">IFERROR(IF(0=LEN(ReferenceData!$BF$341),"",ReferenceData!$BF$341),"")</f>
        <v>-5.6541487740000003</v>
      </c>
      <c r="BG341">
        <f ca="1">IFERROR(IF(0=LEN(ReferenceData!$BG$341),"",ReferenceData!$BG$341),"")</f>
        <v>-5.62672156</v>
      </c>
      <c r="BH341">
        <f ca="1">IFERROR(IF(0=LEN(ReferenceData!$BH$341),"",ReferenceData!$BH$341),"")</f>
        <v>-4.6636666609999997</v>
      </c>
      <c r="BI341">
        <f ca="1">IFERROR(IF(0=LEN(ReferenceData!$BI$341),"",ReferenceData!$BI$341),"")</f>
        <v>-4.6547367700000004</v>
      </c>
      <c r="BJ341">
        <f ca="1">IFERROR(IF(0=LEN(ReferenceData!$BJ$341),"",ReferenceData!$BJ$341),"")</f>
        <v>-4.6547367700000004</v>
      </c>
      <c r="BK341">
        <f ca="1">IFERROR(IF(0=LEN(ReferenceData!$BK$341),"",ReferenceData!$BK$341),"")</f>
        <v>-4.6547367700000004</v>
      </c>
      <c r="BL341">
        <f ca="1">IFERROR(IF(0=LEN(ReferenceData!$BL$341),"",ReferenceData!$BL$341),"")</f>
        <v>-3.7055264019999998</v>
      </c>
      <c r="BM341">
        <f ca="1">IFERROR(IF(0=LEN(ReferenceData!$BM$341),"",ReferenceData!$BM$341),"")</f>
        <v>-3.7055264019999998</v>
      </c>
    </row>
    <row r="342" spans="1:65" x14ac:dyDescent="0.25">
      <c r="A342" t="str">
        <f>IFERROR(IF(0=LEN(ReferenceData!$A$342),"",ReferenceData!$A$342),"")</f>
        <v xml:space="preserve">    FAW CAR Co Ltd</v>
      </c>
      <c r="B342" t="str">
        <f>IFERROR(IF(0=LEN(ReferenceData!$B$342),"",ReferenceData!$B$342),"")</f>
        <v>000800 CH Equity</v>
      </c>
      <c r="C342" t="str">
        <f>IFERROR(IF(0=LEN(ReferenceData!$C$342),"",ReferenceData!$C$342),"")</f>
        <v>RX530</v>
      </c>
      <c r="D342" t="str">
        <f>IFERROR(IF(0=LEN(ReferenceData!$D$342),"",ReferenceData!$D$342),"")</f>
        <v>T12M_DVDS_PAID</v>
      </c>
      <c r="E342" t="str">
        <f>IFERROR(IF(0=LEN(ReferenceData!$E$342),"",ReferenceData!$E$342),"")</f>
        <v>Dynamic</v>
      </c>
      <c r="F342" t="str">
        <f ca="1">IFERROR(IF(0=LEN(ReferenceData!$F$342),"",ReferenceData!$F$342),"")</f>
        <v/>
      </c>
      <c r="G342" t="str">
        <f ca="1">IFERROR(IF(0=LEN(ReferenceData!$G$342),"",ReferenceData!$G$342),"")</f>
        <v/>
      </c>
      <c r="H342" t="str">
        <f ca="1">IFERROR(IF(0=LEN(ReferenceData!$H$342),"",ReferenceData!$H$342),"")</f>
        <v/>
      </c>
      <c r="I342">
        <f ca="1">IFERROR(IF(0=LEN(ReferenceData!$I$342),"",ReferenceData!$I$342),"")</f>
        <v>0</v>
      </c>
      <c r="J342">
        <f ca="1">IFERROR(IF(0=LEN(ReferenceData!$J$342),"",ReferenceData!$J$342),"")</f>
        <v>0</v>
      </c>
      <c r="K342">
        <f ca="1">IFERROR(IF(0=LEN(ReferenceData!$K$342),"",ReferenceData!$K$342),"")</f>
        <v>0</v>
      </c>
      <c r="L342">
        <f ca="1">IFERROR(IF(0=LEN(ReferenceData!$L$342),"",ReferenceData!$L$342),"")</f>
        <v>0</v>
      </c>
      <c r="M342">
        <f ca="1">IFERROR(IF(0=LEN(ReferenceData!$M$342),"",ReferenceData!$M$342),"")</f>
        <v>-10.279930139999999</v>
      </c>
      <c r="N342">
        <f ca="1">IFERROR(IF(0=LEN(ReferenceData!$N$342),"",ReferenceData!$N$342),"")</f>
        <v>-10.40467982</v>
      </c>
      <c r="O342">
        <f ca="1">IFERROR(IF(0=LEN(ReferenceData!$O$342),"",ReferenceData!$O$342),"")</f>
        <v>-10.53851618</v>
      </c>
      <c r="P342">
        <f ca="1">IFERROR(IF(0=LEN(ReferenceData!$P$342),"",ReferenceData!$P$342),"")</f>
        <v>-10.71561432</v>
      </c>
      <c r="Q342">
        <f ca="1">IFERROR(IF(0=LEN(ReferenceData!$Q$342),"",ReferenceData!$Q$342),"")</f>
        <v>-2.5274619650000001</v>
      </c>
      <c r="R342">
        <f ca="1">IFERROR(IF(0=LEN(ReferenceData!$R$342),"",ReferenceData!$R$342),"")</f>
        <v>-2.5600728830000001</v>
      </c>
      <c r="S342">
        <f ca="1">IFERROR(IF(0=LEN(ReferenceData!$S$342),"",ReferenceData!$S$342),"")</f>
        <v>-2.5900799769999998</v>
      </c>
      <c r="T342" t="str">
        <f ca="1">IFERROR(IF(0=LEN(ReferenceData!$T$342),"",ReferenceData!$T$342),"")</f>
        <v/>
      </c>
      <c r="U342" t="str">
        <f ca="1">IFERROR(IF(0=LEN(ReferenceData!$U$342),"",ReferenceData!$U$342),"")</f>
        <v/>
      </c>
      <c r="V342" t="str">
        <f ca="1">IFERROR(IF(0=LEN(ReferenceData!$V$342),"",ReferenceData!$V$342),"")</f>
        <v/>
      </c>
      <c r="W342" t="str">
        <f ca="1">IFERROR(IF(0=LEN(ReferenceData!$W$342),"",ReferenceData!$W$342),"")</f>
        <v/>
      </c>
      <c r="X342">
        <f ca="1">IFERROR(IF(0=LEN(ReferenceData!$X$342),"",ReferenceData!$X$342),"")</f>
        <v>-5.0311581939999996</v>
      </c>
      <c r="Y342">
        <f ca="1">IFERROR(IF(0=LEN(ReferenceData!$Y$342),"",ReferenceData!$Y$342),"")</f>
        <v>0</v>
      </c>
      <c r="Z342">
        <f ca="1">IFERROR(IF(0=LEN(ReferenceData!$Z$342),"",ReferenceData!$Z$342),"")</f>
        <v>0</v>
      </c>
      <c r="AA342">
        <f ca="1">IFERROR(IF(0=LEN(ReferenceData!$AA$342),"",ReferenceData!$AA$342),"")</f>
        <v>0</v>
      </c>
      <c r="AB342">
        <f ca="1">IFERROR(IF(0=LEN(ReferenceData!$AB$342),"",ReferenceData!$AB$342),"")</f>
        <v>0</v>
      </c>
      <c r="AC342">
        <f ca="1">IFERROR(IF(0=LEN(ReferenceData!$AC$342),"",ReferenceData!$AC$342),"")</f>
        <v>0</v>
      </c>
      <c r="AD342">
        <f ca="1">IFERROR(IF(0=LEN(ReferenceData!$AD$342),"",ReferenceData!$AD$342),"")</f>
        <v>0</v>
      </c>
      <c r="AE342">
        <f ca="1">IFERROR(IF(0=LEN(ReferenceData!$AE$342),"",ReferenceData!$AE$342),"")</f>
        <v>0</v>
      </c>
      <c r="AF342">
        <f ca="1">IFERROR(IF(0=LEN(ReferenceData!$AF$342),"",ReferenceData!$AF$342),"")</f>
        <v>0</v>
      </c>
      <c r="AG342">
        <f ca="1">IFERROR(IF(0=LEN(ReferenceData!$AG$342),"",ReferenceData!$AG$342),"")</f>
        <v>-76.85404681</v>
      </c>
      <c r="AH342">
        <f ca="1">IFERROR(IF(0=LEN(ReferenceData!$AH$342),"",ReferenceData!$AH$342),"")</f>
        <v>-76.347610209999999</v>
      </c>
      <c r="AI342">
        <f ca="1">IFERROR(IF(0=LEN(ReferenceData!$AI$342),"",ReferenceData!$AI$342),"")</f>
        <v>-75.555507320000004</v>
      </c>
      <c r="AJ342">
        <f ca="1">IFERROR(IF(0=LEN(ReferenceData!$AJ$342),"",ReferenceData!$AJ$342),"")</f>
        <v>-74.691659680000001</v>
      </c>
      <c r="AK342">
        <f ca="1">IFERROR(IF(0=LEN(ReferenceData!$AK$342),"",ReferenceData!$AK$342),"")</f>
        <v>-104.8877169</v>
      </c>
      <c r="AL342">
        <f ca="1">IFERROR(IF(0=LEN(ReferenceData!$AL$342),"",ReferenceData!$AL$342),"")</f>
        <v>-103.61766919999999</v>
      </c>
      <c r="AM342">
        <f ca="1">IFERROR(IF(0=LEN(ReferenceData!$AM$342),"",ReferenceData!$AM$342),"")</f>
        <v>-102.6877863</v>
      </c>
      <c r="AN342" t="str">
        <f ca="1">IFERROR(IF(0=LEN(ReferenceData!$AN$342),"",ReferenceData!$AN$342),"")</f>
        <v/>
      </c>
      <c r="AO342" t="str">
        <f ca="1">IFERROR(IF(0=LEN(ReferenceData!$AO$342),"",ReferenceData!$AO$342),"")</f>
        <v/>
      </c>
      <c r="AP342" t="str">
        <f ca="1">IFERROR(IF(0=LEN(ReferenceData!$AP$342),"",ReferenceData!$AP$342),"")</f>
        <v/>
      </c>
      <c r="AQ342" t="str">
        <f ca="1">IFERROR(IF(0=LEN(ReferenceData!$AQ$342),"",ReferenceData!$AQ$342),"")</f>
        <v/>
      </c>
      <c r="AR342" t="str">
        <f ca="1">IFERROR(IF(0=LEN(ReferenceData!$AR$342),"",ReferenceData!$AR$342),"")</f>
        <v/>
      </c>
      <c r="AS342" t="str">
        <f ca="1">IFERROR(IF(0=LEN(ReferenceData!$AS$342),"",ReferenceData!$AS$342),"")</f>
        <v/>
      </c>
      <c r="AT342">
        <f ca="1">IFERROR(IF(0=LEN(ReferenceData!$AT$342),"",ReferenceData!$AT$342),"")</f>
        <v>-94.751474689999995</v>
      </c>
      <c r="AU342">
        <f ca="1">IFERROR(IF(0=LEN(ReferenceData!$AU$342),"",ReferenceData!$AU$342),"")</f>
        <v>-90.657042570000002</v>
      </c>
      <c r="AV342">
        <f ca="1">IFERROR(IF(0=LEN(ReferenceData!$AV$342),"",ReferenceData!$AV$342),"")</f>
        <v>-68.821346730000002</v>
      </c>
      <c r="AW342">
        <f ca="1">IFERROR(IF(0=LEN(ReferenceData!$AW$342),"",ReferenceData!$AW$342),"")</f>
        <v>-89.510796970000001</v>
      </c>
      <c r="AX342">
        <f ca="1">IFERROR(IF(0=LEN(ReferenceData!$AX$342),"",ReferenceData!$AX$342),"")</f>
        <v>-43.650327539999999</v>
      </c>
      <c r="AY342">
        <f ca="1">IFERROR(IF(0=LEN(ReferenceData!$AY$342),"",ReferenceData!$AY$342),"")</f>
        <v>-42.781316439999998</v>
      </c>
      <c r="AZ342">
        <f ca="1">IFERROR(IF(0=LEN(ReferenceData!$AZ$342),"",ReferenceData!$AZ$342),"")</f>
        <v>-21.100140029999999</v>
      </c>
      <c r="BA342">
        <f ca="1">IFERROR(IF(0=LEN(ReferenceData!$BA$342),"",ReferenceData!$BA$342),"")</f>
        <v>-41.639025580000002</v>
      </c>
      <c r="BB342">
        <f ca="1">IFERROR(IF(0=LEN(ReferenceData!$BB$342),"",ReferenceData!$BB$342),"")</f>
        <v>-41.20883688</v>
      </c>
      <c r="BC342">
        <f ca="1">IFERROR(IF(0=LEN(ReferenceData!$BC$342),"",ReferenceData!$BC$342),"")</f>
        <v>-40.842819710000001</v>
      </c>
      <c r="BD342" t="str">
        <f ca="1">IFERROR(IF(0=LEN(ReferenceData!$BD$342),"",ReferenceData!$BD$342),"")</f>
        <v/>
      </c>
      <c r="BE342" t="str">
        <f ca="1">IFERROR(IF(0=LEN(ReferenceData!$BE$342),"",ReferenceData!$BE$342),"")</f>
        <v/>
      </c>
      <c r="BF342" t="str">
        <f ca="1">IFERROR(IF(0=LEN(ReferenceData!$BF$342),"",ReferenceData!$BF$342),"")</f>
        <v/>
      </c>
      <c r="BG342" t="str">
        <f ca="1">IFERROR(IF(0=LEN(ReferenceData!$BG$342),"",ReferenceData!$BG$342),"")</f>
        <v/>
      </c>
      <c r="BH342" t="str">
        <f ca="1">IFERROR(IF(0=LEN(ReferenceData!$BH$342),"",ReferenceData!$BH$342),"")</f>
        <v/>
      </c>
      <c r="BI342" t="str">
        <f ca="1">IFERROR(IF(0=LEN(ReferenceData!$BI$342),"",ReferenceData!$BI$342),"")</f>
        <v/>
      </c>
      <c r="BJ342" t="str">
        <f ca="1">IFERROR(IF(0=LEN(ReferenceData!$BJ$342),"",ReferenceData!$BJ$342),"")</f>
        <v/>
      </c>
      <c r="BK342" t="str">
        <f ca="1">IFERROR(IF(0=LEN(ReferenceData!$BK$342),"",ReferenceData!$BK$342),"")</f>
        <v/>
      </c>
      <c r="BL342" t="str">
        <f ca="1">IFERROR(IF(0=LEN(ReferenceData!$BL$342),"",ReferenceData!$BL$342),"")</f>
        <v/>
      </c>
      <c r="BM342" t="str">
        <f ca="1">IFERROR(IF(0=LEN(ReferenceData!$BM$342),"",ReferenceData!$BM$342),"")</f>
        <v/>
      </c>
    </row>
    <row r="343" spans="1:65" x14ac:dyDescent="0.25">
      <c r="A343" t="str">
        <f>IFERROR(IF(0=LEN(ReferenceData!$A$343),"",ReferenceData!$A$343),"")</f>
        <v xml:space="preserve">    Fiat Chrysler Automobiles NV</v>
      </c>
      <c r="B343" t="str">
        <f>IFERROR(IF(0=LEN(ReferenceData!$B$343),"",ReferenceData!$B$343),"")</f>
        <v>FCAU US Equity</v>
      </c>
      <c r="C343" t="str">
        <f>IFERROR(IF(0=LEN(ReferenceData!$C$343),"",ReferenceData!$C$343),"")</f>
        <v>RX530</v>
      </c>
      <c r="D343" t="str">
        <f>IFERROR(IF(0=LEN(ReferenceData!$D$343),"",ReferenceData!$D$343),"")</f>
        <v>T12M_DVDS_PAID</v>
      </c>
      <c r="E343" t="str">
        <f>IFERROR(IF(0=LEN(ReferenceData!$E$343),"",ReferenceData!$E$343),"")</f>
        <v>Dynamic</v>
      </c>
      <c r="F343" t="str">
        <f ca="1">IFERROR(IF(0=LEN(ReferenceData!$F$343),"",ReferenceData!$F$343),"")</f>
        <v/>
      </c>
      <c r="G343">
        <f ca="1">IFERROR(IF(0=LEN(ReferenceData!$G$343),"",ReferenceData!$G$343),"")</f>
        <v>-1.181124303</v>
      </c>
      <c r="H343">
        <f ca="1">IFERROR(IF(0=LEN(ReferenceData!$H$343),"",ReferenceData!$H$343),"")</f>
        <v>-1.190440808</v>
      </c>
      <c r="I343">
        <f ca="1">IFERROR(IF(0=LEN(ReferenceData!$I$343),"",ReferenceData!$I$343),"")</f>
        <v>-1.1934544229999999</v>
      </c>
      <c r="J343">
        <f ca="1">IFERROR(IF(0=LEN(ReferenceData!$J$343),"",ReferenceData!$J$343),"")</f>
        <v>-1.1706664229999999</v>
      </c>
      <c r="K343">
        <f ca="1">IFERROR(IF(0=LEN(ReferenceData!$K$343),"",ReferenceData!$K$343),"")</f>
        <v>-1.129721288</v>
      </c>
      <c r="L343">
        <f ca="1">IFERROR(IF(0=LEN(ReferenceData!$L$343),"",ReferenceData!$L$343),"")</f>
        <v>-19.886047269999999</v>
      </c>
      <c r="M343">
        <f ca="1">IFERROR(IF(0=LEN(ReferenceData!$M$343),"",ReferenceData!$M$343),"")</f>
        <v>-19.623552069999999</v>
      </c>
      <c r="N343">
        <f ca="1">IFERROR(IF(0=LEN(ReferenceData!$N$343),"",ReferenceData!$N$343),"")</f>
        <v>-19.751407929999999</v>
      </c>
      <c r="O343">
        <f ca="1">IFERROR(IF(0=LEN(ReferenceData!$O$343),"",ReferenceData!$O$343),"")</f>
        <v>-19.92291621</v>
      </c>
      <c r="P343">
        <f ca="1">IFERROR(IF(0=LEN(ReferenceData!$P$343),"",ReferenceData!$P$343),"")</f>
        <v>-314.42650730000003</v>
      </c>
      <c r="Q343">
        <f ca="1">IFERROR(IF(0=LEN(ReferenceData!$Q$343),"",ReferenceData!$Q$343),"")</f>
        <v>-314.12536069999999</v>
      </c>
      <c r="R343">
        <f ca="1">IFERROR(IF(0=LEN(ReferenceData!$R$343),"",ReferenceData!$R$343),"")</f>
        <v>-312.53061789999998</v>
      </c>
      <c r="S343">
        <f ca="1">IFERROR(IF(0=LEN(ReferenceData!$S$343),"",ReferenceData!$S$343),"")</f>
        <v>-314.13017889999998</v>
      </c>
      <c r="T343">
        <f ca="1">IFERROR(IF(0=LEN(ReferenceData!$T$343),"",ReferenceData!$T$343),"")</f>
        <v>0</v>
      </c>
      <c r="U343">
        <f ca="1">IFERROR(IF(0=LEN(ReferenceData!$U$343),"",ReferenceData!$U$343),"")</f>
        <v>0</v>
      </c>
      <c r="V343">
        <f ca="1">IFERROR(IF(0=LEN(ReferenceData!$V$343),"",ReferenceData!$V$343),"")</f>
        <v>0</v>
      </c>
      <c r="W343">
        <f ca="1">IFERROR(IF(0=LEN(ReferenceData!$W$343),"",ReferenceData!$W$343),"")</f>
        <v>0</v>
      </c>
      <c r="X343" t="str">
        <f ca="1">IFERROR(IF(0=LEN(ReferenceData!$X$343),"",ReferenceData!$X$343),"")</f>
        <v/>
      </c>
      <c r="Y343" t="str">
        <f ca="1">IFERROR(IF(0=LEN(ReferenceData!$Y$343),"",ReferenceData!$Y$343),"")</f>
        <v/>
      </c>
      <c r="Z343" t="str">
        <f ca="1">IFERROR(IF(0=LEN(ReferenceData!$Z$343),"",ReferenceData!$Z$343),"")</f>
        <v/>
      </c>
      <c r="AA343" t="str">
        <f ca="1">IFERROR(IF(0=LEN(ReferenceData!$AA$343),"",ReferenceData!$AA$343),"")</f>
        <v/>
      </c>
      <c r="AB343" t="str">
        <f ca="1">IFERROR(IF(0=LEN(ReferenceData!$AB$343),"",ReferenceData!$AB$343),"")</f>
        <v/>
      </c>
      <c r="AC343" t="str">
        <f ca="1">IFERROR(IF(0=LEN(ReferenceData!$AC$343),"",ReferenceData!$AC$343),"")</f>
        <v/>
      </c>
      <c r="AD343" t="str">
        <f ca="1">IFERROR(IF(0=LEN(ReferenceData!$AD$343),"",ReferenceData!$AD$343),"")</f>
        <v/>
      </c>
      <c r="AE343" t="str">
        <f ca="1">IFERROR(IF(0=LEN(ReferenceData!$AE$343),"",ReferenceData!$AE$343),"")</f>
        <v/>
      </c>
      <c r="AF343" t="str">
        <f ca="1">IFERROR(IF(0=LEN(ReferenceData!$AF$343),"",ReferenceData!$AF$343),"")</f>
        <v/>
      </c>
      <c r="AG343" t="str">
        <f ca="1">IFERROR(IF(0=LEN(ReferenceData!$AG$343),"",ReferenceData!$AG$343),"")</f>
        <v/>
      </c>
      <c r="AH343" t="str">
        <f ca="1">IFERROR(IF(0=LEN(ReferenceData!$AH$343),"",ReferenceData!$AH$343),"")</f>
        <v/>
      </c>
      <c r="AI343" t="str">
        <f ca="1">IFERROR(IF(0=LEN(ReferenceData!$AI$343),"",ReferenceData!$AI$343),"")</f>
        <v/>
      </c>
      <c r="AJ343" t="str">
        <f ca="1">IFERROR(IF(0=LEN(ReferenceData!$AJ$343),"",ReferenceData!$AJ$343),"")</f>
        <v/>
      </c>
      <c r="AK343" t="str">
        <f ca="1">IFERROR(IF(0=LEN(ReferenceData!$AK$343),"",ReferenceData!$AK$343),"")</f>
        <v/>
      </c>
      <c r="AL343" t="str">
        <f ca="1">IFERROR(IF(0=LEN(ReferenceData!$AL$343),"",ReferenceData!$AL$343),"")</f>
        <v/>
      </c>
      <c r="AM343" t="str">
        <f ca="1">IFERROR(IF(0=LEN(ReferenceData!$AM$343),"",ReferenceData!$AM$343),"")</f>
        <v/>
      </c>
      <c r="AN343" t="str">
        <f ca="1">IFERROR(IF(0=LEN(ReferenceData!$AN$343),"",ReferenceData!$AN$343),"")</f>
        <v/>
      </c>
      <c r="AO343" t="str">
        <f ca="1">IFERROR(IF(0=LEN(ReferenceData!$AO$343),"",ReferenceData!$AO$343),"")</f>
        <v/>
      </c>
      <c r="AP343" t="str">
        <f ca="1">IFERROR(IF(0=LEN(ReferenceData!$AP$343),"",ReferenceData!$AP$343),"")</f>
        <v/>
      </c>
      <c r="AQ343" t="str">
        <f ca="1">IFERROR(IF(0=LEN(ReferenceData!$AQ$343),"",ReferenceData!$AQ$343),"")</f>
        <v/>
      </c>
      <c r="AR343" t="str">
        <f ca="1">IFERROR(IF(0=LEN(ReferenceData!$AR$343),"",ReferenceData!$AR$343),"")</f>
        <v/>
      </c>
      <c r="AS343" t="str">
        <f ca="1">IFERROR(IF(0=LEN(ReferenceData!$AS$343),"",ReferenceData!$AS$343),"")</f>
        <v/>
      </c>
      <c r="AT343" t="str">
        <f ca="1">IFERROR(IF(0=LEN(ReferenceData!$AT$343),"",ReferenceData!$AT$343),"")</f>
        <v/>
      </c>
      <c r="AU343" t="str">
        <f ca="1">IFERROR(IF(0=LEN(ReferenceData!$AU$343),"",ReferenceData!$AU$343),"")</f>
        <v/>
      </c>
      <c r="AV343" t="str">
        <f ca="1">IFERROR(IF(0=LEN(ReferenceData!$AV$343),"",ReferenceData!$AV$343),"")</f>
        <v/>
      </c>
      <c r="AW343" t="str">
        <f ca="1">IFERROR(IF(0=LEN(ReferenceData!$AW$343),"",ReferenceData!$AW$343),"")</f>
        <v/>
      </c>
      <c r="AX343" t="str">
        <f ca="1">IFERROR(IF(0=LEN(ReferenceData!$AX$343),"",ReferenceData!$AX$343),"")</f>
        <v/>
      </c>
      <c r="AY343" t="str">
        <f ca="1">IFERROR(IF(0=LEN(ReferenceData!$AY$343),"",ReferenceData!$AY$343),"")</f>
        <v/>
      </c>
      <c r="AZ343" t="str">
        <f ca="1">IFERROR(IF(0=LEN(ReferenceData!$AZ$343),"",ReferenceData!$AZ$343),"")</f>
        <v/>
      </c>
      <c r="BA343" t="str">
        <f ca="1">IFERROR(IF(0=LEN(ReferenceData!$BA$343),"",ReferenceData!$BA$343),"")</f>
        <v/>
      </c>
      <c r="BB343" t="str">
        <f ca="1">IFERROR(IF(0=LEN(ReferenceData!$BB$343),"",ReferenceData!$BB$343),"")</f>
        <v/>
      </c>
      <c r="BC343" t="str">
        <f ca="1">IFERROR(IF(0=LEN(ReferenceData!$BC$343),"",ReferenceData!$BC$343),"")</f>
        <v/>
      </c>
      <c r="BD343" t="str">
        <f ca="1">IFERROR(IF(0=LEN(ReferenceData!$BD$343),"",ReferenceData!$BD$343),"")</f>
        <v/>
      </c>
      <c r="BE343" t="str">
        <f ca="1">IFERROR(IF(0=LEN(ReferenceData!$BE$343),"",ReferenceData!$BE$343),"")</f>
        <v/>
      </c>
      <c r="BF343" t="str">
        <f ca="1">IFERROR(IF(0=LEN(ReferenceData!$BF$343),"",ReferenceData!$BF$343),"")</f>
        <v/>
      </c>
      <c r="BG343" t="str">
        <f ca="1">IFERROR(IF(0=LEN(ReferenceData!$BG$343),"",ReferenceData!$BG$343),"")</f>
        <v/>
      </c>
      <c r="BH343" t="str">
        <f ca="1">IFERROR(IF(0=LEN(ReferenceData!$BH$343),"",ReferenceData!$BH$343),"")</f>
        <v/>
      </c>
      <c r="BI343" t="str">
        <f ca="1">IFERROR(IF(0=LEN(ReferenceData!$BI$343),"",ReferenceData!$BI$343),"")</f>
        <v/>
      </c>
      <c r="BJ343" t="str">
        <f ca="1">IFERROR(IF(0=LEN(ReferenceData!$BJ$343),"",ReferenceData!$BJ$343),"")</f>
        <v/>
      </c>
      <c r="BK343" t="str">
        <f ca="1">IFERROR(IF(0=LEN(ReferenceData!$BK$343),"",ReferenceData!$BK$343),"")</f>
        <v/>
      </c>
      <c r="BL343" t="str">
        <f ca="1">IFERROR(IF(0=LEN(ReferenceData!$BL$343),"",ReferenceData!$BL$343),"")</f>
        <v/>
      </c>
      <c r="BM343" t="str">
        <f ca="1">IFERROR(IF(0=LEN(ReferenceData!$BM$343),"",ReferenceData!$BM$343),"")</f>
        <v/>
      </c>
    </row>
    <row r="344" spans="1:65" x14ac:dyDescent="0.25">
      <c r="A344" t="str">
        <f>IFERROR(IF(0=LEN(ReferenceData!$A$344),"",ReferenceData!$A$344),"")</f>
        <v xml:space="preserve">    Ford Motor Co</v>
      </c>
      <c r="B344" t="str">
        <f>IFERROR(IF(0=LEN(ReferenceData!$B$344),"",ReferenceData!$B$344),"")</f>
        <v>F US Equity</v>
      </c>
      <c r="C344" t="str">
        <f>IFERROR(IF(0=LEN(ReferenceData!$C$344),"",ReferenceData!$C$344),"")</f>
        <v>RX530</v>
      </c>
      <c r="D344" t="str">
        <f>IFERROR(IF(0=LEN(ReferenceData!$D$344),"",ReferenceData!$D$344),"")</f>
        <v>T12M_DVDS_PAID</v>
      </c>
      <c r="E344" t="str">
        <f>IFERROR(IF(0=LEN(ReferenceData!$E$344),"",ReferenceData!$E$344),"")</f>
        <v>Dynamic</v>
      </c>
      <c r="F344" t="str">
        <f ca="1">IFERROR(IF(0=LEN(ReferenceData!$F$344),"",ReferenceData!$F$344),"")</f>
        <v/>
      </c>
      <c r="G344">
        <f ca="1">IFERROR(IF(0=LEN(ReferenceData!$G$344),"",ReferenceData!$G$344),"")</f>
        <v>-2905</v>
      </c>
      <c r="H344">
        <f ca="1">IFERROR(IF(0=LEN(ReferenceData!$H$344),"",ReferenceData!$H$344),"")</f>
        <v>-2904</v>
      </c>
      <c r="I344">
        <f ca="1">IFERROR(IF(0=LEN(ReferenceData!$I$344),"",ReferenceData!$I$344),"")</f>
        <v>-2903</v>
      </c>
      <c r="J344">
        <f ca="1">IFERROR(IF(0=LEN(ReferenceData!$J$344),"",ReferenceData!$J$344),"")</f>
        <v>-2902</v>
      </c>
      <c r="K344">
        <f ca="1">IFERROR(IF(0=LEN(ReferenceData!$K$344),"",ReferenceData!$K$344),"")</f>
        <v>-2584</v>
      </c>
      <c r="L344">
        <f ca="1">IFERROR(IF(0=LEN(ReferenceData!$L$344),"",ReferenceData!$L$344),"")</f>
        <v>-2584</v>
      </c>
      <c r="M344">
        <f ca="1">IFERROR(IF(0=LEN(ReferenceData!$M$344),"",ReferenceData!$M$344),"")</f>
        <v>-2584</v>
      </c>
      <c r="N344">
        <f ca="1">IFERROR(IF(0=LEN(ReferenceData!$N$344),"",ReferenceData!$N$344),"")</f>
        <v>-2583</v>
      </c>
      <c r="O344">
        <f ca="1">IFERROR(IF(0=LEN(ReferenceData!$O$344),"",ReferenceData!$O$344),"")</f>
        <v>-3376</v>
      </c>
      <c r="P344">
        <f ca="1">IFERROR(IF(0=LEN(ReferenceData!$P$344),"",ReferenceData!$P$344),"")</f>
        <v>-3375</v>
      </c>
      <c r="Q344">
        <f ca="1">IFERROR(IF(0=LEN(ReferenceData!$Q$344),"",ReferenceData!$Q$344),"")</f>
        <v>-3374</v>
      </c>
      <c r="R344">
        <f ca="1">IFERROR(IF(0=LEN(ReferenceData!$R$344),"",ReferenceData!$R$344),"")</f>
        <v>-3375</v>
      </c>
      <c r="S344">
        <f ca="1">IFERROR(IF(0=LEN(ReferenceData!$S$344),"",ReferenceData!$S$344),"")</f>
        <v>-2380</v>
      </c>
      <c r="T344">
        <f ca="1">IFERROR(IF(0=LEN(ReferenceData!$T$344),"",ReferenceData!$T$344),"")</f>
        <v>-2267</v>
      </c>
      <c r="U344">
        <f ca="1">IFERROR(IF(0=LEN(ReferenceData!$U$344),"",ReferenceData!$U$344),"")</f>
        <v>-2155</v>
      </c>
      <c r="V344">
        <f ca="1">IFERROR(IF(0=LEN(ReferenceData!$V$344),"",ReferenceData!$V$344),"")</f>
        <v>-2052</v>
      </c>
      <c r="W344">
        <f ca="1">IFERROR(IF(0=LEN(ReferenceData!$W$344),"",ReferenceData!$W$344),"")</f>
        <v>-1952</v>
      </c>
      <c r="X344">
        <f ca="1">IFERROR(IF(0=LEN(ReferenceData!$X$344),"",ReferenceData!$X$344),"")</f>
        <v>-1865</v>
      </c>
      <c r="Y344">
        <f ca="1">IFERROR(IF(0=LEN(ReferenceData!$Y$344),"",ReferenceData!$Y$344),"")</f>
        <v>-1776</v>
      </c>
      <c r="Z344">
        <f ca="1">IFERROR(IF(0=LEN(ReferenceData!$Z$344),"",ReferenceData!$Z$344),"")</f>
        <v>-1675</v>
      </c>
      <c r="AA344">
        <f ca="1">IFERROR(IF(0=LEN(ReferenceData!$AA$344),"",ReferenceData!$AA$344),"")</f>
        <v>-1574</v>
      </c>
      <c r="AB344">
        <f ca="1">IFERROR(IF(0=LEN(ReferenceData!$AB$344),"",ReferenceData!$AB$344),"")</f>
        <v>-1370</v>
      </c>
      <c r="AC344">
        <f ca="1">IFERROR(IF(0=LEN(ReferenceData!$AC$344),"",ReferenceData!$AC$344),"")</f>
        <v>-1167</v>
      </c>
      <c r="AD344">
        <f ca="1">IFERROR(IF(0=LEN(ReferenceData!$AD$344),"",ReferenceData!$AD$344),"")</f>
        <v>-965</v>
      </c>
      <c r="AE344">
        <f ca="1">IFERROR(IF(0=LEN(ReferenceData!$AE$344),"",ReferenceData!$AE$344),"")</f>
        <v>-763</v>
      </c>
      <c r="AF344">
        <f ca="1">IFERROR(IF(0=LEN(ReferenceData!$AF$344),"",ReferenceData!$AF$344),"")</f>
        <v>-572</v>
      </c>
      <c r="AG344">
        <f ca="1">IFERROR(IF(0=LEN(ReferenceData!$AG$344),"",ReferenceData!$AG$344),"")</f>
        <v>-381</v>
      </c>
      <c r="AH344">
        <f ca="1">IFERROR(IF(0=LEN(ReferenceData!$AH$344),"",ReferenceData!$AH$344),"")</f>
        <v>-190</v>
      </c>
      <c r="AI344">
        <f ca="1">IFERROR(IF(0=LEN(ReferenceData!$AI$344),"",ReferenceData!$AI$344),"")</f>
        <v>0</v>
      </c>
      <c r="AJ344">
        <f ca="1">IFERROR(IF(0=LEN(ReferenceData!$AJ$344),"",ReferenceData!$AJ$344),"")</f>
        <v>0</v>
      </c>
      <c r="AK344">
        <f ca="1">IFERROR(IF(0=LEN(ReferenceData!$AK$344),"",ReferenceData!$AK$344),"")</f>
        <v>0</v>
      </c>
      <c r="AL344">
        <f ca="1">IFERROR(IF(0=LEN(ReferenceData!$AL$344),"",ReferenceData!$AL$344),"")</f>
        <v>0</v>
      </c>
      <c r="AM344">
        <f ca="1">IFERROR(IF(0=LEN(ReferenceData!$AM$344),"",ReferenceData!$AM$344),"")</f>
        <v>0</v>
      </c>
      <c r="AN344">
        <f ca="1">IFERROR(IF(0=LEN(ReferenceData!$AN$344),"",ReferenceData!$AN$344),"")</f>
        <v>0</v>
      </c>
      <c r="AO344">
        <f ca="1">IFERROR(IF(0=LEN(ReferenceData!$AO$344),"",ReferenceData!$AO$344),"")</f>
        <v>0</v>
      </c>
      <c r="AP344">
        <f ca="1">IFERROR(IF(0=LEN(ReferenceData!$AP$344),"",ReferenceData!$AP$344),"")</f>
        <v>0</v>
      </c>
      <c r="AQ344">
        <f ca="1">IFERROR(IF(0=LEN(ReferenceData!$AQ$344),"",ReferenceData!$AQ$344),"")</f>
        <v>0</v>
      </c>
      <c r="AR344">
        <f ca="1">IFERROR(IF(0=LEN(ReferenceData!$AR$344),"",ReferenceData!$AR$344),"")</f>
        <v>0</v>
      </c>
      <c r="AS344">
        <f ca="1">IFERROR(IF(0=LEN(ReferenceData!$AS$344),"",ReferenceData!$AS$344),"")</f>
        <v>0</v>
      </c>
      <c r="AT344">
        <f ca="1">IFERROR(IF(0=LEN(ReferenceData!$AT$344),"",ReferenceData!$AT$344),"")</f>
        <v>0</v>
      </c>
      <c r="AU344">
        <f ca="1">IFERROR(IF(0=LEN(ReferenceData!$AU$344),"",ReferenceData!$AU$344),"")</f>
        <v>0</v>
      </c>
      <c r="AV344">
        <f ca="1">IFERROR(IF(0=LEN(ReferenceData!$AV$344),"",ReferenceData!$AV$344),"")</f>
        <v>0</v>
      </c>
      <c r="AW344">
        <f ca="1">IFERROR(IF(0=LEN(ReferenceData!$AW$344),"",ReferenceData!$AW$344),"")</f>
        <v>0</v>
      </c>
      <c r="AX344">
        <f ca="1">IFERROR(IF(0=LEN(ReferenceData!$AX$344),"",ReferenceData!$AX$344),"")</f>
        <v>0</v>
      </c>
      <c r="AY344">
        <f ca="1">IFERROR(IF(0=LEN(ReferenceData!$AY$344),"",ReferenceData!$AY$344),"")</f>
        <v>0</v>
      </c>
      <c r="AZ344">
        <f ca="1">IFERROR(IF(0=LEN(ReferenceData!$AZ$344),"",ReferenceData!$AZ$344),"")</f>
        <v>0</v>
      </c>
      <c r="BA344">
        <f ca="1">IFERROR(IF(0=LEN(ReferenceData!$BA$344),"",ReferenceData!$BA$344),"")</f>
        <v>-94</v>
      </c>
      <c r="BB344">
        <f ca="1">IFERROR(IF(0=LEN(ReferenceData!$BB$344),"",ReferenceData!$BB$344),"")</f>
        <v>-282</v>
      </c>
      <c r="BC344">
        <f ca="1">IFERROR(IF(0=LEN(ReferenceData!$BC$344),"",ReferenceData!$BC$344),"")</f>
        <v>-468</v>
      </c>
      <c r="BD344">
        <f ca="1">IFERROR(IF(0=LEN(ReferenceData!$BD$344),"",ReferenceData!$BD$344),"")</f>
        <v>-654</v>
      </c>
      <c r="BE344">
        <f ca="1">IFERROR(IF(0=LEN(ReferenceData!$BE$344),"",ReferenceData!$BE$344),"")</f>
        <v>-745</v>
      </c>
      <c r="BF344">
        <f ca="1">IFERROR(IF(0=LEN(ReferenceData!$BF$344),"",ReferenceData!$BF$344),"")</f>
        <v>-741</v>
      </c>
      <c r="BG344">
        <f ca="1">IFERROR(IF(0=LEN(ReferenceData!$BG$344),"",ReferenceData!$BG$344),"")</f>
        <v>-738</v>
      </c>
      <c r="BH344">
        <f ca="1">IFERROR(IF(0=LEN(ReferenceData!$BH$344),"",ReferenceData!$BH$344),"")</f>
        <v>-736</v>
      </c>
      <c r="BI344">
        <f ca="1">IFERROR(IF(0=LEN(ReferenceData!$BI$344),"",ReferenceData!$BI$344),"")</f>
        <v>-734</v>
      </c>
      <c r="BJ344">
        <f ca="1">IFERROR(IF(0=LEN(ReferenceData!$BJ$344),"",ReferenceData!$BJ$344),"")</f>
        <v>-733</v>
      </c>
      <c r="BK344">
        <f ca="1">IFERROR(IF(0=LEN(ReferenceData!$BK$344),"",ReferenceData!$BK$344),"")</f>
        <v>-733</v>
      </c>
      <c r="BL344">
        <f ca="1">IFERROR(IF(0=LEN(ReferenceData!$BL$344),"",ReferenceData!$BL$344),"")</f>
        <v>-733</v>
      </c>
      <c r="BM344">
        <f ca="1">IFERROR(IF(0=LEN(ReferenceData!$BM$344),"",ReferenceData!$BM$344),"")</f>
        <v>-733</v>
      </c>
    </row>
    <row r="345" spans="1:65" x14ac:dyDescent="0.25">
      <c r="A345" t="str">
        <f>IFERROR(IF(0=LEN(ReferenceData!$A$345),"",ReferenceData!$A$345),"")</f>
        <v xml:space="preserve">    Ford Otomotiv Sanayi AS</v>
      </c>
      <c r="B345" t="str">
        <f>IFERROR(IF(0=LEN(ReferenceData!$B$345),"",ReferenceData!$B$345),"")</f>
        <v>FROTOTRY EO Equity</v>
      </c>
      <c r="C345" t="str">
        <f>IFERROR(IF(0=LEN(ReferenceData!$C$345),"",ReferenceData!$C$345),"")</f>
        <v>RX530</v>
      </c>
      <c r="D345" t="str">
        <f>IFERROR(IF(0=LEN(ReferenceData!$D$345),"",ReferenceData!$D$345),"")</f>
        <v>T12M_DVDS_PAID</v>
      </c>
      <c r="E345" t="str">
        <f>IFERROR(IF(0=LEN(ReferenceData!$E$345),"",ReferenceData!$E$345),"")</f>
        <v>Dynamic</v>
      </c>
      <c r="F345" t="str">
        <f ca="1">IFERROR(IF(0=LEN(ReferenceData!$F$345),"",ReferenceData!$F$345),"")</f>
        <v/>
      </c>
      <c r="G345">
        <f ca="1">IFERROR(IF(0=LEN(ReferenceData!$G$345),"",ReferenceData!$G$345),"")</f>
        <v>-256.675724</v>
      </c>
      <c r="H345">
        <f ca="1">IFERROR(IF(0=LEN(ReferenceData!$H$345),"",ReferenceData!$H$345),"")</f>
        <v>-277.93623250000002</v>
      </c>
      <c r="I345">
        <f ca="1">IFERROR(IF(0=LEN(ReferenceData!$I$345),"",ReferenceData!$I$345),"")</f>
        <v>-309.12240489999999</v>
      </c>
      <c r="J345">
        <f ca="1">IFERROR(IF(0=LEN(ReferenceData!$J$345),"",ReferenceData!$J$345),"")</f>
        <v>-215.0560596</v>
      </c>
      <c r="K345">
        <f ca="1">IFERROR(IF(0=LEN(ReferenceData!$K$345),"",ReferenceData!$K$345),"")</f>
        <v>-216.76912250000001</v>
      </c>
      <c r="L345">
        <f ca="1">IFERROR(IF(0=LEN(ReferenceData!$L$345),"",ReferenceData!$L$345),"")</f>
        <v>-202.95194770000001</v>
      </c>
      <c r="M345">
        <f ca="1">IFERROR(IF(0=LEN(ReferenceData!$M$345),"",ReferenceData!$M$345),"")</f>
        <v>-212.41810720000001</v>
      </c>
      <c r="N345">
        <f ca="1">IFERROR(IF(0=LEN(ReferenceData!$N$345),"",ReferenceData!$N$345),"")</f>
        <v>-208.62770649999999</v>
      </c>
      <c r="O345">
        <f ca="1">IFERROR(IF(0=LEN(ReferenceData!$O$345),"",ReferenceData!$O$345),"")</f>
        <v>-220.05160280000001</v>
      </c>
      <c r="P345">
        <f ca="1">IFERROR(IF(0=LEN(ReferenceData!$P$345),"",ReferenceData!$P$345),"")</f>
        <v>-188.18957639999999</v>
      </c>
      <c r="Q345">
        <f ca="1">IFERROR(IF(0=LEN(ReferenceData!$Q$345),"",ReferenceData!$Q$345),"")</f>
        <v>-190.11035960000001</v>
      </c>
      <c r="R345">
        <f ca="1">IFERROR(IF(0=LEN(ReferenceData!$R$345),"",ReferenceData!$R$345),"")</f>
        <v>-70.506298959999995</v>
      </c>
      <c r="S345">
        <f ca="1">IFERROR(IF(0=LEN(ReferenceData!$S$345),"",ReferenceData!$S$345),"")</f>
        <v>-147.55708469999999</v>
      </c>
      <c r="T345">
        <f ca="1">IFERROR(IF(0=LEN(ReferenceData!$T$345),"",ReferenceData!$T$345),"")</f>
        <v>-147.83204900000001</v>
      </c>
      <c r="U345">
        <f ca="1">IFERROR(IF(0=LEN(ReferenceData!$U$345),"",ReferenceData!$U$345),"")</f>
        <v>-158.41067340000001</v>
      </c>
      <c r="V345">
        <f ca="1">IFERROR(IF(0=LEN(ReferenceData!$V$345),"",ReferenceData!$V$345),"")</f>
        <v>-167.6116644</v>
      </c>
      <c r="W345">
        <f ca="1">IFERROR(IF(0=LEN(ReferenceData!$W$345),"",ReferenceData!$W$345),"")</f>
        <v>-80.28077906</v>
      </c>
      <c r="X345">
        <f ca="1">IFERROR(IF(0=LEN(ReferenceData!$X$345),"",ReferenceData!$X$345),"")</f>
        <v>0</v>
      </c>
      <c r="Y345">
        <f ca="1">IFERROR(IF(0=LEN(ReferenceData!$Y$345),"",ReferenceData!$Y$345),"")</f>
        <v>0</v>
      </c>
      <c r="Z345">
        <f ca="1">IFERROR(IF(0=LEN(ReferenceData!$Z$345),"",ReferenceData!$Z$345),"")</f>
        <v>0</v>
      </c>
      <c r="AA345">
        <f ca="1">IFERROR(IF(0=LEN(ReferenceData!$AA$345),"",ReferenceData!$AA$345),"")</f>
        <v>-157.89395099999999</v>
      </c>
      <c r="AB345">
        <f ca="1">IFERROR(IF(0=LEN(ReferenceData!$AB$345),"",ReferenceData!$AB$345),"")</f>
        <v>-286.37003629999998</v>
      </c>
      <c r="AC345">
        <f ca="1">IFERROR(IF(0=LEN(ReferenceData!$AC$345),"",ReferenceData!$AC$345),"")</f>
        <v>-292.59013099999999</v>
      </c>
      <c r="AD345">
        <f ca="1">IFERROR(IF(0=LEN(ReferenceData!$AD$345),"",ReferenceData!$AD$345),"")</f>
        <v>-293.8545436</v>
      </c>
      <c r="AE345">
        <f ca="1">IFERROR(IF(0=LEN(ReferenceData!$AE$345),"",ReferenceData!$AE$345),"")</f>
        <v>-321.67820160000002</v>
      </c>
      <c r="AF345">
        <f ca="1">IFERROR(IF(0=LEN(ReferenceData!$AF$345),"",ReferenceData!$AF$345),"")</f>
        <v>-313.77007279999998</v>
      </c>
      <c r="AG345">
        <f ca="1">IFERROR(IF(0=LEN(ReferenceData!$AG$345),"",ReferenceData!$AG$345),"")</f>
        <v>-316.8760206</v>
      </c>
      <c r="AH345">
        <f ca="1">IFERROR(IF(0=LEN(ReferenceData!$AH$345),"",ReferenceData!$AH$345),"")</f>
        <v>-328.84101659999999</v>
      </c>
      <c r="AI345">
        <f ca="1">IFERROR(IF(0=LEN(ReferenceData!$AI$345),"",ReferenceData!$AI$345),"")</f>
        <v>-310.3193</v>
      </c>
      <c r="AJ345">
        <f ca="1">IFERROR(IF(0=LEN(ReferenceData!$AJ$345),"",ReferenceData!$AJ$345),"")</f>
        <v>-279.77633530000003</v>
      </c>
      <c r="AK345">
        <f ca="1">IFERROR(IF(0=LEN(ReferenceData!$AK$345),"",ReferenceData!$AK$345),"")</f>
        <v>-289.22351839999999</v>
      </c>
      <c r="AL345">
        <f ca="1">IFERROR(IF(0=LEN(ReferenceData!$AL$345),"",ReferenceData!$AL$345),"")</f>
        <v>-290.45691399999998</v>
      </c>
      <c r="AM345">
        <f ca="1">IFERROR(IF(0=LEN(ReferenceData!$AM$345),"",ReferenceData!$AM$345),"")</f>
        <v>-265.6099284</v>
      </c>
      <c r="AN345">
        <f ca="1">IFERROR(IF(0=LEN(ReferenceData!$AN$345),"",ReferenceData!$AN$345),"")</f>
        <v>-373.34182099999998</v>
      </c>
      <c r="AO345">
        <f ca="1">IFERROR(IF(0=LEN(ReferenceData!$AO$345),"",ReferenceData!$AO$345),"")</f>
        <v>-374.2888312</v>
      </c>
      <c r="AP345">
        <f ca="1">IFERROR(IF(0=LEN(ReferenceData!$AP$345),"",ReferenceData!$AP$345),"")</f>
        <v>-372.58805319999999</v>
      </c>
      <c r="AQ345">
        <f ca="1">IFERROR(IF(0=LEN(ReferenceData!$AQ$345),"",ReferenceData!$AQ$345),"")</f>
        <v>-255.7167067</v>
      </c>
      <c r="AR345">
        <f ca="1">IFERROR(IF(0=LEN(ReferenceData!$AR$345),"",ReferenceData!$AR$345),"")</f>
        <v>-181.97566749999999</v>
      </c>
      <c r="AS345">
        <f ca="1">IFERROR(IF(0=LEN(ReferenceData!$AS$345),"",ReferenceData!$AS$345),"")</f>
        <v>-193.32380180000001</v>
      </c>
      <c r="AT345">
        <f ca="1">IFERROR(IF(0=LEN(ReferenceData!$AT$345),"",ReferenceData!$AT$345),"")</f>
        <v>-381.0189507</v>
      </c>
      <c r="AU345" t="str">
        <f ca="1">IFERROR(IF(0=LEN(ReferenceData!$AU$345),"",ReferenceData!$AU$345),"")</f>
        <v/>
      </c>
      <c r="AV345" t="str">
        <f ca="1">IFERROR(IF(0=LEN(ReferenceData!$AV$345),"",ReferenceData!$AV$345),"")</f>
        <v/>
      </c>
      <c r="AW345" t="str">
        <f ca="1">IFERROR(IF(0=LEN(ReferenceData!$AW$345),"",ReferenceData!$AW$345),"")</f>
        <v/>
      </c>
      <c r="AX345" t="str">
        <f ca="1">IFERROR(IF(0=LEN(ReferenceData!$AX$345),"",ReferenceData!$AX$345),"")</f>
        <v/>
      </c>
      <c r="AY345" t="str">
        <f ca="1">IFERROR(IF(0=LEN(ReferenceData!$AY$345),"",ReferenceData!$AY$345),"")</f>
        <v/>
      </c>
      <c r="AZ345" t="str">
        <f ca="1">IFERROR(IF(0=LEN(ReferenceData!$AZ$345),"",ReferenceData!$AZ$345),"")</f>
        <v/>
      </c>
      <c r="BA345" t="str">
        <f ca="1">IFERROR(IF(0=LEN(ReferenceData!$BA$345),"",ReferenceData!$BA$345),"")</f>
        <v/>
      </c>
      <c r="BB345" t="str">
        <f ca="1">IFERROR(IF(0=LEN(ReferenceData!$BB$345),"",ReferenceData!$BB$345),"")</f>
        <v/>
      </c>
      <c r="BC345">
        <f ca="1">IFERROR(IF(0=LEN(ReferenceData!$BC$345),"",ReferenceData!$BC$345),"")</f>
        <v>-314.93513789999997</v>
      </c>
      <c r="BD345">
        <f ca="1">IFERROR(IF(0=LEN(ReferenceData!$BD$345),"",ReferenceData!$BD$345),"")</f>
        <v>-378.01274539999997</v>
      </c>
      <c r="BE345">
        <f ca="1">IFERROR(IF(0=LEN(ReferenceData!$BE$345),"",ReferenceData!$BE$345),"")</f>
        <v>-299.97125510000001</v>
      </c>
      <c r="BF345">
        <f ca="1">IFERROR(IF(0=LEN(ReferenceData!$BF$345),"",ReferenceData!$BF$345),"")</f>
        <v>-304.5111819</v>
      </c>
      <c r="BG345">
        <f ca="1">IFERROR(IF(0=LEN(ReferenceData!$BG$345),"",ReferenceData!$BG$345),"")</f>
        <v>-330.87581349999999</v>
      </c>
      <c r="BH345" t="str">
        <f ca="1">IFERROR(IF(0=LEN(ReferenceData!$BH$345),"",ReferenceData!$BH$345),"")</f>
        <v/>
      </c>
      <c r="BI345" t="str">
        <f ca="1">IFERROR(IF(0=LEN(ReferenceData!$BI$345),"",ReferenceData!$BI$345),"")</f>
        <v/>
      </c>
      <c r="BJ345" t="str">
        <f ca="1">IFERROR(IF(0=LEN(ReferenceData!$BJ$345),"",ReferenceData!$BJ$345),"")</f>
        <v/>
      </c>
      <c r="BK345" t="str">
        <f ca="1">IFERROR(IF(0=LEN(ReferenceData!$BK$345),"",ReferenceData!$BK$345),"")</f>
        <v/>
      </c>
      <c r="BL345" t="str">
        <f ca="1">IFERROR(IF(0=LEN(ReferenceData!$BL$345),"",ReferenceData!$BL$345),"")</f>
        <v/>
      </c>
      <c r="BM345" t="str">
        <f ca="1">IFERROR(IF(0=LEN(ReferenceData!$BM$345),"",ReferenceData!$BM$345),"")</f>
        <v/>
      </c>
    </row>
    <row r="346" spans="1:65" x14ac:dyDescent="0.25">
      <c r="A346" t="str">
        <f>IFERROR(IF(0=LEN(ReferenceData!$A$346),"",ReferenceData!$A$346),"")</f>
        <v xml:space="preserve">    GAZ PJSC</v>
      </c>
      <c r="B346" t="str">
        <f>IFERROR(IF(0=LEN(ReferenceData!$B$346),"",ReferenceData!$B$346),"")</f>
        <v>GAZA RM Equity</v>
      </c>
      <c r="C346" t="str">
        <f>IFERROR(IF(0=LEN(ReferenceData!$C$346),"",ReferenceData!$C$346),"")</f>
        <v>RX530</v>
      </c>
      <c r="D346" t="str">
        <f>IFERROR(IF(0=LEN(ReferenceData!$D$346),"",ReferenceData!$D$346),"")</f>
        <v>T12M_DVDS_PAID</v>
      </c>
      <c r="E346" t="str">
        <f>IFERROR(IF(0=LEN(ReferenceData!$E$346),"",ReferenceData!$E$346),"")</f>
        <v>Dynamic</v>
      </c>
      <c r="F346" t="str">
        <f ca="1">IFERROR(IF(0=LEN(ReferenceData!$F$346),"",ReferenceData!$F$346),"")</f>
        <v/>
      </c>
      <c r="G346" t="str">
        <f ca="1">IFERROR(IF(0=LEN(ReferenceData!$G$346),"",ReferenceData!$G$346),"")</f>
        <v/>
      </c>
      <c r="H346" t="str">
        <f ca="1">IFERROR(IF(0=LEN(ReferenceData!$H$346),"",ReferenceData!$H$346),"")</f>
        <v/>
      </c>
      <c r="I346" t="str">
        <f ca="1">IFERROR(IF(0=LEN(ReferenceData!$I$346),"",ReferenceData!$I$346),"")</f>
        <v/>
      </c>
      <c r="J346" t="str">
        <f ca="1">IFERROR(IF(0=LEN(ReferenceData!$J$346),"",ReferenceData!$J$346),"")</f>
        <v/>
      </c>
      <c r="K346" t="str">
        <f ca="1">IFERROR(IF(0=LEN(ReferenceData!$K$346),"",ReferenceData!$K$346),"")</f>
        <v/>
      </c>
      <c r="L346" t="str">
        <f ca="1">IFERROR(IF(0=LEN(ReferenceData!$L$346),"",ReferenceData!$L$346),"")</f>
        <v/>
      </c>
      <c r="M346" t="str">
        <f ca="1">IFERROR(IF(0=LEN(ReferenceData!$M$346),"",ReferenceData!$M$346),"")</f>
        <v/>
      </c>
      <c r="N346" t="str">
        <f ca="1">IFERROR(IF(0=LEN(ReferenceData!$N$346),"",ReferenceData!$N$346),"")</f>
        <v/>
      </c>
      <c r="O346" t="str">
        <f ca="1">IFERROR(IF(0=LEN(ReferenceData!$O$346),"",ReferenceData!$O$346),"")</f>
        <v/>
      </c>
      <c r="P346" t="str">
        <f ca="1">IFERROR(IF(0=LEN(ReferenceData!$P$346),"",ReferenceData!$P$346),"")</f>
        <v/>
      </c>
      <c r="Q346" t="str">
        <f ca="1">IFERROR(IF(0=LEN(ReferenceData!$Q$346),"",ReferenceData!$Q$346),"")</f>
        <v/>
      </c>
      <c r="R346" t="str">
        <f ca="1">IFERROR(IF(0=LEN(ReferenceData!$R$346),"",ReferenceData!$R$346),"")</f>
        <v/>
      </c>
      <c r="S346" t="str">
        <f ca="1">IFERROR(IF(0=LEN(ReferenceData!$S$346),"",ReferenceData!$S$346),"")</f>
        <v/>
      </c>
      <c r="T346" t="str">
        <f ca="1">IFERROR(IF(0=LEN(ReferenceData!$T$346),"",ReferenceData!$T$346),"")</f>
        <v/>
      </c>
      <c r="U346" t="str">
        <f ca="1">IFERROR(IF(0=LEN(ReferenceData!$U$346),"",ReferenceData!$U$346),"")</f>
        <v/>
      </c>
      <c r="V346" t="str">
        <f ca="1">IFERROR(IF(0=LEN(ReferenceData!$V$346),"",ReferenceData!$V$346),"")</f>
        <v/>
      </c>
      <c r="W346" t="str">
        <f ca="1">IFERROR(IF(0=LEN(ReferenceData!$W$346),"",ReferenceData!$W$346),"")</f>
        <v/>
      </c>
      <c r="X346" t="str">
        <f ca="1">IFERROR(IF(0=LEN(ReferenceData!$X$346),"",ReferenceData!$X$346),"")</f>
        <v/>
      </c>
      <c r="Y346" t="str">
        <f ca="1">IFERROR(IF(0=LEN(ReferenceData!$Y$346),"",ReferenceData!$Y$346),"")</f>
        <v/>
      </c>
      <c r="Z346" t="str">
        <f ca="1">IFERROR(IF(0=LEN(ReferenceData!$Z$346),"",ReferenceData!$Z$346),"")</f>
        <v/>
      </c>
      <c r="AA346" t="str">
        <f ca="1">IFERROR(IF(0=LEN(ReferenceData!$AA$346),"",ReferenceData!$AA$346),"")</f>
        <v/>
      </c>
      <c r="AB346" t="str">
        <f ca="1">IFERROR(IF(0=LEN(ReferenceData!$AB$346),"",ReferenceData!$AB$346),"")</f>
        <v/>
      </c>
      <c r="AC346" t="str">
        <f ca="1">IFERROR(IF(0=LEN(ReferenceData!$AC$346),"",ReferenceData!$AC$346),"")</f>
        <v/>
      </c>
      <c r="AD346" t="str">
        <f ca="1">IFERROR(IF(0=LEN(ReferenceData!$AD$346),"",ReferenceData!$AD$346),"")</f>
        <v/>
      </c>
      <c r="AE346" t="str">
        <f ca="1">IFERROR(IF(0=LEN(ReferenceData!$AE$346),"",ReferenceData!$AE$346),"")</f>
        <v/>
      </c>
      <c r="AF346" t="str">
        <f ca="1">IFERROR(IF(0=LEN(ReferenceData!$AF$346),"",ReferenceData!$AF$346),"")</f>
        <v/>
      </c>
      <c r="AG346" t="str">
        <f ca="1">IFERROR(IF(0=LEN(ReferenceData!$AG$346),"",ReferenceData!$AG$346),"")</f>
        <v/>
      </c>
      <c r="AH346" t="str">
        <f ca="1">IFERROR(IF(0=LEN(ReferenceData!$AH$346),"",ReferenceData!$AH$346),"")</f>
        <v/>
      </c>
      <c r="AI346" t="str">
        <f ca="1">IFERROR(IF(0=LEN(ReferenceData!$AI$346),"",ReferenceData!$AI$346),"")</f>
        <v/>
      </c>
      <c r="AJ346" t="str">
        <f ca="1">IFERROR(IF(0=LEN(ReferenceData!$AJ$346),"",ReferenceData!$AJ$346),"")</f>
        <v/>
      </c>
      <c r="AK346" t="str">
        <f ca="1">IFERROR(IF(0=LEN(ReferenceData!$AK$346),"",ReferenceData!$AK$346),"")</f>
        <v/>
      </c>
      <c r="AL346" t="str">
        <f ca="1">IFERROR(IF(0=LEN(ReferenceData!$AL$346),"",ReferenceData!$AL$346),"")</f>
        <v/>
      </c>
      <c r="AM346" t="str">
        <f ca="1">IFERROR(IF(0=LEN(ReferenceData!$AM$346),"",ReferenceData!$AM$346),"")</f>
        <v/>
      </c>
      <c r="AN346" t="str">
        <f ca="1">IFERROR(IF(0=LEN(ReferenceData!$AN$346),"",ReferenceData!$AN$346),"")</f>
        <v/>
      </c>
      <c r="AO346" t="str">
        <f ca="1">IFERROR(IF(0=LEN(ReferenceData!$AO$346),"",ReferenceData!$AO$346),"")</f>
        <v/>
      </c>
      <c r="AP346" t="str">
        <f ca="1">IFERROR(IF(0=LEN(ReferenceData!$AP$346),"",ReferenceData!$AP$346),"")</f>
        <v/>
      </c>
      <c r="AQ346" t="str">
        <f ca="1">IFERROR(IF(0=LEN(ReferenceData!$AQ$346),"",ReferenceData!$AQ$346),"")</f>
        <v/>
      </c>
      <c r="AR346" t="str">
        <f ca="1">IFERROR(IF(0=LEN(ReferenceData!$AR$346),"",ReferenceData!$AR$346),"")</f>
        <v/>
      </c>
      <c r="AS346" t="str">
        <f ca="1">IFERROR(IF(0=LEN(ReferenceData!$AS$346),"",ReferenceData!$AS$346),"")</f>
        <v/>
      </c>
      <c r="AT346" t="str">
        <f ca="1">IFERROR(IF(0=LEN(ReferenceData!$AT$346),"",ReferenceData!$AT$346),"")</f>
        <v/>
      </c>
      <c r="AU346" t="str">
        <f ca="1">IFERROR(IF(0=LEN(ReferenceData!$AU$346),"",ReferenceData!$AU$346),"")</f>
        <v/>
      </c>
      <c r="AV346" t="str">
        <f ca="1">IFERROR(IF(0=LEN(ReferenceData!$AV$346),"",ReferenceData!$AV$346),"")</f>
        <v/>
      </c>
      <c r="AW346" t="str">
        <f ca="1">IFERROR(IF(0=LEN(ReferenceData!$AW$346),"",ReferenceData!$AW$346),"")</f>
        <v/>
      </c>
      <c r="AX346" t="str">
        <f ca="1">IFERROR(IF(0=LEN(ReferenceData!$AX$346),"",ReferenceData!$AX$346),"")</f>
        <v/>
      </c>
      <c r="AY346" t="str">
        <f ca="1">IFERROR(IF(0=LEN(ReferenceData!$AY$346),"",ReferenceData!$AY$346),"")</f>
        <v/>
      </c>
      <c r="AZ346" t="str">
        <f ca="1">IFERROR(IF(0=LEN(ReferenceData!$AZ$346),"",ReferenceData!$AZ$346),"")</f>
        <v/>
      </c>
      <c r="BA346" t="str">
        <f ca="1">IFERROR(IF(0=LEN(ReferenceData!$BA$346),"",ReferenceData!$BA$346),"")</f>
        <v/>
      </c>
      <c r="BB346" t="str">
        <f ca="1">IFERROR(IF(0=LEN(ReferenceData!$BB$346),"",ReferenceData!$BB$346),"")</f>
        <v/>
      </c>
      <c r="BC346" t="str">
        <f ca="1">IFERROR(IF(0=LEN(ReferenceData!$BC$346),"",ReferenceData!$BC$346),"")</f>
        <v/>
      </c>
      <c r="BD346" t="str">
        <f ca="1">IFERROR(IF(0=LEN(ReferenceData!$BD$346),"",ReferenceData!$BD$346),"")</f>
        <v/>
      </c>
      <c r="BE346" t="str">
        <f ca="1">IFERROR(IF(0=LEN(ReferenceData!$BE$346),"",ReferenceData!$BE$346),"")</f>
        <v/>
      </c>
      <c r="BF346" t="str">
        <f ca="1">IFERROR(IF(0=LEN(ReferenceData!$BF$346),"",ReferenceData!$BF$346),"")</f>
        <v/>
      </c>
      <c r="BG346" t="str">
        <f ca="1">IFERROR(IF(0=LEN(ReferenceData!$BG$346),"",ReferenceData!$BG$346),"")</f>
        <v/>
      </c>
      <c r="BH346" t="str">
        <f ca="1">IFERROR(IF(0=LEN(ReferenceData!$BH$346),"",ReferenceData!$BH$346),"")</f>
        <v/>
      </c>
      <c r="BI346" t="str">
        <f ca="1">IFERROR(IF(0=LEN(ReferenceData!$BI$346),"",ReferenceData!$BI$346),"")</f>
        <v/>
      </c>
      <c r="BJ346" t="str">
        <f ca="1">IFERROR(IF(0=LEN(ReferenceData!$BJ$346),"",ReferenceData!$BJ$346),"")</f>
        <v/>
      </c>
      <c r="BK346" t="str">
        <f ca="1">IFERROR(IF(0=LEN(ReferenceData!$BK$346),"",ReferenceData!$BK$346),"")</f>
        <v/>
      </c>
      <c r="BL346" t="str">
        <f ca="1">IFERROR(IF(0=LEN(ReferenceData!$BL$346),"",ReferenceData!$BL$346),"")</f>
        <v/>
      </c>
      <c r="BM346" t="str">
        <f ca="1">IFERROR(IF(0=LEN(ReferenceData!$BM$346),"",ReferenceData!$BM$346),"")</f>
        <v/>
      </c>
    </row>
    <row r="347" spans="1:65" x14ac:dyDescent="0.25">
      <c r="A347" t="str">
        <f>IFERROR(IF(0=LEN(ReferenceData!$A$347),"",ReferenceData!$A$347),"")</f>
        <v xml:space="preserve">    Geely Automobile Holdings Ltd</v>
      </c>
      <c r="B347" t="str">
        <f>IFERROR(IF(0=LEN(ReferenceData!$B$347),"",ReferenceData!$B$347),"")</f>
        <v>175 HK Equity</v>
      </c>
      <c r="C347" t="str">
        <f>IFERROR(IF(0=LEN(ReferenceData!$C$347),"",ReferenceData!$C$347),"")</f>
        <v>RX530</v>
      </c>
      <c r="D347" t="str">
        <f>IFERROR(IF(0=LEN(ReferenceData!$D$347),"",ReferenceData!$D$347),"")</f>
        <v>T12M_DVDS_PAID</v>
      </c>
      <c r="E347" t="str">
        <f>IFERROR(IF(0=LEN(ReferenceData!$E$347),"",ReferenceData!$E$347),"")</f>
        <v>Dynamic</v>
      </c>
      <c r="F347" t="str">
        <f ca="1">IFERROR(IF(0=LEN(ReferenceData!$F$347),"",ReferenceData!$F$347),"")</f>
        <v/>
      </c>
      <c r="G347" t="str">
        <f ca="1">IFERROR(IF(0=LEN(ReferenceData!$G$347),"",ReferenceData!$G$347),"")</f>
        <v/>
      </c>
      <c r="H347" t="str">
        <f ca="1">IFERROR(IF(0=LEN(ReferenceData!$H$347),"",ReferenceData!$H$347),"")</f>
        <v/>
      </c>
      <c r="I347" t="str">
        <f ca="1">IFERROR(IF(0=LEN(ReferenceData!$I$347),"",ReferenceData!$I$347),"")</f>
        <v/>
      </c>
      <c r="J347" t="str">
        <f ca="1">IFERROR(IF(0=LEN(ReferenceData!$J$347),"",ReferenceData!$J$347),"")</f>
        <v/>
      </c>
      <c r="K347" t="str">
        <f ca="1">IFERROR(IF(0=LEN(ReferenceData!$K$347),"",ReferenceData!$K$347),"")</f>
        <v/>
      </c>
      <c r="L347" t="str">
        <f ca="1">IFERROR(IF(0=LEN(ReferenceData!$L$347),"",ReferenceData!$L$347),"")</f>
        <v/>
      </c>
      <c r="M347" t="str">
        <f ca="1">IFERROR(IF(0=LEN(ReferenceData!$M$347),"",ReferenceData!$M$347),"")</f>
        <v/>
      </c>
      <c r="N347" t="str">
        <f ca="1">IFERROR(IF(0=LEN(ReferenceData!$N$347),"",ReferenceData!$N$347),"")</f>
        <v/>
      </c>
      <c r="O347" t="str">
        <f ca="1">IFERROR(IF(0=LEN(ReferenceData!$O$347),"",ReferenceData!$O$347),"")</f>
        <v/>
      </c>
      <c r="P347" t="str">
        <f ca="1">IFERROR(IF(0=LEN(ReferenceData!$P$347),"",ReferenceData!$P$347),"")</f>
        <v/>
      </c>
      <c r="Q347" t="str">
        <f ca="1">IFERROR(IF(0=LEN(ReferenceData!$Q$347),"",ReferenceData!$Q$347),"")</f>
        <v/>
      </c>
      <c r="R347" t="str">
        <f ca="1">IFERROR(IF(0=LEN(ReferenceData!$R$347),"",ReferenceData!$R$347),"")</f>
        <v/>
      </c>
      <c r="S347" t="str">
        <f ca="1">IFERROR(IF(0=LEN(ReferenceData!$S$347),"",ReferenceData!$S$347),"")</f>
        <v/>
      </c>
      <c r="T347" t="str">
        <f ca="1">IFERROR(IF(0=LEN(ReferenceData!$T$347),"",ReferenceData!$T$347),"")</f>
        <v/>
      </c>
      <c r="U347" t="str">
        <f ca="1">IFERROR(IF(0=LEN(ReferenceData!$U$347),"",ReferenceData!$U$347),"")</f>
        <v/>
      </c>
      <c r="V347" t="str">
        <f ca="1">IFERROR(IF(0=LEN(ReferenceData!$V$347),"",ReferenceData!$V$347),"")</f>
        <v/>
      </c>
      <c r="W347" t="str">
        <f ca="1">IFERROR(IF(0=LEN(ReferenceData!$W$347),"",ReferenceData!$W$347),"")</f>
        <v/>
      </c>
      <c r="X347" t="str">
        <f ca="1">IFERROR(IF(0=LEN(ReferenceData!$X$347),"",ReferenceData!$X$347),"")</f>
        <v/>
      </c>
      <c r="Y347" t="str">
        <f ca="1">IFERROR(IF(0=LEN(ReferenceData!$Y$347),"",ReferenceData!$Y$347),"")</f>
        <v/>
      </c>
      <c r="Z347" t="str">
        <f ca="1">IFERROR(IF(0=LEN(ReferenceData!$Z$347),"",ReferenceData!$Z$347),"")</f>
        <v/>
      </c>
      <c r="AA347" t="str">
        <f ca="1">IFERROR(IF(0=LEN(ReferenceData!$AA$347),"",ReferenceData!$AA$347),"")</f>
        <v/>
      </c>
      <c r="AB347" t="str">
        <f ca="1">IFERROR(IF(0=LEN(ReferenceData!$AB$347),"",ReferenceData!$AB$347),"")</f>
        <v/>
      </c>
      <c r="AC347" t="str">
        <f ca="1">IFERROR(IF(0=LEN(ReferenceData!$AC$347),"",ReferenceData!$AC$347),"")</f>
        <v/>
      </c>
      <c r="AD347" t="str">
        <f ca="1">IFERROR(IF(0=LEN(ReferenceData!$AD$347),"",ReferenceData!$AD$347),"")</f>
        <v/>
      </c>
      <c r="AE347" t="str">
        <f ca="1">IFERROR(IF(0=LEN(ReferenceData!$AE$347),"",ReferenceData!$AE$347),"")</f>
        <v/>
      </c>
      <c r="AF347" t="str">
        <f ca="1">IFERROR(IF(0=LEN(ReferenceData!$AF$347),"",ReferenceData!$AF$347),"")</f>
        <v/>
      </c>
      <c r="AG347" t="str">
        <f ca="1">IFERROR(IF(0=LEN(ReferenceData!$AG$347),"",ReferenceData!$AG$347),"")</f>
        <v/>
      </c>
      <c r="AH347" t="str">
        <f ca="1">IFERROR(IF(0=LEN(ReferenceData!$AH$347),"",ReferenceData!$AH$347),"")</f>
        <v/>
      </c>
      <c r="AI347" t="str">
        <f ca="1">IFERROR(IF(0=LEN(ReferenceData!$AI$347),"",ReferenceData!$AI$347),"")</f>
        <v/>
      </c>
      <c r="AJ347" t="str">
        <f ca="1">IFERROR(IF(0=LEN(ReferenceData!$AJ$347),"",ReferenceData!$AJ$347),"")</f>
        <v/>
      </c>
      <c r="AK347" t="str">
        <f ca="1">IFERROR(IF(0=LEN(ReferenceData!$AK$347),"",ReferenceData!$AK$347),"")</f>
        <v/>
      </c>
      <c r="AL347" t="str">
        <f ca="1">IFERROR(IF(0=LEN(ReferenceData!$AL$347),"",ReferenceData!$AL$347),"")</f>
        <v/>
      </c>
      <c r="AM347" t="str">
        <f ca="1">IFERROR(IF(0=LEN(ReferenceData!$AM$347),"",ReferenceData!$AM$347),"")</f>
        <v/>
      </c>
      <c r="AN347" t="str">
        <f ca="1">IFERROR(IF(0=LEN(ReferenceData!$AN$347),"",ReferenceData!$AN$347),"")</f>
        <v/>
      </c>
      <c r="AO347" t="str">
        <f ca="1">IFERROR(IF(0=LEN(ReferenceData!$AO$347),"",ReferenceData!$AO$347),"")</f>
        <v/>
      </c>
      <c r="AP347" t="str">
        <f ca="1">IFERROR(IF(0=LEN(ReferenceData!$AP$347),"",ReferenceData!$AP$347),"")</f>
        <v/>
      </c>
      <c r="AQ347" t="str">
        <f ca="1">IFERROR(IF(0=LEN(ReferenceData!$AQ$347),"",ReferenceData!$AQ$347),"")</f>
        <v/>
      </c>
      <c r="AR347" t="str">
        <f ca="1">IFERROR(IF(0=LEN(ReferenceData!$AR$347),"",ReferenceData!$AR$347),"")</f>
        <v/>
      </c>
      <c r="AS347" t="str">
        <f ca="1">IFERROR(IF(0=LEN(ReferenceData!$AS$347),"",ReferenceData!$AS$347),"")</f>
        <v/>
      </c>
      <c r="AT347" t="str">
        <f ca="1">IFERROR(IF(0=LEN(ReferenceData!$AT$347),"",ReferenceData!$AT$347),"")</f>
        <v/>
      </c>
      <c r="AU347" t="str">
        <f ca="1">IFERROR(IF(0=LEN(ReferenceData!$AU$347),"",ReferenceData!$AU$347),"")</f>
        <v/>
      </c>
      <c r="AV347" t="str">
        <f ca="1">IFERROR(IF(0=LEN(ReferenceData!$AV$347),"",ReferenceData!$AV$347),"")</f>
        <v/>
      </c>
      <c r="AW347" t="str">
        <f ca="1">IFERROR(IF(0=LEN(ReferenceData!$AW$347),"",ReferenceData!$AW$347),"")</f>
        <v/>
      </c>
      <c r="AX347" t="str">
        <f ca="1">IFERROR(IF(0=LEN(ReferenceData!$AX$347),"",ReferenceData!$AX$347),"")</f>
        <v/>
      </c>
      <c r="AY347" t="str">
        <f ca="1">IFERROR(IF(0=LEN(ReferenceData!$AY$347),"",ReferenceData!$AY$347),"")</f>
        <v/>
      </c>
      <c r="AZ347" t="str">
        <f ca="1">IFERROR(IF(0=LEN(ReferenceData!$AZ$347),"",ReferenceData!$AZ$347),"")</f>
        <v/>
      </c>
      <c r="BA347" t="str">
        <f ca="1">IFERROR(IF(0=LEN(ReferenceData!$BA$347),"",ReferenceData!$BA$347),"")</f>
        <v/>
      </c>
      <c r="BB347" t="str">
        <f ca="1">IFERROR(IF(0=LEN(ReferenceData!$BB$347),"",ReferenceData!$BB$347),"")</f>
        <v/>
      </c>
      <c r="BC347" t="str">
        <f ca="1">IFERROR(IF(0=LEN(ReferenceData!$BC$347),"",ReferenceData!$BC$347),"")</f>
        <v/>
      </c>
      <c r="BD347" t="str">
        <f ca="1">IFERROR(IF(0=LEN(ReferenceData!$BD$347),"",ReferenceData!$BD$347),"")</f>
        <v/>
      </c>
      <c r="BE347" t="str">
        <f ca="1">IFERROR(IF(0=LEN(ReferenceData!$BE$347),"",ReferenceData!$BE$347),"")</f>
        <v/>
      </c>
      <c r="BF347" t="str">
        <f ca="1">IFERROR(IF(0=LEN(ReferenceData!$BF$347),"",ReferenceData!$BF$347),"")</f>
        <v/>
      </c>
      <c r="BG347" t="str">
        <f ca="1">IFERROR(IF(0=LEN(ReferenceData!$BG$347),"",ReferenceData!$BG$347),"")</f>
        <v/>
      </c>
      <c r="BH347" t="str">
        <f ca="1">IFERROR(IF(0=LEN(ReferenceData!$BH$347),"",ReferenceData!$BH$347),"")</f>
        <v/>
      </c>
      <c r="BI347" t="str">
        <f ca="1">IFERROR(IF(0=LEN(ReferenceData!$BI$347),"",ReferenceData!$BI$347),"")</f>
        <v/>
      </c>
      <c r="BJ347" t="str">
        <f ca="1">IFERROR(IF(0=LEN(ReferenceData!$BJ$347),"",ReferenceData!$BJ$347),"")</f>
        <v/>
      </c>
      <c r="BK347" t="str">
        <f ca="1">IFERROR(IF(0=LEN(ReferenceData!$BK$347),"",ReferenceData!$BK$347),"")</f>
        <v/>
      </c>
      <c r="BL347" t="str">
        <f ca="1">IFERROR(IF(0=LEN(ReferenceData!$BL$347),"",ReferenceData!$BL$347),"")</f>
        <v/>
      </c>
      <c r="BM347" t="str">
        <f ca="1">IFERROR(IF(0=LEN(ReferenceData!$BM$347),"",ReferenceData!$BM$347),"")</f>
        <v/>
      </c>
    </row>
    <row r="348" spans="1:65" x14ac:dyDescent="0.25">
      <c r="A348" t="str">
        <f>IFERROR(IF(0=LEN(ReferenceData!$A$348),"",ReferenceData!$A$348),"")</f>
        <v xml:space="preserve">    General Motors Co</v>
      </c>
      <c r="B348" t="str">
        <f>IFERROR(IF(0=LEN(ReferenceData!$B$348),"",ReferenceData!$B$348),"")</f>
        <v>GM US Equity</v>
      </c>
      <c r="C348" t="str">
        <f>IFERROR(IF(0=LEN(ReferenceData!$C$348),"",ReferenceData!$C$348),"")</f>
        <v>RX530</v>
      </c>
      <c r="D348" t="str">
        <f>IFERROR(IF(0=LEN(ReferenceData!$D$348),"",ReferenceData!$D$348),"")</f>
        <v>T12M_DVDS_PAID</v>
      </c>
      <c r="E348" t="str">
        <f>IFERROR(IF(0=LEN(ReferenceData!$E$348),"",ReferenceData!$E$348),"")</f>
        <v>Dynamic</v>
      </c>
      <c r="F348" t="str">
        <f ca="1">IFERROR(IF(0=LEN(ReferenceData!$F$348),"",ReferenceData!$F$348),"")</f>
        <v/>
      </c>
      <c r="G348">
        <f ca="1">IFERROR(IF(0=LEN(ReferenceData!$G$348),"",ReferenceData!$G$348),"")</f>
        <v>-2242</v>
      </c>
      <c r="H348">
        <f ca="1">IFERROR(IF(0=LEN(ReferenceData!$H$348),"",ReferenceData!$H$348),"")</f>
        <v>-2222</v>
      </c>
      <c r="I348">
        <f ca="1">IFERROR(IF(0=LEN(ReferenceData!$I$348),"",ReferenceData!$I$348),"")</f>
        <v>-2192</v>
      </c>
      <c r="J348">
        <f ca="1">IFERROR(IF(0=LEN(ReferenceData!$J$348),"",ReferenceData!$J$348),"")</f>
        <v>-2226</v>
      </c>
      <c r="K348">
        <f ca="1">IFERROR(IF(0=LEN(ReferenceData!$K$348),"",ReferenceData!$K$348),"")</f>
        <v>-2233</v>
      </c>
      <c r="L348">
        <f ca="1">IFERROR(IF(0=LEN(ReferenceData!$L$348),"",ReferenceData!$L$348),"")</f>
        <v>-2287</v>
      </c>
      <c r="M348">
        <f ca="1">IFERROR(IF(0=LEN(ReferenceData!$M$348),"",ReferenceData!$M$348),"")</f>
        <v>-2325</v>
      </c>
      <c r="N348">
        <f ca="1">IFERROR(IF(0=LEN(ReferenceData!$N$348),"",ReferenceData!$N$348),"")</f>
        <v>-2353</v>
      </c>
      <c r="O348">
        <f ca="1">IFERROR(IF(0=LEN(ReferenceData!$O$348),"",ReferenceData!$O$348),"")</f>
        <v>-2368</v>
      </c>
      <c r="P348">
        <f ca="1">IFERROR(IF(0=LEN(ReferenceData!$P$348),"",ReferenceData!$P$348),"")</f>
        <v>-2346</v>
      </c>
      <c r="Q348">
        <f ca="1">IFERROR(IF(0=LEN(ReferenceData!$Q$348),"",ReferenceData!$Q$348),"")</f>
        <v>-2344</v>
      </c>
      <c r="R348">
        <f ca="1">IFERROR(IF(0=LEN(ReferenceData!$R$348),"",ReferenceData!$R$348),"")</f>
        <v>-2342</v>
      </c>
      <c r="S348">
        <f ca="1">IFERROR(IF(0=LEN(ReferenceData!$S$348),"",ReferenceData!$S$348),"")</f>
        <v>-2242</v>
      </c>
      <c r="T348">
        <f ca="1">IFERROR(IF(0=LEN(ReferenceData!$T$348),"",ReferenceData!$T$348),"")</f>
        <v>-3062</v>
      </c>
      <c r="U348">
        <f ca="1">IFERROR(IF(0=LEN(ReferenceData!$U$348),"",ReferenceData!$U$348),"")</f>
        <v>-3058</v>
      </c>
      <c r="V348">
        <f ca="1">IFERROR(IF(0=LEN(ReferenceData!$V$348),"",ReferenceData!$V$348),"")</f>
        <v>-3082</v>
      </c>
      <c r="W348">
        <f ca="1">IFERROR(IF(0=LEN(ReferenceData!$W$348),"",ReferenceData!$W$348),"")</f>
        <v>-3165</v>
      </c>
      <c r="X348">
        <f ca="1">IFERROR(IF(0=LEN(ReferenceData!$X$348),"",ReferenceData!$X$348),"")</f>
        <v>-1949</v>
      </c>
      <c r="Y348">
        <f ca="1">IFERROR(IF(0=LEN(ReferenceData!$Y$348),"",ReferenceData!$Y$348),"")</f>
        <v>-2406</v>
      </c>
      <c r="Z348">
        <f ca="1">IFERROR(IF(0=LEN(ReferenceData!$Z$348),"",ReferenceData!$Z$348),"")</f>
        <v>-2040</v>
      </c>
      <c r="AA348">
        <f ca="1">IFERROR(IF(0=LEN(ReferenceData!$AA$348),"",ReferenceData!$AA$348),"")</f>
        <v>-1687</v>
      </c>
      <c r="AB348">
        <f ca="1">IFERROR(IF(0=LEN(ReferenceData!$AB$348),"",ReferenceData!$AB$348),"")</f>
        <v>-1779</v>
      </c>
      <c r="AC348">
        <f ca="1">IFERROR(IF(0=LEN(ReferenceData!$AC$348),"",ReferenceData!$AC$348),"")</f>
        <v>-954</v>
      </c>
      <c r="AD348">
        <f ca="1">IFERROR(IF(0=LEN(ReferenceData!$AD$348),"",ReferenceData!$AD$348),"")</f>
        <v>-940</v>
      </c>
      <c r="AE348">
        <f ca="1">IFERROR(IF(0=LEN(ReferenceData!$AE$348),"",ReferenceData!$AE$348),"")</f>
        <v>-939</v>
      </c>
      <c r="AF348">
        <f ca="1">IFERROR(IF(0=LEN(ReferenceData!$AF$348),"",ReferenceData!$AF$348),"")</f>
        <v>-946</v>
      </c>
      <c r="AG348">
        <f ca="1">IFERROR(IF(0=LEN(ReferenceData!$AG$348),"",ReferenceData!$AG$348),"")</f>
        <v>-940</v>
      </c>
      <c r="AH348">
        <f ca="1">IFERROR(IF(0=LEN(ReferenceData!$AH$348),"",ReferenceData!$AH$348),"")</f>
        <v>-912</v>
      </c>
      <c r="AI348">
        <f ca="1">IFERROR(IF(0=LEN(ReferenceData!$AI$348),"",ReferenceData!$AI$348),"")</f>
        <v>-916</v>
      </c>
      <c r="AJ348">
        <f ca="1">IFERROR(IF(0=LEN(ReferenceData!$AJ$348),"",ReferenceData!$AJ$348),"")</f>
        <v>-1613</v>
      </c>
      <c r="AK348">
        <f ca="1">IFERROR(IF(0=LEN(ReferenceData!$AK$348),"",ReferenceData!$AK$348),"")</f>
        <v>-1602</v>
      </c>
      <c r="AL348">
        <f ca="1">IFERROR(IF(0=LEN(ReferenceData!$AL$348),"",ReferenceData!$AL$348),"")</f>
        <v>-1590</v>
      </c>
      <c r="AM348">
        <f ca="1">IFERROR(IF(0=LEN(ReferenceData!$AM$348),"",ReferenceData!$AM$348),"")</f>
        <v>-1572</v>
      </c>
      <c r="AN348">
        <f ca="1">IFERROR(IF(0=LEN(ReferenceData!$AN$348),"",ReferenceData!$AN$348),"")</f>
        <v>-664</v>
      </c>
      <c r="AO348">
        <f ca="1">IFERROR(IF(0=LEN(ReferenceData!$AO$348),"",ReferenceData!$AO$348),"")</f>
        <v>-502</v>
      </c>
      <c r="AP348">
        <f ca="1">IFERROR(IF(0=LEN(ReferenceData!$AP$348),"",ReferenceData!$AP$348),"")</f>
        <v>-300</v>
      </c>
      <c r="AQ348">
        <f ca="1">IFERROR(IF(0=LEN(ReferenceData!$AQ$348),"",ReferenceData!$AQ$348),"")</f>
        <v>-97</v>
      </c>
      <c r="AR348" t="str">
        <f ca="1">IFERROR(IF(0=LEN(ReferenceData!$AR$348),"",ReferenceData!$AR$348),"")</f>
        <v/>
      </c>
      <c r="AS348" t="str">
        <f ca="1">IFERROR(IF(0=LEN(ReferenceData!$AS$348),"",ReferenceData!$AS$348),"")</f>
        <v/>
      </c>
      <c r="AT348" t="str">
        <f ca="1">IFERROR(IF(0=LEN(ReferenceData!$AT$348),"",ReferenceData!$AT$348),"")</f>
        <v/>
      </c>
      <c r="AU348" t="str">
        <f ca="1">IFERROR(IF(0=LEN(ReferenceData!$AU$348),"",ReferenceData!$AU$348),"")</f>
        <v/>
      </c>
      <c r="AV348" t="str">
        <f ca="1">IFERROR(IF(0=LEN(ReferenceData!$AV$348),"",ReferenceData!$AV$348),"")</f>
        <v/>
      </c>
      <c r="AW348" t="str">
        <f ca="1">IFERROR(IF(0=LEN(ReferenceData!$AW$348),"",ReferenceData!$AW$348),"")</f>
        <v/>
      </c>
      <c r="AX348" t="str">
        <f ca="1">IFERROR(IF(0=LEN(ReferenceData!$AX$348),"",ReferenceData!$AX$348),"")</f>
        <v/>
      </c>
      <c r="AY348" t="str">
        <f ca="1">IFERROR(IF(0=LEN(ReferenceData!$AY$348),"",ReferenceData!$AY$348),"")</f>
        <v/>
      </c>
      <c r="AZ348" t="str">
        <f ca="1">IFERROR(IF(0=LEN(ReferenceData!$AZ$348),"",ReferenceData!$AZ$348),"")</f>
        <v/>
      </c>
      <c r="BA348" t="str">
        <f ca="1">IFERROR(IF(0=LEN(ReferenceData!$BA$348),"",ReferenceData!$BA$348),"")</f>
        <v/>
      </c>
      <c r="BB348" t="str">
        <f ca="1">IFERROR(IF(0=LEN(ReferenceData!$BB$348),"",ReferenceData!$BB$348),"")</f>
        <v/>
      </c>
      <c r="BC348" t="str">
        <f ca="1">IFERROR(IF(0=LEN(ReferenceData!$BC$348),"",ReferenceData!$BC$348),"")</f>
        <v/>
      </c>
      <c r="BD348" t="str">
        <f ca="1">IFERROR(IF(0=LEN(ReferenceData!$BD$348),"",ReferenceData!$BD$348),"")</f>
        <v/>
      </c>
      <c r="BE348" t="str">
        <f ca="1">IFERROR(IF(0=LEN(ReferenceData!$BE$348),"",ReferenceData!$BE$348),"")</f>
        <v/>
      </c>
      <c r="BF348" t="str">
        <f ca="1">IFERROR(IF(0=LEN(ReferenceData!$BF$348),"",ReferenceData!$BF$348),"")</f>
        <v/>
      </c>
      <c r="BG348" t="str">
        <f ca="1">IFERROR(IF(0=LEN(ReferenceData!$BG$348),"",ReferenceData!$BG$348),"")</f>
        <v/>
      </c>
      <c r="BH348" t="str">
        <f ca="1">IFERROR(IF(0=LEN(ReferenceData!$BH$348),"",ReferenceData!$BH$348),"")</f>
        <v/>
      </c>
      <c r="BI348" t="str">
        <f ca="1">IFERROR(IF(0=LEN(ReferenceData!$BI$348),"",ReferenceData!$BI$348),"")</f>
        <v/>
      </c>
      <c r="BJ348" t="str">
        <f ca="1">IFERROR(IF(0=LEN(ReferenceData!$BJ$348),"",ReferenceData!$BJ$348),"")</f>
        <v/>
      </c>
      <c r="BK348" t="str">
        <f ca="1">IFERROR(IF(0=LEN(ReferenceData!$BK$348),"",ReferenceData!$BK$348),"")</f>
        <v/>
      </c>
      <c r="BL348" t="str">
        <f ca="1">IFERROR(IF(0=LEN(ReferenceData!$BL$348),"",ReferenceData!$BL$348),"")</f>
        <v/>
      </c>
      <c r="BM348" t="str">
        <f ca="1">IFERROR(IF(0=LEN(ReferenceData!$BM$348),"",ReferenceData!$BM$348),"")</f>
        <v/>
      </c>
    </row>
    <row r="349" spans="1:65" x14ac:dyDescent="0.25">
      <c r="A349" t="str">
        <f>IFERROR(IF(0=LEN(ReferenceData!$A$349),"",ReferenceData!$A$349),"")</f>
        <v xml:space="preserve">    Great Wall Motor Co Ltd</v>
      </c>
      <c r="B349" t="str">
        <f>IFERROR(IF(0=LEN(ReferenceData!$B$349),"",ReferenceData!$B$349),"")</f>
        <v>2333 HK Equity</v>
      </c>
      <c r="C349" t="str">
        <f>IFERROR(IF(0=LEN(ReferenceData!$C$349),"",ReferenceData!$C$349),"")</f>
        <v>RX530</v>
      </c>
      <c r="D349" t="str">
        <f>IFERROR(IF(0=LEN(ReferenceData!$D$349),"",ReferenceData!$D$349),"")</f>
        <v>T12M_DVDS_PAID</v>
      </c>
      <c r="E349" t="str">
        <f>IFERROR(IF(0=LEN(ReferenceData!$E$349),"",ReferenceData!$E$349),"")</f>
        <v>Dynamic</v>
      </c>
      <c r="F349" t="str">
        <f ca="1">IFERROR(IF(0=LEN(ReferenceData!$F$349),"",ReferenceData!$F$349),"")</f>
        <v/>
      </c>
      <c r="G349" t="str">
        <f ca="1">IFERROR(IF(0=LEN(ReferenceData!$G$349),"",ReferenceData!$G$349),"")</f>
        <v/>
      </c>
      <c r="H349" t="str">
        <f ca="1">IFERROR(IF(0=LEN(ReferenceData!$H$349),"",ReferenceData!$H$349),"")</f>
        <v/>
      </c>
      <c r="I349">
        <f ca="1">IFERROR(IF(0=LEN(ReferenceData!$I$349),"",ReferenceData!$I$349),"")</f>
        <v>-238.68489869999999</v>
      </c>
      <c r="J349">
        <f ca="1">IFERROR(IF(0=LEN(ReferenceData!$J$349),"",ReferenceData!$J$349),"")</f>
        <v>-482.82088659999999</v>
      </c>
      <c r="K349">
        <f ca="1">IFERROR(IF(0=LEN(ReferenceData!$K$349),"",ReferenceData!$K$349),"")</f>
        <v>-473.25991909999999</v>
      </c>
      <c r="L349" t="str">
        <f ca="1">IFERROR(IF(0=LEN(ReferenceData!$L$349),"",ReferenceData!$L$349),"")</f>
        <v/>
      </c>
      <c r="M349" t="str">
        <f ca="1">IFERROR(IF(0=LEN(ReferenceData!$M$349),"",ReferenceData!$M$349),"")</f>
        <v/>
      </c>
      <c r="N349" t="str">
        <f ca="1">IFERROR(IF(0=LEN(ReferenceData!$N$349),"",ReferenceData!$N$349),"")</f>
        <v/>
      </c>
      <c r="O349" t="str">
        <f ca="1">IFERROR(IF(0=LEN(ReferenceData!$O$349),"",ReferenceData!$O$349),"")</f>
        <v/>
      </c>
      <c r="P349" t="str">
        <f ca="1">IFERROR(IF(0=LEN(ReferenceData!$P$349),"",ReferenceData!$P$349),"")</f>
        <v/>
      </c>
      <c r="Q349" t="str">
        <f ca="1">IFERROR(IF(0=LEN(ReferenceData!$Q$349),"",ReferenceData!$Q$349),"")</f>
        <v/>
      </c>
      <c r="R349" t="str">
        <f ca="1">IFERROR(IF(0=LEN(ReferenceData!$R$349),"",ReferenceData!$R$349),"")</f>
        <v/>
      </c>
      <c r="S349" t="str">
        <f ca="1">IFERROR(IF(0=LEN(ReferenceData!$S$349),"",ReferenceData!$S$349),"")</f>
        <v/>
      </c>
      <c r="T349" t="str">
        <f ca="1">IFERROR(IF(0=LEN(ReferenceData!$T$349),"",ReferenceData!$T$349),"")</f>
        <v/>
      </c>
      <c r="U349" t="str">
        <f ca="1">IFERROR(IF(0=LEN(ReferenceData!$U$349),"",ReferenceData!$U$349),"")</f>
        <v/>
      </c>
      <c r="V349" t="str">
        <f ca="1">IFERROR(IF(0=LEN(ReferenceData!$V$349),"",ReferenceData!$V$349),"")</f>
        <v/>
      </c>
      <c r="W349" t="str">
        <f ca="1">IFERROR(IF(0=LEN(ReferenceData!$W$349),"",ReferenceData!$W$349),"")</f>
        <v/>
      </c>
      <c r="X349" t="str">
        <f ca="1">IFERROR(IF(0=LEN(ReferenceData!$X$349),"",ReferenceData!$X$349),"")</f>
        <v/>
      </c>
      <c r="Y349" t="str">
        <f ca="1">IFERROR(IF(0=LEN(ReferenceData!$Y$349),"",ReferenceData!$Y$349),"")</f>
        <v/>
      </c>
      <c r="Z349" t="str">
        <f ca="1">IFERROR(IF(0=LEN(ReferenceData!$Z$349),"",ReferenceData!$Z$349),"")</f>
        <v/>
      </c>
      <c r="AA349">
        <f ca="1">IFERROR(IF(0=LEN(ReferenceData!$AA$349),"",ReferenceData!$AA$349),"")</f>
        <v>-282.08535690000002</v>
      </c>
      <c r="AB349" t="str">
        <f ca="1">IFERROR(IF(0=LEN(ReferenceData!$AB$349),"",ReferenceData!$AB$349),"")</f>
        <v/>
      </c>
      <c r="AC349" t="str">
        <f ca="1">IFERROR(IF(0=LEN(ReferenceData!$AC$349),"",ReferenceData!$AC$349),"")</f>
        <v/>
      </c>
      <c r="AD349" t="str">
        <f ca="1">IFERROR(IF(0=LEN(ReferenceData!$AD$349),"",ReferenceData!$AD$349),"")</f>
        <v/>
      </c>
      <c r="AE349" t="str">
        <f ca="1">IFERROR(IF(0=LEN(ReferenceData!$AE$349),"",ReferenceData!$AE$349),"")</f>
        <v/>
      </c>
      <c r="AF349" t="str">
        <f ca="1">IFERROR(IF(0=LEN(ReferenceData!$AF$349),"",ReferenceData!$AF$349),"")</f>
        <v/>
      </c>
      <c r="AG349" t="str">
        <f ca="1">IFERROR(IF(0=LEN(ReferenceData!$AG$349),"",ReferenceData!$AG$349),"")</f>
        <v/>
      </c>
      <c r="AH349" t="str">
        <f ca="1">IFERROR(IF(0=LEN(ReferenceData!$AH$349),"",ReferenceData!$AH$349),"")</f>
        <v/>
      </c>
      <c r="AI349" t="str">
        <f ca="1">IFERROR(IF(0=LEN(ReferenceData!$AI$349),"",ReferenceData!$AI$349),"")</f>
        <v/>
      </c>
      <c r="AJ349" t="str">
        <f ca="1">IFERROR(IF(0=LEN(ReferenceData!$AJ$349),"",ReferenceData!$AJ$349),"")</f>
        <v/>
      </c>
      <c r="AK349" t="str">
        <f ca="1">IFERROR(IF(0=LEN(ReferenceData!$AK$349),"",ReferenceData!$AK$349),"")</f>
        <v/>
      </c>
      <c r="AL349" t="str">
        <f ca="1">IFERROR(IF(0=LEN(ReferenceData!$AL$349),"",ReferenceData!$AL$349),"")</f>
        <v/>
      </c>
      <c r="AM349" t="str">
        <f ca="1">IFERROR(IF(0=LEN(ReferenceData!$AM$349),"",ReferenceData!$AM$349),"")</f>
        <v/>
      </c>
      <c r="AN349" t="str">
        <f ca="1">IFERROR(IF(0=LEN(ReferenceData!$AN$349),"",ReferenceData!$AN$349),"")</f>
        <v/>
      </c>
      <c r="AO349" t="str">
        <f ca="1">IFERROR(IF(0=LEN(ReferenceData!$AO$349),"",ReferenceData!$AO$349),"")</f>
        <v/>
      </c>
      <c r="AP349" t="str">
        <f ca="1">IFERROR(IF(0=LEN(ReferenceData!$AP$349),"",ReferenceData!$AP$349),"")</f>
        <v/>
      </c>
      <c r="AQ349" t="str">
        <f ca="1">IFERROR(IF(0=LEN(ReferenceData!$AQ$349),"",ReferenceData!$AQ$349),"")</f>
        <v/>
      </c>
      <c r="AR349" t="str">
        <f ca="1">IFERROR(IF(0=LEN(ReferenceData!$AR$349),"",ReferenceData!$AR$349),"")</f>
        <v/>
      </c>
      <c r="AS349" t="str">
        <f ca="1">IFERROR(IF(0=LEN(ReferenceData!$AS$349),"",ReferenceData!$AS$349),"")</f>
        <v/>
      </c>
      <c r="AT349" t="str">
        <f ca="1">IFERROR(IF(0=LEN(ReferenceData!$AT$349),"",ReferenceData!$AT$349),"")</f>
        <v/>
      </c>
      <c r="AU349" t="str">
        <f ca="1">IFERROR(IF(0=LEN(ReferenceData!$AU$349),"",ReferenceData!$AU$349),"")</f>
        <v/>
      </c>
      <c r="AV349" t="str">
        <f ca="1">IFERROR(IF(0=LEN(ReferenceData!$AV$349),"",ReferenceData!$AV$349),"")</f>
        <v/>
      </c>
      <c r="AW349" t="str">
        <f ca="1">IFERROR(IF(0=LEN(ReferenceData!$AW$349),"",ReferenceData!$AW$349),"")</f>
        <v/>
      </c>
      <c r="AX349" t="str">
        <f ca="1">IFERROR(IF(0=LEN(ReferenceData!$AX$349),"",ReferenceData!$AX$349),"")</f>
        <v/>
      </c>
      <c r="AY349" t="str">
        <f ca="1">IFERROR(IF(0=LEN(ReferenceData!$AY$349),"",ReferenceData!$AY$349),"")</f>
        <v/>
      </c>
      <c r="AZ349" t="str">
        <f ca="1">IFERROR(IF(0=LEN(ReferenceData!$AZ$349),"",ReferenceData!$AZ$349),"")</f>
        <v/>
      </c>
      <c r="BA349" t="str">
        <f ca="1">IFERROR(IF(0=LEN(ReferenceData!$BA$349),"",ReferenceData!$BA$349),"")</f>
        <v/>
      </c>
      <c r="BB349" t="str">
        <f ca="1">IFERROR(IF(0=LEN(ReferenceData!$BB$349),"",ReferenceData!$BB$349),"")</f>
        <v/>
      </c>
      <c r="BC349" t="str">
        <f ca="1">IFERROR(IF(0=LEN(ReferenceData!$BC$349),"",ReferenceData!$BC$349),"")</f>
        <v/>
      </c>
      <c r="BD349" t="str">
        <f ca="1">IFERROR(IF(0=LEN(ReferenceData!$BD$349),"",ReferenceData!$BD$349),"")</f>
        <v/>
      </c>
      <c r="BE349" t="str">
        <f ca="1">IFERROR(IF(0=LEN(ReferenceData!$BE$349),"",ReferenceData!$BE$349),"")</f>
        <v/>
      </c>
      <c r="BF349" t="str">
        <f ca="1">IFERROR(IF(0=LEN(ReferenceData!$BF$349),"",ReferenceData!$BF$349),"")</f>
        <v/>
      </c>
      <c r="BG349" t="str">
        <f ca="1">IFERROR(IF(0=LEN(ReferenceData!$BG$349),"",ReferenceData!$BG$349),"")</f>
        <v/>
      </c>
      <c r="BH349" t="str">
        <f ca="1">IFERROR(IF(0=LEN(ReferenceData!$BH$349),"",ReferenceData!$BH$349),"")</f>
        <v/>
      </c>
      <c r="BI349" t="str">
        <f ca="1">IFERROR(IF(0=LEN(ReferenceData!$BI$349),"",ReferenceData!$BI$349),"")</f>
        <v/>
      </c>
      <c r="BJ349" t="str">
        <f ca="1">IFERROR(IF(0=LEN(ReferenceData!$BJ$349),"",ReferenceData!$BJ$349),"")</f>
        <v/>
      </c>
      <c r="BK349" t="str">
        <f ca="1">IFERROR(IF(0=LEN(ReferenceData!$BK$349),"",ReferenceData!$BK$349),"")</f>
        <v/>
      </c>
      <c r="BL349" t="str">
        <f ca="1">IFERROR(IF(0=LEN(ReferenceData!$BL$349),"",ReferenceData!$BL$349),"")</f>
        <v/>
      </c>
      <c r="BM349" t="str">
        <f ca="1">IFERROR(IF(0=LEN(ReferenceData!$BM$349),"",ReferenceData!$BM$349),"")</f>
        <v/>
      </c>
    </row>
    <row r="350" spans="1:65" x14ac:dyDescent="0.25">
      <c r="A350" t="str">
        <f>IFERROR(IF(0=LEN(ReferenceData!$A$350),"",ReferenceData!$A$350),"")</f>
        <v xml:space="preserve">    Guangzhou Automobile Group Co Ltd</v>
      </c>
      <c r="B350" t="str">
        <f>IFERROR(IF(0=LEN(ReferenceData!$B$350),"",ReferenceData!$B$350),"")</f>
        <v>2238 HK Equity</v>
      </c>
      <c r="C350" t="str">
        <f>IFERROR(IF(0=LEN(ReferenceData!$C$350),"",ReferenceData!$C$350),"")</f>
        <v>RX530</v>
      </c>
      <c r="D350" t="str">
        <f>IFERROR(IF(0=LEN(ReferenceData!$D$350),"",ReferenceData!$D$350),"")</f>
        <v>T12M_DVDS_PAID</v>
      </c>
      <c r="E350" t="str">
        <f>IFERROR(IF(0=LEN(ReferenceData!$E$350),"",ReferenceData!$E$350),"")</f>
        <v>Dynamic</v>
      </c>
      <c r="F350" t="str">
        <f ca="1">IFERROR(IF(0=LEN(ReferenceData!$F$350),"",ReferenceData!$F$350),"")</f>
        <v/>
      </c>
      <c r="G350" t="str">
        <f ca="1">IFERROR(IF(0=LEN(ReferenceData!$G$350),"",ReferenceData!$G$350),"")</f>
        <v/>
      </c>
      <c r="H350" t="str">
        <f ca="1">IFERROR(IF(0=LEN(ReferenceData!$H$350),"",ReferenceData!$H$350),"")</f>
        <v/>
      </c>
      <c r="I350" t="str">
        <f ca="1">IFERROR(IF(0=LEN(ReferenceData!$I$350),"",ReferenceData!$I$350),"")</f>
        <v/>
      </c>
      <c r="J350" t="str">
        <f ca="1">IFERROR(IF(0=LEN(ReferenceData!$J$350),"",ReferenceData!$J$350),"")</f>
        <v/>
      </c>
      <c r="K350" t="str">
        <f ca="1">IFERROR(IF(0=LEN(ReferenceData!$K$350),"",ReferenceData!$K$350),"")</f>
        <v/>
      </c>
      <c r="L350" t="str">
        <f ca="1">IFERROR(IF(0=LEN(ReferenceData!$L$350),"",ReferenceData!$L$350),"")</f>
        <v/>
      </c>
      <c r="M350" t="str">
        <f ca="1">IFERROR(IF(0=LEN(ReferenceData!$M$350),"",ReferenceData!$M$350),"")</f>
        <v/>
      </c>
      <c r="N350" t="str">
        <f ca="1">IFERROR(IF(0=LEN(ReferenceData!$N$350),"",ReferenceData!$N$350),"")</f>
        <v/>
      </c>
      <c r="O350" t="str">
        <f ca="1">IFERROR(IF(0=LEN(ReferenceData!$O$350),"",ReferenceData!$O$350),"")</f>
        <v/>
      </c>
      <c r="P350" t="str">
        <f ca="1">IFERROR(IF(0=LEN(ReferenceData!$P$350),"",ReferenceData!$P$350),"")</f>
        <v/>
      </c>
      <c r="Q350" t="str">
        <f ca="1">IFERROR(IF(0=LEN(ReferenceData!$Q$350),"",ReferenceData!$Q$350),"")</f>
        <v/>
      </c>
      <c r="R350" t="str">
        <f ca="1">IFERROR(IF(0=LEN(ReferenceData!$R$350),"",ReferenceData!$R$350),"")</f>
        <v/>
      </c>
      <c r="S350" t="str">
        <f ca="1">IFERROR(IF(0=LEN(ReferenceData!$S$350),"",ReferenceData!$S$350),"")</f>
        <v/>
      </c>
      <c r="T350" t="str">
        <f ca="1">IFERROR(IF(0=LEN(ReferenceData!$T$350),"",ReferenceData!$T$350),"")</f>
        <v/>
      </c>
      <c r="U350" t="str">
        <f ca="1">IFERROR(IF(0=LEN(ReferenceData!$U$350),"",ReferenceData!$U$350),"")</f>
        <v/>
      </c>
      <c r="V350" t="str">
        <f ca="1">IFERROR(IF(0=LEN(ReferenceData!$V$350),"",ReferenceData!$V$350),"")</f>
        <v/>
      </c>
      <c r="W350" t="str">
        <f ca="1">IFERROR(IF(0=LEN(ReferenceData!$W$350),"",ReferenceData!$W$350),"")</f>
        <v/>
      </c>
      <c r="X350" t="str">
        <f ca="1">IFERROR(IF(0=LEN(ReferenceData!$X$350),"",ReferenceData!$X$350),"")</f>
        <v/>
      </c>
      <c r="Y350" t="str">
        <f ca="1">IFERROR(IF(0=LEN(ReferenceData!$Y$350),"",ReferenceData!$Y$350),"")</f>
        <v/>
      </c>
      <c r="Z350" t="str">
        <f ca="1">IFERROR(IF(0=LEN(ReferenceData!$Z$350),"",ReferenceData!$Z$350),"")</f>
        <v/>
      </c>
      <c r="AA350" t="str">
        <f ca="1">IFERROR(IF(0=LEN(ReferenceData!$AA$350),"",ReferenceData!$AA$350),"")</f>
        <v/>
      </c>
      <c r="AB350" t="str">
        <f ca="1">IFERROR(IF(0=LEN(ReferenceData!$AB$350),"",ReferenceData!$AB$350),"")</f>
        <v/>
      </c>
      <c r="AC350" t="str">
        <f ca="1">IFERROR(IF(0=LEN(ReferenceData!$AC$350),"",ReferenceData!$AC$350),"")</f>
        <v/>
      </c>
      <c r="AD350" t="str">
        <f ca="1">IFERROR(IF(0=LEN(ReferenceData!$AD$350),"",ReferenceData!$AD$350),"")</f>
        <v/>
      </c>
      <c r="AE350" t="str">
        <f ca="1">IFERROR(IF(0=LEN(ReferenceData!$AE$350),"",ReferenceData!$AE$350),"")</f>
        <v/>
      </c>
      <c r="AF350" t="str">
        <f ca="1">IFERROR(IF(0=LEN(ReferenceData!$AF$350),"",ReferenceData!$AF$350),"")</f>
        <v/>
      </c>
      <c r="AG350" t="str">
        <f ca="1">IFERROR(IF(0=LEN(ReferenceData!$AG$350),"",ReferenceData!$AG$350),"")</f>
        <v/>
      </c>
      <c r="AH350" t="str">
        <f ca="1">IFERROR(IF(0=LEN(ReferenceData!$AH$350),"",ReferenceData!$AH$350),"")</f>
        <v/>
      </c>
      <c r="AI350" t="str">
        <f ca="1">IFERROR(IF(0=LEN(ReferenceData!$AI$350),"",ReferenceData!$AI$350),"")</f>
        <v/>
      </c>
      <c r="AJ350" t="str">
        <f ca="1">IFERROR(IF(0=LEN(ReferenceData!$AJ$350),"",ReferenceData!$AJ$350),"")</f>
        <v/>
      </c>
      <c r="AK350" t="str">
        <f ca="1">IFERROR(IF(0=LEN(ReferenceData!$AK$350),"",ReferenceData!$AK$350),"")</f>
        <v/>
      </c>
      <c r="AL350" t="str">
        <f ca="1">IFERROR(IF(0=LEN(ReferenceData!$AL$350),"",ReferenceData!$AL$350),"")</f>
        <v/>
      </c>
      <c r="AM350">
        <f ca="1">IFERROR(IF(0=LEN(ReferenceData!$AM$350),"",ReferenceData!$AM$350),"")</f>
        <v>0</v>
      </c>
      <c r="AN350" t="str">
        <f ca="1">IFERROR(IF(0=LEN(ReferenceData!$AN$350),"",ReferenceData!$AN$350),"")</f>
        <v/>
      </c>
      <c r="AO350" t="str">
        <f ca="1">IFERROR(IF(0=LEN(ReferenceData!$AO$350),"",ReferenceData!$AO$350),"")</f>
        <v/>
      </c>
      <c r="AP350" t="str">
        <f ca="1">IFERROR(IF(0=LEN(ReferenceData!$AP$350),"",ReferenceData!$AP$350),"")</f>
        <v/>
      </c>
      <c r="AQ350" t="str">
        <f ca="1">IFERROR(IF(0=LEN(ReferenceData!$AQ$350),"",ReferenceData!$AQ$350),"")</f>
        <v/>
      </c>
      <c r="AR350" t="str">
        <f ca="1">IFERROR(IF(0=LEN(ReferenceData!$AR$350),"",ReferenceData!$AR$350),"")</f>
        <v/>
      </c>
      <c r="AS350" t="str">
        <f ca="1">IFERROR(IF(0=LEN(ReferenceData!$AS$350),"",ReferenceData!$AS$350),"")</f>
        <v/>
      </c>
      <c r="AT350" t="str">
        <f ca="1">IFERROR(IF(0=LEN(ReferenceData!$AT$350),"",ReferenceData!$AT$350),"")</f>
        <v/>
      </c>
      <c r="AU350" t="str">
        <f ca="1">IFERROR(IF(0=LEN(ReferenceData!$AU$350),"",ReferenceData!$AU$350),"")</f>
        <v/>
      </c>
      <c r="AV350" t="str">
        <f ca="1">IFERROR(IF(0=LEN(ReferenceData!$AV$350),"",ReferenceData!$AV$350),"")</f>
        <v/>
      </c>
      <c r="AW350" t="str">
        <f ca="1">IFERROR(IF(0=LEN(ReferenceData!$AW$350),"",ReferenceData!$AW$350),"")</f>
        <v/>
      </c>
      <c r="AX350" t="str">
        <f ca="1">IFERROR(IF(0=LEN(ReferenceData!$AX$350),"",ReferenceData!$AX$350),"")</f>
        <v/>
      </c>
      <c r="AY350" t="str">
        <f ca="1">IFERROR(IF(0=LEN(ReferenceData!$AY$350),"",ReferenceData!$AY$350),"")</f>
        <v/>
      </c>
      <c r="AZ350" t="str">
        <f ca="1">IFERROR(IF(0=LEN(ReferenceData!$AZ$350),"",ReferenceData!$AZ$350),"")</f>
        <v/>
      </c>
      <c r="BA350" t="str">
        <f ca="1">IFERROR(IF(0=LEN(ReferenceData!$BA$350),"",ReferenceData!$BA$350),"")</f>
        <v/>
      </c>
      <c r="BB350" t="str">
        <f ca="1">IFERROR(IF(0=LEN(ReferenceData!$BB$350),"",ReferenceData!$BB$350),"")</f>
        <v/>
      </c>
      <c r="BC350" t="str">
        <f ca="1">IFERROR(IF(0=LEN(ReferenceData!$BC$350),"",ReferenceData!$BC$350),"")</f>
        <v/>
      </c>
      <c r="BD350" t="str">
        <f ca="1">IFERROR(IF(0=LEN(ReferenceData!$BD$350),"",ReferenceData!$BD$350),"")</f>
        <v/>
      </c>
      <c r="BE350" t="str">
        <f ca="1">IFERROR(IF(0=LEN(ReferenceData!$BE$350),"",ReferenceData!$BE$350),"")</f>
        <v/>
      </c>
      <c r="BF350" t="str">
        <f ca="1">IFERROR(IF(0=LEN(ReferenceData!$BF$350),"",ReferenceData!$BF$350),"")</f>
        <v/>
      </c>
      <c r="BG350" t="str">
        <f ca="1">IFERROR(IF(0=LEN(ReferenceData!$BG$350),"",ReferenceData!$BG$350),"")</f>
        <v/>
      </c>
      <c r="BH350" t="str">
        <f ca="1">IFERROR(IF(0=LEN(ReferenceData!$BH$350),"",ReferenceData!$BH$350),"")</f>
        <v/>
      </c>
      <c r="BI350" t="str">
        <f ca="1">IFERROR(IF(0=LEN(ReferenceData!$BI$350),"",ReferenceData!$BI$350),"")</f>
        <v/>
      </c>
      <c r="BJ350" t="str">
        <f ca="1">IFERROR(IF(0=LEN(ReferenceData!$BJ$350),"",ReferenceData!$BJ$350),"")</f>
        <v/>
      </c>
      <c r="BK350" t="str">
        <f ca="1">IFERROR(IF(0=LEN(ReferenceData!$BK$350),"",ReferenceData!$BK$350),"")</f>
        <v/>
      </c>
      <c r="BL350" t="str">
        <f ca="1">IFERROR(IF(0=LEN(ReferenceData!$BL$350),"",ReferenceData!$BL$350),"")</f>
        <v/>
      </c>
      <c r="BM350" t="str">
        <f ca="1">IFERROR(IF(0=LEN(ReferenceData!$BM$350),"",ReferenceData!$BM$350),"")</f>
        <v/>
      </c>
    </row>
    <row r="351" spans="1:65" x14ac:dyDescent="0.25">
      <c r="A351" t="str">
        <f>IFERROR(IF(0=LEN(ReferenceData!$A$351),"",ReferenceData!$A$351),"")</f>
        <v xml:space="preserve">    Honda Motor Co Ltd</v>
      </c>
      <c r="B351" t="str">
        <f>IFERROR(IF(0=LEN(ReferenceData!$B$351),"",ReferenceData!$B$351),"")</f>
        <v>7267 JP Equity</v>
      </c>
      <c r="C351" t="str">
        <f>IFERROR(IF(0=LEN(ReferenceData!$C$351),"",ReferenceData!$C$351),"")</f>
        <v>RX530</v>
      </c>
      <c r="D351" t="str">
        <f>IFERROR(IF(0=LEN(ReferenceData!$D$351),"",ReferenceData!$D$351),"")</f>
        <v>T12M_DVDS_PAID</v>
      </c>
      <c r="E351" t="str">
        <f>IFERROR(IF(0=LEN(ReferenceData!$E$351),"",ReferenceData!$E$351),"")</f>
        <v>Dynamic</v>
      </c>
      <c r="F351" t="str">
        <f ca="1">IFERROR(IF(0=LEN(ReferenceData!$F$351),"",ReferenceData!$F$351),"")</f>
        <v/>
      </c>
      <c r="G351">
        <f ca="1">IFERROR(IF(0=LEN(ReferenceData!$G$351),"",ReferenceData!$G$351),"")</f>
        <v>-1716.0968439999999</v>
      </c>
      <c r="H351">
        <f ca="1">IFERROR(IF(0=LEN(ReferenceData!$H$351),"",ReferenceData!$H$351),"")</f>
        <v>-1661.045527</v>
      </c>
      <c r="I351">
        <f ca="1">IFERROR(IF(0=LEN(ReferenceData!$I$351),"",ReferenceData!$I$351),"")</f>
        <v>-1622.8751460000001</v>
      </c>
      <c r="J351">
        <f ca="1">IFERROR(IF(0=LEN(ReferenceData!$J$351),"",ReferenceData!$J$351),"")</f>
        <v>-1572.489358</v>
      </c>
      <c r="K351">
        <f ca="1">IFERROR(IF(0=LEN(ReferenceData!$K$351),"",ReferenceData!$K$351),"")</f>
        <v>-1543.15672</v>
      </c>
      <c r="L351">
        <f ca="1">IFERROR(IF(0=LEN(ReferenceData!$L$351),"",ReferenceData!$L$351),"")</f>
        <v>-1523.276378</v>
      </c>
      <c r="M351">
        <f ca="1">IFERROR(IF(0=LEN(ReferenceData!$M$351),"",ReferenceData!$M$351),"")</f>
        <v>-1522.7015389999999</v>
      </c>
      <c r="N351">
        <f ca="1">IFERROR(IF(0=LEN(ReferenceData!$N$351),"",ReferenceData!$N$351),"")</f>
        <v>-1500.470425</v>
      </c>
      <c r="O351">
        <f ca="1">IFERROR(IF(0=LEN(ReferenceData!$O$351),"",ReferenceData!$O$351),"")</f>
        <v>-1462.324406</v>
      </c>
      <c r="P351">
        <f ca="1">IFERROR(IF(0=LEN(ReferenceData!$P$351),"",ReferenceData!$P$351),"")</f>
        <v>-1425.8610819999999</v>
      </c>
      <c r="Q351">
        <f ca="1">IFERROR(IF(0=LEN(ReferenceData!$Q$351),"",ReferenceData!$Q$351),"")</f>
        <v>-1362.593361</v>
      </c>
      <c r="R351">
        <f ca="1">IFERROR(IF(0=LEN(ReferenceData!$R$351),"",ReferenceData!$R$351),"")</f>
        <v>-1322.195645</v>
      </c>
      <c r="S351">
        <f ca="1">IFERROR(IF(0=LEN(ReferenceData!$S$351),"",ReferenceData!$S$351),"")</f>
        <v>-1310.6551710000001</v>
      </c>
      <c r="T351">
        <f ca="1">IFERROR(IF(0=LEN(ReferenceData!$T$351),"",ReferenceData!$T$351),"")</f>
        <v>-1331.1799329999999</v>
      </c>
      <c r="U351">
        <f ca="1">IFERROR(IF(0=LEN(ReferenceData!$U$351),"",ReferenceData!$U$351),"")</f>
        <v>-1388.6844980000001</v>
      </c>
      <c r="V351">
        <f ca="1">IFERROR(IF(0=LEN(ReferenceData!$V$351),"",ReferenceData!$V$351),"")</f>
        <v>-1449.9638379999999</v>
      </c>
      <c r="W351">
        <f ca="1">IFERROR(IF(0=LEN(ReferenceData!$W$351),"",ReferenceData!$W$351),"")</f>
        <v>-1467.8092079999999</v>
      </c>
      <c r="X351">
        <f ca="1">IFERROR(IF(0=LEN(ReferenceData!$X$351),"",ReferenceData!$X$351),"")</f>
        <v>-1480.110576</v>
      </c>
      <c r="Y351">
        <f ca="1">IFERROR(IF(0=LEN(ReferenceData!$Y$351),"",ReferenceData!$Y$351),"")</f>
        <v>-1463.082314</v>
      </c>
      <c r="Z351">
        <f ca="1">IFERROR(IF(0=LEN(ReferenceData!$Z$351),"",ReferenceData!$Z$351),"")</f>
        <v>-1421.720069</v>
      </c>
      <c r="AA351">
        <f ca="1">IFERROR(IF(0=LEN(ReferenceData!$AA$351),"",ReferenceData!$AA$351),"")</f>
        <v>-1442.611674</v>
      </c>
      <c r="AB351">
        <f ca="1">IFERROR(IF(0=LEN(ReferenceData!$AB$351),"",ReferenceData!$AB$351),"")</f>
        <v>-1506.955755</v>
      </c>
      <c r="AC351">
        <f ca="1">IFERROR(IF(0=LEN(ReferenceData!$AC$351),"",ReferenceData!$AC$351),"")</f>
        <v>-1577.1102960000001</v>
      </c>
      <c r="AD351">
        <f ca="1">IFERROR(IF(0=LEN(ReferenceData!$AD$351),"",ReferenceData!$AD$351),"")</f>
        <v>-1570.4551289999999</v>
      </c>
      <c r="AE351">
        <f ca="1">IFERROR(IF(0=LEN(ReferenceData!$AE$351),"",ReferenceData!$AE$351),"")</f>
        <v>-1536.3993459999999</v>
      </c>
      <c r="AF351">
        <f ca="1">IFERROR(IF(0=LEN(ReferenceData!$AF$351),"",ReferenceData!$AF$351),"")</f>
        <v>-1463.62391</v>
      </c>
      <c r="AG351">
        <f ca="1">IFERROR(IF(0=LEN(ReferenceData!$AG$351),"",ReferenceData!$AG$351),"")</f>
        <v>-1376.5431000000001</v>
      </c>
      <c r="AH351">
        <f ca="1">IFERROR(IF(0=LEN(ReferenceData!$AH$351),"",ReferenceData!$AH$351),"")</f>
        <v>-1370.5201770000001</v>
      </c>
      <c r="AI351">
        <f ca="1">IFERROR(IF(0=LEN(ReferenceData!$AI$351),"",ReferenceData!$AI$351),"")</f>
        <v>-1358.369467</v>
      </c>
      <c r="AJ351">
        <f ca="1">IFERROR(IF(0=LEN(ReferenceData!$AJ$351),"",ReferenceData!$AJ$351),"")</f>
        <v>-1269.4778550000001</v>
      </c>
      <c r="AK351">
        <f ca="1">IFERROR(IF(0=LEN(ReferenceData!$AK$351),"",ReferenceData!$AK$351),"")</f>
        <v>-1174.0596969999999</v>
      </c>
      <c r="AL351">
        <f ca="1">IFERROR(IF(0=LEN(ReferenceData!$AL$351),"",ReferenceData!$AL$351),"")</f>
        <v>-1078.504803</v>
      </c>
      <c r="AM351">
        <f ca="1">IFERROR(IF(0=LEN(ReferenceData!$AM$351),"",ReferenceData!$AM$351),"")</f>
        <v>-951.38489470000002</v>
      </c>
      <c r="AN351">
        <f ca="1">IFERROR(IF(0=LEN(ReferenceData!$AN$351),"",ReferenceData!$AN$351),"")</f>
        <v>-851.21140179999998</v>
      </c>
      <c r="AO351">
        <f ca="1">IFERROR(IF(0=LEN(ReferenceData!$AO$351),"",ReferenceData!$AO$351),"")</f>
        <v>-753.59219399999995</v>
      </c>
      <c r="AP351">
        <f ca="1">IFERROR(IF(0=LEN(ReferenceData!$AP$351),"",ReferenceData!$AP$351),"")</f>
        <v>-665.25556389999997</v>
      </c>
      <c r="AQ351">
        <f ca="1">IFERROR(IF(0=LEN(ReferenceData!$AQ$351),"",ReferenceData!$AQ$351),"")</f>
        <v>-679.55945659999998</v>
      </c>
      <c r="AR351">
        <f ca="1">IFERROR(IF(0=LEN(ReferenceData!$AR$351),"",ReferenceData!$AR$351),"")</f>
        <v>-935.72589930000004</v>
      </c>
      <c r="AS351">
        <f ca="1">IFERROR(IF(0=LEN(ReferenceData!$AS$351),"",ReferenceData!$AS$351),"")</f>
        <v>-1162.5899119999999</v>
      </c>
      <c r="AT351">
        <f ca="1">IFERROR(IF(0=LEN(ReferenceData!$AT$351),"",ReferenceData!$AT$351),"")</f>
        <v>-1396.0950780000001</v>
      </c>
      <c r="AU351">
        <f ca="1">IFERROR(IF(0=LEN(ReferenceData!$AU$351),"",ReferenceData!$AU$351),"")</f>
        <v>-1549.010673</v>
      </c>
      <c r="AV351">
        <f ca="1">IFERROR(IF(0=LEN(ReferenceData!$AV$351),"",ReferenceData!$AV$351),"")</f>
        <v>-1484.9196460000001</v>
      </c>
      <c r="AW351">
        <f ca="1">IFERROR(IF(0=LEN(ReferenceData!$AW$351),"",ReferenceData!$AW$351),"")</f>
        <v>-1420.026842</v>
      </c>
      <c r="AX351">
        <f ca="1">IFERROR(IF(0=LEN(ReferenceData!$AX$351),"",ReferenceData!$AX$351),"")</f>
        <v>-1339.7548260000001</v>
      </c>
      <c r="AY351">
        <f ca="1">IFERROR(IF(0=LEN(ReferenceData!$AY$351),"",ReferenceData!$AY$351),"")</f>
        <v>-1221.0256099999999</v>
      </c>
      <c r="AZ351">
        <f ca="1">IFERROR(IF(0=LEN(ReferenceData!$AZ$351),"",ReferenceData!$AZ$351),"")</f>
        <v>-1332.7065359999999</v>
      </c>
      <c r="BA351">
        <f ca="1">IFERROR(IF(0=LEN(ReferenceData!$BA$351),"",ReferenceData!$BA$351),"")</f>
        <v>-1030.6972330000001</v>
      </c>
      <c r="BB351">
        <f ca="1">IFERROR(IF(0=LEN(ReferenceData!$BB$351),"",ReferenceData!$BB$351),"")</f>
        <v>-1201.8162400000001</v>
      </c>
      <c r="BC351">
        <f ca="1">IFERROR(IF(0=LEN(ReferenceData!$BC$351),"",ReferenceData!$BC$351),"")</f>
        <v>-941.56085189999999</v>
      </c>
      <c r="BD351">
        <f ca="1">IFERROR(IF(0=LEN(ReferenceData!$BD$351),"",ReferenceData!$BD$351),"")</f>
        <v>-788.76679149999995</v>
      </c>
      <c r="BE351">
        <f ca="1">IFERROR(IF(0=LEN(ReferenceData!$BE$351),"",ReferenceData!$BE$351),"")</f>
        <v>-797.80643659999998</v>
      </c>
      <c r="BF351">
        <f ca="1">IFERROR(IF(0=LEN(ReferenceData!$BF$351),"",ReferenceData!$BF$351),"")</f>
        <v>-628.50706560000003</v>
      </c>
      <c r="BG351">
        <f ca="1">IFERROR(IF(0=LEN(ReferenceData!$BG$351),"",ReferenceData!$BG$351),"")</f>
        <v>-646.29460440000003</v>
      </c>
      <c r="BH351">
        <f ca="1">IFERROR(IF(0=LEN(ReferenceData!$BH$351),"",ReferenceData!$BH$351),"")</f>
        <v>-563.28599829999996</v>
      </c>
      <c r="BI351">
        <f ca="1">IFERROR(IF(0=LEN(ReferenceData!$BI$351),"",ReferenceData!$BI$351),"")</f>
        <v>-564.91379119999999</v>
      </c>
      <c r="BJ351">
        <f ca="1">IFERROR(IF(0=LEN(ReferenceData!$BJ$351),"",ReferenceData!$BJ$351),"")</f>
        <v>-445.08500409999999</v>
      </c>
      <c r="BK351" t="str">
        <f ca="1">IFERROR(IF(0=LEN(ReferenceData!$BK$351),"",ReferenceData!$BK$351),"")</f>
        <v/>
      </c>
      <c r="BL351" t="str">
        <f ca="1">IFERROR(IF(0=LEN(ReferenceData!$BL$351),"",ReferenceData!$BL$351),"")</f>
        <v/>
      </c>
      <c r="BM351" t="str">
        <f ca="1">IFERROR(IF(0=LEN(ReferenceData!$BM$351),"",ReferenceData!$BM$351),"")</f>
        <v/>
      </c>
    </row>
    <row r="352" spans="1:65" x14ac:dyDescent="0.25">
      <c r="A352" t="str">
        <f>IFERROR(IF(0=LEN(ReferenceData!$A$352),"",ReferenceData!$A$352),"")</f>
        <v xml:space="preserve">    Hyundai Motor Co</v>
      </c>
      <c r="B352" t="str">
        <f>IFERROR(IF(0=LEN(ReferenceData!$B$352),"",ReferenceData!$B$352),"")</f>
        <v>005380 KS Equity</v>
      </c>
      <c r="C352" t="str">
        <f>IFERROR(IF(0=LEN(ReferenceData!$C$352),"",ReferenceData!$C$352),"")</f>
        <v>RX530</v>
      </c>
      <c r="D352" t="str">
        <f>IFERROR(IF(0=LEN(ReferenceData!$D$352),"",ReferenceData!$D$352),"")</f>
        <v>T12M_DVDS_PAID</v>
      </c>
      <c r="E352" t="str">
        <f>IFERROR(IF(0=LEN(ReferenceData!$E$352),"",ReferenceData!$E$352),"")</f>
        <v>Dynamic</v>
      </c>
      <c r="F352" t="str">
        <f ca="1">IFERROR(IF(0=LEN(ReferenceData!$F$352),"",ReferenceData!$F$352),"")</f>
        <v/>
      </c>
      <c r="G352" t="str">
        <f ca="1">IFERROR(IF(0=LEN(ReferenceData!$G$352),"",ReferenceData!$G$352),"")</f>
        <v/>
      </c>
      <c r="H352">
        <f ca="1">IFERROR(IF(0=LEN(ReferenceData!$H$352),"",ReferenceData!$H$352),"")</f>
        <v>-1051.541663</v>
      </c>
      <c r="I352">
        <f ca="1">IFERROR(IF(0=LEN(ReferenceData!$I$352),"",ReferenceData!$I$352),"")</f>
        <v>-1051.4997599999999</v>
      </c>
      <c r="J352">
        <f ca="1">IFERROR(IF(0=LEN(ReferenceData!$J$352),"",ReferenceData!$J$352),"")</f>
        <v>-1029.5437649999999</v>
      </c>
      <c r="K352">
        <f ca="1">IFERROR(IF(0=LEN(ReferenceData!$K$352),"",ReferenceData!$K$352),"")</f>
        <v>-1007.539673</v>
      </c>
      <c r="L352">
        <f ca="1">IFERROR(IF(0=LEN(ReferenceData!$L$352),"",ReferenceData!$L$352),"")</f>
        <v>-975.22394039999995</v>
      </c>
      <c r="M352">
        <f ca="1">IFERROR(IF(0=LEN(ReferenceData!$M$352),"",ReferenceData!$M$352),"")</f>
        <v>-978.17986489999998</v>
      </c>
      <c r="N352">
        <f ca="1">IFERROR(IF(0=LEN(ReferenceData!$N$352),"",ReferenceData!$N$352),"")</f>
        <v>-944.61952199999996</v>
      </c>
      <c r="O352">
        <f ca="1">IFERROR(IF(0=LEN(ReferenceData!$O$352),"",ReferenceData!$O$352),"")</f>
        <v>-935.23548740000001</v>
      </c>
      <c r="P352">
        <f ca="1">IFERROR(IF(0=LEN(ReferenceData!$P$352),"",ReferenceData!$P$352),"")</f>
        <v>-1047.8012120000001</v>
      </c>
      <c r="Q352">
        <f ca="1">IFERROR(IF(0=LEN(ReferenceData!$Q$352),"",ReferenceData!$Q$352),"")</f>
        <v>-1152.2727170000001</v>
      </c>
      <c r="R352">
        <f ca="1">IFERROR(IF(0=LEN(ReferenceData!$R$352),"",ReferenceData!$R$352),"")</f>
        <v>-1170.93948</v>
      </c>
      <c r="S352">
        <f ca="1">IFERROR(IF(0=LEN(ReferenceData!$S$352),"",ReferenceData!$S$352),"")</f>
        <v>-1195.7976900000001</v>
      </c>
      <c r="T352">
        <f ca="1">IFERROR(IF(0=LEN(ReferenceData!$T$352),"",ReferenceData!$T$352),"")</f>
        <v>-1098.809481</v>
      </c>
      <c r="U352">
        <f ca="1">IFERROR(IF(0=LEN(ReferenceData!$U$352),"",ReferenceData!$U$352),"")</f>
        <v>-759.74930740000002</v>
      </c>
      <c r="V352">
        <f ca="1">IFERROR(IF(0=LEN(ReferenceData!$V$352),"",ReferenceData!$V$352),"")</f>
        <v>-553.74920659999998</v>
      </c>
      <c r="W352">
        <f ca="1">IFERROR(IF(0=LEN(ReferenceData!$W$352),"",ReferenceData!$W$352),"")</f>
        <v>-557.64533759999995</v>
      </c>
      <c r="X352">
        <f ca="1">IFERROR(IF(0=LEN(ReferenceData!$X$352),"",ReferenceData!$X$352),"")</f>
        <v>-635.00273560000005</v>
      </c>
      <c r="Y352">
        <f ca="1">IFERROR(IF(0=LEN(ReferenceData!$Y$352),"",ReferenceData!$Y$352),"")</f>
        <v>-622.93809229999999</v>
      </c>
      <c r="Z352">
        <f ca="1">IFERROR(IF(0=LEN(ReferenceData!$Z$352),"",ReferenceData!$Z$352),"")</f>
        <v>-580.22340020000001</v>
      </c>
      <c r="AA352">
        <f ca="1">IFERROR(IF(0=LEN(ReferenceData!$AA$352),"",ReferenceData!$AA$352),"")</f>
        <v>-578.13526839999997</v>
      </c>
      <c r="AB352">
        <f ca="1">IFERROR(IF(0=LEN(ReferenceData!$AB$352),"",ReferenceData!$AB$352),"")</f>
        <v>-542.24070570000003</v>
      </c>
      <c r="AC352">
        <f ca="1">IFERROR(IF(0=LEN(ReferenceData!$AC$352),"",ReferenceData!$AC$352),"")</f>
        <v>-539.38652779999995</v>
      </c>
      <c r="AD352">
        <f ca="1">IFERROR(IF(0=LEN(ReferenceData!$AD$352),"",ReferenceData!$AD$352),"")</f>
        <v>-469.64824069999997</v>
      </c>
      <c r="AE352">
        <f ca="1">IFERROR(IF(0=LEN(ReferenceData!$AE$352),"",ReferenceData!$AE$352),"")</f>
        <v>-464.85649089999998</v>
      </c>
      <c r="AF352">
        <f ca="1">IFERROR(IF(0=LEN(ReferenceData!$AF$352),"",ReferenceData!$AF$352),"")</f>
        <v>-421.15379189999999</v>
      </c>
      <c r="AG352">
        <f ca="1">IFERROR(IF(0=LEN(ReferenceData!$AG$352),"",ReferenceData!$AG$352),"")</f>
        <v>-426.01849859999999</v>
      </c>
      <c r="AH352">
        <f ca="1">IFERROR(IF(0=LEN(ReferenceData!$AH$352),"",ReferenceData!$AH$352),"")</f>
        <v>-412.38618359999998</v>
      </c>
      <c r="AI352">
        <f ca="1">IFERROR(IF(0=LEN(ReferenceData!$AI$352),"",ReferenceData!$AI$352),"")</f>
        <v>-413.49048310000001</v>
      </c>
      <c r="AJ352">
        <f ca="1">IFERROR(IF(0=LEN(ReferenceData!$AJ$352),"",ReferenceData!$AJ$352),"")</f>
        <v>-514.64990650000004</v>
      </c>
      <c r="AK352">
        <f ca="1">IFERROR(IF(0=LEN(ReferenceData!$AK$352),"",ReferenceData!$AK$352),"")</f>
        <v>-503.70394140000002</v>
      </c>
      <c r="AL352">
        <f ca="1">IFERROR(IF(0=LEN(ReferenceData!$AL$352),"",ReferenceData!$AL$352),"")</f>
        <v>-511.4997285</v>
      </c>
      <c r="AM352">
        <f ca="1">IFERROR(IF(0=LEN(ReferenceData!$AM$352),"",ReferenceData!$AM$352),"")</f>
        <v>-508.630762</v>
      </c>
      <c r="AN352" t="str">
        <f ca="1">IFERROR(IF(0=LEN(ReferenceData!$AN$352),"",ReferenceData!$AN$352),"")</f>
        <v/>
      </c>
      <c r="AO352" t="str">
        <f ca="1">IFERROR(IF(0=LEN(ReferenceData!$AO$352),"",ReferenceData!$AO$352),"")</f>
        <v/>
      </c>
      <c r="AP352" t="str">
        <f ca="1">IFERROR(IF(0=LEN(ReferenceData!$AP$352),"",ReferenceData!$AP$352),"")</f>
        <v/>
      </c>
      <c r="AQ352" t="str">
        <f ca="1">IFERROR(IF(0=LEN(ReferenceData!$AQ$352),"",ReferenceData!$AQ$352),"")</f>
        <v/>
      </c>
      <c r="AR352" t="str">
        <f ca="1">IFERROR(IF(0=LEN(ReferenceData!$AR$352),"",ReferenceData!$AR$352),"")</f>
        <v/>
      </c>
      <c r="AS352" t="str">
        <f ca="1">IFERROR(IF(0=LEN(ReferenceData!$AS$352),"",ReferenceData!$AS$352),"")</f>
        <v/>
      </c>
      <c r="AT352" t="str">
        <f ca="1">IFERROR(IF(0=LEN(ReferenceData!$AT$352),"",ReferenceData!$AT$352),"")</f>
        <v/>
      </c>
      <c r="AU352" t="str">
        <f ca="1">IFERROR(IF(0=LEN(ReferenceData!$AU$352),"",ReferenceData!$AU$352),"")</f>
        <v/>
      </c>
      <c r="AV352" t="str">
        <f ca="1">IFERROR(IF(0=LEN(ReferenceData!$AV$352),"",ReferenceData!$AV$352),"")</f>
        <v/>
      </c>
      <c r="AW352" t="str">
        <f ca="1">IFERROR(IF(0=LEN(ReferenceData!$AW$352),"",ReferenceData!$AW$352),"")</f>
        <v/>
      </c>
      <c r="AX352" t="str">
        <f ca="1">IFERROR(IF(0=LEN(ReferenceData!$AX$352),"",ReferenceData!$AX$352),"")</f>
        <v/>
      </c>
      <c r="AY352" t="str">
        <f ca="1">IFERROR(IF(0=LEN(ReferenceData!$AY$352),"",ReferenceData!$AY$352),"")</f>
        <v/>
      </c>
      <c r="AZ352" t="str">
        <f ca="1">IFERROR(IF(0=LEN(ReferenceData!$AZ$352),"",ReferenceData!$AZ$352),"")</f>
        <v/>
      </c>
      <c r="BA352" t="str">
        <f ca="1">IFERROR(IF(0=LEN(ReferenceData!$BA$352),"",ReferenceData!$BA$352),"")</f>
        <v/>
      </c>
      <c r="BB352" t="str">
        <f ca="1">IFERROR(IF(0=LEN(ReferenceData!$BB$352),"",ReferenceData!$BB$352),"")</f>
        <v/>
      </c>
      <c r="BC352" t="str">
        <f ca="1">IFERROR(IF(0=LEN(ReferenceData!$BC$352),"",ReferenceData!$BC$352),"")</f>
        <v/>
      </c>
      <c r="BD352" t="str">
        <f ca="1">IFERROR(IF(0=LEN(ReferenceData!$BD$352),"",ReferenceData!$BD$352),"")</f>
        <v/>
      </c>
      <c r="BE352" t="str">
        <f ca="1">IFERROR(IF(0=LEN(ReferenceData!$BE$352),"",ReferenceData!$BE$352),"")</f>
        <v/>
      </c>
      <c r="BF352" t="str">
        <f ca="1">IFERROR(IF(0=LEN(ReferenceData!$BF$352),"",ReferenceData!$BF$352),"")</f>
        <v/>
      </c>
      <c r="BG352" t="str">
        <f ca="1">IFERROR(IF(0=LEN(ReferenceData!$BG$352),"",ReferenceData!$BG$352),"")</f>
        <v/>
      </c>
      <c r="BH352" t="str">
        <f ca="1">IFERROR(IF(0=LEN(ReferenceData!$BH$352),"",ReferenceData!$BH$352),"")</f>
        <v/>
      </c>
      <c r="BI352" t="str">
        <f ca="1">IFERROR(IF(0=LEN(ReferenceData!$BI$352),"",ReferenceData!$BI$352),"")</f>
        <v/>
      </c>
      <c r="BJ352" t="str">
        <f ca="1">IFERROR(IF(0=LEN(ReferenceData!$BJ$352),"",ReferenceData!$BJ$352),"")</f>
        <v/>
      </c>
      <c r="BK352" t="str">
        <f ca="1">IFERROR(IF(0=LEN(ReferenceData!$BK$352),"",ReferenceData!$BK$352),"")</f>
        <v/>
      </c>
      <c r="BL352" t="str">
        <f ca="1">IFERROR(IF(0=LEN(ReferenceData!$BL$352),"",ReferenceData!$BL$352),"")</f>
        <v/>
      </c>
      <c r="BM352" t="str">
        <f ca="1">IFERROR(IF(0=LEN(ReferenceData!$BM$352),"",ReferenceData!$BM$352),"")</f>
        <v/>
      </c>
    </row>
    <row r="353" spans="1:65" x14ac:dyDescent="0.25">
      <c r="A353" t="str">
        <f>IFERROR(IF(0=LEN(ReferenceData!$A$353),"",ReferenceData!$A$353),"")</f>
        <v xml:space="preserve">    Kia Motors Corp</v>
      </c>
      <c r="B353" t="str">
        <f>IFERROR(IF(0=LEN(ReferenceData!$B$353),"",ReferenceData!$B$353),"")</f>
        <v>000270 KS Equity</v>
      </c>
      <c r="C353" t="str">
        <f>IFERROR(IF(0=LEN(ReferenceData!$C$353),"",ReferenceData!$C$353),"")</f>
        <v>RX530</v>
      </c>
      <c r="D353" t="str">
        <f>IFERROR(IF(0=LEN(ReferenceData!$D$353),"",ReferenceData!$D$353),"")</f>
        <v>T12M_DVDS_PAID</v>
      </c>
      <c r="E353" t="str">
        <f>IFERROR(IF(0=LEN(ReferenceData!$E$353),"",ReferenceData!$E$353),"")</f>
        <v>Dynamic</v>
      </c>
      <c r="F353" t="str">
        <f ca="1">IFERROR(IF(0=LEN(ReferenceData!$F$353),"",ReferenceData!$F$353),"")</f>
        <v/>
      </c>
      <c r="G353" t="str">
        <f ca="1">IFERROR(IF(0=LEN(ReferenceData!$G$353),"",ReferenceData!$G$353),"")</f>
        <v/>
      </c>
      <c r="H353">
        <f ca="1">IFERROR(IF(0=LEN(ReferenceData!$H$353),"",ReferenceData!$H$353),"")</f>
        <v>-293.00894019999998</v>
      </c>
      <c r="I353">
        <f ca="1">IFERROR(IF(0=LEN(ReferenceData!$I$353),"",ReferenceData!$I$353),"")</f>
        <v>-292.29590389999998</v>
      </c>
      <c r="J353">
        <f ca="1">IFERROR(IF(0=LEN(ReferenceData!$J$353),"",ReferenceData!$J$353),"")</f>
        <v>-397.35806359999998</v>
      </c>
      <c r="K353">
        <f ca="1">IFERROR(IF(0=LEN(ReferenceData!$K$353),"",ReferenceData!$K$353),"")</f>
        <v>-390.23833860000002</v>
      </c>
      <c r="L353">
        <f ca="1">IFERROR(IF(0=LEN(ReferenceData!$L$353),"",ReferenceData!$L$353),"")</f>
        <v>-385.72594989999999</v>
      </c>
      <c r="M353">
        <f ca="1">IFERROR(IF(0=LEN(ReferenceData!$M$353),"",ReferenceData!$M$353),"")</f>
        <v>-386.82640350000003</v>
      </c>
      <c r="N353">
        <f ca="1">IFERROR(IF(0=LEN(ReferenceData!$N$353),"",ReferenceData!$N$353),"")</f>
        <v>-384.12462420000003</v>
      </c>
      <c r="O353">
        <f ca="1">IFERROR(IF(0=LEN(ReferenceData!$O$353),"",ReferenceData!$O$353),"")</f>
        <v>-380.3086553</v>
      </c>
      <c r="P353">
        <f ca="1">IFERROR(IF(0=LEN(ReferenceData!$P$353),"",ReferenceData!$P$353),"")</f>
        <v>-380.39031999999997</v>
      </c>
      <c r="Q353">
        <f ca="1">IFERROR(IF(0=LEN(ReferenceData!$Q$353),"",ReferenceData!$Q$353),"")</f>
        <v>-376.21584369999999</v>
      </c>
      <c r="R353">
        <f ca="1">IFERROR(IF(0=LEN(ReferenceData!$R$353),"",ReferenceData!$R$353),"")</f>
        <v>-349.81439289999997</v>
      </c>
      <c r="S353">
        <f ca="1">IFERROR(IF(0=LEN(ReferenceData!$S$353),"",ReferenceData!$S$353),"")</f>
        <v>-357.24070269999999</v>
      </c>
      <c r="T353">
        <f ca="1">IFERROR(IF(0=LEN(ReferenceData!$T$353),"",ReferenceData!$T$353),"")</f>
        <v>-362.96824839999999</v>
      </c>
      <c r="U353">
        <f ca="1">IFERROR(IF(0=LEN(ReferenceData!$U$353),"",ReferenceData!$U$353),"")</f>
        <v>-375.09290570000002</v>
      </c>
      <c r="V353">
        <f ca="1">IFERROR(IF(0=LEN(ReferenceData!$V$353),"",ReferenceData!$V$353),"")</f>
        <v>-267.45892889999999</v>
      </c>
      <c r="W353">
        <f ca="1">IFERROR(IF(0=LEN(ReferenceData!$W$353),"",ReferenceData!$W$353),"")</f>
        <v>-269.3453356</v>
      </c>
      <c r="X353">
        <f ca="1">IFERROR(IF(0=LEN(ReferenceData!$X$353),"",ReferenceData!$X$353),"")</f>
        <v>-270.91221510000003</v>
      </c>
      <c r="Y353">
        <f ca="1">IFERROR(IF(0=LEN(ReferenceData!$Y$353),"",ReferenceData!$Y$353),"")</f>
        <v>-265.76505730000002</v>
      </c>
      <c r="Z353">
        <f ca="1">IFERROR(IF(0=LEN(ReferenceData!$Z$353),"",ReferenceData!$Z$353),"")</f>
        <v>-241.47194500000001</v>
      </c>
      <c r="AA353">
        <f ca="1">IFERROR(IF(0=LEN(ReferenceData!$AA$353),"",ReferenceData!$AA$353),"")</f>
        <v>-240.60292580000001</v>
      </c>
      <c r="AB353">
        <f ca="1">IFERROR(IF(0=LEN(ReferenceData!$AB$353),"",ReferenceData!$AB$353),"")</f>
        <v>-239.00126639999999</v>
      </c>
      <c r="AC353">
        <f ca="1">IFERROR(IF(0=LEN(ReferenceData!$AC$353),"",ReferenceData!$AC$353),"")</f>
        <v>-237.74324189999999</v>
      </c>
      <c r="AD353">
        <f ca="1">IFERROR(IF(0=LEN(ReferenceData!$AD$353),"",ReferenceData!$AD$353),"")</f>
        <v>-217.3108077</v>
      </c>
      <c r="AE353">
        <f ca="1">IFERROR(IF(0=LEN(ReferenceData!$AE$353),"",ReferenceData!$AE$353),"")</f>
        <v>-215.09361849999999</v>
      </c>
      <c r="AF353">
        <f ca="1">IFERROR(IF(0=LEN(ReferenceData!$AF$353),"",ReferenceData!$AF$353),"")</f>
        <v>-212.41494789999999</v>
      </c>
      <c r="AG353">
        <f ca="1">IFERROR(IF(0=LEN(ReferenceData!$AG$353),"",ReferenceData!$AG$353),"")</f>
        <v>-214.8729687</v>
      </c>
      <c r="AH353">
        <f ca="1">IFERROR(IF(0=LEN(ReferenceData!$AH$353),"",ReferenceData!$AH$353),"")</f>
        <v>-179.08148739999999</v>
      </c>
      <c r="AI353">
        <f ca="1">IFERROR(IF(0=LEN(ReferenceData!$AI$353),"",ReferenceData!$AI$353),"")</f>
        <v>-179.55868269999999</v>
      </c>
      <c r="AJ353">
        <f ca="1">IFERROR(IF(0=LEN(ReferenceData!$AJ$353),"",ReferenceData!$AJ$353),"")</f>
        <v>-179.99315279999999</v>
      </c>
      <c r="AK353">
        <f ca="1">IFERROR(IF(0=LEN(ReferenceData!$AK$353),"",ReferenceData!$AK$353),"")</f>
        <v>-176.1622624</v>
      </c>
      <c r="AL353">
        <f ca="1">IFERROR(IF(0=LEN(ReferenceData!$AL$353),"",ReferenceData!$AL$353),"")</f>
        <v>-84.392617450000003</v>
      </c>
      <c r="AM353">
        <f ca="1">IFERROR(IF(0=LEN(ReferenceData!$AM$353),"",ReferenceData!$AM$353),"")</f>
        <v>-83.919265109999998</v>
      </c>
      <c r="AN353" t="str">
        <f ca="1">IFERROR(IF(0=LEN(ReferenceData!$AN$353),"",ReferenceData!$AN$353),"")</f>
        <v/>
      </c>
      <c r="AO353" t="str">
        <f ca="1">IFERROR(IF(0=LEN(ReferenceData!$AO$353),"",ReferenceData!$AO$353),"")</f>
        <v/>
      </c>
      <c r="AP353" t="str">
        <f ca="1">IFERROR(IF(0=LEN(ReferenceData!$AP$353),"",ReferenceData!$AP$353),"")</f>
        <v/>
      </c>
      <c r="AQ353" t="str">
        <f ca="1">IFERROR(IF(0=LEN(ReferenceData!$AQ$353),"",ReferenceData!$AQ$353),"")</f>
        <v/>
      </c>
      <c r="AR353" t="str">
        <f ca="1">IFERROR(IF(0=LEN(ReferenceData!$AR$353),"",ReferenceData!$AR$353),"")</f>
        <v/>
      </c>
      <c r="AS353" t="str">
        <f ca="1">IFERROR(IF(0=LEN(ReferenceData!$AS$353),"",ReferenceData!$AS$353),"")</f>
        <v/>
      </c>
      <c r="AT353" t="str">
        <f ca="1">IFERROR(IF(0=LEN(ReferenceData!$AT$353),"",ReferenceData!$AT$353),"")</f>
        <v/>
      </c>
      <c r="AU353" t="str">
        <f ca="1">IFERROR(IF(0=LEN(ReferenceData!$AU$353),"",ReferenceData!$AU$353),"")</f>
        <v/>
      </c>
      <c r="AV353" t="str">
        <f ca="1">IFERROR(IF(0=LEN(ReferenceData!$AV$353),"",ReferenceData!$AV$353),"")</f>
        <v/>
      </c>
      <c r="AW353" t="str">
        <f ca="1">IFERROR(IF(0=LEN(ReferenceData!$AW$353),"",ReferenceData!$AW$353),"")</f>
        <v/>
      </c>
      <c r="AX353" t="str">
        <f ca="1">IFERROR(IF(0=LEN(ReferenceData!$AX$353),"",ReferenceData!$AX$353),"")</f>
        <v/>
      </c>
      <c r="AY353" t="str">
        <f ca="1">IFERROR(IF(0=LEN(ReferenceData!$AY$353),"",ReferenceData!$AY$353),"")</f>
        <v/>
      </c>
      <c r="AZ353" t="str">
        <f ca="1">IFERROR(IF(0=LEN(ReferenceData!$AZ$353),"",ReferenceData!$AZ$353),"")</f>
        <v/>
      </c>
      <c r="BA353" t="str">
        <f ca="1">IFERROR(IF(0=LEN(ReferenceData!$BA$353),"",ReferenceData!$BA$353),"")</f>
        <v/>
      </c>
      <c r="BB353" t="str">
        <f ca="1">IFERROR(IF(0=LEN(ReferenceData!$BB$353),"",ReferenceData!$BB$353),"")</f>
        <v/>
      </c>
      <c r="BC353" t="str">
        <f ca="1">IFERROR(IF(0=LEN(ReferenceData!$BC$353),"",ReferenceData!$BC$353),"")</f>
        <v/>
      </c>
      <c r="BD353" t="str">
        <f ca="1">IFERROR(IF(0=LEN(ReferenceData!$BD$353),"",ReferenceData!$BD$353),"")</f>
        <v/>
      </c>
      <c r="BE353" t="str">
        <f ca="1">IFERROR(IF(0=LEN(ReferenceData!$BE$353),"",ReferenceData!$BE$353),"")</f>
        <v/>
      </c>
      <c r="BF353" t="str">
        <f ca="1">IFERROR(IF(0=LEN(ReferenceData!$BF$353),"",ReferenceData!$BF$353),"")</f>
        <v/>
      </c>
      <c r="BG353" t="str">
        <f ca="1">IFERROR(IF(0=LEN(ReferenceData!$BG$353),"",ReferenceData!$BG$353),"")</f>
        <v/>
      </c>
      <c r="BH353" t="str">
        <f ca="1">IFERROR(IF(0=LEN(ReferenceData!$BH$353),"",ReferenceData!$BH$353),"")</f>
        <v/>
      </c>
      <c r="BI353" t="str">
        <f ca="1">IFERROR(IF(0=LEN(ReferenceData!$BI$353),"",ReferenceData!$BI$353),"")</f>
        <v/>
      </c>
      <c r="BJ353" t="str">
        <f ca="1">IFERROR(IF(0=LEN(ReferenceData!$BJ$353),"",ReferenceData!$BJ$353),"")</f>
        <v/>
      </c>
      <c r="BK353" t="str">
        <f ca="1">IFERROR(IF(0=LEN(ReferenceData!$BK$353),"",ReferenceData!$BK$353),"")</f>
        <v/>
      </c>
      <c r="BL353" t="str">
        <f ca="1">IFERROR(IF(0=LEN(ReferenceData!$BL$353),"",ReferenceData!$BL$353),"")</f>
        <v/>
      </c>
      <c r="BM353" t="str">
        <f ca="1">IFERROR(IF(0=LEN(ReferenceData!$BM$353),"",ReferenceData!$BM$353),"")</f>
        <v/>
      </c>
    </row>
    <row r="354" spans="1:65" x14ac:dyDescent="0.25">
      <c r="A354" t="str">
        <f>IFERROR(IF(0=LEN(ReferenceData!$A$354),"",ReferenceData!$A$354),"")</f>
        <v xml:space="preserve">    Mazda Motor Corp</v>
      </c>
      <c r="B354" t="str">
        <f>IFERROR(IF(0=LEN(ReferenceData!$B$354),"",ReferenceData!$B$354),"")</f>
        <v>7261 JP Equity</v>
      </c>
      <c r="C354" t="str">
        <f>IFERROR(IF(0=LEN(ReferenceData!$C$354),"",ReferenceData!$C$354),"")</f>
        <v>RX530</v>
      </c>
      <c r="D354" t="str">
        <f>IFERROR(IF(0=LEN(ReferenceData!$D$354),"",ReferenceData!$D$354),"")</f>
        <v>T12M_DVDS_PAID</v>
      </c>
      <c r="E354" t="str">
        <f>IFERROR(IF(0=LEN(ReferenceData!$E$354),"",ReferenceData!$E$354),"")</f>
        <v>Dynamic</v>
      </c>
      <c r="F354" t="str">
        <f ca="1">IFERROR(IF(0=LEN(ReferenceData!$F$354),"",ReferenceData!$F$354),"")</f>
        <v/>
      </c>
      <c r="G354">
        <f ca="1">IFERROR(IF(0=LEN(ReferenceData!$G$354),"",ReferenceData!$G$354),"")</f>
        <v>-199.67381040000001</v>
      </c>
      <c r="H354">
        <f ca="1">IFERROR(IF(0=LEN(ReferenceData!$H$354),"",ReferenceData!$H$354),"")</f>
        <v>-195.2865999</v>
      </c>
      <c r="I354">
        <f ca="1">IFERROR(IF(0=LEN(ReferenceData!$I$354),"",ReferenceData!$I$354),"")</f>
        <v>-195.5193696</v>
      </c>
      <c r="J354">
        <f ca="1">IFERROR(IF(0=LEN(ReferenceData!$J$354),"",ReferenceData!$J$354),"")</f>
        <v>-188.8564945</v>
      </c>
      <c r="K354">
        <f ca="1">IFERROR(IF(0=LEN(ReferenceData!$K$354),"",ReferenceData!$K$354),"")</f>
        <v>-186.6122684</v>
      </c>
      <c r="L354">
        <f ca="1">IFERROR(IF(0=LEN(ReferenceData!$L$354),"",ReferenceData!$L$354),"")</f>
        <v>-188.13695989999999</v>
      </c>
      <c r="M354">
        <f ca="1">IFERROR(IF(0=LEN(ReferenceData!$M$354),"",ReferenceData!$M$354),"")</f>
        <v>-192.15487089999999</v>
      </c>
      <c r="N354">
        <f ca="1">IFERROR(IF(0=LEN(ReferenceData!$N$354),"",ReferenceData!$N$354),"")</f>
        <v>-165.90695149999999</v>
      </c>
      <c r="O354">
        <f ca="1">IFERROR(IF(0=LEN(ReferenceData!$O$354),"",ReferenceData!$O$354),"")</f>
        <v>-165.36332189999999</v>
      </c>
      <c r="P354">
        <f ca="1">IFERROR(IF(0=LEN(ReferenceData!$P$354),"",ReferenceData!$P$354),"")</f>
        <v>-161.2399576</v>
      </c>
      <c r="Q354">
        <f ca="1">IFERROR(IF(0=LEN(ReferenceData!$Q$354),"",ReferenceData!$Q$354),"")</f>
        <v>-154.08548450000001</v>
      </c>
      <c r="R354">
        <f ca="1">IFERROR(IF(0=LEN(ReferenceData!$R$354),"",ReferenceData!$R$354),"")</f>
        <v>-124.5990638</v>
      </c>
      <c r="S354">
        <f ca="1">IFERROR(IF(0=LEN(ReferenceData!$S$354),"",ReferenceData!$S$354),"")</f>
        <v>-123.51230889999999</v>
      </c>
      <c r="T354">
        <f ca="1">IFERROR(IF(0=LEN(ReferenceData!$T$354),"",ReferenceData!$T$354),"")</f>
        <v>-50.174927259999997</v>
      </c>
      <c r="U354">
        <f ca="1">IFERROR(IF(0=LEN(ReferenceData!$U$354),"",ReferenceData!$U$354),"")</f>
        <v>-52.342393350000002</v>
      </c>
      <c r="V354">
        <f ca="1">IFERROR(IF(0=LEN(ReferenceData!$V$354),"",ReferenceData!$V$354),"")</f>
        <v>-27.326069260000001</v>
      </c>
      <c r="W354">
        <f ca="1">IFERROR(IF(0=LEN(ReferenceData!$W$354),"",ReferenceData!$W$354),"")</f>
        <v>-28.30559122</v>
      </c>
      <c r="X354">
        <f ca="1">IFERROR(IF(0=LEN(ReferenceData!$X$354),"",ReferenceData!$X$354),"")</f>
        <v>-29.2224854</v>
      </c>
      <c r="Y354">
        <f ca="1">IFERROR(IF(0=LEN(ReferenceData!$Y$354),"",ReferenceData!$Y$354),"")</f>
        <v>-29.590718030000001</v>
      </c>
      <c r="Z354">
        <f ca="1">IFERROR(IF(0=LEN(ReferenceData!$Z$354),"",ReferenceData!$Z$354),"")</f>
        <v>0</v>
      </c>
      <c r="AA354">
        <f ca="1">IFERROR(IF(0=LEN(ReferenceData!$AA$354),"",ReferenceData!$AA$354),"")</f>
        <v>0</v>
      </c>
      <c r="AB354">
        <f ca="1">IFERROR(IF(0=LEN(ReferenceData!$AB$354),"",ReferenceData!$AB$354),"")</f>
        <v>0</v>
      </c>
      <c r="AC354">
        <f ca="1">IFERROR(IF(0=LEN(ReferenceData!$AC$354),"",ReferenceData!$AC$354),"")</f>
        <v>0</v>
      </c>
      <c r="AD354">
        <f ca="1">IFERROR(IF(0=LEN(ReferenceData!$AD$354),"",ReferenceData!$AD$354),"")</f>
        <v>0</v>
      </c>
      <c r="AE354">
        <f ca="1">IFERROR(IF(0=LEN(ReferenceData!$AE$354),"",ReferenceData!$AE$354),"")</f>
        <v>0</v>
      </c>
      <c r="AF354">
        <f ca="1">IFERROR(IF(0=LEN(ReferenceData!$AF$354),"",ReferenceData!$AF$354),"")</f>
        <v>0</v>
      </c>
      <c r="AG354">
        <f ca="1">IFERROR(IF(0=LEN(ReferenceData!$AG$354),"",ReferenceData!$AG$354),"")</f>
        <v>0</v>
      </c>
      <c r="AH354">
        <f ca="1">IFERROR(IF(0=LEN(ReferenceData!$AH$354),"",ReferenceData!$AH$354),"")</f>
        <v>0</v>
      </c>
      <c r="AI354">
        <f ca="1">IFERROR(IF(0=LEN(ReferenceData!$AI$354),"",ReferenceData!$AI$354),"")</f>
        <v>0</v>
      </c>
      <c r="AJ354">
        <f ca="1">IFERROR(IF(0=LEN(ReferenceData!$AJ$354),"",ReferenceData!$AJ$354),"")</f>
        <v>0</v>
      </c>
      <c r="AK354">
        <f ca="1">IFERROR(IF(0=LEN(ReferenceData!$AK$354),"",ReferenceData!$AK$354),"")</f>
        <v>-3.0367041000000001</v>
      </c>
      <c r="AL354">
        <f ca="1">IFERROR(IF(0=LEN(ReferenceData!$AL$354),"",ReferenceData!$AL$354),"")</f>
        <v>-62.145372799999997</v>
      </c>
      <c r="AM354">
        <f ca="1">IFERROR(IF(0=LEN(ReferenceData!$AM$354),"",ReferenceData!$AM$354),"")</f>
        <v>-60.67103547</v>
      </c>
      <c r="AN354">
        <f ca="1">IFERROR(IF(0=LEN(ReferenceData!$AN$354),"",ReferenceData!$AN$354),"")</f>
        <v>-59.350458240000002</v>
      </c>
      <c r="AO354">
        <f ca="1">IFERROR(IF(0=LEN(ReferenceData!$AO$354),"",ReferenceData!$AO$354),"")</f>
        <v>-55.288563689999997</v>
      </c>
      <c r="AP354">
        <f ca="1">IFERROR(IF(0=LEN(ReferenceData!$AP$354),"",ReferenceData!$AP$354),"")</f>
        <v>0</v>
      </c>
      <c r="AQ354">
        <f ca="1">IFERROR(IF(0=LEN(ReferenceData!$AQ$354),"",ReferenceData!$AQ$354),"")</f>
        <v>0</v>
      </c>
      <c r="AR354">
        <f ca="1">IFERROR(IF(0=LEN(ReferenceData!$AR$354),"",ReferenceData!$AR$354),"")</f>
        <v>-44.463160600000002</v>
      </c>
      <c r="AS354">
        <f ca="1">IFERROR(IF(0=LEN(ReferenceData!$AS$354),"",ReferenceData!$AS$354),"")</f>
        <v>-45.214485320000001</v>
      </c>
      <c r="AT354">
        <f ca="1">IFERROR(IF(0=LEN(ReferenceData!$AT$354),"",ReferenceData!$AT$354),"")</f>
        <v>-84.460734689999995</v>
      </c>
      <c r="AU354" t="str">
        <f ca="1">IFERROR(IF(0=LEN(ReferenceData!$AU$354),"",ReferenceData!$AU$354),"")</f>
        <v/>
      </c>
      <c r="AV354" t="str">
        <f ca="1">IFERROR(IF(0=LEN(ReferenceData!$AV$354),"",ReferenceData!$AV$354),"")</f>
        <v/>
      </c>
      <c r="AW354" t="str">
        <f ca="1">IFERROR(IF(0=LEN(ReferenceData!$AW$354),"",ReferenceData!$AW$354),"")</f>
        <v/>
      </c>
      <c r="AX354" t="str">
        <f ca="1">IFERROR(IF(0=LEN(ReferenceData!$AX$354),"",ReferenceData!$AX$354),"")</f>
        <v/>
      </c>
      <c r="AY354" t="str">
        <f ca="1">IFERROR(IF(0=LEN(ReferenceData!$AY$354),"",ReferenceData!$AY$354),"")</f>
        <v/>
      </c>
      <c r="AZ354" t="str">
        <f ca="1">IFERROR(IF(0=LEN(ReferenceData!$AZ$354),"",ReferenceData!$AZ$354),"")</f>
        <v/>
      </c>
      <c r="BA354" t="str">
        <f ca="1">IFERROR(IF(0=LEN(ReferenceData!$BA$354),"",ReferenceData!$BA$354),"")</f>
        <v/>
      </c>
      <c r="BB354" t="str">
        <f ca="1">IFERROR(IF(0=LEN(ReferenceData!$BB$354),"",ReferenceData!$BB$354),"")</f>
        <v/>
      </c>
      <c r="BC354" t="str">
        <f ca="1">IFERROR(IF(0=LEN(ReferenceData!$BC$354),"",ReferenceData!$BC$354),"")</f>
        <v/>
      </c>
      <c r="BD354" t="str">
        <f ca="1">IFERROR(IF(0=LEN(ReferenceData!$BD$354),"",ReferenceData!$BD$354),"")</f>
        <v/>
      </c>
      <c r="BE354" t="str">
        <f ca="1">IFERROR(IF(0=LEN(ReferenceData!$BE$354),"",ReferenceData!$BE$354),"")</f>
        <v/>
      </c>
      <c r="BF354" t="str">
        <f ca="1">IFERROR(IF(0=LEN(ReferenceData!$BF$354),"",ReferenceData!$BF$354),"")</f>
        <v/>
      </c>
      <c r="BG354" t="str">
        <f ca="1">IFERROR(IF(0=LEN(ReferenceData!$BG$354),"",ReferenceData!$BG$354),"")</f>
        <v/>
      </c>
      <c r="BH354" t="str">
        <f ca="1">IFERROR(IF(0=LEN(ReferenceData!$BH$354),"",ReferenceData!$BH$354),"")</f>
        <v/>
      </c>
      <c r="BI354" t="str">
        <f ca="1">IFERROR(IF(0=LEN(ReferenceData!$BI$354),"",ReferenceData!$BI$354),"")</f>
        <v/>
      </c>
      <c r="BJ354" t="str">
        <f ca="1">IFERROR(IF(0=LEN(ReferenceData!$BJ$354),"",ReferenceData!$BJ$354),"")</f>
        <v/>
      </c>
      <c r="BK354" t="str">
        <f ca="1">IFERROR(IF(0=LEN(ReferenceData!$BK$354),"",ReferenceData!$BK$354),"")</f>
        <v/>
      </c>
      <c r="BL354" t="str">
        <f ca="1">IFERROR(IF(0=LEN(ReferenceData!$BL$354),"",ReferenceData!$BL$354),"")</f>
        <v/>
      </c>
      <c r="BM354" t="str">
        <f ca="1">IFERROR(IF(0=LEN(ReferenceData!$BM$354),"",ReferenceData!$BM$354),"")</f>
        <v/>
      </c>
    </row>
    <row r="355" spans="1:65" x14ac:dyDescent="0.25">
      <c r="A355" t="str">
        <f>IFERROR(IF(0=LEN(ReferenceData!$A$355),"",ReferenceData!$A$355),"")</f>
        <v xml:space="preserve">    Mitsubishi Motors Corp</v>
      </c>
      <c r="B355" t="str">
        <f>IFERROR(IF(0=LEN(ReferenceData!$B$355),"",ReferenceData!$B$355),"")</f>
        <v>7211 JP Equity</v>
      </c>
      <c r="C355" t="str">
        <f>IFERROR(IF(0=LEN(ReferenceData!$C$355),"",ReferenceData!$C$355),"")</f>
        <v>RX530</v>
      </c>
      <c r="D355" t="str">
        <f>IFERROR(IF(0=LEN(ReferenceData!$D$355),"",ReferenceData!$D$355),"")</f>
        <v>T12M_DVDS_PAID</v>
      </c>
      <c r="E355" t="str">
        <f>IFERROR(IF(0=LEN(ReferenceData!$E$355),"",ReferenceData!$E$355),"")</f>
        <v>Dynamic</v>
      </c>
      <c r="F355" t="str">
        <f ca="1">IFERROR(IF(0=LEN(ReferenceData!$F$355),"",ReferenceData!$F$355),"")</f>
        <v/>
      </c>
      <c r="G355" t="str">
        <f ca="1">IFERROR(IF(0=LEN(ReferenceData!$G$355),"",ReferenceData!$G$355),"")</f>
        <v/>
      </c>
      <c r="H355" t="str">
        <f ca="1">IFERROR(IF(0=LEN(ReferenceData!$H$355),"",ReferenceData!$H$355),"")</f>
        <v/>
      </c>
      <c r="I355" t="str">
        <f ca="1">IFERROR(IF(0=LEN(ReferenceData!$I$355),"",ReferenceData!$I$355),"")</f>
        <v/>
      </c>
      <c r="J355" t="str">
        <f ca="1">IFERROR(IF(0=LEN(ReferenceData!$J$355),"",ReferenceData!$J$355),"")</f>
        <v/>
      </c>
      <c r="K355" t="str">
        <f ca="1">IFERROR(IF(0=LEN(ReferenceData!$K$355),"",ReferenceData!$K$355),"")</f>
        <v/>
      </c>
      <c r="L355" t="str">
        <f ca="1">IFERROR(IF(0=LEN(ReferenceData!$L$355),"",ReferenceData!$L$355),"")</f>
        <v/>
      </c>
      <c r="M355" t="str">
        <f ca="1">IFERROR(IF(0=LEN(ReferenceData!$M$355),"",ReferenceData!$M$355),"")</f>
        <v/>
      </c>
      <c r="N355" t="str">
        <f ca="1">IFERROR(IF(0=LEN(ReferenceData!$N$355),"",ReferenceData!$N$355),"")</f>
        <v/>
      </c>
      <c r="O355" t="str">
        <f ca="1">IFERROR(IF(0=LEN(ReferenceData!$O$355),"",ReferenceData!$O$355),"")</f>
        <v/>
      </c>
      <c r="P355" t="str">
        <f ca="1">IFERROR(IF(0=LEN(ReferenceData!$P$355),"",ReferenceData!$P$355),"")</f>
        <v/>
      </c>
      <c r="Q355" t="str">
        <f ca="1">IFERROR(IF(0=LEN(ReferenceData!$Q$355),"",ReferenceData!$Q$355),"")</f>
        <v/>
      </c>
      <c r="R355" t="str">
        <f ca="1">IFERROR(IF(0=LEN(ReferenceData!$R$355),"",ReferenceData!$R$355),"")</f>
        <v/>
      </c>
      <c r="S355" t="str">
        <f ca="1">IFERROR(IF(0=LEN(ReferenceData!$S$355),"",ReferenceData!$S$355),"")</f>
        <v/>
      </c>
      <c r="T355" t="str">
        <f ca="1">IFERROR(IF(0=LEN(ReferenceData!$T$355),"",ReferenceData!$T$355),"")</f>
        <v/>
      </c>
      <c r="U355" t="str">
        <f ca="1">IFERROR(IF(0=LEN(ReferenceData!$U$355),"",ReferenceData!$U$355),"")</f>
        <v/>
      </c>
      <c r="V355" t="str">
        <f ca="1">IFERROR(IF(0=LEN(ReferenceData!$V$355),"",ReferenceData!$V$355),"")</f>
        <v/>
      </c>
      <c r="W355" t="str">
        <f ca="1">IFERROR(IF(0=LEN(ReferenceData!$W$355),"",ReferenceData!$W$355),"")</f>
        <v/>
      </c>
      <c r="X355" t="str">
        <f ca="1">IFERROR(IF(0=LEN(ReferenceData!$X$355),"",ReferenceData!$X$355),"")</f>
        <v/>
      </c>
      <c r="Y355" t="str">
        <f ca="1">IFERROR(IF(0=LEN(ReferenceData!$Y$355),"",ReferenceData!$Y$355),"")</f>
        <v/>
      </c>
      <c r="Z355" t="str">
        <f ca="1">IFERROR(IF(0=LEN(ReferenceData!$Z$355),"",ReferenceData!$Z$355),"")</f>
        <v/>
      </c>
      <c r="AA355" t="str">
        <f ca="1">IFERROR(IF(0=LEN(ReferenceData!$AA$355),"",ReferenceData!$AA$355),"")</f>
        <v/>
      </c>
      <c r="AB355" t="str">
        <f ca="1">IFERROR(IF(0=LEN(ReferenceData!$AB$355),"",ReferenceData!$AB$355),"")</f>
        <v/>
      </c>
      <c r="AC355" t="str">
        <f ca="1">IFERROR(IF(0=LEN(ReferenceData!$AC$355),"",ReferenceData!$AC$355),"")</f>
        <v/>
      </c>
      <c r="AD355" t="str">
        <f ca="1">IFERROR(IF(0=LEN(ReferenceData!$AD$355),"",ReferenceData!$AD$355),"")</f>
        <v/>
      </c>
      <c r="AE355" t="str">
        <f ca="1">IFERROR(IF(0=LEN(ReferenceData!$AE$355),"",ReferenceData!$AE$355),"")</f>
        <v/>
      </c>
      <c r="AF355" t="str">
        <f ca="1">IFERROR(IF(0=LEN(ReferenceData!$AF$355),"",ReferenceData!$AF$355),"")</f>
        <v/>
      </c>
      <c r="AG355" t="str">
        <f ca="1">IFERROR(IF(0=LEN(ReferenceData!$AG$355),"",ReferenceData!$AG$355),"")</f>
        <v/>
      </c>
      <c r="AH355" t="str">
        <f ca="1">IFERROR(IF(0=LEN(ReferenceData!$AH$355),"",ReferenceData!$AH$355),"")</f>
        <v/>
      </c>
      <c r="AI355" t="str">
        <f ca="1">IFERROR(IF(0=LEN(ReferenceData!$AI$355),"",ReferenceData!$AI$355),"")</f>
        <v/>
      </c>
      <c r="AJ355" t="str">
        <f ca="1">IFERROR(IF(0=LEN(ReferenceData!$AJ$355),"",ReferenceData!$AJ$355),"")</f>
        <v/>
      </c>
      <c r="AK355" t="str">
        <f ca="1">IFERROR(IF(0=LEN(ReferenceData!$AK$355),"",ReferenceData!$AK$355),"")</f>
        <v/>
      </c>
      <c r="AL355">
        <f ca="1">IFERROR(IF(0=LEN(ReferenceData!$AL$355),"",ReferenceData!$AL$355),"")</f>
        <v>0</v>
      </c>
      <c r="AM355">
        <f ca="1">IFERROR(IF(0=LEN(ReferenceData!$AM$355),"",ReferenceData!$AM$355),"")</f>
        <v>0</v>
      </c>
      <c r="AN355">
        <f ca="1">IFERROR(IF(0=LEN(ReferenceData!$AN$355),"",ReferenceData!$AN$355),"")</f>
        <v>0</v>
      </c>
      <c r="AO355">
        <f ca="1">IFERROR(IF(0=LEN(ReferenceData!$AO$355),"",ReferenceData!$AO$355),"")</f>
        <v>0</v>
      </c>
      <c r="AP355">
        <f ca="1">IFERROR(IF(0=LEN(ReferenceData!$AP$355),"",ReferenceData!$AP$355),"")</f>
        <v>0</v>
      </c>
      <c r="AQ355">
        <f ca="1">IFERROR(IF(0=LEN(ReferenceData!$AQ$355),"",ReferenceData!$AQ$355),"")</f>
        <v>0</v>
      </c>
      <c r="AR355">
        <f ca="1">IFERROR(IF(0=LEN(ReferenceData!$AR$355),"",ReferenceData!$AR$355),"")</f>
        <v>0</v>
      </c>
      <c r="AS355">
        <f ca="1">IFERROR(IF(0=LEN(ReferenceData!$AS$355),"",ReferenceData!$AS$355),"")</f>
        <v>0</v>
      </c>
      <c r="AT355">
        <f ca="1">IFERROR(IF(0=LEN(ReferenceData!$AT$355),"",ReferenceData!$AT$355),"")</f>
        <v>0</v>
      </c>
      <c r="AU355" t="str">
        <f ca="1">IFERROR(IF(0=LEN(ReferenceData!$AU$355),"",ReferenceData!$AU$355),"")</f>
        <v/>
      </c>
      <c r="AV355" t="str">
        <f ca="1">IFERROR(IF(0=LEN(ReferenceData!$AV$355),"",ReferenceData!$AV$355),"")</f>
        <v/>
      </c>
      <c r="AW355" t="str">
        <f ca="1">IFERROR(IF(0=LEN(ReferenceData!$AW$355),"",ReferenceData!$AW$355),"")</f>
        <v/>
      </c>
      <c r="AX355" t="str">
        <f ca="1">IFERROR(IF(0=LEN(ReferenceData!$AX$355),"",ReferenceData!$AX$355),"")</f>
        <v/>
      </c>
      <c r="AY355" t="str">
        <f ca="1">IFERROR(IF(0=LEN(ReferenceData!$AY$355),"",ReferenceData!$AY$355),"")</f>
        <v/>
      </c>
      <c r="AZ355" t="str">
        <f ca="1">IFERROR(IF(0=LEN(ReferenceData!$AZ$355),"",ReferenceData!$AZ$355),"")</f>
        <v/>
      </c>
      <c r="BA355" t="str">
        <f ca="1">IFERROR(IF(0=LEN(ReferenceData!$BA$355),"",ReferenceData!$BA$355),"")</f>
        <v/>
      </c>
      <c r="BB355" t="str">
        <f ca="1">IFERROR(IF(0=LEN(ReferenceData!$BB$355),"",ReferenceData!$BB$355),"")</f>
        <v/>
      </c>
      <c r="BC355" t="str">
        <f ca="1">IFERROR(IF(0=LEN(ReferenceData!$BC$355),"",ReferenceData!$BC$355),"")</f>
        <v/>
      </c>
      <c r="BD355" t="str">
        <f ca="1">IFERROR(IF(0=LEN(ReferenceData!$BD$355),"",ReferenceData!$BD$355),"")</f>
        <v/>
      </c>
      <c r="BE355" t="str">
        <f ca="1">IFERROR(IF(0=LEN(ReferenceData!$BE$355),"",ReferenceData!$BE$355),"")</f>
        <v/>
      </c>
      <c r="BF355" t="str">
        <f ca="1">IFERROR(IF(0=LEN(ReferenceData!$BF$355),"",ReferenceData!$BF$355),"")</f>
        <v/>
      </c>
      <c r="BG355" t="str">
        <f ca="1">IFERROR(IF(0=LEN(ReferenceData!$BG$355),"",ReferenceData!$BG$355),"")</f>
        <v/>
      </c>
      <c r="BH355" t="str">
        <f ca="1">IFERROR(IF(0=LEN(ReferenceData!$BH$355),"",ReferenceData!$BH$355),"")</f>
        <v/>
      </c>
      <c r="BI355" t="str">
        <f ca="1">IFERROR(IF(0=LEN(ReferenceData!$BI$355),"",ReferenceData!$BI$355),"")</f>
        <v/>
      </c>
      <c r="BJ355" t="str">
        <f ca="1">IFERROR(IF(0=LEN(ReferenceData!$BJ$355),"",ReferenceData!$BJ$355),"")</f>
        <v/>
      </c>
      <c r="BK355" t="str">
        <f ca="1">IFERROR(IF(0=LEN(ReferenceData!$BK$355),"",ReferenceData!$BK$355),"")</f>
        <v/>
      </c>
      <c r="BL355" t="str">
        <f ca="1">IFERROR(IF(0=LEN(ReferenceData!$BL$355),"",ReferenceData!$BL$355),"")</f>
        <v/>
      </c>
      <c r="BM355" t="str">
        <f ca="1">IFERROR(IF(0=LEN(ReferenceData!$BM$355),"",ReferenceData!$BM$355),"")</f>
        <v/>
      </c>
    </row>
    <row r="356" spans="1:65" x14ac:dyDescent="0.25">
      <c r="A356" t="str">
        <f>IFERROR(IF(0=LEN(ReferenceData!$A$356),"",ReferenceData!$A$356),"")</f>
        <v xml:space="preserve">    Nissan Motor Co Ltd</v>
      </c>
      <c r="B356" t="str">
        <f>IFERROR(IF(0=LEN(ReferenceData!$B$356),"",ReferenceData!$B$356),"")</f>
        <v>7201 JP Equity</v>
      </c>
      <c r="C356" t="str">
        <f>IFERROR(IF(0=LEN(ReferenceData!$C$356),"",ReferenceData!$C$356),"")</f>
        <v>RX530</v>
      </c>
      <c r="D356" t="str">
        <f>IFERROR(IF(0=LEN(ReferenceData!$D$356),"",ReferenceData!$D$356),"")</f>
        <v>T12M_DVDS_PAID</v>
      </c>
      <c r="E356" t="str">
        <f>IFERROR(IF(0=LEN(ReferenceData!$E$356),"",ReferenceData!$E$356),"")</f>
        <v>Dynamic</v>
      </c>
      <c r="F356" t="str">
        <f ca="1">IFERROR(IF(0=LEN(ReferenceData!$F$356),"",ReferenceData!$F$356),"")</f>
        <v/>
      </c>
      <c r="G356">
        <f ca="1">IFERROR(IF(0=LEN(ReferenceData!$G$356),"",ReferenceData!$G$356),"")</f>
        <v>-1948.55441</v>
      </c>
      <c r="H356">
        <f ca="1">IFERROR(IF(0=LEN(ReferenceData!$H$356),"",ReferenceData!$H$356),"")</f>
        <v>-1877.2890070000001</v>
      </c>
      <c r="I356">
        <f ca="1">IFERROR(IF(0=LEN(ReferenceData!$I$356),"",ReferenceData!$I$356),"")</f>
        <v>-1879.526621</v>
      </c>
      <c r="J356">
        <f ca="1">IFERROR(IF(0=LEN(ReferenceData!$J$356),"",ReferenceData!$J$356),"")</f>
        <v>-1782.9717439999999</v>
      </c>
      <c r="K356">
        <f ca="1">IFERROR(IF(0=LEN(ReferenceData!$K$356),"",ReferenceData!$K$356),"")</f>
        <v>-1761.868475</v>
      </c>
      <c r="L356">
        <f ca="1">IFERROR(IF(0=LEN(ReferenceData!$L$356),"",ReferenceData!$L$356),"")</f>
        <v>-1700.6955370000001</v>
      </c>
      <c r="M356">
        <f ca="1">IFERROR(IF(0=LEN(ReferenceData!$M$356),"",ReferenceData!$M$356),"")</f>
        <v>-1737.016116</v>
      </c>
      <c r="N356">
        <f ca="1">IFERROR(IF(0=LEN(ReferenceData!$N$356),"",ReferenceData!$N$356),"")</f>
        <v>-1691.011344</v>
      </c>
      <c r="O356">
        <f ca="1">IFERROR(IF(0=LEN(ReferenceData!$O$356),"",ReferenceData!$O$356),"")</f>
        <v>-1685.7101070000001</v>
      </c>
      <c r="P356">
        <f ca="1">IFERROR(IF(0=LEN(ReferenceData!$P$356),"",ReferenceData!$P$356),"")</f>
        <v>-1578.5423310000001</v>
      </c>
      <c r="Q356">
        <f ca="1">IFERROR(IF(0=LEN(ReferenceData!$Q$356),"",ReferenceData!$Q$356),"")</f>
        <v>-1508.4999</v>
      </c>
      <c r="R356">
        <f ca="1">IFERROR(IF(0=LEN(ReferenceData!$R$356),"",ReferenceData!$R$356),"")</f>
        <v>-1310.8411739999999</v>
      </c>
      <c r="S356">
        <f ca="1">IFERROR(IF(0=LEN(ReferenceData!$S$356),"",ReferenceData!$S$356),"")</f>
        <v>-1299.1931360000001</v>
      </c>
      <c r="T356">
        <f ca="1">IFERROR(IF(0=LEN(ReferenceData!$T$356),"",ReferenceData!$T$356),"")</f>
        <v>-1161.3926120000001</v>
      </c>
      <c r="U356">
        <f ca="1">IFERROR(IF(0=LEN(ReferenceData!$U$356),"",ReferenceData!$U$356),"")</f>
        <v>-1211.562672</v>
      </c>
      <c r="V356">
        <f ca="1">IFERROR(IF(0=LEN(ReferenceData!$V$356),"",ReferenceData!$V$356),"")</f>
        <v>-1207.2655569999999</v>
      </c>
      <c r="W356">
        <f ca="1">IFERROR(IF(0=LEN(ReferenceData!$W$356),"",ReferenceData!$W$356),"")</f>
        <v>-1250.550301</v>
      </c>
      <c r="X356">
        <f ca="1">IFERROR(IF(0=LEN(ReferenceData!$X$356),"",ReferenceData!$X$356),"")</f>
        <v>-1229.417042</v>
      </c>
      <c r="Y356">
        <f ca="1">IFERROR(IF(0=LEN(ReferenceData!$Y$356),"",ReferenceData!$Y$356),"")</f>
        <v>-1244.9089300000001</v>
      </c>
      <c r="Z356">
        <f ca="1">IFERROR(IF(0=LEN(ReferenceData!$Z$356),"",ReferenceData!$Z$356),"")</f>
        <v>-1150.9580900000001</v>
      </c>
      <c r="AA356">
        <f ca="1">IFERROR(IF(0=LEN(ReferenceData!$AA$356),"",ReferenceData!$AA$356),"")</f>
        <v>-1182.8309489999999</v>
      </c>
      <c r="AB356">
        <f ca="1">IFERROR(IF(0=LEN(ReferenceData!$AB$356),"",ReferenceData!$AB$356),"")</f>
        <v>-1137.8397689999999</v>
      </c>
      <c r="AC356">
        <f ca="1">IFERROR(IF(0=LEN(ReferenceData!$AC$356),"",ReferenceData!$AC$356),"")</f>
        <v>-1206.476596</v>
      </c>
      <c r="AD356">
        <f ca="1">IFERROR(IF(0=LEN(ReferenceData!$AD$356),"",ReferenceData!$AD$356),"")</f>
        <v>-1141.3196270000001</v>
      </c>
      <c r="AE356">
        <f ca="1">IFERROR(IF(0=LEN(ReferenceData!$AE$356),"",ReferenceData!$AE$356),"")</f>
        <v>-1182.2487410000001</v>
      </c>
      <c r="AF356">
        <f ca="1">IFERROR(IF(0=LEN(ReferenceData!$AF$356),"",ReferenceData!$AF$356),"")</f>
        <v>-1062.6427040000001</v>
      </c>
      <c r="AG356">
        <f ca="1">IFERROR(IF(0=LEN(ReferenceData!$AG$356),"",ReferenceData!$AG$356),"")</f>
        <v>-1066.0450390000001</v>
      </c>
      <c r="AH356">
        <f ca="1">IFERROR(IF(0=LEN(ReferenceData!$AH$356),"",ReferenceData!$AH$356),"")</f>
        <v>-795.25606259999995</v>
      </c>
      <c r="AI356">
        <f ca="1">IFERROR(IF(0=LEN(ReferenceData!$AI$356),"",ReferenceData!$AI$356),"")</f>
        <v>-788.21279790000006</v>
      </c>
      <c r="AJ356">
        <f ca="1">IFERROR(IF(0=LEN(ReferenceData!$AJ$356),"",ReferenceData!$AJ$356),"")</f>
        <v>-517.00474559999998</v>
      </c>
      <c r="AK356">
        <f ca="1">IFERROR(IF(0=LEN(ReferenceData!$AK$356),"",ReferenceData!$AK$356),"")</f>
        <v>-504.16518309999998</v>
      </c>
      <c r="AL356">
        <f ca="1">IFERROR(IF(0=LEN(ReferenceData!$AL$356),"",ReferenceData!$AL$356),"")</f>
        <v>-244.81368660000001</v>
      </c>
      <c r="AM356">
        <f ca="1">IFERROR(IF(0=LEN(ReferenceData!$AM$356),"",ReferenceData!$AM$356),"")</f>
        <v>-239.0057247</v>
      </c>
      <c r="AN356">
        <f ca="1">IFERROR(IF(0=LEN(ReferenceData!$AN$356),"",ReferenceData!$AN$356),"")</f>
        <v>0</v>
      </c>
      <c r="AO356">
        <f ca="1">IFERROR(IF(0=LEN(ReferenceData!$AO$356),"",ReferenceData!$AO$356),"")</f>
        <v>0</v>
      </c>
      <c r="AP356">
        <f ca="1">IFERROR(IF(0=LEN(ReferenceData!$AP$356),"",ReferenceData!$AP$356),"")</f>
        <v>0</v>
      </c>
      <c r="AQ356">
        <f ca="1">IFERROR(IF(0=LEN(ReferenceData!$AQ$356),"",ReferenceData!$AQ$356),"")</f>
        <v>0</v>
      </c>
      <c r="AR356">
        <f ca="1">IFERROR(IF(0=LEN(ReferenceData!$AR$356),"",ReferenceData!$AR$356),"")</f>
        <v>-471.54102649999999</v>
      </c>
      <c r="AS356">
        <f ca="1">IFERROR(IF(0=LEN(ReferenceData!$AS$356),"",ReferenceData!$AS$356),"")</f>
        <v>-455.67373900000001</v>
      </c>
      <c r="AT356">
        <f ca="1">IFERROR(IF(0=LEN(ReferenceData!$AT$356),"",ReferenceData!$AT$356),"")</f>
        <v>-1261.995052</v>
      </c>
      <c r="AU356" t="str">
        <f ca="1">IFERROR(IF(0=LEN(ReferenceData!$AU$356),"",ReferenceData!$AU$356),"")</f>
        <v/>
      </c>
      <c r="AV356" t="str">
        <f ca="1">IFERROR(IF(0=LEN(ReferenceData!$AV$356),"",ReferenceData!$AV$356),"")</f>
        <v/>
      </c>
      <c r="AW356" t="str">
        <f ca="1">IFERROR(IF(0=LEN(ReferenceData!$AW$356),"",ReferenceData!$AW$356),"")</f>
        <v/>
      </c>
      <c r="AX356" t="str">
        <f ca="1">IFERROR(IF(0=LEN(ReferenceData!$AX$356),"",ReferenceData!$AX$356),"")</f>
        <v/>
      </c>
      <c r="AY356" t="str">
        <f ca="1">IFERROR(IF(0=LEN(ReferenceData!$AY$356),"",ReferenceData!$AY$356),"")</f>
        <v/>
      </c>
      <c r="AZ356" t="str">
        <f ca="1">IFERROR(IF(0=LEN(ReferenceData!$AZ$356),"",ReferenceData!$AZ$356),"")</f>
        <v/>
      </c>
      <c r="BA356" t="str">
        <f ca="1">IFERROR(IF(0=LEN(ReferenceData!$BA$356),"",ReferenceData!$BA$356),"")</f>
        <v/>
      </c>
      <c r="BB356" t="str">
        <f ca="1">IFERROR(IF(0=LEN(ReferenceData!$BB$356),"",ReferenceData!$BB$356),"")</f>
        <v/>
      </c>
      <c r="BC356" t="str">
        <f ca="1">IFERROR(IF(0=LEN(ReferenceData!$BC$356),"",ReferenceData!$BC$356),"")</f>
        <v/>
      </c>
      <c r="BD356" t="str">
        <f ca="1">IFERROR(IF(0=LEN(ReferenceData!$BD$356),"",ReferenceData!$BD$356),"")</f>
        <v/>
      </c>
      <c r="BE356" t="str">
        <f ca="1">IFERROR(IF(0=LEN(ReferenceData!$BE$356),"",ReferenceData!$BE$356),"")</f>
        <v/>
      </c>
      <c r="BF356" t="str">
        <f ca="1">IFERROR(IF(0=LEN(ReferenceData!$BF$356),"",ReferenceData!$BF$356),"")</f>
        <v/>
      </c>
      <c r="BG356" t="str">
        <f ca="1">IFERROR(IF(0=LEN(ReferenceData!$BG$356),"",ReferenceData!$BG$356),"")</f>
        <v/>
      </c>
      <c r="BH356" t="str">
        <f ca="1">IFERROR(IF(0=LEN(ReferenceData!$BH$356),"",ReferenceData!$BH$356),"")</f>
        <v/>
      </c>
      <c r="BI356" t="str">
        <f ca="1">IFERROR(IF(0=LEN(ReferenceData!$BI$356),"",ReferenceData!$BI$356),"")</f>
        <v/>
      </c>
      <c r="BJ356" t="str">
        <f ca="1">IFERROR(IF(0=LEN(ReferenceData!$BJ$356),"",ReferenceData!$BJ$356),"")</f>
        <v/>
      </c>
      <c r="BK356" t="str">
        <f ca="1">IFERROR(IF(0=LEN(ReferenceData!$BK$356),"",ReferenceData!$BK$356),"")</f>
        <v/>
      </c>
      <c r="BL356" t="str">
        <f ca="1">IFERROR(IF(0=LEN(ReferenceData!$BL$356),"",ReferenceData!$BL$356),"")</f>
        <v/>
      </c>
      <c r="BM356" t="str">
        <f ca="1">IFERROR(IF(0=LEN(ReferenceData!$BM$356),"",ReferenceData!$BM$356),"")</f>
        <v/>
      </c>
    </row>
    <row r="357" spans="1:65" x14ac:dyDescent="0.25">
      <c r="A357" t="str">
        <f>IFERROR(IF(0=LEN(ReferenceData!$A$357),"",ReferenceData!$A$357),"")</f>
        <v xml:space="preserve">    Peugeot SA</v>
      </c>
      <c r="B357" t="str">
        <f>IFERROR(IF(0=LEN(ReferenceData!$B$357),"",ReferenceData!$B$357),"")</f>
        <v>UG FP Equity</v>
      </c>
      <c r="C357" t="str">
        <f>IFERROR(IF(0=LEN(ReferenceData!$C$357),"",ReferenceData!$C$357),"")</f>
        <v>RX530</v>
      </c>
      <c r="D357" t="str">
        <f>IFERROR(IF(0=LEN(ReferenceData!$D$357),"",ReferenceData!$D$357),"")</f>
        <v>T12M_DVDS_PAID</v>
      </c>
      <c r="E357" t="str">
        <f>IFERROR(IF(0=LEN(ReferenceData!$E$357),"",ReferenceData!$E$357),"")</f>
        <v>Dynamic</v>
      </c>
      <c r="F357" t="str">
        <f ca="1">IFERROR(IF(0=LEN(ReferenceData!$F$357),"",ReferenceData!$F$357),"")</f>
        <v/>
      </c>
      <c r="G357" t="str">
        <f ca="1">IFERROR(IF(0=LEN(ReferenceData!$G$357),"",ReferenceData!$G$357),"")</f>
        <v/>
      </c>
      <c r="H357" t="str">
        <f ca="1">IFERROR(IF(0=LEN(ReferenceData!$H$357),"",ReferenceData!$H$357),"")</f>
        <v/>
      </c>
      <c r="I357" t="str">
        <f ca="1">IFERROR(IF(0=LEN(ReferenceData!$I$357),"",ReferenceData!$I$357),"")</f>
        <v/>
      </c>
      <c r="J357" t="str">
        <f ca="1">IFERROR(IF(0=LEN(ReferenceData!$J$357),"",ReferenceData!$J$357),"")</f>
        <v/>
      </c>
      <c r="K357" t="str">
        <f ca="1">IFERROR(IF(0=LEN(ReferenceData!$K$357),"",ReferenceData!$K$357),"")</f>
        <v/>
      </c>
      <c r="L357" t="str">
        <f ca="1">IFERROR(IF(0=LEN(ReferenceData!$L$357),"",ReferenceData!$L$357),"")</f>
        <v/>
      </c>
      <c r="M357" t="str">
        <f ca="1">IFERROR(IF(0=LEN(ReferenceData!$M$357),"",ReferenceData!$M$357),"")</f>
        <v/>
      </c>
      <c r="N357" t="str">
        <f ca="1">IFERROR(IF(0=LEN(ReferenceData!$N$357),"",ReferenceData!$N$357),"")</f>
        <v/>
      </c>
      <c r="O357" t="str">
        <f ca="1">IFERROR(IF(0=LEN(ReferenceData!$O$357),"",ReferenceData!$O$357),"")</f>
        <v/>
      </c>
      <c r="P357" t="str">
        <f ca="1">IFERROR(IF(0=LEN(ReferenceData!$P$357),"",ReferenceData!$P$357),"")</f>
        <v/>
      </c>
      <c r="Q357" t="str">
        <f ca="1">IFERROR(IF(0=LEN(ReferenceData!$Q$357),"",ReferenceData!$Q$357),"")</f>
        <v/>
      </c>
      <c r="R357" t="str">
        <f ca="1">IFERROR(IF(0=LEN(ReferenceData!$R$357),"",ReferenceData!$R$357),"")</f>
        <v/>
      </c>
      <c r="S357" t="str">
        <f ca="1">IFERROR(IF(0=LEN(ReferenceData!$S$357),"",ReferenceData!$S$357),"")</f>
        <v/>
      </c>
      <c r="T357" t="str">
        <f ca="1">IFERROR(IF(0=LEN(ReferenceData!$T$357),"",ReferenceData!$T$357),"")</f>
        <v/>
      </c>
      <c r="U357" t="str">
        <f ca="1">IFERROR(IF(0=LEN(ReferenceData!$U$357),"",ReferenceData!$U$357),"")</f>
        <v/>
      </c>
      <c r="V357" t="str">
        <f ca="1">IFERROR(IF(0=LEN(ReferenceData!$V$357),"",ReferenceData!$V$357),"")</f>
        <v/>
      </c>
      <c r="W357" t="str">
        <f ca="1">IFERROR(IF(0=LEN(ReferenceData!$W$357),"",ReferenceData!$W$357),"")</f>
        <v/>
      </c>
      <c r="X357" t="str">
        <f ca="1">IFERROR(IF(0=LEN(ReferenceData!$X$357),"",ReferenceData!$X$357),"")</f>
        <v/>
      </c>
      <c r="Y357" t="str">
        <f ca="1">IFERROR(IF(0=LEN(ReferenceData!$Y$357),"",ReferenceData!$Y$357),"")</f>
        <v/>
      </c>
      <c r="Z357" t="str">
        <f ca="1">IFERROR(IF(0=LEN(ReferenceData!$Z$357),"",ReferenceData!$Z$357),"")</f>
        <v/>
      </c>
      <c r="AA357" t="str">
        <f ca="1">IFERROR(IF(0=LEN(ReferenceData!$AA$357),"",ReferenceData!$AA$357),"")</f>
        <v/>
      </c>
      <c r="AB357" t="str">
        <f ca="1">IFERROR(IF(0=LEN(ReferenceData!$AB$357),"",ReferenceData!$AB$357),"")</f>
        <v/>
      </c>
      <c r="AC357" t="str">
        <f ca="1">IFERROR(IF(0=LEN(ReferenceData!$AC$357),"",ReferenceData!$AC$357),"")</f>
        <v/>
      </c>
      <c r="AD357" t="str">
        <f ca="1">IFERROR(IF(0=LEN(ReferenceData!$AD$357),"",ReferenceData!$AD$357),"")</f>
        <v/>
      </c>
      <c r="AE357" t="str">
        <f ca="1">IFERROR(IF(0=LEN(ReferenceData!$AE$357),"",ReferenceData!$AE$357),"")</f>
        <v/>
      </c>
      <c r="AF357" t="str">
        <f ca="1">IFERROR(IF(0=LEN(ReferenceData!$AF$357),"",ReferenceData!$AF$357),"")</f>
        <v/>
      </c>
      <c r="AG357" t="str">
        <f ca="1">IFERROR(IF(0=LEN(ReferenceData!$AG$357),"",ReferenceData!$AG$357),"")</f>
        <v/>
      </c>
      <c r="AH357" t="str">
        <f ca="1">IFERROR(IF(0=LEN(ReferenceData!$AH$357),"",ReferenceData!$AH$357),"")</f>
        <v/>
      </c>
      <c r="AI357" t="str">
        <f ca="1">IFERROR(IF(0=LEN(ReferenceData!$AI$357),"",ReferenceData!$AI$357),"")</f>
        <v/>
      </c>
      <c r="AJ357" t="str">
        <f ca="1">IFERROR(IF(0=LEN(ReferenceData!$AJ$357),"",ReferenceData!$AJ$357),"")</f>
        <v/>
      </c>
      <c r="AK357" t="str">
        <f ca="1">IFERROR(IF(0=LEN(ReferenceData!$AK$357),"",ReferenceData!$AK$357),"")</f>
        <v/>
      </c>
      <c r="AL357" t="str">
        <f ca="1">IFERROR(IF(0=LEN(ReferenceData!$AL$357),"",ReferenceData!$AL$357),"")</f>
        <v/>
      </c>
      <c r="AM357" t="str">
        <f ca="1">IFERROR(IF(0=LEN(ReferenceData!$AM$357),"",ReferenceData!$AM$357),"")</f>
        <v/>
      </c>
      <c r="AN357" t="str">
        <f ca="1">IFERROR(IF(0=LEN(ReferenceData!$AN$357),"",ReferenceData!$AN$357),"")</f>
        <v/>
      </c>
      <c r="AO357" t="str">
        <f ca="1">IFERROR(IF(0=LEN(ReferenceData!$AO$357),"",ReferenceData!$AO$357),"")</f>
        <v/>
      </c>
      <c r="AP357" t="str">
        <f ca="1">IFERROR(IF(0=LEN(ReferenceData!$AP$357),"",ReferenceData!$AP$357),"")</f>
        <v/>
      </c>
      <c r="AQ357" t="str">
        <f ca="1">IFERROR(IF(0=LEN(ReferenceData!$AQ$357),"",ReferenceData!$AQ$357),"")</f>
        <v/>
      </c>
      <c r="AR357" t="str">
        <f ca="1">IFERROR(IF(0=LEN(ReferenceData!$AR$357),"",ReferenceData!$AR$357),"")</f>
        <v/>
      </c>
      <c r="AS357" t="str">
        <f ca="1">IFERROR(IF(0=LEN(ReferenceData!$AS$357),"",ReferenceData!$AS$357),"")</f>
        <v/>
      </c>
      <c r="AT357" t="str">
        <f ca="1">IFERROR(IF(0=LEN(ReferenceData!$AT$357),"",ReferenceData!$AT$357),"")</f>
        <v/>
      </c>
      <c r="AU357" t="str">
        <f ca="1">IFERROR(IF(0=LEN(ReferenceData!$AU$357),"",ReferenceData!$AU$357),"")</f>
        <v/>
      </c>
      <c r="AV357" t="str">
        <f ca="1">IFERROR(IF(0=LEN(ReferenceData!$AV$357),"",ReferenceData!$AV$357),"")</f>
        <v/>
      </c>
      <c r="AW357" t="str">
        <f ca="1">IFERROR(IF(0=LEN(ReferenceData!$AW$357),"",ReferenceData!$AW$357),"")</f>
        <v/>
      </c>
      <c r="AX357" t="str">
        <f ca="1">IFERROR(IF(0=LEN(ReferenceData!$AX$357),"",ReferenceData!$AX$357),"")</f>
        <v/>
      </c>
      <c r="AY357" t="str">
        <f ca="1">IFERROR(IF(0=LEN(ReferenceData!$AY$357),"",ReferenceData!$AY$357),"")</f>
        <v/>
      </c>
      <c r="AZ357" t="str">
        <f ca="1">IFERROR(IF(0=LEN(ReferenceData!$AZ$357),"",ReferenceData!$AZ$357),"")</f>
        <v/>
      </c>
      <c r="BA357" t="str">
        <f ca="1">IFERROR(IF(0=LEN(ReferenceData!$BA$357),"",ReferenceData!$BA$357),"")</f>
        <v/>
      </c>
      <c r="BB357" t="str">
        <f ca="1">IFERROR(IF(0=LEN(ReferenceData!$BB$357),"",ReferenceData!$BB$357),"")</f>
        <v/>
      </c>
      <c r="BC357" t="str">
        <f ca="1">IFERROR(IF(0=LEN(ReferenceData!$BC$357),"",ReferenceData!$BC$357),"")</f>
        <v/>
      </c>
      <c r="BD357" t="str">
        <f ca="1">IFERROR(IF(0=LEN(ReferenceData!$BD$357),"",ReferenceData!$BD$357),"")</f>
        <v/>
      </c>
      <c r="BE357" t="str">
        <f ca="1">IFERROR(IF(0=LEN(ReferenceData!$BE$357),"",ReferenceData!$BE$357),"")</f>
        <v/>
      </c>
      <c r="BF357" t="str">
        <f ca="1">IFERROR(IF(0=LEN(ReferenceData!$BF$357),"",ReferenceData!$BF$357),"")</f>
        <v/>
      </c>
      <c r="BG357" t="str">
        <f ca="1">IFERROR(IF(0=LEN(ReferenceData!$BG$357),"",ReferenceData!$BG$357),"")</f>
        <v/>
      </c>
      <c r="BH357" t="str">
        <f ca="1">IFERROR(IF(0=LEN(ReferenceData!$BH$357),"",ReferenceData!$BH$357),"")</f>
        <v/>
      </c>
      <c r="BI357" t="str">
        <f ca="1">IFERROR(IF(0=LEN(ReferenceData!$BI$357),"",ReferenceData!$BI$357),"")</f>
        <v/>
      </c>
      <c r="BJ357" t="str">
        <f ca="1">IFERROR(IF(0=LEN(ReferenceData!$BJ$357),"",ReferenceData!$BJ$357),"")</f>
        <v/>
      </c>
      <c r="BK357" t="str">
        <f ca="1">IFERROR(IF(0=LEN(ReferenceData!$BK$357),"",ReferenceData!$BK$357),"")</f>
        <v/>
      </c>
      <c r="BL357" t="str">
        <f ca="1">IFERROR(IF(0=LEN(ReferenceData!$BL$357),"",ReferenceData!$BL$357),"")</f>
        <v/>
      </c>
      <c r="BM357" t="str">
        <f ca="1">IFERROR(IF(0=LEN(ReferenceData!$BM$357),"",ReferenceData!$BM$357),"")</f>
        <v/>
      </c>
    </row>
    <row r="358" spans="1:65" x14ac:dyDescent="0.25">
      <c r="A358" t="str">
        <f>IFERROR(IF(0=LEN(ReferenceData!$A$358),"",ReferenceData!$A$358),"")</f>
        <v xml:space="preserve">    Renault SA</v>
      </c>
      <c r="B358" t="str">
        <f>IFERROR(IF(0=LEN(ReferenceData!$B$358),"",ReferenceData!$B$358),"")</f>
        <v>RNO FP Equity</v>
      </c>
      <c r="C358" t="str">
        <f>IFERROR(IF(0=LEN(ReferenceData!$C$358),"",ReferenceData!$C$358),"")</f>
        <v>RX530</v>
      </c>
      <c r="D358" t="str">
        <f>IFERROR(IF(0=LEN(ReferenceData!$D$358),"",ReferenceData!$D$358),"")</f>
        <v>T12M_DVDS_PAID</v>
      </c>
      <c r="E358" t="str">
        <f>IFERROR(IF(0=LEN(ReferenceData!$E$358),"",ReferenceData!$E$358),"")</f>
        <v>Dynamic</v>
      </c>
      <c r="F358" t="str">
        <f ca="1">IFERROR(IF(0=LEN(ReferenceData!$F$358),"",ReferenceData!$F$358),"")</f>
        <v/>
      </c>
      <c r="G358" t="str">
        <f ca="1">IFERROR(IF(0=LEN(ReferenceData!$G$358),"",ReferenceData!$G$358),"")</f>
        <v/>
      </c>
      <c r="H358" t="str">
        <f ca="1">IFERROR(IF(0=LEN(ReferenceData!$H$358),"",ReferenceData!$H$358),"")</f>
        <v/>
      </c>
      <c r="I358" t="str">
        <f ca="1">IFERROR(IF(0=LEN(ReferenceData!$I$358),"",ReferenceData!$I$358),"")</f>
        <v/>
      </c>
      <c r="J358" t="str">
        <f ca="1">IFERROR(IF(0=LEN(ReferenceData!$J$358),"",ReferenceData!$J$358),"")</f>
        <v/>
      </c>
      <c r="K358" t="str">
        <f ca="1">IFERROR(IF(0=LEN(ReferenceData!$K$358),"",ReferenceData!$K$358),"")</f>
        <v/>
      </c>
      <c r="L358" t="str">
        <f ca="1">IFERROR(IF(0=LEN(ReferenceData!$L$358),"",ReferenceData!$L$358),"")</f>
        <v/>
      </c>
      <c r="M358" t="str">
        <f ca="1">IFERROR(IF(0=LEN(ReferenceData!$M$358),"",ReferenceData!$M$358),"")</f>
        <v/>
      </c>
      <c r="N358" t="str">
        <f ca="1">IFERROR(IF(0=LEN(ReferenceData!$N$358),"",ReferenceData!$N$358),"")</f>
        <v/>
      </c>
      <c r="O358" t="str">
        <f ca="1">IFERROR(IF(0=LEN(ReferenceData!$O$358),"",ReferenceData!$O$358),"")</f>
        <v/>
      </c>
      <c r="P358" t="str">
        <f ca="1">IFERROR(IF(0=LEN(ReferenceData!$P$358),"",ReferenceData!$P$358),"")</f>
        <v/>
      </c>
      <c r="Q358" t="str">
        <f ca="1">IFERROR(IF(0=LEN(ReferenceData!$Q$358),"",ReferenceData!$Q$358),"")</f>
        <v/>
      </c>
      <c r="R358" t="str">
        <f ca="1">IFERROR(IF(0=LEN(ReferenceData!$R$358),"",ReferenceData!$R$358),"")</f>
        <v/>
      </c>
      <c r="S358" t="str">
        <f ca="1">IFERROR(IF(0=LEN(ReferenceData!$S$358),"",ReferenceData!$S$358),"")</f>
        <v/>
      </c>
      <c r="T358" t="str">
        <f ca="1">IFERROR(IF(0=LEN(ReferenceData!$T$358),"",ReferenceData!$T$358),"")</f>
        <v/>
      </c>
      <c r="U358" t="str">
        <f ca="1">IFERROR(IF(0=LEN(ReferenceData!$U$358),"",ReferenceData!$U$358),"")</f>
        <v/>
      </c>
      <c r="V358" t="str">
        <f ca="1">IFERROR(IF(0=LEN(ReferenceData!$V$358),"",ReferenceData!$V$358),"")</f>
        <v/>
      </c>
      <c r="W358" t="str">
        <f ca="1">IFERROR(IF(0=LEN(ReferenceData!$W$358),"",ReferenceData!$W$358),"")</f>
        <v/>
      </c>
      <c r="X358" t="str">
        <f ca="1">IFERROR(IF(0=LEN(ReferenceData!$X$358),"",ReferenceData!$X$358),"")</f>
        <v/>
      </c>
      <c r="Y358" t="str">
        <f ca="1">IFERROR(IF(0=LEN(ReferenceData!$Y$358),"",ReferenceData!$Y$358),"")</f>
        <v/>
      </c>
      <c r="Z358" t="str">
        <f ca="1">IFERROR(IF(0=LEN(ReferenceData!$Z$358),"",ReferenceData!$Z$358),"")</f>
        <v/>
      </c>
      <c r="AA358" t="str">
        <f ca="1">IFERROR(IF(0=LEN(ReferenceData!$AA$358),"",ReferenceData!$AA$358),"")</f>
        <v/>
      </c>
      <c r="AB358" t="str">
        <f ca="1">IFERROR(IF(0=LEN(ReferenceData!$AB$358),"",ReferenceData!$AB$358),"")</f>
        <v/>
      </c>
      <c r="AC358" t="str">
        <f ca="1">IFERROR(IF(0=LEN(ReferenceData!$AC$358),"",ReferenceData!$AC$358),"")</f>
        <v/>
      </c>
      <c r="AD358" t="str">
        <f ca="1">IFERROR(IF(0=LEN(ReferenceData!$AD$358),"",ReferenceData!$AD$358),"")</f>
        <v/>
      </c>
      <c r="AE358" t="str">
        <f ca="1">IFERROR(IF(0=LEN(ReferenceData!$AE$358),"",ReferenceData!$AE$358),"")</f>
        <v/>
      </c>
      <c r="AF358" t="str">
        <f ca="1">IFERROR(IF(0=LEN(ReferenceData!$AF$358),"",ReferenceData!$AF$358),"")</f>
        <v/>
      </c>
      <c r="AG358" t="str">
        <f ca="1">IFERROR(IF(0=LEN(ReferenceData!$AG$358),"",ReferenceData!$AG$358),"")</f>
        <v/>
      </c>
      <c r="AH358" t="str">
        <f ca="1">IFERROR(IF(0=LEN(ReferenceData!$AH$358),"",ReferenceData!$AH$358),"")</f>
        <v/>
      </c>
      <c r="AI358" t="str">
        <f ca="1">IFERROR(IF(0=LEN(ReferenceData!$AI$358),"",ReferenceData!$AI$358),"")</f>
        <v/>
      </c>
      <c r="AJ358" t="str">
        <f ca="1">IFERROR(IF(0=LEN(ReferenceData!$AJ$358),"",ReferenceData!$AJ$358),"")</f>
        <v/>
      </c>
      <c r="AK358" t="str">
        <f ca="1">IFERROR(IF(0=LEN(ReferenceData!$AK$358),"",ReferenceData!$AK$358),"")</f>
        <v/>
      </c>
      <c r="AL358" t="str">
        <f ca="1">IFERROR(IF(0=LEN(ReferenceData!$AL$358),"",ReferenceData!$AL$358),"")</f>
        <v/>
      </c>
      <c r="AM358" t="str">
        <f ca="1">IFERROR(IF(0=LEN(ReferenceData!$AM$358),"",ReferenceData!$AM$358),"")</f>
        <v/>
      </c>
      <c r="AN358" t="str">
        <f ca="1">IFERROR(IF(0=LEN(ReferenceData!$AN$358),"",ReferenceData!$AN$358),"")</f>
        <v/>
      </c>
      <c r="AO358" t="str">
        <f ca="1">IFERROR(IF(0=LEN(ReferenceData!$AO$358),"",ReferenceData!$AO$358),"")</f>
        <v/>
      </c>
      <c r="AP358" t="str">
        <f ca="1">IFERROR(IF(0=LEN(ReferenceData!$AP$358),"",ReferenceData!$AP$358),"")</f>
        <v/>
      </c>
      <c r="AQ358" t="str">
        <f ca="1">IFERROR(IF(0=LEN(ReferenceData!$AQ$358),"",ReferenceData!$AQ$358),"")</f>
        <v/>
      </c>
      <c r="AR358" t="str">
        <f ca="1">IFERROR(IF(0=LEN(ReferenceData!$AR$358),"",ReferenceData!$AR$358),"")</f>
        <v/>
      </c>
      <c r="AS358" t="str">
        <f ca="1">IFERROR(IF(0=LEN(ReferenceData!$AS$358),"",ReferenceData!$AS$358),"")</f>
        <v/>
      </c>
      <c r="AT358" t="str">
        <f ca="1">IFERROR(IF(0=LEN(ReferenceData!$AT$358),"",ReferenceData!$AT$358),"")</f>
        <v/>
      </c>
      <c r="AU358" t="str">
        <f ca="1">IFERROR(IF(0=LEN(ReferenceData!$AU$358),"",ReferenceData!$AU$358),"")</f>
        <v/>
      </c>
      <c r="AV358" t="str">
        <f ca="1">IFERROR(IF(0=LEN(ReferenceData!$AV$358),"",ReferenceData!$AV$358),"")</f>
        <v/>
      </c>
      <c r="AW358" t="str">
        <f ca="1">IFERROR(IF(0=LEN(ReferenceData!$AW$358),"",ReferenceData!$AW$358),"")</f>
        <v/>
      </c>
      <c r="AX358" t="str">
        <f ca="1">IFERROR(IF(0=LEN(ReferenceData!$AX$358),"",ReferenceData!$AX$358),"")</f>
        <v/>
      </c>
      <c r="AY358" t="str">
        <f ca="1">IFERROR(IF(0=LEN(ReferenceData!$AY$358),"",ReferenceData!$AY$358),"")</f>
        <v/>
      </c>
      <c r="AZ358" t="str">
        <f ca="1">IFERROR(IF(0=LEN(ReferenceData!$AZ$358),"",ReferenceData!$AZ$358),"")</f>
        <v/>
      </c>
      <c r="BA358" t="str">
        <f ca="1">IFERROR(IF(0=LEN(ReferenceData!$BA$358),"",ReferenceData!$BA$358),"")</f>
        <v/>
      </c>
      <c r="BB358" t="str">
        <f ca="1">IFERROR(IF(0=LEN(ReferenceData!$BB$358),"",ReferenceData!$BB$358),"")</f>
        <v/>
      </c>
      <c r="BC358" t="str">
        <f ca="1">IFERROR(IF(0=LEN(ReferenceData!$BC$358),"",ReferenceData!$BC$358),"")</f>
        <v/>
      </c>
      <c r="BD358" t="str">
        <f ca="1">IFERROR(IF(0=LEN(ReferenceData!$BD$358),"",ReferenceData!$BD$358),"")</f>
        <v/>
      </c>
      <c r="BE358" t="str">
        <f ca="1">IFERROR(IF(0=LEN(ReferenceData!$BE$358),"",ReferenceData!$BE$358),"")</f>
        <v/>
      </c>
      <c r="BF358" t="str">
        <f ca="1">IFERROR(IF(0=LEN(ReferenceData!$BF$358),"",ReferenceData!$BF$358),"")</f>
        <v/>
      </c>
      <c r="BG358" t="str">
        <f ca="1">IFERROR(IF(0=LEN(ReferenceData!$BG$358),"",ReferenceData!$BG$358),"")</f>
        <v/>
      </c>
      <c r="BH358" t="str">
        <f ca="1">IFERROR(IF(0=LEN(ReferenceData!$BH$358),"",ReferenceData!$BH$358),"")</f>
        <v/>
      </c>
      <c r="BI358" t="str">
        <f ca="1">IFERROR(IF(0=LEN(ReferenceData!$BI$358),"",ReferenceData!$BI$358),"")</f>
        <v/>
      </c>
      <c r="BJ358" t="str">
        <f ca="1">IFERROR(IF(0=LEN(ReferenceData!$BJ$358),"",ReferenceData!$BJ$358),"")</f>
        <v/>
      </c>
      <c r="BK358" t="str">
        <f ca="1">IFERROR(IF(0=LEN(ReferenceData!$BK$358),"",ReferenceData!$BK$358),"")</f>
        <v/>
      </c>
      <c r="BL358" t="str">
        <f ca="1">IFERROR(IF(0=LEN(ReferenceData!$BL$358),"",ReferenceData!$BL$358),"")</f>
        <v/>
      </c>
      <c r="BM358" t="str">
        <f ca="1">IFERROR(IF(0=LEN(ReferenceData!$BM$358),"",ReferenceData!$BM$358),"")</f>
        <v/>
      </c>
    </row>
    <row r="359" spans="1:65" x14ac:dyDescent="0.25">
      <c r="A359" t="str">
        <f>IFERROR(IF(0=LEN(ReferenceData!$A$359),"",ReferenceData!$A$359),"")</f>
        <v xml:space="preserve">    SAIC Motor Corp Ltd</v>
      </c>
      <c r="B359" t="str">
        <f>IFERROR(IF(0=LEN(ReferenceData!$B$359),"",ReferenceData!$B$359),"")</f>
        <v>600104 CH Equity</v>
      </c>
      <c r="C359" t="str">
        <f>IFERROR(IF(0=LEN(ReferenceData!$C$359),"",ReferenceData!$C$359),"")</f>
        <v>RX530</v>
      </c>
      <c r="D359" t="str">
        <f>IFERROR(IF(0=LEN(ReferenceData!$D$359),"",ReferenceData!$D$359),"")</f>
        <v>T12M_DVDS_PAID</v>
      </c>
      <c r="E359" t="str">
        <f>IFERROR(IF(0=LEN(ReferenceData!$E$359),"",ReferenceData!$E$359),"")</f>
        <v>Dynamic</v>
      </c>
      <c r="F359" t="str">
        <f ca="1">IFERROR(IF(0=LEN(ReferenceData!$F$359),"",ReferenceData!$F$359),"")</f>
        <v/>
      </c>
      <c r="G359" t="str">
        <f ca="1">IFERROR(IF(0=LEN(ReferenceData!$G$359),"",ReferenceData!$G$359),"")</f>
        <v/>
      </c>
      <c r="H359" t="str">
        <f ca="1">IFERROR(IF(0=LEN(ReferenceData!$H$359),"",ReferenceData!$H$359),"")</f>
        <v/>
      </c>
      <c r="I359" t="str">
        <f ca="1">IFERROR(IF(0=LEN(ReferenceData!$I$359),"",ReferenceData!$I$359),"")</f>
        <v/>
      </c>
      <c r="J359" t="str">
        <f ca="1">IFERROR(IF(0=LEN(ReferenceData!$J$359),"",ReferenceData!$J$359),"")</f>
        <v/>
      </c>
      <c r="K359" t="str">
        <f ca="1">IFERROR(IF(0=LEN(ReferenceData!$K$359),"",ReferenceData!$K$359),"")</f>
        <v/>
      </c>
      <c r="L359" t="str">
        <f ca="1">IFERROR(IF(0=LEN(ReferenceData!$L$359),"",ReferenceData!$L$359),"")</f>
        <v/>
      </c>
      <c r="M359" t="str">
        <f ca="1">IFERROR(IF(0=LEN(ReferenceData!$M$359),"",ReferenceData!$M$359),"")</f>
        <v/>
      </c>
      <c r="N359" t="str">
        <f ca="1">IFERROR(IF(0=LEN(ReferenceData!$N$359),"",ReferenceData!$N$359),"")</f>
        <v/>
      </c>
      <c r="O359" t="str">
        <f ca="1">IFERROR(IF(0=LEN(ReferenceData!$O$359),"",ReferenceData!$O$359),"")</f>
        <v/>
      </c>
      <c r="P359">
        <f ca="1">IFERROR(IF(0=LEN(ReferenceData!$P$359),"",ReferenceData!$P$359),"")</f>
        <v>-4472.2943310000001</v>
      </c>
      <c r="Q359" t="str">
        <f ca="1">IFERROR(IF(0=LEN(ReferenceData!$Q$359),"",ReferenceData!$Q$359),"")</f>
        <v/>
      </c>
      <c r="R359" t="str">
        <f ca="1">IFERROR(IF(0=LEN(ReferenceData!$R$359),"",ReferenceData!$R$359),"")</f>
        <v/>
      </c>
      <c r="S359" t="str">
        <f ca="1">IFERROR(IF(0=LEN(ReferenceData!$S$359),"",ReferenceData!$S$359),"")</f>
        <v/>
      </c>
      <c r="T359" t="str">
        <f ca="1">IFERROR(IF(0=LEN(ReferenceData!$T$359),"",ReferenceData!$T$359),"")</f>
        <v/>
      </c>
      <c r="U359" t="str">
        <f ca="1">IFERROR(IF(0=LEN(ReferenceData!$U$359),"",ReferenceData!$U$359),"")</f>
        <v/>
      </c>
      <c r="V359" t="str">
        <f ca="1">IFERROR(IF(0=LEN(ReferenceData!$V$359),"",ReferenceData!$V$359),"")</f>
        <v/>
      </c>
      <c r="W359" t="str">
        <f ca="1">IFERROR(IF(0=LEN(ReferenceData!$W$359),"",ReferenceData!$W$359),"")</f>
        <v/>
      </c>
      <c r="X359" t="str">
        <f ca="1">IFERROR(IF(0=LEN(ReferenceData!$X$359),"",ReferenceData!$X$359),"")</f>
        <v/>
      </c>
      <c r="Y359" t="str">
        <f ca="1">IFERROR(IF(0=LEN(ReferenceData!$Y$359),"",ReferenceData!$Y$359),"")</f>
        <v/>
      </c>
      <c r="Z359" t="str">
        <f ca="1">IFERROR(IF(0=LEN(ReferenceData!$Z$359),"",ReferenceData!$Z$359),"")</f>
        <v/>
      </c>
      <c r="AA359" t="str">
        <f ca="1">IFERROR(IF(0=LEN(ReferenceData!$AA$359),"",ReferenceData!$AA$359),"")</f>
        <v/>
      </c>
      <c r="AB359" t="str">
        <f ca="1">IFERROR(IF(0=LEN(ReferenceData!$AB$359),"",ReferenceData!$AB$359),"")</f>
        <v/>
      </c>
      <c r="AC359" t="str">
        <f ca="1">IFERROR(IF(0=LEN(ReferenceData!$AC$359),"",ReferenceData!$AC$359),"")</f>
        <v/>
      </c>
      <c r="AD359" t="str">
        <f ca="1">IFERROR(IF(0=LEN(ReferenceData!$AD$359),"",ReferenceData!$AD$359),"")</f>
        <v/>
      </c>
      <c r="AE359" t="str">
        <f ca="1">IFERROR(IF(0=LEN(ReferenceData!$AE$359),"",ReferenceData!$AE$359),"")</f>
        <v/>
      </c>
      <c r="AF359" t="str">
        <f ca="1">IFERROR(IF(0=LEN(ReferenceData!$AF$359),"",ReferenceData!$AF$359),"")</f>
        <v/>
      </c>
      <c r="AG359" t="str">
        <f ca="1">IFERROR(IF(0=LEN(ReferenceData!$AG$359),"",ReferenceData!$AG$359),"")</f>
        <v/>
      </c>
      <c r="AH359" t="str">
        <f ca="1">IFERROR(IF(0=LEN(ReferenceData!$AH$359),"",ReferenceData!$AH$359),"")</f>
        <v/>
      </c>
      <c r="AI359" t="str">
        <f ca="1">IFERROR(IF(0=LEN(ReferenceData!$AI$359),"",ReferenceData!$AI$359),"")</f>
        <v/>
      </c>
      <c r="AJ359" t="str">
        <f ca="1">IFERROR(IF(0=LEN(ReferenceData!$AJ$359),"",ReferenceData!$AJ$359),"")</f>
        <v/>
      </c>
      <c r="AK359" t="str">
        <f ca="1">IFERROR(IF(0=LEN(ReferenceData!$AK$359),"",ReferenceData!$AK$359),"")</f>
        <v/>
      </c>
      <c r="AL359" t="str">
        <f ca="1">IFERROR(IF(0=LEN(ReferenceData!$AL$359),"",ReferenceData!$AL$359),"")</f>
        <v/>
      </c>
      <c r="AM359" t="str">
        <f ca="1">IFERROR(IF(0=LEN(ReferenceData!$AM$359),"",ReferenceData!$AM$359),"")</f>
        <v/>
      </c>
      <c r="AN359">
        <f ca="1">IFERROR(IF(0=LEN(ReferenceData!$AN$359),"",ReferenceData!$AN$359),"")</f>
        <v>-127.58329639999999</v>
      </c>
      <c r="AO359">
        <f ca="1">IFERROR(IF(0=LEN(ReferenceData!$AO$359),"",ReferenceData!$AO$359),"")</f>
        <v>-88.218283080000006</v>
      </c>
      <c r="AP359" t="str">
        <f ca="1">IFERROR(IF(0=LEN(ReferenceData!$AP$359),"",ReferenceData!$AP$359),"")</f>
        <v/>
      </c>
      <c r="AQ359" t="str">
        <f ca="1">IFERROR(IF(0=LEN(ReferenceData!$AQ$359),"",ReferenceData!$AQ$359),"")</f>
        <v/>
      </c>
      <c r="AR359" t="str">
        <f ca="1">IFERROR(IF(0=LEN(ReferenceData!$AR$359),"",ReferenceData!$AR$359),"")</f>
        <v/>
      </c>
      <c r="AS359" t="str">
        <f ca="1">IFERROR(IF(0=LEN(ReferenceData!$AS$359),"",ReferenceData!$AS$359),"")</f>
        <v/>
      </c>
      <c r="AT359" t="str">
        <f ca="1">IFERROR(IF(0=LEN(ReferenceData!$AT$359),"",ReferenceData!$AT$359),"")</f>
        <v/>
      </c>
      <c r="AU359" t="str">
        <f ca="1">IFERROR(IF(0=LEN(ReferenceData!$AU$359),"",ReferenceData!$AU$359),"")</f>
        <v/>
      </c>
      <c r="AV359" t="str">
        <f ca="1">IFERROR(IF(0=LEN(ReferenceData!$AV$359),"",ReferenceData!$AV$359),"")</f>
        <v/>
      </c>
      <c r="AW359" t="str">
        <f ca="1">IFERROR(IF(0=LEN(ReferenceData!$AW$359),"",ReferenceData!$AW$359),"")</f>
        <v/>
      </c>
      <c r="AX359" t="str">
        <f ca="1">IFERROR(IF(0=LEN(ReferenceData!$AX$359),"",ReferenceData!$AX$359),"")</f>
        <v/>
      </c>
      <c r="AY359" t="str">
        <f ca="1">IFERROR(IF(0=LEN(ReferenceData!$AY$359),"",ReferenceData!$AY$359),"")</f>
        <v/>
      </c>
      <c r="AZ359" t="str">
        <f ca="1">IFERROR(IF(0=LEN(ReferenceData!$AZ$359),"",ReferenceData!$AZ$359),"")</f>
        <v/>
      </c>
      <c r="BA359" t="str">
        <f ca="1">IFERROR(IF(0=LEN(ReferenceData!$BA$359),"",ReferenceData!$BA$359),"")</f>
        <v/>
      </c>
      <c r="BB359" t="str">
        <f ca="1">IFERROR(IF(0=LEN(ReferenceData!$BB$359),"",ReferenceData!$BB$359),"")</f>
        <v/>
      </c>
      <c r="BC359" t="str">
        <f ca="1">IFERROR(IF(0=LEN(ReferenceData!$BC$359),"",ReferenceData!$BC$359),"")</f>
        <v/>
      </c>
      <c r="BD359">
        <f ca="1">IFERROR(IF(0=LEN(ReferenceData!$BD$359),"",ReferenceData!$BD$359),"")</f>
        <v>-102.29943729999999</v>
      </c>
      <c r="BE359" t="str">
        <f ca="1">IFERROR(IF(0=LEN(ReferenceData!$BE$359),"",ReferenceData!$BE$359),"")</f>
        <v/>
      </c>
      <c r="BF359" t="str">
        <f ca="1">IFERROR(IF(0=LEN(ReferenceData!$BF$359),"",ReferenceData!$BF$359),"")</f>
        <v/>
      </c>
      <c r="BG359" t="str">
        <f ca="1">IFERROR(IF(0=LEN(ReferenceData!$BG$359),"",ReferenceData!$BG$359),"")</f>
        <v/>
      </c>
      <c r="BH359" t="str">
        <f ca="1">IFERROR(IF(0=LEN(ReferenceData!$BH$359),"",ReferenceData!$BH$359),"")</f>
        <v/>
      </c>
      <c r="BI359" t="str">
        <f ca="1">IFERROR(IF(0=LEN(ReferenceData!$BI$359),"",ReferenceData!$BI$359),"")</f>
        <v/>
      </c>
      <c r="BJ359" t="str">
        <f ca="1">IFERROR(IF(0=LEN(ReferenceData!$BJ$359),"",ReferenceData!$BJ$359),"")</f>
        <v/>
      </c>
      <c r="BK359" t="str">
        <f ca="1">IFERROR(IF(0=LEN(ReferenceData!$BK$359),"",ReferenceData!$BK$359),"")</f>
        <v/>
      </c>
      <c r="BL359" t="str">
        <f ca="1">IFERROR(IF(0=LEN(ReferenceData!$BL$359),"",ReferenceData!$BL$359),"")</f>
        <v/>
      </c>
      <c r="BM359" t="str">
        <f ca="1">IFERROR(IF(0=LEN(ReferenceData!$BM$359),"",ReferenceData!$BM$359),"")</f>
        <v/>
      </c>
    </row>
    <row r="360" spans="1:65" x14ac:dyDescent="0.25">
      <c r="A360" t="str">
        <f>IFERROR(IF(0=LEN(ReferenceData!$A$360),"",ReferenceData!$A$360),"")</f>
        <v xml:space="preserve">    Sanyang Motor Co Ltd</v>
      </c>
      <c r="B360" t="str">
        <f>IFERROR(IF(0=LEN(ReferenceData!$B$360),"",ReferenceData!$B$360),"")</f>
        <v>2206 TT Equity</v>
      </c>
      <c r="C360" t="str">
        <f>IFERROR(IF(0=LEN(ReferenceData!$C$360),"",ReferenceData!$C$360),"")</f>
        <v>RX530</v>
      </c>
      <c r="D360" t="str">
        <f>IFERROR(IF(0=LEN(ReferenceData!$D$360),"",ReferenceData!$D$360),"")</f>
        <v>T12M_DVDS_PAID</v>
      </c>
      <c r="E360" t="str">
        <f>IFERROR(IF(0=LEN(ReferenceData!$E$360),"",ReferenceData!$E$360),"")</f>
        <v>Dynamic</v>
      </c>
      <c r="F360" t="str">
        <f ca="1">IFERROR(IF(0=LEN(ReferenceData!$F$360),"",ReferenceData!$F$360),"")</f>
        <v/>
      </c>
      <c r="G360" t="str">
        <f ca="1">IFERROR(IF(0=LEN(ReferenceData!$G$360),"",ReferenceData!$G$360),"")</f>
        <v/>
      </c>
      <c r="H360">
        <f ca="1">IFERROR(IF(0=LEN(ReferenceData!$H$360),"",ReferenceData!$H$360),"")</f>
        <v>-28.087526690000001</v>
      </c>
      <c r="I360">
        <f ca="1">IFERROR(IF(0=LEN(ReferenceData!$I$360),"",ReferenceData!$I$360),"")</f>
        <v>-29.478946319999999</v>
      </c>
      <c r="J360">
        <f ca="1">IFERROR(IF(0=LEN(ReferenceData!$J$360),"",ReferenceData!$J$360),"")</f>
        <v>-29.36164479</v>
      </c>
      <c r="K360">
        <f ca="1">IFERROR(IF(0=LEN(ReferenceData!$K$360),"",ReferenceData!$K$360),"")</f>
        <v>-28.931129240000001</v>
      </c>
      <c r="L360" t="str">
        <f ca="1">IFERROR(IF(0=LEN(ReferenceData!$L$360),"",ReferenceData!$L$360),"")</f>
        <v/>
      </c>
      <c r="M360" t="str">
        <f ca="1">IFERROR(IF(0=LEN(ReferenceData!$M$360),"",ReferenceData!$M$360),"")</f>
        <v/>
      </c>
      <c r="N360" t="str">
        <f ca="1">IFERROR(IF(0=LEN(ReferenceData!$N$360),"",ReferenceData!$N$360),"")</f>
        <v/>
      </c>
      <c r="O360" t="str">
        <f ca="1">IFERROR(IF(0=LEN(ReferenceData!$O$360),"",ReferenceData!$O$360),"")</f>
        <v/>
      </c>
      <c r="P360">
        <f ca="1">IFERROR(IF(0=LEN(ReferenceData!$P$360),"",ReferenceData!$P$360),"")</f>
        <v>-27.132804530000001</v>
      </c>
      <c r="Q360">
        <f ca="1">IFERROR(IF(0=LEN(ReferenceData!$Q$360),"",ReferenceData!$Q$360),"")</f>
        <v>0</v>
      </c>
      <c r="R360">
        <f ca="1">IFERROR(IF(0=LEN(ReferenceData!$R$360),"",ReferenceData!$R$360),"")</f>
        <v>0</v>
      </c>
      <c r="S360">
        <f ca="1">IFERROR(IF(0=LEN(ReferenceData!$S$360),"",ReferenceData!$S$360),"")</f>
        <v>0</v>
      </c>
      <c r="T360">
        <f ca="1">IFERROR(IF(0=LEN(ReferenceData!$T$360),"",ReferenceData!$T$360),"")</f>
        <v>0</v>
      </c>
      <c r="U360">
        <f ca="1">IFERROR(IF(0=LEN(ReferenceData!$U$360),"",ReferenceData!$U$360),"")</f>
        <v>0</v>
      </c>
      <c r="V360">
        <f ca="1">IFERROR(IF(0=LEN(ReferenceData!$V$360),"",ReferenceData!$V$360),"")</f>
        <v>-13.17587455</v>
      </c>
      <c r="W360">
        <f ca="1">IFERROR(IF(0=LEN(ReferenceData!$W$360),"",ReferenceData!$W$360),"")</f>
        <v>-13.30750495</v>
      </c>
      <c r="X360">
        <f ca="1">IFERROR(IF(0=LEN(ReferenceData!$X$360),"",ReferenceData!$X$360),"")</f>
        <v>-13.451948979999999</v>
      </c>
      <c r="Y360">
        <f ca="1">IFERROR(IF(0=LEN(ReferenceData!$Y$360),"",ReferenceData!$Y$360),"")</f>
        <v>-26.94188389</v>
      </c>
      <c r="Z360">
        <f ca="1">IFERROR(IF(0=LEN(ReferenceData!$Z$360),"",ReferenceData!$Z$360),"")</f>
        <v>-13.499460150000001</v>
      </c>
      <c r="AA360">
        <f ca="1">IFERROR(IF(0=LEN(ReferenceData!$AA$360),"",ReferenceData!$AA$360),"")</f>
        <v>-13.58694607</v>
      </c>
      <c r="AB360">
        <f ca="1">IFERROR(IF(0=LEN(ReferenceData!$AB$360),"",ReferenceData!$AB$360),"")</f>
        <v>-13.63477705</v>
      </c>
      <c r="AC360">
        <f ca="1">IFERROR(IF(0=LEN(ReferenceData!$AC$360),"",ReferenceData!$AC$360),"")</f>
        <v>0</v>
      </c>
      <c r="AD360">
        <f ca="1">IFERROR(IF(0=LEN(ReferenceData!$AD$360),"",ReferenceData!$AD$360),"")</f>
        <v>0</v>
      </c>
      <c r="AE360">
        <f ca="1">IFERROR(IF(0=LEN(ReferenceData!$AE$360),"",ReferenceData!$AE$360),"")</f>
        <v>0</v>
      </c>
      <c r="AF360">
        <f ca="1">IFERROR(IF(0=LEN(ReferenceData!$AF$360),"",ReferenceData!$AF$360),"")</f>
        <v>-3.3500000000000001E-5</v>
      </c>
      <c r="AG360">
        <f ca="1">IFERROR(IF(0=LEN(ReferenceData!$AG$360),"",ReferenceData!$AG$360),"")</f>
        <v>-2.8492540420000001</v>
      </c>
      <c r="AH360">
        <f ca="1">IFERROR(IF(0=LEN(ReferenceData!$AH$360),"",ReferenceData!$AH$360),"")</f>
        <v>-2.8679672279999999</v>
      </c>
      <c r="AI360">
        <f ca="1">IFERROR(IF(0=LEN(ReferenceData!$AI$360),"",ReferenceData!$AI$360),"")</f>
        <v>-2.8772959340000002</v>
      </c>
      <c r="AJ360">
        <f ca="1">IFERROR(IF(0=LEN(ReferenceData!$AJ$360),"",ReferenceData!$AJ$360),"")</f>
        <v>-2.8758630310000002</v>
      </c>
      <c r="AK360">
        <f ca="1">IFERROR(IF(0=LEN(ReferenceData!$AK$360),"",ReferenceData!$AK$360),"")</f>
        <v>0</v>
      </c>
      <c r="AL360">
        <f ca="1">IFERROR(IF(0=LEN(ReferenceData!$AL$360),"",ReferenceData!$AL$360),"")</f>
        <v>0</v>
      </c>
      <c r="AM360">
        <f ca="1">IFERROR(IF(0=LEN(ReferenceData!$AM$360),"",ReferenceData!$AM$360),"")</f>
        <v>0</v>
      </c>
      <c r="AN360">
        <f ca="1">IFERROR(IF(0=LEN(ReferenceData!$AN$360),"",ReferenceData!$AN$360),"")</f>
        <v>0</v>
      </c>
      <c r="AO360">
        <f ca="1">IFERROR(IF(0=LEN(ReferenceData!$AO$360),"",ReferenceData!$AO$360),"")</f>
        <v>0</v>
      </c>
      <c r="AP360">
        <f ca="1">IFERROR(IF(0=LEN(ReferenceData!$AP$360),"",ReferenceData!$AP$360),"")</f>
        <v>0</v>
      </c>
      <c r="AQ360">
        <f ca="1">IFERROR(IF(0=LEN(ReferenceData!$AQ$360),"",ReferenceData!$AQ$360),"")</f>
        <v>0</v>
      </c>
      <c r="AR360">
        <f ca="1">IFERROR(IF(0=LEN(ReferenceData!$AR$360),"",ReferenceData!$AR$360),"")</f>
        <v>0</v>
      </c>
      <c r="AS360">
        <f ca="1">IFERROR(IF(0=LEN(ReferenceData!$AS$360),"",ReferenceData!$AS$360),"")</f>
        <v>0</v>
      </c>
      <c r="AT360">
        <f ca="1">IFERROR(IF(0=LEN(ReferenceData!$AT$360),"",ReferenceData!$AT$360),"")</f>
        <v>0</v>
      </c>
      <c r="AU360" t="str">
        <f ca="1">IFERROR(IF(0=LEN(ReferenceData!$AU$360),"",ReferenceData!$AU$360),"")</f>
        <v/>
      </c>
      <c r="AV360" t="str">
        <f ca="1">IFERROR(IF(0=LEN(ReferenceData!$AV$360),"",ReferenceData!$AV$360),"")</f>
        <v/>
      </c>
      <c r="AW360" t="str">
        <f ca="1">IFERROR(IF(0=LEN(ReferenceData!$AW$360),"",ReferenceData!$AW$360),"")</f>
        <v/>
      </c>
      <c r="AX360" t="str">
        <f ca="1">IFERROR(IF(0=LEN(ReferenceData!$AX$360),"",ReferenceData!$AX$360),"")</f>
        <v/>
      </c>
      <c r="AY360" t="str">
        <f ca="1">IFERROR(IF(0=LEN(ReferenceData!$AY$360),"",ReferenceData!$AY$360),"")</f>
        <v/>
      </c>
      <c r="AZ360" t="str">
        <f ca="1">IFERROR(IF(0=LEN(ReferenceData!$AZ$360),"",ReferenceData!$AZ$360),"")</f>
        <v/>
      </c>
      <c r="BA360" t="str">
        <f ca="1">IFERROR(IF(0=LEN(ReferenceData!$BA$360),"",ReferenceData!$BA$360),"")</f>
        <v/>
      </c>
      <c r="BB360" t="str">
        <f ca="1">IFERROR(IF(0=LEN(ReferenceData!$BB$360),"",ReferenceData!$BB$360),"")</f>
        <v/>
      </c>
      <c r="BC360" t="str">
        <f ca="1">IFERROR(IF(0=LEN(ReferenceData!$BC$360),"",ReferenceData!$BC$360),"")</f>
        <v/>
      </c>
      <c r="BD360" t="str">
        <f ca="1">IFERROR(IF(0=LEN(ReferenceData!$BD$360),"",ReferenceData!$BD$360),"")</f>
        <v/>
      </c>
      <c r="BE360" t="str">
        <f ca="1">IFERROR(IF(0=LEN(ReferenceData!$BE$360),"",ReferenceData!$BE$360),"")</f>
        <v/>
      </c>
      <c r="BF360" t="str">
        <f ca="1">IFERROR(IF(0=LEN(ReferenceData!$BF$360),"",ReferenceData!$BF$360),"")</f>
        <v/>
      </c>
      <c r="BG360" t="str">
        <f ca="1">IFERROR(IF(0=LEN(ReferenceData!$BG$360),"",ReferenceData!$BG$360),"")</f>
        <v/>
      </c>
      <c r="BH360" t="str">
        <f ca="1">IFERROR(IF(0=LEN(ReferenceData!$BH$360),"",ReferenceData!$BH$360),"")</f>
        <v/>
      </c>
      <c r="BI360" t="str">
        <f ca="1">IFERROR(IF(0=LEN(ReferenceData!$BI$360),"",ReferenceData!$BI$360),"")</f>
        <v/>
      </c>
      <c r="BJ360" t="str">
        <f ca="1">IFERROR(IF(0=LEN(ReferenceData!$BJ$360),"",ReferenceData!$BJ$360),"")</f>
        <v/>
      </c>
      <c r="BK360" t="str">
        <f ca="1">IFERROR(IF(0=LEN(ReferenceData!$BK$360),"",ReferenceData!$BK$360),"")</f>
        <v/>
      </c>
      <c r="BL360" t="str">
        <f ca="1">IFERROR(IF(0=LEN(ReferenceData!$BL$360),"",ReferenceData!$BL$360),"")</f>
        <v/>
      </c>
      <c r="BM360" t="str">
        <f ca="1">IFERROR(IF(0=LEN(ReferenceData!$BM$360),"",ReferenceData!$BM$360),"")</f>
        <v/>
      </c>
    </row>
    <row r="361" spans="1:65" x14ac:dyDescent="0.25">
      <c r="A361" t="str">
        <f>IFERROR(IF(0=LEN(ReferenceData!$A$361),"",ReferenceData!$A$361),"")</f>
        <v xml:space="preserve">    Sollers PJSC</v>
      </c>
      <c r="B361" t="str">
        <f>IFERROR(IF(0=LEN(ReferenceData!$B$361),"",ReferenceData!$B$361),"")</f>
        <v>SVAV RM Equity</v>
      </c>
      <c r="C361" t="str">
        <f>IFERROR(IF(0=LEN(ReferenceData!$C$361),"",ReferenceData!$C$361),"")</f>
        <v>RX530</v>
      </c>
      <c r="D361" t="str">
        <f>IFERROR(IF(0=LEN(ReferenceData!$D$361),"",ReferenceData!$D$361),"")</f>
        <v>T12M_DVDS_PAID</v>
      </c>
      <c r="E361" t="str">
        <f>IFERROR(IF(0=LEN(ReferenceData!$E$361),"",ReferenceData!$E$361),"")</f>
        <v>Dynamic</v>
      </c>
      <c r="F361" t="str">
        <f ca="1">IFERROR(IF(0=LEN(ReferenceData!$F$361),"",ReferenceData!$F$361),"")</f>
        <v/>
      </c>
      <c r="G361" t="str">
        <f ca="1">IFERROR(IF(0=LEN(ReferenceData!$G$361),"",ReferenceData!$G$361),"")</f>
        <v/>
      </c>
      <c r="H361" t="str">
        <f ca="1">IFERROR(IF(0=LEN(ReferenceData!$H$361),"",ReferenceData!$H$361),"")</f>
        <v/>
      </c>
      <c r="I361" t="str">
        <f ca="1">IFERROR(IF(0=LEN(ReferenceData!$I$361),"",ReferenceData!$I$361),"")</f>
        <v/>
      </c>
      <c r="J361" t="str">
        <f ca="1">IFERROR(IF(0=LEN(ReferenceData!$J$361),"",ReferenceData!$J$361),"")</f>
        <v/>
      </c>
      <c r="K361" t="str">
        <f ca="1">IFERROR(IF(0=LEN(ReferenceData!$K$361),"",ReferenceData!$K$361),"")</f>
        <v/>
      </c>
      <c r="L361" t="str">
        <f ca="1">IFERROR(IF(0=LEN(ReferenceData!$L$361),"",ReferenceData!$L$361),"")</f>
        <v/>
      </c>
      <c r="M361" t="str">
        <f ca="1">IFERROR(IF(0=LEN(ReferenceData!$M$361),"",ReferenceData!$M$361),"")</f>
        <v/>
      </c>
      <c r="N361" t="str">
        <f ca="1">IFERROR(IF(0=LEN(ReferenceData!$N$361),"",ReferenceData!$N$361),"")</f>
        <v/>
      </c>
      <c r="O361" t="str">
        <f ca="1">IFERROR(IF(0=LEN(ReferenceData!$O$361),"",ReferenceData!$O$361),"")</f>
        <v/>
      </c>
      <c r="P361" t="str">
        <f ca="1">IFERROR(IF(0=LEN(ReferenceData!$P$361),"",ReferenceData!$P$361),"")</f>
        <v/>
      </c>
      <c r="Q361" t="str">
        <f ca="1">IFERROR(IF(0=LEN(ReferenceData!$Q$361),"",ReferenceData!$Q$361),"")</f>
        <v/>
      </c>
      <c r="R361" t="str">
        <f ca="1">IFERROR(IF(0=LEN(ReferenceData!$R$361),"",ReferenceData!$R$361),"")</f>
        <v/>
      </c>
      <c r="S361" t="str">
        <f ca="1">IFERROR(IF(0=LEN(ReferenceData!$S$361),"",ReferenceData!$S$361),"")</f>
        <v/>
      </c>
      <c r="T361" t="str">
        <f ca="1">IFERROR(IF(0=LEN(ReferenceData!$T$361),"",ReferenceData!$T$361),"")</f>
        <v/>
      </c>
      <c r="U361" t="str">
        <f ca="1">IFERROR(IF(0=LEN(ReferenceData!$U$361),"",ReferenceData!$U$361),"")</f>
        <v/>
      </c>
      <c r="V361" t="str">
        <f ca="1">IFERROR(IF(0=LEN(ReferenceData!$V$361),"",ReferenceData!$V$361),"")</f>
        <v/>
      </c>
      <c r="W361" t="str">
        <f ca="1">IFERROR(IF(0=LEN(ReferenceData!$W$361),"",ReferenceData!$W$361),"")</f>
        <v/>
      </c>
      <c r="X361" t="str">
        <f ca="1">IFERROR(IF(0=LEN(ReferenceData!$X$361),"",ReferenceData!$X$361),"")</f>
        <v/>
      </c>
      <c r="Y361" t="str">
        <f ca="1">IFERROR(IF(0=LEN(ReferenceData!$Y$361),"",ReferenceData!$Y$361),"")</f>
        <v/>
      </c>
      <c r="Z361" t="str">
        <f ca="1">IFERROR(IF(0=LEN(ReferenceData!$Z$361),"",ReferenceData!$Z$361),"")</f>
        <v/>
      </c>
      <c r="AA361" t="str">
        <f ca="1">IFERROR(IF(0=LEN(ReferenceData!$AA$361),"",ReferenceData!$AA$361),"")</f>
        <v/>
      </c>
      <c r="AB361" t="str">
        <f ca="1">IFERROR(IF(0=LEN(ReferenceData!$AB$361),"",ReferenceData!$AB$361),"")</f>
        <v/>
      </c>
      <c r="AC361" t="str">
        <f ca="1">IFERROR(IF(0=LEN(ReferenceData!$AC$361),"",ReferenceData!$AC$361),"")</f>
        <v/>
      </c>
      <c r="AD361" t="str">
        <f ca="1">IFERROR(IF(0=LEN(ReferenceData!$AD$361),"",ReferenceData!$AD$361),"")</f>
        <v/>
      </c>
      <c r="AE361" t="str">
        <f ca="1">IFERROR(IF(0=LEN(ReferenceData!$AE$361),"",ReferenceData!$AE$361),"")</f>
        <v/>
      </c>
      <c r="AF361" t="str">
        <f ca="1">IFERROR(IF(0=LEN(ReferenceData!$AF$361),"",ReferenceData!$AF$361),"")</f>
        <v/>
      </c>
      <c r="AG361" t="str">
        <f ca="1">IFERROR(IF(0=LEN(ReferenceData!$AG$361),"",ReferenceData!$AG$361),"")</f>
        <v/>
      </c>
      <c r="AH361" t="str">
        <f ca="1">IFERROR(IF(0=LEN(ReferenceData!$AH$361),"",ReferenceData!$AH$361),"")</f>
        <v/>
      </c>
      <c r="AI361" t="str">
        <f ca="1">IFERROR(IF(0=LEN(ReferenceData!$AI$361),"",ReferenceData!$AI$361),"")</f>
        <v/>
      </c>
      <c r="AJ361" t="str">
        <f ca="1">IFERROR(IF(0=LEN(ReferenceData!$AJ$361),"",ReferenceData!$AJ$361),"")</f>
        <v/>
      </c>
      <c r="AK361" t="str">
        <f ca="1">IFERROR(IF(0=LEN(ReferenceData!$AK$361),"",ReferenceData!$AK$361),"")</f>
        <v/>
      </c>
      <c r="AL361" t="str">
        <f ca="1">IFERROR(IF(0=LEN(ReferenceData!$AL$361),"",ReferenceData!$AL$361),"")</f>
        <v/>
      </c>
      <c r="AM361" t="str">
        <f ca="1">IFERROR(IF(0=LEN(ReferenceData!$AM$361),"",ReferenceData!$AM$361),"")</f>
        <v/>
      </c>
      <c r="AN361" t="str">
        <f ca="1">IFERROR(IF(0=LEN(ReferenceData!$AN$361),"",ReferenceData!$AN$361),"")</f>
        <v/>
      </c>
      <c r="AO361" t="str">
        <f ca="1">IFERROR(IF(0=LEN(ReferenceData!$AO$361),"",ReferenceData!$AO$361),"")</f>
        <v/>
      </c>
      <c r="AP361" t="str">
        <f ca="1">IFERROR(IF(0=LEN(ReferenceData!$AP$361),"",ReferenceData!$AP$361),"")</f>
        <v/>
      </c>
      <c r="AQ361" t="str">
        <f ca="1">IFERROR(IF(0=LEN(ReferenceData!$AQ$361),"",ReferenceData!$AQ$361),"")</f>
        <v/>
      </c>
      <c r="AR361" t="str">
        <f ca="1">IFERROR(IF(0=LEN(ReferenceData!$AR$361),"",ReferenceData!$AR$361),"")</f>
        <v/>
      </c>
      <c r="AS361" t="str">
        <f ca="1">IFERROR(IF(0=LEN(ReferenceData!$AS$361),"",ReferenceData!$AS$361),"")</f>
        <v/>
      </c>
      <c r="AT361" t="str">
        <f ca="1">IFERROR(IF(0=LEN(ReferenceData!$AT$361),"",ReferenceData!$AT$361),"")</f>
        <v/>
      </c>
      <c r="AU361" t="str">
        <f ca="1">IFERROR(IF(0=LEN(ReferenceData!$AU$361),"",ReferenceData!$AU$361),"")</f>
        <v/>
      </c>
      <c r="AV361" t="str">
        <f ca="1">IFERROR(IF(0=LEN(ReferenceData!$AV$361),"",ReferenceData!$AV$361),"")</f>
        <v/>
      </c>
      <c r="AW361" t="str">
        <f ca="1">IFERROR(IF(0=LEN(ReferenceData!$AW$361),"",ReferenceData!$AW$361),"")</f>
        <v/>
      </c>
      <c r="AX361" t="str">
        <f ca="1">IFERROR(IF(0=LEN(ReferenceData!$AX$361),"",ReferenceData!$AX$361),"")</f>
        <v/>
      </c>
      <c r="AY361" t="str">
        <f ca="1">IFERROR(IF(0=LEN(ReferenceData!$AY$361),"",ReferenceData!$AY$361),"")</f>
        <v/>
      </c>
      <c r="AZ361" t="str">
        <f ca="1">IFERROR(IF(0=LEN(ReferenceData!$AZ$361),"",ReferenceData!$AZ$361),"")</f>
        <v/>
      </c>
      <c r="BA361" t="str">
        <f ca="1">IFERROR(IF(0=LEN(ReferenceData!$BA$361),"",ReferenceData!$BA$361),"")</f>
        <v/>
      </c>
      <c r="BB361" t="str">
        <f ca="1">IFERROR(IF(0=LEN(ReferenceData!$BB$361),"",ReferenceData!$BB$361),"")</f>
        <v/>
      </c>
      <c r="BC361" t="str">
        <f ca="1">IFERROR(IF(0=LEN(ReferenceData!$BC$361),"",ReferenceData!$BC$361),"")</f>
        <v/>
      </c>
      <c r="BD361" t="str">
        <f ca="1">IFERROR(IF(0=LEN(ReferenceData!$BD$361),"",ReferenceData!$BD$361),"")</f>
        <v/>
      </c>
      <c r="BE361" t="str">
        <f ca="1">IFERROR(IF(0=LEN(ReferenceData!$BE$361),"",ReferenceData!$BE$361),"")</f>
        <v/>
      </c>
      <c r="BF361" t="str">
        <f ca="1">IFERROR(IF(0=LEN(ReferenceData!$BF$361),"",ReferenceData!$BF$361),"")</f>
        <v/>
      </c>
      <c r="BG361" t="str">
        <f ca="1">IFERROR(IF(0=LEN(ReferenceData!$BG$361),"",ReferenceData!$BG$361),"")</f>
        <v/>
      </c>
      <c r="BH361" t="str">
        <f ca="1">IFERROR(IF(0=LEN(ReferenceData!$BH$361),"",ReferenceData!$BH$361),"")</f>
        <v/>
      </c>
      <c r="BI361" t="str">
        <f ca="1">IFERROR(IF(0=LEN(ReferenceData!$BI$361),"",ReferenceData!$BI$361),"")</f>
        <v/>
      </c>
      <c r="BJ361" t="str">
        <f ca="1">IFERROR(IF(0=LEN(ReferenceData!$BJ$361),"",ReferenceData!$BJ$361),"")</f>
        <v/>
      </c>
      <c r="BK361" t="str">
        <f ca="1">IFERROR(IF(0=LEN(ReferenceData!$BK$361),"",ReferenceData!$BK$361),"")</f>
        <v/>
      </c>
      <c r="BL361" t="str">
        <f ca="1">IFERROR(IF(0=LEN(ReferenceData!$BL$361),"",ReferenceData!$BL$361),"")</f>
        <v/>
      </c>
      <c r="BM361" t="str">
        <f ca="1">IFERROR(IF(0=LEN(ReferenceData!$BM$361),"",ReferenceData!$BM$361),"")</f>
        <v/>
      </c>
    </row>
    <row r="362" spans="1:65" x14ac:dyDescent="0.25">
      <c r="A362" t="str">
        <f>IFERROR(IF(0=LEN(ReferenceData!$A$362),"",ReferenceData!$A$362),"")</f>
        <v xml:space="preserve">    Ssangyong Motor Co</v>
      </c>
      <c r="B362" t="str">
        <f>IFERROR(IF(0=LEN(ReferenceData!$B$362),"",ReferenceData!$B$362),"")</f>
        <v>003620 KS Equity</v>
      </c>
      <c r="C362" t="str">
        <f>IFERROR(IF(0=LEN(ReferenceData!$C$362),"",ReferenceData!$C$362),"")</f>
        <v>RX530</v>
      </c>
      <c r="D362" t="str">
        <f>IFERROR(IF(0=LEN(ReferenceData!$D$362),"",ReferenceData!$D$362),"")</f>
        <v>T12M_DVDS_PAID</v>
      </c>
      <c r="E362" t="str">
        <f>IFERROR(IF(0=LEN(ReferenceData!$E$362),"",ReferenceData!$E$362),"")</f>
        <v>Dynamic</v>
      </c>
      <c r="F362" t="str">
        <f ca="1">IFERROR(IF(0=LEN(ReferenceData!$F$362),"",ReferenceData!$F$362),"")</f>
        <v/>
      </c>
      <c r="G362" t="str">
        <f ca="1">IFERROR(IF(0=LEN(ReferenceData!$G$362),"",ReferenceData!$G$362),"")</f>
        <v/>
      </c>
      <c r="H362">
        <f ca="1">IFERROR(IF(0=LEN(ReferenceData!$H$362),"",ReferenceData!$H$362),"")</f>
        <v>0</v>
      </c>
      <c r="I362">
        <f ca="1">IFERROR(IF(0=LEN(ReferenceData!$I$362),"",ReferenceData!$I$362),"")</f>
        <v>0</v>
      </c>
      <c r="J362">
        <f ca="1">IFERROR(IF(0=LEN(ReferenceData!$J$362),"",ReferenceData!$J$362),"")</f>
        <v>0</v>
      </c>
      <c r="K362">
        <f ca="1">IFERROR(IF(0=LEN(ReferenceData!$K$362),"",ReferenceData!$K$362),"")</f>
        <v>0</v>
      </c>
      <c r="L362">
        <f ca="1">IFERROR(IF(0=LEN(ReferenceData!$L$362),"",ReferenceData!$L$362),"")</f>
        <v>0</v>
      </c>
      <c r="M362">
        <f ca="1">IFERROR(IF(0=LEN(ReferenceData!$M$362),"",ReferenceData!$M$362),"")</f>
        <v>0</v>
      </c>
      <c r="N362">
        <f ca="1">IFERROR(IF(0=LEN(ReferenceData!$N$362),"",ReferenceData!$N$362),"")</f>
        <v>0</v>
      </c>
      <c r="O362">
        <f ca="1">IFERROR(IF(0=LEN(ReferenceData!$O$362),"",ReferenceData!$O$362),"")</f>
        <v>0</v>
      </c>
      <c r="P362">
        <f ca="1">IFERROR(IF(0=LEN(ReferenceData!$P$362),"",ReferenceData!$P$362),"")</f>
        <v>0</v>
      </c>
      <c r="Q362">
        <f ca="1">IFERROR(IF(0=LEN(ReferenceData!$Q$362),"",ReferenceData!$Q$362),"")</f>
        <v>0</v>
      </c>
      <c r="R362">
        <f ca="1">IFERROR(IF(0=LEN(ReferenceData!$R$362),"",ReferenceData!$R$362),"")</f>
        <v>0</v>
      </c>
      <c r="S362">
        <f ca="1">IFERROR(IF(0=LEN(ReferenceData!$S$362),"",ReferenceData!$S$362),"")</f>
        <v>0</v>
      </c>
      <c r="T362">
        <f ca="1">IFERROR(IF(0=LEN(ReferenceData!$T$362),"",ReferenceData!$T$362),"")</f>
        <v>0</v>
      </c>
      <c r="U362">
        <f ca="1">IFERROR(IF(0=LEN(ReferenceData!$U$362),"",ReferenceData!$U$362),"")</f>
        <v>0</v>
      </c>
      <c r="V362">
        <f ca="1">IFERROR(IF(0=LEN(ReferenceData!$V$362),"",ReferenceData!$V$362),"")</f>
        <v>0</v>
      </c>
      <c r="W362">
        <f ca="1">IFERROR(IF(0=LEN(ReferenceData!$W$362),"",ReferenceData!$W$362),"")</f>
        <v>0</v>
      </c>
      <c r="X362">
        <f ca="1">IFERROR(IF(0=LEN(ReferenceData!$X$362),"",ReferenceData!$X$362),"")</f>
        <v>0</v>
      </c>
      <c r="Y362">
        <f ca="1">IFERROR(IF(0=LEN(ReferenceData!$Y$362),"",ReferenceData!$Y$362),"")</f>
        <v>0</v>
      </c>
      <c r="Z362">
        <f ca="1">IFERROR(IF(0=LEN(ReferenceData!$Z$362),"",ReferenceData!$Z$362),"")</f>
        <v>0</v>
      </c>
      <c r="AA362">
        <f ca="1">IFERROR(IF(0=LEN(ReferenceData!$AA$362),"",ReferenceData!$AA$362),"")</f>
        <v>0</v>
      </c>
      <c r="AB362">
        <f ca="1">IFERROR(IF(0=LEN(ReferenceData!$AB$362),"",ReferenceData!$AB$362),"")</f>
        <v>0</v>
      </c>
      <c r="AC362">
        <f ca="1">IFERROR(IF(0=LEN(ReferenceData!$AC$362),"",ReferenceData!$AC$362),"")</f>
        <v>0</v>
      </c>
      <c r="AD362">
        <f ca="1">IFERROR(IF(0=LEN(ReferenceData!$AD$362),"",ReferenceData!$AD$362),"")</f>
        <v>0</v>
      </c>
      <c r="AE362">
        <f ca="1">IFERROR(IF(0=LEN(ReferenceData!$AE$362),"",ReferenceData!$AE$362),"")</f>
        <v>0</v>
      </c>
      <c r="AF362" t="str">
        <f ca="1">IFERROR(IF(0=LEN(ReferenceData!$AF$362),"",ReferenceData!$AF$362),"")</f>
        <v/>
      </c>
      <c r="AG362" t="str">
        <f ca="1">IFERROR(IF(0=LEN(ReferenceData!$AG$362),"",ReferenceData!$AG$362),"")</f>
        <v/>
      </c>
      <c r="AH362" t="str">
        <f ca="1">IFERROR(IF(0=LEN(ReferenceData!$AH$362),"",ReferenceData!$AH$362),"")</f>
        <v/>
      </c>
      <c r="AI362" t="str">
        <f ca="1">IFERROR(IF(0=LEN(ReferenceData!$AI$362),"",ReferenceData!$AI$362),"")</f>
        <v/>
      </c>
      <c r="AJ362" t="str">
        <f ca="1">IFERROR(IF(0=LEN(ReferenceData!$AJ$362),"",ReferenceData!$AJ$362),"")</f>
        <v/>
      </c>
      <c r="AK362" t="str">
        <f ca="1">IFERROR(IF(0=LEN(ReferenceData!$AK$362),"",ReferenceData!$AK$362),"")</f>
        <v/>
      </c>
      <c r="AL362" t="str">
        <f ca="1">IFERROR(IF(0=LEN(ReferenceData!$AL$362),"",ReferenceData!$AL$362),"")</f>
        <v/>
      </c>
      <c r="AM362" t="str">
        <f ca="1">IFERROR(IF(0=LEN(ReferenceData!$AM$362),"",ReferenceData!$AM$362),"")</f>
        <v/>
      </c>
      <c r="AN362" t="str">
        <f ca="1">IFERROR(IF(0=LEN(ReferenceData!$AN$362),"",ReferenceData!$AN$362),"")</f>
        <v/>
      </c>
      <c r="AO362" t="str">
        <f ca="1">IFERROR(IF(0=LEN(ReferenceData!$AO$362),"",ReferenceData!$AO$362),"")</f>
        <v/>
      </c>
      <c r="AP362" t="str">
        <f ca="1">IFERROR(IF(0=LEN(ReferenceData!$AP$362),"",ReferenceData!$AP$362),"")</f>
        <v/>
      </c>
      <c r="AQ362" t="str">
        <f ca="1">IFERROR(IF(0=LEN(ReferenceData!$AQ$362),"",ReferenceData!$AQ$362),"")</f>
        <v/>
      </c>
      <c r="AR362" t="str">
        <f ca="1">IFERROR(IF(0=LEN(ReferenceData!$AR$362),"",ReferenceData!$AR$362),"")</f>
        <v/>
      </c>
      <c r="AS362" t="str">
        <f ca="1">IFERROR(IF(0=LEN(ReferenceData!$AS$362),"",ReferenceData!$AS$362),"")</f>
        <v/>
      </c>
      <c r="AT362" t="str">
        <f ca="1">IFERROR(IF(0=LEN(ReferenceData!$AT$362),"",ReferenceData!$AT$362),"")</f>
        <v/>
      </c>
      <c r="AU362" t="str">
        <f ca="1">IFERROR(IF(0=LEN(ReferenceData!$AU$362),"",ReferenceData!$AU$362),"")</f>
        <v/>
      </c>
      <c r="AV362" t="str">
        <f ca="1">IFERROR(IF(0=LEN(ReferenceData!$AV$362),"",ReferenceData!$AV$362),"")</f>
        <v/>
      </c>
      <c r="AW362" t="str">
        <f ca="1">IFERROR(IF(0=LEN(ReferenceData!$AW$362),"",ReferenceData!$AW$362),"")</f>
        <v/>
      </c>
      <c r="AX362" t="str">
        <f ca="1">IFERROR(IF(0=LEN(ReferenceData!$AX$362),"",ReferenceData!$AX$362),"")</f>
        <v/>
      </c>
      <c r="AY362" t="str">
        <f ca="1">IFERROR(IF(0=LEN(ReferenceData!$AY$362),"",ReferenceData!$AY$362),"")</f>
        <v/>
      </c>
      <c r="AZ362" t="str">
        <f ca="1">IFERROR(IF(0=LEN(ReferenceData!$AZ$362),"",ReferenceData!$AZ$362),"")</f>
        <v/>
      </c>
      <c r="BA362" t="str">
        <f ca="1">IFERROR(IF(0=LEN(ReferenceData!$BA$362),"",ReferenceData!$BA$362),"")</f>
        <v/>
      </c>
      <c r="BB362" t="str">
        <f ca="1">IFERROR(IF(0=LEN(ReferenceData!$BB$362),"",ReferenceData!$BB$362),"")</f>
        <v/>
      </c>
      <c r="BC362" t="str">
        <f ca="1">IFERROR(IF(0=LEN(ReferenceData!$BC$362),"",ReferenceData!$BC$362),"")</f>
        <v/>
      </c>
      <c r="BD362" t="str">
        <f ca="1">IFERROR(IF(0=LEN(ReferenceData!$BD$362),"",ReferenceData!$BD$362),"")</f>
        <v/>
      </c>
      <c r="BE362" t="str">
        <f ca="1">IFERROR(IF(0=LEN(ReferenceData!$BE$362),"",ReferenceData!$BE$362),"")</f>
        <v/>
      </c>
      <c r="BF362" t="str">
        <f ca="1">IFERROR(IF(0=LEN(ReferenceData!$BF$362),"",ReferenceData!$BF$362),"")</f>
        <v/>
      </c>
      <c r="BG362" t="str">
        <f ca="1">IFERROR(IF(0=LEN(ReferenceData!$BG$362),"",ReferenceData!$BG$362),"")</f>
        <v/>
      </c>
      <c r="BH362" t="str">
        <f ca="1">IFERROR(IF(0=LEN(ReferenceData!$BH$362),"",ReferenceData!$BH$362),"")</f>
        <v/>
      </c>
      <c r="BI362" t="str">
        <f ca="1">IFERROR(IF(0=LEN(ReferenceData!$BI$362),"",ReferenceData!$BI$362),"")</f>
        <v/>
      </c>
      <c r="BJ362" t="str">
        <f ca="1">IFERROR(IF(0=LEN(ReferenceData!$BJ$362),"",ReferenceData!$BJ$362),"")</f>
        <v/>
      </c>
      <c r="BK362" t="str">
        <f ca="1">IFERROR(IF(0=LEN(ReferenceData!$BK$362),"",ReferenceData!$BK$362),"")</f>
        <v/>
      </c>
      <c r="BL362" t="str">
        <f ca="1">IFERROR(IF(0=LEN(ReferenceData!$BL$362),"",ReferenceData!$BL$362),"")</f>
        <v/>
      </c>
      <c r="BM362" t="str">
        <f ca="1">IFERROR(IF(0=LEN(ReferenceData!$BM$362),"",ReferenceData!$BM$362),"")</f>
        <v/>
      </c>
    </row>
    <row r="363" spans="1:65" x14ac:dyDescent="0.25">
      <c r="A363" t="str">
        <f>IFERROR(IF(0=LEN(ReferenceData!$A$363),"",ReferenceData!$A$363),"")</f>
        <v xml:space="preserve">    Subaru Corp</v>
      </c>
      <c r="B363" t="str">
        <f>IFERROR(IF(0=LEN(ReferenceData!$B$363),"",ReferenceData!$B$363),"")</f>
        <v>7270 JP Equity</v>
      </c>
      <c r="C363" t="str">
        <f>IFERROR(IF(0=LEN(ReferenceData!$C$363),"",ReferenceData!$C$363),"")</f>
        <v>RX530</v>
      </c>
      <c r="D363" t="str">
        <f>IFERROR(IF(0=LEN(ReferenceData!$D$363),"",ReferenceData!$D$363),"")</f>
        <v>T12M_DVDS_PAID</v>
      </c>
      <c r="E363" t="str">
        <f>IFERROR(IF(0=LEN(ReferenceData!$E$363),"",ReferenceData!$E$363),"")</f>
        <v>Dynamic</v>
      </c>
      <c r="F363" t="str">
        <f ca="1">IFERROR(IF(0=LEN(ReferenceData!$F$363),"",ReferenceData!$F$363),"")</f>
        <v/>
      </c>
      <c r="G363">
        <f ca="1">IFERROR(IF(0=LEN(ReferenceData!$G$363),"",ReferenceData!$G$363),"")</f>
        <v>-999.1028139</v>
      </c>
      <c r="H363">
        <f ca="1">IFERROR(IF(0=LEN(ReferenceData!$H$363),"",ReferenceData!$H$363),"")</f>
        <v>-999.49100069999997</v>
      </c>
      <c r="I363">
        <f ca="1">IFERROR(IF(0=LEN(ReferenceData!$I$363),"",ReferenceData!$I$363),"")</f>
        <v>-997.49969180000005</v>
      </c>
      <c r="J363">
        <f ca="1">IFERROR(IF(0=LEN(ReferenceData!$J$363),"",ReferenceData!$J$363),"")</f>
        <v>-995.78386579999994</v>
      </c>
      <c r="K363">
        <f ca="1">IFERROR(IF(0=LEN(ReferenceData!$K$363),"",ReferenceData!$K$363),"")</f>
        <v>-985.46939459999999</v>
      </c>
      <c r="L363">
        <f ca="1">IFERROR(IF(0=LEN(ReferenceData!$L$363),"",ReferenceData!$L$363),"")</f>
        <v>-993.4106233</v>
      </c>
      <c r="M363">
        <f ca="1">IFERROR(IF(0=LEN(ReferenceData!$M$363),"",ReferenceData!$M$363),"")</f>
        <v>-1015.847608</v>
      </c>
      <c r="N363">
        <f ca="1">IFERROR(IF(0=LEN(ReferenceData!$N$363),"",ReferenceData!$N$363),"")</f>
        <v>-1030.8247080000001</v>
      </c>
      <c r="O363">
        <f ca="1">IFERROR(IF(0=LEN(ReferenceData!$O$363),"",ReferenceData!$O$363),"")</f>
        <v>-1025.5660809999999</v>
      </c>
      <c r="P363">
        <f ca="1">IFERROR(IF(0=LEN(ReferenceData!$P$363),"",ReferenceData!$P$363),"")</f>
        <v>-1008.848792</v>
      </c>
      <c r="Q363">
        <f ca="1">IFERROR(IF(0=LEN(ReferenceData!$Q$363),"",ReferenceData!$Q$363),"")</f>
        <v>-959.66003350000005</v>
      </c>
      <c r="R363">
        <f ca="1">IFERROR(IF(0=LEN(ReferenceData!$R$363),"",ReferenceData!$R$363),"")</f>
        <v>-708.09549579999998</v>
      </c>
      <c r="S363">
        <f ca="1">IFERROR(IF(0=LEN(ReferenceData!$S$363),"",ReferenceData!$S$363),"")</f>
        <v>-701.34926689999998</v>
      </c>
      <c r="T363">
        <f ca="1">IFERROR(IF(0=LEN(ReferenceData!$T$363),"",ReferenceData!$T$363),"")</f>
        <v>-444.78419550000001</v>
      </c>
      <c r="U363">
        <f ca="1">IFERROR(IF(0=LEN(ReferenceData!$U$363),"",ReferenceData!$U$363),"")</f>
        <v>-463.6916137</v>
      </c>
      <c r="V363">
        <f ca="1">IFERROR(IF(0=LEN(ReferenceData!$V$363),"",ReferenceData!$V$363),"")</f>
        <v>-456.07748989999999</v>
      </c>
      <c r="W363">
        <f ca="1">IFERROR(IF(0=LEN(ReferenceData!$W$363),"",ReferenceData!$W$363),"")</f>
        <v>-471.687251</v>
      </c>
      <c r="X363">
        <f ca="1">IFERROR(IF(0=LEN(ReferenceData!$X$363),"",ReferenceData!$X$363),"")</f>
        <v>-405.87871580000001</v>
      </c>
      <c r="Y363">
        <f ca="1">IFERROR(IF(0=LEN(ReferenceData!$Y$363),"",ReferenceData!$Y$363),"")</f>
        <v>-407.14214440000001</v>
      </c>
      <c r="Z363">
        <f ca="1">IFERROR(IF(0=LEN(ReferenceData!$Z$363),"",ReferenceData!$Z$363),"")</f>
        <v>-235.4538824</v>
      </c>
      <c r="AA363">
        <f ca="1">IFERROR(IF(0=LEN(ReferenceData!$AA$363),"",ReferenceData!$AA$363),"")</f>
        <v>-242.28413639999999</v>
      </c>
      <c r="AB363">
        <f ca="1">IFERROR(IF(0=LEN(ReferenceData!$AB$363),"",ReferenceData!$AB$363),"")</f>
        <v>-126.7994635</v>
      </c>
      <c r="AC363">
        <f ca="1">IFERROR(IF(0=LEN(ReferenceData!$AC$363),"",ReferenceData!$AC$363),"")</f>
        <v>-132.81328769999999</v>
      </c>
      <c r="AD363">
        <f ca="1">IFERROR(IF(0=LEN(ReferenceData!$AD$363),"",ReferenceData!$AD$363),"")</f>
        <v>-89.46021125</v>
      </c>
      <c r="AE363">
        <f ca="1">IFERROR(IF(0=LEN(ReferenceData!$AE$363),"",ReferenceData!$AE$363),"")</f>
        <v>-92.806262899999993</v>
      </c>
      <c r="AF363">
        <f ca="1">IFERROR(IF(0=LEN(ReferenceData!$AF$363),"",ReferenceData!$AF$363),"")</f>
        <v>-89.025161940000004</v>
      </c>
      <c r="AG363">
        <f ca="1">IFERROR(IF(0=LEN(ReferenceData!$AG$363),"",ReferenceData!$AG$363),"")</f>
        <v>-89.819379979999994</v>
      </c>
      <c r="AH363">
        <f ca="1">IFERROR(IF(0=LEN(ReferenceData!$AH$363),"",ReferenceData!$AH$363),"")</f>
        <v>-89.058844129999997</v>
      </c>
      <c r="AI363">
        <f ca="1">IFERROR(IF(0=LEN(ReferenceData!$AI$363),"",ReferenceData!$AI$363),"")</f>
        <v>-88.006292819999999</v>
      </c>
      <c r="AJ363">
        <f ca="1">IFERROR(IF(0=LEN(ReferenceData!$AJ$363),"",ReferenceData!$AJ$363),"")</f>
        <v>-86.624677719999994</v>
      </c>
      <c r="AK363">
        <f ca="1">IFERROR(IF(0=LEN(ReferenceData!$AK$363),"",ReferenceData!$AK$363),"")</f>
        <v>-81.641548720000003</v>
      </c>
      <c r="AL363">
        <f ca="1">IFERROR(IF(0=LEN(ReferenceData!$AL$363),"",ReferenceData!$AL$363),"")</f>
        <v>-40.930994929999997</v>
      </c>
      <c r="AM363">
        <f ca="1">IFERROR(IF(0=LEN(ReferenceData!$AM$363),"",ReferenceData!$AM$363),"")</f>
        <v>-39.731474560000002</v>
      </c>
      <c r="AN363">
        <f ca="1">IFERROR(IF(0=LEN(ReferenceData!$AN$363),"",ReferenceData!$AN$363),"")</f>
        <v>0</v>
      </c>
      <c r="AO363">
        <f ca="1">IFERROR(IF(0=LEN(ReferenceData!$AO$363),"",ReferenceData!$AO$363),"")</f>
        <v>0</v>
      </c>
      <c r="AP363">
        <f ca="1">IFERROR(IF(0=LEN(ReferenceData!$AP$363),"",ReferenceData!$AP$363),"")</f>
        <v>0</v>
      </c>
      <c r="AQ363">
        <f ca="1">IFERROR(IF(0=LEN(ReferenceData!$AQ$363),"",ReferenceData!$AQ$363),"")</f>
        <v>-1.5194054930000001</v>
      </c>
      <c r="AR363">
        <f ca="1">IFERROR(IF(0=LEN(ReferenceData!$AR$363),"",ReferenceData!$AR$363),"")</f>
        <v>-36.949149550000001</v>
      </c>
      <c r="AS363">
        <f ca="1">IFERROR(IF(0=LEN(ReferenceData!$AS$363),"",ReferenceData!$AS$363),"")</f>
        <v>-39.753356519999997</v>
      </c>
      <c r="AT363">
        <f ca="1">IFERROR(IF(0=LEN(ReferenceData!$AT$363),"",ReferenceData!$AT$363),"")</f>
        <v>-67.384738530000007</v>
      </c>
      <c r="AU363" t="str">
        <f ca="1">IFERROR(IF(0=LEN(ReferenceData!$AU$363),"",ReferenceData!$AU$363),"")</f>
        <v/>
      </c>
      <c r="AV363" t="str">
        <f ca="1">IFERROR(IF(0=LEN(ReferenceData!$AV$363),"",ReferenceData!$AV$363),"")</f>
        <v/>
      </c>
      <c r="AW363" t="str">
        <f ca="1">IFERROR(IF(0=LEN(ReferenceData!$AW$363),"",ReferenceData!$AW$363),"")</f>
        <v/>
      </c>
      <c r="AX363" t="str">
        <f ca="1">IFERROR(IF(0=LEN(ReferenceData!$AX$363),"",ReferenceData!$AX$363),"")</f>
        <v/>
      </c>
      <c r="AY363" t="str">
        <f ca="1">IFERROR(IF(0=LEN(ReferenceData!$AY$363),"",ReferenceData!$AY$363),"")</f>
        <v/>
      </c>
      <c r="AZ363" t="str">
        <f ca="1">IFERROR(IF(0=LEN(ReferenceData!$AZ$363),"",ReferenceData!$AZ$363),"")</f>
        <v/>
      </c>
      <c r="BA363" t="str">
        <f ca="1">IFERROR(IF(0=LEN(ReferenceData!$BA$363),"",ReferenceData!$BA$363),"")</f>
        <v/>
      </c>
      <c r="BB363" t="str">
        <f ca="1">IFERROR(IF(0=LEN(ReferenceData!$BB$363),"",ReferenceData!$BB$363),"")</f>
        <v/>
      </c>
      <c r="BC363" t="str">
        <f ca="1">IFERROR(IF(0=LEN(ReferenceData!$BC$363),"",ReferenceData!$BC$363),"")</f>
        <v/>
      </c>
      <c r="BD363" t="str">
        <f ca="1">IFERROR(IF(0=LEN(ReferenceData!$BD$363),"",ReferenceData!$BD$363),"")</f>
        <v/>
      </c>
      <c r="BE363" t="str">
        <f ca="1">IFERROR(IF(0=LEN(ReferenceData!$BE$363),"",ReferenceData!$BE$363),"")</f>
        <v/>
      </c>
      <c r="BF363" t="str">
        <f ca="1">IFERROR(IF(0=LEN(ReferenceData!$BF$363),"",ReferenceData!$BF$363),"")</f>
        <v/>
      </c>
      <c r="BG363" t="str">
        <f ca="1">IFERROR(IF(0=LEN(ReferenceData!$BG$363),"",ReferenceData!$BG$363),"")</f>
        <v/>
      </c>
      <c r="BH363" t="str">
        <f ca="1">IFERROR(IF(0=LEN(ReferenceData!$BH$363),"",ReferenceData!$BH$363),"")</f>
        <v/>
      </c>
      <c r="BI363" t="str">
        <f ca="1">IFERROR(IF(0=LEN(ReferenceData!$BI$363),"",ReferenceData!$BI$363),"")</f>
        <v/>
      </c>
      <c r="BJ363" t="str">
        <f ca="1">IFERROR(IF(0=LEN(ReferenceData!$BJ$363),"",ReferenceData!$BJ$363),"")</f>
        <v/>
      </c>
      <c r="BK363" t="str">
        <f ca="1">IFERROR(IF(0=LEN(ReferenceData!$BK$363),"",ReferenceData!$BK$363),"")</f>
        <v/>
      </c>
      <c r="BL363" t="str">
        <f ca="1">IFERROR(IF(0=LEN(ReferenceData!$BL$363),"",ReferenceData!$BL$363),"")</f>
        <v/>
      </c>
      <c r="BM363" t="str">
        <f ca="1">IFERROR(IF(0=LEN(ReferenceData!$BM$363),"",ReferenceData!$BM$363),"")</f>
        <v/>
      </c>
    </row>
    <row r="364" spans="1:65" x14ac:dyDescent="0.25">
      <c r="A364" t="str">
        <f>IFERROR(IF(0=LEN(ReferenceData!$A$364),"",ReferenceData!$A$364),"")</f>
        <v xml:space="preserve">    Suzuki Motor Corp</v>
      </c>
      <c r="B364" t="str">
        <f>IFERROR(IF(0=LEN(ReferenceData!$B$364),"",ReferenceData!$B$364),"")</f>
        <v>7269 JP Equity</v>
      </c>
      <c r="C364" t="str">
        <f>IFERROR(IF(0=LEN(ReferenceData!$C$364),"",ReferenceData!$C$364),"")</f>
        <v>RX530</v>
      </c>
      <c r="D364" t="str">
        <f>IFERROR(IF(0=LEN(ReferenceData!$D$364),"",ReferenceData!$D$364),"")</f>
        <v>T12M_DVDS_PAID</v>
      </c>
      <c r="E364" t="str">
        <f>IFERROR(IF(0=LEN(ReferenceData!$E$364),"",ReferenceData!$E$364),"")</f>
        <v>Dynamic</v>
      </c>
      <c r="F364" t="str">
        <f ca="1">IFERROR(IF(0=LEN(ReferenceData!$F$364),"",ReferenceData!$F$364),"")</f>
        <v/>
      </c>
      <c r="G364" t="str">
        <f ca="1">IFERROR(IF(0=LEN(ReferenceData!$G$364),"",ReferenceData!$G$364),"")</f>
        <v/>
      </c>
      <c r="H364" t="str">
        <f ca="1">IFERROR(IF(0=LEN(ReferenceData!$H$364),"",ReferenceData!$H$364),"")</f>
        <v/>
      </c>
      <c r="I364" t="str">
        <f ca="1">IFERROR(IF(0=LEN(ReferenceData!$I$364),"",ReferenceData!$I$364),"")</f>
        <v/>
      </c>
      <c r="J364" t="str">
        <f ca="1">IFERROR(IF(0=LEN(ReferenceData!$J$364),"",ReferenceData!$J$364),"")</f>
        <v/>
      </c>
      <c r="K364">
        <f ca="1">IFERROR(IF(0=LEN(ReferenceData!$K$364),"",ReferenceData!$K$364),"")</f>
        <v>-224.3753207</v>
      </c>
      <c r="L364">
        <f ca="1">IFERROR(IF(0=LEN(ReferenceData!$L$364),"",ReferenceData!$L$364),"")</f>
        <v>-174.60483780000001</v>
      </c>
      <c r="M364">
        <f ca="1">IFERROR(IF(0=LEN(ReferenceData!$M$364),"",ReferenceData!$M$364),"")</f>
        <v>-178.3337526</v>
      </c>
      <c r="N364">
        <f ca="1">IFERROR(IF(0=LEN(ReferenceData!$N$364),"",ReferenceData!$N$364),"")</f>
        <v>-138.8123621</v>
      </c>
      <c r="O364">
        <f ca="1">IFERROR(IF(0=LEN(ReferenceData!$O$364),"",ReferenceData!$O$364),"")</f>
        <v>-138.3575137</v>
      </c>
      <c r="P364">
        <f ca="1">IFERROR(IF(0=LEN(ReferenceData!$P$364),"",ReferenceData!$P$364),"")</f>
        <v>-126.9601718</v>
      </c>
      <c r="Q364">
        <f ca="1">IFERROR(IF(0=LEN(ReferenceData!$Q$364),"",ReferenceData!$Q$364),"")</f>
        <v>-121.3267472</v>
      </c>
      <c r="R364">
        <f ca="1">IFERROR(IF(0=LEN(ReferenceData!$R$364),"",ReferenceData!$R$364),"")</f>
        <v>-134.71137909999999</v>
      </c>
      <c r="S364">
        <f ca="1">IFERROR(IF(0=LEN(ReferenceData!$S$364),"",ReferenceData!$S$364),"")</f>
        <v>-133.54468829999999</v>
      </c>
      <c r="T364">
        <f ca="1">IFERROR(IF(0=LEN(ReferenceData!$T$364),"",ReferenceData!$T$364),"")</f>
        <v>-127.16633040000001</v>
      </c>
      <c r="U364">
        <f ca="1">IFERROR(IF(0=LEN(ReferenceData!$U$364),"",ReferenceData!$U$364),"")</f>
        <v>-132.65968580000001</v>
      </c>
      <c r="V364">
        <f ca="1">IFERROR(IF(0=LEN(ReferenceData!$V$364),"",ReferenceData!$V$364),"")</f>
        <v>-123.1273004</v>
      </c>
      <c r="W364">
        <f ca="1">IFERROR(IF(0=LEN(ReferenceData!$W$364),"",ReferenceData!$W$364),"")</f>
        <v>-127.5314142</v>
      </c>
      <c r="X364">
        <f ca="1">IFERROR(IF(0=LEN(ReferenceData!$X$364),"",ReferenceData!$X$364),"")</f>
        <v>-131.6722762</v>
      </c>
      <c r="Y364">
        <f ca="1">IFERROR(IF(0=LEN(ReferenceData!$Y$364),"",ReferenceData!$Y$364),"")</f>
        <v>-133.33147890000001</v>
      </c>
      <c r="Z364">
        <f ca="1">IFERROR(IF(0=LEN(ReferenceData!$Z$364),"",ReferenceData!$Z$364),"")</f>
        <v>-112.0752492</v>
      </c>
      <c r="AA364">
        <f ca="1">IFERROR(IF(0=LEN(ReferenceData!$AA$364),"",ReferenceData!$AA$364),"")</f>
        <v>-115.17988769999999</v>
      </c>
      <c r="AB364">
        <f ca="1">IFERROR(IF(0=LEN(ReferenceData!$AB$364),"",ReferenceData!$AB$364),"")</f>
        <v>-109.6966841</v>
      </c>
      <c r="AC364">
        <f ca="1">IFERROR(IF(0=LEN(ReferenceData!$AC$364),"",ReferenceData!$AC$364),"")</f>
        <v>-116.3138129</v>
      </c>
      <c r="AD364">
        <f ca="1">IFERROR(IF(0=LEN(ReferenceData!$AD$364),"",ReferenceData!$AD$364),"")</f>
        <v>-108.6665634</v>
      </c>
      <c r="AE364">
        <f ca="1">IFERROR(IF(0=LEN(ReferenceData!$AE$364),"",ReferenceData!$AE$364),"")</f>
        <v>-112.56347890000001</v>
      </c>
      <c r="AF364">
        <f ca="1">IFERROR(IF(0=LEN(ReferenceData!$AF$364),"",ReferenceData!$AF$364),"")</f>
        <v>-106.8149677</v>
      </c>
      <c r="AG364">
        <f ca="1">IFERROR(IF(0=LEN(ReferenceData!$AG$364),"",ReferenceData!$AG$364),"")</f>
        <v>-107.15696440000001</v>
      </c>
      <c r="AH364">
        <f ca="1">IFERROR(IF(0=LEN(ReferenceData!$AH$364),"",ReferenceData!$AH$364),"")</f>
        <v>-99.57810422</v>
      </c>
      <c r="AI364">
        <f ca="1">IFERROR(IF(0=LEN(ReferenceData!$AI$364),"",ReferenceData!$AI$364),"")</f>
        <v>-98.696180799999993</v>
      </c>
      <c r="AJ364">
        <f ca="1">IFERROR(IF(0=LEN(ReferenceData!$AJ$364),"",ReferenceData!$AJ$364),"")</f>
        <v>-90.158865710000001</v>
      </c>
      <c r="AK364">
        <f ca="1">IFERROR(IF(0=LEN(ReferenceData!$AK$364),"",ReferenceData!$AK$364),"")</f>
        <v>-87.919813950000005</v>
      </c>
      <c r="AL364">
        <f ca="1">IFERROR(IF(0=LEN(ReferenceData!$AL$364),"",ReferenceData!$AL$364),"")</f>
        <v>-85.068134110000003</v>
      </c>
      <c r="AM364">
        <f ca="1">IFERROR(IF(0=LEN(ReferenceData!$AM$364),"",ReferenceData!$AM$364),"")</f>
        <v>-83.061400660000004</v>
      </c>
      <c r="AN364">
        <f ca="1">IFERROR(IF(0=LEN(ReferenceData!$AN$364),"",ReferenceData!$AN$364),"")</f>
        <v>-67.92168805</v>
      </c>
      <c r="AO364">
        <f ca="1">IFERROR(IF(0=LEN(ReferenceData!$AO$364),"",ReferenceData!$AO$364),"")</f>
        <v>-66.424963460000001</v>
      </c>
      <c r="AP364">
        <f ca="1">IFERROR(IF(0=LEN(ReferenceData!$AP$364),"",ReferenceData!$AP$364),"")</f>
        <v>-60.922814049999999</v>
      </c>
      <c r="AQ364">
        <f ca="1">IFERROR(IF(0=LEN(ReferenceData!$AQ$364),"",ReferenceData!$AQ$364),"")</f>
        <v>-60.455218549999998</v>
      </c>
      <c r="AR364">
        <f ca="1">IFERROR(IF(0=LEN(ReferenceData!$AR$364),"",ReferenceData!$AR$364),"")</f>
        <v>-74.571823899999998</v>
      </c>
      <c r="AS364">
        <f ca="1">IFERROR(IF(0=LEN(ReferenceData!$AS$364),"",ReferenceData!$AS$364),"")</f>
        <v>-72.062492789999993</v>
      </c>
      <c r="AT364">
        <f ca="1">IFERROR(IF(0=LEN(ReferenceData!$AT$364),"",ReferenceData!$AT$364),"")</f>
        <v>-72.150829909999999</v>
      </c>
      <c r="AU364" t="str">
        <f ca="1">IFERROR(IF(0=LEN(ReferenceData!$AU$364),"",ReferenceData!$AU$364),"")</f>
        <v/>
      </c>
      <c r="AV364" t="str">
        <f ca="1">IFERROR(IF(0=LEN(ReferenceData!$AV$364),"",ReferenceData!$AV$364),"")</f>
        <v/>
      </c>
      <c r="AW364" t="str">
        <f ca="1">IFERROR(IF(0=LEN(ReferenceData!$AW$364),"",ReferenceData!$AW$364),"")</f>
        <v/>
      </c>
      <c r="AX364" t="str">
        <f ca="1">IFERROR(IF(0=LEN(ReferenceData!$AX$364),"",ReferenceData!$AX$364),"")</f>
        <v/>
      </c>
      <c r="AY364" t="str">
        <f ca="1">IFERROR(IF(0=LEN(ReferenceData!$AY$364),"",ReferenceData!$AY$364),"")</f>
        <v/>
      </c>
      <c r="AZ364" t="str">
        <f ca="1">IFERROR(IF(0=LEN(ReferenceData!$AZ$364),"",ReferenceData!$AZ$364),"")</f>
        <v/>
      </c>
      <c r="BA364" t="str">
        <f ca="1">IFERROR(IF(0=LEN(ReferenceData!$BA$364),"",ReferenceData!$BA$364),"")</f>
        <v/>
      </c>
      <c r="BB364" t="str">
        <f ca="1">IFERROR(IF(0=LEN(ReferenceData!$BB$364),"",ReferenceData!$BB$364),"")</f>
        <v/>
      </c>
      <c r="BC364" t="str">
        <f ca="1">IFERROR(IF(0=LEN(ReferenceData!$BC$364),"",ReferenceData!$BC$364),"")</f>
        <v/>
      </c>
      <c r="BD364" t="str">
        <f ca="1">IFERROR(IF(0=LEN(ReferenceData!$BD$364),"",ReferenceData!$BD$364),"")</f>
        <v/>
      </c>
      <c r="BE364" t="str">
        <f ca="1">IFERROR(IF(0=LEN(ReferenceData!$BE$364),"",ReferenceData!$BE$364),"")</f>
        <v/>
      </c>
      <c r="BF364" t="str">
        <f ca="1">IFERROR(IF(0=LEN(ReferenceData!$BF$364),"",ReferenceData!$BF$364),"")</f>
        <v/>
      </c>
      <c r="BG364" t="str">
        <f ca="1">IFERROR(IF(0=LEN(ReferenceData!$BG$364),"",ReferenceData!$BG$364),"")</f>
        <v/>
      </c>
      <c r="BH364" t="str">
        <f ca="1">IFERROR(IF(0=LEN(ReferenceData!$BH$364),"",ReferenceData!$BH$364),"")</f>
        <v/>
      </c>
      <c r="BI364" t="str">
        <f ca="1">IFERROR(IF(0=LEN(ReferenceData!$BI$364),"",ReferenceData!$BI$364),"")</f>
        <v/>
      </c>
      <c r="BJ364" t="str">
        <f ca="1">IFERROR(IF(0=LEN(ReferenceData!$BJ$364),"",ReferenceData!$BJ$364),"")</f>
        <v/>
      </c>
      <c r="BK364" t="str">
        <f ca="1">IFERROR(IF(0=LEN(ReferenceData!$BK$364),"",ReferenceData!$BK$364),"")</f>
        <v/>
      </c>
      <c r="BL364" t="str">
        <f ca="1">IFERROR(IF(0=LEN(ReferenceData!$BL$364),"",ReferenceData!$BL$364),"")</f>
        <v/>
      </c>
      <c r="BM364" t="str">
        <f ca="1">IFERROR(IF(0=LEN(ReferenceData!$BM$364),"",ReferenceData!$BM$364),"")</f>
        <v/>
      </c>
    </row>
    <row r="365" spans="1:65" x14ac:dyDescent="0.25">
      <c r="A365" t="str">
        <f>IFERROR(IF(0=LEN(ReferenceData!$A$365),"",ReferenceData!$A$365),"")</f>
        <v xml:space="preserve">    Tata Motors Ltd</v>
      </c>
      <c r="B365" t="str">
        <f>IFERROR(IF(0=LEN(ReferenceData!$B$365),"",ReferenceData!$B$365),"")</f>
        <v>TTMT IN Equity</v>
      </c>
      <c r="C365" t="str">
        <f>IFERROR(IF(0=LEN(ReferenceData!$C$365),"",ReferenceData!$C$365),"")</f>
        <v>RX530</v>
      </c>
      <c r="D365" t="str">
        <f>IFERROR(IF(0=LEN(ReferenceData!$D$365),"",ReferenceData!$D$365),"")</f>
        <v>T12M_DVDS_PAID</v>
      </c>
      <c r="E365" t="str">
        <f>IFERROR(IF(0=LEN(ReferenceData!$E$365),"",ReferenceData!$E$365),"")</f>
        <v>Dynamic</v>
      </c>
      <c r="F365" t="str">
        <f ca="1">IFERROR(IF(0=LEN(ReferenceData!$F$365),"",ReferenceData!$F$365),"")</f>
        <v/>
      </c>
      <c r="G365" t="str">
        <f ca="1">IFERROR(IF(0=LEN(ReferenceData!$G$365),"",ReferenceData!$G$365),"")</f>
        <v/>
      </c>
      <c r="H365" t="str">
        <f ca="1">IFERROR(IF(0=LEN(ReferenceData!$H$365),"",ReferenceData!$H$365),"")</f>
        <v/>
      </c>
      <c r="I365" t="str">
        <f ca="1">IFERROR(IF(0=LEN(ReferenceData!$I$365),"",ReferenceData!$I$365),"")</f>
        <v/>
      </c>
      <c r="J365" t="str">
        <f ca="1">IFERROR(IF(0=LEN(ReferenceData!$J$365),"",ReferenceData!$J$365),"")</f>
        <v/>
      </c>
      <c r="K365" t="str">
        <f ca="1">IFERROR(IF(0=LEN(ReferenceData!$K$365),"",ReferenceData!$K$365),"")</f>
        <v/>
      </c>
      <c r="L365" t="str">
        <f ca="1">IFERROR(IF(0=LEN(ReferenceData!$L$365),"",ReferenceData!$L$365),"")</f>
        <v/>
      </c>
      <c r="M365" t="str">
        <f ca="1">IFERROR(IF(0=LEN(ReferenceData!$M$365),"",ReferenceData!$M$365),"")</f>
        <v/>
      </c>
      <c r="N365" t="str">
        <f ca="1">IFERROR(IF(0=LEN(ReferenceData!$N$365),"",ReferenceData!$N$365),"")</f>
        <v/>
      </c>
      <c r="O365" t="str">
        <f ca="1">IFERROR(IF(0=LEN(ReferenceData!$O$365),"",ReferenceData!$O$365),"")</f>
        <v/>
      </c>
      <c r="P365" t="str">
        <f ca="1">IFERROR(IF(0=LEN(ReferenceData!$P$365),"",ReferenceData!$P$365),"")</f>
        <v/>
      </c>
      <c r="Q365" t="str">
        <f ca="1">IFERROR(IF(0=LEN(ReferenceData!$Q$365),"",ReferenceData!$Q$365),"")</f>
        <v/>
      </c>
      <c r="R365" t="str">
        <f ca="1">IFERROR(IF(0=LEN(ReferenceData!$R$365),"",ReferenceData!$R$365),"")</f>
        <v/>
      </c>
      <c r="S365" t="str">
        <f ca="1">IFERROR(IF(0=LEN(ReferenceData!$S$365),"",ReferenceData!$S$365),"")</f>
        <v/>
      </c>
      <c r="T365" t="str">
        <f ca="1">IFERROR(IF(0=LEN(ReferenceData!$T$365),"",ReferenceData!$T$365),"")</f>
        <v/>
      </c>
      <c r="U365" t="str">
        <f ca="1">IFERROR(IF(0=LEN(ReferenceData!$U$365),"",ReferenceData!$U$365),"")</f>
        <v/>
      </c>
      <c r="V365" t="str">
        <f ca="1">IFERROR(IF(0=LEN(ReferenceData!$V$365),"",ReferenceData!$V$365),"")</f>
        <v/>
      </c>
      <c r="W365" t="str">
        <f ca="1">IFERROR(IF(0=LEN(ReferenceData!$W$365),"",ReferenceData!$W$365),"")</f>
        <v/>
      </c>
      <c r="X365" t="str">
        <f ca="1">IFERROR(IF(0=LEN(ReferenceData!$X$365),"",ReferenceData!$X$365),"")</f>
        <v/>
      </c>
      <c r="Y365" t="str">
        <f ca="1">IFERROR(IF(0=LEN(ReferenceData!$Y$365),"",ReferenceData!$Y$365),"")</f>
        <v/>
      </c>
      <c r="Z365" t="str">
        <f ca="1">IFERROR(IF(0=LEN(ReferenceData!$Z$365),"",ReferenceData!$Z$365),"")</f>
        <v/>
      </c>
      <c r="AA365" t="str">
        <f ca="1">IFERROR(IF(0=LEN(ReferenceData!$AA$365),"",ReferenceData!$AA$365),"")</f>
        <v/>
      </c>
      <c r="AB365" t="str">
        <f ca="1">IFERROR(IF(0=LEN(ReferenceData!$AB$365),"",ReferenceData!$AB$365),"")</f>
        <v/>
      </c>
      <c r="AC365" t="str">
        <f ca="1">IFERROR(IF(0=LEN(ReferenceData!$AC$365),"",ReferenceData!$AC$365),"")</f>
        <v/>
      </c>
      <c r="AD365" t="str">
        <f ca="1">IFERROR(IF(0=LEN(ReferenceData!$AD$365),"",ReferenceData!$AD$365),"")</f>
        <v/>
      </c>
      <c r="AE365" t="str">
        <f ca="1">IFERROR(IF(0=LEN(ReferenceData!$AE$365),"",ReferenceData!$AE$365),"")</f>
        <v/>
      </c>
      <c r="AF365" t="str">
        <f ca="1">IFERROR(IF(0=LEN(ReferenceData!$AF$365),"",ReferenceData!$AF$365),"")</f>
        <v/>
      </c>
      <c r="AG365" t="str">
        <f ca="1">IFERROR(IF(0=LEN(ReferenceData!$AG$365),"",ReferenceData!$AG$365),"")</f>
        <v/>
      </c>
      <c r="AH365" t="str">
        <f ca="1">IFERROR(IF(0=LEN(ReferenceData!$AH$365),"",ReferenceData!$AH$365),"")</f>
        <v/>
      </c>
      <c r="AI365" t="str">
        <f ca="1">IFERROR(IF(0=LEN(ReferenceData!$AI$365),"",ReferenceData!$AI$365),"")</f>
        <v/>
      </c>
      <c r="AJ365" t="str">
        <f ca="1">IFERROR(IF(0=LEN(ReferenceData!$AJ$365),"",ReferenceData!$AJ$365),"")</f>
        <v/>
      </c>
      <c r="AK365" t="str">
        <f ca="1">IFERROR(IF(0=LEN(ReferenceData!$AK$365),"",ReferenceData!$AK$365),"")</f>
        <v/>
      </c>
      <c r="AL365" t="str">
        <f ca="1">IFERROR(IF(0=LEN(ReferenceData!$AL$365),"",ReferenceData!$AL$365),"")</f>
        <v/>
      </c>
      <c r="AM365" t="str">
        <f ca="1">IFERROR(IF(0=LEN(ReferenceData!$AM$365),"",ReferenceData!$AM$365),"")</f>
        <v/>
      </c>
      <c r="AN365" t="str">
        <f ca="1">IFERROR(IF(0=LEN(ReferenceData!$AN$365),"",ReferenceData!$AN$365),"")</f>
        <v/>
      </c>
      <c r="AO365" t="str">
        <f ca="1">IFERROR(IF(0=LEN(ReferenceData!$AO$365),"",ReferenceData!$AO$365),"")</f>
        <v/>
      </c>
      <c r="AP365" t="str">
        <f ca="1">IFERROR(IF(0=LEN(ReferenceData!$AP$365),"",ReferenceData!$AP$365),"")</f>
        <v/>
      </c>
      <c r="AQ365" t="str">
        <f ca="1">IFERROR(IF(0=LEN(ReferenceData!$AQ$365),"",ReferenceData!$AQ$365),"")</f>
        <v/>
      </c>
      <c r="AR365" t="str">
        <f ca="1">IFERROR(IF(0=LEN(ReferenceData!$AR$365),"",ReferenceData!$AR$365),"")</f>
        <v/>
      </c>
      <c r="AS365" t="str">
        <f ca="1">IFERROR(IF(0=LEN(ReferenceData!$AS$365),"",ReferenceData!$AS$365),"")</f>
        <v/>
      </c>
      <c r="AT365" t="str">
        <f ca="1">IFERROR(IF(0=LEN(ReferenceData!$AT$365),"",ReferenceData!$AT$365),"")</f>
        <v/>
      </c>
      <c r="AU365" t="str">
        <f ca="1">IFERROR(IF(0=LEN(ReferenceData!$AU$365),"",ReferenceData!$AU$365),"")</f>
        <v/>
      </c>
      <c r="AV365" t="str">
        <f ca="1">IFERROR(IF(0=LEN(ReferenceData!$AV$365),"",ReferenceData!$AV$365),"")</f>
        <v/>
      </c>
      <c r="AW365" t="str">
        <f ca="1">IFERROR(IF(0=LEN(ReferenceData!$AW$365),"",ReferenceData!$AW$365),"")</f>
        <v/>
      </c>
      <c r="AX365" t="str">
        <f ca="1">IFERROR(IF(0=LEN(ReferenceData!$AX$365),"",ReferenceData!$AX$365),"")</f>
        <v/>
      </c>
      <c r="AY365" t="str">
        <f ca="1">IFERROR(IF(0=LEN(ReferenceData!$AY$365),"",ReferenceData!$AY$365),"")</f>
        <v/>
      </c>
      <c r="AZ365" t="str">
        <f ca="1">IFERROR(IF(0=LEN(ReferenceData!$AZ$365),"",ReferenceData!$AZ$365),"")</f>
        <v/>
      </c>
      <c r="BA365" t="str">
        <f ca="1">IFERROR(IF(0=LEN(ReferenceData!$BA$365),"",ReferenceData!$BA$365),"")</f>
        <v/>
      </c>
      <c r="BB365" t="str">
        <f ca="1">IFERROR(IF(0=LEN(ReferenceData!$BB$365),"",ReferenceData!$BB$365),"")</f>
        <v/>
      </c>
      <c r="BC365" t="str">
        <f ca="1">IFERROR(IF(0=LEN(ReferenceData!$BC$365),"",ReferenceData!$BC$365),"")</f>
        <v/>
      </c>
      <c r="BD365" t="str">
        <f ca="1">IFERROR(IF(0=LEN(ReferenceData!$BD$365),"",ReferenceData!$BD$365),"")</f>
        <v/>
      </c>
      <c r="BE365" t="str">
        <f ca="1">IFERROR(IF(0=LEN(ReferenceData!$BE$365),"",ReferenceData!$BE$365),"")</f>
        <v/>
      </c>
      <c r="BF365" t="str">
        <f ca="1">IFERROR(IF(0=LEN(ReferenceData!$BF$365),"",ReferenceData!$BF$365),"")</f>
        <v/>
      </c>
      <c r="BG365" t="str">
        <f ca="1">IFERROR(IF(0=LEN(ReferenceData!$BG$365),"",ReferenceData!$BG$365),"")</f>
        <v/>
      </c>
      <c r="BH365" t="str">
        <f ca="1">IFERROR(IF(0=LEN(ReferenceData!$BH$365),"",ReferenceData!$BH$365),"")</f>
        <v/>
      </c>
      <c r="BI365" t="str">
        <f ca="1">IFERROR(IF(0=LEN(ReferenceData!$BI$365),"",ReferenceData!$BI$365),"")</f>
        <v/>
      </c>
      <c r="BJ365" t="str">
        <f ca="1">IFERROR(IF(0=LEN(ReferenceData!$BJ$365),"",ReferenceData!$BJ$365),"")</f>
        <v/>
      </c>
      <c r="BK365" t="str">
        <f ca="1">IFERROR(IF(0=LEN(ReferenceData!$BK$365),"",ReferenceData!$BK$365),"")</f>
        <v/>
      </c>
      <c r="BL365" t="str">
        <f ca="1">IFERROR(IF(0=LEN(ReferenceData!$BL$365),"",ReferenceData!$BL$365),"")</f>
        <v/>
      </c>
      <c r="BM365" t="str">
        <f ca="1">IFERROR(IF(0=LEN(ReferenceData!$BM$365),"",ReferenceData!$BM$365),"")</f>
        <v/>
      </c>
    </row>
    <row r="366" spans="1:65" x14ac:dyDescent="0.25">
      <c r="A366" t="str">
        <f>IFERROR(IF(0=LEN(ReferenceData!$A$366),"",ReferenceData!$A$366),"")</f>
        <v xml:space="preserve">    Tesla Inc</v>
      </c>
      <c r="B366" t="str">
        <f>IFERROR(IF(0=LEN(ReferenceData!$B$366),"",ReferenceData!$B$366),"")</f>
        <v>TSLA US Equity</v>
      </c>
      <c r="C366" t="str">
        <f>IFERROR(IF(0=LEN(ReferenceData!$C$366),"",ReferenceData!$C$366),"")</f>
        <v>RX530</v>
      </c>
      <c r="D366" t="str">
        <f>IFERROR(IF(0=LEN(ReferenceData!$D$366),"",ReferenceData!$D$366),"")</f>
        <v>T12M_DVDS_PAID</v>
      </c>
      <c r="E366" t="str">
        <f>IFERROR(IF(0=LEN(ReferenceData!$E$366),"",ReferenceData!$E$366),"")</f>
        <v>Dynamic</v>
      </c>
      <c r="F366" t="str">
        <f ca="1">IFERROR(IF(0=LEN(ReferenceData!$F$366),"",ReferenceData!$F$366),"")</f>
        <v/>
      </c>
      <c r="G366">
        <f ca="1">IFERROR(IF(0=LEN(ReferenceData!$G$366),"",ReferenceData!$G$366),"")</f>
        <v>0</v>
      </c>
      <c r="H366">
        <f ca="1">IFERROR(IF(0=LEN(ReferenceData!$H$366),"",ReferenceData!$H$366),"")</f>
        <v>0</v>
      </c>
      <c r="I366">
        <f ca="1">IFERROR(IF(0=LEN(ReferenceData!$I$366),"",ReferenceData!$I$366),"")</f>
        <v>0</v>
      </c>
      <c r="J366">
        <f ca="1">IFERROR(IF(0=LEN(ReferenceData!$J$366),"",ReferenceData!$J$366),"")</f>
        <v>0</v>
      </c>
      <c r="K366">
        <f ca="1">IFERROR(IF(0=LEN(ReferenceData!$K$366),"",ReferenceData!$K$366),"")</f>
        <v>0</v>
      </c>
      <c r="L366">
        <f ca="1">IFERROR(IF(0=LEN(ReferenceData!$L$366),"",ReferenceData!$L$366),"")</f>
        <v>0</v>
      </c>
      <c r="M366">
        <f ca="1">IFERROR(IF(0=LEN(ReferenceData!$M$366),"",ReferenceData!$M$366),"")</f>
        <v>0</v>
      </c>
      <c r="N366">
        <f ca="1">IFERROR(IF(0=LEN(ReferenceData!$N$366),"",ReferenceData!$N$366),"")</f>
        <v>0</v>
      </c>
      <c r="O366">
        <f ca="1">IFERROR(IF(0=LEN(ReferenceData!$O$366),"",ReferenceData!$O$366),"")</f>
        <v>0</v>
      </c>
      <c r="P366">
        <f ca="1">IFERROR(IF(0=LEN(ReferenceData!$P$366),"",ReferenceData!$P$366),"")</f>
        <v>0</v>
      </c>
      <c r="Q366">
        <f ca="1">IFERROR(IF(0=LEN(ReferenceData!$Q$366),"",ReferenceData!$Q$366),"")</f>
        <v>0</v>
      </c>
      <c r="R366">
        <f ca="1">IFERROR(IF(0=LEN(ReferenceData!$R$366),"",ReferenceData!$R$366),"")</f>
        <v>0</v>
      </c>
      <c r="S366">
        <f ca="1">IFERROR(IF(0=LEN(ReferenceData!$S$366),"",ReferenceData!$S$366),"")</f>
        <v>0</v>
      </c>
      <c r="T366">
        <f ca="1">IFERROR(IF(0=LEN(ReferenceData!$T$366),"",ReferenceData!$T$366),"")</f>
        <v>0</v>
      </c>
      <c r="U366">
        <f ca="1">IFERROR(IF(0=LEN(ReferenceData!$U$366),"",ReferenceData!$U$366),"")</f>
        <v>0</v>
      </c>
      <c r="V366">
        <f ca="1">IFERROR(IF(0=LEN(ReferenceData!$V$366),"",ReferenceData!$V$366),"")</f>
        <v>0</v>
      </c>
      <c r="W366">
        <f ca="1">IFERROR(IF(0=LEN(ReferenceData!$W$366),"",ReferenceData!$W$366),"")</f>
        <v>0</v>
      </c>
      <c r="X366">
        <f ca="1">IFERROR(IF(0=LEN(ReferenceData!$X$366),"",ReferenceData!$X$366),"")</f>
        <v>0</v>
      </c>
      <c r="Y366">
        <f ca="1">IFERROR(IF(0=LEN(ReferenceData!$Y$366),"",ReferenceData!$Y$366),"")</f>
        <v>0</v>
      </c>
      <c r="Z366">
        <f ca="1">IFERROR(IF(0=LEN(ReferenceData!$Z$366),"",ReferenceData!$Z$366),"")</f>
        <v>0</v>
      </c>
      <c r="AA366">
        <f ca="1">IFERROR(IF(0=LEN(ReferenceData!$AA$366),"",ReferenceData!$AA$366),"")</f>
        <v>0</v>
      </c>
      <c r="AB366">
        <f ca="1">IFERROR(IF(0=LEN(ReferenceData!$AB$366),"",ReferenceData!$AB$366),"")</f>
        <v>0</v>
      </c>
      <c r="AC366">
        <f ca="1">IFERROR(IF(0=LEN(ReferenceData!$AC$366),"",ReferenceData!$AC$366),"")</f>
        <v>0</v>
      </c>
      <c r="AD366">
        <f ca="1">IFERROR(IF(0=LEN(ReferenceData!$AD$366),"",ReferenceData!$AD$366),"")</f>
        <v>0</v>
      </c>
      <c r="AE366">
        <f ca="1">IFERROR(IF(0=LEN(ReferenceData!$AE$366),"",ReferenceData!$AE$366),"")</f>
        <v>0</v>
      </c>
      <c r="AF366">
        <f ca="1">IFERROR(IF(0=LEN(ReferenceData!$AF$366),"",ReferenceData!$AF$366),"")</f>
        <v>0</v>
      </c>
      <c r="AG366">
        <f ca="1">IFERROR(IF(0=LEN(ReferenceData!$AG$366),"",ReferenceData!$AG$366),"")</f>
        <v>0</v>
      </c>
      <c r="AH366">
        <f ca="1">IFERROR(IF(0=LEN(ReferenceData!$AH$366),"",ReferenceData!$AH$366),"")</f>
        <v>0</v>
      </c>
      <c r="AI366">
        <f ca="1">IFERROR(IF(0=LEN(ReferenceData!$AI$366),"",ReferenceData!$AI$366),"")</f>
        <v>0</v>
      </c>
      <c r="AJ366">
        <f ca="1">IFERROR(IF(0=LEN(ReferenceData!$AJ$366),"",ReferenceData!$AJ$366),"")</f>
        <v>0</v>
      </c>
      <c r="AK366">
        <f ca="1">IFERROR(IF(0=LEN(ReferenceData!$AK$366),"",ReferenceData!$AK$366),"")</f>
        <v>0</v>
      </c>
      <c r="AL366">
        <f ca="1">IFERROR(IF(0=LEN(ReferenceData!$AL$366),"",ReferenceData!$AL$366),"")</f>
        <v>0</v>
      </c>
      <c r="AM366">
        <f ca="1">IFERROR(IF(0=LEN(ReferenceData!$AM$366),"",ReferenceData!$AM$366),"")</f>
        <v>0</v>
      </c>
      <c r="AN366">
        <f ca="1">IFERROR(IF(0=LEN(ReferenceData!$AN$366),"",ReferenceData!$AN$366),"")</f>
        <v>0</v>
      </c>
      <c r="AO366" t="str">
        <f ca="1">IFERROR(IF(0=LEN(ReferenceData!$AO$366),"",ReferenceData!$AO$366),"")</f>
        <v/>
      </c>
      <c r="AP366" t="str">
        <f ca="1">IFERROR(IF(0=LEN(ReferenceData!$AP$366),"",ReferenceData!$AP$366),"")</f>
        <v/>
      </c>
      <c r="AQ366" t="str">
        <f ca="1">IFERROR(IF(0=LEN(ReferenceData!$AQ$366),"",ReferenceData!$AQ$366),"")</f>
        <v/>
      </c>
      <c r="AR366" t="str">
        <f ca="1">IFERROR(IF(0=LEN(ReferenceData!$AR$366),"",ReferenceData!$AR$366),"")</f>
        <v/>
      </c>
      <c r="AS366" t="str">
        <f ca="1">IFERROR(IF(0=LEN(ReferenceData!$AS$366),"",ReferenceData!$AS$366),"")</f>
        <v/>
      </c>
      <c r="AT366" t="str">
        <f ca="1">IFERROR(IF(0=LEN(ReferenceData!$AT$366),"",ReferenceData!$AT$366),"")</f>
        <v/>
      </c>
      <c r="AU366" t="str">
        <f ca="1">IFERROR(IF(0=LEN(ReferenceData!$AU$366),"",ReferenceData!$AU$366),"")</f>
        <v/>
      </c>
      <c r="AV366" t="str">
        <f ca="1">IFERROR(IF(0=LEN(ReferenceData!$AV$366),"",ReferenceData!$AV$366),"")</f>
        <v/>
      </c>
      <c r="AW366" t="str">
        <f ca="1">IFERROR(IF(0=LEN(ReferenceData!$AW$366),"",ReferenceData!$AW$366),"")</f>
        <v/>
      </c>
      <c r="AX366" t="str">
        <f ca="1">IFERROR(IF(0=LEN(ReferenceData!$AX$366),"",ReferenceData!$AX$366),"")</f>
        <v/>
      </c>
      <c r="AY366" t="str">
        <f ca="1">IFERROR(IF(0=LEN(ReferenceData!$AY$366),"",ReferenceData!$AY$366),"")</f>
        <v/>
      </c>
      <c r="AZ366" t="str">
        <f ca="1">IFERROR(IF(0=LEN(ReferenceData!$AZ$366),"",ReferenceData!$AZ$366),"")</f>
        <v/>
      </c>
      <c r="BA366" t="str">
        <f ca="1">IFERROR(IF(0=LEN(ReferenceData!$BA$366),"",ReferenceData!$BA$366),"")</f>
        <v/>
      </c>
      <c r="BB366" t="str">
        <f ca="1">IFERROR(IF(0=LEN(ReferenceData!$BB$366),"",ReferenceData!$BB$366),"")</f>
        <v/>
      </c>
      <c r="BC366" t="str">
        <f ca="1">IFERROR(IF(0=LEN(ReferenceData!$BC$366),"",ReferenceData!$BC$366),"")</f>
        <v/>
      </c>
      <c r="BD366" t="str">
        <f ca="1">IFERROR(IF(0=LEN(ReferenceData!$BD$366),"",ReferenceData!$BD$366),"")</f>
        <v/>
      </c>
      <c r="BE366" t="str">
        <f ca="1">IFERROR(IF(0=LEN(ReferenceData!$BE$366),"",ReferenceData!$BE$366),"")</f>
        <v/>
      </c>
      <c r="BF366" t="str">
        <f ca="1">IFERROR(IF(0=LEN(ReferenceData!$BF$366),"",ReferenceData!$BF$366),"")</f>
        <v/>
      </c>
      <c r="BG366" t="str">
        <f ca="1">IFERROR(IF(0=LEN(ReferenceData!$BG$366),"",ReferenceData!$BG$366),"")</f>
        <v/>
      </c>
      <c r="BH366" t="str">
        <f ca="1">IFERROR(IF(0=LEN(ReferenceData!$BH$366),"",ReferenceData!$BH$366),"")</f>
        <v/>
      </c>
      <c r="BI366" t="str">
        <f ca="1">IFERROR(IF(0=LEN(ReferenceData!$BI$366),"",ReferenceData!$BI$366),"")</f>
        <v/>
      </c>
      <c r="BJ366" t="str">
        <f ca="1">IFERROR(IF(0=LEN(ReferenceData!$BJ$366),"",ReferenceData!$BJ$366),"")</f>
        <v/>
      </c>
      <c r="BK366" t="str">
        <f ca="1">IFERROR(IF(0=LEN(ReferenceData!$BK$366),"",ReferenceData!$BK$366),"")</f>
        <v/>
      </c>
      <c r="BL366" t="str">
        <f ca="1">IFERROR(IF(0=LEN(ReferenceData!$BL$366),"",ReferenceData!$BL$366),"")</f>
        <v/>
      </c>
      <c r="BM366" t="str">
        <f ca="1">IFERROR(IF(0=LEN(ReferenceData!$BM$366),"",ReferenceData!$BM$366),"")</f>
        <v/>
      </c>
    </row>
    <row r="367" spans="1:65" x14ac:dyDescent="0.25">
      <c r="A367" t="str">
        <f>IFERROR(IF(0=LEN(ReferenceData!$A$367),"",ReferenceData!$A$367),"")</f>
        <v xml:space="preserve">    Tianjin Faw Xiali Automobile Co Ltd</v>
      </c>
      <c r="B367" t="str">
        <f>IFERROR(IF(0=LEN(ReferenceData!$B$367),"",ReferenceData!$B$367),"")</f>
        <v>000927 CH Equity</v>
      </c>
      <c r="C367" t="str">
        <f>IFERROR(IF(0=LEN(ReferenceData!$C$367),"",ReferenceData!$C$367),"")</f>
        <v>RX530</v>
      </c>
      <c r="D367" t="str">
        <f>IFERROR(IF(0=LEN(ReferenceData!$D$367),"",ReferenceData!$D$367),"")</f>
        <v>T12M_DVDS_PAID</v>
      </c>
      <c r="E367" t="str">
        <f>IFERROR(IF(0=LEN(ReferenceData!$E$367),"",ReferenceData!$E$367),"")</f>
        <v>Dynamic</v>
      </c>
      <c r="F367" t="str">
        <f ca="1">IFERROR(IF(0=LEN(ReferenceData!$F$367),"",ReferenceData!$F$367),"")</f>
        <v/>
      </c>
      <c r="G367" t="str">
        <f ca="1">IFERROR(IF(0=LEN(ReferenceData!$G$367),"",ReferenceData!$G$367),"")</f>
        <v/>
      </c>
      <c r="H367">
        <f ca="1">IFERROR(IF(0=LEN(ReferenceData!$H$367),"",ReferenceData!$H$367),"")</f>
        <v>0</v>
      </c>
      <c r="I367">
        <f ca="1">IFERROR(IF(0=LEN(ReferenceData!$I$367),"",ReferenceData!$I$367),"")</f>
        <v>0</v>
      </c>
      <c r="J367">
        <f ca="1">IFERROR(IF(0=LEN(ReferenceData!$J$367),"",ReferenceData!$J$367),"")</f>
        <v>0</v>
      </c>
      <c r="K367">
        <f ca="1">IFERROR(IF(0=LEN(ReferenceData!$K$367),"",ReferenceData!$K$367),"")</f>
        <v>0</v>
      </c>
      <c r="L367">
        <f ca="1">IFERROR(IF(0=LEN(ReferenceData!$L$367),"",ReferenceData!$L$367),"")</f>
        <v>0</v>
      </c>
      <c r="M367">
        <f ca="1">IFERROR(IF(0=LEN(ReferenceData!$M$367),"",ReferenceData!$M$367),"")</f>
        <v>0</v>
      </c>
      <c r="N367">
        <f ca="1">IFERROR(IF(0=LEN(ReferenceData!$N$367),"",ReferenceData!$N$367),"")</f>
        <v>0</v>
      </c>
      <c r="O367">
        <f ca="1">IFERROR(IF(0=LEN(ReferenceData!$O$367),"",ReferenceData!$O$367),"")</f>
        <v>0</v>
      </c>
      <c r="P367">
        <f ca="1">IFERROR(IF(0=LEN(ReferenceData!$P$367),"",ReferenceData!$P$367),"")</f>
        <v>0</v>
      </c>
      <c r="Q367">
        <f ca="1">IFERROR(IF(0=LEN(ReferenceData!$Q$367),"",ReferenceData!$Q$367),"")</f>
        <v>0</v>
      </c>
      <c r="R367">
        <f ca="1">IFERROR(IF(0=LEN(ReferenceData!$R$367),"",ReferenceData!$R$367),"")</f>
        <v>0</v>
      </c>
      <c r="S367">
        <f ca="1">IFERROR(IF(0=LEN(ReferenceData!$S$367),"",ReferenceData!$S$367),"")</f>
        <v>0</v>
      </c>
      <c r="T367">
        <f ca="1">IFERROR(IF(0=LEN(ReferenceData!$T$367),"",ReferenceData!$T$367),"")</f>
        <v>0</v>
      </c>
      <c r="U367">
        <f ca="1">IFERROR(IF(0=LEN(ReferenceData!$U$367),"",ReferenceData!$U$367),"")</f>
        <v>0</v>
      </c>
      <c r="V367">
        <f ca="1">IFERROR(IF(0=LEN(ReferenceData!$V$367),"",ReferenceData!$V$367),"")</f>
        <v>0</v>
      </c>
      <c r="W367">
        <f ca="1">IFERROR(IF(0=LEN(ReferenceData!$W$367),"",ReferenceData!$W$367),"")</f>
        <v>0</v>
      </c>
      <c r="X367">
        <f ca="1">IFERROR(IF(0=LEN(ReferenceData!$X$367),"",ReferenceData!$X$367),"")</f>
        <v>0</v>
      </c>
      <c r="Y367">
        <f ca="1">IFERROR(IF(0=LEN(ReferenceData!$Y$367),"",ReferenceData!$Y$367),"")</f>
        <v>-2.5995747900000001</v>
      </c>
      <c r="Z367">
        <f ca="1">IFERROR(IF(0=LEN(ReferenceData!$Z$367),"",ReferenceData!$Z$367),"")</f>
        <v>-2.6075589849999998</v>
      </c>
      <c r="AA367">
        <f ca="1">IFERROR(IF(0=LEN(ReferenceData!$AA$367),"",ReferenceData!$AA$367),"")</f>
        <v>-2.5947418309999999</v>
      </c>
      <c r="AB367">
        <f ca="1">IFERROR(IF(0=LEN(ReferenceData!$AB$367),"",ReferenceData!$AB$367),"")</f>
        <v>-2.577782037</v>
      </c>
      <c r="AC367">
        <f ca="1">IFERROR(IF(0=LEN(ReferenceData!$AC$367),"",ReferenceData!$AC$367),"")</f>
        <v>-5.1087069249999999</v>
      </c>
      <c r="AD367">
        <f ca="1">IFERROR(IF(0=LEN(ReferenceData!$AD$367),"",ReferenceData!$AD$367),"")</f>
        <v>-5.0733103809999998</v>
      </c>
      <c r="AE367">
        <f ca="1">IFERROR(IF(0=LEN(ReferenceData!$AE$367),"",ReferenceData!$AE$367),"")</f>
        <v>-5.0563357470000003</v>
      </c>
      <c r="AF367">
        <f ca="1">IFERROR(IF(0=LEN(ReferenceData!$AF$367),"",ReferenceData!$AF$367),"")</f>
        <v>-5.0344911120000004</v>
      </c>
      <c r="AG367">
        <f ca="1">IFERROR(IF(0=LEN(ReferenceData!$AG$367),"",ReferenceData!$AG$367),"")</f>
        <v>0</v>
      </c>
      <c r="AH367">
        <f ca="1">IFERROR(IF(0=LEN(ReferenceData!$AH$367),"",ReferenceData!$AH$367),"")</f>
        <v>-7.7958526800000003</v>
      </c>
      <c r="AI367">
        <f ca="1">IFERROR(IF(0=LEN(ReferenceData!$AI$367),"",ReferenceData!$AI$367),"")</f>
        <v>-7.7149710730000001</v>
      </c>
      <c r="AJ367" t="str">
        <f ca="1">IFERROR(IF(0=LEN(ReferenceData!$AJ$367),"",ReferenceData!$AJ$367),"")</f>
        <v/>
      </c>
      <c r="AK367" t="str">
        <f ca="1">IFERROR(IF(0=LEN(ReferenceData!$AK$367),"",ReferenceData!$AK$367),"")</f>
        <v/>
      </c>
      <c r="AL367" t="str">
        <f ca="1">IFERROR(IF(0=LEN(ReferenceData!$AL$367),"",ReferenceData!$AL$367),"")</f>
        <v/>
      </c>
      <c r="AM367" t="str">
        <f ca="1">IFERROR(IF(0=LEN(ReferenceData!$AM$367),"",ReferenceData!$AM$367),"")</f>
        <v/>
      </c>
      <c r="AN367" t="str">
        <f ca="1">IFERROR(IF(0=LEN(ReferenceData!$AN$367),"",ReferenceData!$AN$367),"")</f>
        <v/>
      </c>
      <c r="AO367" t="str">
        <f ca="1">IFERROR(IF(0=LEN(ReferenceData!$AO$367),"",ReferenceData!$AO$367),"")</f>
        <v/>
      </c>
      <c r="AP367" t="str">
        <f ca="1">IFERROR(IF(0=LEN(ReferenceData!$AP$367),"",ReferenceData!$AP$367),"")</f>
        <v/>
      </c>
      <c r="AQ367" t="str">
        <f ca="1">IFERROR(IF(0=LEN(ReferenceData!$AQ$367),"",ReferenceData!$AQ$367),"")</f>
        <v/>
      </c>
      <c r="AR367">
        <f ca="1">IFERROR(IF(0=LEN(ReferenceData!$AR$367),"",ReferenceData!$AR$367),"")</f>
        <v>-23.339175730000001</v>
      </c>
      <c r="AS367" t="str">
        <f ca="1">IFERROR(IF(0=LEN(ReferenceData!$AS$367),"",ReferenceData!$AS$367),"")</f>
        <v/>
      </c>
      <c r="AT367" t="str">
        <f ca="1">IFERROR(IF(0=LEN(ReferenceData!$AT$367),"",ReferenceData!$AT$367),"")</f>
        <v/>
      </c>
      <c r="AU367" t="str">
        <f ca="1">IFERROR(IF(0=LEN(ReferenceData!$AU$367),"",ReferenceData!$AU$367),"")</f>
        <v/>
      </c>
      <c r="AV367" t="str">
        <f ca="1">IFERROR(IF(0=LEN(ReferenceData!$AV$367),"",ReferenceData!$AV$367),"")</f>
        <v/>
      </c>
      <c r="AW367" t="str">
        <f ca="1">IFERROR(IF(0=LEN(ReferenceData!$AW$367),"",ReferenceData!$AW$367),"")</f>
        <v/>
      </c>
      <c r="AX367" t="str">
        <f ca="1">IFERROR(IF(0=LEN(ReferenceData!$AX$367),"",ReferenceData!$AX$367),"")</f>
        <v/>
      </c>
      <c r="AY367" t="str">
        <f ca="1">IFERROR(IF(0=LEN(ReferenceData!$AY$367),"",ReferenceData!$AY$367),"")</f>
        <v/>
      </c>
      <c r="AZ367" t="str">
        <f ca="1">IFERROR(IF(0=LEN(ReferenceData!$AZ$367),"",ReferenceData!$AZ$367),"")</f>
        <v/>
      </c>
      <c r="BA367" t="str">
        <f ca="1">IFERROR(IF(0=LEN(ReferenceData!$BA$367),"",ReferenceData!$BA$367),"")</f>
        <v/>
      </c>
      <c r="BB367">
        <f ca="1">IFERROR(IF(0=LEN(ReferenceData!$BB$367),"",ReferenceData!$BB$367),"")</f>
        <v>0</v>
      </c>
      <c r="BC367">
        <f ca="1">IFERROR(IF(0=LEN(ReferenceData!$BC$367),"",ReferenceData!$BC$367),"")</f>
        <v>0</v>
      </c>
      <c r="BD367">
        <f ca="1">IFERROR(IF(0=LEN(ReferenceData!$BD$367),"",ReferenceData!$BD$367),"")</f>
        <v>0</v>
      </c>
      <c r="BE367">
        <f ca="1">IFERROR(IF(0=LEN(ReferenceData!$BE$367),"",ReferenceData!$BE$367),"")</f>
        <v>0</v>
      </c>
      <c r="BF367">
        <f ca="1">IFERROR(IF(0=LEN(ReferenceData!$BF$367),"",ReferenceData!$BF$367),"")</f>
        <v>0</v>
      </c>
      <c r="BG367">
        <f ca="1">IFERROR(IF(0=LEN(ReferenceData!$BG$367),"",ReferenceData!$BG$367),"")</f>
        <v>0</v>
      </c>
      <c r="BH367" t="str">
        <f ca="1">IFERROR(IF(0=LEN(ReferenceData!$BH$367),"",ReferenceData!$BH$367),"")</f>
        <v/>
      </c>
      <c r="BI367" t="str">
        <f ca="1">IFERROR(IF(0=LEN(ReferenceData!$BI$367),"",ReferenceData!$BI$367),"")</f>
        <v/>
      </c>
      <c r="BJ367" t="str">
        <f ca="1">IFERROR(IF(0=LEN(ReferenceData!$BJ$367),"",ReferenceData!$BJ$367),"")</f>
        <v/>
      </c>
      <c r="BK367" t="str">
        <f ca="1">IFERROR(IF(0=LEN(ReferenceData!$BK$367),"",ReferenceData!$BK$367),"")</f>
        <v/>
      </c>
      <c r="BL367">
        <f ca="1">IFERROR(IF(0=LEN(ReferenceData!$BL$367),"",ReferenceData!$BL$367),"")</f>
        <v>0</v>
      </c>
      <c r="BM367">
        <f ca="1">IFERROR(IF(0=LEN(ReferenceData!$BM$367),"",ReferenceData!$BM$367),"")</f>
        <v>0</v>
      </c>
    </row>
    <row r="368" spans="1:65" x14ac:dyDescent="0.25">
      <c r="A368" t="str">
        <f>IFERROR(IF(0=LEN(ReferenceData!$A$368),"",ReferenceData!$A$368),"")</f>
        <v xml:space="preserve">    Tofas Turk Otomobil Fabrikasi AS</v>
      </c>
      <c r="B368" t="str">
        <f>IFERROR(IF(0=LEN(ReferenceData!$B$368),"",ReferenceData!$B$368),"")</f>
        <v>TOASOTRY EO Equity</v>
      </c>
      <c r="C368" t="str">
        <f>IFERROR(IF(0=LEN(ReferenceData!$C$368),"",ReferenceData!$C$368),"")</f>
        <v>RX530</v>
      </c>
      <c r="D368" t="str">
        <f>IFERROR(IF(0=LEN(ReferenceData!$D$368),"",ReferenceData!$D$368),"")</f>
        <v>T12M_DVDS_PAID</v>
      </c>
      <c r="E368" t="str">
        <f>IFERROR(IF(0=LEN(ReferenceData!$E$368),"",ReferenceData!$E$368),"")</f>
        <v>Dynamic</v>
      </c>
      <c r="F368" t="str">
        <f ca="1">IFERROR(IF(0=LEN(ReferenceData!$F$368),"",ReferenceData!$F$368),"")</f>
        <v/>
      </c>
      <c r="G368">
        <f ca="1">IFERROR(IF(0=LEN(ReferenceData!$G$368),"",ReferenceData!$G$368),"")</f>
        <v>-170.60221329999999</v>
      </c>
      <c r="H368">
        <f ca="1">IFERROR(IF(0=LEN(ReferenceData!$H$368),"",ReferenceData!$H$368),"")</f>
        <v>-186.9129768</v>
      </c>
      <c r="I368">
        <f ca="1">IFERROR(IF(0=LEN(ReferenceData!$I$368),"",ReferenceData!$I$368),"")</f>
        <v>-207.8857764</v>
      </c>
      <c r="J368">
        <f ca="1">IFERROR(IF(0=LEN(ReferenceData!$J$368),"",ReferenceData!$J$368),"")</f>
        <v>-313.23550599999999</v>
      </c>
      <c r="K368">
        <f ca="1">IFERROR(IF(0=LEN(ReferenceData!$K$368),"",ReferenceData!$K$368),"")</f>
        <v>-96.091930430000005</v>
      </c>
      <c r="L368">
        <f ca="1">IFERROR(IF(0=LEN(ReferenceData!$L$368),"",ReferenceData!$L$368),"")</f>
        <v>-99.717061670000007</v>
      </c>
      <c r="M368">
        <f ca="1">IFERROR(IF(0=LEN(ReferenceData!$M$368),"",ReferenceData!$M$368),"")</f>
        <v>-104.36810370000001</v>
      </c>
      <c r="N368">
        <f ca="1">IFERROR(IF(0=LEN(ReferenceData!$N$368),"",ReferenceData!$N$368),"")</f>
        <v>-114.8172903</v>
      </c>
      <c r="O368">
        <f ca="1">IFERROR(IF(0=LEN(ReferenceData!$O$368),"",ReferenceData!$O$368),"")</f>
        <v>-121.1043797</v>
      </c>
      <c r="P368">
        <f ca="1">IFERROR(IF(0=LEN(ReferenceData!$P$368),"",ReferenceData!$P$368),"")</f>
        <v>-124.6789177</v>
      </c>
      <c r="Q368">
        <f ca="1">IFERROR(IF(0=LEN(ReferenceData!$Q$368),"",ReferenceData!$Q$368),"")</f>
        <v>-125.95147129999999</v>
      </c>
      <c r="R368">
        <f ca="1">IFERROR(IF(0=LEN(ReferenceData!$R$368),"",ReferenceData!$R$368),"")</f>
        <v>-170.80174600000001</v>
      </c>
      <c r="S368">
        <f ca="1">IFERROR(IF(0=LEN(ReferenceData!$S$368),"",ReferenceData!$S$368),"")</f>
        <v>-178.7287699</v>
      </c>
      <c r="T368">
        <f ca="1">IFERROR(IF(0=LEN(ReferenceData!$T$368),"",ReferenceData!$T$368),"")</f>
        <v>-190.77614439999999</v>
      </c>
      <c r="U368">
        <f ca="1">IFERROR(IF(0=LEN(ReferenceData!$U$368),"",ReferenceData!$U$368),"")</f>
        <v>-204.4277835</v>
      </c>
      <c r="V368">
        <f ca="1">IFERROR(IF(0=LEN(ReferenceData!$V$368),"",ReferenceData!$V$368),"")</f>
        <v>0</v>
      </c>
      <c r="W368">
        <f ca="1">IFERROR(IF(0=LEN(ReferenceData!$W$368),"",ReferenceData!$W$368),"")</f>
        <v>-148.7062392</v>
      </c>
      <c r="X368">
        <f ca="1">IFERROR(IF(0=LEN(ReferenceData!$X$368),"",ReferenceData!$X$368),"")</f>
        <v>-152.97369090000001</v>
      </c>
      <c r="Y368">
        <f ca="1">IFERROR(IF(0=LEN(ReferenceData!$Y$368),"",ReferenceData!$Y$368),"")</f>
        <v>-156.71740220000001</v>
      </c>
      <c r="Z368">
        <f ca="1">IFERROR(IF(0=LEN(ReferenceData!$Z$368),"",ReferenceData!$Z$368),"")</f>
        <v>-162.4137144</v>
      </c>
      <c r="AA368">
        <f ca="1">IFERROR(IF(0=LEN(ReferenceData!$AA$368),"",ReferenceData!$AA$368),"")</f>
        <v>-252.6067066</v>
      </c>
      <c r="AB368">
        <f ca="1">IFERROR(IF(0=LEN(ReferenceData!$AB$368),"",ReferenceData!$AB$368),"")</f>
        <v>-260.2774632</v>
      </c>
      <c r="AC368">
        <f ca="1">IFERROR(IF(0=LEN(ReferenceData!$AC$368),"",ReferenceData!$AC$368),"")</f>
        <v>-265.93081469999998</v>
      </c>
      <c r="AD368">
        <f ca="1">IFERROR(IF(0=LEN(ReferenceData!$AD$368),"",ReferenceData!$AD$368),"")</f>
        <v>-406.18419449999999</v>
      </c>
      <c r="AE368">
        <f ca="1">IFERROR(IF(0=LEN(ReferenceData!$AE$368),"",ReferenceData!$AE$368),"")</f>
        <v>-138.89350870000001</v>
      </c>
      <c r="AF368">
        <f ca="1">IFERROR(IF(0=LEN(ReferenceData!$AF$368),"",ReferenceData!$AF$368),"")</f>
        <v>-138.07305460000001</v>
      </c>
      <c r="AG368">
        <f ca="1">IFERROR(IF(0=LEN(ReferenceData!$AG$368),"",ReferenceData!$AG$368),"")</f>
        <v>-139.43981239999999</v>
      </c>
      <c r="AH368">
        <f ca="1">IFERROR(IF(0=LEN(ReferenceData!$AH$368),"",ReferenceData!$AH$368),"")</f>
        <v>-144.7338967</v>
      </c>
      <c r="AI368">
        <f ca="1">IFERROR(IF(0=LEN(ReferenceData!$AI$368),"",ReferenceData!$AI$368),"")</f>
        <v>-149.5105154</v>
      </c>
      <c r="AJ368">
        <f ca="1">IFERROR(IF(0=LEN(ReferenceData!$AJ$368),"",ReferenceData!$AJ$368),"")</f>
        <v>-158.2237088</v>
      </c>
      <c r="AK368">
        <f ca="1">IFERROR(IF(0=LEN(ReferenceData!$AK$368),"",ReferenceData!$AK$368),"")</f>
        <v>-163.56643299999999</v>
      </c>
      <c r="AL368">
        <f ca="1">IFERROR(IF(0=LEN(ReferenceData!$AL$368),"",ReferenceData!$AL$368),"")</f>
        <v>0</v>
      </c>
      <c r="AM368">
        <f ca="1">IFERROR(IF(0=LEN(ReferenceData!$AM$368),"",ReferenceData!$AM$368),"")</f>
        <v>-86.351669180000002</v>
      </c>
      <c r="AN368">
        <f ca="1">IFERROR(IF(0=LEN(ReferenceData!$AN$368),"",ReferenceData!$AN$368),"")</f>
        <v>-85.943306640000003</v>
      </c>
      <c r="AO368">
        <f ca="1">IFERROR(IF(0=LEN(ReferenceData!$AO$368),"",ReferenceData!$AO$368),"")</f>
        <v>-86.161308460000001</v>
      </c>
      <c r="AP368">
        <f ca="1">IFERROR(IF(0=LEN(ReferenceData!$AP$368),"",ReferenceData!$AP$368),"")</f>
        <v>-109.6076703</v>
      </c>
      <c r="AQ368">
        <f ca="1">IFERROR(IF(0=LEN(ReferenceData!$AQ$368),"",ReferenceData!$AQ$368),"")</f>
        <v>-23.31015464</v>
      </c>
      <c r="AR368">
        <f ca="1">IFERROR(IF(0=LEN(ReferenceData!$AR$368),"",ReferenceData!$AR$368),"")</f>
        <v>-23.14156848</v>
      </c>
      <c r="AS368">
        <f ca="1">IFERROR(IF(0=LEN(ReferenceData!$AS$368),"",ReferenceData!$AS$368),"")</f>
        <v>-24.5846935</v>
      </c>
      <c r="AT368">
        <f ca="1">IFERROR(IF(0=LEN(ReferenceData!$AT$368),"",ReferenceData!$AT$368),"")</f>
        <v>-64.716704890000003</v>
      </c>
      <c r="AU368" t="str">
        <f ca="1">IFERROR(IF(0=LEN(ReferenceData!$AU$368),"",ReferenceData!$AU$368),"")</f>
        <v/>
      </c>
      <c r="AV368" t="str">
        <f ca="1">IFERROR(IF(0=LEN(ReferenceData!$AV$368),"",ReferenceData!$AV$368),"")</f>
        <v/>
      </c>
      <c r="AW368" t="str">
        <f ca="1">IFERROR(IF(0=LEN(ReferenceData!$AW$368),"",ReferenceData!$AW$368),"")</f>
        <v/>
      </c>
      <c r="AX368" t="str">
        <f ca="1">IFERROR(IF(0=LEN(ReferenceData!$AX$368),"",ReferenceData!$AX$368),"")</f>
        <v/>
      </c>
      <c r="AY368" t="str">
        <f ca="1">IFERROR(IF(0=LEN(ReferenceData!$AY$368),"",ReferenceData!$AY$368),"")</f>
        <v/>
      </c>
      <c r="AZ368" t="str">
        <f ca="1">IFERROR(IF(0=LEN(ReferenceData!$AZ$368),"",ReferenceData!$AZ$368),"")</f>
        <v/>
      </c>
      <c r="BA368" t="str">
        <f ca="1">IFERROR(IF(0=LEN(ReferenceData!$BA$368),"",ReferenceData!$BA$368),"")</f>
        <v/>
      </c>
      <c r="BB368" t="str">
        <f ca="1">IFERROR(IF(0=LEN(ReferenceData!$BB$368),"",ReferenceData!$BB$368),"")</f>
        <v/>
      </c>
      <c r="BC368">
        <f ca="1">IFERROR(IF(0=LEN(ReferenceData!$BC$368),"",ReferenceData!$BC$368),"")</f>
        <v>-34.922705399999998</v>
      </c>
      <c r="BD368">
        <f ca="1">IFERROR(IF(0=LEN(ReferenceData!$BD$368),"",ReferenceData!$BD$368),"")</f>
        <v>-35.553395690000002</v>
      </c>
      <c r="BE368">
        <f ca="1">IFERROR(IF(0=LEN(ReferenceData!$BE$368),"",ReferenceData!$BE$368),"")</f>
        <v>-36.531518630000001</v>
      </c>
      <c r="BF368">
        <f ca="1">IFERROR(IF(0=LEN(ReferenceData!$BF$368),"",ReferenceData!$BF$368),"")</f>
        <v>-22.250643820000001</v>
      </c>
      <c r="BG368">
        <f ca="1">IFERROR(IF(0=LEN(ReferenceData!$BG$368),"",ReferenceData!$BG$368),"")</f>
        <v>-22.27340023</v>
      </c>
      <c r="BH368" t="str">
        <f ca="1">IFERROR(IF(0=LEN(ReferenceData!$BH$368),"",ReferenceData!$BH$368),"")</f>
        <v/>
      </c>
      <c r="BI368" t="str">
        <f ca="1">IFERROR(IF(0=LEN(ReferenceData!$BI$368),"",ReferenceData!$BI$368),"")</f>
        <v/>
      </c>
      <c r="BJ368" t="str">
        <f ca="1">IFERROR(IF(0=LEN(ReferenceData!$BJ$368),"",ReferenceData!$BJ$368),"")</f>
        <v/>
      </c>
      <c r="BK368" t="str">
        <f ca="1">IFERROR(IF(0=LEN(ReferenceData!$BK$368),"",ReferenceData!$BK$368),"")</f>
        <v/>
      </c>
      <c r="BL368" t="str">
        <f ca="1">IFERROR(IF(0=LEN(ReferenceData!$BL$368),"",ReferenceData!$BL$368),"")</f>
        <v/>
      </c>
      <c r="BM368" t="str">
        <f ca="1">IFERROR(IF(0=LEN(ReferenceData!$BM$368),"",ReferenceData!$BM$368),"")</f>
        <v/>
      </c>
    </row>
    <row r="369" spans="1:65" x14ac:dyDescent="0.25">
      <c r="A369" t="str">
        <f>IFERROR(IF(0=LEN(ReferenceData!$A$369),"",ReferenceData!$A$369),"")</f>
        <v xml:space="preserve">    Toyota Motor Corp</v>
      </c>
      <c r="B369" t="str">
        <f>IFERROR(IF(0=LEN(ReferenceData!$B$369),"",ReferenceData!$B$369),"")</f>
        <v>7203 JP Equity</v>
      </c>
      <c r="C369" t="str">
        <f>IFERROR(IF(0=LEN(ReferenceData!$C$369),"",ReferenceData!$C$369),"")</f>
        <v>RX530</v>
      </c>
      <c r="D369" t="str">
        <f>IFERROR(IF(0=LEN(ReferenceData!$D$369),"",ReferenceData!$D$369),"")</f>
        <v>T12M_DVDS_PAID</v>
      </c>
      <c r="E369" t="str">
        <f>IFERROR(IF(0=LEN(ReferenceData!$E$369),"",ReferenceData!$E$369),"")</f>
        <v>Dynamic</v>
      </c>
      <c r="F369" t="str">
        <f ca="1">IFERROR(IF(0=LEN(ReferenceData!$F$369),"",ReferenceData!$F$369),"")</f>
        <v/>
      </c>
      <c r="G369">
        <f ca="1">IFERROR(IF(0=LEN(ReferenceData!$G$369),"",ReferenceData!$G$369),"")</f>
        <v>-5841.1700700000001</v>
      </c>
      <c r="H369">
        <f ca="1">IFERROR(IF(0=LEN(ReferenceData!$H$369),"",ReferenceData!$H$369),"")</f>
        <v>-5887.7691750000004</v>
      </c>
      <c r="I369">
        <f ca="1">IFERROR(IF(0=LEN(ReferenceData!$I$369),"",ReferenceData!$I$369),"")</f>
        <v>-5894.7870389999998</v>
      </c>
      <c r="J369">
        <f ca="1">IFERROR(IF(0=LEN(ReferenceData!$J$369),"",ReferenceData!$J$369),"")</f>
        <v>-5658.2214450000001</v>
      </c>
      <c r="K369">
        <f ca="1">IFERROR(IF(0=LEN(ReferenceData!$K$369),"",ReferenceData!$K$369),"")</f>
        <v>-5591.2506869999997</v>
      </c>
      <c r="L369">
        <f ca="1">IFERROR(IF(0=LEN(ReferenceData!$L$369),"",ReferenceData!$L$369),"")</f>
        <v>-5653.8285489999998</v>
      </c>
      <c r="M369">
        <f ca="1">IFERROR(IF(0=LEN(ReferenceData!$M$369),"",ReferenceData!$M$369),"")</f>
        <v>-5774.5734560000001</v>
      </c>
      <c r="N369">
        <f ca="1">IFERROR(IF(0=LEN(ReferenceData!$N$369),"",ReferenceData!$N$369),"")</f>
        <v>-5869.1931409999997</v>
      </c>
      <c r="O369">
        <f ca="1">IFERROR(IF(0=LEN(ReferenceData!$O$369),"",ReferenceData!$O$369),"")</f>
        <v>-5849.9614730000003</v>
      </c>
      <c r="P369">
        <f ca="1">IFERROR(IF(0=LEN(ReferenceData!$P$369),"",ReferenceData!$P$369),"")</f>
        <v>-5814.3838930000002</v>
      </c>
      <c r="Q369">
        <f ca="1">IFERROR(IF(0=LEN(ReferenceData!$Q$369),"",ReferenceData!$Q$369),"")</f>
        <v>-5556.3904409999996</v>
      </c>
      <c r="R369">
        <f ca="1">IFERROR(IF(0=LEN(ReferenceData!$R$369),"",ReferenceData!$R$369),"")</f>
        <v>-5875.0467710000003</v>
      </c>
      <c r="S369">
        <f ca="1">IFERROR(IF(0=LEN(ReferenceData!$S$369),"",ReferenceData!$S$369),"")</f>
        <v>-5823.8045240000001</v>
      </c>
      <c r="T369">
        <f ca="1">IFERROR(IF(0=LEN(ReferenceData!$T$369),"",ReferenceData!$T$369),"")</f>
        <v>-5298.7341889999998</v>
      </c>
      <c r="U369">
        <f ca="1">IFERROR(IF(0=LEN(ReferenceData!$U$369),"",ReferenceData!$U$369),"")</f>
        <v>-5527.629919</v>
      </c>
      <c r="V369">
        <f ca="1">IFERROR(IF(0=LEN(ReferenceData!$V$369),"",ReferenceData!$V$369),"")</f>
        <v>-5073.3146850000003</v>
      </c>
      <c r="W369">
        <f ca="1">IFERROR(IF(0=LEN(ReferenceData!$W$369),"",ReferenceData!$W$369),"")</f>
        <v>-5255.1711789999999</v>
      </c>
      <c r="X369">
        <f ca="1">IFERROR(IF(0=LEN(ReferenceData!$X$369),"",ReferenceData!$X$369),"")</f>
        <v>-5112.8204050000004</v>
      </c>
      <c r="Y369">
        <f ca="1">IFERROR(IF(0=LEN(ReferenceData!$Y$369),"",ReferenceData!$Y$369),"")</f>
        <v>-5177.2470700000003</v>
      </c>
      <c r="Z369">
        <f ca="1">IFERROR(IF(0=LEN(ReferenceData!$Z$369),"",ReferenceData!$Z$369),"")</f>
        <v>-3954.4868980000001</v>
      </c>
      <c r="AA369">
        <f ca="1">IFERROR(IF(0=LEN(ReferenceData!$AA$369),"",ReferenceData!$AA$369),"")</f>
        <v>-4064.0316200000002</v>
      </c>
      <c r="AB369">
        <f ca="1">IFERROR(IF(0=LEN(ReferenceData!$AB$369),"",ReferenceData!$AB$369),"")</f>
        <v>-3095.3315980000002</v>
      </c>
      <c r="AC369">
        <f ca="1">IFERROR(IF(0=LEN(ReferenceData!$AC$369),"",ReferenceData!$AC$369),"")</f>
        <v>-3282.0483439999998</v>
      </c>
      <c r="AD369">
        <f ca="1">IFERROR(IF(0=LEN(ReferenceData!$AD$369),"",ReferenceData!$AD$369),"")</f>
        <v>-2299.5340670000001</v>
      </c>
      <c r="AE369">
        <f ca="1">IFERROR(IF(0=LEN(ReferenceData!$AE$369),"",ReferenceData!$AE$369),"")</f>
        <v>-2381.9981630000002</v>
      </c>
      <c r="AF369">
        <f ca="1">IFERROR(IF(0=LEN(ReferenceData!$AF$369),"",ReferenceData!$AF$369),"")</f>
        <v>-2001.2643230000001</v>
      </c>
      <c r="AG369">
        <f ca="1">IFERROR(IF(0=LEN(ReferenceData!$AG$369),"",ReferenceData!$AG$369),"")</f>
        <v>-2007.671906</v>
      </c>
      <c r="AH369">
        <f ca="1">IFERROR(IF(0=LEN(ReferenceData!$AH$369),"",ReferenceData!$AH$369),"")</f>
        <v>-1987.0628830000001</v>
      </c>
      <c r="AI369">
        <f ca="1">IFERROR(IF(0=LEN(ReferenceData!$AI$369),"",ReferenceData!$AI$369),"")</f>
        <v>-1969.464262</v>
      </c>
      <c r="AJ369">
        <f ca="1">IFERROR(IF(0=LEN(ReferenceData!$AJ$369),"",ReferenceData!$AJ$369),"")</f>
        <v>-1937.5135299999999</v>
      </c>
      <c r="AK369">
        <f ca="1">IFERROR(IF(0=LEN(ReferenceData!$AK$369),"",ReferenceData!$AK$369),"")</f>
        <v>-1889.3963200000001</v>
      </c>
      <c r="AL369">
        <f ca="1">IFERROR(IF(0=LEN(ReferenceData!$AL$369),"",ReferenceData!$AL$369),"")</f>
        <v>-1651.281305</v>
      </c>
      <c r="AM369">
        <f ca="1">IFERROR(IF(0=LEN(ReferenceData!$AM$369),"",ReferenceData!$AM$369),"")</f>
        <v>-1612.1062939999999</v>
      </c>
      <c r="AN369">
        <f ca="1">IFERROR(IF(0=LEN(ReferenceData!$AN$369),"",ReferenceData!$AN$369),"")</f>
        <v>-1577.016883</v>
      </c>
      <c r="AO369">
        <f ca="1">IFERROR(IF(0=LEN(ReferenceData!$AO$369),"",ReferenceData!$AO$369),"")</f>
        <v>-1542.2656870000001</v>
      </c>
      <c r="AP369">
        <f ca="1">IFERROR(IF(0=LEN(ReferenceData!$AP$369),"",ReferenceData!$AP$369),"")</f>
        <v>-1859.7740309999999</v>
      </c>
      <c r="AQ369">
        <f ca="1">IFERROR(IF(0=LEN(ReferenceData!$AQ$369),"",ReferenceData!$AQ$369),"")</f>
        <v>-1845.4998720000001</v>
      </c>
      <c r="AR369">
        <f ca="1">IFERROR(IF(0=LEN(ReferenceData!$AR$369),"",ReferenceData!$AR$369),"")</f>
        <v>-3299.7663739999998</v>
      </c>
      <c r="AS369">
        <f ca="1">IFERROR(IF(0=LEN(ReferenceData!$AS$369),"",ReferenceData!$AS$369),"")</f>
        <v>-3188.7297119999998</v>
      </c>
      <c r="AT369">
        <f ca="1">IFERROR(IF(0=LEN(ReferenceData!$AT$369),"",ReferenceData!$AT$369),"")</f>
        <v>-4396.3146310000002</v>
      </c>
      <c r="AU369" t="str">
        <f ca="1">IFERROR(IF(0=LEN(ReferenceData!$AU$369),"",ReferenceData!$AU$369),"")</f>
        <v/>
      </c>
      <c r="AV369" t="str">
        <f ca="1">IFERROR(IF(0=LEN(ReferenceData!$AV$369),"",ReferenceData!$AV$369),"")</f>
        <v/>
      </c>
      <c r="AW369" t="str">
        <f ca="1">IFERROR(IF(0=LEN(ReferenceData!$AW$369),"",ReferenceData!$AW$369),"")</f>
        <v/>
      </c>
      <c r="AX369" t="str">
        <f ca="1">IFERROR(IF(0=LEN(ReferenceData!$AX$369),"",ReferenceData!$AX$369),"")</f>
        <v/>
      </c>
      <c r="AY369" t="str">
        <f ca="1">IFERROR(IF(0=LEN(ReferenceData!$AY$369),"",ReferenceData!$AY$369),"")</f>
        <v/>
      </c>
      <c r="AZ369" t="str">
        <f ca="1">IFERROR(IF(0=LEN(ReferenceData!$AZ$369),"",ReferenceData!$AZ$369),"")</f>
        <v/>
      </c>
      <c r="BA369" t="str">
        <f ca="1">IFERROR(IF(0=LEN(ReferenceData!$BA$369),"",ReferenceData!$BA$369),"")</f>
        <v/>
      </c>
      <c r="BB369" t="str">
        <f ca="1">IFERROR(IF(0=LEN(ReferenceData!$BB$369),"",ReferenceData!$BB$369),"")</f>
        <v/>
      </c>
      <c r="BC369" t="str">
        <f ca="1">IFERROR(IF(0=LEN(ReferenceData!$BC$369),"",ReferenceData!$BC$369),"")</f>
        <v/>
      </c>
      <c r="BD369" t="str">
        <f ca="1">IFERROR(IF(0=LEN(ReferenceData!$BD$369),"",ReferenceData!$BD$369),"")</f>
        <v/>
      </c>
      <c r="BE369" t="str">
        <f ca="1">IFERROR(IF(0=LEN(ReferenceData!$BE$369),"",ReferenceData!$BE$369),"")</f>
        <v/>
      </c>
      <c r="BF369" t="str">
        <f ca="1">IFERROR(IF(0=LEN(ReferenceData!$BF$369),"",ReferenceData!$BF$369),"")</f>
        <v/>
      </c>
      <c r="BG369" t="str">
        <f ca="1">IFERROR(IF(0=LEN(ReferenceData!$BG$369),"",ReferenceData!$BG$369),"")</f>
        <v/>
      </c>
      <c r="BH369" t="str">
        <f ca="1">IFERROR(IF(0=LEN(ReferenceData!$BH$369),"",ReferenceData!$BH$369),"")</f>
        <v/>
      </c>
      <c r="BI369" t="str">
        <f ca="1">IFERROR(IF(0=LEN(ReferenceData!$BI$369),"",ReferenceData!$BI$369),"")</f>
        <v/>
      </c>
      <c r="BJ369" t="str">
        <f ca="1">IFERROR(IF(0=LEN(ReferenceData!$BJ$369),"",ReferenceData!$BJ$369),"")</f>
        <v/>
      </c>
      <c r="BK369" t="str">
        <f ca="1">IFERROR(IF(0=LEN(ReferenceData!$BK$369),"",ReferenceData!$BK$369),"")</f>
        <v/>
      </c>
      <c r="BL369" t="str">
        <f ca="1">IFERROR(IF(0=LEN(ReferenceData!$BL$369),"",ReferenceData!$BL$369),"")</f>
        <v/>
      </c>
      <c r="BM369" t="str">
        <f ca="1">IFERROR(IF(0=LEN(ReferenceData!$BM$369),"",ReferenceData!$BM$369),"")</f>
        <v/>
      </c>
    </row>
    <row r="370" spans="1:65" x14ac:dyDescent="0.25">
      <c r="A370" t="str">
        <f>IFERROR(IF(0=LEN(ReferenceData!$A$370),"",ReferenceData!$A$370),"")</f>
        <v xml:space="preserve">    Volkswagen AG</v>
      </c>
      <c r="B370" t="str">
        <f>IFERROR(IF(0=LEN(ReferenceData!$B$370),"",ReferenceData!$B$370),"")</f>
        <v>VOW GR Equity</v>
      </c>
      <c r="C370" t="str">
        <f>IFERROR(IF(0=LEN(ReferenceData!$C$370),"",ReferenceData!$C$370),"")</f>
        <v>RX530</v>
      </c>
      <c r="D370" t="str">
        <f>IFERROR(IF(0=LEN(ReferenceData!$D$370),"",ReferenceData!$D$370),"")</f>
        <v>T12M_DVDS_PAID</v>
      </c>
      <c r="E370" t="str">
        <f>IFERROR(IF(0=LEN(ReferenceData!$E$370),"",ReferenceData!$E$370),"")</f>
        <v>Dynamic</v>
      </c>
      <c r="F370" t="str">
        <f ca="1">IFERROR(IF(0=LEN(ReferenceData!$F$370),"",ReferenceData!$F$370),"")</f>
        <v/>
      </c>
      <c r="G370" t="str">
        <f ca="1">IFERROR(IF(0=LEN(ReferenceData!$G$370),"",ReferenceData!$G$370),"")</f>
        <v/>
      </c>
      <c r="H370">
        <f ca="1">IFERROR(IF(0=LEN(ReferenceData!$H$370),"",ReferenceData!$H$370),"")</f>
        <v>-2803.4881019999998</v>
      </c>
      <c r="I370">
        <f ca="1">IFERROR(IF(0=LEN(ReferenceData!$I$370),"",ReferenceData!$I$370),"")</f>
        <v>-2817.7458929999998</v>
      </c>
      <c r="J370">
        <f ca="1">IFERROR(IF(0=LEN(ReferenceData!$J$370),"",ReferenceData!$J$370),"")</f>
        <v>-1559.3276760000001</v>
      </c>
      <c r="K370">
        <f ca="1">IFERROR(IF(0=LEN(ReferenceData!$K$370),"",ReferenceData!$K$370),"")</f>
        <v>-1504.7887559999999</v>
      </c>
      <c r="L370">
        <f ca="1">IFERROR(IF(0=LEN(ReferenceData!$L$370),"",ReferenceData!$L$370),"")</f>
        <v>-1448.367109</v>
      </c>
      <c r="M370">
        <f ca="1">IFERROR(IF(0=LEN(ReferenceData!$M$370),"",ReferenceData!$M$370),"")</f>
        <v>-1429.248709</v>
      </c>
      <c r="N370">
        <f ca="1">IFERROR(IF(0=LEN(ReferenceData!$N$370),"",ReferenceData!$N$370),"")</f>
        <v>-399.41736040000001</v>
      </c>
      <c r="O370">
        <f ca="1">IFERROR(IF(0=LEN(ReferenceData!$O$370),"",ReferenceData!$O$370),"")</f>
        <v>-402.8856389</v>
      </c>
      <c r="P370">
        <f ca="1">IFERROR(IF(0=LEN(ReferenceData!$P$370),"",ReferenceData!$P$370),"")</f>
        <v>-405.53242110000002</v>
      </c>
      <c r="Q370">
        <f ca="1">IFERROR(IF(0=LEN(ReferenceData!$Q$370),"",ReferenceData!$Q$370),"")</f>
        <v>-404.0340329</v>
      </c>
      <c r="R370">
        <f ca="1">IFERROR(IF(0=LEN(ReferenceData!$R$370),"",ReferenceData!$R$370),"")</f>
        <v>-2862.471243</v>
      </c>
      <c r="S370">
        <f ca="1">IFERROR(IF(0=LEN(ReferenceData!$S$370),"",ReferenceData!$S$370),"")</f>
        <v>-2792.761591</v>
      </c>
      <c r="T370">
        <f ca="1">IFERROR(IF(0=LEN(ReferenceData!$T$370),"",ReferenceData!$T$370),"")</f>
        <v>-2889.3174709999998</v>
      </c>
      <c r="U370">
        <f ca="1">IFERROR(IF(0=LEN(ReferenceData!$U$370),"",ReferenceData!$U$370),"")</f>
        <v>-3026.1905280000001</v>
      </c>
      <c r="V370">
        <f ca="1">IFERROR(IF(0=LEN(ReferenceData!$V$370),"",ReferenceData!$V$370),"")</f>
        <v>-2651.5304299999998</v>
      </c>
      <c r="W370">
        <f ca="1">IFERROR(IF(0=LEN(ReferenceData!$W$370),"",ReferenceData!$W$370),"")</f>
        <v>-2606.489149</v>
      </c>
      <c r="X370">
        <f ca="1">IFERROR(IF(0=LEN(ReferenceData!$X$370),"",ReferenceData!$X$370),"")</f>
        <v>-2662.4542970000002</v>
      </c>
      <c r="Y370">
        <f ca="1">IFERROR(IF(0=LEN(ReferenceData!$Y$370),"",ReferenceData!$Y$370),"")</f>
        <v>-2544.0973060000001</v>
      </c>
      <c r="Z370">
        <f ca="1">IFERROR(IF(0=LEN(ReferenceData!$Z$370),"",ReferenceData!$Z$370),"")</f>
        <v>0</v>
      </c>
      <c r="AA370">
        <f ca="1">IFERROR(IF(0=LEN(ReferenceData!$AA$370),"",ReferenceData!$AA$370),"")</f>
        <v>0</v>
      </c>
      <c r="AB370">
        <f ca="1">IFERROR(IF(0=LEN(ReferenceData!$AB$370),"",ReferenceData!$AB$370),"")</f>
        <v>0</v>
      </c>
      <c r="AC370">
        <f ca="1">IFERROR(IF(0=LEN(ReferenceData!$AC$370),"",ReferenceData!$AC$370),"")</f>
        <v>0</v>
      </c>
      <c r="AD370">
        <f ca="1">IFERROR(IF(0=LEN(ReferenceData!$AD$370),"",ReferenceData!$AD$370),"")</f>
        <v>0</v>
      </c>
      <c r="AE370">
        <f ca="1">IFERROR(IF(0=LEN(ReferenceData!$AE$370),"",ReferenceData!$AE$370),"")</f>
        <v>0</v>
      </c>
      <c r="AF370">
        <f ca="1">IFERROR(IF(0=LEN(ReferenceData!$AF$370),"",ReferenceData!$AF$370),"")</f>
        <v>0</v>
      </c>
      <c r="AG370">
        <f ca="1">IFERROR(IF(0=LEN(ReferenceData!$AG$370),"",ReferenceData!$AG$370),"")</f>
        <v>0</v>
      </c>
      <c r="AH370">
        <f ca="1">IFERROR(IF(0=LEN(ReferenceData!$AH$370),"",ReferenceData!$AH$370),"")</f>
        <v>0</v>
      </c>
      <c r="AI370">
        <f ca="1">IFERROR(IF(0=LEN(ReferenceData!$AI$370),"",ReferenceData!$AI$370),"")</f>
        <v>0</v>
      </c>
      <c r="AJ370">
        <f ca="1">IFERROR(IF(0=LEN(ReferenceData!$AJ$370),"",ReferenceData!$AJ$370),"")</f>
        <v>0</v>
      </c>
      <c r="AK370">
        <f ca="1">IFERROR(IF(0=LEN(ReferenceData!$AK$370),"",ReferenceData!$AK$370),"")</f>
        <v>0</v>
      </c>
      <c r="AL370">
        <f ca="1">IFERROR(IF(0=LEN(ReferenceData!$AL$370),"",ReferenceData!$AL$370),"")</f>
        <v>0</v>
      </c>
      <c r="AM370">
        <f ca="1">IFERROR(IF(0=LEN(ReferenceData!$AM$370),"",ReferenceData!$AM$370),"")</f>
        <v>0</v>
      </c>
      <c r="AN370">
        <f ca="1">IFERROR(IF(0=LEN(ReferenceData!$AN$370),"",ReferenceData!$AN$370),"")</f>
        <v>0</v>
      </c>
      <c r="AO370">
        <f ca="1">IFERROR(IF(0=LEN(ReferenceData!$AO$370),"",ReferenceData!$AO$370),"")</f>
        <v>0</v>
      </c>
      <c r="AP370">
        <f ca="1">IFERROR(IF(0=LEN(ReferenceData!$AP$370),"",ReferenceData!$AP$370),"")</f>
        <v>0</v>
      </c>
      <c r="AQ370">
        <f ca="1">IFERROR(IF(0=LEN(ReferenceData!$AQ$370),"",ReferenceData!$AQ$370),"")</f>
        <v>0</v>
      </c>
      <c r="AR370" t="str">
        <f ca="1">IFERROR(IF(0=LEN(ReferenceData!$AR$370),"",ReferenceData!$AR$370),"")</f>
        <v/>
      </c>
      <c r="AS370" t="str">
        <f ca="1">IFERROR(IF(0=LEN(ReferenceData!$AS$370),"",ReferenceData!$AS$370),"")</f>
        <v/>
      </c>
      <c r="AT370" t="str">
        <f ca="1">IFERROR(IF(0=LEN(ReferenceData!$AT$370),"",ReferenceData!$AT$370),"")</f>
        <v/>
      </c>
      <c r="AU370" t="str">
        <f ca="1">IFERROR(IF(0=LEN(ReferenceData!$AU$370),"",ReferenceData!$AU$370),"")</f>
        <v/>
      </c>
      <c r="AV370">
        <f ca="1">IFERROR(IF(0=LEN(ReferenceData!$AV$370),"",ReferenceData!$AV$370),"")</f>
        <v>-747.04861979999998</v>
      </c>
      <c r="AW370">
        <f ca="1">IFERROR(IF(0=LEN(ReferenceData!$AW$370),"",ReferenceData!$AW$370),"")</f>
        <v>-731.11255459999995</v>
      </c>
      <c r="AX370">
        <f ca="1">IFERROR(IF(0=LEN(ReferenceData!$AX$370),"",ReferenceData!$AX$370),"")</f>
        <v>-704.59124450000002</v>
      </c>
      <c r="AY370">
        <f ca="1">IFERROR(IF(0=LEN(ReferenceData!$AY$370),"",ReferenceData!$AY$370),"")</f>
        <v>-681.28680980000001</v>
      </c>
      <c r="AZ370" t="str">
        <f ca="1">IFERROR(IF(0=LEN(ReferenceData!$AZ$370),"",ReferenceData!$AZ$370),"")</f>
        <v/>
      </c>
      <c r="BA370" t="str">
        <f ca="1">IFERROR(IF(0=LEN(ReferenceData!$BA$370),"",ReferenceData!$BA$370),"")</f>
        <v/>
      </c>
      <c r="BB370" t="str">
        <f ca="1">IFERROR(IF(0=LEN(ReferenceData!$BB$370),"",ReferenceData!$BB$370),"")</f>
        <v/>
      </c>
      <c r="BC370" t="str">
        <f ca="1">IFERROR(IF(0=LEN(ReferenceData!$BC$370),"",ReferenceData!$BC$370),"")</f>
        <v/>
      </c>
      <c r="BD370" t="str">
        <f ca="1">IFERROR(IF(0=LEN(ReferenceData!$BD$370),"",ReferenceData!$BD$370),"")</f>
        <v/>
      </c>
      <c r="BE370" t="str">
        <f ca="1">IFERROR(IF(0=LEN(ReferenceData!$BE$370),"",ReferenceData!$BE$370),"")</f>
        <v/>
      </c>
      <c r="BF370" t="str">
        <f ca="1">IFERROR(IF(0=LEN(ReferenceData!$BF$370),"",ReferenceData!$BF$370),"")</f>
        <v/>
      </c>
      <c r="BG370" t="str">
        <f ca="1">IFERROR(IF(0=LEN(ReferenceData!$BG$370),"",ReferenceData!$BG$370),"")</f>
        <v/>
      </c>
      <c r="BH370" t="str">
        <f ca="1">IFERROR(IF(0=LEN(ReferenceData!$BH$370),"",ReferenceData!$BH$370),"")</f>
        <v/>
      </c>
      <c r="BI370" t="str">
        <f ca="1">IFERROR(IF(0=LEN(ReferenceData!$BI$370),"",ReferenceData!$BI$370),"")</f>
        <v/>
      </c>
      <c r="BJ370" t="str">
        <f ca="1">IFERROR(IF(0=LEN(ReferenceData!$BJ$370),"",ReferenceData!$BJ$370),"")</f>
        <v/>
      </c>
      <c r="BK370" t="str">
        <f ca="1">IFERROR(IF(0=LEN(ReferenceData!$BK$370),"",ReferenceData!$BK$370),"")</f>
        <v/>
      </c>
      <c r="BL370" t="str">
        <f ca="1">IFERROR(IF(0=LEN(ReferenceData!$BL$370),"",ReferenceData!$BL$370),"")</f>
        <v/>
      </c>
      <c r="BM370" t="str">
        <f ca="1">IFERROR(IF(0=LEN(ReferenceData!$BM$370),"",ReferenceData!$BM$370),"")</f>
        <v/>
      </c>
    </row>
    <row r="371" spans="1:65" x14ac:dyDescent="0.25">
      <c r="A371" t="str">
        <f>IFERROR(IF(0=LEN(ReferenceData!$A$371),"",ReferenceData!$A$371),"")</f>
        <v xml:space="preserve">    Yulon Motor Co Ltd</v>
      </c>
      <c r="B371" t="str">
        <f>IFERROR(IF(0=LEN(ReferenceData!$B$371),"",ReferenceData!$B$371),"")</f>
        <v>2201 TT Equity</v>
      </c>
      <c r="C371" t="str">
        <f>IFERROR(IF(0=LEN(ReferenceData!$C$371),"",ReferenceData!$C$371),"")</f>
        <v>RX530</v>
      </c>
      <c r="D371" t="str">
        <f>IFERROR(IF(0=LEN(ReferenceData!$D$371),"",ReferenceData!$D$371),"")</f>
        <v>T12M_DVDS_PAID</v>
      </c>
      <c r="E371" t="str">
        <f>IFERROR(IF(0=LEN(ReferenceData!$E$371),"",ReferenceData!$E$371),"")</f>
        <v>Dynamic</v>
      </c>
      <c r="F371" t="str">
        <f ca="1">IFERROR(IF(0=LEN(ReferenceData!$F$371),"",ReferenceData!$F$371),"")</f>
        <v/>
      </c>
      <c r="G371" t="str">
        <f ca="1">IFERROR(IF(0=LEN(ReferenceData!$G$371),"",ReferenceData!$G$371),"")</f>
        <v/>
      </c>
      <c r="H371">
        <f ca="1">IFERROR(IF(0=LEN(ReferenceData!$H$371),"",ReferenceData!$H$371),"")</f>
        <v>-74.316748070000003</v>
      </c>
      <c r="I371">
        <f ca="1">IFERROR(IF(0=LEN(ReferenceData!$I$371),"",ReferenceData!$I$371),"")</f>
        <v>-70.075710709999996</v>
      </c>
      <c r="J371">
        <f ca="1">IFERROR(IF(0=LEN(ReferenceData!$J$371),"",ReferenceData!$J$371),"")</f>
        <v>-67.038949650000006</v>
      </c>
      <c r="K371">
        <f ca="1">IFERROR(IF(0=LEN(ReferenceData!$K$371),"",ReferenceData!$K$371),"")</f>
        <v>-66.055990070000007</v>
      </c>
      <c r="L371" t="str">
        <f ca="1">IFERROR(IF(0=LEN(ReferenceData!$L$371),"",ReferenceData!$L$371),"")</f>
        <v/>
      </c>
      <c r="M371" t="str">
        <f ca="1">IFERROR(IF(0=LEN(ReferenceData!$M$371),"",ReferenceData!$M$371),"")</f>
        <v/>
      </c>
      <c r="N371" t="str">
        <f ca="1">IFERROR(IF(0=LEN(ReferenceData!$N$371),"",ReferenceData!$N$371),"")</f>
        <v/>
      </c>
      <c r="O371" t="str">
        <f ca="1">IFERROR(IF(0=LEN(ReferenceData!$O$371),"",ReferenceData!$O$371),"")</f>
        <v/>
      </c>
      <c r="P371">
        <f ca="1">IFERROR(IF(0=LEN(ReferenceData!$P$371),"",ReferenceData!$P$371),"")</f>
        <v>-80.537237739999995</v>
      </c>
      <c r="Q371">
        <f ca="1">IFERROR(IF(0=LEN(ReferenceData!$Q$371),"",ReferenceData!$Q$371),"")</f>
        <v>-63.740335600000002</v>
      </c>
      <c r="R371">
        <f ca="1">IFERROR(IF(0=LEN(ReferenceData!$R$371),"",ReferenceData!$R$371),"")</f>
        <v>-65.835855940000002</v>
      </c>
      <c r="S371">
        <f ca="1">IFERROR(IF(0=LEN(ReferenceData!$S$371),"",ReferenceData!$S$371),"")</f>
        <v>-66.676767760000004</v>
      </c>
      <c r="T371">
        <f ca="1">IFERROR(IF(0=LEN(ReferenceData!$T$371),"",ReferenceData!$T$371),"")</f>
        <v>-67.124121729999999</v>
      </c>
      <c r="U371">
        <f ca="1">IFERROR(IF(0=LEN(ReferenceData!$U$371),"",ReferenceData!$U$371),"")</f>
        <v>-64.141924029999998</v>
      </c>
      <c r="V371">
        <f ca="1">IFERROR(IF(0=LEN(ReferenceData!$V$371),"",ReferenceData!$V$371),"")</f>
        <v>-66.373161800000005</v>
      </c>
      <c r="W371">
        <f ca="1">IFERROR(IF(0=LEN(ReferenceData!$W$371),"",ReferenceData!$W$371),"")</f>
        <v>-67.321881390000001</v>
      </c>
      <c r="X371">
        <f ca="1">IFERROR(IF(0=LEN(ReferenceData!$X$371),"",ReferenceData!$X$371),"")</f>
        <v>-66.169569100000004</v>
      </c>
      <c r="Y371">
        <f ca="1">IFERROR(IF(0=LEN(ReferenceData!$Y$371),"",ReferenceData!$Y$371),"")</f>
        <v>-60.2920248</v>
      </c>
      <c r="Z371">
        <f ca="1">IFERROR(IF(0=LEN(ReferenceData!$Z$371),"",ReferenceData!$Z$371),"")</f>
        <v>-58.490342609999999</v>
      </c>
      <c r="AA371">
        <f ca="1">IFERROR(IF(0=LEN(ReferenceData!$AA$371),"",ReferenceData!$AA$371),"")</f>
        <v>-58.506325519999997</v>
      </c>
      <c r="AB371" t="str">
        <f ca="1">IFERROR(IF(0=LEN(ReferenceData!$AB$371),"",ReferenceData!$AB$371),"")</f>
        <v/>
      </c>
      <c r="AC371" t="str">
        <f ca="1">IFERROR(IF(0=LEN(ReferenceData!$AC$371),"",ReferenceData!$AC$371),"")</f>
        <v/>
      </c>
      <c r="AD371" t="str">
        <f ca="1">IFERROR(IF(0=LEN(ReferenceData!$AD$371),"",ReferenceData!$AD$371),"")</f>
        <v/>
      </c>
      <c r="AE371" t="str">
        <f ca="1">IFERROR(IF(0=LEN(ReferenceData!$AE$371),"",ReferenceData!$AE$371),"")</f>
        <v/>
      </c>
      <c r="AF371">
        <f ca="1">IFERROR(IF(0=LEN(ReferenceData!$AF$371),"",ReferenceData!$AF$371),"")</f>
        <v>-73.003816420000007</v>
      </c>
      <c r="AG371">
        <f ca="1">IFERROR(IF(0=LEN(ReferenceData!$AG$371),"",ReferenceData!$AG$371),"")</f>
        <v>-52.405498979999997</v>
      </c>
      <c r="AH371">
        <f ca="1">IFERROR(IF(0=LEN(ReferenceData!$AH$371),"",ReferenceData!$AH$371),"")</f>
        <v>-50.550313389999999</v>
      </c>
      <c r="AI371">
        <f ca="1">IFERROR(IF(0=LEN(ReferenceData!$AI$371),"",ReferenceData!$AI$371),"")</f>
        <v>-50.717461610000001</v>
      </c>
      <c r="AJ371">
        <f ca="1">IFERROR(IF(0=LEN(ReferenceData!$AJ$371),"",ReferenceData!$AJ$371),"")</f>
        <v>-50.64264103</v>
      </c>
      <c r="AK371">
        <f ca="1">IFERROR(IF(0=LEN(ReferenceData!$AK$371),"",ReferenceData!$AK$371),"")</f>
        <v>-18.152677749999999</v>
      </c>
      <c r="AL371">
        <f ca="1">IFERROR(IF(0=LEN(ReferenceData!$AL$371),"",ReferenceData!$AL$371),"")</f>
        <v>-17.71270801</v>
      </c>
      <c r="AM371">
        <f ca="1">IFERROR(IF(0=LEN(ReferenceData!$AM$371),"",ReferenceData!$AM$371),"")</f>
        <v>-17.337343579999999</v>
      </c>
      <c r="AN371">
        <f ca="1">IFERROR(IF(0=LEN(ReferenceData!$AN$371),"",ReferenceData!$AN$371),"")</f>
        <v>-17.076750029999999</v>
      </c>
      <c r="AO371">
        <f ca="1">IFERROR(IF(0=LEN(ReferenceData!$AO$371),"",ReferenceData!$AO$371),"")</f>
        <v>-3.7315969500000001</v>
      </c>
      <c r="AP371">
        <f ca="1">IFERROR(IF(0=LEN(ReferenceData!$AP$371),"",ReferenceData!$AP$371),"")</f>
        <v>-3.696916876</v>
      </c>
      <c r="AQ371">
        <f ca="1">IFERROR(IF(0=LEN(ReferenceData!$AQ$371),"",ReferenceData!$AQ$371),"")</f>
        <v>-3.6460213189999999</v>
      </c>
      <c r="AR371">
        <f ca="1">IFERROR(IF(0=LEN(ReferenceData!$AR$371),"",ReferenceData!$AR$371),"")</f>
        <v>-3.6649376149999999</v>
      </c>
      <c r="AS371">
        <f ca="1">IFERROR(IF(0=LEN(ReferenceData!$AS$371),"",ReferenceData!$AS$371),"")</f>
        <v>-26.759948659999999</v>
      </c>
      <c r="AT371">
        <f ca="1">IFERROR(IF(0=LEN(ReferenceData!$AT$371),"",ReferenceData!$AT$371),"")</f>
        <v>-27.322176469999999</v>
      </c>
      <c r="AU371">
        <f ca="1">IFERROR(IF(0=LEN(ReferenceData!$AU$371),"",ReferenceData!$AU$371),"")</f>
        <v>-27.798366909999999</v>
      </c>
      <c r="AV371" t="str">
        <f ca="1">IFERROR(IF(0=LEN(ReferenceData!$AV$371),"",ReferenceData!$AV$371),"")</f>
        <v/>
      </c>
      <c r="AW371" t="str">
        <f ca="1">IFERROR(IF(0=LEN(ReferenceData!$AW$371),"",ReferenceData!$AW$371),"")</f>
        <v/>
      </c>
      <c r="AX371" t="str">
        <f ca="1">IFERROR(IF(0=LEN(ReferenceData!$AX$371),"",ReferenceData!$AX$371),"")</f>
        <v/>
      </c>
      <c r="AY371" t="str">
        <f ca="1">IFERROR(IF(0=LEN(ReferenceData!$AY$371),"",ReferenceData!$AY$371),"")</f>
        <v/>
      </c>
      <c r="AZ371" t="str">
        <f ca="1">IFERROR(IF(0=LEN(ReferenceData!$AZ$371),"",ReferenceData!$AZ$371),"")</f>
        <v/>
      </c>
      <c r="BA371" t="str">
        <f ca="1">IFERROR(IF(0=LEN(ReferenceData!$BA$371),"",ReferenceData!$BA$371),"")</f>
        <v/>
      </c>
      <c r="BB371" t="str">
        <f ca="1">IFERROR(IF(0=LEN(ReferenceData!$BB$371),"",ReferenceData!$BB$371),"")</f>
        <v/>
      </c>
      <c r="BC371" t="str">
        <f ca="1">IFERROR(IF(0=LEN(ReferenceData!$BC$371),"",ReferenceData!$BC$371),"")</f>
        <v/>
      </c>
      <c r="BD371" t="str">
        <f ca="1">IFERROR(IF(0=LEN(ReferenceData!$BD$371),"",ReferenceData!$BD$371),"")</f>
        <v/>
      </c>
      <c r="BE371" t="str">
        <f ca="1">IFERROR(IF(0=LEN(ReferenceData!$BE$371),"",ReferenceData!$BE$371),"")</f>
        <v/>
      </c>
      <c r="BF371" t="str">
        <f ca="1">IFERROR(IF(0=LEN(ReferenceData!$BF$371),"",ReferenceData!$BF$371),"")</f>
        <v/>
      </c>
      <c r="BG371" t="str">
        <f ca="1">IFERROR(IF(0=LEN(ReferenceData!$BG$371),"",ReferenceData!$BG$371),"")</f>
        <v/>
      </c>
      <c r="BH371" t="str">
        <f ca="1">IFERROR(IF(0=LEN(ReferenceData!$BH$371),"",ReferenceData!$BH$371),"")</f>
        <v/>
      </c>
      <c r="BI371" t="str">
        <f ca="1">IFERROR(IF(0=LEN(ReferenceData!$BI$371),"",ReferenceData!$BI$371),"")</f>
        <v/>
      </c>
      <c r="BJ371" t="str">
        <f ca="1">IFERROR(IF(0=LEN(ReferenceData!$BJ$371),"",ReferenceData!$BJ$371),"")</f>
        <v/>
      </c>
      <c r="BK371" t="str">
        <f ca="1">IFERROR(IF(0=LEN(ReferenceData!$BK$371),"",ReferenceData!$BK$371),"")</f>
        <v/>
      </c>
      <c r="BL371" t="str">
        <f ca="1">IFERROR(IF(0=LEN(ReferenceData!$BL$371),"",ReferenceData!$BL$371),"")</f>
        <v/>
      </c>
      <c r="BM371" t="str">
        <f ca="1">IFERROR(IF(0=LEN(ReferenceData!$BM$371),"",ReferenceData!$BM$371),"")</f>
        <v/>
      </c>
    </row>
    <row r="372" spans="1:65" x14ac:dyDescent="0.25">
      <c r="A372" t="str">
        <f>IFERROR(IF(0=LEN(ReferenceData!$A$372),"",ReferenceData!$A$372),"")</f>
        <v>Other Data</v>
      </c>
      <c r="B372" t="str">
        <f>IFERROR(IF(0=LEN(ReferenceData!$B$372),"",ReferenceData!$B$372),"")</f>
        <v/>
      </c>
      <c r="C372" t="str">
        <f>IFERROR(IF(0=LEN(ReferenceData!$C$372),"",ReferenceData!$C$372),"")</f>
        <v/>
      </c>
      <c r="D372" t="str">
        <f>IFERROR(IF(0=LEN(ReferenceData!$D$372),"",ReferenceData!$D$372),"")</f>
        <v/>
      </c>
      <c r="E372" t="str">
        <f>IFERROR(IF(0=LEN(ReferenceData!$E$372),"",ReferenceData!$E$372),"")</f>
        <v>Heading</v>
      </c>
      <c r="F372" t="str">
        <f>IFERROR(IF(0=LEN(ReferenceData!$F$372),"",ReferenceData!$F$372),"")</f>
        <v/>
      </c>
      <c r="G372" t="str">
        <f>IFERROR(IF(0=LEN(ReferenceData!$G$372),"",ReferenceData!$G$372),"")</f>
        <v/>
      </c>
      <c r="H372" t="str">
        <f>IFERROR(IF(0=LEN(ReferenceData!$H$372),"",ReferenceData!$H$372),"")</f>
        <v/>
      </c>
      <c r="I372" t="str">
        <f>IFERROR(IF(0=LEN(ReferenceData!$I$372),"",ReferenceData!$I$372),"")</f>
        <v/>
      </c>
      <c r="J372" t="str">
        <f>IFERROR(IF(0=LEN(ReferenceData!$J$372),"",ReferenceData!$J$372),"")</f>
        <v/>
      </c>
      <c r="K372" t="str">
        <f>IFERROR(IF(0=LEN(ReferenceData!$K$372),"",ReferenceData!$K$372),"")</f>
        <v/>
      </c>
      <c r="L372" t="str">
        <f>IFERROR(IF(0=LEN(ReferenceData!$L$372),"",ReferenceData!$L$372),"")</f>
        <v/>
      </c>
      <c r="M372" t="str">
        <f>IFERROR(IF(0=LEN(ReferenceData!$M$372),"",ReferenceData!$M$372),"")</f>
        <v/>
      </c>
      <c r="N372" t="str">
        <f>IFERROR(IF(0=LEN(ReferenceData!$N$372),"",ReferenceData!$N$372),"")</f>
        <v/>
      </c>
      <c r="O372" t="str">
        <f>IFERROR(IF(0=LEN(ReferenceData!$O$372),"",ReferenceData!$O$372),"")</f>
        <v/>
      </c>
      <c r="P372" t="str">
        <f>IFERROR(IF(0=LEN(ReferenceData!$P$372),"",ReferenceData!$P$372),"")</f>
        <v/>
      </c>
      <c r="Q372" t="str">
        <f>IFERROR(IF(0=LEN(ReferenceData!$Q$372),"",ReferenceData!$Q$372),"")</f>
        <v/>
      </c>
      <c r="R372" t="str">
        <f>IFERROR(IF(0=LEN(ReferenceData!$R$372),"",ReferenceData!$R$372),"")</f>
        <v/>
      </c>
      <c r="S372" t="str">
        <f>IFERROR(IF(0=LEN(ReferenceData!$S$372),"",ReferenceData!$S$372),"")</f>
        <v/>
      </c>
      <c r="T372" t="str">
        <f>IFERROR(IF(0=LEN(ReferenceData!$T$372),"",ReferenceData!$T$372),"")</f>
        <v/>
      </c>
      <c r="U372" t="str">
        <f>IFERROR(IF(0=LEN(ReferenceData!$U$372),"",ReferenceData!$U$372),"")</f>
        <v/>
      </c>
      <c r="V372" t="str">
        <f>IFERROR(IF(0=LEN(ReferenceData!$V$372),"",ReferenceData!$V$372),"")</f>
        <v/>
      </c>
      <c r="W372" t="str">
        <f>IFERROR(IF(0=LEN(ReferenceData!$W$372),"",ReferenceData!$W$372),"")</f>
        <v/>
      </c>
      <c r="X372" t="str">
        <f>IFERROR(IF(0=LEN(ReferenceData!$X$372),"",ReferenceData!$X$372),"")</f>
        <v/>
      </c>
      <c r="Y372" t="str">
        <f>IFERROR(IF(0=LEN(ReferenceData!$Y$372),"",ReferenceData!$Y$372),"")</f>
        <v/>
      </c>
      <c r="Z372" t="str">
        <f>IFERROR(IF(0=LEN(ReferenceData!$Z$372),"",ReferenceData!$Z$372),"")</f>
        <v/>
      </c>
      <c r="AA372" t="str">
        <f>IFERROR(IF(0=LEN(ReferenceData!$AA$372),"",ReferenceData!$AA$372),"")</f>
        <v/>
      </c>
      <c r="AB372" t="str">
        <f>IFERROR(IF(0=LEN(ReferenceData!$AB$372),"",ReferenceData!$AB$372),"")</f>
        <v/>
      </c>
      <c r="AC372" t="str">
        <f>IFERROR(IF(0=LEN(ReferenceData!$AC$372),"",ReferenceData!$AC$372),"")</f>
        <v/>
      </c>
      <c r="AD372" t="str">
        <f>IFERROR(IF(0=LEN(ReferenceData!$AD$372),"",ReferenceData!$AD$372),"")</f>
        <v/>
      </c>
      <c r="AE372" t="str">
        <f>IFERROR(IF(0=LEN(ReferenceData!$AE$372),"",ReferenceData!$AE$372),"")</f>
        <v/>
      </c>
      <c r="AF372" t="str">
        <f>IFERROR(IF(0=LEN(ReferenceData!$AF$372),"",ReferenceData!$AF$372),"")</f>
        <v/>
      </c>
      <c r="AG372" t="str">
        <f>IFERROR(IF(0=LEN(ReferenceData!$AG$372),"",ReferenceData!$AG$372),"")</f>
        <v/>
      </c>
      <c r="AH372" t="str">
        <f>IFERROR(IF(0=LEN(ReferenceData!$AH$372),"",ReferenceData!$AH$372),"")</f>
        <v/>
      </c>
      <c r="AI372" t="str">
        <f>IFERROR(IF(0=LEN(ReferenceData!$AI$372),"",ReferenceData!$AI$372),"")</f>
        <v/>
      </c>
      <c r="AJ372" t="str">
        <f>IFERROR(IF(0=LEN(ReferenceData!$AJ$372),"",ReferenceData!$AJ$372),"")</f>
        <v/>
      </c>
      <c r="AK372" t="str">
        <f>IFERROR(IF(0=LEN(ReferenceData!$AK$372),"",ReferenceData!$AK$372),"")</f>
        <v/>
      </c>
      <c r="AL372" t="str">
        <f>IFERROR(IF(0=LEN(ReferenceData!$AL$372),"",ReferenceData!$AL$372),"")</f>
        <v/>
      </c>
      <c r="AM372" t="str">
        <f>IFERROR(IF(0=LEN(ReferenceData!$AM$372),"",ReferenceData!$AM$372),"")</f>
        <v/>
      </c>
      <c r="AN372" t="str">
        <f>IFERROR(IF(0=LEN(ReferenceData!$AN$372),"",ReferenceData!$AN$372),"")</f>
        <v/>
      </c>
      <c r="AO372" t="str">
        <f>IFERROR(IF(0=LEN(ReferenceData!$AO$372),"",ReferenceData!$AO$372),"")</f>
        <v/>
      </c>
      <c r="AP372" t="str">
        <f>IFERROR(IF(0=LEN(ReferenceData!$AP$372),"",ReferenceData!$AP$372),"")</f>
        <v/>
      </c>
      <c r="AQ372" t="str">
        <f>IFERROR(IF(0=LEN(ReferenceData!$AQ$372),"",ReferenceData!$AQ$372),"")</f>
        <v/>
      </c>
      <c r="AR372" t="str">
        <f>IFERROR(IF(0=LEN(ReferenceData!$AR$372),"",ReferenceData!$AR$372),"")</f>
        <v/>
      </c>
      <c r="AS372" t="str">
        <f>IFERROR(IF(0=LEN(ReferenceData!$AS$372),"",ReferenceData!$AS$372),"")</f>
        <v/>
      </c>
      <c r="AT372" t="str">
        <f>IFERROR(IF(0=LEN(ReferenceData!$AT$372),"",ReferenceData!$AT$372),"")</f>
        <v/>
      </c>
      <c r="AU372" t="str">
        <f>IFERROR(IF(0=LEN(ReferenceData!$AU$372),"",ReferenceData!$AU$372),"")</f>
        <v/>
      </c>
      <c r="AV372" t="str">
        <f>IFERROR(IF(0=LEN(ReferenceData!$AV$372),"",ReferenceData!$AV$372),"")</f>
        <v/>
      </c>
      <c r="AW372" t="str">
        <f>IFERROR(IF(0=LEN(ReferenceData!$AW$372),"",ReferenceData!$AW$372),"")</f>
        <v/>
      </c>
      <c r="AX372" t="str">
        <f>IFERROR(IF(0=LEN(ReferenceData!$AX$372),"",ReferenceData!$AX$372),"")</f>
        <v/>
      </c>
      <c r="AY372" t="str">
        <f>IFERROR(IF(0=LEN(ReferenceData!$AY$372),"",ReferenceData!$AY$372),"")</f>
        <v/>
      </c>
      <c r="AZ372" t="str">
        <f>IFERROR(IF(0=LEN(ReferenceData!$AZ$372),"",ReferenceData!$AZ$372),"")</f>
        <v/>
      </c>
      <c r="BA372" t="str">
        <f>IFERROR(IF(0=LEN(ReferenceData!$BA$372),"",ReferenceData!$BA$372),"")</f>
        <v/>
      </c>
      <c r="BB372" t="str">
        <f>IFERROR(IF(0=LEN(ReferenceData!$BB$372),"",ReferenceData!$BB$372),"")</f>
        <v/>
      </c>
      <c r="BC372" t="str">
        <f>IFERROR(IF(0=LEN(ReferenceData!$BC$372),"",ReferenceData!$BC$372),"")</f>
        <v/>
      </c>
      <c r="BD372" t="str">
        <f>IFERROR(IF(0=LEN(ReferenceData!$BD$372),"",ReferenceData!$BD$372),"")</f>
        <v/>
      </c>
      <c r="BE372" t="str">
        <f>IFERROR(IF(0=LEN(ReferenceData!$BE$372),"",ReferenceData!$BE$372),"")</f>
        <v/>
      </c>
      <c r="BF372" t="str">
        <f>IFERROR(IF(0=LEN(ReferenceData!$BF$372),"",ReferenceData!$BF$372),"")</f>
        <v/>
      </c>
      <c r="BG372" t="str">
        <f>IFERROR(IF(0=LEN(ReferenceData!$BG$372),"",ReferenceData!$BG$372),"")</f>
        <v/>
      </c>
      <c r="BH372" t="str">
        <f>IFERROR(IF(0=LEN(ReferenceData!$BH$372),"",ReferenceData!$BH$372),"")</f>
        <v/>
      </c>
      <c r="BI372" t="str">
        <f>IFERROR(IF(0=LEN(ReferenceData!$BI$372),"",ReferenceData!$BI$372),"")</f>
        <v/>
      </c>
      <c r="BJ372" t="str">
        <f>IFERROR(IF(0=LEN(ReferenceData!$BJ$372),"",ReferenceData!$BJ$372),"")</f>
        <v/>
      </c>
      <c r="BK372" t="str">
        <f>IFERROR(IF(0=LEN(ReferenceData!$BK$372),"",ReferenceData!$BK$372),"")</f>
        <v/>
      </c>
      <c r="BL372" t="str">
        <f>IFERROR(IF(0=LEN(ReferenceData!$BL$372),"",ReferenceData!$BL$372),"")</f>
        <v/>
      </c>
      <c r="BM372" t="str">
        <f>IFERROR(IF(0=LEN(ReferenceData!$BM$372),"",ReferenceData!$BM$372),"")</f>
        <v/>
      </c>
    </row>
    <row r="373" spans="1:65" x14ac:dyDescent="0.25">
      <c r="A373" t="str">
        <f>IFERROR(IF(0=LEN(ReferenceData!$A$373),"",ReferenceData!$A$373),"")</f>
        <v>EV ($M)</v>
      </c>
      <c r="B373" t="str">
        <f>IFERROR(IF(0=LEN(ReferenceData!$B$373),"",ReferenceData!$B$373),"")</f>
        <v/>
      </c>
      <c r="C373" t="str">
        <f>IFERROR(IF(0=LEN(ReferenceData!$C$373),"",ReferenceData!$C$373),"")</f>
        <v/>
      </c>
      <c r="D373" t="str">
        <f>IFERROR(IF(0=LEN(ReferenceData!$D$373),"",ReferenceData!$D$373),"")</f>
        <v/>
      </c>
      <c r="E373" t="str">
        <f>IFERROR(IF(0=LEN(ReferenceData!$E$373),"",ReferenceData!$E$373),"")</f>
        <v>Average</v>
      </c>
      <c r="F373">
        <f ca="1">IFERROR(IF(0=LEN(ReferenceData!$F$373),"",ReferenceData!$F$373),"")</f>
        <v>38826.852701748001</v>
      </c>
      <c r="G373">
        <f ca="1">IFERROR(IF(0=LEN(ReferenceData!$G$373),"",ReferenceData!$G$373),"")</f>
        <v>34934.756862706454</v>
      </c>
      <c r="H373">
        <f ca="1">IFERROR(IF(0=LEN(ReferenceData!$H$373),"",ReferenceData!$H$373),"")</f>
        <v>37677.340947506447</v>
      </c>
      <c r="I373">
        <f ca="1">IFERROR(IF(0=LEN(ReferenceData!$I$373),"",ReferenceData!$I$373),"")</f>
        <v>39288.75107712904</v>
      </c>
      <c r="J373">
        <f ca="1">IFERROR(IF(0=LEN(ReferenceData!$J$373),"",ReferenceData!$J$373),"")</f>
        <v>41170.169668329028</v>
      </c>
      <c r="K373">
        <f ca="1">IFERROR(IF(0=LEN(ReferenceData!$K$373),"",ReferenceData!$K$373),"")</f>
        <v>41702.167920764514</v>
      </c>
      <c r="L373">
        <f ca="1">IFERROR(IF(0=LEN(ReferenceData!$L$373),"",ReferenceData!$L$373),"")</f>
        <v>39639.936313503218</v>
      </c>
      <c r="M373">
        <f ca="1">IFERROR(IF(0=LEN(ReferenceData!$M$373),"",ReferenceData!$M$373),"")</f>
        <v>36566.062996770976</v>
      </c>
      <c r="N373">
        <f ca="1">IFERROR(IF(0=LEN(ReferenceData!$N$373),"",ReferenceData!$N$373),"")</f>
        <v>36579.012271235493</v>
      </c>
      <c r="O373">
        <f ca="1">IFERROR(IF(0=LEN(ReferenceData!$O$373),"",ReferenceData!$O$373),"")</f>
        <v>35322.91265266452</v>
      </c>
      <c r="P373">
        <f ca="1">IFERROR(IF(0=LEN(ReferenceData!$P$373),"",ReferenceData!$P$373),"")</f>
        <v>33446.64279677187</v>
      </c>
      <c r="Q373">
        <f ca="1">IFERROR(IF(0=LEN(ReferenceData!$Q$373),"",ReferenceData!$Q$373),"")</f>
        <v>30818.162128437496</v>
      </c>
      <c r="R373">
        <f ca="1">IFERROR(IF(0=LEN(ReferenceData!$R$373),"",ReferenceData!$R$373),"")</f>
        <v>33641.482616724999</v>
      </c>
      <c r="S373">
        <f ca="1">IFERROR(IF(0=LEN(ReferenceData!$S$373),"",ReferenceData!$S$373),"")</f>
        <v>36865.9417942625</v>
      </c>
      <c r="T373">
        <f ca="1">IFERROR(IF(0=LEN(ReferenceData!$T$373),"",ReferenceData!$T$373),"")</f>
        <v>33751.945872250006</v>
      </c>
      <c r="U373">
        <f ca="1">IFERROR(IF(0=LEN(ReferenceData!$U$373),"",ReferenceData!$U$373),"")</f>
        <v>40975.636906387095</v>
      </c>
      <c r="V373">
        <f ca="1">IFERROR(IF(0=LEN(ReferenceData!$V$373),"",ReferenceData!$V$373),"")</f>
        <v>42142.122605935474</v>
      </c>
      <c r="W373">
        <f ca="1">IFERROR(IF(0=LEN(ReferenceData!$W$373),"",ReferenceData!$W$373),"")</f>
        <v>38763.242112870976</v>
      </c>
      <c r="X373">
        <f ca="1">IFERROR(IF(0=LEN(ReferenceData!$X$373),"",ReferenceData!$X$373),"")</f>
        <v>37975.951853060003</v>
      </c>
      <c r="Y373">
        <f ca="1">IFERROR(IF(0=LEN(ReferenceData!$Y$373),"",ReferenceData!$Y$373),"")</f>
        <v>40451.3938481</v>
      </c>
      <c r="Z373">
        <f ca="1">IFERROR(IF(0=LEN(ReferenceData!$Z$373),"",ReferenceData!$Z$373),"")</f>
        <v>39003.492805999987</v>
      </c>
      <c r="AA373">
        <f ca="1">IFERROR(IF(0=LEN(ReferenceData!$AA$373),"",ReferenceData!$AA$373),"")</f>
        <v>39749.913764646662</v>
      </c>
      <c r="AB373">
        <f ca="1">IFERROR(IF(0=LEN(ReferenceData!$AB$373),"",ReferenceData!$AB$373),"")</f>
        <v>38858.557351173338</v>
      </c>
      <c r="AC373">
        <f ca="1">IFERROR(IF(0=LEN(ReferenceData!$AC$373),"",ReferenceData!$AC$373),"")</f>
        <v>35131.046609456665</v>
      </c>
      <c r="AD373">
        <f ca="1">IFERROR(IF(0=LEN(ReferenceData!$AD$373),"",ReferenceData!$AD$373),"")</f>
        <v>33196.409852673329</v>
      </c>
      <c r="AE373">
        <f ca="1">IFERROR(IF(0=LEN(ReferenceData!$AE$373),"",ReferenceData!$AE$373),"")</f>
        <v>33305.556335369998</v>
      </c>
      <c r="AF373">
        <f ca="1">IFERROR(IF(0=LEN(ReferenceData!$AF$373),"",ReferenceData!$AF$373),"")</f>
        <v>29716.287669727586</v>
      </c>
      <c r="AG373">
        <f ca="1">IFERROR(IF(0=LEN(ReferenceData!$AG$373),"",ReferenceData!$AG$373),"")</f>
        <v>29235.340499955164</v>
      </c>
      <c r="AH373">
        <f ca="1">IFERROR(IF(0=LEN(ReferenceData!$AH$373),"",ReferenceData!$AH$373),"")</f>
        <v>32340.437302975868</v>
      </c>
      <c r="AI373">
        <f ca="1">IFERROR(IF(0=LEN(ReferenceData!$AI$373),"",ReferenceData!$AI$373),"")</f>
        <v>27505.652269220685</v>
      </c>
      <c r="AJ373">
        <f ca="1">IFERROR(IF(0=LEN(ReferenceData!$AJ$373),"",ReferenceData!$AJ$373),"")</f>
        <v>26964.76282045172</v>
      </c>
      <c r="AK373">
        <f ca="1">IFERROR(IF(0=LEN(ReferenceData!$AK$373),"",ReferenceData!$AK$373),"")</f>
        <v>32909.367938417243</v>
      </c>
      <c r="AL373">
        <f ca="1">IFERROR(IF(0=LEN(ReferenceData!$AL$373),"",ReferenceData!$AL$373),"")</f>
        <v>31667.247880482766</v>
      </c>
      <c r="AM373">
        <f ca="1">IFERROR(IF(0=LEN(ReferenceData!$AM$373),"",ReferenceData!$AM$373),"")</f>
        <v>33079.884098339287</v>
      </c>
      <c r="AN373">
        <f ca="1">IFERROR(IF(0=LEN(ReferenceData!$AN$373),"",ReferenceData!$AN$373),"")</f>
        <v>28667.622710524007</v>
      </c>
      <c r="AO373">
        <f ca="1">IFERROR(IF(0=LEN(ReferenceData!$AO$373),"",ReferenceData!$AO$373),"")</f>
        <v>26146.733900520834</v>
      </c>
      <c r="AP373">
        <f ca="1">IFERROR(IF(0=LEN(ReferenceData!$AP$373),"",ReferenceData!$AP$373),"")</f>
        <v>29536.000630056522</v>
      </c>
      <c r="AQ373">
        <f ca="1">IFERROR(IF(0=LEN(ReferenceData!$AQ$373),"",ReferenceData!$AQ$373),"")</f>
        <v>35843.134872827279</v>
      </c>
      <c r="AR373">
        <f ca="1">IFERROR(IF(0=LEN(ReferenceData!$AR$373),"",ReferenceData!$AR$373),"")</f>
        <v>34240.273371509087</v>
      </c>
      <c r="AS373">
        <f ca="1">IFERROR(IF(0=LEN(ReferenceData!$AS$373),"",ReferenceData!$AS$373),"")</f>
        <v>34450.475660577278</v>
      </c>
      <c r="AT373">
        <f ca="1">IFERROR(IF(0=LEN(ReferenceData!$AT$373),"",ReferenceData!$AT$373),"")</f>
        <v>31413.113347113642</v>
      </c>
      <c r="AU373">
        <f ca="1">IFERROR(IF(0=LEN(ReferenceData!$AU$373),"",ReferenceData!$AU$373),"")</f>
        <v>39938.062569747621</v>
      </c>
      <c r="AV373">
        <f ca="1">IFERROR(IF(0=LEN(ReferenceData!$AV$373),"",ReferenceData!$AV$373),"")</f>
        <v>43482.517840785717</v>
      </c>
      <c r="AW373">
        <f ca="1">IFERROR(IF(0=LEN(ReferenceData!$AW$373),"",ReferenceData!$AW$373),"")</f>
        <v>42709.966861222725</v>
      </c>
      <c r="AX373">
        <f ca="1">IFERROR(IF(0=LEN(ReferenceData!$AX$373),"",ReferenceData!$AX$373),"")</f>
        <v>43562.104088404543</v>
      </c>
      <c r="AY373">
        <f ca="1">IFERROR(IF(0=LEN(ReferenceData!$AY$373),"",ReferenceData!$AY$373),"")</f>
        <v>52515.366025557894</v>
      </c>
      <c r="AZ373">
        <f ca="1">IFERROR(IF(0=LEN(ReferenceData!$AZ$373),"",ReferenceData!$AZ$373),"")</f>
        <v>52448.589967478947</v>
      </c>
      <c r="BA373">
        <f ca="1">IFERROR(IF(0=LEN(ReferenceData!$BA$373),"",ReferenceData!$BA$373),"")</f>
        <v>51862.597628715783</v>
      </c>
      <c r="BB373">
        <f ca="1">IFERROR(IF(0=LEN(ReferenceData!$BB$373),"",ReferenceData!$BB$373),"")</f>
        <v>50124.812738389475</v>
      </c>
      <c r="BC373">
        <f ca="1">IFERROR(IF(0=LEN(ReferenceData!$BC$373),"",ReferenceData!$BC$373),"")</f>
        <v>51192.888319694728</v>
      </c>
      <c r="BD373">
        <f ca="1">IFERROR(IF(0=LEN(ReferenceData!$BD$373),"",ReferenceData!$BD$373),"")</f>
        <v>43580.742378010531</v>
      </c>
      <c r="BE373">
        <f ca="1">IFERROR(IF(0=LEN(ReferenceData!$BE$373),"",ReferenceData!$BE$373),"")</f>
        <v>42272.266804252635</v>
      </c>
      <c r="BF373">
        <f ca="1">IFERROR(IF(0=LEN(ReferenceData!$BF$373),"",ReferenceData!$BF$373),"")</f>
        <v>44048.526162268419</v>
      </c>
      <c r="BG373">
        <f ca="1">IFERROR(IF(0=LEN(ReferenceData!$BG$373),"",ReferenceData!$BG$373),"")</f>
        <v>46533.462831915793</v>
      </c>
      <c r="BH373">
        <f ca="1">IFERROR(IF(0=LEN(ReferenceData!$BH$373),"",ReferenceData!$BH$373),"")</f>
        <v>45117.932008405267</v>
      </c>
      <c r="BI373">
        <f ca="1">IFERROR(IF(0=LEN(ReferenceData!$BI$373),"",ReferenceData!$BI$373),"")</f>
        <v>41709.247389868426</v>
      </c>
      <c r="BJ373">
        <f ca="1">IFERROR(IF(0=LEN(ReferenceData!$BJ$373),"",ReferenceData!$BJ$373),"")</f>
        <v>43139.296668368428</v>
      </c>
      <c r="BK373">
        <f ca="1">IFERROR(IF(0=LEN(ReferenceData!$BK$373),"",ReferenceData!$BK$373),"")</f>
        <v>44870.806439584194</v>
      </c>
      <c r="BL373">
        <f ca="1">IFERROR(IF(0=LEN(ReferenceData!$BL$373),"",ReferenceData!$BL$373),"")</f>
        <v>43190.583166729404</v>
      </c>
      <c r="BM373">
        <f ca="1">IFERROR(IF(0=LEN(ReferenceData!$BM$373),"",ReferenceData!$BM$373),"")</f>
        <v>43500.484354476481</v>
      </c>
    </row>
    <row r="374" spans="1:65" x14ac:dyDescent="0.25">
      <c r="A374" t="str">
        <f>IFERROR(IF(0=LEN(ReferenceData!$A$374),"",ReferenceData!$A$374),"")</f>
        <v xml:space="preserve">    AUDI AG</v>
      </c>
      <c r="B374" t="str">
        <f>IFERROR(IF(0=LEN(ReferenceData!$B$374),"",ReferenceData!$B$374),"")</f>
        <v>NSU GR Equity</v>
      </c>
      <c r="C374" t="str">
        <f>IFERROR(IF(0=LEN(ReferenceData!$C$374),"",ReferenceData!$C$374),"")</f>
        <v>RR937</v>
      </c>
      <c r="D374" t="str">
        <f>IFERROR(IF(0=LEN(ReferenceData!$D$374),"",ReferenceData!$D$374),"")</f>
        <v>CRNCY_ADJ_CURR_EV</v>
      </c>
      <c r="E374" t="str">
        <f>IFERROR(IF(0=LEN(ReferenceData!$E$374),"",ReferenceData!$E$374),"")</f>
        <v>Dynamic</v>
      </c>
      <c r="F374" t="str">
        <f ca="1">IFERROR(IF(0=LEN(ReferenceData!$F$374),"",ReferenceData!$F$374),"")</f>
        <v/>
      </c>
      <c r="G374" t="str">
        <f ca="1">IFERROR(IF(0=LEN(ReferenceData!$G$374),"",ReferenceData!$G$374),"")</f>
        <v/>
      </c>
      <c r="H374" t="str">
        <f ca="1">IFERROR(IF(0=LEN(ReferenceData!$H$374),"",ReferenceData!$H$374),"")</f>
        <v/>
      </c>
      <c r="I374" t="str">
        <f ca="1">IFERROR(IF(0=LEN(ReferenceData!$I$374),"",ReferenceData!$I$374),"")</f>
        <v/>
      </c>
      <c r="J374" t="str">
        <f ca="1">IFERROR(IF(0=LEN(ReferenceData!$J$374),"",ReferenceData!$J$374),"")</f>
        <v/>
      </c>
      <c r="K374" t="str">
        <f ca="1">IFERROR(IF(0=LEN(ReferenceData!$K$374),"",ReferenceData!$K$374),"")</f>
        <v/>
      </c>
      <c r="L374" t="str">
        <f ca="1">IFERROR(IF(0=LEN(ReferenceData!$L$374),"",ReferenceData!$L$374),"")</f>
        <v/>
      </c>
      <c r="M374" t="str">
        <f ca="1">IFERROR(IF(0=LEN(ReferenceData!$M$374),"",ReferenceData!$M$374),"")</f>
        <v/>
      </c>
      <c r="N374" t="str">
        <f ca="1">IFERROR(IF(0=LEN(ReferenceData!$N$374),"",ReferenceData!$N$374),"")</f>
        <v/>
      </c>
      <c r="O374" t="str">
        <f ca="1">IFERROR(IF(0=LEN(ReferenceData!$O$374),"",ReferenceData!$O$374),"")</f>
        <v/>
      </c>
      <c r="P374" t="str">
        <f ca="1">IFERROR(IF(0=LEN(ReferenceData!$P$374),"",ReferenceData!$P$374),"")</f>
        <v/>
      </c>
      <c r="Q374" t="str">
        <f ca="1">IFERROR(IF(0=LEN(ReferenceData!$Q$374),"",ReferenceData!$Q$374),"")</f>
        <v/>
      </c>
      <c r="R374" t="str">
        <f ca="1">IFERROR(IF(0=LEN(ReferenceData!$R$374),"",ReferenceData!$R$374),"")</f>
        <v/>
      </c>
      <c r="S374" t="str">
        <f ca="1">IFERROR(IF(0=LEN(ReferenceData!$S$374),"",ReferenceData!$S$374),"")</f>
        <v/>
      </c>
      <c r="T374" t="str">
        <f ca="1">IFERROR(IF(0=LEN(ReferenceData!$T$374),"",ReferenceData!$T$374),"")</f>
        <v/>
      </c>
      <c r="U374" t="str">
        <f ca="1">IFERROR(IF(0=LEN(ReferenceData!$U$374),"",ReferenceData!$U$374),"")</f>
        <v/>
      </c>
      <c r="V374" t="str">
        <f ca="1">IFERROR(IF(0=LEN(ReferenceData!$V$374),"",ReferenceData!$V$374),"")</f>
        <v/>
      </c>
      <c r="W374" t="str">
        <f ca="1">IFERROR(IF(0=LEN(ReferenceData!$W$374),"",ReferenceData!$W$374),"")</f>
        <v/>
      </c>
      <c r="X374" t="str">
        <f ca="1">IFERROR(IF(0=LEN(ReferenceData!$X$374),"",ReferenceData!$X$374),"")</f>
        <v/>
      </c>
      <c r="Y374" t="str">
        <f ca="1">IFERROR(IF(0=LEN(ReferenceData!$Y$374),"",ReferenceData!$Y$374),"")</f>
        <v/>
      </c>
      <c r="Z374" t="str">
        <f ca="1">IFERROR(IF(0=LEN(ReferenceData!$Z$374),"",ReferenceData!$Z$374),"")</f>
        <v/>
      </c>
      <c r="AA374" t="str">
        <f ca="1">IFERROR(IF(0=LEN(ReferenceData!$AA$374),"",ReferenceData!$AA$374),"")</f>
        <v/>
      </c>
      <c r="AB374" t="str">
        <f ca="1">IFERROR(IF(0=LEN(ReferenceData!$AB$374),"",ReferenceData!$AB$374),"")</f>
        <v/>
      </c>
      <c r="AC374" t="str">
        <f ca="1">IFERROR(IF(0=LEN(ReferenceData!$AC$374),"",ReferenceData!$AC$374),"")</f>
        <v/>
      </c>
      <c r="AD374" t="str">
        <f ca="1">IFERROR(IF(0=LEN(ReferenceData!$AD$374),"",ReferenceData!$AD$374),"")</f>
        <v/>
      </c>
      <c r="AE374" t="str">
        <f ca="1">IFERROR(IF(0=LEN(ReferenceData!$AE$374),"",ReferenceData!$AE$374),"")</f>
        <v/>
      </c>
      <c r="AF374" t="str">
        <f ca="1">IFERROR(IF(0=LEN(ReferenceData!$AF$374),"",ReferenceData!$AF$374),"")</f>
        <v/>
      </c>
      <c r="AG374" t="str">
        <f ca="1">IFERROR(IF(0=LEN(ReferenceData!$AG$374),"",ReferenceData!$AG$374),"")</f>
        <v/>
      </c>
      <c r="AH374" t="str">
        <f ca="1">IFERROR(IF(0=LEN(ReferenceData!$AH$374),"",ReferenceData!$AH$374),"")</f>
        <v/>
      </c>
      <c r="AI374" t="str">
        <f ca="1">IFERROR(IF(0=LEN(ReferenceData!$AI$374),"",ReferenceData!$AI$374),"")</f>
        <v/>
      </c>
      <c r="AJ374" t="str">
        <f ca="1">IFERROR(IF(0=LEN(ReferenceData!$AJ$374),"",ReferenceData!$AJ$374),"")</f>
        <v/>
      </c>
      <c r="AK374" t="str">
        <f ca="1">IFERROR(IF(0=LEN(ReferenceData!$AK$374),"",ReferenceData!$AK$374),"")</f>
        <v/>
      </c>
      <c r="AL374" t="str">
        <f ca="1">IFERROR(IF(0=LEN(ReferenceData!$AL$374),"",ReferenceData!$AL$374),"")</f>
        <v/>
      </c>
      <c r="AM374" t="str">
        <f ca="1">IFERROR(IF(0=LEN(ReferenceData!$AM$374),"",ReferenceData!$AM$374),"")</f>
        <v/>
      </c>
      <c r="AN374" t="str">
        <f ca="1">IFERROR(IF(0=LEN(ReferenceData!$AN$374),"",ReferenceData!$AN$374),"")</f>
        <v/>
      </c>
      <c r="AO374" t="str">
        <f ca="1">IFERROR(IF(0=LEN(ReferenceData!$AO$374),"",ReferenceData!$AO$374),"")</f>
        <v/>
      </c>
      <c r="AP374" t="str">
        <f ca="1">IFERROR(IF(0=LEN(ReferenceData!$AP$374),"",ReferenceData!$AP$374),"")</f>
        <v/>
      </c>
      <c r="AQ374" t="str">
        <f ca="1">IFERROR(IF(0=LEN(ReferenceData!$AQ$374),"",ReferenceData!$AQ$374),"")</f>
        <v/>
      </c>
      <c r="AR374" t="str">
        <f ca="1">IFERROR(IF(0=LEN(ReferenceData!$AR$374),"",ReferenceData!$AR$374),"")</f>
        <v/>
      </c>
      <c r="AS374" t="str">
        <f ca="1">IFERROR(IF(0=LEN(ReferenceData!$AS$374),"",ReferenceData!$AS$374),"")</f>
        <v/>
      </c>
      <c r="AT374" t="str">
        <f ca="1">IFERROR(IF(0=LEN(ReferenceData!$AT$374),"",ReferenceData!$AT$374),"")</f>
        <v/>
      </c>
      <c r="AU374" t="str">
        <f ca="1">IFERROR(IF(0=LEN(ReferenceData!$AU$374),"",ReferenceData!$AU$374),"")</f>
        <v/>
      </c>
      <c r="AV374" t="str">
        <f ca="1">IFERROR(IF(0=LEN(ReferenceData!$AV$374),"",ReferenceData!$AV$374),"")</f>
        <v/>
      </c>
      <c r="AW374" t="str">
        <f ca="1">IFERROR(IF(0=LEN(ReferenceData!$AW$374),"",ReferenceData!$AW$374),"")</f>
        <v/>
      </c>
      <c r="AX374" t="str">
        <f ca="1">IFERROR(IF(0=LEN(ReferenceData!$AX$374),"",ReferenceData!$AX$374),"")</f>
        <v/>
      </c>
      <c r="AY374" t="str">
        <f ca="1">IFERROR(IF(0=LEN(ReferenceData!$AY$374),"",ReferenceData!$AY$374),"")</f>
        <v/>
      </c>
      <c r="AZ374" t="str">
        <f ca="1">IFERROR(IF(0=LEN(ReferenceData!$AZ$374),"",ReferenceData!$AZ$374),"")</f>
        <v/>
      </c>
      <c r="BA374" t="str">
        <f ca="1">IFERROR(IF(0=LEN(ReferenceData!$BA$374),"",ReferenceData!$BA$374),"")</f>
        <v/>
      </c>
      <c r="BB374" t="str">
        <f ca="1">IFERROR(IF(0=LEN(ReferenceData!$BB$374),"",ReferenceData!$BB$374),"")</f>
        <v/>
      </c>
      <c r="BC374" t="str">
        <f ca="1">IFERROR(IF(0=LEN(ReferenceData!$BC$374),"",ReferenceData!$BC$374),"")</f>
        <v/>
      </c>
      <c r="BD374" t="str">
        <f ca="1">IFERROR(IF(0=LEN(ReferenceData!$BD$374),"",ReferenceData!$BD$374),"")</f>
        <v/>
      </c>
      <c r="BE374" t="str">
        <f ca="1">IFERROR(IF(0=LEN(ReferenceData!$BE$374),"",ReferenceData!$BE$374),"")</f>
        <v/>
      </c>
      <c r="BF374" t="str">
        <f ca="1">IFERROR(IF(0=LEN(ReferenceData!$BF$374),"",ReferenceData!$BF$374),"")</f>
        <v/>
      </c>
      <c r="BG374" t="str">
        <f ca="1">IFERROR(IF(0=LEN(ReferenceData!$BG$374),"",ReferenceData!$BG$374),"")</f>
        <v/>
      </c>
      <c r="BH374" t="str">
        <f ca="1">IFERROR(IF(0=LEN(ReferenceData!$BH$374),"",ReferenceData!$BH$374),"")</f>
        <v/>
      </c>
      <c r="BI374" t="str">
        <f ca="1">IFERROR(IF(0=LEN(ReferenceData!$BI$374),"",ReferenceData!$BI$374),"")</f>
        <v/>
      </c>
      <c r="BJ374" t="str">
        <f ca="1">IFERROR(IF(0=LEN(ReferenceData!$BJ$374),"",ReferenceData!$BJ$374),"")</f>
        <v/>
      </c>
      <c r="BK374" t="str">
        <f ca="1">IFERROR(IF(0=LEN(ReferenceData!$BK$374),"",ReferenceData!$BK$374),"")</f>
        <v/>
      </c>
      <c r="BL374" t="str">
        <f ca="1">IFERROR(IF(0=LEN(ReferenceData!$BL$374),"",ReferenceData!$BL$374),"")</f>
        <v/>
      </c>
      <c r="BM374" t="str">
        <f ca="1">IFERROR(IF(0=LEN(ReferenceData!$BM$374),"",ReferenceData!$BM$374),"")</f>
        <v/>
      </c>
    </row>
    <row r="375" spans="1:65" x14ac:dyDescent="0.25">
      <c r="A375" t="str">
        <f>IFERROR(IF(0=LEN(ReferenceData!$A$375),"",ReferenceData!$A$375),"")</f>
        <v xml:space="preserve">    Avtovaz PJSC</v>
      </c>
      <c r="B375" t="str">
        <f>IFERROR(IF(0=LEN(ReferenceData!$B$375),"",ReferenceData!$B$375),"")</f>
        <v>AVAZ RM Equity</v>
      </c>
      <c r="C375" t="str">
        <f>IFERROR(IF(0=LEN(ReferenceData!$C$375),"",ReferenceData!$C$375),"")</f>
        <v>RR937</v>
      </c>
      <c r="D375" t="str">
        <f>IFERROR(IF(0=LEN(ReferenceData!$D$375),"",ReferenceData!$D$375),"")</f>
        <v>CRNCY_ADJ_CURR_EV</v>
      </c>
      <c r="E375" t="str">
        <f>IFERROR(IF(0=LEN(ReferenceData!$E$375),"",ReferenceData!$E$375),"")</f>
        <v>Dynamic</v>
      </c>
      <c r="F375">
        <f ca="1">IFERROR(IF(0=LEN(ReferenceData!$F$375),"",ReferenceData!$F$375),"")</f>
        <v>3139.7305110000002</v>
      </c>
      <c r="G375">
        <f ca="1">IFERROR(IF(0=LEN(ReferenceData!$G$375),"",ReferenceData!$G$375),"")</f>
        <v>2949.3606519999998</v>
      </c>
      <c r="H375">
        <f ca="1">IFERROR(IF(0=LEN(ReferenceData!$H$375),"",ReferenceData!$H$375),"")</f>
        <v>1983.8025689999999</v>
      </c>
      <c r="I375">
        <f ca="1">IFERROR(IF(0=LEN(ReferenceData!$I$375),"",ReferenceData!$I$375),"")</f>
        <v>2104.9237870000002</v>
      </c>
      <c r="J375">
        <f ca="1">IFERROR(IF(0=LEN(ReferenceData!$J$375),"",ReferenceData!$J$375),"")</f>
        <v>2391.8251129999999</v>
      </c>
      <c r="K375">
        <f ca="1">IFERROR(IF(0=LEN(ReferenceData!$K$375),"",ReferenceData!$K$375),"")</f>
        <v>2463.06898</v>
      </c>
      <c r="L375">
        <f ca="1">IFERROR(IF(0=LEN(ReferenceData!$L$375),"",ReferenceData!$L$375),"")</f>
        <v>2625.8947870000002</v>
      </c>
      <c r="M375">
        <f ca="1">IFERROR(IF(0=LEN(ReferenceData!$M$375),"",ReferenceData!$M$375),"")</f>
        <v>2366.4299839999999</v>
      </c>
      <c r="N375">
        <f ca="1">IFERROR(IF(0=LEN(ReferenceData!$N$375),"",ReferenceData!$N$375),"")</f>
        <v>2567.7148699999998</v>
      </c>
      <c r="O375">
        <f ca="1">IFERROR(IF(0=LEN(ReferenceData!$O$375),"",ReferenceData!$O$375),"")</f>
        <v>2322.0092100000002</v>
      </c>
      <c r="P375">
        <f ca="1">IFERROR(IF(0=LEN(ReferenceData!$P$375),"",ReferenceData!$P$375),"")</f>
        <v>1958.6759850000001</v>
      </c>
      <c r="Q375">
        <f ca="1">IFERROR(IF(0=LEN(ReferenceData!$Q$375),"",ReferenceData!$Q$375),"")</f>
        <v>1868.871206</v>
      </c>
      <c r="R375">
        <f ca="1">IFERROR(IF(0=LEN(ReferenceData!$R$375),"",ReferenceData!$R$375),"")</f>
        <v>1844.472604</v>
      </c>
      <c r="S375">
        <f ca="1">IFERROR(IF(0=LEN(ReferenceData!$S$375),"",ReferenceData!$S$375),"")</f>
        <v>1564.875104</v>
      </c>
      <c r="T375">
        <f ca="1">IFERROR(IF(0=LEN(ReferenceData!$T$375),"",ReferenceData!$T$375),"")</f>
        <v>1602.929441</v>
      </c>
      <c r="U375" t="str">
        <f ca="1">IFERROR(IF(0=LEN(ReferenceData!$U$375),"",ReferenceData!$U$375),"")</f>
        <v/>
      </c>
      <c r="V375" t="str">
        <f ca="1">IFERROR(IF(0=LEN(ReferenceData!$V$375),"",ReferenceData!$V$375),"")</f>
        <v/>
      </c>
      <c r="W375" t="str">
        <f ca="1">IFERROR(IF(0=LEN(ReferenceData!$W$375),"",ReferenceData!$W$375),"")</f>
        <v/>
      </c>
      <c r="X375" t="str">
        <f ca="1">IFERROR(IF(0=LEN(ReferenceData!$X$375),"",ReferenceData!$X$375),"")</f>
        <v/>
      </c>
      <c r="Y375" t="str">
        <f ca="1">IFERROR(IF(0=LEN(ReferenceData!$Y$375),"",ReferenceData!$Y$375),"")</f>
        <v/>
      </c>
      <c r="Z375" t="str">
        <f ca="1">IFERROR(IF(0=LEN(ReferenceData!$Z$375),"",ReferenceData!$Z$375),"")</f>
        <v/>
      </c>
      <c r="AA375" t="str">
        <f ca="1">IFERROR(IF(0=LEN(ReferenceData!$AA$375),"",ReferenceData!$AA$375),"")</f>
        <v/>
      </c>
      <c r="AB375" t="str">
        <f ca="1">IFERROR(IF(0=LEN(ReferenceData!$AB$375),"",ReferenceData!$AB$375),"")</f>
        <v/>
      </c>
      <c r="AC375" t="str">
        <f ca="1">IFERROR(IF(0=LEN(ReferenceData!$AC$375),"",ReferenceData!$AC$375),"")</f>
        <v/>
      </c>
      <c r="AD375" t="str">
        <f ca="1">IFERROR(IF(0=LEN(ReferenceData!$AD$375),"",ReferenceData!$AD$375),"")</f>
        <v/>
      </c>
      <c r="AE375" t="str">
        <f ca="1">IFERROR(IF(0=LEN(ReferenceData!$AE$375),"",ReferenceData!$AE$375),"")</f>
        <v/>
      </c>
      <c r="AF375" t="str">
        <f ca="1">IFERROR(IF(0=LEN(ReferenceData!$AF$375),"",ReferenceData!$AF$375),"")</f>
        <v/>
      </c>
      <c r="AG375" t="str">
        <f ca="1">IFERROR(IF(0=LEN(ReferenceData!$AG$375),"",ReferenceData!$AG$375),"")</f>
        <v/>
      </c>
      <c r="AH375" t="str">
        <f ca="1">IFERROR(IF(0=LEN(ReferenceData!$AH$375),"",ReferenceData!$AH$375),"")</f>
        <v/>
      </c>
      <c r="AI375" t="str">
        <f ca="1">IFERROR(IF(0=LEN(ReferenceData!$AI$375),"",ReferenceData!$AI$375),"")</f>
        <v/>
      </c>
      <c r="AJ375" t="str">
        <f ca="1">IFERROR(IF(0=LEN(ReferenceData!$AJ$375),"",ReferenceData!$AJ$375),"")</f>
        <v/>
      </c>
      <c r="AK375" t="str">
        <f ca="1">IFERROR(IF(0=LEN(ReferenceData!$AK$375),"",ReferenceData!$AK$375),"")</f>
        <v/>
      </c>
      <c r="AL375" t="str">
        <f ca="1">IFERROR(IF(0=LEN(ReferenceData!$AL$375),"",ReferenceData!$AL$375),"")</f>
        <v/>
      </c>
      <c r="AM375" t="str">
        <f ca="1">IFERROR(IF(0=LEN(ReferenceData!$AM$375),"",ReferenceData!$AM$375),"")</f>
        <v/>
      </c>
      <c r="AN375" t="str">
        <f ca="1">IFERROR(IF(0=LEN(ReferenceData!$AN$375),"",ReferenceData!$AN$375),"")</f>
        <v/>
      </c>
      <c r="AO375" t="str">
        <f ca="1">IFERROR(IF(0=LEN(ReferenceData!$AO$375),"",ReferenceData!$AO$375),"")</f>
        <v/>
      </c>
      <c r="AP375" t="str">
        <f ca="1">IFERROR(IF(0=LEN(ReferenceData!$AP$375),"",ReferenceData!$AP$375),"")</f>
        <v/>
      </c>
      <c r="AQ375" t="str">
        <f ca="1">IFERROR(IF(0=LEN(ReferenceData!$AQ$375),"",ReferenceData!$AQ$375),"")</f>
        <v/>
      </c>
      <c r="AR375" t="str">
        <f ca="1">IFERROR(IF(0=LEN(ReferenceData!$AR$375),"",ReferenceData!$AR$375),"")</f>
        <v/>
      </c>
      <c r="AS375" t="str">
        <f ca="1">IFERROR(IF(0=LEN(ReferenceData!$AS$375),"",ReferenceData!$AS$375),"")</f>
        <v/>
      </c>
      <c r="AT375" t="str">
        <f ca="1">IFERROR(IF(0=LEN(ReferenceData!$AT$375),"",ReferenceData!$AT$375),"")</f>
        <v/>
      </c>
      <c r="AU375" t="str">
        <f ca="1">IFERROR(IF(0=LEN(ReferenceData!$AU$375),"",ReferenceData!$AU$375),"")</f>
        <v/>
      </c>
      <c r="AV375" t="str">
        <f ca="1">IFERROR(IF(0=LEN(ReferenceData!$AV$375),"",ReferenceData!$AV$375),"")</f>
        <v/>
      </c>
      <c r="AW375" t="str">
        <f ca="1">IFERROR(IF(0=LEN(ReferenceData!$AW$375),"",ReferenceData!$AW$375),"")</f>
        <v/>
      </c>
      <c r="AX375" t="str">
        <f ca="1">IFERROR(IF(0=LEN(ReferenceData!$AX$375),"",ReferenceData!$AX$375),"")</f>
        <v/>
      </c>
      <c r="AY375" t="str">
        <f ca="1">IFERROR(IF(0=LEN(ReferenceData!$AY$375),"",ReferenceData!$AY$375),"")</f>
        <v/>
      </c>
      <c r="AZ375" t="str">
        <f ca="1">IFERROR(IF(0=LEN(ReferenceData!$AZ$375),"",ReferenceData!$AZ$375),"")</f>
        <v/>
      </c>
      <c r="BA375" t="str">
        <f ca="1">IFERROR(IF(0=LEN(ReferenceData!$BA$375),"",ReferenceData!$BA$375),"")</f>
        <v/>
      </c>
      <c r="BB375" t="str">
        <f ca="1">IFERROR(IF(0=LEN(ReferenceData!$BB$375),"",ReferenceData!$BB$375),"")</f>
        <v/>
      </c>
      <c r="BC375" t="str">
        <f ca="1">IFERROR(IF(0=LEN(ReferenceData!$BC$375),"",ReferenceData!$BC$375),"")</f>
        <v/>
      </c>
      <c r="BD375" t="str">
        <f ca="1">IFERROR(IF(0=LEN(ReferenceData!$BD$375),"",ReferenceData!$BD$375),"")</f>
        <v/>
      </c>
      <c r="BE375" t="str">
        <f ca="1">IFERROR(IF(0=LEN(ReferenceData!$BE$375),"",ReferenceData!$BE$375),"")</f>
        <v/>
      </c>
      <c r="BF375" t="str">
        <f ca="1">IFERROR(IF(0=LEN(ReferenceData!$BF$375),"",ReferenceData!$BF$375),"")</f>
        <v/>
      </c>
      <c r="BG375" t="str">
        <f ca="1">IFERROR(IF(0=LEN(ReferenceData!$BG$375),"",ReferenceData!$BG$375),"")</f>
        <v/>
      </c>
      <c r="BH375" t="str">
        <f ca="1">IFERROR(IF(0=LEN(ReferenceData!$BH$375),"",ReferenceData!$BH$375),"")</f>
        <v/>
      </c>
      <c r="BI375" t="str">
        <f ca="1">IFERROR(IF(0=LEN(ReferenceData!$BI$375),"",ReferenceData!$BI$375),"")</f>
        <v/>
      </c>
      <c r="BJ375" t="str">
        <f ca="1">IFERROR(IF(0=LEN(ReferenceData!$BJ$375),"",ReferenceData!$BJ$375),"")</f>
        <v/>
      </c>
      <c r="BK375" t="str">
        <f ca="1">IFERROR(IF(0=LEN(ReferenceData!$BK$375),"",ReferenceData!$BK$375),"")</f>
        <v/>
      </c>
      <c r="BL375" t="str">
        <f ca="1">IFERROR(IF(0=LEN(ReferenceData!$BL$375),"",ReferenceData!$BL$375),"")</f>
        <v/>
      </c>
      <c r="BM375" t="str">
        <f ca="1">IFERROR(IF(0=LEN(ReferenceData!$BM$375),"",ReferenceData!$BM$375),"")</f>
        <v/>
      </c>
    </row>
    <row r="376" spans="1:65" x14ac:dyDescent="0.25">
      <c r="A376" t="str">
        <f>IFERROR(IF(0=LEN(ReferenceData!$A$376),"",ReferenceData!$A$376),"")</f>
        <v xml:space="preserve">    Bayerische Motoren Werke AG</v>
      </c>
      <c r="B376" t="str">
        <f>IFERROR(IF(0=LEN(ReferenceData!$B$376),"",ReferenceData!$B$376),"")</f>
        <v>BMW GR Equity</v>
      </c>
      <c r="C376" t="str">
        <f>IFERROR(IF(0=LEN(ReferenceData!$C$376),"",ReferenceData!$C$376),"")</f>
        <v>RR937</v>
      </c>
      <c r="D376" t="str">
        <f>IFERROR(IF(0=LEN(ReferenceData!$D$376),"",ReferenceData!$D$376),"")</f>
        <v>CRNCY_ADJ_CURR_EV</v>
      </c>
      <c r="E376" t="str">
        <f>IFERROR(IF(0=LEN(ReferenceData!$E$376),"",ReferenceData!$E$376),"")</f>
        <v>Dynamic</v>
      </c>
      <c r="F376">
        <f ca="1">IFERROR(IF(0=LEN(ReferenceData!$F$376),"",ReferenceData!$F$376),"")</f>
        <v>103715.11810000001</v>
      </c>
      <c r="G376">
        <f ca="1">IFERROR(IF(0=LEN(ReferenceData!$G$376),"",ReferenceData!$G$376),"")</f>
        <v>102846.7597</v>
      </c>
      <c r="H376">
        <f ca="1">IFERROR(IF(0=LEN(ReferenceData!$H$376),"",ReferenceData!$H$376),"")</f>
        <v>109498.455</v>
      </c>
      <c r="I376">
        <f ca="1">IFERROR(IF(0=LEN(ReferenceData!$I$376),"",ReferenceData!$I$376),"")</f>
        <v>107807.0114</v>
      </c>
      <c r="J376">
        <f ca="1">IFERROR(IF(0=LEN(ReferenceData!$J$376),"",ReferenceData!$J$376),"")</f>
        <v>118941.7899</v>
      </c>
      <c r="K376">
        <f ca="1">IFERROR(IF(0=LEN(ReferenceData!$K$376),"",ReferenceData!$K$376),"")</f>
        <v>114425.3318</v>
      </c>
      <c r="L376">
        <f ca="1">IFERROR(IF(0=LEN(ReferenceData!$L$376),"",ReferenceData!$L$376),"")</f>
        <v>113592.61599999999</v>
      </c>
      <c r="M376">
        <f ca="1">IFERROR(IF(0=LEN(ReferenceData!$M$376),"",ReferenceData!$M$376),"")</f>
        <v>108290.8646</v>
      </c>
      <c r="N376">
        <f ca="1">IFERROR(IF(0=LEN(ReferenceData!$N$376),"",ReferenceData!$N$376),"")</f>
        <v>104461.79549999999</v>
      </c>
      <c r="O376">
        <f ca="1">IFERROR(IF(0=LEN(ReferenceData!$O$376),"",ReferenceData!$O$376),"")</f>
        <v>101868.9486</v>
      </c>
      <c r="P376">
        <f ca="1">IFERROR(IF(0=LEN(ReferenceData!$P$376),"",ReferenceData!$P$376),"")</f>
        <v>100828.8504</v>
      </c>
      <c r="Q376">
        <f ca="1">IFERROR(IF(0=LEN(ReferenceData!$Q$376),"",ReferenceData!$Q$376),"")</f>
        <v>94781.907619999998</v>
      </c>
      <c r="R376">
        <f ca="1">IFERROR(IF(0=LEN(ReferenceData!$R$376),"",ReferenceData!$R$376),"")</f>
        <v>106683.098</v>
      </c>
      <c r="S376">
        <f ca="1">IFERROR(IF(0=LEN(ReferenceData!$S$376),"",ReferenceData!$S$376),"")</f>
        <v>110470.164</v>
      </c>
      <c r="T376">
        <f ca="1">IFERROR(IF(0=LEN(ReferenceData!$T$376),"",ReferenceData!$T$376),"")</f>
        <v>104039.96219999999</v>
      </c>
      <c r="U376">
        <f ca="1">IFERROR(IF(0=LEN(ReferenceData!$U$376),"",ReferenceData!$U$376),"")</f>
        <v>118408.8517</v>
      </c>
      <c r="V376">
        <f ca="1">IFERROR(IF(0=LEN(ReferenceData!$V$376),"",ReferenceData!$V$376),"")</f>
        <v>125322.0753</v>
      </c>
      <c r="W376">
        <f ca="1">IFERROR(IF(0=LEN(ReferenceData!$W$376),"",ReferenceData!$W$376),"")</f>
        <v>114863.4561</v>
      </c>
      <c r="X376">
        <f ca="1">IFERROR(IF(0=LEN(ReferenceData!$X$376),"",ReferenceData!$X$376),"")</f>
        <v>112266.5047</v>
      </c>
      <c r="Y376">
        <f ca="1">IFERROR(IF(0=LEN(ReferenceData!$Y$376),"",ReferenceData!$Y$376),"")</f>
        <v>124524.96580000001</v>
      </c>
      <c r="Z376">
        <f ca="1">IFERROR(IF(0=LEN(ReferenceData!$Z$376),"",ReferenceData!$Z$376),"")</f>
        <v>119918.70540000001</v>
      </c>
      <c r="AA376">
        <f ca="1">IFERROR(IF(0=LEN(ReferenceData!$AA$376),"",ReferenceData!$AA$376),"")</f>
        <v>114834.3204</v>
      </c>
      <c r="AB376">
        <f ca="1">IFERROR(IF(0=LEN(ReferenceData!$AB$376),"",ReferenceData!$AB$376),"")</f>
        <v>106082.1059</v>
      </c>
      <c r="AC376">
        <f ca="1">IFERROR(IF(0=LEN(ReferenceData!$AC$376),"",ReferenceData!$AC$376),"")</f>
        <v>91656.776719999994</v>
      </c>
      <c r="AD376">
        <f ca="1">IFERROR(IF(0=LEN(ReferenceData!$AD$376),"",ReferenceData!$AD$376),"")</f>
        <v>91549.083450000006</v>
      </c>
      <c r="AE376">
        <f ca="1">IFERROR(IF(0=LEN(ReferenceData!$AE$376),"",ReferenceData!$AE$376),"")</f>
        <v>97516.721600000004</v>
      </c>
      <c r="AF376">
        <f ca="1">IFERROR(IF(0=LEN(ReferenceData!$AF$376),"",ReferenceData!$AF$376),"")</f>
        <v>83048.270189999996</v>
      </c>
      <c r="AG376">
        <f ca="1">IFERROR(IF(0=LEN(ReferenceData!$AG$376),"",ReferenceData!$AG$376),"")</f>
        <v>83207.841409999994</v>
      </c>
      <c r="AH376">
        <f ca="1">IFERROR(IF(0=LEN(ReferenceData!$AH$376),"",ReferenceData!$AH$376),"")</f>
        <v>93897.100909999994</v>
      </c>
      <c r="AI376">
        <f ca="1">IFERROR(IF(0=LEN(ReferenceData!$AI$376),"",ReferenceData!$AI$376),"")</f>
        <v>81150.712409999993</v>
      </c>
      <c r="AJ376">
        <f ca="1">IFERROR(IF(0=LEN(ReferenceData!$AJ$376),"",ReferenceData!$AJ$376),"")</f>
        <v>81154.475059999997</v>
      </c>
      <c r="AK376">
        <f ca="1">IFERROR(IF(0=LEN(ReferenceData!$AK$376),"",ReferenceData!$AK$376),"")</f>
        <v>98128.377550000005</v>
      </c>
      <c r="AL376">
        <f ca="1">IFERROR(IF(0=LEN(ReferenceData!$AL$376),"",ReferenceData!$AL$376),"")</f>
        <v>88880.20147</v>
      </c>
      <c r="AM376">
        <f ca="1">IFERROR(IF(0=LEN(ReferenceData!$AM$376),"",ReferenceData!$AM$376),"")</f>
        <v>86276.069210000001</v>
      </c>
      <c r="AN376">
        <f ca="1">IFERROR(IF(0=LEN(ReferenceData!$AN$376),"",ReferenceData!$AN$376),"")</f>
        <v>79876.081829999996</v>
      </c>
      <c r="AO376">
        <f ca="1">IFERROR(IF(0=LEN(ReferenceData!$AO$376),"",ReferenceData!$AO$376),"")</f>
        <v>67169.396059999999</v>
      </c>
      <c r="AP376">
        <f ca="1">IFERROR(IF(0=LEN(ReferenceData!$AP$376),"",ReferenceData!$AP$376),"")</f>
        <v>67553.454249999995</v>
      </c>
      <c r="AQ376">
        <f ca="1">IFERROR(IF(0=LEN(ReferenceData!$AQ$376),"",ReferenceData!$AQ$376),"")</f>
        <v>71575.615909999993</v>
      </c>
      <c r="AR376">
        <f ca="1">IFERROR(IF(0=LEN(ReferenceData!$AR$376),"",ReferenceData!$AR$376),"")</f>
        <v>71455.023239999995</v>
      </c>
      <c r="AS376">
        <f ca="1">IFERROR(IF(0=LEN(ReferenceData!$AS$376),"",ReferenceData!$AS$376),"")</f>
        <v>61036.434050000003</v>
      </c>
      <c r="AT376">
        <f ca="1">IFERROR(IF(0=LEN(ReferenceData!$AT$376),"",ReferenceData!$AT$376),"")</f>
        <v>55619.800380000001</v>
      </c>
      <c r="AU376">
        <f ca="1">IFERROR(IF(0=LEN(ReferenceData!$AU$376),"",ReferenceData!$AU$376),"")</f>
        <v>87144.849789999993</v>
      </c>
      <c r="AV376">
        <f ca="1">IFERROR(IF(0=LEN(ReferenceData!$AV$376),"",ReferenceData!$AV$376),"")</f>
        <v>90277.897889999993</v>
      </c>
      <c r="AW376">
        <f ca="1">IFERROR(IF(0=LEN(ReferenceData!$AW$376),"",ReferenceData!$AW$376),"")</f>
        <v>93619.664789999995</v>
      </c>
      <c r="AX376">
        <f ca="1">IFERROR(IF(0=LEN(ReferenceData!$AX$376),"",ReferenceData!$AX$376),"")</f>
        <v>94368.758100000006</v>
      </c>
      <c r="AY376">
        <f ca="1">IFERROR(IF(0=LEN(ReferenceData!$AY$376),"",ReferenceData!$AY$376),"")</f>
        <v>96401.581999999995</v>
      </c>
      <c r="AZ376">
        <f ca="1">IFERROR(IF(0=LEN(ReferenceData!$AZ$376),"",ReferenceData!$AZ$376),"")</f>
        <v>93836.692299999995</v>
      </c>
      <c r="BA376">
        <f ca="1">IFERROR(IF(0=LEN(ReferenceData!$BA$376),"",ReferenceData!$BA$376),"")</f>
        <v>90692.571400000001</v>
      </c>
      <c r="BB376">
        <f ca="1">IFERROR(IF(0=LEN(ReferenceData!$BB$376),"",ReferenceData!$BB$376),"")</f>
        <v>83089.13867</v>
      </c>
      <c r="BC376">
        <f ca="1">IFERROR(IF(0=LEN(ReferenceData!$BC$376),"",ReferenceData!$BC$376),"")</f>
        <v>79890.699359999999</v>
      </c>
      <c r="BD376">
        <f ca="1">IFERROR(IF(0=LEN(ReferenceData!$BD$376),"",ReferenceData!$BD$376),"")</f>
        <v>73806.310029999993</v>
      </c>
      <c r="BE376">
        <f ca="1">IFERROR(IF(0=LEN(ReferenceData!$BE$376),"",ReferenceData!$BE$376),"")</f>
        <v>70109.267370000001</v>
      </c>
      <c r="BF376">
        <f ca="1">IFERROR(IF(0=LEN(ReferenceData!$BF$376),"",ReferenceData!$BF$376),"")</f>
        <v>71747.418319999997</v>
      </c>
      <c r="BG376">
        <f ca="1">IFERROR(IF(0=LEN(ReferenceData!$BG$376),"",ReferenceData!$BG$376),"")</f>
        <v>65244.677620000002</v>
      </c>
      <c r="BH376">
        <f ca="1">IFERROR(IF(0=LEN(ReferenceData!$BH$376),"",ReferenceData!$BH$376),"")</f>
        <v>65289.48287</v>
      </c>
      <c r="BI376">
        <f ca="1">IFERROR(IF(0=LEN(ReferenceData!$BI$376),"",ReferenceData!$BI$376),"")</f>
        <v>64300.759539999999</v>
      </c>
      <c r="BJ376">
        <f ca="1">IFERROR(IF(0=LEN(ReferenceData!$BJ$376),"",ReferenceData!$BJ$376),"")</f>
        <v>65818.678020000007</v>
      </c>
      <c r="BK376">
        <f ca="1">IFERROR(IF(0=LEN(ReferenceData!$BK$376),"",ReferenceData!$BK$376),"")</f>
        <v>63055.343220000002</v>
      </c>
      <c r="BL376">
        <f ca="1">IFERROR(IF(0=LEN(ReferenceData!$BL$376),"",ReferenceData!$BL$376),"")</f>
        <v>57952.821920000002</v>
      </c>
      <c r="BM376">
        <f ca="1">IFERROR(IF(0=LEN(ReferenceData!$BM$376),"",ReferenceData!$BM$376),"")</f>
        <v>58795.033539999997</v>
      </c>
    </row>
    <row r="377" spans="1:65" x14ac:dyDescent="0.25">
      <c r="A377" t="str">
        <f>IFERROR(IF(0=LEN(ReferenceData!$A$377),"",ReferenceData!$A$377),"")</f>
        <v xml:space="preserve">    Brilliance China Automotive Holdings Ltd</v>
      </c>
      <c r="B377" t="str">
        <f>IFERROR(IF(0=LEN(ReferenceData!$B$377),"",ReferenceData!$B$377),"")</f>
        <v>1114 HK Equity</v>
      </c>
      <c r="C377" t="str">
        <f>IFERROR(IF(0=LEN(ReferenceData!$C$377),"",ReferenceData!$C$377),"")</f>
        <v>RR937</v>
      </c>
      <c r="D377" t="str">
        <f>IFERROR(IF(0=LEN(ReferenceData!$D$377),"",ReferenceData!$D$377),"")</f>
        <v>CRNCY_ADJ_CURR_EV</v>
      </c>
      <c r="E377" t="str">
        <f>IFERROR(IF(0=LEN(ReferenceData!$E$377),"",ReferenceData!$E$377),"")</f>
        <v>Dynamic</v>
      </c>
      <c r="F377" t="str">
        <f ca="1">IFERROR(IF(0=LEN(ReferenceData!$F$377),"",ReferenceData!$F$377),"")</f>
        <v/>
      </c>
      <c r="G377" t="str">
        <f ca="1">IFERROR(IF(0=LEN(ReferenceData!$G$377),"",ReferenceData!$G$377),"")</f>
        <v/>
      </c>
      <c r="H377" t="str">
        <f ca="1">IFERROR(IF(0=LEN(ReferenceData!$H$377),"",ReferenceData!$H$377),"")</f>
        <v/>
      </c>
      <c r="I377" t="str">
        <f ca="1">IFERROR(IF(0=LEN(ReferenceData!$I$377),"",ReferenceData!$I$377),"")</f>
        <v/>
      </c>
      <c r="J377" t="str">
        <f ca="1">IFERROR(IF(0=LEN(ReferenceData!$J$377),"",ReferenceData!$J$377),"")</f>
        <v/>
      </c>
      <c r="K377" t="str">
        <f ca="1">IFERROR(IF(0=LEN(ReferenceData!$K$377),"",ReferenceData!$K$377),"")</f>
        <v/>
      </c>
      <c r="L377" t="str">
        <f ca="1">IFERROR(IF(0=LEN(ReferenceData!$L$377),"",ReferenceData!$L$377),"")</f>
        <v/>
      </c>
      <c r="M377" t="str">
        <f ca="1">IFERROR(IF(0=LEN(ReferenceData!$M$377),"",ReferenceData!$M$377),"")</f>
        <v/>
      </c>
      <c r="N377" t="str">
        <f ca="1">IFERROR(IF(0=LEN(ReferenceData!$N$377),"",ReferenceData!$N$377),"")</f>
        <v/>
      </c>
      <c r="O377" t="str">
        <f ca="1">IFERROR(IF(0=LEN(ReferenceData!$O$377),"",ReferenceData!$O$377),"")</f>
        <v/>
      </c>
      <c r="P377" t="str">
        <f ca="1">IFERROR(IF(0=LEN(ReferenceData!$P$377),"",ReferenceData!$P$377),"")</f>
        <v/>
      </c>
      <c r="Q377" t="str">
        <f ca="1">IFERROR(IF(0=LEN(ReferenceData!$Q$377),"",ReferenceData!$Q$377),"")</f>
        <v/>
      </c>
      <c r="R377" t="str">
        <f ca="1">IFERROR(IF(0=LEN(ReferenceData!$R$377),"",ReferenceData!$R$377),"")</f>
        <v/>
      </c>
      <c r="S377" t="str">
        <f ca="1">IFERROR(IF(0=LEN(ReferenceData!$S$377),"",ReferenceData!$S$377),"")</f>
        <v/>
      </c>
      <c r="T377" t="str">
        <f ca="1">IFERROR(IF(0=LEN(ReferenceData!$T$377),"",ReferenceData!$T$377),"")</f>
        <v/>
      </c>
      <c r="U377" t="str">
        <f ca="1">IFERROR(IF(0=LEN(ReferenceData!$U$377),"",ReferenceData!$U$377),"")</f>
        <v/>
      </c>
      <c r="V377" t="str">
        <f ca="1">IFERROR(IF(0=LEN(ReferenceData!$V$377),"",ReferenceData!$V$377),"")</f>
        <v/>
      </c>
      <c r="W377" t="str">
        <f ca="1">IFERROR(IF(0=LEN(ReferenceData!$W$377),"",ReferenceData!$W$377),"")</f>
        <v/>
      </c>
      <c r="X377" t="str">
        <f ca="1">IFERROR(IF(0=LEN(ReferenceData!$X$377),"",ReferenceData!$X$377),"")</f>
        <v/>
      </c>
      <c r="Y377" t="str">
        <f ca="1">IFERROR(IF(0=LEN(ReferenceData!$Y$377),"",ReferenceData!$Y$377),"")</f>
        <v/>
      </c>
      <c r="Z377" t="str">
        <f ca="1">IFERROR(IF(0=LEN(ReferenceData!$Z$377),"",ReferenceData!$Z$377),"")</f>
        <v/>
      </c>
      <c r="AA377" t="str">
        <f ca="1">IFERROR(IF(0=LEN(ReferenceData!$AA$377),"",ReferenceData!$AA$377),"")</f>
        <v/>
      </c>
      <c r="AB377" t="str">
        <f ca="1">IFERROR(IF(0=LEN(ReferenceData!$AB$377),"",ReferenceData!$AB$377),"")</f>
        <v/>
      </c>
      <c r="AC377" t="str">
        <f ca="1">IFERROR(IF(0=LEN(ReferenceData!$AC$377),"",ReferenceData!$AC$377),"")</f>
        <v/>
      </c>
      <c r="AD377" t="str">
        <f ca="1">IFERROR(IF(0=LEN(ReferenceData!$AD$377),"",ReferenceData!$AD$377),"")</f>
        <v/>
      </c>
      <c r="AE377" t="str">
        <f ca="1">IFERROR(IF(0=LEN(ReferenceData!$AE$377),"",ReferenceData!$AE$377),"")</f>
        <v/>
      </c>
      <c r="AF377" t="str">
        <f ca="1">IFERROR(IF(0=LEN(ReferenceData!$AF$377),"",ReferenceData!$AF$377),"")</f>
        <v/>
      </c>
      <c r="AG377" t="str">
        <f ca="1">IFERROR(IF(0=LEN(ReferenceData!$AG$377),"",ReferenceData!$AG$377),"")</f>
        <v/>
      </c>
      <c r="AH377" t="str">
        <f ca="1">IFERROR(IF(0=LEN(ReferenceData!$AH$377),"",ReferenceData!$AH$377),"")</f>
        <v/>
      </c>
      <c r="AI377" t="str">
        <f ca="1">IFERROR(IF(0=LEN(ReferenceData!$AI$377),"",ReferenceData!$AI$377),"")</f>
        <v/>
      </c>
      <c r="AJ377" t="str">
        <f ca="1">IFERROR(IF(0=LEN(ReferenceData!$AJ$377),"",ReferenceData!$AJ$377),"")</f>
        <v/>
      </c>
      <c r="AK377" t="str">
        <f ca="1">IFERROR(IF(0=LEN(ReferenceData!$AK$377),"",ReferenceData!$AK$377),"")</f>
        <v/>
      </c>
      <c r="AL377" t="str">
        <f ca="1">IFERROR(IF(0=LEN(ReferenceData!$AL$377),"",ReferenceData!$AL$377),"")</f>
        <v/>
      </c>
      <c r="AM377" t="str">
        <f ca="1">IFERROR(IF(0=LEN(ReferenceData!$AM$377),"",ReferenceData!$AM$377),"")</f>
        <v/>
      </c>
      <c r="AN377" t="str">
        <f ca="1">IFERROR(IF(0=LEN(ReferenceData!$AN$377),"",ReferenceData!$AN$377),"")</f>
        <v/>
      </c>
      <c r="AO377" t="str">
        <f ca="1">IFERROR(IF(0=LEN(ReferenceData!$AO$377),"",ReferenceData!$AO$377),"")</f>
        <v/>
      </c>
      <c r="AP377" t="str">
        <f ca="1">IFERROR(IF(0=LEN(ReferenceData!$AP$377),"",ReferenceData!$AP$377),"")</f>
        <v/>
      </c>
      <c r="AQ377" t="str">
        <f ca="1">IFERROR(IF(0=LEN(ReferenceData!$AQ$377),"",ReferenceData!$AQ$377),"")</f>
        <v/>
      </c>
      <c r="AR377" t="str">
        <f ca="1">IFERROR(IF(0=LEN(ReferenceData!$AR$377),"",ReferenceData!$AR$377),"")</f>
        <v/>
      </c>
      <c r="AS377" t="str">
        <f ca="1">IFERROR(IF(0=LEN(ReferenceData!$AS$377),"",ReferenceData!$AS$377),"")</f>
        <v/>
      </c>
      <c r="AT377" t="str">
        <f ca="1">IFERROR(IF(0=LEN(ReferenceData!$AT$377),"",ReferenceData!$AT$377),"")</f>
        <v/>
      </c>
      <c r="AU377" t="str">
        <f ca="1">IFERROR(IF(0=LEN(ReferenceData!$AU$377),"",ReferenceData!$AU$377),"")</f>
        <v/>
      </c>
      <c r="AV377" t="str">
        <f ca="1">IFERROR(IF(0=LEN(ReferenceData!$AV$377),"",ReferenceData!$AV$377),"")</f>
        <v/>
      </c>
      <c r="AW377" t="str">
        <f ca="1">IFERROR(IF(0=LEN(ReferenceData!$AW$377),"",ReferenceData!$AW$377),"")</f>
        <v/>
      </c>
      <c r="AX377" t="str">
        <f ca="1">IFERROR(IF(0=LEN(ReferenceData!$AX$377),"",ReferenceData!$AX$377),"")</f>
        <v/>
      </c>
      <c r="AY377" t="str">
        <f ca="1">IFERROR(IF(0=LEN(ReferenceData!$AY$377),"",ReferenceData!$AY$377),"")</f>
        <v/>
      </c>
      <c r="AZ377" t="str">
        <f ca="1">IFERROR(IF(0=LEN(ReferenceData!$AZ$377),"",ReferenceData!$AZ$377),"")</f>
        <v/>
      </c>
      <c r="BA377" t="str">
        <f ca="1">IFERROR(IF(0=LEN(ReferenceData!$BA$377),"",ReferenceData!$BA$377),"")</f>
        <v/>
      </c>
      <c r="BB377" t="str">
        <f ca="1">IFERROR(IF(0=LEN(ReferenceData!$BB$377),"",ReferenceData!$BB$377),"")</f>
        <v/>
      </c>
      <c r="BC377" t="str">
        <f ca="1">IFERROR(IF(0=LEN(ReferenceData!$BC$377),"",ReferenceData!$BC$377),"")</f>
        <v/>
      </c>
      <c r="BD377" t="str">
        <f ca="1">IFERROR(IF(0=LEN(ReferenceData!$BD$377),"",ReferenceData!$BD$377),"")</f>
        <v/>
      </c>
      <c r="BE377" t="str">
        <f ca="1">IFERROR(IF(0=LEN(ReferenceData!$BE$377),"",ReferenceData!$BE$377),"")</f>
        <v/>
      </c>
      <c r="BF377" t="str">
        <f ca="1">IFERROR(IF(0=LEN(ReferenceData!$BF$377),"",ReferenceData!$BF$377),"")</f>
        <v/>
      </c>
      <c r="BG377" t="str">
        <f ca="1">IFERROR(IF(0=LEN(ReferenceData!$BG$377),"",ReferenceData!$BG$377),"")</f>
        <v/>
      </c>
      <c r="BH377" t="str">
        <f ca="1">IFERROR(IF(0=LEN(ReferenceData!$BH$377),"",ReferenceData!$BH$377),"")</f>
        <v/>
      </c>
      <c r="BI377" t="str">
        <f ca="1">IFERROR(IF(0=LEN(ReferenceData!$BI$377),"",ReferenceData!$BI$377),"")</f>
        <v/>
      </c>
      <c r="BJ377" t="str">
        <f ca="1">IFERROR(IF(0=LEN(ReferenceData!$BJ$377),"",ReferenceData!$BJ$377),"")</f>
        <v/>
      </c>
      <c r="BK377" t="str">
        <f ca="1">IFERROR(IF(0=LEN(ReferenceData!$BK$377),"",ReferenceData!$BK$377),"")</f>
        <v/>
      </c>
      <c r="BL377" t="str">
        <f ca="1">IFERROR(IF(0=LEN(ReferenceData!$BL$377),"",ReferenceData!$BL$377),"")</f>
        <v/>
      </c>
      <c r="BM377" t="str">
        <f ca="1">IFERROR(IF(0=LEN(ReferenceData!$BM$377),"",ReferenceData!$BM$377),"")</f>
        <v/>
      </c>
    </row>
    <row r="378" spans="1:65" x14ac:dyDescent="0.25">
      <c r="A378" t="str">
        <f>IFERROR(IF(0=LEN(ReferenceData!$A$378),"",ReferenceData!$A$378),"")</f>
        <v xml:space="preserve">    BYD Co Ltd</v>
      </c>
      <c r="B378" t="str">
        <f>IFERROR(IF(0=LEN(ReferenceData!$B$378),"",ReferenceData!$B$378),"")</f>
        <v>1211 HK Equity</v>
      </c>
      <c r="C378" t="str">
        <f>IFERROR(IF(0=LEN(ReferenceData!$C$378),"",ReferenceData!$C$378),"")</f>
        <v>RR937</v>
      </c>
      <c r="D378" t="str">
        <f>IFERROR(IF(0=LEN(ReferenceData!$D$378),"",ReferenceData!$D$378),"")</f>
        <v>CRNCY_ADJ_CURR_EV</v>
      </c>
      <c r="E378" t="str">
        <f>IFERROR(IF(0=LEN(ReferenceData!$E$378),"",ReferenceData!$E$378),"")</f>
        <v>Dynamic</v>
      </c>
      <c r="F378">
        <f ca="1">IFERROR(IF(0=LEN(ReferenceData!$F$378),"",ReferenceData!$F$378),"")</f>
        <v>28062.839469999999</v>
      </c>
      <c r="G378">
        <f ca="1">IFERROR(IF(0=LEN(ReferenceData!$G$378),"",ReferenceData!$G$378),"")</f>
        <v>27487.935310000001</v>
      </c>
      <c r="H378">
        <f ca="1">IFERROR(IF(0=LEN(ReferenceData!$H$378),"",ReferenceData!$H$378),"")</f>
        <v>27750.30055</v>
      </c>
      <c r="I378">
        <f ca="1">IFERROR(IF(0=LEN(ReferenceData!$I$378),"",ReferenceData!$I$378),"")</f>
        <v>30376.169320000001</v>
      </c>
      <c r="J378">
        <f ca="1">IFERROR(IF(0=LEN(ReferenceData!$J$378),"",ReferenceData!$J$378),"")</f>
        <v>35589.868629999997</v>
      </c>
      <c r="K378">
        <f ca="1">IFERROR(IF(0=LEN(ReferenceData!$K$378),"",ReferenceData!$K$378),"")</f>
        <v>37379.805910000003</v>
      </c>
      <c r="L378">
        <f ca="1">IFERROR(IF(0=LEN(ReferenceData!$L$378),"",ReferenceData!$L$378),"")</f>
        <v>37850.471879999997</v>
      </c>
      <c r="M378">
        <f ca="1">IFERROR(IF(0=LEN(ReferenceData!$M$378),"",ReferenceData!$M$378),"")</f>
        <v>29108.180090000002</v>
      </c>
      <c r="N378">
        <f ca="1">IFERROR(IF(0=LEN(ReferenceData!$N$378),"",ReferenceData!$N$378),"")</f>
        <v>27059.702089999999</v>
      </c>
      <c r="O378">
        <f ca="1">IFERROR(IF(0=LEN(ReferenceData!$O$378),"",ReferenceData!$O$378),"")</f>
        <v>26244.446680000001</v>
      </c>
      <c r="P378">
        <f ca="1">IFERROR(IF(0=LEN(ReferenceData!$P$378),"",ReferenceData!$P$378),"")</f>
        <v>28828.877820000002</v>
      </c>
      <c r="Q378">
        <f ca="1">IFERROR(IF(0=LEN(ReferenceData!$Q$378),"",ReferenceData!$Q$378),"")</f>
        <v>28908.714520000001</v>
      </c>
      <c r="R378">
        <f ca="1">IFERROR(IF(0=LEN(ReferenceData!$R$378),"",ReferenceData!$R$378),"")</f>
        <v>28223.625970000001</v>
      </c>
      <c r="S378">
        <f ca="1">IFERROR(IF(0=LEN(ReferenceData!$S$378),"",ReferenceData!$S$378),"")</f>
        <v>27898.360509999999</v>
      </c>
      <c r="T378">
        <f ca="1">IFERROR(IF(0=LEN(ReferenceData!$T$378),"",ReferenceData!$T$378),"")</f>
        <v>27750.341710000001</v>
      </c>
      <c r="U378">
        <f ca="1">IFERROR(IF(0=LEN(ReferenceData!$U$378),"",ReferenceData!$U$378),"")</f>
        <v>26895.552169999999</v>
      </c>
      <c r="V378">
        <f ca="1">IFERROR(IF(0=LEN(ReferenceData!$V$378),"",ReferenceData!$V$378),"")</f>
        <v>24641.828689999998</v>
      </c>
      <c r="W378">
        <f ca="1">IFERROR(IF(0=LEN(ReferenceData!$W$378),"",ReferenceData!$W$378),"")</f>
        <v>20296.430970000001</v>
      </c>
      <c r="X378">
        <f ca="1">IFERROR(IF(0=LEN(ReferenceData!$X$378),"",ReferenceData!$X$378),"")</f>
        <v>25224.578839999998</v>
      </c>
      <c r="Y378">
        <f ca="1">IFERROR(IF(0=LEN(ReferenceData!$Y$378),"",ReferenceData!$Y$378),"")</f>
        <v>23204.895530000002</v>
      </c>
      <c r="Z378">
        <f ca="1">IFERROR(IF(0=LEN(ReferenceData!$Z$378),"",ReferenceData!$Z$378),"")</f>
        <v>22610.142650000002</v>
      </c>
      <c r="AA378">
        <f ca="1">IFERROR(IF(0=LEN(ReferenceData!$AA$378),"",ReferenceData!$AA$378),"")</f>
        <v>19601.71689</v>
      </c>
      <c r="AB378">
        <f ca="1">IFERROR(IF(0=LEN(ReferenceData!$AB$378),"",ReferenceData!$AB$378),"")</f>
        <v>19244.28714</v>
      </c>
      <c r="AC378">
        <f ca="1">IFERROR(IF(0=LEN(ReferenceData!$AC$378),"",ReferenceData!$AC$378),"")</f>
        <v>15536.709919999999</v>
      </c>
      <c r="AD378">
        <f ca="1">IFERROR(IF(0=LEN(ReferenceData!$AD$378),"",ReferenceData!$AD$378),"")</f>
        <v>13100.051289999999</v>
      </c>
      <c r="AE378">
        <f ca="1">IFERROR(IF(0=LEN(ReferenceData!$AE$378),"",ReferenceData!$AE$378),"")</f>
        <v>12017.25733</v>
      </c>
      <c r="AF378">
        <f ca="1">IFERROR(IF(0=LEN(ReferenceData!$AF$378),"",ReferenceData!$AF$378),"")</f>
        <v>9679.8455950000007</v>
      </c>
      <c r="AG378">
        <f ca="1">IFERROR(IF(0=LEN(ReferenceData!$AG$378),"",ReferenceData!$AG$378),"")</f>
        <v>10879.936729999999</v>
      </c>
      <c r="AH378">
        <f ca="1">IFERROR(IF(0=LEN(ReferenceData!$AH$378),"",ReferenceData!$AH$378),"")</f>
        <v>13432.33423</v>
      </c>
      <c r="AI378">
        <f ca="1">IFERROR(IF(0=LEN(ReferenceData!$AI$378),"",ReferenceData!$AI$378),"")</f>
        <v>11487.3549</v>
      </c>
      <c r="AJ378">
        <f ca="1">IFERROR(IF(0=LEN(ReferenceData!$AJ$378),"",ReferenceData!$AJ$378),"")</f>
        <v>10136.28211</v>
      </c>
      <c r="AK378">
        <f ca="1">IFERROR(IF(0=LEN(ReferenceData!$AK$378),"",ReferenceData!$AK$378),"")</f>
        <v>10947.530570000001</v>
      </c>
      <c r="AL378">
        <f ca="1">IFERROR(IF(0=LEN(ReferenceData!$AL$378),"",ReferenceData!$AL$378),"")</f>
        <v>10957.65228</v>
      </c>
      <c r="AM378">
        <f ca="1">IFERROR(IF(0=LEN(ReferenceData!$AM$378),"",ReferenceData!$AM$378),"")</f>
        <v>14197.346320000001</v>
      </c>
      <c r="AN378">
        <f ca="1">IFERROR(IF(0=LEN(ReferenceData!$AN$378),"",ReferenceData!$AN$378),"")</f>
        <v>19637.620940000001</v>
      </c>
      <c r="AO378">
        <f ca="1">IFERROR(IF(0=LEN(ReferenceData!$AO$378),"",ReferenceData!$AO$378),"")</f>
        <v>18082.290410000001</v>
      </c>
      <c r="AP378">
        <f ca="1">IFERROR(IF(0=LEN(ReferenceData!$AP$378),"",ReferenceData!$AP$378),"")</f>
        <v>23233.85972</v>
      </c>
      <c r="AQ378">
        <f ca="1">IFERROR(IF(0=LEN(ReferenceData!$AQ$378),"",ReferenceData!$AQ$378),"")</f>
        <v>20624.719160000001</v>
      </c>
      <c r="AR378">
        <f ca="1">IFERROR(IF(0=LEN(ReferenceData!$AR$378),"",ReferenceData!$AR$378),"")</f>
        <v>19366.928339999999</v>
      </c>
      <c r="AS378" t="str">
        <f ca="1">IFERROR(IF(0=LEN(ReferenceData!$AS$378),"",ReferenceData!$AS$378),"")</f>
        <v/>
      </c>
      <c r="AT378" t="str">
        <f ca="1">IFERROR(IF(0=LEN(ReferenceData!$AT$378),"",ReferenceData!$AT$378),"")</f>
        <v/>
      </c>
      <c r="AU378" t="str">
        <f ca="1">IFERROR(IF(0=LEN(ReferenceData!$AU$378),"",ReferenceData!$AU$378),"")</f>
        <v/>
      </c>
      <c r="AV378" t="str">
        <f ca="1">IFERROR(IF(0=LEN(ReferenceData!$AV$378),"",ReferenceData!$AV$378),"")</f>
        <v/>
      </c>
      <c r="AW378" t="str">
        <f ca="1">IFERROR(IF(0=LEN(ReferenceData!$AW$378),"",ReferenceData!$AW$378),"")</f>
        <v/>
      </c>
      <c r="AX378" t="str">
        <f ca="1">IFERROR(IF(0=LEN(ReferenceData!$AX$378),"",ReferenceData!$AX$378),"")</f>
        <v/>
      </c>
      <c r="AY378" t="str">
        <f ca="1">IFERROR(IF(0=LEN(ReferenceData!$AY$378),"",ReferenceData!$AY$378),"")</f>
        <v/>
      </c>
      <c r="AZ378" t="str">
        <f ca="1">IFERROR(IF(0=LEN(ReferenceData!$AZ$378),"",ReferenceData!$AZ$378),"")</f>
        <v/>
      </c>
      <c r="BA378" t="str">
        <f ca="1">IFERROR(IF(0=LEN(ReferenceData!$BA$378),"",ReferenceData!$BA$378),"")</f>
        <v/>
      </c>
      <c r="BB378" t="str">
        <f ca="1">IFERROR(IF(0=LEN(ReferenceData!$BB$378),"",ReferenceData!$BB$378),"")</f>
        <v/>
      </c>
      <c r="BC378" t="str">
        <f ca="1">IFERROR(IF(0=LEN(ReferenceData!$BC$378),"",ReferenceData!$BC$378),"")</f>
        <v/>
      </c>
      <c r="BD378" t="str">
        <f ca="1">IFERROR(IF(0=LEN(ReferenceData!$BD$378),"",ReferenceData!$BD$378),"")</f>
        <v/>
      </c>
      <c r="BE378" t="str">
        <f ca="1">IFERROR(IF(0=LEN(ReferenceData!$BE$378),"",ReferenceData!$BE$378),"")</f>
        <v/>
      </c>
      <c r="BF378" t="str">
        <f ca="1">IFERROR(IF(0=LEN(ReferenceData!$BF$378),"",ReferenceData!$BF$378),"")</f>
        <v/>
      </c>
      <c r="BG378" t="str">
        <f ca="1">IFERROR(IF(0=LEN(ReferenceData!$BG$378),"",ReferenceData!$BG$378),"")</f>
        <v/>
      </c>
      <c r="BH378" t="str">
        <f ca="1">IFERROR(IF(0=LEN(ReferenceData!$BH$378),"",ReferenceData!$BH$378),"")</f>
        <v/>
      </c>
      <c r="BI378" t="str">
        <f ca="1">IFERROR(IF(0=LEN(ReferenceData!$BI$378),"",ReferenceData!$BI$378),"")</f>
        <v/>
      </c>
      <c r="BJ378" t="str">
        <f ca="1">IFERROR(IF(0=LEN(ReferenceData!$BJ$378),"",ReferenceData!$BJ$378),"")</f>
        <v/>
      </c>
      <c r="BK378" t="str">
        <f ca="1">IFERROR(IF(0=LEN(ReferenceData!$BK$378),"",ReferenceData!$BK$378),"")</f>
        <v/>
      </c>
      <c r="BL378" t="str">
        <f ca="1">IFERROR(IF(0=LEN(ReferenceData!$BL$378),"",ReferenceData!$BL$378),"")</f>
        <v/>
      </c>
      <c r="BM378" t="str">
        <f ca="1">IFERROR(IF(0=LEN(ReferenceData!$BM$378),"",ReferenceData!$BM$378),"")</f>
        <v/>
      </c>
    </row>
    <row r="379" spans="1:65" x14ac:dyDescent="0.25">
      <c r="A379" t="str">
        <f>IFERROR(IF(0=LEN(ReferenceData!$A$379),"",ReferenceData!$A$379),"")</f>
        <v xml:space="preserve">    Chongqing Changan Automobile Co Ltd</v>
      </c>
      <c r="B379" t="str">
        <f>IFERROR(IF(0=LEN(ReferenceData!$B$379),"",ReferenceData!$B$379),"")</f>
        <v>200625 CH Equity</v>
      </c>
      <c r="C379" t="str">
        <f>IFERROR(IF(0=LEN(ReferenceData!$C$379),"",ReferenceData!$C$379),"")</f>
        <v>RR937</v>
      </c>
      <c r="D379" t="str">
        <f>IFERROR(IF(0=LEN(ReferenceData!$D$379),"",ReferenceData!$D$379),"")</f>
        <v>CRNCY_ADJ_CURR_EV</v>
      </c>
      <c r="E379" t="str">
        <f>IFERROR(IF(0=LEN(ReferenceData!$E$379),"",ReferenceData!$E$379),"")</f>
        <v>Dynamic</v>
      </c>
      <c r="F379">
        <f ca="1">IFERROR(IF(0=LEN(ReferenceData!$F$379),"",ReferenceData!$F$379),"")</f>
        <v>3273.7126830000002</v>
      </c>
      <c r="G379">
        <f ca="1">IFERROR(IF(0=LEN(ReferenceData!$G$379),"",ReferenceData!$G$379),"")</f>
        <v>1873.1552469999999</v>
      </c>
      <c r="H379">
        <f ca="1">IFERROR(IF(0=LEN(ReferenceData!$H$379),"",ReferenceData!$H$379),"")</f>
        <v>2594.9764279999999</v>
      </c>
      <c r="I379">
        <f ca="1">IFERROR(IF(0=LEN(ReferenceData!$I$379),"",ReferenceData!$I$379),"")</f>
        <v>5687.1507600000004</v>
      </c>
      <c r="J379">
        <f ca="1">IFERROR(IF(0=LEN(ReferenceData!$J$379),"",ReferenceData!$J$379),"")</f>
        <v>7252.1546289999997</v>
      </c>
      <c r="K379">
        <f ca="1">IFERROR(IF(0=LEN(ReferenceData!$K$379),"",ReferenceData!$K$379),"")</f>
        <v>8027.094024</v>
      </c>
      <c r="L379">
        <f ca="1">IFERROR(IF(0=LEN(ReferenceData!$L$379),"",ReferenceData!$L$379),"")</f>
        <v>8894.6916639999999</v>
      </c>
      <c r="M379">
        <f ca="1">IFERROR(IF(0=LEN(ReferenceData!$M$379),"",ReferenceData!$M$379),"")</f>
        <v>8901.9189409999999</v>
      </c>
      <c r="N379">
        <f ca="1">IFERROR(IF(0=LEN(ReferenceData!$N$379),"",ReferenceData!$N$379),"")</f>
        <v>9678.0496210000001</v>
      </c>
      <c r="O379">
        <f ca="1">IFERROR(IF(0=LEN(ReferenceData!$O$379),"",ReferenceData!$O$379),"")</f>
        <v>9676.7718810000006</v>
      </c>
      <c r="P379">
        <f ca="1">IFERROR(IF(0=LEN(ReferenceData!$P$379),"",ReferenceData!$P$379),"")</f>
        <v>10114.48985</v>
      </c>
      <c r="Q379">
        <f ca="1">IFERROR(IF(0=LEN(ReferenceData!$Q$379),"",ReferenceData!$Q$379),"")</f>
        <v>9427.5924500000001</v>
      </c>
      <c r="R379">
        <f ca="1">IFERROR(IF(0=LEN(ReferenceData!$R$379),"",ReferenceData!$R$379),"")</f>
        <v>11397.138989999999</v>
      </c>
      <c r="S379">
        <f ca="1">IFERROR(IF(0=LEN(ReferenceData!$S$379),"",ReferenceData!$S$379),"")</f>
        <v>12251.89518</v>
      </c>
      <c r="T379">
        <f ca="1">IFERROR(IF(0=LEN(ReferenceData!$T$379),"",ReferenceData!$T$379),"")</f>
        <v>10557.86657</v>
      </c>
      <c r="U379">
        <f ca="1">IFERROR(IF(0=LEN(ReferenceData!$U$379),"",ReferenceData!$U$379),"")</f>
        <v>16077.634550000001</v>
      </c>
      <c r="V379">
        <f ca="1">IFERROR(IF(0=LEN(ReferenceData!$V$379),"",ReferenceData!$V$379),"")</f>
        <v>15448.756149999999</v>
      </c>
      <c r="W379">
        <f ca="1">IFERROR(IF(0=LEN(ReferenceData!$W$379),"",ReferenceData!$W$379),"")</f>
        <v>12903.388849999999</v>
      </c>
      <c r="X379">
        <f ca="1">IFERROR(IF(0=LEN(ReferenceData!$X$379),"",ReferenceData!$X$379),"")</f>
        <v>11505.795340000001</v>
      </c>
      <c r="Y379">
        <f ca="1">IFERROR(IF(0=LEN(ReferenceData!$Y$379),"",ReferenceData!$Y$379),"")</f>
        <v>10319.680109999999</v>
      </c>
      <c r="Z379">
        <f ca="1">IFERROR(IF(0=LEN(ReferenceData!$Z$379),"",ReferenceData!$Z$379),"")</f>
        <v>8996.8633840000002</v>
      </c>
      <c r="AA379">
        <f ca="1">IFERROR(IF(0=LEN(ReferenceData!$AA$379),"",ReferenceData!$AA$379),"")</f>
        <v>10660.18895</v>
      </c>
      <c r="AB379">
        <f ca="1">IFERROR(IF(0=LEN(ReferenceData!$AB$379),"",ReferenceData!$AB$379),"")</f>
        <v>8975.2341269999997</v>
      </c>
      <c r="AC379">
        <f ca="1">IFERROR(IF(0=LEN(ReferenceData!$AC$379),"",ReferenceData!$AC$379),"")</f>
        <v>7974.2173149999999</v>
      </c>
      <c r="AD379">
        <f ca="1">IFERROR(IF(0=LEN(ReferenceData!$AD$379),"",ReferenceData!$AD$379),"")</f>
        <v>7920.8044010000003</v>
      </c>
      <c r="AE379">
        <f ca="1">IFERROR(IF(0=LEN(ReferenceData!$AE$379),"",ReferenceData!$AE$379),"")</f>
        <v>5852.6211919999996</v>
      </c>
      <c r="AF379">
        <f ca="1">IFERROR(IF(0=LEN(ReferenceData!$AF$379),"",ReferenceData!$AF$379),"")</f>
        <v>4656.446758</v>
      </c>
      <c r="AG379">
        <f ca="1">IFERROR(IF(0=LEN(ReferenceData!$AG$379),"",ReferenceData!$AG$379),"")</f>
        <v>4183.5816709999999</v>
      </c>
      <c r="AH379">
        <f ca="1">IFERROR(IF(0=LEN(ReferenceData!$AH$379),"",ReferenceData!$AH$379),"")</f>
        <v>3718.9160149999998</v>
      </c>
      <c r="AI379">
        <f ca="1">IFERROR(IF(0=LEN(ReferenceData!$AI$379),"",ReferenceData!$AI$379),"")</f>
        <v>3167.5242119999998</v>
      </c>
      <c r="AJ379">
        <f ca="1">IFERROR(IF(0=LEN(ReferenceData!$AJ$379),"",ReferenceData!$AJ$379),"")</f>
        <v>3090.6089619999998</v>
      </c>
      <c r="AK379">
        <f ca="1">IFERROR(IF(0=LEN(ReferenceData!$AK$379),"",ReferenceData!$AK$379),"")</f>
        <v>3260.5687990000001</v>
      </c>
      <c r="AL379">
        <f ca="1">IFERROR(IF(0=LEN(ReferenceData!$AL$379),"",ReferenceData!$AL$379),"")</f>
        <v>3084.7643200000002</v>
      </c>
      <c r="AM379">
        <f ca="1">IFERROR(IF(0=LEN(ReferenceData!$AM$379),"",ReferenceData!$AM$379),"")</f>
        <v>3140.9434719999999</v>
      </c>
      <c r="AN379">
        <f ca="1">IFERROR(IF(0=LEN(ReferenceData!$AN$379),"",ReferenceData!$AN$379),"")</f>
        <v>3294.9815450000001</v>
      </c>
      <c r="AO379">
        <f ca="1">IFERROR(IF(0=LEN(ReferenceData!$AO$379),"",ReferenceData!$AO$379),"")</f>
        <v>2571.395501</v>
      </c>
      <c r="AP379">
        <f ca="1">IFERROR(IF(0=LEN(ReferenceData!$AP$379),"",ReferenceData!$AP$379),"")</f>
        <v>3644.8124950000001</v>
      </c>
      <c r="AQ379">
        <f ca="1">IFERROR(IF(0=LEN(ReferenceData!$AQ$379),"",ReferenceData!$AQ$379),"")</f>
        <v>4189.0948699999999</v>
      </c>
      <c r="AR379">
        <f ca="1">IFERROR(IF(0=LEN(ReferenceData!$AR$379),"",ReferenceData!$AR$379),"")</f>
        <v>3090.4819040000002</v>
      </c>
      <c r="AS379">
        <f ca="1">IFERROR(IF(0=LEN(ReferenceData!$AS$379),"",ReferenceData!$AS$379),"")</f>
        <v>2497.861758</v>
      </c>
      <c r="AT379">
        <f ca="1">IFERROR(IF(0=LEN(ReferenceData!$AT$379),"",ReferenceData!$AT$379),"")</f>
        <v>2330.1232409999998</v>
      </c>
      <c r="AU379">
        <f ca="1">IFERROR(IF(0=LEN(ReferenceData!$AU$379),"",ReferenceData!$AU$379),"")</f>
        <v>1281.9017160000001</v>
      </c>
      <c r="AV379">
        <f ca="1">IFERROR(IF(0=LEN(ReferenceData!$AV$379),"",ReferenceData!$AV$379),"")</f>
        <v>1375.292976</v>
      </c>
      <c r="AW379">
        <f ca="1">IFERROR(IF(0=LEN(ReferenceData!$AW$379),"",ReferenceData!$AW$379),"")</f>
        <v>1589.2975489999999</v>
      </c>
      <c r="AX379">
        <f ca="1">IFERROR(IF(0=LEN(ReferenceData!$AX$379),"",ReferenceData!$AX$379),"")</f>
        <v>2579.9174560000001</v>
      </c>
      <c r="AY379">
        <f ca="1">IFERROR(IF(0=LEN(ReferenceData!$AY$379),"",ReferenceData!$AY$379),"")</f>
        <v>4320.7330769999999</v>
      </c>
      <c r="AZ379">
        <f ca="1">IFERROR(IF(0=LEN(ReferenceData!$AZ$379),"",ReferenceData!$AZ$379),"")</f>
        <v>5373.5856510000003</v>
      </c>
      <c r="BA379">
        <f ca="1">IFERROR(IF(0=LEN(ReferenceData!$BA$379),"",ReferenceData!$BA$379),"")</f>
        <v>3308.3248659999999</v>
      </c>
      <c r="BB379">
        <f ca="1">IFERROR(IF(0=LEN(ReferenceData!$BB$379),"",ReferenceData!$BB$379),"")</f>
        <v>3084.8703559999999</v>
      </c>
      <c r="BC379">
        <f ca="1">IFERROR(IF(0=LEN(ReferenceData!$BC$379),"",ReferenceData!$BC$379),"")</f>
        <v>1992.7876209999999</v>
      </c>
      <c r="BD379">
        <f ca="1">IFERROR(IF(0=LEN(ReferenceData!$BD$379),"",ReferenceData!$BD$379),"")</f>
        <v>1359.571046</v>
      </c>
      <c r="BE379">
        <f ca="1">IFERROR(IF(0=LEN(ReferenceData!$BE$379),"",ReferenceData!$BE$379),"")</f>
        <v>1305.1292539999999</v>
      </c>
      <c r="BF379">
        <f ca="1">IFERROR(IF(0=LEN(ReferenceData!$BF$379),"",ReferenceData!$BF$379),"")</f>
        <v>1197.2300749999999</v>
      </c>
      <c r="BG379">
        <f ca="1">IFERROR(IF(0=LEN(ReferenceData!$BG$379),"",ReferenceData!$BG$379),"")</f>
        <v>862.36937750000004</v>
      </c>
      <c r="BH379">
        <f ca="1">IFERROR(IF(0=LEN(ReferenceData!$BH$379),"",ReferenceData!$BH$379),"")</f>
        <v>974.72385029999998</v>
      </c>
      <c r="BI379">
        <f ca="1">IFERROR(IF(0=LEN(ReferenceData!$BI$379),"",ReferenceData!$BI$379),"")</f>
        <v>992.21037609999996</v>
      </c>
      <c r="BJ379">
        <f ca="1">IFERROR(IF(0=LEN(ReferenceData!$BJ$379),"",ReferenceData!$BJ$379),"")</f>
        <v>789.93798249999998</v>
      </c>
      <c r="BK379">
        <f ca="1">IFERROR(IF(0=LEN(ReferenceData!$BK$379),"",ReferenceData!$BK$379),"")</f>
        <v>864.64577829999996</v>
      </c>
      <c r="BL379" t="str">
        <f ca="1">IFERROR(IF(0=LEN(ReferenceData!$BL$379),"",ReferenceData!$BL$379),"")</f>
        <v/>
      </c>
      <c r="BM379" t="str">
        <f ca="1">IFERROR(IF(0=LEN(ReferenceData!$BM$379),"",ReferenceData!$BM$379),"")</f>
        <v/>
      </c>
    </row>
    <row r="380" spans="1:65" x14ac:dyDescent="0.25">
      <c r="A380" t="str">
        <f>IFERROR(IF(0=LEN(ReferenceData!$A$380),"",ReferenceData!$A$380),"")</f>
        <v xml:space="preserve">    Daihatsu Motor Co Ltd</v>
      </c>
      <c r="B380" t="str">
        <f>IFERROR(IF(0=LEN(ReferenceData!$B$380),"",ReferenceData!$B$380),"")</f>
        <v>7262 JP Equity</v>
      </c>
      <c r="C380" t="str">
        <f>IFERROR(IF(0=LEN(ReferenceData!$C$380),"",ReferenceData!$C$380),"")</f>
        <v>RR937</v>
      </c>
      <c r="D380" t="str">
        <f>IFERROR(IF(0=LEN(ReferenceData!$D$380),"",ReferenceData!$D$380),"")</f>
        <v>CRNCY_ADJ_CURR_EV</v>
      </c>
      <c r="E380" t="str">
        <f>IFERROR(IF(0=LEN(ReferenceData!$E$380),"",ReferenceData!$E$380),"")</f>
        <v>Dynamic</v>
      </c>
      <c r="F380" t="str">
        <f ca="1">IFERROR(IF(0=LEN(ReferenceData!$F$380),"",ReferenceData!$F$380),"")</f>
        <v/>
      </c>
      <c r="G380" t="str">
        <f ca="1">IFERROR(IF(0=LEN(ReferenceData!$G$380),"",ReferenceData!$G$380),"")</f>
        <v/>
      </c>
      <c r="H380" t="str">
        <f ca="1">IFERROR(IF(0=LEN(ReferenceData!$H$380),"",ReferenceData!$H$380),"")</f>
        <v/>
      </c>
      <c r="I380" t="str">
        <f ca="1">IFERROR(IF(0=LEN(ReferenceData!$I$380),"",ReferenceData!$I$380),"")</f>
        <v/>
      </c>
      <c r="J380" t="str">
        <f ca="1">IFERROR(IF(0=LEN(ReferenceData!$J$380),"",ReferenceData!$J$380),"")</f>
        <v/>
      </c>
      <c r="K380" t="str">
        <f ca="1">IFERROR(IF(0=LEN(ReferenceData!$K$380),"",ReferenceData!$K$380),"")</f>
        <v/>
      </c>
      <c r="L380" t="str">
        <f ca="1">IFERROR(IF(0=LEN(ReferenceData!$L$380),"",ReferenceData!$L$380),"")</f>
        <v/>
      </c>
      <c r="M380" t="str">
        <f ca="1">IFERROR(IF(0=LEN(ReferenceData!$M$380),"",ReferenceData!$M$380),"")</f>
        <v/>
      </c>
      <c r="N380" t="str">
        <f ca="1">IFERROR(IF(0=LEN(ReferenceData!$N$380),"",ReferenceData!$N$380),"")</f>
        <v/>
      </c>
      <c r="O380" t="str">
        <f ca="1">IFERROR(IF(0=LEN(ReferenceData!$O$380),"",ReferenceData!$O$380),"")</f>
        <v/>
      </c>
      <c r="P380">
        <f ca="1">IFERROR(IF(0=LEN(ReferenceData!$P$380),"",ReferenceData!$P$380),"")</f>
        <v>8012.2943640000003</v>
      </c>
      <c r="Q380">
        <f ca="1">IFERROR(IF(0=LEN(ReferenceData!$Q$380),"",ReferenceData!$Q$380),"")</f>
        <v>7441.1441990000003</v>
      </c>
      <c r="R380">
        <f ca="1">IFERROR(IF(0=LEN(ReferenceData!$R$380),"",ReferenceData!$R$380),"")</f>
        <v>7823.8667299999997</v>
      </c>
      <c r="S380">
        <f ca="1">IFERROR(IF(0=LEN(ReferenceData!$S$380),"",ReferenceData!$S$380),"")</f>
        <v>7455.9635989999997</v>
      </c>
      <c r="T380">
        <f ca="1">IFERROR(IF(0=LEN(ReferenceData!$T$380),"",ReferenceData!$T$380),"")</f>
        <v>6724.8917970000002</v>
      </c>
      <c r="U380">
        <f ca="1">IFERROR(IF(0=LEN(ReferenceData!$U$380),"",ReferenceData!$U$380),"")</f>
        <v>7893.9429339999997</v>
      </c>
      <c r="V380">
        <f ca="1">IFERROR(IF(0=LEN(ReferenceData!$V$380),"",ReferenceData!$V$380),"")</f>
        <v>8117.2821329999997</v>
      </c>
      <c r="W380">
        <f ca="1">IFERROR(IF(0=LEN(ReferenceData!$W$380),"",ReferenceData!$W$380),"")</f>
        <v>7078.8058469999996</v>
      </c>
      <c r="X380">
        <f ca="1">IFERROR(IF(0=LEN(ReferenceData!$X$380),"",ReferenceData!$X$380),"")</f>
        <v>8407.1134889999994</v>
      </c>
      <c r="Y380">
        <f ca="1">IFERROR(IF(0=LEN(ReferenceData!$Y$380),"",ReferenceData!$Y$380),"")</f>
        <v>9296.8648690000009</v>
      </c>
      <c r="Z380">
        <f ca="1">IFERROR(IF(0=LEN(ReferenceData!$Z$380),"",ReferenceData!$Z$380),"")</f>
        <v>8901.5537750000003</v>
      </c>
      <c r="AA380">
        <f ca="1">IFERROR(IF(0=LEN(ReferenceData!$AA$380),"",ReferenceData!$AA$380),"")</f>
        <v>8536.4589489999998</v>
      </c>
      <c r="AB380">
        <f ca="1">IFERROR(IF(0=LEN(ReferenceData!$AB$380),"",ReferenceData!$AB$380),"")</f>
        <v>9746.7632130000002</v>
      </c>
      <c r="AC380">
        <f ca="1">IFERROR(IF(0=LEN(ReferenceData!$AC$380),"",ReferenceData!$AC$380),"")</f>
        <v>9582.8063629999997</v>
      </c>
      <c r="AD380">
        <f ca="1">IFERROR(IF(0=LEN(ReferenceData!$AD$380),"",ReferenceData!$AD$380),"")</f>
        <v>10331.023859999999</v>
      </c>
      <c r="AE380">
        <f ca="1">IFERROR(IF(0=LEN(ReferenceData!$AE$380),"",ReferenceData!$AE$380),"")</f>
        <v>10222.716410000001</v>
      </c>
      <c r="AF380">
        <f ca="1">IFERROR(IF(0=LEN(ReferenceData!$AF$380),"",ReferenceData!$AF$380),"")</f>
        <v>9069.3419859999995</v>
      </c>
      <c r="AG380">
        <f ca="1">IFERROR(IF(0=LEN(ReferenceData!$AG$380),"",ReferenceData!$AG$380),"")</f>
        <v>9247.6889890000002</v>
      </c>
      <c r="AH380">
        <f ca="1">IFERROR(IF(0=LEN(ReferenceData!$AH$380),"",ReferenceData!$AH$380),"")</f>
        <v>9577.5075219999999</v>
      </c>
      <c r="AI380">
        <f ca="1">IFERROR(IF(0=LEN(ReferenceData!$AI$380),"",ReferenceData!$AI$380),"")</f>
        <v>9351.7857189999995</v>
      </c>
      <c r="AJ380">
        <f ca="1">IFERROR(IF(0=LEN(ReferenceData!$AJ$380),"",ReferenceData!$AJ$380),"")</f>
        <v>9711.2300630000009</v>
      </c>
      <c r="AK380">
        <f ca="1">IFERROR(IF(0=LEN(ReferenceData!$AK$380),"",ReferenceData!$AK$380),"")</f>
        <v>9000.8286079999998</v>
      </c>
      <c r="AL380">
        <f ca="1">IFERROR(IF(0=LEN(ReferenceData!$AL$380),"",ReferenceData!$AL$380),"")</f>
        <v>8158.3129159999999</v>
      </c>
      <c r="AM380">
        <f ca="1">IFERROR(IF(0=LEN(ReferenceData!$AM$380),"",ReferenceData!$AM$380),"")</f>
        <v>8383.9642810000005</v>
      </c>
      <c r="AN380">
        <f ca="1">IFERROR(IF(0=LEN(ReferenceData!$AN$380),"",ReferenceData!$AN$380),"")</f>
        <v>7667.6896139999999</v>
      </c>
      <c r="AO380">
        <f ca="1">IFERROR(IF(0=LEN(ReferenceData!$AO$380),"",ReferenceData!$AO$380),"")</f>
        <v>5927.3321089999999</v>
      </c>
      <c r="AP380">
        <f ca="1">IFERROR(IF(0=LEN(ReferenceData!$AP$380),"",ReferenceData!$AP$380),"")</f>
        <v>6297.2049049999996</v>
      </c>
      <c r="AQ380">
        <f ca="1">IFERROR(IF(0=LEN(ReferenceData!$AQ$380),"",ReferenceData!$AQ$380),"")</f>
        <v>6290.0060830000002</v>
      </c>
      <c r="AR380">
        <f ca="1">IFERROR(IF(0=LEN(ReferenceData!$AR$380),"",ReferenceData!$AR$380),"")</f>
        <v>6715.4970789999998</v>
      </c>
      <c r="AS380">
        <f ca="1">IFERROR(IF(0=LEN(ReferenceData!$AS$380),"",ReferenceData!$AS$380),"")</f>
        <v>6177.4962759999999</v>
      </c>
      <c r="AT380">
        <f ca="1">IFERROR(IF(0=LEN(ReferenceData!$AT$380),"",ReferenceData!$AT$380),"")</f>
        <v>5595.9997599999997</v>
      </c>
      <c r="AU380">
        <f ca="1">IFERROR(IF(0=LEN(ReferenceData!$AU$380),"",ReferenceData!$AU$380),"")</f>
        <v>5668.4080359999998</v>
      </c>
      <c r="AV380">
        <f ca="1">IFERROR(IF(0=LEN(ReferenceData!$AV$380),"",ReferenceData!$AV$380),"")</f>
        <v>6432.6321109999999</v>
      </c>
      <c r="AW380">
        <f ca="1">IFERROR(IF(0=LEN(ReferenceData!$AW$380),"",ReferenceData!$AW$380),"")</f>
        <v>6705.4576779999998</v>
      </c>
      <c r="AX380">
        <f ca="1">IFERROR(IF(0=LEN(ReferenceData!$AX$380),"",ReferenceData!$AX$380),"")</f>
        <v>7148.4599840000001</v>
      </c>
      <c r="AY380">
        <f ca="1">IFERROR(IF(0=LEN(ReferenceData!$AY$380),"",ReferenceData!$AY$380),"")</f>
        <v>5721.358671</v>
      </c>
      <c r="AZ380">
        <f ca="1">IFERROR(IF(0=LEN(ReferenceData!$AZ$380),"",ReferenceData!$AZ$380),"")</f>
        <v>6186.5132590000003</v>
      </c>
      <c r="BA380">
        <f ca="1">IFERROR(IF(0=LEN(ReferenceData!$BA$380),"",ReferenceData!$BA$380),"")</f>
        <v>5489.7531559999998</v>
      </c>
      <c r="BB380">
        <f ca="1">IFERROR(IF(0=LEN(ReferenceData!$BB$380),"",ReferenceData!$BB$380),"")</f>
        <v>5581.2908420000003</v>
      </c>
      <c r="BC380">
        <f ca="1">IFERROR(IF(0=LEN(ReferenceData!$BC$380),"",ReferenceData!$BC$380),"")</f>
        <v>5721.059002</v>
      </c>
      <c r="BD380">
        <f ca="1">IFERROR(IF(0=LEN(ReferenceData!$BD$380),"",ReferenceData!$BD$380),"")</f>
        <v>5388.3659349999998</v>
      </c>
      <c r="BE380">
        <f ca="1">IFERROR(IF(0=LEN(ReferenceData!$BE$380),"",ReferenceData!$BE$380),"")</f>
        <v>4794.5417980000002</v>
      </c>
      <c r="BF380">
        <f ca="1">IFERROR(IF(0=LEN(ReferenceData!$BF$380),"",ReferenceData!$BF$380),"")</f>
        <v>5870.9601089999996</v>
      </c>
      <c r="BG380">
        <f ca="1">IFERROR(IF(0=LEN(ReferenceData!$BG$380),"",ReferenceData!$BG$380),"")</f>
        <v>5969.3041190000004</v>
      </c>
      <c r="BH380">
        <f ca="1">IFERROR(IF(0=LEN(ReferenceData!$BH$380),"",ReferenceData!$BH$380),"")</f>
        <v>5715.3789509999997</v>
      </c>
      <c r="BI380">
        <f ca="1">IFERROR(IF(0=LEN(ReferenceData!$BI$380),"",ReferenceData!$BI$380),"")</f>
        <v>5075.231691</v>
      </c>
      <c r="BJ380">
        <f ca="1">IFERROR(IF(0=LEN(ReferenceData!$BJ$380),"",ReferenceData!$BJ$380),"")</f>
        <v>4772.2033700000002</v>
      </c>
      <c r="BK380">
        <f ca="1">IFERROR(IF(0=LEN(ReferenceData!$BK$380),"",ReferenceData!$BK$380),"")</f>
        <v>4813.5514739999999</v>
      </c>
      <c r="BL380">
        <f ca="1">IFERROR(IF(0=LEN(ReferenceData!$BL$380),"",ReferenceData!$BL$380),"")</f>
        <v>4822.2184440000001</v>
      </c>
      <c r="BM380">
        <f ca="1">IFERROR(IF(0=LEN(ReferenceData!$BM$380),"",ReferenceData!$BM$380),"")</f>
        <v>4461.5071390000003</v>
      </c>
    </row>
    <row r="381" spans="1:65" x14ac:dyDescent="0.25">
      <c r="A381" t="str">
        <f>IFERROR(IF(0=LEN(ReferenceData!$A$381),"",ReferenceData!$A$381),"")</f>
        <v xml:space="preserve">    Daimler AG</v>
      </c>
      <c r="B381" t="str">
        <f>IFERROR(IF(0=LEN(ReferenceData!$B$381),"",ReferenceData!$B$381),"")</f>
        <v>DAI GR Equity</v>
      </c>
      <c r="C381" t="str">
        <f>IFERROR(IF(0=LEN(ReferenceData!$C$381),"",ReferenceData!$C$381),"")</f>
        <v>RR937</v>
      </c>
      <c r="D381" t="str">
        <f>IFERROR(IF(0=LEN(ReferenceData!$D$381),"",ReferenceData!$D$381),"")</f>
        <v>CRNCY_ADJ_CURR_EV</v>
      </c>
      <c r="E381" t="str">
        <f>IFERROR(IF(0=LEN(ReferenceData!$E$381),"",ReferenceData!$E$381),"")</f>
        <v>Dynamic</v>
      </c>
      <c r="F381">
        <f ca="1">IFERROR(IF(0=LEN(ReferenceData!$F$381),"",ReferenceData!$F$381),"")</f>
        <v>43700.945540000001</v>
      </c>
      <c r="G381">
        <f ca="1">IFERROR(IF(0=LEN(ReferenceData!$G$381),"",ReferenceData!$G$381),"")</f>
        <v>36331.166870000001</v>
      </c>
      <c r="H381">
        <f ca="1">IFERROR(IF(0=LEN(ReferenceData!$H$381),"",ReferenceData!$H$381),"")</f>
        <v>48705.814279999999</v>
      </c>
      <c r="I381">
        <f ca="1">IFERROR(IF(0=LEN(ReferenceData!$I$381),"",ReferenceData!$I$381),"")</f>
        <v>48143.264969999997</v>
      </c>
      <c r="J381">
        <f ca="1">IFERROR(IF(0=LEN(ReferenceData!$J$381),"",ReferenceData!$J$381),"")</f>
        <v>64856.863140000001</v>
      </c>
      <c r="K381">
        <f ca="1">IFERROR(IF(0=LEN(ReferenceData!$K$381),"",ReferenceData!$K$381),"")</f>
        <v>68433.421180000005</v>
      </c>
      <c r="L381">
        <f ca="1">IFERROR(IF(0=LEN(ReferenceData!$L$381),"",ReferenceData!$L$381),"")</f>
        <v>55912.995349999997</v>
      </c>
      <c r="M381">
        <f ca="1">IFERROR(IF(0=LEN(ReferenceData!$M$381),"",ReferenceData!$M$381),"")</f>
        <v>52039.485229999998</v>
      </c>
      <c r="N381">
        <f ca="1">IFERROR(IF(0=LEN(ReferenceData!$N$381),"",ReferenceData!$N$381),"")</f>
        <v>52562.98934</v>
      </c>
      <c r="O381">
        <f ca="1">IFERROR(IF(0=LEN(ReferenceData!$O$381),"",ReferenceData!$O$381),"")</f>
        <v>56890.413679999998</v>
      </c>
      <c r="P381">
        <f ca="1">IFERROR(IF(0=LEN(ReferenceData!$P$381),"",ReferenceData!$P$381),"")</f>
        <v>52481.930659999998</v>
      </c>
      <c r="Q381">
        <f ca="1">IFERROR(IF(0=LEN(ReferenceData!$Q$381),"",ReferenceData!$Q$381),"")</f>
        <v>42215.978470000002</v>
      </c>
      <c r="R381">
        <f ca="1">IFERROR(IF(0=LEN(ReferenceData!$R$381),"",ReferenceData!$R$381),"")</f>
        <v>58777.253270000001</v>
      </c>
      <c r="S381">
        <f ca="1">IFERROR(IF(0=LEN(ReferenceData!$S$381),"",ReferenceData!$S$381),"")</f>
        <v>68683.638269999996</v>
      </c>
      <c r="T381">
        <f ca="1">IFERROR(IF(0=LEN(ReferenceData!$T$381),"",ReferenceData!$T$381),"")</f>
        <v>53197.079270000002</v>
      </c>
      <c r="U381">
        <f ca="1">IFERROR(IF(0=LEN(ReferenceData!$U$381),"",ReferenceData!$U$381),"")</f>
        <v>74976.537949999998</v>
      </c>
      <c r="V381">
        <f ca="1">IFERROR(IF(0=LEN(ReferenceData!$V$381),"",ReferenceData!$V$381),"")</f>
        <v>78756.296910000005</v>
      </c>
      <c r="W381">
        <f ca="1">IFERROR(IF(0=LEN(ReferenceData!$W$381),"",ReferenceData!$W$381),"")</f>
        <v>66754.920530000003</v>
      </c>
      <c r="X381">
        <f ca="1">IFERROR(IF(0=LEN(ReferenceData!$X$381),"",ReferenceData!$X$381),"")</f>
        <v>55848.670510000004</v>
      </c>
      <c r="Y381">
        <f ca="1">IFERROR(IF(0=LEN(ReferenceData!$Y$381),"",ReferenceData!$Y$381),"")</f>
        <v>78579.629830000005</v>
      </c>
      <c r="Z381">
        <f ca="1">IFERROR(IF(0=LEN(ReferenceData!$Z$381),"",ReferenceData!$Z$381),"")</f>
        <v>76772.107969999997</v>
      </c>
      <c r="AA381">
        <f ca="1">IFERROR(IF(0=LEN(ReferenceData!$AA$381),"",ReferenceData!$AA$381),"")</f>
        <v>70153.026719999994</v>
      </c>
      <c r="AB381">
        <f ca="1">IFERROR(IF(0=LEN(ReferenceData!$AB$381),"",ReferenceData!$AB$381),"")</f>
        <v>61891.828939999999</v>
      </c>
      <c r="AC381">
        <f ca="1">IFERROR(IF(0=LEN(ReferenceData!$AC$381),"",ReferenceData!$AC$381),"")</f>
        <v>45310.828200000004</v>
      </c>
      <c r="AD381">
        <f ca="1">IFERROR(IF(0=LEN(ReferenceData!$AD$381),"",ReferenceData!$AD$381),"")</f>
        <v>42775.776360000003</v>
      </c>
      <c r="AE381">
        <f ca="1">IFERROR(IF(0=LEN(ReferenceData!$AE$381),"",ReferenceData!$AE$381),"")</f>
        <v>41641.939380000003</v>
      </c>
      <c r="AF381">
        <f ca="1">IFERROR(IF(0=LEN(ReferenceData!$AF$381),"",ReferenceData!$AF$381),"")</f>
        <v>39615.617109999999</v>
      </c>
      <c r="AG381">
        <f ca="1">IFERROR(IF(0=LEN(ReferenceData!$AG$381),"",ReferenceData!$AG$381),"")</f>
        <v>34931.513039999998</v>
      </c>
      <c r="AH381">
        <f ca="1">IFERROR(IF(0=LEN(ReferenceData!$AH$381),"",ReferenceData!$AH$381),"")</f>
        <v>49114.304349999999</v>
      </c>
      <c r="AI381">
        <f ca="1">IFERROR(IF(0=LEN(ReferenceData!$AI$381),"",ReferenceData!$AI$381),"")</f>
        <v>29561.833910000001</v>
      </c>
      <c r="AJ381">
        <f ca="1">IFERROR(IF(0=LEN(ReferenceData!$AJ$381),"",ReferenceData!$AJ$381),"")</f>
        <v>32329.606800000001</v>
      </c>
      <c r="AK381">
        <f ca="1">IFERROR(IF(0=LEN(ReferenceData!$AK$381),"",ReferenceData!$AK$381),"")</f>
        <v>61047.860330000003</v>
      </c>
      <c r="AL381">
        <f ca="1">IFERROR(IF(0=LEN(ReferenceData!$AL$381),"",ReferenceData!$AL$381),"")</f>
        <v>55818.373979999997</v>
      </c>
      <c r="AM381">
        <f ca="1">IFERROR(IF(0=LEN(ReferenceData!$AM$381),"",ReferenceData!$AM$381),"")</f>
        <v>54787.347470000001</v>
      </c>
      <c r="AN381">
        <f ca="1">IFERROR(IF(0=LEN(ReferenceData!$AN$381),"",ReferenceData!$AN$381),"")</f>
        <v>49236.324130000001</v>
      </c>
      <c r="AO381">
        <f ca="1">IFERROR(IF(0=LEN(ReferenceData!$AO$381),"",ReferenceData!$AO$381),"")</f>
        <v>41509.088060000002</v>
      </c>
      <c r="AP381">
        <f ca="1">IFERROR(IF(0=LEN(ReferenceData!$AP$381),"",ReferenceData!$AP$381),"")</f>
        <v>39240.578320000001</v>
      </c>
      <c r="AQ381">
        <f ca="1">IFERROR(IF(0=LEN(ReferenceData!$AQ$381),"",ReferenceData!$AQ$381),"")</f>
        <v>47852.100209999997</v>
      </c>
      <c r="AR381">
        <f ca="1">IFERROR(IF(0=LEN(ReferenceData!$AR$381),"",ReferenceData!$AR$381),"")</f>
        <v>43194.835149999999</v>
      </c>
      <c r="AS381">
        <f ca="1">IFERROR(IF(0=LEN(ReferenceData!$AS$381),"",ReferenceData!$AS$381),"")</f>
        <v>30693.674230000001</v>
      </c>
      <c r="AT381">
        <f ca="1">IFERROR(IF(0=LEN(ReferenceData!$AT$381),"",ReferenceData!$AT$381),"")</f>
        <v>21613.989280000002</v>
      </c>
      <c r="AU381">
        <f ca="1">IFERROR(IF(0=LEN(ReferenceData!$AU$381),"",ReferenceData!$AU$381),"")</f>
        <v>119083.6032</v>
      </c>
      <c r="AV381">
        <f ca="1">IFERROR(IF(0=LEN(ReferenceData!$AV$381),"",ReferenceData!$AV$381),"")</f>
        <v>125390.20269999999</v>
      </c>
      <c r="AW381">
        <f ca="1">IFERROR(IF(0=LEN(ReferenceData!$AW$381),"",ReferenceData!$AW$381),"")</f>
        <v>136936.73199999999</v>
      </c>
      <c r="AX381">
        <f ca="1">IFERROR(IF(0=LEN(ReferenceData!$AX$381),"",ReferenceData!$AX$381),"")</f>
        <v>156807.89439999999</v>
      </c>
      <c r="AY381">
        <f ca="1">IFERROR(IF(0=LEN(ReferenceData!$AY$381),"",ReferenceData!$AY$381),"")</f>
        <v>167542.2536</v>
      </c>
      <c r="AZ381">
        <f ca="1">IFERROR(IF(0=LEN(ReferenceData!$AZ$381),"",ReferenceData!$AZ$381),"")</f>
        <v>166470.71419999999</v>
      </c>
      <c r="BA381">
        <f ca="1">IFERROR(IF(0=LEN(ReferenceData!$BA$381),"",ReferenceData!$BA$381),"")</f>
        <v>182934.41959999999</v>
      </c>
      <c r="BB381">
        <f ca="1">IFERROR(IF(0=LEN(ReferenceData!$BB$381),"",ReferenceData!$BB$381),"")</f>
        <v>202209.98509999999</v>
      </c>
      <c r="BC381">
        <f ca="1">IFERROR(IF(0=LEN(ReferenceData!$BC$381),"",ReferenceData!$BC$381),"")</f>
        <v>188196.0816</v>
      </c>
      <c r="BD381">
        <f ca="1">IFERROR(IF(0=LEN(ReferenceData!$BD$381),"",ReferenceData!$BD$381),"")</f>
        <v>141529.1967</v>
      </c>
      <c r="BE381">
        <f ca="1">IFERROR(IF(0=LEN(ReferenceData!$BE$381),"",ReferenceData!$BE$381),"")</f>
        <v>139794.93280000001</v>
      </c>
      <c r="BF381">
        <f ca="1">IFERROR(IF(0=LEN(ReferenceData!$BF$381),"",ReferenceData!$BF$381),"")</f>
        <v>142698.9613</v>
      </c>
      <c r="BG381">
        <f ca="1">IFERROR(IF(0=LEN(ReferenceData!$BG$381),"",ReferenceData!$BG$381),"")</f>
        <v>133525.03169999999</v>
      </c>
      <c r="BH381">
        <f ca="1">IFERROR(IF(0=LEN(ReferenceData!$BH$381),"",ReferenceData!$BH$381),"")</f>
        <v>134785.53769999999</v>
      </c>
      <c r="BI381">
        <f ca="1">IFERROR(IF(0=LEN(ReferenceData!$BI$381),"",ReferenceData!$BI$381),"")</f>
        <v>122320.9964</v>
      </c>
      <c r="BJ381">
        <f ca="1">IFERROR(IF(0=LEN(ReferenceData!$BJ$381),"",ReferenceData!$BJ$381),"")</f>
        <v>129829.0879</v>
      </c>
      <c r="BK381">
        <f ca="1">IFERROR(IF(0=LEN(ReferenceData!$BK$381),"",ReferenceData!$BK$381),"")</f>
        <v>138533.06460000001</v>
      </c>
      <c r="BL381">
        <f ca="1">IFERROR(IF(0=LEN(ReferenceData!$BL$381),"",ReferenceData!$BL$381),"")</f>
        <v>122920.36</v>
      </c>
      <c r="BM381">
        <f ca="1">IFERROR(IF(0=LEN(ReferenceData!$BM$381),"",ReferenceData!$BM$381),"")</f>
        <v>127882.311</v>
      </c>
    </row>
    <row r="382" spans="1:65" x14ac:dyDescent="0.25">
      <c r="A382" t="str">
        <f>IFERROR(IF(0=LEN(ReferenceData!$A$382),"",ReferenceData!$A$382),"")</f>
        <v xml:space="preserve">    Dongfeng Motor Group Co Ltd</v>
      </c>
      <c r="B382" t="str">
        <f>IFERROR(IF(0=LEN(ReferenceData!$B$382),"",ReferenceData!$B$382),"")</f>
        <v>489 HK Equity</v>
      </c>
      <c r="C382" t="str">
        <f>IFERROR(IF(0=LEN(ReferenceData!$C$382),"",ReferenceData!$C$382),"")</f>
        <v>RR937</v>
      </c>
      <c r="D382" t="str">
        <f>IFERROR(IF(0=LEN(ReferenceData!$D$382),"",ReferenceData!$D$382),"")</f>
        <v>CRNCY_ADJ_CURR_EV</v>
      </c>
      <c r="E382" t="str">
        <f>IFERROR(IF(0=LEN(ReferenceData!$E$382),"",ReferenceData!$E$382),"")</f>
        <v>Dynamic</v>
      </c>
      <c r="F382" t="str">
        <f ca="1">IFERROR(IF(0=LEN(ReferenceData!$F$382),"",ReferenceData!$F$382),"")</f>
        <v/>
      </c>
      <c r="G382" t="str">
        <f ca="1">IFERROR(IF(0=LEN(ReferenceData!$G$382),"",ReferenceData!$G$382),"")</f>
        <v/>
      </c>
      <c r="H382" t="str">
        <f ca="1">IFERROR(IF(0=LEN(ReferenceData!$H$382),"",ReferenceData!$H$382),"")</f>
        <v/>
      </c>
      <c r="I382" t="str">
        <f ca="1">IFERROR(IF(0=LEN(ReferenceData!$I$382),"",ReferenceData!$I$382),"")</f>
        <v/>
      </c>
      <c r="J382" t="str">
        <f ca="1">IFERROR(IF(0=LEN(ReferenceData!$J$382),"",ReferenceData!$J$382),"")</f>
        <v/>
      </c>
      <c r="K382" t="str">
        <f ca="1">IFERROR(IF(0=LEN(ReferenceData!$K$382),"",ReferenceData!$K$382),"")</f>
        <v/>
      </c>
      <c r="L382" t="str">
        <f ca="1">IFERROR(IF(0=LEN(ReferenceData!$L$382),"",ReferenceData!$L$382),"")</f>
        <v/>
      </c>
      <c r="M382" t="str">
        <f ca="1">IFERROR(IF(0=LEN(ReferenceData!$M$382),"",ReferenceData!$M$382),"")</f>
        <v/>
      </c>
      <c r="N382" t="str">
        <f ca="1">IFERROR(IF(0=LEN(ReferenceData!$N$382),"",ReferenceData!$N$382),"")</f>
        <v/>
      </c>
      <c r="O382" t="str">
        <f ca="1">IFERROR(IF(0=LEN(ReferenceData!$O$382),"",ReferenceData!$O$382),"")</f>
        <v/>
      </c>
      <c r="P382" t="str">
        <f ca="1">IFERROR(IF(0=LEN(ReferenceData!$P$382),"",ReferenceData!$P$382),"")</f>
        <v/>
      </c>
      <c r="Q382" t="str">
        <f ca="1">IFERROR(IF(0=LEN(ReferenceData!$Q$382),"",ReferenceData!$Q$382),"")</f>
        <v/>
      </c>
      <c r="R382" t="str">
        <f ca="1">IFERROR(IF(0=LEN(ReferenceData!$R$382),"",ReferenceData!$R$382),"")</f>
        <v/>
      </c>
      <c r="S382" t="str">
        <f ca="1">IFERROR(IF(0=LEN(ReferenceData!$S$382),"",ReferenceData!$S$382),"")</f>
        <v/>
      </c>
      <c r="T382" t="str">
        <f ca="1">IFERROR(IF(0=LEN(ReferenceData!$T$382),"",ReferenceData!$T$382),"")</f>
        <v/>
      </c>
      <c r="U382" t="str">
        <f ca="1">IFERROR(IF(0=LEN(ReferenceData!$U$382),"",ReferenceData!$U$382),"")</f>
        <v/>
      </c>
      <c r="V382" t="str">
        <f ca="1">IFERROR(IF(0=LEN(ReferenceData!$V$382),"",ReferenceData!$V$382),"")</f>
        <v/>
      </c>
      <c r="W382" t="str">
        <f ca="1">IFERROR(IF(0=LEN(ReferenceData!$W$382),"",ReferenceData!$W$382),"")</f>
        <v/>
      </c>
      <c r="X382" t="str">
        <f ca="1">IFERROR(IF(0=LEN(ReferenceData!$X$382),"",ReferenceData!$X$382),"")</f>
        <v/>
      </c>
      <c r="Y382" t="str">
        <f ca="1">IFERROR(IF(0=LEN(ReferenceData!$Y$382),"",ReferenceData!$Y$382),"")</f>
        <v/>
      </c>
      <c r="Z382" t="str">
        <f ca="1">IFERROR(IF(0=LEN(ReferenceData!$Z$382),"",ReferenceData!$Z$382),"")</f>
        <v/>
      </c>
      <c r="AA382" t="str">
        <f ca="1">IFERROR(IF(0=LEN(ReferenceData!$AA$382),"",ReferenceData!$AA$382),"")</f>
        <v/>
      </c>
      <c r="AB382" t="str">
        <f ca="1">IFERROR(IF(0=LEN(ReferenceData!$AB$382),"",ReferenceData!$AB$382),"")</f>
        <v/>
      </c>
      <c r="AC382" t="str">
        <f ca="1">IFERROR(IF(0=LEN(ReferenceData!$AC$382),"",ReferenceData!$AC$382),"")</f>
        <v/>
      </c>
      <c r="AD382" t="str">
        <f ca="1">IFERROR(IF(0=LEN(ReferenceData!$AD$382),"",ReferenceData!$AD$382),"")</f>
        <v/>
      </c>
      <c r="AE382" t="str">
        <f ca="1">IFERROR(IF(0=LEN(ReferenceData!$AE$382),"",ReferenceData!$AE$382),"")</f>
        <v/>
      </c>
      <c r="AF382" t="str">
        <f ca="1">IFERROR(IF(0=LEN(ReferenceData!$AF$382),"",ReferenceData!$AF$382),"")</f>
        <v/>
      </c>
      <c r="AG382" t="str">
        <f ca="1">IFERROR(IF(0=LEN(ReferenceData!$AG$382),"",ReferenceData!$AG$382),"")</f>
        <v/>
      </c>
      <c r="AH382" t="str">
        <f ca="1">IFERROR(IF(0=LEN(ReferenceData!$AH$382),"",ReferenceData!$AH$382),"")</f>
        <v/>
      </c>
      <c r="AI382" t="str">
        <f ca="1">IFERROR(IF(0=LEN(ReferenceData!$AI$382),"",ReferenceData!$AI$382),"")</f>
        <v/>
      </c>
      <c r="AJ382" t="str">
        <f ca="1">IFERROR(IF(0=LEN(ReferenceData!$AJ$382),"",ReferenceData!$AJ$382),"")</f>
        <v/>
      </c>
      <c r="AK382" t="str">
        <f ca="1">IFERROR(IF(0=LEN(ReferenceData!$AK$382),"",ReferenceData!$AK$382),"")</f>
        <v/>
      </c>
      <c r="AL382" t="str">
        <f ca="1">IFERROR(IF(0=LEN(ReferenceData!$AL$382),"",ReferenceData!$AL$382),"")</f>
        <v/>
      </c>
      <c r="AM382" t="str">
        <f ca="1">IFERROR(IF(0=LEN(ReferenceData!$AM$382),"",ReferenceData!$AM$382),"")</f>
        <v/>
      </c>
      <c r="AN382" t="str">
        <f ca="1">IFERROR(IF(0=LEN(ReferenceData!$AN$382),"",ReferenceData!$AN$382),"")</f>
        <v/>
      </c>
      <c r="AO382" t="str">
        <f ca="1">IFERROR(IF(0=LEN(ReferenceData!$AO$382),"",ReferenceData!$AO$382),"")</f>
        <v/>
      </c>
      <c r="AP382" t="str">
        <f ca="1">IFERROR(IF(0=LEN(ReferenceData!$AP$382),"",ReferenceData!$AP$382),"")</f>
        <v/>
      </c>
      <c r="AQ382" t="str">
        <f ca="1">IFERROR(IF(0=LEN(ReferenceData!$AQ$382),"",ReferenceData!$AQ$382),"")</f>
        <v/>
      </c>
      <c r="AR382" t="str">
        <f ca="1">IFERROR(IF(0=LEN(ReferenceData!$AR$382),"",ReferenceData!$AR$382),"")</f>
        <v/>
      </c>
      <c r="AS382" t="str">
        <f ca="1">IFERROR(IF(0=LEN(ReferenceData!$AS$382),"",ReferenceData!$AS$382),"")</f>
        <v/>
      </c>
      <c r="AT382" t="str">
        <f ca="1">IFERROR(IF(0=LEN(ReferenceData!$AT$382),"",ReferenceData!$AT$382),"")</f>
        <v/>
      </c>
      <c r="AU382" t="str">
        <f ca="1">IFERROR(IF(0=LEN(ReferenceData!$AU$382),"",ReferenceData!$AU$382),"")</f>
        <v/>
      </c>
      <c r="AV382" t="str">
        <f ca="1">IFERROR(IF(0=LEN(ReferenceData!$AV$382),"",ReferenceData!$AV$382),"")</f>
        <v/>
      </c>
      <c r="AW382" t="str">
        <f ca="1">IFERROR(IF(0=LEN(ReferenceData!$AW$382),"",ReferenceData!$AW$382),"")</f>
        <v/>
      </c>
      <c r="AX382" t="str">
        <f ca="1">IFERROR(IF(0=LEN(ReferenceData!$AX$382),"",ReferenceData!$AX$382),"")</f>
        <v/>
      </c>
      <c r="AY382" t="str">
        <f ca="1">IFERROR(IF(0=LEN(ReferenceData!$AY$382),"",ReferenceData!$AY$382),"")</f>
        <v/>
      </c>
      <c r="AZ382" t="str">
        <f ca="1">IFERROR(IF(0=LEN(ReferenceData!$AZ$382),"",ReferenceData!$AZ$382),"")</f>
        <v/>
      </c>
      <c r="BA382" t="str">
        <f ca="1">IFERROR(IF(0=LEN(ReferenceData!$BA$382),"",ReferenceData!$BA$382),"")</f>
        <v/>
      </c>
      <c r="BB382" t="str">
        <f ca="1">IFERROR(IF(0=LEN(ReferenceData!$BB$382),"",ReferenceData!$BB$382),"")</f>
        <v/>
      </c>
      <c r="BC382" t="str">
        <f ca="1">IFERROR(IF(0=LEN(ReferenceData!$BC$382),"",ReferenceData!$BC$382),"")</f>
        <v/>
      </c>
      <c r="BD382" t="str">
        <f ca="1">IFERROR(IF(0=LEN(ReferenceData!$BD$382),"",ReferenceData!$BD$382),"")</f>
        <v/>
      </c>
      <c r="BE382" t="str">
        <f ca="1">IFERROR(IF(0=LEN(ReferenceData!$BE$382),"",ReferenceData!$BE$382),"")</f>
        <v/>
      </c>
      <c r="BF382" t="str">
        <f ca="1">IFERROR(IF(0=LEN(ReferenceData!$BF$382),"",ReferenceData!$BF$382),"")</f>
        <v/>
      </c>
      <c r="BG382" t="str">
        <f ca="1">IFERROR(IF(0=LEN(ReferenceData!$BG$382),"",ReferenceData!$BG$382),"")</f>
        <v/>
      </c>
      <c r="BH382" t="str">
        <f ca="1">IFERROR(IF(0=LEN(ReferenceData!$BH$382),"",ReferenceData!$BH$382),"")</f>
        <v/>
      </c>
      <c r="BI382" t="str">
        <f ca="1">IFERROR(IF(0=LEN(ReferenceData!$BI$382),"",ReferenceData!$BI$382),"")</f>
        <v/>
      </c>
      <c r="BJ382" t="str">
        <f ca="1">IFERROR(IF(0=LEN(ReferenceData!$BJ$382),"",ReferenceData!$BJ$382),"")</f>
        <v/>
      </c>
      <c r="BK382" t="str">
        <f ca="1">IFERROR(IF(0=LEN(ReferenceData!$BK$382),"",ReferenceData!$BK$382),"")</f>
        <v/>
      </c>
      <c r="BL382" t="str">
        <f ca="1">IFERROR(IF(0=LEN(ReferenceData!$BL$382),"",ReferenceData!$BL$382),"")</f>
        <v/>
      </c>
      <c r="BM382" t="str">
        <f ca="1">IFERROR(IF(0=LEN(ReferenceData!$BM$382),"",ReferenceData!$BM$382),"")</f>
        <v/>
      </c>
    </row>
    <row r="383" spans="1:65" x14ac:dyDescent="0.25">
      <c r="A383" t="str">
        <f>IFERROR(IF(0=LEN(ReferenceData!$A$383),"",ReferenceData!$A$383),"")</f>
        <v xml:space="preserve">    DRB-Hicom Bhd</v>
      </c>
      <c r="B383" t="str">
        <f>IFERROR(IF(0=LEN(ReferenceData!$B$383),"",ReferenceData!$B$383),"")</f>
        <v>DRB MK Equity</v>
      </c>
      <c r="C383" t="str">
        <f>IFERROR(IF(0=LEN(ReferenceData!$C$383),"",ReferenceData!$C$383),"")</f>
        <v>RR937</v>
      </c>
      <c r="D383" t="str">
        <f>IFERROR(IF(0=LEN(ReferenceData!$D$383),"",ReferenceData!$D$383),"")</f>
        <v>CRNCY_ADJ_CURR_EV</v>
      </c>
      <c r="E383" t="str">
        <f>IFERROR(IF(0=LEN(ReferenceData!$E$383),"",ReferenceData!$E$383),"")</f>
        <v>Dynamic</v>
      </c>
      <c r="F383" t="str">
        <f ca="1">IFERROR(IF(0=LEN(ReferenceData!$F$383),"",ReferenceData!$F$383),"")</f>
        <v/>
      </c>
      <c r="G383">
        <f ca="1">IFERROR(IF(0=LEN(ReferenceData!$G$383),"",ReferenceData!$G$383),"")</f>
        <v>1854.762549</v>
      </c>
      <c r="H383">
        <f ca="1">IFERROR(IF(0=LEN(ReferenceData!$H$383),"",ReferenceData!$H$383),"")</f>
        <v>2090.3811529999998</v>
      </c>
      <c r="I383">
        <f ca="1">IFERROR(IF(0=LEN(ReferenceData!$I$383),"",ReferenceData!$I$383),"")</f>
        <v>2350.2372799999998</v>
      </c>
      <c r="J383">
        <f ca="1">IFERROR(IF(0=LEN(ReferenceData!$J$383),"",ReferenceData!$J$383),"")</f>
        <v>2340.4883199999999</v>
      </c>
      <c r="K383">
        <f ca="1">IFERROR(IF(0=LEN(ReferenceData!$K$383),"",ReferenceData!$K$383),"")</f>
        <v>2027.388537</v>
      </c>
      <c r="L383">
        <f ca="1">IFERROR(IF(0=LEN(ReferenceData!$L$383),"",ReferenceData!$L$383),"")</f>
        <v>2306.0645100000002</v>
      </c>
      <c r="M383">
        <f ca="1">IFERROR(IF(0=LEN(ReferenceData!$M$383),"",ReferenceData!$M$383),"")</f>
        <v>2289.9518360000002</v>
      </c>
      <c r="N383">
        <f ca="1">IFERROR(IF(0=LEN(ReferenceData!$N$383),"",ReferenceData!$N$383),"")</f>
        <v>2028.4625209999999</v>
      </c>
      <c r="O383">
        <f ca="1">IFERROR(IF(0=LEN(ReferenceData!$O$383),"",ReferenceData!$O$383),"")</f>
        <v>1840.8615150000001</v>
      </c>
      <c r="P383">
        <f ca="1">IFERROR(IF(0=LEN(ReferenceData!$P$383),"",ReferenceData!$P$383),"")</f>
        <v>2038.386471</v>
      </c>
      <c r="Q383">
        <f ca="1">IFERROR(IF(0=LEN(ReferenceData!$Q$383),"",ReferenceData!$Q$383),"")</f>
        <v>1754.994328</v>
      </c>
      <c r="R383">
        <f ca="1">IFERROR(IF(0=LEN(ReferenceData!$R$383),"",ReferenceData!$R$383),"")</f>
        <v>1960.1385829999999</v>
      </c>
      <c r="S383">
        <f ca="1">IFERROR(IF(0=LEN(ReferenceData!$S$383),"",ReferenceData!$S$383),"")</f>
        <v>1572.7472419999999</v>
      </c>
      <c r="T383">
        <f ca="1">IFERROR(IF(0=LEN(ReferenceData!$T$383),"",ReferenceData!$T$383),"")</f>
        <v>2235.2868880000001</v>
      </c>
      <c r="U383">
        <f ca="1">IFERROR(IF(0=LEN(ReferenceData!$U$383),"",ReferenceData!$U$383),"")</f>
        <v>2693.6735640000002</v>
      </c>
      <c r="V383">
        <f ca="1">IFERROR(IF(0=LEN(ReferenceData!$V$383),"",ReferenceData!$V$383),"")</f>
        <v>2122.7448680000002</v>
      </c>
      <c r="W383">
        <f ca="1">IFERROR(IF(0=LEN(ReferenceData!$W$383),"",ReferenceData!$W$383),"")</f>
        <v>2644.613981</v>
      </c>
      <c r="X383">
        <f ca="1">IFERROR(IF(0=LEN(ReferenceData!$X$383),"",ReferenceData!$X$383),"")</f>
        <v>2970.9552610000001</v>
      </c>
      <c r="Y383">
        <f ca="1">IFERROR(IF(0=LEN(ReferenceData!$Y$383),"",ReferenceData!$Y$383),"")</f>
        <v>2963.0793619999999</v>
      </c>
      <c r="Z383">
        <f ca="1">IFERROR(IF(0=LEN(ReferenceData!$Z$383),"",ReferenceData!$Z$383),"")</f>
        <v>2636.5286470000001</v>
      </c>
      <c r="AA383">
        <f ca="1">IFERROR(IF(0=LEN(ReferenceData!$AA$383),"",ReferenceData!$AA$383),"")</f>
        <v>2310.3905260000001</v>
      </c>
      <c r="AB383">
        <f ca="1">IFERROR(IF(0=LEN(ReferenceData!$AB$383),"",ReferenceData!$AB$383),"")</f>
        <v>2322.22721</v>
      </c>
      <c r="AC383">
        <f ca="1">IFERROR(IF(0=LEN(ReferenceData!$AC$383),"",ReferenceData!$AC$383),"")</f>
        <v>2446.864654</v>
      </c>
      <c r="AD383">
        <f ca="1">IFERROR(IF(0=LEN(ReferenceData!$AD$383),"",ReferenceData!$AD$383),"")</f>
        <v>1406.279837</v>
      </c>
      <c r="AE383">
        <f ca="1">IFERROR(IF(0=LEN(ReferenceData!$AE$383),"",ReferenceData!$AE$383),"")</f>
        <v>2380.7828939999999</v>
      </c>
      <c r="AF383">
        <f ca="1">IFERROR(IF(0=LEN(ReferenceData!$AF$383),"",ReferenceData!$AF$383),"")</f>
        <v>2121.450601</v>
      </c>
      <c r="AG383">
        <f ca="1">IFERROR(IF(0=LEN(ReferenceData!$AG$383),"",ReferenceData!$AG$383),"")</f>
        <v>2141.4501529999998</v>
      </c>
      <c r="AH383">
        <f ca="1">IFERROR(IF(0=LEN(ReferenceData!$AH$383),"",ReferenceData!$AH$383),"")</f>
        <v>849.23657739999999</v>
      </c>
      <c r="AI383">
        <f ca="1">IFERROR(IF(0=LEN(ReferenceData!$AI$383),"",ReferenceData!$AI$383),"")</f>
        <v>576.41389660000004</v>
      </c>
      <c r="AJ383">
        <f ca="1">IFERROR(IF(0=LEN(ReferenceData!$AJ$383),"",ReferenceData!$AJ$383),"")</f>
        <v>428.61632689999999</v>
      </c>
      <c r="AK383">
        <f ca="1">IFERROR(IF(0=LEN(ReferenceData!$AK$383),"",ReferenceData!$AK$383),"")</f>
        <v>-866.29490390000001</v>
      </c>
      <c r="AL383">
        <f ca="1">IFERROR(IF(0=LEN(ReferenceData!$AL$383),"",ReferenceData!$AL$383),"")</f>
        <v>-722.43257670000003</v>
      </c>
      <c r="AM383">
        <f ca="1">IFERROR(IF(0=LEN(ReferenceData!$AM$383),"",ReferenceData!$AM$383),"")</f>
        <v>3321.3724900000002</v>
      </c>
      <c r="AN383">
        <f ca="1">IFERROR(IF(0=LEN(ReferenceData!$AN$383),"",ReferenceData!$AN$383),"")</f>
        <v>3519.6399179999999</v>
      </c>
      <c r="AO383">
        <f ca="1">IFERROR(IF(0=LEN(ReferenceData!$AO$383),"",ReferenceData!$AO$383),"")</f>
        <v>3338.6971149999999</v>
      </c>
      <c r="AP383">
        <f ca="1">IFERROR(IF(0=LEN(ReferenceData!$AP$383),"",ReferenceData!$AP$383),"")</f>
        <v>-1543.493872</v>
      </c>
      <c r="AQ383">
        <f ca="1">IFERROR(IF(0=LEN(ReferenceData!$AQ$383),"",ReferenceData!$AQ$383),"")</f>
        <v>-551.03098829999999</v>
      </c>
      <c r="AR383">
        <f ca="1">IFERROR(IF(0=LEN(ReferenceData!$AR$383),"",ReferenceData!$AR$383),"")</f>
        <v>-792.85825799999998</v>
      </c>
      <c r="AS383">
        <f ca="1">IFERROR(IF(0=LEN(ReferenceData!$AS$383),"",ReferenceData!$AS$383),"")</f>
        <v>3042.7276080000001</v>
      </c>
      <c r="AT383">
        <f ca="1">IFERROR(IF(0=LEN(ReferenceData!$AT$383),"",ReferenceData!$AT$383),"")</f>
        <v>-769.09160010000005</v>
      </c>
      <c r="AU383">
        <f ca="1">IFERROR(IF(0=LEN(ReferenceData!$AU$383),"",ReferenceData!$AU$383),"")</f>
        <v>-650.14165639999999</v>
      </c>
      <c r="AV383">
        <f ca="1">IFERROR(IF(0=LEN(ReferenceData!$AV$383),"",ReferenceData!$AV$383),"")</f>
        <v>281.0452573</v>
      </c>
      <c r="AW383">
        <f ca="1">IFERROR(IF(0=LEN(ReferenceData!$AW$383),"",ReferenceData!$AW$383),"")</f>
        <v>284.70813529999998</v>
      </c>
      <c r="AX383">
        <f ca="1">IFERROR(IF(0=LEN(ReferenceData!$AX$383),"",ReferenceData!$AX$383),"")</f>
        <v>793.35171019999996</v>
      </c>
      <c r="AY383">
        <f ca="1">IFERROR(IF(0=LEN(ReferenceData!$AY$383),"",ReferenceData!$AY$383),"")</f>
        <v>855.62927260000004</v>
      </c>
      <c r="AZ383">
        <f ca="1">IFERROR(IF(0=LEN(ReferenceData!$AZ$383),"",ReferenceData!$AZ$383),"")</f>
        <v>880.89432009999996</v>
      </c>
      <c r="BA383">
        <f ca="1">IFERROR(IF(0=LEN(ReferenceData!$BA$383),"",ReferenceData!$BA$383),"")</f>
        <v>773.45894959999998</v>
      </c>
      <c r="BB383">
        <f ca="1">IFERROR(IF(0=LEN(ReferenceData!$BB$383),"",ReferenceData!$BB$383),"")</f>
        <v>992.01500439999995</v>
      </c>
      <c r="BC383">
        <f ca="1">IFERROR(IF(0=LEN(ReferenceData!$BC$383),"",ReferenceData!$BC$383),"")</f>
        <v>958.99771999999996</v>
      </c>
      <c r="BD383">
        <f ca="1">IFERROR(IF(0=LEN(ReferenceData!$BD$383),"",ReferenceData!$BD$383),"")</f>
        <v>902.91618140000003</v>
      </c>
      <c r="BE383">
        <f ca="1">IFERROR(IF(0=LEN(ReferenceData!$BE$383),"",ReferenceData!$BE$383),"")</f>
        <v>966.84960620000004</v>
      </c>
      <c r="BF383">
        <f ca="1">IFERROR(IF(0=LEN(ReferenceData!$BF$383),"",ReferenceData!$BF$383),"")</f>
        <v>927.63489770000001</v>
      </c>
      <c r="BG383">
        <f ca="1">IFERROR(IF(0=LEN(ReferenceData!$BG$383),"",ReferenceData!$BG$383),"")</f>
        <v>873.35504960000003</v>
      </c>
      <c r="BH383">
        <f ca="1">IFERROR(IF(0=LEN(ReferenceData!$BH$383),"",ReferenceData!$BH$383),"")</f>
        <v>972.51637540000002</v>
      </c>
      <c r="BI383">
        <f ca="1">IFERROR(IF(0=LEN(ReferenceData!$BI$383),"",ReferenceData!$BI$383),"")</f>
        <v>894.48914360000003</v>
      </c>
      <c r="BJ383">
        <f ca="1">IFERROR(IF(0=LEN(ReferenceData!$BJ$383),"",ReferenceData!$BJ$383),"")</f>
        <v>1013.77364</v>
      </c>
      <c r="BK383">
        <f ca="1">IFERROR(IF(0=LEN(ReferenceData!$BK$383),"",ReferenceData!$BK$383),"")</f>
        <v>1124.1676090000001</v>
      </c>
      <c r="BL383">
        <f ca="1">IFERROR(IF(0=LEN(ReferenceData!$BL$383),"",ReferenceData!$BL$383),"")</f>
        <v>1120.9513899999999</v>
      </c>
      <c r="BM383">
        <f ca="1">IFERROR(IF(0=LEN(ReferenceData!$BM$383),"",ReferenceData!$BM$383),"")</f>
        <v>976.49944200000004</v>
      </c>
    </row>
    <row r="384" spans="1:65" x14ac:dyDescent="0.25">
      <c r="A384" t="str">
        <f>IFERROR(IF(0=LEN(ReferenceData!$A$384),"",ReferenceData!$A$384),"")</f>
        <v xml:space="preserve">    FAW CAR Co Ltd</v>
      </c>
      <c r="B384" t="str">
        <f>IFERROR(IF(0=LEN(ReferenceData!$B$384),"",ReferenceData!$B$384),"")</f>
        <v>000800 CH Equity</v>
      </c>
      <c r="C384" t="str">
        <f>IFERROR(IF(0=LEN(ReferenceData!$C$384),"",ReferenceData!$C$384),"")</f>
        <v>RR937</v>
      </c>
      <c r="D384" t="str">
        <f>IFERROR(IF(0=LEN(ReferenceData!$D$384),"",ReferenceData!$D$384),"")</f>
        <v>CRNCY_ADJ_CURR_EV</v>
      </c>
      <c r="E384" t="str">
        <f>IFERROR(IF(0=LEN(ReferenceData!$E$384),"",ReferenceData!$E$384),"")</f>
        <v>Dynamic</v>
      </c>
      <c r="F384">
        <f ca="1">IFERROR(IF(0=LEN(ReferenceData!$F$384),"",ReferenceData!$F$384),"")</f>
        <v>1860.9005529999999</v>
      </c>
      <c r="G384">
        <f ca="1">IFERROR(IF(0=LEN(ReferenceData!$G$384),"",ReferenceData!$G$384),"")</f>
        <v>1478.1677609999999</v>
      </c>
      <c r="H384">
        <f ca="1">IFERROR(IF(0=LEN(ReferenceData!$H$384),"",ReferenceData!$H$384),"")</f>
        <v>1473.0180800000001</v>
      </c>
      <c r="I384">
        <f ca="1">IFERROR(IF(0=LEN(ReferenceData!$I$384),"",ReferenceData!$I$384),"")</f>
        <v>1760.117174</v>
      </c>
      <c r="J384">
        <f ca="1">IFERROR(IF(0=LEN(ReferenceData!$J$384),"",ReferenceData!$J$384),"")</f>
        <v>2392.587184</v>
      </c>
      <c r="K384">
        <f ca="1">IFERROR(IF(0=LEN(ReferenceData!$K$384),"",ReferenceData!$K$384),"")</f>
        <v>2531.9245639999999</v>
      </c>
      <c r="L384">
        <f ca="1">IFERROR(IF(0=LEN(ReferenceData!$L$384),"",ReferenceData!$L$384),"")</f>
        <v>3393.3127840000002</v>
      </c>
      <c r="M384">
        <f ca="1">IFERROR(IF(0=LEN(ReferenceData!$M$384),"",ReferenceData!$M$384),"")</f>
        <v>2608.7536100000002</v>
      </c>
      <c r="N384">
        <f ca="1">IFERROR(IF(0=LEN(ReferenceData!$N$384),"",ReferenceData!$N$384),"")</f>
        <v>2918.913153</v>
      </c>
      <c r="O384">
        <f ca="1">IFERROR(IF(0=LEN(ReferenceData!$O$384),"",ReferenceData!$O$384),"")</f>
        <v>2774.9747860000002</v>
      </c>
      <c r="P384">
        <f ca="1">IFERROR(IF(0=LEN(ReferenceData!$P$384),"",ReferenceData!$P$384),"")</f>
        <v>2979.3080490000002</v>
      </c>
      <c r="Q384">
        <f ca="1">IFERROR(IF(0=LEN(ReferenceData!$Q$384),"",ReferenceData!$Q$384),"")</f>
        <v>3066.1743839999999</v>
      </c>
      <c r="R384">
        <f ca="1">IFERROR(IF(0=LEN(ReferenceData!$R$384),"",ReferenceData!$R$384),"")</f>
        <v>3945.8987090000001</v>
      </c>
      <c r="S384">
        <f ca="1">IFERROR(IF(0=LEN(ReferenceData!$S$384),"",ReferenceData!$S$384),"")</f>
        <v>4361.1827620000004</v>
      </c>
      <c r="T384">
        <f ca="1">IFERROR(IF(0=LEN(ReferenceData!$T$384),"",ReferenceData!$T$384),"")</f>
        <v>4062.1202090000002</v>
      </c>
      <c r="U384">
        <f ca="1">IFERROR(IF(0=LEN(ReferenceData!$U$384),"",ReferenceData!$U$384),"")</f>
        <v>6869.8547040000003</v>
      </c>
      <c r="V384">
        <f ca="1">IFERROR(IF(0=LEN(ReferenceData!$V$384),"",ReferenceData!$V$384),"")</f>
        <v>5367.0100709999997</v>
      </c>
      <c r="W384">
        <f ca="1">IFERROR(IF(0=LEN(ReferenceData!$W$384),"",ReferenceData!$W$384),"")</f>
        <v>4193.1258079999998</v>
      </c>
      <c r="X384">
        <f ca="1">IFERROR(IF(0=LEN(ReferenceData!$X$384),"",ReferenceData!$X$384),"")</f>
        <v>3074.2266639999998</v>
      </c>
      <c r="Y384">
        <f ca="1">IFERROR(IF(0=LEN(ReferenceData!$Y$384),"",ReferenceData!$Y$384),"")</f>
        <v>2669.833149</v>
      </c>
      <c r="Z384">
        <f ca="1">IFERROR(IF(0=LEN(ReferenceData!$Z$384),"",ReferenceData!$Z$384),"")</f>
        <v>2804.7174180000002</v>
      </c>
      <c r="AA384">
        <f ca="1">IFERROR(IF(0=LEN(ReferenceData!$AA$384),"",ReferenceData!$AA$384),"")</f>
        <v>3397.3053020000002</v>
      </c>
      <c r="AB384">
        <f ca="1">IFERROR(IF(0=LEN(ReferenceData!$AB$384),"",ReferenceData!$AB$384),"")</f>
        <v>3642.9558040000002</v>
      </c>
      <c r="AC384">
        <f ca="1">IFERROR(IF(0=LEN(ReferenceData!$AC$384),"",ReferenceData!$AC$384),"")</f>
        <v>3429.1111930000002</v>
      </c>
      <c r="AD384">
        <f ca="1">IFERROR(IF(0=LEN(ReferenceData!$AD$384),"",ReferenceData!$AD$384),"")</f>
        <v>2267.9736269999999</v>
      </c>
      <c r="AE384">
        <f ca="1">IFERROR(IF(0=LEN(ReferenceData!$AE$384),"",ReferenceData!$AE$384),"")</f>
        <v>2285.5089520000001</v>
      </c>
      <c r="AF384">
        <f ca="1">IFERROR(IF(0=LEN(ReferenceData!$AF$384),"",ReferenceData!$AF$384),"")</f>
        <v>1807.20047</v>
      </c>
      <c r="AG384">
        <f ca="1">IFERROR(IF(0=LEN(ReferenceData!$AG$384),"",ReferenceData!$AG$384),"")</f>
        <v>2638.214387</v>
      </c>
      <c r="AH384">
        <f ca="1">IFERROR(IF(0=LEN(ReferenceData!$AH$384),"",ReferenceData!$AH$384),"")</f>
        <v>2679.1011509999998</v>
      </c>
      <c r="AI384">
        <f ca="1">IFERROR(IF(0=LEN(ReferenceData!$AI$384),"",ReferenceData!$AI$384),"")</f>
        <v>2251.0567160000001</v>
      </c>
      <c r="AJ384">
        <f ca="1">IFERROR(IF(0=LEN(ReferenceData!$AJ$384),"",ReferenceData!$AJ$384),"")</f>
        <v>2903.934694</v>
      </c>
      <c r="AK384">
        <f ca="1">IFERROR(IF(0=LEN(ReferenceData!$AK$384),"",ReferenceData!$AK$384),"")</f>
        <v>3343.4176870000001</v>
      </c>
      <c r="AL384">
        <f ca="1">IFERROR(IF(0=LEN(ReferenceData!$AL$384),"",ReferenceData!$AL$384),"")</f>
        <v>3858.261759</v>
      </c>
      <c r="AM384">
        <f ca="1">IFERROR(IF(0=LEN(ReferenceData!$AM$384),"",ReferenceData!$AM$384),"")</f>
        <v>3432.14597</v>
      </c>
      <c r="AN384">
        <f ca="1">IFERROR(IF(0=LEN(ReferenceData!$AN$384),"",ReferenceData!$AN$384),"")</f>
        <v>3785.2451179999998</v>
      </c>
      <c r="AO384">
        <f ca="1">IFERROR(IF(0=LEN(ReferenceData!$AO$384),"",ReferenceData!$AO$384),"")</f>
        <v>3138.9887629999998</v>
      </c>
      <c r="AP384">
        <f ca="1">IFERROR(IF(0=LEN(ReferenceData!$AP$384),"",ReferenceData!$AP$384),"")</f>
        <v>4680.6438099999996</v>
      </c>
      <c r="AQ384">
        <f ca="1">IFERROR(IF(0=LEN(ReferenceData!$AQ$384),"",ReferenceData!$AQ$384),"")</f>
        <v>5830.9836089999999</v>
      </c>
      <c r="AR384">
        <f ca="1">IFERROR(IF(0=LEN(ReferenceData!$AR$384),"",ReferenceData!$AR$384),"")</f>
        <v>3565.4207839999999</v>
      </c>
      <c r="AS384">
        <f ca="1">IFERROR(IF(0=LEN(ReferenceData!$AS$384),"",ReferenceData!$AS$384),"")</f>
        <v>3222.018004</v>
      </c>
      <c r="AT384">
        <f ca="1">IFERROR(IF(0=LEN(ReferenceData!$AT$384),"",ReferenceData!$AT$384),"")</f>
        <v>2462.4588899999999</v>
      </c>
      <c r="AU384">
        <f ca="1">IFERROR(IF(0=LEN(ReferenceData!$AU$384),"",ReferenceData!$AU$384),"")</f>
        <v>1437.372799</v>
      </c>
      <c r="AV384">
        <f ca="1">IFERROR(IF(0=LEN(ReferenceData!$AV$384),"",ReferenceData!$AV$384),"")</f>
        <v>1313.1127309999999</v>
      </c>
      <c r="AW384">
        <f ca="1">IFERROR(IF(0=LEN(ReferenceData!$AW$384),"",ReferenceData!$AW$384),"")</f>
        <v>1561.597403</v>
      </c>
      <c r="AX384">
        <f ca="1">IFERROR(IF(0=LEN(ReferenceData!$AX$384),"",ReferenceData!$AX$384),"")</f>
        <v>2667.8996339999999</v>
      </c>
      <c r="AY384">
        <f ca="1">IFERROR(IF(0=LEN(ReferenceData!$AY$384),"",ReferenceData!$AY$384),"")</f>
        <v>3948.4461219999998</v>
      </c>
      <c r="AZ384">
        <f ca="1">IFERROR(IF(0=LEN(ReferenceData!$AZ$384),"",ReferenceData!$AZ$384),"")</f>
        <v>4316.7800669999997</v>
      </c>
      <c r="BA384">
        <f ca="1">IFERROR(IF(0=LEN(ReferenceData!$BA$384),"",ReferenceData!$BA$384),"")</f>
        <v>1974.047478</v>
      </c>
      <c r="BB384">
        <f ca="1">IFERROR(IF(0=LEN(ReferenceData!$BB$384),"",ReferenceData!$BB$384),"")</f>
        <v>1524.0747260000001</v>
      </c>
      <c r="BC384">
        <f ca="1">IFERROR(IF(0=LEN(ReferenceData!$BC$384),"",ReferenceData!$BC$384),"")</f>
        <v>495.65807719999998</v>
      </c>
      <c r="BD384">
        <f ca="1">IFERROR(IF(0=LEN(ReferenceData!$BD$384),"",ReferenceData!$BD$384),"")</f>
        <v>305.37952519999999</v>
      </c>
      <c r="BE384">
        <f ca="1">IFERROR(IF(0=LEN(ReferenceData!$BE$384),"",ReferenceData!$BE$384),"")</f>
        <v>403.93799860000001</v>
      </c>
      <c r="BF384">
        <f ca="1">IFERROR(IF(0=LEN(ReferenceData!$BF$384),"",ReferenceData!$BF$384),"")</f>
        <v>318.65580440000002</v>
      </c>
      <c r="BG384">
        <f ca="1">IFERROR(IF(0=LEN(ReferenceData!$BG$384),"",ReferenceData!$BG$384),"")</f>
        <v>270.04541819999997</v>
      </c>
      <c r="BH384">
        <f ca="1">IFERROR(IF(0=LEN(ReferenceData!$BH$384),"",ReferenceData!$BH$384),"")</f>
        <v>219.2504816</v>
      </c>
      <c r="BI384">
        <f ca="1">IFERROR(IF(0=LEN(ReferenceData!$BI$384),"",ReferenceData!$BI$384),"")</f>
        <v>170.34521190000001</v>
      </c>
      <c r="BJ384">
        <f ca="1">IFERROR(IF(0=LEN(ReferenceData!$BJ$384),"",ReferenceData!$BJ$384),"")</f>
        <v>443.1754214</v>
      </c>
      <c r="BK384">
        <f ca="1">IFERROR(IF(0=LEN(ReferenceData!$BK$384),"",ReferenceData!$BK$384),"")</f>
        <v>642.59771439999997</v>
      </c>
      <c r="BL384">
        <f ca="1">IFERROR(IF(0=LEN(ReferenceData!$BL$384),"",ReferenceData!$BL$384),"")</f>
        <v>984.0500184</v>
      </c>
      <c r="BM384">
        <f ca="1">IFERROR(IF(0=LEN(ReferenceData!$BM$384),"",ReferenceData!$BM$384),"")</f>
        <v>920.45441960000005</v>
      </c>
    </row>
    <row r="385" spans="1:65" x14ac:dyDescent="0.25">
      <c r="A385" t="str">
        <f>IFERROR(IF(0=LEN(ReferenceData!$A$385),"",ReferenceData!$A$385),"")</f>
        <v xml:space="preserve">    Fiat Chrysler Automobiles NV</v>
      </c>
      <c r="B385" t="str">
        <f>IFERROR(IF(0=LEN(ReferenceData!$B$385),"",ReferenceData!$B$385),"")</f>
        <v>FCAU US Equity</v>
      </c>
      <c r="C385" t="str">
        <f>IFERROR(IF(0=LEN(ReferenceData!$C$385),"",ReferenceData!$C$385),"")</f>
        <v>RR937</v>
      </c>
      <c r="D385" t="str">
        <f>IFERROR(IF(0=LEN(ReferenceData!$D$385),"",ReferenceData!$D$385),"")</f>
        <v>CRNCY_ADJ_CURR_EV</v>
      </c>
      <c r="E385" t="str">
        <f>IFERROR(IF(0=LEN(ReferenceData!$E$385),"",ReferenceData!$E$385),"")</f>
        <v>Dynamic</v>
      </c>
      <c r="F385">
        <f ca="1">IFERROR(IF(0=LEN(ReferenceData!$F$385),"",ReferenceData!$F$385),"")</f>
        <v>25426.943139999999</v>
      </c>
      <c r="G385">
        <f ca="1">IFERROR(IF(0=LEN(ReferenceData!$G$385),"",ReferenceData!$G$385),"")</f>
        <v>24651.63436</v>
      </c>
      <c r="H385">
        <f ca="1">IFERROR(IF(0=LEN(ReferenceData!$H$385),"",ReferenceData!$H$385),"")</f>
        <v>29932.866529999999</v>
      </c>
      <c r="I385">
        <f ca="1">IFERROR(IF(0=LEN(ReferenceData!$I$385),"",ReferenceData!$I$385),"")</f>
        <v>31415.212070000001</v>
      </c>
      <c r="J385">
        <f ca="1">IFERROR(IF(0=LEN(ReferenceData!$J$385),"",ReferenceData!$J$385),"")</f>
        <v>36094.599240000003</v>
      </c>
      <c r="K385">
        <f ca="1">IFERROR(IF(0=LEN(ReferenceData!$K$385),"",ReferenceData!$K$385),"")</f>
        <v>33821.613870000001</v>
      </c>
      <c r="L385">
        <f ca="1">IFERROR(IF(0=LEN(ReferenceData!$L$385),"",ReferenceData!$L$385),"")</f>
        <v>34652.508540000003</v>
      </c>
      <c r="M385">
        <f ca="1">IFERROR(IF(0=LEN(ReferenceData!$M$385),"",ReferenceData!$M$385),"")</f>
        <v>23154.998240000001</v>
      </c>
      <c r="N385">
        <f ca="1">IFERROR(IF(0=LEN(ReferenceData!$N$385),"",ReferenceData!$N$385),"")</f>
        <v>23649.729810000001</v>
      </c>
      <c r="O385">
        <f ca="1">IFERROR(IF(0=LEN(ReferenceData!$O$385),"",ReferenceData!$O$385),"")</f>
        <v>19633.591270000001</v>
      </c>
      <c r="P385">
        <f ca="1">IFERROR(IF(0=LEN(ReferenceData!$P$385),"",ReferenceData!$P$385),"")</f>
        <v>17019.155500000001</v>
      </c>
      <c r="Q385">
        <f ca="1">IFERROR(IF(0=LEN(ReferenceData!$Q$385),"",ReferenceData!$Q$385),"")</f>
        <v>15097.165650000001</v>
      </c>
      <c r="R385">
        <f ca="1">IFERROR(IF(0=LEN(ReferenceData!$R$385),"",ReferenceData!$R$385),"")</f>
        <v>19376.86651</v>
      </c>
      <c r="S385">
        <f ca="1">IFERROR(IF(0=LEN(ReferenceData!$S$385),"",ReferenceData!$S$385),"")</f>
        <v>24512.977610000002</v>
      </c>
      <c r="T385">
        <f ca="1">IFERROR(IF(0=LEN(ReferenceData!$T$385),"",ReferenceData!$T$385),"")</f>
        <v>28727.420529999999</v>
      </c>
      <c r="U385">
        <f ca="1">IFERROR(IF(0=LEN(ReferenceData!$U$385),"",ReferenceData!$U$385),"")</f>
        <v>29963.476589999998</v>
      </c>
      <c r="V385">
        <f ca="1">IFERROR(IF(0=LEN(ReferenceData!$V$385),"",ReferenceData!$V$385),"")</f>
        <v>32267.397099999998</v>
      </c>
      <c r="W385">
        <f ca="1">IFERROR(IF(0=LEN(ReferenceData!$W$385),"",ReferenceData!$W$385),"")</f>
        <v>26496.578450000001</v>
      </c>
      <c r="X385" t="str">
        <f ca="1">IFERROR(IF(0=LEN(ReferenceData!$X$385),"",ReferenceData!$X$385),"")</f>
        <v/>
      </c>
      <c r="Y385" t="str">
        <f ca="1">IFERROR(IF(0=LEN(ReferenceData!$Y$385),"",ReferenceData!$Y$385),"")</f>
        <v/>
      </c>
      <c r="Z385" t="str">
        <f ca="1">IFERROR(IF(0=LEN(ReferenceData!$Z$385),"",ReferenceData!$Z$385),"")</f>
        <v/>
      </c>
      <c r="AA385" t="str">
        <f ca="1">IFERROR(IF(0=LEN(ReferenceData!$AA$385),"",ReferenceData!$AA$385),"")</f>
        <v/>
      </c>
      <c r="AB385" t="str">
        <f ca="1">IFERROR(IF(0=LEN(ReferenceData!$AB$385),"",ReferenceData!$AB$385),"")</f>
        <v/>
      </c>
      <c r="AC385" t="str">
        <f ca="1">IFERROR(IF(0=LEN(ReferenceData!$AC$385),"",ReferenceData!$AC$385),"")</f>
        <v/>
      </c>
      <c r="AD385" t="str">
        <f ca="1">IFERROR(IF(0=LEN(ReferenceData!$AD$385),"",ReferenceData!$AD$385),"")</f>
        <v/>
      </c>
      <c r="AE385" t="str">
        <f ca="1">IFERROR(IF(0=LEN(ReferenceData!$AE$385),"",ReferenceData!$AE$385),"")</f>
        <v/>
      </c>
      <c r="AF385" t="str">
        <f ca="1">IFERROR(IF(0=LEN(ReferenceData!$AF$385),"",ReferenceData!$AF$385),"")</f>
        <v/>
      </c>
      <c r="AG385" t="str">
        <f ca="1">IFERROR(IF(0=LEN(ReferenceData!$AG$385),"",ReferenceData!$AG$385),"")</f>
        <v/>
      </c>
      <c r="AH385" t="str">
        <f ca="1">IFERROR(IF(0=LEN(ReferenceData!$AH$385),"",ReferenceData!$AH$385),"")</f>
        <v/>
      </c>
      <c r="AI385" t="str">
        <f ca="1">IFERROR(IF(0=LEN(ReferenceData!$AI$385),"",ReferenceData!$AI$385),"")</f>
        <v/>
      </c>
      <c r="AJ385" t="str">
        <f ca="1">IFERROR(IF(0=LEN(ReferenceData!$AJ$385),"",ReferenceData!$AJ$385),"")</f>
        <v/>
      </c>
      <c r="AK385" t="str">
        <f ca="1">IFERROR(IF(0=LEN(ReferenceData!$AK$385),"",ReferenceData!$AK$385),"")</f>
        <v/>
      </c>
      <c r="AL385" t="str">
        <f ca="1">IFERROR(IF(0=LEN(ReferenceData!$AL$385),"",ReferenceData!$AL$385),"")</f>
        <v/>
      </c>
      <c r="AM385" t="str">
        <f ca="1">IFERROR(IF(0=LEN(ReferenceData!$AM$385),"",ReferenceData!$AM$385),"")</f>
        <v/>
      </c>
      <c r="AN385" t="str">
        <f ca="1">IFERROR(IF(0=LEN(ReferenceData!$AN$385),"",ReferenceData!$AN$385),"")</f>
        <v/>
      </c>
      <c r="AO385" t="str">
        <f ca="1">IFERROR(IF(0=LEN(ReferenceData!$AO$385),"",ReferenceData!$AO$385),"")</f>
        <v/>
      </c>
      <c r="AP385" t="str">
        <f ca="1">IFERROR(IF(0=LEN(ReferenceData!$AP$385),"",ReferenceData!$AP$385),"")</f>
        <v/>
      </c>
      <c r="AQ385" t="str">
        <f ca="1">IFERROR(IF(0=LEN(ReferenceData!$AQ$385),"",ReferenceData!$AQ$385),"")</f>
        <v/>
      </c>
      <c r="AR385" t="str">
        <f ca="1">IFERROR(IF(0=LEN(ReferenceData!$AR$385),"",ReferenceData!$AR$385),"")</f>
        <v/>
      </c>
      <c r="AS385" t="str">
        <f ca="1">IFERROR(IF(0=LEN(ReferenceData!$AS$385),"",ReferenceData!$AS$385),"")</f>
        <v/>
      </c>
      <c r="AT385" t="str">
        <f ca="1">IFERROR(IF(0=LEN(ReferenceData!$AT$385),"",ReferenceData!$AT$385),"")</f>
        <v/>
      </c>
      <c r="AU385" t="str">
        <f ca="1">IFERROR(IF(0=LEN(ReferenceData!$AU$385),"",ReferenceData!$AU$385),"")</f>
        <v/>
      </c>
      <c r="AV385" t="str">
        <f ca="1">IFERROR(IF(0=LEN(ReferenceData!$AV$385),"",ReferenceData!$AV$385),"")</f>
        <v/>
      </c>
      <c r="AW385" t="str">
        <f ca="1">IFERROR(IF(0=LEN(ReferenceData!$AW$385),"",ReferenceData!$AW$385),"")</f>
        <v/>
      </c>
      <c r="AX385" t="str">
        <f ca="1">IFERROR(IF(0=LEN(ReferenceData!$AX$385),"",ReferenceData!$AX$385),"")</f>
        <v/>
      </c>
      <c r="AY385" t="str">
        <f ca="1">IFERROR(IF(0=LEN(ReferenceData!$AY$385),"",ReferenceData!$AY$385),"")</f>
        <v/>
      </c>
      <c r="AZ385" t="str">
        <f ca="1">IFERROR(IF(0=LEN(ReferenceData!$AZ$385),"",ReferenceData!$AZ$385),"")</f>
        <v/>
      </c>
      <c r="BA385" t="str">
        <f ca="1">IFERROR(IF(0=LEN(ReferenceData!$BA$385),"",ReferenceData!$BA$385),"")</f>
        <v/>
      </c>
      <c r="BB385" t="str">
        <f ca="1">IFERROR(IF(0=LEN(ReferenceData!$BB$385),"",ReferenceData!$BB$385),"")</f>
        <v/>
      </c>
      <c r="BC385" t="str">
        <f ca="1">IFERROR(IF(0=LEN(ReferenceData!$BC$385),"",ReferenceData!$BC$385),"")</f>
        <v/>
      </c>
      <c r="BD385" t="str">
        <f ca="1">IFERROR(IF(0=LEN(ReferenceData!$BD$385),"",ReferenceData!$BD$385),"")</f>
        <v/>
      </c>
      <c r="BE385" t="str">
        <f ca="1">IFERROR(IF(0=LEN(ReferenceData!$BE$385),"",ReferenceData!$BE$385),"")</f>
        <v/>
      </c>
      <c r="BF385" t="str">
        <f ca="1">IFERROR(IF(0=LEN(ReferenceData!$BF$385),"",ReferenceData!$BF$385),"")</f>
        <v/>
      </c>
      <c r="BG385" t="str">
        <f ca="1">IFERROR(IF(0=LEN(ReferenceData!$BG$385),"",ReferenceData!$BG$385),"")</f>
        <v/>
      </c>
      <c r="BH385" t="str">
        <f ca="1">IFERROR(IF(0=LEN(ReferenceData!$BH$385),"",ReferenceData!$BH$385),"")</f>
        <v/>
      </c>
      <c r="BI385" t="str">
        <f ca="1">IFERROR(IF(0=LEN(ReferenceData!$BI$385),"",ReferenceData!$BI$385),"")</f>
        <v/>
      </c>
      <c r="BJ385" t="str">
        <f ca="1">IFERROR(IF(0=LEN(ReferenceData!$BJ$385),"",ReferenceData!$BJ$385),"")</f>
        <v/>
      </c>
      <c r="BK385" t="str">
        <f ca="1">IFERROR(IF(0=LEN(ReferenceData!$BK$385),"",ReferenceData!$BK$385),"")</f>
        <v/>
      </c>
      <c r="BL385" t="str">
        <f ca="1">IFERROR(IF(0=LEN(ReferenceData!$BL$385),"",ReferenceData!$BL$385),"")</f>
        <v/>
      </c>
      <c r="BM385" t="str">
        <f ca="1">IFERROR(IF(0=LEN(ReferenceData!$BM$385),"",ReferenceData!$BM$385),"")</f>
        <v/>
      </c>
    </row>
    <row r="386" spans="1:65" x14ac:dyDescent="0.25">
      <c r="A386" t="str">
        <f>IFERROR(IF(0=LEN(ReferenceData!$A$386),"",ReferenceData!$A$386),"")</f>
        <v xml:space="preserve">    Ford Motor Co</v>
      </c>
      <c r="B386" t="str">
        <f>IFERROR(IF(0=LEN(ReferenceData!$B$386),"",ReferenceData!$B$386),"")</f>
        <v>F US Equity</v>
      </c>
      <c r="C386" t="str">
        <f>IFERROR(IF(0=LEN(ReferenceData!$C$386),"",ReferenceData!$C$386),"")</f>
        <v>RR937</v>
      </c>
      <c r="D386" t="str">
        <f>IFERROR(IF(0=LEN(ReferenceData!$D$386),"",ReferenceData!$D$386),"")</f>
        <v>CRNCY_ADJ_CURR_EV</v>
      </c>
      <c r="E386" t="str">
        <f>IFERROR(IF(0=LEN(ReferenceData!$E$386),"",ReferenceData!$E$386),"")</f>
        <v>Dynamic</v>
      </c>
      <c r="F386">
        <f ca="1">IFERROR(IF(0=LEN(ReferenceData!$F$386),"",ReferenceData!$F$386),"")</f>
        <v>25298.18563</v>
      </c>
      <c r="G386">
        <f ca="1">IFERROR(IF(0=LEN(ReferenceData!$G$386),"",ReferenceData!$G$386),"")</f>
        <v>21075.960899999998</v>
      </c>
      <c r="H386">
        <f ca="1">IFERROR(IF(0=LEN(ReferenceData!$H$386),"",ReferenceData!$H$386),"")</f>
        <v>28054.97048</v>
      </c>
      <c r="I386">
        <f ca="1">IFERROR(IF(0=LEN(ReferenceData!$I$386),"",ReferenceData!$I$386),"")</f>
        <v>34739.437059999997</v>
      </c>
      <c r="J386">
        <f ca="1">IFERROR(IF(0=LEN(ReferenceData!$J$386),"",ReferenceData!$J$386),"")</f>
        <v>32383.736349999999</v>
      </c>
      <c r="K386">
        <f ca="1">IFERROR(IF(0=LEN(ReferenceData!$K$386),"",ReferenceData!$K$386),"")</f>
        <v>39183.054380000001</v>
      </c>
      <c r="L386">
        <f ca="1">IFERROR(IF(0=LEN(ReferenceData!$L$386),"",ReferenceData!$L$386),"")</f>
        <v>37702.909039999999</v>
      </c>
      <c r="M386">
        <f ca="1">IFERROR(IF(0=LEN(ReferenceData!$M$386),"",ReferenceData!$M$386),"")</f>
        <v>32429.426780000002</v>
      </c>
      <c r="N386">
        <f ca="1">IFERROR(IF(0=LEN(ReferenceData!$N$386),"",ReferenceData!$N$386),"")</f>
        <v>34644.289550000001</v>
      </c>
      <c r="O386">
        <f ca="1">IFERROR(IF(0=LEN(ReferenceData!$O$386),"",ReferenceData!$O$386),"")</f>
        <v>36751.158369999997</v>
      </c>
      <c r="P386">
        <f ca="1">IFERROR(IF(0=LEN(ReferenceData!$P$386),"",ReferenceData!$P$386),"")</f>
        <v>36905.015800000001</v>
      </c>
      <c r="Q386">
        <f ca="1">IFERROR(IF(0=LEN(ReferenceData!$Q$386),"",ReferenceData!$Q$386),"")</f>
        <v>35907.538820000002</v>
      </c>
      <c r="R386">
        <f ca="1">IFERROR(IF(0=LEN(ReferenceData!$R$386),"",ReferenceData!$R$386),"")</f>
        <v>40293.923159999998</v>
      </c>
      <c r="S386">
        <f ca="1">IFERROR(IF(0=LEN(ReferenceData!$S$386),"",ReferenceData!$S$386),"")</f>
        <v>45298.998809999997</v>
      </c>
      <c r="T386">
        <f ca="1">IFERROR(IF(0=LEN(ReferenceData!$T$386),"",ReferenceData!$T$386),"")</f>
        <v>42180.560490000003</v>
      </c>
      <c r="U386">
        <f ca="1">IFERROR(IF(0=LEN(ReferenceData!$U$386),"",ReferenceData!$U$386),"")</f>
        <v>50003.096920000004</v>
      </c>
      <c r="V386">
        <f ca="1">IFERROR(IF(0=LEN(ReferenceData!$V$386),"",ReferenceData!$V$386),"")</f>
        <v>56195.258260000002</v>
      </c>
      <c r="W386">
        <f ca="1">IFERROR(IF(0=LEN(ReferenceData!$W$386),"",ReferenceData!$W$386),"")</f>
        <v>50446.656600000002</v>
      </c>
      <c r="X386">
        <f ca="1">IFERROR(IF(0=LEN(ReferenceData!$X$386),"",ReferenceData!$X$386),"")</f>
        <v>47839.397879999997</v>
      </c>
      <c r="Y386">
        <f ca="1">IFERROR(IF(0=LEN(ReferenceData!$Y$386),"",ReferenceData!$Y$386),"")</f>
        <v>56074.413500000002</v>
      </c>
      <c r="Z386">
        <f ca="1">IFERROR(IF(0=LEN(ReferenceData!$Z$386),"",ReferenceData!$Z$386),"")</f>
        <v>51493.186979999999</v>
      </c>
      <c r="AA386">
        <f ca="1">IFERROR(IF(0=LEN(ReferenceData!$AA$386),"",ReferenceData!$AA$386),"")</f>
        <v>51666.655910000001</v>
      </c>
      <c r="AB386">
        <f ca="1">IFERROR(IF(0=LEN(ReferenceData!$AB$386),"",ReferenceData!$AB$386),"")</f>
        <v>54655.194900000002</v>
      </c>
      <c r="AC386">
        <f ca="1">IFERROR(IF(0=LEN(ReferenceData!$AC$386),"",ReferenceData!$AC$386),"")</f>
        <v>49310.758020000001</v>
      </c>
      <c r="AD386">
        <f ca="1">IFERROR(IF(0=LEN(ReferenceData!$AD$386),"",ReferenceData!$AD$386),"")</f>
        <v>42734.555999999997</v>
      </c>
      <c r="AE386">
        <f ca="1">IFERROR(IF(0=LEN(ReferenceData!$AE$386),"",ReferenceData!$AE$386),"")</f>
        <v>38153.971749999997</v>
      </c>
      <c r="AF386">
        <f ca="1">IFERROR(IF(0=LEN(ReferenceData!$AF$386),"",ReferenceData!$AF$386),"")</f>
        <v>26235.908049999998</v>
      </c>
      <c r="AG386">
        <f ca="1">IFERROR(IF(0=LEN(ReferenceData!$AG$386),"",ReferenceData!$AG$386),"")</f>
        <v>25156.964110000001</v>
      </c>
      <c r="AH386">
        <f ca="1">IFERROR(IF(0=LEN(ReferenceData!$AH$386),"",ReferenceData!$AH$386),"")</f>
        <v>36928.317230000001</v>
      </c>
      <c r="AI386">
        <f ca="1">IFERROR(IF(0=LEN(ReferenceData!$AI$386),"",ReferenceData!$AI$386),"")</f>
        <v>29721.077539999998</v>
      </c>
      <c r="AJ386">
        <f ca="1">IFERROR(IF(0=LEN(ReferenceData!$AJ$386),"",ReferenceData!$AJ$386),"")</f>
        <v>27179.34549</v>
      </c>
      <c r="AK386">
        <f ca="1">IFERROR(IF(0=LEN(ReferenceData!$AK$386),"",ReferenceData!$AK$386),"")</f>
        <v>42886.060120000002</v>
      </c>
      <c r="AL386">
        <f ca="1">IFERROR(IF(0=LEN(ReferenceData!$AL$386),"",ReferenceData!$AL$386),"")</f>
        <v>50826.220759999997</v>
      </c>
      <c r="AM386">
        <f ca="1">IFERROR(IF(0=LEN(ReferenceData!$AM$386),"",ReferenceData!$AM$386),"")</f>
        <v>60230.815320000002</v>
      </c>
      <c r="AN386">
        <f ca="1">IFERROR(IF(0=LEN(ReferenceData!$AN$386),"",ReferenceData!$AN$386),"")</f>
        <v>42501.266239999997</v>
      </c>
      <c r="AO386">
        <f ca="1">IFERROR(IF(0=LEN(ReferenceData!$AO$386),"",ReferenceData!$AO$386),"")</f>
        <v>37142.335030000002</v>
      </c>
      <c r="AP386">
        <f ca="1">IFERROR(IF(0=LEN(ReferenceData!$AP$386),"",ReferenceData!$AP$386),"")</f>
        <v>51336.099479999997</v>
      </c>
      <c r="AQ386">
        <f ca="1">IFERROR(IF(0=LEN(ReferenceData!$AQ$386),"",ReferenceData!$AQ$386),"")</f>
        <v>39580.008759999997</v>
      </c>
      <c r="AR386">
        <f ca="1">IFERROR(IF(0=LEN(ReferenceData!$AR$386),"",ReferenceData!$AR$386),"")</f>
        <v>26771.499749999999</v>
      </c>
      <c r="AS386">
        <f ca="1">IFERROR(IF(0=LEN(ReferenceData!$AS$386),"",ReferenceData!$AS$386),"")</f>
        <v>25398.776300000001</v>
      </c>
      <c r="AT386">
        <f ca="1">IFERROR(IF(0=LEN(ReferenceData!$AT$386),"",ReferenceData!$AT$386),"")</f>
        <v>17949.323830000001</v>
      </c>
      <c r="AU386">
        <f ca="1">IFERROR(IF(0=LEN(ReferenceData!$AU$386),"",ReferenceData!$AU$386),"")</f>
        <v>15219.47913</v>
      </c>
      <c r="AV386">
        <f ca="1">IFERROR(IF(0=LEN(ReferenceData!$AV$386),"",ReferenceData!$AV$386),"")</f>
        <v>17271.02202</v>
      </c>
      <c r="AW386">
        <f ca="1">IFERROR(IF(0=LEN(ReferenceData!$AW$386),"",ReferenceData!$AW$386),"")</f>
        <v>10625.02022</v>
      </c>
      <c r="AX386">
        <f ca="1">IFERROR(IF(0=LEN(ReferenceData!$AX$386),"",ReferenceData!$AX$386),"")</f>
        <v>9132.0528300000005</v>
      </c>
      <c r="AY386">
        <f ca="1">IFERROR(IF(0=LEN(ReferenceData!$AY$386),"",ReferenceData!$AY$386),"")</f>
        <v>9282.6837699999996</v>
      </c>
      <c r="AZ386">
        <f ca="1">IFERROR(IF(0=LEN(ReferenceData!$AZ$386),"",ReferenceData!$AZ$386),"")</f>
        <v>13043.55754</v>
      </c>
      <c r="BA386">
        <f ca="1">IFERROR(IF(0=LEN(ReferenceData!$BA$386),"",ReferenceData!$BA$386),"")</f>
        <v>13555.990659999999</v>
      </c>
      <c r="BB386">
        <f ca="1">IFERROR(IF(0=LEN(ReferenceData!$BB$386),"",ReferenceData!$BB$386),"")</f>
        <v>12804.12875</v>
      </c>
      <c r="BC386">
        <f ca="1">IFERROR(IF(0=LEN(ReferenceData!$BC$386),"",ReferenceData!$BC$386),"")</f>
        <v>12552.592769999999</v>
      </c>
      <c r="BD386">
        <f ca="1">IFERROR(IF(0=LEN(ReferenceData!$BD$386),"",ReferenceData!$BD$386),"")</f>
        <v>12034.3753</v>
      </c>
      <c r="BE386">
        <f ca="1">IFERROR(IF(0=LEN(ReferenceData!$BE$386),"",ReferenceData!$BE$386),"")</f>
        <v>8153.3436300000003</v>
      </c>
      <c r="BF386">
        <f ca="1">IFERROR(IF(0=LEN(ReferenceData!$BF$386),"",ReferenceData!$BF$386),"")</f>
        <v>11426.54225</v>
      </c>
      <c r="BG386">
        <f ca="1">IFERROR(IF(0=LEN(ReferenceData!$BG$386),"",ReferenceData!$BG$386),"")</f>
        <v>127251.7626</v>
      </c>
      <c r="BH386">
        <f ca="1">IFERROR(IF(0=LEN(ReferenceData!$BH$386),"",ReferenceData!$BH$386),"")</f>
        <v>123674.0727</v>
      </c>
      <c r="BI386">
        <f ca="1">IFERROR(IF(0=LEN(ReferenceData!$BI$386),"",ReferenceData!$BI$386),"")</f>
        <v>138611.21419999999</v>
      </c>
      <c r="BJ386">
        <f ca="1">IFERROR(IF(0=LEN(ReferenceData!$BJ$386),"",ReferenceData!$BJ$386),"")</f>
        <v>148529.10190000001</v>
      </c>
      <c r="BK386">
        <f ca="1">IFERROR(IF(0=LEN(ReferenceData!$BK$386),"",ReferenceData!$BK$386),"")</f>
        <v>159165.3376</v>
      </c>
      <c r="BL386">
        <f ca="1">IFERROR(IF(0=LEN(ReferenceData!$BL$386),"",ReferenceData!$BL$386),"")</f>
        <v>162197.5092</v>
      </c>
      <c r="BM386">
        <f ca="1">IFERROR(IF(0=LEN(ReferenceData!$BM$386),"",ReferenceData!$BM$386),"")</f>
        <v>163880.6936</v>
      </c>
    </row>
    <row r="387" spans="1:65" x14ac:dyDescent="0.25">
      <c r="A387" t="str">
        <f>IFERROR(IF(0=LEN(ReferenceData!$A$387),"",ReferenceData!$A$387),"")</f>
        <v xml:space="preserve">    Ford Otomotiv Sanayi AS</v>
      </c>
      <c r="B387" t="str">
        <f>IFERROR(IF(0=LEN(ReferenceData!$B$387),"",ReferenceData!$B$387),"")</f>
        <v>FROTOTRY EO Equity</v>
      </c>
      <c r="C387" t="str">
        <f>IFERROR(IF(0=LEN(ReferenceData!$C$387),"",ReferenceData!$C$387),"")</f>
        <v>RR937</v>
      </c>
      <c r="D387" t="str">
        <f>IFERROR(IF(0=LEN(ReferenceData!$D$387),"",ReferenceData!$D$387),"")</f>
        <v>CRNCY_ADJ_CURR_EV</v>
      </c>
      <c r="E387" t="str">
        <f>IFERROR(IF(0=LEN(ReferenceData!$E$387),"",ReferenceData!$E$387),"")</f>
        <v>Dynamic</v>
      </c>
      <c r="F387">
        <f ca="1">IFERROR(IF(0=LEN(ReferenceData!$F$387),"",ReferenceData!$F$387),"")</f>
        <v>4220.0657190000002</v>
      </c>
      <c r="G387">
        <f ca="1">IFERROR(IF(0=LEN(ReferenceData!$G$387),"",ReferenceData!$G$387),"")</f>
        <v>3900.269335</v>
      </c>
      <c r="H387">
        <f ca="1">IFERROR(IF(0=LEN(ReferenceData!$H$387),"",ReferenceData!$H$387),"")</f>
        <v>4440.0157529999997</v>
      </c>
      <c r="I387">
        <f ca="1">IFERROR(IF(0=LEN(ReferenceData!$I$387),"",ReferenceData!$I$387),"")</f>
        <v>5279.9392870000001</v>
      </c>
      <c r="J387">
        <f ca="1">IFERROR(IF(0=LEN(ReferenceData!$J$387),"",ReferenceData!$J$387),"")</f>
        <v>6039.559303</v>
      </c>
      <c r="K387">
        <f ca="1">IFERROR(IF(0=LEN(ReferenceData!$K$387),"",ReferenceData!$K$387),"")</f>
        <v>6057.3588669999999</v>
      </c>
      <c r="L387">
        <f ca="1">IFERROR(IF(0=LEN(ReferenceData!$L$387),"",ReferenceData!$L$387),"")</f>
        <v>5062.5788629999997</v>
      </c>
      <c r="M387">
        <f ca="1">IFERROR(IF(0=LEN(ReferenceData!$M$387),"",ReferenceData!$M$387),"")</f>
        <v>4810.0514819999999</v>
      </c>
      <c r="N387">
        <f ca="1">IFERROR(IF(0=LEN(ReferenceData!$N$387),"",ReferenceData!$N$387),"")</f>
        <v>3909.8027259999999</v>
      </c>
      <c r="O387">
        <f ca="1">IFERROR(IF(0=LEN(ReferenceData!$O$387),"",ReferenceData!$O$387),"")</f>
        <v>3516.007055</v>
      </c>
      <c r="P387">
        <f ca="1">IFERROR(IF(0=LEN(ReferenceData!$P$387),"",ReferenceData!$P$387),"")</f>
        <v>4391.3850350000002</v>
      </c>
      <c r="Q387">
        <f ca="1">IFERROR(IF(0=LEN(ReferenceData!$Q$387),"",ReferenceData!$Q$387),"")</f>
        <v>4460.0911720000004</v>
      </c>
      <c r="R387">
        <f ca="1">IFERROR(IF(0=LEN(ReferenceData!$R$387),"",ReferenceData!$R$387),"")</f>
        <v>5280.2773459999999</v>
      </c>
      <c r="S387">
        <f ca="1">IFERROR(IF(0=LEN(ReferenceData!$S$387),"",ReferenceData!$S$387),"")</f>
        <v>4184.422208</v>
      </c>
      <c r="T387">
        <f ca="1">IFERROR(IF(0=LEN(ReferenceData!$T$387),"",ReferenceData!$T$387),"")</f>
        <v>4468.2940680000002</v>
      </c>
      <c r="U387">
        <f ca="1">IFERROR(IF(0=LEN(ReferenceData!$U$387),"",ReferenceData!$U$387),"")</f>
        <v>5607.5152870000002</v>
      </c>
      <c r="V387">
        <f ca="1">IFERROR(IF(0=LEN(ReferenceData!$V$387),"",ReferenceData!$V$387),"")</f>
        <v>5314.7090029999999</v>
      </c>
      <c r="W387">
        <f ca="1">IFERROR(IF(0=LEN(ReferenceData!$W$387),"",ReferenceData!$W$387),"")</f>
        <v>5645.9777009999998</v>
      </c>
      <c r="X387">
        <f ca="1">IFERROR(IF(0=LEN(ReferenceData!$X$387),"",ReferenceData!$X$387),"")</f>
        <v>4965.9286089999996</v>
      </c>
      <c r="Y387">
        <f ca="1">IFERROR(IF(0=LEN(ReferenceData!$Y$387),"",ReferenceData!$Y$387),"")</f>
        <v>5281.50612</v>
      </c>
      <c r="Z387">
        <f ca="1">IFERROR(IF(0=LEN(ReferenceData!$Z$387),"",ReferenceData!$Z$387),"")</f>
        <v>4575.4090990000004</v>
      </c>
      <c r="AA387">
        <f ca="1">IFERROR(IF(0=LEN(ReferenceData!$AA$387),"",ReferenceData!$AA$387),"")</f>
        <v>4656.2845509999997</v>
      </c>
      <c r="AB387">
        <f ca="1">IFERROR(IF(0=LEN(ReferenceData!$AB$387),"",ReferenceData!$AB$387),"")</f>
        <v>5594.706228</v>
      </c>
      <c r="AC387">
        <f ca="1">IFERROR(IF(0=LEN(ReferenceData!$AC$387),"",ReferenceData!$AC$387),"")</f>
        <v>5475.8075779999999</v>
      </c>
      <c r="AD387">
        <f ca="1">IFERROR(IF(0=LEN(ReferenceData!$AD$387),"",ReferenceData!$AD$387),"")</f>
        <v>5539.5864529999999</v>
      </c>
      <c r="AE387">
        <f ca="1">IFERROR(IF(0=LEN(ReferenceData!$AE$387),"",ReferenceData!$AE$387),"")</f>
        <v>4746.0956729999998</v>
      </c>
      <c r="AF387">
        <f ca="1">IFERROR(IF(0=LEN(ReferenceData!$AF$387),"",ReferenceData!$AF$387),"")</f>
        <v>3987.5193789999998</v>
      </c>
      <c r="AG387">
        <f ca="1">IFERROR(IF(0=LEN(ReferenceData!$AG$387),"",ReferenceData!$AG$387),"")</f>
        <v>3367.2967119999998</v>
      </c>
      <c r="AH387">
        <f ca="1">IFERROR(IF(0=LEN(ReferenceData!$AH$387),"",ReferenceData!$AH$387),"")</f>
        <v>3320.3360769999999</v>
      </c>
      <c r="AI387">
        <f ca="1">IFERROR(IF(0=LEN(ReferenceData!$AI$387),"",ReferenceData!$AI$387),"")</f>
        <v>2884.943178</v>
      </c>
      <c r="AJ387">
        <f ca="1">IFERROR(IF(0=LEN(ReferenceData!$AJ$387),"",ReferenceData!$AJ$387),"")</f>
        <v>2418.8038889999998</v>
      </c>
      <c r="AK387">
        <f ca="1">IFERROR(IF(0=LEN(ReferenceData!$AK$387),"",ReferenceData!$AK$387),"")</f>
        <v>2948.108815</v>
      </c>
      <c r="AL387">
        <f ca="1">IFERROR(IF(0=LEN(ReferenceData!$AL$387),"",ReferenceData!$AL$387),"")</f>
        <v>3157.5863909999998</v>
      </c>
      <c r="AM387">
        <f ca="1">IFERROR(IF(0=LEN(ReferenceData!$AM$387),"",ReferenceData!$AM$387),"")</f>
        <v>2970.385691</v>
      </c>
      <c r="AN387">
        <f ca="1">IFERROR(IF(0=LEN(ReferenceData!$AN$387),"",ReferenceData!$AN$387),"")</f>
        <v>2879.4333329999999</v>
      </c>
      <c r="AO387">
        <f ca="1">IFERROR(IF(0=LEN(ReferenceData!$AO$387),"",ReferenceData!$AO$387),"")</f>
        <v>2275.8374170000002</v>
      </c>
      <c r="AP387">
        <f ca="1">IFERROR(IF(0=LEN(ReferenceData!$AP$387),"",ReferenceData!$AP$387),"")</f>
        <v>2459.1486759999998</v>
      </c>
      <c r="AQ387">
        <f ca="1">IFERROR(IF(0=LEN(ReferenceData!$AQ$387),"",ReferenceData!$AQ$387),"")</f>
        <v>2137.393947</v>
      </c>
      <c r="AR387">
        <f ca="1">IFERROR(IF(0=LEN(ReferenceData!$AR$387),"",ReferenceData!$AR$387),"")</f>
        <v>2108.897821</v>
      </c>
      <c r="AS387">
        <f ca="1">IFERROR(IF(0=LEN(ReferenceData!$AS$387),"",ReferenceData!$AS$387),"")</f>
        <v>1269.533983</v>
      </c>
      <c r="AT387">
        <f ca="1">IFERROR(IF(0=LEN(ReferenceData!$AT$387),"",ReferenceData!$AT$387),"")</f>
        <v>862.78421860000003</v>
      </c>
      <c r="AU387">
        <f ca="1">IFERROR(IF(0=LEN(ReferenceData!$AU$387),"",ReferenceData!$AU$387),"")</f>
        <v>1071.6644980000001</v>
      </c>
      <c r="AV387">
        <f ca="1">IFERROR(IF(0=LEN(ReferenceData!$AV$387),"",ReferenceData!$AV$387),"")</f>
        <v>1766.1264269999999</v>
      </c>
      <c r="AW387">
        <f ca="1">IFERROR(IF(0=LEN(ReferenceData!$AW$387),"",ReferenceData!$AW$387),"")</f>
        <v>2705.0552739999998</v>
      </c>
      <c r="AX387">
        <f ca="1">IFERROR(IF(0=LEN(ReferenceData!$AX$387),"",ReferenceData!$AX$387),"")</f>
        <v>2701.3370359999999</v>
      </c>
      <c r="AY387">
        <f ca="1">IFERROR(IF(0=LEN(ReferenceData!$AY$387),"",ReferenceData!$AY$387),"")</f>
        <v>3671.8174359999998</v>
      </c>
      <c r="AZ387">
        <f ca="1">IFERROR(IF(0=LEN(ReferenceData!$AZ$387),"",ReferenceData!$AZ$387),"")</f>
        <v>3786.2155630000002</v>
      </c>
      <c r="BA387">
        <f ca="1">IFERROR(IF(0=LEN(ReferenceData!$BA$387),"",ReferenceData!$BA$387),"")</f>
        <v>3511.2093890000001</v>
      </c>
      <c r="BB387">
        <f ca="1">IFERROR(IF(0=LEN(ReferenceData!$BB$387),"",ReferenceData!$BB$387),"")</f>
        <v>3232.661204</v>
      </c>
      <c r="BC387">
        <f ca="1">IFERROR(IF(0=LEN(ReferenceData!$BC$387),"",ReferenceData!$BC$387),"")</f>
        <v>2992.634035</v>
      </c>
      <c r="BD387">
        <f ca="1">IFERROR(IF(0=LEN(ReferenceData!$BD$387),"",ReferenceData!$BD$387),"")</f>
        <v>2511.553038</v>
      </c>
      <c r="BE387">
        <f ca="1">IFERROR(IF(0=LEN(ReferenceData!$BE$387),"",ReferenceData!$BE$387),"")</f>
        <v>2384.3806100000002</v>
      </c>
      <c r="BF387">
        <f ca="1">IFERROR(IF(0=LEN(ReferenceData!$BF$387),"",ReferenceData!$BF$387),"")</f>
        <v>3173.68507</v>
      </c>
      <c r="BG387">
        <f ca="1">IFERROR(IF(0=LEN(ReferenceData!$BG$387),"",ReferenceData!$BG$387),"")</f>
        <v>3140.5333780000001</v>
      </c>
      <c r="BH387">
        <f ca="1">IFERROR(IF(0=LEN(ReferenceData!$BH$387),"",ReferenceData!$BH$387),"")</f>
        <v>2447.9797400000002</v>
      </c>
      <c r="BI387">
        <f ca="1">IFERROR(IF(0=LEN(ReferenceData!$BI$387),"",ReferenceData!$BI$387),"")</f>
        <v>2305.9605379999998</v>
      </c>
      <c r="BJ387">
        <f ca="1">IFERROR(IF(0=LEN(ReferenceData!$BJ$387),"",ReferenceData!$BJ$387),"")</f>
        <v>2347.9621579999998</v>
      </c>
      <c r="BK387">
        <f ca="1">IFERROR(IF(0=LEN(ReferenceData!$BK$387),"",ReferenceData!$BK$387),"")</f>
        <v>2338.265026</v>
      </c>
      <c r="BL387">
        <f ca="1">IFERROR(IF(0=LEN(ReferenceData!$BL$387),"",ReferenceData!$BL$387),"")</f>
        <v>2408.937007</v>
      </c>
      <c r="BM387">
        <f ca="1">IFERROR(IF(0=LEN(ReferenceData!$BM$387),"",ReferenceData!$BM$387),"")</f>
        <v>2305.1305790000001</v>
      </c>
    </row>
    <row r="388" spans="1:65" x14ac:dyDescent="0.25">
      <c r="A388" t="str">
        <f>IFERROR(IF(0=LEN(ReferenceData!$A$388),"",ReferenceData!$A$388),"")</f>
        <v xml:space="preserve">    GAZ PJSC</v>
      </c>
      <c r="B388" t="str">
        <f>IFERROR(IF(0=LEN(ReferenceData!$B$388),"",ReferenceData!$B$388),"")</f>
        <v>GAZA RM Equity</v>
      </c>
      <c r="C388" t="str">
        <f>IFERROR(IF(0=LEN(ReferenceData!$C$388),"",ReferenceData!$C$388),"")</f>
        <v>RR937</v>
      </c>
      <c r="D388" t="str">
        <f>IFERROR(IF(0=LEN(ReferenceData!$D$388),"",ReferenceData!$D$388),"")</f>
        <v>CRNCY_ADJ_CURR_EV</v>
      </c>
      <c r="E388" t="str">
        <f>IFERROR(IF(0=LEN(ReferenceData!$E$388),"",ReferenceData!$E$388),"")</f>
        <v>Dynamic</v>
      </c>
      <c r="F388" t="str">
        <f ca="1">IFERROR(IF(0=LEN(ReferenceData!$F$388),"",ReferenceData!$F$388),"")</f>
        <v/>
      </c>
      <c r="G388" t="str">
        <f ca="1">IFERROR(IF(0=LEN(ReferenceData!$G$388),"",ReferenceData!$G$388),"")</f>
        <v/>
      </c>
      <c r="H388" t="str">
        <f ca="1">IFERROR(IF(0=LEN(ReferenceData!$H$388),"",ReferenceData!$H$388),"")</f>
        <v/>
      </c>
      <c r="I388" t="str">
        <f ca="1">IFERROR(IF(0=LEN(ReferenceData!$I$388),"",ReferenceData!$I$388),"")</f>
        <v/>
      </c>
      <c r="J388" t="str">
        <f ca="1">IFERROR(IF(0=LEN(ReferenceData!$J$388),"",ReferenceData!$J$388),"")</f>
        <v/>
      </c>
      <c r="K388" t="str">
        <f ca="1">IFERROR(IF(0=LEN(ReferenceData!$K$388),"",ReferenceData!$K$388),"")</f>
        <v/>
      </c>
      <c r="L388" t="str">
        <f ca="1">IFERROR(IF(0=LEN(ReferenceData!$L$388),"",ReferenceData!$L$388),"")</f>
        <v/>
      </c>
      <c r="M388" t="str">
        <f ca="1">IFERROR(IF(0=LEN(ReferenceData!$M$388),"",ReferenceData!$M$388),"")</f>
        <v/>
      </c>
      <c r="N388" t="str">
        <f ca="1">IFERROR(IF(0=LEN(ReferenceData!$N$388),"",ReferenceData!$N$388),"")</f>
        <v/>
      </c>
      <c r="O388" t="str">
        <f ca="1">IFERROR(IF(0=LEN(ReferenceData!$O$388),"",ReferenceData!$O$388),"")</f>
        <v/>
      </c>
      <c r="P388" t="str">
        <f ca="1">IFERROR(IF(0=LEN(ReferenceData!$P$388),"",ReferenceData!$P$388),"")</f>
        <v/>
      </c>
      <c r="Q388" t="str">
        <f ca="1">IFERROR(IF(0=LEN(ReferenceData!$Q$388),"",ReferenceData!$Q$388),"")</f>
        <v/>
      </c>
      <c r="R388" t="str">
        <f ca="1">IFERROR(IF(0=LEN(ReferenceData!$R$388),"",ReferenceData!$R$388),"")</f>
        <v/>
      </c>
      <c r="S388" t="str">
        <f ca="1">IFERROR(IF(0=LEN(ReferenceData!$S$388),"",ReferenceData!$S$388),"")</f>
        <v/>
      </c>
      <c r="T388" t="str">
        <f ca="1">IFERROR(IF(0=LEN(ReferenceData!$T$388),"",ReferenceData!$T$388),"")</f>
        <v/>
      </c>
      <c r="U388" t="str">
        <f ca="1">IFERROR(IF(0=LEN(ReferenceData!$U$388),"",ReferenceData!$U$388),"")</f>
        <v/>
      </c>
      <c r="V388" t="str">
        <f ca="1">IFERROR(IF(0=LEN(ReferenceData!$V$388),"",ReferenceData!$V$388),"")</f>
        <v/>
      </c>
      <c r="W388" t="str">
        <f ca="1">IFERROR(IF(0=LEN(ReferenceData!$W$388),"",ReferenceData!$W$388),"")</f>
        <v/>
      </c>
      <c r="X388" t="str">
        <f ca="1">IFERROR(IF(0=LEN(ReferenceData!$X$388),"",ReferenceData!$X$388),"")</f>
        <v/>
      </c>
      <c r="Y388" t="str">
        <f ca="1">IFERROR(IF(0=LEN(ReferenceData!$Y$388),"",ReferenceData!$Y$388),"")</f>
        <v/>
      </c>
      <c r="Z388" t="str">
        <f ca="1">IFERROR(IF(0=LEN(ReferenceData!$Z$388),"",ReferenceData!$Z$388),"")</f>
        <v/>
      </c>
      <c r="AA388" t="str">
        <f ca="1">IFERROR(IF(0=LEN(ReferenceData!$AA$388),"",ReferenceData!$AA$388),"")</f>
        <v/>
      </c>
      <c r="AB388" t="str">
        <f ca="1">IFERROR(IF(0=LEN(ReferenceData!$AB$388),"",ReferenceData!$AB$388),"")</f>
        <v/>
      </c>
      <c r="AC388" t="str">
        <f ca="1">IFERROR(IF(0=LEN(ReferenceData!$AC$388),"",ReferenceData!$AC$388),"")</f>
        <v/>
      </c>
      <c r="AD388" t="str">
        <f ca="1">IFERROR(IF(0=LEN(ReferenceData!$AD$388),"",ReferenceData!$AD$388),"")</f>
        <v/>
      </c>
      <c r="AE388" t="str">
        <f ca="1">IFERROR(IF(0=LEN(ReferenceData!$AE$388),"",ReferenceData!$AE$388),"")</f>
        <v/>
      </c>
      <c r="AF388" t="str">
        <f ca="1">IFERROR(IF(0=LEN(ReferenceData!$AF$388),"",ReferenceData!$AF$388),"")</f>
        <v/>
      </c>
      <c r="AG388" t="str">
        <f ca="1">IFERROR(IF(0=LEN(ReferenceData!$AG$388),"",ReferenceData!$AG$388),"")</f>
        <v/>
      </c>
      <c r="AH388" t="str">
        <f ca="1">IFERROR(IF(0=LEN(ReferenceData!$AH$388),"",ReferenceData!$AH$388),"")</f>
        <v/>
      </c>
      <c r="AI388" t="str">
        <f ca="1">IFERROR(IF(0=LEN(ReferenceData!$AI$388),"",ReferenceData!$AI$388),"")</f>
        <v/>
      </c>
      <c r="AJ388" t="str">
        <f ca="1">IFERROR(IF(0=LEN(ReferenceData!$AJ$388),"",ReferenceData!$AJ$388),"")</f>
        <v/>
      </c>
      <c r="AK388" t="str">
        <f ca="1">IFERROR(IF(0=LEN(ReferenceData!$AK$388),"",ReferenceData!$AK$388),"")</f>
        <v/>
      </c>
      <c r="AL388" t="str">
        <f ca="1">IFERROR(IF(0=LEN(ReferenceData!$AL$388),"",ReferenceData!$AL$388),"")</f>
        <v/>
      </c>
      <c r="AM388" t="str">
        <f ca="1">IFERROR(IF(0=LEN(ReferenceData!$AM$388),"",ReferenceData!$AM$388),"")</f>
        <v/>
      </c>
      <c r="AN388" t="str">
        <f ca="1">IFERROR(IF(0=LEN(ReferenceData!$AN$388),"",ReferenceData!$AN$388),"")</f>
        <v/>
      </c>
      <c r="AO388" t="str">
        <f ca="1">IFERROR(IF(0=LEN(ReferenceData!$AO$388),"",ReferenceData!$AO$388),"")</f>
        <v/>
      </c>
      <c r="AP388" t="str">
        <f ca="1">IFERROR(IF(0=LEN(ReferenceData!$AP$388),"",ReferenceData!$AP$388),"")</f>
        <v/>
      </c>
      <c r="AQ388" t="str">
        <f ca="1">IFERROR(IF(0=LEN(ReferenceData!$AQ$388),"",ReferenceData!$AQ$388),"")</f>
        <v/>
      </c>
      <c r="AR388" t="str">
        <f ca="1">IFERROR(IF(0=LEN(ReferenceData!$AR$388),"",ReferenceData!$AR$388),"")</f>
        <v/>
      </c>
      <c r="AS388" t="str">
        <f ca="1">IFERROR(IF(0=LEN(ReferenceData!$AS$388),"",ReferenceData!$AS$388),"")</f>
        <v/>
      </c>
      <c r="AT388" t="str">
        <f ca="1">IFERROR(IF(0=LEN(ReferenceData!$AT$388),"",ReferenceData!$AT$388),"")</f>
        <v/>
      </c>
      <c r="AU388" t="str">
        <f ca="1">IFERROR(IF(0=LEN(ReferenceData!$AU$388),"",ReferenceData!$AU$388),"")</f>
        <v/>
      </c>
      <c r="AV388" t="str">
        <f ca="1">IFERROR(IF(0=LEN(ReferenceData!$AV$388),"",ReferenceData!$AV$388),"")</f>
        <v/>
      </c>
      <c r="AW388" t="str">
        <f ca="1">IFERROR(IF(0=LEN(ReferenceData!$AW$388),"",ReferenceData!$AW$388),"")</f>
        <v/>
      </c>
      <c r="AX388" t="str">
        <f ca="1">IFERROR(IF(0=LEN(ReferenceData!$AX$388),"",ReferenceData!$AX$388),"")</f>
        <v/>
      </c>
      <c r="AY388" t="str">
        <f ca="1">IFERROR(IF(0=LEN(ReferenceData!$AY$388),"",ReferenceData!$AY$388),"")</f>
        <v/>
      </c>
      <c r="AZ388" t="str">
        <f ca="1">IFERROR(IF(0=LEN(ReferenceData!$AZ$388),"",ReferenceData!$AZ$388),"")</f>
        <v/>
      </c>
      <c r="BA388" t="str">
        <f ca="1">IFERROR(IF(0=LEN(ReferenceData!$BA$388),"",ReferenceData!$BA$388),"")</f>
        <v/>
      </c>
      <c r="BB388" t="str">
        <f ca="1">IFERROR(IF(0=LEN(ReferenceData!$BB$388),"",ReferenceData!$BB$388),"")</f>
        <v/>
      </c>
      <c r="BC388" t="str">
        <f ca="1">IFERROR(IF(0=LEN(ReferenceData!$BC$388),"",ReferenceData!$BC$388),"")</f>
        <v/>
      </c>
      <c r="BD388" t="str">
        <f ca="1">IFERROR(IF(0=LEN(ReferenceData!$BD$388),"",ReferenceData!$BD$388),"")</f>
        <v/>
      </c>
      <c r="BE388" t="str">
        <f ca="1">IFERROR(IF(0=LEN(ReferenceData!$BE$388),"",ReferenceData!$BE$388),"")</f>
        <v/>
      </c>
      <c r="BF388" t="str">
        <f ca="1">IFERROR(IF(0=LEN(ReferenceData!$BF$388),"",ReferenceData!$BF$388),"")</f>
        <v/>
      </c>
      <c r="BG388" t="str">
        <f ca="1">IFERROR(IF(0=LEN(ReferenceData!$BG$388),"",ReferenceData!$BG$388),"")</f>
        <v/>
      </c>
      <c r="BH388" t="str">
        <f ca="1">IFERROR(IF(0=LEN(ReferenceData!$BH$388),"",ReferenceData!$BH$388),"")</f>
        <v/>
      </c>
      <c r="BI388" t="str">
        <f ca="1">IFERROR(IF(0=LEN(ReferenceData!$BI$388),"",ReferenceData!$BI$388),"")</f>
        <v/>
      </c>
      <c r="BJ388" t="str">
        <f ca="1">IFERROR(IF(0=LEN(ReferenceData!$BJ$388),"",ReferenceData!$BJ$388),"")</f>
        <v/>
      </c>
      <c r="BK388" t="str">
        <f ca="1">IFERROR(IF(0=LEN(ReferenceData!$BK$388),"",ReferenceData!$BK$388),"")</f>
        <v/>
      </c>
      <c r="BL388" t="str">
        <f ca="1">IFERROR(IF(0=LEN(ReferenceData!$BL$388),"",ReferenceData!$BL$388),"")</f>
        <v/>
      </c>
      <c r="BM388" t="str">
        <f ca="1">IFERROR(IF(0=LEN(ReferenceData!$BM$388),"",ReferenceData!$BM$388),"")</f>
        <v/>
      </c>
    </row>
    <row r="389" spans="1:65" x14ac:dyDescent="0.25">
      <c r="A389" t="str">
        <f>IFERROR(IF(0=LEN(ReferenceData!$A$389),"",ReferenceData!$A$389),"")</f>
        <v xml:space="preserve">    Geely Automobile Holdings Ltd</v>
      </c>
      <c r="B389" t="str">
        <f>IFERROR(IF(0=LEN(ReferenceData!$B$389),"",ReferenceData!$B$389),"")</f>
        <v>175 HK Equity</v>
      </c>
      <c r="C389" t="str">
        <f>IFERROR(IF(0=LEN(ReferenceData!$C$389),"",ReferenceData!$C$389),"")</f>
        <v>RR937</v>
      </c>
      <c r="D389" t="str">
        <f>IFERROR(IF(0=LEN(ReferenceData!$D$389),"",ReferenceData!$D$389),"")</f>
        <v>CRNCY_ADJ_CURR_EV</v>
      </c>
      <c r="E389" t="str">
        <f>IFERROR(IF(0=LEN(ReferenceData!$E$389),"",ReferenceData!$E$389),"")</f>
        <v>Dynamic</v>
      </c>
      <c r="F389" t="str">
        <f ca="1">IFERROR(IF(0=LEN(ReferenceData!$F$389),"",ReferenceData!$F$389),"")</f>
        <v/>
      </c>
      <c r="G389" t="str">
        <f ca="1">IFERROR(IF(0=LEN(ReferenceData!$G$389),"",ReferenceData!$G$389),"")</f>
        <v/>
      </c>
      <c r="H389" t="str">
        <f ca="1">IFERROR(IF(0=LEN(ReferenceData!$H$389),"",ReferenceData!$H$389),"")</f>
        <v/>
      </c>
      <c r="I389" t="str">
        <f ca="1">IFERROR(IF(0=LEN(ReferenceData!$I$389),"",ReferenceData!$I$389),"")</f>
        <v/>
      </c>
      <c r="J389" t="str">
        <f ca="1">IFERROR(IF(0=LEN(ReferenceData!$J$389),"",ReferenceData!$J$389),"")</f>
        <v/>
      </c>
      <c r="K389" t="str">
        <f ca="1">IFERROR(IF(0=LEN(ReferenceData!$K$389),"",ReferenceData!$K$389),"")</f>
        <v/>
      </c>
      <c r="L389" t="str">
        <f ca="1">IFERROR(IF(0=LEN(ReferenceData!$L$389),"",ReferenceData!$L$389),"")</f>
        <v/>
      </c>
      <c r="M389" t="str">
        <f ca="1">IFERROR(IF(0=LEN(ReferenceData!$M$389),"",ReferenceData!$M$389),"")</f>
        <v/>
      </c>
      <c r="N389" t="str">
        <f ca="1">IFERROR(IF(0=LEN(ReferenceData!$N$389),"",ReferenceData!$N$389),"")</f>
        <v/>
      </c>
      <c r="O389" t="str">
        <f ca="1">IFERROR(IF(0=LEN(ReferenceData!$O$389),"",ReferenceData!$O$389),"")</f>
        <v/>
      </c>
      <c r="P389" t="str">
        <f ca="1">IFERROR(IF(0=LEN(ReferenceData!$P$389),"",ReferenceData!$P$389),"")</f>
        <v/>
      </c>
      <c r="Q389" t="str">
        <f ca="1">IFERROR(IF(0=LEN(ReferenceData!$Q$389),"",ReferenceData!$Q$389),"")</f>
        <v/>
      </c>
      <c r="R389" t="str">
        <f ca="1">IFERROR(IF(0=LEN(ReferenceData!$R$389),"",ReferenceData!$R$389),"")</f>
        <v/>
      </c>
      <c r="S389" t="str">
        <f ca="1">IFERROR(IF(0=LEN(ReferenceData!$S$389),"",ReferenceData!$S$389),"")</f>
        <v/>
      </c>
      <c r="T389" t="str">
        <f ca="1">IFERROR(IF(0=LEN(ReferenceData!$T$389),"",ReferenceData!$T$389),"")</f>
        <v/>
      </c>
      <c r="U389" t="str">
        <f ca="1">IFERROR(IF(0=LEN(ReferenceData!$U$389),"",ReferenceData!$U$389),"")</f>
        <v/>
      </c>
      <c r="V389" t="str">
        <f ca="1">IFERROR(IF(0=LEN(ReferenceData!$V$389),"",ReferenceData!$V$389),"")</f>
        <v/>
      </c>
      <c r="W389" t="str">
        <f ca="1">IFERROR(IF(0=LEN(ReferenceData!$W$389),"",ReferenceData!$W$389),"")</f>
        <v/>
      </c>
      <c r="X389" t="str">
        <f ca="1">IFERROR(IF(0=LEN(ReferenceData!$X$389),"",ReferenceData!$X$389),"")</f>
        <v/>
      </c>
      <c r="Y389" t="str">
        <f ca="1">IFERROR(IF(0=LEN(ReferenceData!$Y$389),"",ReferenceData!$Y$389),"")</f>
        <v/>
      </c>
      <c r="Z389" t="str">
        <f ca="1">IFERROR(IF(0=LEN(ReferenceData!$Z$389),"",ReferenceData!$Z$389),"")</f>
        <v/>
      </c>
      <c r="AA389" t="str">
        <f ca="1">IFERROR(IF(0=LEN(ReferenceData!$AA$389),"",ReferenceData!$AA$389),"")</f>
        <v/>
      </c>
      <c r="AB389" t="str">
        <f ca="1">IFERROR(IF(0=LEN(ReferenceData!$AB$389),"",ReferenceData!$AB$389),"")</f>
        <v/>
      </c>
      <c r="AC389" t="str">
        <f ca="1">IFERROR(IF(0=LEN(ReferenceData!$AC$389),"",ReferenceData!$AC$389),"")</f>
        <v/>
      </c>
      <c r="AD389" t="str">
        <f ca="1">IFERROR(IF(0=LEN(ReferenceData!$AD$389),"",ReferenceData!$AD$389),"")</f>
        <v/>
      </c>
      <c r="AE389" t="str">
        <f ca="1">IFERROR(IF(0=LEN(ReferenceData!$AE$389),"",ReferenceData!$AE$389),"")</f>
        <v/>
      </c>
      <c r="AF389" t="str">
        <f ca="1">IFERROR(IF(0=LEN(ReferenceData!$AF$389),"",ReferenceData!$AF$389),"")</f>
        <v/>
      </c>
      <c r="AG389" t="str">
        <f ca="1">IFERROR(IF(0=LEN(ReferenceData!$AG$389),"",ReferenceData!$AG$389),"")</f>
        <v/>
      </c>
      <c r="AH389" t="str">
        <f ca="1">IFERROR(IF(0=LEN(ReferenceData!$AH$389),"",ReferenceData!$AH$389),"")</f>
        <v/>
      </c>
      <c r="AI389" t="str">
        <f ca="1">IFERROR(IF(0=LEN(ReferenceData!$AI$389),"",ReferenceData!$AI$389),"")</f>
        <v/>
      </c>
      <c r="AJ389" t="str">
        <f ca="1">IFERROR(IF(0=LEN(ReferenceData!$AJ$389),"",ReferenceData!$AJ$389),"")</f>
        <v/>
      </c>
      <c r="AK389" t="str">
        <f ca="1">IFERROR(IF(0=LEN(ReferenceData!$AK$389),"",ReferenceData!$AK$389),"")</f>
        <v/>
      </c>
      <c r="AL389" t="str">
        <f ca="1">IFERROR(IF(0=LEN(ReferenceData!$AL$389),"",ReferenceData!$AL$389),"")</f>
        <v/>
      </c>
      <c r="AM389" t="str">
        <f ca="1">IFERROR(IF(0=LEN(ReferenceData!$AM$389),"",ReferenceData!$AM$389),"")</f>
        <v/>
      </c>
      <c r="AN389" t="str">
        <f ca="1">IFERROR(IF(0=LEN(ReferenceData!$AN$389),"",ReferenceData!$AN$389),"")</f>
        <v/>
      </c>
      <c r="AO389" t="str">
        <f ca="1">IFERROR(IF(0=LEN(ReferenceData!$AO$389),"",ReferenceData!$AO$389),"")</f>
        <v/>
      </c>
      <c r="AP389" t="str">
        <f ca="1">IFERROR(IF(0=LEN(ReferenceData!$AP$389),"",ReferenceData!$AP$389),"")</f>
        <v/>
      </c>
      <c r="AQ389" t="str">
        <f ca="1">IFERROR(IF(0=LEN(ReferenceData!$AQ$389),"",ReferenceData!$AQ$389),"")</f>
        <v/>
      </c>
      <c r="AR389" t="str">
        <f ca="1">IFERROR(IF(0=LEN(ReferenceData!$AR$389),"",ReferenceData!$AR$389),"")</f>
        <v/>
      </c>
      <c r="AS389" t="str">
        <f ca="1">IFERROR(IF(0=LEN(ReferenceData!$AS$389),"",ReferenceData!$AS$389),"")</f>
        <v/>
      </c>
      <c r="AT389" t="str">
        <f ca="1">IFERROR(IF(0=LEN(ReferenceData!$AT$389),"",ReferenceData!$AT$389),"")</f>
        <v/>
      </c>
      <c r="AU389" t="str">
        <f ca="1">IFERROR(IF(0=LEN(ReferenceData!$AU$389),"",ReferenceData!$AU$389),"")</f>
        <v/>
      </c>
      <c r="AV389" t="str">
        <f ca="1">IFERROR(IF(0=LEN(ReferenceData!$AV$389),"",ReferenceData!$AV$389),"")</f>
        <v/>
      </c>
      <c r="AW389" t="str">
        <f ca="1">IFERROR(IF(0=LEN(ReferenceData!$AW$389),"",ReferenceData!$AW$389),"")</f>
        <v/>
      </c>
      <c r="AX389" t="str">
        <f ca="1">IFERROR(IF(0=LEN(ReferenceData!$AX$389),"",ReferenceData!$AX$389),"")</f>
        <v/>
      </c>
      <c r="AY389" t="str">
        <f ca="1">IFERROR(IF(0=LEN(ReferenceData!$AY$389),"",ReferenceData!$AY$389),"")</f>
        <v/>
      </c>
      <c r="AZ389" t="str">
        <f ca="1">IFERROR(IF(0=LEN(ReferenceData!$AZ$389),"",ReferenceData!$AZ$389),"")</f>
        <v/>
      </c>
      <c r="BA389" t="str">
        <f ca="1">IFERROR(IF(0=LEN(ReferenceData!$BA$389),"",ReferenceData!$BA$389),"")</f>
        <v/>
      </c>
      <c r="BB389" t="str">
        <f ca="1">IFERROR(IF(0=LEN(ReferenceData!$BB$389),"",ReferenceData!$BB$389),"")</f>
        <v/>
      </c>
      <c r="BC389" t="str">
        <f ca="1">IFERROR(IF(0=LEN(ReferenceData!$BC$389),"",ReferenceData!$BC$389),"")</f>
        <v/>
      </c>
      <c r="BD389" t="str">
        <f ca="1">IFERROR(IF(0=LEN(ReferenceData!$BD$389),"",ReferenceData!$BD$389),"")</f>
        <v/>
      </c>
      <c r="BE389" t="str">
        <f ca="1">IFERROR(IF(0=LEN(ReferenceData!$BE$389),"",ReferenceData!$BE$389),"")</f>
        <v/>
      </c>
      <c r="BF389" t="str">
        <f ca="1">IFERROR(IF(0=LEN(ReferenceData!$BF$389),"",ReferenceData!$BF$389),"")</f>
        <v/>
      </c>
      <c r="BG389" t="str">
        <f ca="1">IFERROR(IF(0=LEN(ReferenceData!$BG$389),"",ReferenceData!$BG$389),"")</f>
        <v/>
      </c>
      <c r="BH389" t="str">
        <f ca="1">IFERROR(IF(0=LEN(ReferenceData!$BH$389),"",ReferenceData!$BH$389),"")</f>
        <v/>
      </c>
      <c r="BI389" t="str">
        <f ca="1">IFERROR(IF(0=LEN(ReferenceData!$BI$389),"",ReferenceData!$BI$389),"")</f>
        <v/>
      </c>
      <c r="BJ389" t="str">
        <f ca="1">IFERROR(IF(0=LEN(ReferenceData!$BJ$389),"",ReferenceData!$BJ$389),"")</f>
        <v/>
      </c>
      <c r="BK389" t="str">
        <f ca="1">IFERROR(IF(0=LEN(ReferenceData!$BK$389),"",ReferenceData!$BK$389),"")</f>
        <v/>
      </c>
      <c r="BL389" t="str">
        <f ca="1">IFERROR(IF(0=LEN(ReferenceData!$BL$389),"",ReferenceData!$BL$389),"")</f>
        <v/>
      </c>
      <c r="BM389" t="str">
        <f ca="1">IFERROR(IF(0=LEN(ReferenceData!$BM$389),"",ReferenceData!$BM$389),"")</f>
        <v/>
      </c>
    </row>
    <row r="390" spans="1:65" x14ac:dyDescent="0.25">
      <c r="A390" t="str">
        <f>IFERROR(IF(0=LEN(ReferenceData!$A$390),"",ReferenceData!$A$390),"")</f>
        <v xml:space="preserve">    General Motors Co</v>
      </c>
      <c r="B390" t="str">
        <f>IFERROR(IF(0=LEN(ReferenceData!$B$390),"",ReferenceData!$B$390),"")</f>
        <v>GM US Equity</v>
      </c>
      <c r="C390" t="str">
        <f>IFERROR(IF(0=LEN(ReferenceData!$C$390),"",ReferenceData!$C$390),"")</f>
        <v>RR937</v>
      </c>
      <c r="D390" t="str">
        <f>IFERROR(IF(0=LEN(ReferenceData!$D$390),"",ReferenceData!$D$390),"")</f>
        <v>CRNCY_ADJ_CURR_EV</v>
      </c>
      <c r="E390" t="str">
        <f>IFERROR(IF(0=LEN(ReferenceData!$E$390),"",ReferenceData!$E$390),"")</f>
        <v>Dynamic</v>
      </c>
      <c r="F390">
        <f ca="1">IFERROR(IF(0=LEN(ReferenceData!$F$390),"",ReferenceData!$F$390),"")</f>
        <v>53693.286970000001</v>
      </c>
      <c r="G390">
        <f ca="1">IFERROR(IF(0=LEN(ReferenceData!$G$390),"",ReferenceData!$G$390),"")</f>
        <v>45547.451520000002</v>
      </c>
      <c r="H390">
        <f ca="1">IFERROR(IF(0=LEN(ReferenceData!$H$390),"",ReferenceData!$H$390),"")</f>
        <v>47071.609600000003</v>
      </c>
      <c r="I390">
        <f ca="1">IFERROR(IF(0=LEN(ReferenceData!$I$390),"",ReferenceData!$I$390),"")</f>
        <v>54248.00621</v>
      </c>
      <c r="J390">
        <f ca="1">IFERROR(IF(0=LEN(ReferenceData!$J$390),"",ReferenceData!$J$390),"")</f>
        <v>50165.055350000002</v>
      </c>
      <c r="K390">
        <f ca="1">IFERROR(IF(0=LEN(ReferenceData!$K$390),"",ReferenceData!$K$390),"")</f>
        <v>53386.505879999997</v>
      </c>
      <c r="L390">
        <f ca="1">IFERROR(IF(0=LEN(ReferenceData!$L$390),"",ReferenceData!$L$390),"")</f>
        <v>56885.0697</v>
      </c>
      <c r="M390">
        <f ca="1">IFERROR(IF(0=LEN(ReferenceData!$M$390),"",ReferenceData!$M$390),"")</f>
        <v>43438.259559999999</v>
      </c>
      <c r="N390">
        <f ca="1">IFERROR(IF(0=LEN(ReferenceData!$N$390),"",ReferenceData!$N$390),"")</f>
        <v>43732.02824</v>
      </c>
      <c r="O390">
        <f ca="1">IFERROR(IF(0=LEN(ReferenceData!$O$390),"",ReferenceData!$O$390),"")</f>
        <v>42307.144760000003</v>
      </c>
      <c r="P390">
        <f ca="1">IFERROR(IF(0=LEN(ReferenceData!$P$390),"",ReferenceData!$P$390),"")</f>
        <v>39932.257969999999</v>
      </c>
      <c r="Q390">
        <f ca="1">IFERROR(IF(0=LEN(ReferenceData!$Q$390),"",ReferenceData!$Q$390),"")</f>
        <v>35615.056479999999</v>
      </c>
      <c r="R390">
        <f ca="1">IFERROR(IF(0=LEN(ReferenceData!$R$390),"",ReferenceData!$R$390),"")</f>
        <v>42083.400959999999</v>
      </c>
      <c r="S390">
        <f ca="1">IFERROR(IF(0=LEN(ReferenceData!$S$390),"",ReferenceData!$S$390),"")</f>
        <v>41802.575680000002</v>
      </c>
      <c r="T390">
        <f ca="1">IFERROR(IF(0=LEN(ReferenceData!$T$390),"",ReferenceData!$T$390),"")</f>
        <v>35681.603040000002</v>
      </c>
      <c r="U390">
        <f ca="1">IFERROR(IF(0=LEN(ReferenceData!$U$390),"",ReferenceData!$U$390),"")</f>
        <v>40864.230689999997</v>
      </c>
      <c r="V390">
        <f ca="1">IFERROR(IF(0=LEN(ReferenceData!$V$390),"",ReferenceData!$V$390),"")</f>
        <v>46364.723749999997</v>
      </c>
      <c r="W390">
        <f ca="1">IFERROR(IF(0=LEN(ReferenceData!$W$390),"",ReferenceData!$W$390),"")</f>
        <v>40804.767449999999</v>
      </c>
      <c r="X390">
        <f ca="1">IFERROR(IF(0=LEN(ReferenceData!$X$390),"",ReferenceData!$X$390),"")</f>
        <v>36141.539400000001</v>
      </c>
      <c r="Y390">
        <f ca="1">IFERROR(IF(0=LEN(ReferenceData!$Y$390),"",ReferenceData!$Y$390),"")</f>
        <v>41327.977330000002</v>
      </c>
      <c r="Z390">
        <f ca="1">IFERROR(IF(0=LEN(ReferenceData!$Z$390),"",ReferenceData!$Z$390),"")</f>
        <v>40377.514320000002</v>
      </c>
      <c r="AA390">
        <f ca="1">IFERROR(IF(0=LEN(ReferenceData!$AA$390),"",ReferenceData!$AA$390),"")</f>
        <v>39661.357360000002</v>
      </c>
      <c r="AB390">
        <f ca="1">IFERROR(IF(0=LEN(ReferenceData!$AB$390),"",ReferenceData!$AB$390),"")</f>
        <v>39968.437290000002</v>
      </c>
      <c r="AC390">
        <f ca="1">IFERROR(IF(0=LEN(ReferenceData!$AC$390),"",ReferenceData!$AC$390),"")</f>
        <v>36575.795899999997</v>
      </c>
      <c r="AD390">
        <f ca="1">IFERROR(IF(0=LEN(ReferenceData!$AD$390),"",ReferenceData!$AD$390),"")</f>
        <v>30022.454259999999</v>
      </c>
      <c r="AE390">
        <f ca="1">IFERROR(IF(0=LEN(ReferenceData!$AE$390),"",ReferenceData!$AE$390),"")</f>
        <v>35346.353640000001</v>
      </c>
      <c r="AF390">
        <f ca="1">IFERROR(IF(0=LEN(ReferenceData!$AF$390),"",ReferenceData!$AF$390),"")</f>
        <v>20652.46414</v>
      </c>
      <c r="AG390">
        <f ca="1">IFERROR(IF(0=LEN(ReferenceData!$AG$390),"",ReferenceData!$AG$390),"")</f>
        <v>24359.662619999999</v>
      </c>
      <c r="AH390">
        <f ca="1">IFERROR(IF(0=LEN(ReferenceData!$AH$390),"",ReferenceData!$AH$390),"")</f>
        <v>34205.794349999996</v>
      </c>
      <c r="AI390">
        <f ca="1">IFERROR(IF(0=LEN(ReferenceData!$AI$390),"",ReferenceData!$AI$390),"")</f>
        <v>16623.6695</v>
      </c>
      <c r="AJ390">
        <f ca="1">IFERROR(IF(0=LEN(ReferenceData!$AJ$390),"",ReferenceData!$AJ$390),"")</f>
        <v>22774.440170000002</v>
      </c>
      <c r="AK390">
        <f ca="1">IFERROR(IF(0=LEN(ReferenceData!$AK$390),"",ReferenceData!$AK$390),"")</f>
        <v>38135.466990000001</v>
      </c>
      <c r="AL390">
        <f ca="1">IFERROR(IF(0=LEN(ReferenceData!$AL$390),"",ReferenceData!$AL$390),"")</f>
        <v>42932.856590000003</v>
      </c>
      <c r="AM390">
        <f ca="1">IFERROR(IF(0=LEN(ReferenceData!$AM$390),"",ReferenceData!$AM$390),"")</f>
        <v>51634</v>
      </c>
      <c r="AN390" t="str">
        <f ca="1">IFERROR(IF(0=LEN(ReferenceData!$AN$390),"",ReferenceData!$AN$390),"")</f>
        <v/>
      </c>
      <c r="AO390" t="str">
        <f ca="1">IFERROR(IF(0=LEN(ReferenceData!$AO$390),"",ReferenceData!$AO$390),"")</f>
        <v/>
      </c>
      <c r="AP390" t="str">
        <f ca="1">IFERROR(IF(0=LEN(ReferenceData!$AP$390),"",ReferenceData!$AP$390),"")</f>
        <v/>
      </c>
      <c r="AQ390" t="str">
        <f ca="1">IFERROR(IF(0=LEN(ReferenceData!$AQ$390),"",ReferenceData!$AQ$390),"")</f>
        <v/>
      </c>
      <c r="AR390" t="str">
        <f ca="1">IFERROR(IF(0=LEN(ReferenceData!$AR$390),"",ReferenceData!$AR$390),"")</f>
        <v/>
      </c>
      <c r="AS390" t="str">
        <f ca="1">IFERROR(IF(0=LEN(ReferenceData!$AS$390),"",ReferenceData!$AS$390),"")</f>
        <v/>
      </c>
      <c r="AT390" t="str">
        <f ca="1">IFERROR(IF(0=LEN(ReferenceData!$AT$390),"",ReferenceData!$AT$390),"")</f>
        <v/>
      </c>
      <c r="AU390" t="str">
        <f ca="1">IFERROR(IF(0=LEN(ReferenceData!$AU$390),"",ReferenceData!$AU$390),"")</f>
        <v/>
      </c>
      <c r="AV390" t="str">
        <f ca="1">IFERROR(IF(0=LEN(ReferenceData!$AV$390),"",ReferenceData!$AV$390),"")</f>
        <v/>
      </c>
      <c r="AW390" t="str">
        <f ca="1">IFERROR(IF(0=LEN(ReferenceData!$AW$390),"",ReferenceData!$AW$390),"")</f>
        <v/>
      </c>
      <c r="AX390" t="str">
        <f ca="1">IFERROR(IF(0=LEN(ReferenceData!$AX$390),"",ReferenceData!$AX$390),"")</f>
        <v/>
      </c>
      <c r="AY390" t="str">
        <f ca="1">IFERROR(IF(0=LEN(ReferenceData!$AY$390),"",ReferenceData!$AY$390),"")</f>
        <v/>
      </c>
      <c r="AZ390" t="str">
        <f ca="1">IFERROR(IF(0=LEN(ReferenceData!$AZ$390),"",ReferenceData!$AZ$390),"")</f>
        <v/>
      </c>
      <c r="BA390" t="str">
        <f ca="1">IFERROR(IF(0=LEN(ReferenceData!$BA$390),"",ReferenceData!$BA$390),"")</f>
        <v/>
      </c>
      <c r="BB390" t="str">
        <f ca="1">IFERROR(IF(0=LEN(ReferenceData!$BB$390),"",ReferenceData!$BB$390),"")</f>
        <v/>
      </c>
      <c r="BC390" t="str">
        <f ca="1">IFERROR(IF(0=LEN(ReferenceData!$BC$390),"",ReferenceData!$BC$390),"")</f>
        <v/>
      </c>
      <c r="BD390" t="str">
        <f ca="1">IFERROR(IF(0=LEN(ReferenceData!$BD$390),"",ReferenceData!$BD$390),"")</f>
        <v/>
      </c>
      <c r="BE390" t="str">
        <f ca="1">IFERROR(IF(0=LEN(ReferenceData!$BE$390),"",ReferenceData!$BE$390),"")</f>
        <v/>
      </c>
      <c r="BF390" t="str">
        <f ca="1">IFERROR(IF(0=LEN(ReferenceData!$BF$390),"",ReferenceData!$BF$390),"")</f>
        <v/>
      </c>
      <c r="BG390" t="str">
        <f ca="1">IFERROR(IF(0=LEN(ReferenceData!$BG$390),"",ReferenceData!$BG$390),"")</f>
        <v/>
      </c>
      <c r="BH390" t="str">
        <f ca="1">IFERROR(IF(0=LEN(ReferenceData!$BH$390),"",ReferenceData!$BH$390),"")</f>
        <v/>
      </c>
      <c r="BI390" t="str">
        <f ca="1">IFERROR(IF(0=LEN(ReferenceData!$BI$390),"",ReferenceData!$BI$390),"")</f>
        <v/>
      </c>
      <c r="BJ390" t="str">
        <f ca="1">IFERROR(IF(0=LEN(ReferenceData!$BJ$390),"",ReferenceData!$BJ$390),"")</f>
        <v/>
      </c>
      <c r="BK390" t="str">
        <f ca="1">IFERROR(IF(0=LEN(ReferenceData!$BK$390),"",ReferenceData!$BK$390),"")</f>
        <v/>
      </c>
      <c r="BL390" t="str">
        <f ca="1">IFERROR(IF(0=LEN(ReferenceData!$BL$390),"",ReferenceData!$BL$390),"")</f>
        <v/>
      </c>
      <c r="BM390" t="str">
        <f ca="1">IFERROR(IF(0=LEN(ReferenceData!$BM$390),"",ReferenceData!$BM$390),"")</f>
        <v/>
      </c>
    </row>
    <row r="391" spans="1:65" x14ac:dyDescent="0.25">
      <c r="A391" t="str">
        <f>IFERROR(IF(0=LEN(ReferenceData!$A$391),"",ReferenceData!$A$391),"")</f>
        <v xml:space="preserve">    Great Wall Motor Co Ltd</v>
      </c>
      <c r="B391" t="str">
        <f>IFERROR(IF(0=LEN(ReferenceData!$B$391),"",ReferenceData!$B$391),"")</f>
        <v>2333 HK Equity</v>
      </c>
      <c r="C391" t="str">
        <f>IFERROR(IF(0=LEN(ReferenceData!$C$391),"",ReferenceData!$C$391),"")</f>
        <v>RR937</v>
      </c>
      <c r="D391" t="str">
        <f>IFERROR(IF(0=LEN(ReferenceData!$D$391),"",ReferenceData!$D$391),"")</f>
        <v>CRNCY_ADJ_CURR_EV</v>
      </c>
      <c r="E391" t="str">
        <f>IFERROR(IF(0=LEN(ReferenceData!$E$391),"",ReferenceData!$E$391),"")</f>
        <v>Dynamic</v>
      </c>
      <c r="F391">
        <f ca="1">IFERROR(IF(0=LEN(ReferenceData!$F$391),"",ReferenceData!$F$391),"")</f>
        <v>10168.642620000001</v>
      </c>
      <c r="G391">
        <f ca="1">IFERROR(IF(0=LEN(ReferenceData!$G$391),"",ReferenceData!$G$391),"")</f>
        <v>6899.0164860000004</v>
      </c>
      <c r="H391">
        <f ca="1">IFERROR(IF(0=LEN(ReferenceData!$H$391),"",ReferenceData!$H$391),"")</f>
        <v>9098.4114740000005</v>
      </c>
      <c r="I391">
        <f ca="1">IFERROR(IF(0=LEN(ReferenceData!$I$391),"",ReferenceData!$I$391),"")</f>
        <v>12241.184359999999</v>
      </c>
      <c r="J391">
        <f ca="1">IFERROR(IF(0=LEN(ReferenceData!$J$391),"",ReferenceData!$J$391),"")</f>
        <v>17041.17438</v>
      </c>
      <c r="K391">
        <f ca="1">IFERROR(IF(0=LEN(ReferenceData!$K$391),"",ReferenceData!$K$391),"")</f>
        <v>16239.834290000001</v>
      </c>
      <c r="L391">
        <f ca="1">IFERROR(IF(0=LEN(ReferenceData!$L$391),"",ReferenceData!$L$391),"")</f>
        <v>15917.514510000001</v>
      </c>
      <c r="M391">
        <f ca="1">IFERROR(IF(0=LEN(ReferenceData!$M$391),"",ReferenceData!$M$391),"")</f>
        <v>15743.11702</v>
      </c>
      <c r="N391">
        <f ca="1">IFERROR(IF(0=LEN(ReferenceData!$N$391),"",ReferenceData!$N$391),"")</f>
        <v>15810.331120000001</v>
      </c>
      <c r="O391">
        <f ca="1">IFERROR(IF(0=LEN(ReferenceData!$O$391),"",ReferenceData!$O$391),"")</f>
        <v>12692.587030000001</v>
      </c>
      <c r="P391">
        <f ca="1">IFERROR(IF(0=LEN(ReferenceData!$P$391),"",ReferenceData!$P$391),"")</f>
        <v>12829.53709</v>
      </c>
      <c r="Q391">
        <f ca="1">IFERROR(IF(0=LEN(ReferenceData!$Q$391),"",ReferenceData!$Q$391),"")</f>
        <v>10465.833780000001</v>
      </c>
      <c r="R391">
        <f ca="1">IFERROR(IF(0=LEN(ReferenceData!$R$391),"",ReferenceData!$R$391),"")</f>
        <v>11380.846250000001</v>
      </c>
      <c r="S391">
        <f ca="1">IFERROR(IF(0=LEN(ReferenceData!$S$391),"",ReferenceData!$S$391),"")</f>
        <v>15177.56265</v>
      </c>
      <c r="T391">
        <f ca="1">IFERROR(IF(0=LEN(ReferenceData!$T$391),"",ReferenceData!$T$391),"")</f>
        <v>13801.199710000001</v>
      </c>
      <c r="U391">
        <f ca="1">IFERROR(IF(0=LEN(ReferenceData!$U$391),"",ReferenceData!$U$391),"")</f>
        <v>18998.898300000001</v>
      </c>
      <c r="V391">
        <f ca="1">IFERROR(IF(0=LEN(ReferenceData!$V$391),"",ReferenceData!$V$391),"")</f>
        <v>24423.606619999999</v>
      </c>
      <c r="W391">
        <f ca="1">IFERROR(IF(0=LEN(ReferenceData!$W$391),"",ReferenceData!$W$391),"")</f>
        <v>19518.423190000001</v>
      </c>
      <c r="X391">
        <f ca="1">IFERROR(IF(0=LEN(ReferenceData!$X$391),"",ReferenceData!$X$391),"")</f>
        <v>13805.18384</v>
      </c>
      <c r="Y391">
        <f ca="1">IFERROR(IF(0=LEN(ReferenceData!$Y$391),"",ReferenceData!$Y$391),"")</f>
        <v>12081.53715</v>
      </c>
      <c r="Z391">
        <f ca="1">IFERROR(IF(0=LEN(ReferenceData!$Z$391),"",ReferenceData!$Z$391),"")</f>
        <v>15359.29867</v>
      </c>
      <c r="AA391">
        <f ca="1">IFERROR(IF(0=LEN(ReferenceData!$AA$391),"",ReferenceData!$AA$391),"")</f>
        <v>19251.530050000001</v>
      </c>
      <c r="AB391">
        <f ca="1">IFERROR(IF(0=LEN(ReferenceData!$AB$391),"",ReferenceData!$AB$391),"")</f>
        <v>21743.454580000001</v>
      </c>
      <c r="AC391">
        <f ca="1">IFERROR(IF(0=LEN(ReferenceData!$AC$391),"",ReferenceData!$AC$391),"")</f>
        <v>15672.46485</v>
      </c>
      <c r="AD391">
        <f ca="1">IFERROR(IF(0=LEN(ReferenceData!$AD$391),"",ReferenceData!$AD$391),"")</f>
        <v>13586.82948</v>
      </c>
      <c r="AE391">
        <f ca="1">IFERROR(IF(0=LEN(ReferenceData!$AE$391),"",ReferenceData!$AE$391),"")</f>
        <v>10724.418900000001</v>
      </c>
      <c r="AF391">
        <f ca="1">IFERROR(IF(0=LEN(ReferenceData!$AF$391),"",ReferenceData!$AF$391),"")</f>
        <v>8064.2496629999996</v>
      </c>
      <c r="AG391">
        <f ca="1">IFERROR(IF(0=LEN(ReferenceData!$AG$391),"",ReferenceData!$AG$391),"")</f>
        <v>7622.3918240000003</v>
      </c>
      <c r="AH391">
        <f ca="1">IFERROR(IF(0=LEN(ReferenceData!$AH$391),"",ReferenceData!$AH$391),"")</f>
        <v>6008.1730449999995</v>
      </c>
      <c r="AI391">
        <f ca="1">IFERROR(IF(0=LEN(ReferenceData!$AI$391),"",ReferenceData!$AI$391),"")</f>
        <v>4854.8512819999996</v>
      </c>
      <c r="AJ391">
        <f ca="1">IFERROR(IF(0=LEN(ReferenceData!$AJ$391),"",ReferenceData!$AJ$391),"")</f>
        <v>4705.8685869999999</v>
      </c>
      <c r="AK391">
        <f ca="1">IFERROR(IF(0=LEN(ReferenceData!$AK$391),"",ReferenceData!$AK$391),"")</f>
        <v>4880.2276140000004</v>
      </c>
      <c r="AL391">
        <f ca="1">IFERROR(IF(0=LEN(ReferenceData!$AL$391),"",ReferenceData!$AL$391),"")</f>
        <v>5439.503076</v>
      </c>
      <c r="AM391" t="str">
        <f ca="1">IFERROR(IF(0=LEN(ReferenceData!$AM$391),"",ReferenceData!$AM$391),"")</f>
        <v/>
      </c>
      <c r="AN391" t="str">
        <f ca="1">IFERROR(IF(0=LEN(ReferenceData!$AN$391),"",ReferenceData!$AN$391),"")</f>
        <v/>
      </c>
      <c r="AO391" t="str">
        <f ca="1">IFERROR(IF(0=LEN(ReferenceData!$AO$391),"",ReferenceData!$AO$391),"")</f>
        <v/>
      </c>
      <c r="AP391" t="str">
        <f ca="1">IFERROR(IF(0=LEN(ReferenceData!$AP$391),"",ReferenceData!$AP$391),"")</f>
        <v/>
      </c>
      <c r="AQ391" t="str">
        <f ca="1">IFERROR(IF(0=LEN(ReferenceData!$AQ$391),"",ReferenceData!$AQ$391),"")</f>
        <v/>
      </c>
      <c r="AR391" t="str">
        <f ca="1">IFERROR(IF(0=LEN(ReferenceData!$AR$391),"",ReferenceData!$AR$391),"")</f>
        <v/>
      </c>
      <c r="AS391" t="str">
        <f ca="1">IFERROR(IF(0=LEN(ReferenceData!$AS$391),"",ReferenceData!$AS$391),"")</f>
        <v/>
      </c>
      <c r="AT391" t="str">
        <f ca="1">IFERROR(IF(0=LEN(ReferenceData!$AT$391),"",ReferenceData!$AT$391),"")</f>
        <v/>
      </c>
      <c r="AU391" t="str">
        <f ca="1">IFERROR(IF(0=LEN(ReferenceData!$AU$391),"",ReferenceData!$AU$391),"")</f>
        <v/>
      </c>
      <c r="AV391" t="str">
        <f ca="1">IFERROR(IF(0=LEN(ReferenceData!$AV$391),"",ReferenceData!$AV$391),"")</f>
        <v/>
      </c>
      <c r="AW391" t="str">
        <f ca="1">IFERROR(IF(0=LEN(ReferenceData!$AW$391),"",ReferenceData!$AW$391),"")</f>
        <v/>
      </c>
      <c r="AX391" t="str">
        <f ca="1">IFERROR(IF(0=LEN(ReferenceData!$AX$391),"",ReferenceData!$AX$391),"")</f>
        <v/>
      </c>
      <c r="AY391" t="str">
        <f ca="1">IFERROR(IF(0=LEN(ReferenceData!$AY$391),"",ReferenceData!$AY$391),"")</f>
        <v/>
      </c>
      <c r="AZ391" t="str">
        <f ca="1">IFERROR(IF(0=LEN(ReferenceData!$AZ$391),"",ReferenceData!$AZ$391),"")</f>
        <v/>
      </c>
      <c r="BA391" t="str">
        <f ca="1">IFERROR(IF(0=LEN(ReferenceData!$BA$391),"",ReferenceData!$BA$391),"")</f>
        <v/>
      </c>
      <c r="BB391" t="str">
        <f ca="1">IFERROR(IF(0=LEN(ReferenceData!$BB$391),"",ReferenceData!$BB$391),"")</f>
        <v/>
      </c>
      <c r="BC391" t="str">
        <f ca="1">IFERROR(IF(0=LEN(ReferenceData!$BC$391),"",ReferenceData!$BC$391),"")</f>
        <v/>
      </c>
      <c r="BD391" t="str">
        <f ca="1">IFERROR(IF(0=LEN(ReferenceData!$BD$391),"",ReferenceData!$BD$391),"")</f>
        <v/>
      </c>
      <c r="BE391" t="str">
        <f ca="1">IFERROR(IF(0=LEN(ReferenceData!$BE$391),"",ReferenceData!$BE$391),"")</f>
        <v/>
      </c>
      <c r="BF391" t="str">
        <f ca="1">IFERROR(IF(0=LEN(ReferenceData!$BF$391),"",ReferenceData!$BF$391),"")</f>
        <v/>
      </c>
      <c r="BG391" t="str">
        <f ca="1">IFERROR(IF(0=LEN(ReferenceData!$BG$391),"",ReferenceData!$BG$391),"")</f>
        <v/>
      </c>
      <c r="BH391" t="str">
        <f ca="1">IFERROR(IF(0=LEN(ReferenceData!$BH$391),"",ReferenceData!$BH$391),"")</f>
        <v/>
      </c>
      <c r="BI391" t="str">
        <f ca="1">IFERROR(IF(0=LEN(ReferenceData!$BI$391),"",ReferenceData!$BI$391),"")</f>
        <v/>
      </c>
      <c r="BJ391" t="str">
        <f ca="1">IFERROR(IF(0=LEN(ReferenceData!$BJ$391),"",ReferenceData!$BJ$391),"")</f>
        <v/>
      </c>
      <c r="BK391" t="str">
        <f ca="1">IFERROR(IF(0=LEN(ReferenceData!$BK$391),"",ReferenceData!$BK$391),"")</f>
        <v/>
      </c>
      <c r="BL391" t="str">
        <f ca="1">IFERROR(IF(0=LEN(ReferenceData!$BL$391),"",ReferenceData!$BL$391),"")</f>
        <v/>
      </c>
      <c r="BM391" t="str">
        <f ca="1">IFERROR(IF(0=LEN(ReferenceData!$BM$391),"",ReferenceData!$BM$391),"")</f>
        <v/>
      </c>
    </row>
    <row r="392" spans="1:65" x14ac:dyDescent="0.25">
      <c r="A392" t="str">
        <f>IFERROR(IF(0=LEN(ReferenceData!$A$392),"",ReferenceData!$A$392),"")</f>
        <v xml:space="preserve">    Guangzhou Automobile Group Co Ltd</v>
      </c>
      <c r="B392" t="str">
        <f>IFERROR(IF(0=LEN(ReferenceData!$B$392),"",ReferenceData!$B$392),"")</f>
        <v>2238 HK Equity</v>
      </c>
      <c r="C392" t="str">
        <f>IFERROR(IF(0=LEN(ReferenceData!$C$392),"",ReferenceData!$C$392),"")</f>
        <v>RR937</v>
      </c>
      <c r="D392" t="str">
        <f>IFERROR(IF(0=LEN(ReferenceData!$D$392),"",ReferenceData!$D$392),"")</f>
        <v>CRNCY_ADJ_CURR_EV</v>
      </c>
      <c r="E392" t="str">
        <f>IFERROR(IF(0=LEN(ReferenceData!$E$392),"",ReferenceData!$E$392),"")</f>
        <v>Dynamic</v>
      </c>
      <c r="F392">
        <f ca="1">IFERROR(IF(0=LEN(ReferenceData!$F$392),"",ReferenceData!$F$392),"")</f>
        <v>13547.67642</v>
      </c>
      <c r="G392">
        <f ca="1">IFERROR(IF(0=LEN(ReferenceData!$G$392),"",ReferenceData!$G$392),"")</f>
        <v>10452.403619999999</v>
      </c>
      <c r="H392">
        <f ca="1">IFERROR(IF(0=LEN(ReferenceData!$H$392),"",ReferenceData!$H$392),"")</f>
        <v>11570.13942</v>
      </c>
      <c r="I392">
        <f ca="1">IFERROR(IF(0=LEN(ReferenceData!$I$392),"",ReferenceData!$I$392),"")</f>
        <v>11657.54912</v>
      </c>
      <c r="J392">
        <f ca="1">IFERROR(IF(0=LEN(ReferenceData!$J$392),"",ReferenceData!$J$392),"")</f>
        <v>16969.413659999998</v>
      </c>
      <c r="K392">
        <f ca="1">IFERROR(IF(0=LEN(ReferenceData!$K$392),"",ReferenceData!$K$392),"")</f>
        <v>20193.914130000001</v>
      </c>
      <c r="L392">
        <f ca="1">IFERROR(IF(0=LEN(ReferenceData!$L$392),"",ReferenceData!$L$392),"")</f>
        <v>20720.24871</v>
      </c>
      <c r="M392">
        <f ca="1">IFERROR(IF(0=LEN(ReferenceData!$M$392),"",ReferenceData!$M$392),"")</f>
        <v>18897.51425</v>
      </c>
      <c r="N392">
        <f ca="1">IFERROR(IF(0=LEN(ReferenceData!$N$392),"",ReferenceData!$N$392),"")</f>
        <v>19046.526860000002</v>
      </c>
      <c r="O392">
        <f ca="1">IFERROR(IF(0=LEN(ReferenceData!$O$392),"",ReferenceData!$O$392),"")</f>
        <v>15930.84036</v>
      </c>
      <c r="P392">
        <f ca="1">IFERROR(IF(0=LEN(ReferenceData!$P$392),"",ReferenceData!$P$392),"")</f>
        <v>16926.334579999999</v>
      </c>
      <c r="Q392">
        <f ca="1">IFERROR(IF(0=LEN(ReferenceData!$Q$392),"",ReferenceData!$Q$392),"")</f>
        <v>16605.728050000002</v>
      </c>
      <c r="R392">
        <f ca="1">IFERROR(IF(0=LEN(ReferenceData!$R$392),"",ReferenceData!$R$392),"")</f>
        <v>15426.371139999999</v>
      </c>
      <c r="S392">
        <f ca="1">IFERROR(IF(0=LEN(ReferenceData!$S$392),"",ReferenceData!$S$392),"")</f>
        <v>16216.034830000001</v>
      </c>
      <c r="T392">
        <f ca="1">IFERROR(IF(0=LEN(ReferenceData!$T$392),"",ReferenceData!$T$392),"")</f>
        <v>13188.335080000001</v>
      </c>
      <c r="U392">
        <f ca="1">IFERROR(IF(0=LEN(ReferenceData!$U$392),"",ReferenceData!$U$392),"")</f>
        <v>12064.723190000001</v>
      </c>
      <c r="V392">
        <f ca="1">IFERROR(IF(0=LEN(ReferenceData!$V$392),"",ReferenceData!$V$392),"")</f>
        <v>8147.8162819999998</v>
      </c>
      <c r="W392">
        <f ca="1">IFERROR(IF(0=LEN(ReferenceData!$W$392),"",ReferenceData!$W$392),"")</f>
        <v>7591.8403310000003</v>
      </c>
      <c r="X392">
        <f ca="1">IFERROR(IF(0=LEN(ReferenceData!$X$392),"",ReferenceData!$X$392),"")</f>
        <v>7573.5648890000002</v>
      </c>
      <c r="Y392">
        <f ca="1">IFERROR(IF(0=LEN(ReferenceData!$Y$392),"",ReferenceData!$Y$392),"")</f>
        <v>7054.5044989999997</v>
      </c>
      <c r="Z392">
        <f ca="1">IFERROR(IF(0=LEN(ReferenceData!$Z$392),"",ReferenceData!$Z$392),"")</f>
        <v>6687.827252</v>
      </c>
      <c r="AA392">
        <f ca="1">IFERROR(IF(0=LEN(ReferenceData!$AA$392),"",ReferenceData!$AA$392),"")</f>
        <v>7649.1991379999999</v>
      </c>
      <c r="AB392">
        <f ca="1">IFERROR(IF(0=LEN(ReferenceData!$AB$392),"",ReferenceData!$AB$392),"")</f>
        <v>7349.5350410000001</v>
      </c>
      <c r="AC392">
        <f ca="1">IFERROR(IF(0=LEN(ReferenceData!$AC$392),"",ReferenceData!$AC$392),"")</f>
        <v>6381.1100020000003</v>
      </c>
      <c r="AD392">
        <f ca="1">IFERROR(IF(0=LEN(ReferenceData!$AD$392),"",ReferenceData!$AD$392),"")</f>
        <v>5279.698249</v>
      </c>
      <c r="AE392">
        <f ca="1">IFERROR(IF(0=LEN(ReferenceData!$AE$392),"",ReferenceData!$AE$392),"")</f>
        <v>5684.3628079999999</v>
      </c>
      <c r="AF392">
        <f ca="1">IFERROR(IF(0=LEN(ReferenceData!$AF$392),"",ReferenceData!$AF$392),"")</f>
        <v>4511.4069449999997</v>
      </c>
      <c r="AG392">
        <f ca="1">IFERROR(IF(0=LEN(ReferenceData!$AG$392),"",ReferenceData!$AG$392),"")</f>
        <v>6317.0456139999997</v>
      </c>
      <c r="AH392">
        <f ca="1">IFERROR(IF(0=LEN(ReferenceData!$AH$392),"",ReferenceData!$AH$392),"")</f>
        <v>7643.2720799999997</v>
      </c>
      <c r="AI392">
        <f ca="1">IFERROR(IF(0=LEN(ReferenceData!$AI$392),"",ReferenceData!$AI$392),"")</f>
        <v>4279.6980940000003</v>
      </c>
      <c r="AJ392">
        <f ca="1">IFERROR(IF(0=LEN(ReferenceData!$AJ$392),"",ReferenceData!$AJ$392),"")</f>
        <v>5286.4794359999996</v>
      </c>
      <c r="AK392">
        <f ca="1">IFERROR(IF(0=LEN(ReferenceData!$AK$392),"",ReferenceData!$AK$392),"")</f>
        <v>6652.2032360000003</v>
      </c>
      <c r="AL392">
        <f ca="1">IFERROR(IF(0=LEN(ReferenceData!$AL$392),"",ReferenceData!$AL$392),"")</f>
        <v>6765.2274360000001</v>
      </c>
      <c r="AM392">
        <f ca="1">IFERROR(IF(0=LEN(ReferenceData!$AM$392),"",ReferenceData!$AM$392),"")</f>
        <v>7657.0878050000001</v>
      </c>
      <c r="AN392">
        <f ca="1">IFERROR(IF(0=LEN(ReferenceData!$AN$392),"",ReferenceData!$AN$392),"")</f>
        <v>9726.1730979999993</v>
      </c>
      <c r="AO392" t="str">
        <f ca="1">IFERROR(IF(0=LEN(ReferenceData!$AO$392),"",ReferenceData!$AO$392),"")</f>
        <v/>
      </c>
      <c r="AP392" t="str">
        <f ca="1">IFERROR(IF(0=LEN(ReferenceData!$AP$392),"",ReferenceData!$AP$392),"")</f>
        <v/>
      </c>
      <c r="AQ392" t="str">
        <f ca="1">IFERROR(IF(0=LEN(ReferenceData!$AQ$392),"",ReferenceData!$AQ$392),"")</f>
        <v/>
      </c>
      <c r="AR392" t="str">
        <f ca="1">IFERROR(IF(0=LEN(ReferenceData!$AR$392),"",ReferenceData!$AR$392),"")</f>
        <v/>
      </c>
      <c r="AS392" t="str">
        <f ca="1">IFERROR(IF(0=LEN(ReferenceData!$AS$392),"",ReferenceData!$AS$392),"")</f>
        <v/>
      </c>
      <c r="AT392" t="str">
        <f ca="1">IFERROR(IF(0=LEN(ReferenceData!$AT$392),"",ReferenceData!$AT$392),"")</f>
        <v/>
      </c>
      <c r="AU392" t="str">
        <f ca="1">IFERROR(IF(0=LEN(ReferenceData!$AU$392),"",ReferenceData!$AU$392),"")</f>
        <v/>
      </c>
      <c r="AV392" t="str">
        <f ca="1">IFERROR(IF(0=LEN(ReferenceData!$AV$392),"",ReferenceData!$AV$392),"")</f>
        <v/>
      </c>
      <c r="AW392" t="str">
        <f ca="1">IFERROR(IF(0=LEN(ReferenceData!$AW$392),"",ReferenceData!$AW$392),"")</f>
        <v/>
      </c>
      <c r="AX392" t="str">
        <f ca="1">IFERROR(IF(0=LEN(ReferenceData!$AX$392),"",ReferenceData!$AX$392),"")</f>
        <v/>
      </c>
      <c r="AY392" t="str">
        <f ca="1">IFERROR(IF(0=LEN(ReferenceData!$AY$392),"",ReferenceData!$AY$392),"")</f>
        <v/>
      </c>
      <c r="AZ392" t="str">
        <f ca="1">IFERROR(IF(0=LEN(ReferenceData!$AZ$392),"",ReferenceData!$AZ$392),"")</f>
        <v/>
      </c>
      <c r="BA392" t="str">
        <f ca="1">IFERROR(IF(0=LEN(ReferenceData!$BA$392),"",ReferenceData!$BA$392),"")</f>
        <v/>
      </c>
      <c r="BB392" t="str">
        <f ca="1">IFERROR(IF(0=LEN(ReferenceData!$BB$392),"",ReferenceData!$BB$392),"")</f>
        <v/>
      </c>
      <c r="BC392" t="str">
        <f ca="1">IFERROR(IF(0=LEN(ReferenceData!$BC$392),"",ReferenceData!$BC$392),"")</f>
        <v/>
      </c>
      <c r="BD392" t="str">
        <f ca="1">IFERROR(IF(0=LEN(ReferenceData!$BD$392),"",ReferenceData!$BD$392),"")</f>
        <v/>
      </c>
      <c r="BE392" t="str">
        <f ca="1">IFERROR(IF(0=LEN(ReferenceData!$BE$392),"",ReferenceData!$BE$392),"")</f>
        <v/>
      </c>
      <c r="BF392" t="str">
        <f ca="1">IFERROR(IF(0=LEN(ReferenceData!$BF$392),"",ReferenceData!$BF$392),"")</f>
        <v/>
      </c>
      <c r="BG392" t="str">
        <f ca="1">IFERROR(IF(0=LEN(ReferenceData!$BG$392),"",ReferenceData!$BG$392),"")</f>
        <v/>
      </c>
      <c r="BH392" t="str">
        <f ca="1">IFERROR(IF(0=LEN(ReferenceData!$BH$392),"",ReferenceData!$BH$392),"")</f>
        <v/>
      </c>
      <c r="BI392" t="str">
        <f ca="1">IFERROR(IF(0=LEN(ReferenceData!$BI$392),"",ReferenceData!$BI$392),"")</f>
        <v/>
      </c>
      <c r="BJ392" t="str">
        <f ca="1">IFERROR(IF(0=LEN(ReferenceData!$BJ$392),"",ReferenceData!$BJ$392),"")</f>
        <v/>
      </c>
      <c r="BK392" t="str">
        <f ca="1">IFERROR(IF(0=LEN(ReferenceData!$BK$392),"",ReferenceData!$BK$392),"")</f>
        <v/>
      </c>
      <c r="BL392" t="str">
        <f ca="1">IFERROR(IF(0=LEN(ReferenceData!$BL$392),"",ReferenceData!$BL$392),"")</f>
        <v/>
      </c>
      <c r="BM392" t="str">
        <f ca="1">IFERROR(IF(0=LEN(ReferenceData!$BM$392),"",ReferenceData!$BM$392),"")</f>
        <v/>
      </c>
    </row>
    <row r="393" spans="1:65" x14ac:dyDescent="0.25">
      <c r="A393" t="str">
        <f>IFERROR(IF(0=LEN(ReferenceData!$A$393),"",ReferenceData!$A$393),"")</f>
        <v xml:space="preserve">    Honda Motor Co Ltd</v>
      </c>
      <c r="B393" t="str">
        <f>IFERROR(IF(0=LEN(ReferenceData!$B$393),"",ReferenceData!$B$393),"")</f>
        <v>7267 JP Equity</v>
      </c>
      <c r="C393" t="str">
        <f>IFERROR(IF(0=LEN(ReferenceData!$C$393),"",ReferenceData!$C$393),"")</f>
        <v>RR937</v>
      </c>
      <c r="D393" t="str">
        <f>IFERROR(IF(0=LEN(ReferenceData!$D$393),"",ReferenceData!$D$393),"")</f>
        <v>CRNCY_ADJ_CURR_EV</v>
      </c>
      <c r="E393" t="str">
        <f>IFERROR(IF(0=LEN(ReferenceData!$E$393),"",ReferenceData!$E$393),"")</f>
        <v>Dynamic</v>
      </c>
      <c r="F393">
        <f ca="1">IFERROR(IF(0=LEN(ReferenceData!$F$393),"",ReferenceData!$F$393),"")</f>
        <v>98466.213090000005</v>
      </c>
      <c r="G393">
        <f ca="1">IFERROR(IF(0=LEN(ReferenceData!$G$393),"",ReferenceData!$G$393),"")</f>
        <v>94836.152440000005</v>
      </c>
      <c r="H393">
        <f ca="1">IFERROR(IF(0=LEN(ReferenceData!$H$393),"",ReferenceData!$H$393),"")</f>
        <v>101758.5848</v>
      </c>
      <c r="I393">
        <f ca="1">IFERROR(IF(0=LEN(ReferenceData!$I$393),"",ReferenceData!$I$393),"")</f>
        <v>99377.312539999999</v>
      </c>
      <c r="J393">
        <f ca="1">IFERROR(IF(0=LEN(ReferenceData!$J$393),"",ReferenceData!$J$393),"")</f>
        <v>108694.5025</v>
      </c>
      <c r="K393">
        <f ca="1">IFERROR(IF(0=LEN(ReferenceData!$K$393),"",ReferenceData!$K$393),"")</f>
        <v>108527.2037</v>
      </c>
      <c r="L393">
        <f ca="1">IFERROR(IF(0=LEN(ReferenceData!$L$393),"",ReferenceData!$L$393),"")</f>
        <v>98474.50301</v>
      </c>
      <c r="M393">
        <f ca="1">IFERROR(IF(0=LEN(ReferenceData!$M$393),"",ReferenceData!$M$393),"")</f>
        <v>94695.156409999996</v>
      </c>
      <c r="N393">
        <f ca="1">IFERROR(IF(0=LEN(ReferenceData!$N$393),"",ReferenceData!$N$393),"")</f>
        <v>99873.621350000001</v>
      </c>
      <c r="O393">
        <f ca="1">IFERROR(IF(0=LEN(ReferenceData!$O$393),"",ReferenceData!$O$393),"")</f>
        <v>99361.404439999998</v>
      </c>
      <c r="P393">
        <f ca="1">IFERROR(IF(0=LEN(ReferenceData!$P$393),"",ReferenceData!$P$393),"")</f>
        <v>97192.730930000005</v>
      </c>
      <c r="Q393">
        <f ca="1">IFERROR(IF(0=LEN(ReferenceData!$Q$393),"",ReferenceData!$Q$393),"")</f>
        <v>90627.742329999994</v>
      </c>
      <c r="R393">
        <f ca="1">IFERROR(IF(0=LEN(ReferenceData!$R$393),"",ReferenceData!$R$393),"")</f>
        <v>95097.07776</v>
      </c>
      <c r="S393">
        <f ca="1">IFERROR(IF(0=LEN(ReferenceData!$S$393),"",ReferenceData!$S$393),"")</f>
        <v>104172.8986</v>
      </c>
      <c r="T393">
        <f ca="1">IFERROR(IF(0=LEN(ReferenceData!$T$393),"",ReferenceData!$T$393),"")</f>
        <v>98801.097550000006</v>
      </c>
      <c r="U393">
        <f ca="1">IFERROR(IF(0=LEN(ReferenceData!$U$393),"",ReferenceData!$U$393),"")</f>
        <v>104320.6508</v>
      </c>
      <c r="V393">
        <f ca="1">IFERROR(IF(0=LEN(ReferenceData!$V$393),"",ReferenceData!$V$393),"")</f>
        <v>105311.57399999999</v>
      </c>
      <c r="W393">
        <f ca="1">IFERROR(IF(0=LEN(ReferenceData!$W$393),"",ReferenceData!$W$393),"")</f>
        <v>102155.89969999999</v>
      </c>
      <c r="X393">
        <f ca="1">IFERROR(IF(0=LEN(ReferenceData!$X$393),"",ReferenceData!$X$393),"")</f>
        <v>111337.5358</v>
      </c>
      <c r="Y393">
        <f ca="1">IFERROR(IF(0=LEN(ReferenceData!$Y$393),"",ReferenceData!$Y$393),"")</f>
        <v>111885.33409999999</v>
      </c>
      <c r="Z393">
        <f ca="1">IFERROR(IF(0=LEN(ReferenceData!$Z$393),"",ReferenceData!$Z$393),"")</f>
        <v>111236.1507</v>
      </c>
      <c r="AA393">
        <f ca="1">IFERROR(IF(0=LEN(ReferenceData!$AA$393),"",ReferenceData!$AA$393),"")</f>
        <v>121863.56359999999</v>
      </c>
      <c r="AB393">
        <f ca="1">IFERROR(IF(0=LEN(ReferenceData!$AB$393),"",ReferenceData!$AB$393),"")</f>
        <v>114062.84819999999</v>
      </c>
      <c r="AC393">
        <f ca="1">IFERROR(IF(0=LEN(ReferenceData!$AC$393),"",ReferenceData!$AC$393),"")</f>
        <v>110003.0595</v>
      </c>
      <c r="AD393">
        <f ca="1">IFERROR(IF(0=LEN(ReferenceData!$AD$393),"",ReferenceData!$AD$393),"")</f>
        <v>109190.75320000001</v>
      </c>
      <c r="AE393">
        <f ca="1">IFERROR(IF(0=LEN(ReferenceData!$AE$393),"",ReferenceData!$AE$393),"")</f>
        <v>107547.5156</v>
      </c>
      <c r="AF393">
        <f ca="1">IFERROR(IF(0=LEN(ReferenceData!$AF$393),"",ReferenceData!$AF$393),"")</f>
        <v>96310.430470000007</v>
      </c>
      <c r="AG393">
        <f ca="1">IFERROR(IF(0=LEN(ReferenceData!$AG$393),"",ReferenceData!$AG$393),"")</f>
        <v>99782.926309999995</v>
      </c>
      <c r="AH393">
        <f ca="1">IFERROR(IF(0=LEN(ReferenceData!$AH$393),"",ReferenceData!$AH$393),"")</f>
        <v>105128.2723</v>
      </c>
      <c r="AI393">
        <f ca="1">IFERROR(IF(0=LEN(ReferenceData!$AI$393),"",ReferenceData!$AI$393),"")</f>
        <v>91702.399709999998</v>
      </c>
      <c r="AJ393">
        <f ca="1">IFERROR(IF(0=LEN(ReferenceData!$AJ$393),"",ReferenceData!$AJ$393),"")</f>
        <v>87109.654710000003</v>
      </c>
      <c r="AK393">
        <f ca="1">IFERROR(IF(0=LEN(ReferenceData!$AK$393),"",ReferenceData!$AK$393),"")</f>
        <v>105280.01270000001</v>
      </c>
      <c r="AL393">
        <f ca="1">IFERROR(IF(0=LEN(ReferenceData!$AL$393),"",ReferenceData!$AL$393),"")</f>
        <v>104008.95759999999</v>
      </c>
      <c r="AM393">
        <f ca="1">IFERROR(IF(0=LEN(ReferenceData!$AM$393),"",ReferenceData!$AM$393),"")</f>
        <v>108216.5833</v>
      </c>
      <c r="AN393">
        <f ca="1">IFERROR(IF(0=LEN(ReferenceData!$AN$393),"",ReferenceData!$AN$393),"")</f>
        <v>99360.838090000005</v>
      </c>
      <c r="AO393">
        <f ca="1">IFERROR(IF(0=LEN(ReferenceData!$AO$393),"",ReferenceData!$AO$393),"")</f>
        <v>88490.350810000004</v>
      </c>
      <c r="AP393">
        <f ca="1">IFERROR(IF(0=LEN(ReferenceData!$AP$393),"",ReferenceData!$AP$393),"")</f>
        <v>98053.645310000007</v>
      </c>
      <c r="AQ393">
        <f ca="1">IFERROR(IF(0=LEN(ReferenceData!$AQ$393),"",ReferenceData!$AQ$393),"")</f>
        <v>97558.857199999999</v>
      </c>
      <c r="AR393">
        <f ca="1">IFERROR(IF(0=LEN(ReferenceData!$AR$393),"",ReferenceData!$AR$393),"")</f>
        <v>93998.566470000005</v>
      </c>
      <c r="AS393">
        <f ca="1">IFERROR(IF(0=LEN(ReferenceData!$AS$393),"",ReferenceData!$AS$393),"")</f>
        <v>91139.643500000006</v>
      </c>
      <c r="AT393">
        <f ca="1">IFERROR(IF(0=LEN(ReferenceData!$AT$393),"",ReferenceData!$AT$393),"")</f>
        <v>83515.789380000002</v>
      </c>
      <c r="AU393">
        <f ca="1">IFERROR(IF(0=LEN(ReferenceData!$AU$393),"",ReferenceData!$AU$393),"")</f>
        <v>82203.530069999993</v>
      </c>
      <c r="AV393">
        <f ca="1">IFERROR(IF(0=LEN(ReferenceData!$AV$393),"",ReferenceData!$AV$393),"")</f>
        <v>92339.623890000003</v>
      </c>
      <c r="AW393">
        <f ca="1">IFERROR(IF(0=LEN(ReferenceData!$AW$393),"",ReferenceData!$AW$393),"")</f>
        <v>99432.313899999994</v>
      </c>
      <c r="AX393">
        <f ca="1">IFERROR(IF(0=LEN(ReferenceData!$AX$393),"",ReferenceData!$AX$393),"")</f>
        <v>87154.553480000002</v>
      </c>
      <c r="AY393">
        <f ca="1">IFERROR(IF(0=LEN(ReferenceData!$AY$393),"",ReferenceData!$AY$393),"")</f>
        <v>94585.783549999993</v>
      </c>
      <c r="AZ393">
        <f ca="1">IFERROR(IF(0=LEN(ReferenceData!$AZ$393),"",ReferenceData!$AZ$393),"")</f>
        <v>92709.359800000006</v>
      </c>
      <c r="BA393">
        <f ca="1">IFERROR(IF(0=LEN(ReferenceData!$BA$393),"",ReferenceData!$BA$393),"")</f>
        <v>96113.675650000005</v>
      </c>
      <c r="BB393">
        <f ca="1">IFERROR(IF(0=LEN(ReferenceData!$BB$393),"",ReferenceData!$BB$393),"")</f>
        <v>90316.545599999998</v>
      </c>
      <c r="BC393">
        <f ca="1">IFERROR(IF(0=LEN(ReferenceData!$BC$393),"",ReferenceData!$BC$393),"")</f>
        <v>98706.443859999999</v>
      </c>
      <c r="BD393">
        <f ca="1">IFERROR(IF(0=LEN(ReferenceData!$BD$393),"",ReferenceData!$BD$393),"")</f>
        <v>86260.630619999996</v>
      </c>
      <c r="BE393">
        <f ca="1">IFERROR(IF(0=LEN(ReferenceData!$BE$393),"",ReferenceData!$BE$393),"")</f>
        <v>82085.672930000001</v>
      </c>
      <c r="BF393">
        <f ca="1">IFERROR(IF(0=LEN(ReferenceData!$BF$393),"",ReferenceData!$BF$393),"")</f>
        <v>78471.943880000006</v>
      </c>
      <c r="BG393">
        <f ca="1">IFERROR(IF(0=LEN(ReferenceData!$BG$393),"",ReferenceData!$BG$393),"")</f>
        <v>74747.812680000003</v>
      </c>
      <c r="BH393">
        <f ca="1">IFERROR(IF(0=LEN(ReferenceData!$BH$393),"",ReferenceData!$BH$393),"")</f>
        <v>72984.38768</v>
      </c>
      <c r="BI393">
        <f ca="1">IFERROR(IF(0=LEN(ReferenceData!$BI$393),"",ReferenceData!$BI$393),"")</f>
        <v>66072.086809999993</v>
      </c>
      <c r="BJ393">
        <f ca="1">IFERROR(IF(0=LEN(ReferenceData!$BJ$393),"",ReferenceData!$BJ$393),"")</f>
        <v>65907.259059999997</v>
      </c>
      <c r="BK393">
        <f ca="1">IFERROR(IF(0=LEN(ReferenceData!$BK$393),"",ReferenceData!$BK$393),"")</f>
        <v>69108.717319999996</v>
      </c>
      <c r="BL393">
        <f ca="1">IFERROR(IF(0=LEN(ReferenceData!$BL$393),"",ReferenceData!$BL$393),"")</f>
        <v>65329.207179999998</v>
      </c>
      <c r="BM393">
        <f ca="1">IFERROR(IF(0=LEN(ReferenceData!$BM$393),"",ReferenceData!$BM$393),"")</f>
        <v>64397.857250000001</v>
      </c>
    </row>
    <row r="394" spans="1:65" x14ac:dyDescent="0.25">
      <c r="A394" t="str">
        <f>IFERROR(IF(0=LEN(ReferenceData!$A$394),"",ReferenceData!$A$394),"")</f>
        <v xml:space="preserve">    Hyundai Motor Co</v>
      </c>
      <c r="B394" t="str">
        <f>IFERROR(IF(0=LEN(ReferenceData!$B$394),"",ReferenceData!$B$394),"")</f>
        <v>005380 KS Equity</v>
      </c>
      <c r="C394" t="str">
        <f>IFERROR(IF(0=LEN(ReferenceData!$C$394),"",ReferenceData!$C$394),"")</f>
        <v>RR937</v>
      </c>
      <c r="D394" t="str">
        <f>IFERROR(IF(0=LEN(ReferenceData!$D$394),"",ReferenceData!$D$394),"")</f>
        <v>CRNCY_ADJ_CURR_EV</v>
      </c>
      <c r="E394" t="str">
        <f>IFERROR(IF(0=LEN(ReferenceData!$E$394),"",ReferenceData!$E$394),"")</f>
        <v>Dynamic</v>
      </c>
      <c r="F394" t="str">
        <f ca="1">IFERROR(IF(0=LEN(ReferenceData!$F$394),"",ReferenceData!$F$394),"")</f>
        <v/>
      </c>
      <c r="G394">
        <f ca="1">IFERROR(IF(0=LEN(ReferenceData!$G$394),"",ReferenceData!$G$394),"")</f>
        <v>68190.434160000004</v>
      </c>
      <c r="H394">
        <f ca="1">IFERROR(IF(0=LEN(ReferenceData!$H$394),"",ReferenceData!$H$394),"")</f>
        <v>71013.395220000006</v>
      </c>
      <c r="I394">
        <f ca="1">IFERROR(IF(0=LEN(ReferenceData!$I$394),"",ReferenceData!$I$394),"")</f>
        <v>71031.469379999995</v>
      </c>
      <c r="J394">
        <f ca="1">IFERROR(IF(0=LEN(ReferenceData!$J$394),"",ReferenceData!$J$394),"")</f>
        <v>76371.923739999998</v>
      </c>
      <c r="K394">
        <f ca="1">IFERROR(IF(0=LEN(ReferenceData!$K$394),"",ReferenceData!$K$394),"")</f>
        <v>75151.026549999995</v>
      </c>
      <c r="L394">
        <f ca="1">IFERROR(IF(0=LEN(ReferenceData!$L$394),"",ReferenceData!$L$394),"")</f>
        <v>71881.912630000006</v>
      </c>
      <c r="M394">
        <f ca="1">IFERROR(IF(0=LEN(ReferenceData!$M$394),"",ReferenceData!$M$394),"")</f>
        <v>72141.433319999996</v>
      </c>
      <c r="N394">
        <f ca="1">IFERROR(IF(0=LEN(ReferenceData!$N$394),"",ReferenceData!$N$394),"")</f>
        <v>71892.576109999995</v>
      </c>
      <c r="O394">
        <f ca="1">IFERROR(IF(0=LEN(ReferenceData!$O$394),"",ReferenceData!$O$394),"")</f>
        <v>67092.086679999993</v>
      </c>
      <c r="P394">
        <f ca="1">IFERROR(IF(0=LEN(ReferenceData!$P$394),"",ReferenceData!$P$394),"")</f>
        <v>67475.223960000003</v>
      </c>
      <c r="Q394">
        <f ca="1">IFERROR(IF(0=LEN(ReferenceData!$Q$394),"",ReferenceData!$Q$394),"")</f>
        <v>65444.7327</v>
      </c>
      <c r="R394">
        <f ca="1">IFERROR(IF(0=LEN(ReferenceData!$R$394),"",ReferenceData!$R$394),"")</f>
        <v>68575.836330000006</v>
      </c>
      <c r="S394">
        <f ca="1">IFERROR(IF(0=LEN(ReferenceData!$S$394),"",ReferenceData!$S$394),"")</f>
        <v>64476.801189999998</v>
      </c>
      <c r="T394">
        <f ca="1">IFERROR(IF(0=LEN(ReferenceData!$T$394),"",ReferenceData!$T$394),"")</f>
        <v>65505.735390000002</v>
      </c>
      <c r="U394">
        <f ca="1">IFERROR(IF(0=LEN(ReferenceData!$U$394),"",ReferenceData!$U$394),"")</f>
        <v>59433.798130000003</v>
      </c>
      <c r="V394">
        <f ca="1">IFERROR(IF(0=LEN(ReferenceData!$V$394),"",ReferenceData!$V$394),"")</f>
        <v>63862.659420000004</v>
      </c>
      <c r="W394">
        <f ca="1">IFERROR(IF(0=LEN(ReferenceData!$W$394),"",ReferenceData!$W$394),"")</f>
        <v>62534.147239999998</v>
      </c>
      <c r="X394">
        <f ca="1">IFERROR(IF(0=LEN(ReferenceData!$X$394),"",ReferenceData!$X$394),"")</f>
        <v>65633.332980000007</v>
      </c>
      <c r="Y394">
        <f ca="1">IFERROR(IF(0=LEN(ReferenceData!$Y$394),"",ReferenceData!$Y$394),"")</f>
        <v>75618.934359999999</v>
      </c>
      <c r="Z394">
        <f ca="1">IFERROR(IF(0=LEN(ReferenceData!$Z$394),"",ReferenceData!$Z$394),"")</f>
        <v>77941.822969999994</v>
      </c>
      <c r="AA394">
        <f ca="1">IFERROR(IF(0=LEN(ReferenceData!$AA$394),"",ReferenceData!$AA$394),"")</f>
        <v>76196.497730000003</v>
      </c>
      <c r="AB394">
        <f ca="1">IFERROR(IF(0=LEN(ReferenceData!$AB$394),"",ReferenceData!$AB$394),"")</f>
        <v>76938.393849999993</v>
      </c>
      <c r="AC394">
        <f ca="1">IFERROR(IF(0=LEN(ReferenceData!$AC$394),"",ReferenceData!$AC$394),"")</f>
        <v>67548.070439999996</v>
      </c>
      <c r="AD394">
        <f ca="1">IFERROR(IF(0=LEN(ReferenceData!$AD$394),"",ReferenceData!$AD$394),"")</f>
        <v>70317.290949999995</v>
      </c>
      <c r="AE394">
        <f ca="1">IFERROR(IF(0=LEN(ReferenceData!$AE$394),"",ReferenceData!$AE$394),"")</f>
        <v>71950.19184</v>
      </c>
      <c r="AF394">
        <f ca="1">IFERROR(IF(0=LEN(ReferenceData!$AF$394),"",ReferenceData!$AF$394),"")</f>
        <v>75206.739480000004</v>
      </c>
      <c r="AG394">
        <f ca="1">IFERROR(IF(0=LEN(ReferenceData!$AG$394),"",ReferenceData!$AG$394),"")</f>
        <v>69803.513949999993</v>
      </c>
      <c r="AH394">
        <f ca="1">IFERROR(IF(0=LEN(ReferenceData!$AH$394),"",ReferenceData!$AH$394),"")</f>
        <v>71043.574200000003</v>
      </c>
      <c r="AI394">
        <f ca="1">IFERROR(IF(0=LEN(ReferenceData!$AI$394),"",ReferenceData!$AI$394),"")</f>
        <v>66300.558149999997</v>
      </c>
      <c r="AJ394">
        <f ca="1">IFERROR(IF(0=LEN(ReferenceData!$AJ$394),"",ReferenceData!$AJ$394),"")</f>
        <v>64562.213669999997</v>
      </c>
      <c r="AK394">
        <f ca="1">IFERROR(IF(0=LEN(ReferenceData!$AK$394),"",ReferenceData!$AK$394),"")</f>
        <v>74068.453269999998</v>
      </c>
      <c r="AL394">
        <f ca="1">IFERROR(IF(0=LEN(ReferenceData!$AL$394),"",ReferenceData!$AL$394),"")</f>
        <v>63258.259700000002</v>
      </c>
      <c r="AM394">
        <f ca="1">IFERROR(IF(0=LEN(ReferenceData!$AM$394),"",ReferenceData!$AM$394),"")</f>
        <v>57176.708910000001</v>
      </c>
      <c r="AN394" t="str">
        <f ca="1">IFERROR(IF(0=LEN(ReferenceData!$AN$394),"",ReferenceData!$AN$394),"")</f>
        <v/>
      </c>
      <c r="AO394" t="str">
        <f ca="1">IFERROR(IF(0=LEN(ReferenceData!$AO$394),"",ReferenceData!$AO$394),"")</f>
        <v/>
      </c>
      <c r="AP394" t="str">
        <f ca="1">IFERROR(IF(0=LEN(ReferenceData!$AP$394),"",ReferenceData!$AP$394),"")</f>
        <v/>
      </c>
      <c r="AQ394" t="str">
        <f ca="1">IFERROR(IF(0=LEN(ReferenceData!$AQ$394),"",ReferenceData!$AQ$394),"")</f>
        <v/>
      </c>
      <c r="AR394" t="str">
        <f ca="1">IFERROR(IF(0=LEN(ReferenceData!$AR$394),"",ReferenceData!$AR$394),"")</f>
        <v/>
      </c>
      <c r="AS394" t="str">
        <f ca="1">IFERROR(IF(0=LEN(ReferenceData!$AS$394),"",ReferenceData!$AS$394),"")</f>
        <v/>
      </c>
      <c r="AT394" t="str">
        <f ca="1">IFERROR(IF(0=LEN(ReferenceData!$AT$394),"",ReferenceData!$AT$394),"")</f>
        <v/>
      </c>
      <c r="AU394" t="str">
        <f ca="1">IFERROR(IF(0=LEN(ReferenceData!$AU$394),"",ReferenceData!$AU$394),"")</f>
        <v/>
      </c>
      <c r="AV394" t="str">
        <f ca="1">IFERROR(IF(0=LEN(ReferenceData!$AV$394),"",ReferenceData!$AV$394),"")</f>
        <v/>
      </c>
      <c r="AW394" t="str">
        <f ca="1">IFERROR(IF(0=LEN(ReferenceData!$AW$394),"",ReferenceData!$AW$394),"")</f>
        <v/>
      </c>
      <c r="AX394" t="str">
        <f ca="1">IFERROR(IF(0=LEN(ReferenceData!$AX$394),"",ReferenceData!$AX$394),"")</f>
        <v/>
      </c>
      <c r="AY394" t="str">
        <f ca="1">IFERROR(IF(0=LEN(ReferenceData!$AY$394),"",ReferenceData!$AY$394),"")</f>
        <v/>
      </c>
      <c r="AZ394" t="str">
        <f ca="1">IFERROR(IF(0=LEN(ReferenceData!$AZ$394),"",ReferenceData!$AZ$394),"")</f>
        <v/>
      </c>
      <c r="BA394" t="str">
        <f ca="1">IFERROR(IF(0=LEN(ReferenceData!$BA$394),"",ReferenceData!$BA$394),"")</f>
        <v/>
      </c>
      <c r="BB394" t="str">
        <f ca="1">IFERROR(IF(0=LEN(ReferenceData!$BB$394),"",ReferenceData!$BB$394),"")</f>
        <v/>
      </c>
      <c r="BC394" t="str">
        <f ca="1">IFERROR(IF(0=LEN(ReferenceData!$BC$394),"",ReferenceData!$BC$394),"")</f>
        <v/>
      </c>
      <c r="BD394" t="str">
        <f ca="1">IFERROR(IF(0=LEN(ReferenceData!$BD$394),"",ReferenceData!$BD$394),"")</f>
        <v/>
      </c>
      <c r="BE394" t="str">
        <f ca="1">IFERROR(IF(0=LEN(ReferenceData!$BE$394),"",ReferenceData!$BE$394),"")</f>
        <v/>
      </c>
      <c r="BF394" t="str">
        <f ca="1">IFERROR(IF(0=LEN(ReferenceData!$BF$394),"",ReferenceData!$BF$394),"")</f>
        <v/>
      </c>
      <c r="BG394" t="str">
        <f ca="1">IFERROR(IF(0=LEN(ReferenceData!$BG$394),"",ReferenceData!$BG$394),"")</f>
        <v/>
      </c>
      <c r="BH394" t="str">
        <f ca="1">IFERROR(IF(0=LEN(ReferenceData!$BH$394),"",ReferenceData!$BH$394),"")</f>
        <v/>
      </c>
      <c r="BI394" t="str">
        <f ca="1">IFERROR(IF(0=LEN(ReferenceData!$BI$394),"",ReferenceData!$BI$394),"")</f>
        <v/>
      </c>
      <c r="BJ394" t="str">
        <f ca="1">IFERROR(IF(0=LEN(ReferenceData!$BJ$394),"",ReferenceData!$BJ$394),"")</f>
        <v/>
      </c>
      <c r="BK394" t="str">
        <f ca="1">IFERROR(IF(0=LEN(ReferenceData!$BK$394),"",ReferenceData!$BK$394),"")</f>
        <v/>
      </c>
      <c r="BL394" t="str">
        <f ca="1">IFERROR(IF(0=LEN(ReferenceData!$BL$394),"",ReferenceData!$BL$394),"")</f>
        <v/>
      </c>
      <c r="BM394" t="str">
        <f ca="1">IFERROR(IF(0=LEN(ReferenceData!$BM$394),"",ReferenceData!$BM$394),"")</f>
        <v/>
      </c>
    </row>
    <row r="395" spans="1:65" x14ac:dyDescent="0.25">
      <c r="A395" t="str">
        <f>IFERROR(IF(0=LEN(ReferenceData!$A$395),"",ReferenceData!$A$395),"")</f>
        <v xml:space="preserve">    Kia Motors Corp</v>
      </c>
      <c r="B395" t="str">
        <f>IFERROR(IF(0=LEN(ReferenceData!$B$395),"",ReferenceData!$B$395),"")</f>
        <v>000270 KS Equity</v>
      </c>
      <c r="C395" t="str">
        <f>IFERROR(IF(0=LEN(ReferenceData!$C$395),"",ReferenceData!$C$395),"")</f>
        <v>RR937</v>
      </c>
      <c r="D395" t="str">
        <f>IFERROR(IF(0=LEN(ReferenceData!$D$395),"",ReferenceData!$D$395),"")</f>
        <v>CRNCY_ADJ_CURR_EV</v>
      </c>
      <c r="E395" t="str">
        <f>IFERROR(IF(0=LEN(ReferenceData!$E$395),"",ReferenceData!$E$395),"")</f>
        <v>Dynamic</v>
      </c>
      <c r="F395" t="str">
        <f ca="1">IFERROR(IF(0=LEN(ReferenceData!$F$395),"",ReferenceData!$F$395),"")</f>
        <v/>
      </c>
      <c r="G395">
        <f ca="1">IFERROR(IF(0=LEN(ReferenceData!$G$395),"",ReferenceData!$G$395),"")</f>
        <v>8825.5639250000004</v>
      </c>
      <c r="H395">
        <f ca="1">IFERROR(IF(0=LEN(ReferenceData!$H$395),"",ReferenceData!$H$395),"")</f>
        <v>9665.5681910000003</v>
      </c>
      <c r="I395">
        <f ca="1">IFERROR(IF(0=LEN(ReferenceData!$I$395),"",ReferenceData!$I$395),"")</f>
        <v>8718.2345509999996</v>
      </c>
      <c r="J395">
        <f ca="1">IFERROR(IF(0=LEN(ReferenceData!$J$395),"",ReferenceData!$J$395),"")</f>
        <v>10293.35428</v>
      </c>
      <c r="K395">
        <f ca="1">IFERROR(IF(0=LEN(ReferenceData!$K$395),"",ReferenceData!$K$395),"")</f>
        <v>11530.96774</v>
      </c>
      <c r="L395">
        <f ca="1">IFERROR(IF(0=LEN(ReferenceData!$L$395),"",ReferenceData!$L$395),"")</f>
        <v>9077.8380099999995</v>
      </c>
      <c r="M395">
        <f ca="1">IFERROR(IF(0=LEN(ReferenceData!$M$395),"",ReferenceData!$M$395),"")</f>
        <v>12315.49395</v>
      </c>
      <c r="N395">
        <f ca="1">IFERROR(IF(0=LEN(ReferenceData!$N$395),"",ReferenceData!$N$395),"")</f>
        <v>12426.02173</v>
      </c>
      <c r="O395">
        <f ca="1">IFERROR(IF(0=LEN(ReferenceData!$O$395),"",ReferenceData!$O$395),"")</f>
        <v>12327.316199999999</v>
      </c>
      <c r="P395">
        <f ca="1">IFERROR(IF(0=LEN(ReferenceData!$P$395),"",ReferenceData!$P$395),"")</f>
        <v>12998.278039999999</v>
      </c>
      <c r="Q395">
        <f ca="1">IFERROR(IF(0=LEN(ReferenceData!$Q$395),"",ReferenceData!$Q$395),"")</f>
        <v>13373.710580000001</v>
      </c>
      <c r="R395">
        <f ca="1">IFERROR(IF(0=LEN(ReferenceData!$R$395),"",ReferenceData!$R$395),"")</f>
        <v>17011.049719999999</v>
      </c>
      <c r="S395">
        <f ca="1">IFERROR(IF(0=LEN(ReferenceData!$S$395),"",ReferenceData!$S$395),"")</f>
        <v>16858.366979999999</v>
      </c>
      <c r="T395">
        <f ca="1">IFERROR(IF(0=LEN(ReferenceData!$T$395),"",ReferenceData!$T$395),"")</f>
        <v>15901.19803</v>
      </c>
      <c r="U395">
        <f ca="1">IFERROR(IF(0=LEN(ReferenceData!$U$395),"",ReferenceData!$U$395),"")</f>
        <v>14147.11745</v>
      </c>
      <c r="V395">
        <f ca="1">IFERROR(IF(0=LEN(ReferenceData!$V$395),"",ReferenceData!$V$395),"")</f>
        <v>14039.47278</v>
      </c>
      <c r="W395">
        <f ca="1">IFERROR(IF(0=LEN(ReferenceData!$W$395),"",ReferenceData!$W$395),"")</f>
        <v>15816.36385</v>
      </c>
      <c r="X395">
        <f ca="1">IFERROR(IF(0=LEN(ReferenceData!$X$395),"",ReferenceData!$X$395),"")</f>
        <v>16449.69989</v>
      </c>
      <c r="Y395">
        <f ca="1">IFERROR(IF(0=LEN(ReferenceData!$Y$395),"",ReferenceData!$Y$395),"")</f>
        <v>18968.152190000001</v>
      </c>
      <c r="Z395">
        <f ca="1">IFERROR(IF(0=LEN(ReferenceData!$Z$395),"",ReferenceData!$Z$395),"")</f>
        <v>18667.59822</v>
      </c>
      <c r="AA395">
        <f ca="1">IFERROR(IF(0=LEN(ReferenceData!$AA$395),"",ReferenceData!$AA$395),"")</f>
        <v>17524.44123</v>
      </c>
      <c r="AB395">
        <f ca="1">IFERROR(IF(0=LEN(ReferenceData!$AB$395),"",ReferenceData!$AB$395),"")</f>
        <v>20460.101780000001</v>
      </c>
      <c r="AC395">
        <f ca="1">IFERROR(IF(0=LEN(ReferenceData!$AC$395),"",ReferenceData!$AC$395),"")</f>
        <v>18857.364280000002</v>
      </c>
      <c r="AD395">
        <f ca="1">IFERROR(IF(0=LEN(ReferenceData!$AD$395),"",ReferenceData!$AD$395),"")</f>
        <v>18343.29752</v>
      </c>
      <c r="AE395">
        <f ca="1">IFERROR(IF(0=LEN(ReferenceData!$AE$395),"",ReferenceData!$AE$395),"")</f>
        <v>19567.537240000001</v>
      </c>
      <c r="AF395">
        <f ca="1">IFERROR(IF(0=LEN(ReferenceData!$AF$395),"",ReferenceData!$AF$395),"")</f>
        <v>22741.843509999999</v>
      </c>
      <c r="AG395">
        <f ca="1">IFERROR(IF(0=LEN(ReferenceData!$AG$395),"",ReferenceData!$AG$395),"")</f>
        <v>24919.397389999998</v>
      </c>
      <c r="AH395">
        <f ca="1">IFERROR(IF(0=LEN(ReferenceData!$AH$395),"",ReferenceData!$AH$395),"")</f>
        <v>26020.27535</v>
      </c>
      <c r="AI395">
        <f ca="1">IFERROR(IF(0=LEN(ReferenceData!$AI$395),"",ReferenceData!$AI$395),"")</f>
        <v>23659.464400000001</v>
      </c>
      <c r="AJ395">
        <f ca="1">IFERROR(IF(0=LEN(ReferenceData!$AJ$395),"",ReferenceData!$AJ$395),"")</f>
        <v>24869.365679999999</v>
      </c>
      <c r="AK395">
        <f ca="1">IFERROR(IF(0=LEN(ReferenceData!$AK$395),"",ReferenceData!$AK$395),"")</f>
        <v>27979.909919999998</v>
      </c>
      <c r="AL395">
        <f ca="1">IFERROR(IF(0=LEN(ReferenceData!$AL$395),"",ReferenceData!$AL$395),"")</f>
        <v>26510.19327</v>
      </c>
      <c r="AM395">
        <f ca="1">IFERROR(IF(0=LEN(ReferenceData!$AM$395),"",ReferenceData!$AM$395),"")</f>
        <v>20635.243429999999</v>
      </c>
      <c r="AN395" t="str">
        <f ca="1">IFERROR(IF(0=LEN(ReferenceData!$AN$395),"",ReferenceData!$AN$395),"")</f>
        <v/>
      </c>
      <c r="AO395" t="str">
        <f ca="1">IFERROR(IF(0=LEN(ReferenceData!$AO$395),"",ReferenceData!$AO$395),"")</f>
        <v/>
      </c>
      <c r="AP395" t="str">
        <f ca="1">IFERROR(IF(0=LEN(ReferenceData!$AP$395),"",ReferenceData!$AP$395),"")</f>
        <v/>
      </c>
      <c r="AQ395" t="str">
        <f ca="1">IFERROR(IF(0=LEN(ReferenceData!$AQ$395),"",ReferenceData!$AQ$395),"")</f>
        <v/>
      </c>
      <c r="AR395" t="str">
        <f ca="1">IFERROR(IF(0=LEN(ReferenceData!$AR$395),"",ReferenceData!$AR$395),"")</f>
        <v/>
      </c>
      <c r="AS395" t="str">
        <f ca="1">IFERROR(IF(0=LEN(ReferenceData!$AS$395),"",ReferenceData!$AS$395),"")</f>
        <v/>
      </c>
      <c r="AT395" t="str">
        <f ca="1">IFERROR(IF(0=LEN(ReferenceData!$AT$395),"",ReferenceData!$AT$395),"")</f>
        <v/>
      </c>
      <c r="AU395" t="str">
        <f ca="1">IFERROR(IF(0=LEN(ReferenceData!$AU$395),"",ReferenceData!$AU$395),"")</f>
        <v/>
      </c>
      <c r="AV395" t="str">
        <f ca="1">IFERROR(IF(0=LEN(ReferenceData!$AV$395),"",ReferenceData!$AV$395),"")</f>
        <v/>
      </c>
      <c r="AW395" t="str">
        <f ca="1">IFERROR(IF(0=LEN(ReferenceData!$AW$395),"",ReferenceData!$AW$395),"")</f>
        <v/>
      </c>
      <c r="AX395" t="str">
        <f ca="1">IFERROR(IF(0=LEN(ReferenceData!$AX$395),"",ReferenceData!$AX$395),"")</f>
        <v/>
      </c>
      <c r="AY395" t="str">
        <f ca="1">IFERROR(IF(0=LEN(ReferenceData!$AY$395),"",ReferenceData!$AY$395),"")</f>
        <v/>
      </c>
      <c r="AZ395" t="str">
        <f ca="1">IFERROR(IF(0=LEN(ReferenceData!$AZ$395),"",ReferenceData!$AZ$395),"")</f>
        <v/>
      </c>
      <c r="BA395" t="str">
        <f ca="1">IFERROR(IF(0=LEN(ReferenceData!$BA$395),"",ReferenceData!$BA$395),"")</f>
        <v/>
      </c>
      <c r="BB395" t="str">
        <f ca="1">IFERROR(IF(0=LEN(ReferenceData!$BB$395),"",ReferenceData!$BB$395),"")</f>
        <v/>
      </c>
      <c r="BC395" t="str">
        <f ca="1">IFERROR(IF(0=LEN(ReferenceData!$BC$395),"",ReferenceData!$BC$395),"")</f>
        <v/>
      </c>
      <c r="BD395" t="str">
        <f ca="1">IFERROR(IF(0=LEN(ReferenceData!$BD$395),"",ReferenceData!$BD$395),"")</f>
        <v/>
      </c>
      <c r="BE395" t="str">
        <f ca="1">IFERROR(IF(0=LEN(ReferenceData!$BE$395),"",ReferenceData!$BE$395),"")</f>
        <v/>
      </c>
      <c r="BF395" t="str">
        <f ca="1">IFERROR(IF(0=LEN(ReferenceData!$BF$395),"",ReferenceData!$BF$395),"")</f>
        <v/>
      </c>
      <c r="BG395" t="str">
        <f ca="1">IFERROR(IF(0=LEN(ReferenceData!$BG$395),"",ReferenceData!$BG$395),"")</f>
        <v/>
      </c>
      <c r="BH395" t="str">
        <f ca="1">IFERROR(IF(0=LEN(ReferenceData!$BH$395),"",ReferenceData!$BH$395),"")</f>
        <v/>
      </c>
      <c r="BI395" t="str">
        <f ca="1">IFERROR(IF(0=LEN(ReferenceData!$BI$395),"",ReferenceData!$BI$395),"")</f>
        <v/>
      </c>
      <c r="BJ395" t="str">
        <f ca="1">IFERROR(IF(0=LEN(ReferenceData!$BJ$395),"",ReferenceData!$BJ$395),"")</f>
        <v/>
      </c>
      <c r="BK395" t="str">
        <f ca="1">IFERROR(IF(0=LEN(ReferenceData!$BK$395),"",ReferenceData!$BK$395),"")</f>
        <v/>
      </c>
      <c r="BL395" t="str">
        <f ca="1">IFERROR(IF(0=LEN(ReferenceData!$BL$395),"",ReferenceData!$BL$395),"")</f>
        <v/>
      </c>
      <c r="BM395" t="str">
        <f ca="1">IFERROR(IF(0=LEN(ReferenceData!$BM$395),"",ReferenceData!$BM$395),"")</f>
        <v/>
      </c>
    </row>
    <row r="396" spans="1:65" x14ac:dyDescent="0.25">
      <c r="A396" t="str">
        <f>IFERROR(IF(0=LEN(ReferenceData!$A$396),"",ReferenceData!$A$396),"")</f>
        <v xml:space="preserve">    Mazda Motor Corp</v>
      </c>
      <c r="B396" t="str">
        <f>IFERROR(IF(0=LEN(ReferenceData!$B$396),"",ReferenceData!$B$396),"")</f>
        <v>7261 JP Equity</v>
      </c>
      <c r="C396" t="str">
        <f>IFERROR(IF(0=LEN(ReferenceData!$C$396),"",ReferenceData!$C$396),"")</f>
        <v>RR937</v>
      </c>
      <c r="D396" t="str">
        <f>IFERROR(IF(0=LEN(ReferenceData!$D$396),"",ReferenceData!$D$396),"")</f>
        <v>CRNCY_ADJ_CURR_EV</v>
      </c>
      <c r="E396" t="str">
        <f>IFERROR(IF(0=LEN(ReferenceData!$E$396),"",ReferenceData!$E$396),"")</f>
        <v>Dynamic</v>
      </c>
      <c r="F396">
        <f ca="1">IFERROR(IF(0=LEN(ReferenceData!$F$396),"",ReferenceData!$F$396),"")</f>
        <v>6927.0918700000002</v>
      </c>
      <c r="G396">
        <f ca="1">IFERROR(IF(0=LEN(ReferenceData!$G$396),"",ReferenceData!$G$396),"")</f>
        <v>6070.8225359999997</v>
      </c>
      <c r="H396">
        <f ca="1">IFERROR(IF(0=LEN(ReferenceData!$H$396),"",ReferenceData!$H$396),"")</f>
        <v>6822.516541</v>
      </c>
      <c r="I396">
        <f ca="1">IFERROR(IF(0=LEN(ReferenceData!$I$396),"",ReferenceData!$I$396),"")</f>
        <v>7214.3745390000004</v>
      </c>
      <c r="J396">
        <f ca="1">IFERROR(IF(0=LEN(ReferenceData!$J$396),"",ReferenceData!$J$396),"")</f>
        <v>7510.1138810000002</v>
      </c>
      <c r="K396">
        <f ca="1">IFERROR(IF(0=LEN(ReferenceData!$K$396),"",ReferenceData!$K$396),"")</f>
        <v>8220.2586100000008</v>
      </c>
      <c r="L396">
        <f ca="1">IFERROR(IF(0=LEN(ReferenceData!$L$396),"",ReferenceData!$L$396),"")</f>
        <v>8893.5730889999995</v>
      </c>
      <c r="M396">
        <f ca="1">IFERROR(IF(0=LEN(ReferenceData!$M$396),"",ReferenceData!$M$396),"")</f>
        <v>8411.408684</v>
      </c>
      <c r="N396">
        <f ca="1">IFERROR(IF(0=LEN(ReferenceData!$N$396),"",ReferenceData!$N$396),"")</f>
        <v>8539.7485199999992</v>
      </c>
      <c r="O396">
        <f ca="1">IFERROR(IF(0=LEN(ReferenceData!$O$396),"",ReferenceData!$O$396),"")</f>
        <v>10177.734340000001</v>
      </c>
      <c r="P396">
        <f ca="1">IFERROR(IF(0=LEN(ReferenceData!$P$396),"",ReferenceData!$P$396),"")</f>
        <v>9112.5930229999994</v>
      </c>
      <c r="Q396">
        <f ca="1">IFERROR(IF(0=LEN(ReferenceData!$Q$396),"",ReferenceData!$Q$396),"")</f>
        <v>8281.469024</v>
      </c>
      <c r="R396">
        <f ca="1">IFERROR(IF(0=LEN(ReferenceData!$R$396),"",ReferenceData!$R$396),"")</f>
        <v>9677.035914</v>
      </c>
      <c r="S396">
        <f ca="1">IFERROR(IF(0=LEN(ReferenceData!$S$396),"",ReferenceData!$S$396),"")</f>
        <v>13494.78263</v>
      </c>
      <c r="T396">
        <f ca="1">IFERROR(IF(0=LEN(ReferenceData!$T$396),"",ReferenceData!$T$396),"")</f>
        <v>10445.240390000001</v>
      </c>
      <c r="U396">
        <f ca="1">IFERROR(IF(0=LEN(ReferenceData!$U$396),"",ReferenceData!$U$396),"")</f>
        <v>13173.079110000001</v>
      </c>
      <c r="V396">
        <f ca="1">IFERROR(IF(0=LEN(ReferenceData!$V$396),"",ReferenceData!$V$396),"")</f>
        <v>13473.19146</v>
      </c>
      <c r="W396">
        <f ca="1">IFERROR(IF(0=LEN(ReferenceData!$W$396),"",ReferenceData!$W$396),"")</f>
        <v>17144.08582</v>
      </c>
      <c r="X396">
        <f ca="1">IFERROR(IF(0=LEN(ReferenceData!$X$396),"",ReferenceData!$X$396),"")</f>
        <v>17471.399939999999</v>
      </c>
      <c r="Y396">
        <f ca="1">IFERROR(IF(0=LEN(ReferenceData!$Y$396),"",ReferenceData!$Y$396),"")</f>
        <v>16809.964309999999</v>
      </c>
      <c r="Z396">
        <f ca="1">IFERROR(IF(0=LEN(ReferenceData!$Z$396),"",ReferenceData!$Z$396),"")</f>
        <v>15631.34635</v>
      </c>
      <c r="AA396">
        <f ca="1">IFERROR(IF(0=LEN(ReferenceData!$AA$396),"",ReferenceData!$AA$396),"")</f>
        <v>18583.092199999999</v>
      </c>
      <c r="AB396">
        <f ca="1">IFERROR(IF(0=LEN(ReferenceData!$AB$396),"",ReferenceData!$AB$396),"")</f>
        <v>16727.0435</v>
      </c>
      <c r="AC396">
        <f ca="1">IFERROR(IF(0=LEN(ReferenceData!$AC$396),"",ReferenceData!$AC$396),"")</f>
        <v>15040.60787</v>
      </c>
      <c r="AD396">
        <f ca="1">IFERROR(IF(0=LEN(ReferenceData!$AD$396),"",ReferenceData!$AD$396),"")</f>
        <v>12021.99173</v>
      </c>
      <c r="AE396">
        <f ca="1">IFERROR(IF(0=LEN(ReferenceData!$AE$396),"",ReferenceData!$AE$396),"")</f>
        <v>10182.77968</v>
      </c>
      <c r="AF396">
        <f ca="1">IFERROR(IF(0=LEN(ReferenceData!$AF$396),"",ReferenceData!$AF$396),"")</f>
        <v>7719.7041470000004</v>
      </c>
      <c r="AG396">
        <f ca="1">IFERROR(IF(0=LEN(ReferenceData!$AG$396),"",ReferenceData!$AG$396),"")</f>
        <v>8199.3156170000002</v>
      </c>
      <c r="AH396">
        <f ca="1">IFERROR(IF(0=LEN(ReferenceData!$AH$396),"",ReferenceData!$AH$396),"")</f>
        <v>8955.5213480000002</v>
      </c>
      <c r="AI396">
        <f ca="1">IFERROR(IF(0=LEN(ReferenceData!$AI$396),"",ReferenceData!$AI$396),"")</f>
        <v>9713.8372780000009</v>
      </c>
      <c r="AJ396">
        <f ca="1">IFERROR(IF(0=LEN(ReferenceData!$AJ$396),"",ReferenceData!$AJ$396),"")</f>
        <v>9187.1873959999994</v>
      </c>
      <c r="AK396">
        <f ca="1">IFERROR(IF(0=LEN(ReferenceData!$AK$396),"",ReferenceData!$AK$396),"")</f>
        <v>9814.3947389999994</v>
      </c>
      <c r="AL396">
        <f ca="1">IFERROR(IF(0=LEN(ReferenceData!$AL$396),"",ReferenceData!$AL$396),"")</f>
        <v>8417.45831</v>
      </c>
      <c r="AM396">
        <f ca="1">IFERROR(IF(0=LEN(ReferenceData!$AM$396),"",ReferenceData!$AM$396),"")</f>
        <v>10297.687099999999</v>
      </c>
      <c r="AN396">
        <f ca="1">IFERROR(IF(0=LEN(ReferenceData!$AN$396),"",ReferenceData!$AN$396),"")</f>
        <v>8617.0844199999992</v>
      </c>
      <c r="AO396">
        <f ca="1">IFERROR(IF(0=LEN(ReferenceData!$AO$396),"",ReferenceData!$AO$396),"")</f>
        <v>8279.5581700000002</v>
      </c>
      <c r="AP396">
        <f ca="1">IFERROR(IF(0=LEN(ReferenceData!$AP$396),"",ReferenceData!$AP$396),"")</f>
        <v>8840.6599650000007</v>
      </c>
      <c r="AQ396">
        <f ca="1">IFERROR(IF(0=LEN(ReferenceData!$AQ$396),"",ReferenceData!$AQ$396),"")</f>
        <v>8628.5669799999996</v>
      </c>
      <c r="AR396">
        <f ca="1">IFERROR(IF(0=LEN(ReferenceData!$AR$396),"",ReferenceData!$AR$396),"")</f>
        <v>9008.1443940000008</v>
      </c>
      <c r="AS396">
        <f ca="1">IFERROR(IF(0=LEN(ReferenceData!$AS$396),"",ReferenceData!$AS$396),"")</f>
        <v>9321.9562050000004</v>
      </c>
      <c r="AT396">
        <f ca="1">IFERROR(IF(0=LEN(ReferenceData!$AT$396),"",ReferenceData!$AT$396),"")</f>
        <v>7715.3149620000004</v>
      </c>
      <c r="AU396">
        <f ca="1">IFERROR(IF(0=LEN(ReferenceData!$AU$396),"",ReferenceData!$AU$396),"")</f>
        <v>8664.0418520000003</v>
      </c>
      <c r="AV396">
        <f ca="1">IFERROR(IF(0=LEN(ReferenceData!$AV$396),"",ReferenceData!$AV$396),"")</f>
        <v>9130.2375830000001</v>
      </c>
      <c r="AW396">
        <f ca="1">IFERROR(IF(0=LEN(ReferenceData!$AW$396),"",ReferenceData!$AW$396),"")</f>
        <v>10807.82257</v>
      </c>
      <c r="AX396">
        <f ca="1">IFERROR(IF(0=LEN(ReferenceData!$AX$396),"",ReferenceData!$AX$396),"")</f>
        <v>7846.0226119999998</v>
      </c>
      <c r="AY396">
        <f ca="1">IFERROR(IF(0=LEN(ReferenceData!$AY$396),"",ReferenceData!$AY$396),"")</f>
        <v>10099.55891</v>
      </c>
      <c r="AZ396">
        <f ca="1">IFERROR(IF(0=LEN(ReferenceData!$AZ$396),"",ReferenceData!$AZ$396),"")</f>
        <v>9692.2447599999996</v>
      </c>
      <c r="BA396">
        <f ca="1">IFERROR(IF(0=LEN(ReferenceData!$BA$396),"",ReferenceData!$BA$396),"")</f>
        <v>10718.094160000001</v>
      </c>
      <c r="BB396">
        <f ca="1">IFERROR(IF(0=LEN(ReferenceData!$BB$396),"",ReferenceData!$BB$396),"")</f>
        <v>9830.9047030000002</v>
      </c>
      <c r="BC396">
        <f ca="1">IFERROR(IF(0=LEN(ReferenceData!$BC$396),"",ReferenceData!$BC$396),"")</f>
        <v>12372.97752</v>
      </c>
      <c r="BD396">
        <f ca="1">IFERROR(IF(0=LEN(ReferenceData!$BD$396),"",ReferenceData!$BD$396),"")</f>
        <v>10862.87227</v>
      </c>
      <c r="BE396">
        <f ca="1">IFERROR(IF(0=LEN(ReferenceData!$BE$396),"",ReferenceData!$BE$396),"")</f>
        <v>11402.89896</v>
      </c>
      <c r="BF396">
        <f ca="1">IFERROR(IF(0=LEN(ReferenceData!$BF$396),"",ReferenceData!$BF$396),"")</f>
        <v>10534.73425</v>
      </c>
      <c r="BG396">
        <f ca="1">IFERROR(IF(0=LEN(ReferenceData!$BG$396),"",ReferenceData!$BG$396),"")</f>
        <v>8896.1603840000007</v>
      </c>
      <c r="BH396">
        <f ca="1">IFERROR(IF(0=LEN(ReferenceData!$BH$396),"",ReferenceData!$BH$396),"")</f>
        <v>8173.9981610000004</v>
      </c>
      <c r="BI396">
        <f ca="1">IFERROR(IF(0=LEN(ReferenceData!$BI$396),"",ReferenceData!$BI$396),"")</f>
        <v>7789.4949960000004</v>
      </c>
      <c r="BJ396">
        <f ca="1">IFERROR(IF(0=LEN(ReferenceData!$BJ$396),"",ReferenceData!$BJ$396),"")</f>
        <v>7132.9452970000002</v>
      </c>
      <c r="BK396">
        <f ca="1">IFERROR(IF(0=LEN(ReferenceData!$BK$396),"",ReferenceData!$BK$396),"")</f>
        <v>7676.867002</v>
      </c>
      <c r="BL396">
        <f ca="1">IFERROR(IF(0=LEN(ReferenceData!$BL$396),"",ReferenceData!$BL$396),"")</f>
        <v>7159.972984</v>
      </c>
      <c r="BM396">
        <f ca="1">IFERROR(IF(0=LEN(ReferenceData!$BM$396),"",ReferenceData!$BM$396),"")</f>
        <v>7691.9706329999999</v>
      </c>
    </row>
    <row r="397" spans="1:65" x14ac:dyDescent="0.25">
      <c r="A397" t="str">
        <f>IFERROR(IF(0=LEN(ReferenceData!$A$397),"",ReferenceData!$A$397),"")</f>
        <v xml:space="preserve">    Mitsubishi Motors Corp</v>
      </c>
      <c r="B397" t="str">
        <f>IFERROR(IF(0=LEN(ReferenceData!$B$397),"",ReferenceData!$B$397),"")</f>
        <v>7211 JP Equity</v>
      </c>
      <c r="C397" t="str">
        <f>IFERROR(IF(0=LEN(ReferenceData!$C$397),"",ReferenceData!$C$397),"")</f>
        <v>RR937</v>
      </c>
      <c r="D397" t="str">
        <f>IFERROR(IF(0=LEN(ReferenceData!$D$397),"",ReferenceData!$D$397),"")</f>
        <v>CRNCY_ADJ_CURR_EV</v>
      </c>
      <c r="E397" t="str">
        <f>IFERROR(IF(0=LEN(ReferenceData!$E$397),"",ReferenceData!$E$397),"")</f>
        <v>Dynamic</v>
      </c>
      <c r="F397">
        <f ca="1">IFERROR(IF(0=LEN(ReferenceData!$F$397),"",ReferenceData!$F$397),"")</f>
        <v>6625.6103730000004</v>
      </c>
      <c r="G397">
        <f ca="1">IFERROR(IF(0=LEN(ReferenceData!$G$397),"",ReferenceData!$G$397),"")</f>
        <v>6352.3599549999999</v>
      </c>
      <c r="H397">
        <f ca="1">IFERROR(IF(0=LEN(ReferenceData!$H$397),"",ReferenceData!$H$397),"")</f>
        <v>8436.8948180000007</v>
      </c>
      <c r="I397">
        <f ca="1">IFERROR(IF(0=LEN(ReferenceData!$I$397),"",ReferenceData!$I$397),"")</f>
        <v>9912.4340489999995</v>
      </c>
      <c r="J397">
        <f ca="1">IFERROR(IF(0=LEN(ReferenceData!$J$397),"",ReferenceData!$J$397),"")</f>
        <v>5778.8926700000002</v>
      </c>
      <c r="K397">
        <f ca="1">IFERROR(IF(0=LEN(ReferenceData!$K$397),"",ReferenceData!$K$397),"")</f>
        <v>6476.7183489999998</v>
      </c>
      <c r="L397">
        <f ca="1">IFERROR(IF(0=LEN(ReferenceData!$L$397),"",ReferenceData!$L$397),"")</f>
        <v>7548.1745819999996</v>
      </c>
      <c r="M397">
        <f ca="1">IFERROR(IF(0=LEN(ReferenceData!$M$397),"",ReferenceData!$M$397),"")</f>
        <v>5625.1715919999997</v>
      </c>
      <c r="N397">
        <f ca="1">IFERROR(IF(0=LEN(ReferenceData!$N$397),"",ReferenceData!$N$397),"")</f>
        <v>4307.6989750000002</v>
      </c>
      <c r="O397">
        <f ca="1">IFERROR(IF(0=LEN(ReferenceData!$O$397),"",ReferenceData!$O$397),"")</f>
        <v>3981.6025850000001</v>
      </c>
      <c r="P397">
        <f ca="1">IFERROR(IF(0=LEN(ReferenceData!$P$397),"",ReferenceData!$P$397),"")</f>
        <v>1606.5310400000001</v>
      </c>
      <c r="Q397">
        <f ca="1">IFERROR(IF(0=LEN(ReferenceData!$Q$397),"",ReferenceData!$Q$397),"")</f>
        <v>932.24579340000003</v>
      </c>
      <c r="R397">
        <f ca="1">IFERROR(IF(0=LEN(ReferenceData!$R$397),"",ReferenceData!$R$397),"")</f>
        <v>3822.9778120000001</v>
      </c>
      <c r="S397">
        <f ca="1">IFERROR(IF(0=LEN(ReferenceData!$S$397),"",ReferenceData!$S$397),"")</f>
        <v>4774.7598379999999</v>
      </c>
      <c r="T397">
        <f ca="1">IFERROR(IF(0=LEN(ReferenceData!$T$397),"",ReferenceData!$T$397),"")</f>
        <v>4401.9693889999999</v>
      </c>
      <c r="U397">
        <f ca="1">IFERROR(IF(0=LEN(ReferenceData!$U$397),"",ReferenceData!$U$397),"")</f>
        <v>6275.2352369999999</v>
      </c>
      <c r="V397">
        <f ca="1">IFERROR(IF(0=LEN(ReferenceData!$V$397),"",ReferenceData!$V$397),"")</f>
        <v>6657.5422259999996</v>
      </c>
      <c r="W397">
        <f ca="1">IFERROR(IF(0=LEN(ReferenceData!$W$397),"",ReferenceData!$W$397),"")</f>
        <v>6700.0564050000003</v>
      </c>
      <c r="X397">
        <f ca="1">IFERROR(IF(0=LEN(ReferenceData!$X$397),"",ReferenceData!$X$397),"")</f>
        <v>9772.2325720000008</v>
      </c>
      <c r="Y397">
        <f ca="1">IFERROR(IF(0=LEN(ReferenceData!$Y$397),"",ReferenceData!$Y$397),"")</f>
        <v>8710.346861</v>
      </c>
      <c r="Z397">
        <f ca="1">IFERROR(IF(0=LEN(ReferenceData!$Z$397),"",ReferenceData!$Z$397),"")</f>
        <v>8484.8343879999993</v>
      </c>
      <c r="AA397">
        <f ca="1">IFERROR(IF(0=LEN(ReferenceData!$AA$397),"",ReferenceData!$AA$397),"")</f>
        <v>8897.1193910000002</v>
      </c>
      <c r="AB397">
        <f ca="1">IFERROR(IF(0=LEN(ReferenceData!$AB$397),"",ReferenceData!$AB$397),"")</f>
        <v>10365.64582</v>
      </c>
      <c r="AC397">
        <f ca="1">IFERROR(IF(0=LEN(ReferenceData!$AC$397),"",ReferenceData!$AC$397),"")</f>
        <v>12106.12939</v>
      </c>
      <c r="AD397">
        <f ca="1">IFERROR(IF(0=LEN(ReferenceData!$AD$397),"",ReferenceData!$AD$397),"")</f>
        <v>10461.40186</v>
      </c>
      <c r="AE397">
        <f ca="1">IFERROR(IF(0=LEN(ReferenceData!$AE$397),"",ReferenceData!$AE$397),"")</f>
        <v>11175.21781</v>
      </c>
      <c r="AF397">
        <f ca="1">IFERROR(IF(0=LEN(ReferenceData!$AF$397),"",ReferenceData!$AF$397),"")</f>
        <v>10807.618990000001</v>
      </c>
      <c r="AG397">
        <f ca="1">IFERROR(IF(0=LEN(ReferenceData!$AG$397),"",ReferenceData!$AG$397),"")</f>
        <v>11149.794019999999</v>
      </c>
      <c r="AH397">
        <f ca="1">IFERROR(IF(0=LEN(ReferenceData!$AH$397),"",ReferenceData!$AH$397),"")</f>
        <v>12546.120790000001</v>
      </c>
      <c r="AI397">
        <f ca="1">IFERROR(IF(0=LEN(ReferenceData!$AI$397),"",ReferenceData!$AI$397),"")</f>
        <v>13435.46032</v>
      </c>
      <c r="AJ397">
        <f ca="1">IFERROR(IF(0=LEN(ReferenceData!$AJ$397),"",ReferenceData!$AJ$397),"")</f>
        <v>14074.48242</v>
      </c>
      <c r="AK397">
        <f ca="1">IFERROR(IF(0=LEN(ReferenceData!$AK$397),"",ReferenceData!$AK$397),"")</f>
        <v>13270.5659</v>
      </c>
      <c r="AL397">
        <f ca="1">IFERROR(IF(0=LEN(ReferenceData!$AL$397),"",ReferenceData!$AL$397),"")</f>
        <v>13611.31978</v>
      </c>
      <c r="AM397">
        <f ca="1">IFERROR(IF(0=LEN(ReferenceData!$AM$397),"",ReferenceData!$AM$397),"")</f>
        <v>14411.339980000001</v>
      </c>
      <c r="AN397">
        <f ca="1">IFERROR(IF(0=LEN(ReferenceData!$AN$397),"",ReferenceData!$AN$397),"")</f>
        <v>13649.081190000001</v>
      </c>
      <c r="AO397">
        <f ca="1">IFERROR(IF(0=LEN(ReferenceData!$AO$397),"",ReferenceData!$AO$397),"")</f>
        <v>13381.442139999999</v>
      </c>
      <c r="AP397">
        <f ca="1">IFERROR(IF(0=LEN(ReferenceData!$AP$397),"",ReferenceData!$AP$397),"")</f>
        <v>13961.317880000001</v>
      </c>
      <c r="AQ397">
        <f ca="1">IFERROR(IF(0=LEN(ReferenceData!$AQ$397),"",ReferenceData!$AQ$397),"")</f>
        <v>14389.12643</v>
      </c>
      <c r="AR397">
        <f ca="1">IFERROR(IF(0=LEN(ReferenceData!$AR$397),"",ReferenceData!$AR$397),"")</f>
        <v>16418.372439999999</v>
      </c>
      <c r="AS397">
        <f ca="1">IFERROR(IF(0=LEN(ReferenceData!$AS$397),"",ReferenceData!$AS$397),"")</f>
        <v>17178.47493</v>
      </c>
      <c r="AT397">
        <f ca="1">IFERROR(IF(0=LEN(ReferenceData!$AT$397),"",ReferenceData!$AT$397),"")</f>
        <v>13718.463669999999</v>
      </c>
      <c r="AU397">
        <f ca="1">IFERROR(IF(0=LEN(ReferenceData!$AU$397),"",ReferenceData!$AU$397),"")</f>
        <v>13435.08988</v>
      </c>
      <c r="AV397">
        <f ca="1">IFERROR(IF(0=LEN(ReferenceData!$AV$397),"",ReferenceData!$AV$397),"")</f>
        <v>13452.796060000001</v>
      </c>
      <c r="AW397">
        <f ca="1">IFERROR(IF(0=LEN(ReferenceData!$AW$397),"",ReferenceData!$AW$397),"")</f>
        <v>13985.56648</v>
      </c>
      <c r="AX397">
        <f ca="1">IFERROR(IF(0=LEN(ReferenceData!$AX$397),"",ReferenceData!$AX$397),"")</f>
        <v>13558.89509</v>
      </c>
      <c r="AY397">
        <f ca="1">IFERROR(IF(0=LEN(ReferenceData!$AY$397),"",ReferenceData!$AY$397),"")</f>
        <v>13444.4478</v>
      </c>
      <c r="AZ397">
        <f ca="1">IFERROR(IF(0=LEN(ReferenceData!$AZ$397),"",ReferenceData!$AZ$397),"")</f>
        <v>12556.98408</v>
      </c>
      <c r="BA397">
        <f ca="1">IFERROR(IF(0=LEN(ReferenceData!$BA$397),"",ReferenceData!$BA$397),"")</f>
        <v>12571.366249999999</v>
      </c>
      <c r="BB397">
        <f ca="1">IFERROR(IF(0=LEN(ReferenceData!$BB$397),"",ReferenceData!$BB$397),"")</f>
        <v>13594.08159</v>
      </c>
      <c r="BC397">
        <f ca="1">IFERROR(IF(0=LEN(ReferenceData!$BC$397),"",ReferenceData!$BC$397),"")</f>
        <v>14647.915440000001</v>
      </c>
      <c r="BD397">
        <f ca="1">IFERROR(IF(0=LEN(ReferenceData!$BD$397),"",ReferenceData!$BD$397),"")</f>
        <v>14869.72762</v>
      </c>
      <c r="BE397">
        <f ca="1">IFERROR(IF(0=LEN(ReferenceData!$BE$397),"",ReferenceData!$BE$397),"")</f>
        <v>15710.58359</v>
      </c>
      <c r="BF397">
        <f ca="1">IFERROR(IF(0=LEN(ReferenceData!$BF$397),"",ReferenceData!$BF$397),"")</f>
        <v>16933.938630000001</v>
      </c>
      <c r="BG397">
        <f ca="1">IFERROR(IF(0=LEN(ReferenceData!$BG$397),"",ReferenceData!$BG$397),"")</f>
        <v>17371.667750000001</v>
      </c>
      <c r="BH397">
        <f ca="1">IFERROR(IF(0=LEN(ReferenceData!$BH$397),"",ReferenceData!$BH$397),"")</f>
        <v>15293.92577</v>
      </c>
      <c r="BI397">
        <f ca="1">IFERROR(IF(0=LEN(ReferenceData!$BI$397),"",ReferenceData!$BI$397),"")</f>
        <v>7048.508632</v>
      </c>
      <c r="BJ397">
        <f ca="1">IFERROR(IF(0=LEN(ReferenceData!$BJ$397),"",ReferenceData!$BJ$397),"")</f>
        <v>12114.23626</v>
      </c>
      <c r="BK397">
        <f ca="1">IFERROR(IF(0=LEN(ReferenceData!$BK$397),"",ReferenceData!$BK$397),"")</f>
        <v>7259.6263049999998</v>
      </c>
      <c r="BL397">
        <f ca="1">IFERROR(IF(0=LEN(ReferenceData!$BL$397),"",ReferenceData!$BL$397),"")</f>
        <v>11407.787259999999</v>
      </c>
      <c r="BM397">
        <f ca="1">IFERROR(IF(0=LEN(ReferenceData!$BM$397),"",ReferenceData!$BM$397),"")</f>
        <v>8283.1227550000003</v>
      </c>
    </row>
    <row r="398" spans="1:65" x14ac:dyDescent="0.25">
      <c r="A398" t="str">
        <f>IFERROR(IF(0=LEN(ReferenceData!$A$398),"",ReferenceData!$A$398),"")</f>
        <v xml:space="preserve">    Nissan Motor Co Ltd</v>
      </c>
      <c r="B398" t="str">
        <f>IFERROR(IF(0=LEN(ReferenceData!$B$398),"",ReferenceData!$B$398),"")</f>
        <v>7201 JP Equity</v>
      </c>
      <c r="C398" t="str">
        <f>IFERROR(IF(0=LEN(ReferenceData!$C$398),"",ReferenceData!$C$398),"")</f>
        <v>RR937</v>
      </c>
      <c r="D398" t="str">
        <f>IFERROR(IF(0=LEN(ReferenceData!$D$398),"",ReferenceData!$D$398),"")</f>
        <v>CRNCY_ADJ_CURR_EV</v>
      </c>
      <c r="E398" t="str">
        <f>IFERROR(IF(0=LEN(ReferenceData!$E$398),"",ReferenceData!$E$398),"")</f>
        <v>Dynamic</v>
      </c>
      <c r="F398">
        <f ca="1">IFERROR(IF(0=LEN(ReferenceData!$F$398),"",ReferenceData!$F$398),"")</f>
        <v>26832.163499999999</v>
      </c>
      <c r="G398">
        <f ca="1">IFERROR(IF(0=LEN(ReferenceData!$G$398),"",ReferenceData!$G$398),"")</f>
        <v>24300.756389999999</v>
      </c>
      <c r="H398">
        <f ca="1">IFERROR(IF(0=LEN(ReferenceData!$H$398),"",ReferenceData!$H$398),"")</f>
        <v>28409.581689999999</v>
      </c>
      <c r="I398">
        <f ca="1">IFERROR(IF(0=LEN(ReferenceData!$I$398),"",ReferenceData!$I$398),"")</f>
        <v>29688.805660000002</v>
      </c>
      <c r="J398">
        <f ca="1">IFERROR(IF(0=LEN(ReferenceData!$J$398),"",ReferenceData!$J$398),"")</f>
        <v>30073.663</v>
      </c>
      <c r="K398">
        <f ca="1">IFERROR(IF(0=LEN(ReferenceData!$K$398),"",ReferenceData!$K$398),"")</f>
        <v>33044.4522</v>
      </c>
      <c r="L398">
        <f ca="1">IFERROR(IF(0=LEN(ReferenceData!$L$398),"",ReferenceData!$L$398),"")</f>
        <v>28676.4162</v>
      </c>
      <c r="M398">
        <f ca="1">IFERROR(IF(0=LEN(ReferenceData!$M$398),"",ReferenceData!$M$398),"")</f>
        <v>29956.891329999999</v>
      </c>
      <c r="N398">
        <f ca="1">IFERROR(IF(0=LEN(ReferenceData!$N$398),"",ReferenceData!$N$398),"")</f>
        <v>28730.364829999999</v>
      </c>
      <c r="O398">
        <f ca="1">IFERROR(IF(0=LEN(ReferenceData!$O$398),"",ReferenceData!$O$398),"")</f>
        <v>36988.176209999998</v>
      </c>
      <c r="P398">
        <f ca="1">IFERROR(IF(0=LEN(ReferenceData!$P$398),"",ReferenceData!$P$398),"")</f>
        <v>32627.165110000002</v>
      </c>
      <c r="Q398">
        <f ca="1">IFERROR(IF(0=LEN(ReferenceData!$Q$398),"",ReferenceData!$Q$398),"")</f>
        <v>29721.277290000002</v>
      </c>
      <c r="R398">
        <f ca="1">IFERROR(IF(0=LEN(ReferenceData!$R$398),"",ReferenceData!$R$398),"")</f>
        <v>31975.351269999999</v>
      </c>
      <c r="S398">
        <f ca="1">IFERROR(IF(0=LEN(ReferenceData!$S$398),"",ReferenceData!$S$398),"")</f>
        <v>39730.920050000001</v>
      </c>
      <c r="T398">
        <f ca="1">IFERROR(IF(0=LEN(ReferenceData!$T$398),"",ReferenceData!$T$398),"")</f>
        <v>31805.31105</v>
      </c>
      <c r="U398">
        <f ca="1">IFERROR(IF(0=LEN(ReferenceData!$U$398),"",ReferenceData!$U$398),"")</f>
        <v>42303.234920000003</v>
      </c>
      <c r="V398">
        <f ca="1">IFERROR(IF(0=LEN(ReferenceData!$V$398),"",ReferenceData!$V$398),"")</f>
        <v>37962.89759</v>
      </c>
      <c r="W398">
        <f ca="1">IFERROR(IF(0=LEN(ReferenceData!$W$398),"",ReferenceData!$W$398),"")</f>
        <v>33436.707730000002</v>
      </c>
      <c r="X398">
        <f ca="1">IFERROR(IF(0=LEN(ReferenceData!$X$398),"",ReferenceData!$X$398),"")</f>
        <v>37136.163500000002</v>
      </c>
      <c r="Y398">
        <f ca="1">IFERROR(IF(0=LEN(ReferenceData!$Y$398),"",ReferenceData!$Y$398),"")</f>
        <v>37231.468399999998</v>
      </c>
      <c r="Z398">
        <f ca="1">IFERROR(IF(0=LEN(ReferenceData!$Z$398),"",ReferenceData!$Z$398),"")</f>
        <v>33661.590230000002</v>
      </c>
      <c r="AA398">
        <f ca="1">IFERROR(IF(0=LEN(ReferenceData!$AA$398),"",ReferenceData!$AA$398),"")</f>
        <v>34901.535530000001</v>
      </c>
      <c r="AB398">
        <f ca="1">IFERROR(IF(0=LEN(ReferenceData!$AB$398),"",ReferenceData!$AB$398),"")</f>
        <v>41004.468860000001</v>
      </c>
      <c r="AC398">
        <f ca="1">IFERROR(IF(0=LEN(ReferenceData!$AC$398),"",ReferenceData!$AC$398),"")</f>
        <v>42547.396639999999</v>
      </c>
      <c r="AD398">
        <f ca="1">IFERROR(IF(0=LEN(ReferenceData!$AD$398),"",ReferenceData!$AD$398),"")</f>
        <v>37747.860070000002</v>
      </c>
      <c r="AE398">
        <f ca="1">IFERROR(IF(0=LEN(ReferenceData!$AE$398),"",ReferenceData!$AE$398),"")</f>
        <v>42443.414660000002</v>
      </c>
      <c r="AF398">
        <f ca="1">IFERROR(IF(0=LEN(ReferenceData!$AF$398),"",ReferenceData!$AF$398),"")</f>
        <v>36986.85441</v>
      </c>
      <c r="AG398">
        <f ca="1">IFERROR(IF(0=LEN(ReferenceData!$AG$398),"",ReferenceData!$AG$398),"")</f>
        <v>39743.835440000003</v>
      </c>
      <c r="AH398">
        <f ca="1">IFERROR(IF(0=LEN(ReferenceData!$AH$398),"",ReferenceData!$AH$398),"")</f>
        <v>44306.01728</v>
      </c>
      <c r="AI398">
        <f ca="1">IFERROR(IF(0=LEN(ReferenceData!$AI$398),"",ReferenceData!$AI$398),"")</f>
        <v>40236.758150000001</v>
      </c>
      <c r="AJ398">
        <f ca="1">IFERROR(IF(0=LEN(ReferenceData!$AJ$398),"",ReferenceData!$AJ$398),"")</f>
        <v>40736.644090000002</v>
      </c>
      <c r="AK398">
        <f ca="1">IFERROR(IF(0=LEN(ReferenceData!$AK$398),"",ReferenceData!$AK$398),"")</f>
        <v>47486.461139999999</v>
      </c>
      <c r="AL398">
        <f ca="1">IFERROR(IF(0=LEN(ReferenceData!$AL$398),"",ReferenceData!$AL$398),"")</f>
        <v>40684.014430000003</v>
      </c>
      <c r="AM398">
        <f ca="1">IFERROR(IF(0=LEN(ReferenceData!$AM$398),"",ReferenceData!$AM$398),"")</f>
        <v>46121.518859999996</v>
      </c>
      <c r="AN398">
        <f ca="1">IFERROR(IF(0=LEN(ReferenceData!$AN$398),"",ReferenceData!$AN$398),"")</f>
        <v>41693.236010000001</v>
      </c>
      <c r="AO398">
        <f ca="1">IFERROR(IF(0=LEN(ReferenceData!$AO$398),"",ReferenceData!$AO$398),"")</f>
        <v>34600.381549999998</v>
      </c>
      <c r="AP398">
        <f ca="1">IFERROR(IF(0=LEN(ReferenceData!$AP$398),"",ReferenceData!$AP$398),"")</f>
        <v>41273.223259999999</v>
      </c>
      <c r="AQ398">
        <f ca="1">IFERROR(IF(0=LEN(ReferenceData!$AQ$398),"",ReferenceData!$AQ$398),"")</f>
        <v>44776.114079999999</v>
      </c>
      <c r="AR398">
        <f ca="1">IFERROR(IF(0=LEN(ReferenceData!$AR$398),"",ReferenceData!$AR$398),"")</f>
        <v>36385.974649999996</v>
      </c>
      <c r="AS398">
        <f ca="1">IFERROR(IF(0=LEN(ReferenceData!$AS$398),"",ReferenceData!$AS$398),"")</f>
        <v>34592.27766</v>
      </c>
      <c r="AT398">
        <f ca="1">IFERROR(IF(0=LEN(ReferenceData!$AT$398),"",ReferenceData!$AT$398),"")</f>
        <v>59233.763120000003</v>
      </c>
      <c r="AU398">
        <f ca="1">IFERROR(IF(0=LEN(ReferenceData!$AU$398),"",ReferenceData!$AU$398),"")</f>
        <v>67384.201329999996</v>
      </c>
      <c r="AV398">
        <f ca="1">IFERROR(IF(0=LEN(ReferenceData!$AV$398),"",ReferenceData!$AV$398),"")</f>
        <v>75478.619330000001</v>
      </c>
      <c r="AW398">
        <f ca="1">IFERROR(IF(0=LEN(ReferenceData!$AW$398),"",ReferenceData!$AW$398),"")</f>
        <v>84160.197249999997</v>
      </c>
      <c r="AX398">
        <f ca="1">IFERROR(IF(0=LEN(ReferenceData!$AX$398),"",ReferenceData!$AX$398),"")</f>
        <v>82260.669269999999</v>
      </c>
      <c r="AY398">
        <f ca="1">IFERROR(IF(0=LEN(ReferenceData!$AY$398),"",ReferenceData!$AY$398),"")</f>
        <v>94732.658320000002</v>
      </c>
      <c r="AZ398">
        <f ca="1">IFERROR(IF(0=LEN(ReferenceData!$AZ$398),"",ReferenceData!$AZ$398),"")</f>
        <v>88823.62672</v>
      </c>
      <c r="BA398">
        <f ca="1">IFERROR(IF(0=LEN(ReferenceData!$BA$398),"",ReferenceData!$BA$398),"")</f>
        <v>90602.182000000001</v>
      </c>
      <c r="BB398">
        <f ca="1">IFERROR(IF(0=LEN(ReferenceData!$BB$398),"",ReferenceData!$BB$398),"")</f>
        <v>90628.645839999997</v>
      </c>
      <c r="BC398">
        <f ca="1">IFERROR(IF(0=LEN(ReferenceData!$BC$398),"",ReferenceData!$BC$398),"")</f>
        <v>97029.728510000001</v>
      </c>
      <c r="BD398">
        <f ca="1">IFERROR(IF(0=LEN(ReferenceData!$BD$398),"",ReferenceData!$BD$398),"")</f>
        <v>91690.784480000002</v>
      </c>
      <c r="BE398">
        <f ca="1">IFERROR(IF(0=LEN(ReferenceData!$BE$398),"",ReferenceData!$BE$398),"")</f>
        <v>92202.744519999993</v>
      </c>
      <c r="BF398">
        <f ca="1">IFERROR(IF(0=LEN(ReferenceData!$BF$398),"",ReferenceData!$BF$398),"")</f>
        <v>93594.757740000001</v>
      </c>
      <c r="BG398">
        <f ca="1">IFERROR(IF(0=LEN(ReferenceData!$BG$398),"",ReferenceData!$BG$398),"")</f>
        <v>86338.203120000006</v>
      </c>
      <c r="BH398">
        <f ca="1">IFERROR(IF(0=LEN(ReferenceData!$BH$398),"",ReferenceData!$BH$398),"")</f>
        <v>90316.99927</v>
      </c>
      <c r="BI398">
        <f ca="1">IFERROR(IF(0=LEN(ReferenceData!$BI$398),"",ReferenceData!$BI$398),"")</f>
        <v>84823.626600000003</v>
      </c>
      <c r="BJ398">
        <f ca="1">IFERROR(IF(0=LEN(ReferenceData!$BJ$398),"",ReferenceData!$BJ$398),"")</f>
        <v>81190.994529999996</v>
      </c>
      <c r="BK398">
        <f ca="1">IFERROR(IF(0=LEN(ReferenceData!$BK$398),"",ReferenceData!$BK$398),"")</f>
        <v>83741.22597</v>
      </c>
      <c r="BL398">
        <f ca="1">IFERROR(IF(0=LEN(ReferenceData!$BL$398),"",ReferenceData!$BL$398),"")</f>
        <v>80971.370989999996</v>
      </c>
      <c r="BM398">
        <f ca="1">IFERROR(IF(0=LEN(ReferenceData!$BM$398),"",ReferenceData!$BM$398),"")</f>
        <v>79383.76251</v>
      </c>
    </row>
    <row r="399" spans="1:65" x14ac:dyDescent="0.25">
      <c r="A399" t="str">
        <f>IFERROR(IF(0=LEN(ReferenceData!$A$399),"",ReferenceData!$A$399),"")</f>
        <v xml:space="preserve">    Peugeot SA</v>
      </c>
      <c r="B399" t="str">
        <f>IFERROR(IF(0=LEN(ReferenceData!$B$399),"",ReferenceData!$B$399),"")</f>
        <v>UG FP Equity</v>
      </c>
      <c r="C399" t="str">
        <f>IFERROR(IF(0=LEN(ReferenceData!$C$399),"",ReferenceData!$C$399),"")</f>
        <v>RR937</v>
      </c>
      <c r="D399" t="str">
        <f>IFERROR(IF(0=LEN(ReferenceData!$D$399),"",ReferenceData!$D$399),"")</f>
        <v>CRNCY_ADJ_CURR_EV</v>
      </c>
      <c r="E399" t="str">
        <f>IFERROR(IF(0=LEN(ReferenceData!$E$399),"",ReferenceData!$E$399),"")</f>
        <v>Dynamic</v>
      </c>
      <c r="F399" t="str">
        <f ca="1">IFERROR(IF(0=LEN(ReferenceData!$F$399),"",ReferenceData!$F$399),"")</f>
        <v/>
      </c>
      <c r="G399" t="str">
        <f ca="1">IFERROR(IF(0=LEN(ReferenceData!$G$399),"",ReferenceData!$G$399),"")</f>
        <v/>
      </c>
      <c r="H399" t="str">
        <f ca="1">IFERROR(IF(0=LEN(ReferenceData!$H$399),"",ReferenceData!$H$399),"")</f>
        <v/>
      </c>
      <c r="I399" t="str">
        <f ca="1">IFERROR(IF(0=LEN(ReferenceData!$I$399),"",ReferenceData!$I$399),"")</f>
        <v/>
      </c>
      <c r="J399" t="str">
        <f ca="1">IFERROR(IF(0=LEN(ReferenceData!$J$399),"",ReferenceData!$J$399),"")</f>
        <v/>
      </c>
      <c r="K399" t="str">
        <f ca="1">IFERROR(IF(0=LEN(ReferenceData!$K$399),"",ReferenceData!$K$399),"")</f>
        <v/>
      </c>
      <c r="L399" t="str">
        <f ca="1">IFERROR(IF(0=LEN(ReferenceData!$L$399),"",ReferenceData!$L$399),"")</f>
        <v/>
      </c>
      <c r="M399" t="str">
        <f ca="1">IFERROR(IF(0=LEN(ReferenceData!$M$399),"",ReferenceData!$M$399),"")</f>
        <v/>
      </c>
      <c r="N399" t="str">
        <f ca="1">IFERROR(IF(0=LEN(ReferenceData!$N$399),"",ReferenceData!$N$399),"")</f>
        <v/>
      </c>
      <c r="O399" t="str">
        <f ca="1">IFERROR(IF(0=LEN(ReferenceData!$O$399),"",ReferenceData!$O$399),"")</f>
        <v/>
      </c>
      <c r="P399" t="str">
        <f ca="1">IFERROR(IF(0=LEN(ReferenceData!$P$399),"",ReferenceData!$P$399),"")</f>
        <v/>
      </c>
      <c r="Q399" t="str">
        <f ca="1">IFERROR(IF(0=LEN(ReferenceData!$Q$399),"",ReferenceData!$Q$399),"")</f>
        <v/>
      </c>
      <c r="R399" t="str">
        <f ca="1">IFERROR(IF(0=LEN(ReferenceData!$R$399),"",ReferenceData!$R$399),"")</f>
        <v/>
      </c>
      <c r="S399" t="str">
        <f ca="1">IFERROR(IF(0=LEN(ReferenceData!$S$399),"",ReferenceData!$S$399),"")</f>
        <v/>
      </c>
      <c r="T399" t="str">
        <f ca="1">IFERROR(IF(0=LEN(ReferenceData!$T$399),"",ReferenceData!$T$399),"")</f>
        <v/>
      </c>
      <c r="U399" t="str">
        <f ca="1">IFERROR(IF(0=LEN(ReferenceData!$U$399),"",ReferenceData!$U$399),"")</f>
        <v/>
      </c>
      <c r="V399" t="str">
        <f ca="1">IFERROR(IF(0=LEN(ReferenceData!$V$399),"",ReferenceData!$V$399),"")</f>
        <v/>
      </c>
      <c r="W399" t="str">
        <f ca="1">IFERROR(IF(0=LEN(ReferenceData!$W$399),"",ReferenceData!$W$399),"")</f>
        <v/>
      </c>
      <c r="X399" t="str">
        <f ca="1">IFERROR(IF(0=LEN(ReferenceData!$X$399),"",ReferenceData!$X$399),"")</f>
        <v/>
      </c>
      <c r="Y399" t="str">
        <f ca="1">IFERROR(IF(0=LEN(ReferenceData!$Y$399),"",ReferenceData!$Y$399),"")</f>
        <v/>
      </c>
      <c r="Z399" t="str">
        <f ca="1">IFERROR(IF(0=LEN(ReferenceData!$Z$399),"",ReferenceData!$Z$399),"")</f>
        <v/>
      </c>
      <c r="AA399" t="str">
        <f ca="1">IFERROR(IF(0=LEN(ReferenceData!$AA$399),"",ReferenceData!$AA$399),"")</f>
        <v/>
      </c>
      <c r="AB399" t="str">
        <f ca="1">IFERROR(IF(0=LEN(ReferenceData!$AB$399),"",ReferenceData!$AB$399),"")</f>
        <v/>
      </c>
      <c r="AC399" t="str">
        <f ca="1">IFERROR(IF(0=LEN(ReferenceData!$AC$399),"",ReferenceData!$AC$399),"")</f>
        <v/>
      </c>
      <c r="AD399" t="str">
        <f ca="1">IFERROR(IF(0=LEN(ReferenceData!$AD$399),"",ReferenceData!$AD$399),"")</f>
        <v/>
      </c>
      <c r="AE399" t="str">
        <f ca="1">IFERROR(IF(0=LEN(ReferenceData!$AE$399),"",ReferenceData!$AE$399),"")</f>
        <v/>
      </c>
      <c r="AF399" t="str">
        <f ca="1">IFERROR(IF(0=LEN(ReferenceData!$AF$399),"",ReferenceData!$AF$399),"")</f>
        <v/>
      </c>
      <c r="AG399" t="str">
        <f ca="1">IFERROR(IF(0=LEN(ReferenceData!$AG$399),"",ReferenceData!$AG$399),"")</f>
        <v/>
      </c>
      <c r="AH399" t="str">
        <f ca="1">IFERROR(IF(0=LEN(ReferenceData!$AH$399),"",ReferenceData!$AH$399),"")</f>
        <v/>
      </c>
      <c r="AI399" t="str">
        <f ca="1">IFERROR(IF(0=LEN(ReferenceData!$AI$399),"",ReferenceData!$AI$399),"")</f>
        <v/>
      </c>
      <c r="AJ399" t="str">
        <f ca="1">IFERROR(IF(0=LEN(ReferenceData!$AJ$399),"",ReferenceData!$AJ$399),"")</f>
        <v/>
      </c>
      <c r="AK399" t="str">
        <f ca="1">IFERROR(IF(0=LEN(ReferenceData!$AK$399),"",ReferenceData!$AK$399),"")</f>
        <v/>
      </c>
      <c r="AL399" t="str">
        <f ca="1">IFERROR(IF(0=LEN(ReferenceData!$AL$399),"",ReferenceData!$AL$399),"")</f>
        <v/>
      </c>
      <c r="AM399" t="str">
        <f ca="1">IFERROR(IF(0=LEN(ReferenceData!$AM$399),"",ReferenceData!$AM$399),"")</f>
        <v/>
      </c>
      <c r="AN399" t="str">
        <f ca="1">IFERROR(IF(0=LEN(ReferenceData!$AN$399),"",ReferenceData!$AN$399),"")</f>
        <v/>
      </c>
      <c r="AO399" t="str">
        <f ca="1">IFERROR(IF(0=LEN(ReferenceData!$AO$399),"",ReferenceData!$AO$399),"")</f>
        <v/>
      </c>
      <c r="AP399" t="str">
        <f ca="1">IFERROR(IF(0=LEN(ReferenceData!$AP$399),"",ReferenceData!$AP$399),"")</f>
        <v/>
      </c>
      <c r="AQ399" t="str">
        <f ca="1">IFERROR(IF(0=LEN(ReferenceData!$AQ$399),"",ReferenceData!$AQ$399),"")</f>
        <v/>
      </c>
      <c r="AR399" t="str">
        <f ca="1">IFERROR(IF(0=LEN(ReferenceData!$AR$399),"",ReferenceData!$AR$399),"")</f>
        <v/>
      </c>
      <c r="AS399" t="str">
        <f ca="1">IFERROR(IF(0=LEN(ReferenceData!$AS$399),"",ReferenceData!$AS$399),"")</f>
        <v/>
      </c>
      <c r="AT399" t="str">
        <f ca="1">IFERROR(IF(0=LEN(ReferenceData!$AT$399),"",ReferenceData!$AT$399),"")</f>
        <v/>
      </c>
      <c r="AU399" t="str">
        <f ca="1">IFERROR(IF(0=LEN(ReferenceData!$AU$399),"",ReferenceData!$AU$399),"")</f>
        <v/>
      </c>
      <c r="AV399" t="str">
        <f ca="1">IFERROR(IF(0=LEN(ReferenceData!$AV$399),"",ReferenceData!$AV$399),"")</f>
        <v/>
      </c>
      <c r="AW399" t="str">
        <f ca="1">IFERROR(IF(0=LEN(ReferenceData!$AW$399),"",ReferenceData!$AW$399),"")</f>
        <v/>
      </c>
      <c r="AX399" t="str">
        <f ca="1">IFERROR(IF(0=LEN(ReferenceData!$AX$399),"",ReferenceData!$AX$399),"")</f>
        <v/>
      </c>
      <c r="AY399" t="str">
        <f ca="1">IFERROR(IF(0=LEN(ReferenceData!$AY$399),"",ReferenceData!$AY$399),"")</f>
        <v/>
      </c>
      <c r="AZ399" t="str">
        <f ca="1">IFERROR(IF(0=LEN(ReferenceData!$AZ$399),"",ReferenceData!$AZ$399),"")</f>
        <v/>
      </c>
      <c r="BA399" t="str">
        <f ca="1">IFERROR(IF(0=LEN(ReferenceData!$BA$399),"",ReferenceData!$BA$399),"")</f>
        <v/>
      </c>
      <c r="BB399" t="str">
        <f ca="1">IFERROR(IF(0=LEN(ReferenceData!$BB$399),"",ReferenceData!$BB$399),"")</f>
        <v/>
      </c>
      <c r="BC399" t="str">
        <f ca="1">IFERROR(IF(0=LEN(ReferenceData!$BC$399),"",ReferenceData!$BC$399),"")</f>
        <v/>
      </c>
      <c r="BD399" t="str">
        <f ca="1">IFERROR(IF(0=LEN(ReferenceData!$BD$399),"",ReferenceData!$BD$399),"")</f>
        <v/>
      </c>
      <c r="BE399" t="str">
        <f ca="1">IFERROR(IF(0=LEN(ReferenceData!$BE$399),"",ReferenceData!$BE$399),"")</f>
        <v/>
      </c>
      <c r="BF399" t="str">
        <f ca="1">IFERROR(IF(0=LEN(ReferenceData!$BF$399),"",ReferenceData!$BF$399),"")</f>
        <v/>
      </c>
      <c r="BG399" t="str">
        <f ca="1">IFERROR(IF(0=LEN(ReferenceData!$BG$399),"",ReferenceData!$BG$399),"")</f>
        <v/>
      </c>
      <c r="BH399" t="str">
        <f ca="1">IFERROR(IF(0=LEN(ReferenceData!$BH$399),"",ReferenceData!$BH$399),"")</f>
        <v/>
      </c>
      <c r="BI399" t="str">
        <f ca="1">IFERROR(IF(0=LEN(ReferenceData!$BI$399),"",ReferenceData!$BI$399),"")</f>
        <v/>
      </c>
      <c r="BJ399" t="str">
        <f ca="1">IFERROR(IF(0=LEN(ReferenceData!$BJ$399),"",ReferenceData!$BJ$399),"")</f>
        <v/>
      </c>
      <c r="BK399" t="str">
        <f ca="1">IFERROR(IF(0=LEN(ReferenceData!$BK$399),"",ReferenceData!$BK$399),"")</f>
        <v/>
      </c>
      <c r="BL399" t="str">
        <f ca="1">IFERROR(IF(0=LEN(ReferenceData!$BL$399),"",ReferenceData!$BL$399),"")</f>
        <v/>
      </c>
      <c r="BM399" t="str">
        <f ca="1">IFERROR(IF(0=LEN(ReferenceData!$BM$399),"",ReferenceData!$BM$399),"")</f>
        <v/>
      </c>
    </row>
    <row r="400" spans="1:65" x14ac:dyDescent="0.25">
      <c r="A400" t="str">
        <f>IFERROR(IF(0=LEN(ReferenceData!$A$400),"",ReferenceData!$A$400),"")</f>
        <v xml:space="preserve">    Renault SA</v>
      </c>
      <c r="B400" t="str">
        <f>IFERROR(IF(0=LEN(ReferenceData!$B$400),"",ReferenceData!$B$400),"")</f>
        <v>RNO FP Equity</v>
      </c>
      <c r="C400" t="str">
        <f>IFERROR(IF(0=LEN(ReferenceData!$C$400),"",ReferenceData!$C$400),"")</f>
        <v>RR937</v>
      </c>
      <c r="D400" t="str">
        <f>IFERROR(IF(0=LEN(ReferenceData!$D$400),"",ReferenceData!$D$400),"")</f>
        <v>CRNCY_ADJ_CURR_EV</v>
      </c>
      <c r="E400" t="str">
        <f>IFERROR(IF(0=LEN(ReferenceData!$E$400),"",ReferenceData!$E$400),"")</f>
        <v>Dynamic</v>
      </c>
      <c r="F400" t="str">
        <f ca="1">IFERROR(IF(0=LEN(ReferenceData!$F$400),"",ReferenceData!$F$400),"")</f>
        <v/>
      </c>
      <c r="G400" t="str">
        <f ca="1">IFERROR(IF(0=LEN(ReferenceData!$G$400),"",ReferenceData!$G$400),"")</f>
        <v/>
      </c>
      <c r="H400" t="str">
        <f ca="1">IFERROR(IF(0=LEN(ReferenceData!$H$400),"",ReferenceData!$H$400),"")</f>
        <v/>
      </c>
      <c r="I400" t="str">
        <f ca="1">IFERROR(IF(0=LEN(ReferenceData!$I$400),"",ReferenceData!$I$400),"")</f>
        <v/>
      </c>
      <c r="J400" t="str">
        <f ca="1">IFERROR(IF(0=LEN(ReferenceData!$J$400),"",ReferenceData!$J$400),"")</f>
        <v/>
      </c>
      <c r="K400" t="str">
        <f ca="1">IFERROR(IF(0=LEN(ReferenceData!$K$400),"",ReferenceData!$K$400),"")</f>
        <v/>
      </c>
      <c r="L400" t="str">
        <f ca="1">IFERROR(IF(0=LEN(ReferenceData!$L$400),"",ReferenceData!$L$400),"")</f>
        <v/>
      </c>
      <c r="M400" t="str">
        <f ca="1">IFERROR(IF(0=LEN(ReferenceData!$M$400),"",ReferenceData!$M$400),"")</f>
        <v/>
      </c>
      <c r="N400" t="str">
        <f ca="1">IFERROR(IF(0=LEN(ReferenceData!$N$400),"",ReferenceData!$N$400),"")</f>
        <v/>
      </c>
      <c r="O400" t="str">
        <f ca="1">IFERROR(IF(0=LEN(ReferenceData!$O$400),"",ReferenceData!$O$400),"")</f>
        <v/>
      </c>
      <c r="P400" t="str">
        <f ca="1">IFERROR(IF(0=LEN(ReferenceData!$P$400),"",ReferenceData!$P$400),"")</f>
        <v/>
      </c>
      <c r="Q400" t="str">
        <f ca="1">IFERROR(IF(0=LEN(ReferenceData!$Q$400),"",ReferenceData!$Q$400),"")</f>
        <v/>
      </c>
      <c r="R400" t="str">
        <f ca="1">IFERROR(IF(0=LEN(ReferenceData!$R$400),"",ReferenceData!$R$400),"")</f>
        <v/>
      </c>
      <c r="S400" t="str">
        <f ca="1">IFERROR(IF(0=LEN(ReferenceData!$S$400),"",ReferenceData!$S$400),"")</f>
        <v/>
      </c>
      <c r="T400" t="str">
        <f ca="1">IFERROR(IF(0=LEN(ReferenceData!$T$400),"",ReferenceData!$T$400),"")</f>
        <v/>
      </c>
      <c r="U400" t="str">
        <f ca="1">IFERROR(IF(0=LEN(ReferenceData!$U$400),"",ReferenceData!$U$400),"")</f>
        <v/>
      </c>
      <c r="V400" t="str">
        <f ca="1">IFERROR(IF(0=LEN(ReferenceData!$V$400),"",ReferenceData!$V$400),"")</f>
        <v/>
      </c>
      <c r="W400" t="str">
        <f ca="1">IFERROR(IF(0=LEN(ReferenceData!$W$400),"",ReferenceData!$W$400),"")</f>
        <v/>
      </c>
      <c r="X400" t="str">
        <f ca="1">IFERROR(IF(0=LEN(ReferenceData!$X$400),"",ReferenceData!$X$400),"")</f>
        <v/>
      </c>
      <c r="Y400" t="str">
        <f ca="1">IFERROR(IF(0=LEN(ReferenceData!$Y$400),"",ReferenceData!$Y$400),"")</f>
        <v/>
      </c>
      <c r="Z400" t="str">
        <f ca="1">IFERROR(IF(0=LEN(ReferenceData!$Z$400),"",ReferenceData!$Z$400),"")</f>
        <v/>
      </c>
      <c r="AA400" t="str">
        <f ca="1">IFERROR(IF(0=LEN(ReferenceData!$AA$400),"",ReferenceData!$AA$400),"")</f>
        <v/>
      </c>
      <c r="AB400" t="str">
        <f ca="1">IFERROR(IF(0=LEN(ReferenceData!$AB$400),"",ReferenceData!$AB$400),"")</f>
        <v/>
      </c>
      <c r="AC400" t="str">
        <f ca="1">IFERROR(IF(0=LEN(ReferenceData!$AC$400),"",ReferenceData!$AC$400),"")</f>
        <v/>
      </c>
      <c r="AD400" t="str">
        <f ca="1">IFERROR(IF(0=LEN(ReferenceData!$AD$400),"",ReferenceData!$AD$400),"")</f>
        <v/>
      </c>
      <c r="AE400" t="str">
        <f ca="1">IFERROR(IF(0=LEN(ReferenceData!$AE$400),"",ReferenceData!$AE$400),"")</f>
        <v/>
      </c>
      <c r="AF400" t="str">
        <f ca="1">IFERROR(IF(0=LEN(ReferenceData!$AF$400),"",ReferenceData!$AF$400),"")</f>
        <v/>
      </c>
      <c r="AG400" t="str">
        <f ca="1">IFERROR(IF(0=LEN(ReferenceData!$AG$400),"",ReferenceData!$AG$400),"")</f>
        <v/>
      </c>
      <c r="AH400" t="str">
        <f ca="1">IFERROR(IF(0=LEN(ReferenceData!$AH$400),"",ReferenceData!$AH$400),"")</f>
        <v/>
      </c>
      <c r="AI400" t="str">
        <f ca="1">IFERROR(IF(0=LEN(ReferenceData!$AI$400),"",ReferenceData!$AI$400),"")</f>
        <v/>
      </c>
      <c r="AJ400" t="str">
        <f ca="1">IFERROR(IF(0=LEN(ReferenceData!$AJ$400),"",ReferenceData!$AJ$400),"")</f>
        <v/>
      </c>
      <c r="AK400" t="str">
        <f ca="1">IFERROR(IF(0=LEN(ReferenceData!$AK$400),"",ReferenceData!$AK$400),"")</f>
        <v/>
      </c>
      <c r="AL400" t="str">
        <f ca="1">IFERROR(IF(0=LEN(ReferenceData!$AL$400),"",ReferenceData!$AL$400),"")</f>
        <v/>
      </c>
      <c r="AM400" t="str">
        <f ca="1">IFERROR(IF(0=LEN(ReferenceData!$AM$400),"",ReferenceData!$AM$400),"")</f>
        <v/>
      </c>
      <c r="AN400" t="str">
        <f ca="1">IFERROR(IF(0=LEN(ReferenceData!$AN$400),"",ReferenceData!$AN$400),"")</f>
        <v/>
      </c>
      <c r="AO400" t="str">
        <f ca="1">IFERROR(IF(0=LEN(ReferenceData!$AO$400),"",ReferenceData!$AO$400),"")</f>
        <v/>
      </c>
      <c r="AP400" t="str">
        <f ca="1">IFERROR(IF(0=LEN(ReferenceData!$AP$400),"",ReferenceData!$AP$400),"")</f>
        <v/>
      </c>
      <c r="AQ400" t="str">
        <f ca="1">IFERROR(IF(0=LEN(ReferenceData!$AQ$400),"",ReferenceData!$AQ$400),"")</f>
        <v/>
      </c>
      <c r="AR400" t="str">
        <f ca="1">IFERROR(IF(0=LEN(ReferenceData!$AR$400),"",ReferenceData!$AR$400),"")</f>
        <v/>
      </c>
      <c r="AS400" t="str">
        <f ca="1">IFERROR(IF(0=LEN(ReferenceData!$AS$400),"",ReferenceData!$AS$400),"")</f>
        <v/>
      </c>
      <c r="AT400" t="str">
        <f ca="1">IFERROR(IF(0=LEN(ReferenceData!$AT$400),"",ReferenceData!$AT$400),"")</f>
        <v/>
      </c>
      <c r="AU400" t="str">
        <f ca="1">IFERROR(IF(0=LEN(ReferenceData!$AU$400),"",ReferenceData!$AU$400),"")</f>
        <v/>
      </c>
      <c r="AV400" t="str">
        <f ca="1">IFERROR(IF(0=LEN(ReferenceData!$AV$400),"",ReferenceData!$AV$400),"")</f>
        <v/>
      </c>
      <c r="AW400" t="str">
        <f ca="1">IFERROR(IF(0=LEN(ReferenceData!$AW$400),"",ReferenceData!$AW$400),"")</f>
        <v/>
      </c>
      <c r="AX400" t="str">
        <f ca="1">IFERROR(IF(0=LEN(ReferenceData!$AX$400),"",ReferenceData!$AX$400),"")</f>
        <v/>
      </c>
      <c r="AY400" t="str">
        <f ca="1">IFERROR(IF(0=LEN(ReferenceData!$AY$400),"",ReferenceData!$AY$400),"")</f>
        <v/>
      </c>
      <c r="AZ400" t="str">
        <f ca="1">IFERROR(IF(0=LEN(ReferenceData!$AZ$400),"",ReferenceData!$AZ$400),"")</f>
        <v/>
      </c>
      <c r="BA400" t="str">
        <f ca="1">IFERROR(IF(0=LEN(ReferenceData!$BA$400),"",ReferenceData!$BA$400),"")</f>
        <v/>
      </c>
      <c r="BB400" t="str">
        <f ca="1">IFERROR(IF(0=LEN(ReferenceData!$BB$400),"",ReferenceData!$BB$400),"")</f>
        <v/>
      </c>
      <c r="BC400" t="str">
        <f ca="1">IFERROR(IF(0=LEN(ReferenceData!$BC$400),"",ReferenceData!$BC$400),"")</f>
        <v/>
      </c>
      <c r="BD400" t="str">
        <f ca="1">IFERROR(IF(0=LEN(ReferenceData!$BD$400),"",ReferenceData!$BD$400),"")</f>
        <v/>
      </c>
      <c r="BE400" t="str">
        <f ca="1">IFERROR(IF(0=LEN(ReferenceData!$BE$400),"",ReferenceData!$BE$400),"")</f>
        <v/>
      </c>
      <c r="BF400" t="str">
        <f ca="1">IFERROR(IF(0=LEN(ReferenceData!$BF$400),"",ReferenceData!$BF$400),"")</f>
        <v/>
      </c>
      <c r="BG400" t="str">
        <f ca="1">IFERROR(IF(0=LEN(ReferenceData!$BG$400),"",ReferenceData!$BG$400),"")</f>
        <v/>
      </c>
      <c r="BH400" t="str">
        <f ca="1">IFERROR(IF(0=LEN(ReferenceData!$BH$400),"",ReferenceData!$BH$400),"")</f>
        <v/>
      </c>
      <c r="BI400" t="str">
        <f ca="1">IFERROR(IF(0=LEN(ReferenceData!$BI$400),"",ReferenceData!$BI$400),"")</f>
        <v/>
      </c>
      <c r="BJ400" t="str">
        <f ca="1">IFERROR(IF(0=LEN(ReferenceData!$BJ$400),"",ReferenceData!$BJ$400),"")</f>
        <v/>
      </c>
      <c r="BK400" t="str">
        <f ca="1">IFERROR(IF(0=LEN(ReferenceData!$BK$400),"",ReferenceData!$BK$400),"")</f>
        <v/>
      </c>
      <c r="BL400" t="str">
        <f ca="1">IFERROR(IF(0=LEN(ReferenceData!$BL$400),"",ReferenceData!$BL$400),"")</f>
        <v/>
      </c>
      <c r="BM400" t="str">
        <f ca="1">IFERROR(IF(0=LEN(ReferenceData!$BM$400),"",ReferenceData!$BM$400),"")</f>
        <v/>
      </c>
    </row>
    <row r="401" spans="1:65" x14ac:dyDescent="0.25">
      <c r="A401" t="str">
        <f>IFERROR(IF(0=LEN(ReferenceData!$A$401),"",ReferenceData!$A$401),"")</f>
        <v xml:space="preserve">    SAIC Motor Corp Ltd</v>
      </c>
      <c r="B401" t="str">
        <f>IFERROR(IF(0=LEN(ReferenceData!$B$401),"",ReferenceData!$B$401),"")</f>
        <v>600104 CH Equity</v>
      </c>
      <c r="C401" t="str">
        <f>IFERROR(IF(0=LEN(ReferenceData!$C$401),"",ReferenceData!$C$401),"")</f>
        <v>RR937</v>
      </c>
      <c r="D401" t="str">
        <f>IFERROR(IF(0=LEN(ReferenceData!$D$401),"",ReferenceData!$D$401),"")</f>
        <v>CRNCY_ADJ_CURR_EV</v>
      </c>
      <c r="E401" t="str">
        <f>IFERROR(IF(0=LEN(ReferenceData!$E$401),"",ReferenceData!$E$401),"")</f>
        <v>Dynamic</v>
      </c>
      <c r="F401">
        <f ca="1">IFERROR(IF(0=LEN(ReferenceData!$F$401),"",ReferenceData!$F$401),"")</f>
        <v>62353.169399999999</v>
      </c>
      <c r="G401">
        <f ca="1">IFERROR(IF(0=LEN(ReferenceData!$G$401),"",ReferenceData!$G$401),"")</f>
        <v>57910.852729999999</v>
      </c>
      <c r="H401">
        <f ca="1">IFERROR(IF(0=LEN(ReferenceData!$H$401),"",ReferenceData!$H$401),"")</f>
        <v>69230.336850000007</v>
      </c>
      <c r="I401">
        <f ca="1">IFERROR(IF(0=LEN(ReferenceData!$I$401),"",ReferenceData!$I$401),"")</f>
        <v>67365.487389999995</v>
      </c>
      <c r="J401">
        <f ca="1">IFERROR(IF(0=LEN(ReferenceData!$J$401),"",ReferenceData!$J$401),"")</f>
        <v>79247.382500000007</v>
      </c>
      <c r="K401">
        <f ca="1">IFERROR(IF(0=LEN(ReferenceData!$K$401),"",ReferenceData!$K$401),"")</f>
        <v>73626.613800000006</v>
      </c>
      <c r="L401">
        <f ca="1">IFERROR(IF(0=LEN(ReferenceData!$L$401),"",ReferenceData!$L$401),"")</f>
        <v>63431.894659999998</v>
      </c>
      <c r="M401">
        <f ca="1">IFERROR(IF(0=LEN(ReferenceData!$M$401),"",ReferenceData!$M$401),"")</f>
        <v>51261.581339999997</v>
      </c>
      <c r="N401">
        <f ca="1">IFERROR(IF(0=LEN(ReferenceData!$N$401),"",ReferenceData!$N$401),"")</f>
        <v>53009.996249999997</v>
      </c>
      <c r="O401">
        <f ca="1">IFERROR(IF(0=LEN(ReferenceData!$O$401),"",ReferenceData!$O$401),"")</f>
        <v>46665.193859999999</v>
      </c>
      <c r="P401">
        <f ca="1">IFERROR(IF(0=LEN(ReferenceData!$P$401),"",ReferenceData!$P$401),"")</f>
        <v>45145.650309999997</v>
      </c>
      <c r="Q401">
        <f ca="1">IFERROR(IF(0=LEN(ReferenceData!$Q$401),"",ReferenceData!$Q$401),"")</f>
        <v>42976.236989999998</v>
      </c>
      <c r="R401">
        <f ca="1">IFERROR(IF(0=LEN(ReferenceData!$R$401),"",ReferenceData!$R$401),"")</f>
        <v>42548.808989999998</v>
      </c>
      <c r="S401">
        <f ca="1">IFERROR(IF(0=LEN(ReferenceData!$S$401),"",ReferenceData!$S$401),"")</f>
        <v>46398.293310000001</v>
      </c>
      <c r="T401">
        <f ca="1">IFERROR(IF(0=LEN(ReferenceData!$T$401),"",ReferenceData!$T$401),"")</f>
        <v>38181.200779999999</v>
      </c>
      <c r="U401">
        <f ca="1">IFERROR(IF(0=LEN(ReferenceData!$U$401),"",ReferenceData!$U$401),"")</f>
        <v>48703.776330000001</v>
      </c>
      <c r="V401">
        <f ca="1">IFERROR(IF(0=LEN(ReferenceData!$V$401),"",ReferenceData!$V$401),"")</f>
        <v>54902.88379</v>
      </c>
      <c r="W401">
        <f ca="1">IFERROR(IF(0=LEN(ReferenceData!$W$401),"",ReferenceData!$W$401),"")</f>
        <v>39098.511380000004</v>
      </c>
      <c r="X401">
        <f ca="1">IFERROR(IF(0=LEN(ReferenceData!$X$401),"",ReferenceData!$X$401),"")</f>
        <v>32045.178879999999</v>
      </c>
      <c r="Y401">
        <f ca="1">IFERROR(IF(0=LEN(ReferenceData!$Y$401),"",ReferenceData!$Y$401),"")</f>
        <v>24713.511060000001</v>
      </c>
      <c r="Z401">
        <f ca="1">IFERROR(IF(0=LEN(ReferenceData!$Z$401),"",ReferenceData!$Z$401),"")</f>
        <v>26858.216779999999</v>
      </c>
      <c r="AA401">
        <f ca="1">IFERROR(IF(0=LEN(ReferenceData!$AA$401),"",ReferenceData!$AA$401),"")</f>
        <v>25882.684580000001</v>
      </c>
      <c r="AB401">
        <f ca="1">IFERROR(IF(0=LEN(ReferenceData!$AB$401),"",ReferenceData!$AB$401),"")</f>
        <v>26133.876749999999</v>
      </c>
      <c r="AC401">
        <f ca="1">IFERROR(IF(0=LEN(ReferenceData!$AC$401),"",ReferenceData!$AC$401),"")</f>
        <v>20447.899219999999</v>
      </c>
      <c r="AD401">
        <f ca="1">IFERROR(IF(0=LEN(ReferenceData!$AD$401),"",ReferenceData!$AD$401),"")</f>
        <v>30202.4817</v>
      </c>
      <c r="AE401">
        <f ca="1">IFERROR(IF(0=LEN(ReferenceData!$AE$401),"",ReferenceData!$AE$401),"")</f>
        <v>32007.054339999999</v>
      </c>
      <c r="AF401">
        <f ca="1">IFERROR(IF(0=LEN(ReferenceData!$AF$401),"",ReferenceData!$AF$401),"")</f>
        <v>22774.77895</v>
      </c>
      <c r="AG401">
        <f ca="1">IFERROR(IF(0=LEN(ReferenceData!$AG$401),"",ReferenceData!$AG$401),"")</f>
        <v>22832.951939999999</v>
      </c>
      <c r="AH401">
        <f ca="1">IFERROR(IF(0=LEN(ReferenceData!$AH$401),"",ReferenceData!$AH$401),"")</f>
        <v>25111.17771</v>
      </c>
      <c r="AI401">
        <f ca="1">IFERROR(IF(0=LEN(ReferenceData!$AI$401),"",ReferenceData!$AI$401),"")</f>
        <v>25673.079129999998</v>
      </c>
      <c r="AJ401">
        <f ca="1">IFERROR(IF(0=LEN(ReferenceData!$AJ$401),"",ReferenceData!$AJ$401),"")</f>
        <v>23381.582020000002</v>
      </c>
      <c r="AK401">
        <f ca="1">IFERROR(IF(0=LEN(ReferenceData!$AK$401),"",ReferenceData!$AK$401),"")</f>
        <v>26331.03903</v>
      </c>
      <c r="AL401">
        <f ca="1">IFERROR(IF(0=LEN(ReferenceData!$AL$401),"",ReferenceData!$AL$401),"")</f>
        <v>24799.650559999998</v>
      </c>
      <c r="AM401">
        <f ca="1">IFERROR(IF(0=LEN(ReferenceData!$AM$401),"",ReferenceData!$AM$401),"")</f>
        <v>19773.159299999999</v>
      </c>
      <c r="AN401">
        <f ca="1">IFERROR(IF(0=LEN(ReferenceData!$AN$401),"",ReferenceData!$AN$401),"")</f>
        <v>23262.577410000002</v>
      </c>
      <c r="AO401">
        <f ca="1">IFERROR(IF(0=LEN(ReferenceData!$AO$401),"",ReferenceData!$AO$401),"")</f>
        <v>17527.71429</v>
      </c>
      <c r="AP401">
        <f ca="1">IFERROR(IF(0=LEN(ReferenceData!$AP$401),"",ReferenceData!$AP$401),"")</f>
        <v>20117.017800000001</v>
      </c>
      <c r="AQ401">
        <f ca="1">IFERROR(IF(0=LEN(ReferenceData!$AQ$401),"",ReferenceData!$AQ$401),"")</f>
        <v>28249.932830000002</v>
      </c>
      <c r="AR401">
        <f ca="1">IFERROR(IF(0=LEN(ReferenceData!$AR$401),"",ReferenceData!$AR$401),"")</f>
        <v>20431.041249999998</v>
      </c>
      <c r="AS401">
        <f ca="1">IFERROR(IF(0=LEN(ReferenceData!$AS$401),"",ReferenceData!$AS$401),"")</f>
        <v>16694.419269999999</v>
      </c>
      <c r="AT401">
        <f ca="1">IFERROR(IF(0=LEN(ReferenceData!$AT$401),"",ReferenceData!$AT$401),"")</f>
        <v>10501.652690000001</v>
      </c>
      <c r="AU401">
        <f ca="1">IFERROR(IF(0=LEN(ReferenceData!$AU$401),"",ReferenceData!$AU$401),"")</f>
        <v>4518.2367450000002</v>
      </c>
      <c r="AV401">
        <f ca="1">IFERROR(IF(0=LEN(ReferenceData!$AV$401),"",ReferenceData!$AV$401),"")</f>
        <v>7182.9551760000004</v>
      </c>
      <c r="AW401">
        <f ca="1">IFERROR(IF(0=LEN(ReferenceData!$AW$401),"",ReferenceData!$AW$401),"")</f>
        <v>7916.2359230000002</v>
      </c>
      <c r="AX401">
        <f ca="1">IFERROR(IF(0=LEN(ReferenceData!$AX$401),"",ReferenceData!$AX$401),"")</f>
        <v>11325.35961</v>
      </c>
      <c r="AY401">
        <f ca="1">IFERROR(IF(0=LEN(ReferenceData!$AY$401),"",ReferenceData!$AY$401),"")</f>
        <v>24113.364079999999</v>
      </c>
      <c r="AZ401">
        <f ca="1">IFERROR(IF(0=LEN(ReferenceData!$AZ$401),"",ReferenceData!$AZ$401),"")</f>
        <v>25044.337589999999</v>
      </c>
      <c r="BA401">
        <f ca="1">IFERROR(IF(0=LEN(ReferenceData!$BA$401),"",ReferenceData!$BA$401),"")</f>
        <v>14324.476559999999</v>
      </c>
      <c r="BB401">
        <f ca="1">IFERROR(IF(0=LEN(ReferenceData!$BB$401),"",ReferenceData!$BB$401),"")</f>
        <v>10411.240809999999</v>
      </c>
      <c r="BC401">
        <f ca="1">IFERROR(IF(0=LEN(ReferenceData!$BC$401),"",ReferenceData!$BC$401),"")</f>
        <v>3295.2440360000001</v>
      </c>
      <c r="BD401">
        <f ca="1">IFERROR(IF(0=LEN(ReferenceData!$BD$401),"",ReferenceData!$BD$401),"")</f>
        <v>1956.935864</v>
      </c>
      <c r="BE401">
        <f ca="1">IFERROR(IF(0=LEN(ReferenceData!$BE$401),"",ReferenceData!$BE$401),"")</f>
        <v>2155.6874299999999</v>
      </c>
      <c r="BF401">
        <f ca="1">IFERROR(IF(0=LEN(ReferenceData!$BF$401),"",ReferenceData!$BF$401),"")</f>
        <v>1187.328332</v>
      </c>
      <c r="BG401">
        <f ca="1">IFERROR(IF(0=LEN(ReferenceData!$BG$401),"",ReferenceData!$BG$401),"")</f>
        <v>1137.1716980000001</v>
      </c>
      <c r="BH401">
        <f ca="1">IFERROR(IF(0=LEN(ReferenceData!$BH$401),"",ReferenceData!$BH$401),"")</f>
        <v>1886.2054889999999</v>
      </c>
      <c r="BI401">
        <f ca="1">IFERROR(IF(0=LEN(ReferenceData!$BI$401),"",ReferenceData!$BI$401),"")</f>
        <v>1559.281287</v>
      </c>
      <c r="BJ401">
        <f ca="1">IFERROR(IF(0=LEN(ReferenceData!$BJ$401),"",ReferenceData!$BJ$401),"")</f>
        <v>1503.410042</v>
      </c>
      <c r="BK401">
        <f ca="1">IFERROR(IF(0=LEN(ReferenceData!$BK$401),"",ReferenceData!$BK$401),"")</f>
        <v>1687.0426339999999</v>
      </c>
      <c r="BL401">
        <f ca="1">IFERROR(IF(0=LEN(ReferenceData!$BL$401),"",ReferenceData!$BL$401),"")</f>
        <v>2924.5190980000002</v>
      </c>
      <c r="BM401">
        <f ca="1">IFERROR(IF(0=LEN(ReferenceData!$BM$401),"",ReferenceData!$BM$401),"")</f>
        <v>3142.4294949999999</v>
      </c>
    </row>
    <row r="402" spans="1:65" x14ac:dyDescent="0.25">
      <c r="A402" t="str">
        <f>IFERROR(IF(0=LEN(ReferenceData!$A$402),"",ReferenceData!$A$402),"")</f>
        <v xml:space="preserve">    Sanyang Motor Co Ltd</v>
      </c>
      <c r="B402" t="str">
        <f>IFERROR(IF(0=LEN(ReferenceData!$B$402),"",ReferenceData!$B$402),"")</f>
        <v>2206 TT Equity</v>
      </c>
      <c r="C402" t="str">
        <f>IFERROR(IF(0=LEN(ReferenceData!$C$402),"",ReferenceData!$C$402),"")</f>
        <v>RR937</v>
      </c>
      <c r="D402" t="str">
        <f>IFERROR(IF(0=LEN(ReferenceData!$D$402),"",ReferenceData!$D$402),"")</f>
        <v>CRNCY_ADJ_CURR_EV</v>
      </c>
      <c r="E402" t="str">
        <f>IFERROR(IF(0=LEN(ReferenceData!$E$402),"",ReferenceData!$E$402),"")</f>
        <v>Dynamic</v>
      </c>
      <c r="F402">
        <f ca="1">IFERROR(IF(0=LEN(ReferenceData!$F$402),"",ReferenceData!$F$402),"")</f>
        <v>898.10548470000003</v>
      </c>
      <c r="G402">
        <f ca="1">IFERROR(IF(0=LEN(ReferenceData!$G$402),"",ReferenceData!$G$402),"")</f>
        <v>902.35408399999994</v>
      </c>
      <c r="H402">
        <f ca="1">IFERROR(IF(0=LEN(ReferenceData!$H$402),"",ReferenceData!$H$402),"")</f>
        <v>918.01193639999997</v>
      </c>
      <c r="I402">
        <f ca="1">IFERROR(IF(0=LEN(ReferenceData!$I$402),"",ReferenceData!$I$402),"")</f>
        <v>1007.342099</v>
      </c>
      <c r="J402">
        <f ca="1">IFERROR(IF(0=LEN(ReferenceData!$J$402),"",ReferenceData!$J$402),"")</f>
        <v>1068.749599</v>
      </c>
      <c r="K402">
        <f ca="1">IFERROR(IF(0=LEN(ReferenceData!$K$402),"",ReferenceData!$K$402),"")</f>
        <v>833.56697310000004</v>
      </c>
      <c r="L402">
        <f ca="1">IFERROR(IF(0=LEN(ReferenceData!$L$402),"",ReferenceData!$L$402),"")</f>
        <v>1009.194191</v>
      </c>
      <c r="M402">
        <f ca="1">IFERROR(IF(0=LEN(ReferenceData!$M$402),"",ReferenceData!$M$402),"")</f>
        <v>1022.028546</v>
      </c>
      <c r="N402">
        <f ca="1">IFERROR(IF(0=LEN(ReferenceData!$N$402),"",ReferenceData!$N$402),"")</f>
        <v>971.63674490000005</v>
      </c>
      <c r="O402">
        <f ca="1">IFERROR(IF(0=LEN(ReferenceData!$O$402),"",ReferenceData!$O$402),"")</f>
        <v>758.12748329999999</v>
      </c>
      <c r="P402">
        <f ca="1">IFERROR(IF(0=LEN(ReferenceData!$P$402),"",ReferenceData!$P$402),"")</f>
        <v>977.15954069999998</v>
      </c>
      <c r="Q402">
        <f ca="1">IFERROR(IF(0=LEN(ReferenceData!$Q$402),"",ReferenceData!$Q$402),"")</f>
        <v>906.57013770000003</v>
      </c>
      <c r="R402">
        <f ca="1">IFERROR(IF(0=LEN(ReferenceData!$R$402),"",ReferenceData!$R$402),"")</f>
        <v>990.65055319999999</v>
      </c>
      <c r="S402">
        <f ca="1">IFERROR(IF(0=LEN(ReferenceData!$S$402),"",ReferenceData!$S$402),"")</f>
        <v>981.01052879999997</v>
      </c>
      <c r="T402">
        <f ca="1">IFERROR(IF(0=LEN(ReferenceData!$T$402),"",ReferenceData!$T$402),"")</f>
        <v>1076.2794739999999</v>
      </c>
      <c r="U402">
        <f ca="1">IFERROR(IF(0=LEN(ReferenceData!$U$402),"",ReferenceData!$U$402),"")</f>
        <v>1030.2150509999999</v>
      </c>
      <c r="V402">
        <f ca="1">IFERROR(IF(0=LEN(ReferenceData!$V$402),"",ReferenceData!$V$402),"")</f>
        <v>1185.23876</v>
      </c>
      <c r="W402">
        <f ca="1">IFERROR(IF(0=LEN(ReferenceData!$W$402),"",ReferenceData!$W$402),"")</f>
        <v>1183.2492669999999</v>
      </c>
      <c r="X402">
        <f ca="1">IFERROR(IF(0=LEN(ReferenceData!$X$402),"",ReferenceData!$X$402),"")</f>
        <v>1111.613636</v>
      </c>
      <c r="Y402">
        <f ca="1">IFERROR(IF(0=LEN(ReferenceData!$Y$402),"",ReferenceData!$Y$402),"")</f>
        <v>1236.14924</v>
      </c>
      <c r="Z402">
        <f ca="1">IFERROR(IF(0=LEN(ReferenceData!$Z$402),"",ReferenceData!$Z$402),"")</f>
        <v>1798.1613219999999</v>
      </c>
      <c r="AA402">
        <f ca="1">IFERROR(IF(0=LEN(ReferenceData!$AA$402),"",ReferenceData!$AA$402),"")</f>
        <v>1867.2141799999999</v>
      </c>
      <c r="AB402">
        <f ca="1">IFERROR(IF(0=LEN(ReferenceData!$AB$402),"",ReferenceData!$AB$402),"")</f>
        <v>1545.328199</v>
      </c>
      <c r="AC402">
        <f ca="1">IFERROR(IF(0=LEN(ReferenceData!$AC$402),"",ReferenceData!$AC$402),"")</f>
        <v>1042.9466010000001</v>
      </c>
      <c r="AD402">
        <f ca="1">IFERROR(IF(0=LEN(ReferenceData!$AD$402),"",ReferenceData!$AD$402),"")</f>
        <v>983.33868619999998</v>
      </c>
      <c r="AE402">
        <f ca="1">IFERROR(IF(0=LEN(ReferenceData!$AE$402),"",ReferenceData!$AE$402),"")</f>
        <v>763.24744020000003</v>
      </c>
      <c r="AF402">
        <f ca="1">IFERROR(IF(0=LEN(ReferenceData!$AF$402),"",ReferenceData!$AF$402),"")</f>
        <v>856.19810810000001</v>
      </c>
      <c r="AG402">
        <f ca="1">IFERROR(IF(0=LEN(ReferenceData!$AG$402),"",ReferenceData!$AG$402),"")</f>
        <v>824.52404869999998</v>
      </c>
      <c r="AH402">
        <f ca="1">IFERROR(IF(0=LEN(ReferenceData!$AH$402),"",ReferenceData!$AH$402),"")</f>
        <v>823.0942569</v>
      </c>
      <c r="AI402">
        <f ca="1">IFERROR(IF(0=LEN(ReferenceData!$AI$402),"",ReferenceData!$AI$402),"")</f>
        <v>692.34514879999995</v>
      </c>
      <c r="AJ402">
        <f ca="1">IFERROR(IF(0=LEN(ReferenceData!$AJ$402),"",ReferenceData!$AJ$402),"")</f>
        <v>700.25949720000006</v>
      </c>
      <c r="AK402">
        <f ca="1">IFERROR(IF(0=LEN(ReferenceData!$AK$402),"",ReferenceData!$AK$402),"")</f>
        <v>729.55952000000002</v>
      </c>
      <c r="AL402">
        <f ca="1">IFERROR(IF(0=LEN(ReferenceData!$AL$402),"",ReferenceData!$AL$402),"")</f>
        <v>695.73538670000005</v>
      </c>
      <c r="AM402">
        <f ca="1">IFERROR(IF(0=LEN(ReferenceData!$AM$402),"",ReferenceData!$AM$402),"")</f>
        <v>732.34496149999995</v>
      </c>
      <c r="AN402">
        <f ca="1">IFERROR(IF(0=LEN(ReferenceData!$AN$402),"",ReferenceData!$AN$402),"")</f>
        <v>622.68307010000001</v>
      </c>
      <c r="AO402">
        <f ca="1">IFERROR(IF(0=LEN(ReferenceData!$AO$402),"",ReferenceData!$AO$402),"")</f>
        <v>543.79738750000001</v>
      </c>
      <c r="AP402">
        <f ca="1">IFERROR(IF(0=LEN(ReferenceData!$AP$402),"",ReferenceData!$AP$402),"")</f>
        <v>506.5828803</v>
      </c>
      <c r="AQ402">
        <f ca="1">IFERROR(IF(0=LEN(ReferenceData!$AQ$402),"",ReferenceData!$AQ$402),"")</f>
        <v>563.37849449999999</v>
      </c>
      <c r="AR402">
        <f ca="1">IFERROR(IF(0=LEN(ReferenceData!$AR$402),"",ReferenceData!$AR$402),"")</f>
        <v>532.57527719999996</v>
      </c>
      <c r="AS402">
        <f ca="1">IFERROR(IF(0=LEN(ReferenceData!$AS$402),"",ReferenceData!$AS$402),"")</f>
        <v>631.57626270000003</v>
      </c>
      <c r="AT402">
        <f ca="1">IFERROR(IF(0=LEN(ReferenceData!$AT$402),"",ReferenceData!$AT$402),"")</f>
        <v>373.98625800000002</v>
      </c>
      <c r="AU402">
        <f ca="1">IFERROR(IF(0=LEN(ReferenceData!$AU$402),"",ReferenceData!$AU$402),"")</f>
        <v>405.57093509999999</v>
      </c>
      <c r="AV402">
        <f ca="1">IFERROR(IF(0=LEN(ReferenceData!$AV$402),"",ReferenceData!$AV$402),"")</f>
        <v>538.35666209999999</v>
      </c>
      <c r="AW402">
        <f ca="1">IFERROR(IF(0=LEN(ReferenceData!$AW$402),"",ReferenceData!$AW$402),"")</f>
        <v>663.2939374</v>
      </c>
      <c r="AX402">
        <f ca="1">IFERROR(IF(0=LEN(ReferenceData!$AX$402),"",ReferenceData!$AX$402),"")</f>
        <v>840.58269870000004</v>
      </c>
      <c r="AY402" t="str">
        <f ca="1">IFERROR(IF(0=LEN(ReferenceData!$AY$402),"",ReferenceData!$AY$402),"")</f>
        <v/>
      </c>
      <c r="AZ402" t="str">
        <f ca="1">IFERROR(IF(0=LEN(ReferenceData!$AZ$402),"",ReferenceData!$AZ$402),"")</f>
        <v/>
      </c>
      <c r="BA402" t="str">
        <f ca="1">IFERROR(IF(0=LEN(ReferenceData!$BA$402),"",ReferenceData!$BA$402),"")</f>
        <v/>
      </c>
      <c r="BB402" t="str">
        <f ca="1">IFERROR(IF(0=LEN(ReferenceData!$BB$402),"",ReferenceData!$BB$402),"")</f>
        <v/>
      </c>
      <c r="BC402" t="str">
        <f ca="1">IFERROR(IF(0=LEN(ReferenceData!$BC$402),"",ReferenceData!$BC$402),"")</f>
        <v/>
      </c>
      <c r="BD402" t="str">
        <f ca="1">IFERROR(IF(0=LEN(ReferenceData!$BD$402),"",ReferenceData!$BD$402),"")</f>
        <v/>
      </c>
      <c r="BE402" t="str">
        <f ca="1">IFERROR(IF(0=LEN(ReferenceData!$BE$402),"",ReferenceData!$BE$402),"")</f>
        <v/>
      </c>
      <c r="BF402" t="str">
        <f ca="1">IFERROR(IF(0=LEN(ReferenceData!$BF$402),"",ReferenceData!$BF$402),"")</f>
        <v/>
      </c>
      <c r="BG402" t="str">
        <f ca="1">IFERROR(IF(0=LEN(ReferenceData!$BG$402),"",ReferenceData!$BG$402),"")</f>
        <v/>
      </c>
      <c r="BH402" t="str">
        <f ca="1">IFERROR(IF(0=LEN(ReferenceData!$BH$402),"",ReferenceData!$BH$402),"")</f>
        <v/>
      </c>
      <c r="BI402" t="str">
        <f ca="1">IFERROR(IF(0=LEN(ReferenceData!$BI$402),"",ReferenceData!$BI$402),"")</f>
        <v/>
      </c>
      <c r="BJ402" t="str">
        <f ca="1">IFERROR(IF(0=LEN(ReferenceData!$BJ$402),"",ReferenceData!$BJ$402),"")</f>
        <v/>
      </c>
      <c r="BK402" t="str">
        <f ca="1">IFERROR(IF(0=LEN(ReferenceData!$BK$402),"",ReferenceData!$BK$402),"")</f>
        <v/>
      </c>
      <c r="BL402" t="str">
        <f ca="1">IFERROR(IF(0=LEN(ReferenceData!$BL$402),"",ReferenceData!$BL$402),"")</f>
        <v/>
      </c>
      <c r="BM402" t="str">
        <f ca="1">IFERROR(IF(0=LEN(ReferenceData!$BM$402),"",ReferenceData!$BM$402),"")</f>
        <v/>
      </c>
    </row>
    <row r="403" spans="1:65" x14ac:dyDescent="0.25">
      <c r="A403" t="str">
        <f>IFERROR(IF(0=LEN(ReferenceData!$A$403),"",ReferenceData!$A$403),"")</f>
        <v xml:space="preserve">    Sollers PJSC</v>
      </c>
      <c r="B403" t="str">
        <f>IFERROR(IF(0=LEN(ReferenceData!$B$403),"",ReferenceData!$B$403),"")</f>
        <v>SVAV RM Equity</v>
      </c>
      <c r="C403" t="str">
        <f>IFERROR(IF(0=LEN(ReferenceData!$C$403),"",ReferenceData!$C$403),"")</f>
        <v>RR937</v>
      </c>
      <c r="D403" t="str">
        <f>IFERROR(IF(0=LEN(ReferenceData!$D$403),"",ReferenceData!$D$403),"")</f>
        <v>CRNCY_ADJ_CURR_EV</v>
      </c>
      <c r="E403" t="str">
        <f>IFERROR(IF(0=LEN(ReferenceData!$E$403),"",ReferenceData!$E$403),"")</f>
        <v>Dynamic</v>
      </c>
      <c r="F403" t="str">
        <f ca="1">IFERROR(IF(0=LEN(ReferenceData!$F$403),"",ReferenceData!$F$403),"")</f>
        <v/>
      </c>
      <c r="G403" t="str">
        <f ca="1">IFERROR(IF(0=LEN(ReferenceData!$G$403),"",ReferenceData!$G$403),"")</f>
        <v/>
      </c>
      <c r="H403" t="str">
        <f ca="1">IFERROR(IF(0=LEN(ReferenceData!$H$403),"",ReferenceData!$H$403),"")</f>
        <v/>
      </c>
      <c r="I403" t="str">
        <f ca="1">IFERROR(IF(0=LEN(ReferenceData!$I$403),"",ReferenceData!$I$403),"")</f>
        <v/>
      </c>
      <c r="J403" t="str">
        <f ca="1">IFERROR(IF(0=LEN(ReferenceData!$J$403),"",ReferenceData!$J$403),"")</f>
        <v/>
      </c>
      <c r="K403" t="str">
        <f ca="1">IFERROR(IF(0=LEN(ReferenceData!$K$403),"",ReferenceData!$K$403),"")</f>
        <v/>
      </c>
      <c r="L403" t="str">
        <f ca="1">IFERROR(IF(0=LEN(ReferenceData!$L$403),"",ReferenceData!$L$403),"")</f>
        <v/>
      </c>
      <c r="M403" t="str">
        <f ca="1">IFERROR(IF(0=LEN(ReferenceData!$M$403),"",ReferenceData!$M$403),"")</f>
        <v/>
      </c>
      <c r="N403" t="str">
        <f ca="1">IFERROR(IF(0=LEN(ReferenceData!$N$403),"",ReferenceData!$N$403),"")</f>
        <v/>
      </c>
      <c r="O403" t="str">
        <f ca="1">IFERROR(IF(0=LEN(ReferenceData!$O$403),"",ReferenceData!$O$403),"")</f>
        <v/>
      </c>
      <c r="P403" t="str">
        <f ca="1">IFERROR(IF(0=LEN(ReferenceData!$P$403),"",ReferenceData!$P$403),"")</f>
        <v/>
      </c>
      <c r="Q403" t="str">
        <f ca="1">IFERROR(IF(0=LEN(ReferenceData!$Q$403),"",ReferenceData!$Q$403),"")</f>
        <v/>
      </c>
      <c r="R403" t="str">
        <f ca="1">IFERROR(IF(0=LEN(ReferenceData!$R$403),"",ReferenceData!$R$403),"")</f>
        <v/>
      </c>
      <c r="S403" t="str">
        <f ca="1">IFERROR(IF(0=LEN(ReferenceData!$S$403),"",ReferenceData!$S$403),"")</f>
        <v/>
      </c>
      <c r="T403" t="str">
        <f ca="1">IFERROR(IF(0=LEN(ReferenceData!$T$403),"",ReferenceData!$T$403),"")</f>
        <v/>
      </c>
      <c r="U403" t="str">
        <f ca="1">IFERROR(IF(0=LEN(ReferenceData!$U$403),"",ReferenceData!$U$403),"")</f>
        <v/>
      </c>
      <c r="V403" t="str">
        <f ca="1">IFERROR(IF(0=LEN(ReferenceData!$V$403),"",ReferenceData!$V$403),"")</f>
        <v/>
      </c>
      <c r="W403" t="str">
        <f ca="1">IFERROR(IF(0=LEN(ReferenceData!$W$403),"",ReferenceData!$W$403),"")</f>
        <v/>
      </c>
      <c r="X403" t="str">
        <f ca="1">IFERROR(IF(0=LEN(ReferenceData!$X$403),"",ReferenceData!$X$403),"")</f>
        <v/>
      </c>
      <c r="Y403" t="str">
        <f ca="1">IFERROR(IF(0=LEN(ReferenceData!$Y$403),"",ReferenceData!$Y$403),"")</f>
        <v/>
      </c>
      <c r="Z403" t="str">
        <f ca="1">IFERROR(IF(0=LEN(ReferenceData!$Z$403),"",ReferenceData!$Z$403),"")</f>
        <v/>
      </c>
      <c r="AA403" t="str">
        <f ca="1">IFERROR(IF(0=LEN(ReferenceData!$AA$403),"",ReferenceData!$AA$403),"")</f>
        <v/>
      </c>
      <c r="AB403" t="str">
        <f ca="1">IFERROR(IF(0=LEN(ReferenceData!$AB$403),"",ReferenceData!$AB$403),"")</f>
        <v/>
      </c>
      <c r="AC403" t="str">
        <f ca="1">IFERROR(IF(0=LEN(ReferenceData!$AC$403),"",ReferenceData!$AC$403),"")</f>
        <v/>
      </c>
      <c r="AD403" t="str">
        <f ca="1">IFERROR(IF(0=LEN(ReferenceData!$AD$403),"",ReferenceData!$AD$403),"")</f>
        <v/>
      </c>
      <c r="AE403" t="str">
        <f ca="1">IFERROR(IF(0=LEN(ReferenceData!$AE$403),"",ReferenceData!$AE$403),"")</f>
        <v/>
      </c>
      <c r="AF403" t="str">
        <f ca="1">IFERROR(IF(0=LEN(ReferenceData!$AF$403),"",ReferenceData!$AF$403),"")</f>
        <v/>
      </c>
      <c r="AG403" t="str">
        <f ca="1">IFERROR(IF(0=LEN(ReferenceData!$AG$403),"",ReferenceData!$AG$403),"")</f>
        <v/>
      </c>
      <c r="AH403" t="str">
        <f ca="1">IFERROR(IF(0=LEN(ReferenceData!$AH$403),"",ReferenceData!$AH$403),"")</f>
        <v/>
      </c>
      <c r="AI403" t="str">
        <f ca="1">IFERROR(IF(0=LEN(ReferenceData!$AI$403),"",ReferenceData!$AI$403),"")</f>
        <v/>
      </c>
      <c r="AJ403" t="str">
        <f ca="1">IFERROR(IF(0=LEN(ReferenceData!$AJ$403),"",ReferenceData!$AJ$403),"")</f>
        <v/>
      </c>
      <c r="AK403" t="str">
        <f ca="1">IFERROR(IF(0=LEN(ReferenceData!$AK$403),"",ReferenceData!$AK$403),"")</f>
        <v/>
      </c>
      <c r="AL403" t="str">
        <f ca="1">IFERROR(IF(0=LEN(ReferenceData!$AL$403),"",ReferenceData!$AL$403),"")</f>
        <v/>
      </c>
      <c r="AM403" t="str">
        <f ca="1">IFERROR(IF(0=LEN(ReferenceData!$AM$403),"",ReferenceData!$AM$403),"")</f>
        <v/>
      </c>
      <c r="AN403" t="str">
        <f ca="1">IFERROR(IF(0=LEN(ReferenceData!$AN$403),"",ReferenceData!$AN$403),"")</f>
        <v/>
      </c>
      <c r="AO403" t="str">
        <f ca="1">IFERROR(IF(0=LEN(ReferenceData!$AO$403),"",ReferenceData!$AO$403),"")</f>
        <v/>
      </c>
      <c r="AP403" t="str">
        <f ca="1">IFERROR(IF(0=LEN(ReferenceData!$AP$403),"",ReferenceData!$AP$403),"")</f>
        <v/>
      </c>
      <c r="AQ403" t="str">
        <f ca="1">IFERROR(IF(0=LEN(ReferenceData!$AQ$403),"",ReferenceData!$AQ$403),"")</f>
        <v/>
      </c>
      <c r="AR403" t="str">
        <f ca="1">IFERROR(IF(0=LEN(ReferenceData!$AR$403),"",ReferenceData!$AR$403),"")</f>
        <v/>
      </c>
      <c r="AS403" t="str">
        <f ca="1">IFERROR(IF(0=LEN(ReferenceData!$AS$403),"",ReferenceData!$AS$403),"")</f>
        <v/>
      </c>
      <c r="AT403" t="str">
        <f ca="1">IFERROR(IF(0=LEN(ReferenceData!$AT$403),"",ReferenceData!$AT$403),"")</f>
        <v/>
      </c>
      <c r="AU403" t="str">
        <f ca="1">IFERROR(IF(0=LEN(ReferenceData!$AU$403),"",ReferenceData!$AU$403),"")</f>
        <v/>
      </c>
      <c r="AV403" t="str">
        <f ca="1">IFERROR(IF(0=LEN(ReferenceData!$AV$403),"",ReferenceData!$AV$403),"")</f>
        <v/>
      </c>
      <c r="AW403" t="str">
        <f ca="1">IFERROR(IF(0=LEN(ReferenceData!$AW$403),"",ReferenceData!$AW$403),"")</f>
        <v/>
      </c>
      <c r="AX403" t="str">
        <f ca="1">IFERROR(IF(0=LEN(ReferenceData!$AX$403),"",ReferenceData!$AX$403),"")</f>
        <v/>
      </c>
      <c r="AY403" t="str">
        <f ca="1">IFERROR(IF(0=LEN(ReferenceData!$AY$403),"",ReferenceData!$AY$403),"")</f>
        <v/>
      </c>
      <c r="AZ403" t="str">
        <f ca="1">IFERROR(IF(0=LEN(ReferenceData!$AZ$403),"",ReferenceData!$AZ$403),"")</f>
        <v/>
      </c>
      <c r="BA403" t="str">
        <f ca="1">IFERROR(IF(0=LEN(ReferenceData!$BA$403),"",ReferenceData!$BA$403),"")</f>
        <v/>
      </c>
      <c r="BB403" t="str">
        <f ca="1">IFERROR(IF(0=LEN(ReferenceData!$BB$403),"",ReferenceData!$BB$403),"")</f>
        <v/>
      </c>
      <c r="BC403" t="str">
        <f ca="1">IFERROR(IF(0=LEN(ReferenceData!$BC$403),"",ReferenceData!$BC$403),"")</f>
        <v/>
      </c>
      <c r="BD403" t="str">
        <f ca="1">IFERROR(IF(0=LEN(ReferenceData!$BD$403),"",ReferenceData!$BD$403),"")</f>
        <v/>
      </c>
      <c r="BE403" t="str">
        <f ca="1">IFERROR(IF(0=LEN(ReferenceData!$BE$403),"",ReferenceData!$BE$403),"")</f>
        <v/>
      </c>
      <c r="BF403" t="str">
        <f ca="1">IFERROR(IF(0=LEN(ReferenceData!$BF$403),"",ReferenceData!$BF$403),"")</f>
        <v/>
      </c>
      <c r="BG403" t="str">
        <f ca="1">IFERROR(IF(0=LEN(ReferenceData!$BG$403),"",ReferenceData!$BG$403),"")</f>
        <v/>
      </c>
      <c r="BH403" t="str">
        <f ca="1">IFERROR(IF(0=LEN(ReferenceData!$BH$403),"",ReferenceData!$BH$403),"")</f>
        <v/>
      </c>
      <c r="BI403" t="str">
        <f ca="1">IFERROR(IF(0=LEN(ReferenceData!$BI$403),"",ReferenceData!$BI$403),"")</f>
        <v/>
      </c>
      <c r="BJ403" t="str">
        <f ca="1">IFERROR(IF(0=LEN(ReferenceData!$BJ$403),"",ReferenceData!$BJ$403),"")</f>
        <v/>
      </c>
      <c r="BK403" t="str">
        <f ca="1">IFERROR(IF(0=LEN(ReferenceData!$BK$403),"",ReferenceData!$BK$403),"")</f>
        <v/>
      </c>
      <c r="BL403" t="str">
        <f ca="1">IFERROR(IF(0=LEN(ReferenceData!$BL$403),"",ReferenceData!$BL$403),"")</f>
        <v/>
      </c>
      <c r="BM403" t="str">
        <f ca="1">IFERROR(IF(0=LEN(ReferenceData!$BM$403),"",ReferenceData!$BM$403),"")</f>
        <v/>
      </c>
    </row>
    <row r="404" spans="1:65" x14ac:dyDescent="0.25">
      <c r="A404" t="str">
        <f>IFERROR(IF(0=LEN(ReferenceData!$A$404),"",ReferenceData!$A$404),"")</f>
        <v xml:space="preserve">    Ssangyong Motor Co</v>
      </c>
      <c r="B404" t="str">
        <f>IFERROR(IF(0=LEN(ReferenceData!$B$404),"",ReferenceData!$B$404),"")</f>
        <v>003620 KS Equity</v>
      </c>
      <c r="C404" t="str">
        <f>IFERROR(IF(0=LEN(ReferenceData!$C$404),"",ReferenceData!$C$404),"")</f>
        <v>RR937</v>
      </c>
      <c r="D404" t="str">
        <f>IFERROR(IF(0=LEN(ReferenceData!$D$404),"",ReferenceData!$D$404),"")</f>
        <v>CRNCY_ADJ_CURR_EV</v>
      </c>
      <c r="E404" t="str">
        <f>IFERROR(IF(0=LEN(ReferenceData!$E$404),"",ReferenceData!$E$404),"")</f>
        <v>Dynamic</v>
      </c>
      <c r="F404" t="str">
        <f ca="1">IFERROR(IF(0=LEN(ReferenceData!$F$404),"",ReferenceData!$F$404),"")</f>
        <v/>
      </c>
      <c r="G404">
        <f ca="1">IFERROR(IF(0=LEN(ReferenceData!$G$404),"",ReferenceData!$G$404),"")</f>
        <v>535.40530290000004</v>
      </c>
      <c r="H404">
        <f ca="1">IFERROR(IF(0=LEN(ReferenceData!$H$404),"",ReferenceData!$H$404),"")</f>
        <v>618.62510429999998</v>
      </c>
      <c r="I404">
        <f ca="1">IFERROR(IF(0=LEN(ReferenceData!$I$404),"",ReferenceData!$I$404),"")</f>
        <v>674.64524100000006</v>
      </c>
      <c r="J404">
        <f ca="1">IFERROR(IF(0=LEN(ReferenceData!$J$404),"",ReferenceData!$J$404),"")</f>
        <v>676.68277320000004</v>
      </c>
      <c r="K404">
        <f ca="1">IFERROR(IF(0=LEN(ReferenceData!$K$404),"",ReferenceData!$K$404),"")</f>
        <v>677.58998859999997</v>
      </c>
      <c r="L404">
        <f ca="1">IFERROR(IF(0=LEN(ReferenceData!$L$404),"",ReferenceData!$L$404),"")</f>
        <v>735.89226859999997</v>
      </c>
      <c r="M404">
        <f ca="1">IFERROR(IF(0=LEN(ReferenceData!$M$404),"",ReferenceData!$M$404),"")</f>
        <v>834.51423390000002</v>
      </c>
      <c r="N404">
        <f ca="1">IFERROR(IF(0=LEN(ReferenceData!$N$404),"",ReferenceData!$N$404),"")</f>
        <v>994.16842440000005</v>
      </c>
      <c r="O404">
        <f ca="1">IFERROR(IF(0=LEN(ReferenceData!$O$404),"",ReferenceData!$O$404),"")</f>
        <v>860.73296830000004</v>
      </c>
      <c r="P404">
        <f ca="1">IFERROR(IF(0=LEN(ReferenceData!$P$404),"",ReferenceData!$P$404),"")</f>
        <v>1080.553238</v>
      </c>
      <c r="Q404">
        <f ca="1">IFERROR(IF(0=LEN(ReferenceData!$Q$404),"",ReferenceData!$Q$404),"")</f>
        <v>861.53131589999998</v>
      </c>
      <c r="R404">
        <f ca="1">IFERROR(IF(0=LEN(ReferenceData!$R$404),"",ReferenceData!$R$404),"")</f>
        <v>1107.5389789999999</v>
      </c>
      <c r="S404">
        <f ca="1">IFERROR(IF(0=LEN(ReferenceData!$S$404),"",ReferenceData!$S$404),"")</f>
        <v>896.55091860000005</v>
      </c>
      <c r="T404">
        <f ca="1">IFERROR(IF(0=LEN(ReferenceData!$T$404),"",ReferenceData!$T$404),"")</f>
        <v>1112.0587439999999</v>
      </c>
      <c r="U404">
        <f ca="1">IFERROR(IF(0=LEN(ReferenceData!$U$404),"",ReferenceData!$U$404),"")</f>
        <v>1135.4059520000001</v>
      </c>
      <c r="V404">
        <f ca="1">IFERROR(IF(0=LEN(ReferenceData!$V$404),"",ReferenceData!$V$404),"")</f>
        <v>1098.4638420000001</v>
      </c>
      <c r="W404">
        <f ca="1">IFERROR(IF(0=LEN(ReferenceData!$W$404),"",ReferenceData!$W$404),"")</f>
        <v>1129.451947</v>
      </c>
      <c r="X404">
        <f ca="1">IFERROR(IF(0=LEN(ReferenceData!$X$404),"",ReferenceData!$X$404),"")</f>
        <v>856.61677180000004</v>
      </c>
      <c r="Y404">
        <f ca="1">IFERROR(IF(0=LEN(ReferenceData!$Y$404),"",ReferenceData!$Y$404),"")</f>
        <v>1083.221084</v>
      </c>
      <c r="Z404">
        <f ca="1">IFERROR(IF(0=LEN(ReferenceData!$Z$404),"",ReferenceData!$Z$404),"")</f>
        <v>946.70067700000004</v>
      </c>
      <c r="AA404">
        <f ca="1">IFERROR(IF(0=LEN(ReferenceData!$AA$404),"",ReferenceData!$AA$404),"")</f>
        <v>773.68120339999996</v>
      </c>
      <c r="AB404">
        <f ca="1">IFERROR(IF(0=LEN(ReferenceData!$AB$404),"",ReferenceData!$AB$404),"")</f>
        <v>989.0851222</v>
      </c>
      <c r="AC404">
        <f ca="1">IFERROR(IF(0=LEN(ReferenceData!$AC$404),"",ReferenceData!$AC$404),"")</f>
        <v>788.9737897</v>
      </c>
      <c r="AD404">
        <f ca="1">IFERROR(IF(0=LEN(ReferenceData!$AD$404),"",ReferenceData!$AD$404),"")</f>
        <v>517.99980500000004</v>
      </c>
      <c r="AE404">
        <f ca="1">IFERROR(IF(0=LEN(ReferenceData!$AE$404),"",ReferenceData!$AE$404),"")</f>
        <v>537.02538489999995</v>
      </c>
      <c r="AF404" t="str">
        <f ca="1">IFERROR(IF(0=LEN(ReferenceData!$AF$404),"",ReferenceData!$AF$404),"")</f>
        <v/>
      </c>
      <c r="AG404" t="str">
        <f ca="1">IFERROR(IF(0=LEN(ReferenceData!$AG$404),"",ReferenceData!$AG$404),"")</f>
        <v/>
      </c>
      <c r="AH404" t="str">
        <f ca="1">IFERROR(IF(0=LEN(ReferenceData!$AH$404),"",ReferenceData!$AH$404),"")</f>
        <v/>
      </c>
      <c r="AI404" t="str">
        <f ca="1">IFERROR(IF(0=LEN(ReferenceData!$AI$404),"",ReferenceData!$AI$404),"")</f>
        <v/>
      </c>
      <c r="AJ404" t="str">
        <f ca="1">IFERROR(IF(0=LEN(ReferenceData!$AJ$404),"",ReferenceData!$AJ$404),"")</f>
        <v/>
      </c>
      <c r="AK404" t="str">
        <f ca="1">IFERROR(IF(0=LEN(ReferenceData!$AK$404),"",ReferenceData!$AK$404),"")</f>
        <v/>
      </c>
      <c r="AL404" t="str">
        <f ca="1">IFERROR(IF(0=LEN(ReferenceData!$AL$404),"",ReferenceData!$AL$404),"")</f>
        <v/>
      </c>
      <c r="AM404" t="str">
        <f ca="1">IFERROR(IF(0=LEN(ReferenceData!$AM$404),"",ReferenceData!$AM$404),"")</f>
        <v/>
      </c>
      <c r="AN404" t="str">
        <f ca="1">IFERROR(IF(0=LEN(ReferenceData!$AN$404),"",ReferenceData!$AN$404),"")</f>
        <v/>
      </c>
      <c r="AO404" t="str">
        <f ca="1">IFERROR(IF(0=LEN(ReferenceData!$AO$404),"",ReferenceData!$AO$404),"")</f>
        <v/>
      </c>
      <c r="AP404" t="str">
        <f ca="1">IFERROR(IF(0=LEN(ReferenceData!$AP$404),"",ReferenceData!$AP$404),"")</f>
        <v/>
      </c>
      <c r="AQ404" t="str">
        <f ca="1">IFERROR(IF(0=LEN(ReferenceData!$AQ$404),"",ReferenceData!$AQ$404),"")</f>
        <v/>
      </c>
      <c r="AR404" t="str">
        <f ca="1">IFERROR(IF(0=LEN(ReferenceData!$AR$404),"",ReferenceData!$AR$404),"")</f>
        <v/>
      </c>
      <c r="AS404" t="str">
        <f ca="1">IFERROR(IF(0=LEN(ReferenceData!$AS$404),"",ReferenceData!$AS$404),"")</f>
        <v/>
      </c>
      <c r="AT404" t="str">
        <f ca="1">IFERROR(IF(0=LEN(ReferenceData!$AT$404),"",ReferenceData!$AT$404),"")</f>
        <v/>
      </c>
      <c r="AU404" t="str">
        <f ca="1">IFERROR(IF(0=LEN(ReferenceData!$AU$404),"",ReferenceData!$AU$404),"")</f>
        <v/>
      </c>
      <c r="AV404" t="str">
        <f ca="1">IFERROR(IF(0=LEN(ReferenceData!$AV$404),"",ReferenceData!$AV$404),"")</f>
        <v/>
      </c>
      <c r="AW404" t="str">
        <f ca="1">IFERROR(IF(0=LEN(ReferenceData!$AW$404),"",ReferenceData!$AW$404),"")</f>
        <v/>
      </c>
      <c r="AX404" t="str">
        <f ca="1">IFERROR(IF(0=LEN(ReferenceData!$AX$404),"",ReferenceData!$AX$404),"")</f>
        <v/>
      </c>
      <c r="AY404" t="str">
        <f ca="1">IFERROR(IF(0=LEN(ReferenceData!$AY$404),"",ReferenceData!$AY$404),"")</f>
        <v/>
      </c>
      <c r="AZ404" t="str">
        <f ca="1">IFERROR(IF(0=LEN(ReferenceData!$AZ$404),"",ReferenceData!$AZ$404),"")</f>
        <v/>
      </c>
      <c r="BA404" t="str">
        <f ca="1">IFERROR(IF(0=LEN(ReferenceData!$BA$404),"",ReferenceData!$BA$404),"")</f>
        <v/>
      </c>
      <c r="BB404" t="str">
        <f ca="1">IFERROR(IF(0=LEN(ReferenceData!$BB$404),"",ReferenceData!$BB$404),"")</f>
        <v/>
      </c>
      <c r="BC404" t="str">
        <f ca="1">IFERROR(IF(0=LEN(ReferenceData!$BC$404),"",ReferenceData!$BC$404),"")</f>
        <v/>
      </c>
      <c r="BD404" t="str">
        <f ca="1">IFERROR(IF(0=LEN(ReferenceData!$BD$404),"",ReferenceData!$BD$404),"")</f>
        <v/>
      </c>
      <c r="BE404" t="str">
        <f ca="1">IFERROR(IF(0=LEN(ReferenceData!$BE$404),"",ReferenceData!$BE$404),"")</f>
        <v/>
      </c>
      <c r="BF404" t="str">
        <f ca="1">IFERROR(IF(0=LEN(ReferenceData!$BF$404),"",ReferenceData!$BF$404),"")</f>
        <v/>
      </c>
      <c r="BG404" t="str">
        <f ca="1">IFERROR(IF(0=LEN(ReferenceData!$BG$404),"",ReferenceData!$BG$404),"")</f>
        <v/>
      </c>
      <c r="BH404" t="str">
        <f ca="1">IFERROR(IF(0=LEN(ReferenceData!$BH$404),"",ReferenceData!$BH$404),"")</f>
        <v/>
      </c>
      <c r="BI404" t="str">
        <f ca="1">IFERROR(IF(0=LEN(ReferenceData!$BI$404),"",ReferenceData!$BI$404),"")</f>
        <v/>
      </c>
      <c r="BJ404" t="str">
        <f ca="1">IFERROR(IF(0=LEN(ReferenceData!$BJ$404),"",ReferenceData!$BJ$404),"")</f>
        <v/>
      </c>
      <c r="BK404" t="str">
        <f ca="1">IFERROR(IF(0=LEN(ReferenceData!$BK$404),"",ReferenceData!$BK$404),"")</f>
        <v/>
      </c>
      <c r="BL404" t="str">
        <f ca="1">IFERROR(IF(0=LEN(ReferenceData!$BL$404),"",ReferenceData!$BL$404),"")</f>
        <v/>
      </c>
      <c r="BM404" t="str">
        <f ca="1">IFERROR(IF(0=LEN(ReferenceData!$BM$404),"",ReferenceData!$BM$404),"")</f>
        <v/>
      </c>
    </row>
    <row r="405" spans="1:65" x14ac:dyDescent="0.25">
      <c r="A405" t="str">
        <f>IFERROR(IF(0=LEN(ReferenceData!$A$405),"",ReferenceData!$A$405),"")</f>
        <v xml:space="preserve">    Subaru Corp</v>
      </c>
      <c r="B405" t="str">
        <f>IFERROR(IF(0=LEN(ReferenceData!$B$405),"",ReferenceData!$B$405),"")</f>
        <v>7270 JP Equity</v>
      </c>
      <c r="C405" t="str">
        <f>IFERROR(IF(0=LEN(ReferenceData!$C$405),"",ReferenceData!$C$405),"")</f>
        <v>RR937</v>
      </c>
      <c r="D405" t="str">
        <f>IFERROR(IF(0=LEN(ReferenceData!$D$405),"",ReferenceData!$D$405),"")</f>
        <v>CRNCY_ADJ_CURR_EV</v>
      </c>
      <c r="E405" t="str">
        <f>IFERROR(IF(0=LEN(ReferenceData!$E$405),"",ReferenceData!$E$405),"")</f>
        <v>Dynamic</v>
      </c>
      <c r="F405">
        <f ca="1">IFERROR(IF(0=LEN(ReferenceData!$F$405),"",ReferenceData!$F$405),"")</f>
        <v>12383.36794</v>
      </c>
      <c r="G405">
        <f ca="1">IFERROR(IF(0=LEN(ReferenceData!$G$405),"",ReferenceData!$G$405),"")</f>
        <v>9071.4795790000007</v>
      </c>
      <c r="H405">
        <f ca="1">IFERROR(IF(0=LEN(ReferenceData!$H$405),"",ReferenceData!$H$405),"")</f>
        <v>15881.462890000001</v>
      </c>
      <c r="I405">
        <f ca="1">IFERROR(IF(0=LEN(ReferenceData!$I$405),"",ReferenceData!$I$405),"")</f>
        <v>14469.048479999999</v>
      </c>
      <c r="J405">
        <f ca="1">IFERROR(IF(0=LEN(ReferenceData!$J$405),"",ReferenceData!$J$405),"")</f>
        <v>16700.82159</v>
      </c>
      <c r="K405">
        <f ca="1">IFERROR(IF(0=LEN(ReferenceData!$K$405),"",ReferenceData!$K$405),"")</f>
        <v>16805.250960000001</v>
      </c>
      <c r="L405">
        <f ca="1">IFERROR(IF(0=LEN(ReferenceData!$L$405),"",ReferenceData!$L$405),"")</f>
        <v>19731.62</v>
      </c>
      <c r="M405">
        <f ca="1">IFERROR(IF(0=LEN(ReferenceData!$M$405),"",ReferenceData!$M$405),"")</f>
        <v>18083.996169999999</v>
      </c>
      <c r="N405">
        <f ca="1">IFERROR(IF(0=LEN(ReferenceData!$N$405),"",ReferenceData!$N$405),"")</f>
        <v>20857.525949999999</v>
      </c>
      <c r="O405">
        <f ca="1">IFERROR(IF(0=LEN(ReferenceData!$O$405),"",ReferenceData!$O$405),"")</f>
        <v>25009.86292</v>
      </c>
      <c r="P405">
        <f ca="1">IFERROR(IF(0=LEN(ReferenceData!$P$405),"",ReferenceData!$P$405),"")</f>
        <v>20392.305209999999</v>
      </c>
      <c r="Q405">
        <f ca="1">IFERROR(IF(0=LEN(ReferenceData!$Q$405),"",ReferenceData!$Q$405),"")</f>
        <v>18892.55168</v>
      </c>
      <c r="R405">
        <f ca="1">IFERROR(IF(0=LEN(ReferenceData!$R$405),"",ReferenceData!$R$405),"")</f>
        <v>20308.584289999999</v>
      </c>
      <c r="S405">
        <f ca="1">IFERROR(IF(0=LEN(ReferenceData!$S$405),"",ReferenceData!$S$405),"")</f>
        <v>26815.368559999999</v>
      </c>
      <c r="T405">
        <f ca="1">IFERROR(IF(0=LEN(ReferenceData!$T$405),"",ReferenceData!$T$405),"")</f>
        <v>22615.387419999999</v>
      </c>
      <c r="U405">
        <f ca="1">IFERROR(IF(0=LEN(ReferenceData!$U$405),"",ReferenceData!$U$405),"")</f>
        <v>24610.950110000002</v>
      </c>
      <c r="V405">
        <f ca="1">IFERROR(IF(0=LEN(ReferenceData!$V$405),"",ReferenceData!$V$405),"")</f>
        <v>22339.888169999998</v>
      </c>
      <c r="W405">
        <f ca="1">IFERROR(IF(0=LEN(ReferenceData!$W$405),"",ReferenceData!$W$405),"")</f>
        <v>25070.560290000001</v>
      </c>
      <c r="X405">
        <f ca="1">IFERROR(IF(0=LEN(ReferenceData!$X$405),"",ReferenceData!$X$405),"")</f>
        <v>22517.50459</v>
      </c>
      <c r="Y405">
        <f ca="1">IFERROR(IF(0=LEN(ReferenceData!$Y$405),"",ReferenceData!$Y$405),"")</f>
        <v>19047.336309999999</v>
      </c>
      <c r="Z405">
        <f ca="1">IFERROR(IF(0=LEN(ReferenceData!$Z$405),"",ReferenceData!$Z$405),"")</f>
        <v>18241.471219999999</v>
      </c>
      <c r="AA405">
        <f ca="1">IFERROR(IF(0=LEN(ReferenceData!$AA$405),"",ReferenceData!$AA$405),"")</f>
        <v>20136.224989999999</v>
      </c>
      <c r="AB405">
        <f ca="1">IFERROR(IF(0=LEN(ReferenceData!$AB$405),"",ReferenceData!$AB$405),"")</f>
        <v>20011.90754</v>
      </c>
      <c r="AC405">
        <f ca="1">IFERROR(IF(0=LEN(ReferenceData!$AC$405),"",ReferenceData!$AC$405),"")</f>
        <v>18348.94785</v>
      </c>
      <c r="AD405">
        <f ca="1">IFERROR(IF(0=LEN(ReferenceData!$AD$405),"",ReferenceData!$AD$405),"")</f>
        <v>11737.190490000001</v>
      </c>
      <c r="AE405">
        <f ca="1">IFERROR(IF(0=LEN(ReferenceData!$AE$405),"",ReferenceData!$AE$405),"")</f>
        <v>9806.5022609999996</v>
      </c>
      <c r="AF405">
        <f ca="1">IFERROR(IF(0=LEN(ReferenceData!$AF$405),"",ReferenceData!$AF$405),"")</f>
        <v>6442.8016799999996</v>
      </c>
      <c r="AG405">
        <f ca="1">IFERROR(IF(0=LEN(ReferenceData!$AG$405),"",ReferenceData!$AG$405),"")</f>
        <v>6816.5110519999998</v>
      </c>
      <c r="AH405">
        <f ca="1">IFERROR(IF(0=LEN(ReferenceData!$AH$405),"",ReferenceData!$AH$405),"")</f>
        <v>7251.6135459999996</v>
      </c>
      <c r="AI405">
        <f ca="1">IFERROR(IF(0=LEN(ReferenceData!$AI$405),"",ReferenceData!$AI$405),"")</f>
        <v>6223.946567</v>
      </c>
      <c r="AJ405">
        <f ca="1">IFERROR(IF(0=LEN(ReferenceData!$AJ$405),"",ReferenceData!$AJ$405),"")</f>
        <v>6073.3417790000003</v>
      </c>
      <c r="AK405">
        <f ca="1">IFERROR(IF(0=LEN(ReferenceData!$AK$405),"",ReferenceData!$AK$405),"")</f>
        <v>7243.3405839999996</v>
      </c>
      <c r="AL405">
        <f ca="1">IFERROR(IF(0=LEN(ReferenceData!$AL$405),"",ReferenceData!$AL$405),"")</f>
        <v>6320.9834609999998</v>
      </c>
      <c r="AM405">
        <f ca="1">IFERROR(IF(0=LEN(ReferenceData!$AM$405),"",ReferenceData!$AM$405),"")</f>
        <v>8017.36535</v>
      </c>
      <c r="AN405">
        <f ca="1">IFERROR(IF(0=LEN(ReferenceData!$AN$405),"",ReferenceData!$AN$405),"")</f>
        <v>6586.9230399999997</v>
      </c>
      <c r="AO405">
        <f ca="1">IFERROR(IF(0=LEN(ReferenceData!$AO$405),"",ReferenceData!$AO$405),"")</f>
        <v>6132.384016</v>
      </c>
      <c r="AP405">
        <f ca="1">IFERROR(IF(0=LEN(ReferenceData!$AP$405),"",ReferenceData!$AP$405),"")</f>
        <v>6126.8411740000001</v>
      </c>
      <c r="AQ405">
        <f ca="1">IFERROR(IF(0=LEN(ReferenceData!$AQ$405),"",ReferenceData!$AQ$405),"")</f>
        <v>6358.7854799999996</v>
      </c>
      <c r="AR405">
        <f ca="1">IFERROR(IF(0=LEN(ReferenceData!$AR$405),"",ReferenceData!$AR$405),"")</f>
        <v>5579.4509200000002</v>
      </c>
      <c r="AS405">
        <f ca="1">IFERROR(IF(0=LEN(ReferenceData!$AS$405),"",ReferenceData!$AS$405),"")</f>
        <v>6037.0278390000003</v>
      </c>
      <c r="AT405">
        <f ca="1">IFERROR(IF(0=LEN(ReferenceData!$AT$405),"",ReferenceData!$AT$405),"")</f>
        <v>5534.8543769999997</v>
      </c>
      <c r="AU405">
        <f ca="1">IFERROR(IF(0=LEN(ReferenceData!$AU$405),"",ReferenceData!$AU$405),"")</f>
        <v>4509.3869400000003</v>
      </c>
      <c r="AV405">
        <f ca="1">IFERROR(IF(0=LEN(ReferenceData!$AV$405),"",ReferenceData!$AV$405),"")</f>
        <v>5635.8609409999999</v>
      </c>
      <c r="AW405">
        <f ca="1">IFERROR(IF(0=LEN(ReferenceData!$AW$405),"",ReferenceData!$AW$405),"")</f>
        <v>6009.7768859999996</v>
      </c>
      <c r="AX405">
        <f ca="1">IFERROR(IF(0=LEN(ReferenceData!$AX$405),"",ReferenceData!$AX$405),"")</f>
        <v>5329.4615640000002</v>
      </c>
      <c r="AY405">
        <f ca="1">IFERROR(IF(0=LEN(ReferenceData!$AY$405),"",ReferenceData!$AY$405),"")</f>
        <v>5984.432084</v>
      </c>
      <c r="AZ405">
        <f ca="1">IFERROR(IF(0=LEN(ReferenceData!$AZ$405),"",ReferenceData!$AZ$405),"")</f>
        <v>5573.146522</v>
      </c>
      <c r="BA405">
        <f ca="1">IFERROR(IF(0=LEN(ReferenceData!$BA$405),"",ReferenceData!$BA$405),"")</f>
        <v>6081.4360889999998</v>
      </c>
      <c r="BB405">
        <f ca="1">IFERROR(IF(0=LEN(ReferenceData!$BB$405),"",ReferenceData!$BB$405),"")</f>
        <v>6295.125943</v>
      </c>
      <c r="BC405">
        <f ca="1">IFERROR(IF(0=LEN(ReferenceData!$BC$405),"",ReferenceData!$BC$405),"")</f>
        <v>6591.971732</v>
      </c>
      <c r="BD405">
        <f ca="1">IFERROR(IF(0=LEN(ReferenceData!$BD$405),"",ReferenceData!$BD$405),"")</f>
        <v>6909.9119360000004</v>
      </c>
      <c r="BE405">
        <f ca="1">IFERROR(IF(0=LEN(ReferenceData!$BE$405),"",ReferenceData!$BE$405),"")</f>
        <v>7151.8669460000001</v>
      </c>
      <c r="BF405">
        <f ca="1">IFERROR(IF(0=LEN(ReferenceData!$BF$405),"",ReferenceData!$BF$405),"")</f>
        <v>6937.1755089999997</v>
      </c>
      <c r="BG405">
        <f ca="1">IFERROR(IF(0=LEN(ReferenceData!$BG$405),"",ReferenceData!$BG$405),"")</f>
        <v>6874.1214</v>
      </c>
      <c r="BH405">
        <f ca="1">IFERROR(IF(0=LEN(ReferenceData!$BH$405),"",ReferenceData!$BH$405),"")</f>
        <v>5886.0703329999997</v>
      </c>
      <c r="BI405">
        <f ca="1">IFERROR(IF(0=LEN(ReferenceData!$BI$405),"",ReferenceData!$BI$405),"")</f>
        <v>5770.7021729999997</v>
      </c>
      <c r="BJ405">
        <f ca="1">IFERROR(IF(0=LEN(ReferenceData!$BJ$405),"",ReferenceData!$BJ$405),"")</f>
        <v>6512.4409580000001</v>
      </c>
      <c r="BK405">
        <f ca="1">IFERROR(IF(0=LEN(ReferenceData!$BK$405),"",ReferenceData!$BK$405),"")</f>
        <v>6473.7980770000004</v>
      </c>
      <c r="BL405">
        <f ca="1">IFERROR(IF(0=LEN(ReferenceData!$BL$405),"",ReferenceData!$BL$405),"")</f>
        <v>6209.1625720000002</v>
      </c>
      <c r="BM405">
        <f ca="1">IFERROR(IF(0=LEN(ReferenceData!$BM$405),"",ReferenceData!$BM$405),"")</f>
        <v>6659.2562829999997</v>
      </c>
    </row>
    <row r="406" spans="1:65" x14ac:dyDescent="0.25">
      <c r="A406" t="str">
        <f>IFERROR(IF(0=LEN(ReferenceData!$A$406),"",ReferenceData!$A$406),"")</f>
        <v xml:space="preserve">    Suzuki Motor Corp</v>
      </c>
      <c r="B406" t="str">
        <f>IFERROR(IF(0=LEN(ReferenceData!$B$406),"",ReferenceData!$B$406),"")</f>
        <v>7269 JP Equity</v>
      </c>
      <c r="C406" t="str">
        <f>IFERROR(IF(0=LEN(ReferenceData!$C$406),"",ReferenceData!$C$406),"")</f>
        <v>RR937</v>
      </c>
      <c r="D406" t="str">
        <f>IFERROR(IF(0=LEN(ReferenceData!$D$406),"",ReferenceData!$D$406),"")</f>
        <v>CRNCY_ADJ_CURR_EV</v>
      </c>
      <c r="E406" t="str">
        <f>IFERROR(IF(0=LEN(ReferenceData!$E$406),"",ReferenceData!$E$406),"")</f>
        <v>Dynamic</v>
      </c>
      <c r="F406">
        <f ca="1">IFERROR(IF(0=LEN(ReferenceData!$F$406),"",ReferenceData!$F$406),"")</f>
        <v>26085.12645</v>
      </c>
      <c r="G406">
        <f ca="1">IFERROR(IF(0=LEN(ReferenceData!$G$406),"",ReferenceData!$G$406),"")</f>
        <v>25274.280770000001</v>
      </c>
      <c r="H406">
        <f ca="1">IFERROR(IF(0=LEN(ReferenceData!$H$406),"",ReferenceData!$H$406),"")</f>
        <v>27592.665580000001</v>
      </c>
      <c r="I406">
        <f ca="1">IFERROR(IF(0=LEN(ReferenceData!$I$406),"",ReferenceData!$I$406),"")</f>
        <v>26859.096730000001</v>
      </c>
      <c r="J406">
        <f ca="1">IFERROR(IF(0=LEN(ReferenceData!$J$406),"",ReferenceData!$J$406),"")</f>
        <v>25938.00332</v>
      </c>
      <c r="K406">
        <f ca="1">IFERROR(IF(0=LEN(ReferenceData!$K$406),"",ReferenceData!$K$406),"")</f>
        <v>27880.300810000001</v>
      </c>
      <c r="L406">
        <f ca="1">IFERROR(IF(0=LEN(ReferenceData!$L$406),"",ReferenceData!$L$406),"")</f>
        <v>24482.36393</v>
      </c>
      <c r="M406">
        <f ca="1">IFERROR(IF(0=LEN(ReferenceData!$M$406),"",ReferenceData!$M$406),"")</f>
        <v>22458.415669999998</v>
      </c>
      <c r="N406">
        <f ca="1">IFERROR(IF(0=LEN(ReferenceData!$N$406),"",ReferenceData!$N$406),"")</f>
        <v>19370.883119999999</v>
      </c>
      <c r="O406">
        <f ca="1">IFERROR(IF(0=LEN(ReferenceData!$O$406),"",ReferenceData!$O$406),"")</f>
        <v>16717.043900000001</v>
      </c>
      <c r="P406">
        <f ca="1">IFERROR(IF(0=LEN(ReferenceData!$P$406),"",ReferenceData!$P$406),"")</f>
        <v>14773.09475</v>
      </c>
      <c r="Q406">
        <f ca="1">IFERROR(IF(0=LEN(ReferenceData!$Q$406),"",ReferenceData!$Q$406),"")</f>
        <v>12375.448200000001</v>
      </c>
      <c r="R406">
        <f ca="1">IFERROR(IF(0=LEN(ReferenceData!$R$406),"",ReferenceData!$R$406),"")</f>
        <v>13090.684440000001</v>
      </c>
      <c r="S406">
        <f ca="1">IFERROR(IF(0=LEN(ReferenceData!$S$406),"",ReferenceData!$S$406),"")</f>
        <v>17420.563470000001</v>
      </c>
      <c r="T406">
        <f ca="1">IFERROR(IF(0=LEN(ReferenceData!$T$406),"",ReferenceData!$T$406),"")</f>
        <v>18047.373780000002</v>
      </c>
      <c r="U406">
        <f ca="1">IFERROR(IF(0=LEN(ReferenceData!$U$406),"",ReferenceData!$U$406),"")</f>
        <v>16031.94067</v>
      </c>
      <c r="V406">
        <f ca="1">IFERROR(IF(0=LEN(ReferenceData!$V$406),"",ReferenceData!$V$406),"")</f>
        <v>13932.149890000001</v>
      </c>
      <c r="W406">
        <f ca="1">IFERROR(IF(0=LEN(ReferenceData!$W$406),"",ReferenceData!$W$406),"")</f>
        <v>14539.680060000001</v>
      </c>
      <c r="X406">
        <f ca="1">IFERROR(IF(0=LEN(ReferenceData!$X$406),"",ReferenceData!$X$406),"")</f>
        <v>15432.59591</v>
      </c>
      <c r="Y406">
        <f ca="1">IFERROR(IF(0=LEN(ReferenceData!$Y$406),"",ReferenceData!$Y$406),"")</f>
        <v>14237.17139</v>
      </c>
      <c r="Z406">
        <f ca="1">IFERROR(IF(0=LEN(ReferenceData!$Z$406),"",ReferenceData!$Z$406),"")</f>
        <v>11319.350270000001</v>
      </c>
      <c r="AA406">
        <f ca="1">IFERROR(IF(0=LEN(ReferenceData!$AA$406),"",ReferenceData!$AA$406),"")</f>
        <v>12303.39523</v>
      </c>
      <c r="AB406">
        <f ca="1">IFERROR(IF(0=LEN(ReferenceData!$AB$406),"",ReferenceData!$AB$406),"")</f>
        <v>10161.666380000001</v>
      </c>
      <c r="AC406">
        <f ca="1">IFERROR(IF(0=LEN(ReferenceData!$AC$406),"",ReferenceData!$AC$406),"")</f>
        <v>10062.93346</v>
      </c>
      <c r="AD406">
        <f ca="1">IFERROR(IF(0=LEN(ReferenceData!$AD$406),"",ReferenceData!$AD$406),"")</f>
        <v>9950.2319580000003</v>
      </c>
      <c r="AE406">
        <f ca="1">IFERROR(IF(0=LEN(ReferenceData!$AE$406),"",ReferenceData!$AE$406),"")</f>
        <v>12043.715749999999</v>
      </c>
      <c r="AF406">
        <f ca="1">IFERROR(IF(0=LEN(ReferenceData!$AF$406),"",ReferenceData!$AF$406),"")</f>
        <v>7258.838076</v>
      </c>
      <c r="AG406">
        <f ca="1">IFERROR(IF(0=LEN(ReferenceData!$AG$406),"",ReferenceData!$AG$406),"")</f>
        <v>7622.0886829999999</v>
      </c>
      <c r="AH406">
        <f ca="1">IFERROR(IF(0=LEN(ReferenceData!$AH$406),"",ReferenceData!$AH$406),"")</f>
        <v>10289.79204</v>
      </c>
      <c r="AI406">
        <f ca="1">IFERROR(IF(0=LEN(ReferenceData!$AI$406),"",ReferenceData!$AI$406),"")</f>
        <v>8465.8566719999999</v>
      </c>
      <c r="AJ406">
        <f ca="1">IFERROR(IF(0=LEN(ReferenceData!$AJ$406),"",ReferenceData!$AJ$406),"")</f>
        <v>9308.561764</v>
      </c>
      <c r="AK406">
        <f ca="1">IFERROR(IF(0=LEN(ReferenceData!$AK$406),"",ReferenceData!$AK$406),"")</f>
        <v>10624.247520000001</v>
      </c>
      <c r="AL406">
        <f ca="1">IFERROR(IF(0=LEN(ReferenceData!$AL$406),"",ReferenceData!$AL$406),"")</f>
        <v>11226.45098</v>
      </c>
      <c r="AM406">
        <f ca="1">IFERROR(IF(0=LEN(ReferenceData!$AM$406),"",ReferenceData!$AM$406),"")</f>
        <v>12737.871349999999</v>
      </c>
      <c r="AN406">
        <f ca="1">IFERROR(IF(0=LEN(ReferenceData!$AN$406),"",ReferenceData!$AN$406),"")</f>
        <v>9855.1888660000004</v>
      </c>
      <c r="AO406">
        <f ca="1">IFERROR(IF(0=LEN(ReferenceData!$AO$406),"",ReferenceData!$AO$406),"")</f>
        <v>9507.5198700000001</v>
      </c>
      <c r="AP406">
        <f ca="1">IFERROR(IF(0=LEN(ReferenceData!$AP$406),"",ReferenceData!$AP$406),"")</f>
        <v>11393.473180000001</v>
      </c>
      <c r="AQ406">
        <f ca="1">IFERROR(IF(0=LEN(ReferenceData!$AQ$406),"",ReferenceData!$AQ$406),"")</f>
        <v>15724.15432</v>
      </c>
      <c r="AR406">
        <f ca="1">IFERROR(IF(0=LEN(ReferenceData!$AR$406),"",ReferenceData!$AR$406),"")</f>
        <v>15265.841469999999</v>
      </c>
      <c r="AS406">
        <f ca="1">IFERROR(IF(0=LEN(ReferenceData!$AS$406),"",ReferenceData!$AS$406),"")</f>
        <v>15309.512000000001</v>
      </c>
      <c r="AT406">
        <f ca="1">IFERROR(IF(0=LEN(ReferenceData!$AT$406),"",ReferenceData!$AT$406),"")</f>
        <v>12358.46117</v>
      </c>
      <c r="AU406">
        <f ca="1">IFERROR(IF(0=LEN(ReferenceData!$AU$406),"",ReferenceData!$AU$406),"")</f>
        <v>10261.559090000001</v>
      </c>
      <c r="AV406">
        <f ca="1">IFERROR(IF(0=LEN(ReferenceData!$AV$406),"",ReferenceData!$AV$406),"")</f>
        <v>10792.533460000001</v>
      </c>
      <c r="AW406">
        <f ca="1">IFERROR(IF(0=LEN(ReferenceData!$AW$406),"",ReferenceData!$AW$406),"")</f>
        <v>13720.2016</v>
      </c>
      <c r="AX406">
        <f ca="1">IFERROR(IF(0=LEN(ReferenceData!$AX$406),"",ReferenceData!$AX$406),"")</f>
        <v>14663.1929</v>
      </c>
      <c r="AY406">
        <f ca="1">IFERROR(IF(0=LEN(ReferenceData!$AY$406),"",ReferenceData!$AY$406),"")</f>
        <v>16593.800609999998</v>
      </c>
      <c r="AZ406">
        <f ca="1">IFERROR(IF(0=LEN(ReferenceData!$AZ$406),"",ReferenceData!$AZ$406),"")</f>
        <v>16128.94706</v>
      </c>
      <c r="BA406">
        <f ca="1">IFERROR(IF(0=LEN(ReferenceData!$BA$406),"",ReferenceData!$BA$406),"")</f>
        <v>15490.6931</v>
      </c>
      <c r="BB406">
        <f ca="1">IFERROR(IF(0=LEN(ReferenceData!$BB$406),"",ReferenceData!$BB$406),"")</f>
        <v>14539.57063</v>
      </c>
      <c r="BC406">
        <f ca="1">IFERROR(IF(0=LEN(ReferenceData!$BC$406),"",ReferenceData!$BC$406),"")</f>
        <v>15821.676509999999</v>
      </c>
      <c r="BD406">
        <f ca="1">IFERROR(IF(0=LEN(ReferenceData!$BD$406),"",ReferenceData!$BD$406),"")</f>
        <v>13821.49029</v>
      </c>
      <c r="BE406">
        <f ca="1">IFERROR(IF(0=LEN(ReferenceData!$BE$406),"",ReferenceData!$BE$406),"")</f>
        <v>11566.065860000001</v>
      </c>
      <c r="BF406">
        <f ca="1">IFERROR(IF(0=LEN(ReferenceData!$BF$406),"",ReferenceData!$BF$406),"")</f>
        <v>12792.42886</v>
      </c>
      <c r="BG406">
        <f ca="1">IFERROR(IF(0=LEN(ReferenceData!$BG$406),"",ReferenceData!$BG$406),"")</f>
        <v>8567.6011020000005</v>
      </c>
      <c r="BH406">
        <f ca="1">IFERROR(IF(0=LEN(ReferenceData!$BH$406),"",ReferenceData!$BH$406),"")</f>
        <v>8396.4062959999992</v>
      </c>
      <c r="BI406">
        <f ca="1">IFERROR(IF(0=LEN(ReferenceData!$BI$406),"",ReferenceData!$BI$406),"")</f>
        <v>6946.208294</v>
      </c>
      <c r="BJ406">
        <f ca="1">IFERROR(IF(0=LEN(ReferenceData!$BJ$406),"",ReferenceData!$BJ$406),"")</f>
        <v>8544.562758</v>
      </c>
      <c r="BK406">
        <f ca="1">IFERROR(IF(0=LEN(ReferenceData!$BK$406),"",ReferenceData!$BK$406),"")</f>
        <v>8655.9957429999995</v>
      </c>
      <c r="BL406">
        <f ca="1">IFERROR(IF(0=LEN(ReferenceData!$BL$406),"",ReferenceData!$BL$406),"")</f>
        <v>7707.4566709999999</v>
      </c>
      <c r="BM406">
        <f ca="1">IFERROR(IF(0=LEN(ReferenceData!$BM$406),"",ReferenceData!$BM$406),"")</f>
        <v>8441.3341509999991</v>
      </c>
    </row>
    <row r="407" spans="1:65" x14ac:dyDescent="0.25">
      <c r="A407" t="str">
        <f>IFERROR(IF(0=LEN(ReferenceData!$A$407),"",ReferenceData!$A$407),"")</f>
        <v xml:space="preserve">    Tata Motors Ltd</v>
      </c>
      <c r="B407" t="str">
        <f>IFERROR(IF(0=LEN(ReferenceData!$B$407),"",ReferenceData!$B$407),"")</f>
        <v>TTMT IN Equity</v>
      </c>
      <c r="C407" t="str">
        <f>IFERROR(IF(0=LEN(ReferenceData!$C$407),"",ReferenceData!$C$407),"")</f>
        <v>RR937</v>
      </c>
      <c r="D407" t="str">
        <f>IFERROR(IF(0=LEN(ReferenceData!$D$407),"",ReferenceData!$D$407),"")</f>
        <v>CRNCY_ADJ_CURR_EV</v>
      </c>
      <c r="E407" t="str">
        <f>IFERROR(IF(0=LEN(ReferenceData!$E$407),"",ReferenceData!$E$407),"")</f>
        <v>Dynamic</v>
      </c>
      <c r="F407" t="str">
        <f ca="1">IFERROR(IF(0=LEN(ReferenceData!$F$407),"",ReferenceData!$F$407),"")</f>
        <v/>
      </c>
      <c r="G407">
        <f ca="1">IFERROR(IF(0=LEN(ReferenceData!$G$407),"",ReferenceData!$G$407),"")</f>
        <v>16468.85658</v>
      </c>
      <c r="H407">
        <f ca="1">IFERROR(IF(0=LEN(ReferenceData!$H$407),"",ReferenceData!$H$407),"")</f>
        <v>18144.31466</v>
      </c>
      <c r="I407">
        <f ca="1">IFERROR(IF(0=LEN(ReferenceData!$I$407),"",ReferenceData!$I$407),"")</f>
        <v>17981.244449999998</v>
      </c>
      <c r="J407">
        <f ca="1">IFERROR(IF(0=LEN(ReferenceData!$J$407),"",ReferenceData!$J$407),"")</f>
        <v>22015.82545</v>
      </c>
      <c r="K407">
        <f ca="1">IFERROR(IF(0=LEN(ReferenceData!$K$407),"",ReferenceData!$K$407),"")</f>
        <v>26502.501799999998</v>
      </c>
      <c r="L407">
        <f ca="1">IFERROR(IF(0=LEN(ReferenceData!$L$407),"",ReferenceData!$L$407),"")</f>
        <v>25102.53614</v>
      </c>
      <c r="M407">
        <f ca="1">IFERROR(IF(0=LEN(ReferenceData!$M$407),"",ReferenceData!$M$407),"")</f>
        <v>25830.186750000001</v>
      </c>
      <c r="N407">
        <f ca="1">IFERROR(IF(0=LEN(ReferenceData!$N$407),"",ReferenceData!$N$407),"")</f>
        <v>27259.305130000001</v>
      </c>
      <c r="O407">
        <f ca="1">IFERROR(IF(0=LEN(ReferenceData!$O$407),"",ReferenceData!$O$407),"")</f>
        <v>26489.913840000001</v>
      </c>
      <c r="P407">
        <f ca="1">IFERROR(IF(0=LEN(ReferenceData!$P$407),"",ReferenceData!$P$407),"")</f>
        <v>30128.138009999999</v>
      </c>
      <c r="Q407">
        <f ca="1">IFERROR(IF(0=LEN(ReferenceData!$Q$407),"",ReferenceData!$Q$407),"")</f>
        <v>24389.314989999999</v>
      </c>
      <c r="R407">
        <f ca="1">IFERROR(IF(0=LEN(ReferenceData!$R$407),"",ReferenceData!$R$407),"")</f>
        <v>22218.384989999999</v>
      </c>
      <c r="S407">
        <f ca="1">IFERROR(IF(0=LEN(ReferenceData!$S$407),"",ReferenceData!$S$407),"")</f>
        <v>23943.50172</v>
      </c>
      <c r="T407">
        <f ca="1">IFERROR(IF(0=LEN(ReferenceData!$T$407),"",ReferenceData!$T$407),"")</f>
        <v>19531.62846</v>
      </c>
      <c r="U407">
        <f ca="1">IFERROR(IF(0=LEN(ReferenceData!$U$407),"",ReferenceData!$U$407),"")</f>
        <v>26482.71213</v>
      </c>
      <c r="V407">
        <f ca="1">IFERROR(IF(0=LEN(ReferenceData!$V$407),"",ReferenceData!$V$407),"")</f>
        <v>31474.7893</v>
      </c>
      <c r="W407">
        <f ca="1">IFERROR(IF(0=LEN(ReferenceData!$W$407),"",ReferenceData!$W$407),"")</f>
        <v>26475.915099999998</v>
      </c>
      <c r="X407">
        <f ca="1">IFERROR(IF(0=LEN(ReferenceData!$X$407),"",ReferenceData!$X$407),"")</f>
        <v>27519.274290000001</v>
      </c>
      <c r="Y407">
        <f ca="1">IFERROR(IF(0=LEN(ReferenceData!$Y$407),"",ReferenceData!$Y$407),"")</f>
        <v>26303.794030000001</v>
      </c>
      <c r="Z407">
        <f ca="1">IFERROR(IF(0=LEN(ReferenceData!$Z$407),"",ReferenceData!$Z$407),"")</f>
        <v>24101.527549999999</v>
      </c>
      <c r="AA407">
        <f ca="1">IFERROR(IF(0=LEN(ReferenceData!$AA$407),"",ReferenceData!$AA$407),"")</f>
        <v>21706.317279999999</v>
      </c>
      <c r="AB407">
        <f ca="1">IFERROR(IF(0=LEN(ReferenceData!$AB$407),"",ReferenceData!$AB$407),"")</f>
        <v>19372.45204</v>
      </c>
      <c r="AC407">
        <f ca="1">IFERROR(IF(0=LEN(ReferenceData!$AC$407),"",ReferenceData!$AC$407),"")</f>
        <v>18362.236669999998</v>
      </c>
      <c r="AD407">
        <f ca="1">IFERROR(IF(0=LEN(ReferenceData!$AD$407),"",ReferenceData!$AD$407),"")</f>
        <v>20231.332740000002</v>
      </c>
      <c r="AE407">
        <f ca="1">IFERROR(IF(0=LEN(ReferenceData!$AE$407),"",ReferenceData!$AE$407),"")</f>
        <v>19942.19555</v>
      </c>
      <c r="AF407">
        <f ca="1">IFERROR(IF(0=LEN(ReferenceData!$AF$407),"",ReferenceData!$AF$407),"")</f>
        <v>18434.953229999999</v>
      </c>
      <c r="AG407">
        <f ca="1">IFERROR(IF(0=LEN(ReferenceData!$AG$407),"",ReferenceData!$AG$407),"")</f>
        <v>17168.00417</v>
      </c>
      <c r="AH407">
        <f ca="1">IFERROR(IF(0=LEN(ReferenceData!$AH$407),"",ReferenceData!$AH$407),"")</f>
        <v>21434.587090000001</v>
      </c>
      <c r="AI407">
        <f ca="1">IFERROR(IF(0=LEN(ReferenceData!$AI$407),"",ReferenceData!$AI$407),"")</f>
        <v>15339.84562</v>
      </c>
      <c r="AJ407">
        <f ca="1">IFERROR(IF(0=LEN(ReferenceData!$AJ$407),"",ReferenceData!$AJ$407),"")</f>
        <v>15358.93621</v>
      </c>
      <c r="AK407">
        <f ca="1">IFERROR(IF(0=LEN(ReferenceData!$AK$407),"",ReferenceData!$AK$407),"")</f>
        <v>18993.959579999999</v>
      </c>
      <c r="AL407">
        <f ca="1">IFERROR(IF(0=LEN(ReferenceData!$AL$407),"",ReferenceData!$AL$407),"")</f>
        <v>22440.551490000002</v>
      </c>
      <c r="AM407">
        <f ca="1">IFERROR(IF(0=LEN(ReferenceData!$AM$407),"",ReferenceData!$AM$407),"")</f>
        <v>23278.344730000001</v>
      </c>
      <c r="AN407">
        <f ca="1">IFERROR(IF(0=LEN(ReferenceData!$AN$407),"",ReferenceData!$AN$407),"")</f>
        <v>19712.452369999999</v>
      </c>
      <c r="AO407">
        <f ca="1">IFERROR(IF(0=LEN(ReferenceData!$AO$407),"",ReferenceData!$AO$407),"")</f>
        <v>16134.76614</v>
      </c>
      <c r="AP407">
        <f ca="1">IFERROR(IF(0=LEN(ReferenceData!$AP$407),"",ReferenceData!$AP$407),"")</f>
        <v>16009.55185</v>
      </c>
      <c r="AQ407" t="str">
        <f ca="1">IFERROR(IF(0=LEN(ReferenceData!$AQ$407),"",ReferenceData!$AQ$407),"")</f>
        <v/>
      </c>
      <c r="AR407" t="str">
        <f ca="1">IFERROR(IF(0=LEN(ReferenceData!$AR$407),"",ReferenceData!$AR$407),"")</f>
        <v/>
      </c>
      <c r="AS407">
        <f ca="1">IFERROR(IF(0=LEN(ReferenceData!$AS$407),"",ReferenceData!$AS$407),"")</f>
        <v>10297.142449999999</v>
      </c>
      <c r="AT407">
        <f ca="1">IFERROR(IF(0=LEN(ReferenceData!$AT$407),"",ReferenceData!$AT$407),"")</f>
        <v>8578.8539230000006</v>
      </c>
      <c r="AU407" t="str">
        <f ca="1">IFERROR(IF(0=LEN(ReferenceData!$AU$407),"",ReferenceData!$AU$407),"")</f>
        <v/>
      </c>
      <c r="AV407" t="str">
        <f ca="1">IFERROR(IF(0=LEN(ReferenceData!$AV$407),"",ReferenceData!$AV$407),"")</f>
        <v/>
      </c>
      <c r="AW407">
        <f ca="1">IFERROR(IF(0=LEN(ReferenceData!$AW$407),"",ReferenceData!$AW$407),"")</f>
        <v>5619.5994559999999</v>
      </c>
      <c r="AX407">
        <f ca="1">IFERROR(IF(0=LEN(ReferenceData!$AX$407),"",ReferenceData!$AX$407),"")</f>
        <v>7720.6543009999996</v>
      </c>
      <c r="AY407" t="str">
        <f ca="1">IFERROR(IF(0=LEN(ReferenceData!$AY$407),"",ReferenceData!$AY$407),"")</f>
        <v/>
      </c>
      <c r="AZ407" t="str">
        <f ca="1">IFERROR(IF(0=LEN(ReferenceData!$AZ$407),"",ReferenceData!$AZ$407),"")</f>
        <v/>
      </c>
      <c r="BA407" t="str">
        <f ca="1">IFERROR(IF(0=LEN(ReferenceData!$BA$407),"",ReferenceData!$BA$407),"")</f>
        <v/>
      </c>
      <c r="BB407" t="str">
        <f ca="1">IFERROR(IF(0=LEN(ReferenceData!$BB$407),"",ReferenceData!$BB$407),"")</f>
        <v/>
      </c>
      <c r="BC407" t="str">
        <f ca="1">IFERROR(IF(0=LEN(ReferenceData!$BC$407),"",ReferenceData!$BC$407),"")</f>
        <v/>
      </c>
      <c r="BD407" t="str">
        <f ca="1">IFERROR(IF(0=LEN(ReferenceData!$BD$407),"",ReferenceData!$BD$407),"")</f>
        <v/>
      </c>
      <c r="BE407" t="str">
        <f ca="1">IFERROR(IF(0=LEN(ReferenceData!$BE$407),"",ReferenceData!$BE$407),"")</f>
        <v/>
      </c>
      <c r="BF407" t="str">
        <f ca="1">IFERROR(IF(0=LEN(ReferenceData!$BF$407),"",ReferenceData!$BF$407),"")</f>
        <v/>
      </c>
      <c r="BG407" t="str">
        <f ca="1">IFERROR(IF(0=LEN(ReferenceData!$BG$407),"",ReferenceData!$BG$407),"")</f>
        <v/>
      </c>
      <c r="BH407" t="str">
        <f ca="1">IFERROR(IF(0=LEN(ReferenceData!$BH$407),"",ReferenceData!$BH$407),"")</f>
        <v/>
      </c>
      <c r="BI407" t="str">
        <f ca="1">IFERROR(IF(0=LEN(ReferenceData!$BI$407),"",ReferenceData!$BI$407),"")</f>
        <v/>
      </c>
      <c r="BJ407" t="str">
        <f ca="1">IFERROR(IF(0=LEN(ReferenceData!$BJ$407),"",ReferenceData!$BJ$407),"")</f>
        <v/>
      </c>
      <c r="BK407" t="str">
        <f ca="1">IFERROR(IF(0=LEN(ReferenceData!$BK$407),"",ReferenceData!$BK$407),"")</f>
        <v/>
      </c>
      <c r="BL407" t="str">
        <f ca="1">IFERROR(IF(0=LEN(ReferenceData!$BL$407),"",ReferenceData!$BL$407),"")</f>
        <v/>
      </c>
      <c r="BM407" t="str">
        <f ca="1">IFERROR(IF(0=LEN(ReferenceData!$BM$407),"",ReferenceData!$BM$407),"")</f>
        <v/>
      </c>
    </row>
    <row r="408" spans="1:65" x14ac:dyDescent="0.25">
      <c r="A408" t="str">
        <f>IFERROR(IF(0=LEN(ReferenceData!$A$408),"",ReferenceData!$A$408),"")</f>
        <v xml:space="preserve">    Tesla Inc</v>
      </c>
      <c r="B408" t="str">
        <f>IFERROR(IF(0=LEN(ReferenceData!$B$408),"",ReferenceData!$B$408),"")</f>
        <v>TSLA US Equity</v>
      </c>
      <c r="C408" t="str">
        <f>IFERROR(IF(0=LEN(ReferenceData!$C$408),"",ReferenceData!$C$408),"")</f>
        <v>RR937</v>
      </c>
      <c r="D408" t="str">
        <f>IFERROR(IF(0=LEN(ReferenceData!$D$408),"",ReferenceData!$D$408),"")</f>
        <v>CRNCY_ADJ_CURR_EV</v>
      </c>
      <c r="E408" t="str">
        <f>IFERROR(IF(0=LEN(ReferenceData!$E$408),"",ReferenceData!$E$408),"")</f>
        <v>Dynamic</v>
      </c>
      <c r="F408">
        <f ca="1">IFERROR(IF(0=LEN(ReferenceData!$F$408),"",ReferenceData!$F$408),"")</f>
        <v>60541.295250000003</v>
      </c>
      <c r="G408">
        <f ca="1">IFERROR(IF(0=LEN(ReferenceData!$G$408),"",ReferenceData!$G$408),"")</f>
        <v>66828.781520000004</v>
      </c>
      <c r="H408">
        <f ca="1">IFERROR(IF(0=LEN(ReferenceData!$H$408),"",ReferenceData!$H$408),"")</f>
        <v>55324.224739999998</v>
      </c>
      <c r="I408">
        <f ca="1">IFERROR(IF(0=LEN(ReferenceData!$I$408),"",ReferenceData!$I$408),"")</f>
        <v>68342.173269999999</v>
      </c>
      <c r="J408">
        <f ca="1">IFERROR(IF(0=LEN(ReferenceData!$J$408),"",ReferenceData!$J$408),"")</f>
        <v>54237.857900000003</v>
      </c>
      <c r="K408">
        <f ca="1">IFERROR(IF(0=LEN(ReferenceData!$K$408),"",ReferenceData!$K$408),"")</f>
        <v>60569.594449999997</v>
      </c>
      <c r="L408">
        <f ca="1">IFERROR(IF(0=LEN(ReferenceData!$L$408),"",ReferenceData!$L$408),"")</f>
        <v>64769.626700000001</v>
      </c>
      <c r="M408">
        <f ca="1">IFERROR(IF(0=LEN(ReferenceData!$M$408),"",ReferenceData!$M$408),"")</f>
        <v>65203.522599999997</v>
      </c>
      <c r="N408">
        <f ca="1">IFERROR(IF(0=LEN(ReferenceData!$N$408),"",ReferenceData!$N$408),"")</f>
        <v>50544.609100000001</v>
      </c>
      <c r="O408">
        <f ca="1">IFERROR(IF(0=LEN(ReferenceData!$O$408),"",ReferenceData!$O$408),"")</f>
        <v>39036.589160000003</v>
      </c>
      <c r="P408">
        <f ca="1">IFERROR(IF(0=LEN(ReferenceData!$P$408),"",ReferenceData!$P$408),"")</f>
        <v>29957.687559999998</v>
      </c>
      <c r="Q408">
        <f ca="1">IFERROR(IF(0=LEN(ReferenceData!$Q$408),"",ReferenceData!$Q$408),"")</f>
        <v>31264.41577</v>
      </c>
      <c r="R408">
        <f ca="1">IFERROR(IF(0=LEN(ReferenceData!$R$408),"",ReferenceData!$R$408),"")</f>
        <v>32063.035199999998</v>
      </c>
      <c r="S408">
        <f ca="1">IFERROR(IF(0=LEN(ReferenceData!$S$408),"",ReferenceData!$S$408),"")</f>
        <v>32881.739379999999</v>
      </c>
      <c r="T408">
        <f ca="1">IFERROR(IF(0=LEN(ReferenceData!$T$408),"",ReferenceData!$T$408),"")</f>
        <v>33559.110330000003</v>
      </c>
      <c r="U408">
        <f ca="1">IFERROR(IF(0=LEN(ReferenceData!$U$408),"",ReferenceData!$U$408),"")</f>
        <v>35446.299599999998</v>
      </c>
      <c r="V408">
        <f ca="1">IFERROR(IF(0=LEN(ReferenceData!$V$408),"",ReferenceData!$V$408),"")</f>
        <v>24760.442920000001</v>
      </c>
      <c r="W408">
        <f ca="1">IFERROR(IF(0=LEN(ReferenceData!$W$408),"",ReferenceData!$W$408),"")</f>
        <v>28468.532650000001</v>
      </c>
      <c r="X408">
        <f ca="1">IFERROR(IF(0=LEN(ReferenceData!$X$408),"",ReferenceData!$X$408),"")</f>
        <v>30281.087299999999</v>
      </c>
      <c r="Y408">
        <f ca="1">IFERROR(IF(0=LEN(ReferenceData!$Y$408),"",ReferenceData!$Y$408),"")</f>
        <v>29564.790980000002</v>
      </c>
      <c r="Z408">
        <f ca="1">IFERROR(IF(0=LEN(ReferenceData!$Z$408),"",ReferenceData!$Z$408),"")</f>
        <v>25227.151959999999</v>
      </c>
      <c r="AA408">
        <f ca="1">IFERROR(IF(0=LEN(ReferenceData!$AA$408),"",ReferenceData!$AA$408),"")</f>
        <v>18202.670620000001</v>
      </c>
      <c r="AB408">
        <f ca="1">IFERROR(IF(0=LEN(ReferenceData!$AB$408),"",ReferenceData!$AB$408),"")</f>
        <v>23289.00605</v>
      </c>
      <c r="AC408">
        <f ca="1">IFERROR(IF(0=LEN(ReferenceData!$AC$408),"",ReferenceData!$AC$408),"")</f>
        <v>12630.32771</v>
      </c>
      <c r="AD408">
        <f ca="1">IFERROR(IF(0=LEN(ReferenceData!$AD$408),"",ReferenceData!$AD$408),"")</f>
        <v>4580.207934</v>
      </c>
      <c r="AE408">
        <f ca="1">IFERROR(IF(0=LEN(ReferenceData!$AE$408),"",ReferenceData!$AE$408),"")</f>
        <v>4118.4673480000001</v>
      </c>
      <c r="AF408">
        <f ca="1">IFERROR(IF(0=LEN(ReferenceData!$AF$408),"",ReferenceData!$AF$408),"")</f>
        <v>3688.319712</v>
      </c>
      <c r="AG408">
        <f ca="1">IFERROR(IF(0=LEN(ReferenceData!$AG$408),"",ReferenceData!$AG$408),"")</f>
        <v>3520.5776150000002</v>
      </c>
      <c r="AH408">
        <f ca="1">IFERROR(IF(0=LEN(ReferenceData!$AH$408),"",ReferenceData!$AH$408),"")</f>
        <v>4017.781821</v>
      </c>
      <c r="AI408">
        <f ca="1">IFERROR(IF(0=LEN(ReferenceData!$AI$408),"",ReferenceData!$AI$408),"")</f>
        <v>2978.5889940000002</v>
      </c>
      <c r="AJ408">
        <f ca="1">IFERROR(IF(0=LEN(ReferenceData!$AJ$408),"",ReferenceData!$AJ$408),"")</f>
        <v>2484.6674079999998</v>
      </c>
      <c r="AK408">
        <f ca="1">IFERROR(IF(0=LEN(ReferenceData!$AK$408),"",ReferenceData!$AK$408),"")</f>
        <v>2811.1954289999999</v>
      </c>
      <c r="AL408">
        <f ca="1">IFERROR(IF(0=LEN(ReferenceData!$AL$408),"",ReferenceData!$AL$408),"")</f>
        <v>2648.0824459999999</v>
      </c>
      <c r="AM408">
        <f ca="1">IFERROR(IF(0=LEN(ReferenceData!$AM$408),"",ReferenceData!$AM$408),"")</f>
        <v>2456.8437020000001</v>
      </c>
      <c r="AN408">
        <f ca="1">IFERROR(IF(0=LEN(ReferenceData!$AN$408),"",ReferenceData!$AN$408),"")</f>
        <v>1862.554126</v>
      </c>
      <c r="AO408">
        <f ca="1">IFERROR(IF(0=LEN(ReferenceData!$AO$408),"",ReferenceData!$AO$408),"")</f>
        <v>2537.0719519999998</v>
      </c>
      <c r="AP408" t="str">
        <f ca="1">IFERROR(IF(0=LEN(ReferenceData!$AP$408),"",ReferenceData!$AP$408),"")</f>
        <v/>
      </c>
      <c r="AQ408" t="str">
        <f ca="1">IFERROR(IF(0=LEN(ReferenceData!$AQ$408),"",ReferenceData!$AQ$408),"")</f>
        <v/>
      </c>
      <c r="AR408" t="str">
        <f ca="1">IFERROR(IF(0=LEN(ReferenceData!$AR$408),"",ReferenceData!$AR$408),"")</f>
        <v/>
      </c>
      <c r="AS408" t="str">
        <f ca="1">IFERROR(IF(0=LEN(ReferenceData!$AS$408),"",ReferenceData!$AS$408),"")</f>
        <v/>
      </c>
      <c r="AT408" t="str">
        <f ca="1">IFERROR(IF(0=LEN(ReferenceData!$AT$408),"",ReferenceData!$AT$408),"")</f>
        <v/>
      </c>
      <c r="AU408" t="str">
        <f ca="1">IFERROR(IF(0=LEN(ReferenceData!$AU$408),"",ReferenceData!$AU$408),"")</f>
        <v/>
      </c>
      <c r="AV408" t="str">
        <f ca="1">IFERROR(IF(0=LEN(ReferenceData!$AV$408),"",ReferenceData!$AV$408),"")</f>
        <v/>
      </c>
      <c r="AW408" t="str">
        <f ca="1">IFERROR(IF(0=LEN(ReferenceData!$AW$408),"",ReferenceData!$AW$408),"")</f>
        <v/>
      </c>
      <c r="AX408" t="str">
        <f ca="1">IFERROR(IF(0=LEN(ReferenceData!$AX$408),"",ReferenceData!$AX$408),"")</f>
        <v/>
      </c>
      <c r="AY408" t="str">
        <f ca="1">IFERROR(IF(0=LEN(ReferenceData!$AY$408),"",ReferenceData!$AY$408),"")</f>
        <v/>
      </c>
      <c r="AZ408" t="str">
        <f ca="1">IFERROR(IF(0=LEN(ReferenceData!$AZ$408),"",ReferenceData!$AZ$408),"")</f>
        <v/>
      </c>
      <c r="BA408" t="str">
        <f ca="1">IFERROR(IF(0=LEN(ReferenceData!$BA$408),"",ReferenceData!$BA$408),"")</f>
        <v/>
      </c>
      <c r="BB408" t="str">
        <f ca="1">IFERROR(IF(0=LEN(ReferenceData!$BB$408),"",ReferenceData!$BB$408),"")</f>
        <v/>
      </c>
      <c r="BC408" t="str">
        <f ca="1">IFERROR(IF(0=LEN(ReferenceData!$BC$408),"",ReferenceData!$BC$408),"")</f>
        <v/>
      </c>
      <c r="BD408" t="str">
        <f ca="1">IFERROR(IF(0=LEN(ReferenceData!$BD$408),"",ReferenceData!$BD$408),"")</f>
        <v/>
      </c>
      <c r="BE408" t="str">
        <f ca="1">IFERROR(IF(0=LEN(ReferenceData!$BE$408),"",ReferenceData!$BE$408),"")</f>
        <v/>
      </c>
      <c r="BF408" t="str">
        <f ca="1">IFERROR(IF(0=LEN(ReferenceData!$BF$408),"",ReferenceData!$BF$408),"")</f>
        <v/>
      </c>
      <c r="BG408" t="str">
        <f ca="1">IFERROR(IF(0=LEN(ReferenceData!$BG$408),"",ReferenceData!$BG$408),"")</f>
        <v/>
      </c>
      <c r="BH408" t="str">
        <f ca="1">IFERROR(IF(0=LEN(ReferenceData!$BH$408),"",ReferenceData!$BH$408),"")</f>
        <v/>
      </c>
      <c r="BI408" t="str">
        <f ca="1">IFERROR(IF(0=LEN(ReferenceData!$BI$408),"",ReferenceData!$BI$408),"")</f>
        <v/>
      </c>
      <c r="BJ408" t="str">
        <f ca="1">IFERROR(IF(0=LEN(ReferenceData!$BJ$408),"",ReferenceData!$BJ$408),"")</f>
        <v/>
      </c>
      <c r="BK408" t="str">
        <f ca="1">IFERROR(IF(0=LEN(ReferenceData!$BK$408),"",ReferenceData!$BK$408),"")</f>
        <v/>
      </c>
      <c r="BL408" t="str">
        <f ca="1">IFERROR(IF(0=LEN(ReferenceData!$BL$408),"",ReferenceData!$BL$408),"")</f>
        <v/>
      </c>
      <c r="BM408" t="str">
        <f ca="1">IFERROR(IF(0=LEN(ReferenceData!$BM$408),"",ReferenceData!$BM$408),"")</f>
        <v/>
      </c>
    </row>
    <row r="409" spans="1:65" x14ac:dyDescent="0.25">
      <c r="A409" t="str">
        <f>IFERROR(IF(0=LEN(ReferenceData!$A$409),"",ReferenceData!$A$409),"")</f>
        <v xml:space="preserve">    Tianjin Faw Xiali Automobile Co Ltd</v>
      </c>
      <c r="B409" t="str">
        <f>IFERROR(IF(0=LEN(ReferenceData!$B$409),"",ReferenceData!$B$409),"")</f>
        <v>000927 CH Equity</v>
      </c>
      <c r="C409" t="str">
        <f>IFERROR(IF(0=LEN(ReferenceData!$C$409),"",ReferenceData!$C$409),"")</f>
        <v>RR937</v>
      </c>
      <c r="D409" t="str">
        <f>IFERROR(IF(0=LEN(ReferenceData!$D$409),"",ReferenceData!$D$409),"")</f>
        <v>CRNCY_ADJ_CURR_EV</v>
      </c>
      <c r="E409" t="str">
        <f>IFERROR(IF(0=LEN(ReferenceData!$E$409),"",ReferenceData!$E$409),"")</f>
        <v>Dynamic</v>
      </c>
      <c r="F409">
        <f ca="1">IFERROR(IF(0=LEN(ReferenceData!$F$409),"",ReferenceData!$F$409),"")</f>
        <v>1205.813296</v>
      </c>
      <c r="G409">
        <f ca="1">IFERROR(IF(0=LEN(ReferenceData!$G$409),"",ReferenceData!$G$409),"")</f>
        <v>1058.7846939999999</v>
      </c>
      <c r="H409">
        <f ca="1">IFERROR(IF(0=LEN(ReferenceData!$H$409),"",ReferenceData!$H$409),"")</f>
        <v>1104.3100179999999</v>
      </c>
      <c r="I409">
        <f ca="1">IFERROR(IF(0=LEN(ReferenceData!$I$409),"",ReferenceData!$I$409),"")</f>
        <v>1319.8733830000001</v>
      </c>
      <c r="J409">
        <f ca="1">IFERROR(IF(0=LEN(ReferenceData!$J$409),"",ReferenceData!$J$409),"")</f>
        <v>1343.6642059999999</v>
      </c>
      <c r="K409">
        <f ca="1">IFERROR(IF(0=LEN(ReferenceData!$K$409),"",ReferenceData!$K$409),"")</f>
        <v>1478.8965599999999</v>
      </c>
      <c r="L409">
        <f ca="1">IFERROR(IF(0=LEN(ReferenceData!$L$409),"",ReferenceData!$L$409),"")</f>
        <v>1543.3371669999999</v>
      </c>
      <c r="M409">
        <f ca="1">IFERROR(IF(0=LEN(ReferenceData!$M$409),"",ReferenceData!$M$409),"")</f>
        <v>1371.319532</v>
      </c>
      <c r="N409">
        <f ca="1">IFERROR(IF(0=LEN(ReferenceData!$N$409),"",ReferenceData!$N$409),"")</f>
        <v>1801.7642949999999</v>
      </c>
      <c r="O409">
        <f ca="1">IFERROR(IF(0=LEN(ReferenceData!$O$409),"",ReferenceData!$O$409),"")</f>
        <v>1418.907281</v>
      </c>
      <c r="P409">
        <f ca="1">IFERROR(IF(0=LEN(ReferenceData!$P$409),"",ReferenceData!$P$409),"")</f>
        <v>1032.1853840000001</v>
      </c>
      <c r="Q409">
        <f ca="1">IFERROR(IF(0=LEN(ReferenceData!$Q$409),"",ReferenceData!$Q$409),"")</f>
        <v>1522.7539770000001</v>
      </c>
      <c r="R409">
        <f ca="1">IFERROR(IF(0=LEN(ReferenceData!$R$409),"",ReferenceData!$R$409),"")</f>
        <v>1845.5779050000001</v>
      </c>
      <c r="S409">
        <f ca="1">IFERROR(IF(0=LEN(ReferenceData!$S$409),"",ReferenceData!$S$409),"")</f>
        <v>1959.3558780000001</v>
      </c>
      <c r="T409">
        <f ca="1">IFERROR(IF(0=LEN(ReferenceData!$T$409),"",ReferenceData!$T$409),"")</f>
        <v>2157.8524000000002</v>
      </c>
      <c r="U409">
        <f ca="1">IFERROR(IF(0=LEN(ReferenceData!$U$409),"",ReferenceData!$U$409),"")</f>
        <v>2931.9015519999998</v>
      </c>
      <c r="V409">
        <f ca="1">IFERROR(IF(0=LEN(ReferenceData!$V$409),"",ReferenceData!$V$409),"")</f>
        <v>2561.746459</v>
      </c>
      <c r="W409">
        <f ca="1">IFERROR(IF(0=LEN(ReferenceData!$W$409),"",ReferenceData!$W$409),"")</f>
        <v>2107.0062929999999</v>
      </c>
      <c r="X409">
        <f ca="1">IFERROR(IF(0=LEN(ReferenceData!$X$409),"",ReferenceData!$X$409),"")</f>
        <v>1633.5692650000001</v>
      </c>
      <c r="Y409">
        <f ca="1">IFERROR(IF(0=LEN(ReferenceData!$Y$409),"",ReferenceData!$Y$409),"")</f>
        <v>1220.8032029999999</v>
      </c>
      <c r="Z409">
        <f ca="1">IFERROR(IF(0=LEN(ReferenceData!$Z$409),"",ReferenceData!$Z$409),"")</f>
        <v>1346.561422</v>
      </c>
      <c r="AA409">
        <f ca="1">IFERROR(IF(0=LEN(ReferenceData!$AA$409),"",ReferenceData!$AA$409),"")</f>
        <v>1271.039552</v>
      </c>
      <c r="AB409">
        <f ca="1">IFERROR(IF(0=LEN(ReferenceData!$AB$409),"",ReferenceData!$AB$409),"")</f>
        <v>1241.730804</v>
      </c>
      <c r="AC409">
        <f ca="1">IFERROR(IF(0=LEN(ReferenceData!$AC$409),"",ReferenceData!$AC$409),"")</f>
        <v>1072.6568239999999</v>
      </c>
      <c r="AD409">
        <f ca="1">IFERROR(IF(0=LEN(ReferenceData!$AD$409),"",ReferenceData!$AD$409),"")</f>
        <v>1383.8396359999999</v>
      </c>
      <c r="AE409">
        <f ca="1">IFERROR(IF(0=LEN(ReferenceData!$AE$409),"",ReferenceData!$AE$409),"")</f>
        <v>1500.114448</v>
      </c>
      <c r="AF409">
        <f ca="1">IFERROR(IF(0=LEN(ReferenceData!$AF$409),"",ReferenceData!$AF$409),"")</f>
        <v>1446.5139819999999</v>
      </c>
      <c r="AG409">
        <f ca="1">IFERROR(IF(0=LEN(ReferenceData!$AG$409),"",ReferenceData!$AG$409),"")</f>
        <v>1938.847902</v>
      </c>
      <c r="AH409">
        <f ca="1">IFERROR(IF(0=LEN(ReferenceData!$AH$409),"",ReferenceData!$AH$409),"")</f>
        <v>1898.314122</v>
      </c>
      <c r="AI409">
        <f ca="1">IFERROR(IF(0=LEN(ReferenceData!$AI$409),"",ReferenceData!$AI$409),"")</f>
        <v>1673.5167690000001</v>
      </c>
      <c r="AJ409">
        <f ca="1">IFERROR(IF(0=LEN(ReferenceData!$AJ$409),"",ReferenceData!$AJ$409),"")</f>
        <v>1900.8960219999999</v>
      </c>
      <c r="AK409">
        <f ca="1">IFERROR(IF(0=LEN(ReferenceData!$AK$409),"",ReferenceData!$AK$409),"")</f>
        <v>1631.578518</v>
      </c>
      <c r="AL409">
        <f ca="1">IFERROR(IF(0=LEN(ReferenceData!$AL$409),"",ReferenceData!$AL$409),"")</f>
        <v>1961.492225</v>
      </c>
      <c r="AM409">
        <f ca="1">IFERROR(IF(0=LEN(ReferenceData!$AM$409),"",ReferenceData!$AM$409),"")</f>
        <v>1985.451421</v>
      </c>
      <c r="AN409">
        <f ca="1">IFERROR(IF(0=LEN(ReferenceData!$AN$409),"",ReferenceData!$AN$409),"")</f>
        <v>1916.2476549999999</v>
      </c>
      <c r="AO409">
        <f ca="1">IFERROR(IF(0=LEN(ReferenceData!$AO$409),"",ReferenceData!$AO$409),"")</f>
        <v>1816.919032</v>
      </c>
      <c r="AP409">
        <f ca="1">IFERROR(IF(0=LEN(ReferenceData!$AP$409),"",ReferenceData!$AP$409),"")</f>
        <v>2333.8528510000001</v>
      </c>
      <c r="AQ409">
        <f ca="1">IFERROR(IF(0=LEN(ReferenceData!$AQ$409),"",ReferenceData!$AQ$409),"")</f>
        <v>2816.8673610000001</v>
      </c>
      <c r="AR409">
        <f ca="1">IFERROR(IF(0=LEN(ReferenceData!$AR$409),"",ReferenceData!$AR$409),"")</f>
        <v>1664.0050739999999</v>
      </c>
      <c r="AS409">
        <f ca="1">IFERROR(IF(0=LEN(ReferenceData!$AS$409),"",ReferenceData!$AS$409),"")</f>
        <v>1688.1419470000001</v>
      </c>
      <c r="AT409">
        <f ca="1">IFERROR(IF(0=LEN(ReferenceData!$AT$409),"",ReferenceData!$AT$409),"")</f>
        <v>1279.805816</v>
      </c>
      <c r="AU409">
        <f ca="1">IFERROR(IF(0=LEN(ReferenceData!$AU$409),"",ReferenceData!$AU$409),"")</f>
        <v>1009.008716</v>
      </c>
      <c r="AV409">
        <f ca="1">IFERROR(IF(0=LEN(ReferenceData!$AV$409),"",ReferenceData!$AV$409),"")</f>
        <v>953.17755009999996</v>
      </c>
      <c r="AW409">
        <f ca="1">IFERROR(IF(0=LEN(ReferenceData!$AW$409),"",ReferenceData!$AW$409),"")</f>
        <v>969.86012619999997</v>
      </c>
      <c r="AX409">
        <f ca="1">IFERROR(IF(0=LEN(ReferenceData!$AX$409),"",ReferenceData!$AX$409),"")</f>
        <v>1817.703618</v>
      </c>
      <c r="AY409">
        <f ca="1">IFERROR(IF(0=LEN(ReferenceData!$AY$409),"",ReferenceData!$AY$409),"")</f>
        <v>3174.2358949999998</v>
      </c>
      <c r="AZ409">
        <f ca="1">IFERROR(IF(0=LEN(ReferenceData!$AZ$409),"",ReferenceData!$AZ$409),"")</f>
        <v>3584.4465810000002</v>
      </c>
      <c r="BA409">
        <f ca="1">IFERROR(IF(0=LEN(ReferenceData!$BA$409),"",ReferenceData!$BA$409),"")</f>
        <v>1777.191223</v>
      </c>
      <c r="BB409">
        <f ca="1">IFERROR(IF(0=LEN(ReferenceData!$BB$409),"",ReferenceData!$BB$409),"")</f>
        <v>2104.0319730000001</v>
      </c>
      <c r="BC409">
        <f ca="1">IFERROR(IF(0=LEN(ReferenceData!$BC$409),"",ReferenceData!$BC$409),"")</f>
        <v>1142.686089</v>
      </c>
      <c r="BD409">
        <f ca="1">IFERROR(IF(0=LEN(ReferenceData!$BD$409),"",ReferenceData!$BD$409),"")</f>
        <v>827.75334859999998</v>
      </c>
      <c r="BE409">
        <f ca="1">IFERROR(IF(0=LEN(ReferenceData!$BE$409),"",ReferenceData!$BE$409),"")</f>
        <v>1408.7965039999999</v>
      </c>
      <c r="BF409">
        <f ca="1">IFERROR(IF(0=LEN(ReferenceData!$BF$409),"",ReferenceData!$BF$409),"")</f>
        <v>1089.1064710000001</v>
      </c>
      <c r="BG409">
        <f ca="1">IFERROR(IF(0=LEN(ReferenceData!$BG$409),"",ReferenceData!$BG$409),"")</f>
        <v>1033.968173</v>
      </c>
      <c r="BH409">
        <f ca="1">IFERROR(IF(0=LEN(ReferenceData!$BH$409),"",ReferenceData!$BH$409),"")</f>
        <v>1045.8460540000001</v>
      </c>
      <c r="BI409">
        <f ca="1">IFERROR(IF(0=LEN(ReferenceData!$BI$409),"",ReferenceData!$BI$409),"")</f>
        <v>788.15281049999999</v>
      </c>
      <c r="BJ409">
        <f ca="1">IFERROR(IF(0=LEN(ReferenceData!$BJ$409),"",ReferenceData!$BJ$409),"")</f>
        <v>764.86063360000003</v>
      </c>
      <c r="BK409">
        <f ca="1">IFERROR(IF(0=LEN(ReferenceData!$BK$409),"",ReferenceData!$BK$409),"")</f>
        <v>864.55814810000004</v>
      </c>
      <c r="BL409">
        <f ca="1">IFERROR(IF(0=LEN(ReferenceData!$BL$409),"",ReferenceData!$BL$409),"")</f>
        <v>1149.8638330000001</v>
      </c>
      <c r="BM409">
        <f ca="1">IFERROR(IF(0=LEN(ReferenceData!$BM$409),"",ReferenceData!$BM$409),"")</f>
        <v>1352.0528389999999</v>
      </c>
    </row>
    <row r="410" spans="1:65" x14ac:dyDescent="0.25">
      <c r="A410" t="str">
        <f>IFERROR(IF(0=LEN(ReferenceData!$A$410),"",ReferenceData!$A$410),"")</f>
        <v xml:space="preserve">    Tofas Turk Otomobil Fabrikasi AS</v>
      </c>
      <c r="B410" t="str">
        <f>IFERROR(IF(0=LEN(ReferenceData!$B$410),"",ReferenceData!$B$410),"")</f>
        <v>TOASOTRY EO Equity</v>
      </c>
      <c r="C410" t="str">
        <f>IFERROR(IF(0=LEN(ReferenceData!$C$410),"",ReferenceData!$C$410),"")</f>
        <v>RR937</v>
      </c>
      <c r="D410" t="str">
        <f>IFERROR(IF(0=LEN(ReferenceData!$D$410),"",ReferenceData!$D$410),"")</f>
        <v>CRNCY_ADJ_CURR_EV</v>
      </c>
      <c r="E410" t="str">
        <f>IFERROR(IF(0=LEN(ReferenceData!$E$410),"",ReferenceData!$E$410),"")</f>
        <v>Dynamic</v>
      </c>
      <c r="F410">
        <f ca="1">IFERROR(IF(0=LEN(ReferenceData!$F$410),"",ReferenceData!$F$410),"")</f>
        <v>2453.2953499999999</v>
      </c>
      <c r="G410">
        <f ca="1">IFERROR(IF(0=LEN(ReferenceData!$G$410),"",ReferenceData!$G$410),"")</f>
        <v>2172.9927419999999</v>
      </c>
      <c r="H410">
        <f ca="1">IFERROR(IF(0=LEN(ReferenceData!$H$410),"",ReferenceData!$H$410),"")</f>
        <v>2429.5585970000002</v>
      </c>
      <c r="I410">
        <f ca="1">IFERROR(IF(0=LEN(ReferenceData!$I$410),"",ReferenceData!$I$410),"")</f>
        <v>3233.21713</v>
      </c>
      <c r="J410">
        <f ca="1">IFERROR(IF(0=LEN(ReferenceData!$J$410),"",ReferenceData!$J$410),"")</f>
        <v>4123.1180000000004</v>
      </c>
      <c r="K410">
        <f ca="1">IFERROR(IF(0=LEN(ReferenceData!$K$410),"",ReferenceData!$K$410),"")</f>
        <v>5038.3974969999999</v>
      </c>
      <c r="L410">
        <f ca="1">IFERROR(IF(0=LEN(ReferenceData!$L$410),"",ReferenceData!$L$410),"")</f>
        <v>5082.5094749999998</v>
      </c>
      <c r="M410">
        <f ca="1">IFERROR(IF(0=LEN(ReferenceData!$M$410),"",ReferenceData!$M$410),"")</f>
        <v>4868.248208</v>
      </c>
      <c r="N410">
        <f ca="1">IFERROR(IF(0=LEN(ReferenceData!$N$410),"",ReferenceData!$N$410),"")</f>
        <v>4345.3546649999998</v>
      </c>
      <c r="O410">
        <f ca="1">IFERROR(IF(0=LEN(ReferenceData!$O$410),"",ReferenceData!$O$410),"")</f>
        <v>4241.9321989999999</v>
      </c>
      <c r="P410">
        <f ca="1">IFERROR(IF(0=LEN(ReferenceData!$P$410),"",ReferenceData!$P$410),"")</f>
        <v>4717.9126809999998</v>
      </c>
      <c r="Q410">
        <f ca="1">IFERROR(IF(0=LEN(ReferenceData!$Q$410),"",ReferenceData!$Q$410),"")</f>
        <v>5227.6646600000004</v>
      </c>
      <c r="R410">
        <f ca="1">IFERROR(IF(0=LEN(ReferenceData!$R$410),"",ReferenceData!$R$410),"")</f>
        <v>4943.0829279999998</v>
      </c>
      <c r="S410">
        <f ca="1">IFERROR(IF(0=LEN(ReferenceData!$S$410),"",ReferenceData!$S$410),"")</f>
        <v>3906.3438460000002</v>
      </c>
      <c r="T410">
        <f ca="1">IFERROR(IF(0=LEN(ReferenceData!$T$410),"",ReferenceData!$T$410),"")</f>
        <v>3543.0869010000001</v>
      </c>
      <c r="U410">
        <f ca="1">IFERROR(IF(0=LEN(ReferenceData!$U$410),"",ReferenceData!$U$410),"")</f>
        <v>4005.112936</v>
      </c>
      <c r="V410">
        <f ca="1">IFERROR(IF(0=LEN(ReferenceData!$V$410),"",ReferenceData!$V$410),"")</f>
        <v>3526.4149929999999</v>
      </c>
      <c r="W410">
        <f ca="1">IFERROR(IF(0=LEN(ReferenceData!$W$410),"",ReferenceData!$W$410),"")</f>
        <v>3790.2652969999999</v>
      </c>
      <c r="X410">
        <f ca="1">IFERROR(IF(0=LEN(ReferenceData!$X$410),"",ReferenceData!$X$410),"")</f>
        <v>3030.2325380000002</v>
      </c>
      <c r="Y410">
        <f ca="1">IFERROR(IF(0=LEN(ReferenceData!$Y$410),"",ReferenceData!$Y$410),"")</f>
        <v>3366.0432300000002</v>
      </c>
      <c r="Z410">
        <f ca="1">IFERROR(IF(0=LEN(ReferenceData!$Z$410),"",ReferenceData!$Z$410),"")</f>
        <v>3168.3343479999999</v>
      </c>
      <c r="AA410">
        <f ca="1">IFERROR(IF(0=LEN(ReferenceData!$AA$410),"",ReferenceData!$AA$410),"")</f>
        <v>3366.2493020000002</v>
      </c>
      <c r="AB410">
        <f ca="1">IFERROR(IF(0=LEN(ReferenceData!$AB$410),"",ReferenceData!$AB$410),"")</f>
        <v>3246.5614329999999</v>
      </c>
      <c r="AC410">
        <f ca="1">IFERROR(IF(0=LEN(ReferenceData!$AC$410),"",ReferenceData!$AC$410),"")</f>
        <v>3289.7364200000002</v>
      </c>
      <c r="AD410">
        <f ca="1">IFERROR(IF(0=LEN(ReferenceData!$AD$410),"",ReferenceData!$AD$410),"")</f>
        <v>3864.3036929999998</v>
      </c>
      <c r="AE410">
        <f ca="1">IFERROR(IF(0=LEN(ReferenceData!$AE$410),"",ReferenceData!$AE$410),"")</f>
        <v>3291.975226</v>
      </c>
      <c r="AF410">
        <f ca="1">IFERROR(IF(0=LEN(ReferenceData!$AF$410),"",ReferenceData!$AF$410),"")</f>
        <v>2976.0913390000001</v>
      </c>
      <c r="AG410">
        <f ca="1">IFERROR(IF(0=LEN(ReferenceData!$AG$410),"",ReferenceData!$AG$410),"")</f>
        <v>2560.423143</v>
      </c>
      <c r="AH410">
        <f ca="1">IFERROR(IF(0=LEN(ReferenceData!$AH$410),"",ReferenceData!$AH$410),"")</f>
        <v>2731.999327</v>
      </c>
      <c r="AI410">
        <f ca="1">IFERROR(IF(0=LEN(ReferenceData!$AI$410),"",ReferenceData!$AI$410),"")</f>
        <v>2173.4293750000002</v>
      </c>
      <c r="AJ410">
        <f ca="1">IFERROR(IF(0=LEN(ReferenceData!$AJ$410),"",ReferenceData!$AJ$410),"")</f>
        <v>2405.8387240000002</v>
      </c>
      <c r="AK410">
        <f ca="1">IFERROR(IF(0=LEN(ReferenceData!$AK$410),"",ReferenceData!$AK$410),"")</f>
        <v>2813.657185</v>
      </c>
      <c r="AL410">
        <f ca="1">IFERROR(IF(0=LEN(ReferenceData!$AL$410),"",ReferenceData!$AL$410),"")</f>
        <v>3199.620343</v>
      </c>
      <c r="AM410">
        <f ca="1">IFERROR(IF(0=LEN(ReferenceData!$AM$410),"",ReferenceData!$AM$410),"")</f>
        <v>3002.0282350000002</v>
      </c>
      <c r="AN410">
        <f ca="1">IFERROR(IF(0=LEN(ReferenceData!$AN$410),"",ReferenceData!$AN$410),"")</f>
        <v>3086.275729</v>
      </c>
      <c r="AO410">
        <f ca="1">IFERROR(IF(0=LEN(ReferenceData!$AO$410),"",ReferenceData!$AO$410),"")</f>
        <v>2109.2521529999999</v>
      </c>
      <c r="AP410">
        <f ca="1">IFERROR(IF(0=LEN(ReferenceData!$AP$410),"",ReferenceData!$AP$410),"")</f>
        <v>2275.6372970000002</v>
      </c>
      <c r="AQ410">
        <f ca="1">IFERROR(IF(0=LEN(ReferenceData!$AQ$410),"",ReferenceData!$AQ$410),"")</f>
        <v>2117.7183230000001</v>
      </c>
      <c r="AR410">
        <f ca="1">IFERROR(IF(0=LEN(ReferenceData!$AR$410),"",ReferenceData!$AR$410),"")</f>
        <v>2073.3558090000001</v>
      </c>
      <c r="AS410">
        <f ca="1">IFERROR(IF(0=LEN(ReferenceData!$AS$410),"",ReferenceData!$AS$410),"")</f>
        <v>1447.6504190000001</v>
      </c>
      <c r="AT410">
        <f ca="1">IFERROR(IF(0=LEN(ReferenceData!$AT$410),"",ReferenceData!$AT$410),"")</f>
        <v>1158.2179940000001</v>
      </c>
      <c r="AU410">
        <f ca="1">IFERROR(IF(0=LEN(ReferenceData!$AU$410),"",ReferenceData!$AU$410),"")</f>
        <v>1169.301418</v>
      </c>
      <c r="AV410">
        <f ca="1">IFERROR(IF(0=LEN(ReferenceData!$AV$410),"",ReferenceData!$AV$410),"")</f>
        <v>1726.521518</v>
      </c>
      <c r="AW410">
        <f ca="1">IFERROR(IF(0=LEN(ReferenceData!$AW$410),"",ReferenceData!$AW$410),"")</f>
        <v>1956.453166</v>
      </c>
      <c r="AX410">
        <f ca="1">IFERROR(IF(0=LEN(ReferenceData!$AX$410),"",ReferenceData!$AX$410),"")</f>
        <v>2055.2396279999998</v>
      </c>
      <c r="AY410">
        <f ca="1">IFERROR(IF(0=LEN(ReferenceData!$AY$410),"",ReferenceData!$AY$410),"")</f>
        <v>2967.7154879999998</v>
      </c>
      <c r="AZ410">
        <f ca="1">IFERROR(IF(0=LEN(ReferenceData!$AZ$410),"",ReferenceData!$AZ$410),"")</f>
        <v>2751.3067689999998</v>
      </c>
      <c r="BA410">
        <f ca="1">IFERROR(IF(0=LEN(ReferenceData!$BA$410),"",ReferenceData!$BA$410),"")</f>
        <v>2552.9474150000001</v>
      </c>
      <c r="BB410">
        <f ca="1">IFERROR(IF(0=LEN(ReferenceData!$BB$410),"",ReferenceData!$BB$410),"")</f>
        <v>1939.6426879999999</v>
      </c>
      <c r="BC410">
        <f ca="1">IFERROR(IF(0=LEN(ReferenceData!$BC$410),"",ReferenceData!$BC$410),"")</f>
        <v>1679.0130220000001</v>
      </c>
      <c r="BD410">
        <f ca="1">IFERROR(IF(0=LEN(ReferenceData!$BD$410),"",ReferenceData!$BD$410),"")</f>
        <v>1238.004778</v>
      </c>
      <c r="BE410">
        <f ca="1">IFERROR(IF(0=LEN(ReferenceData!$BE$410),"",ReferenceData!$BE$410),"")</f>
        <v>1142.3513740000001</v>
      </c>
      <c r="BF410">
        <f ca="1">IFERROR(IF(0=LEN(ReferenceData!$BF$410),"",ReferenceData!$BF$410),"")</f>
        <v>1356.240225</v>
      </c>
      <c r="BG410">
        <f ca="1">IFERROR(IF(0=LEN(ReferenceData!$BG$410),"",ReferenceData!$BG$410),"")</f>
        <v>883.48204710000005</v>
      </c>
      <c r="BH410">
        <f ca="1">IFERROR(IF(0=LEN(ReferenceData!$BH$410),"",ReferenceData!$BH$410),"")</f>
        <v>717.81942839999999</v>
      </c>
      <c r="BI410">
        <f ca="1">IFERROR(IF(0=LEN(ReferenceData!$BI$410),"",ReferenceData!$BI$410),"")</f>
        <v>583.81502439999997</v>
      </c>
      <c r="BJ410">
        <f ca="1">IFERROR(IF(0=LEN(ReferenceData!$BJ$410),"",ReferenceData!$BJ$410),"")</f>
        <v>775.54609849999997</v>
      </c>
      <c r="BK410">
        <f ca="1">IFERROR(IF(0=LEN(ReferenceData!$BK$410),"",ReferenceData!$BK$410),"")</f>
        <v>756.43089129999998</v>
      </c>
      <c r="BL410">
        <f ca="1">IFERROR(IF(0=LEN(ReferenceData!$BL$410),"",ReferenceData!$BL$410),"")</f>
        <v>1069.5702670000001</v>
      </c>
      <c r="BM410">
        <f ca="1">IFERROR(IF(0=LEN(ReferenceData!$BM$410),"",ReferenceData!$BM$410),"")</f>
        <v>764.18319050000002</v>
      </c>
    </row>
    <row r="411" spans="1:65" x14ac:dyDescent="0.25">
      <c r="A411" t="str">
        <f>IFERROR(IF(0=LEN(ReferenceData!$A$411),"",ReferenceData!$A$411),"")</f>
        <v xml:space="preserve">    Toyota Motor Corp</v>
      </c>
      <c r="B411" t="str">
        <f>IFERROR(IF(0=LEN(ReferenceData!$B$411),"",ReferenceData!$B$411),"")</f>
        <v>7203 JP Equity</v>
      </c>
      <c r="C411" t="str">
        <f>IFERROR(IF(0=LEN(ReferenceData!$C$411),"",ReferenceData!$C$411),"")</f>
        <v>RR937</v>
      </c>
      <c r="D411" t="str">
        <f>IFERROR(IF(0=LEN(ReferenceData!$D$411),"",ReferenceData!$D$411),"")</f>
        <v>CRNCY_ADJ_CURR_EV</v>
      </c>
      <c r="E411" t="str">
        <f>IFERROR(IF(0=LEN(ReferenceData!$E$411),"",ReferenceData!$E$411),"")</f>
        <v>Dynamic</v>
      </c>
      <c r="F411">
        <f ca="1">IFERROR(IF(0=LEN(ReferenceData!$F$411),"",ReferenceData!$F$411),"")</f>
        <v>344336.05670000002</v>
      </c>
      <c r="G411">
        <f ca="1">IFERROR(IF(0=LEN(ReferenceData!$G$411),"",ReferenceData!$G$411),"")</f>
        <v>335586.44990000001</v>
      </c>
      <c r="H411">
        <f ca="1">IFERROR(IF(0=LEN(ReferenceData!$H$411),"",ReferenceData!$H$411),"")</f>
        <v>346822.13400000002</v>
      </c>
      <c r="I411">
        <f ca="1">IFERROR(IF(0=LEN(ReferenceData!$I$411),"",ReferenceData!$I$411),"")</f>
        <v>354459.60479999997</v>
      </c>
      <c r="J411">
        <f ca="1">IFERROR(IF(0=LEN(ReferenceData!$J$411),"",ReferenceData!$J$411),"")</f>
        <v>349157.77519999997</v>
      </c>
      <c r="K411">
        <f ca="1">IFERROR(IF(0=LEN(ReferenceData!$K$411),"",ReferenceData!$K$411),"")</f>
        <v>348939.23349999997</v>
      </c>
      <c r="L411">
        <f ca="1">IFERROR(IF(0=LEN(ReferenceData!$L$411),"",ReferenceData!$L$411),"")</f>
        <v>329043.61719999998</v>
      </c>
      <c r="M411">
        <f ca="1">IFERROR(IF(0=LEN(ReferenceData!$M$411),"",ReferenceData!$M$411),"")</f>
        <v>302886.84120000002</v>
      </c>
      <c r="N411">
        <f ca="1">IFERROR(IF(0=LEN(ReferenceData!$N$411),"",ReferenceData!$N$411),"")</f>
        <v>306781.25280000002</v>
      </c>
      <c r="O411">
        <f ca="1">IFERROR(IF(0=LEN(ReferenceData!$O$411),"",ReferenceData!$O$411),"")</f>
        <v>323570.46649999998</v>
      </c>
      <c r="P411">
        <f ca="1">IFERROR(IF(0=LEN(ReferenceData!$P$411),"",ReferenceData!$P$411),"")</f>
        <v>314933.54920000001</v>
      </c>
      <c r="Q411">
        <f ca="1">IFERROR(IF(0=LEN(ReferenceData!$Q$411),"",ReferenceData!$Q$411),"")</f>
        <v>284034.09889999998</v>
      </c>
      <c r="R411">
        <f ca="1">IFERROR(IF(0=LEN(ReferenceData!$R$411),"",ReferenceData!$R$411),"")</f>
        <v>302393.90639999998</v>
      </c>
      <c r="S411">
        <f ca="1">IFERROR(IF(0=LEN(ReferenceData!$S$411),"",ReferenceData!$S$411),"")</f>
        <v>337479.99099999998</v>
      </c>
      <c r="T411">
        <f ca="1">IFERROR(IF(0=LEN(ReferenceData!$T$411),"",ReferenceData!$T$411),"")</f>
        <v>326417.01329999999</v>
      </c>
      <c r="U411">
        <f ca="1">IFERROR(IF(0=LEN(ReferenceData!$U$411),"",ReferenceData!$U$411),"")</f>
        <v>357584.92440000002</v>
      </c>
      <c r="V411">
        <f ca="1">IFERROR(IF(0=LEN(ReferenceData!$V$411),"",ReferenceData!$V$411),"")</f>
        <v>360768.49969999999</v>
      </c>
      <c r="W411">
        <f ca="1">IFERROR(IF(0=LEN(ReferenceData!$W$411),"",ReferenceData!$W$411),"")</f>
        <v>346182.00689999998</v>
      </c>
      <c r="X411">
        <f ca="1">IFERROR(IF(0=LEN(ReferenceData!$X$411),"",ReferenceData!$X$411),"")</f>
        <v>327468.60499999998</v>
      </c>
      <c r="Y411">
        <f ca="1">IFERROR(IF(0=LEN(ReferenceData!$Y$411),"",ReferenceData!$Y$411),"")</f>
        <v>332313.48749999999</v>
      </c>
      <c r="Z411">
        <f ca="1">IFERROR(IF(0=LEN(ReferenceData!$Z$411),"",ReferenceData!$Z$411),"")</f>
        <v>319171.55109999998</v>
      </c>
      <c r="AA411">
        <f ca="1">IFERROR(IF(0=LEN(ReferenceData!$AA$411),"",ReferenceData!$AA$411),"")</f>
        <v>338879.05719999998</v>
      </c>
      <c r="AB411">
        <f ca="1">IFERROR(IF(0=LEN(ReferenceData!$AB$411),"",ReferenceData!$AB$411),"")</f>
        <v>342000.6384</v>
      </c>
      <c r="AC411">
        <f ca="1">IFERROR(IF(0=LEN(ReferenceData!$AC$411),"",ReferenceData!$AC$411),"")</f>
        <v>326071.49280000001</v>
      </c>
      <c r="AD411">
        <f ca="1">IFERROR(IF(0=LEN(ReferenceData!$AD$411),"",ReferenceData!$AD$411),"")</f>
        <v>299758.11009999999</v>
      </c>
      <c r="AE411">
        <f ca="1">IFERROR(IF(0=LEN(ReferenceData!$AE$411),"",ReferenceData!$AE$411),"")</f>
        <v>284510.37670000002</v>
      </c>
      <c r="AF411">
        <f ca="1">IFERROR(IF(0=LEN(ReferenceData!$AF$411),"",ReferenceData!$AF$411),"")</f>
        <v>252423.58290000001</v>
      </c>
      <c r="AG411">
        <f ca="1">IFERROR(IF(0=LEN(ReferenceData!$AG$411),"",ReferenceData!$AG$411),"")</f>
        <v>252939.5515</v>
      </c>
      <c r="AH411">
        <f ca="1">IFERROR(IF(0=LEN(ReferenceData!$AH$411),"",ReferenceData!$AH$411),"")</f>
        <v>264922.46500000003</v>
      </c>
      <c r="AI411">
        <f ca="1">IFERROR(IF(0=LEN(ReferenceData!$AI$411),"",ReferenceData!$AI$411),"")</f>
        <v>236259.84849999999</v>
      </c>
      <c r="AJ411">
        <f ca="1">IFERROR(IF(0=LEN(ReferenceData!$AJ$411),"",ReferenceData!$AJ$411),"")</f>
        <v>235544.3536</v>
      </c>
      <c r="AK411">
        <f ca="1">IFERROR(IF(0=LEN(ReferenceData!$AK$411),"",ReferenceData!$AK$411),"")</f>
        <v>252633.51620000001</v>
      </c>
      <c r="AL411">
        <f ca="1">IFERROR(IF(0=LEN(ReferenceData!$AL$411),"",ReferenceData!$AL$411),"")</f>
        <v>253887.27299999999</v>
      </c>
      <c r="AM411">
        <f ca="1">IFERROR(IF(0=LEN(ReferenceData!$AM$411),"",ReferenceData!$AM$411),"")</f>
        <v>247114.1808</v>
      </c>
      <c r="AN411">
        <f ca="1">IFERROR(IF(0=LEN(ReferenceData!$AN$411),"",ReferenceData!$AN$411),"")</f>
        <v>228253.86629999999</v>
      </c>
      <c r="AO411">
        <f ca="1">IFERROR(IF(0=LEN(ReferenceData!$AO$411),"",ReferenceData!$AO$411),"")</f>
        <v>219154.63399999999</v>
      </c>
      <c r="AP411">
        <f ca="1">IFERROR(IF(0=LEN(ReferenceData!$AP$411),"",ReferenceData!$AP$411),"")</f>
        <v>234859.1808</v>
      </c>
      <c r="AQ411">
        <f ca="1">IFERROR(IF(0=LEN(ReferenceData!$AQ$411),"",ReferenceData!$AQ$411),"")</f>
        <v>244780.954</v>
      </c>
      <c r="AR411">
        <f ca="1">IFERROR(IF(0=LEN(ReferenceData!$AR$411),"",ReferenceData!$AR$411),"")</f>
        <v>237180.25520000001</v>
      </c>
      <c r="AS411">
        <f ca="1">IFERROR(IF(0=LEN(ReferenceData!$AS$411),"",ReferenceData!$AS$411),"")</f>
        <v>235837.625</v>
      </c>
      <c r="AT411">
        <f ca="1">IFERROR(IF(0=LEN(ReferenceData!$AT$411),"",ReferenceData!$AT$411),"")</f>
        <v>210680.9399</v>
      </c>
      <c r="AU411">
        <f ca="1">IFERROR(IF(0=LEN(ReferenceData!$AU$411),"",ReferenceData!$AU$411),"")</f>
        <v>221425.25219999999</v>
      </c>
      <c r="AV411">
        <f ca="1">IFERROR(IF(0=LEN(ReferenceData!$AV$411),"",ReferenceData!$AV$411),"")</f>
        <v>244549.65919999999</v>
      </c>
      <c r="AW411">
        <f ca="1">IFERROR(IF(0=LEN(ReferenceData!$AW$411),"",ReferenceData!$AW$411),"")</f>
        <v>271236.05579999997</v>
      </c>
      <c r="AX411">
        <f ca="1">IFERROR(IF(0=LEN(ReferenceData!$AX$411),"",ReferenceData!$AX$411),"")</f>
        <v>277365.99099999998</v>
      </c>
      <c r="AY411">
        <f ca="1">IFERROR(IF(0=LEN(ReferenceData!$AY$411),"",ReferenceData!$AY$411),"")</f>
        <v>297237.67070000002</v>
      </c>
      <c r="AZ411">
        <f ca="1">IFERROR(IF(0=LEN(ReferenceData!$AZ$411),"",ReferenceData!$AZ$411),"")</f>
        <v>308834.30699999997</v>
      </c>
      <c r="BA411">
        <f ca="1">IFERROR(IF(0=LEN(ReferenceData!$BA$411),"",ReferenceData!$BA$411),"")</f>
        <v>318711.60110000003</v>
      </c>
      <c r="BB411">
        <f ca="1">IFERROR(IF(0=LEN(ReferenceData!$BB$411),"",ReferenceData!$BB$411),"")</f>
        <v>287613.01610000001</v>
      </c>
      <c r="BC411">
        <f ca="1">IFERROR(IF(0=LEN(ReferenceData!$BC$411),"",ReferenceData!$BC$411),"")</f>
        <v>329958.62079999998</v>
      </c>
      <c r="BD411">
        <f ca="1">IFERROR(IF(0=LEN(ReferenceData!$BD$411),"",ReferenceData!$BD$411),"")</f>
        <v>277333.02260000003</v>
      </c>
      <c r="BE411">
        <f ca="1">IFERROR(IF(0=LEN(ReferenceData!$BE$411),"",ReferenceData!$BE$411),"")</f>
        <v>269673.3762</v>
      </c>
      <c r="BF411">
        <f ca="1">IFERROR(IF(0=LEN(ReferenceData!$BF$411),"",ReferenceData!$BF$411),"")</f>
        <v>289786.19829999999</v>
      </c>
      <c r="BG411">
        <f ca="1">IFERROR(IF(0=LEN(ReferenceData!$BG$411),"",ReferenceData!$BG$411),"")</f>
        <v>260874.3075</v>
      </c>
      <c r="BH411">
        <f ca="1">IFERROR(IF(0=LEN(ReferenceData!$BH$411),"",ReferenceData!$BH$411),"")</f>
        <v>234651.51730000001</v>
      </c>
      <c r="BI411">
        <f ca="1">IFERROR(IF(0=LEN(ReferenceData!$BI$411),"",ReferenceData!$BI$411),"")</f>
        <v>196984.4074</v>
      </c>
      <c r="BJ411">
        <f ca="1">IFERROR(IF(0=LEN(ReferenceData!$BJ$411),"",ReferenceData!$BJ$411),"")</f>
        <v>199309.76869999999</v>
      </c>
      <c r="BK411">
        <f ca="1">IFERROR(IF(0=LEN(ReferenceData!$BK$411),"",ReferenceData!$BK$411),"")</f>
        <v>212046.72349999999</v>
      </c>
      <c r="BL411">
        <f ca="1">IFERROR(IF(0=LEN(ReferenceData!$BL$411),"",ReferenceData!$BL$411),"")</f>
        <v>197904.155</v>
      </c>
      <c r="BM411">
        <f ca="1">IFERROR(IF(0=LEN(ReferenceData!$BM$411),"",ReferenceData!$BM$411),"")</f>
        <v>200170.63519999999</v>
      </c>
    </row>
    <row r="412" spans="1:65" x14ac:dyDescent="0.25">
      <c r="A412" t="str">
        <f>IFERROR(IF(0=LEN(ReferenceData!$A$412),"",ReferenceData!$A$412),"")</f>
        <v xml:space="preserve">    Volkswagen AG</v>
      </c>
      <c r="B412" t="str">
        <f>IFERROR(IF(0=LEN(ReferenceData!$B$412),"",ReferenceData!$B$412),"")</f>
        <v>VOW GR Equity</v>
      </c>
      <c r="C412" t="str">
        <f>IFERROR(IF(0=LEN(ReferenceData!$C$412),"",ReferenceData!$C$412),"")</f>
        <v>RR937</v>
      </c>
      <c r="D412" t="str">
        <f>IFERROR(IF(0=LEN(ReferenceData!$D$412),"",ReferenceData!$D$412),"")</f>
        <v>CRNCY_ADJ_CURR_EV</v>
      </c>
      <c r="E412" t="str">
        <f>IFERROR(IF(0=LEN(ReferenceData!$E$412),"",ReferenceData!$E$412),"")</f>
        <v>Dynamic</v>
      </c>
      <c r="F412" t="str">
        <f ca="1">IFERROR(IF(0=LEN(ReferenceData!$F$412),"",ReferenceData!$F$412),"")</f>
        <v/>
      </c>
      <c r="G412">
        <f ca="1">IFERROR(IF(0=LEN(ReferenceData!$G$412),"",ReferenceData!$G$412),"")</f>
        <v>65791.456460000001</v>
      </c>
      <c r="H412">
        <f ca="1">IFERROR(IF(0=LEN(ReferenceData!$H$412),"",ReferenceData!$H$412),"")</f>
        <v>73918.385450000002</v>
      </c>
      <c r="I412">
        <f ca="1">IFERROR(IF(0=LEN(ReferenceData!$I$412),"",ReferenceData!$I$412),"")</f>
        <v>83260.678150000007</v>
      </c>
      <c r="J412">
        <f ca="1">IFERROR(IF(0=LEN(ReferenceData!$J$412),"",ReferenceData!$J$412),"")</f>
        <v>85394.096220000007</v>
      </c>
      <c r="K412">
        <f ca="1">IFERROR(IF(0=LEN(ReferenceData!$K$412),"",ReferenceData!$K$412),"")</f>
        <v>78358.853350000005</v>
      </c>
      <c r="L412">
        <f ca="1">IFERROR(IF(0=LEN(ReferenceData!$L$412),"",ReferenceData!$L$412),"")</f>
        <v>69184.048939999993</v>
      </c>
      <c r="M412">
        <f ca="1">IFERROR(IF(0=LEN(ReferenceData!$M$412),"",ReferenceData!$M$412),"")</f>
        <v>68027.015310000003</v>
      </c>
      <c r="N412">
        <f ca="1">IFERROR(IF(0=LEN(ReferenceData!$N$412),"",ReferenceData!$N$412),"")</f>
        <v>75867.173989999996</v>
      </c>
      <c r="O412">
        <f ca="1">IFERROR(IF(0=LEN(ReferenceData!$O$412),"",ReferenceData!$O$412),"")</f>
        <v>43968.363089999999</v>
      </c>
      <c r="P412">
        <f ca="1">IFERROR(IF(0=LEN(ReferenceData!$P$412),"",ReferenceData!$P$412),"")</f>
        <v>47044.454669999999</v>
      </c>
      <c r="Q412">
        <f ca="1">IFERROR(IF(0=LEN(ReferenceData!$Q$412),"",ReferenceData!$Q$412),"")</f>
        <v>44138.505259999998</v>
      </c>
      <c r="R412">
        <f ca="1">IFERROR(IF(0=LEN(ReferenceData!$R$412),"",ReferenceData!$R$412),"")</f>
        <v>50687.497439999999</v>
      </c>
      <c r="S412">
        <f ca="1">IFERROR(IF(0=LEN(ReferenceData!$S$412),"",ReferenceData!$S$412),"")</f>
        <v>58470.148959999999</v>
      </c>
      <c r="T412">
        <f ca="1">IFERROR(IF(0=LEN(ReferenceData!$T$412),"",ReferenceData!$T$412),"")</f>
        <v>35268.394959999998</v>
      </c>
      <c r="U412">
        <f ca="1">IFERROR(IF(0=LEN(ReferenceData!$U$412),"",ReferenceData!$U$412),"")</f>
        <v>97206.696230000001</v>
      </c>
      <c r="V412">
        <f ca="1">IFERROR(IF(0=LEN(ReferenceData!$V$412),"",ReferenceData!$V$412),"")</f>
        <v>111785.5886</v>
      </c>
      <c r="W412">
        <f ca="1">IFERROR(IF(0=LEN(ReferenceData!$W$412),"",ReferenceData!$W$412),"")</f>
        <v>92198.839420000004</v>
      </c>
      <c r="X412">
        <f ca="1">IFERROR(IF(0=LEN(ReferenceData!$X$412),"",ReferenceData!$X$412),"")</f>
        <v>85618.348419999995</v>
      </c>
      <c r="Y412">
        <f ca="1">IFERROR(IF(0=LEN(ReferenceData!$Y$412),"",ReferenceData!$Y$412),"")</f>
        <v>113329.5416</v>
      </c>
      <c r="Z412">
        <f ca="1">IFERROR(IF(0=LEN(ReferenceData!$Z$412),"",ReferenceData!$Z$412),"")</f>
        <v>106725.23759999999</v>
      </c>
      <c r="AA412">
        <f ca="1">IFERROR(IF(0=LEN(ReferenceData!$AA$412),"",ReferenceData!$AA$412),"")</f>
        <v>113096.43</v>
      </c>
      <c r="AB412">
        <f ca="1">IFERROR(IF(0=LEN(ReferenceData!$AB$412),"",ReferenceData!$AB$412),"")</f>
        <v>92583.089859999993</v>
      </c>
      <c r="AC412">
        <f ca="1">IFERROR(IF(0=LEN(ReferenceData!$AC$412),"",ReferenceData!$AC$412),"")</f>
        <v>82148.490890000001</v>
      </c>
      <c r="AD412">
        <f ca="1">IFERROR(IF(0=LEN(ReferenceData!$AD$412),"",ReferenceData!$AD$412),"")</f>
        <v>83614.184009999997</v>
      </c>
      <c r="AE412">
        <f ca="1">IFERROR(IF(0=LEN(ReferenceData!$AE$412),"",ReferenceData!$AE$412),"")</f>
        <v>96513.924650000001</v>
      </c>
      <c r="AF412">
        <f ca="1">IFERROR(IF(0=LEN(ReferenceData!$AF$412),"",ReferenceData!$AF$412),"")</f>
        <v>77407.613110000006</v>
      </c>
      <c r="AG412">
        <f ca="1">IFERROR(IF(0=LEN(ReferenceData!$AG$412),"",ReferenceData!$AG$412),"")</f>
        <v>59577.61479</v>
      </c>
      <c r="AH412">
        <f ca="1">IFERROR(IF(0=LEN(ReferenceData!$AH$412),"",ReferenceData!$AH$412),"")</f>
        <v>65562.375650000002</v>
      </c>
      <c r="AI412">
        <f ca="1">IFERROR(IF(0=LEN(ReferenceData!$AI$412),"",ReferenceData!$AI$412),"")</f>
        <v>53237.203410000002</v>
      </c>
      <c r="AJ412">
        <f ca="1">IFERROR(IF(0=LEN(ReferenceData!$AJ$412),"",ReferenceData!$AJ$412),"")</f>
        <v>37910.450019999997</v>
      </c>
      <c r="AK412">
        <f ca="1">IFERROR(IF(0=LEN(ReferenceData!$AK$412),"",ReferenceData!$AK$412),"")</f>
        <v>67340.312430000005</v>
      </c>
      <c r="AL412">
        <f ca="1">IFERROR(IF(0=LEN(ReferenceData!$AL$412),"",ReferenceData!$AL$412),"")</f>
        <v>51592.399039999997</v>
      </c>
      <c r="AM412">
        <f ca="1">IFERROR(IF(0=LEN(ReferenceData!$AM$412),"",ReferenceData!$AM$412),"")</f>
        <v>49983.768199999999</v>
      </c>
      <c r="AN412">
        <f ca="1">IFERROR(IF(0=LEN(ReferenceData!$AN$412),"",ReferenceData!$AN$412),"")</f>
        <v>32443.09259</v>
      </c>
      <c r="AO412">
        <f ca="1">IFERROR(IF(0=LEN(ReferenceData!$AO$412),"",ReferenceData!$AO$412),"")</f>
        <v>23851.045679999999</v>
      </c>
      <c r="AP412">
        <f ca="1">IFERROR(IF(0=LEN(ReferenceData!$AP$412),"",ReferenceData!$AP$412),"")</f>
        <v>24239.32777</v>
      </c>
      <c r="AQ412">
        <f ca="1">IFERROR(IF(0=LEN(ReferenceData!$AQ$412),"",ReferenceData!$AQ$412),"")</f>
        <v>122616.7101</v>
      </c>
      <c r="AR412">
        <f ca="1">IFERROR(IF(0=LEN(ReferenceData!$AR$412),"",ReferenceData!$AR$412),"")</f>
        <v>136946.10500000001</v>
      </c>
      <c r="AS412">
        <f ca="1">IFERROR(IF(0=LEN(ReferenceData!$AS$412),"",ReferenceData!$AS$412),"")</f>
        <v>182398.8107</v>
      </c>
      <c r="AT412">
        <f ca="1">IFERROR(IF(0=LEN(ReferenceData!$AT$412),"",ReferenceData!$AT$412),"")</f>
        <v>169408.69270000001</v>
      </c>
      <c r="AU412">
        <f ca="1">IFERROR(IF(0=LEN(ReferenceData!$AU$412),"",ReferenceData!$AU$412),"")</f>
        <v>192293.83850000001</v>
      </c>
      <c r="AV412">
        <f ca="1">IFERROR(IF(0=LEN(ReferenceData!$AV$412),"",ReferenceData!$AV$412),"")</f>
        <v>205773.06570000001</v>
      </c>
      <c r="AW412">
        <f ca="1">IFERROR(IF(0=LEN(ReferenceData!$AW$412),"",ReferenceData!$AW$412),"")</f>
        <v>166913.2678</v>
      </c>
      <c r="AX412">
        <f ca="1">IFERROR(IF(0=LEN(ReferenceData!$AX$412),"",ReferenceData!$AX$412),"")</f>
        <v>167476.0024</v>
      </c>
      <c r="AY412">
        <f ca="1">IFERROR(IF(0=LEN(ReferenceData!$AY$412),"",ReferenceData!$AY$412),"")</f>
        <v>143113.7831</v>
      </c>
      <c r="AZ412">
        <f ca="1">IFERROR(IF(0=LEN(ReferenceData!$AZ$412),"",ReferenceData!$AZ$412),"")</f>
        <v>136929.5496</v>
      </c>
      <c r="BA412">
        <f ca="1">IFERROR(IF(0=LEN(ReferenceData!$BA$412),"",ReferenceData!$BA$412),"")</f>
        <v>114205.91590000001</v>
      </c>
      <c r="BB412">
        <f ca="1">IFERROR(IF(0=LEN(ReferenceData!$BB$412),"",ReferenceData!$BB$412),"")</f>
        <v>112580.4715</v>
      </c>
      <c r="BC412">
        <f ca="1">IFERROR(IF(0=LEN(ReferenceData!$BC$412),"",ReferenceData!$BC$412),"")</f>
        <v>98618.090370000005</v>
      </c>
      <c r="BD412">
        <f ca="1">IFERROR(IF(0=LEN(ReferenceData!$BD$412),"",ReferenceData!$BD$412),"")</f>
        <v>84425.303620000006</v>
      </c>
      <c r="BE412">
        <f ca="1">IFERROR(IF(0=LEN(ReferenceData!$BE$412),"",ReferenceData!$BE$412),"")</f>
        <v>80760.641900000002</v>
      </c>
      <c r="BF412">
        <f ca="1">IFERROR(IF(0=LEN(ReferenceData!$BF$412),"",ReferenceData!$BF$412),"")</f>
        <v>86877.057060000006</v>
      </c>
      <c r="BG412">
        <f ca="1">IFERROR(IF(0=LEN(ReferenceData!$BG$412),"",ReferenceData!$BG$412),"")</f>
        <v>80274.218689999994</v>
      </c>
      <c r="BH412">
        <f ca="1">IFERROR(IF(0=LEN(ReferenceData!$BH$412),"",ReferenceData!$BH$412),"")</f>
        <v>83808.58971</v>
      </c>
      <c r="BI412">
        <f ca="1">IFERROR(IF(0=LEN(ReferenceData!$BI$412),"",ReferenceData!$BI$412),"")</f>
        <v>79438.209279999995</v>
      </c>
      <c r="BJ412">
        <f ca="1">IFERROR(IF(0=LEN(ReferenceData!$BJ$412),"",ReferenceData!$BJ$412),"")</f>
        <v>82346.69197</v>
      </c>
      <c r="BK412">
        <f ca="1">IFERROR(IF(0=LEN(ReferenceData!$BK$412),"",ReferenceData!$BK$412),"")</f>
        <v>83737.363740000001</v>
      </c>
      <c r="BL412" t="str">
        <f ca="1">IFERROR(IF(0=LEN(ReferenceData!$BL$412),"",ReferenceData!$BL$412),"")</f>
        <v/>
      </c>
      <c r="BM412" t="str">
        <f ca="1">IFERROR(IF(0=LEN(ReferenceData!$BM$412),"",ReferenceData!$BM$412),"")</f>
        <v/>
      </c>
    </row>
    <row r="413" spans="1:65" x14ac:dyDescent="0.25">
      <c r="A413" t="str">
        <f>IFERROR(IF(0=LEN(ReferenceData!$A$413),"",ReferenceData!$A$413),"")</f>
        <v xml:space="preserve">    Yulon Motor Co Ltd</v>
      </c>
      <c r="B413" t="str">
        <f>IFERROR(IF(0=LEN(ReferenceData!$B$413),"",ReferenceData!$B$413),"")</f>
        <v>2201 TT Equity</v>
      </c>
      <c r="C413" t="str">
        <f>IFERROR(IF(0=LEN(ReferenceData!$C$413),"",ReferenceData!$C$413),"")</f>
        <v>RR937</v>
      </c>
      <c r="D413" t="str">
        <f>IFERROR(IF(0=LEN(ReferenceData!$D$413),"",ReferenceData!$D$413),"")</f>
        <v>CRNCY_ADJ_CURR_EV</v>
      </c>
      <c r="E413" t="str">
        <f>IFERROR(IF(0=LEN(ReferenceData!$E$413),"",ReferenceData!$E$413),"")</f>
        <v>Dynamic</v>
      </c>
      <c r="F413">
        <f ca="1">IFERROR(IF(0=LEN(ReferenceData!$F$413),"",ReferenceData!$F$413),"")</f>
        <v>5455.9614840000004</v>
      </c>
      <c r="G413">
        <f ca="1">IFERROR(IF(0=LEN(ReferenceData!$G$413),"",ReferenceData!$G$413),"")</f>
        <v>5451.6346659999999</v>
      </c>
      <c r="H413">
        <f ca="1">IFERROR(IF(0=LEN(ReferenceData!$H$413),"",ReferenceData!$H$413),"")</f>
        <v>5642.2369699999999</v>
      </c>
      <c r="I413">
        <f ca="1">IFERROR(IF(0=LEN(ReferenceData!$I$413),"",ReferenceData!$I$413),"")</f>
        <v>5226.038751</v>
      </c>
      <c r="J413">
        <f ca="1">IFERROR(IF(0=LEN(ReferenceData!$J$413),"",ReferenceData!$J$413),"")</f>
        <v>5189.7176900000004</v>
      </c>
      <c r="K413">
        <f ca="1">IFERROR(IF(0=LEN(ReferenceData!$K$413),"",ReferenceData!$K$413),"")</f>
        <v>4935.4622939999999</v>
      </c>
      <c r="L413">
        <f ca="1">IFERROR(IF(0=LEN(ReferenceData!$L$413),"",ReferenceData!$L$413),"")</f>
        <v>4652.0911880000003</v>
      </c>
      <c r="M413">
        <f ca="1">IFERROR(IF(0=LEN(ReferenceData!$M$413),"",ReferenceData!$M$413),"")</f>
        <v>4475.7764310000002</v>
      </c>
      <c r="N413">
        <f ca="1">IFERROR(IF(0=LEN(ReferenceData!$N$413),"",ReferenceData!$N$413),"")</f>
        <v>4305.3430230000004</v>
      </c>
      <c r="O413">
        <f ca="1">IFERROR(IF(0=LEN(ReferenceData!$O$413),"",ReferenceData!$O$413),"")</f>
        <v>3895.0833790000001</v>
      </c>
      <c r="P413">
        <f ca="1">IFERROR(IF(0=LEN(ReferenceData!$P$413),"",ReferenceData!$P$413),"")</f>
        <v>3850.857266</v>
      </c>
      <c r="Q413">
        <f ca="1">IFERROR(IF(0=LEN(ReferenceData!$Q$413),"",ReferenceData!$Q$413),"")</f>
        <v>3594.127383</v>
      </c>
      <c r="R413">
        <f ca="1">IFERROR(IF(0=LEN(ReferenceData!$R$413),"",ReferenceData!$R$413),"")</f>
        <v>3673.1845920000001</v>
      </c>
      <c r="S413">
        <f ca="1">IFERROR(IF(0=LEN(ReferenceData!$S$413),"",ReferenceData!$S$413),"")</f>
        <v>3597.3421020000001</v>
      </c>
      <c r="T413">
        <f ca="1">IFERROR(IF(0=LEN(ReferenceData!$T$413),"",ReferenceData!$T$413),"")</f>
        <v>3474.4385609999999</v>
      </c>
      <c r="U413">
        <f ca="1">IFERROR(IF(0=LEN(ReferenceData!$U$413),"",ReferenceData!$U$413),"")</f>
        <v>4103.704941</v>
      </c>
      <c r="V413">
        <f ca="1">IFERROR(IF(0=LEN(ReferenceData!$V$413),"",ReferenceData!$V$413),"")</f>
        <v>4272.8517469999997</v>
      </c>
      <c r="W413">
        <f ca="1">IFERROR(IF(0=LEN(ReferenceData!$W$413),"",ReferenceData!$W$413),"")</f>
        <v>4390.2403420000001</v>
      </c>
      <c r="X413">
        <f ca="1">IFERROR(IF(0=LEN(ReferenceData!$X$413),"",ReferenceData!$X$413),"")</f>
        <v>4340.1048870000004</v>
      </c>
      <c r="Y413">
        <f ca="1">IFERROR(IF(0=LEN(ReferenceData!$Y$413),"",ReferenceData!$Y$413),"")</f>
        <v>4522.8783460000004</v>
      </c>
      <c r="Z413">
        <f ca="1">IFERROR(IF(0=LEN(ReferenceData!$Z$413),"",ReferenceData!$Z$413),"")</f>
        <v>4443.321508</v>
      </c>
      <c r="AA413">
        <f ca="1">IFERROR(IF(0=LEN(ReferenceData!$AA$413),"",ReferenceData!$AA$413),"")</f>
        <v>4667.7643749999997</v>
      </c>
      <c r="AB413">
        <f ca="1">IFERROR(IF(0=LEN(ReferenceData!$AB$413),"",ReferenceData!$AB$413),"")</f>
        <v>4406.1455740000001</v>
      </c>
      <c r="AC413">
        <f ca="1">IFERROR(IF(0=LEN(ReferenceData!$AC$413),"",ReferenceData!$AC$413),"")</f>
        <v>4208.8772140000001</v>
      </c>
      <c r="AD413">
        <f ca="1">IFERROR(IF(0=LEN(ReferenceData!$AD$413),"",ReferenceData!$AD$413),"")</f>
        <v>4472.3622310000001</v>
      </c>
      <c r="AE413">
        <f ca="1">IFERROR(IF(0=LEN(ReferenceData!$AE$413),"",ReferenceData!$AE$413),"")</f>
        <v>4692.6836039999998</v>
      </c>
      <c r="AF413">
        <f ca="1">IFERROR(IF(0=LEN(ReferenceData!$AF$413),"",ReferenceData!$AF$413),"")</f>
        <v>4839.7394409999997</v>
      </c>
      <c r="AG413">
        <f ca="1">IFERROR(IF(0=LEN(ReferenceData!$AG$413),"",ReferenceData!$AG$413),"")</f>
        <v>4371.4096680000002</v>
      </c>
      <c r="AH413">
        <f ca="1">IFERROR(IF(0=LEN(ReferenceData!$AH$413),"",ReferenceData!$AH$413),"")</f>
        <v>4455.3064180000001</v>
      </c>
      <c r="AI413">
        <f ca="1">IFERROR(IF(0=LEN(ReferenceData!$AI$413),"",ReferenceData!$AI$413),"")</f>
        <v>3986.856256</v>
      </c>
      <c r="AJ413">
        <f ca="1">IFERROR(IF(0=LEN(ReferenceData!$AJ$413),"",ReferenceData!$AJ$413),"")</f>
        <v>4249.9951950000004</v>
      </c>
      <c r="AK413">
        <f ca="1">IFERROR(IF(0=LEN(ReferenceData!$AK$413),"",ReferenceData!$AK$413),"")</f>
        <v>4955.1111339999998</v>
      </c>
      <c r="AL413">
        <f ca="1">IFERROR(IF(0=LEN(ReferenceData!$AL$413),"",ReferenceData!$AL$413),"")</f>
        <v>3931.2181110000001</v>
      </c>
      <c r="AM413">
        <f ca="1">IFERROR(IF(0=LEN(ReferenceData!$AM$413),"",ReferenceData!$AM$413),"")</f>
        <v>4264.8370949999999</v>
      </c>
      <c r="AN413">
        <f ca="1">IFERROR(IF(0=LEN(ReferenceData!$AN$413),"",ReferenceData!$AN$413),"")</f>
        <v>3644.0111310000002</v>
      </c>
      <c r="AO413">
        <f ca="1">IFERROR(IF(0=LEN(ReferenceData!$AO$413),"",ReferenceData!$AO$413),"")</f>
        <v>2299.4159570000002</v>
      </c>
      <c r="AP413">
        <f ca="1">IFERROR(IF(0=LEN(ReferenceData!$AP$413),"",ReferenceData!$AP$413),"")</f>
        <v>2435.3946900000001</v>
      </c>
      <c r="AQ413">
        <f ca="1">IFERROR(IF(0=LEN(ReferenceData!$AQ$413),"",ReferenceData!$AQ$413),"")</f>
        <v>2438.9100429999999</v>
      </c>
      <c r="AR413">
        <f ca="1">IFERROR(IF(0=LEN(ReferenceData!$AR$413),"",ReferenceData!$AR$413),"")</f>
        <v>2326.6004090000001</v>
      </c>
      <c r="AS413">
        <f ca="1">IFERROR(IF(0=LEN(ReferenceData!$AS$413),"",ReferenceData!$AS$413),"")</f>
        <v>1997.684141</v>
      </c>
      <c r="AT413">
        <f ca="1">IFERROR(IF(0=LEN(ReferenceData!$AT$413),"",ReferenceData!$AT$413),"")</f>
        <v>1364.309677</v>
      </c>
      <c r="AU413">
        <f ca="1">IFERROR(IF(0=LEN(ReferenceData!$AU$413),"",ReferenceData!$AU$413),"")</f>
        <v>1163.158776</v>
      </c>
      <c r="AV413">
        <f ca="1">IFERROR(IF(0=LEN(ReferenceData!$AV$413),"",ReferenceData!$AV$413),"")</f>
        <v>1472.1354739999999</v>
      </c>
      <c r="AW413">
        <f ca="1">IFERROR(IF(0=LEN(ReferenceData!$AW$413),"",ReferenceData!$AW$413),"")</f>
        <v>2201.093003</v>
      </c>
      <c r="AX413">
        <f ca="1">IFERROR(IF(0=LEN(ReferenceData!$AX$413),"",ReferenceData!$AX$413),"")</f>
        <v>2752.2906229999999</v>
      </c>
      <c r="AY413" t="str">
        <f ca="1">IFERROR(IF(0=LEN(ReferenceData!$AY$413),"",ReferenceData!$AY$413),"")</f>
        <v/>
      </c>
      <c r="AZ413" t="str">
        <f ca="1">IFERROR(IF(0=LEN(ReferenceData!$AZ$413),"",ReferenceData!$AZ$413),"")</f>
        <v/>
      </c>
      <c r="BA413" t="str">
        <f ca="1">IFERROR(IF(0=LEN(ReferenceData!$BA$413),"",ReferenceData!$BA$413),"")</f>
        <v/>
      </c>
      <c r="BB413" t="str">
        <f ca="1">IFERROR(IF(0=LEN(ReferenceData!$BB$413),"",ReferenceData!$BB$413),"")</f>
        <v/>
      </c>
      <c r="BC413" t="str">
        <f ca="1">IFERROR(IF(0=LEN(ReferenceData!$BC$413),"",ReferenceData!$BC$413),"")</f>
        <v/>
      </c>
      <c r="BD413" t="str">
        <f ca="1">IFERROR(IF(0=LEN(ReferenceData!$BD$413),"",ReferenceData!$BD$413),"")</f>
        <v/>
      </c>
      <c r="BE413" t="str">
        <f ca="1">IFERROR(IF(0=LEN(ReferenceData!$BE$413),"",ReferenceData!$BE$413),"")</f>
        <v/>
      </c>
      <c r="BF413" t="str">
        <f ca="1">IFERROR(IF(0=LEN(ReferenceData!$BF$413),"",ReferenceData!$BF$413),"")</f>
        <v/>
      </c>
      <c r="BG413" t="str">
        <f ca="1">IFERROR(IF(0=LEN(ReferenceData!$BG$413),"",ReferenceData!$BG$413),"")</f>
        <v/>
      </c>
      <c r="BH413" t="str">
        <f ca="1">IFERROR(IF(0=LEN(ReferenceData!$BH$413),"",ReferenceData!$BH$413),"")</f>
        <v/>
      </c>
      <c r="BI413" t="str">
        <f ca="1">IFERROR(IF(0=LEN(ReferenceData!$BI$413),"",ReferenceData!$BI$413),"")</f>
        <v/>
      </c>
      <c r="BJ413" t="str">
        <f ca="1">IFERROR(IF(0=LEN(ReferenceData!$BJ$413),"",ReferenceData!$BJ$413),"")</f>
        <v/>
      </c>
      <c r="BK413" t="str">
        <f ca="1">IFERROR(IF(0=LEN(ReferenceData!$BK$413),"",ReferenceData!$BK$413),"")</f>
        <v/>
      </c>
      <c r="BL413" t="str">
        <f ca="1">IFERROR(IF(0=LEN(ReferenceData!$BL$413),"",ReferenceData!$BL$413),"")</f>
        <v/>
      </c>
      <c r="BM413" t="str">
        <f ca="1">IFERROR(IF(0=LEN(ReferenceData!$BM$413),"",ReferenceData!$BM$413),"")</f>
        <v/>
      </c>
    </row>
    <row r="414" spans="1:65" x14ac:dyDescent="0.25">
      <c r="A414" t="str">
        <f>IFERROR(IF(0=LEN(ReferenceData!$A$414),"",ReferenceData!$A$414),"")</f>
        <v>Last Price</v>
      </c>
      <c r="B414" t="str">
        <f>IFERROR(IF(0=LEN(ReferenceData!$B$414),"",ReferenceData!$B$414),"")</f>
        <v/>
      </c>
      <c r="C414" t="str">
        <f>IFERROR(IF(0=LEN(ReferenceData!$C$414),"",ReferenceData!$C$414),"")</f>
        <v/>
      </c>
      <c r="D414" t="str">
        <f>IFERROR(IF(0=LEN(ReferenceData!$D$414),"",ReferenceData!$D$414),"")</f>
        <v/>
      </c>
      <c r="E414" t="str">
        <f>IFERROR(IF(0=LEN(ReferenceData!$E$414),"",ReferenceData!$E$414),"")</f>
        <v>Average</v>
      </c>
      <c r="F414">
        <f ca="1">IFERROR(IF(0=LEN(ReferenceData!$F$414),"",ReferenceData!$F$414),"")</f>
        <v>56.226307492594586</v>
      </c>
      <c r="G414">
        <f ca="1">IFERROR(IF(0=LEN(ReferenceData!$G$414),"",ReferenceData!$G$414),"")</f>
        <v>54.410478792459465</v>
      </c>
      <c r="H414">
        <f ca="1">IFERROR(IF(0=LEN(ReferenceData!$H$414),"",ReferenceData!$H$414),"")</f>
        <v>56.826040897729733</v>
      </c>
      <c r="I414">
        <f ca="1">IFERROR(IF(0=LEN(ReferenceData!$I$414),"",ReferenceData!$I$414),"")</f>
        <v>56.970082864054049</v>
      </c>
      <c r="J414">
        <f ca="1">IFERROR(IF(0=LEN(ReferenceData!$J$414),"",ReferenceData!$J$414),"")</f>
        <v>60.957698353837834</v>
      </c>
      <c r="K414">
        <f ca="1">IFERROR(IF(0=LEN(ReferenceData!$K$414),"",ReferenceData!$K$414),"")</f>
        <v>60.28222215232433</v>
      </c>
      <c r="L414">
        <f ca="1">IFERROR(IF(0=LEN(ReferenceData!$L$414),"",ReferenceData!$L$414),"")</f>
        <v>58.148282252432431</v>
      </c>
      <c r="M414">
        <f ca="1">IFERROR(IF(0=LEN(ReferenceData!$M$414),"",ReferenceData!$M$414),"")</f>
        <v>56.134983850297296</v>
      </c>
      <c r="N414">
        <f ca="1">IFERROR(IF(0=LEN(ReferenceData!$N$414),"",ReferenceData!$N$414),"")</f>
        <v>50.456615822783775</v>
      </c>
      <c r="O414">
        <f ca="1">IFERROR(IF(0=LEN(ReferenceData!$O$414),"",ReferenceData!$O$414),"")</f>
        <v>47.409408111486492</v>
      </c>
      <c r="P414">
        <f ca="1">IFERROR(IF(0=LEN(ReferenceData!$P$414),"",ReferenceData!$P$414),"")</f>
        <v>46.444920338499998</v>
      </c>
      <c r="Q414">
        <f ca="1">IFERROR(IF(0=LEN(ReferenceData!$Q$414),"",ReferenceData!$Q$414),"")</f>
        <v>44.073483517526313</v>
      </c>
      <c r="R414">
        <f ca="1">IFERROR(IF(0=LEN(ReferenceData!$R$414),"",ReferenceData!$R$414),"")</f>
        <v>48.357175318078944</v>
      </c>
      <c r="S414">
        <f ca="1">IFERROR(IF(0=LEN(ReferenceData!$S$414),"",ReferenceData!$S$414),"")</f>
        <v>51.024003963631571</v>
      </c>
      <c r="T414">
        <f ca="1">IFERROR(IF(0=LEN(ReferenceData!$T$414),"",ReferenceData!$T$414),"")</f>
        <v>48.625844242052629</v>
      </c>
      <c r="U414">
        <f ca="1">IFERROR(IF(0=LEN(ReferenceData!$U$414),"",ReferenceData!$U$414),"")</f>
        <v>57.508087324631596</v>
      </c>
      <c r="V414">
        <f ca="1">IFERROR(IF(0=LEN(ReferenceData!$V$414),"",ReferenceData!$V$414),"")</f>
        <v>55.413644243421054</v>
      </c>
      <c r="W414">
        <f ca="1">IFERROR(IF(0=LEN(ReferenceData!$W$414),"",ReferenceData!$W$414),"")</f>
        <v>53.559299583605274</v>
      </c>
      <c r="X414">
        <f ca="1">IFERROR(IF(0=LEN(ReferenceData!$X$414),"",ReferenceData!$X$414),"")</f>
        <v>55.15016119462161</v>
      </c>
      <c r="Y414">
        <f ca="1">IFERROR(IF(0=LEN(ReferenceData!$Y$414),"",ReferenceData!$Y$414),"")</f>
        <v>62.22422337199999</v>
      </c>
      <c r="Z414">
        <f ca="1">IFERROR(IF(0=LEN(ReferenceData!$Z$414),"",ReferenceData!$Z$414),"")</f>
        <v>62.020387819405421</v>
      </c>
      <c r="AA414">
        <f ca="1">IFERROR(IF(0=LEN(ReferenceData!$AA$414),"",ReferenceData!$AA$414),"")</f>
        <v>60.525434379081062</v>
      </c>
      <c r="AB414">
        <f ca="1">IFERROR(IF(0=LEN(ReferenceData!$AB$414),"",ReferenceData!$AB$414),"")</f>
        <v>58.666648626432405</v>
      </c>
      <c r="AC414">
        <f ca="1">IFERROR(IF(0=LEN(ReferenceData!$AC$414),"",ReferenceData!$AC$414),"")</f>
        <v>52.198814924864863</v>
      </c>
      <c r="AD414">
        <f ca="1">IFERROR(IF(0=LEN(ReferenceData!$AD$414),"",ReferenceData!$AD$414),"")</f>
        <v>47.306438876054067</v>
      </c>
      <c r="AE414">
        <f ca="1">IFERROR(IF(0=LEN(ReferenceData!$AE$414),"",ReferenceData!$AE$414),"")</f>
        <v>46.471683340891886</v>
      </c>
      <c r="AF414">
        <f ca="1">IFERROR(IF(0=LEN(ReferenceData!$AF$414),"",ReferenceData!$AF$414),"")</f>
        <v>42.747410732135144</v>
      </c>
      <c r="AG414">
        <f ca="1">IFERROR(IF(0=LEN(ReferenceData!$AG$414),"",ReferenceData!$AG$414),"")</f>
        <v>41.425998454243242</v>
      </c>
      <c r="AH414">
        <f ca="1">IFERROR(IF(0=LEN(ReferenceData!$AH$414),"",ReferenceData!$AH$414),"")</f>
        <v>47.466986493675662</v>
      </c>
      <c r="AI414">
        <f ca="1">IFERROR(IF(0=LEN(ReferenceData!$AI$414),"",ReferenceData!$AI$414),"")</f>
        <v>40.351374252081079</v>
      </c>
      <c r="AJ414">
        <f ca="1">IFERROR(IF(0=LEN(ReferenceData!$AJ$414),"",ReferenceData!$AJ$414),"")</f>
        <v>41.031511752500002</v>
      </c>
      <c r="AK414">
        <f ca="1">IFERROR(IF(0=LEN(ReferenceData!$AK$414),"",ReferenceData!$AK$414),"")</f>
        <v>52.04645074422222</v>
      </c>
      <c r="AL414">
        <f ca="1">IFERROR(IF(0=LEN(ReferenceData!$AL$414),"",ReferenceData!$AL$414),"")</f>
        <v>50.032792431999994</v>
      </c>
      <c r="AM414">
        <f ca="1">IFERROR(IF(0=LEN(ReferenceData!$AM$414),"",ReferenceData!$AM$414),"")</f>
        <v>47.531425489472227</v>
      </c>
      <c r="AN414">
        <f ca="1">IFERROR(IF(0=LEN(ReferenceData!$AN$414),"",ReferenceData!$AN$414),"")</f>
        <v>44.107186125542853</v>
      </c>
      <c r="AO414">
        <f ca="1">IFERROR(IF(0=LEN(ReferenceData!$AO$414),"",ReferenceData!$AO$414),"")</f>
        <v>37.777781633558824</v>
      </c>
      <c r="AP414">
        <f ca="1">IFERROR(IF(0=LEN(ReferenceData!$AP$414),"",ReferenceData!$AP$414),"")</f>
        <v>41.983489538787865</v>
      </c>
      <c r="AQ414">
        <f ca="1">IFERROR(IF(0=LEN(ReferenceData!$AQ$414),"",ReferenceData!$AQ$414),"")</f>
        <v>40.659030441909096</v>
      </c>
      <c r="AR414">
        <f ca="1">IFERROR(IF(0=LEN(ReferenceData!$AR$414),"",ReferenceData!$AR$414),"")</f>
        <v>37.571805444030311</v>
      </c>
      <c r="AS414">
        <f ca="1">IFERROR(IF(0=LEN(ReferenceData!$AS$414),"",ReferenceData!$AS$414),"")</f>
        <v>37.876404908696983</v>
      </c>
      <c r="AT414">
        <f ca="1">IFERROR(IF(0=LEN(ReferenceData!$AT$414),"",ReferenceData!$AT$414),"")</f>
        <v>29.678683857787878</v>
      </c>
      <c r="AU414">
        <f ca="1">IFERROR(IF(0=LEN(ReferenceData!$AU$414),"",ReferenceData!$AU$414),"")</f>
        <v>38.541598470090925</v>
      </c>
      <c r="AV414">
        <f ca="1">IFERROR(IF(0=LEN(ReferenceData!$AV$414),"",ReferenceData!$AV$414),"")</f>
        <v>46.226367120212117</v>
      </c>
      <c r="AW414">
        <f ca="1">IFERROR(IF(0=LEN(ReferenceData!$AW$414),"",ReferenceData!$AW$414),"")</f>
        <v>51.290379258242432</v>
      </c>
      <c r="AX414">
        <f ca="1">IFERROR(IF(0=LEN(ReferenceData!$AX$414),"",ReferenceData!$AX$414),"")</f>
        <v>55.473696820757567</v>
      </c>
      <c r="AY414">
        <f ca="1">IFERROR(IF(0=LEN(ReferenceData!$AY$414),"",ReferenceData!$AY$414),"")</f>
        <v>57.760759939848491</v>
      </c>
      <c r="AZ414">
        <f ca="1">IFERROR(IF(0=LEN(ReferenceData!$AZ$414),"",ReferenceData!$AZ$414),"")</f>
        <v>54.098904429242431</v>
      </c>
      <c r="BA414">
        <f ca="1">IFERROR(IF(0=LEN(ReferenceData!$BA$414),"",ReferenceData!$BA$414),"")</f>
        <v>51.686975789848496</v>
      </c>
      <c r="BB414">
        <f ca="1">IFERROR(IF(0=LEN(ReferenceData!$BB$414),"",ReferenceData!$BB$414),"")</f>
        <v>48.636781634515152</v>
      </c>
      <c r="BC414">
        <f ca="1">IFERROR(IF(0=LEN(ReferenceData!$BC$414),"",ReferenceData!$BC$414),"")</f>
        <v>46.024104705272727</v>
      </c>
      <c r="BD414">
        <f ca="1">IFERROR(IF(0=LEN(ReferenceData!$BD$414),"",ReferenceData!$BD$414),"")</f>
        <v>38.337768406030307</v>
      </c>
      <c r="BE414">
        <f ca="1">IFERROR(IF(0=LEN(ReferenceData!$BE$414),"",ReferenceData!$BE$414),"")</f>
        <v>32.609134046939396</v>
      </c>
      <c r="BF414">
        <f ca="1">IFERROR(IF(0=LEN(ReferenceData!$BF$414),"",ReferenceData!$BF$414),"")</f>
        <v>34.319067160030293</v>
      </c>
      <c r="BG414">
        <f ca="1">IFERROR(IF(0=LEN(ReferenceData!$BG$414),"",ReferenceData!$BG$414),"")</f>
        <v>31.272242865575759</v>
      </c>
      <c r="BH414">
        <f ca="1">IFERROR(IF(0=LEN(ReferenceData!$BH$414),"",ReferenceData!$BH$414),"")</f>
        <v>29.774482291218753</v>
      </c>
      <c r="BI414">
        <f ca="1">IFERROR(IF(0=LEN(ReferenceData!$BI$414),"",ReferenceData!$BI$414),"")</f>
        <v>26.326379368625002</v>
      </c>
      <c r="BJ414">
        <f ca="1">IFERROR(IF(0=LEN(ReferenceData!$BJ$414),"",ReferenceData!$BJ$414),"")</f>
        <v>27.571272960129026</v>
      </c>
      <c r="BK414">
        <f ca="1">IFERROR(IF(0=LEN(ReferenceData!$BK$414),"",ReferenceData!$BK$414),"")</f>
        <v>27.224559383709682</v>
      </c>
      <c r="BL414">
        <f ca="1">IFERROR(IF(0=LEN(ReferenceData!$BL$414),"",ReferenceData!$BL$414),"")</f>
        <v>25.254682191193549</v>
      </c>
      <c r="BM414">
        <f ca="1">IFERROR(IF(0=LEN(ReferenceData!$BM$414),"",ReferenceData!$BM$414),"")</f>
        <v>25.466900505548388</v>
      </c>
    </row>
    <row r="415" spans="1:65" x14ac:dyDescent="0.25">
      <c r="A415" t="str">
        <f>IFERROR(IF(0=LEN(ReferenceData!$A$415),"",ReferenceData!$A$415),"")</f>
        <v xml:space="preserve">    AUDI AG</v>
      </c>
      <c r="B415" t="str">
        <f>IFERROR(IF(0=LEN(ReferenceData!$B$415),"",ReferenceData!$B$415),"")</f>
        <v>NSU GR Equity</v>
      </c>
      <c r="C415" t="str">
        <f>IFERROR(IF(0=LEN(ReferenceData!$C$415),"",ReferenceData!$C$415),"")</f>
        <v>PR005</v>
      </c>
      <c r="D415" t="str">
        <f>IFERROR(IF(0=LEN(ReferenceData!$D$415),"",ReferenceData!$D$415),"")</f>
        <v>PX_LAST</v>
      </c>
      <c r="E415" t="str">
        <f>IFERROR(IF(0=LEN(ReferenceData!$E$415),"",ReferenceData!$E$415),"")</f>
        <v>Dynamic</v>
      </c>
      <c r="F415">
        <f ca="1">IFERROR(IF(0=LEN(ReferenceData!$F$415),"",ReferenceData!$F$415),"")</f>
        <v>909.51998660000004</v>
      </c>
      <c r="G415">
        <f ca="1">IFERROR(IF(0=LEN(ReferenceData!$G$415),"",ReferenceData!$G$415),"")</f>
        <v>894.68619999999999</v>
      </c>
      <c r="H415">
        <f ca="1">IFERROR(IF(0=LEN(ReferenceData!$H$415),"",ReferenceData!$H$415),"")</f>
        <v>936.08839999999998</v>
      </c>
      <c r="I415">
        <f ca="1">IFERROR(IF(0=LEN(ReferenceData!$I$415),"",ReferenceData!$I$415),"")</f>
        <v>872.27189999999996</v>
      </c>
      <c r="J415">
        <f ca="1">IFERROR(IF(0=LEN(ReferenceData!$J$415),"",ReferenceData!$J$415),"")</f>
        <v>943.94880000000001</v>
      </c>
      <c r="K415">
        <f ca="1">IFERROR(IF(0=LEN(ReferenceData!$K$415),"",ReferenceData!$K$415),"")</f>
        <v>872.73708999999997</v>
      </c>
      <c r="L415">
        <f ca="1">IFERROR(IF(0=LEN(ReferenceData!$L$415),"",ReferenceData!$L$415),"")</f>
        <v>835.35732499999995</v>
      </c>
      <c r="M415">
        <f ca="1">IFERROR(IF(0=LEN(ReferenceData!$M$415),"",ReferenceData!$M$415),"")</f>
        <v>808.04039999999998</v>
      </c>
      <c r="N415">
        <f ca="1">IFERROR(IF(0=LEN(ReferenceData!$N$415),"",ReferenceData!$N$415),"")</f>
        <v>685.57073000000003</v>
      </c>
      <c r="O415">
        <f ca="1">IFERROR(IF(0=LEN(ReferenceData!$O$415),"",ReferenceData!$O$415),"")</f>
        <v>665.51570000000004</v>
      </c>
      <c r="P415">
        <f ca="1">IFERROR(IF(0=LEN(ReferenceData!$P$415),"",ReferenceData!$P$415),"")</f>
        <v>701.86228000000006</v>
      </c>
      <c r="Q415">
        <f ca="1">IFERROR(IF(0=LEN(ReferenceData!$Q$415),"",ReferenceData!$Q$415),"")</f>
        <v>685.41869999999994</v>
      </c>
      <c r="R415">
        <f ca="1">IFERROR(IF(0=LEN(ReferenceData!$R$415),"",ReferenceData!$R$415),"")</f>
        <v>713.92443949999995</v>
      </c>
      <c r="S415">
        <f ca="1">IFERROR(IF(0=LEN(ReferenceData!$S$415),"",ReferenceData!$S$415),"")</f>
        <v>739.76580000000001</v>
      </c>
      <c r="T415">
        <f ca="1">IFERROR(IF(0=LEN(ReferenceData!$T$415),"",ReferenceData!$T$415),"")</f>
        <v>752.54859999999996</v>
      </c>
      <c r="U415">
        <f ca="1">IFERROR(IF(0=LEN(ReferenceData!$U$415),"",ReferenceData!$U$415),"")</f>
        <v>859.59628429999998</v>
      </c>
      <c r="V415">
        <f ca="1">IFERROR(IF(0=LEN(ReferenceData!$V$415),"",ReferenceData!$V$415),"")</f>
        <v>797.85852480000005</v>
      </c>
      <c r="W415">
        <f ca="1">IFERROR(IF(0=LEN(ReferenceData!$W$415),"",ReferenceData!$W$415),"")</f>
        <v>790.14421500000003</v>
      </c>
      <c r="X415">
        <f ca="1">IFERROR(IF(0=LEN(ReferenceData!$X$415),"",ReferenceData!$X$415),"")</f>
        <v>760.26580000000001</v>
      </c>
      <c r="Y415">
        <f ca="1">IFERROR(IF(0=LEN(ReferenceData!$Y$415),"",ReferenceData!$Y$415),"")</f>
        <v>852.88699999999994</v>
      </c>
      <c r="Z415">
        <f ca="1">IFERROR(IF(0=LEN(ReferenceData!$Z$415),"",ReferenceData!$Z$415),"")</f>
        <v>880.71939999999995</v>
      </c>
      <c r="AA415">
        <f ca="1">IFERROR(IF(0=LEN(ReferenceData!$AA$415),"",ReferenceData!$AA$415),"")</f>
        <v>880.50900000000001</v>
      </c>
      <c r="AB415">
        <f ca="1">IFERROR(IF(0=LEN(ReferenceData!$AB$415),"",ReferenceData!$AB$415),"")</f>
        <v>823.02307499999995</v>
      </c>
      <c r="AC415">
        <f ca="1">IFERROR(IF(0=LEN(ReferenceData!$AC$415),"",ReferenceData!$AC$415),"")</f>
        <v>815.60857499999997</v>
      </c>
      <c r="AD415">
        <f ca="1">IFERROR(IF(0=LEN(ReferenceData!$AD$415),"",ReferenceData!$AD$415),"")</f>
        <v>742.93360619999999</v>
      </c>
      <c r="AE415">
        <f ca="1">IFERROR(IF(0=LEN(ReferenceData!$AE$415),"",ReferenceData!$AE$415),"")</f>
        <v>694.28722000000005</v>
      </c>
      <c r="AF415">
        <f ca="1">IFERROR(IF(0=LEN(ReferenceData!$AF$415),"",ReferenceData!$AF$415),"")</f>
        <v>675.34619999999995</v>
      </c>
      <c r="AG415">
        <f ca="1">IFERROR(IF(0=LEN(ReferenceData!$AG$415),"",ReferenceData!$AG$415),"")</f>
        <v>679.67497500000002</v>
      </c>
      <c r="AH415">
        <f ca="1">IFERROR(IF(0=LEN(ReferenceData!$AH$415),"",ReferenceData!$AH$415),"")</f>
        <v>791.08088399999997</v>
      </c>
      <c r="AI415">
        <f ca="1">IFERROR(IF(0=LEN(ReferenceData!$AI$415),"",ReferenceData!$AI$415),"")</f>
        <v>703.44287999999995</v>
      </c>
      <c r="AJ415">
        <f ca="1">IFERROR(IF(0=LEN(ReferenceData!$AJ$415),"",ReferenceData!$AJ$415),"")</f>
        <v>719.30631600000004</v>
      </c>
      <c r="AK415">
        <f ca="1">IFERROR(IF(0=LEN(ReferenceData!$AK$415),"",ReferenceData!$AK$415),"")</f>
        <v>848.98009999999999</v>
      </c>
      <c r="AL415">
        <f ca="1">IFERROR(IF(0=LEN(ReferenceData!$AL$415),"",ReferenceData!$AL$415),"")</f>
        <v>879.78</v>
      </c>
      <c r="AM415">
        <f ca="1">IFERROR(IF(0=LEN(ReferenceData!$AM$415),"",ReferenceData!$AM$415),"")</f>
        <v>842.20050000000003</v>
      </c>
      <c r="AN415">
        <f ca="1">IFERROR(IF(0=LEN(ReferenceData!$AN$415),"",ReferenceData!$AN$415),"")</f>
        <v>826.73400000000004</v>
      </c>
      <c r="AO415">
        <f ca="1">IFERROR(IF(0=LEN(ReferenceData!$AO$415),"",ReferenceData!$AO$415),"")</f>
        <v>686.79648099999997</v>
      </c>
      <c r="AP415">
        <f ca="1">IFERROR(IF(0=LEN(ReferenceData!$AP$415),"",ReferenceData!$AP$415),"")</f>
        <v>786.53796</v>
      </c>
      <c r="AQ415">
        <f ca="1">IFERROR(IF(0=LEN(ReferenceData!$AQ$415),"",ReferenceData!$AQ$415),"")</f>
        <v>716.95</v>
      </c>
      <c r="AR415">
        <f ca="1">IFERROR(IF(0=LEN(ReferenceData!$AR$415),"",ReferenceData!$AR$415),"")</f>
        <v>593.04150000000004</v>
      </c>
      <c r="AS415">
        <f ca="1">IFERROR(IF(0=LEN(ReferenceData!$AS$415),"",ReferenceData!$AS$415),"")</f>
        <v>539.02824999999996</v>
      </c>
      <c r="AT415">
        <f ca="1">IFERROR(IF(0=LEN(ReferenceData!$AT$415),"",ReferenceData!$AT$415),"")</f>
        <v>412.308243</v>
      </c>
      <c r="AU415">
        <f ca="1">IFERROR(IF(0=LEN(ReferenceData!$AU$415),"",ReferenceData!$AU$415),"")</f>
        <v>657.00670000000002</v>
      </c>
      <c r="AV415">
        <f ca="1">IFERROR(IF(0=LEN(ReferenceData!$AV$415),"",ReferenceData!$AV$415),"")</f>
        <v>675.18206599999996</v>
      </c>
      <c r="AW415">
        <f ca="1">IFERROR(IF(0=LEN(ReferenceData!$AW$415),"",ReferenceData!$AW$415),"")</f>
        <v>812.93749600000001</v>
      </c>
      <c r="AX415">
        <f ca="1">IFERROR(IF(0=LEN(ReferenceData!$AX$415),"",ReferenceData!$AX$415),"")</f>
        <v>850.17640200000005</v>
      </c>
      <c r="AY415">
        <f ca="1">IFERROR(IF(0=LEN(ReferenceData!$AY$415),"",ReferenceData!$AY$415),"")</f>
        <v>912.14400000000001</v>
      </c>
      <c r="AZ415">
        <f ca="1">IFERROR(IF(0=LEN(ReferenceData!$AZ$415),"",ReferenceData!$AZ$415),"")</f>
        <v>773.68648499999995</v>
      </c>
      <c r="BA415">
        <f ca="1">IFERROR(IF(0=LEN(ReferenceData!$BA$415),"",ReferenceData!$BA$415),"")</f>
        <v>752.10359000000005</v>
      </c>
      <c r="BB415">
        <f ca="1">IFERROR(IF(0=LEN(ReferenceData!$BB$415),"",ReferenceData!$BB$415),"")</f>
        <v>755.74229100000002</v>
      </c>
      <c r="BC415">
        <f ca="1">IFERROR(IF(0=LEN(ReferenceData!$BC$415),"",ReferenceData!$BC$415),"")</f>
        <v>718.80050000000006</v>
      </c>
      <c r="BD415">
        <f ca="1">IFERROR(IF(0=LEN(ReferenceData!$BD$415),"",ReferenceData!$BD$415),"")</f>
        <v>551.20669999999996</v>
      </c>
      <c r="BE415">
        <f ca="1">IFERROR(IF(0=LEN(ReferenceData!$BE$415),"",ReferenceData!$BE$415),"")</f>
        <v>391.221</v>
      </c>
      <c r="BF415">
        <f ca="1">IFERROR(IF(0=LEN(ReferenceData!$BF$415),"",ReferenceData!$BF$415),"")</f>
        <v>400.58699999999999</v>
      </c>
      <c r="BG415">
        <f ca="1">IFERROR(IF(0=LEN(ReferenceData!$BG$415),"",ReferenceData!$BG$415),"")</f>
        <v>364.45639999999997</v>
      </c>
      <c r="BH415">
        <f ca="1">IFERROR(IF(0=LEN(ReferenceData!$BH$415),"",ReferenceData!$BH$415),"")</f>
        <v>284.87040000000002</v>
      </c>
      <c r="BI415">
        <f ca="1">IFERROR(IF(0=LEN(ReferenceData!$BI$415),"",ReferenceData!$BI$415),"")</f>
        <v>289.95364999999998</v>
      </c>
      <c r="BJ415">
        <f ca="1">IFERROR(IF(0=LEN(ReferenceData!$BJ$415),"",ReferenceData!$BJ$415),"")</f>
        <v>298.26400000000001</v>
      </c>
      <c r="BK415">
        <f ca="1">IFERROR(IF(0=LEN(ReferenceData!$BK$415),"",ReferenceData!$BK$415),"")</f>
        <v>304.10509999999999</v>
      </c>
      <c r="BL415">
        <f ca="1">IFERROR(IF(0=LEN(ReferenceData!$BL$415),"",ReferenceData!$BL$415),"")</f>
        <v>266.916156</v>
      </c>
      <c r="BM415">
        <f ca="1">IFERROR(IF(0=LEN(ReferenceData!$BM$415),"",ReferenceData!$BM$415),"")</f>
        <v>269.61636399999998</v>
      </c>
    </row>
    <row r="416" spans="1:65" x14ac:dyDescent="0.25">
      <c r="A416" t="str">
        <f>IFERROR(IF(0=LEN(ReferenceData!$A$416),"",ReferenceData!$A$416),"")</f>
        <v xml:space="preserve">    Avtovaz PJSC</v>
      </c>
      <c r="B416" t="str">
        <f>IFERROR(IF(0=LEN(ReferenceData!$B$416),"",ReferenceData!$B$416),"")</f>
        <v>AVAZ RM Equity</v>
      </c>
      <c r="C416" t="str">
        <f>IFERROR(IF(0=LEN(ReferenceData!$C$416),"",ReferenceData!$C$416),"")</f>
        <v>PR005</v>
      </c>
      <c r="D416" t="str">
        <f>IFERROR(IF(0=LEN(ReferenceData!$D$416),"",ReferenceData!$D$416),"")</f>
        <v>PX_LAST</v>
      </c>
      <c r="E416" t="str">
        <f>IFERROR(IF(0=LEN(ReferenceData!$E$416),"",ReferenceData!$E$416),"")</f>
        <v>Dynamic</v>
      </c>
      <c r="F416">
        <f ca="1">IFERROR(IF(0=LEN(ReferenceData!$F$416),"",ReferenceData!$F$416),"")</f>
        <v>0.186780848</v>
      </c>
      <c r="G416">
        <f ca="1">IFERROR(IF(0=LEN(ReferenceData!$G$416),"",ReferenceData!$G$416),"")</f>
        <v>0.17653824000000001</v>
      </c>
      <c r="H416">
        <f ca="1">IFERROR(IF(0=LEN(ReferenceData!$H$416),"",ReferenceData!$H$416),"")</f>
        <v>0.18094006400000001</v>
      </c>
      <c r="I416">
        <f ca="1">IFERROR(IF(0=LEN(ReferenceData!$I$416),"",ReferenceData!$I$416),"")</f>
        <v>0.18648835999999999</v>
      </c>
      <c r="J416">
        <f ca="1">IFERROR(IF(0=LEN(ReferenceData!$J$416),"",ReferenceData!$J$416),"")</f>
        <v>0.22793450300000001</v>
      </c>
      <c r="K416">
        <f ca="1">IFERROR(IF(0=LEN(ReferenceData!$K$416),"",ReferenceData!$K$416),"")</f>
        <v>0.17370158099999999</v>
      </c>
      <c r="L416">
        <f ca="1">IFERROR(IF(0=LEN(ReferenceData!$L$416),"",ReferenceData!$L$416),"")</f>
        <v>0.20323084899999999</v>
      </c>
      <c r="M416">
        <f ca="1">IFERROR(IF(0=LEN(ReferenceData!$M$416),"",ReferenceData!$M$416),"")</f>
        <v>0.15861635099999999</v>
      </c>
      <c r="N416">
        <f ca="1">IFERROR(IF(0=LEN(ReferenceData!$N$416),"",ReferenceData!$N$416),"")</f>
        <v>0.17001877900000001</v>
      </c>
      <c r="O416">
        <f ca="1">IFERROR(IF(0=LEN(ReferenceData!$O$416),"",ReferenceData!$O$416),"")</f>
        <v>0.14745003100000001</v>
      </c>
      <c r="P416">
        <f ca="1">IFERROR(IF(0=LEN(ReferenceData!$P$416),"",ReferenceData!$P$416),"")</f>
        <v>0.15781769300000001</v>
      </c>
      <c r="Q416">
        <f ca="1">IFERROR(IF(0=LEN(ReferenceData!$Q$416),"",ReferenceData!$Q$416),"")</f>
        <v>0.105846159</v>
      </c>
      <c r="R416">
        <f ca="1">IFERROR(IF(0=LEN(ReferenceData!$R$416),"",ReferenceData!$R$416),"")</f>
        <v>0.12500266300000001</v>
      </c>
      <c r="S416">
        <f ca="1">IFERROR(IF(0=LEN(ReferenceData!$S$416),"",ReferenceData!$S$416),"")</f>
        <v>0.11962755799999999</v>
      </c>
      <c r="T416">
        <f ca="1">IFERROR(IF(0=LEN(ReferenceData!$T$416),"",ReferenceData!$T$416),"")</f>
        <v>0.139753989</v>
      </c>
      <c r="U416">
        <f ca="1">IFERROR(IF(0=LEN(ReferenceData!$U$416),"",ReferenceData!$U$416),"")</f>
        <v>0.16875010800000001</v>
      </c>
      <c r="V416">
        <f ca="1">IFERROR(IF(0=LEN(ReferenceData!$V$416),"",ReferenceData!$V$416),"")</f>
        <v>0.18870071499999999</v>
      </c>
      <c r="W416">
        <f ca="1">IFERROR(IF(0=LEN(ReferenceData!$W$416),"",ReferenceData!$W$416),"")</f>
        <v>0.14090287900000001</v>
      </c>
      <c r="X416">
        <f ca="1">IFERROR(IF(0=LEN(ReferenceData!$X$416),"",ReferenceData!$X$416),"")</f>
        <v>0.246831046</v>
      </c>
      <c r="Y416">
        <f ca="1">IFERROR(IF(0=LEN(ReferenceData!$Y$416),"",ReferenceData!$Y$416),"")</f>
        <v>0.26644920999999999</v>
      </c>
      <c r="Z416">
        <f ca="1">IFERROR(IF(0=LEN(ReferenceData!$Z$416),"",ReferenceData!$Z$416),"")</f>
        <v>0.26885624899999999</v>
      </c>
      <c r="AA416">
        <f ca="1">IFERROR(IF(0=LEN(ReferenceData!$AA$416),"",ReferenceData!$AA$416),"")</f>
        <v>0.30837683199999999</v>
      </c>
      <c r="AB416">
        <f ca="1">IFERROR(IF(0=LEN(ReferenceData!$AB$416),"",ReferenceData!$AB$416),"")</f>
        <v>0.30187451100000001</v>
      </c>
      <c r="AC416">
        <f ca="1">IFERROR(IF(0=LEN(ReferenceData!$AC$416),"",ReferenceData!$AC$416),"")</f>
        <v>0.27389314999999997</v>
      </c>
      <c r="AD416">
        <f ca="1">IFERROR(IF(0=LEN(ReferenceData!$AD$416),"",ReferenceData!$AD$416),"")</f>
        <v>0.37358068</v>
      </c>
      <c r="AE416">
        <f ca="1">IFERROR(IF(0=LEN(ReferenceData!$AE$416),"",ReferenceData!$AE$416),"")</f>
        <v>0.48887865699999999</v>
      </c>
      <c r="AF416">
        <f ca="1">IFERROR(IF(0=LEN(ReferenceData!$AF$416),"",ReferenceData!$AF$416),"")</f>
        <v>0.47052237499999999</v>
      </c>
      <c r="AG416">
        <f ca="1">IFERROR(IF(0=LEN(ReferenceData!$AG$416),"",ReferenceData!$AG$416),"")</f>
        <v>0.47319541100000001</v>
      </c>
      <c r="AH416">
        <f ca="1">IFERROR(IF(0=LEN(ReferenceData!$AH$416),"",ReferenceData!$AH$416),"")</f>
        <v>0.75960861999999996</v>
      </c>
      <c r="AI416">
        <f ca="1">IFERROR(IF(0=LEN(ReferenceData!$AI$416),"",ReferenceData!$AI$416),"")</f>
        <v>0.57644994400000005</v>
      </c>
      <c r="AJ416">
        <f ca="1">IFERROR(IF(0=LEN(ReferenceData!$AJ$416),"",ReferenceData!$AJ$416),"")</f>
        <v>0.59244875299999999</v>
      </c>
      <c r="AK416">
        <f ca="1">IFERROR(IF(0=LEN(ReferenceData!$AK$416),"",ReferenceData!$AK$416),"")</f>
        <v>1.063702937</v>
      </c>
      <c r="AL416">
        <f ca="1">IFERROR(IF(0=LEN(ReferenceData!$AL$416),"",ReferenceData!$AL$416),"")</f>
        <v>0.98184806999999996</v>
      </c>
      <c r="AM416">
        <f ca="1">IFERROR(IF(0=LEN(ReferenceData!$AM$416),"",ReferenceData!$AM$416),"")</f>
        <v>1.0307928980000001</v>
      </c>
      <c r="AN416">
        <f ca="1">IFERROR(IF(0=LEN(ReferenceData!$AN$416),"",ReferenceData!$AN$416),"")</f>
        <v>0.820050524</v>
      </c>
      <c r="AO416">
        <f ca="1">IFERROR(IF(0=LEN(ReferenceData!$AO$416),"",ReferenceData!$AO$416),"")</f>
        <v>0.39889148899999999</v>
      </c>
      <c r="AP416">
        <f ca="1">IFERROR(IF(0=LEN(ReferenceData!$AP$416),"",ReferenceData!$AP$416),"")</f>
        <v>0.48819379299999999</v>
      </c>
      <c r="AQ416">
        <f ca="1">IFERROR(IF(0=LEN(ReferenceData!$AQ$416),"",ReferenceData!$AQ$416),"")</f>
        <v>0.45963230999999999</v>
      </c>
      <c r="AR416">
        <f ca="1">IFERROR(IF(0=LEN(ReferenceData!$AR$416),"",ReferenceData!$AR$416),"")</f>
        <v>0.45918345300000002</v>
      </c>
      <c r="AS416">
        <f ca="1">IFERROR(IF(0=LEN(ReferenceData!$AS$416),"",ReferenceData!$AS$416),"")</f>
        <v>0.394602542</v>
      </c>
      <c r="AT416">
        <f ca="1">IFERROR(IF(0=LEN(ReferenceData!$AT$416),"",ReferenceData!$AT$416),"")</f>
        <v>0.35007962100000001</v>
      </c>
      <c r="AU416">
        <f ca="1">IFERROR(IF(0=LEN(ReferenceData!$AU$416),"",ReferenceData!$AU$416),"")</f>
        <v>0.23116979400000001</v>
      </c>
      <c r="AV416">
        <f ca="1">IFERROR(IF(0=LEN(ReferenceData!$AV$416),"",ReferenceData!$AV$416),"")</f>
        <v>0.42669573399999999</v>
      </c>
      <c r="AW416">
        <f ca="1">IFERROR(IF(0=LEN(ReferenceData!$AW$416),"",ReferenceData!$AW$416),"")</f>
        <v>1.4776043560000001</v>
      </c>
      <c r="AX416">
        <f ca="1">IFERROR(IF(0=LEN(ReferenceData!$AX$416),"",ReferenceData!$AX$416),"")</f>
        <v>1.5772887229999999</v>
      </c>
      <c r="AY416">
        <f ca="1">IFERROR(IF(0=LEN(ReferenceData!$AY$416),"",ReferenceData!$AY$416),"")</f>
        <v>1.7775889419999999</v>
      </c>
      <c r="AZ416">
        <f ca="1">IFERROR(IF(0=LEN(ReferenceData!$AZ$416),"",ReferenceData!$AZ$416),"")</f>
        <v>1.486579139</v>
      </c>
      <c r="BA416">
        <f ca="1">IFERROR(IF(0=LEN(ReferenceData!$BA$416),"",ReferenceData!$BA$416),"")</f>
        <v>1.4204390360000001</v>
      </c>
      <c r="BB416">
        <f ca="1">IFERROR(IF(0=LEN(ReferenceData!$BB$416),"",ReferenceData!$BB$416),"")</f>
        <v>0.98553839600000004</v>
      </c>
      <c r="BC416">
        <f ca="1">IFERROR(IF(0=LEN(ReferenceData!$BC$416),"",ReferenceData!$BC$416),"")</f>
        <v>0.63427129100000001</v>
      </c>
      <c r="BD416">
        <f ca="1">IFERROR(IF(0=LEN(ReferenceData!$BD$416),"",ReferenceData!$BD$416),"")</f>
        <v>0.61893256100000005</v>
      </c>
      <c r="BE416">
        <f ca="1">IFERROR(IF(0=LEN(ReferenceData!$BE$416),"",ReferenceData!$BE$416),"")</f>
        <v>0.50255606500000005</v>
      </c>
      <c r="BF416">
        <f ca="1">IFERROR(IF(0=LEN(ReferenceData!$BF$416),"",ReferenceData!$BF$416),"")</f>
        <v>0.59402257199999997</v>
      </c>
      <c r="BG416">
        <f ca="1">IFERROR(IF(0=LEN(ReferenceData!$BG$416),"",ReferenceData!$BG$416),"")</f>
        <v>0.33832191900000003</v>
      </c>
      <c r="BH416">
        <f ca="1">IFERROR(IF(0=LEN(ReferenceData!$BH$416),"",ReferenceData!$BH$416),"")</f>
        <v>0.23216552800000001</v>
      </c>
      <c r="BI416">
        <f ca="1">IFERROR(IF(0=LEN(ReferenceData!$BI$416),"",ReferenceData!$BI$416),"")</f>
        <v>0.220891108</v>
      </c>
      <c r="BJ416">
        <f ca="1">IFERROR(IF(0=LEN(ReferenceData!$BJ$416),"",ReferenceData!$BJ$416),"")</f>
        <v>0.27730750100000001</v>
      </c>
      <c r="BK416">
        <f ca="1">IFERROR(IF(0=LEN(ReferenceData!$BK$416),"",ReferenceData!$BK$416),"")</f>
        <v>0.26125085199999998</v>
      </c>
      <c r="BL416">
        <f ca="1">IFERROR(IF(0=LEN(ReferenceData!$BL$416),"",ReferenceData!$BL$416),"")</f>
        <v>0.24344399</v>
      </c>
      <c r="BM416">
        <f ca="1">IFERROR(IF(0=LEN(ReferenceData!$BM$416),"",ReferenceData!$BM$416),"")</f>
        <v>0.224164316</v>
      </c>
    </row>
    <row r="417" spans="1:65" x14ac:dyDescent="0.25">
      <c r="A417" t="str">
        <f>IFERROR(IF(0=LEN(ReferenceData!$A$417),"",ReferenceData!$A$417),"")</f>
        <v xml:space="preserve">    Bayerische Motoren Werke AG</v>
      </c>
      <c r="B417" t="str">
        <f>IFERROR(IF(0=LEN(ReferenceData!$B$417),"",ReferenceData!$B$417),"")</f>
        <v>BMW GR Equity</v>
      </c>
      <c r="C417" t="str">
        <f>IFERROR(IF(0=LEN(ReferenceData!$C$417),"",ReferenceData!$C$417),"")</f>
        <v>PR005</v>
      </c>
      <c r="D417" t="str">
        <f>IFERROR(IF(0=LEN(ReferenceData!$D$417),"",ReferenceData!$D$417),"")</f>
        <v>PX_LAST</v>
      </c>
      <c r="E417" t="str">
        <f>IFERROR(IF(0=LEN(ReferenceData!$E$417),"",ReferenceData!$E$417),"")</f>
        <v>Dynamic</v>
      </c>
      <c r="F417">
        <f ca="1">IFERROR(IF(0=LEN(ReferenceData!$F$417),"",ReferenceData!$F$417),"")</f>
        <v>84.14196776</v>
      </c>
      <c r="G417">
        <f ca="1">IFERROR(IF(0=LEN(ReferenceData!$G$417),"",ReferenceData!$G$417),"")</f>
        <v>80.887870000000007</v>
      </c>
      <c r="H417">
        <f ca="1">IFERROR(IF(0=LEN(ReferenceData!$H$417),"",ReferenceData!$H$417),"")</f>
        <v>90.008499999999998</v>
      </c>
      <c r="I417">
        <f ca="1">IFERROR(IF(0=LEN(ReferenceData!$I$417),"",ReferenceData!$I$417),"")</f>
        <v>90.613519999999994</v>
      </c>
      <c r="J417">
        <f ca="1">IFERROR(IF(0=LEN(ReferenceData!$J$417),"",ReferenceData!$J$417),"")</f>
        <v>108.443493</v>
      </c>
      <c r="K417">
        <f ca="1">IFERROR(IF(0=LEN(ReferenceData!$K$417),"",ReferenceData!$K$417),"")</f>
        <v>104.38702600000001</v>
      </c>
      <c r="L417">
        <f ca="1">IFERROR(IF(0=LEN(ReferenceData!$L$417),"",ReferenceData!$L$417),"")</f>
        <v>101.021877</v>
      </c>
      <c r="M417">
        <f ca="1">IFERROR(IF(0=LEN(ReferenceData!$M$417),"",ReferenceData!$M$417),"")</f>
        <v>93.063884599999994</v>
      </c>
      <c r="N417">
        <f ca="1">IFERROR(IF(0=LEN(ReferenceData!$N$417),"",ReferenceData!$N$417),"")</f>
        <v>91.4732561</v>
      </c>
      <c r="O417">
        <f ca="1">IFERROR(IF(0=LEN(ReferenceData!$O$417),"",ReferenceData!$O$417),"")</f>
        <v>93.604624999999999</v>
      </c>
      <c r="P417">
        <f ca="1">IFERROR(IF(0=LEN(ReferenceData!$P$417),"",ReferenceData!$P$417),"")</f>
        <v>83.929299999999998</v>
      </c>
      <c r="Q417">
        <f ca="1">IFERROR(IF(0=LEN(ReferenceData!$Q$417),"",ReferenceData!$Q$417),"")</f>
        <v>73.206924900000004</v>
      </c>
      <c r="R417">
        <f ca="1">IFERROR(IF(0=LEN(ReferenceData!$R$417),"",ReferenceData!$R$417),"")</f>
        <v>91.859465299999997</v>
      </c>
      <c r="S417">
        <f ca="1">IFERROR(IF(0=LEN(ReferenceData!$S$417),"",ReferenceData!$S$417),"")</f>
        <v>106.52409299999999</v>
      </c>
      <c r="T417">
        <f ca="1">IFERROR(IF(0=LEN(ReferenceData!$T$417),"",ReferenceData!$T$417),"")</f>
        <v>88.393709999999999</v>
      </c>
      <c r="U417">
        <f ca="1">IFERROR(IF(0=LEN(ReferenceData!$U$417),"",ReferenceData!$U$417),"")</f>
        <v>109.8704336</v>
      </c>
      <c r="V417">
        <f ca="1">IFERROR(IF(0=LEN(ReferenceData!$V$417),"",ReferenceData!$V$417),"")</f>
        <v>124.1529984</v>
      </c>
      <c r="W417">
        <f ca="1">IFERROR(IF(0=LEN(ReferenceData!$W$417),"",ReferenceData!$W$417),"")</f>
        <v>109.13338899999999</v>
      </c>
      <c r="X417">
        <f ca="1">IFERROR(IF(0=LEN(ReferenceData!$X$417),"",ReferenceData!$X$417),"")</f>
        <v>108.73569000000001</v>
      </c>
      <c r="Y417">
        <f ca="1">IFERROR(IF(0=LEN(ReferenceData!$Y$417),"",ReferenceData!$Y$417),"")</f>
        <v>126.61881</v>
      </c>
      <c r="Z417">
        <f ca="1">IFERROR(IF(0=LEN(ReferenceData!$Z$417),"",ReferenceData!$Z$417),"")</f>
        <v>126.000028</v>
      </c>
      <c r="AA417">
        <f ca="1">IFERROR(IF(0=LEN(ReferenceData!$AA$417),"",ReferenceData!$AA$417),"")</f>
        <v>117.6036</v>
      </c>
      <c r="AB417">
        <f ca="1">IFERROR(IF(0=LEN(ReferenceData!$AB$417),"",ReferenceData!$AB$417),"")</f>
        <v>107.80147700000001</v>
      </c>
      <c r="AC417">
        <f ca="1">IFERROR(IF(0=LEN(ReferenceData!$AC$417),"",ReferenceData!$AC$417),"")</f>
        <v>87.475531500000002</v>
      </c>
      <c r="AD417">
        <f ca="1">IFERROR(IF(0=LEN(ReferenceData!$AD$417),"",ReferenceData!$AD$417),"")</f>
        <v>87.035736</v>
      </c>
      <c r="AE417">
        <f ca="1">IFERROR(IF(0=LEN(ReferenceData!$AE$417),"",ReferenceData!$AE$417),"")</f>
        <v>96.428045999999995</v>
      </c>
      <c r="AF417">
        <f ca="1">IFERROR(IF(0=LEN(ReferenceData!$AF$417),"",ReferenceData!$AF$417),"")</f>
        <v>73.560587999999996</v>
      </c>
      <c r="AG417">
        <f ca="1">IFERROR(IF(0=LEN(ReferenceData!$AG$417),"",ReferenceData!$AG$417),"")</f>
        <v>71.946236999999996</v>
      </c>
      <c r="AH417">
        <f ca="1">IFERROR(IF(0=LEN(ReferenceData!$AH$417),"",ReferenceData!$AH$417),"")</f>
        <v>89.871011999999993</v>
      </c>
      <c r="AI417">
        <f ca="1">IFERROR(IF(0=LEN(ReferenceData!$AI$417),"",ReferenceData!$AI$417),"")</f>
        <v>67.080960000000005</v>
      </c>
      <c r="AJ417">
        <f ca="1">IFERROR(IF(0=LEN(ReferenceData!$AJ$417),"",ReferenceData!$AJ$417),"")</f>
        <v>66.962570999999997</v>
      </c>
      <c r="AK417">
        <f ca="1">IFERROR(IF(0=LEN(ReferenceData!$AK$417),"",ReferenceData!$AK$417),"")</f>
        <v>98.827610000000007</v>
      </c>
      <c r="AL417">
        <f ca="1">IFERROR(IF(0=LEN(ReferenceData!$AL$417),"",ReferenceData!$AL$417),"")</f>
        <v>83.465580000000003</v>
      </c>
      <c r="AM417">
        <f ca="1">IFERROR(IF(0=LEN(ReferenceData!$AM$417),"",ReferenceData!$AM$417),"")</f>
        <v>78.052755000000005</v>
      </c>
      <c r="AN417">
        <f ca="1">IFERROR(IF(0=LEN(ReferenceData!$AN$417),"",ReferenceData!$AN$417),"")</f>
        <v>70.047659999999993</v>
      </c>
      <c r="AO417">
        <f ca="1">IFERROR(IF(0=LEN(ReferenceData!$AO$417),"",ReferenceData!$AO$417),"")</f>
        <v>49.205726499999997</v>
      </c>
      <c r="AP417">
        <f ca="1">IFERROR(IF(0=LEN(ReferenceData!$AP$417),"",ReferenceData!$AP$417),"")</f>
        <v>46.316692500000002</v>
      </c>
      <c r="AQ417">
        <f ca="1">IFERROR(IF(0=LEN(ReferenceData!$AQ$417),"",ReferenceData!$AQ$417),"")</f>
        <v>45.598019999999998</v>
      </c>
      <c r="AR417">
        <f ca="1">IFERROR(IF(0=LEN(ReferenceData!$AR$417),"",ReferenceData!$AR$417),"")</f>
        <v>48.190112999999997</v>
      </c>
      <c r="AS417">
        <f ca="1">IFERROR(IF(0=LEN(ReferenceData!$AS$417),"",ReferenceData!$AS$417),"")</f>
        <v>37.696150000000003</v>
      </c>
      <c r="AT417">
        <f ca="1">IFERROR(IF(0=LEN(ReferenceData!$AT$417),"",ReferenceData!$AT$417),"")</f>
        <v>28.70693</v>
      </c>
      <c r="AU417">
        <f ca="1">IFERROR(IF(0=LEN(ReferenceData!$AU$417),"",ReferenceData!$AU$417),"")</f>
        <v>30.500354000000002</v>
      </c>
      <c r="AV417">
        <f ca="1">IFERROR(IF(0=LEN(ReferenceData!$AV$417),"",ReferenceData!$AV$417),"")</f>
        <v>38.6815</v>
      </c>
      <c r="AW417">
        <f ca="1">IFERROR(IF(0=LEN(ReferenceData!$AW$417),"",ReferenceData!$AW$417),"")</f>
        <v>48.073480000000004</v>
      </c>
      <c r="AX417">
        <f ca="1">IFERROR(IF(0=LEN(ReferenceData!$AX$417),"",ReferenceData!$AX$417),"")</f>
        <v>55.299881999999997</v>
      </c>
      <c r="AY417">
        <f ca="1">IFERROR(IF(0=LEN(ReferenceData!$AY$417),"",ReferenceData!$AY$417),"")</f>
        <v>62.849663999999997</v>
      </c>
      <c r="AZ417">
        <f ca="1">IFERROR(IF(0=LEN(ReferenceData!$AZ$417),"",ReferenceData!$AZ$417),"")</f>
        <v>64.555724999999995</v>
      </c>
      <c r="BA417">
        <f ca="1">IFERROR(IF(0=LEN(ReferenceData!$BA$417),"",ReferenceData!$BA$417),"")</f>
        <v>64.495031999999995</v>
      </c>
      <c r="BB417">
        <f ca="1">IFERROR(IF(0=LEN(ReferenceData!$BB$417),"",ReferenceData!$BB$417),"")</f>
        <v>59.139932999999999</v>
      </c>
      <c r="BC417">
        <f ca="1">IFERROR(IF(0=LEN(ReferenceData!$BC$417),"",ReferenceData!$BC$417),"")</f>
        <v>57.649118999999999</v>
      </c>
      <c r="BD417">
        <f ca="1">IFERROR(IF(0=LEN(ReferenceData!$BD$417),"",ReferenceData!$BD$417),"")</f>
        <v>53.649093999999998</v>
      </c>
      <c r="BE417">
        <f ca="1">IFERROR(IF(0=LEN(ReferenceData!$BE$417),"",ReferenceData!$BE$417),"")</f>
        <v>49.912640000000003</v>
      </c>
      <c r="BF417">
        <f ca="1">IFERROR(IF(0=LEN(ReferenceData!$BF$417),"",ReferenceData!$BF$417),"")</f>
        <v>55.23245</v>
      </c>
      <c r="BG417">
        <f ca="1">IFERROR(IF(0=LEN(ReferenceData!$BG$417),"",ReferenceData!$BG$417),"")</f>
        <v>43.7821</v>
      </c>
      <c r="BH417">
        <f ca="1">IFERROR(IF(0=LEN(ReferenceData!$BH$417),"",ReferenceData!$BH$417),"")</f>
        <v>46.904969999999999</v>
      </c>
      <c r="BI417">
        <f ca="1">IFERROR(IF(0=LEN(ReferenceData!$BI$417),"",ReferenceData!$BI$417),"")</f>
        <v>45.787883999999998</v>
      </c>
      <c r="BJ417">
        <f ca="1">IFERROR(IF(0=LEN(ReferenceData!$BJ$417),"",ReferenceData!$BJ$417),"")</f>
        <v>45.400967999999999</v>
      </c>
      <c r="BK417">
        <f ca="1">IFERROR(IF(0=LEN(ReferenceData!$BK$417),"",ReferenceData!$BK$417),"")</f>
        <v>45.274839999999998</v>
      </c>
      <c r="BL417">
        <f ca="1">IFERROR(IF(0=LEN(ReferenceData!$BL$417),"",ReferenceData!$BL$417),"")</f>
        <v>41.198819999999998</v>
      </c>
      <c r="BM417">
        <f ca="1">IFERROR(IF(0=LEN(ReferenceData!$BM$417),"",ReferenceData!$BM$417),"")</f>
        <v>44.246484000000002</v>
      </c>
    </row>
    <row r="418" spans="1:65" x14ac:dyDescent="0.25">
      <c r="A418" t="str">
        <f>IFERROR(IF(0=LEN(ReferenceData!$A$418),"",ReferenceData!$A$418),"")</f>
        <v xml:space="preserve">    Brilliance China Automotive Holdings Ltd</v>
      </c>
      <c r="B418" t="str">
        <f>IFERROR(IF(0=LEN(ReferenceData!$B$418),"",ReferenceData!$B$418),"")</f>
        <v>1114 HK Equity</v>
      </c>
      <c r="C418" t="str">
        <f>IFERROR(IF(0=LEN(ReferenceData!$C$418),"",ReferenceData!$C$418),"")</f>
        <v>PR005</v>
      </c>
      <c r="D418" t="str">
        <f>IFERROR(IF(0=LEN(ReferenceData!$D$418),"",ReferenceData!$D$418),"")</f>
        <v>PX_LAST</v>
      </c>
      <c r="E418" t="str">
        <f>IFERROR(IF(0=LEN(ReferenceData!$E$418),"",ReferenceData!$E$418),"")</f>
        <v>Dynamic</v>
      </c>
      <c r="F418">
        <f ca="1">IFERROR(IF(0=LEN(ReferenceData!$F$418),"",ReferenceData!$F$418),"")</f>
        <v>0.97964278000000005</v>
      </c>
      <c r="G418">
        <f ca="1">IFERROR(IF(0=LEN(ReferenceData!$G$418),"",ReferenceData!$G$418),"")</f>
        <v>0.74436301400000005</v>
      </c>
      <c r="H418">
        <f ca="1">IFERROR(IF(0=LEN(ReferenceData!$H$418),"",ReferenceData!$H$418),"")</f>
        <v>1.6177880010000001</v>
      </c>
      <c r="I418">
        <f ca="1">IFERROR(IF(0=LEN(ReferenceData!$I$418),"",ReferenceData!$I$418),"")</f>
        <v>1.804695266</v>
      </c>
      <c r="J418">
        <f ca="1">IFERROR(IF(0=LEN(ReferenceData!$J$418),"",ReferenceData!$J$418),"")</f>
        <v>2.0870229980000001</v>
      </c>
      <c r="K418">
        <f ca="1">IFERROR(IF(0=LEN(ReferenceData!$K$418),"",ReferenceData!$K$418),"")</f>
        <v>2.6752684869999999</v>
      </c>
      <c r="L418">
        <f ca="1">IFERROR(IF(0=LEN(ReferenceData!$L$418),"",ReferenceData!$L$418),"")</f>
        <v>2.6626385720000001</v>
      </c>
      <c r="M418">
        <f ca="1">IFERROR(IF(0=LEN(ReferenceData!$M$418),"",ReferenceData!$M$418),"")</f>
        <v>1.821535624</v>
      </c>
      <c r="N418">
        <f ca="1">IFERROR(IF(0=LEN(ReferenceData!$N$418),"",ReferenceData!$N$418),"")</f>
        <v>1.6727787430000001</v>
      </c>
      <c r="O418">
        <f ca="1">IFERROR(IF(0=LEN(ReferenceData!$O$418),"",ReferenceData!$O$418),"")</f>
        <v>1.3773713869999999</v>
      </c>
      <c r="P418">
        <f ca="1">IFERROR(IF(0=LEN(ReferenceData!$P$418),"",ReferenceData!$P$418),"")</f>
        <v>1.121770076</v>
      </c>
      <c r="Q418">
        <f ca="1">IFERROR(IF(0=LEN(ReferenceData!$Q$418),"",ReferenceData!$Q$418),"")</f>
        <v>1.0258525140000001</v>
      </c>
      <c r="R418">
        <f ca="1">IFERROR(IF(0=LEN(ReferenceData!$R$418),"",ReferenceData!$R$418),"")</f>
        <v>1.0353141400000001</v>
      </c>
      <c r="S418">
        <f ca="1">IFERROR(IF(0=LEN(ReferenceData!$S$418),"",ReferenceData!$S$418),"")</f>
        <v>1.2580482829999999</v>
      </c>
      <c r="T418">
        <f ca="1">IFERROR(IF(0=LEN(ReferenceData!$T$418),"",ReferenceData!$T$418),"")</f>
        <v>1.181889733</v>
      </c>
      <c r="U418">
        <f ca="1">IFERROR(IF(0=LEN(ReferenceData!$U$418),"",ReferenceData!$U$418),"")</f>
        <v>1.5608875129999999</v>
      </c>
      <c r="V418">
        <f ca="1">IFERROR(IF(0=LEN(ReferenceData!$V$418),"",ReferenceData!$V$418),"")</f>
        <v>1.927020857</v>
      </c>
      <c r="W418">
        <f ca="1">IFERROR(IF(0=LEN(ReferenceData!$W$418),"",ReferenceData!$W$418),"")</f>
        <v>1.606933285</v>
      </c>
      <c r="X418">
        <f ca="1">IFERROR(IF(0=LEN(ReferenceData!$X$418),"",ReferenceData!$X$418),"")</f>
        <v>1.7463649590000001</v>
      </c>
      <c r="Y418">
        <f ca="1">IFERROR(IF(0=LEN(ReferenceData!$Y$418),"",ReferenceData!$Y$418),"")</f>
        <v>1.876032205</v>
      </c>
      <c r="Z418">
        <f ca="1">IFERROR(IF(0=LEN(ReferenceData!$Z$418),"",ReferenceData!$Z$418),"")</f>
        <v>1.5289613120000001</v>
      </c>
      <c r="AA418">
        <f ca="1">IFERROR(IF(0=LEN(ReferenceData!$AA$418),"",ReferenceData!$AA$418),"")</f>
        <v>1.630168434</v>
      </c>
      <c r="AB418">
        <f ca="1">IFERROR(IF(0=LEN(ReferenceData!$AB$418),"",ReferenceData!$AB$418),"")</f>
        <v>1.500909056</v>
      </c>
      <c r="AC418">
        <f ca="1">IFERROR(IF(0=LEN(ReferenceData!$AC$418),"",ReferenceData!$AC$418),"")</f>
        <v>1.12169776</v>
      </c>
      <c r="AD418">
        <f ca="1">IFERROR(IF(0=LEN(ReferenceData!$AD$418),"",ReferenceData!$AD$418),"")</f>
        <v>1.1748186890000001</v>
      </c>
      <c r="AE418">
        <f ca="1">IFERROR(IF(0=LEN(ReferenceData!$AE$418),"",ReferenceData!$AE$418),"")</f>
        <v>1.2308248070000001</v>
      </c>
      <c r="AF418">
        <f ca="1">IFERROR(IF(0=LEN(ReferenceData!$AF$418),"",ReferenceData!$AF$418),"")</f>
        <v>1.1026140339999999</v>
      </c>
      <c r="AG418">
        <f ca="1">IFERROR(IF(0=LEN(ReferenceData!$AG$418),"",ReferenceData!$AG$418),"")</f>
        <v>0.86881421000000003</v>
      </c>
      <c r="AH418">
        <f ca="1">IFERROR(IF(0=LEN(ReferenceData!$AH$418),"",ReferenceData!$AH$418),"")</f>
        <v>1.081888669</v>
      </c>
      <c r="AI418">
        <f ca="1">IFERROR(IF(0=LEN(ReferenceData!$AI$418),"",ReferenceData!$AI$418),"")</f>
        <v>1.078979219</v>
      </c>
      <c r="AJ418">
        <f ca="1">IFERROR(IF(0=LEN(ReferenceData!$AJ$418),"",ReferenceData!$AJ$418),"")</f>
        <v>0.78860504200000003</v>
      </c>
      <c r="AK418">
        <f ca="1">IFERROR(IF(0=LEN(ReferenceData!$AK$418),"",ReferenceData!$AK$418),"")</f>
        <v>1.128346163</v>
      </c>
      <c r="AL418">
        <f ca="1">IFERROR(IF(0=LEN(ReferenceData!$AL$418),"",ReferenceData!$AL$418),"")</f>
        <v>1.0030090270000001</v>
      </c>
      <c r="AM418">
        <f ca="1">IFERROR(IF(0=LEN(ReferenceData!$AM$418),"",ReferenceData!$AM$418),"")</f>
        <v>0.76291683799999999</v>
      </c>
      <c r="AN418">
        <f ca="1">IFERROR(IF(0=LEN(ReferenceData!$AN$418),"",ReferenceData!$AN$418),"")</f>
        <v>0.74486455799999995</v>
      </c>
      <c r="AO418">
        <f ca="1">IFERROR(IF(0=LEN(ReferenceData!$AO$418),"",ReferenceData!$AO$418),"")</f>
        <v>0.32749409200000001</v>
      </c>
      <c r="AP418">
        <f ca="1">IFERROR(IF(0=LEN(ReferenceData!$AP$418),"",ReferenceData!$AP$418),"")</f>
        <v>0.284625093</v>
      </c>
      <c r="AQ418">
        <f ca="1">IFERROR(IF(0=LEN(ReferenceData!$AQ$418),"",ReferenceData!$AQ$418),"")</f>
        <v>0.28245672900000002</v>
      </c>
      <c r="AR418">
        <f ca="1">IFERROR(IF(0=LEN(ReferenceData!$AR$418),"",ReferenceData!$AR$418),"")</f>
        <v>0.10580508600000001</v>
      </c>
      <c r="AS418">
        <f ca="1">IFERROR(IF(0=LEN(ReferenceData!$AS$418),"",ReferenceData!$AS$418),"")</f>
        <v>0.116127534</v>
      </c>
      <c r="AT418">
        <f ca="1">IFERROR(IF(0=LEN(ReferenceData!$AT$418),"",ReferenceData!$AT$418),"")</f>
        <v>6.3224990999999994E-2</v>
      </c>
      <c r="AU418">
        <f ca="1">IFERROR(IF(0=LEN(ReferenceData!$AU$418),"",ReferenceData!$AU$418),"")</f>
        <v>5.2257390000000001E-2</v>
      </c>
      <c r="AV418">
        <f ca="1">IFERROR(IF(0=LEN(ReferenceData!$AV$418),"",ReferenceData!$AV$418),"")</f>
        <v>7.2120338000000006E-2</v>
      </c>
      <c r="AW418">
        <f ca="1">IFERROR(IF(0=LEN(ReferenceData!$AW$418),"",ReferenceData!$AW$418),"")</f>
        <v>0.121826109</v>
      </c>
      <c r="AX418">
        <f ca="1">IFERROR(IF(0=LEN(ReferenceData!$AX$418),"",ReferenceData!$AX$418),"")</f>
        <v>0.16575437500000001</v>
      </c>
      <c r="AY418">
        <f ca="1">IFERROR(IF(0=LEN(ReferenceData!$AY$418),"",ReferenceData!$AY$418),"")</f>
        <v>0.223091224</v>
      </c>
      <c r="AZ418">
        <f ca="1">IFERROR(IF(0=LEN(ReferenceData!$AZ$418),"",ReferenceData!$AZ$418),"")</f>
        <v>0.275538846</v>
      </c>
      <c r="BA418">
        <f ca="1">IFERROR(IF(0=LEN(ReferenceData!$BA$418),"",ReferenceData!$BA$418),"")</f>
        <v>0.251979381</v>
      </c>
      <c r="BB418">
        <f ca="1">IFERROR(IF(0=LEN(ReferenceData!$BB$418),"",ReferenceData!$BB$418),"")</f>
        <v>0.24442055700000001</v>
      </c>
      <c r="BC418">
        <f ca="1">IFERROR(IF(0=LEN(ReferenceData!$BC$418),"",ReferenceData!$BC$418),"")</f>
        <v>0.16968543899999999</v>
      </c>
      <c r="BD418">
        <f ca="1">IFERROR(IF(0=LEN(ReferenceData!$BD$418),"",ReferenceData!$BD$418),"")</f>
        <v>0.15529744000000001</v>
      </c>
      <c r="BE418">
        <f ca="1">IFERROR(IF(0=LEN(ReferenceData!$BE$418),"",ReferenceData!$BE$418),"")</f>
        <v>0.16866228899999999</v>
      </c>
      <c r="BF418">
        <f ca="1">IFERROR(IF(0=LEN(ReferenceData!$BF$418),"",ReferenceData!$BF$418),"")</f>
        <v>0.148197786</v>
      </c>
      <c r="BG418">
        <f ca="1">IFERROR(IF(0=LEN(ReferenceData!$BG$418),"",ReferenceData!$BG$418),"")</f>
        <v>0.14831628799999999</v>
      </c>
      <c r="BH418">
        <f ca="1">IFERROR(IF(0=LEN(ReferenceData!$BH$418),"",ReferenceData!$BH$418),"")</f>
        <v>0.14437641000000001</v>
      </c>
      <c r="BI418">
        <f ca="1">IFERROR(IF(0=LEN(ReferenceData!$BI$418),"",ReferenceData!$BI$418),"")</f>
        <v>0.17757189700000001</v>
      </c>
      <c r="BJ418">
        <f ca="1">IFERROR(IF(0=LEN(ReferenceData!$BJ$418),"",ReferenceData!$BJ$418),"")</f>
        <v>0.17693441900000001</v>
      </c>
      <c r="BK418">
        <f ca="1">IFERROR(IF(0=LEN(ReferenceData!$BK$418),"",ReferenceData!$BK$418),"")</f>
        <v>0.195548694</v>
      </c>
      <c r="BL418">
        <f ca="1">IFERROR(IF(0=LEN(ReferenceData!$BL$418),"",ReferenceData!$BL$418),"")</f>
        <v>0.20008208499999999</v>
      </c>
      <c r="BM418">
        <f ca="1">IFERROR(IF(0=LEN(ReferenceData!$BM$418),"",ReferenceData!$BM$418),"")</f>
        <v>0.29487935599999998</v>
      </c>
    </row>
    <row r="419" spans="1:65" x14ac:dyDescent="0.25">
      <c r="A419" t="str">
        <f>IFERROR(IF(0=LEN(ReferenceData!$A$419),"",ReferenceData!$A$419),"")</f>
        <v xml:space="preserve">    BYD Co Ltd</v>
      </c>
      <c r="B419" t="str">
        <f>IFERROR(IF(0=LEN(ReferenceData!$B$419),"",ReferenceData!$B$419),"")</f>
        <v>1211 HK Equity</v>
      </c>
      <c r="C419" t="str">
        <f>IFERROR(IF(0=LEN(ReferenceData!$C$419),"",ReferenceData!$C$419),"")</f>
        <v>PR005</v>
      </c>
      <c r="D419" t="str">
        <f>IFERROR(IF(0=LEN(ReferenceData!$D$419),"",ReferenceData!$D$419),"")</f>
        <v>PX_LAST</v>
      </c>
      <c r="E419" t="str">
        <f>IFERROR(IF(0=LEN(ReferenceData!$E$419),"",ReferenceData!$E$419),"")</f>
        <v>Dynamic</v>
      </c>
      <c r="F419">
        <f ca="1">IFERROR(IF(0=LEN(ReferenceData!$F$419),"",ReferenceData!$F$419),"")</f>
        <v>6.3950673010000001</v>
      </c>
      <c r="G419">
        <f ca="1">IFERROR(IF(0=LEN(ReferenceData!$G$419),"",ReferenceData!$G$419),"")</f>
        <v>6.3775184490000001</v>
      </c>
      <c r="H419">
        <f ca="1">IFERROR(IF(0=LEN(ReferenceData!$H$419),"",ReferenceData!$H$419),"")</f>
        <v>7.1816497349999997</v>
      </c>
      <c r="I419">
        <f ca="1">IFERROR(IF(0=LEN(ReferenceData!$I$419),"",ReferenceData!$I$419),"")</f>
        <v>6.0602584689999999</v>
      </c>
      <c r="J419">
        <f ca="1">IFERROR(IF(0=LEN(ReferenceData!$J$419),"",ReferenceData!$J$419),"")</f>
        <v>7.7976683439999999</v>
      </c>
      <c r="K419">
        <f ca="1">IFERROR(IF(0=LEN(ReferenceData!$K$419),"",ReferenceData!$K$419),"")</f>
        <v>8.7170231559999998</v>
      </c>
      <c r="L419">
        <f ca="1">IFERROR(IF(0=LEN(ReferenceData!$L$419),"",ReferenceData!$L$419),"")</f>
        <v>9.2744309890000007</v>
      </c>
      <c r="M419">
        <f ca="1">IFERROR(IF(0=LEN(ReferenceData!$M$419),"",ReferenceData!$M$419),"")</f>
        <v>6.1358337819999997</v>
      </c>
      <c r="N419">
        <f ca="1">IFERROR(IF(0=LEN(ReferenceData!$N$419),"",ReferenceData!$N$419),"")</f>
        <v>5.5459049089999999</v>
      </c>
      <c r="O419">
        <f ca="1">IFERROR(IF(0=LEN(ReferenceData!$O$419),"",ReferenceData!$O$419),"")</f>
        <v>5.2683165890000003</v>
      </c>
      <c r="P419">
        <f ca="1">IFERROR(IF(0=LEN(ReferenceData!$P$419),"",ReferenceData!$P$419),"")</f>
        <v>6.5629996390000001</v>
      </c>
      <c r="Q419">
        <f ca="1">IFERROR(IF(0=LEN(ReferenceData!$Q$419),"",ReferenceData!$Q$419),"")</f>
        <v>5.9862875999999998</v>
      </c>
      <c r="R419">
        <f ca="1">IFERROR(IF(0=LEN(ReferenceData!$R$419),"",ReferenceData!$R$419),"")</f>
        <v>5.737419579</v>
      </c>
      <c r="S419">
        <f ca="1">IFERROR(IF(0=LEN(ReferenceData!$S$419),"",ReferenceData!$S$419),"")</f>
        <v>5.5031547979999997</v>
      </c>
      <c r="T419">
        <f ca="1">IFERROR(IF(0=LEN(ReferenceData!$T$419),"",ReferenceData!$T$419),"")</f>
        <v>5.2707637119999999</v>
      </c>
      <c r="U419">
        <f ca="1">IFERROR(IF(0=LEN(ReferenceData!$U$419),"",ReferenceData!$U$419),"")</f>
        <v>6.0049019609999998</v>
      </c>
      <c r="V419">
        <f ca="1">IFERROR(IF(0=LEN(ReferenceData!$V$419),"",ReferenceData!$V$419),"")</f>
        <v>5.1464613239999997</v>
      </c>
      <c r="W419">
        <f ca="1">IFERROR(IF(0=LEN(ReferenceData!$W$419),"",ReferenceData!$W$419),"")</f>
        <v>3.914159326</v>
      </c>
      <c r="X419">
        <f ca="1">IFERROR(IF(0=LEN(ReferenceData!$X$419),"",ReferenceData!$X$419),"")</f>
        <v>6.6390201810000002</v>
      </c>
      <c r="Y419">
        <f ca="1">IFERROR(IF(0=LEN(ReferenceData!$Y$419),"",ReferenceData!$Y$419),"")</f>
        <v>5.7480904209999997</v>
      </c>
      <c r="Z419">
        <f ca="1">IFERROR(IF(0=LEN(ReferenceData!$Z$419),"",ReferenceData!$Z$419),"")</f>
        <v>6.1815931620000004</v>
      </c>
      <c r="AA419">
        <f ca="1">IFERROR(IF(0=LEN(ReferenceData!$AA$419),"",ReferenceData!$AA$419),"")</f>
        <v>4.9008228220000003</v>
      </c>
      <c r="AB419">
        <f ca="1">IFERROR(IF(0=LEN(ReferenceData!$AB$419),"",ReferenceData!$AB$419),"")</f>
        <v>4.4614650630000003</v>
      </c>
      <c r="AC419">
        <f ca="1">IFERROR(IF(0=LEN(ReferenceData!$AC$419),"",ReferenceData!$AC$419),"")</f>
        <v>3.313520971</v>
      </c>
      <c r="AD419">
        <f ca="1">IFERROR(IF(0=LEN(ReferenceData!$AD$419),"",ReferenceData!$AD$419),"")</f>
        <v>3.1882415079999999</v>
      </c>
      <c r="AE419">
        <f ca="1">IFERROR(IF(0=LEN(ReferenceData!$AE$419),"",ReferenceData!$AE$419),"")</f>
        <v>2.9996516529999999</v>
      </c>
      <c r="AF419">
        <f ca="1">IFERROR(IF(0=LEN(ReferenceData!$AF$419),"",ReferenceData!$AF$419),"")</f>
        <v>1.7435487409999999</v>
      </c>
      <c r="AG419">
        <f ca="1">IFERROR(IF(0=LEN(ReferenceData!$AG$419),"",ReferenceData!$AG$419),"")</f>
        <v>1.8845791919999999</v>
      </c>
      <c r="AH419">
        <f ca="1">IFERROR(IF(0=LEN(ReferenceData!$AH$419),"",ReferenceData!$AH$419),"")</f>
        <v>2.79487906</v>
      </c>
      <c r="AI419">
        <f ca="1">IFERROR(IF(0=LEN(ReferenceData!$AI$419),"",ReferenceData!$AI$419),"")</f>
        <v>2.1682589550000002</v>
      </c>
      <c r="AJ419">
        <f ca="1">IFERROR(IF(0=LEN(ReferenceData!$AJ$419),"",ReferenceData!$AJ$419),"")</f>
        <v>1.6928036580000001</v>
      </c>
      <c r="AK419">
        <f ca="1">IFERROR(IF(0=LEN(ReferenceData!$AK$419),"",ReferenceData!$AK$419),"")</f>
        <v>3.232107745</v>
      </c>
      <c r="AL419">
        <f ca="1">IFERROR(IF(0=LEN(ReferenceData!$AL$419),"",ReferenceData!$AL$419),"")</f>
        <v>3.832008847</v>
      </c>
      <c r="AM419">
        <f ca="1">IFERROR(IF(0=LEN(ReferenceData!$AM$419),"",ReferenceData!$AM$419),"")</f>
        <v>5.255506381</v>
      </c>
      <c r="AN419">
        <f ca="1">IFERROR(IF(0=LEN(ReferenceData!$AN$419),"",ReferenceData!$AN$419),"")</f>
        <v>8.0350009020000002</v>
      </c>
      <c r="AO419">
        <f ca="1">IFERROR(IF(0=LEN(ReferenceData!$AO$419),"",ReferenceData!$AO$419),"")</f>
        <v>7.4874139529999999</v>
      </c>
      <c r="AP419">
        <f ca="1">IFERROR(IF(0=LEN(ReferenceData!$AP$419),"",ReferenceData!$AP$419),"")</f>
        <v>9.9618782679999995</v>
      </c>
      <c r="AQ419">
        <f ca="1">IFERROR(IF(0=LEN(ReferenceData!$AQ$419),"",ReferenceData!$AQ$419),"")</f>
        <v>8.8283849669999999</v>
      </c>
      <c r="AR419">
        <f ca="1">IFERROR(IF(0=LEN(ReferenceData!$AR$419),"",ReferenceData!$AR$419),"")</f>
        <v>8.2386033730000001</v>
      </c>
      <c r="AS419">
        <f ca="1">IFERROR(IF(0=LEN(ReferenceData!$AS$419),"",ReferenceData!$AS$419),"")</f>
        <v>3.96123921</v>
      </c>
      <c r="AT419">
        <f ca="1">IFERROR(IF(0=LEN(ReferenceData!$AT$419),"",ReferenceData!$AT$419),"")</f>
        <v>1.8425568699999999</v>
      </c>
      <c r="AU419">
        <f ca="1">IFERROR(IF(0=LEN(ReferenceData!$AU$419),"",ReferenceData!$AU$419),"")</f>
        <v>1.6386885330000001</v>
      </c>
      <c r="AV419">
        <f ca="1">IFERROR(IF(0=LEN(ReferenceData!$AV$419),"",ReferenceData!$AV$419),"")</f>
        <v>1.65361632</v>
      </c>
      <c r="AW419">
        <f ca="1">IFERROR(IF(0=LEN(ReferenceData!$AW$419),"",ReferenceData!$AW$419),"")</f>
        <v>1.2823800970000001</v>
      </c>
      <c r="AX419">
        <f ca="1">IFERROR(IF(0=LEN(ReferenceData!$AX$419),"",ReferenceData!$AX$419),"")</f>
        <v>1.837432221</v>
      </c>
      <c r="AY419">
        <f ca="1">IFERROR(IF(0=LEN(ReferenceData!$AY$419),"",ReferenceData!$AY$419),"")</f>
        <v>1.741002291</v>
      </c>
      <c r="AZ419">
        <f ca="1">IFERROR(IF(0=LEN(ReferenceData!$AZ$419),"",ReferenceData!$AZ$419),"")</f>
        <v>1.9669244960000001</v>
      </c>
      <c r="BA419">
        <f ca="1">IFERROR(IF(0=LEN(ReferenceData!$BA$419),"",ReferenceData!$BA$419),"")</f>
        <v>1.51302073</v>
      </c>
      <c r="BB419">
        <f ca="1">IFERROR(IF(0=LEN(ReferenceData!$BB$419),"",ReferenceData!$BB$419),"")</f>
        <v>1.2982105909999999</v>
      </c>
      <c r="BC419">
        <f ca="1">IFERROR(IF(0=LEN(ReferenceData!$BC$419),"",ReferenceData!$BC$419),"")</f>
        <v>1.0080993</v>
      </c>
      <c r="BD419">
        <f ca="1">IFERROR(IF(0=LEN(ReferenceData!$BD$419),"",ReferenceData!$BD$419),"")</f>
        <v>0.75993744900000004</v>
      </c>
      <c r="BE419">
        <f ca="1">IFERROR(IF(0=LEN(ReferenceData!$BE$419),"",ReferenceData!$BE$419),"")</f>
        <v>0.53702235499999995</v>
      </c>
      <c r="BF419">
        <f ca="1">IFERROR(IF(0=LEN(ReferenceData!$BF$419),"",ReferenceData!$BF$419),"")</f>
        <v>0.54429621699999997</v>
      </c>
      <c r="BG419">
        <f ca="1">IFERROR(IF(0=LEN(ReferenceData!$BG$419),"",ReferenceData!$BG$419),"")</f>
        <v>0.40557886500000001</v>
      </c>
      <c r="BH419">
        <f ca="1">IFERROR(IF(0=LEN(ReferenceData!$BH$419),"",ReferenceData!$BH$419),"")</f>
        <v>0.420645555</v>
      </c>
      <c r="BI419">
        <f ca="1">IFERROR(IF(0=LEN(ReferenceData!$BI$419),"",ReferenceData!$BI$419),"")</f>
        <v>0.56718712400000004</v>
      </c>
      <c r="BJ419">
        <f ca="1">IFERROR(IF(0=LEN(ReferenceData!$BJ$419),"",ReferenceData!$BJ$419),"")</f>
        <v>0.77434113500000001</v>
      </c>
      <c r="BK419">
        <f ca="1">IFERROR(IF(0=LEN(ReferenceData!$BK$419),"",ReferenceData!$BK$419),"")</f>
        <v>0.69742089699999998</v>
      </c>
      <c r="BL419">
        <f ca="1">IFERROR(IF(0=LEN(ReferenceData!$BL$419),"",ReferenceData!$BL$419),"")</f>
        <v>0.79992331500000002</v>
      </c>
      <c r="BM419">
        <f ca="1">IFERROR(IF(0=LEN(ReferenceData!$BM$419),"",ReferenceData!$BM$419),"")</f>
        <v>0.77768525799999999</v>
      </c>
    </row>
    <row r="420" spans="1:65" x14ac:dyDescent="0.25">
      <c r="A420" t="str">
        <f>IFERROR(IF(0=LEN(ReferenceData!$A$420),"",ReferenceData!$A$420),"")</f>
        <v xml:space="preserve">    Chongqing Changan Automobile Co Ltd</v>
      </c>
      <c r="B420" t="str">
        <f>IFERROR(IF(0=LEN(ReferenceData!$B$420),"",ReferenceData!$B$420),"")</f>
        <v>200625 CH Equity</v>
      </c>
      <c r="C420" t="str">
        <f>IFERROR(IF(0=LEN(ReferenceData!$C$420),"",ReferenceData!$C$420),"")</f>
        <v>PR005</v>
      </c>
      <c r="D420" t="str">
        <f>IFERROR(IF(0=LEN(ReferenceData!$D$420),"",ReferenceData!$D$420),"")</f>
        <v>PX_LAST</v>
      </c>
      <c r="E420" t="str">
        <f>IFERROR(IF(0=LEN(ReferenceData!$E$420),"",ReferenceData!$E$420),"")</f>
        <v>Dynamic</v>
      </c>
      <c r="F420">
        <f ca="1">IFERROR(IF(0=LEN(ReferenceData!$F$420),"",ReferenceData!$F$420),"")</f>
        <v>0.57071517000000005</v>
      </c>
      <c r="G420">
        <f ca="1">IFERROR(IF(0=LEN(ReferenceData!$G$420),"",ReferenceData!$G$420),"")</f>
        <v>0.44570450700000003</v>
      </c>
      <c r="H420">
        <f ca="1">IFERROR(IF(0=LEN(ReferenceData!$H$420),"",ReferenceData!$H$420),"")</f>
        <v>0.80761612699999996</v>
      </c>
      <c r="I420">
        <f ca="1">IFERROR(IF(0=LEN(ReferenceData!$I$420),"",ReferenceData!$I$420),"")</f>
        <v>1.0106803289999999</v>
      </c>
      <c r="J420">
        <f ca="1">IFERROR(IF(0=LEN(ReferenceData!$J$420),"",ReferenceData!$J$420),"")</f>
        <v>1.035827133</v>
      </c>
      <c r="K420">
        <f ca="1">IFERROR(IF(0=LEN(ReferenceData!$K$420),"",ReferenceData!$K$420),"")</f>
        <v>1.100828181</v>
      </c>
      <c r="L420">
        <f ca="1">IFERROR(IF(0=LEN(ReferenceData!$L$420),"",ReferenceData!$L$420),"")</f>
        <v>1.3223584829999999</v>
      </c>
      <c r="M420">
        <f ca="1">IFERROR(IF(0=LEN(ReferenceData!$M$420),"",ReferenceData!$M$420),"")</f>
        <v>1.319396408</v>
      </c>
      <c r="N420">
        <f ca="1">IFERROR(IF(0=LEN(ReferenceData!$N$420),"",ReferenceData!$N$420),"")</f>
        <v>1.389693109</v>
      </c>
      <c r="O420">
        <f ca="1">IFERROR(IF(0=LEN(ReferenceData!$O$420),"",ReferenceData!$O$420),"")</f>
        <v>1.4302480040000001</v>
      </c>
      <c r="P420">
        <f ca="1">IFERROR(IF(0=LEN(ReferenceData!$P$420),"",ReferenceData!$P$420),"")</f>
        <v>1.6297900869999999</v>
      </c>
      <c r="Q420">
        <f ca="1">IFERROR(IF(0=LEN(ReferenceData!$Q$420),"",ReferenceData!$Q$420),"")</f>
        <v>1.391860195</v>
      </c>
      <c r="R420">
        <f ca="1">IFERROR(IF(0=LEN(ReferenceData!$R$420),"",ReferenceData!$R$420),"")</f>
        <v>1.8733641910000001</v>
      </c>
      <c r="S420">
        <f ca="1">IFERROR(IF(0=LEN(ReferenceData!$S$420),"",ReferenceData!$S$420),"")</f>
        <v>2.2064231429999999</v>
      </c>
      <c r="T420">
        <f ca="1">IFERROR(IF(0=LEN(ReferenceData!$T$420),"",ReferenceData!$T$420),"")</f>
        <v>1.6889668790000001</v>
      </c>
      <c r="U420">
        <f ca="1">IFERROR(IF(0=LEN(ReferenceData!$U$420),"",ReferenceData!$U$420),"")</f>
        <v>2.558049536</v>
      </c>
      <c r="V420">
        <f ca="1">IFERROR(IF(0=LEN(ReferenceData!$V$420),"",ReferenceData!$V$420),"")</f>
        <v>2.7292886059999999</v>
      </c>
      <c r="W420">
        <f ca="1">IFERROR(IF(0=LEN(ReferenceData!$W$420),"",ReferenceData!$W$420),"")</f>
        <v>2.2646668129999998</v>
      </c>
      <c r="X420">
        <f ca="1">IFERROR(IF(0=LEN(ReferenceData!$X$420),"",ReferenceData!$X$420),"")</f>
        <v>2.148183446</v>
      </c>
      <c r="Y420">
        <f ca="1">IFERROR(IF(0=LEN(ReferenceData!$Y$420),"",ReferenceData!$Y$420),"")</f>
        <v>1.97409166</v>
      </c>
      <c r="Z420">
        <f ca="1">IFERROR(IF(0=LEN(ReferenceData!$Z$420),"",ReferenceData!$Z$420),"")</f>
        <v>1.660457141</v>
      </c>
      <c r="AA420">
        <f ca="1">IFERROR(IF(0=LEN(ReferenceData!$AA$420),"",ReferenceData!$AA$420),"")</f>
        <v>1.9729461370000001</v>
      </c>
      <c r="AB420">
        <f ca="1">IFERROR(IF(0=LEN(ReferenceData!$AB$420),"",ReferenceData!$AB$420),"")</f>
        <v>1.5266978710000001</v>
      </c>
      <c r="AC420">
        <f ca="1">IFERROR(IF(0=LEN(ReferenceData!$AC$420),"",ReferenceData!$AC$420),"")</f>
        <v>1.186163149</v>
      </c>
      <c r="AD420">
        <f ca="1">IFERROR(IF(0=LEN(ReferenceData!$AD$420),"",ReferenceData!$AD$420),"")</f>
        <v>0.97895252099999996</v>
      </c>
      <c r="AE420">
        <f ca="1">IFERROR(IF(0=LEN(ReferenceData!$AE$420),"",ReferenceData!$AE$420),"")</f>
        <v>0.56122514800000001</v>
      </c>
      <c r="AF420">
        <f ca="1">IFERROR(IF(0=LEN(ReferenceData!$AF$420),"",ReferenceData!$AF$420),"")</f>
        <v>0.37011722499999999</v>
      </c>
      <c r="AG420">
        <f ca="1">IFERROR(IF(0=LEN(ReferenceData!$AG$420),"",ReferenceData!$AG$420),"")</f>
        <v>0.39831393300000001</v>
      </c>
      <c r="AH420">
        <f ca="1">IFERROR(IF(0=LEN(ReferenceData!$AH$420),"",ReferenceData!$AH$420),"")</f>
        <v>0.41472398999999999</v>
      </c>
      <c r="AI420">
        <f ca="1">IFERROR(IF(0=LEN(ReferenceData!$AI$420),"",ReferenceData!$AI$420),"")</f>
        <v>0.35794298699999999</v>
      </c>
      <c r="AJ420">
        <f ca="1">IFERROR(IF(0=LEN(ReferenceData!$AJ$420),"",ReferenceData!$AJ$420),"")</f>
        <v>0.27100270999999998</v>
      </c>
      <c r="AK420">
        <f ca="1">IFERROR(IF(0=LEN(ReferenceData!$AK$420),"",ReferenceData!$AK$420),"")</f>
        <v>0.39767705199999998</v>
      </c>
      <c r="AL420">
        <f ca="1">IFERROR(IF(0=LEN(ReferenceData!$AL$420),"",ReferenceData!$AL$420),"")</f>
        <v>0.444353002</v>
      </c>
      <c r="AM420">
        <f ca="1">IFERROR(IF(0=LEN(ReferenceData!$AM$420),"",ReferenceData!$AM$420),"")</f>
        <v>0.470300993</v>
      </c>
      <c r="AN420">
        <f ca="1">IFERROR(IF(0=LEN(ReferenceData!$AN$420),"",ReferenceData!$AN$420),"")</f>
        <v>0.49686274899999999</v>
      </c>
      <c r="AO420">
        <f ca="1">IFERROR(IF(0=LEN(ReferenceData!$AO$420),"",ReferenceData!$AO$420),"")</f>
        <v>0.31821866100000001</v>
      </c>
      <c r="AP420">
        <f ca="1">IFERROR(IF(0=LEN(ReferenceData!$AP$420),"",ReferenceData!$AP$420),"")</f>
        <v>0.490831609</v>
      </c>
      <c r="AQ420">
        <f ca="1">IFERROR(IF(0=LEN(ReferenceData!$AQ$420),"",ReferenceData!$AQ$420),"")</f>
        <v>0.56534337599999995</v>
      </c>
      <c r="AR420">
        <f ca="1">IFERROR(IF(0=LEN(ReferenceData!$AR$420),"",ReferenceData!$AR$420),"")</f>
        <v>0.32616066599999999</v>
      </c>
      <c r="AS420">
        <f ca="1">IFERROR(IF(0=LEN(ReferenceData!$AS$420),"",ReferenceData!$AS$420),"")</f>
        <v>0.25662751299999997</v>
      </c>
      <c r="AT420">
        <f ca="1">IFERROR(IF(0=LEN(ReferenceData!$AT$420),"",ReferenceData!$AT$420),"")</f>
        <v>0.21218364200000001</v>
      </c>
      <c r="AU420">
        <f ca="1">IFERROR(IF(0=LEN(ReferenceData!$AU$420),"",ReferenceData!$AU$420),"")</f>
        <v>0.12023927600000001</v>
      </c>
      <c r="AV420">
        <f ca="1">IFERROR(IF(0=LEN(ReferenceData!$AV$420),"",ReferenceData!$AV$420),"")</f>
        <v>0.132208773</v>
      </c>
      <c r="AW420">
        <f ca="1">IFERROR(IF(0=LEN(ReferenceData!$AW$420),"",ReferenceData!$AW$420),"")</f>
        <v>0.20874298299999999</v>
      </c>
      <c r="AX420">
        <f ca="1">IFERROR(IF(0=LEN(ReferenceData!$AX$420),"",ReferenceData!$AX$420),"")</f>
        <v>0.30397819999999998</v>
      </c>
      <c r="AY420">
        <f ca="1">IFERROR(IF(0=LEN(ReferenceData!$AY$420),"",ReferenceData!$AY$420),"")</f>
        <v>0.49241911900000002</v>
      </c>
      <c r="AZ420">
        <f ca="1">IFERROR(IF(0=LEN(ReferenceData!$AZ$420),"",ReferenceData!$AZ$420),"")</f>
        <v>0.59132600999999996</v>
      </c>
      <c r="BA420">
        <f ca="1">IFERROR(IF(0=LEN(ReferenceData!$BA$420),"",ReferenceData!$BA$420),"")</f>
        <v>0.453008617</v>
      </c>
      <c r="BB420">
        <f ca="1">IFERROR(IF(0=LEN(ReferenceData!$BB$420),"",ReferenceData!$BB$420),"")</f>
        <v>0.393978259</v>
      </c>
      <c r="BC420">
        <f ca="1">IFERROR(IF(0=LEN(ReferenceData!$BC$420),"",ReferenceData!$BC$420),"")</f>
        <v>0.32583746499999999</v>
      </c>
      <c r="BD420">
        <f ca="1">IFERROR(IF(0=LEN(ReferenceData!$BD$420),"",ReferenceData!$BD$420),"")</f>
        <v>0.19657778400000001</v>
      </c>
      <c r="BE420">
        <f ca="1">IFERROR(IF(0=LEN(ReferenceData!$BE$420),"",ReferenceData!$BE$420),"")</f>
        <v>0.19819130300000001</v>
      </c>
      <c r="BF420">
        <f ca="1">IFERROR(IF(0=LEN(ReferenceData!$BF$420),"",ReferenceData!$BF$420),"")</f>
        <v>0.18892632400000001</v>
      </c>
      <c r="BG420">
        <f ca="1">IFERROR(IF(0=LEN(ReferenceData!$BG$420),"",ReferenceData!$BG$420),"")</f>
        <v>0.108968287</v>
      </c>
      <c r="BH420">
        <f ca="1">IFERROR(IF(0=LEN(ReferenceData!$BH$420),"",ReferenceData!$BH$420),"")</f>
        <v>0.16312370000000001</v>
      </c>
      <c r="BI420">
        <f ca="1">IFERROR(IF(0=LEN(ReferenceData!$BI$420),"",ReferenceData!$BI$420),"")</f>
        <v>0.21247308300000001</v>
      </c>
      <c r="BJ420">
        <f ca="1">IFERROR(IF(0=LEN(ReferenceData!$BJ$420),"",ReferenceData!$BJ$420),"")</f>
        <v>0.194397552</v>
      </c>
      <c r="BK420">
        <f ca="1">IFERROR(IF(0=LEN(ReferenceData!$BK$420),"",ReferenceData!$BK$420),"")</f>
        <v>0.17619950700000001</v>
      </c>
      <c r="BL420">
        <f ca="1">IFERROR(IF(0=LEN(ReferenceData!$BL$420),"",ReferenceData!$BL$420),"")</f>
        <v>0.245431491</v>
      </c>
      <c r="BM420">
        <f ca="1">IFERROR(IF(0=LEN(ReferenceData!$BM$420),"",ReferenceData!$BM$420),"")</f>
        <v>0.255229716</v>
      </c>
    </row>
    <row r="421" spans="1:65" x14ac:dyDescent="0.25">
      <c r="A421" t="str">
        <f>IFERROR(IF(0=LEN(ReferenceData!$A$421),"",ReferenceData!$A$421),"")</f>
        <v xml:space="preserve">    Daihatsu Motor Co Ltd</v>
      </c>
      <c r="B421" t="str">
        <f>IFERROR(IF(0=LEN(ReferenceData!$B$421),"",ReferenceData!$B$421),"")</f>
        <v>7262 JP Equity</v>
      </c>
      <c r="C421" t="str">
        <f>IFERROR(IF(0=LEN(ReferenceData!$C$421),"",ReferenceData!$C$421),"")</f>
        <v>PR005</v>
      </c>
      <c r="D421" t="str">
        <f>IFERROR(IF(0=LEN(ReferenceData!$D$421),"",ReferenceData!$D$421),"")</f>
        <v>PX_LAST</v>
      </c>
      <c r="E421" t="str">
        <f>IFERROR(IF(0=LEN(ReferenceData!$E$421),"",ReferenceData!$E$421),"")</f>
        <v>Dynamic</v>
      </c>
      <c r="F421" t="str">
        <f ca="1">IFERROR(IF(0=LEN(ReferenceData!$F$421),"",ReferenceData!$F$421),"")</f>
        <v/>
      </c>
      <c r="G421" t="str">
        <f ca="1">IFERROR(IF(0=LEN(ReferenceData!$G$421),"",ReferenceData!$G$421),"")</f>
        <v/>
      </c>
      <c r="H421" t="str">
        <f ca="1">IFERROR(IF(0=LEN(ReferenceData!$H$421),"",ReferenceData!$H$421),"")</f>
        <v/>
      </c>
      <c r="I421" t="str">
        <f ca="1">IFERROR(IF(0=LEN(ReferenceData!$I$421),"",ReferenceData!$I$421),"")</f>
        <v/>
      </c>
      <c r="J421" t="str">
        <f ca="1">IFERROR(IF(0=LEN(ReferenceData!$J$421),"",ReferenceData!$J$421),"")</f>
        <v/>
      </c>
      <c r="K421" t="str">
        <f ca="1">IFERROR(IF(0=LEN(ReferenceData!$K$421),"",ReferenceData!$K$421),"")</f>
        <v/>
      </c>
      <c r="L421" t="str">
        <f ca="1">IFERROR(IF(0=LEN(ReferenceData!$L$421),"",ReferenceData!$L$421),"")</f>
        <v/>
      </c>
      <c r="M421" t="str">
        <f ca="1">IFERROR(IF(0=LEN(ReferenceData!$M$421),"",ReferenceData!$M$421),"")</f>
        <v/>
      </c>
      <c r="N421" t="str">
        <f ca="1">IFERROR(IF(0=LEN(ReferenceData!$N$421),"",ReferenceData!$N$421),"")</f>
        <v/>
      </c>
      <c r="O421" t="str">
        <f ca="1">IFERROR(IF(0=LEN(ReferenceData!$O$421),"",ReferenceData!$O$421),"")</f>
        <v/>
      </c>
      <c r="P421">
        <f ca="1">IFERROR(IF(0=LEN(ReferenceData!$P$421),"",ReferenceData!$P$421),"")</f>
        <v>14.22845691</v>
      </c>
      <c r="Q421">
        <f ca="1">IFERROR(IF(0=LEN(ReferenceData!$Q$421),"",ReferenceData!$Q$421),"")</f>
        <v>12.82100979</v>
      </c>
      <c r="R421">
        <f ca="1">IFERROR(IF(0=LEN(ReferenceData!$R$421),"",ReferenceData!$R$421),"")</f>
        <v>14.097777779999999</v>
      </c>
      <c r="S421">
        <f ca="1">IFERROR(IF(0=LEN(ReferenceData!$S$421),"",ReferenceData!$S$421),"")</f>
        <v>13.605836999999999</v>
      </c>
      <c r="T421">
        <f ca="1">IFERROR(IF(0=LEN(ReferenceData!$T$421),"",ReferenceData!$T$421),"")</f>
        <v>11.54006852</v>
      </c>
      <c r="U421">
        <f ca="1">IFERROR(IF(0=LEN(ReferenceData!$U$421),"",ReferenceData!$U$421),"")</f>
        <v>14.272846380000001</v>
      </c>
      <c r="V421">
        <f ca="1">IFERROR(IF(0=LEN(ReferenceData!$V$421),"",ReferenceData!$V$421),"")</f>
        <v>15.323051270000001</v>
      </c>
      <c r="W421">
        <f ca="1">IFERROR(IF(0=LEN(ReferenceData!$W$421),"",ReferenceData!$W$421),"")</f>
        <v>13.217813489999999</v>
      </c>
      <c r="X421">
        <f ca="1">IFERROR(IF(0=LEN(ReferenceData!$X$421),"",ReferenceData!$X$421),"")</f>
        <v>15.876345069999999</v>
      </c>
      <c r="Y421">
        <f ca="1">IFERROR(IF(0=LEN(ReferenceData!$Y$421),"",ReferenceData!$Y$421),"")</f>
        <v>17.780629869999999</v>
      </c>
      <c r="Z421">
        <f ca="1">IFERROR(IF(0=LEN(ReferenceData!$Z$421),"",ReferenceData!$Z$421),"")</f>
        <v>17.68700883</v>
      </c>
      <c r="AA421">
        <f ca="1">IFERROR(IF(0=LEN(ReferenceData!$AA$421),"",ReferenceData!$AA$421),"")</f>
        <v>16.9585078</v>
      </c>
      <c r="AB421">
        <f ca="1">IFERROR(IF(0=LEN(ReferenceData!$AB$421),"",ReferenceData!$AB$421),"")</f>
        <v>19.346298749999999</v>
      </c>
      <c r="AC421">
        <f ca="1">IFERROR(IF(0=LEN(ReferenceData!$AC$421),"",ReferenceData!$AC$421),"")</f>
        <v>18.92680962</v>
      </c>
      <c r="AD421">
        <f ca="1">IFERROR(IF(0=LEN(ReferenceData!$AD$421),"",ReferenceData!$AD$421),"")</f>
        <v>20.717469749999999</v>
      </c>
      <c r="AE421">
        <f ca="1">IFERROR(IF(0=LEN(ReferenceData!$AE$421),"",ReferenceData!$AE$421),"")</f>
        <v>19.876858739999999</v>
      </c>
      <c r="AF421">
        <f ca="1">IFERROR(IF(0=LEN(ReferenceData!$AF$421),"",ReferenceData!$AF$421),"")</f>
        <v>16.709445590000001</v>
      </c>
      <c r="AG421">
        <f ca="1">IFERROR(IF(0=LEN(ReferenceData!$AG$421),"",ReferenceData!$AG$421),"")</f>
        <v>17.38095238</v>
      </c>
      <c r="AH421">
        <f ca="1">IFERROR(IF(0=LEN(ReferenceData!$AH$421),"",ReferenceData!$AH$421),"")</f>
        <v>18.346847390000001</v>
      </c>
      <c r="AI421">
        <f ca="1">IFERROR(IF(0=LEN(ReferenceData!$AI$421),"",ReferenceData!$AI$421),"")</f>
        <v>17.846473570000001</v>
      </c>
      <c r="AJ421">
        <f ca="1">IFERROR(IF(0=LEN(ReferenceData!$AJ$421),"",ReferenceData!$AJ$421),"")</f>
        <v>18.265491310000002</v>
      </c>
      <c r="AK421">
        <f ca="1">IFERROR(IF(0=LEN(ReferenceData!$AK$421),"",ReferenceData!$AK$421),"")</f>
        <v>16.931479639999999</v>
      </c>
      <c r="AL421">
        <f ca="1">IFERROR(IF(0=LEN(ReferenceData!$AL$421),"",ReferenceData!$AL$421),"")</f>
        <v>14.632379569999999</v>
      </c>
      <c r="AM421">
        <f ca="1">IFERROR(IF(0=LEN(ReferenceData!$AM$421),"",ReferenceData!$AM$421),"")</f>
        <v>15.24345486</v>
      </c>
      <c r="AN421">
        <f ca="1">IFERROR(IF(0=LEN(ReferenceData!$AN$421),"",ReferenceData!$AN$421),"")</f>
        <v>13.38365684</v>
      </c>
      <c r="AO421">
        <f ca="1">IFERROR(IF(0=LEN(ReferenceData!$AO$421),"",ReferenceData!$AO$421),"")</f>
        <v>9.3700609620000002</v>
      </c>
      <c r="AP421">
        <f ca="1">IFERROR(IF(0=LEN(ReferenceData!$AP$421),"",ReferenceData!$AP$421),"")</f>
        <v>9.5569349320000008</v>
      </c>
      <c r="AQ421">
        <f ca="1">IFERROR(IF(0=LEN(ReferenceData!$AQ$421),"",ReferenceData!$AQ$421),"")</f>
        <v>10.01298982</v>
      </c>
      <c r="AR421">
        <f ca="1">IFERROR(IF(0=LEN(ReferenceData!$AR$421),"",ReferenceData!$AR$421),"")</f>
        <v>10.225245320000001</v>
      </c>
      <c r="AS421">
        <f ca="1">IFERROR(IF(0=LEN(ReferenceData!$AS$421),"",ReferenceData!$AS$421),"")</f>
        <v>9.3230897010000007</v>
      </c>
      <c r="AT421">
        <f ca="1">IFERROR(IF(0=LEN(ReferenceData!$AT$421),"",ReferenceData!$AT$421),"")</f>
        <v>7.740312028</v>
      </c>
      <c r="AU421">
        <f ca="1">IFERROR(IF(0=LEN(ReferenceData!$AU$421),"",ReferenceData!$AU$421),"")</f>
        <v>8.6682165389999994</v>
      </c>
      <c r="AV421">
        <f ca="1">IFERROR(IF(0=LEN(ReferenceData!$AV$421),"",ReferenceData!$AV$421),"")</f>
        <v>10.73547415</v>
      </c>
      <c r="AW421">
        <f ca="1">IFERROR(IF(0=LEN(ReferenceData!$AW$421),"",ReferenceData!$AW$421),"")</f>
        <v>11.45117243</v>
      </c>
      <c r="AX421">
        <f ca="1">IFERROR(IF(0=LEN(ReferenceData!$AX$421),"",ReferenceData!$AX$421),"")</f>
        <v>11.98678149</v>
      </c>
      <c r="AY421">
        <f ca="1">IFERROR(IF(0=LEN(ReferenceData!$AY$421),"",ReferenceData!$AY$421),"")</f>
        <v>9.3173758870000007</v>
      </c>
      <c r="AZ421">
        <f ca="1">IFERROR(IF(0=LEN(ReferenceData!$AZ$421),"",ReferenceData!$AZ$421),"")</f>
        <v>10.391986060000001</v>
      </c>
      <c r="BA421">
        <f ca="1">IFERROR(IF(0=LEN(ReferenceData!$BA$421),"",ReferenceData!$BA$421),"")</f>
        <v>9.1676131749999996</v>
      </c>
      <c r="BB421">
        <f ca="1">IFERROR(IF(0=LEN(ReferenceData!$BB$421),"",ReferenceData!$BB$421),"")</f>
        <v>9.5416276890000002</v>
      </c>
      <c r="BC421">
        <f ca="1">IFERROR(IF(0=LEN(ReferenceData!$BC$421),"",ReferenceData!$BC$421),"")</f>
        <v>10.085656699999999</v>
      </c>
      <c r="BD421">
        <f ca="1">IFERROR(IF(0=LEN(ReferenceData!$BD$421),"",ReferenceData!$BD$421),"")</f>
        <v>9.1594644980000002</v>
      </c>
      <c r="BE421">
        <f ca="1">IFERROR(IF(0=LEN(ReferenceData!$BE$421),"",ReferenceData!$BE$421),"")</f>
        <v>8.8931597799999995</v>
      </c>
      <c r="BF421">
        <f ca="1">IFERROR(IF(0=LEN(ReferenceData!$BF$421),"",ReferenceData!$BF$421),"")</f>
        <v>10.29787234</v>
      </c>
      <c r="BG421">
        <f ca="1">IFERROR(IF(0=LEN(ReferenceData!$BG$421),"",ReferenceData!$BG$421),"")</f>
        <v>10.8078325</v>
      </c>
      <c r="BH421">
        <f ca="1">IFERROR(IF(0=LEN(ReferenceData!$BH$421),"",ReferenceData!$BH$421),"")</f>
        <v>10.126805210000001</v>
      </c>
      <c r="BI421">
        <f ca="1">IFERROR(IF(0=LEN(ReferenceData!$BI$421),"",ReferenceData!$BI$421),"")</f>
        <v>8.6090327230000003</v>
      </c>
      <c r="BJ421">
        <f ca="1">IFERROR(IF(0=LEN(ReferenceData!$BJ$421),"",ReferenceData!$BJ$421),"")</f>
        <v>7.7518656720000001</v>
      </c>
      <c r="BK421">
        <f ca="1">IFERROR(IF(0=LEN(ReferenceData!$BK$421),"",ReferenceData!$BK$421),"")</f>
        <v>7.9281901990000003</v>
      </c>
      <c r="BL421">
        <f ca="1">IFERROR(IF(0=LEN(ReferenceData!$BL$421),"",ReferenceData!$BL$421),"")</f>
        <v>8.0232875470000007</v>
      </c>
      <c r="BM421">
        <f ca="1">IFERROR(IF(0=LEN(ReferenceData!$BM$421),"",ReferenceData!$BM$421),"")</f>
        <v>7.214044071</v>
      </c>
    </row>
    <row r="422" spans="1:65" x14ac:dyDescent="0.25">
      <c r="A422" t="str">
        <f>IFERROR(IF(0=LEN(ReferenceData!$A$422),"",ReferenceData!$A$422),"")</f>
        <v xml:space="preserve">    Daimler AG</v>
      </c>
      <c r="B422" t="str">
        <f>IFERROR(IF(0=LEN(ReferenceData!$B$422),"",ReferenceData!$B$422),"")</f>
        <v>DAI GR Equity</v>
      </c>
      <c r="C422" t="str">
        <f>IFERROR(IF(0=LEN(ReferenceData!$C$422),"",ReferenceData!$C$422),"")</f>
        <v>PR005</v>
      </c>
      <c r="D422" t="str">
        <f>IFERROR(IF(0=LEN(ReferenceData!$D$422),"",ReferenceData!$D$422),"")</f>
        <v>PX_LAST</v>
      </c>
      <c r="E422" t="str">
        <f>IFERROR(IF(0=LEN(ReferenceData!$E$422),"",ReferenceData!$E$422),"")</f>
        <v>Dynamic</v>
      </c>
      <c r="F422">
        <f ca="1">IFERROR(IF(0=LEN(ReferenceData!$F$422),"",ReferenceData!$F$422),"")</f>
        <v>60.142009119999997</v>
      </c>
      <c r="G422">
        <f ca="1">IFERROR(IF(0=LEN(ReferenceData!$G$422),"",ReferenceData!$G$422),"")</f>
        <v>52.525630999999997</v>
      </c>
      <c r="H422">
        <f ca="1">IFERROR(IF(0=LEN(ReferenceData!$H$422),"",ReferenceData!$H$422),"")</f>
        <v>63.180160000000001</v>
      </c>
      <c r="I422">
        <f ca="1">IFERROR(IF(0=LEN(ReferenceData!$I$422),"",ReferenceData!$I$422),"")</f>
        <v>64.375300999999993</v>
      </c>
      <c r="J422">
        <f ca="1">IFERROR(IF(0=LEN(ReferenceData!$J$422),"",ReferenceData!$J$422),"")</f>
        <v>84.930809999999994</v>
      </c>
      <c r="K422">
        <f ca="1">IFERROR(IF(0=LEN(ReferenceData!$K$422),"",ReferenceData!$K$422),"")</f>
        <v>85.115759999999995</v>
      </c>
      <c r="L422">
        <f ca="1">IFERROR(IF(0=LEN(ReferenceData!$L$422),"",ReferenceData!$L$422),"")</f>
        <v>79.481402000000003</v>
      </c>
      <c r="M422">
        <f ca="1">IFERROR(IF(0=LEN(ReferenceData!$M$422),"",ReferenceData!$M$422),"")</f>
        <v>72.472549999999998</v>
      </c>
      <c r="N422">
        <f ca="1">IFERROR(IF(0=LEN(ReferenceData!$N$422),"",ReferenceData!$N$422),"")</f>
        <v>73.905573000000004</v>
      </c>
      <c r="O422">
        <f ca="1">IFERROR(IF(0=LEN(ReferenceData!$O$422),"",ReferenceData!$O$422),"")</f>
        <v>74.588384000000005</v>
      </c>
      <c r="P422">
        <f ca="1">IFERROR(IF(0=LEN(ReferenceData!$P$422),"",ReferenceData!$P$422),"")</f>
        <v>70.354647999999997</v>
      </c>
      <c r="Q422">
        <f ca="1">IFERROR(IF(0=LEN(ReferenceData!$Q$422),"",ReferenceData!$Q$422),"")</f>
        <v>59.793092700000003</v>
      </c>
      <c r="R422">
        <f ca="1">IFERROR(IF(0=LEN(ReferenceData!$R$422),"",ReferenceData!$R$422),"")</f>
        <v>76.789883200000006</v>
      </c>
      <c r="S422">
        <f ca="1">IFERROR(IF(0=LEN(ReferenceData!$S$422),"",ReferenceData!$S$422),"")</f>
        <v>84.647537999999997</v>
      </c>
      <c r="T422">
        <f ca="1">IFERROR(IF(0=LEN(ReferenceData!$T$422),"",ReferenceData!$T$422),"")</f>
        <v>72.689709199999996</v>
      </c>
      <c r="U422">
        <f ca="1">IFERROR(IF(0=LEN(ReferenceData!$U$422),"",ReferenceData!$U$422),"")</f>
        <v>91.610742000000002</v>
      </c>
      <c r="V422">
        <f ca="1">IFERROR(IF(0=LEN(ReferenceData!$V$422),"",ReferenceData!$V$422),"")</f>
        <v>96.329930399999995</v>
      </c>
      <c r="W422">
        <f ca="1">IFERROR(IF(0=LEN(ReferenceData!$W$422),"",ReferenceData!$W$422),"")</f>
        <v>83.846829</v>
      </c>
      <c r="X422">
        <f ca="1">IFERROR(IF(0=LEN(ReferenceData!$X$422),"",ReferenceData!$X$422),"")</f>
        <v>76.430707999999996</v>
      </c>
      <c r="Y422">
        <f ca="1">IFERROR(IF(0=LEN(ReferenceData!$Y$422),"",ReferenceData!$Y$422),"")</f>
        <v>93.530079999999998</v>
      </c>
      <c r="Z422">
        <f ca="1">IFERROR(IF(0=LEN(ReferenceData!$Z$422),"",ReferenceData!$Z$422),"")</f>
        <v>94.765131999999994</v>
      </c>
      <c r="AA422">
        <f ca="1">IFERROR(IF(0=LEN(ReferenceData!$AA$422),"",ReferenceData!$AA$422),"")</f>
        <v>86.802000000000007</v>
      </c>
      <c r="AB422">
        <f ca="1">IFERROR(IF(0=LEN(ReferenceData!$AB$422),"",ReferenceData!$AB$422),"")</f>
        <v>78.060338999999999</v>
      </c>
      <c r="AC422">
        <f ca="1">IFERROR(IF(0=LEN(ReferenceData!$AC$422),"",ReferenceData!$AC$422),"")</f>
        <v>60.343200000000003</v>
      </c>
      <c r="AD422">
        <f ca="1">IFERROR(IF(0=LEN(ReferenceData!$AD$422),"",ReferenceData!$AD$422),"")</f>
        <v>54.749940000000002</v>
      </c>
      <c r="AE422">
        <f ca="1">IFERROR(IF(0=LEN(ReferenceData!$AE$422),"",ReferenceData!$AE$422),"")</f>
        <v>54.633304000000003</v>
      </c>
      <c r="AF422">
        <f ca="1">IFERROR(IF(0=LEN(ReferenceData!$AF$422),"",ReferenceData!$AF$422),"")</f>
        <v>48.722783999999997</v>
      </c>
      <c r="AG422">
        <f ca="1">IFERROR(IF(0=LEN(ReferenceData!$AG$422),"",ReferenceData!$AG$422),"")</f>
        <v>44.714959499999999</v>
      </c>
      <c r="AH422">
        <f ca="1">IFERROR(IF(0=LEN(ReferenceData!$AH$422),"",ReferenceData!$AH$422),"")</f>
        <v>60.593940000000003</v>
      </c>
      <c r="AI422">
        <f ca="1">IFERROR(IF(0=LEN(ReferenceData!$AI$422),"",ReferenceData!$AI$422),"")</f>
        <v>43.960320000000003</v>
      </c>
      <c r="AJ422">
        <f ca="1">IFERROR(IF(0=LEN(ReferenceData!$AJ$422),"",ReferenceData!$AJ$422),"")</f>
        <v>45.067599000000001</v>
      </c>
      <c r="AK422">
        <f ca="1">IFERROR(IF(0=LEN(ReferenceData!$AK$422),"",ReferenceData!$AK$422),"")</f>
        <v>75.103759999999994</v>
      </c>
      <c r="AL422">
        <f ca="1">IFERROR(IF(0=LEN(ReferenceData!$AL$422),"",ReferenceData!$AL$422),"")</f>
        <v>70.95</v>
      </c>
      <c r="AM422">
        <f ca="1">IFERROR(IF(0=LEN(ReferenceData!$AM$422),"",ReferenceData!$AM$422),"")</f>
        <v>67.283198999999996</v>
      </c>
      <c r="AN422">
        <f ca="1">IFERROR(IF(0=LEN(ReferenceData!$AN$422),"",ReferenceData!$AN$422),"")</f>
        <v>63.24447</v>
      </c>
      <c r="AO422">
        <f ca="1">IFERROR(IF(0=LEN(ReferenceData!$AO$422),"",ReferenceData!$AO$422),"")</f>
        <v>51.399729499999999</v>
      </c>
      <c r="AP422">
        <f ca="1">IFERROR(IF(0=LEN(ReferenceData!$AP$422),"",ReferenceData!$AP$422),"")</f>
        <v>47.270769000000001</v>
      </c>
      <c r="AQ422">
        <f ca="1">IFERROR(IF(0=LEN(ReferenceData!$AQ$422),"",ReferenceData!$AQ$422),"")</f>
        <v>53.384096999999997</v>
      </c>
      <c r="AR422">
        <f ca="1">IFERROR(IF(0=LEN(ReferenceData!$AR$422),"",ReferenceData!$AR$422),"")</f>
        <v>50.694065999999999</v>
      </c>
      <c r="AS422">
        <f ca="1">IFERROR(IF(0=LEN(ReferenceData!$AS$422),"",ReferenceData!$AS$422),"")</f>
        <v>36.136600000000001</v>
      </c>
      <c r="AT422">
        <f ca="1">IFERROR(IF(0=LEN(ReferenceData!$AT$422),"",ReferenceData!$AT$422),"")</f>
        <v>25.677489000000001</v>
      </c>
      <c r="AU422">
        <f ca="1">IFERROR(IF(0=LEN(ReferenceData!$AU$422),"",ReferenceData!$AU$422),"")</f>
        <v>37.684379999999997</v>
      </c>
      <c r="AV422">
        <f ca="1">IFERROR(IF(0=LEN(ReferenceData!$AV$422),"",ReferenceData!$AV$422),"")</f>
        <v>50.672764999999998</v>
      </c>
      <c r="AW422">
        <f ca="1">IFERROR(IF(0=LEN(ReferenceData!$AW$422),"",ReferenceData!$AW$422),"")</f>
        <v>61.685119999999998</v>
      </c>
      <c r="AX422">
        <f ca="1">IFERROR(IF(0=LEN(ReferenceData!$AX$422),"",ReferenceData!$AX$422),"")</f>
        <v>85.827061</v>
      </c>
      <c r="AY422">
        <f ca="1">IFERROR(IF(0=LEN(ReferenceData!$AY$422),"",ReferenceData!$AY$422),"")</f>
        <v>97.422864000000004</v>
      </c>
      <c r="AZ422">
        <f ca="1">IFERROR(IF(0=LEN(ReferenceData!$AZ$422),"",ReferenceData!$AZ$422),"")</f>
        <v>100.65568500000001</v>
      </c>
      <c r="BA422">
        <f ca="1">IFERROR(IF(0=LEN(ReferenceData!$BA$422),"",ReferenceData!$BA$422),"")</f>
        <v>92.356235999999996</v>
      </c>
      <c r="BB422">
        <f ca="1">IFERROR(IF(0=LEN(ReferenceData!$BB$422),"",ReferenceData!$BB$422),"")</f>
        <v>82.525812000000002</v>
      </c>
      <c r="BC422">
        <f ca="1">IFERROR(IF(0=LEN(ReferenceData!$BC$422),"",ReferenceData!$BC$422),"")</f>
        <v>61.988300000000002</v>
      </c>
      <c r="BD422">
        <f ca="1">IFERROR(IF(0=LEN(ReferenceData!$BD$422),"",ReferenceData!$BD$422),"")</f>
        <v>50.135072000000001</v>
      </c>
      <c r="BE422">
        <f ca="1">IFERROR(IF(0=LEN(ReferenceData!$BE$422),"",ReferenceData!$BE$422),"")</f>
        <v>49.298960000000001</v>
      </c>
      <c r="BF422">
        <f ca="1">IFERROR(IF(0=LEN(ReferenceData!$BF$422),"",ReferenceData!$BF$422),"")</f>
        <v>57.575277</v>
      </c>
      <c r="BG422">
        <f ca="1">IFERROR(IF(0=LEN(ReferenceData!$BG$422),"",ReferenceData!$BG$422),"")</f>
        <v>51.047561999999999</v>
      </c>
      <c r="BH422">
        <f ca="1">IFERROR(IF(0=LEN(ReferenceData!$BH$422),"",ReferenceData!$BH$422),"")</f>
        <v>53.112450000000003</v>
      </c>
      <c r="BI422">
        <f ca="1">IFERROR(IF(0=LEN(ReferenceData!$BI$422),"",ReferenceData!$BI$422),"")</f>
        <v>40.635840000000002</v>
      </c>
      <c r="BJ422">
        <f ca="1">IFERROR(IF(0=LEN(ReferenceData!$BJ$422),"",ReferenceData!$BJ$422),"")</f>
        <v>44.895215999999998</v>
      </c>
      <c r="BK422">
        <f ca="1">IFERROR(IF(0=LEN(ReferenceData!$BK$422),"",ReferenceData!$BK$422),"")</f>
        <v>48.084062000000003</v>
      </c>
      <c r="BL422">
        <f ca="1">IFERROR(IF(0=LEN(ReferenceData!$BL$422),"",ReferenceData!$BL$422),"")</f>
        <v>41.186391999999998</v>
      </c>
      <c r="BM422">
        <f ca="1">IFERROR(IF(0=LEN(ReferenceData!$BM$422),"",ReferenceData!$BM$422),"")</f>
        <v>46.838481000000002</v>
      </c>
    </row>
    <row r="423" spans="1:65" x14ac:dyDescent="0.25">
      <c r="A423" t="str">
        <f>IFERROR(IF(0=LEN(ReferenceData!$A$423),"",ReferenceData!$A$423),"")</f>
        <v xml:space="preserve">    Dongfeng Motor Group Co Ltd</v>
      </c>
      <c r="B423" t="str">
        <f>IFERROR(IF(0=LEN(ReferenceData!$B$423),"",ReferenceData!$B$423),"")</f>
        <v>489 HK Equity</v>
      </c>
      <c r="C423" t="str">
        <f>IFERROR(IF(0=LEN(ReferenceData!$C$423),"",ReferenceData!$C$423),"")</f>
        <v>PR005</v>
      </c>
      <c r="D423" t="str">
        <f>IFERROR(IF(0=LEN(ReferenceData!$D$423),"",ReferenceData!$D$423),"")</f>
        <v>PX_LAST</v>
      </c>
      <c r="E423" t="str">
        <f>IFERROR(IF(0=LEN(ReferenceData!$E$423),"",ReferenceData!$E$423),"")</f>
        <v>Dynamic</v>
      </c>
      <c r="F423">
        <f ca="1">IFERROR(IF(0=LEN(ReferenceData!$F$423),"",ReferenceData!$F$423),"")</f>
        <v>1.0637213539999999</v>
      </c>
      <c r="G423">
        <f ca="1">IFERROR(IF(0=LEN(ReferenceData!$G$423),"",ReferenceData!$G$423),"")</f>
        <v>0.90651413400000003</v>
      </c>
      <c r="H423">
        <f ca="1">IFERROR(IF(0=LEN(ReferenceData!$H$423),"",ReferenceData!$H$423),"")</f>
        <v>1.0299661360000001</v>
      </c>
      <c r="I423">
        <f ca="1">IFERROR(IF(0=LEN(ReferenceData!$I$423),"",ReferenceData!$I$423),"")</f>
        <v>1.057836915</v>
      </c>
      <c r="J423">
        <f ca="1">IFERROR(IF(0=LEN(ReferenceData!$J$423),"",ReferenceData!$J$423),"")</f>
        <v>1.1607313500000001</v>
      </c>
      <c r="K423">
        <f ca="1">IFERROR(IF(0=LEN(ReferenceData!$K$423),"",ReferenceData!$K$423),"")</f>
        <v>1.210910999</v>
      </c>
      <c r="L423">
        <f ca="1">IFERROR(IF(0=LEN(ReferenceData!$L$423),"",ReferenceData!$L$423),"")</f>
        <v>1.3210783690000001</v>
      </c>
      <c r="M423">
        <f ca="1">IFERROR(IF(0=LEN(ReferenceData!$M$423),"",ReferenceData!$M$423),"")</f>
        <v>1.1823328980000001</v>
      </c>
      <c r="N423">
        <f ca="1">IFERROR(IF(0=LEN(ReferenceData!$N$423),"",ReferenceData!$N$423),"")</f>
        <v>1.123335263</v>
      </c>
      <c r="O423">
        <f ca="1">IFERROR(IF(0=LEN(ReferenceData!$O$423),"",ReferenceData!$O$423),"")</f>
        <v>0.97628290299999998</v>
      </c>
      <c r="P423">
        <f ca="1">IFERROR(IF(0=LEN(ReferenceData!$P$423),"",ReferenceData!$P$423),"")</f>
        <v>0.999277941</v>
      </c>
      <c r="Q423">
        <f ca="1">IFERROR(IF(0=LEN(ReferenceData!$Q$423),"",ReferenceData!$Q$423),"")</f>
        <v>1.0413176280000001</v>
      </c>
      <c r="R423">
        <f ca="1">IFERROR(IF(0=LEN(ReferenceData!$R$423),"",ReferenceData!$R$423),"")</f>
        <v>1.2480499220000001</v>
      </c>
      <c r="S423">
        <f ca="1">IFERROR(IF(0=LEN(ReferenceData!$S$423),"",ReferenceData!$S$423),"")</f>
        <v>1.3367569450000001</v>
      </c>
      <c r="T423">
        <f ca="1">IFERROR(IF(0=LEN(ReferenceData!$T$423),"",ReferenceData!$T$423),"")</f>
        <v>1.245113092</v>
      </c>
      <c r="U423">
        <f ca="1">IFERROR(IF(0=LEN(ReferenceData!$U$423),"",ReferenceData!$U$423),"")</f>
        <v>1.341589267</v>
      </c>
      <c r="V423">
        <f ca="1">IFERROR(IF(0=LEN(ReferenceData!$V$423),"",ReferenceData!$V$423),"")</f>
        <v>1.6045608739999999</v>
      </c>
      <c r="W423">
        <f ca="1">IFERROR(IF(0=LEN(ReferenceData!$W$423),"",ReferenceData!$W$423),"")</f>
        <v>1.416061595</v>
      </c>
      <c r="X423">
        <f ca="1">IFERROR(IF(0=LEN(ReferenceData!$X$423),"",ReferenceData!$X$423),"")</f>
        <v>1.6433345779999999</v>
      </c>
      <c r="Y423">
        <f ca="1">IFERROR(IF(0=LEN(ReferenceData!$Y$423),"",ReferenceData!$Y$423),"")</f>
        <v>1.7908753100000001</v>
      </c>
      <c r="Z423">
        <f ca="1">IFERROR(IF(0=LEN(ReferenceData!$Z$423),"",ReferenceData!$Z$423),"")</f>
        <v>1.4155139299999999</v>
      </c>
      <c r="AA423">
        <f ca="1">IFERROR(IF(0=LEN(ReferenceData!$AA$423),"",ReferenceData!$AA$423),"")</f>
        <v>1.5656839229999999</v>
      </c>
      <c r="AB423">
        <f ca="1">IFERROR(IF(0=LEN(ReferenceData!$AB$423),"",ReferenceData!$AB$423),"")</f>
        <v>1.5189612269999999</v>
      </c>
      <c r="AC423">
        <f ca="1">IFERROR(IF(0=LEN(ReferenceData!$AC$423),"",ReferenceData!$AC$423),"")</f>
        <v>1.33572285</v>
      </c>
      <c r="AD423">
        <f ca="1">IFERROR(IF(0=LEN(ReferenceData!$AD$423),"",ReferenceData!$AD$423),"")</f>
        <v>1.404114442</v>
      </c>
      <c r="AE423">
        <f ca="1">IFERROR(IF(0=LEN(ReferenceData!$AE$423),"",ReferenceData!$AE$423),"")</f>
        <v>1.5430466140000001</v>
      </c>
      <c r="AF423">
        <f ca="1">IFERROR(IF(0=LEN(ReferenceData!$AF$423),"",ReferenceData!$AF$423),"")</f>
        <v>1.167094386</v>
      </c>
      <c r="AG423">
        <f ca="1">IFERROR(IF(0=LEN(ReferenceData!$AG$423),"",ReferenceData!$AG$423),"")</f>
        <v>1.5339598080000001</v>
      </c>
      <c r="AH423">
        <f ca="1">IFERROR(IF(0=LEN(ReferenceData!$AH$423),"",ReferenceData!$AH$423),"")</f>
        <v>1.805723706</v>
      </c>
      <c r="AI423">
        <f ca="1">IFERROR(IF(0=LEN(ReferenceData!$AI$423),"",ReferenceData!$AI$423),"")</f>
        <v>1.7150361810000001</v>
      </c>
      <c r="AJ423">
        <f ca="1">IFERROR(IF(0=LEN(ReferenceData!$AJ$423),"",ReferenceData!$AJ$423),"")</f>
        <v>1.376847892</v>
      </c>
      <c r="AK423">
        <f ca="1">IFERROR(IF(0=LEN(ReferenceData!$AK$423),"",ReferenceData!$AK$423),"")</f>
        <v>1.889144487</v>
      </c>
      <c r="AL423">
        <f ca="1">IFERROR(IF(0=LEN(ReferenceData!$AL$423),"",ReferenceData!$AL$423),"")</f>
        <v>1.7025435280000001</v>
      </c>
      <c r="AM423">
        <f ca="1">IFERROR(IF(0=LEN(ReferenceData!$AM$423),"",ReferenceData!$AM$423),"")</f>
        <v>1.723960478</v>
      </c>
      <c r="AN423">
        <f ca="1">IFERROR(IF(0=LEN(ReferenceData!$AN$423),"",ReferenceData!$AN$423),"")</f>
        <v>2.0464444959999999</v>
      </c>
      <c r="AO423">
        <f ca="1">IFERROR(IF(0=LEN(ReferenceData!$AO$423),"",ReferenceData!$AO$423),"")</f>
        <v>1.178978732</v>
      </c>
      <c r="AP423">
        <f ca="1">IFERROR(IF(0=LEN(ReferenceData!$AP$423),"",ReferenceData!$AP$423),"")</f>
        <v>1.625325194</v>
      </c>
      <c r="AQ423">
        <f ca="1">IFERROR(IF(0=LEN(ReferenceData!$AQ$423),"",ReferenceData!$AQ$423),"")</f>
        <v>1.4419480490000001</v>
      </c>
      <c r="AR423">
        <f ca="1">IFERROR(IF(0=LEN(ReferenceData!$AR$423),"",ReferenceData!$AR$423),"")</f>
        <v>1.063212088</v>
      </c>
      <c r="AS423">
        <f ca="1">IFERROR(IF(0=LEN(ReferenceData!$AS$423),"",ReferenceData!$AS$423),"")</f>
        <v>0.84386007900000004</v>
      </c>
      <c r="AT423">
        <f ca="1">IFERROR(IF(0=LEN(ReferenceData!$AT$423),"",ReferenceData!$AT$423),"")</f>
        <v>0.51741267899999999</v>
      </c>
      <c r="AU423">
        <f ca="1">IFERROR(IF(0=LEN(ReferenceData!$AU$423),"",ReferenceData!$AU$423),"")</f>
        <v>0.32257648300000002</v>
      </c>
      <c r="AV423">
        <f ca="1">IFERROR(IF(0=LEN(ReferenceData!$AV$423),"",ReferenceData!$AV$423),"")</f>
        <v>0.358025963</v>
      </c>
      <c r="AW423">
        <f ca="1">IFERROR(IF(0=LEN(ReferenceData!$AW$423),"",ReferenceData!$AW$423),"")</f>
        <v>0.40010258999999998</v>
      </c>
      <c r="AX423">
        <f ca="1">IFERROR(IF(0=LEN(ReferenceData!$AX$423),"",ReferenceData!$AX$423),"")</f>
        <v>0.44972117299999997</v>
      </c>
      <c r="AY423">
        <f ca="1">IFERROR(IF(0=LEN(ReferenceData!$AY$423),"",ReferenceData!$AY$423),"")</f>
        <v>0.70517340900000003</v>
      </c>
      <c r="AZ423">
        <f ca="1">IFERROR(IF(0=LEN(ReferenceData!$AZ$423),"",ReferenceData!$AZ$423),"")</f>
        <v>0.87940669000000005</v>
      </c>
      <c r="BA423">
        <f ca="1">IFERROR(IF(0=LEN(ReferenceData!$BA$423),"",ReferenceData!$BA$423),"")</f>
        <v>0.53209859199999998</v>
      </c>
      <c r="BB423">
        <f ca="1">IFERROR(IF(0=LEN(ReferenceData!$BB$423),"",ReferenceData!$BB$423),"")</f>
        <v>0.54514742000000005</v>
      </c>
      <c r="BC423">
        <f ca="1">IFERROR(IF(0=LEN(ReferenceData!$BC$423),"",ReferenceData!$BC$423),"")</f>
        <v>0.48463189800000001</v>
      </c>
      <c r="BD423">
        <f ca="1">IFERROR(IF(0=LEN(ReferenceData!$BD$423),"",ReferenceData!$BD$423),"")</f>
        <v>0.40557017299999998</v>
      </c>
      <c r="BE423">
        <f ca="1">IFERROR(IF(0=LEN(ReferenceData!$BE$423),"",ReferenceData!$BE$423),"")</f>
        <v>0.46671816700000002</v>
      </c>
      <c r="BF423">
        <f ca="1">IFERROR(IF(0=LEN(ReferenceData!$BF$423),"",ReferenceData!$BF$423),"")</f>
        <v>0.438149976</v>
      </c>
      <c r="BG423">
        <f ca="1">IFERROR(IF(0=LEN(ReferenceData!$BG$423),"",ReferenceData!$BG$423),"")</f>
        <v>0.251492836</v>
      </c>
      <c r="BH423" t="str">
        <f ca="1">IFERROR(IF(0=LEN(ReferenceData!$BH$423),"",ReferenceData!$BH$423),"")</f>
        <v/>
      </c>
      <c r="BI423" t="str">
        <f ca="1">IFERROR(IF(0=LEN(ReferenceData!$BI$423),"",ReferenceData!$BI$423),"")</f>
        <v/>
      </c>
      <c r="BJ423" t="str">
        <f ca="1">IFERROR(IF(0=LEN(ReferenceData!$BJ$423),"",ReferenceData!$BJ$423),"")</f>
        <v/>
      </c>
      <c r="BK423" t="str">
        <f ca="1">IFERROR(IF(0=LEN(ReferenceData!$BK$423),"",ReferenceData!$BK$423),"")</f>
        <v/>
      </c>
      <c r="BL423" t="str">
        <f ca="1">IFERROR(IF(0=LEN(ReferenceData!$BL$423),"",ReferenceData!$BL$423),"")</f>
        <v/>
      </c>
      <c r="BM423" t="str">
        <f ca="1">IFERROR(IF(0=LEN(ReferenceData!$BM$423),"",ReferenceData!$BM$423),"")</f>
        <v/>
      </c>
    </row>
    <row r="424" spans="1:65" x14ac:dyDescent="0.25">
      <c r="A424" t="str">
        <f>IFERROR(IF(0=LEN(ReferenceData!$A$424),"",ReferenceData!$A$424),"")</f>
        <v xml:space="preserve">    DRB-Hicom Bhd</v>
      </c>
      <c r="B424" t="str">
        <f>IFERROR(IF(0=LEN(ReferenceData!$B$424),"",ReferenceData!$B$424),"")</f>
        <v>DRB MK Equity</v>
      </c>
      <c r="C424" t="str">
        <f>IFERROR(IF(0=LEN(ReferenceData!$C$424),"",ReferenceData!$C$424),"")</f>
        <v>PR005</v>
      </c>
      <c r="D424" t="str">
        <f>IFERROR(IF(0=LEN(ReferenceData!$D$424),"",ReferenceData!$D$424),"")</f>
        <v>PX_LAST</v>
      </c>
      <c r="E424" t="str">
        <f>IFERROR(IF(0=LEN(ReferenceData!$E$424),"",ReferenceData!$E$424),"")</f>
        <v>Dynamic</v>
      </c>
      <c r="F424">
        <f ca="1">IFERROR(IF(0=LEN(ReferenceData!$F$424),"",ReferenceData!$F$424),"")</f>
        <v>0.45501498200000001</v>
      </c>
      <c r="G424">
        <f ca="1">IFERROR(IF(0=LEN(ReferenceData!$G$424),"",ReferenceData!$G$424),"")</f>
        <v>0.41122399599999998</v>
      </c>
      <c r="H424">
        <f ca="1">IFERROR(IF(0=LEN(ReferenceData!$H$424),"",ReferenceData!$H$424),"")</f>
        <v>0.52434456900000004</v>
      </c>
      <c r="I424">
        <f ca="1">IFERROR(IF(0=LEN(ReferenceData!$I$424),"",ReferenceData!$I$424),"")</f>
        <v>0.48615934100000002</v>
      </c>
      <c r="J424">
        <f ca="1">IFERROR(IF(0=LEN(ReferenceData!$J$424),"",ReferenceData!$J$424),"")</f>
        <v>0.63196063199999997</v>
      </c>
      <c r="K424">
        <f ca="1">IFERROR(IF(0=LEN(ReferenceData!$K$424),"",ReferenceData!$K$424),"")</f>
        <v>0.45058354299999998</v>
      </c>
      <c r="L424">
        <f ca="1">IFERROR(IF(0=LEN(ReferenceData!$L$424),"",ReferenceData!$L$424),"")</f>
        <v>0.38602723500000002</v>
      </c>
      <c r="M424">
        <f ca="1">IFERROR(IF(0=LEN(ReferenceData!$M$424),"",ReferenceData!$M$424),"")</f>
        <v>0.41409794100000002</v>
      </c>
      <c r="N424">
        <f ca="1">IFERROR(IF(0=LEN(ReferenceData!$N$424),"",ReferenceData!$N$424),"")</f>
        <v>0.31634843499999998</v>
      </c>
      <c r="O424">
        <f ca="1">IFERROR(IF(0=LEN(ReferenceData!$O$424),"",ReferenceData!$O$424),"")</f>
        <v>0.25629596599999999</v>
      </c>
      <c r="P424">
        <f ca="1">IFERROR(IF(0=LEN(ReferenceData!$P$424),"",ReferenceData!$P$424),"")</f>
        <v>0.35117461900000002</v>
      </c>
      <c r="Q424">
        <f ca="1">IFERROR(IF(0=LEN(ReferenceData!$Q$424),"",ReferenceData!$Q$424),"")</f>
        <v>0.22543960699999999</v>
      </c>
      <c r="R424">
        <f ca="1">IFERROR(IF(0=LEN(ReferenceData!$R$424),"",ReferenceData!$R$424),"")</f>
        <v>0.26332773999999998</v>
      </c>
      <c r="S424">
        <f ca="1">IFERROR(IF(0=LEN(ReferenceData!$S$424),"",ReferenceData!$S$424),"")</f>
        <v>0.28808400899999997</v>
      </c>
      <c r="T424">
        <f ca="1">IFERROR(IF(0=LEN(ReferenceData!$T$424),"",ReferenceData!$T$424),"")</f>
        <v>0.30323757400000001</v>
      </c>
      <c r="U424">
        <f ca="1">IFERROR(IF(0=LEN(ReferenceData!$U$424),"",ReferenceData!$U$424),"")</f>
        <v>0.424645461</v>
      </c>
      <c r="V424">
        <f ca="1">IFERROR(IF(0=LEN(ReferenceData!$V$424),"",ReferenceData!$V$424),"")</f>
        <v>0.53169954900000005</v>
      </c>
      <c r="W424">
        <f ca="1">IFERROR(IF(0=LEN(ReferenceData!$W$424),"",ReferenceData!$W$424),"")</f>
        <v>0.499785806</v>
      </c>
      <c r="X424">
        <f ca="1">IFERROR(IF(0=LEN(ReferenceData!$X$424),"",ReferenceData!$X$424),"")</f>
        <v>0.69484655500000003</v>
      </c>
      <c r="Y424">
        <f ca="1">IFERROR(IF(0=LEN(ReferenceData!$Y$424),"",ReferenceData!$Y$424),"")</f>
        <v>0.68860223099999995</v>
      </c>
      <c r="Z424">
        <f ca="1">IFERROR(IF(0=LEN(ReferenceData!$Z$424),"",ReferenceData!$Z$424),"")</f>
        <v>0.75848303399999994</v>
      </c>
      <c r="AA424">
        <f ca="1">IFERROR(IF(0=LEN(ReferenceData!$AA$424),"",ReferenceData!$AA$424),"")</f>
        <v>0.85936309600000005</v>
      </c>
      <c r="AB424">
        <f ca="1">IFERROR(IF(0=LEN(ReferenceData!$AB$424),"",ReferenceData!$AB$424),"")</f>
        <v>0.81652699799999995</v>
      </c>
      <c r="AC424">
        <f ca="1">IFERROR(IF(0=LEN(ReferenceData!$AC$424),"",ReferenceData!$AC$424),"")</f>
        <v>0.84668408299999998</v>
      </c>
      <c r="AD424">
        <f ca="1">IFERROR(IF(0=LEN(ReferenceData!$AD$424),"",ReferenceData!$AD$424),"")</f>
        <v>0.81927398699999998</v>
      </c>
      <c r="AE424">
        <f ca="1">IFERROR(IF(0=LEN(ReferenceData!$AE$424),"",ReferenceData!$AE$424),"")</f>
        <v>0.89420242400000005</v>
      </c>
      <c r="AF424">
        <f ca="1">IFERROR(IF(0=LEN(ReferenceData!$AF$424),"",ReferenceData!$AF$424),"")</f>
        <v>0.76049350500000001</v>
      </c>
      <c r="AG424">
        <f ca="1">IFERROR(IF(0=LEN(ReferenceData!$AG$424),"",ReferenceData!$AG$424),"")</f>
        <v>0.79852969100000004</v>
      </c>
      <c r="AH424">
        <f ca="1">IFERROR(IF(0=LEN(ReferenceData!$AH$424),"",ReferenceData!$AH$424),"")</f>
        <v>0.82334106600000001</v>
      </c>
      <c r="AI424">
        <f ca="1">IFERROR(IF(0=LEN(ReferenceData!$AI$424),"",ReferenceData!$AI$424),"")</f>
        <v>0.64424443399999998</v>
      </c>
      <c r="AJ424">
        <f ca="1">IFERROR(IF(0=LEN(ReferenceData!$AJ$424),"",ReferenceData!$AJ$424),"")</f>
        <v>0.54501033600000004</v>
      </c>
      <c r="AK424">
        <f ca="1">IFERROR(IF(0=LEN(ReferenceData!$AK$424),"",ReferenceData!$AK$424),"")</f>
        <v>0.75227837600000003</v>
      </c>
      <c r="AL424">
        <f ca="1">IFERROR(IF(0=LEN(ReferenceData!$AL$424),"",ReferenceData!$AL$424),"")</f>
        <v>0.76020492500000003</v>
      </c>
      <c r="AM424">
        <f ca="1">IFERROR(IF(0=LEN(ReferenceData!$AM$424),"",ReferenceData!$AM$424),"")</f>
        <v>0.63007469999999999</v>
      </c>
      <c r="AN424">
        <f ca="1">IFERROR(IF(0=LEN(ReferenceData!$AN$424),"",ReferenceData!$AN$424),"")</f>
        <v>0.40525206699999999</v>
      </c>
      <c r="AO424">
        <f ca="1">IFERROR(IF(0=LEN(ReferenceData!$AO$424),"",ReferenceData!$AO$424),"")</f>
        <v>0.32243063100000002</v>
      </c>
      <c r="AP424">
        <f ca="1">IFERROR(IF(0=LEN(ReferenceData!$AP$424),"",ReferenceData!$AP$424),"")</f>
        <v>0.35561005499999998</v>
      </c>
      <c r="AQ424">
        <f ca="1">IFERROR(IF(0=LEN(ReferenceData!$AQ$424),"",ReferenceData!$AQ$424),"")</f>
        <v>0.29369002599999999</v>
      </c>
      <c r="AR424">
        <f ca="1">IFERROR(IF(0=LEN(ReferenceData!$AR$424),"",ReferenceData!$AR$424),"")</f>
        <v>0.33453496799999999</v>
      </c>
      <c r="AS424">
        <f ca="1">IFERROR(IF(0=LEN(ReferenceData!$AS$424),"",ReferenceData!$AS$424),"")</f>
        <v>0.29587482199999998</v>
      </c>
      <c r="AT424">
        <f ca="1">IFERROR(IF(0=LEN(ReferenceData!$AT$424),"",ReferenceData!$AT$424),"")</f>
        <v>0.18927444800000001</v>
      </c>
      <c r="AU424">
        <f ca="1">IFERROR(IF(0=LEN(ReferenceData!$AU$424),"",ReferenceData!$AU$424),"")</f>
        <v>0.20953757200000001</v>
      </c>
      <c r="AV424">
        <f ca="1">IFERROR(IF(0=LEN(ReferenceData!$AV$424),"",ReferenceData!$AV$424),"")</f>
        <v>0.25708060999999999</v>
      </c>
      <c r="AW424">
        <f ca="1">IFERROR(IF(0=LEN(ReferenceData!$AW$424),"",ReferenceData!$AW$424),"")</f>
        <v>0.293802601</v>
      </c>
      <c r="AX424">
        <f ca="1">IFERROR(IF(0=LEN(ReferenceData!$AX$424),"",ReferenceData!$AX$424),"")</f>
        <v>0.397558303</v>
      </c>
      <c r="AY424">
        <f ca="1">IFERROR(IF(0=LEN(ReferenceData!$AY$424),"",ReferenceData!$AY$424),"")</f>
        <v>0.480841927</v>
      </c>
      <c r="AZ424">
        <f ca="1">IFERROR(IF(0=LEN(ReferenceData!$AZ$424),"",ReferenceData!$AZ$424),"")</f>
        <v>0.56341334600000004</v>
      </c>
      <c r="BA424">
        <f ca="1">IFERROR(IF(0=LEN(ReferenceData!$BA$424),"",ReferenceData!$BA$424),"")</f>
        <v>0.53005068799999999</v>
      </c>
      <c r="BB424">
        <f ca="1">IFERROR(IF(0=LEN(ReferenceData!$BB$424),"",ReferenceData!$BB$424),"")</f>
        <v>0.56399132299999999</v>
      </c>
      <c r="BC424">
        <f ca="1">IFERROR(IF(0=LEN(ReferenceData!$BC$424),"",ReferenceData!$BC$424),"")</f>
        <v>0.47619047599999997</v>
      </c>
      <c r="BD424">
        <f ca="1">IFERROR(IF(0=LEN(ReferenceData!$BD$424),"",ReferenceData!$BD$424),"")</f>
        <v>0.39045553199999999</v>
      </c>
      <c r="BE424">
        <f ca="1">IFERROR(IF(0=LEN(ReferenceData!$BE$424),"",ReferenceData!$BE$424),"")</f>
        <v>0.38916859399999998</v>
      </c>
      <c r="BF424">
        <f ca="1">IFERROR(IF(0=LEN(ReferenceData!$BF$424),"",ReferenceData!$BF$424),"")</f>
        <v>0.39097499400000002</v>
      </c>
      <c r="BG424">
        <f ca="1">IFERROR(IF(0=LEN(ReferenceData!$BG$424),"",ReferenceData!$BG$424),"")</f>
        <v>0.314856462</v>
      </c>
      <c r="BH424">
        <f ca="1">IFERROR(IF(0=LEN(ReferenceData!$BH$424),"",ReferenceData!$BH$424),"")</f>
        <v>0.41655611599999998</v>
      </c>
      <c r="BI424">
        <f ca="1">IFERROR(IF(0=LEN(ReferenceData!$BI$424),"",ReferenceData!$BI$424),"")</f>
        <v>0.38684210499999999</v>
      </c>
      <c r="BJ424">
        <f ca="1">IFERROR(IF(0=LEN(ReferenceData!$BJ$424),"",ReferenceData!$BJ$424),"")</f>
        <v>0.48947368400000002</v>
      </c>
      <c r="BK424">
        <f ca="1">IFERROR(IF(0=LEN(ReferenceData!$BK$424),"",ReferenceData!$BK$424),"")</f>
        <v>0.57631578999999999</v>
      </c>
      <c r="BL424">
        <f ca="1">IFERROR(IF(0=LEN(ReferenceData!$BL$424),"",ReferenceData!$BL$424),"")</f>
        <v>0.55263157900000004</v>
      </c>
      <c r="BM424">
        <f ca="1">IFERROR(IF(0=LEN(ReferenceData!$BM$424),"",ReferenceData!$BM$424),"")</f>
        <v>0.413157895</v>
      </c>
    </row>
    <row r="425" spans="1:65" x14ac:dyDescent="0.25">
      <c r="A425" t="str">
        <f>IFERROR(IF(0=LEN(ReferenceData!$A$425),"",ReferenceData!$A$425),"")</f>
        <v xml:space="preserve">    FAW CAR Co Ltd</v>
      </c>
      <c r="B425" t="str">
        <f>IFERROR(IF(0=LEN(ReferenceData!$B$425),"",ReferenceData!$B$425),"")</f>
        <v>000800 CH Equity</v>
      </c>
      <c r="C425" t="str">
        <f>IFERROR(IF(0=LEN(ReferenceData!$C$425),"",ReferenceData!$C$425),"")</f>
        <v>PR005</v>
      </c>
      <c r="D425" t="str">
        <f>IFERROR(IF(0=LEN(ReferenceData!$D$425),"",ReferenceData!$D$425),"")</f>
        <v>PX_LAST</v>
      </c>
      <c r="E425" t="str">
        <f>IFERROR(IF(0=LEN(ReferenceData!$E$425),"",ReferenceData!$E$425),"")</f>
        <v>Dynamic</v>
      </c>
      <c r="F425">
        <f ca="1">IFERROR(IF(0=LEN(ReferenceData!$F$425),"",ReferenceData!$F$425),"")</f>
        <v>1.2549113649999999</v>
      </c>
      <c r="G425">
        <f ca="1">IFERROR(IF(0=LEN(ReferenceData!$G$425),"",ReferenceData!$G$425),"")</f>
        <v>0.96246110900000004</v>
      </c>
      <c r="H425">
        <f ca="1">IFERROR(IF(0=LEN(ReferenceData!$H$425),"",ReferenceData!$H$425),"")</f>
        <v>0.95936876699999996</v>
      </c>
      <c r="I425">
        <f ca="1">IFERROR(IF(0=LEN(ReferenceData!$I$425),"",ReferenceData!$I$425),"")</f>
        <v>1.1292441010000001</v>
      </c>
      <c r="J425">
        <f ca="1">IFERROR(IF(0=LEN(ReferenceData!$J$425),"",ReferenceData!$J$425),"")</f>
        <v>1.6221374049999999</v>
      </c>
      <c r="K425">
        <f ca="1">IFERROR(IF(0=LEN(ReferenceData!$K$425),"",ReferenceData!$K$425),"")</f>
        <v>1.653680053</v>
      </c>
      <c r="L425">
        <f ca="1">IFERROR(IF(0=LEN(ReferenceData!$L$425),"",ReferenceData!$L$425),"")</f>
        <v>2.0738820480000002</v>
      </c>
      <c r="M425">
        <f ca="1">IFERROR(IF(0=LEN(ReferenceData!$M$425),"",ReferenceData!$M$425),"")</f>
        <v>1.503303721</v>
      </c>
      <c r="N425">
        <f ca="1">IFERROR(IF(0=LEN(ReferenceData!$N$425),"",ReferenceData!$N$425),"")</f>
        <v>1.7098988020000001</v>
      </c>
      <c r="O425">
        <f ca="1">IFERROR(IF(0=LEN(ReferenceData!$O$425),"",ReferenceData!$O$425),"")</f>
        <v>1.56635013</v>
      </c>
      <c r="P425">
        <f ca="1">IFERROR(IF(0=LEN(ReferenceData!$P$425),"",ReferenceData!$P$425),"")</f>
        <v>1.5705863819999999</v>
      </c>
      <c r="Q425">
        <f ca="1">IFERROR(IF(0=LEN(ReferenceData!$Q$425),"",ReferenceData!$Q$425),"")</f>
        <v>1.6349347080000001</v>
      </c>
      <c r="R425">
        <f ca="1">IFERROR(IF(0=LEN(ReferenceData!$R$425),"",ReferenceData!$R$425),"")</f>
        <v>2.183582066</v>
      </c>
      <c r="S425">
        <f ca="1">IFERROR(IF(0=LEN(ReferenceData!$S$425),"",ReferenceData!$S$425),"")</f>
        <v>2.5233140660000002</v>
      </c>
      <c r="T425">
        <f ca="1">IFERROR(IF(0=LEN(ReferenceData!$T$425),"",ReferenceData!$T$425),"")</f>
        <v>2.288491483</v>
      </c>
      <c r="U425">
        <f ca="1">IFERROR(IF(0=LEN(ReferenceData!$U$425),"",ReferenceData!$U$425),"")</f>
        <v>4.0138743239999997</v>
      </c>
      <c r="V425">
        <f ca="1">IFERROR(IF(0=LEN(ReferenceData!$V$425),"",ReferenceData!$V$425),"")</f>
        <v>3.160525679</v>
      </c>
      <c r="W425">
        <f ca="1">IFERROR(IF(0=LEN(ReferenceData!$W$425),"",ReferenceData!$W$425),"")</f>
        <v>2.4390243900000002</v>
      </c>
      <c r="X425">
        <f ca="1">IFERROR(IF(0=LEN(ReferenceData!$X$425),"",ReferenceData!$X$425),"")</f>
        <v>1.8083477240000001</v>
      </c>
      <c r="Y425">
        <f ca="1">IFERROR(IF(0=LEN(ReferenceData!$Y$425),"",ReferenceData!$Y$425),"")</f>
        <v>1.5473388990000001</v>
      </c>
      <c r="Z425">
        <f ca="1">IFERROR(IF(0=LEN(ReferenceData!$Z$425),"",ReferenceData!$Z$425),"")</f>
        <v>1.624185897</v>
      </c>
      <c r="AA425">
        <f ca="1">IFERROR(IF(0=LEN(ReferenceData!$AA$425),"",ReferenceData!$AA$425),"")</f>
        <v>1.9661621840000001</v>
      </c>
      <c r="AB425">
        <f ca="1">IFERROR(IF(0=LEN(ReferenceData!$AB$425),"",ReferenceData!$AB$425),"")</f>
        <v>2.1678047509999998</v>
      </c>
      <c r="AC425">
        <f ca="1">IFERROR(IF(0=LEN(ReferenceData!$AC$425),"",ReferenceData!$AC$425),"")</f>
        <v>2.0040406669999999</v>
      </c>
      <c r="AD425">
        <f ca="1">IFERROR(IF(0=LEN(ReferenceData!$AD$425),"",ReferenceData!$AD$425),"")</f>
        <v>1.2623172540000001</v>
      </c>
      <c r="AE425">
        <f ca="1">IFERROR(IF(0=LEN(ReferenceData!$AE$425),"",ReferenceData!$AE$425),"")</f>
        <v>1.3344025660000001</v>
      </c>
      <c r="AF425">
        <f ca="1">IFERROR(IF(0=LEN(ReferenceData!$AF$425),"",ReferenceData!$AF$425),"")</f>
        <v>1.084985205</v>
      </c>
      <c r="AG425">
        <f ca="1">IFERROR(IF(0=LEN(ReferenceData!$AG$425),"",ReferenceData!$AG$425),"")</f>
        <v>1.7088637470000001</v>
      </c>
      <c r="AH425">
        <f ca="1">IFERROR(IF(0=LEN(ReferenceData!$AH$425),"",ReferenceData!$AH$425),"")</f>
        <v>1.668624774</v>
      </c>
      <c r="AI425">
        <f ca="1">IFERROR(IF(0=LEN(ReferenceData!$AI$425),"",ReferenceData!$AI$425),"")</f>
        <v>1.4048288010000001</v>
      </c>
      <c r="AJ425">
        <f ca="1">IFERROR(IF(0=LEN(ReferenceData!$AJ$425),"",ReferenceData!$AJ$425),"")</f>
        <v>1.7922606919999999</v>
      </c>
      <c r="AK425">
        <f ca="1">IFERROR(IF(0=LEN(ReferenceData!$AK$425),"",ReferenceData!$AK$425),"")</f>
        <v>2.190627949</v>
      </c>
      <c r="AL425">
        <f ca="1">IFERROR(IF(0=LEN(ReferenceData!$AL$425),"",ReferenceData!$AL$425),"")</f>
        <v>2.5577986130000001</v>
      </c>
      <c r="AM425">
        <f ca="1">IFERROR(IF(0=LEN(ReferenceData!$AM$425),"",ReferenceData!$AM$425),"")</f>
        <v>2.4356192239999999</v>
      </c>
      <c r="AN425">
        <f ca="1">IFERROR(IF(0=LEN(ReferenceData!$AN$425),"",ReferenceData!$AN$425),"")</f>
        <v>2.7757847529999999</v>
      </c>
      <c r="AO425">
        <f ca="1">IFERROR(IF(0=LEN(ReferenceData!$AO$425),"",ReferenceData!$AO$425),"")</f>
        <v>2.2414250739999999</v>
      </c>
      <c r="AP425">
        <f ca="1">IFERROR(IF(0=LEN(ReferenceData!$AP$425),"",ReferenceData!$AP$425),"")</f>
        <v>3.2315242070000001</v>
      </c>
      <c r="AQ425">
        <f ca="1">IFERROR(IF(0=LEN(ReferenceData!$AQ$425),"",ReferenceData!$AQ$425),"")</f>
        <v>3.8112815100000002</v>
      </c>
      <c r="AR425">
        <f ca="1">IFERROR(IF(0=LEN(ReferenceData!$AR$425),"",ReferenceData!$AR$425),"")</f>
        <v>2.4947629020000002</v>
      </c>
      <c r="AS425">
        <f ca="1">IFERROR(IF(0=LEN(ReferenceData!$AS$425),"",ReferenceData!$AS$425),"")</f>
        <v>2.2603832700000002</v>
      </c>
      <c r="AT425">
        <f ca="1">IFERROR(IF(0=LEN(ReferenceData!$AT$425),"",ReferenceData!$AT$425),"")</f>
        <v>1.7955396859999999</v>
      </c>
      <c r="AU425">
        <f ca="1">IFERROR(IF(0=LEN(ReferenceData!$AU$425),"",ReferenceData!$AU$425),"")</f>
        <v>1.0519375870000001</v>
      </c>
      <c r="AV425">
        <f ca="1">IFERROR(IF(0=LEN(ReferenceData!$AV$425),"",ReferenceData!$AV$425),"")</f>
        <v>0.99291815699999997</v>
      </c>
      <c r="AW425">
        <f ca="1">IFERROR(IF(0=LEN(ReferenceData!$AW$425),"",ReferenceData!$AW$425),"")</f>
        <v>1.1583969190000001</v>
      </c>
      <c r="AX425">
        <f ca="1">IFERROR(IF(0=LEN(ReferenceData!$AX$425),"",ReferenceData!$AX$425),"")</f>
        <v>1.8938961780000001</v>
      </c>
      <c r="AY425">
        <f ca="1">IFERROR(IF(0=LEN(ReferenceData!$AY$425),"",ReferenceData!$AY$425),"")</f>
        <v>2.6149696750000002</v>
      </c>
      <c r="AZ425">
        <f ca="1">IFERROR(IF(0=LEN(ReferenceData!$AZ$425),"",ReferenceData!$AZ$425),"")</f>
        <v>2.8709982549999999</v>
      </c>
      <c r="BA425">
        <f ca="1">IFERROR(IF(0=LEN(ReferenceData!$BA$425),"",ReferenceData!$BA$425),"")</f>
        <v>1.4317238480000001</v>
      </c>
      <c r="BB425">
        <f ca="1">IFERROR(IF(0=LEN(ReferenceData!$BB$425),"",ReferenceData!$BB$425),"")</f>
        <v>1.16895544</v>
      </c>
      <c r="BC425">
        <f ca="1">IFERROR(IF(0=LEN(ReferenceData!$BC$425),"",ReferenceData!$BC$425),"")</f>
        <v>0.51632906700000003</v>
      </c>
      <c r="BD425">
        <f ca="1">IFERROR(IF(0=LEN(ReferenceData!$BD$425),"",ReferenceData!$BD$425),"")</f>
        <v>0.39220151599999997</v>
      </c>
      <c r="BE425">
        <f ca="1">IFERROR(IF(0=LEN(ReferenceData!$BE$425),"",ReferenceData!$BE$425),"")</f>
        <v>0.44399975000000003</v>
      </c>
      <c r="BF425">
        <f ca="1">IFERROR(IF(0=LEN(ReferenceData!$BF$425),"",ReferenceData!$BF$425),"")</f>
        <v>0.42477920200000002</v>
      </c>
      <c r="BG425">
        <f ca="1">IFERROR(IF(0=LEN(ReferenceData!$BG$425),"",ReferenceData!$BG$425),"")</f>
        <v>0.38660751900000001</v>
      </c>
      <c r="BH425">
        <f ca="1">IFERROR(IF(0=LEN(ReferenceData!$BH$425),"",ReferenceData!$BH$425),"")</f>
        <v>0.349728127</v>
      </c>
      <c r="BI425">
        <f ca="1">IFERROR(IF(0=LEN(ReferenceData!$BI$425),"",ReferenceData!$BI$425),"")</f>
        <v>0.32622879500000002</v>
      </c>
      <c r="BJ425">
        <f ca="1">IFERROR(IF(0=LEN(ReferenceData!$BJ$425),"",ReferenceData!$BJ$425),"")</f>
        <v>0.39389106400000001</v>
      </c>
      <c r="BK425">
        <f ca="1">IFERROR(IF(0=LEN(ReferenceData!$BK$425),"",ReferenceData!$BK$425),"")</f>
        <v>0.44100767200000002</v>
      </c>
      <c r="BL425">
        <f ca="1">IFERROR(IF(0=LEN(ReferenceData!$BL$425),"",ReferenceData!$BL$425),"")</f>
        <v>0.70077931500000001</v>
      </c>
      <c r="BM425">
        <f ca="1">IFERROR(IF(0=LEN(ReferenceData!$BM$425),"",ReferenceData!$BM$425),"")</f>
        <v>0.74790068300000001</v>
      </c>
    </row>
    <row r="426" spans="1:65" x14ac:dyDescent="0.25">
      <c r="A426" t="str">
        <f>IFERROR(IF(0=LEN(ReferenceData!$A$426),"",ReferenceData!$A$426),"")</f>
        <v xml:space="preserve">    Fiat Chrysler Automobiles NV</v>
      </c>
      <c r="B426" t="str">
        <f>IFERROR(IF(0=LEN(ReferenceData!$B$426),"",ReferenceData!$B$426),"")</f>
        <v>FCAU US Equity</v>
      </c>
      <c r="C426" t="str">
        <f>IFERROR(IF(0=LEN(ReferenceData!$C$426),"",ReferenceData!$C$426),"")</f>
        <v>PR005</v>
      </c>
      <c r="D426" t="str">
        <f>IFERROR(IF(0=LEN(ReferenceData!$D$426),"",ReferenceData!$D$426),"")</f>
        <v>PX_LAST</v>
      </c>
      <c r="E426" t="str">
        <f>IFERROR(IF(0=LEN(ReferenceData!$E$426),"",ReferenceData!$E$426),"")</f>
        <v>Dynamic</v>
      </c>
      <c r="F426">
        <f ca="1">IFERROR(IF(0=LEN(ReferenceData!$F$426),"",ReferenceData!$F$426),"")</f>
        <v>14.83</v>
      </c>
      <c r="G426">
        <f ca="1">IFERROR(IF(0=LEN(ReferenceData!$G$426),"",ReferenceData!$G$426),"")</f>
        <v>14.46</v>
      </c>
      <c r="H426">
        <f ca="1">IFERROR(IF(0=LEN(ReferenceData!$H$426),"",ReferenceData!$H$426),"")</f>
        <v>17.510000000000002</v>
      </c>
      <c r="I426">
        <f ca="1">IFERROR(IF(0=LEN(ReferenceData!$I$426),"",ReferenceData!$I$426),"")</f>
        <v>18.89</v>
      </c>
      <c r="J426">
        <f ca="1">IFERROR(IF(0=LEN(ReferenceData!$J$426),"",ReferenceData!$J$426),"")</f>
        <v>20.52</v>
      </c>
      <c r="K426">
        <f ca="1">IFERROR(IF(0=LEN(ReferenceData!$K$426),"",ReferenceData!$K$426),"")</f>
        <v>17.84</v>
      </c>
      <c r="L426">
        <f ca="1">IFERROR(IF(0=LEN(ReferenceData!$L$426),"",ReferenceData!$L$426),"")</f>
        <v>17.91</v>
      </c>
      <c r="M426">
        <f ca="1">IFERROR(IF(0=LEN(ReferenceData!$M$426),"",ReferenceData!$M$426),"")</f>
        <v>10.63</v>
      </c>
      <c r="N426">
        <f ca="1">IFERROR(IF(0=LEN(ReferenceData!$N$426),"",ReferenceData!$N$426),"")</f>
        <v>10.93</v>
      </c>
      <c r="O426">
        <f ca="1">IFERROR(IF(0=LEN(ReferenceData!$O$426),"",ReferenceData!$O$426),"")</f>
        <v>9.1199999999999992</v>
      </c>
      <c r="P426">
        <f ca="1">IFERROR(IF(0=LEN(ReferenceData!$P$426),"",ReferenceData!$P$426),"")</f>
        <v>6.4</v>
      </c>
      <c r="Q426">
        <f ca="1">IFERROR(IF(0=LEN(ReferenceData!$Q$426),"",ReferenceData!$Q$426),"")</f>
        <v>6.12</v>
      </c>
      <c r="R426">
        <f ca="1">IFERROR(IF(0=LEN(ReferenceData!$R$426),"",ReferenceData!$R$426),"")</f>
        <v>8.0165291960000005</v>
      </c>
      <c r="S426">
        <f ca="1">IFERROR(IF(0=LEN(ReferenceData!$S$426),"",ReferenceData!$S$426),"")</f>
        <v>9.1404348750000004</v>
      </c>
      <c r="T426">
        <f ca="1">IFERROR(IF(0=LEN(ReferenceData!$T$426),"",ReferenceData!$T$426),"")</f>
        <v>8.6308180629999995</v>
      </c>
      <c r="U426">
        <f ca="1">IFERROR(IF(0=LEN(ReferenceData!$U$426),"",ReferenceData!$U$426),"")</f>
        <v>9.4932465140000009</v>
      </c>
      <c r="V426">
        <f ca="1">IFERROR(IF(0=LEN(ReferenceData!$V$426),"",ReferenceData!$V$426),"")</f>
        <v>10.65621821</v>
      </c>
      <c r="W426">
        <f ca="1">IFERROR(IF(0=LEN(ReferenceData!$W$426),"",ReferenceData!$W$426),"")</f>
        <v>7.5658495959999996</v>
      </c>
      <c r="X426" t="str">
        <f ca="1">IFERROR(IF(0=LEN(ReferenceData!$X$426),"",ReferenceData!$X$426),"")</f>
        <v/>
      </c>
      <c r="Y426" t="str">
        <f ca="1">IFERROR(IF(0=LEN(ReferenceData!$Y$426),"",ReferenceData!$Y$426),"")</f>
        <v/>
      </c>
      <c r="Z426" t="str">
        <f ca="1">IFERROR(IF(0=LEN(ReferenceData!$Z$426),"",ReferenceData!$Z$426),"")</f>
        <v/>
      </c>
      <c r="AA426" t="str">
        <f ca="1">IFERROR(IF(0=LEN(ReferenceData!$AA$426),"",ReferenceData!$AA$426),"")</f>
        <v/>
      </c>
      <c r="AB426" t="str">
        <f ca="1">IFERROR(IF(0=LEN(ReferenceData!$AB$426),"",ReferenceData!$AB$426),"")</f>
        <v/>
      </c>
      <c r="AC426" t="str">
        <f ca="1">IFERROR(IF(0=LEN(ReferenceData!$AC$426),"",ReferenceData!$AC$426),"")</f>
        <v/>
      </c>
      <c r="AD426" t="str">
        <f ca="1">IFERROR(IF(0=LEN(ReferenceData!$AD$426),"",ReferenceData!$AD$426),"")</f>
        <v/>
      </c>
      <c r="AE426" t="str">
        <f ca="1">IFERROR(IF(0=LEN(ReferenceData!$AE$426),"",ReferenceData!$AE$426),"")</f>
        <v/>
      </c>
      <c r="AF426" t="str">
        <f ca="1">IFERROR(IF(0=LEN(ReferenceData!$AF$426),"",ReferenceData!$AF$426),"")</f>
        <v/>
      </c>
      <c r="AG426" t="str">
        <f ca="1">IFERROR(IF(0=LEN(ReferenceData!$AG$426),"",ReferenceData!$AG$426),"")</f>
        <v/>
      </c>
      <c r="AH426" t="str">
        <f ca="1">IFERROR(IF(0=LEN(ReferenceData!$AH$426),"",ReferenceData!$AH$426),"")</f>
        <v/>
      </c>
      <c r="AI426" t="str">
        <f ca="1">IFERROR(IF(0=LEN(ReferenceData!$AI$426),"",ReferenceData!$AI$426),"")</f>
        <v/>
      </c>
      <c r="AJ426" t="str">
        <f ca="1">IFERROR(IF(0=LEN(ReferenceData!$AJ$426),"",ReferenceData!$AJ$426),"")</f>
        <v/>
      </c>
      <c r="AK426" t="str">
        <f ca="1">IFERROR(IF(0=LEN(ReferenceData!$AK$426),"",ReferenceData!$AK$426),"")</f>
        <v/>
      </c>
      <c r="AL426" t="str">
        <f ca="1">IFERROR(IF(0=LEN(ReferenceData!$AL$426),"",ReferenceData!$AL$426),"")</f>
        <v/>
      </c>
      <c r="AM426" t="str">
        <f ca="1">IFERROR(IF(0=LEN(ReferenceData!$AM$426),"",ReferenceData!$AM$426),"")</f>
        <v/>
      </c>
      <c r="AN426" t="str">
        <f ca="1">IFERROR(IF(0=LEN(ReferenceData!$AN$426),"",ReferenceData!$AN$426),"")</f>
        <v/>
      </c>
      <c r="AO426" t="str">
        <f ca="1">IFERROR(IF(0=LEN(ReferenceData!$AO$426),"",ReferenceData!$AO$426),"")</f>
        <v/>
      </c>
      <c r="AP426" t="str">
        <f ca="1">IFERROR(IF(0=LEN(ReferenceData!$AP$426),"",ReferenceData!$AP$426),"")</f>
        <v/>
      </c>
      <c r="AQ426" t="str">
        <f ca="1">IFERROR(IF(0=LEN(ReferenceData!$AQ$426),"",ReferenceData!$AQ$426),"")</f>
        <v/>
      </c>
      <c r="AR426" t="str">
        <f ca="1">IFERROR(IF(0=LEN(ReferenceData!$AR$426),"",ReferenceData!$AR$426),"")</f>
        <v/>
      </c>
      <c r="AS426" t="str">
        <f ca="1">IFERROR(IF(0=LEN(ReferenceData!$AS$426),"",ReferenceData!$AS$426),"")</f>
        <v/>
      </c>
      <c r="AT426" t="str">
        <f ca="1">IFERROR(IF(0=LEN(ReferenceData!$AT$426),"",ReferenceData!$AT$426),"")</f>
        <v/>
      </c>
      <c r="AU426" t="str">
        <f ca="1">IFERROR(IF(0=LEN(ReferenceData!$AU$426),"",ReferenceData!$AU$426),"")</f>
        <v/>
      </c>
      <c r="AV426" t="str">
        <f ca="1">IFERROR(IF(0=LEN(ReferenceData!$AV$426),"",ReferenceData!$AV$426),"")</f>
        <v/>
      </c>
      <c r="AW426" t="str">
        <f ca="1">IFERROR(IF(0=LEN(ReferenceData!$AW$426),"",ReferenceData!$AW$426),"")</f>
        <v/>
      </c>
      <c r="AX426" t="str">
        <f ca="1">IFERROR(IF(0=LEN(ReferenceData!$AX$426),"",ReferenceData!$AX$426),"")</f>
        <v/>
      </c>
      <c r="AY426" t="str">
        <f ca="1">IFERROR(IF(0=LEN(ReferenceData!$AY$426),"",ReferenceData!$AY$426),"")</f>
        <v/>
      </c>
      <c r="AZ426" t="str">
        <f ca="1">IFERROR(IF(0=LEN(ReferenceData!$AZ$426),"",ReferenceData!$AZ$426),"")</f>
        <v/>
      </c>
      <c r="BA426" t="str">
        <f ca="1">IFERROR(IF(0=LEN(ReferenceData!$BA$426),"",ReferenceData!$BA$426),"")</f>
        <v/>
      </c>
      <c r="BB426" t="str">
        <f ca="1">IFERROR(IF(0=LEN(ReferenceData!$BB$426),"",ReferenceData!$BB$426),"")</f>
        <v/>
      </c>
      <c r="BC426" t="str">
        <f ca="1">IFERROR(IF(0=LEN(ReferenceData!$BC$426),"",ReferenceData!$BC$426),"")</f>
        <v/>
      </c>
      <c r="BD426" t="str">
        <f ca="1">IFERROR(IF(0=LEN(ReferenceData!$BD$426),"",ReferenceData!$BD$426),"")</f>
        <v/>
      </c>
      <c r="BE426" t="str">
        <f ca="1">IFERROR(IF(0=LEN(ReferenceData!$BE$426),"",ReferenceData!$BE$426),"")</f>
        <v/>
      </c>
      <c r="BF426" t="str">
        <f ca="1">IFERROR(IF(0=LEN(ReferenceData!$BF$426),"",ReferenceData!$BF$426),"")</f>
        <v/>
      </c>
      <c r="BG426" t="str">
        <f ca="1">IFERROR(IF(0=LEN(ReferenceData!$BG$426),"",ReferenceData!$BG$426),"")</f>
        <v/>
      </c>
      <c r="BH426" t="str">
        <f ca="1">IFERROR(IF(0=LEN(ReferenceData!$BH$426),"",ReferenceData!$BH$426),"")</f>
        <v/>
      </c>
      <c r="BI426" t="str">
        <f ca="1">IFERROR(IF(0=LEN(ReferenceData!$BI$426),"",ReferenceData!$BI$426),"")</f>
        <v/>
      </c>
      <c r="BJ426" t="str">
        <f ca="1">IFERROR(IF(0=LEN(ReferenceData!$BJ$426),"",ReferenceData!$BJ$426),"")</f>
        <v/>
      </c>
      <c r="BK426" t="str">
        <f ca="1">IFERROR(IF(0=LEN(ReferenceData!$BK$426),"",ReferenceData!$BK$426),"")</f>
        <v/>
      </c>
      <c r="BL426" t="str">
        <f ca="1">IFERROR(IF(0=LEN(ReferenceData!$BL$426),"",ReferenceData!$BL$426),"")</f>
        <v/>
      </c>
      <c r="BM426" t="str">
        <f ca="1">IFERROR(IF(0=LEN(ReferenceData!$BM$426),"",ReferenceData!$BM$426),"")</f>
        <v/>
      </c>
    </row>
    <row r="427" spans="1:65" x14ac:dyDescent="0.25">
      <c r="A427" t="str">
        <f>IFERROR(IF(0=LEN(ReferenceData!$A$427),"",ReferenceData!$A$427),"")</f>
        <v xml:space="preserve">    Ford Motor Co</v>
      </c>
      <c r="B427" t="str">
        <f>IFERROR(IF(0=LEN(ReferenceData!$B$427),"",ReferenceData!$B$427),"")</f>
        <v>F US Equity</v>
      </c>
      <c r="C427" t="str">
        <f>IFERROR(IF(0=LEN(ReferenceData!$C$427),"",ReferenceData!$C$427),"")</f>
        <v>PR005</v>
      </c>
      <c r="D427" t="str">
        <f>IFERROR(IF(0=LEN(ReferenceData!$D$427),"",ReferenceData!$D$427),"")</f>
        <v>PX_LAST</v>
      </c>
      <c r="E427" t="str">
        <f>IFERROR(IF(0=LEN(ReferenceData!$E$427),"",ReferenceData!$E$427),"")</f>
        <v>Dynamic</v>
      </c>
      <c r="F427">
        <f ca="1">IFERROR(IF(0=LEN(ReferenceData!$F$427),"",ReferenceData!$F$427),"")</f>
        <v>8.7799999999999994</v>
      </c>
      <c r="G427">
        <f ca="1">IFERROR(IF(0=LEN(ReferenceData!$G$427),"",ReferenceData!$G$427),"")</f>
        <v>7.65</v>
      </c>
      <c r="H427">
        <f ca="1">IFERROR(IF(0=LEN(ReferenceData!$H$427),"",ReferenceData!$H$427),"")</f>
        <v>9.25</v>
      </c>
      <c r="I427">
        <f ca="1">IFERROR(IF(0=LEN(ReferenceData!$I$427),"",ReferenceData!$I$427),"")</f>
        <v>11.07</v>
      </c>
      <c r="J427">
        <f ca="1">IFERROR(IF(0=LEN(ReferenceData!$J$427),"",ReferenceData!$J$427),"")</f>
        <v>11.08</v>
      </c>
      <c r="K427">
        <f ca="1">IFERROR(IF(0=LEN(ReferenceData!$K$427),"",ReferenceData!$K$427),"")</f>
        <v>12.49</v>
      </c>
      <c r="L427">
        <f ca="1">IFERROR(IF(0=LEN(ReferenceData!$L$427),"",ReferenceData!$L$427),"")</f>
        <v>11.97</v>
      </c>
      <c r="M427">
        <f ca="1">IFERROR(IF(0=LEN(ReferenceData!$M$427),"",ReferenceData!$M$427),"")</f>
        <v>11.19</v>
      </c>
      <c r="N427">
        <f ca="1">IFERROR(IF(0=LEN(ReferenceData!$N$427),"",ReferenceData!$N$427),"")</f>
        <v>11.64</v>
      </c>
      <c r="O427">
        <f ca="1">IFERROR(IF(0=LEN(ReferenceData!$O$427),"",ReferenceData!$O$427),"")</f>
        <v>12.13</v>
      </c>
      <c r="P427">
        <f ca="1">IFERROR(IF(0=LEN(ReferenceData!$P$427),"",ReferenceData!$P$427),"")</f>
        <v>12.07</v>
      </c>
      <c r="Q427">
        <f ca="1">IFERROR(IF(0=LEN(ReferenceData!$Q$427),"",ReferenceData!$Q$427),"")</f>
        <v>12.57</v>
      </c>
      <c r="R427">
        <f ca="1">IFERROR(IF(0=LEN(ReferenceData!$R$427),"",ReferenceData!$R$427),"")</f>
        <v>13.5</v>
      </c>
      <c r="S427">
        <f ca="1">IFERROR(IF(0=LEN(ReferenceData!$S$427),"",ReferenceData!$S$427),"")</f>
        <v>14.09</v>
      </c>
      <c r="T427">
        <f ca="1">IFERROR(IF(0=LEN(ReferenceData!$T$427),"",ReferenceData!$T$427),"")</f>
        <v>13.57</v>
      </c>
      <c r="U427">
        <f ca="1">IFERROR(IF(0=LEN(ReferenceData!$U$427),"",ReferenceData!$U$427),"")</f>
        <v>15.01</v>
      </c>
      <c r="V427">
        <f ca="1">IFERROR(IF(0=LEN(ReferenceData!$V$427),"",ReferenceData!$V$427),"")</f>
        <v>16.14</v>
      </c>
      <c r="W427">
        <f ca="1">IFERROR(IF(0=LEN(ReferenceData!$W$427),"",ReferenceData!$W$427),"")</f>
        <v>15.5</v>
      </c>
      <c r="X427">
        <f ca="1">IFERROR(IF(0=LEN(ReferenceData!$X$427),"",ReferenceData!$X$427),"")</f>
        <v>14.79</v>
      </c>
      <c r="Y427">
        <f ca="1">IFERROR(IF(0=LEN(ReferenceData!$Y$427),"",ReferenceData!$Y$427),"")</f>
        <v>17.239999999999998</v>
      </c>
      <c r="Z427">
        <f ca="1">IFERROR(IF(0=LEN(ReferenceData!$Z$427),"",ReferenceData!$Z$427),"")</f>
        <v>15.6</v>
      </c>
      <c r="AA427">
        <f ca="1">IFERROR(IF(0=LEN(ReferenceData!$AA$427),"",ReferenceData!$AA$427),"")</f>
        <v>15.43</v>
      </c>
      <c r="AB427">
        <f ca="1">IFERROR(IF(0=LEN(ReferenceData!$AB$427),"",ReferenceData!$AB$427),"")</f>
        <v>16.87</v>
      </c>
      <c r="AC427">
        <f ca="1">IFERROR(IF(0=LEN(ReferenceData!$AC$427),"",ReferenceData!$AC$427),"")</f>
        <v>15.47</v>
      </c>
      <c r="AD427">
        <f ca="1">IFERROR(IF(0=LEN(ReferenceData!$AD$427),"",ReferenceData!$AD$427),"")</f>
        <v>13.15</v>
      </c>
      <c r="AE427">
        <f ca="1">IFERROR(IF(0=LEN(ReferenceData!$AE$427),"",ReferenceData!$AE$427),"")</f>
        <v>12.95</v>
      </c>
      <c r="AF427">
        <f ca="1">IFERROR(IF(0=LEN(ReferenceData!$AF$427),"",ReferenceData!$AF$427),"")</f>
        <v>9.86</v>
      </c>
      <c r="AG427">
        <f ca="1">IFERROR(IF(0=LEN(ReferenceData!$AG$427),"",ReferenceData!$AG$427),"")</f>
        <v>9.59</v>
      </c>
      <c r="AH427">
        <f ca="1">IFERROR(IF(0=LEN(ReferenceData!$AH$427),"",ReferenceData!$AH$427),"")</f>
        <v>12.475</v>
      </c>
      <c r="AI427">
        <f ca="1">IFERROR(IF(0=LEN(ReferenceData!$AI$427),"",ReferenceData!$AI$427),"")</f>
        <v>10.76</v>
      </c>
      <c r="AJ427">
        <f ca="1">IFERROR(IF(0=LEN(ReferenceData!$AJ$427),"",ReferenceData!$AJ$427),"")</f>
        <v>9.67</v>
      </c>
      <c r="AK427">
        <f ca="1">IFERROR(IF(0=LEN(ReferenceData!$AK$427),"",ReferenceData!$AK$427),"")</f>
        <v>13.79</v>
      </c>
      <c r="AL427">
        <f ca="1">IFERROR(IF(0=LEN(ReferenceData!$AL$427),"",ReferenceData!$AL$427),"")</f>
        <v>14.91</v>
      </c>
      <c r="AM427">
        <f ca="1">IFERROR(IF(0=LEN(ReferenceData!$AM$427),"",ReferenceData!$AM$427),"")</f>
        <v>16.79</v>
      </c>
      <c r="AN427">
        <f ca="1">IFERROR(IF(0=LEN(ReferenceData!$AN$427),"",ReferenceData!$AN$427),"")</f>
        <v>12.24</v>
      </c>
      <c r="AO427">
        <f ca="1">IFERROR(IF(0=LEN(ReferenceData!$AO$427),"",ReferenceData!$AO$427),"")</f>
        <v>10.08</v>
      </c>
      <c r="AP427">
        <f ca="1">IFERROR(IF(0=LEN(ReferenceData!$AP$427),"",ReferenceData!$AP$427),"")</f>
        <v>12.57</v>
      </c>
      <c r="AQ427">
        <f ca="1">IFERROR(IF(0=LEN(ReferenceData!$AQ$427),"",ReferenceData!$AQ$427),"")</f>
        <v>10</v>
      </c>
      <c r="AR427">
        <f ca="1">IFERROR(IF(0=LEN(ReferenceData!$AR$427),"",ReferenceData!$AR$427),"")</f>
        <v>7.21</v>
      </c>
      <c r="AS427">
        <f ca="1">IFERROR(IF(0=LEN(ReferenceData!$AS$427),"",ReferenceData!$AS$427),"")</f>
        <v>6.07</v>
      </c>
      <c r="AT427">
        <f ca="1">IFERROR(IF(0=LEN(ReferenceData!$AT$427),"",ReferenceData!$AT$427),"")</f>
        <v>2.63</v>
      </c>
      <c r="AU427">
        <f ca="1">IFERROR(IF(0=LEN(ReferenceData!$AU$427),"",ReferenceData!$AU$427),"")</f>
        <v>2.29</v>
      </c>
      <c r="AV427">
        <f ca="1">IFERROR(IF(0=LEN(ReferenceData!$AV$427),"",ReferenceData!$AV$427),"")</f>
        <v>5.2</v>
      </c>
      <c r="AW427">
        <f ca="1">IFERROR(IF(0=LEN(ReferenceData!$AW$427),"",ReferenceData!$AW$427),"")</f>
        <v>4.8099999999999996</v>
      </c>
      <c r="AX427">
        <f ca="1">IFERROR(IF(0=LEN(ReferenceData!$AX$427),"",ReferenceData!$AX$427),"")</f>
        <v>5.72</v>
      </c>
      <c r="AY427">
        <f ca="1">IFERROR(IF(0=LEN(ReferenceData!$AY$427),"",ReferenceData!$AY$427),"")</f>
        <v>6.73</v>
      </c>
      <c r="AZ427">
        <f ca="1">IFERROR(IF(0=LEN(ReferenceData!$AZ$427),"",ReferenceData!$AZ$427),"")</f>
        <v>8.49</v>
      </c>
      <c r="BA427">
        <f ca="1">IFERROR(IF(0=LEN(ReferenceData!$BA$427),"",ReferenceData!$BA$427),"")</f>
        <v>9.42</v>
      </c>
      <c r="BB427">
        <f ca="1">IFERROR(IF(0=LEN(ReferenceData!$BB$427),"",ReferenceData!$BB$427),"")</f>
        <v>7.89</v>
      </c>
      <c r="BC427">
        <f ca="1">IFERROR(IF(0=LEN(ReferenceData!$BC$427),"",ReferenceData!$BC$427),"")</f>
        <v>7.51</v>
      </c>
      <c r="BD427">
        <f ca="1">IFERROR(IF(0=LEN(ReferenceData!$BD$427),"",ReferenceData!$BD$427),"")</f>
        <v>8.09</v>
      </c>
      <c r="BE427">
        <f ca="1">IFERROR(IF(0=LEN(ReferenceData!$BE$427),"",ReferenceData!$BE$427),"")</f>
        <v>6.93</v>
      </c>
      <c r="BF427">
        <f ca="1">IFERROR(IF(0=LEN(ReferenceData!$BF$427),"",ReferenceData!$BF$427),"")</f>
        <v>7.96</v>
      </c>
      <c r="BG427">
        <f ca="1">IFERROR(IF(0=LEN(ReferenceData!$BG$427),"",ReferenceData!$BG$427),"")</f>
        <v>7.72</v>
      </c>
      <c r="BH427">
        <f ca="1">IFERROR(IF(0=LEN(ReferenceData!$BH$427),"",ReferenceData!$BH$427),"")</f>
        <v>9.86</v>
      </c>
      <c r="BI427">
        <f ca="1">IFERROR(IF(0=LEN(ReferenceData!$BI$427),"",ReferenceData!$BI$427),"")</f>
        <v>10.24</v>
      </c>
      <c r="BJ427">
        <f ca="1">IFERROR(IF(0=LEN(ReferenceData!$BJ$427),"",ReferenceData!$BJ$427),"")</f>
        <v>11.33</v>
      </c>
      <c r="BK427">
        <f ca="1">IFERROR(IF(0=LEN(ReferenceData!$BK$427),"",ReferenceData!$BK$427),"")</f>
        <v>14.64</v>
      </c>
      <c r="BL427">
        <f ca="1">IFERROR(IF(0=LEN(ReferenceData!$BL$427),"",ReferenceData!$BL$427),"")</f>
        <v>14.05</v>
      </c>
      <c r="BM427">
        <f ca="1">IFERROR(IF(0=LEN(ReferenceData!$BM$427),"",ReferenceData!$BM$427),"")</f>
        <v>15.65</v>
      </c>
    </row>
    <row r="428" spans="1:65" x14ac:dyDescent="0.25">
      <c r="A428" t="str">
        <f>IFERROR(IF(0=LEN(ReferenceData!$A$428),"",ReferenceData!$A$428),"")</f>
        <v xml:space="preserve">    Ford Otomotiv Sanayi AS</v>
      </c>
      <c r="B428" t="str">
        <f>IFERROR(IF(0=LEN(ReferenceData!$B$428),"",ReferenceData!$B$428),"")</f>
        <v>FROTOTRY EO Equity</v>
      </c>
      <c r="C428" t="str">
        <f>IFERROR(IF(0=LEN(ReferenceData!$C$428),"",ReferenceData!$C$428),"")</f>
        <v>PR005</v>
      </c>
      <c r="D428" t="str">
        <f>IFERROR(IF(0=LEN(ReferenceData!$D$428),"",ReferenceData!$D$428),"")</f>
        <v>PX_LAST</v>
      </c>
      <c r="E428" t="str">
        <f>IFERROR(IF(0=LEN(ReferenceData!$E$428),"",ReferenceData!$E$428),"")</f>
        <v>Dynamic</v>
      </c>
      <c r="F428" t="str">
        <f ca="1">IFERROR(IF(0=LEN(ReferenceData!$F$428),"",ReferenceData!$F$428),"")</f>
        <v/>
      </c>
      <c r="G428" t="str">
        <f ca="1">IFERROR(IF(0=LEN(ReferenceData!$G$428),"",ReferenceData!$G$428),"")</f>
        <v/>
      </c>
      <c r="H428" t="str">
        <f ca="1">IFERROR(IF(0=LEN(ReferenceData!$H$428),"",ReferenceData!$H$428),"")</f>
        <v/>
      </c>
      <c r="I428" t="str">
        <f ca="1">IFERROR(IF(0=LEN(ReferenceData!$I$428),"",ReferenceData!$I$428),"")</f>
        <v/>
      </c>
      <c r="J428" t="str">
        <f ca="1">IFERROR(IF(0=LEN(ReferenceData!$J$428),"",ReferenceData!$J$428),"")</f>
        <v/>
      </c>
      <c r="K428" t="str">
        <f ca="1">IFERROR(IF(0=LEN(ReferenceData!$K$428),"",ReferenceData!$K$428),"")</f>
        <v/>
      </c>
      <c r="L428" t="str">
        <f ca="1">IFERROR(IF(0=LEN(ReferenceData!$L$428),"",ReferenceData!$L$428),"")</f>
        <v/>
      </c>
      <c r="M428" t="str">
        <f ca="1">IFERROR(IF(0=LEN(ReferenceData!$M$428),"",ReferenceData!$M$428),"")</f>
        <v/>
      </c>
      <c r="N428" t="str">
        <f ca="1">IFERROR(IF(0=LEN(ReferenceData!$N$428),"",ReferenceData!$N$428),"")</f>
        <v/>
      </c>
      <c r="O428" t="str">
        <f ca="1">IFERROR(IF(0=LEN(ReferenceData!$O$428),"",ReferenceData!$O$428),"")</f>
        <v/>
      </c>
      <c r="P428" t="str">
        <f ca="1">IFERROR(IF(0=LEN(ReferenceData!$P$428),"",ReferenceData!$P$428),"")</f>
        <v/>
      </c>
      <c r="Q428" t="str">
        <f ca="1">IFERROR(IF(0=LEN(ReferenceData!$Q$428),"",ReferenceData!$Q$428),"")</f>
        <v/>
      </c>
      <c r="R428" t="str">
        <f ca="1">IFERROR(IF(0=LEN(ReferenceData!$R$428),"",ReferenceData!$R$428),"")</f>
        <v/>
      </c>
      <c r="S428" t="str">
        <f ca="1">IFERROR(IF(0=LEN(ReferenceData!$S$428),"",ReferenceData!$S$428),"")</f>
        <v/>
      </c>
      <c r="T428" t="str">
        <f ca="1">IFERROR(IF(0=LEN(ReferenceData!$T$428),"",ReferenceData!$T$428),"")</f>
        <v/>
      </c>
      <c r="U428" t="str">
        <f ca="1">IFERROR(IF(0=LEN(ReferenceData!$U$428),"",ReferenceData!$U$428),"")</f>
        <v/>
      </c>
      <c r="V428" t="str">
        <f ca="1">IFERROR(IF(0=LEN(ReferenceData!$V$428),"",ReferenceData!$V$428),"")</f>
        <v/>
      </c>
      <c r="W428" t="str">
        <f ca="1">IFERROR(IF(0=LEN(ReferenceData!$W$428),"",ReferenceData!$W$428),"")</f>
        <v/>
      </c>
      <c r="X428" t="str">
        <f ca="1">IFERROR(IF(0=LEN(ReferenceData!$X$428),"",ReferenceData!$X$428),"")</f>
        <v/>
      </c>
      <c r="Y428" t="str">
        <f ca="1">IFERROR(IF(0=LEN(ReferenceData!$Y$428),"",ReferenceData!$Y$428),"")</f>
        <v/>
      </c>
      <c r="Z428" t="str">
        <f ca="1">IFERROR(IF(0=LEN(ReferenceData!$Z$428),"",ReferenceData!$Z$428),"")</f>
        <v/>
      </c>
      <c r="AA428" t="str">
        <f ca="1">IFERROR(IF(0=LEN(ReferenceData!$AA$428),"",ReferenceData!$AA$428),"")</f>
        <v/>
      </c>
      <c r="AB428" t="str">
        <f ca="1">IFERROR(IF(0=LEN(ReferenceData!$AB$428),"",ReferenceData!$AB$428),"")</f>
        <v/>
      </c>
      <c r="AC428" t="str">
        <f ca="1">IFERROR(IF(0=LEN(ReferenceData!$AC$428),"",ReferenceData!$AC$428),"")</f>
        <v/>
      </c>
      <c r="AD428" t="str">
        <f ca="1">IFERROR(IF(0=LEN(ReferenceData!$AD$428),"",ReferenceData!$AD$428),"")</f>
        <v/>
      </c>
      <c r="AE428" t="str">
        <f ca="1">IFERROR(IF(0=LEN(ReferenceData!$AE$428),"",ReferenceData!$AE$428),"")</f>
        <v/>
      </c>
      <c r="AF428" t="str">
        <f ca="1">IFERROR(IF(0=LEN(ReferenceData!$AF$428),"",ReferenceData!$AF$428),"")</f>
        <v/>
      </c>
      <c r="AG428" t="str">
        <f ca="1">IFERROR(IF(0=LEN(ReferenceData!$AG$428),"",ReferenceData!$AG$428),"")</f>
        <v/>
      </c>
      <c r="AH428" t="str">
        <f ca="1">IFERROR(IF(0=LEN(ReferenceData!$AH$428),"",ReferenceData!$AH$428),"")</f>
        <v/>
      </c>
      <c r="AI428" t="str">
        <f ca="1">IFERROR(IF(0=LEN(ReferenceData!$AI$428),"",ReferenceData!$AI$428),"")</f>
        <v/>
      </c>
      <c r="AJ428" t="str">
        <f ca="1">IFERROR(IF(0=LEN(ReferenceData!$AJ$428),"",ReferenceData!$AJ$428),"")</f>
        <v/>
      </c>
      <c r="AK428" t="str">
        <f ca="1">IFERROR(IF(0=LEN(ReferenceData!$AK$428),"",ReferenceData!$AK$428),"")</f>
        <v/>
      </c>
      <c r="AL428" t="str">
        <f ca="1">IFERROR(IF(0=LEN(ReferenceData!$AL$428),"",ReferenceData!$AL$428),"")</f>
        <v/>
      </c>
      <c r="AM428" t="str">
        <f ca="1">IFERROR(IF(0=LEN(ReferenceData!$AM$428),"",ReferenceData!$AM$428),"")</f>
        <v/>
      </c>
      <c r="AN428" t="str">
        <f ca="1">IFERROR(IF(0=LEN(ReferenceData!$AN$428),"",ReferenceData!$AN$428),"")</f>
        <v/>
      </c>
      <c r="AO428" t="str">
        <f ca="1">IFERROR(IF(0=LEN(ReferenceData!$AO$428),"",ReferenceData!$AO$428),"")</f>
        <v/>
      </c>
      <c r="AP428" t="str">
        <f ca="1">IFERROR(IF(0=LEN(ReferenceData!$AP$428),"",ReferenceData!$AP$428),"")</f>
        <v/>
      </c>
      <c r="AQ428" t="str">
        <f ca="1">IFERROR(IF(0=LEN(ReferenceData!$AQ$428),"",ReferenceData!$AQ$428),"")</f>
        <v/>
      </c>
      <c r="AR428" t="str">
        <f ca="1">IFERROR(IF(0=LEN(ReferenceData!$AR$428),"",ReferenceData!$AR$428),"")</f>
        <v/>
      </c>
      <c r="AS428" t="str">
        <f ca="1">IFERROR(IF(0=LEN(ReferenceData!$AS$428),"",ReferenceData!$AS$428),"")</f>
        <v/>
      </c>
      <c r="AT428" t="str">
        <f ca="1">IFERROR(IF(0=LEN(ReferenceData!$AT$428),"",ReferenceData!$AT$428),"")</f>
        <v/>
      </c>
      <c r="AU428" t="str">
        <f ca="1">IFERROR(IF(0=LEN(ReferenceData!$AU$428),"",ReferenceData!$AU$428),"")</f>
        <v/>
      </c>
      <c r="AV428" t="str">
        <f ca="1">IFERROR(IF(0=LEN(ReferenceData!$AV$428),"",ReferenceData!$AV$428),"")</f>
        <v/>
      </c>
      <c r="AW428" t="str">
        <f ca="1">IFERROR(IF(0=LEN(ReferenceData!$AW$428),"",ReferenceData!$AW$428),"")</f>
        <v/>
      </c>
      <c r="AX428" t="str">
        <f ca="1">IFERROR(IF(0=LEN(ReferenceData!$AX$428),"",ReferenceData!$AX$428),"")</f>
        <v/>
      </c>
      <c r="AY428" t="str">
        <f ca="1">IFERROR(IF(0=LEN(ReferenceData!$AY$428),"",ReferenceData!$AY$428),"")</f>
        <v/>
      </c>
      <c r="AZ428" t="str">
        <f ca="1">IFERROR(IF(0=LEN(ReferenceData!$AZ$428),"",ReferenceData!$AZ$428),"")</f>
        <v/>
      </c>
      <c r="BA428" t="str">
        <f ca="1">IFERROR(IF(0=LEN(ReferenceData!$BA$428),"",ReferenceData!$BA$428),"")</f>
        <v/>
      </c>
      <c r="BB428" t="str">
        <f ca="1">IFERROR(IF(0=LEN(ReferenceData!$BB$428),"",ReferenceData!$BB$428),"")</f>
        <v/>
      </c>
      <c r="BC428" t="str">
        <f ca="1">IFERROR(IF(0=LEN(ReferenceData!$BC$428),"",ReferenceData!$BC$428),"")</f>
        <v/>
      </c>
      <c r="BD428" t="str">
        <f ca="1">IFERROR(IF(0=LEN(ReferenceData!$BD$428),"",ReferenceData!$BD$428),"")</f>
        <v/>
      </c>
      <c r="BE428" t="str">
        <f ca="1">IFERROR(IF(0=LEN(ReferenceData!$BE$428),"",ReferenceData!$BE$428),"")</f>
        <v/>
      </c>
      <c r="BF428" t="str">
        <f ca="1">IFERROR(IF(0=LEN(ReferenceData!$BF$428),"",ReferenceData!$BF$428),"")</f>
        <v/>
      </c>
      <c r="BG428" t="str">
        <f ca="1">IFERROR(IF(0=LEN(ReferenceData!$BG$428),"",ReferenceData!$BG$428),"")</f>
        <v/>
      </c>
      <c r="BH428" t="str">
        <f ca="1">IFERROR(IF(0=LEN(ReferenceData!$BH$428),"",ReferenceData!$BH$428),"")</f>
        <v/>
      </c>
      <c r="BI428" t="str">
        <f ca="1">IFERROR(IF(0=LEN(ReferenceData!$BI$428),"",ReferenceData!$BI$428),"")</f>
        <v/>
      </c>
      <c r="BJ428" t="str">
        <f ca="1">IFERROR(IF(0=LEN(ReferenceData!$BJ$428),"",ReferenceData!$BJ$428),"")</f>
        <v/>
      </c>
      <c r="BK428" t="str">
        <f ca="1">IFERROR(IF(0=LEN(ReferenceData!$BK$428),"",ReferenceData!$BK$428),"")</f>
        <v/>
      </c>
      <c r="BL428" t="str">
        <f ca="1">IFERROR(IF(0=LEN(ReferenceData!$BL$428),"",ReferenceData!$BL$428),"")</f>
        <v/>
      </c>
      <c r="BM428" t="str">
        <f ca="1">IFERROR(IF(0=LEN(ReferenceData!$BM$428),"",ReferenceData!$BM$428),"")</f>
        <v/>
      </c>
    </row>
    <row r="429" spans="1:65" x14ac:dyDescent="0.25">
      <c r="A429" t="str">
        <f>IFERROR(IF(0=LEN(ReferenceData!$A$429),"",ReferenceData!$A$429),"")</f>
        <v xml:space="preserve">    GAZ PJSC</v>
      </c>
      <c r="B429" t="str">
        <f>IFERROR(IF(0=LEN(ReferenceData!$B$429),"",ReferenceData!$B$429),"")</f>
        <v>GAZA RM Equity</v>
      </c>
      <c r="C429" t="str">
        <f>IFERROR(IF(0=LEN(ReferenceData!$C$429),"",ReferenceData!$C$429),"")</f>
        <v>PR005</v>
      </c>
      <c r="D429" t="str">
        <f>IFERROR(IF(0=LEN(ReferenceData!$D$429),"",ReferenceData!$D$429),"")</f>
        <v>PX_LAST</v>
      </c>
      <c r="E429" t="str">
        <f>IFERROR(IF(0=LEN(ReferenceData!$E$429),"",ReferenceData!$E$429),"")</f>
        <v>Dynamic</v>
      </c>
      <c r="F429">
        <f ca="1">IFERROR(IF(0=LEN(ReferenceData!$F$429),"",ReferenceData!$F$429),"")</f>
        <v>7.2856698900000003</v>
      </c>
      <c r="G429">
        <f ca="1">IFERROR(IF(0=LEN(ReferenceData!$G$429),"",ReferenceData!$G$429),"")</f>
        <v>6.7208165610000004</v>
      </c>
      <c r="H429">
        <f ca="1">IFERROR(IF(0=LEN(ReferenceData!$H$429),"",ReferenceData!$H$429),"")</f>
        <v>5.8786434229999998</v>
      </c>
      <c r="I429">
        <f ca="1">IFERROR(IF(0=LEN(ReferenceData!$I$429),"",ReferenceData!$I$429),"")</f>
        <v>6.7422714920000004</v>
      </c>
      <c r="J429">
        <f ca="1">IFERROR(IF(0=LEN(ReferenceData!$J$429),"",ReferenceData!$J$429),"")</f>
        <v>11.037566269999999</v>
      </c>
      <c r="K429">
        <f ca="1">IFERROR(IF(0=LEN(ReferenceData!$K$429),"",ReferenceData!$K$429),"")</f>
        <v>13.896126450000001</v>
      </c>
      <c r="L429">
        <f ca="1">IFERROR(IF(0=LEN(ReferenceData!$L$429),"",ReferenceData!$L$429),"")</f>
        <v>13.21869029</v>
      </c>
      <c r="M429">
        <f ca="1">IFERROR(IF(0=LEN(ReferenceData!$M$429),"",ReferenceData!$M$429),"")</f>
        <v>8.3028388609999997</v>
      </c>
      <c r="N429">
        <f ca="1">IFERROR(IF(0=LEN(ReferenceData!$N$429),"",ReferenceData!$N$429),"")</f>
        <v>9.5757702810000005</v>
      </c>
      <c r="O429">
        <f ca="1">IFERROR(IF(0=LEN(ReferenceData!$O$429),"",ReferenceData!$O$429),"")</f>
        <v>9.1306449930000007</v>
      </c>
      <c r="P429">
        <f ca="1">IFERROR(IF(0=LEN(ReferenceData!$P$429),"",ReferenceData!$P$429),"")</f>
        <v>6.7749061289999997</v>
      </c>
      <c r="Q429">
        <f ca="1">IFERROR(IF(0=LEN(ReferenceData!$Q$429),"",ReferenceData!$Q$429),"")</f>
        <v>6.7560382089999997</v>
      </c>
      <c r="R429">
        <f ca="1">IFERROR(IF(0=LEN(ReferenceData!$R$429),"",ReferenceData!$R$429),"")</f>
        <v>6.6356408299999998</v>
      </c>
      <c r="S429">
        <f ca="1">IFERROR(IF(0=LEN(ReferenceData!$S$429),"",ReferenceData!$S$429),"")</f>
        <v>5.9919136399999999</v>
      </c>
      <c r="T429">
        <f ca="1">IFERROR(IF(0=LEN(ReferenceData!$T$429),"",ReferenceData!$T$429),"")</f>
        <v>7.4470844969999996</v>
      </c>
      <c r="U429">
        <f ca="1">IFERROR(IF(0=LEN(ReferenceData!$U$429),"",ReferenceData!$U$429),"")</f>
        <v>7.5816520399999998</v>
      </c>
      <c r="V429">
        <f ca="1">IFERROR(IF(0=LEN(ReferenceData!$V$429),"",ReferenceData!$V$429),"")</f>
        <v>7.0472769150000003</v>
      </c>
      <c r="W429">
        <f ca="1">IFERROR(IF(0=LEN(ReferenceData!$W$429),"",ReferenceData!$W$429),"")</f>
        <v>5.7251360389999997</v>
      </c>
      <c r="X429">
        <f ca="1">IFERROR(IF(0=LEN(ReferenceData!$X$429),"",ReferenceData!$X$429),"")</f>
        <v>11.23680622</v>
      </c>
      <c r="Y429">
        <f ca="1">IFERROR(IF(0=LEN(ReferenceData!$Y$429),"",ReferenceData!$Y$429),"")</f>
        <v>18.827947049999999</v>
      </c>
      <c r="Z429">
        <f ca="1">IFERROR(IF(0=LEN(ReferenceData!$Z$429),"",ReferenceData!$Z$429),"")</f>
        <v>20.683067179999998</v>
      </c>
      <c r="AA429">
        <f ca="1">IFERROR(IF(0=LEN(ReferenceData!$AA$429),"",ReferenceData!$AA$429),"")</f>
        <v>25.704751479999999</v>
      </c>
      <c r="AB429">
        <f ca="1">IFERROR(IF(0=LEN(ReferenceData!$AB$429),"",ReferenceData!$AB$429),"")</f>
        <v>29.474607249999998</v>
      </c>
      <c r="AC429">
        <f ca="1">IFERROR(IF(0=LEN(ReferenceData!$AC$429),"",ReferenceData!$AC$429),"")</f>
        <v>31.614402349999999</v>
      </c>
      <c r="AD429">
        <f ca="1">IFERROR(IF(0=LEN(ReferenceData!$AD$429),"",ReferenceData!$AD$429),"")</f>
        <v>44.167256809999998</v>
      </c>
      <c r="AE429">
        <f ca="1">IFERROR(IF(0=LEN(ReferenceData!$AE$429),"",ReferenceData!$AE$429),"")</f>
        <v>44.068287890000001</v>
      </c>
      <c r="AF429">
        <f ca="1">IFERROR(IF(0=LEN(ReferenceData!$AF$429),"",ReferenceData!$AF$429),"")</f>
        <v>30.229276899999999</v>
      </c>
      <c r="AG429">
        <f ca="1">IFERROR(IF(0=LEN(ReferenceData!$AG$429),"",ReferenceData!$AG$429),"")</f>
        <v>27.273567750000002</v>
      </c>
      <c r="AH429">
        <f ca="1">IFERROR(IF(0=LEN(ReferenceData!$AH$429),"",ReferenceData!$AH$429),"")</f>
        <v>33.771151750000001</v>
      </c>
      <c r="AI429">
        <f ca="1">IFERROR(IF(0=LEN(ReferenceData!$AI$429),"",ReferenceData!$AI$429),"")</f>
        <v>26.73929961</v>
      </c>
      <c r="AJ429" t="str">
        <f ca="1">IFERROR(IF(0=LEN(ReferenceData!$AJ$429),"",ReferenceData!$AJ$429),"")</f>
        <v/>
      </c>
      <c r="AK429" t="str">
        <f ca="1">IFERROR(IF(0=LEN(ReferenceData!$AK$429),"",ReferenceData!$AK$429),"")</f>
        <v/>
      </c>
      <c r="AL429" t="str">
        <f ca="1">IFERROR(IF(0=LEN(ReferenceData!$AL$429),"",ReferenceData!$AL$429),"")</f>
        <v/>
      </c>
      <c r="AM429" t="str">
        <f ca="1">IFERROR(IF(0=LEN(ReferenceData!$AM$429),"",ReferenceData!$AM$429),"")</f>
        <v/>
      </c>
      <c r="AN429" t="str">
        <f ca="1">IFERROR(IF(0=LEN(ReferenceData!$AN$429),"",ReferenceData!$AN$429),"")</f>
        <v/>
      </c>
      <c r="AO429" t="str">
        <f ca="1">IFERROR(IF(0=LEN(ReferenceData!$AO$429),"",ReferenceData!$AO$429),"")</f>
        <v/>
      </c>
      <c r="AP429" t="str">
        <f ca="1">IFERROR(IF(0=LEN(ReferenceData!$AP$429),"",ReferenceData!$AP$429),"")</f>
        <v/>
      </c>
      <c r="AQ429" t="str">
        <f ca="1">IFERROR(IF(0=LEN(ReferenceData!$AQ$429),"",ReferenceData!$AQ$429),"")</f>
        <v/>
      </c>
      <c r="AR429" t="str">
        <f ca="1">IFERROR(IF(0=LEN(ReferenceData!$AR$429),"",ReferenceData!$AR$429),"")</f>
        <v/>
      </c>
      <c r="AS429" t="str">
        <f ca="1">IFERROR(IF(0=LEN(ReferenceData!$AS$429),"",ReferenceData!$AS$429),"")</f>
        <v/>
      </c>
      <c r="AT429" t="str">
        <f ca="1">IFERROR(IF(0=LEN(ReferenceData!$AT$429),"",ReferenceData!$AT$429),"")</f>
        <v/>
      </c>
      <c r="AU429" t="str">
        <f ca="1">IFERROR(IF(0=LEN(ReferenceData!$AU$429),"",ReferenceData!$AU$429),"")</f>
        <v/>
      </c>
      <c r="AV429" t="str">
        <f ca="1">IFERROR(IF(0=LEN(ReferenceData!$AV$429),"",ReferenceData!$AV$429),"")</f>
        <v/>
      </c>
      <c r="AW429" t="str">
        <f ca="1">IFERROR(IF(0=LEN(ReferenceData!$AW$429),"",ReferenceData!$AW$429),"")</f>
        <v/>
      </c>
      <c r="AX429" t="str">
        <f ca="1">IFERROR(IF(0=LEN(ReferenceData!$AX$429),"",ReferenceData!$AX$429),"")</f>
        <v/>
      </c>
      <c r="AY429" t="str">
        <f ca="1">IFERROR(IF(0=LEN(ReferenceData!$AY$429),"",ReferenceData!$AY$429),"")</f>
        <v/>
      </c>
      <c r="AZ429" t="str">
        <f ca="1">IFERROR(IF(0=LEN(ReferenceData!$AZ$429),"",ReferenceData!$AZ$429),"")</f>
        <v/>
      </c>
      <c r="BA429" t="str">
        <f ca="1">IFERROR(IF(0=LEN(ReferenceData!$BA$429),"",ReferenceData!$BA$429),"")</f>
        <v/>
      </c>
      <c r="BB429" t="str">
        <f ca="1">IFERROR(IF(0=LEN(ReferenceData!$BB$429),"",ReferenceData!$BB$429),"")</f>
        <v/>
      </c>
      <c r="BC429" t="str">
        <f ca="1">IFERROR(IF(0=LEN(ReferenceData!$BC$429),"",ReferenceData!$BC$429),"")</f>
        <v/>
      </c>
      <c r="BD429" t="str">
        <f ca="1">IFERROR(IF(0=LEN(ReferenceData!$BD$429),"",ReferenceData!$BD$429),"")</f>
        <v/>
      </c>
      <c r="BE429" t="str">
        <f ca="1">IFERROR(IF(0=LEN(ReferenceData!$BE$429),"",ReferenceData!$BE$429),"")</f>
        <v/>
      </c>
      <c r="BF429" t="str">
        <f ca="1">IFERROR(IF(0=LEN(ReferenceData!$BF$429),"",ReferenceData!$BF$429),"")</f>
        <v/>
      </c>
      <c r="BG429" t="str">
        <f ca="1">IFERROR(IF(0=LEN(ReferenceData!$BG$429),"",ReferenceData!$BG$429),"")</f>
        <v/>
      </c>
      <c r="BH429" t="str">
        <f ca="1">IFERROR(IF(0=LEN(ReferenceData!$BH$429),"",ReferenceData!$BH$429),"")</f>
        <v/>
      </c>
      <c r="BI429" t="str">
        <f ca="1">IFERROR(IF(0=LEN(ReferenceData!$BI$429),"",ReferenceData!$BI$429),"")</f>
        <v/>
      </c>
      <c r="BJ429" t="str">
        <f ca="1">IFERROR(IF(0=LEN(ReferenceData!$BJ$429),"",ReferenceData!$BJ$429),"")</f>
        <v/>
      </c>
      <c r="BK429" t="str">
        <f ca="1">IFERROR(IF(0=LEN(ReferenceData!$BK$429),"",ReferenceData!$BK$429),"")</f>
        <v/>
      </c>
      <c r="BL429" t="str">
        <f ca="1">IFERROR(IF(0=LEN(ReferenceData!$BL$429),"",ReferenceData!$BL$429),"")</f>
        <v/>
      </c>
      <c r="BM429" t="str">
        <f ca="1">IFERROR(IF(0=LEN(ReferenceData!$BM$429),"",ReferenceData!$BM$429),"")</f>
        <v/>
      </c>
    </row>
    <row r="430" spans="1:65" x14ac:dyDescent="0.25">
      <c r="A430" t="str">
        <f>IFERROR(IF(0=LEN(ReferenceData!$A$430),"",ReferenceData!$A$430),"")</f>
        <v xml:space="preserve">    Geely Automobile Holdings Ltd</v>
      </c>
      <c r="B430" t="str">
        <f>IFERROR(IF(0=LEN(ReferenceData!$B$430),"",ReferenceData!$B$430),"")</f>
        <v>175 HK Equity</v>
      </c>
      <c r="C430" t="str">
        <f>IFERROR(IF(0=LEN(ReferenceData!$C$430),"",ReferenceData!$C$430),"")</f>
        <v>PR005</v>
      </c>
      <c r="D430" t="str">
        <f>IFERROR(IF(0=LEN(ReferenceData!$D$430),"",ReferenceData!$D$430),"")</f>
        <v>PX_LAST</v>
      </c>
      <c r="E430" t="str">
        <f>IFERROR(IF(0=LEN(ReferenceData!$E$430),"",ReferenceData!$E$430),"")</f>
        <v>Dynamic</v>
      </c>
      <c r="F430">
        <f ca="1">IFERROR(IF(0=LEN(ReferenceData!$F$430),"",ReferenceData!$F$430),"")</f>
        <v>1.8777548209999999</v>
      </c>
      <c r="G430">
        <f ca="1">IFERROR(IF(0=LEN(ReferenceData!$G$430),"",ReferenceData!$G$430),"")</f>
        <v>1.7619570490000001</v>
      </c>
      <c r="H430">
        <f ca="1">IFERROR(IF(0=LEN(ReferenceData!$H$430),"",ReferenceData!$H$430),"")</f>
        <v>1.9934828449999999</v>
      </c>
      <c r="I430">
        <f ca="1">IFERROR(IF(0=LEN(ReferenceData!$I$430),"",ReferenceData!$I$430),"")</f>
        <v>2.5936121939999999</v>
      </c>
      <c r="J430">
        <f ca="1">IFERROR(IF(0=LEN(ReferenceData!$J$430),"",ReferenceData!$J$430),"")</f>
        <v>2.8795311209999999</v>
      </c>
      <c r="K430">
        <f ca="1">IFERROR(IF(0=LEN(ReferenceData!$K$430),"",ReferenceData!$K$430),"")</f>
        <v>3.4688888040000001</v>
      </c>
      <c r="L430">
        <f ca="1">IFERROR(IF(0=LEN(ReferenceData!$L$430),"",ReferenceData!$L$430),"")</f>
        <v>2.8162523359999998</v>
      </c>
      <c r="M430">
        <f ca="1">IFERROR(IF(0=LEN(ReferenceData!$M$430),"",ReferenceData!$M$430),"")</f>
        <v>2.1571490789999999</v>
      </c>
      <c r="N430">
        <f ca="1">IFERROR(IF(0=LEN(ReferenceData!$N$430),"",ReferenceData!$N$430),"")</f>
        <v>1.5312359259999999</v>
      </c>
      <c r="O430">
        <f ca="1">IFERROR(IF(0=LEN(ReferenceData!$O$430),"",ReferenceData!$O$430),"")</f>
        <v>0.95564812600000004</v>
      </c>
      <c r="P430">
        <f ca="1">IFERROR(IF(0=LEN(ReferenceData!$P$430),"",ReferenceData!$P$430),"")</f>
        <v>0.89225849700000004</v>
      </c>
      <c r="Q430">
        <f ca="1">IFERROR(IF(0=LEN(ReferenceData!$Q$430),"",ReferenceData!$Q$430),"")</f>
        <v>0.53999020499999995</v>
      </c>
      <c r="R430">
        <f ca="1">IFERROR(IF(0=LEN(ReferenceData!$R$430),"",ReferenceData!$R$430),"")</f>
        <v>0.49509418399999999</v>
      </c>
      <c r="S430">
        <f ca="1">IFERROR(IF(0=LEN(ReferenceData!$S$430),"",ReferenceData!$S$430),"")</f>
        <v>0.53289635000000002</v>
      </c>
      <c r="T430">
        <f ca="1">IFERROR(IF(0=LEN(ReferenceData!$T$430),"",ReferenceData!$T$430),"")</f>
        <v>0.47611060199999999</v>
      </c>
      <c r="U430">
        <f ca="1">IFERROR(IF(0=LEN(ReferenceData!$U$430),"",ReferenceData!$U$430),"")</f>
        <v>0.53405572800000001</v>
      </c>
      <c r="V430">
        <f ca="1">IFERROR(IF(0=LEN(ReferenceData!$V$430),"",ReferenceData!$V$430),"")</f>
        <v>0.51464613199999998</v>
      </c>
      <c r="W430">
        <f ca="1">IFERROR(IF(0=LEN(ReferenceData!$W$430),"",ReferenceData!$W$430),"")</f>
        <v>0.31854937500000002</v>
      </c>
      <c r="X430">
        <f ca="1">IFERROR(IF(0=LEN(ReferenceData!$X$430),"",ReferenceData!$X$430),"")</f>
        <v>0.41856092299999997</v>
      </c>
      <c r="Y430">
        <f ca="1">IFERROR(IF(0=LEN(ReferenceData!$Y$430),"",ReferenceData!$Y$430),"")</f>
        <v>0.352239884</v>
      </c>
      <c r="Z430">
        <f ca="1">IFERROR(IF(0=LEN(ReferenceData!$Z$430),"",ReferenceData!$Z$430),"")</f>
        <v>0.39319831399999999</v>
      </c>
      <c r="AA430">
        <f ca="1">IFERROR(IF(0=LEN(ReferenceData!$AA$430),"",ReferenceData!$AA$430),"")</f>
        <v>0.48363383100000001</v>
      </c>
      <c r="AB430">
        <f ca="1">IFERROR(IF(0=LEN(ReferenceData!$AB$430),"",ReferenceData!$AB$430),"")</f>
        <v>0.51448686700000001</v>
      </c>
      <c r="AC430">
        <f ca="1">IFERROR(IF(0=LEN(ReferenceData!$AC$430),"",ReferenceData!$AC$430),"")</f>
        <v>0.43320741099999999</v>
      </c>
      <c r="AD430">
        <f ca="1">IFERROR(IF(0=LEN(ReferenceData!$AD$430),"",ReferenceData!$AD$430),"")</f>
        <v>0.48564325200000003</v>
      </c>
      <c r="AE430">
        <f ca="1">IFERROR(IF(0=LEN(ReferenceData!$AE$430),"",ReferenceData!$AE$430),"")</f>
        <v>0.47349340099999998</v>
      </c>
      <c r="AF430">
        <f ca="1">IFERROR(IF(0=LEN(ReferenceData!$AF$430),"",ReferenceData!$AF$430),"")</f>
        <v>0.37914447499999998</v>
      </c>
      <c r="AG430">
        <f ca="1">IFERROR(IF(0=LEN(ReferenceData!$AG$430),"",ReferenceData!$AG$430),"")</f>
        <v>0.34804130100000003</v>
      </c>
      <c r="AH430">
        <f ca="1">IFERROR(IF(0=LEN(ReferenceData!$AH$430),"",ReferenceData!$AH$430),"")</f>
        <v>0.39154066100000001</v>
      </c>
      <c r="AI430">
        <f ca="1">IFERROR(IF(0=LEN(ReferenceData!$AI$430),"",ReferenceData!$AI$430),"")</f>
        <v>0.218885999</v>
      </c>
      <c r="AJ430">
        <f ca="1">IFERROR(IF(0=LEN(ReferenceData!$AJ$430),"",ReferenceData!$AJ$430),"")</f>
        <v>0.22476528100000001</v>
      </c>
      <c r="AK430">
        <f ca="1">IFERROR(IF(0=LEN(ReferenceData!$AK$430),"",ReferenceData!$AK$430),"")</f>
        <v>0.39068022099999999</v>
      </c>
      <c r="AL430">
        <f ca="1">IFERROR(IF(0=LEN(ReferenceData!$AL$430),"",ReferenceData!$AL$430),"")</f>
        <v>0.371627704</v>
      </c>
      <c r="AM430">
        <f ca="1">IFERROR(IF(0=LEN(ReferenceData!$AM$430),"",ReferenceData!$AM$430),"")</f>
        <v>0.437422808</v>
      </c>
      <c r="AN430">
        <f ca="1">IFERROR(IF(0=LEN(ReferenceData!$AN$430),"",ReferenceData!$AN$430),"")</f>
        <v>0.49614680799999999</v>
      </c>
      <c r="AO430">
        <f ca="1">IFERROR(IF(0=LEN(ReferenceData!$AO$430),"",ReferenceData!$AO$430),"")</f>
        <v>0.30822973399999998</v>
      </c>
      <c r="AP430">
        <f ca="1">IFERROR(IF(0=LEN(ReferenceData!$AP$430),"",ReferenceData!$AP$430),"")</f>
        <v>0.52932539999999995</v>
      </c>
      <c r="AQ430">
        <f ca="1">IFERROR(IF(0=LEN(ReferenceData!$AQ$430),"",ReferenceData!$AQ$430),"")</f>
        <v>0.55072613299999995</v>
      </c>
      <c r="AR430">
        <f ca="1">IFERROR(IF(0=LEN(ReferenceData!$AR$430),"",ReferenceData!$AR$430),"")</f>
        <v>0.27225455199999998</v>
      </c>
      <c r="AS430">
        <f ca="1">IFERROR(IF(0=LEN(ReferenceData!$AS$430),"",ReferenceData!$AS$430),"")</f>
        <v>0.18064283</v>
      </c>
      <c r="AT430">
        <f ca="1">IFERROR(IF(0=LEN(ReferenceData!$AT$430),"",ReferenceData!$AT$430),"")</f>
        <v>8.7740803000000006E-2</v>
      </c>
      <c r="AU430">
        <f ca="1">IFERROR(IF(0=LEN(ReferenceData!$AU$430),"",ReferenceData!$AU$430),"")</f>
        <v>8.1289273999999995E-2</v>
      </c>
      <c r="AV430">
        <f ca="1">IFERROR(IF(0=LEN(ReferenceData!$AV$430),"",ReferenceData!$AV$430),"")</f>
        <v>7.5983927000000007E-2</v>
      </c>
      <c r="AW430">
        <f ca="1">IFERROR(IF(0=LEN(ReferenceData!$AW$430),"",ReferenceData!$AW$430),"")</f>
        <v>0.114131829</v>
      </c>
      <c r="AX430">
        <f ca="1">IFERROR(IF(0=LEN(ReferenceData!$AX$430),"",ReferenceData!$AX$430),"")</f>
        <v>0.11949733999999999</v>
      </c>
      <c r="AY430">
        <f ca="1">IFERROR(IF(0=LEN(ReferenceData!$AY$430),"",ReferenceData!$AY$430),"")</f>
        <v>0.11282774499999999</v>
      </c>
      <c r="AZ430">
        <f ca="1">IFERROR(IF(0=LEN(ReferenceData!$AZ$430),"",ReferenceData!$AZ$430),"")</f>
        <v>0.11974351699999999</v>
      </c>
      <c r="BA430">
        <f ca="1">IFERROR(IF(0=LEN(ReferenceData!$BA$430),"",ReferenceData!$BA$430),"")</f>
        <v>0.156048145</v>
      </c>
      <c r="BB430">
        <f ca="1">IFERROR(IF(0=LEN(ReferenceData!$BB$430),"",ReferenceData!$BB$430),"")</f>
        <v>0.13308763300000001</v>
      </c>
      <c r="BC430">
        <f ca="1">IFERROR(IF(0=LEN(ReferenceData!$BC$430),"",ReferenceData!$BC$430),"")</f>
        <v>9.8983172999999994E-2</v>
      </c>
      <c r="BD430">
        <f ca="1">IFERROR(IF(0=LEN(ReferenceData!$BD$430),"",ReferenceData!$BD$430),"")</f>
        <v>0.118077392</v>
      </c>
      <c r="BE430">
        <f ca="1">IFERROR(IF(0=LEN(ReferenceData!$BE$430),"",ReferenceData!$BE$430),"")</f>
        <v>0.124887344</v>
      </c>
      <c r="BF430">
        <f ca="1">IFERROR(IF(0=LEN(ReferenceData!$BF$430),"",ReferenceData!$BF$430),"")</f>
        <v>9.9228082999999995E-2</v>
      </c>
      <c r="BG430">
        <f ca="1">IFERROR(IF(0=LEN(ReferenceData!$BG$430),"",ReferenceData!$BG$430),"")</f>
        <v>4.1915473000000002E-2</v>
      </c>
      <c r="BH430">
        <f ca="1">IFERROR(IF(0=LEN(ReferenceData!$BH$430),"",ReferenceData!$BH$430),"")</f>
        <v>5.6074765999999998E-2</v>
      </c>
      <c r="BI430">
        <f ca="1">IFERROR(IF(0=LEN(ReferenceData!$BI$430),"",ReferenceData!$BI$430),"")</f>
        <v>6.4337643999999999E-2</v>
      </c>
      <c r="BJ430">
        <f ca="1">IFERROR(IF(0=LEN(ReferenceData!$BJ$430),"",ReferenceData!$BJ$430),"")</f>
        <v>6.2183473000000003E-2</v>
      </c>
      <c r="BK430">
        <f ca="1">IFERROR(IF(0=LEN(ReferenceData!$BK$430),"",ReferenceData!$BK$430),"")</f>
        <v>4.6957417000000001E-2</v>
      </c>
      <c r="BL430">
        <f ca="1">IFERROR(IF(0=LEN(ReferenceData!$BL$430),"",ReferenceData!$BL$430),"")</f>
        <v>4.6172788999999999E-2</v>
      </c>
      <c r="BM430">
        <f ca="1">IFERROR(IF(0=LEN(ReferenceData!$BM$430),"",ReferenceData!$BM$430),"")</f>
        <v>7.9489218E-2</v>
      </c>
    </row>
    <row r="431" spans="1:65" x14ac:dyDescent="0.25">
      <c r="A431" t="str">
        <f>IFERROR(IF(0=LEN(ReferenceData!$A$431),"",ReferenceData!$A$431),"")</f>
        <v xml:space="preserve">    General Motors Co</v>
      </c>
      <c r="B431" t="str">
        <f>IFERROR(IF(0=LEN(ReferenceData!$B$431),"",ReferenceData!$B$431),"")</f>
        <v>GM US Equity</v>
      </c>
      <c r="C431" t="str">
        <f>IFERROR(IF(0=LEN(ReferenceData!$C$431),"",ReferenceData!$C$431),"")</f>
        <v>PR005</v>
      </c>
      <c r="D431" t="str">
        <f>IFERROR(IF(0=LEN(ReferenceData!$D$431),"",ReferenceData!$D$431),"")</f>
        <v>PX_LAST</v>
      </c>
      <c r="E431" t="str">
        <f>IFERROR(IF(0=LEN(ReferenceData!$E$431),"",ReferenceData!$E$431),"")</f>
        <v>Dynamic</v>
      </c>
      <c r="F431">
        <f ca="1">IFERROR(IF(0=LEN(ReferenceData!$F$431),"",ReferenceData!$F$431),"")</f>
        <v>40</v>
      </c>
      <c r="G431">
        <f ca="1">IFERROR(IF(0=LEN(ReferenceData!$G$431),"",ReferenceData!$G$431),"")</f>
        <v>33.450000000000003</v>
      </c>
      <c r="H431">
        <f ca="1">IFERROR(IF(0=LEN(ReferenceData!$H$431),"",ReferenceData!$H$431),"")</f>
        <v>33.67</v>
      </c>
      <c r="I431">
        <f ca="1">IFERROR(IF(0=LEN(ReferenceData!$I$431),"",ReferenceData!$I$431),"")</f>
        <v>39.4</v>
      </c>
      <c r="J431">
        <f ca="1">IFERROR(IF(0=LEN(ReferenceData!$J$431),"",ReferenceData!$J$431),"")</f>
        <v>36.340000000000003</v>
      </c>
      <c r="K431">
        <f ca="1">IFERROR(IF(0=LEN(ReferenceData!$K$431),"",ReferenceData!$K$431),"")</f>
        <v>40.99</v>
      </c>
      <c r="L431">
        <f ca="1">IFERROR(IF(0=LEN(ReferenceData!$L$431),"",ReferenceData!$L$431),"")</f>
        <v>40.380000000000003</v>
      </c>
      <c r="M431">
        <f ca="1">IFERROR(IF(0=LEN(ReferenceData!$M$431),"",ReferenceData!$M$431),"")</f>
        <v>34.93</v>
      </c>
      <c r="N431">
        <f ca="1">IFERROR(IF(0=LEN(ReferenceData!$N$431),"",ReferenceData!$N$431),"")</f>
        <v>35.36</v>
      </c>
      <c r="O431">
        <f ca="1">IFERROR(IF(0=LEN(ReferenceData!$O$431),"",ReferenceData!$O$431),"")</f>
        <v>34.840000000000003</v>
      </c>
      <c r="P431">
        <f ca="1">IFERROR(IF(0=LEN(ReferenceData!$P$431),"",ReferenceData!$P$431),"")</f>
        <v>31.77</v>
      </c>
      <c r="Q431">
        <f ca="1">IFERROR(IF(0=LEN(ReferenceData!$Q$431),"",ReferenceData!$Q$431),"")</f>
        <v>28.3</v>
      </c>
      <c r="R431">
        <f ca="1">IFERROR(IF(0=LEN(ReferenceData!$R$431),"",ReferenceData!$R$431),"")</f>
        <v>31.43</v>
      </c>
      <c r="S431">
        <f ca="1">IFERROR(IF(0=LEN(ReferenceData!$S$431),"",ReferenceData!$S$431),"")</f>
        <v>34.01</v>
      </c>
      <c r="T431">
        <f ca="1">IFERROR(IF(0=LEN(ReferenceData!$T$431),"",ReferenceData!$T$431),"")</f>
        <v>30.02</v>
      </c>
      <c r="U431">
        <f ca="1">IFERROR(IF(0=LEN(ReferenceData!$U$431),"",ReferenceData!$U$431),"")</f>
        <v>33.33</v>
      </c>
      <c r="V431">
        <f ca="1">IFERROR(IF(0=LEN(ReferenceData!$V$431),"",ReferenceData!$V$431),"")</f>
        <v>37.5</v>
      </c>
      <c r="W431">
        <f ca="1">IFERROR(IF(0=LEN(ReferenceData!$W$431),"",ReferenceData!$W$431),"")</f>
        <v>34.909999999999997</v>
      </c>
      <c r="X431">
        <f ca="1">IFERROR(IF(0=LEN(ReferenceData!$X$431),"",ReferenceData!$X$431),"")</f>
        <v>31.94</v>
      </c>
      <c r="Y431">
        <f ca="1">IFERROR(IF(0=LEN(ReferenceData!$Y$431),"",ReferenceData!$Y$431),"")</f>
        <v>36.299999999999997</v>
      </c>
      <c r="Z431">
        <f ca="1">IFERROR(IF(0=LEN(ReferenceData!$Z$431),"",ReferenceData!$Z$431),"")</f>
        <v>34.42</v>
      </c>
      <c r="AA431">
        <f ca="1">IFERROR(IF(0=LEN(ReferenceData!$AA$431),"",ReferenceData!$AA$431),"")</f>
        <v>40.869999999999997</v>
      </c>
      <c r="AB431">
        <f ca="1">IFERROR(IF(0=LEN(ReferenceData!$AB$431),"",ReferenceData!$AB$431),"")</f>
        <v>35.97</v>
      </c>
      <c r="AC431">
        <f ca="1">IFERROR(IF(0=LEN(ReferenceData!$AC$431),"",ReferenceData!$AC$431),"")</f>
        <v>33.31</v>
      </c>
      <c r="AD431">
        <f ca="1">IFERROR(IF(0=LEN(ReferenceData!$AD$431),"",ReferenceData!$AD$431),"")</f>
        <v>27.82</v>
      </c>
      <c r="AE431">
        <f ca="1">IFERROR(IF(0=LEN(ReferenceData!$AE$431),"",ReferenceData!$AE$431),"")</f>
        <v>28.83</v>
      </c>
      <c r="AF431">
        <f ca="1">IFERROR(IF(0=LEN(ReferenceData!$AF$431),"",ReferenceData!$AF$431),"")</f>
        <v>22.75</v>
      </c>
      <c r="AG431">
        <f ca="1">IFERROR(IF(0=LEN(ReferenceData!$AG$431),"",ReferenceData!$AG$431),"")</f>
        <v>19.72</v>
      </c>
      <c r="AH431">
        <f ca="1">IFERROR(IF(0=LEN(ReferenceData!$AH$431),"",ReferenceData!$AH$431),"")</f>
        <v>25.65</v>
      </c>
      <c r="AI431">
        <f ca="1">IFERROR(IF(0=LEN(ReferenceData!$AI$431),"",ReferenceData!$AI$431),"")</f>
        <v>20.27</v>
      </c>
      <c r="AJ431">
        <f ca="1">IFERROR(IF(0=LEN(ReferenceData!$AJ$431),"",ReferenceData!$AJ$431),"")</f>
        <v>20.18</v>
      </c>
      <c r="AK431">
        <f ca="1">IFERROR(IF(0=LEN(ReferenceData!$AK$431),"",ReferenceData!$AK$431),"")</f>
        <v>30.36</v>
      </c>
      <c r="AL431">
        <f ca="1">IFERROR(IF(0=LEN(ReferenceData!$AL$431),"",ReferenceData!$AL$431),"")</f>
        <v>31.03</v>
      </c>
      <c r="AM431">
        <f ca="1">IFERROR(IF(0=LEN(ReferenceData!$AM$431),"",ReferenceData!$AM$431),"")</f>
        <v>36.86</v>
      </c>
      <c r="AN431" t="str">
        <f ca="1">IFERROR(IF(0=LEN(ReferenceData!$AN$431),"",ReferenceData!$AN$431),"")</f>
        <v/>
      </c>
      <c r="AO431" t="str">
        <f ca="1">IFERROR(IF(0=LEN(ReferenceData!$AO$431),"",ReferenceData!$AO$431),"")</f>
        <v/>
      </c>
      <c r="AP431" t="str">
        <f ca="1">IFERROR(IF(0=LEN(ReferenceData!$AP$431),"",ReferenceData!$AP$431),"")</f>
        <v/>
      </c>
      <c r="AQ431" t="str">
        <f ca="1">IFERROR(IF(0=LEN(ReferenceData!$AQ$431),"",ReferenceData!$AQ$431),"")</f>
        <v/>
      </c>
      <c r="AR431" t="str">
        <f ca="1">IFERROR(IF(0=LEN(ReferenceData!$AR$431),"",ReferenceData!$AR$431),"")</f>
        <v/>
      </c>
      <c r="AS431" t="str">
        <f ca="1">IFERROR(IF(0=LEN(ReferenceData!$AS$431),"",ReferenceData!$AS$431),"")</f>
        <v/>
      </c>
      <c r="AT431" t="str">
        <f ca="1">IFERROR(IF(0=LEN(ReferenceData!$AT$431),"",ReferenceData!$AT$431),"")</f>
        <v/>
      </c>
      <c r="AU431" t="str">
        <f ca="1">IFERROR(IF(0=LEN(ReferenceData!$AU$431),"",ReferenceData!$AU$431),"")</f>
        <v/>
      </c>
      <c r="AV431" t="str">
        <f ca="1">IFERROR(IF(0=LEN(ReferenceData!$AV$431),"",ReferenceData!$AV$431),"")</f>
        <v/>
      </c>
      <c r="AW431" t="str">
        <f ca="1">IFERROR(IF(0=LEN(ReferenceData!$AW$431),"",ReferenceData!$AW$431),"")</f>
        <v/>
      </c>
      <c r="AX431" t="str">
        <f ca="1">IFERROR(IF(0=LEN(ReferenceData!$AX$431),"",ReferenceData!$AX$431),"")</f>
        <v/>
      </c>
      <c r="AY431" t="str">
        <f ca="1">IFERROR(IF(0=LEN(ReferenceData!$AY$431),"",ReferenceData!$AY$431),"")</f>
        <v/>
      </c>
      <c r="AZ431" t="str">
        <f ca="1">IFERROR(IF(0=LEN(ReferenceData!$AZ$431),"",ReferenceData!$AZ$431),"")</f>
        <v/>
      </c>
      <c r="BA431" t="str">
        <f ca="1">IFERROR(IF(0=LEN(ReferenceData!$BA$431),"",ReferenceData!$BA$431),"")</f>
        <v/>
      </c>
      <c r="BB431" t="str">
        <f ca="1">IFERROR(IF(0=LEN(ReferenceData!$BB$431),"",ReferenceData!$BB$431),"")</f>
        <v/>
      </c>
      <c r="BC431" t="str">
        <f ca="1">IFERROR(IF(0=LEN(ReferenceData!$BC$431),"",ReferenceData!$BC$431),"")</f>
        <v/>
      </c>
      <c r="BD431" t="str">
        <f ca="1">IFERROR(IF(0=LEN(ReferenceData!$BD$431),"",ReferenceData!$BD$431),"")</f>
        <v/>
      </c>
      <c r="BE431" t="str">
        <f ca="1">IFERROR(IF(0=LEN(ReferenceData!$BE$431),"",ReferenceData!$BE$431),"")</f>
        <v/>
      </c>
      <c r="BF431" t="str">
        <f ca="1">IFERROR(IF(0=LEN(ReferenceData!$BF$431),"",ReferenceData!$BF$431),"")</f>
        <v/>
      </c>
      <c r="BG431" t="str">
        <f ca="1">IFERROR(IF(0=LEN(ReferenceData!$BG$431),"",ReferenceData!$BG$431),"")</f>
        <v/>
      </c>
      <c r="BH431" t="str">
        <f ca="1">IFERROR(IF(0=LEN(ReferenceData!$BH$431),"",ReferenceData!$BH$431),"")</f>
        <v/>
      </c>
      <c r="BI431" t="str">
        <f ca="1">IFERROR(IF(0=LEN(ReferenceData!$BI$431),"",ReferenceData!$BI$431),"")</f>
        <v/>
      </c>
      <c r="BJ431" t="str">
        <f ca="1">IFERROR(IF(0=LEN(ReferenceData!$BJ$431),"",ReferenceData!$BJ$431),"")</f>
        <v/>
      </c>
      <c r="BK431" t="str">
        <f ca="1">IFERROR(IF(0=LEN(ReferenceData!$BK$431),"",ReferenceData!$BK$431),"")</f>
        <v/>
      </c>
      <c r="BL431" t="str">
        <f ca="1">IFERROR(IF(0=LEN(ReferenceData!$BL$431),"",ReferenceData!$BL$431),"")</f>
        <v/>
      </c>
      <c r="BM431" t="str">
        <f ca="1">IFERROR(IF(0=LEN(ReferenceData!$BM$431),"",ReferenceData!$BM$431),"")</f>
        <v/>
      </c>
    </row>
    <row r="432" spans="1:65" x14ac:dyDescent="0.25">
      <c r="A432" t="str">
        <f>IFERROR(IF(0=LEN(ReferenceData!$A$432),"",ReferenceData!$A$432),"")</f>
        <v xml:space="preserve">    Great Wall Motor Co Ltd</v>
      </c>
      <c r="B432" t="str">
        <f>IFERROR(IF(0=LEN(ReferenceData!$B$432),"",ReferenceData!$B$432),"")</f>
        <v>2333 HK Equity</v>
      </c>
      <c r="C432" t="str">
        <f>IFERROR(IF(0=LEN(ReferenceData!$C$432),"",ReferenceData!$C$432),"")</f>
        <v>PR005</v>
      </c>
      <c r="D432" t="str">
        <f>IFERROR(IF(0=LEN(ReferenceData!$D$432),"",ReferenceData!$D$432),"")</f>
        <v>PX_LAST</v>
      </c>
      <c r="E432" t="str">
        <f>IFERROR(IF(0=LEN(ReferenceData!$E$432),"",ReferenceData!$E$432),"")</f>
        <v>Dynamic</v>
      </c>
      <c r="F432">
        <f ca="1">IFERROR(IF(0=LEN(ReferenceData!$F$432),"",ReferenceData!$F$432),"")</f>
        <v>0.73250272900000002</v>
      </c>
      <c r="G432">
        <f ca="1">IFERROR(IF(0=LEN(ReferenceData!$G$432),"",ReferenceData!$G$432),"")</f>
        <v>0.57327443099999997</v>
      </c>
      <c r="H432">
        <f ca="1">IFERROR(IF(0=LEN(ReferenceData!$H$432),"",ReferenceData!$H$432),"")</f>
        <v>0.63765893500000004</v>
      </c>
      <c r="I432">
        <f ca="1">IFERROR(IF(0=LEN(ReferenceData!$I$432),"",ReferenceData!$I$432),"")</f>
        <v>0.76470138399999998</v>
      </c>
      <c r="J432">
        <f ca="1">IFERROR(IF(0=LEN(ReferenceData!$J$432),"",ReferenceData!$J$432),"")</f>
        <v>1.0027393769999999</v>
      </c>
      <c r="K432">
        <f ca="1">IFERROR(IF(0=LEN(ReferenceData!$K$432),"",ReferenceData!$K$432),"")</f>
        <v>1.1456293280000001</v>
      </c>
      <c r="L432">
        <f ca="1">IFERROR(IF(0=LEN(ReferenceData!$L$432),"",ReferenceData!$L$432),"")</f>
        <v>1.2289101099999999</v>
      </c>
      <c r="M432">
        <f ca="1">IFERROR(IF(0=LEN(ReferenceData!$M$432),"",ReferenceData!$M$432),"")</f>
        <v>1.2348525610000001</v>
      </c>
      <c r="N432">
        <f ca="1">IFERROR(IF(0=LEN(ReferenceData!$N$432),"",ReferenceData!$N$432),"")</f>
        <v>1.138776298</v>
      </c>
      <c r="O432">
        <f ca="1">IFERROR(IF(0=LEN(ReferenceData!$O$432),"",ReferenceData!$O$432),"")</f>
        <v>0.93372367499999998</v>
      </c>
      <c r="P432">
        <f ca="1">IFERROR(IF(0=LEN(ReferenceData!$P$432),"",ReferenceData!$P$432),"")</f>
        <v>0.97349012300000004</v>
      </c>
      <c r="Q432">
        <f ca="1">IFERROR(IF(0=LEN(ReferenceData!$Q$432),"",ReferenceData!$Q$432),"")</f>
        <v>0.82738356099999999</v>
      </c>
      <c r="R432">
        <f ca="1">IFERROR(IF(0=LEN(ReferenceData!$R$432),"",ReferenceData!$R$432),"")</f>
        <v>0.81226389600000004</v>
      </c>
      <c r="S432">
        <f ca="1">IFERROR(IF(0=LEN(ReferenceData!$S$432),"",ReferenceData!$S$432),"")</f>
        <v>1.1651462560000001</v>
      </c>
      <c r="T432">
        <f ca="1">IFERROR(IF(0=LEN(ReferenceData!$T$432),"",ReferenceData!$T$432),"")</f>
        <v>1.104473375</v>
      </c>
      <c r="U432">
        <f ca="1">IFERROR(IF(0=LEN(ReferenceData!$U$432),"",ReferenceData!$U$432),"")</f>
        <v>1.6339869279999999</v>
      </c>
      <c r="V432">
        <f ca="1">IFERROR(IF(0=LEN(ReferenceData!$V$432),"",ReferenceData!$V$432),"")</f>
        <v>2.3561076070000002</v>
      </c>
      <c r="W432">
        <f ca="1">IFERROR(IF(0=LEN(ReferenceData!$W$432),"",ReferenceData!$W$432),"")</f>
        <v>1.895820168</v>
      </c>
      <c r="X432">
        <f ca="1">IFERROR(IF(0=LEN(ReferenceData!$X$432),"",ReferenceData!$X$432),"")</f>
        <v>1.2943191620000001</v>
      </c>
      <c r="Y432">
        <f ca="1">IFERROR(IF(0=LEN(ReferenceData!$Y$432),"",ReferenceData!$Y$432),"")</f>
        <v>1.2386457470000001</v>
      </c>
      <c r="Z432">
        <f ca="1">IFERROR(IF(0=LEN(ReferenceData!$Z$432),"",ReferenceData!$Z$432),"")</f>
        <v>1.67162999</v>
      </c>
      <c r="AA432">
        <f ca="1">IFERROR(IF(0=LEN(ReferenceData!$AA$432),"",ReferenceData!$AA$432),"")</f>
        <v>1.8399580419999999</v>
      </c>
      <c r="AB432">
        <f ca="1">IFERROR(IF(0=LEN(ReferenceData!$AB$432),"",ReferenceData!$AB$432),"")</f>
        <v>1.807366145</v>
      </c>
      <c r="AC432">
        <f ca="1">IFERROR(IF(0=LEN(ReferenceData!$AC$432),"",ReferenceData!$AC$432),"")</f>
        <v>1.437578164</v>
      </c>
      <c r="AD432">
        <f ca="1">IFERROR(IF(0=LEN(ReferenceData!$AD$432),"",ReferenceData!$AD$432),"")</f>
        <v>1.1293030529999999</v>
      </c>
      <c r="AE432">
        <f ca="1">IFERROR(IF(0=LEN(ReferenceData!$AE$432),"",ReferenceData!$AE$432),"")</f>
        <v>1.0514907950000001</v>
      </c>
      <c r="AF432">
        <f ca="1">IFERROR(IF(0=LEN(ReferenceData!$AF$432),"",ReferenceData!$AF$432),"")</f>
        <v>0.87908214399999995</v>
      </c>
      <c r="AG432">
        <f ca="1">IFERROR(IF(0=LEN(ReferenceData!$AG$432),"",ReferenceData!$AG$432),"")</f>
        <v>0.66084879100000005</v>
      </c>
      <c r="AH432">
        <f ca="1">IFERROR(IF(0=LEN(ReferenceData!$AH$432),"",ReferenceData!$AH$432),"")</f>
        <v>0.64827455899999997</v>
      </c>
      <c r="AI432">
        <f ca="1">IFERROR(IF(0=LEN(ReferenceData!$AI$432),"",ReferenceData!$AI$432),"")</f>
        <v>0.486699457</v>
      </c>
      <c r="AJ432">
        <f ca="1">IFERROR(IF(0=LEN(ReferenceData!$AJ$432),"",ReferenceData!$AJ$432),"")</f>
        <v>0.38616815900000001</v>
      </c>
      <c r="AK432">
        <f ca="1">IFERROR(IF(0=LEN(ReferenceData!$AK$432),"",ReferenceData!$AK$432),"")</f>
        <v>0.54832311600000005</v>
      </c>
      <c r="AL432">
        <f ca="1">IFERROR(IF(0=LEN(ReferenceData!$AL$432),"",ReferenceData!$AL$432),"")</f>
        <v>0.61637905199999998</v>
      </c>
      <c r="AM432">
        <f ca="1">IFERROR(IF(0=LEN(ReferenceData!$AM$432),"",ReferenceData!$AM$432),"")</f>
        <v>0.41169205399999997</v>
      </c>
      <c r="AN432">
        <f ca="1">IFERROR(IF(0=LEN(ReferenceData!$AN$432),"",ReferenceData!$AN$432),"")</f>
        <v>0.36083404200000002</v>
      </c>
      <c r="AO432">
        <f ca="1">IFERROR(IF(0=LEN(ReferenceData!$AO$432),"",ReferenceData!$AO$432),"")</f>
        <v>0.23288468800000001</v>
      </c>
      <c r="AP432">
        <f ca="1">IFERROR(IF(0=LEN(ReferenceData!$AP$432),"",ReferenceData!$AP$432),"")</f>
        <v>0.277155294</v>
      </c>
      <c r="AQ432">
        <f ca="1">IFERROR(IF(0=LEN(ReferenceData!$AQ$432),"",ReferenceData!$AQ$432),"")</f>
        <v>0.16646460499999999</v>
      </c>
      <c r="AR432">
        <f ca="1">IFERROR(IF(0=LEN(ReferenceData!$AR$432),"",ReferenceData!$AR$432),"")</f>
        <v>0.120084472</v>
      </c>
      <c r="AS432">
        <f ca="1">IFERROR(IF(0=LEN(ReferenceData!$AS$432),"",ReferenceData!$AS$432),"")</f>
        <v>0.10580508600000001</v>
      </c>
      <c r="AT432">
        <f ca="1">IFERROR(IF(0=LEN(ReferenceData!$AT$432),"",ReferenceData!$AT$432),"")</f>
        <v>5.4192849000000001E-2</v>
      </c>
      <c r="AU432">
        <f ca="1">IFERROR(IF(0=LEN(ReferenceData!$AU$432),"",ReferenceData!$AU$432),"")</f>
        <v>4.6451013999999999E-2</v>
      </c>
      <c r="AV432">
        <f ca="1">IFERROR(IF(0=LEN(ReferenceData!$AV$432),"",ReferenceData!$AV$432),"")</f>
        <v>5.5635689000000002E-2</v>
      </c>
      <c r="AW432">
        <f ca="1">IFERROR(IF(0=LEN(ReferenceData!$AW$432),"",ReferenceData!$AW$432),"")</f>
        <v>8.8398735000000006E-2</v>
      </c>
      <c r="AX432">
        <f ca="1">IFERROR(IF(0=LEN(ReferenceData!$AX$432),"",ReferenceData!$AX$432),"")</f>
        <v>0.12866308600000001</v>
      </c>
      <c r="AY432">
        <f ca="1">IFERROR(IF(0=LEN(ReferenceData!$AY$432),"",ReferenceData!$AY$432),"")</f>
        <v>0.191807167</v>
      </c>
      <c r="AZ432">
        <f ca="1">IFERROR(IF(0=LEN(ReferenceData!$AZ$432),"",ReferenceData!$AZ$432),"")</f>
        <v>0.19742658699999999</v>
      </c>
      <c r="BA432">
        <f ca="1">IFERROR(IF(0=LEN(ReferenceData!$BA$432),"",ReferenceData!$BA$432),"")</f>
        <v>0.193738462</v>
      </c>
      <c r="BB432">
        <f ca="1">IFERROR(IF(0=LEN(ReferenceData!$BB$432),"",ReferenceData!$BB$432),"")</f>
        <v>0.19656019699999999</v>
      </c>
      <c r="BC432">
        <f ca="1">IFERROR(IF(0=LEN(ReferenceData!$BC$432),"",ReferenceData!$BC$432),"")</f>
        <v>0.12872097499999999</v>
      </c>
      <c r="BD432">
        <f ca="1">IFERROR(IF(0=LEN(ReferenceData!$BD$432),"",ReferenceData!$BD$432),"")</f>
        <v>0.111403453</v>
      </c>
      <c r="BE432">
        <f ca="1">IFERROR(IF(0=LEN(ReferenceData!$BE$432),"",ReferenceData!$BE$432),"")</f>
        <v>7.2529075999999998E-2</v>
      </c>
      <c r="BF432">
        <f ca="1">IFERROR(IF(0=LEN(ReferenceData!$BF$432),"",ReferenceData!$BF$432),"")</f>
        <v>8.8489112999999994E-2</v>
      </c>
      <c r="BG432">
        <f ca="1">IFERROR(IF(0=LEN(ReferenceData!$BG$432),"",ReferenceData!$BG$432),"")</f>
        <v>4.3850032999999997E-2</v>
      </c>
      <c r="BH432">
        <f ca="1">IFERROR(IF(0=LEN(ReferenceData!$BH$432),"",ReferenceData!$BH$432),"")</f>
        <v>4.5977010999999998E-2</v>
      </c>
      <c r="BI432">
        <f ca="1">IFERROR(IF(0=LEN(ReferenceData!$BI$432),"",ReferenceData!$BI$432),"")</f>
        <v>4.7609856999999998E-2</v>
      </c>
      <c r="BJ432">
        <f ca="1">IFERROR(IF(0=LEN(ReferenceData!$BJ$432),"",ReferenceData!$BJ$432),"")</f>
        <v>5.0430583000000001E-2</v>
      </c>
      <c r="BK432">
        <f ca="1">IFERROR(IF(0=LEN(ReferenceData!$BK$432),"",ReferenceData!$BK$432),"")</f>
        <v>6.1323384000000002E-2</v>
      </c>
      <c r="BL432">
        <f ca="1">IFERROR(IF(0=LEN(ReferenceData!$BL$432),"",ReferenceData!$BL$432),"")</f>
        <v>6.3273821999999993E-2</v>
      </c>
      <c r="BM432">
        <f ca="1">IFERROR(IF(0=LEN(ReferenceData!$BM$432),"",ReferenceData!$BM$432),"")</f>
        <v>6.7095738000000002E-2</v>
      </c>
    </row>
    <row r="433" spans="1:65" x14ac:dyDescent="0.25">
      <c r="A433" t="str">
        <f>IFERROR(IF(0=LEN(ReferenceData!$A$433),"",ReferenceData!$A$433),"")</f>
        <v xml:space="preserve">    Guangzhou Automobile Group Co Ltd</v>
      </c>
      <c r="B433" t="str">
        <f>IFERROR(IF(0=LEN(ReferenceData!$B$433),"",ReferenceData!$B$433),"")</f>
        <v>2238 HK Equity</v>
      </c>
      <c r="C433" t="str">
        <f>IFERROR(IF(0=LEN(ReferenceData!$C$433),"",ReferenceData!$C$433),"")</f>
        <v>PR005</v>
      </c>
      <c r="D433" t="str">
        <f>IFERROR(IF(0=LEN(ReferenceData!$D$433),"",ReferenceData!$D$433),"")</f>
        <v>PX_LAST</v>
      </c>
      <c r="E433" t="str">
        <f>IFERROR(IF(0=LEN(ReferenceData!$E$433),"",ReferenceData!$E$433),"")</f>
        <v>Dynamic</v>
      </c>
      <c r="F433">
        <f ca="1">IFERROR(IF(0=LEN(ReferenceData!$F$433),"",ReferenceData!$F$433),"")</f>
        <v>1.2293306660000001</v>
      </c>
      <c r="G433">
        <f ca="1">IFERROR(IF(0=LEN(ReferenceData!$G$433),"",ReferenceData!$G$433),"")</f>
        <v>0.99716554700000004</v>
      </c>
      <c r="H433">
        <f ca="1">IFERROR(IF(0=LEN(ReferenceData!$H$433),"",ReferenceData!$H$433),"")</f>
        <v>1.1079164269999999</v>
      </c>
      <c r="I433">
        <f ca="1">IFERROR(IF(0=LEN(ReferenceData!$I$433),"",ReferenceData!$I$433),"")</f>
        <v>0.97754326899999999</v>
      </c>
      <c r="J433">
        <f ca="1">IFERROR(IF(0=LEN(ReferenceData!$J$433),"",ReferenceData!$J$433),"")</f>
        <v>1.3159930470000001</v>
      </c>
      <c r="K433">
        <f ca="1">IFERROR(IF(0=LEN(ReferenceData!$K$433),"",ReferenceData!$K$433),"")</f>
        <v>1.693300491</v>
      </c>
      <c r="L433">
        <f ca="1">IFERROR(IF(0=LEN(ReferenceData!$L$433),"",ReferenceData!$L$433),"")</f>
        <v>1.6531766960000001</v>
      </c>
      <c r="M433">
        <f ca="1">IFERROR(IF(0=LEN(ReferenceData!$M$433),"",ReferenceData!$M$433),"")</f>
        <v>1.2535180850000001</v>
      </c>
      <c r="N433">
        <f ca="1">IFERROR(IF(0=LEN(ReferenceData!$N$433),"",ReferenceData!$N$433),"")</f>
        <v>1.143371844</v>
      </c>
      <c r="O433">
        <f ca="1">IFERROR(IF(0=LEN(ReferenceData!$O$433),"",ReferenceData!$O$433),"")</f>
        <v>0.86408130100000002</v>
      </c>
      <c r="P433">
        <f ca="1">IFERROR(IF(0=LEN(ReferenceData!$P$433),"",ReferenceData!$P$433),"")</f>
        <v>0.918230514</v>
      </c>
      <c r="Q433">
        <f ca="1">IFERROR(IF(0=LEN(ReferenceData!$Q$433),"",ReferenceData!$Q$433),"")</f>
        <v>0.85150177299999996</v>
      </c>
      <c r="R433">
        <f ca="1">IFERROR(IF(0=LEN(ReferenceData!$R$433),"",ReferenceData!$R$433),"")</f>
        <v>0.743193836</v>
      </c>
      <c r="S433">
        <f ca="1">IFERROR(IF(0=LEN(ReferenceData!$S$433),"",ReferenceData!$S$433),"")</f>
        <v>0.63685814200000002</v>
      </c>
      <c r="T433">
        <f ca="1">IFERROR(IF(0=LEN(ReferenceData!$T$433),"",ReferenceData!$T$433),"")</f>
        <v>0.58154430899999998</v>
      </c>
      <c r="U433">
        <f ca="1">IFERROR(IF(0=LEN(ReferenceData!$U$433),"",ReferenceData!$U$433),"")</f>
        <v>0.661580422</v>
      </c>
      <c r="V433">
        <f ca="1">IFERROR(IF(0=LEN(ReferenceData!$V$433),"",ReferenceData!$V$433),"")</f>
        <v>0.68361516300000003</v>
      </c>
      <c r="W433">
        <f ca="1">IFERROR(IF(0=LEN(ReferenceData!$W$433),"",ReferenceData!$W$433),"")</f>
        <v>0.65036396399999996</v>
      </c>
      <c r="X433">
        <f ca="1">IFERROR(IF(0=LEN(ReferenceData!$X$433),"",ReferenceData!$X$433),"")</f>
        <v>0.69085550200000001</v>
      </c>
      <c r="Y433">
        <f ca="1">IFERROR(IF(0=LEN(ReferenceData!$Y$433),"",ReferenceData!$Y$433),"")</f>
        <v>0.82760705400000001</v>
      </c>
      <c r="Z433">
        <f ca="1">IFERROR(IF(0=LEN(ReferenceData!$Z$433),"",ReferenceData!$Z$433),"")</f>
        <v>0.75048390099999995</v>
      </c>
      <c r="AA433">
        <f ca="1">IFERROR(IF(0=LEN(ReferenceData!$AA$433),"",ReferenceData!$AA$433),"")</f>
        <v>0.78118378799999999</v>
      </c>
      <c r="AB433">
        <f ca="1">IFERROR(IF(0=LEN(ReferenceData!$AB$433),"",ReferenceData!$AB$433),"")</f>
        <v>0.77458549099999996</v>
      </c>
      <c r="AC433">
        <f ca="1">IFERROR(IF(0=LEN(ReferenceData!$AC$433),"",ReferenceData!$AC$433),"")</f>
        <v>0.67504471099999996</v>
      </c>
      <c r="AD433">
        <f ca="1">IFERROR(IF(0=LEN(ReferenceData!$AD$433),"",ReferenceData!$AD$433),"")</f>
        <v>0.60452371400000005</v>
      </c>
      <c r="AE433">
        <f ca="1">IFERROR(IF(0=LEN(ReferenceData!$AE$433),"",ReferenceData!$AE$433),"")</f>
        <v>0.63310620200000001</v>
      </c>
      <c r="AF433">
        <f ca="1">IFERROR(IF(0=LEN(ReferenceData!$AF$433),"",ReferenceData!$AF$433),"")</f>
        <v>0.46886428000000002</v>
      </c>
      <c r="AG433">
        <f ca="1">IFERROR(IF(0=LEN(ReferenceData!$AG$433),"",ReferenceData!$AG$433),"")</f>
        <v>0.59295925299999996</v>
      </c>
      <c r="AH433">
        <f ca="1">IFERROR(IF(0=LEN(ReferenceData!$AH$433),"",ReferenceData!$AH$433),"")</f>
        <v>0.70837948500000003</v>
      </c>
      <c r="AI433">
        <f ca="1">IFERROR(IF(0=LEN(ReferenceData!$AI$433),"",ReferenceData!$AI$433),"")</f>
        <v>0.59595851799999999</v>
      </c>
      <c r="AJ433">
        <f ca="1">IFERROR(IF(0=LEN(ReferenceData!$AJ$433),"",ReferenceData!$AJ$433),"")</f>
        <v>0.70365294</v>
      </c>
      <c r="AK433">
        <f ca="1">IFERROR(IF(0=LEN(ReferenceData!$AK$433),"",ReferenceData!$AK$433),"")</f>
        <v>0.87205406399999996</v>
      </c>
      <c r="AL433">
        <f ca="1">IFERROR(IF(0=LEN(ReferenceData!$AL$433),"",ReferenceData!$AL$433),"")</f>
        <v>0.86798858099999998</v>
      </c>
      <c r="AM433">
        <f ca="1">IFERROR(IF(0=LEN(ReferenceData!$AM$433),"",ReferenceData!$AM$433),"")</f>
        <v>0.98512027300000005</v>
      </c>
      <c r="AN433">
        <f ca="1">IFERROR(IF(0=LEN(ReferenceData!$AN$433),"",ReferenceData!$AN$433),"")</f>
        <v>1.229781327</v>
      </c>
      <c r="AO433" t="str">
        <f ca="1">IFERROR(IF(0=LEN(ReferenceData!$AO$433),"",ReferenceData!$AO$433),"")</f>
        <v/>
      </c>
      <c r="AP433" t="str">
        <f ca="1">IFERROR(IF(0=LEN(ReferenceData!$AP$433),"",ReferenceData!$AP$433),"")</f>
        <v/>
      </c>
      <c r="AQ433" t="str">
        <f ca="1">IFERROR(IF(0=LEN(ReferenceData!$AQ$433),"",ReferenceData!$AQ$433),"")</f>
        <v/>
      </c>
      <c r="AR433" t="str">
        <f ca="1">IFERROR(IF(0=LEN(ReferenceData!$AR$433),"",ReferenceData!$AR$433),"")</f>
        <v/>
      </c>
      <c r="AS433" t="str">
        <f ca="1">IFERROR(IF(0=LEN(ReferenceData!$AS$433),"",ReferenceData!$AS$433),"")</f>
        <v/>
      </c>
      <c r="AT433" t="str">
        <f ca="1">IFERROR(IF(0=LEN(ReferenceData!$AT$433),"",ReferenceData!$AT$433),"")</f>
        <v/>
      </c>
      <c r="AU433" t="str">
        <f ca="1">IFERROR(IF(0=LEN(ReferenceData!$AU$433),"",ReferenceData!$AU$433),"")</f>
        <v/>
      </c>
      <c r="AV433" t="str">
        <f ca="1">IFERROR(IF(0=LEN(ReferenceData!$AV$433),"",ReferenceData!$AV$433),"")</f>
        <v/>
      </c>
      <c r="AW433" t="str">
        <f ca="1">IFERROR(IF(0=LEN(ReferenceData!$AW$433),"",ReferenceData!$AW$433),"")</f>
        <v/>
      </c>
      <c r="AX433" t="str">
        <f ca="1">IFERROR(IF(0=LEN(ReferenceData!$AX$433),"",ReferenceData!$AX$433),"")</f>
        <v/>
      </c>
      <c r="AY433" t="str">
        <f ca="1">IFERROR(IF(0=LEN(ReferenceData!$AY$433),"",ReferenceData!$AY$433),"")</f>
        <v/>
      </c>
      <c r="AZ433" t="str">
        <f ca="1">IFERROR(IF(0=LEN(ReferenceData!$AZ$433),"",ReferenceData!$AZ$433),"")</f>
        <v/>
      </c>
      <c r="BA433" t="str">
        <f ca="1">IFERROR(IF(0=LEN(ReferenceData!$BA$433),"",ReferenceData!$BA$433),"")</f>
        <v/>
      </c>
      <c r="BB433" t="str">
        <f ca="1">IFERROR(IF(0=LEN(ReferenceData!$BB$433),"",ReferenceData!$BB$433),"")</f>
        <v/>
      </c>
      <c r="BC433" t="str">
        <f ca="1">IFERROR(IF(0=LEN(ReferenceData!$BC$433),"",ReferenceData!$BC$433),"")</f>
        <v/>
      </c>
      <c r="BD433" t="str">
        <f ca="1">IFERROR(IF(0=LEN(ReferenceData!$BD$433),"",ReferenceData!$BD$433),"")</f>
        <v/>
      </c>
      <c r="BE433" t="str">
        <f ca="1">IFERROR(IF(0=LEN(ReferenceData!$BE$433),"",ReferenceData!$BE$433),"")</f>
        <v/>
      </c>
      <c r="BF433" t="str">
        <f ca="1">IFERROR(IF(0=LEN(ReferenceData!$BF$433),"",ReferenceData!$BF$433),"")</f>
        <v/>
      </c>
      <c r="BG433" t="str">
        <f ca="1">IFERROR(IF(0=LEN(ReferenceData!$BG$433),"",ReferenceData!$BG$433),"")</f>
        <v/>
      </c>
      <c r="BH433" t="str">
        <f ca="1">IFERROR(IF(0=LEN(ReferenceData!$BH$433),"",ReferenceData!$BH$433),"")</f>
        <v/>
      </c>
      <c r="BI433" t="str">
        <f ca="1">IFERROR(IF(0=LEN(ReferenceData!$BI$433),"",ReferenceData!$BI$433),"")</f>
        <v/>
      </c>
      <c r="BJ433" t="str">
        <f ca="1">IFERROR(IF(0=LEN(ReferenceData!$BJ$433),"",ReferenceData!$BJ$433),"")</f>
        <v/>
      </c>
      <c r="BK433" t="str">
        <f ca="1">IFERROR(IF(0=LEN(ReferenceData!$BK$433),"",ReferenceData!$BK$433),"")</f>
        <v/>
      </c>
      <c r="BL433" t="str">
        <f ca="1">IFERROR(IF(0=LEN(ReferenceData!$BL$433),"",ReferenceData!$BL$433),"")</f>
        <v/>
      </c>
      <c r="BM433" t="str">
        <f ca="1">IFERROR(IF(0=LEN(ReferenceData!$BM$433),"",ReferenceData!$BM$433),"")</f>
        <v/>
      </c>
    </row>
    <row r="434" spans="1:65" x14ac:dyDescent="0.25">
      <c r="A434" t="str">
        <f>IFERROR(IF(0=LEN(ReferenceData!$A$434),"",ReferenceData!$A$434),"")</f>
        <v xml:space="preserve">    Honda Motor Co Ltd</v>
      </c>
      <c r="B434" t="str">
        <f>IFERROR(IF(0=LEN(ReferenceData!$B$434),"",ReferenceData!$B$434),"")</f>
        <v>7267 JP Equity</v>
      </c>
      <c r="C434" t="str">
        <f>IFERROR(IF(0=LEN(ReferenceData!$C$434),"",ReferenceData!$C$434),"")</f>
        <v>PR005</v>
      </c>
      <c r="D434" t="str">
        <f>IFERROR(IF(0=LEN(ReferenceData!$D$434),"",ReferenceData!$D$434),"")</f>
        <v>PX_LAST</v>
      </c>
      <c r="E434" t="str">
        <f>IFERROR(IF(0=LEN(ReferenceData!$E$434),"",ReferenceData!$E$434),"")</f>
        <v>Dynamic</v>
      </c>
      <c r="F434">
        <f ca="1">IFERROR(IF(0=LEN(ReferenceData!$F$434),"",ReferenceData!$F$434),"")</f>
        <v>28.298331109999999</v>
      </c>
      <c r="G434">
        <f ca="1">IFERROR(IF(0=LEN(ReferenceData!$G$434),"",ReferenceData!$G$434),"")</f>
        <v>26.215922469999999</v>
      </c>
      <c r="H434">
        <f ca="1">IFERROR(IF(0=LEN(ReferenceData!$H$434),"",ReferenceData!$H$434),"")</f>
        <v>30.299559469999998</v>
      </c>
      <c r="I434">
        <f ca="1">IFERROR(IF(0=LEN(ReferenceData!$I$434),"",ReferenceData!$I$434),"")</f>
        <v>29.36450623</v>
      </c>
      <c r="J434">
        <f ca="1">IFERROR(IF(0=LEN(ReferenceData!$J$434),"",ReferenceData!$J$434),"")</f>
        <v>34.456787800000001</v>
      </c>
      <c r="K434">
        <f ca="1">IFERROR(IF(0=LEN(ReferenceData!$K$434),"",ReferenceData!$K$434),"")</f>
        <v>34.304494579999997</v>
      </c>
      <c r="L434">
        <f ca="1">IFERROR(IF(0=LEN(ReferenceData!$L$434),"",ReferenceData!$L$434),"")</f>
        <v>29.586219140000001</v>
      </c>
      <c r="M434">
        <f ca="1">IFERROR(IF(0=LEN(ReferenceData!$M$434),"",ReferenceData!$M$434),"")</f>
        <v>27.271918110000001</v>
      </c>
      <c r="N434">
        <f ca="1">IFERROR(IF(0=LEN(ReferenceData!$N$434),"",ReferenceData!$N$434),"")</f>
        <v>30.10511185</v>
      </c>
      <c r="O434">
        <f ca="1">IFERROR(IF(0=LEN(ReferenceData!$O$434),"",ReferenceData!$O$434),"")</f>
        <v>29.27812071</v>
      </c>
      <c r="P434">
        <f ca="1">IFERROR(IF(0=LEN(ReferenceData!$P$434),"",ReferenceData!$P$434),"")</f>
        <v>28.467908900000001</v>
      </c>
      <c r="Q434">
        <f ca="1">IFERROR(IF(0=LEN(ReferenceData!$Q$434),"",ReferenceData!$Q$434),"")</f>
        <v>24.929741249999999</v>
      </c>
      <c r="R434">
        <f ca="1">IFERROR(IF(0=LEN(ReferenceData!$R$434),"",ReferenceData!$R$434),"")</f>
        <v>27.43111111</v>
      </c>
      <c r="S434">
        <f ca="1">IFERROR(IF(0=LEN(ReferenceData!$S$434),"",ReferenceData!$S$434),"")</f>
        <v>32.418539090000003</v>
      </c>
      <c r="T434">
        <f ca="1">IFERROR(IF(0=LEN(ReferenceData!$T$434),"",ReferenceData!$T$434),"")</f>
        <v>29.5729924</v>
      </c>
      <c r="U434">
        <f ca="1">IFERROR(IF(0=LEN(ReferenceData!$U$434),"",ReferenceData!$U$434),"")</f>
        <v>32.43940387</v>
      </c>
      <c r="V434">
        <f ca="1">IFERROR(IF(0=LEN(ReferenceData!$V$434),"",ReferenceData!$V$434),"")</f>
        <v>32.538557730000001</v>
      </c>
      <c r="W434">
        <f ca="1">IFERROR(IF(0=LEN(ReferenceData!$W$434),"",ReferenceData!$W$434),"")</f>
        <v>29.516156039999998</v>
      </c>
      <c r="X434">
        <f ca="1">IFERROR(IF(0=LEN(ReferenceData!$X$434),"",ReferenceData!$X$434),"")</f>
        <v>34.652562469999999</v>
      </c>
      <c r="Y434">
        <f ca="1">IFERROR(IF(0=LEN(ReferenceData!$Y$434),"",ReferenceData!$Y$434),"")</f>
        <v>34.91953796</v>
      </c>
      <c r="Z434">
        <f ca="1">IFERROR(IF(0=LEN(ReferenceData!$Z$434),"",ReferenceData!$Z$434),"")</f>
        <v>35.257591929999997</v>
      </c>
      <c r="AA434">
        <f ca="1">IFERROR(IF(0=LEN(ReferenceData!$AA$434),"",ReferenceData!$AA$434),"")</f>
        <v>41.206699659999998</v>
      </c>
      <c r="AB434">
        <f ca="1">IFERROR(IF(0=LEN(ReferenceData!$AB$434),"",ReferenceData!$AB$434),"")</f>
        <v>38.030750429999998</v>
      </c>
      <c r="AC434">
        <f ca="1">IFERROR(IF(0=LEN(ReferenceData!$AC$434),"",ReferenceData!$AC$434),"")</f>
        <v>37.09856035</v>
      </c>
      <c r="AD434">
        <f ca="1">IFERROR(IF(0=LEN(ReferenceData!$AD$434),"",ReferenceData!$AD$434),"")</f>
        <v>37.730842709999997</v>
      </c>
      <c r="AE434">
        <f ca="1">IFERROR(IF(0=LEN(ReferenceData!$AE$434),"",ReferenceData!$AE$434),"")</f>
        <v>36.535780670000001</v>
      </c>
      <c r="AF434">
        <f ca="1">IFERROR(IF(0=LEN(ReferenceData!$AF$434),"",ReferenceData!$AF$434),"")</f>
        <v>30.762320330000001</v>
      </c>
      <c r="AG434">
        <f ca="1">IFERROR(IF(0=LEN(ReferenceData!$AG$434),"",ReferenceData!$AG$434),"")</f>
        <v>34.448621549999999</v>
      </c>
      <c r="AH434">
        <f ca="1">IFERROR(IF(0=LEN(ReferenceData!$AH$434),"",ReferenceData!$AH$434),"")</f>
        <v>38.061236839999999</v>
      </c>
      <c r="AI434">
        <f ca="1">IFERROR(IF(0=LEN(ReferenceData!$AI$434),"",ReferenceData!$AI$434),"")</f>
        <v>30.497467199999999</v>
      </c>
      <c r="AJ434">
        <f ca="1">IFERROR(IF(0=LEN(ReferenceData!$AJ$434),"",ReferenceData!$AJ$434),"")</f>
        <v>29.802955669999999</v>
      </c>
      <c r="AK434">
        <f ca="1">IFERROR(IF(0=LEN(ReferenceData!$AK$434),"",ReferenceData!$AK$434),"")</f>
        <v>38.294438929999998</v>
      </c>
      <c r="AL434">
        <f ca="1">IFERROR(IF(0=LEN(ReferenceData!$AL$434),"",ReferenceData!$AL$434),"")</f>
        <v>37.727876369999997</v>
      </c>
      <c r="AM434">
        <f ca="1">IFERROR(IF(0=LEN(ReferenceData!$AM$434),"",ReferenceData!$AM$434),"")</f>
        <v>39.332028379999997</v>
      </c>
      <c r="AN434">
        <f ca="1">IFERROR(IF(0=LEN(ReferenceData!$AN$434),"",ReferenceData!$AN$434),"")</f>
        <v>35.5020369</v>
      </c>
      <c r="AO434">
        <f ca="1">IFERROR(IF(0=LEN(ReferenceData!$AO$434),"",ReferenceData!$AO$434),"")</f>
        <v>29.318130499999999</v>
      </c>
      <c r="AP434">
        <f ca="1">IFERROR(IF(0=LEN(ReferenceData!$AP$434),"",ReferenceData!$AP$434),"")</f>
        <v>35.316780819999998</v>
      </c>
      <c r="AQ434">
        <f ca="1">IFERROR(IF(0=LEN(ReferenceData!$AQ$434),"",ReferenceData!$AQ$434),"")</f>
        <v>33.665295520000001</v>
      </c>
      <c r="AR434">
        <f ca="1">IFERROR(IF(0=LEN(ReferenceData!$AR$434),"",ReferenceData!$AR$434),"")</f>
        <v>30.83184657</v>
      </c>
      <c r="AS434">
        <f ca="1">IFERROR(IF(0=LEN(ReferenceData!$AS$434),"",ReferenceData!$AS$434),"")</f>
        <v>27.616279070000001</v>
      </c>
      <c r="AT434">
        <f ca="1">IFERROR(IF(0=LEN(ReferenceData!$AT$434),"",ReferenceData!$AT$434),"")</f>
        <v>23.301459489999999</v>
      </c>
      <c r="AU434">
        <f ca="1">IFERROR(IF(0=LEN(ReferenceData!$AU$434),"",ReferenceData!$AU$434),"")</f>
        <v>21.10040961</v>
      </c>
      <c r="AV434">
        <f ca="1">IFERROR(IF(0=LEN(ReferenceData!$AV$434),"",ReferenceData!$AV$434),"")</f>
        <v>29.098785199999998</v>
      </c>
      <c r="AW434">
        <f ca="1">IFERROR(IF(0=LEN(ReferenceData!$AW$434),"",ReferenceData!$AW$434),"")</f>
        <v>33.995668139999999</v>
      </c>
      <c r="AX434">
        <f ca="1">IFERROR(IF(0=LEN(ReferenceData!$AX$434),"",ReferenceData!$AX$434),"")</f>
        <v>28.489885839999999</v>
      </c>
      <c r="AY434">
        <f ca="1">IFERROR(IF(0=LEN(ReferenceData!$AY$434),"",ReferenceData!$AY$434),"")</f>
        <v>33.244680850000002</v>
      </c>
      <c r="AZ434">
        <f ca="1">IFERROR(IF(0=LEN(ReferenceData!$AZ$434),"",ReferenceData!$AZ$434),"")</f>
        <v>33.623693379999999</v>
      </c>
      <c r="BA434">
        <f ca="1">IFERROR(IF(0=LEN(ReferenceData!$BA$434),"",ReferenceData!$BA$434),"")</f>
        <v>36.508194060000001</v>
      </c>
      <c r="BB434">
        <f ca="1">IFERROR(IF(0=LEN(ReferenceData!$BB$434),"",ReferenceData!$BB$434),"")</f>
        <v>34.951951700000002</v>
      </c>
      <c r="BC434">
        <f ca="1">IFERROR(IF(0=LEN(ReferenceData!$BC$434),"",ReferenceData!$BC$434),"")</f>
        <v>39.469264359999997</v>
      </c>
      <c r="BD434">
        <f ca="1">IFERROR(IF(0=LEN(ReferenceData!$BD$434),"",ReferenceData!$BD$434),"")</f>
        <v>33.638366380000001</v>
      </c>
      <c r="BE434">
        <f ca="1">IFERROR(IF(0=LEN(ReferenceData!$BE$434),"",ReferenceData!$BE$434),"")</f>
        <v>31.71136542</v>
      </c>
      <c r="BF434">
        <f ca="1">IFERROR(IF(0=LEN(ReferenceData!$BF$434),"",ReferenceData!$BF$434),"")</f>
        <v>31.0212766</v>
      </c>
      <c r="BG434">
        <f ca="1">IFERROR(IF(0=LEN(ReferenceData!$BG$434),"",ReferenceData!$BG$434),"")</f>
        <v>28.52420107</v>
      </c>
      <c r="BH434">
        <f ca="1">IFERROR(IF(0=LEN(ReferenceData!$BH$434),"",ReferenceData!$BH$434),"")</f>
        <v>28.266995420000001</v>
      </c>
      <c r="BI434">
        <f ca="1">IFERROR(IF(0=LEN(ReferenceData!$BI$434),"",ReferenceData!$BI$434),"")</f>
        <v>24.655187959999999</v>
      </c>
      <c r="BJ434">
        <f ca="1">IFERROR(IF(0=LEN(ReferenceData!$BJ$434),"",ReferenceData!$BJ$434),"")</f>
        <v>25.046641789999999</v>
      </c>
      <c r="BK434">
        <f ca="1">IFERROR(IF(0=LEN(ReferenceData!$BK$434),"",ReferenceData!$BK$434),"")</f>
        <v>25.764192139999999</v>
      </c>
      <c r="BL434">
        <f ca="1">IFERROR(IF(0=LEN(ReferenceData!$BL$434),"",ReferenceData!$BL$434),"")</f>
        <v>24.28818339</v>
      </c>
      <c r="BM434">
        <f ca="1">IFERROR(IF(0=LEN(ReferenceData!$BM$434),"",ReferenceData!$BM$434),"")</f>
        <v>24.046813570000001</v>
      </c>
    </row>
    <row r="435" spans="1:65" x14ac:dyDescent="0.25">
      <c r="A435" t="str">
        <f>IFERROR(IF(0=LEN(ReferenceData!$A$435),"",ReferenceData!$A$435),"")</f>
        <v xml:space="preserve">    Hyundai Motor Co</v>
      </c>
      <c r="B435" t="str">
        <f>IFERROR(IF(0=LEN(ReferenceData!$B$435),"",ReferenceData!$B$435),"")</f>
        <v>005380 KS Equity</v>
      </c>
      <c r="C435" t="str">
        <f>IFERROR(IF(0=LEN(ReferenceData!$C$435),"",ReferenceData!$C$435),"")</f>
        <v>PR005</v>
      </c>
      <c r="D435" t="str">
        <f>IFERROR(IF(0=LEN(ReferenceData!$D$435),"",ReferenceData!$D$435),"")</f>
        <v>PX_LAST</v>
      </c>
      <c r="E435" t="str">
        <f>IFERROR(IF(0=LEN(ReferenceData!$E$435),"",ReferenceData!$E$435),"")</f>
        <v>Dynamic</v>
      </c>
      <c r="F435">
        <f ca="1">IFERROR(IF(0=LEN(ReferenceData!$F$435),"",ReferenceData!$F$435),"")</f>
        <v>112.38650730000001</v>
      </c>
      <c r="G435">
        <f ca="1">IFERROR(IF(0=LEN(ReferenceData!$G$435),"",ReferenceData!$G$435),"")</f>
        <v>106.2494396</v>
      </c>
      <c r="H435">
        <f ca="1">IFERROR(IF(0=LEN(ReferenceData!$H$435),"",ReferenceData!$H$435),"")</f>
        <v>116.67822940000001</v>
      </c>
      <c r="I435">
        <f ca="1">IFERROR(IF(0=LEN(ReferenceData!$I$435),"",ReferenceData!$I$435),"")</f>
        <v>112.7238759</v>
      </c>
      <c r="J435">
        <f ca="1">IFERROR(IF(0=LEN(ReferenceData!$J$435),"",ReferenceData!$J$435),"")</f>
        <v>135.26633799999999</v>
      </c>
      <c r="K435">
        <f ca="1">IFERROR(IF(0=LEN(ReferenceData!$K$435),"",ReferenceData!$K$435),"")</f>
        <v>145.62019269999999</v>
      </c>
      <c r="L435">
        <f ca="1">IFERROR(IF(0=LEN(ReferenceData!$L$435),"",ReferenceData!$L$435),"")</f>
        <v>131.50536510000001</v>
      </c>
      <c r="M435">
        <f ca="1">IFERROR(IF(0=LEN(ReferenceData!$M$435),"",ReferenceData!$M$435),"")</f>
        <v>139.44989419999999</v>
      </c>
      <c r="N435">
        <f ca="1">IFERROR(IF(0=LEN(ReferenceData!$N$435),"",ReferenceData!$N$435),"")</f>
        <v>140.9030319</v>
      </c>
      <c r="O435">
        <f ca="1">IFERROR(IF(0=LEN(ReferenceData!$O$435),"",ReferenceData!$O$435),"")</f>
        <v>120.9811071</v>
      </c>
      <c r="P435">
        <f ca="1">IFERROR(IF(0=LEN(ReferenceData!$P$435),"",ReferenceData!$P$435),"")</f>
        <v>123.2490449</v>
      </c>
      <c r="Q435">
        <f ca="1">IFERROR(IF(0=LEN(ReferenceData!$Q$435),"",ReferenceData!$Q$435),"")</f>
        <v>117.6051937</v>
      </c>
      <c r="R435">
        <f ca="1">IFERROR(IF(0=LEN(ReferenceData!$R$435),"",ReferenceData!$R$435),"")</f>
        <v>133.50959520000001</v>
      </c>
      <c r="S435">
        <f ca="1">IFERROR(IF(0=LEN(ReferenceData!$S$435),"",ReferenceData!$S$435),"")</f>
        <v>126.4662445</v>
      </c>
      <c r="T435">
        <f ca="1">IFERROR(IF(0=LEN(ReferenceData!$T$435),"",ReferenceData!$T$435),"")</f>
        <v>138.34992410000001</v>
      </c>
      <c r="U435">
        <f ca="1">IFERROR(IF(0=LEN(ReferenceData!$U$435),"",ReferenceData!$U$435),"")</f>
        <v>121.68715659999999</v>
      </c>
      <c r="V435">
        <f ca="1">IFERROR(IF(0=LEN(ReferenceData!$V$435),"",ReferenceData!$V$435),"")</f>
        <v>151.981167</v>
      </c>
      <c r="W435">
        <f ca="1">IFERROR(IF(0=LEN(ReferenceData!$W$435),"",ReferenceData!$W$435),"")</f>
        <v>154.1281726</v>
      </c>
      <c r="X435">
        <f ca="1">IFERROR(IF(0=LEN(ReferenceData!$X$435),"",ReferenceData!$X$435),"")</f>
        <v>180.05671079999999</v>
      </c>
      <c r="Y435">
        <f ca="1">IFERROR(IF(0=LEN(ReferenceData!$Y$435),"",ReferenceData!$Y$435),"")</f>
        <v>226.9064592</v>
      </c>
      <c r="Z435">
        <f ca="1">IFERROR(IF(0=LEN(ReferenceData!$Z$435),"",ReferenceData!$Z$435),"")</f>
        <v>236.3732248</v>
      </c>
      <c r="AA435">
        <f ca="1">IFERROR(IF(0=LEN(ReferenceData!$AA$435),"",ReferenceData!$AA$435),"")</f>
        <v>224.17061609999999</v>
      </c>
      <c r="AB435">
        <f ca="1">IFERROR(IF(0=LEN(ReferenceData!$AB$435),"",ReferenceData!$AB$435),"")</f>
        <v>233.40586579999999</v>
      </c>
      <c r="AC435">
        <f ca="1">IFERROR(IF(0=LEN(ReferenceData!$AC$435),"",ReferenceData!$AC$435),"")</f>
        <v>197.365542</v>
      </c>
      <c r="AD435">
        <f ca="1">IFERROR(IF(0=LEN(ReferenceData!$AD$435),"",ReferenceData!$AD$435),"")</f>
        <v>201.20362890000001</v>
      </c>
      <c r="AE435">
        <f ca="1">IFERROR(IF(0=LEN(ReferenceData!$AE$435),"",ReferenceData!$AE$435),"")</f>
        <v>204.73178730000001</v>
      </c>
      <c r="AF435">
        <f ca="1">IFERROR(IF(0=LEN(ReferenceData!$AF$435),"",ReferenceData!$AF$435),"")</f>
        <v>226.50260209999999</v>
      </c>
      <c r="AG435">
        <f ca="1">IFERROR(IF(0=LEN(ReferenceData!$AG$435),"",ReferenceData!$AG$435),"")</f>
        <v>203.5206891</v>
      </c>
      <c r="AH435">
        <f ca="1">IFERROR(IF(0=LEN(ReferenceData!$AH$435),"",ReferenceData!$AH$435),"")</f>
        <v>205.7613169</v>
      </c>
      <c r="AI435">
        <f ca="1">IFERROR(IF(0=LEN(ReferenceData!$AI$435),"",ReferenceData!$AI$435),"")</f>
        <v>184.18754269999999</v>
      </c>
      <c r="AJ435">
        <f ca="1">IFERROR(IF(0=LEN(ReferenceData!$AJ$435),"",ReferenceData!$AJ$435),"")</f>
        <v>178.65458699999999</v>
      </c>
      <c r="AK435">
        <f ca="1">IFERROR(IF(0=LEN(ReferenceData!$AK$435),"",ReferenceData!$AK$435),"")</f>
        <v>221.89349110000001</v>
      </c>
      <c r="AL435">
        <f ca="1">IFERROR(IF(0=LEN(ReferenceData!$AL$435),"",ReferenceData!$AL$435),"")</f>
        <v>184.90686339999999</v>
      </c>
      <c r="AM435">
        <f ca="1">IFERROR(IF(0=LEN(ReferenceData!$AM$435),"",ReferenceData!$AM$435),"")</f>
        <v>153.5425406</v>
      </c>
      <c r="AN435">
        <f ca="1">IFERROR(IF(0=LEN(ReferenceData!$AN$435),"",ReferenceData!$AN$435),"")</f>
        <v>134.7661411</v>
      </c>
      <c r="AO435">
        <f ca="1">IFERROR(IF(0=LEN(ReferenceData!$AO$435),"",ReferenceData!$AO$435),"")</f>
        <v>118.306861</v>
      </c>
      <c r="AP435">
        <f ca="1">IFERROR(IF(0=LEN(ReferenceData!$AP$435),"",ReferenceData!$AP$435),"")</f>
        <v>102.1536284</v>
      </c>
      <c r="AQ435">
        <f ca="1">IFERROR(IF(0=LEN(ReferenceData!$AQ$435),"",ReferenceData!$AQ$435),"")</f>
        <v>103.9072563</v>
      </c>
      <c r="AR435">
        <f ca="1">IFERROR(IF(0=LEN(ReferenceData!$AR$435),"",ReferenceData!$AR$435),"")</f>
        <v>94.845185439999995</v>
      </c>
      <c r="AS435">
        <f ca="1">IFERROR(IF(0=LEN(ReferenceData!$AS$435),"",ReferenceData!$AS$435),"")</f>
        <v>58.238692180000001</v>
      </c>
      <c r="AT435">
        <f ca="1">IFERROR(IF(0=LEN(ReferenceData!$AT$435),"",ReferenceData!$AT$435),"")</f>
        <v>40.592430059999998</v>
      </c>
      <c r="AU435">
        <f ca="1">IFERROR(IF(0=LEN(ReferenceData!$AU$435),"",ReferenceData!$AU$435),"")</f>
        <v>30.49015824</v>
      </c>
      <c r="AV435">
        <f ca="1">IFERROR(IF(0=LEN(ReferenceData!$AV$435),"",ReferenceData!$AV$435),"")</f>
        <v>61.591318559999998</v>
      </c>
      <c r="AW435">
        <f ca="1">IFERROR(IF(0=LEN(ReferenceData!$AW$435),"",ReferenceData!$AW$435),"")</f>
        <v>67.803084560000002</v>
      </c>
      <c r="AX435">
        <f ca="1">IFERROR(IF(0=LEN(ReferenceData!$AX$435),"",ReferenceData!$AX$435),"")</f>
        <v>79.616548940000001</v>
      </c>
      <c r="AY435">
        <f ca="1">IFERROR(IF(0=LEN(ReferenceData!$AY$435),"",ReferenceData!$AY$435),"")</f>
        <v>76.528430950000001</v>
      </c>
      <c r="AZ435">
        <f ca="1">IFERROR(IF(0=LEN(ReferenceData!$AZ$435),"",ReferenceData!$AZ$435),"")</f>
        <v>80.879938710000005</v>
      </c>
      <c r="BA435">
        <f ca="1">IFERROR(IF(0=LEN(ReferenceData!$BA$435),"",ReferenceData!$BA$435),"")</f>
        <v>79.124214179999996</v>
      </c>
      <c r="BB435">
        <f ca="1">IFERROR(IF(0=LEN(ReferenceData!$BB$435),"",ReferenceData!$BB$435),"")</f>
        <v>70.274293</v>
      </c>
      <c r="BC435">
        <f ca="1">IFERROR(IF(0=LEN(ReferenceData!$BC$435),"",ReferenceData!$BC$435),"")</f>
        <v>72.500403379999995</v>
      </c>
      <c r="BD435">
        <f ca="1">IFERROR(IF(0=LEN(ReferenceData!$BD$435),"",ReferenceData!$BD$435),"")</f>
        <v>85.578446909999997</v>
      </c>
      <c r="BE435">
        <f ca="1">IFERROR(IF(0=LEN(ReferenceData!$BE$435),"",ReferenceData!$BE$435),"")</f>
        <v>84.958364079999996</v>
      </c>
      <c r="BF435">
        <f ca="1">IFERROR(IF(0=LEN(ReferenceData!$BF$435),"",ReferenceData!$BF$435),"")</f>
        <v>84.083775020000004</v>
      </c>
      <c r="BG435">
        <f ca="1">IFERROR(IF(0=LEN(ReferenceData!$BG$435),"",ReferenceData!$BG$435),"")</f>
        <v>96.398672410000003</v>
      </c>
      <c r="BH435">
        <f ca="1">IFERROR(IF(0=LEN(ReferenceData!$BH$435),"",ReferenceData!$BH$435),"")</f>
        <v>78.184957789999999</v>
      </c>
      <c r="BI435">
        <f ca="1">IFERROR(IF(0=LEN(ReferenceData!$BI$435),"",ReferenceData!$BI$435),"")</f>
        <v>55.58240696</v>
      </c>
      <c r="BJ435">
        <f ca="1">IFERROR(IF(0=LEN(ReferenceData!$BJ$435),"",ReferenceData!$BJ$435),"")</f>
        <v>54.160512060000002</v>
      </c>
      <c r="BK435">
        <f ca="1">IFERROR(IF(0=LEN(ReferenceData!$BK$435),"",ReferenceData!$BK$435),"")</f>
        <v>53.288526160000004</v>
      </c>
      <c r="BL435">
        <f ca="1">IFERROR(IF(0=LEN(ReferenceData!$BL$435),"",ReferenceData!$BL$435),"")</f>
        <v>46.11376465</v>
      </c>
      <c r="BM435">
        <f ca="1">IFERROR(IF(0=LEN(ReferenceData!$BM$435),"",ReferenceData!$BM$435),"")</f>
        <v>38.468195590000001</v>
      </c>
    </row>
    <row r="436" spans="1:65" x14ac:dyDescent="0.25">
      <c r="A436" t="str">
        <f>IFERROR(IF(0=LEN(ReferenceData!$A$436),"",ReferenceData!$A$436),"")</f>
        <v xml:space="preserve">    Kia Motors Corp</v>
      </c>
      <c r="B436" t="str">
        <f>IFERROR(IF(0=LEN(ReferenceData!$B$436),"",ReferenceData!$B$436),"")</f>
        <v>000270 KS Equity</v>
      </c>
      <c r="C436" t="str">
        <f>IFERROR(IF(0=LEN(ReferenceData!$C$436),"",ReferenceData!$C$436),"")</f>
        <v>PR005</v>
      </c>
      <c r="D436" t="str">
        <f>IFERROR(IF(0=LEN(ReferenceData!$D$436),"",ReferenceData!$D$436),"")</f>
        <v>PX_LAST</v>
      </c>
      <c r="E436" t="str">
        <f>IFERROR(IF(0=LEN(ReferenceData!$E$436),"",ReferenceData!$E$436),"")</f>
        <v>Dynamic</v>
      </c>
      <c r="F436">
        <f ca="1">IFERROR(IF(0=LEN(ReferenceData!$F$436),"",ReferenceData!$F$436),"")</f>
        <v>32.472148959999998</v>
      </c>
      <c r="G436">
        <f ca="1">IFERROR(IF(0=LEN(ReferenceData!$G$436),"",ReferenceData!$G$436),"")</f>
        <v>30.216085360000001</v>
      </c>
      <c r="H436">
        <f ca="1">IFERROR(IF(0=LEN(ReferenceData!$H$436),"",ReferenceData!$H$436),"")</f>
        <v>31.624755610000001</v>
      </c>
      <c r="I436">
        <f ca="1">IFERROR(IF(0=LEN(ReferenceData!$I$436),"",ReferenceData!$I$436),"")</f>
        <v>27.70941491</v>
      </c>
      <c r="J436">
        <f ca="1">IFERROR(IF(0=LEN(ReferenceData!$J$436),"",ReferenceData!$J$436),"")</f>
        <v>29.221299500000001</v>
      </c>
      <c r="K436">
        <f ca="1">IFERROR(IF(0=LEN(ReferenceData!$K$436),"",ReferenceData!$K$436),"")</f>
        <v>31.27100291</v>
      </c>
      <c r="L436">
        <f ca="1">IFERROR(IF(0=LEN(ReferenceData!$L$436),"",ReferenceData!$L$436),"")</f>
        <v>27.655447209999998</v>
      </c>
      <c r="M436">
        <f ca="1">IFERROR(IF(0=LEN(ReferenceData!$M$436),"",ReferenceData!$M$436),"")</f>
        <v>33.398031090000003</v>
      </c>
      <c r="N436">
        <f ca="1">IFERROR(IF(0=LEN(ReferenceData!$N$436),"",ReferenceData!$N$436),"")</f>
        <v>33.14576083</v>
      </c>
      <c r="O436">
        <f ca="1">IFERROR(IF(0=LEN(ReferenceData!$O$436),"",ReferenceData!$O$436),"")</f>
        <v>32.524030490000001</v>
      </c>
      <c r="P436">
        <f ca="1">IFERROR(IF(0=LEN(ReferenceData!$P$436),"",ReferenceData!$P$436),"")</f>
        <v>38.33909405</v>
      </c>
      <c r="Q436">
        <f ca="1">IFERROR(IF(0=LEN(ReferenceData!$Q$436),"",ReferenceData!$Q$436),"")</f>
        <v>37.494792390000001</v>
      </c>
      <c r="R436">
        <f ca="1">IFERROR(IF(0=LEN(ReferenceData!$R$436),"",ReferenceData!$R$436),"")</f>
        <v>42.285334079999998</v>
      </c>
      <c r="S436">
        <f ca="1">IFERROR(IF(0=LEN(ReferenceData!$S$436),"",ReferenceData!$S$436),"")</f>
        <v>44.645130629999997</v>
      </c>
      <c r="T436">
        <f ca="1">IFERROR(IF(0=LEN(ReferenceData!$T$436),"",ReferenceData!$T$436),"")</f>
        <v>45.216804449999998</v>
      </c>
      <c r="U436">
        <f ca="1">IFERROR(IF(0=LEN(ReferenceData!$U$436),"",ReferenceData!$U$436),"")</f>
        <v>40.532560259999997</v>
      </c>
      <c r="V436">
        <f ca="1">IFERROR(IF(0=LEN(ReferenceData!$V$436),"",ReferenceData!$V$436),"")</f>
        <v>40.768835289999998</v>
      </c>
      <c r="W436">
        <f ca="1">IFERROR(IF(0=LEN(ReferenceData!$W$436),"",ReferenceData!$W$436),"")</f>
        <v>47.697653420000002</v>
      </c>
      <c r="X436">
        <f ca="1">IFERROR(IF(0=LEN(ReferenceData!$X$436),"",ReferenceData!$X$436),"")</f>
        <v>50.75614367</v>
      </c>
      <c r="Y436">
        <f ca="1">IFERROR(IF(0=LEN(ReferenceData!$Y$436),"",ReferenceData!$Y$436),"")</f>
        <v>55.960372939999999</v>
      </c>
      <c r="Z436">
        <f ca="1">IFERROR(IF(0=LEN(ReferenceData!$Z$436),"",ReferenceData!$Z$436),"")</f>
        <v>55.844351529999997</v>
      </c>
      <c r="AA436">
        <f ca="1">IFERROR(IF(0=LEN(ReferenceData!$AA$436),"",ReferenceData!$AA$436),"")</f>
        <v>53.175355449999998</v>
      </c>
      <c r="AB436">
        <f ca="1">IFERROR(IF(0=LEN(ReferenceData!$AB$436),"",ReferenceData!$AB$436),"")</f>
        <v>60.722721270000001</v>
      </c>
      <c r="AC436">
        <f ca="1">IFERROR(IF(0=LEN(ReferenceData!$AC$436),"",ReferenceData!$AC$436),"")</f>
        <v>54.35210713</v>
      </c>
      <c r="AD436">
        <f ca="1">IFERROR(IF(0=LEN(ReferenceData!$AD$436),"",ReferenceData!$AD$436),"")</f>
        <v>49.94161502</v>
      </c>
      <c r="AE436">
        <f ca="1">IFERROR(IF(0=LEN(ReferenceData!$AE$436),"",ReferenceData!$AE$436),"")</f>
        <v>52.939798549999999</v>
      </c>
      <c r="AF436">
        <f ca="1">IFERROR(IF(0=LEN(ReferenceData!$AF$436),"",ReferenceData!$AF$436),"")</f>
        <v>62.37809756</v>
      </c>
      <c r="AG436">
        <f ca="1">IFERROR(IF(0=LEN(ReferenceData!$AG$436),"",ReferenceData!$AG$436),"")</f>
        <v>65.389227849999997</v>
      </c>
      <c r="AH436">
        <f ca="1">IFERROR(IF(0=LEN(ReferenceData!$AH$436),"",ReferenceData!$AH$436),"")</f>
        <v>65.437397340000004</v>
      </c>
      <c r="AI436">
        <f ca="1">IFERROR(IF(0=LEN(ReferenceData!$AI$436),"",ReferenceData!$AI$436),"")</f>
        <v>57.677507499999997</v>
      </c>
      <c r="AJ436">
        <f ca="1">IFERROR(IF(0=LEN(ReferenceData!$AJ$436),"",ReferenceData!$AJ$436),"")</f>
        <v>60.878032259999998</v>
      </c>
      <c r="AK436">
        <f ca="1">IFERROR(IF(0=LEN(ReferenceData!$AK$436),"",ReferenceData!$AK$436),"")</f>
        <v>67.69155868</v>
      </c>
      <c r="AL436">
        <f ca="1">IFERROR(IF(0=LEN(ReferenceData!$AL$436),"",ReferenceData!$AL$436),"")</f>
        <v>62.850116139999997</v>
      </c>
      <c r="AM436">
        <f ca="1">IFERROR(IF(0=LEN(ReferenceData!$AM$436),"",ReferenceData!$AM$436),"")</f>
        <v>44.779553620000002</v>
      </c>
      <c r="AN436">
        <f ca="1">IFERROR(IF(0=LEN(ReferenceData!$AN$436),"",ReferenceData!$AN$436),"")</f>
        <v>32.414339820000002</v>
      </c>
      <c r="AO436">
        <f ca="1">IFERROR(IF(0=LEN(ReferenceData!$AO$436),"",ReferenceData!$AO$436),"")</f>
        <v>26.772556080000001</v>
      </c>
      <c r="AP436">
        <f ca="1">IFERROR(IF(0=LEN(ReferenceData!$AP$436),"",ReferenceData!$AP$436),"")</f>
        <v>22.332286740000001</v>
      </c>
      <c r="AQ436">
        <f ca="1">IFERROR(IF(0=LEN(ReferenceData!$AQ$436),"",ReferenceData!$AQ$436),"")</f>
        <v>17.217690000000001</v>
      </c>
      <c r="AR436">
        <f ca="1">IFERROR(IF(0=LEN(ReferenceData!$AR$436),"",ReferenceData!$AR$436),"")</f>
        <v>15.821708060000001</v>
      </c>
      <c r="AS436">
        <f ca="1">IFERROR(IF(0=LEN(ReferenceData!$AS$436),"",ReferenceData!$AS$436),"")</f>
        <v>9.9029355129999992</v>
      </c>
      <c r="AT436">
        <f ca="1">IFERROR(IF(0=LEN(ReferenceData!$AT$436),"",ReferenceData!$AT$436),"")</f>
        <v>6.2388005120000001</v>
      </c>
      <c r="AU436">
        <f ca="1">IFERROR(IF(0=LEN(ReferenceData!$AU$436),"",ReferenceData!$AU$436),"")</f>
        <v>5.0559629490000004</v>
      </c>
      <c r="AV436">
        <f ca="1">IFERROR(IF(0=LEN(ReferenceData!$AV$436),"",ReferenceData!$AV$436),"")</f>
        <v>12.276364859999999</v>
      </c>
      <c r="AW436">
        <f ca="1">IFERROR(IF(0=LEN(ReferenceData!$AW$436),"",ReferenceData!$AW$436),"")</f>
        <v>10.55245189</v>
      </c>
      <c r="AX436">
        <f ca="1">IFERROR(IF(0=LEN(ReferenceData!$AX$436),"",ReferenceData!$AX$436),"")</f>
        <v>11.50353179</v>
      </c>
      <c r="AY436">
        <f ca="1">IFERROR(IF(0=LEN(ReferenceData!$AY$436),"",ReferenceData!$AY$436),"")</f>
        <v>10.795211630000001</v>
      </c>
      <c r="AZ436">
        <f ca="1">IFERROR(IF(0=LEN(ReferenceData!$AZ$436),"",ReferenceData!$AZ$436),"")</f>
        <v>13.6259166</v>
      </c>
      <c r="BA436">
        <f ca="1">IFERROR(IF(0=LEN(ReferenceData!$BA$436),"",ReferenceData!$BA$436),"")</f>
        <v>15.60806417</v>
      </c>
      <c r="BB436">
        <f ca="1">IFERROR(IF(0=LEN(ReferenceData!$BB$436),"",ReferenceData!$BB$436),"")</f>
        <v>13.502019990000001</v>
      </c>
      <c r="BC436">
        <f ca="1">IFERROR(IF(0=LEN(ReferenceData!$BC$436),"",ReferenceData!$BC$436),"")</f>
        <v>14.46781047</v>
      </c>
      <c r="BD436">
        <f ca="1">IFERROR(IF(0=LEN(ReferenceData!$BD$436),"",ReferenceData!$BD$436),"")</f>
        <v>16.217643949999999</v>
      </c>
      <c r="BE436">
        <f ca="1">IFERROR(IF(0=LEN(ReferenceData!$BE$436),"",ReferenceData!$BE$436),"")</f>
        <v>17.128702430000001</v>
      </c>
      <c r="BF436">
        <f ca="1">IFERROR(IF(0=LEN(ReferenceData!$BF$436),"",ReferenceData!$BF$436),"")</f>
        <v>20.532084600000001</v>
      </c>
      <c r="BG436">
        <f ca="1">IFERROR(IF(0=LEN(ReferenceData!$BG$436),"",ReferenceData!$BG$436),"")</f>
        <v>26.304057069999999</v>
      </c>
      <c r="BH436">
        <f ca="1">IFERROR(IF(0=LEN(ReferenceData!$BH$436),"",ReferenceData!$BH$436),"")</f>
        <v>18.70683039</v>
      </c>
      <c r="BI436">
        <f ca="1">IFERROR(IF(0=LEN(ReferenceData!$BI$436),"",ReferenceData!$BI$436),"")</f>
        <v>13.29144514</v>
      </c>
      <c r="BJ436">
        <f ca="1">IFERROR(IF(0=LEN(ReferenceData!$BJ$436),"",ReferenceData!$BJ$436),"")</f>
        <v>13.78631216</v>
      </c>
      <c r="BK436">
        <f ca="1">IFERROR(IF(0=LEN(ReferenceData!$BK$436),"",ReferenceData!$BK$436),"")</f>
        <v>10.465674509999999</v>
      </c>
      <c r="BL436">
        <f ca="1">IFERROR(IF(0=LEN(ReferenceData!$BL$436),"",ReferenceData!$BL$436),"")</f>
        <v>9.2053842810000006</v>
      </c>
      <c r="BM436">
        <f ca="1">IFERROR(IF(0=LEN(ReferenceData!$BM$436),"",ReferenceData!$BM$436),"")</f>
        <v>8.5417568149999994</v>
      </c>
    </row>
    <row r="437" spans="1:65" x14ac:dyDescent="0.25">
      <c r="A437" t="str">
        <f>IFERROR(IF(0=LEN(ReferenceData!$A$437),"",ReferenceData!$A$437),"")</f>
        <v xml:space="preserve">    Mazda Motor Corp</v>
      </c>
      <c r="B437" t="str">
        <f>IFERROR(IF(0=LEN(ReferenceData!$B$437),"",ReferenceData!$B$437),"")</f>
        <v>7261 JP Equity</v>
      </c>
      <c r="C437" t="str">
        <f>IFERROR(IF(0=LEN(ReferenceData!$C$437),"",ReferenceData!$C$437),"")</f>
        <v>PR005</v>
      </c>
      <c r="D437" t="str">
        <f>IFERROR(IF(0=LEN(ReferenceData!$D$437),"",ReferenceData!$D$437),"")</f>
        <v>PX_LAST</v>
      </c>
      <c r="E437" t="str">
        <f>IFERROR(IF(0=LEN(ReferenceData!$E$437),"",ReferenceData!$E$437),"")</f>
        <v>Dynamic</v>
      </c>
      <c r="F437">
        <f ca="1">IFERROR(IF(0=LEN(ReferenceData!$F$437),"",ReferenceData!$F$437),"")</f>
        <v>11.73382389</v>
      </c>
      <c r="G437">
        <f ca="1">IFERROR(IF(0=LEN(ReferenceData!$G$437),"",ReferenceData!$G$437),"")</f>
        <v>10.27986595</v>
      </c>
      <c r="H437">
        <f ca="1">IFERROR(IF(0=LEN(ReferenceData!$H$437),"",ReferenceData!$H$437),"")</f>
        <v>12.01762115</v>
      </c>
      <c r="I437">
        <f ca="1">IFERROR(IF(0=LEN(ReferenceData!$I$437),"",ReferenceData!$I$437),"")</f>
        <v>12.27658422</v>
      </c>
      <c r="J437">
        <f ca="1">IFERROR(IF(0=LEN(ReferenceData!$J$437),"",ReferenceData!$J$437),"")</f>
        <v>13.2413858</v>
      </c>
      <c r="K437">
        <f ca="1">IFERROR(IF(0=LEN(ReferenceData!$K$437),"",ReferenceData!$K$437),"")</f>
        <v>13.426008169999999</v>
      </c>
      <c r="L437">
        <f ca="1">IFERROR(IF(0=LEN(ReferenceData!$L$437),"",ReferenceData!$L$437),"")</f>
        <v>15.31699521</v>
      </c>
      <c r="M437">
        <f ca="1">IFERROR(IF(0=LEN(ReferenceData!$M$437),"",ReferenceData!$M$437),"")</f>
        <v>13.956386289999999</v>
      </c>
      <c r="N437">
        <f ca="1">IFERROR(IF(0=LEN(ReferenceData!$N$437),"",ReferenceData!$N$437),"")</f>
        <v>14.401221809999999</v>
      </c>
      <c r="O437">
        <f ca="1">IFERROR(IF(0=LEN(ReferenceData!$O$437),"",ReferenceData!$O$437),"")</f>
        <v>16.392318240000002</v>
      </c>
      <c r="P437">
        <f ca="1">IFERROR(IF(0=LEN(ReferenceData!$P$437),"",ReferenceData!$P$437),"")</f>
        <v>15.09908311</v>
      </c>
      <c r="Q437">
        <f ca="1">IFERROR(IF(0=LEN(ReferenceData!$Q$437),"",ReferenceData!$Q$437),"")</f>
        <v>13.1698808</v>
      </c>
      <c r="R437">
        <f ca="1">IFERROR(IF(0=LEN(ReferenceData!$R$437),"",ReferenceData!$R$437),"")</f>
        <v>15.52444444</v>
      </c>
      <c r="S437">
        <f ca="1">IFERROR(IF(0=LEN(ReferenceData!$S$437),"",ReferenceData!$S$437),"")</f>
        <v>20.926954649999999</v>
      </c>
      <c r="T437">
        <f ca="1">IFERROR(IF(0=LEN(ReferenceData!$T$437),"",ReferenceData!$T$437),"")</f>
        <v>15.70986881</v>
      </c>
      <c r="U437">
        <f ca="1">IFERROR(IF(0=LEN(ReferenceData!$U$437),"",ReferenceData!$U$437),"")</f>
        <v>19.636423189999999</v>
      </c>
      <c r="V437">
        <f ca="1">IFERROR(IF(0=LEN(ReferenceData!$V$437),"",ReferenceData!$V$437),"")</f>
        <v>20.333472279999999</v>
      </c>
      <c r="W437">
        <f ca="1">IFERROR(IF(0=LEN(ReferenceData!$W$437),"",ReferenceData!$W$437),"")</f>
        <v>24.506110830000001</v>
      </c>
      <c r="X437">
        <f ca="1">IFERROR(IF(0=LEN(ReferenceData!$X$437),"",ReferenceData!$X$437),"")</f>
        <v>25.068393220000001</v>
      </c>
      <c r="Y437">
        <f ca="1">IFERROR(IF(0=LEN(ReferenceData!$Y$437),"",ReferenceData!$Y$437),"")</f>
        <v>23.4475269</v>
      </c>
      <c r="Z437">
        <f ca="1">IFERROR(IF(0=LEN(ReferenceData!$Z$437),"",ReferenceData!$Z$437),"")</f>
        <v>22.217910159999999</v>
      </c>
      <c r="AA437">
        <f ca="1">IFERROR(IF(0=LEN(ReferenceData!$AA$437),"",ReferenceData!$AA$437),"")</f>
        <v>25.885039970000001</v>
      </c>
      <c r="AB437">
        <f ca="1">IFERROR(IF(0=LEN(ReferenceData!$AB$437),"",ReferenceData!$AB$437),"")</f>
        <v>22.248243559999999</v>
      </c>
      <c r="AC437">
        <f ca="1">IFERROR(IF(0=LEN(ReferenceData!$AC$437),"",ReferenceData!$AC$437),"")</f>
        <v>19.681868519999998</v>
      </c>
      <c r="AD437">
        <f ca="1">IFERROR(IF(0=LEN(ReferenceData!$AD$437),"",ReferenceData!$AD$437),"")</f>
        <v>14.9119083</v>
      </c>
      <c r="AE437">
        <f ca="1">IFERROR(IF(0=LEN(ReferenceData!$AE$437),"",ReferenceData!$AE$437),"")</f>
        <v>10.106877320000001</v>
      </c>
      <c r="AF437">
        <f ca="1">IFERROR(IF(0=LEN(ReferenceData!$AF$437),"",ReferenceData!$AF$437),"")</f>
        <v>5.8393223819999998</v>
      </c>
      <c r="AG437">
        <f ca="1">IFERROR(IF(0=LEN(ReferenceData!$AG$437),"",ReferenceData!$AG$437),"")</f>
        <v>6.7042606520000003</v>
      </c>
      <c r="AH437">
        <f ca="1">IFERROR(IF(0=LEN(ReferenceData!$AH$437),"",ReferenceData!$AH$437),"")</f>
        <v>8.7740530069999991</v>
      </c>
      <c r="AI437">
        <f ca="1">IFERROR(IF(0=LEN(ReferenceData!$AI$437),"",ReferenceData!$AI$437),"")</f>
        <v>8.8323158849999999</v>
      </c>
      <c r="AJ437">
        <f ca="1">IFERROR(IF(0=LEN(ReferenceData!$AJ$437),"",ReferenceData!$AJ$437),"")</f>
        <v>10.24112004</v>
      </c>
      <c r="AK437">
        <f ca="1">IFERROR(IF(0=LEN(ReferenceData!$AK$437),"",ReferenceData!$AK$437),"")</f>
        <v>13.095829200000001</v>
      </c>
      <c r="AL437">
        <f ca="1">IFERROR(IF(0=LEN(ReferenceData!$AL$437),"",ReferenceData!$AL$437),"")</f>
        <v>11.0467222</v>
      </c>
      <c r="AM437">
        <f ca="1">IFERROR(IF(0=LEN(ReferenceData!$AM$437),"",ReferenceData!$AM$437),"")</f>
        <v>14.25250795</v>
      </c>
      <c r="AN437">
        <f ca="1">IFERROR(IF(0=LEN(ReferenceData!$AN$437),"",ReferenceData!$AN$437),"")</f>
        <v>12.04169662</v>
      </c>
      <c r="AO437">
        <f ca="1">IFERROR(IF(0=LEN(ReferenceData!$AO$437),"",ReferenceData!$AO$437),"")</f>
        <v>11.85369158</v>
      </c>
      <c r="AP437">
        <f ca="1">IFERROR(IF(0=LEN(ReferenceData!$AP$437),"",ReferenceData!$AP$437),"")</f>
        <v>14.073202050000001</v>
      </c>
      <c r="AQ437">
        <f ca="1">IFERROR(IF(0=LEN(ReferenceData!$AQ$437),"",ReferenceData!$AQ$437),"")</f>
        <v>11.474345100000001</v>
      </c>
      <c r="AR437">
        <f ca="1">IFERROR(IF(0=LEN(ReferenceData!$AR$437),"",ReferenceData!$AR$437),"")</f>
        <v>11.20651204</v>
      </c>
      <c r="AS437">
        <f ca="1">IFERROR(IF(0=LEN(ReferenceData!$AS$437),"",ReferenceData!$AS$437),"")</f>
        <v>12.82184385</v>
      </c>
      <c r="AT437">
        <f ca="1">IFERROR(IF(0=LEN(ReferenceData!$AT$437),"",ReferenceData!$AT$437),"")</f>
        <v>8.2536487170000008</v>
      </c>
      <c r="AU437">
        <f ca="1">IFERROR(IF(0=LEN(ReferenceData!$AU$437),"",ReferenceData!$AU$437),"")</f>
        <v>8.2475368089999996</v>
      </c>
      <c r="AV437">
        <f ca="1">IFERROR(IF(0=LEN(ReferenceData!$AV$437),"",ReferenceData!$AV$437),"")</f>
        <v>19.681702609999999</v>
      </c>
      <c r="AW437">
        <f ca="1">IFERROR(IF(0=LEN(ReferenceData!$AW$437),"",ReferenceData!$AW$437),"")</f>
        <v>25.94406253</v>
      </c>
      <c r="AX437">
        <f ca="1">IFERROR(IF(0=LEN(ReferenceData!$AX$437),"",ReferenceData!$AX$437),"")</f>
        <v>17.67474464</v>
      </c>
      <c r="AY437">
        <f ca="1">IFERROR(IF(0=LEN(ReferenceData!$AY$437),"",ReferenceData!$AY$437),"")</f>
        <v>24.734042550000002</v>
      </c>
      <c r="AZ437">
        <f ca="1">IFERROR(IF(0=LEN(ReferenceData!$AZ$437),"",ReferenceData!$AZ$437),"")</f>
        <v>25.304878049999999</v>
      </c>
      <c r="BA437">
        <f ca="1">IFERROR(IF(0=LEN(ReferenceData!$BA$437),"",ReferenceData!$BA$437),"")</f>
        <v>28.516956029999999</v>
      </c>
      <c r="BB437">
        <f ca="1">IFERROR(IF(0=LEN(ReferenceData!$BB$437),"",ReferenceData!$BB$437),"")</f>
        <v>27.723445869999999</v>
      </c>
      <c r="BC437">
        <f ca="1">IFERROR(IF(0=LEN(ReferenceData!$BC$437),"",ReferenceData!$BC$437),"")</f>
        <v>34.136714810000001</v>
      </c>
      <c r="BD437">
        <f ca="1">IFERROR(IF(0=LEN(ReferenceData!$BD$437),"",ReferenceData!$BD$437),"")</f>
        <v>30.333841719999999</v>
      </c>
      <c r="BE437">
        <f ca="1">IFERROR(IF(0=LEN(ReferenceData!$BE$437),"",ReferenceData!$BE$437),"")</f>
        <v>31.31824932</v>
      </c>
      <c r="BF437">
        <f ca="1">IFERROR(IF(0=LEN(ReferenceData!$BF$437),"",ReferenceData!$BF$437),"")</f>
        <v>30.42553191</v>
      </c>
      <c r="BG437">
        <f ca="1">IFERROR(IF(0=LEN(ReferenceData!$BG$437),"",ReferenceData!$BG$437),"")</f>
        <v>22.88717471</v>
      </c>
      <c r="BH437">
        <f ca="1">IFERROR(IF(0=LEN(ReferenceData!$BH$437),"",ReferenceData!$BH$437),"")</f>
        <v>21.926734769999999</v>
      </c>
      <c r="BI437">
        <f ca="1">IFERROR(IF(0=LEN(ReferenceData!$BI$437),"",ReferenceData!$BI$437),"")</f>
        <v>18.795636890000001</v>
      </c>
      <c r="BJ437">
        <f ca="1">IFERROR(IF(0=LEN(ReferenceData!$BJ$437),"",ReferenceData!$BJ$437),"")</f>
        <v>17.070895520000001</v>
      </c>
      <c r="BK437">
        <f ca="1">IFERROR(IF(0=LEN(ReferenceData!$BK$437),"",ReferenceData!$BK$437),"")</f>
        <v>15.62348375</v>
      </c>
      <c r="BL437">
        <f ca="1">IFERROR(IF(0=LEN(ReferenceData!$BL$437),"",ReferenceData!$BL$437),"")</f>
        <v>15.50986992</v>
      </c>
      <c r="BM437">
        <f ca="1">IFERROR(IF(0=LEN(ReferenceData!$BM$437),"",ReferenceData!$BM$437),"")</f>
        <v>17.555088229999999</v>
      </c>
    </row>
    <row r="438" spans="1:65" x14ac:dyDescent="0.25">
      <c r="A438" t="str">
        <f>IFERROR(IF(0=LEN(ReferenceData!$A$438),"",ReferenceData!$A$438),"")</f>
        <v xml:space="preserve">    Mitsubishi Motors Corp</v>
      </c>
      <c r="B438" t="str">
        <f>IFERROR(IF(0=LEN(ReferenceData!$B$438),"",ReferenceData!$B$438),"")</f>
        <v>7211 JP Equity</v>
      </c>
      <c r="C438" t="str">
        <f>IFERROR(IF(0=LEN(ReferenceData!$C$438),"",ReferenceData!$C$438),"")</f>
        <v>PR005</v>
      </c>
      <c r="D438" t="str">
        <f>IFERROR(IF(0=LEN(ReferenceData!$D$438),"",ReferenceData!$D$438),"")</f>
        <v>PX_LAST</v>
      </c>
      <c r="E438" t="str">
        <f>IFERROR(IF(0=LEN(ReferenceData!$E$438),"",ReferenceData!$E$438),"")</f>
        <v>Dynamic</v>
      </c>
      <c r="F438">
        <f ca="1">IFERROR(IF(0=LEN(ReferenceData!$F$438),"",ReferenceData!$F$438),"")</f>
        <v>5.6094059439999997</v>
      </c>
      <c r="G438">
        <f ca="1">IFERROR(IF(0=LEN(ReferenceData!$G$438),"",ReferenceData!$G$438),"")</f>
        <v>5.4524046730000002</v>
      </c>
      <c r="H438">
        <f ca="1">IFERROR(IF(0=LEN(ReferenceData!$H$438),"",ReferenceData!$H$438),"")</f>
        <v>7.0660792949999998</v>
      </c>
      <c r="I438">
        <f ca="1">IFERROR(IF(0=LEN(ReferenceData!$I$438),"",ReferenceData!$I$438),"")</f>
        <v>7.9707528429999996</v>
      </c>
      <c r="J438">
        <f ca="1">IFERROR(IF(0=LEN(ReferenceData!$J$438),"",ReferenceData!$J$438),"")</f>
        <v>7.1643758240000004</v>
      </c>
      <c r="K438">
        <f ca="1">IFERROR(IF(0=LEN(ReferenceData!$K$438),"",ReferenceData!$K$438),"")</f>
        <v>7.2304139279999999</v>
      </c>
      <c r="L438">
        <f ca="1">IFERROR(IF(0=LEN(ReferenceData!$L$438),"",ReferenceData!$L$438),"")</f>
        <v>7.9026815839999998</v>
      </c>
      <c r="M438">
        <f ca="1">IFERROR(IF(0=LEN(ReferenceData!$M$438),"",ReferenceData!$M$438),"")</f>
        <v>6.5865598580000002</v>
      </c>
      <c r="N438">
        <f ca="1">IFERROR(IF(0=LEN(ReferenceData!$N$438),"",ReferenceData!$N$438),"")</f>
        <v>6.0102416669999998</v>
      </c>
      <c r="O438">
        <f ca="1">IFERROR(IF(0=LEN(ReferenceData!$O$438),"",ReferenceData!$O$438),"")</f>
        <v>5.709876543</v>
      </c>
      <c r="P438">
        <f ca="1">IFERROR(IF(0=LEN(ReferenceData!$P$438),"",ReferenceData!$P$438),"")</f>
        <v>4.6238785370000004</v>
      </c>
      <c r="Q438">
        <f ca="1">IFERROR(IF(0=LEN(ReferenceData!$Q$438),"",ReferenceData!$Q$438),"")</f>
        <v>4.545014052</v>
      </c>
      <c r="R438">
        <f ca="1">IFERROR(IF(0=LEN(ReferenceData!$R$438),"",ReferenceData!$R$438),"")</f>
        <v>7.4933333329999998</v>
      </c>
      <c r="S438">
        <f ca="1">IFERROR(IF(0=LEN(ReferenceData!$S$438),"",ReferenceData!$S$438),"")</f>
        <v>8.5399220630000006</v>
      </c>
      <c r="T438">
        <f ca="1">IFERROR(IF(0=LEN(ReferenceData!$T$438),"",ReferenceData!$T$438),"")</f>
        <v>7.6209576329999997</v>
      </c>
      <c r="U438">
        <f ca="1">IFERROR(IF(0=LEN(ReferenceData!$U$438),"",ReferenceData!$U$438),"")</f>
        <v>8.5325908940000001</v>
      </c>
      <c r="V438">
        <f ca="1">IFERROR(IF(0=LEN(ReferenceData!$V$438),"",ReferenceData!$V$438),"")</f>
        <v>9.0454355979999992</v>
      </c>
      <c r="W438">
        <f ca="1">IFERROR(IF(0=LEN(ReferenceData!$W$438),"",ReferenceData!$W$438),"")</f>
        <v>9.2918131590000002</v>
      </c>
      <c r="X438">
        <f ca="1">IFERROR(IF(0=LEN(ReferenceData!$X$438),"",ReferenceData!$X$438),"")</f>
        <v>12.13751596</v>
      </c>
      <c r="Y438">
        <f ca="1">IFERROR(IF(0=LEN(ReferenceData!$Y$438),"",ReferenceData!$Y$438),"")</f>
        <v>11.037614769999999</v>
      </c>
      <c r="Z438">
        <f ca="1">IFERROR(IF(0=LEN(ReferenceData!$Z$438),"",ReferenceData!$Z$438),"")</f>
        <v>10.47831571</v>
      </c>
      <c r="AA438">
        <f ca="1">IFERROR(IF(0=LEN(ReferenceData!$AA$438),"",ReferenceData!$AA$438),"")</f>
        <v>10.7441949</v>
      </c>
      <c r="AB438">
        <f ca="1">IFERROR(IF(0=LEN(ReferenceData!$AB$438),"",ReferenceData!$AB$438),"")</f>
        <v>11.03757255</v>
      </c>
      <c r="AC438">
        <f ca="1">IFERROR(IF(0=LEN(ReferenceData!$AC$438),"",ReferenceData!$AC$438),"")</f>
        <v>13.69173462</v>
      </c>
      <c r="AD438">
        <f ca="1">IFERROR(IF(0=LEN(ReferenceData!$AD$438),"",ReferenceData!$AD$438),"")</f>
        <v>10.40118871</v>
      </c>
      <c r="AE438">
        <f ca="1">IFERROR(IF(0=LEN(ReferenceData!$AE$438),"",ReferenceData!$AE$438),"")</f>
        <v>10.339219330000001</v>
      </c>
      <c r="AF438">
        <f ca="1">IFERROR(IF(0=LEN(ReferenceData!$AF$438),"",ReferenceData!$AF$438),"")</f>
        <v>9.2402464070000008</v>
      </c>
      <c r="AG438">
        <f ca="1">IFERROR(IF(0=LEN(ReferenceData!$AG$438),"",ReferenceData!$AG$438),"")</f>
        <v>10.02506266</v>
      </c>
      <c r="AH438">
        <f ca="1">IFERROR(IF(0=LEN(ReferenceData!$AH$438),"",ReferenceData!$AH$438),"")</f>
        <v>11.37601355</v>
      </c>
      <c r="AI438">
        <f ca="1">IFERROR(IF(0=LEN(ReferenceData!$AI$438),"",ReferenceData!$AI$438),"")</f>
        <v>11.819716850000001</v>
      </c>
      <c r="AJ438">
        <f ca="1">IFERROR(IF(0=LEN(ReferenceData!$AJ$438),"",ReferenceData!$AJ$438),"")</f>
        <v>13.35234638</v>
      </c>
      <c r="AK438">
        <f ca="1">IFERROR(IF(0=LEN(ReferenceData!$AK$438),"",ReferenceData!$AK$438),"")</f>
        <v>12.16484608</v>
      </c>
      <c r="AL438">
        <f ca="1">IFERROR(IF(0=LEN(ReferenceData!$AL$438),"",ReferenceData!$AL$438),"")</f>
        <v>12.314378850000001</v>
      </c>
      <c r="AM438">
        <f ca="1">IFERROR(IF(0=LEN(ReferenceData!$AM$438),"",ReferenceData!$AM$438),"")</f>
        <v>14.43601664</v>
      </c>
      <c r="AN438">
        <f ca="1">IFERROR(IF(0=LEN(ReferenceData!$AN$438),"",ReferenceData!$AN$438),"")</f>
        <v>13.060148570000001</v>
      </c>
      <c r="AO438">
        <f ca="1">IFERROR(IF(0=LEN(ReferenceData!$AO$438),"",ReferenceData!$AO$438),"")</f>
        <v>12.756829979999999</v>
      </c>
      <c r="AP438">
        <f ca="1">IFERROR(IF(0=LEN(ReferenceData!$AP$438),"",ReferenceData!$AP$438),"")</f>
        <v>13.591609589999999</v>
      </c>
      <c r="AQ438">
        <f ca="1">IFERROR(IF(0=LEN(ReferenceData!$AQ$438),"",ReferenceData!$AQ$438),"")</f>
        <v>13.855812950000001</v>
      </c>
      <c r="AR438">
        <f ca="1">IFERROR(IF(0=LEN(ReferenceData!$AR$438),"",ReferenceData!$AR$438),"")</f>
        <v>16.503122210000001</v>
      </c>
      <c r="AS438">
        <f ca="1">IFERROR(IF(0=LEN(ReferenceData!$AS$438),"",ReferenceData!$AS$438),"")</f>
        <v>18.791528240000002</v>
      </c>
      <c r="AT438">
        <f ca="1">IFERROR(IF(0=LEN(ReferenceData!$AT$438),"",ReferenceData!$AT$438),"")</f>
        <v>12.581781579999999</v>
      </c>
      <c r="AU438">
        <f ca="1">IFERROR(IF(0=LEN(ReferenceData!$AU$438),"",ReferenceData!$AU$438),"")</f>
        <v>13.50603343</v>
      </c>
      <c r="AV438">
        <f ca="1">IFERROR(IF(0=LEN(ReferenceData!$AV$438),"",ReferenceData!$AV$438),"")</f>
        <v>16.3857237</v>
      </c>
      <c r="AW438">
        <f ca="1">IFERROR(IF(0=LEN(ReferenceData!$AW$438),"",ReferenceData!$AW$438),"")</f>
        <v>18.174969390000001</v>
      </c>
      <c r="AX438">
        <f ca="1">IFERROR(IF(0=LEN(ReferenceData!$AX$438),"",ReferenceData!$AX$438),"")</f>
        <v>16.422992189999999</v>
      </c>
      <c r="AY438">
        <f ca="1">IFERROR(IF(0=LEN(ReferenceData!$AY$438),"",ReferenceData!$AY$438),"")</f>
        <v>16.755319149999998</v>
      </c>
      <c r="AZ438">
        <f ca="1">IFERROR(IF(0=LEN(ReferenceData!$AZ$438),"",ReferenceData!$AZ$438),"")</f>
        <v>15.243902439999999</v>
      </c>
      <c r="BA438">
        <f ca="1">IFERROR(IF(0=LEN(ReferenceData!$BA$438),"",ReferenceData!$BA$438),"")</f>
        <v>15.171182870000001</v>
      </c>
      <c r="BB438">
        <f ca="1">IFERROR(IF(0=LEN(ReferenceData!$BB$438),"",ReferenceData!$BB$438),"")</f>
        <v>15.647589079999999</v>
      </c>
      <c r="BC438">
        <f ca="1">IFERROR(IF(0=LEN(ReferenceData!$BC$438),"",ReferenceData!$BC$438),"")</f>
        <v>16.543500170000002</v>
      </c>
      <c r="BD438">
        <f ca="1">IFERROR(IF(0=LEN(ReferenceData!$BD$438),"",ReferenceData!$BD$438),"")</f>
        <v>16.607354690000001</v>
      </c>
      <c r="BE438">
        <f ca="1">IFERROR(IF(0=LEN(ReferenceData!$BE$438),"",ReferenceData!$BE$438),"")</f>
        <v>18.520136279999999</v>
      </c>
      <c r="BF438">
        <f ca="1">IFERROR(IF(0=LEN(ReferenceData!$BF$438),"",ReferenceData!$BF$438),"")</f>
        <v>21.191489359999998</v>
      </c>
      <c r="BG438">
        <f ca="1">IFERROR(IF(0=LEN(ReferenceData!$BG$438),"",ReferenceData!$BG$438),"")</f>
        <v>20.767991859999999</v>
      </c>
      <c r="BH438">
        <f ca="1">IFERROR(IF(0=LEN(ReferenceData!$BH$438),"",ReferenceData!$BH$438),"")</f>
        <v>20.517787949999999</v>
      </c>
      <c r="BI438">
        <f ca="1">IFERROR(IF(0=LEN(ReferenceData!$BI$438),"",ReferenceData!$BI$438),"")</f>
        <v>12.620571529999999</v>
      </c>
      <c r="BJ438">
        <f ca="1">IFERROR(IF(0=LEN(ReferenceData!$BJ$438),"",ReferenceData!$BJ$438),"")</f>
        <v>13.15298507</v>
      </c>
      <c r="BK438">
        <f ca="1">IFERROR(IF(0=LEN(ReferenceData!$BK$438),"",ReferenceData!$BK$438),"")</f>
        <v>11.35371179</v>
      </c>
      <c r="BL438">
        <f ca="1">IFERROR(IF(0=LEN(ReferenceData!$BL$438),"",ReferenceData!$BL$438),"")</f>
        <v>10.46120258</v>
      </c>
      <c r="BM438">
        <f ca="1">IFERROR(IF(0=LEN(ReferenceData!$BM$438),"",ReferenceData!$BM$438),"")</f>
        <v>16.275029719999999</v>
      </c>
    </row>
    <row r="439" spans="1:65" x14ac:dyDescent="0.25">
      <c r="A439" t="str">
        <f>IFERROR(IF(0=LEN(ReferenceData!$A$439),"",ReferenceData!$A$439),"")</f>
        <v xml:space="preserve">    Nissan Motor Co Ltd</v>
      </c>
      <c r="B439" t="str">
        <f>IFERROR(IF(0=LEN(ReferenceData!$B$439),"",ReferenceData!$B$439),"")</f>
        <v>7201 JP Equity</v>
      </c>
      <c r="C439" t="str">
        <f>IFERROR(IF(0=LEN(ReferenceData!$C$439),"",ReferenceData!$C$439),"")</f>
        <v>PR005</v>
      </c>
      <c r="D439" t="str">
        <f>IFERROR(IF(0=LEN(ReferenceData!$D$439),"",ReferenceData!$D$439),"")</f>
        <v>PX_LAST</v>
      </c>
      <c r="E439" t="str">
        <f>IFERROR(IF(0=LEN(ReferenceData!$E$439),"",ReferenceData!$E$439),"")</f>
        <v>Dynamic</v>
      </c>
      <c r="F439">
        <f ca="1">IFERROR(IF(0=LEN(ReferenceData!$F$439),"",ReferenceData!$F$439),"")</f>
        <v>8.6368123249999993</v>
      </c>
      <c r="G439">
        <f ca="1">IFERROR(IF(0=LEN(ReferenceData!$G$439),"",ReferenceData!$G$439),"")</f>
        <v>7.9730096909999997</v>
      </c>
      <c r="H439">
        <f ca="1">IFERROR(IF(0=LEN(ReferenceData!$H$439),"",ReferenceData!$H$439),"")</f>
        <v>9.3700440530000009</v>
      </c>
      <c r="I439">
        <f ca="1">IFERROR(IF(0=LEN(ReferenceData!$I$439),"",ReferenceData!$I$439),"")</f>
        <v>9.7309983750000004</v>
      </c>
      <c r="J439">
        <f ca="1">IFERROR(IF(0=LEN(ReferenceData!$J$439),"",ReferenceData!$J$439),"")</f>
        <v>10.393522880000001</v>
      </c>
      <c r="K439">
        <f ca="1">IFERROR(IF(0=LEN(ReferenceData!$K$439),"",ReferenceData!$K$439),"")</f>
        <v>9.9795700830000005</v>
      </c>
      <c r="L439">
        <f ca="1">IFERROR(IF(0=LEN(ReferenceData!$L$439),"",ReferenceData!$L$439),"")</f>
        <v>9.8961108150000001</v>
      </c>
      <c r="M439">
        <f ca="1">IFERROR(IF(0=LEN(ReferenceData!$M$439),"",ReferenceData!$M$439),"")</f>
        <v>9.9510458390000007</v>
      </c>
      <c r="N439">
        <f ca="1">IFERROR(IF(0=LEN(ReferenceData!$N$439),"",ReferenceData!$N$439),"")</f>
        <v>9.6442368159999994</v>
      </c>
      <c r="O439">
        <f ca="1">IFERROR(IF(0=LEN(ReferenceData!$O$439),"",ReferenceData!$O$439),"")</f>
        <v>10.07801783</v>
      </c>
      <c r="P439">
        <f ca="1">IFERROR(IF(0=LEN(ReferenceData!$P$439),"",ReferenceData!$P$439),"")</f>
        <v>9.6884550919999999</v>
      </c>
      <c r="Q439">
        <f ca="1">IFERROR(IF(0=LEN(ReferenceData!$Q$439),"",ReferenceData!$Q$439),"")</f>
        <v>8.8952417869999998</v>
      </c>
      <c r="R439">
        <f ca="1">IFERROR(IF(0=LEN(ReferenceData!$R$439),"",ReferenceData!$R$439),"")</f>
        <v>9.2577777779999995</v>
      </c>
      <c r="S439">
        <f ca="1">IFERROR(IF(0=LEN(ReferenceData!$S$439),"",ReferenceData!$S$439),"")</f>
        <v>10.60857309</v>
      </c>
      <c r="T439">
        <f ca="1">IFERROR(IF(0=LEN(ReferenceData!$T$439),"",ReferenceData!$T$439),"")</f>
        <v>9.141806635</v>
      </c>
      <c r="U439">
        <f ca="1">IFERROR(IF(0=LEN(ReferenceData!$U$439),"",ReferenceData!$U$439),"")</f>
        <v>10.44055028</v>
      </c>
      <c r="V439">
        <f ca="1">IFERROR(IF(0=LEN(ReferenceData!$V$439),"",ReferenceData!$V$439),"")</f>
        <v>10.204251770000001</v>
      </c>
      <c r="W439">
        <f ca="1">IFERROR(IF(0=LEN(ReferenceData!$W$439),"",ReferenceData!$W$439),"")</f>
        <v>8.8481500079999993</v>
      </c>
      <c r="X439">
        <f ca="1">IFERROR(IF(0=LEN(ReferenceData!$X$439),"",ReferenceData!$X$439),"")</f>
        <v>9.7483129670000004</v>
      </c>
      <c r="Y439">
        <f ca="1">IFERROR(IF(0=LEN(ReferenceData!$Y$439),"",ReferenceData!$Y$439),"")</f>
        <v>9.4876098330000005</v>
      </c>
      <c r="Z439">
        <f ca="1">IFERROR(IF(0=LEN(ReferenceData!$Z$439),"",ReferenceData!$Z$439),"")</f>
        <v>8.9259726399999995</v>
      </c>
      <c r="AA439">
        <f ca="1">IFERROR(IF(0=LEN(ReferenceData!$AA$439),"",ReferenceData!$AA$439),"")</f>
        <v>8.4126379900000003</v>
      </c>
      <c r="AB439">
        <f ca="1">IFERROR(IF(0=LEN(ReferenceData!$AB$439),"",ReferenceData!$AB$439),"")</f>
        <v>10.0193463</v>
      </c>
      <c r="AC439">
        <f ca="1">IFERROR(IF(0=LEN(ReferenceData!$AC$439),"",ReferenceData!$AC$439),"")</f>
        <v>10.11778919</v>
      </c>
      <c r="AD439">
        <f ca="1">IFERROR(IF(0=LEN(ReferenceData!$AD$439),"",ReferenceData!$AD$439),"")</f>
        <v>9.6051793669999999</v>
      </c>
      <c r="AE439">
        <f ca="1">IFERROR(IF(0=LEN(ReferenceData!$AE$439),"",ReferenceData!$AE$439),"")</f>
        <v>9.4214684010000003</v>
      </c>
      <c r="AF439">
        <f ca="1">IFERROR(IF(0=LEN(ReferenceData!$AF$439),"",ReferenceData!$AF$439),"")</f>
        <v>8.5343942510000002</v>
      </c>
      <c r="AG439">
        <f ca="1">IFERROR(IF(0=LEN(ReferenceData!$AG$439),"",ReferenceData!$AG$439),"")</f>
        <v>9.3734335840000007</v>
      </c>
      <c r="AH439">
        <f ca="1">IFERROR(IF(0=LEN(ReferenceData!$AH$439),"",ReferenceData!$AH$439),"")</f>
        <v>10.66198717</v>
      </c>
      <c r="AI439">
        <f ca="1">IFERROR(IF(0=LEN(ReferenceData!$AI$439),"",ReferenceData!$AI$439),"")</f>
        <v>8.9881802830000002</v>
      </c>
      <c r="AJ439">
        <f ca="1">IFERROR(IF(0=LEN(ReferenceData!$AJ$439),"",ReferenceData!$AJ$439),"")</f>
        <v>8.9836660619999993</v>
      </c>
      <c r="AK439">
        <f ca="1">IFERROR(IF(0=LEN(ReferenceData!$AK$439),"",ReferenceData!$AK$439),"")</f>
        <v>10.45183714</v>
      </c>
      <c r="AL439">
        <f ca="1">IFERROR(IF(0=LEN(ReferenceData!$AL$439),"",ReferenceData!$AL$439),"")</f>
        <v>8.9098152840000004</v>
      </c>
      <c r="AM439">
        <f ca="1">IFERROR(IF(0=LEN(ReferenceData!$AM$439),"",ReferenceData!$AM$439),"")</f>
        <v>9.4568142890000004</v>
      </c>
      <c r="AN439">
        <f ca="1">IFERROR(IF(0=LEN(ReferenceData!$AN$439),"",ReferenceData!$AN$439),"")</f>
        <v>8.7347232209999994</v>
      </c>
      <c r="AO439">
        <f ca="1">IFERROR(IF(0=LEN(ReferenceData!$AO$439),"",ReferenceData!$AO$439),"")</f>
        <v>7.0670580269999999</v>
      </c>
      <c r="AP439">
        <f ca="1">IFERROR(IF(0=LEN(ReferenceData!$AP$439),"",ReferenceData!$AP$439),"")</f>
        <v>8.5723458899999994</v>
      </c>
      <c r="AQ439">
        <f ca="1">IFERROR(IF(0=LEN(ReferenceData!$AQ$439),"",ReferenceData!$AQ$439),"")</f>
        <v>8.7681316299999992</v>
      </c>
      <c r="AR439">
        <f ca="1">IFERROR(IF(0=LEN(ReferenceData!$AR$439),"",ReferenceData!$AR$439),"")</f>
        <v>6.7685102590000001</v>
      </c>
      <c r="AS439">
        <f ca="1">IFERROR(IF(0=LEN(ReferenceData!$AS$439),"",ReferenceData!$AS$439),"")</f>
        <v>6.0838870429999998</v>
      </c>
      <c r="AT439">
        <f ca="1">IFERROR(IF(0=LEN(ReferenceData!$AT$439),"",ReferenceData!$AT$439),"")</f>
        <v>3.522898842</v>
      </c>
      <c r="AU439">
        <f ca="1">IFERROR(IF(0=LEN(ReferenceData!$AU$439),"",ReferenceData!$AU$439),"")</f>
        <v>3.542566146</v>
      </c>
      <c r="AV439">
        <f ca="1">IFERROR(IF(0=LEN(ReferenceData!$AV$439),"",ReferenceData!$AV$439),"")</f>
        <v>6.5637065640000003</v>
      </c>
      <c r="AW439">
        <f ca="1">IFERROR(IF(0=LEN(ReferenceData!$AW$439),"",ReferenceData!$AW$439),"")</f>
        <v>8.2587814300000009</v>
      </c>
      <c r="AX439">
        <f ca="1">IFERROR(IF(0=LEN(ReferenceData!$AX$439),"",ReferenceData!$AX$439),"")</f>
        <v>8.2515521730000003</v>
      </c>
      <c r="AY439">
        <f ca="1">IFERROR(IF(0=LEN(ReferenceData!$AY$439),"",ReferenceData!$AY$439),"")</f>
        <v>10.904255320000001</v>
      </c>
      <c r="AZ439">
        <f ca="1">IFERROR(IF(0=LEN(ReferenceData!$AZ$439),"",ReferenceData!$AZ$439),"")</f>
        <v>10.0261324</v>
      </c>
      <c r="BA439">
        <f ca="1">IFERROR(IF(0=LEN(ReferenceData!$BA$439),"",ReferenceData!$BA$439),"")</f>
        <v>10.71718319</v>
      </c>
      <c r="BB439">
        <f ca="1">IFERROR(IF(0=LEN(ReferenceData!$BB$439),"",ReferenceData!$BB$439),"")</f>
        <v>10.740709239999999</v>
      </c>
      <c r="BC439">
        <f ca="1">IFERROR(IF(0=LEN(ReferenceData!$BC$439),"",ReferenceData!$BC$439),"")</f>
        <v>12.033926770000001</v>
      </c>
      <c r="BD439">
        <f ca="1">IFERROR(IF(0=LEN(ReferenceData!$BD$439),"",ReferenceData!$BD$439),"")</f>
        <v>11.20996441</v>
      </c>
      <c r="BE439">
        <f ca="1">IFERROR(IF(0=LEN(ReferenceData!$BE$439),"",ReferenceData!$BE$439),"")</f>
        <v>10.91989167</v>
      </c>
      <c r="BF439">
        <f ca="1">IFERROR(IF(0=LEN(ReferenceData!$BF$439),"",ReferenceData!$BF$439),"")</f>
        <v>11.897872339999999</v>
      </c>
      <c r="BG439">
        <f ca="1">IFERROR(IF(0=LEN(ReferenceData!$BG$439),"",ReferenceData!$BG$439),"")</f>
        <v>10.12969399</v>
      </c>
      <c r="BH439">
        <f ca="1">IFERROR(IF(0=LEN(ReferenceData!$BH$439),"",ReferenceData!$BH$439),"")</f>
        <v>11.41246918</v>
      </c>
      <c r="BI439">
        <f ca="1">IFERROR(IF(0=LEN(ReferenceData!$BI$439),"",ReferenceData!$BI$439),"")</f>
        <v>9.8981339580000007</v>
      </c>
      <c r="BJ439">
        <f ca="1">IFERROR(IF(0=LEN(ReferenceData!$BJ$439),"",ReferenceData!$BJ$439),"")</f>
        <v>10.251865670000001</v>
      </c>
      <c r="BK439">
        <f ca="1">IFERROR(IF(0=LEN(ReferenceData!$BK$439),"",ReferenceData!$BK$439),"")</f>
        <v>10.810286270000001</v>
      </c>
      <c r="BL439">
        <f ca="1">IFERROR(IF(0=LEN(ReferenceData!$BL$439),"",ReferenceData!$BL$439),"")</f>
        <v>10.91603748</v>
      </c>
      <c r="BM439">
        <f ca="1">IFERROR(IF(0=LEN(ReferenceData!$BM$439),"",ReferenceData!$BM$439),"")</f>
        <v>11.09079272</v>
      </c>
    </row>
    <row r="440" spans="1:65" x14ac:dyDescent="0.25">
      <c r="A440" t="str">
        <f>IFERROR(IF(0=LEN(ReferenceData!$A$440),"",ReferenceData!$A$440),"")</f>
        <v xml:space="preserve">    Peugeot SA</v>
      </c>
      <c r="B440" t="str">
        <f>IFERROR(IF(0=LEN(ReferenceData!$B$440),"",ReferenceData!$B$440),"")</f>
        <v>UG FP Equity</v>
      </c>
      <c r="C440" t="str">
        <f>IFERROR(IF(0=LEN(ReferenceData!$C$440),"",ReferenceData!$C$440),"")</f>
        <v>PR005</v>
      </c>
      <c r="D440" t="str">
        <f>IFERROR(IF(0=LEN(ReferenceData!$D$440),"",ReferenceData!$D$440),"")</f>
        <v>PX_LAST</v>
      </c>
      <c r="E440" t="str">
        <f>IFERROR(IF(0=LEN(ReferenceData!$E$440),"",ReferenceData!$E$440),"")</f>
        <v>Dynamic</v>
      </c>
      <c r="F440">
        <f ca="1">IFERROR(IF(0=LEN(ReferenceData!$F$440),"",ReferenceData!$F$440),"")</f>
        <v>25.58024962</v>
      </c>
      <c r="G440">
        <f ca="1">IFERROR(IF(0=LEN(ReferenceData!$G$440),"",ReferenceData!$G$440),"")</f>
        <v>21.352253999999999</v>
      </c>
      <c r="H440">
        <f ca="1">IFERROR(IF(0=LEN(ReferenceData!$H$440),"",ReferenceData!$H$440),"")</f>
        <v>26.979322</v>
      </c>
      <c r="I440">
        <f ca="1">IFERROR(IF(0=LEN(ReferenceData!$I$440),"",ReferenceData!$I$440),"")</f>
        <v>22.840212000000001</v>
      </c>
      <c r="J440">
        <f ca="1">IFERROR(IF(0=LEN(ReferenceData!$J$440),"",ReferenceData!$J$440),"")</f>
        <v>24.028905000000002</v>
      </c>
      <c r="K440">
        <f ca="1">IFERROR(IF(0=LEN(ReferenceData!$K$440),"",ReferenceData!$K$440),"")</f>
        <v>20.383300999999999</v>
      </c>
      <c r="L440">
        <f ca="1">IFERROR(IF(0=LEN(ReferenceData!$L$440),"",ReferenceData!$L$440),"")</f>
        <v>23.783045000000001</v>
      </c>
      <c r="M440">
        <f ca="1">IFERROR(IF(0=LEN(ReferenceData!$M$440),"",ReferenceData!$M$440),"")</f>
        <v>19.9328045</v>
      </c>
      <c r="N440">
        <f ca="1">IFERROR(IF(0=LEN(ReferenceData!$N$440),"",ReferenceData!$N$440),"")</f>
        <v>20.190587499999999</v>
      </c>
      <c r="O440">
        <f ca="1">IFERROR(IF(0=LEN(ReferenceData!$O$440),"",ReferenceData!$O$440),"")</f>
        <v>16.3425765</v>
      </c>
      <c r="P440">
        <f ca="1">IFERROR(IF(0=LEN(ReferenceData!$P$440),"",ReferenceData!$P$440),"")</f>
        <v>15.264466000000001</v>
      </c>
      <c r="Q440">
        <f ca="1">IFERROR(IF(0=LEN(ReferenceData!$Q$440),"",ReferenceData!$Q$440),"")</f>
        <v>11.9754495</v>
      </c>
      <c r="R440">
        <f ca="1">IFERROR(IF(0=LEN(ReferenceData!$R$440),"",ReferenceData!$R$440),"")</f>
        <v>17.139786000000001</v>
      </c>
      <c r="S440">
        <f ca="1">IFERROR(IF(0=LEN(ReferenceData!$S$440),"",ReferenceData!$S$440),"")</f>
        <v>17.608353000000001</v>
      </c>
      <c r="T440">
        <f ca="1">IFERROR(IF(0=LEN(ReferenceData!$T$440),"",ReferenceData!$T$440),"")</f>
        <v>15.045381000000001</v>
      </c>
      <c r="U440">
        <f ca="1">IFERROR(IF(0=LEN(ReferenceData!$U$440),"",ReferenceData!$U$440),"")</f>
        <v>20.5717085</v>
      </c>
      <c r="V440">
        <f ca="1">IFERROR(IF(0=LEN(ReferenceData!$V$440),"",ReferenceData!$V$440),"")</f>
        <v>16.724951999999998</v>
      </c>
      <c r="W440">
        <f ca="1">IFERROR(IF(0=LEN(ReferenceData!$W$440),"",ReferenceData!$W$440),"")</f>
        <v>12.366199999999999</v>
      </c>
      <c r="X440">
        <f ca="1">IFERROR(IF(0=LEN(ReferenceData!$X$440),"",ReferenceData!$X$440),"")</f>
        <v>12.824749499999999</v>
      </c>
      <c r="Y440">
        <f ca="1">IFERROR(IF(0=LEN(ReferenceData!$Y$440),"",ReferenceData!$Y$440),"")</f>
        <v>14.778354999999999</v>
      </c>
      <c r="Z440">
        <f ca="1">IFERROR(IF(0=LEN(ReferenceData!$Z$440),"",ReferenceData!$Z$440),"")</f>
        <v>15.60023887</v>
      </c>
      <c r="AA440">
        <f ca="1">IFERROR(IF(0=LEN(ReferenceData!$AA$440),"",ReferenceData!$AA$440),"")</f>
        <v>10.764278920000001</v>
      </c>
      <c r="AB440">
        <f ca="1">IFERROR(IF(0=LEN(ReferenceData!$AB$440),"",ReferenceData!$AB$440),"")</f>
        <v>13.598104360000001</v>
      </c>
      <c r="AC440">
        <f ca="1">IFERROR(IF(0=LEN(ReferenceData!$AC$440),"",ReferenceData!$AC$440),"")</f>
        <v>6.8036675469999999</v>
      </c>
      <c r="AD440">
        <f ca="1">IFERROR(IF(0=LEN(ReferenceData!$AD$440),"",ReferenceData!$AD$440),"")</f>
        <v>5.9920636529999998</v>
      </c>
      <c r="AE440">
        <f ca="1">IFERROR(IF(0=LEN(ReferenceData!$AE$440),"",ReferenceData!$AE$440),"")</f>
        <v>5.9719220350000004</v>
      </c>
      <c r="AF440">
        <f ca="1">IFERROR(IF(0=LEN(ReferenceData!$AF$440),"",ReferenceData!$AF$440),"")</f>
        <v>6.5498036600000002</v>
      </c>
      <c r="AG440">
        <f ca="1">IFERROR(IF(0=LEN(ReferenceData!$AG$440),"",ReferenceData!$AG$440),"")</f>
        <v>8.1127265449999992</v>
      </c>
      <c r="AH440">
        <f ca="1">IFERROR(IF(0=LEN(ReferenceData!$AH$440),"",ReferenceData!$AH$440),"")</f>
        <v>13.31541303</v>
      </c>
      <c r="AI440">
        <f ca="1">IFERROR(IF(0=LEN(ReferenceData!$AI$440),"",ReferenceData!$AI$440),"")</f>
        <v>11.32879792</v>
      </c>
      <c r="AJ440">
        <f ca="1">IFERROR(IF(0=LEN(ReferenceData!$AJ$440),"",ReferenceData!$AJ$440),"")</f>
        <v>15.69279813</v>
      </c>
      <c r="AK440">
        <f ca="1">IFERROR(IF(0=LEN(ReferenceData!$AK$440),"",ReferenceData!$AK$440),"")</f>
        <v>32.3324584</v>
      </c>
      <c r="AL440">
        <f ca="1">IFERROR(IF(0=LEN(ReferenceData!$AL$440),"",ReferenceData!$AL$440),"")</f>
        <v>28.55682041</v>
      </c>
      <c r="AM440">
        <f ca="1">IFERROR(IF(0=LEN(ReferenceData!$AM$440),"",ReferenceData!$AM$440),"")</f>
        <v>27.409895259999999</v>
      </c>
      <c r="AN440">
        <f ca="1">IFERROR(IF(0=LEN(ReferenceData!$AN$440),"",ReferenceData!$AN$440),"")</f>
        <v>24.248948599999999</v>
      </c>
      <c r="AO440">
        <f ca="1">IFERROR(IF(0=LEN(ReferenceData!$AO$440),"",ReferenceData!$AO$440),"")</f>
        <v>18.637185809999998</v>
      </c>
      <c r="AP440">
        <f ca="1">IFERROR(IF(0=LEN(ReferenceData!$AP$440),"",ReferenceData!$AP$440),"")</f>
        <v>21.295373470000001</v>
      </c>
      <c r="AQ440">
        <f ca="1">IFERROR(IF(0=LEN(ReferenceData!$AQ$440),"",ReferenceData!$AQ$440),"")</f>
        <v>24.48035381</v>
      </c>
      <c r="AR440">
        <f ca="1">IFERROR(IF(0=LEN(ReferenceData!$AR$440),"",ReferenceData!$AR$440),"")</f>
        <v>22.022075780000002</v>
      </c>
      <c r="AS440">
        <f ca="1">IFERROR(IF(0=LEN(ReferenceData!$AS$440),"",ReferenceData!$AS$440),"")</f>
        <v>18.985273339999999</v>
      </c>
      <c r="AT440">
        <f ca="1">IFERROR(IF(0=LEN(ReferenceData!$AT$440),"",ReferenceData!$AT$440),"")</f>
        <v>13.597895250000001</v>
      </c>
      <c r="AU440">
        <f ca="1">IFERROR(IF(0=LEN(ReferenceData!$AU$440),"",ReferenceData!$AU$440),"")</f>
        <v>12.23710137</v>
      </c>
      <c r="AV440">
        <f ca="1">IFERROR(IF(0=LEN(ReferenceData!$AV$440),"",ReferenceData!$AV$440),"")</f>
        <v>26.77413374</v>
      </c>
      <c r="AW440">
        <f ca="1">IFERROR(IF(0=LEN(ReferenceData!$AW$440),"",ReferenceData!$AW$440),"")</f>
        <v>39.176192659999998</v>
      </c>
      <c r="AX440">
        <f ca="1">IFERROR(IF(0=LEN(ReferenceData!$AX$440),"",ReferenceData!$AX$440),"")</f>
        <v>56.04140555</v>
      </c>
      <c r="AY440">
        <f ca="1">IFERROR(IF(0=LEN(ReferenceData!$AY$440),"",ReferenceData!$AY$440),"")</f>
        <v>54.579596670000001</v>
      </c>
      <c r="AZ440">
        <f ca="1">IFERROR(IF(0=LEN(ReferenceData!$AZ$440),"",ReferenceData!$AZ$440),"")</f>
        <v>59.473114109999997</v>
      </c>
      <c r="BA440">
        <f ca="1">IFERROR(IF(0=LEN(ReferenceData!$BA$440),"",ReferenceData!$BA$440),"")</f>
        <v>58.417787689999997</v>
      </c>
      <c r="BB440">
        <f ca="1">IFERROR(IF(0=LEN(ReferenceData!$BB$440),"",ReferenceData!$BB$440),"")</f>
        <v>50.921754780000001</v>
      </c>
      <c r="BC440">
        <f ca="1">IFERROR(IF(0=LEN(ReferenceData!$BC$440),"",ReferenceData!$BC$440),"")</f>
        <v>47.791457000000001</v>
      </c>
      <c r="BD440">
        <f ca="1">IFERROR(IF(0=LEN(ReferenceData!$BD$440),"",ReferenceData!$BD$440),"")</f>
        <v>40.721758309999998</v>
      </c>
      <c r="BE440">
        <f ca="1">IFERROR(IF(0=LEN(ReferenceData!$BE$440),"",ReferenceData!$BE$440),"")</f>
        <v>44.897097170000002</v>
      </c>
      <c r="BF440">
        <f ca="1">IFERROR(IF(0=LEN(ReferenceData!$BF$440),"",ReferenceData!$BF$440),"")</f>
        <v>45.563905300000002</v>
      </c>
      <c r="BG440">
        <f ca="1">IFERROR(IF(0=LEN(ReferenceData!$BG$440),"",ReferenceData!$BG$440),"")</f>
        <v>41.596664869999998</v>
      </c>
      <c r="BH440">
        <f ca="1">IFERROR(IF(0=LEN(ReferenceData!$BH$440),"",ReferenceData!$BH$440),"")</f>
        <v>49.062396810000003</v>
      </c>
      <c r="BI440">
        <f ca="1">IFERROR(IF(0=LEN(ReferenceData!$BI$440),"",ReferenceData!$BI$440),"")</f>
        <v>42.758595419999999</v>
      </c>
      <c r="BJ440">
        <f ca="1">IFERROR(IF(0=LEN(ReferenceData!$BJ$440),"",ReferenceData!$BJ$440),"")</f>
        <v>45.886083839999998</v>
      </c>
      <c r="BK440">
        <f ca="1">IFERROR(IF(0=LEN(ReferenceData!$BK$440),"",ReferenceData!$BK$440),"")</f>
        <v>45.696519840000001</v>
      </c>
      <c r="BL440">
        <f ca="1">IFERROR(IF(0=LEN(ReferenceData!$BL$440),"",ReferenceData!$BL$440),"")</f>
        <v>44.495655239999998</v>
      </c>
      <c r="BM440">
        <f ca="1">IFERROR(IF(0=LEN(ReferenceData!$BM$440),"",ReferenceData!$BM$440),"")</f>
        <v>40.204113380000003</v>
      </c>
    </row>
    <row r="441" spans="1:65" x14ac:dyDescent="0.25">
      <c r="A441" t="str">
        <f>IFERROR(IF(0=LEN(ReferenceData!$A$441),"",ReferenceData!$A$441),"")</f>
        <v xml:space="preserve">    Renault SA</v>
      </c>
      <c r="B441" t="str">
        <f>IFERROR(IF(0=LEN(ReferenceData!$B$441),"",ReferenceData!$B$441),"")</f>
        <v>RNO FP Equity</v>
      </c>
      <c r="C441" t="str">
        <f>IFERROR(IF(0=LEN(ReferenceData!$C$441),"",ReferenceData!$C$441),"")</f>
        <v>PR005</v>
      </c>
      <c r="D441" t="str">
        <f>IFERROR(IF(0=LEN(ReferenceData!$D$441),"",ReferenceData!$D$441),"")</f>
        <v>PX_LAST</v>
      </c>
      <c r="E441" t="str">
        <f>IFERROR(IF(0=LEN(ReferenceData!$E$441),"",ReferenceData!$E$441),"")</f>
        <v>Dynamic</v>
      </c>
      <c r="F441">
        <f ca="1">IFERROR(IF(0=LEN(ReferenceData!$F$441),"",ReferenceData!$F$441),"")</f>
        <v>69.009828990000003</v>
      </c>
      <c r="G441">
        <f ca="1">IFERROR(IF(0=LEN(ReferenceData!$G$441),"",ReferenceData!$G$441),"")</f>
        <v>62.470660000000002</v>
      </c>
      <c r="H441">
        <f ca="1">IFERROR(IF(0=LEN(ReferenceData!$H$441),"",ReferenceData!$H$441),"")</f>
        <v>86.524299999999997</v>
      </c>
      <c r="I441">
        <f ca="1">IFERROR(IF(0=LEN(ReferenceData!$I$441),"",ReferenceData!$I$441),"")</f>
        <v>85.043591000000006</v>
      </c>
      <c r="J441">
        <f ca="1">IFERROR(IF(0=LEN(ReferenceData!$J$441),"",ReferenceData!$J$441),"")</f>
        <v>121.06635</v>
      </c>
      <c r="K441">
        <f ca="1">IFERROR(IF(0=LEN(ReferenceData!$K$441),"",ReferenceData!$K$441),"")</f>
        <v>100.87660200000001</v>
      </c>
      <c r="L441">
        <f ca="1">IFERROR(IF(0=LEN(ReferenceData!$L$441),"",ReferenceData!$L$441),"")</f>
        <v>98.094733000000005</v>
      </c>
      <c r="M441">
        <f ca="1">IFERROR(IF(0=LEN(ReferenceData!$M$441),"",ReferenceData!$M$441),"")</f>
        <v>90.448025000000001</v>
      </c>
      <c r="N441">
        <f ca="1">IFERROR(IF(0=LEN(ReferenceData!$N$441),"",ReferenceData!$N$441),"")</f>
        <v>87.105671000000001</v>
      </c>
      <c r="O441">
        <f ca="1">IFERROR(IF(0=LEN(ReferenceData!$O$441),"",ReferenceData!$O$441),"")</f>
        <v>89.132696999999993</v>
      </c>
      <c r="P441">
        <f ca="1">IFERROR(IF(0=LEN(ReferenceData!$P$441),"",ReferenceData!$P$441),"")</f>
        <v>82.121592000000007</v>
      </c>
      <c r="Q441">
        <f ca="1">IFERROR(IF(0=LEN(ReferenceData!$Q$441),"",ReferenceData!$Q$441),"")</f>
        <v>75.783612000000005</v>
      </c>
      <c r="R441">
        <f ca="1">IFERROR(IF(0=LEN(ReferenceData!$R$441),"",ReferenceData!$R$441),"")</f>
        <v>99.378891999999993</v>
      </c>
      <c r="S441">
        <f ca="1">IFERROR(IF(0=LEN(ReferenceData!$S$441),"",ReferenceData!$S$441),"")</f>
        <v>100.651758</v>
      </c>
      <c r="T441">
        <f ca="1">IFERROR(IF(0=LEN(ReferenceData!$T$441),"",ReferenceData!$T$441),"")</f>
        <v>71.564800000000005</v>
      </c>
      <c r="U441">
        <f ca="1">IFERROR(IF(0=LEN(ReferenceData!$U$441),"",ReferenceData!$U$441),"")</f>
        <v>104.191326</v>
      </c>
      <c r="V441">
        <f ca="1">IFERROR(IF(0=LEN(ReferenceData!$V$441),"",ReferenceData!$V$441),"")</f>
        <v>90.941255999999996</v>
      </c>
      <c r="W441">
        <f ca="1">IFERROR(IF(0=LEN(ReferenceData!$W$441),"",ReferenceData!$W$441),"")</f>
        <v>73.241299999999995</v>
      </c>
      <c r="X441">
        <f ca="1">IFERROR(IF(0=LEN(ReferenceData!$X$441),"",ReferenceData!$X$441),"")</f>
        <v>72.427314999999993</v>
      </c>
      <c r="Y441">
        <f ca="1">IFERROR(IF(0=LEN(ReferenceData!$Y$441),"",ReferenceData!$Y$441),"")</f>
        <v>90.395070000000004</v>
      </c>
      <c r="Z441">
        <f ca="1">IFERROR(IF(0=LEN(ReferenceData!$Z$441),"",ReferenceData!$Z$441),"")</f>
        <v>97.147688000000002</v>
      </c>
      <c r="AA441">
        <f ca="1">IFERROR(IF(0=LEN(ReferenceData!$AA$441),"",ReferenceData!$AA$441),"")</f>
        <v>80.596705</v>
      </c>
      <c r="AB441">
        <f ca="1">IFERROR(IF(0=LEN(ReferenceData!$AB$441),"",ReferenceData!$AB$441),"")</f>
        <v>79.738183000000006</v>
      </c>
      <c r="AC441">
        <f ca="1">IFERROR(IF(0=LEN(ReferenceData!$AC$441),"",ReferenceData!$AC$441),"")</f>
        <v>67.235849999999999</v>
      </c>
      <c r="AD441">
        <f ca="1">IFERROR(IF(0=LEN(ReferenceData!$AD$441),"",ReferenceData!$AD$441),"")</f>
        <v>62.667524999999998</v>
      </c>
      <c r="AE441">
        <f ca="1">IFERROR(IF(0=LEN(ReferenceData!$AE$441),"",ReferenceData!$AE$441),"")</f>
        <v>53.6919945</v>
      </c>
      <c r="AF441">
        <f ca="1">IFERROR(IF(0=LEN(ReferenceData!$AF$441),"",ReferenceData!$AF$441),"")</f>
        <v>47.023152000000003</v>
      </c>
      <c r="AG441">
        <f ca="1">IFERROR(IF(0=LEN(ReferenceData!$AG$441),"",ReferenceData!$AG$441),"")</f>
        <v>39.774743999999998</v>
      </c>
      <c r="AH441">
        <f ca="1">IFERROR(IF(0=LEN(ReferenceData!$AH$441),"",ReferenceData!$AH$441),"")</f>
        <v>52.69473</v>
      </c>
      <c r="AI441">
        <f ca="1">IFERROR(IF(0=LEN(ReferenceData!$AI$441),"",ReferenceData!$AI$441),"")</f>
        <v>34.732799999999997</v>
      </c>
      <c r="AJ441">
        <f ca="1">IFERROR(IF(0=LEN(ReferenceData!$AJ$441),"",ReferenceData!$AJ$441),"")</f>
        <v>33.716642999999998</v>
      </c>
      <c r="AK441">
        <f ca="1">IFERROR(IF(0=LEN(ReferenceData!$AK$441),"",ReferenceData!$AK$441),"")</f>
        <v>59.324134999999998</v>
      </c>
      <c r="AL441">
        <f ca="1">IFERROR(IF(0=LEN(ReferenceData!$AL$441),"",ReferenceData!$AL$441),"")</f>
        <v>55.35519</v>
      </c>
      <c r="AM441">
        <f ca="1">IFERROR(IF(0=LEN(ReferenceData!$AM$441),"",ReferenceData!$AM$441),"")</f>
        <v>58.142099999999999</v>
      </c>
      <c r="AN441">
        <f ca="1">IFERROR(IF(0=LEN(ReferenceData!$AN$441),"",ReferenceData!$AN$441),"")</f>
        <v>51.40869</v>
      </c>
      <c r="AO441">
        <f ca="1">IFERROR(IF(0=LEN(ReferenceData!$AO$441),"",ReferenceData!$AO$441),"")</f>
        <v>37.733174499999997</v>
      </c>
      <c r="AP441">
        <f ca="1">IFERROR(IF(0=LEN(ReferenceData!$AP$441),"",ReferenceData!$AP$441),"")</f>
        <v>46.959510000000002</v>
      </c>
      <c r="AQ441">
        <f ca="1">IFERROR(IF(0=LEN(ReferenceData!$AQ$441),"",ReferenceData!$AQ$441),"")</f>
        <v>51.878219999999999</v>
      </c>
      <c r="AR441">
        <f ca="1">IFERROR(IF(0=LEN(ReferenceData!$AR$441),"",ReferenceData!$AR$441),"")</f>
        <v>46.659919500000001</v>
      </c>
      <c r="AS441">
        <f ca="1">IFERROR(IF(0=LEN(ReferenceData!$AS$441),"",ReferenceData!$AS$441),"")</f>
        <v>36.76885</v>
      </c>
      <c r="AT441">
        <f ca="1">IFERROR(IF(0=LEN(ReferenceData!$AT$441),"",ReferenceData!$AT$441),"")</f>
        <v>20.485106500000001</v>
      </c>
      <c r="AU441">
        <f ca="1">IFERROR(IF(0=LEN(ReferenceData!$AU$441),"",ReferenceData!$AU$441),"")</f>
        <v>25.882815000000001</v>
      </c>
      <c r="AV441">
        <f ca="1">IFERROR(IF(0=LEN(ReferenceData!$AV$441),"",ReferenceData!$AV$441),"")</f>
        <v>62.671062999999997</v>
      </c>
      <c r="AW441">
        <f ca="1">IFERROR(IF(0=LEN(ReferenceData!$AW$441),"",ReferenceData!$AW$441),"")</f>
        <v>81.984560000000002</v>
      </c>
      <c r="AX441">
        <f ca="1">IFERROR(IF(0=LEN(ReferenceData!$AX$441),"",ReferenceData!$AX$441),"")</f>
        <v>110.82109</v>
      </c>
      <c r="AY441">
        <f ca="1">IFERROR(IF(0=LEN(ReferenceData!$AY$441),"",ReferenceData!$AY$441),"")</f>
        <v>141.469683</v>
      </c>
      <c r="AZ441">
        <f ca="1">IFERROR(IF(0=LEN(ReferenceData!$AZ$441),"",ReferenceData!$AZ$441),"")</f>
        <v>144.65607</v>
      </c>
      <c r="BA441">
        <f ca="1">IFERROR(IF(0=LEN(ReferenceData!$BA$441),"",ReferenceData!$BA$441),"")</f>
        <v>161.38649799999999</v>
      </c>
      <c r="BB441">
        <f ca="1">IFERROR(IF(0=LEN(ReferenceData!$BB$441),"",ReferenceData!$BB$441),"")</f>
        <v>117.06310499999999</v>
      </c>
      <c r="BC441">
        <f ca="1">IFERROR(IF(0=LEN(ReferenceData!$BC$441),"",ReferenceData!$BC$441),"")</f>
        <v>120.01990000000001</v>
      </c>
      <c r="BD441">
        <f ca="1">IFERROR(IF(0=LEN(ReferenceData!$BD$441),"",ReferenceData!$BD$441),"")</f>
        <v>114.74487000000001</v>
      </c>
      <c r="BE441">
        <f ca="1">IFERROR(IF(0=LEN(ReferenceData!$BE$441),"",ReferenceData!$BE$441),"")</f>
        <v>107.39400000000001</v>
      </c>
      <c r="BF441">
        <f ca="1">IFERROR(IF(0=LEN(ReferenceData!$BF$441),"",ReferenceData!$BF$441),"")</f>
        <v>106.51972499999999</v>
      </c>
      <c r="BG441">
        <f ca="1">IFERROR(IF(0=LEN(ReferenceData!$BG$441),"",ReferenceData!$BG$441),"")</f>
        <v>81.52937</v>
      </c>
      <c r="BH441">
        <f ca="1">IFERROR(IF(0=LEN(ReferenceData!$BH$441),"",ReferenceData!$BH$441),"")</f>
        <v>94.796400000000006</v>
      </c>
      <c r="BI441">
        <f ca="1">IFERROR(IF(0=LEN(ReferenceData!$BI$441),"",ReferenceData!$BI$441),"")</f>
        <v>88.165260000000004</v>
      </c>
      <c r="BJ441">
        <f ca="1">IFERROR(IF(0=LEN(ReferenceData!$BJ$441),"",ReferenceData!$BJ$441),"")</f>
        <v>89.349519999999998</v>
      </c>
      <c r="BK441">
        <f ca="1">IFERROR(IF(0=LEN(ReferenceData!$BK$441),"",ReferenceData!$BK$441),"")</f>
        <v>83.437179999999998</v>
      </c>
      <c r="BL441">
        <f ca="1">IFERROR(IF(0=LEN(ReferenceData!$BL$441),"",ReferenceData!$BL$441),"")</f>
        <v>81.838380000000001</v>
      </c>
      <c r="BM441">
        <f ca="1">IFERROR(IF(0=LEN(ReferenceData!$BM$441),"",ReferenceData!$BM$441),"")</f>
        <v>76.177940000000007</v>
      </c>
    </row>
    <row r="442" spans="1:65" x14ac:dyDescent="0.25">
      <c r="A442" t="str">
        <f>IFERROR(IF(0=LEN(ReferenceData!$A$442),"",ReferenceData!$A$442),"")</f>
        <v xml:space="preserve">    SAIC Motor Corp Ltd</v>
      </c>
      <c r="B442" t="str">
        <f>IFERROR(IF(0=LEN(ReferenceData!$B$442),"",ReferenceData!$B$442),"")</f>
        <v>600104 CH Equity</v>
      </c>
      <c r="C442" t="str">
        <f>IFERROR(IF(0=LEN(ReferenceData!$C$442),"",ReferenceData!$C$442),"")</f>
        <v>PR005</v>
      </c>
      <c r="D442" t="str">
        <f>IFERROR(IF(0=LEN(ReferenceData!$D$442),"",ReferenceData!$D$442),"")</f>
        <v>PX_LAST</v>
      </c>
      <c r="E442" t="str">
        <f>IFERROR(IF(0=LEN(ReferenceData!$E$442),"",ReferenceData!$E$442),"")</f>
        <v>Dynamic</v>
      </c>
      <c r="F442">
        <f ca="1">IFERROR(IF(0=LEN(ReferenceData!$F$442),"",ReferenceData!$F$442),"")</f>
        <v>4.2308440310000002</v>
      </c>
      <c r="G442">
        <f ca="1">IFERROR(IF(0=LEN(ReferenceData!$G$442),"",ReferenceData!$G$442),"")</f>
        <v>3.877467942</v>
      </c>
      <c r="H442">
        <f ca="1">IFERROR(IF(0=LEN(ReferenceData!$H$442),"",ReferenceData!$H$442),"")</f>
        <v>4.8448850649999997</v>
      </c>
      <c r="I442">
        <f ca="1">IFERROR(IF(0=LEN(ReferenceData!$I$442),"",ReferenceData!$I$442),"")</f>
        <v>5.2823865090000002</v>
      </c>
      <c r="J442">
        <f ca="1">IFERROR(IF(0=LEN(ReferenceData!$J$442),"",ReferenceData!$J$442),"")</f>
        <v>5.4087150130000001</v>
      </c>
      <c r="K442">
        <f ca="1">IFERROR(IF(0=LEN(ReferenceData!$K$442),"",ReferenceData!$K$442),"")</f>
        <v>4.9241551020000003</v>
      </c>
      <c r="L442">
        <f ca="1">IFERROR(IF(0=LEN(ReferenceData!$L$442),"",ReferenceData!$L$442),"")</f>
        <v>4.5501816149999996</v>
      </c>
      <c r="M442">
        <f ca="1">IFERROR(IF(0=LEN(ReferenceData!$M$442),"",ReferenceData!$M$442),"")</f>
        <v>4.5897325980000003</v>
      </c>
      <c r="N442">
        <f ca="1">IFERROR(IF(0=LEN(ReferenceData!$N$442),"",ReferenceData!$N$442),"")</f>
        <v>3.6902407820000001</v>
      </c>
      <c r="O442">
        <f ca="1">IFERROR(IF(0=LEN(ReferenceData!$O$442),"",ReferenceData!$O$442),"")</f>
        <v>3.379108607</v>
      </c>
      <c r="P442">
        <f ca="1">IFERROR(IF(0=LEN(ReferenceData!$P$442),"",ReferenceData!$P$442),"")</f>
        <v>3.277680272</v>
      </c>
      <c r="Q442">
        <f ca="1">IFERROR(IF(0=LEN(ReferenceData!$Q$442),"",ReferenceData!$Q$442),"")</f>
        <v>3.0489729059999999</v>
      </c>
      <c r="R442">
        <f ca="1">IFERROR(IF(0=LEN(ReferenceData!$R$442),"",ReferenceData!$R$442),"")</f>
        <v>3.1087761710000001</v>
      </c>
      <c r="S442">
        <f ca="1">IFERROR(IF(0=LEN(ReferenceData!$S$442),"",ReferenceData!$S$442),"")</f>
        <v>3.2709055880000002</v>
      </c>
      <c r="T442">
        <f ca="1">IFERROR(IF(0=LEN(ReferenceData!$T$442),"",ReferenceData!$T$442),"")</f>
        <v>2.642381919</v>
      </c>
      <c r="U442">
        <f ca="1">IFERROR(IF(0=LEN(ReferenceData!$U$442),"",ReferenceData!$U$442),"")</f>
        <v>3.6460433980000002</v>
      </c>
      <c r="V442">
        <f ca="1">IFERROR(IF(0=LEN(ReferenceData!$V$442),"",ReferenceData!$V$442),"")</f>
        <v>4.0087075710000004</v>
      </c>
      <c r="W442">
        <f ca="1">IFERROR(IF(0=LEN(ReferenceData!$W$442),"",ReferenceData!$W$442),"")</f>
        <v>3.4587750100000001</v>
      </c>
      <c r="X442">
        <f ca="1">IFERROR(IF(0=LEN(ReferenceData!$X$442),"",ReferenceData!$X$442),"")</f>
        <v>2.945488906</v>
      </c>
      <c r="Y442">
        <f ca="1">IFERROR(IF(0=LEN(ReferenceData!$Y$442),"",ReferenceData!$Y$442),"")</f>
        <v>2.466071371</v>
      </c>
      <c r="Z442">
        <f ca="1">IFERROR(IF(0=LEN(ReferenceData!$Z$442),"",ReferenceData!$Z$442),"")</f>
        <v>2.2272252149999998</v>
      </c>
      <c r="AA442">
        <f ca="1">IFERROR(IF(0=LEN(ReferenceData!$AA$442),"",ReferenceData!$AA$442),"")</f>
        <v>2.3362633009999998</v>
      </c>
      <c r="AB442">
        <f ca="1">IFERROR(IF(0=LEN(ReferenceData!$AB$442),"",ReferenceData!$AB$442),"")</f>
        <v>2.2102786939999999</v>
      </c>
      <c r="AC442">
        <f ca="1">IFERROR(IF(0=LEN(ReferenceData!$AC$442),"",ReferenceData!$AC$442),"")</f>
        <v>2.152307091</v>
      </c>
      <c r="AD442">
        <f ca="1">IFERROR(IF(0=LEN(ReferenceData!$AD$442),"",ReferenceData!$AD$442),"")</f>
        <v>2.3829458360000002</v>
      </c>
      <c r="AE442">
        <f ca="1">IFERROR(IF(0=LEN(ReferenceData!$AE$442),"",ReferenceData!$AE$442),"")</f>
        <v>2.8291900559999998</v>
      </c>
      <c r="AF442">
        <f ca="1">IFERROR(IF(0=LEN(ReferenceData!$AF$442),"",ReferenceData!$AF$442),"")</f>
        <v>2.1540615359999999</v>
      </c>
      <c r="AG442">
        <f ca="1">IFERROR(IF(0=LEN(ReferenceData!$AG$442),"",ReferenceData!$AG$442),"")</f>
        <v>2.2485877479999998</v>
      </c>
      <c r="AH442">
        <f ca="1">IFERROR(IF(0=LEN(ReferenceData!$AH$442),"",ReferenceData!$AH$442),"")</f>
        <v>2.354491474</v>
      </c>
      <c r="AI442">
        <f ca="1">IFERROR(IF(0=LEN(ReferenceData!$AI$442),"",ReferenceData!$AI$442),"")</f>
        <v>2.244551328</v>
      </c>
      <c r="AJ442">
        <f ca="1">IFERROR(IF(0=LEN(ReferenceData!$AJ$442),"",ReferenceData!$AJ$442),"")</f>
        <v>2.5035249880000001</v>
      </c>
      <c r="AK442">
        <f ca="1">IFERROR(IF(0=LEN(ReferenceData!$AK$442),"",ReferenceData!$AK$442),"")</f>
        <v>2.899178515</v>
      </c>
      <c r="AL442">
        <f ca="1">IFERROR(IF(0=LEN(ReferenceData!$AL$442),"",ReferenceData!$AL$442),"")</f>
        <v>2.7988895459999998</v>
      </c>
      <c r="AM442">
        <f ca="1">IFERROR(IF(0=LEN(ReferenceData!$AM$442),"",ReferenceData!$AM$442),"")</f>
        <v>2.227719016</v>
      </c>
      <c r="AN442">
        <f ca="1">IFERROR(IF(0=LEN(ReferenceData!$AN$442),"",ReferenceData!$AN$442),"")</f>
        <v>2.5186846040000002</v>
      </c>
      <c r="AO442">
        <f ca="1">IFERROR(IF(0=LEN(ReferenceData!$AO$442),"",ReferenceData!$AO$442),"")</f>
        <v>1.8093608990000001</v>
      </c>
      <c r="AP442">
        <f ca="1">IFERROR(IF(0=LEN(ReferenceData!$AP$442),"",ReferenceData!$AP$442),"")</f>
        <v>2.3066218190000001</v>
      </c>
      <c r="AQ442">
        <f ca="1">IFERROR(IF(0=LEN(ReferenceData!$AQ$442),"",ReferenceData!$AQ$442),"")</f>
        <v>2.9441490529999998</v>
      </c>
      <c r="AR442">
        <f ca="1">IFERROR(IF(0=LEN(ReferenceData!$AR$442),"",ReferenceData!$AR$442),"")</f>
        <v>2.2255552340000002</v>
      </c>
      <c r="AS442">
        <f ca="1">IFERROR(IF(0=LEN(ReferenceData!$AS$442),"",ReferenceData!$AS$442),"")</f>
        <v>1.683575622</v>
      </c>
      <c r="AT442">
        <f ca="1">IFERROR(IF(0=LEN(ReferenceData!$AT$442),"",ReferenceData!$AT$442),"")</f>
        <v>1.107649082</v>
      </c>
      <c r="AU442">
        <f ca="1">IFERROR(IF(0=LEN(ReferenceData!$AU$442),"",ReferenceData!$AU$442),"")</f>
        <v>0.60406958099999997</v>
      </c>
      <c r="AV442">
        <f ca="1">IFERROR(IF(0=LEN(ReferenceData!$AV$442),"",ReferenceData!$AV$442),"")</f>
        <v>0.76602961899999999</v>
      </c>
      <c r="AW442">
        <f ca="1">IFERROR(IF(0=LEN(ReferenceData!$AW$442),"",ReferenceData!$AW$442),"")</f>
        <v>0.88097421200000003</v>
      </c>
      <c r="AX442">
        <f ca="1">IFERROR(IF(0=LEN(ReferenceData!$AX$442),"",ReferenceData!$AX$442),"")</f>
        <v>1.5062091360000001</v>
      </c>
      <c r="AY442">
        <f ca="1">IFERROR(IF(0=LEN(ReferenceData!$AY$442),"",ReferenceData!$AY$442),"")</f>
        <v>2.7687294699999998</v>
      </c>
      <c r="AZ442">
        <f ca="1">IFERROR(IF(0=LEN(ReferenceData!$AZ$442),"",ReferenceData!$AZ$442),"")</f>
        <v>3.0272814010000002</v>
      </c>
      <c r="BA442">
        <f ca="1">IFERROR(IF(0=LEN(ReferenceData!$BA$442),"",ReferenceData!$BA$442),"")</f>
        <v>1.7449450150000001</v>
      </c>
      <c r="BB442">
        <f ca="1">IFERROR(IF(0=LEN(ReferenceData!$BB$442),"",ReferenceData!$BB$442),"")</f>
        <v>1.2326012070000001</v>
      </c>
      <c r="BC442">
        <f ca="1">IFERROR(IF(0=LEN(ReferenceData!$BC$442),"",ReferenceData!$BC$442),"")</f>
        <v>0.80519344900000001</v>
      </c>
      <c r="BD442">
        <f ca="1">IFERROR(IF(0=LEN(ReferenceData!$BD$442),"",ReferenceData!$BD$442),"")</f>
        <v>0.50703967699999997</v>
      </c>
      <c r="BE442">
        <f ca="1">IFERROR(IF(0=LEN(ReferenceData!$BE$442),"",ReferenceData!$BE$442),"")</f>
        <v>0.56386329099999999</v>
      </c>
      <c r="BF442">
        <f ca="1">IFERROR(IF(0=LEN(ReferenceData!$BF$442),"",ReferenceData!$BF$442),"")</f>
        <v>0.334856981</v>
      </c>
      <c r="BG442">
        <f ca="1">IFERROR(IF(0=LEN(ReferenceData!$BG$442),"",ReferenceData!$BG$442),"")</f>
        <v>0.31550071200000002</v>
      </c>
      <c r="BH442">
        <f ca="1">IFERROR(IF(0=LEN(ReferenceData!$BH$442),"",ReferenceData!$BH$442),"")</f>
        <v>0.49045233799999999</v>
      </c>
      <c r="BI442">
        <f ca="1">IFERROR(IF(0=LEN(ReferenceData!$BI$442),"",ReferenceData!$BI$442),"")</f>
        <v>0.39965350999999999</v>
      </c>
      <c r="BJ442">
        <f ca="1">IFERROR(IF(0=LEN(ReferenceData!$BJ$442),"",ReferenceData!$BJ$442),"")</f>
        <v>0.40151236299999998</v>
      </c>
      <c r="BK442">
        <f ca="1">IFERROR(IF(0=LEN(ReferenceData!$BK$442),"",ReferenceData!$BK$442),"")</f>
        <v>0.44147238</v>
      </c>
      <c r="BL442">
        <f ca="1">IFERROR(IF(0=LEN(ReferenceData!$BL$442),"",ReferenceData!$BL$442),"")</f>
        <v>0.72680294999999995</v>
      </c>
      <c r="BM442">
        <f ca="1">IFERROR(IF(0=LEN(ReferenceData!$BM$442),"",ReferenceData!$BM$442),"")</f>
        <v>0.79186203799999999</v>
      </c>
    </row>
    <row r="443" spans="1:65" x14ac:dyDescent="0.25">
      <c r="A443" t="str">
        <f>IFERROR(IF(0=LEN(ReferenceData!$A$443),"",ReferenceData!$A$443),"")</f>
        <v xml:space="preserve">    Sanyang Motor Co Ltd</v>
      </c>
      <c r="B443" t="str">
        <f>IFERROR(IF(0=LEN(ReferenceData!$B$443),"",ReferenceData!$B$443),"")</f>
        <v>2206 TT Equity</v>
      </c>
      <c r="C443" t="str">
        <f>IFERROR(IF(0=LEN(ReferenceData!$C$443),"",ReferenceData!$C$443),"")</f>
        <v>PR005</v>
      </c>
      <c r="D443" t="str">
        <f>IFERROR(IF(0=LEN(ReferenceData!$D$443),"",ReferenceData!$D$443),"")</f>
        <v>PX_LAST</v>
      </c>
      <c r="E443" t="str">
        <f>IFERROR(IF(0=LEN(ReferenceData!$E$443),"",ReferenceData!$E$443),"")</f>
        <v>Dynamic</v>
      </c>
      <c r="F443">
        <f ca="1">IFERROR(IF(0=LEN(ReferenceData!$F$443),"",ReferenceData!$F$443),"")</f>
        <v>0.66090740000000003</v>
      </c>
      <c r="G443">
        <f ca="1">IFERROR(IF(0=LEN(ReferenceData!$G$443),"",ReferenceData!$G$443),"")</f>
        <v>0.654857405</v>
      </c>
      <c r="H443">
        <f ca="1">IFERROR(IF(0=LEN(ReferenceData!$H$443),"",ReferenceData!$H$443),"")</f>
        <v>0.67246186699999999</v>
      </c>
      <c r="I443">
        <f ca="1">IFERROR(IF(0=LEN(ReferenceData!$I$443),"",ReferenceData!$I$443),"")</f>
        <v>0.71749909700000003</v>
      </c>
      <c r="J443">
        <f ca="1">IFERROR(IF(0=LEN(ReferenceData!$J$443),"",ReferenceData!$J$443),"")</f>
        <v>0.72998969400000002</v>
      </c>
      <c r="K443">
        <f ca="1">IFERROR(IF(0=LEN(ReferenceData!$K$443),"",ReferenceData!$K$443),"")</f>
        <v>0.72129158400000004</v>
      </c>
      <c r="L443">
        <f ca="1">IFERROR(IF(0=LEN(ReferenceData!$L$443),"",ReferenceData!$L$443),"")</f>
        <v>0.703318475</v>
      </c>
      <c r="M443">
        <f ca="1">IFERROR(IF(0=LEN(ReferenceData!$M$443),"",ReferenceData!$M$443),"")</f>
        <v>0.72096391900000001</v>
      </c>
      <c r="N443">
        <f ca="1">IFERROR(IF(0=LEN(ReferenceData!$N$443),"",ReferenceData!$N$443),"")</f>
        <v>0.70661483700000005</v>
      </c>
      <c r="O443">
        <f ca="1">IFERROR(IF(0=LEN(ReferenceData!$O$443),"",ReferenceData!$O$443),"")</f>
        <v>0.63902694999999998</v>
      </c>
      <c r="P443">
        <f ca="1">IFERROR(IF(0=LEN(ReferenceData!$P$443),"",ReferenceData!$P$443),"")</f>
        <v>0.66474912100000005</v>
      </c>
      <c r="Q443">
        <f ca="1">IFERROR(IF(0=LEN(ReferenceData!$Q$443),"",ReferenceData!$Q$443),"")</f>
        <v>0.64267751299999998</v>
      </c>
      <c r="R443">
        <f ca="1">IFERROR(IF(0=LEN(ReferenceData!$R$443),"",ReferenceData!$R$443),"")</f>
        <v>0.66784704800000005</v>
      </c>
      <c r="S443">
        <f ca="1">IFERROR(IF(0=LEN(ReferenceData!$S$443),"",ReferenceData!$S$443),"")</f>
        <v>0.66836796700000001</v>
      </c>
      <c r="T443">
        <f ca="1">IFERROR(IF(0=LEN(ReferenceData!$T$443),"",ReferenceData!$T$443),"")</f>
        <v>0.70898348700000002</v>
      </c>
      <c r="U443">
        <f ca="1">IFERROR(IF(0=LEN(ReferenceData!$U$443),"",ReferenceData!$U$443),"")</f>
        <v>0.802900803</v>
      </c>
      <c r="V443">
        <f ca="1">IFERROR(IF(0=LEN(ReferenceData!$V$443),"",ReferenceData!$V$443),"")</f>
        <v>0.83831952099999996</v>
      </c>
      <c r="W443">
        <f ca="1">IFERROR(IF(0=LEN(ReferenceData!$W$443),"",ReferenceData!$W$443),"")</f>
        <v>0.901356779</v>
      </c>
      <c r="X443">
        <f ca="1">IFERROR(IF(0=LEN(ReferenceData!$X$443),"",ReferenceData!$X$443),"")</f>
        <v>0.91722006700000003</v>
      </c>
      <c r="Y443">
        <f ca="1">IFERROR(IF(0=LEN(ReferenceData!$Y$443),"",ReferenceData!$Y$443),"")</f>
        <v>1.047874121</v>
      </c>
      <c r="Z443">
        <f ca="1">IFERROR(IF(0=LEN(ReferenceData!$Z$443),"",ReferenceData!$Z$443),"")</f>
        <v>1.6582386549999999</v>
      </c>
      <c r="AA443">
        <f ca="1">IFERROR(IF(0=LEN(ReferenceData!$AA$443),"",ReferenceData!$AA$443),"")</f>
        <v>1.6383271290000001</v>
      </c>
      <c r="AB443">
        <f ca="1">IFERROR(IF(0=LEN(ReferenceData!$AB$443),"",ReferenceData!$AB$443),"")</f>
        <v>1.4394451960000001</v>
      </c>
      <c r="AC443">
        <f ca="1">IFERROR(IF(0=LEN(ReferenceData!$AC$443),"",ReferenceData!$AC$443),"")</f>
        <v>0.92734672100000004</v>
      </c>
      <c r="AD443">
        <f ca="1">IFERROR(IF(0=LEN(ReferenceData!$AD$443),"",ReferenceData!$AD$443),"")</f>
        <v>0.83274689199999996</v>
      </c>
      <c r="AE443">
        <f ca="1">IFERROR(IF(0=LEN(ReferenceData!$AE$443),"",ReferenceData!$AE$443),"")</f>
        <v>0.60881229999999997</v>
      </c>
      <c r="AF443">
        <f ca="1">IFERROR(IF(0=LEN(ReferenceData!$AF$443),"",ReferenceData!$AF$443),"")</f>
        <v>0.68708016500000002</v>
      </c>
      <c r="AG443">
        <f ca="1">IFERROR(IF(0=LEN(ReferenceData!$AG$443),"",ReferenceData!$AG$443),"")</f>
        <v>0.64673949500000005</v>
      </c>
      <c r="AH443">
        <f ca="1">IFERROR(IF(0=LEN(ReferenceData!$AH$443),"",ReferenceData!$AH$443),"")</f>
        <v>0.67949978</v>
      </c>
      <c r="AI443">
        <f ca="1">IFERROR(IF(0=LEN(ReferenceData!$AI$443),"",ReferenceData!$AI$443),"")</f>
        <v>0.54311938699999995</v>
      </c>
      <c r="AJ443">
        <f ca="1">IFERROR(IF(0=LEN(ReferenceData!$AJ$443),"",ReferenceData!$AJ$443),"")</f>
        <v>0.55604763300000004</v>
      </c>
      <c r="AK443">
        <f ca="1">IFERROR(IF(0=LEN(ReferenceData!$AK$443),"",ReferenceData!$AK$443),"")</f>
        <v>0.57045755600000003</v>
      </c>
      <c r="AL443">
        <f ca="1">IFERROR(IF(0=LEN(ReferenceData!$AL$443),"",ReferenceData!$AL$443),"")</f>
        <v>0.55661853100000003</v>
      </c>
      <c r="AM443">
        <f ca="1">IFERROR(IF(0=LEN(ReferenceData!$AM$443),"",ReferenceData!$AM$443),"")</f>
        <v>0.59858113599999996</v>
      </c>
      <c r="AN443">
        <f ca="1">IFERROR(IF(0=LEN(ReferenceData!$AN$443),"",ReferenceData!$AN$443),"")</f>
        <v>0.50148512099999998</v>
      </c>
      <c r="AO443">
        <f ca="1">IFERROR(IF(0=LEN(ReferenceData!$AO$443),"",ReferenceData!$AO$443),"")</f>
        <v>0.37580828100000002</v>
      </c>
      <c r="AP443">
        <f ca="1">IFERROR(IF(0=LEN(ReferenceData!$AP$443),"",ReferenceData!$AP$443),"")</f>
        <v>0.38763604400000001</v>
      </c>
      <c r="AQ443">
        <f ca="1">IFERROR(IF(0=LEN(ReferenceData!$AQ$443),"",ReferenceData!$AQ$443),"")</f>
        <v>0.407030418</v>
      </c>
      <c r="AR443">
        <f ca="1">IFERROR(IF(0=LEN(ReferenceData!$AR$443),"",ReferenceData!$AR$443),"")</f>
        <v>0.42697570899999998</v>
      </c>
      <c r="AS443">
        <f ca="1">IFERROR(IF(0=LEN(ReferenceData!$AS$443),"",ReferenceData!$AS$443),"")</f>
        <v>0.43417503899999998</v>
      </c>
      <c r="AT443">
        <f ca="1">IFERROR(IF(0=LEN(ReferenceData!$AT$443),"",ReferenceData!$AT$443),"")</f>
        <v>0.217544188</v>
      </c>
      <c r="AU443">
        <f ca="1">IFERROR(IF(0=LEN(ReferenceData!$AU$443),"",ReferenceData!$AU$443),"")</f>
        <v>0.17706644599999999</v>
      </c>
      <c r="AV443">
        <f ca="1">IFERROR(IF(0=LEN(ReferenceData!$AV$443),"",ReferenceData!$AV$443),"")</f>
        <v>0.23592223300000001</v>
      </c>
      <c r="AW443">
        <f ca="1">IFERROR(IF(0=LEN(ReferenceData!$AW$443),"",ReferenceData!$AW$443),"")</f>
        <v>0.36984629200000002</v>
      </c>
      <c r="AX443">
        <f ca="1">IFERROR(IF(0=LEN(ReferenceData!$AX$443),"",ReferenceData!$AX$443),"")</f>
        <v>0.68154758500000001</v>
      </c>
      <c r="AY443">
        <f ca="1">IFERROR(IF(0=LEN(ReferenceData!$AY$443),"",ReferenceData!$AY$443),"")</f>
        <v>0.49584494499999998</v>
      </c>
      <c r="AZ443">
        <f ca="1">IFERROR(IF(0=LEN(ReferenceData!$AZ$443),"",ReferenceData!$AZ$443),"")</f>
        <v>0.73278133000000001</v>
      </c>
      <c r="BA443">
        <f ca="1">IFERROR(IF(0=LEN(ReferenceData!$BA$443),"",ReferenceData!$BA$443),"")</f>
        <v>0.68225731199999995</v>
      </c>
      <c r="BB443">
        <f ca="1">IFERROR(IF(0=LEN(ReferenceData!$BB$443),"",ReferenceData!$BB$443),"")</f>
        <v>0.52975993200000004</v>
      </c>
      <c r="BC443">
        <f ca="1">IFERROR(IF(0=LEN(ReferenceData!$BC$443),"",ReferenceData!$BC$443),"")</f>
        <v>0.64220141500000005</v>
      </c>
      <c r="BD443">
        <f ca="1">IFERROR(IF(0=LEN(ReferenceData!$BD$443),"",ReferenceData!$BD$443),"")</f>
        <v>0.461367578</v>
      </c>
      <c r="BE443">
        <f ca="1">IFERROR(IF(0=LEN(ReferenceData!$BE$443),"",ReferenceData!$BE$443),"")</f>
        <v>0.44804549799999999</v>
      </c>
      <c r="BF443">
        <f ca="1">IFERROR(IF(0=LEN(ReferenceData!$BF$443),"",ReferenceData!$BF$443),"")</f>
        <v>0.31826516599999999</v>
      </c>
      <c r="BG443">
        <f ca="1">IFERROR(IF(0=LEN(ReferenceData!$BG$443),"",ReferenceData!$BG$443),"")</f>
        <v>0.33659944800000002</v>
      </c>
      <c r="BH443">
        <f ca="1">IFERROR(IF(0=LEN(ReferenceData!$BH$443),"",ReferenceData!$BH$443),"")</f>
        <v>0.32480766799999999</v>
      </c>
      <c r="BI443">
        <f ca="1">IFERROR(IF(0=LEN(ReferenceData!$BI$443),"",ReferenceData!$BI$443),"")</f>
        <v>0.38031557100000002</v>
      </c>
      <c r="BJ443">
        <f ca="1">IFERROR(IF(0=LEN(ReferenceData!$BJ$443),"",ReferenceData!$BJ$443),"")</f>
        <v>0.39899607999999998</v>
      </c>
      <c r="BK443">
        <f ca="1">IFERROR(IF(0=LEN(ReferenceData!$BK$443),"",ReferenceData!$BK$443),"")</f>
        <v>0.39280615299999999</v>
      </c>
      <c r="BL443">
        <f ca="1">IFERROR(IF(0=LEN(ReferenceData!$BL$443),"",ReferenceData!$BL$443),"")</f>
        <v>0.37536383899999998</v>
      </c>
      <c r="BM443">
        <f ca="1">IFERROR(IF(0=LEN(ReferenceData!$BM$443),"",ReferenceData!$BM$443),"")</f>
        <v>0.31119258799999999</v>
      </c>
    </row>
    <row r="444" spans="1:65" x14ac:dyDescent="0.25">
      <c r="A444" t="str">
        <f>IFERROR(IF(0=LEN(ReferenceData!$A$444),"",ReferenceData!$A$444),"")</f>
        <v xml:space="preserve">    Sollers PJSC</v>
      </c>
      <c r="B444" t="str">
        <f>IFERROR(IF(0=LEN(ReferenceData!$B$444),"",ReferenceData!$B$444),"")</f>
        <v>SVAV RM Equity</v>
      </c>
      <c r="C444" t="str">
        <f>IFERROR(IF(0=LEN(ReferenceData!$C$444),"",ReferenceData!$C$444),"")</f>
        <v>PR005</v>
      </c>
      <c r="D444" t="str">
        <f>IFERROR(IF(0=LEN(ReferenceData!$D$444),"",ReferenceData!$D$444),"")</f>
        <v>PX_LAST</v>
      </c>
      <c r="E444" t="str">
        <f>IFERROR(IF(0=LEN(ReferenceData!$E$444),"",ReferenceData!$E$444),"")</f>
        <v>Dynamic</v>
      </c>
      <c r="F444">
        <f ca="1">IFERROR(IF(0=LEN(ReferenceData!$F$444),"",ReferenceData!$F$444),"")</f>
        <v>6.0840667140000004</v>
      </c>
      <c r="G444">
        <f ca="1">IFERROR(IF(0=LEN(ReferenceData!$G$444),"",ReferenceData!$G$444),"")</f>
        <v>5.8654399079999999</v>
      </c>
      <c r="H444">
        <f ca="1">IFERROR(IF(0=LEN(ReferenceData!$H$444),"",ReferenceData!$H$444),"")</f>
        <v>7.7872938850000004</v>
      </c>
      <c r="I444">
        <f ca="1">IFERROR(IF(0=LEN(ReferenceData!$I$444),"",ReferenceData!$I$444),"")</f>
        <v>8.2405540459999997</v>
      </c>
      <c r="J444">
        <f ca="1">IFERROR(IF(0=LEN(ReferenceData!$J$444),"",ReferenceData!$J$444),"")</f>
        <v>9.8987697489999995</v>
      </c>
      <c r="K444">
        <f ca="1">IFERROR(IF(0=LEN(ReferenceData!$K$444),"",ReferenceData!$K$444),"")</f>
        <v>10.80423832</v>
      </c>
      <c r="L444">
        <f ca="1">IFERROR(IF(0=LEN(ReferenceData!$L$444),"",ReferenceData!$L$444),"")</f>
        <v>9.9531005730000004</v>
      </c>
      <c r="M444">
        <f ca="1">IFERROR(IF(0=LEN(ReferenceData!$M$444),"",ReferenceData!$M$444),"")</f>
        <v>9.9262045029999992</v>
      </c>
      <c r="N444">
        <f ca="1">IFERROR(IF(0=LEN(ReferenceData!$N$444),"",ReferenceData!$N$444),"")</f>
        <v>10.286402580000001</v>
      </c>
      <c r="O444">
        <f ca="1">IFERROR(IF(0=LEN(ReferenceData!$O$444),"",ReferenceData!$O$444),"")</f>
        <v>8.7386316120000007</v>
      </c>
      <c r="P444">
        <f ca="1">IFERROR(IF(0=LEN(ReferenceData!$P$444),"",ReferenceData!$P$444),"")</f>
        <v>9.2876647410000004</v>
      </c>
      <c r="Q444">
        <f ca="1">IFERROR(IF(0=LEN(ReferenceData!$Q$444),"",ReferenceData!$Q$444),"")</f>
        <v>6.7716771859999998</v>
      </c>
      <c r="R444">
        <f ca="1">IFERROR(IF(0=LEN(ReferenceData!$R$444),"",ReferenceData!$R$444),"")</f>
        <v>6.1297848029999997</v>
      </c>
      <c r="S444">
        <f ca="1">IFERROR(IF(0=LEN(ReferenceData!$S$444),"",ReferenceData!$S$444),"")</f>
        <v>5.4744301889999996</v>
      </c>
      <c r="T444">
        <f ca="1">IFERROR(IF(0=LEN(ReferenceData!$T$444),"",ReferenceData!$T$444),"")</f>
        <v>6.7298448019999997</v>
      </c>
      <c r="U444">
        <f ca="1">IFERROR(IF(0=LEN(ReferenceData!$U$444),"",ReferenceData!$U$444),"")</f>
        <v>8.0340179139999996</v>
      </c>
      <c r="V444">
        <f ca="1">IFERROR(IF(0=LEN(ReferenceData!$V$444),"",ReferenceData!$V$444),"")</f>
        <v>6.2222298619999998</v>
      </c>
      <c r="W444">
        <f ca="1">IFERROR(IF(0=LEN(ReferenceData!$W$444),"",ReferenceData!$W$444),"")</f>
        <v>6.2814972219999996</v>
      </c>
      <c r="X444">
        <f ca="1">IFERROR(IF(0=LEN(ReferenceData!$X$444),"",ReferenceData!$X$444),"")</f>
        <v>11.582748349999999</v>
      </c>
      <c r="Y444">
        <f ca="1">IFERROR(IF(0=LEN(ReferenceData!$Y$444),"",ReferenceData!$Y$444),"")</f>
        <v>17.509578770000001</v>
      </c>
      <c r="Z444">
        <f ca="1">IFERROR(IF(0=LEN(ReferenceData!$Z$444),"",ReferenceData!$Z$444),"")</f>
        <v>14.203794309999999</v>
      </c>
      <c r="AA444">
        <f ca="1">IFERROR(IF(0=LEN(ReferenceData!$AA$444),"",ReferenceData!$AA$444),"")</f>
        <v>25.892665010000002</v>
      </c>
      <c r="AB444">
        <f ca="1">IFERROR(IF(0=LEN(ReferenceData!$AB$444),"",ReferenceData!$AB$444),"")</f>
        <v>21.014474849999999</v>
      </c>
      <c r="AC444">
        <f ca="1">IFERROR(IF(0=LEN(ReferenceData!$AC$444),"",ReferenceData!$AC$444),"")</f>
        <v>21.634593420000002</v>
      </c>
      <c r="AD444">
        <f ca="1">IFERROR(IF(0=LEN(ReferenceData!$AD$444),"",ReferenceData!$AD$444),"")</f>
        <v>24.46404429</v>
      </c>
      <c r="AE444">
        <f ca="1">IFERROR(IF(0=LEN(ReferenceData!$AE$444),"",ReferenceData!$AE$444),"")</f>
        <v>22.549629939999999</v>
      </c>
      <c r="AF444">
        <f ca="1">IFERROR(IF(0=LEN(ReferenceData!$AF$444),"",ReferenceData!$AF$444),"")</f>
        <v>19.95831329</v>
      </c>
      <c r="AG444">
        <f ca="1">IFERROR(IF(0=LEN(ReferenceData!$AG$444),"",ReferenceData!$AG$444),"")</f>
        <v>12.20376591</v>
      </c>
      <c r="AH444">
        <f ca="1">IFERROR(IF(0=LEN(ReferenceData!$AH$444),"",ReferenceData!$AH$444),"")</f>
        <v>15.938864629999999</v>
      </c>
      <c r="AI444">
        <f ca="1">IFERROR(IF(0=LEN(ReferenceData!$AI$444),"",ReferenceData!$AI$444),"")</f>
        <v>9.4599221789999994</v>
      </c>
      <c r="AJ444">
        <f ca="1">IFERROR(IF(0=LEN(ReferenceData!$AJ$444),"",ReferenceData!$AJ$444),"")</f>
        <v>10.44618444</v>
      </c>
      <c r="AK444">
        <f ca="1">IFERROR(IF(0=LEN(ReferenceData!$AK$444),"",ReferenceData!$AK$444),"")</f>
        <v>18.501370999999999</v>
      </c>
      <c r="AL444">
        <f ca="1">IFERROR(IF(0=LEN(ReferenceData!$AL$444),"",ReferenceData!$AL$444),"")</f>
        <v>20.517115780000001</v>
      </c>
      <c r="AM444">
        <f ca="1">IFERROR(IF(0=LEN(ReferenceData!$AM$444),"",ReferenceData!$AM$444),"")</f>
        <v>21.131174349999998</v>
      </c>
      <c r="AN444">
        <f ca="1">IFERROR(IF(0=LEN(ReferenceData!$AN$444),"",ReferenceData!$AN$444),"")</f>
        <v>15.72142131</v>
      </c>
      <c r="AO444">
        <f ca="1">IFERROR(IF(0=LEN(ReferenceData!$AO$444),"",ReferenceData!$AO$444),"")</f>
        <v>14.02532132</v>
      </c>
      <c r="AP444">
        <f ca="1">IFERROR(IF(0=LEN(ReferenceData!$AP$444),"",ReferenceData!$AP$444),"")</f>
        <v>18.204470130000001</v>
      </c>
      <c r="AQ444">
        <f ca="1">IFERROR(IF(0=LEN(ReferenceData!$AQ$444),"",ReferenceData!$AQ$444),"")</f>
        <v>14.12685201</v>
      </c>
      <c r="AR444">
        <f ca="1">IFERROR(IF(0=LEN(ReferenceData!$AR$444),"",ReferenceData!$AR$444),"")</f>
        <v>14.064748679999999</v>
      </c>
      <c r="AS444">
        <f ca="1">IFERROR(IF(0=LEN(ReferenceData!$AS$444),"",ReferenceData!$AS$444),"")</f>
        <v>7.0271085979999999</v>
      </c>
      <c r="AT444">
        <f ca="1">IFERROR(IF(0=LEN(ReferenceData!$AT$444),"",ReferenceData!$AT$444),"")</f>
        <v>4.2934347480000001</v>
      </c>
      <c r="AU444">
        <f ca="1">IFERROR(IF(0=LEN(ReferenceData!$AU$444),"",ReferenceData!$AU$444),"")</f>
        <v>4.164909464</v>
      </c>
      <c r="AV444">
        <f ca="1">IFERROR(IF(0=LEN(ReferenceData!$AV$444),"",ReferenceData!$AV$444),"")</f>
        <v>29.601931919999998</v>
      </c>
      <c r="AW444">
        <f ca="1">IFERROR(IF(0=LEN(ReferenceData!$AW$444),"",ReferenceData!$AW$444),"")</f>
        <v>62.222699919999997</v>
      </c>
      <c r="AX444">
        <f ca="1">IFERROR(IF(0=LEN(ReferenceData!$AX$444),"",ReferenceData!$AX$444),"")</f>
        <v>60.714838630000003</v>
      </c>
      <c r="AY444">
        <f ca="1">IFERROR(IF(0=LEN(ReferenceData!$AY$444),"",ReferenceData!$AY$444),"")</f>
        <v>54.400429979999998</v>
      </c>
      <c r="AZ444">
        <f ca="1">IFERROR(IF(0=LEN(ReferenceData!$AZ$444),"",ReferenceData!$AZ$444),"")</f>
        <v>49.022248130000001</v>
      </c>
      <c r="BA444">
        <f ca="1">IFERROR(IF(0=LEN(ReferenceData!$BA$444),"",ReferenceData!$BA$444),"")</f>
        <v>33.727578520000002</v>
      </c>
      <c r="BB444">
        <f ca="1">IFERROR(IF(0=LEN(ReferenceData!$BB$444),"",ReferenceData!$BB$444),"")</f>
        <v>32.509433960000003</v>
      </c>
      <c r="BC444">
        <f ca="1">IFERROR(IF(0=LEN(ReferenceData!$BC$444),"",ReferenceData!$BC$444),"")</f>
        <v>30.76712693</v>
      </c>
      <c r="BD444">
        <f ca="1">IFERROR(IF(0=LEN(ReferenceData!$BD$444),"",ReferenceData!$BD$444),"")</f>
        <v>20.23356618</v>
      </c>
      <c r="BE444">
        <f ca="1">IFERROR(IF(0=LEN(ReferenceData!$BE$444),"",ReferenceData!$BE$444),"")</f>
        <v>19.403174079999999</v>
      </c>
      <c r="BF444">
        <f ca="1">IFERROR(IF(0=LEN(ReferenceData!$BF$444),"",ReferenceData!$BF$444),"")</f>
        <v>24.009839299999999</v>
      </c>
      <c r="BG444">
        <f ca="1">IFERROR(IF(0=LEN(ReferenceData!$BG$444),"",ReferenceData!$BG$444),"")</f>
        <v>18.22771333</v>
      </c>
      <c r="BH444">
        <f ca="1">IFERROR(IF(0=LEN(ReferenceData!$BH$444),"",ReferenceData!$BH$444),"")</f>
        <v>18.999649489999999</v>
      </c>
      <c r="BI444">
        <f ca="1">IFERROR(IF(0=LEN(ReferenceData!$BI$444),"",ReferenceData!$BI$444),"")</f>
        <v>14.320642680000001</v>
      </c>
      <c r="BJ444" t="str">
        <f ca="1">IFERROR(IF(0=LEN(ReferenceData!$BJ$444),"",ReferenceData!$BJ$444),"")</f>
        <v/>
      </c>
      <c r="BK444" t="str">
        <f ca="1">IFERROR(IF(0=LEN(ReferenceData!$BK$444),"",ReferenceData!$BK$444),"")</f>
        <v/>
      </c>
      <c r="BL444" t="str">
        <f ca="1">IFERROR(IF(0=LEN(ReferenceData!$BL$444),"",ReferenceData!$BL$444),"")</f>
        <v/>
      </c>
      <c r="BM444" t="str">
        <f ca="1">IFERROR(IF(0=LEN(ReferenceData!$BM$444),"",ReferenceData!$BM$444),"")</f>
        <v/>
      </c>
    </row>
    <row r="445" spans="1:65" x14ac:dyDescent="0.25">
      <c r="A445" t="str">
        <f>IFERROR(IF(0=LEN(ReferenceData!$A$445),"",ReferenceData!$A$445),"")</f>
        <v xml:space="preserve">    Ssangyong Motor Co</v>
      </c>
      <c r="B445" t="str">
        <f>IFERROR(IF(0=LEN(ReferenceData!$B$445),"",ReferenceData!$B$445),"")</f>
        <v>003620 KS Equity</v>
      </c>
      <c r="C445" t="str">
        <f>IFERROR(IF(0=LEN(ReferenceData!$C$445),"",ReferenceData!$C$445),"")</f>
        <v>PR005</v>
      </c>
      <c r="D445" t="str">
        <f>IFERROR(IF(0=LEN(ReferenceData!$D$445),"",ReferenceData!$D$445),"")</f>
        <v>PX_LAST</v>
      </c>
      <c r="E445" t="str">
        <f>IFERROR(IF(0=LEN(ReferenceData!$E$445),"",ReferenceData!$E$445),"")</f>
        <v>Dynamic</v>
      </c>
      <c r="F445">
        <f ca="1">IFERROR(IF(0=LEN(ReferenceData!$F$445),"",ReferenceData!$F$445),"")</f>
        <v>4.5048248500000003</v>
      </c>
      <c r="G445">
        <f ca="1">IFERROR(IF(0=LEN(ReferenceData!$G$445),"",ReferenceData!$G$445),"")</f>
        <v>3.5506141850000001</v>
      </c>
      <c r="H445">
        <f ca="1">IFERROR(IF(0=LEN(ReferenceData!$H$445),"",ReferenceData!$H$445),"")</f>
        <v>4.1130202090000001</v>
      </c>
      <c r="I445">
        <f ca="1">IFERROR(IF(0=LEN(ReferenceData!$I$445),"",ReferenceData!$I$445),"")</f>
        <v>4.1047658399999998</v>
      </c>
      <c r="J445">
        <f ca="1">IFERROR(IF(0=LEN(ReferenceData!$J$445),"",ReferenceData!$J$445),"")</f>
        <v>4.6801210329999998</v>
      </c>
      <c r="K445">
        <f ca="1">IFERROR(IF(0=LEN(ReferenceData!$K$445),"",ReferenceData!$K$445),"")</f>
        <v>4.7793293999999999</v>
      </c>
      <c r="L445">
        <f ca="1">IFERROR(IF(0=LEN(ReferenceData!$L$445),"",ReferenceData!$L$445),"")</f>
        <v>4.52623117</v>
      </c>
      <c r="M445">
        <f ca="1">IFERROR(IF(0=LEN(ReferenceData!$M$445),"",ReferenceData!$M$445),"")</f>
        <v>5.9801710119999996</v>
      </c>
      <c r="N445">
        <f ca="1">IFERROR(IF(0=LEN(ReferenceData!$N$445),"",ReferenceData!$N$445),"")</f>
        <v>7.1122482759999999</v>
      </c>
      <c r="O445">
        <f ca="1">IFERROR(IF(0=LEN(ReferenceData!$O$445),"",ReferenceData!$O$445),"")</f>
        <v>6.5379516080000002</v>
      </c>
      <c r="P445">
        <f ca="1">IFERROR(IF(0=LEN(ReferenceData!$P$445),"",ReferenceData!$P$445),"")</f>
        <v>7.1675459339999996</v>
      </c>
      <c r="Q445">
        <f ca="1">IFERROR(IF(0=LEN(ReferenceData!$Q$445),"",ReferenceData!$Q$445),"")</f>
        <v>6.0755450629999999</v>
      </c>
      <c r="R445">
        <f ca="1">IFERROR(IF(0=LEN(ReferenceData!$R$445),"",ReferenceData!$R$445),"")</f>
        <v>7.2314049589999998</v>
      </c>
      <c r="S445">
        <f ca="1">IFERROR(IF(0=LEN(ReferenceData!$S$445),"",ReferenceData!$S$445),"")</f>
        <v>6.5779422500000004</v>
      </c>
      <c r="T445">
        <f ca="1">IFERROR(IF(0=LEN(ReferenceData!$T$445),"",ReferenceData!$T$445),"")</f>
        <v>7.3730386369999996</v>
      </c>
      <c r="U445">
        <f ca="1">IFERROR(IF(0=LEN(ReferenceData!$U$445),"",ReferenceData!$U$445),"")</f>
        <v>7.7843989909999998</v>
      </c>
      <c r="V445">
        <f ca="1">IFERROR(IF(0=LEN(ReferenceData!$V$445),"",ReferenceData!$V$445),"")</f>
        <v>8.1808260199999996</v>
      </c>
      <c r="W445">
        <f ca="1">IFERROR(IF(0=LEN(ReferenceData!$W$445),"",ReferenceData!$W$445),"")</f>
        <v>8.4451294590000003</v>
      </c>
      <c r="X445">
        <f ca="1">IFERROR(IF(0=LEN(ReferenceData!$X$445),"",ReferenceData!$X$445),"")</f>
        <v>6.2287334589999999</v>
      </c>
      <c r="Y445">
        <f ca="1">IFERROR(IF(0=LEN(ReferenceData!$Y$445),"",ReferenceData!$Y$445),"")</f>
        <v>8.6511177240000006</v>
      </c>
      <c r="Z445">
        <f ca="1">IFERROR(IF(0=LEN(ReferenceData!$Z$445),"",ReferenceData!$Z$445),"")</f>
        <v>8.2306851999999999</v>
      </c>
      <c r="AA445">
        <f ca="1">IFERROR(IF(0=LEN(ReferenceData!$AA$445),"",ReferenceData!$AA$445),"")</f>
        <v>7.156398104</v>
      </c>
      <c r="AB445">
        <f ca="1">IFERROR(IF(0=LEN(ReferenceData!$AB$445),"",ReferenceData!$AB$445),"")</f>
        <v>7.9413788609999996</v>
      </c>
      <c r="AC445">
        <f ca="1">IFERROR(IF(0=LEN(ReferenceData!$AC$445),"",ReferenceData!$AC$445),"")</f>
        <v>7.8158505099999998</v>
      </c>
      <c r="AD445">
        <f ca="1">IFERROR(IF(0=LEN(ReferenceData!$AD$445),"",ReferenceData!$AD$445),"")</f>
        <v>5.4702236590000002</v>
      </c>
      <c r="AE445">
        <f ca="1">IFERROR(IF(0=LEN(ReferenceData!$AE$445),"",ReferenceData!$AE$445),"")</f>
        <v>4.9754040760000002</v>
      </c>
      <c r="AF445">
        <f ca="1">IFERROR(IF(0=LEN(ReferenceData!$AF$445),"",ReferenceData!$AF$445),"")</f>
        <v>4.6379104240000002</v>
      </c>
      <c r="AG445">
        <f ca="1">IFERROR(IF(0=LEN(ReferenceData!$AG$445),"",ReferenceData!$AG$445),"")</f>
        <v>4.8757429600000002</v>
      </c>
      <c r="AH445">
        <f ca="1">IFERROR(IF(0=LEN(ReferenceData!$AH$445),"",ReferenceData!$AH$445),"")</f>
        <v>6.1905014219999996</v>
      </c>
      <c r="AI445">
        <f ca="1">IFERROR(IF(0=LEN(ReferenceData!$AI$445),"",ReferenceData!$AI$445),"")</f>
        <v>4.401476959</v>
      </c>
      <c r="AJ445">
        <f ca="1">IFERROR(IF(0=LEN(ReferenceData!$AJ$445),"",ReferenceData!$AJ$445),"")</f>
        <v>4.5298674910000001</v>
      </c>
      <c r="AK445">
        <f ca="1">IFERROR(IF(0=LEN(ReferenceData!$AK$445),"",ReferenceData!$AK$445),"")</f>
        <v>7.8926672160000004</v>
      </c>
      <c r="AL445">
        <f ca="1">IFERROR(IF(0=LEN(ReferenceData!$AL$445),"",ReferenceData!$AL$445),"")</f>
        <v>8.3435806350000004</v>
      </c>
      <c r="AM445">
        <f ca="1">IFERROR(IF(0=LEN(ReferenceData!$AM$445),"",ReferenceData!$AM$445),"")</f>
        <v>7.4514593180000004</v>
      </c>
      <c r="AN445">
        <f ca="1">IFERROR(IF(0=LEN(ReferenceData!$AN$445),"",ReferenceData!$AN$445),"")</f>
        <v>8.0947767109999997</v>
      </c>
      <c r="AO445">
        <f ca="1">IFERROR(IF(0=LEN(ReferenceData!$AO$445),"",ReferenceData!$AO$445),"")</f>
        <v>11.46225643</v>
      </c>
      <c r="AP445">
        <f ca="1">IFERROR(IF(0=LEN(ReferenceData!$AP$445),"",ReferenceData!$AP$445),"")</f>
        <v>10.65758634</v>
      </c>
      <c r="AQ445">
        <f ca="1">IFERROR(IF(0=LEN(ReferenceData!$AQ$445),"",ReferenceData!$AQ$445),"")</f>
        <v>19.066507779999998</v>
      </c>
      <c r="AR445">
        <f ca="1">IFERROR(IF(0=LEN(ReferenceData!$AR$445),"",ReferenceData!$AR$445),"")</f>
        <v>19.86645515</v>
      </c>
      <c r="AS445">
        <f ca="1">IFERROR(IF(0=LEN(ReferenceData!$AS$445),"",ReferenceData!$AS$445),"")</f>
        <v>10.150510929999999</v>
      </c>
      <c r="AT445">
        <f ca="1">IFERROR(IF(0=LEN(ReferenceData!$AT$445),"",ReferenceData!$AT$445),"")</f>
        <v>7.8990690509999997</v>
      </c>
      <c r="AU445">
        <f ca="1">IFERROR(IF(0=LEN(ReferenceData!$AU$445),"",ReferenceData!$AU$445),"")</f>
        <v>6.6692410100000004</v>
      </c>
      <c r="AV445">
        <f ca="1">IFERROR(IF(0=LEN(ReferenceData!$AV$445),"",ReferenceData!$AV$445),"")</f>
        <v>19.005324959999999</v>
      </c>
      <c r="AW445">
        <f ca="1">IFERROR(IF(0=LEN(ReferenceData!$AW$445),"",ReferenceData!$AW$445),"")</f>
        <v>33.906323929999999</v>
      </c>
      <c r="AX445">
        <f ca="1">IFERROR(IF(0=LEN(ReferenceData!$AX$445),"",ReferenceData!$AX$445),"")</f>
        <v>49.313834280000002</v>
      </c>
      <c r="AY445">
        <f ca="1">IFERROR(IF(0=LEN(ReferenceData!$AY$445),"",ReferenceData!$AY$445),"")</f>
        <v>59.640884100000001</v>
      </c>
      <c r="AZ445">
        <f ca="1">IFERROR(IF(0=LEN(ReferenceData!$AZ$445),"",ReferenceData!$AZ$445),"")</f>
        <v>58.312368020000001</v>
      </c>
      <c r="BA445">
        <f ca="1">IFERROR(IF(0=LEN(ReferenceData!$BA$445),"",ReferenceData!$BA$445),"")</f>
        <v>69.748550690000002</v>
      </c>
      <c r="BB445">
        <f ca="1">IFERROR(IF(0=LEN(ReferenceData!$BB$445),"",ReferenceData!$BB$445),"")</f>
        <v>58.845429590000002</v>
      </c>
      <c r="BC445">
        <f ca="1">IFERROR(IF(0=LEN(ReferenceData!$BC$445),"",ReferenceData!$BC$445),"")</f>
        <v>50.922400330000002</v>
      </c>
      <c r="BD445">
        <f ca="1">IFERROR(IF(0=LEN(ReferenceData!$BD$445),"",ReferenceData!$BD$445),"")</f>
        <v>43.835191020000003</v>
      </c>
      <c r="BE445">
        <f ca="1">IFERROR(IF(0=LEN(ReferenceData!$BE$445),"",ReferenceData!$BE$445),"")</f>
        <v>44.919372320000001</v>
      </c>
      <c r="BF445">
        <f ca="1">IFERROR(IF(0=LEN(ReferenceData!$BF$445),"",ReferenceData!$BF$445),"")</f>
        <v>58.261731410000003</v>
      </c>
      <c r="BG445">
        <f ca="1">IFERROR(IF(0=LEN(ReferenceData!$BG$445),"",ReferenceData!$BG$445),"")</f>
        <v>72.492212449999997</v>
      </c>
      <c r="BH445">
        <f ca="1">IFERROR(IF(0=LEN(ReferenceData!$BH$445),"",ReferenceData!$BH$445),"")</f>
        <v>69.416744499999993</v>
      </c>
      <c r="BI445">
        <f ca="1">IFERROR(IF(0=LEN(ReferenceData!$BI$445),"",ReferenceData!$BI$445),"")</f>
        <v>60.029011519999997</v>
      </c>
      <c r="BJ445">
        <f ca="1">IFERROR(IF(0=LEN(ReferenceData!$BJ$445),"",ReferenceData!$BJ$445),"")</f>
        <v>64.608580130000007</v>
      </c>
      <c r="BK445">
        <f ca="1">IFERROR(IF(0=LEN(ReferenceData!$BK$445),"",ReferenceData!$BK$445),"")</f>
        <v>51.848306100000002</v>
      </c>
      <c r="BL445">
        <f ca="1">IFERROR(IF(0=LEN(ReferenceData!$BL$445),"",ReferenceData!$BL$445),"")</f>
        <v>63.465058290000002</v>
      </c>
      <c r="BM445">
        <f ca="1">IFERROR(IF(0=LEN(ReferenceData!$BM$445),"",ReferenceData!$BM$445),"")</f>
        <v>60.752932960000003</v>
      </c>
    </row>
    <row r="446" spans="1:65" x14ac:dyDescent="0.25">
      <c r="A446" t="str">
        <f>IFERROR(IF(0=LEN(ReferenceData!$A$446),"",ReferenceData!$A$446),"")</f>
        <v xml:space="preserve">    Subaru Corp</v>
      </c>
      <c r="B446" t="str">
        <f>IFERROR(IF(0=LEN(ReferenceData!$B$446),"",ReferenceData!$B$446),"")</f>
        <v>7270 JP Equity</v>
      </c>
      <c r="C446" t="str">
        <f>IFERROR(IF(0=LEN(ReferenceData!$C$446),"",ReferenceData!$C$446),"")</f>
        <v>PR005</v>
      </c>
      <c r="D446" t="str">
        <f>IFERROR(IF(0=LEN(ReferenceData!$D$446),"",ReferenceData!$D$446),"")</f>
        <v>PX_LAST</v>
      </c>
      <c r="E446" t="str">
        <f>IFERROR(IF(0=LEN(ReferenceData!$E$446),"",ReferenceData!$E$446),"")</f>
        <v>Dynamic</v>
      </c>
      <c r="F446">
        <f ca="1">IFERROR(IF(0=LEN(ReferenceData!$F$446),"",ReferenceData!$F$446),"")</f>
        <v>25.365700369999999</v>
      </c>
      <c r="G446">
        <f ca="1">IFERROR(IF(0=LEN(ReferenceData!$G$446),"",ReferenceData!$G$446),"")</f>
        <v>21.374875459999998</v>
      </c>
      <c r="H446">
        <f ca="1">IFERROR(IF(0=LEN(ReferenceData!$H$446),"",ReferenceData!$H$446),"")</f>
        <v>30.660792950000001</v>
      </c>
      <c r="I446">
        <f ca="1">IFERROR(IF(0=LEN(ReferenceData!$I$446),"",ReferenceData!$I$446),"")</f>
        <v>29.111753019999998</v>
      </c>
      <c r="J446">
        <f ca="1">IFERROR(IF(0=LEN(ReferenceData!$J$446),"",ReferenceData!$J$446),"")</f>
        <v>32.828092640000001</v>
      </c>
      <c r="K446">
        <f ca="1">IFERROR(IF(0=LEN(ReferenceData!$K$446),"",ReferenceData!$K$446),"")</f>
        <v>31.826256879999999</v>
      </c>
      <c r="L446">
        <f ca="1">IFERROR(IF(0=LEN(ReferenceData!$L$446),"",ReferenceData!$L$446),"")</f>
        <v>36.050435090000001</v>
      </c>
      <c r="M446">
        <f ca="1">IFERROR(IF(0=LEN(ReferenceData!$M$446),"",ReferenceData!$M$446),"")</f>
        <v>33.698264350000002</v>
      </c>
      <c r="N446">
        <f ca="1">IFERROR(IF(0=LEN(ReferenceData!$N$446),"",ReferenceData!$N$446),"")</f>
        <v>36.681340400000003</v>
      </c>
      <c r="O446">
        <f ca="1">IFERROR(IF(0=LEN(ReferenceData!$O$446),"",ReferenceData!$O$446),"")</f>
        <v>40.912208499999998</v>
      </c>
      <c r="P446">
        <f ca="1">IFERROR(IF(0=LEN(ReferenceData!$P$446),"",ReferenceData!$P$446),"")</f>
        <v>37.020605340000003</v>
      </c>
      <c r="Q446">
        <f ca="1">IFERROR(IF(0=LEN(ReferenceData!$Q$446),"",ReferenceData!$Q$446),"")</f>
        <v>33.704816360000002</v>
      </c>
      <c r="R446">
        <f ca="1">IFERROR(IF(0=LEN(ReferenceData!$R$446),"",ReferenceData!$R$446),"")</f>
        <v>35.333333330000002</v>
      </c>
      <c r="S446">
        <f ca="1">IFERROR(IF(0=LEN(ReferenceData!$S$446),"",ReferenceData!$S$446),"")</f>
        <v>41.679794379999997</v>
      </c>
      <c r="T446">
        <f ca="1">IFERROR(IF(0=LEN(ReferenceData!$T$446),"",ReferenceData!$T$446),"")</f>
        <v>35.79008941</v>
      </c>
      <c r="U446">
        <f ca="1">IFERROR(IF(0=LEN(ReferenceData!$U$446),"",ReferenceData!$U$446),"")</f>
        <v>36.914510319999998</v>
      </c>
      <c r="V446">
        <f ca="1">IFERROR(IF(0=LEN(ReferenceData!$V$446),"",ReferenceData!$V$446),"")</f>
        <v>33.272196749999999</v>
      </c>
      <c r="W446">
        <f ca="1">IFERROR(IF(0=LEN(ReferenceData!$W$446),"",ReferenceData!$W$446),"")</f>
        <v>35.995312239999997</v>
      </c>
      <c r="X446">
        <f ca="1">IFERROR(IF(0=LEN(ReferenceData!$X$446),"",ReferenceData!$X$446),"")</f>
        <v>33.065839869999998</v>
      </c>
      <c r="Y446">
        <f ca="1">IFERROR(IF(0=LEN(ReferenceData!$Y$446),"",ReferenceData!$Y$446),"")</f>
        <v>27.69276335</v>
      </c>
      <c r="Z446">
        <f ca="1">IFERROR(IF(0=LEN(ReferenceData!$Z$446),"",ReferenceData!$Z$446),"")</f>
        <v>27.088386530000001</v>
      </c>
      <c r="AA446">
        <f ca="1">IFERROR(IF(0=LEN(ReferenceData!$AA$446),"",ReferenceData!$AA$446),"")</f>
        <v>28.692424819999999</v>
      </c>
      <c r="AB446">
        <f ca="1">IFERROR(IF(0=LEN(ReferenceData!$AB$446),"",ReferenceData!$AB$446),"")</f>
        <v>27.59393137</v>
      </c>
      <c r="AC446">
        <f ca="1">IFERROR(IF(0=LEN(ReferenceData!$AC$446),"",ReferenceData!$AC$446),"")</f>
        <v>24.614919960000002</v>
      </c>
      <c r="AD446">
        <f ca="1">IFERROR(IF(0=LEN(ReferenceData!$AD$446),"",ReferenceData!$AD$446),"")</f>
        <v>15.50626194</v>
      </c>
      <c r="AE446">
        <f ca="1">IFERROR(IF(0=LEN(ReferenceData!$AE$446),"",ReferenceData!$AE$446),"")</f>
        <v>12.5</v>
      </c>
      <c r="AF446">
        <f ca="1">IFERROR(IF(0=LEN(ReferenceData!$AF$446),"",ReferenceData!$AF$446),"")</f>
        <v>8.316221766</v>
      </c>
      <c r="AG446">
        <f ca="1">IFERROR(IF(0=LEN(ReferenceData!$AG$446),"",ReferenceData!$AG$446),"")</f>
        <v>7.98245614</v>
      </c>
      <c r="AH446">
        <f ca="1">IFERROR(IF(0=LEN(ReferenceData!$AH$446),"",ReferenceData!$AH$446),"")</f>
        <v>8.0479244829999992</v>
      </c>
      <c r="AI446">
        <f ca="1">IFERROR(IF(0=LEN(ReferenceData!$AI$446),"",ReferenceData!$AI$446),"")</f>
        <v>6.0397454210000001</v>
      </c>
      <c r="AJ446">
        <f ca="1">IFERROR(IF(0=LEN(ReferenceData!$AJ$446),"",ReferenceData!$AJ$446),"")</f>
        <v>5.9372569349999997</v>
      </c>
      <c r="AK446">
        <f ca="1">IFERROR(IF(0=LEN(ReferenceData!$AK$446),"",ReferenceData!$AK$446),"")</f>
        <v>7.7209533270000001</v>
      </c>
      <c r="AL446">
        <f ca="1">IFERROR(IF(0=LEN(ReferenceData!$AL$446),"",ReferenceData!$AL$446),"")</f>
        <v>6.4710853559999997</v>
      </c>
      <c r="AM446">
        <f ca="1">IFERROR(IF(0=LEN(ReferenceData!$AM$446),"",ReferenceData!$AM$446),"")</f>
        <v>7.707364815</v>
      </c>
      <c r="AN446">
        <f ca="1">IFERROR(IF(0=LEN(ReferenceData!$AN$446),"",ReferenceData!$AN$446),"")</f>
        <v>6.374311047</v>
      </c>
      <c r="AO446">
        <f ca="1">IFERROR(IF(0=LEN(ReferenceData!$AO$446),"",ReferenceData!$AO$446),"")</f>
        <v>5.4188304360000004</v>
      </c>
      <c r="AP446">
        <f ca="1">IFERROR(IF(0=LEN(ReferenceData!$AP$446),"",ReferenceData!$AP$446),"")</f>
        <v>5.1797945209999998</v>
      </c>
      <c r="AQ446">
        <f ca="1">IFERROR(IF(0=LEN(ReferenceData!$AQ$446),"",ReferenceData!$AQ$446),"")</f>
        <v>4.8711842389999997</v>
      </c>
      <c r="AR446">
        <f ca="1">IFERROR(IF(0=LEN(ReferenceData!$AR$446),"",ReferenceData!$AR$446),"")</f>
        <v>3.8916146299999999</v>
      </c>
      <c r="AS446">
        <f ca="1">IFERROR(IF(0=LEN(ReferenceData!$AS$446),"",ReferenceData!$AS$446),"")</f>
        <v>4.0593853820000003</v>
      </c>
      <c r="AT446">
        <f ca="1">IFERROR(IF(0=LEN(ReferenceData!$AT$446),"",ReferenceData!$AT$446),"")</f>
        <v>3.2410669350000001</v>
      </c>
      <c r="AU446">
        <f ca="1">IFERROR(IF(0=LEN(ReferenceData!$AU$446),"",ReferenceData!$AU$446),"")</f>
        <v>2.6458540909999999</v>
      </c>
      <c r="AV446">
        <f ca="1">IFERROR(IF(0=LEN(ReferenceData!$AV$446),"",ReferenceData!$AV$446),"")</f>
        <v>4.9063000280000004</v>
      </c>
      <c r="AW446">
        <f ca="1">IFERROR(IF(0=LEN(ReferenceData!$AW$446),"",ReferenceData!$AW$446),"")</f>
        <v>4.8968829459999998</v>
      </c>
      <c r="AX446">
        <f ca="1">IFERROR(IF(0=LEN(ReferenceData!$AX$446),"",ReferenceData!$AX$446),"")</f>
        <v>4.1758461850000002</v>
      </c>
      <c r="AY446">
        <f ca="1">IFERROR(IF(0=LEN(ReferenceData!$AY$446),"",ReferenceData!$AY$446),"")</f>
        <v>4.6276595739999999</v>
      </c>
      <c r="AZ446">
        <f ca="1">IFERROR(IF(0=LEN(ReferenceData!$AZ$446),"",ReferenceData!$AZ$446),"")</f>
        <v>4.3989547040000003</v>
      </c>
      <c r="BA446">
        <f ca="1">IFERROR(IF(0=LEN(ReferenceData!$BA$446),"",ReferenceData!$BA$446),"")</f>
        <v>4.7866298880000002</v>
      </c>
      <c r="BB446">
        <f ca="1">IFERROR(IF(0=LEN(ReferenceData!$BB$446),"",ReferenceData!$BB$446),"")</f>
        <v>5.2045241940000002</v>
      </c>
      <c r="BC446">
        <f ca="1">IFERROR(IF(0=LEN(ReferenceData!$BC$446),"",ReferenceData!$BC$446),"")</f>
        <v>5.1310043670000001</v>
      </c>
      <c r="BD446">
        <f ca="1">IFERROR(IF(0=LEN(ReferenceData!$BD$446),"",ReferenceData!$BD$446),"")</f>
        <v>5.6939501779999997</v>
      </c>
      <c r="BE446">
        <f ca="1">IFERROR(IF(0=LEN(ReferenceData!$BE$446),"",ReferenceData!$BE$446),"")</f>
        <v>5.8443260239999999</v>
      </c>
      <c r="BF446">
        <f ca="1">IFERROR(IF(0=LEN(ReferenceData!$BF$446),"",ReferenceData!$BF$446),"")</f>
        <v>5.8893617020000004</v>
      </c>
      <c r="BG446">
        <f ca="1">IFERROR(IF(0=LEN(ReferenceData!$BG$446),"",ReferenceData!$BG$446),"")</f>
        <v>5.4251080780000001</v>
      </c>
      <c r="BH446">
        <f ca="1">IFERROR(IF(0=LEN(ReferenceData!$BH$446),"",ReferenceData!$BH$446),"")</f>
        <v>4.5174357169999997</v>
      </c>
      <c r="BI446">
        <f ca="1">IFERROR(IF(0=LEN(ReferenceData!$BI$446),"",ReferenceData!$BI$446),"")</f>
        <v>4.164788605</v>
      </c>
      <c r="BJ446">
        <f ca="1">IFERROR(IF(0=LEN(ReferenceData!$BJ$446),"",ReferenceData!$BJ$446),"")</f>
        <v>4.8880597010000004</v>
      </c>
      <c r="BK446">
        <f ca="1">IFERROR(IF(0=LEN(ReferenceData!$BK$446),"",ReferenceData!$BK$446),"")</f>
        <v>4.852013586</v>
      </c>
      <c r="BL446">
        <f ca="1">IFERROR(IF(0=LEN(ReferenceData!$BL$446),"",ReferenceData!$BL$446),"")</f>
        <v>5.0668607300000001</v>
      </c>
      <c r="BM446">
        <f ca="1">IFERROR(IF(0=LEN(ReferenceData!$BM$446),"",ReferenceData!$BM$446),"")</f>
        <v>5.5956843740000002</v>
      </c>
    </row>
    <row r="447" spans="1:65" x14ac:dyDescent="0.25">
      <c r="A447" t="str">
        <f>IFERROR(IF(0=LEN(ReferenceData!$A$447),"",ReferenceData!$A$447),"")</f>
        <v xml:space="preserve">    Suzuki Motor Corp</v>
      </c>
      <c r="B447" t="str">
        <f>IFERROR(IF(0=LEN(ReferenceData!$B$447),"",ReferenceData!$B$447),"")</f>
        <v>7269 JP Equity</v>
      </c>
      <c r="C447" t="str">
        <f>IFERROR(IF(0=LEN(ReferenceData!$C$447),"",ReferenceData!$C$447),"")</f>
        <v>PR005</v>
      </c>
      <c r="D447" t="str">
        <f>IFERROR(IF(0=LEN(ReferenceData!$D$447),"",ReferenceData!$D$447),"")</f>
        <v>PX_LAST</v>
      </c>
      <c r="E447" t="str">
        <f>IFERROR(IF(0=LEN(ReferenceData!$E$447),"",ReferenceData!$E$447),"")</f>
        <v>Dynamic</v>
      </c>
      <c r="F447">
        <f ca="1">IFERROR(IF(0=LEN(ReferenceData!$F$447),"",ReferenceData!$F$447),"")</f>
        <v>51.166757259999997</v>
      </c>
      <c r="G447">
        <f ca="1">IFERROR(IF(0=LEN(ReferenceData!$G$447),"",ReferenceData!$G$447),"")</f>
        <v>50.4211575</v>
      </c>
      <c r="H447">
        <f ca="1">IFERROR(IF(0=LEN(ReferenceData!$H$447),"",ReferenceData!$H$447),"")</f>
        <v>57.339207049999999</v>
      </c>
      <c r="I447">
        <f ca="1">IFERROR(IF(0=LEN(ReferenceData!$I$447),"",ReferenceData!$I$447),"")</f>
        <v>55.226575189999998</v>
      </c>
      <c r="J447">
        <f ca="1">IFERROR(IF(0=LEN(ReferenceData!$J$447),"",ReferenceData!$J$447),"")</f>
        <v>53.944643190000001</v>
      </c>
      <c r="K447">
        <f ca="1">IFERROR(IF(0=LEN(ReferenceData!$K$447),"",ReferenceData!$K$447),"")</f>
        <v>58.038728020000001</v>
      </c>
      <c r="L447">
        <f ca="1">IFERROR(IF(0=LEN(ReferenceData!$L$447),"",ReferenceData!$L$447),"")</f>
        <v>52.406322150000001</v>
      </c>
      <c r="M447">
        <f ca="1">IFERROR(IF(0=LEN(ReferenceData!$M$447),"",ReferenceData!$M$447),"")</f>
        <v>47.441032489999998</v>
      </c>
      <c r="N447">
        <f ca="1">IFERROR(IF(0=LEN(ReferenceData!$N$447),"",ReferenceData!$N$447),"")</f>
        <v>41.52367263</v>
      </c>
      <c r="O447">
        <f ca="1">IFERROR(IF(0=LEN(ReferenceData!$O$447),"",ReferenceData!$O$447),"")</f>
        <v>35.270919069999998</v>
      </c>
      <c r="P447">
        <f ca="1">IFERROR(IF(0=LEN(ReferenceData!$P$447),"",ReferenceData!$P$447),"")</f>
        <v>33.126294000000001</v>
      </c>
      <c r="Q447">
        <f ca="1">IFERROR(IF(0=LEN(ReferenceData!$Q$447),"",ReferenceData!$Q$447),"")</f>
        <v>26.68378719</v>
      </c>
      <c r="R447">
        <f ca="1">IFERROR(IF(0=LEN(ReferenceData!$R$447),"",ReferenceData!$R$447),"")</f>
        <v>26.764444439999998</v>
      </c>
      <c r="S447">
        <f ca="1">IFERROR(IF(0=LEN(ReferenceData!$S$447),"",ReferenceData!$S$447),"")</f>
        <v>30.70226349</v>
      </c>
      <c r="T447">
        <f ca="1">IFERROR(IF(0=LEN(ReferenceData!$T$447),"",ReferenceData!$T$447),"")</f>
        <v>30.600818919999998</v>
      </c>
      <c r="U447">
        <f ca="1">IFERROR(IF(0=LEN(ReferenceData!$U$447),"",ReferenceData!$U$447),"")</f>
        <v>33.860137569999999</v>
      </c>
      <c r="V447">
        <f ca="1">IFERROR(IF(0=LEN(ReferenceData!$V$447),"",ReferenceData!$V$447),"")</f>
        <v>30.116715299999999</v>
      </c>
      <c r="W447">
        <f ca="1">IFERROR(IF(0=LEN(ReferenceData!$W$447),"",ReferenceData!$W$447),"")</f>
        <v>30.470450360000001</v>
      </c>
      <c r="X447">
        <f ca="1">IFERROR(IF(0=LEN(ReferenceData!$X$447),"",ReferenceData!$X$447),"")</f>
        <v>33.152471269999999</v>
      </c>
      <c r="Y447">
        <f ca="1">IFERROR(IF(0=LEN(ReferenceData!$Y$447),"",ReferenceData!$Y$447),"")</f>
        <v>31.325895939999999</v>
      </c>
      <c r="Z447">
        <f ca="1">IFERROR(IF(0=LEN(ReferenceData!$Z$447),"",ReferenceData!$Z$447),"")</f>
        <v>26.1375764</v>
      </c>
      <c r="AA447">
        <f ca="1">IFERROR(IF(0=LEN(ReferenceData!$AA$447),"",ReferenceData!$AA$447),"")</f>
        <v>26.912828319999999</v>
      </c>
      <c r="AB447">
        <f ca="1">IFERROR(IF(0=LEN(ReferenceData!$AB$447),"",ReferenceData!$AB$447),"")</f>
        <v>23.948681400000002</v>
      </c>
      <c r="AC447">
        <f ca="1">IFERROR(IF(0=LEN(ReferenceData!$AC$447),"",ReferenceData!$AC$447),"")</f>
        <v>23.02426256</v>
      </c>
      <c r="AD447">
        <f ca="1">IFERROR(IF(0=LEN(ReferenceData!$AD$447),"",ReferenceData!$AD$447),"")</f>
        <v>22.405009549999999</v>
      </c>
      <c r="AE447">
        <f ca="1">IFERROR(IF(0=LEN(ReferenceData!$AE$447),"",ReferenceData!$AE$447),"")</f>
        <v>26.04553903</v>
      </c>
      <c r="AF447">
        <f ca="1">IFERROR(IF(0=LEN(ReferenceData!$AF$447),"",ReferenceData!$AF$447),"")</f>
        <v>19.443018479999999</v>
      </c>
      <c r="AG447">
        <f ca="1">IFERROR(IF(0=LEN(ReferenceData!$AG$447),"",ReferenceData!$AG$447),"")</f>
        <v>20.313283210000002</v>
      </c>
      <c r="AH447">
        <f ca="1">IFERROR(IF(0=LEN(ReferenceData!$AH$447),"",ReferenceData!$AH$447),"")</f>
        <v>23.925934890000001</v>
      </c>
      <c r="AI447">
        <f ca="1">IFERROR(IF(0=LEN(ReferenceData!$AI$447),"",ReferenceData!$AI$447),"")</f>
        <v>20.678010130000001</v>
      </c>
      <c r="AJ447">
        <f ca="1">IFERROR(IF(0=LEN(ReferenceData!$AJ$447),"",ReferenceData!$AJ$447),"")</f>
        <v>22.323049000000001</v>
      </c>
      <c r="AK447">
        <f ca="1">IFERROR(IF(0=LEN(ReferenceData!$AK$447),"",ReferenceData!$AK$447),"")</f>
        <v>22.40566038</v>
      </c>
      <c r="AL447">
        <f ca="1">IFERROR(IF(0=LEN(ReferenceData!$AL$447),"",ReferenceData!$AL$447),"")</f>
        <v>22.443559100000002</v>
      </c>
      <c r="AM447">
        <f ca="1">IFERROR(IF(0=LEN(ReferenceData!$AM$447),"",ReferenceData!$AM$447),"")</f>
        <v>24.46782481</v>
      </c>
      <c r="AN447">
        <f ca="1">IFERROR(IF(0=LEN(ReferenceData!$AN$447),"",ReferenceData!$AN$447),"")</f>
        <v>21.040019170000001</v>
      </c>
      <c r="AO447">
        <f ca="1">IFERROR(IF(0=LEN(ReferenceData!$AO$447),"",ReferenceData!$AO$447),"")</f>
        <v>19.83517724</v>
      </c>
      <c r="AP447">
        <f ca="1">IFERROR(IF(0=LEN(ReferenceData!$AP$447),"",ReferenceData!$AP$447),"")</f>
        <v>22.078339039999999</v>
      </c>
      <c r="AQ447">
        <f ca="1">IFERROR(IF(0=LEN(ReferenceData!$AQ$447),"",ReferenceData!$AQ$447),"")</f>
        <v>24.680666810000002</v>
      </c>
      <c r="AR447">
        <f ca="1">IFERROR(IF(0=LEN(ReferenceData!$AR$447),"",ReferenceData!$AR$447),"")</f>
        <v>23.36083854</v>
      </c>
      <c r="AS447">
        <f ca="1">IFERROR(IF(0=LEN(ReferenceData!$AS$447),"",ReferenceData!$AS$447),"")</f>
        <v>22.52906977</v>
      </c>
      <c r="AT447">
        <f ca="1">IFERROR(IF(0=LEN(ReferenceData!$AT$447),"",ReferenceData!$AT$447),"")</f>
        <v>16.39657776</v>
      </c>
      <c r="AU447">
        <f ca="1">IFERROR(IF(0=LEN(ReferenceData!$AU$447),"",ReferenceData!$AU$447),"")</f>
        <v>13.594597589999999</v>
      </c>
      <c r="AV447">
        <f ca="1">IFERROR(IF(0=LEN(ReferenceData!$AV$447),"",ReferenceData!$AV$447),"")</f>
        <v>18.061964400000001</v>
      </c>
      <c r="AW447">
        <f ca="1">IFERROR(IF(0=LEN(ReferenceData!$AW$447),"",ReferenceData!$AW$447),"")</f>
        <v>23.636877299999998</v>
      </c>
      <c r="AX447">
        <f ca="1">IFERROR(IF(0=LEN(ReferenceData!$AX$447),"",ReferenceData!$AX$447),"")</f>
        <v>25.18525936</v>
      </c>
      <c r="AY447">
        <f ca="1">IFERROR(IF(0=LEN(ReferenceData!$AY$447),"",ReferenceData!$AY$447),"")</f>
        <v>29.875886520000002</v>
      </c>
      <c r="AZ447">
        <f ca="1">IFERROR(IF(0=LEN(ReferenceData!$AZ$447),"",ReferenceData!$AZ$447),"")</f>
        <v>29.616724739999999</v>
      </c>
      <c r="BA447">
        <f ca="1">IFERROR(IF(0=LEN(ReferenceData!$BA$447),"",ReferenceData!$BA$447),"")</f>
        <v>28.395262049999999</v>
      </c>
      <c r="BB447">
        <f ca="1">IFERROR(IF(0=LEN(ReferenceData!$BB$447),"",ReferenceData!$BB$447),"")</f>
        <v>26.022620969999998</v>
      </c>
      <c r="BC447">
        <f ca="1">IFERROR(IF(0=LEN(ReferenceData!$BC$447),"",ReferenceData!$BC$447),"")</f>
        <v>28.21632516</v>
      </c>
      <c r="BD447">
        <f ca="1">IFERROR(IF(0=LEN(ReferenceData!$BD$447),"",ReferenceData!$BD$447),"")</f>
        <v>25.41942044</v>
      </c>
      <c r="BE447">
        <f ca="1">IFERROR(IF(0=LEN(ReferenceData!$BE$447),"",ReferenceData!$BE$447),"")</f>
        <v>21.62138552</v>
      </c>
      <c r="BF447">
        <f ca="1">IFERROR(IF(0=LEN(ReferenceData!$BF$447),"",ReferenceData!$BF$447),"")</f>
        <v>23.0212766</v>
      </c>
      <c r="BG447">
        <f ca="1">IFERROR(IF(0=LEN(ReferenceData!$BG$447),"",ReferenceData!$BG$447),"")</f>
        <v>18.521658049999999</v>
      </c>
      <c r="BH447">
        <f ca="1">IFERROR(IF(0=LEN(ReferenceData!$BH$447),"",ReferenceData!$BH$447),"")</f>
        <v>18.492426909999999</v>
      </c>
      <c r="BI447">
        <f ca="1">IFERROR(IF(0=LEN(ReferenceData!$BI$447),"",ReferenceData!$BI$447),"")</f>
        <v>15.712611559999999</v>
      </c>
      <c r="BJ447">
        <f ca="1">IFERROR(IF(0=LEN(ReferenceData!$BJ$447),"",ReferenceData!$BJ$447),"")</f>
        <v>17.891791040000001</v>
      </c>
      <c r="BK447">
        <f ca="1">IFERROR(IF(0=LEN(ReferenceData!$BK$447),"",ReferenceData!$BK$447),"")</f>
        <v>18.165938860000001</v>
      </c>
      <c r="BL447">
        <f ca="1">IFERROR(IF(0=LEN(ReferenceData!$BL$447),"",ReferenceData!$BL$447),"")</f>
        <v>16.401346310000001</v>
      </c>
      <c r="BM447">
        <f ca="1">IFERROR(IF(0=LEN(ReferenceData!$BM$447),"",ReferenceData!$BM$447),"")</f>
        <v>17.573374780000002</v>
      </c>
    </row>
    <row r="448" spans="1:65" x14ac:dyDescent="0.25">
      <c r="A448" t="str">
        <f>IFERROR(IF(0=LEN(ReferenceData!$A$448),"",ReferenceData!$A$448),"")</f>
        <v xml:space="preserve">    Tata Motors Ltd</v>
      </c>
      <c r="B448" t="str">
        <f>IFERROR(IF(0=LEN(ReferenceData!$B$448),"",ReferenceData!$B$448),"")</f>
        <v>TTMT IN Equity</v>
      </c>
      <c r="C448" t="str">
        <f>IFERROR(IF(0=LEN(ReferenceData!$C$448),"",ReferenceData!$C$448),"")</f>
        <v>PR005</v>
      </c>
      <c r="D448" t="str">
        <f>IFERROR(IF(0=LEN(ReferenceData!$D$448),"",ReferenceData!$D$448),"")</f>
        <v>PX_LAST</v>
      </c>
      <c r="E448" t="str">
        <f>IFERROR(IF(0=LEN(ReferenceData!$E$448),"",ReferenceData!$E$448),"")</f>
        <v>Dynamic</v>
      </c>
      <c r="F448">
        <f ca="1">IFERROR(IF(0=LEN(ReferenceData!$F$448),"",ReferenceData!$F$448),"")</f>
        <v>2.4933045319999998</v>
      </c>
      <c r="G448">
        <f ca="1">IFERROR(IF(0=LEN(ReferenceData!$G$448),"",ReferenceData!$G$448),"")</f>
        <v>2.4781173769999998</v>
      </c>
      <c r="H448">
        <f ca="1">IFERROR(IF(0=LEN(ReferenceData!$H$448),"",ReferenceData!$H$448),"")</f>
        <v>3.083412015</v>
      </c>
      <c r="I448">
        <f ca="1">IFERROR(IF(0=LEN(ReferenceData!$I$448),"",ReferenceData!$I$448),"")</f>
        <v>3.9328221980000002</v>
      </c>
      <c r="J448">
        <f ca="1">IFERROR(IF(0=LEN(ReferenceData!$J$448),"",ReferenceData!$J$448),"")</f>
        <v>5.0174617189999999</v>
      </c>
      <c r="K448">
        <f ca="1">IFERROR(IF(0=LEN(ReferenceData!$K$448),"",ReferenceData!$K$448),"")</f>
        <v>6.7633493339999999</v>
      </c>
      <c r="L448">
        <f ca="1">IFERROR(IF(0=LEN(ReferenceData!$L$448),"",ReferenceData!$L$448),"")</f>
        <v>6.1438408569999998</v>
      </c>
      <c r="M448">
        <f ca="1">IFERROR(IF(0=LEN(ReferenceData!$M$448),"",ReferenceData!$M$448),"")</f>
        <v>6.6937584240000003</v>
      </c>
      <c r="N448">
        <f ca="1">IFERROR(IF(0=LEN(ReferenceData!$N$448),"",ReferenceData!$N$448),"")</f>
        <v>7.1819499259999997</v>
      </c>
      <c r="O448">
        <f ca="1">IFERROR(IF(0=LEN(ReferenceData!$O$448),"",ReferenceData!$O$448),"")</f>
        <v>6.943586303</v>
      </c>
      <c r="P448">
        <f ca="1">IFERROR(IF(0=LEN(ReferenceData!$P$448),"",ReferenceData!$P$448),"")</f>
        <v>8.0271287989999998</v>
      </c>
      <c r="Q448">
        <f ca="1">IFERROR(IF(0=LEN(ReferenceData!$Q$448),"",ReferenceData!$Q$448),"")</f>
        <v>6.8009329530000002</v>
      </c>
      <c r="R448">
        <f ca="1">IFERROR(IF(0=LEN(ReferenceData!$R$448),"",ReferenceData!$R$448),"")</f>
        <v>5.8445318249999998</v>
      </c>
      <c r="S448">
        <f ca="1">IFERROR(IF(0=LEN(ReferenceData!$S$448),"",ReferenceData!$S$448),"")</f>
        <v>5.9078864920000003</v>
      </c>
      <c r="T448">
        <f ca="1">IFERROR(IF(0=LEN(ReferenceData!$T$448),"",ReferenceData!$T$448),"")</f>
        <v>4.556865438</v>
      </c>
      <c r="U448">
        <f ca="1">IFERROR(IF(0=LEN(ReferenceData!$U$448),"",ReferenceData!$U$448),"")</f>
        <v>6.8249164870000003</v>
      </c>
      <c r="V448">
        <f ca="1">IFERROR(IF(0=LEN(ReferenceData!$V$448),"",ReferenceData!$V$448),"")</f>
        <v>8.7364931430000006</v>
      </c>
      <c r="W448">
        <f ca="1">IFERROR(IF(0=LEN(ReferenceData!$W$448),"",ReferenceData!$W$448),"")</f>
        <v>7.7547049960000001</v>
      </c>
      <c r="X448">
        <f ca="1">IFERROR(IF(0=LEN(ReferenceData!$X$448),"",ReferenceData!$X$448),"")</f>
        <v>8.0241810890000007</v>
      </c>
      <c r="Y448">
        <f ca="1">IFERROR(IF(0=LEN(ReferenceData!$Y$448),"",ReferenceData!$Y$448),"")</f>
        <v>7.1067206990000003</v>
      </c>
      <c r="Z448">
        <f ca="1">IFERROR(IF(0=LEN(ReferenceData!$Z$448),"",ReferenceData!$Z$448),"")</f>
        <v>6.5855676719999998</v>
      </c>
      <c r="AA448">
        <f ca="1">IFERROR(IF(0=LEN(ReferenceData!$AA$448),"",ReferenceData!$AA$448),"")</f>
        <v>6.0206231219999999</v>
      </c>
      <c r="AB448">
        <f ca="1">IFERROR(IF(0=LEN(ReferenceData!$AB$448),"",ReferenceData!$AB$448),"")</f>
        <v>5.2504809630000002</v>
      </c>
      <c r="AC448">
        <f ca="1">IFERROR(IF(0=LEN(ReferenceData!$AC$448),"",ReferenceData!$AC$448),"")</f>
        <v>4.6669714830000002</v>
      </c>
      <c r="AD448">
        <f ca="1">IFERROR(IF(0=LEN(ReferenceData!$AD$448),"",ReferenceData!$AD$448),"")</f>
        <v>4.8874695819999996</v>
      </c>
      <c r="AE448">
        <f ca="1">IFERROR(IF(0=LEN(ReferenceData!$AE$448),"",ReferenceData!$AE$448),"")</f>
        <v>5.6457776639999997</v>
      </c>
      <c r="AF448">
        <f ca="1">IFERROR(IF(0=LEN(ReferenceData!$AF$448),"",ReferenceData!$AF$448),"")</f>
        <v>5.0082444309999996</v>
      </c>
      <c r="AG448">
        <f ca="1">IFERROR(IF(0=LEN(ReferenceData!$AG$448),"",ReferenceData!$AG$448),"")</f>
        <v>4.3201642610000004</v>
      </c>
      <c r="AH448">
        <f ca="1">IFERROR(IF(0=LEN(ReferenceData!$AH$448),"",ReferenceData!$AH$448),"")</f>
        <v>5.3455500440000003</v>
      </c>
      <c r="AI448">
        <f ca="1">IFERROR(IF(0=LEN(ReferenceData!$AI$448),"",ReferenceData!$AI$448),"")</f>
        <v>3.3293218269999998</v>
      </c>
      <c r="AJ448">
        <f ca="1">IFERROR(IF(0=LEN(ReferenceData!$AJ$448),"",ReferenceData!$AJ$448),"")</f>
        <v>3.1530664439999998</v>
      </c>
      <c r="AK448">
        <f ca="1">IFERROR(IF(0=LEN(ReferenceData!$AK$448),"",ReferenceData!$AK$448),"")</f>
        <v>4.4149441180000002</v>
      </c>
      <c r="AL448">
        <f ca="1">IFERROR(IF(0=LEN(ReferenceData!$AL$448),"",ReferenceData!$AL$448),"")</f>
        <v>5.5401290039999997</v>
      </c>
      <c r="AM448">
        <f ca="1">IFERROR(IF(0=LEN(ReferenceData!$AM$448),"",ReferenceData!$AM$448),"")</f>
        <v>5.7911454640000004</v>
      </c>
      <c r="AN448">
        <f ca="1">IFERROR(IF(0=LEN(ReferenceData!$AN$448),"",ReferenceData!$AN$448),"")</f>
        <v>4.8324117099999997</v>
      </c>
      <c r="AO448">
        <f ca="1">IFERROR(IF(0=LEN(ReferenceData!$AO$448),"",ReferenceData!$AO$448),"")</f>
        <v>3.3162415709999999</v>
      </c>
      <c r="AP448">
        <f ca="1">IFERROR(IF(0=LEN(ReferenceData!$AP$448),"",ReferenceData!$AP$448),"")</f>
        <v>3.3355251950000002</v>
      </c>
      <c r="AQ448">
        <f ca="1">IFERROR(IF(0=LEN(ReferenceData!$AQ$448),"",ReferenceData!$AQ$448),"")</f>
        <v>3.3663965239999998</v>
      </c>
      <c r="AR448">
        <f ca="1">IFERROR(IF(0=LEN(ReferenceData!$AR$448),"",ReferenceData!$AR$448),"")</f>
        <v>2.4316670459999998</v>
      </c>
      <c r="AS448">
        <f ca="1">IFERROR(IF(0=LEN(ReferenceData!$AS$448),"",ReferenceData!$AS$448),"")</f>
        <v>1.200979276</v>
      </c>
      <c r="AT448">
        <f ca="1">IFERROR(IF(0=LEN(ReferenceData!$AT$448),"",ReferenceData!$AT$448),"")</f>
        <v>0.70320944699999999</v>
      </c>
      <c r="AU448">
        <f ca="1">IFERROR(IF(0=LEN(ReferenceData!$AU$448),"",ReferenceData!$AU$448),"")</f>
        <v>0.64983532300000002</v>
      </c>
      <c r="AV448">
        <f ca="1">IFERROR(IF(0=LEN(ReferenceData!$AV$448),"",ReferenceData!$AV$448),"")</f>
        <v>1.4425035850000001</v>
      </c>
      <c r="AW448">
        <f ca="1">IFERROR(IF(0=LEN(ReferenceData!$AW$448),"",ReferenceData!$AW$448),"")</f>
        <v>1.8962778819999999</v>
      </c>
      <c r="AX448">
        <f ca="1">IFERROR(IF(0=LEN(ReferenceData!$AX$448),"",ReferenceData!$AX$448),"")</f>
        <v>2.975029025</v>
      </c>
      <c r="AY448">
        <f ca="1">IFERROR(IF(0=LEN(ReferenceData!$AY$448),"",ReferenceData!$AY$448),"")</f>
        <v>3.6070224350000002</v>
      </c>
      <c r="AZ448">
        <f ca="1">IFERROR(IF(0=LEN(ReferenceData!$AZ$448),"",ReferenceData!$AZ$448),"")</f>
        <v>3.7434715239999998</v>
      </c>
      <c r="BA448">
        <f ca="1">IFERROR(IF(0=LEN(ReferenceData!$BA$448),"",ReferenceData!$BA$448),"")</f>
        <v>3.1555496490000001</v>
      </c>
      <c r="BB448">
        <f ca="1">IFERROR(IF(0=LEN(ReferenceData!$BB$448),"",ReferenceData!$BB$448),"")</f>
        <v>3.209970652</v>
      </c>
      <c r="BC448">
        <f ca="1">IFERROR(IF(0=LEN(ReferenceData!$BC$448),"",ReferenceData!$BC$448),"")</f>
        <v>3.899290004</v>
      </c>
      <c r="BD448">
        <f ca="1">IFERROR(IF(0=LEN(ReferenceData!$BD$448),"",ReferenceData!$BD$448),"")</f>
        <v>3.5956046330000002</v>
      </c>
      <c r="BE448">
        <f ca="1">IFERROR(IF(0=LEN(ReferenceData!$BE$448),"",ReferenceData!$BE$448),"")</f>
        <v>3.3083760409999998</v>
      </c>
      <c r="BF448">
        <f ca="1">IFERROR(IF(0=LEN(ReferenceData!$BF$448),"",ReferenceData!$BF$448),"")</f>
        <v>4.0018159850000004</v>
      </c>
      <c r="BG448">
        <f ca="1">IFERROR(IF(0=LEN(ReferenceData!$BG$448),"",ReferenceData!$BG$448),"")</f>
        <v>2.7793890239999999</v>
      </c>
      <c r="BH448">
        <f ca="1">IFERROR(IF(0=LEN(ReferenceData!$BH$448),"",ReferenceData!$BH$448),"")</f>
        <v>2.3259952739999998</v>
      </c>
      <c r="BI448">
        <f ca="1">IFERROR(IF(0=LEN(ReferenceData!$BI$448),"",ReferenceData!$BI$448),"")</f>
        <v>1.873159467</v>
      </c>
      <c r="BJ448">
        <f ca="1">IFERROR(IF(0=LEN(ReferenceData!$BJ$448),"",ReferenceData!$BJ$448),"")</f>
        <v>1.8122666709999999</v>
      </c>
      <c r="BK448">
        <f ca="1">IFERROR(IF(0=LEN(ReferenceData!$BK$448),"",ReferenceData!$BK$448),"")</f>
        <v>2.2273867850000002</v>
      </c>
      <c r="BL448">
        <f ca="1">IFERROR(IF(0=LEN(ReferenceData!$BL$448),"",ReferenceData!$BL$448),"")</f>
        <v>1.6821377179999999</v>
      </c>
      <c r="BM448">
        <f ca="1">IFERROR(IF(0=LEN(ReferenceData!$BM$448),"",ReferenceData!$BM$448),"")</f>
        <v>1.581805868</v>
      </c>
    </row>
    <row r="449" spans="1:65" x14ac:dyDescent="0.25">
      <c r="A449" t="str">
        <f>IFERROR(IF(0=LEN(ReferenceData!$A$449),"",ReferenceData!$A$449),"")</f>
        <v xml:space="preserve">    Tesla Inc</v>
      </c>
      <c r="B449" t="str">
        <f>IFERROR(IF(0=LEN(ReferenceData!$B$449),"",ReferenceData!$B$449),"")</f>
        <v>TSLA US Equity</v>
      </c>
      <c r="C449" t="str">
        <f>IFERROR(IF(0=LEN(ReferenceData!$C$449),"",ReferenceData!$C$449),"")</f>
        <v>PR005</v>
      </c>
      <c r="D449" t="str">
        <f>IFERROR(IF(0=LEN(ReferenceData!$D$449),"",ReferenceData!$D$449),"")</f>
        <v>PX_LAST</v>
      </c>
      <c r="E449" t="str">
        <f>IFERROR(IF(0=LEN(ReferenceData!$E$449),"",ReferenceData!$E$449),"")</f>
        <v>Dynamic</v>
      </c>
      <c r="F449">
        <f ca="1">IFERROR(IF(0=LEN(ReferenceData!$F$449),"",ReferenceData!$F$449),"")</f>
        <v>314.74</v>
      </c>
      <c r="G449">
        <f ca="1">IFERROR(IF(0=LEN(ReferenceData!$G$449),"",ReferenceData!$G$449),"")</f>
        <v>332.8</v>
      </c>
      <c r="H449">
        <f ca="1">IFERROR(IF(0=LEN(ReferenceData!$H$449),"",ReferenceData!$H$449),"")</f>
        <v>264.77</v>
      </c>
      <c r="I449">
        <f ca="1">IFERROR(IF(0=LEN(ReferenceData!$I$449),"",ReferenceData!$I$449),"")</f>
        <v>342.95</v>
      </c>
      <c r="J449">
        <f ca="1">IFERROR(IF(0=LEN(ReferenceData!$J$449),"",ReferenceData!$J$449),"")</f>
        <v>266.13</v>
      </c>
      <c r="K449">
        <f ca="1">IFERROR(IF(0=LEN(ReferenceData!$K$449),"",ReferenceData!$K$449),"")</f>
        <v>311.35000000000002</v>
      </c>
      <c r="L449">
        <f ca="1">IFERROR(IF(0=LEN(ReferenceData!$L$449),"",ReferenceData!$L$449),"")</f>
        <v>341.1</v>
      </c>
      <c r="M449">
        <f ca="1">IFERROR(IF(0=LEN(ReferenceData!$M$449),"",ReferenceData!$M$449),"")</f>
        <v>361.61</v>
      </c>
      <c r="N449">
        <f ca="1">IFERROR(IF(0=LEN(ReferenceData!$N$449),"",ReferenceData!$N$449),"")</f>
        <v>278.3</v>
      </c>
      <c r="O449">
        <f ca="1">IFERROR(IF(0=LEN(ReferenceData!$O$449),"",ReferenceData!$O$449),"")</f>
        <v>213.69</v>
      </c>
      <c r="P449">
        <f ca="1">IFERROR(IF(0=LEN(ReferenceData!$P$449),"",ReferenceData!$P$449),"")</f>
        <v>204.03</v>
      </c>
      <c r="Q449">
        <f ca="1">IFERROR(IF(0=LEN(ReferenceData!$Q$449),"",ReferenceData!$Q$449),"")</f>
        <v>212.28</v>
      </c>
      <c r="R449">
        <f ca="1">IFERROR(IF(0=LEN(ReferenceData!$R$449),"",ReferenceData!$R$449),"")</f>
        <v>229.77</v>
      </c>
      <c r="S449">
        <f ca="1">IFERROR(IF(0=LEN(ReferenceData!$S$449),"",ReferenceData!$S$449),"")</f>
        <v>240.01</v>
      </c>
      <c r="T449">
        <f ca="1">IFERROR(IF(0=LEN(ReferenceData!$T$449),"",ReferenceData!$T$449),"")</f>
        <v>248.4</v>
      </c>
      <c r="U449">
        <f ca="1">IFERROR(IF(0=LEN(ReferenceData!$U$449),"",ReferenceData!$U$449),"")</f>
        <v>268.26</v>
      </c>
      <c r="V449">
        <f ca="1">IFERROR(IF(0=LEN(ReferenceData!$V$449),"",ReferenceData!$V$449),"")</f>
        <v>188.77</v>
      </c>
      <c r="W449">
        <f ca="1">IFERROR(IF(0=LEN(ReferenceData!$W$449),"",ReferenceData!$W$449),"")</f>
        <v>222.41</v>
      </c>
      <c r="X449">
        <f ca="1">IFERROR(IF(0=LEN(ReferenceData!$X$449),"",ReferenceData!$X$449),"")</f>
        <v>242.68</v>
      </c>
      <c r="Y449">
        <f ca="1">IFERROR(IF(0=LEN(ReferenceData!$Y$449),"",ReferenceData!$Y$449),"")</f>
        <v>240.06</v>
      </c>
      <c r="Z449">
        <f ca="1">IFERROR(IF(0=LEN(ReferenceData!$Z$449),"",ReferenceData!$Z$449),"")</f>
        <v>208.45</v>
      </c>
      <c r="AA449">
        <f ca="1">IFERROR(IF(0=LEN(ReferenceData!$AA$449),"",ReferenceData!$AA$449),"")</f>
        <v>150.429</v>
      </c>
      <c r="AB449">
        <f ca="1">IFERROR(IF(0=LEN(ReferenceData!$AB$449),"",ReferenceData!$AB$449),"")</f>
        <v>193.37</v>
      </c>
      <c r="AC449">
        <f ca="1">IFERROR(IF(0=LEN(ReferenceData!$AC$449),"",ReferenceData!$AC$449),"")</f>
        <v>107.36</v>
      </c>
      <c r="AD449">
        <f ca="1">IFERROR(IF(0=LEN(ReferenceData!$AD$449),"",ReferenceData!$AD$449),"")</f>
        <v>37.89</v>
      </c>
      <c r="AE449">
        <f ca="1">IFERROR(IF(0=LEN(ReferenceData!$AE$449),"",ReferenceData!$AE$449),"")</f>
        <v>33.869999999999997</v>
      </c>
      <c r="AF449">
        <f ca="1">IFERROR(IF(0=LEN(ReferenceData!$AF$449),"",ReferenceData!$AF$449),"")</f>
        <v>29.28</v>
      </c>
      <c r="AG449">
        <f ca="1">IFERROR(IF(0=LEN(ReferenceData!$AG$449),"",ReferenceData!$AG$449),"")</f>
        <v>31.29</v>
      </c>
      <c r="AH449">
        <f ca="1">IFERROR(IF(0=LEN(ReferenceData!$AH$449),"",ReferenceData!$AH$449),"")</f>
        <v>37.24</v>
      </c>
      <c r="AI449">
        <f ca="1">IFERROR(IF(0=LEN(ReferenceData!$AI$449),"",ReferenceData!$AI$449),"")</f>
        <v>28.56</v>
      </c>
      <c r="AJ449">
        <f ca="1">IFERROR(IF(0=LEN(ReferenceData!$AJ$449),"",ReferenceData!$AJ$449),"")</f>
        <v>24.39</v>
      </c>
      <c r="AK449">
        <f ca="1">IFERROR(IF(0=LEN(ReferenceData!$AK$449),"",ReferenceData!$AK$449),"")</f>
        <v>29.13</v>
      </c>
      <c r="AL449">
        <f ca="1">IFERROR(IF(0=LEN(ReferenceData!$AL$449),"",ReferenceData!$AL$449),"")</f>
        <v>27.75</v>
      </c>
      <c r="AM449">
        <f ca="1">IFERROR(IF(0=LEN(ReferenceData!$AM$449),"",ReferenceData!$AM$449),"")</f>
        <v>26.63</v>
      </c>
      <c r="AN449">
        <f ca="1">IFERROR(IF(0=LEN(ReferenceData!$AN$449),"",ReferenceData!$AN$449),"")</f>
        <v>20.405000000000001</v>
      </c>
      <c r="AO449">
        <f ca="1">IFERROR(IF(0=LEN(ReferenceData!$AO$449),"",ReferenceData!$AO$449),"")</f>
        <v>23.83</v>
      </c>
      <c r="AP449" t="str">
        <f ca="1">IFERROR(IF(0=LEN(ReferenceData!$AP$449),"",ReferenceData!$AP$449),"")</f>
        <v/>
      </c>
      <c r="AQ449" t="str">
        <f ca="1">IFERROR(IF(0=LEN(ReferenceData!$AQ$449),"",ReferenceData!$AQ$449),"")</f>
        <v/>
      </c>
      <c r="AR449" t="str">
        <f ca="1">IFERROR(IF(0=LEN(ReferenceData!$AR$449),"",ReferenceData!$AR$449),"")</f>
        <v/>
      </c>
      <c r="AS449" t="str">
        <f ca="1">IFERROR(IF(0=LEN(ReferenceData!$AS$449),"",ReferenceData!$AS$449),"")</f>
        <v/>
      </c>
      <c r="AT449" t="str">
        <f ca="1">IFERROR(IF(0=LEN(ReferenceData!$AT$449),"",ReferenceData!$AT$449),"")</f>
        <v/>
      </c>
      <c r="AU449" t="str">
        <f ca="1">IFERROR(IF(0=LEN(ReferenceData!$AU$449),"",ReferenceData!$AU$449),"")</f>
        <v/>
      </c>
      <c r="AV449" t="str">
        <f ca="1">IFERROR(IF(0=LEN(ReferenceData!$AV$449),"",ReferenceData!$AV$449),"")</f>
        <v/>
      </c>
      <c r="AW449" t="str">
        <f ca="1">IFERROR(IF(0=LEN(ReferenceData!$AW$449),"",ReferenceData!$AW$449),"")</f>
        <v/>
      </c>
      <c r="AX449" t="str">
        <f ca="1">IFERROR(IF(0=LEN(ReferenceData!$AX$449),"",ReferenceData!$AX$449),"")</f>
        <v/>
      </c>
      <c r="AY449" t="str">
        <f ca="1">IFERROR(IF(0=LEN(ReferenceData!$AY$449),"",ReferenceData!$AY$449),"")</f>
        <v/>
      </c>
      <c r="AZ449" t="str">
        <f ca="1">IFERROR(IF(0=LEN(ReferenceData!$AZ$449),"",ReferenceData!$AZ$449),"")</f>
        <v/>
      </c>
      <c r="BA449" t="str">
        <f ca="1">IFERROR(IF(0=LEN(ReferenceData!$BA$449),"",ReferenceData!$BA$449),"")</f>
        <v/>
      </c>
      <c r="BB449" t="str">
        <f ca="1">IFERROR(IF(0=LEN(ReferenceData!$BB$449),"",ReferenceData!$BB$449),"")</f>
        <v/>
      </c>
      <c r="BC449" t="str">
        <f ca="1">IFERROR(IF(0=LEN(ReferenceData!$BC$449),"",ReferenceData!$BC$449),"")</f>
        <v/>
      </c>
      <c r="BD449" t="str">
        <f ca="1">IFERROR(IF(0=LEN(ReferenceData!$BD$449),"",ReferenceData!$BD$449),"")</f>
        <v/>
      </c>
      <c r="BE449" t="str">
        <f ca="1">IFERROR(IF(0=LEN(ReferenceData!$BE$449),"",ReferenceData!$BE$449),"")</f>
        <v/>
      </c>
      <c r="BF449" t="str">
        <f ca="1">IFERROR(IF(0=LEN(ReferenceData!$BF$449),"",ReferenceData!$BF$449),"")</f>
        <v/>
      </c>
      <c r="BG449" t="str">
        <f ca="1">IFERROR(IF(0=LEN(ReferenceData!$BG$449),"",ReferenceData!$BG$449),"")</f>
        <v/>
      </c>
      <c r="BH449" t="str">
        <f ca="1">IFERROR(IF(0=LEN(ReferenceData!$BH$449),"",ReferenceData!$BH$449),"")</f>
        <v/>
      </c>
      <c r="BI449" t="str">
        <f ca="1">IFERROR(IF(0=LEN(ReferenceData!$BI$449),"",ReferenceData!$BI$449),"")</f>
        <v/>
      </c>
      <c r="BJ449" t="str">
        <f ca="1">IFERROR(IF(0=LEN(ReferenceData!$BJ$449),"",ReferenceData!$BJ$449),"")</f>
        <v/>
      </c>
      <c r="BK449" t="str">
        <f ca="1">IFERROR(IF(0=LEN(ReferenceData!$BK$449),"",ReferenceData!$BK$449),"")</f>
        <v/>
      </c>
      <c r="BL449" t="str">
        <f ca="1">IFERROR(IF(0=LEN(ReferenceData!$BL$449),"",ReferenceData!$BL$449),"")</f>
        <v/>
      </c>
      <c r="BM449" t="str">
        <f ca="1">IFERROR(IF(0=LEN(ReferenceData!$BM$449),"",ReferenceData!$BM$449),"")</f>
        <v/>
      </c>
    </row>
    <row r="450" spans="1:65" x14ac:dyDescent="0.25">
      <c r="A450" t="str">
        <f>IFERROR(IF(0=LEN(ReferenceData!$A$450),"",ReferenceData!$A$450),"")</f>
        <v xml:space="preserve">    Tianjin Faw Xiali Automobile Co Ltd</v>
      </c>
      <c r="B450" t="str">
        <f>IFERROR(IF(0=LEN(ReferenceData!$B$450),"",ReferenceData!$B$450),"")</f>
        <v>000927 CH Equity</v>
      </c>
      <c r="C450" t="str">
        <f>IFERROR(IF(0=LEN(ReferenceData!$C$450),"",ReferenceData!$C$450),"")</f>
        <v>PR005</v>
      </c>
      <c r="D450" t="str">
        <f>IFERROR(IF(0=LEN(ReferenceData!$D$450),"",ReferenceData!$D$450),"")</f>
        <v>PX_LAST</v>
      </c>
      <c r="E450" t="str">
        <f>IFERROR(IF(0=LEN(ReferenceData!$E$450),"",ReferenceData!$E$450),"")</f>
        <v>Dynamic</v>
      </c>
      <c r="F450">
        <f ca="1">IFERROR(IF(0=LEN(ReferenceData!$F$450),"",ReferenceData!$F$450),"")</f>
        <v>0.56620405600000001</v>
      </c>
      <c r="G450">
        <f ca="1">IFERROR(IF(0=LEN(ReferenceData!$G$450),"",ReferenceData!$G$450),"")</f>
        <v>0.457968655</v>
      </c>
      <c r="H450">
        <f ca="1">IFERROR(IF(0=LEN(ReferenceData!$H$450),"",ReferenceData!$H$450),"")</f>
        <v>0.48623546000000001</v>
      </c>
      <c r="I450">
        <f ca="1">IFERROR(IF(0=LEN(ReferenceData!$I$450),"",ReferenceData!$I$450),"")</f>
        <v>0.58726732000000004</v>
      </c>
      <c r="J450">
        <f ca="1">IFERROR(IF(0=LEN(ReferenceData!$J$450),"",ReferenceData!$J$450),"")</f>
        <v>0.64567430000000003</v>
      </c>
      <c r="K450">
        <f ca="1">IFERROR(IF(0=LEN(ReferenceData!$K$450),"",ReferenceData!$K$450),"")</f>
        <v>0.70235295900000005</v>
      </c>
      <c r="L450">
        <f ca="1">IFERROR(IF(0=LEN(ReferenceData!$L$450),"",ReferenceData!$L$450),"")</f>
        <v>0.87115103500000002</v>
      </c>
      <c r="M450">
        <f ca="1">IFERROR(IF(0=LEN(ReferenceData!$M$450),"",ReferenceData!$M$450),"")</f>
        <v>0.778998093</v>
      </c>
      <c r="N450">
        <f ca="1">IFERROR(IF(0=LEN(ReferenceData!$N$450),"",ReferenceData!$N$450),"")</f>
        <v>1.1253925789999999</v>
      </c>
      <c r="O450">
        <f ca="1">IFERROR(IF(0=LEN(ReferenceData!$O$450),"",ReferenceData!$O$450),"")</f>
        <v>0.86747265699999998</v>
      </c>
      <c r="P450">
        <f ca="1">IFERROR(IF(0=LEN(ReferenceData!$P$450),"",ReferenceData!$P$450),"")</f>
        <v>0.73804059200000005</v>
      </c>
      <c r="Q450">
        <f ca="1">IFERROR(IF(0=LEN(ReferenceData!$Q$450),"",ReferenceData!$Q$450),"")</f>
        <v>0.79492689400000005</v>
      </c>
      <c r="R450">
        <f ca="1">IFERROR(IF(0=LEN(ReferenceData!$R$450),"",ReferenceData!$R$450),"")</f>
        <v>1.015078959</v>
      </c>
      <c r="S450">
        <f ca="1">IFERROR(IF(0=LEN(ReferenceData!$S$450),"",ReferenceData!$S$450),"")</f>
        <v>1.143737958</v>
      </c>
      <c r="T450">
        <f ca="1">IFERROR(IF(0=LEN(ReferenceData!$T$450),"",ReferenceData!$T$450),"")</f>
        <v>1.0133702019999999</v>
      </c>
      <c r="U450">
        <f ca="1">IFERROR(IF(0=LEN(ReferenceData!$U$450),"",ReferenceData!$U$450),"")</f>
        <v>1.5584415579999999</v>
      </c>
      <c r="V450">
        <f ca="1">IFERROR(IF(0=LEN(ReferenceData!$V$450),"",ReferenceData!$V$450),"")</f>
        <v>1.3561235190000001</v>
      </c>
      <c r="W450">
        <f ca="1">IFERROR(IF(0=LEN(ReferenceData!$W$450),"",ReferenceData!$W$450),"")</f>
        <v>1.0648580729999999</v>
      </c>
      <c r="X450">
        <f ca="1">IFERROR(IF(0=LEN(ReferenceData!$X$450),"",ReferenceData!$X$450),"")</f>
        <v>0.79013391600000005</v>
      </c>
      <c r="Y450">
        <f ca="1">IFERROR(IF(0=LEN(ReferenceData!$Y$450),"",ReferenceData!$Y$450),"")</f>
        <v>0.575416653</v>
      </c>
      <c r="Z450">
        <f ca="1">IFERROR(IF(0=LEN(ReferenceData!$Z$450),"",ReferenceData!$Z$450),"")</f>
        <v>0.60464742299999996</v>
      </c>
      <c r="AA450">
        <f ca="1">IFERROR(IF(0=LEN(ReferenceData!$AA$450),"",ReferenceData!$AA$450),"")</f>
        <v>0.591500892</v>
      </c>
      <c r="AB450">
        <f ca="1">IFERROR(IF(0=LEN(ReferenceData!$AB$450),"",ReferenceData!$AB$450),"")</f>
        <v>0.60607050699999998</v>
      </c>
      <c r="AC450">
        <f ca="1">IFERROR(IF(0=LEN(ReferenceData!$AC$450),"",ReferenceData!$AC$450),"")</f>
        <v>0.58654848800000003</v>
      </c>
      <c r="AD450">
        <f ca="1">IFERROR(IF(0=LEN(ReferenceData!$AD$450),"",ReferenceData!$AD$450),"")</f>
        <v>0.70683325799999996</v>
      </c>
      <c r="AE450">
        <f ca="1">IFERROR(IF(0=LEN(ReferenceData!$AE$450),"",ReferenceData!$AE$450),"")</f>
        <v>0.79871692100000002</v>
      </c>
      <c r="AF450">
        <f ca="1">IFERROR(IF(0=LEN(ReferenceData!$AF$450),"",ReferenceData!$AF$450),"")</f>
        <v>0.76680772500000005</v>
      </c>
      <c r="AG450">
        <f ca="1">IFERROR(IF(0=LEN(ReferenceData!$AG$450),"",ReferenceData!$AG$450),"")</f>
        <v>1.1534043519999999</v>
      </c>
      <c r="AH450">
        <f ca="1">IFERROR(IF(0=LEN(ReferenceData!$AH$450),"",ReferenceData!$AH$450),"")</f>
        <v>1.0478519040000001</v>
      </c>
      <c r="AI450">
        <f ca="1">IFERROR(IF(0=LEN(ReferenceData!$AI$450),"",ReferenceData!$AI$450),"")</f>
        <v>0.96988745499999995</v>
      </c>
      <c r="AJ450">
        <f ca="1">IFERROR(IF(0=LEN(ReferenceData!$AJ$450),"",ReferenceData!$AJ$450),"")</f>
        <v>1.1499295</v>
      </c>
      <c r="AK450">
        <f ca="1">IFERROR(IF(0=LEN(ReferenceData!$AK$450),"",ReferenceData!$AK$450),"")</f>
        <v>1.0922198670000001</v>
      </c>
      <c r="AL450">
        <f ca="1">IFERROR(IF(0=LEN(ReferenceData!$AL$450),"",ReferenceData!$AL$450),"")</f>
        <v>1.2033106309999999</v>
      </c>
      <c r="AM450">
        <f ca="1">IFERROR(IF(0=LEN(ReferenceData!$AM$450),"",ReferenceData!$AM$450),"")</f>
        <v>1.2367786089999999</v>
      </c>
      <c r="AN450">
        <f ca="1">IFERROR(IF(0=LEN(ReferenceData!$AN$450),"",ReferenceData!$AN$450),"")</f>
        <v>1.1943198799999999</v>
      </c>
      <c r="AO450">
        <f ca="1">IFERROR(IF(0=LEN(ReferenceData!$AO$450),"",ReferenceData!$AO$450),"")</f>
        <v>1.1398826200000001</v>
      </c>
      <c r="AP450">
        <f ca="1">IFERROR(IF(0=LEN(ReferenceData!$AP$450),"",ReferenceData!$AP$450),"")</f>
        <v>1.4282575260000001</v>
      </c>
      <c r="AQ450">
        <f ca="1">IFERROR(IF(0=LEN(ReferenceData!$AQ$450),"",ReferenceData!$AQ$450),"")</f>
        <v>1.743053419</v>
      </c>
      <c r="AR450">
        <f ca="1">IFERROR(IF(0=LEN(ReferenceData!$AR$450),"",ReferenceData!$AR$450),"")</f>
        <v>0.993217409</v>
      </c>
      <c r="AS450">
        <f ca="1">IFERROR(IF(0=LEN(ReferenceData!$AS$450),"",ReferenceData!$AS$450),"")</f>
        <v>1.0233211820000001</v>
      </c>
      <c r="AT450">
        <f ca="1">IFERROR(IF(0=LEN(ReferenceData!$AT$450),"",ReferenceData!$AT$450),"")</f>
        <v>0.73021540600000001</v>
      </c>
      <c r="AU450">
        <f ca="1">IFERROR(IF(0=LEN(ReferenceData!$AU$450),"",ReferenceData!$AU$450),"")</f>
        <v>0.55820086400000002</v>
      </c>
      <c r="AV450">
        <f ca="1">IFERROR(IF(0=LEN(ReferenceData!$AV$450),"",ReferenceData!$AV$450),"")</f>
        <v>0.519821859</v>
      </c>
      <c r="AW450">
        <f ca="1">IFERROR(IF(0=LEN(ReferenceData!$AW$450),"",ReferenceData!$AW$450),"")</f>
        <v>0.61275403799999995</v>
      </c>
      <c r="AX450">
        <f ca="1">IFERROR(IF(0=LEN(ReferenceData!$AX$450),"",ReferenceData!$AX$450),"")</f>
        <v>1.1266400459999999</v>
      </c>
      <c r="AY450">
        <f ca="1">IFERROR(IF(0=LEN(ReferenceData!$AY$450),"",ReferenceData!$AY$450),"")</f>
        <v>1.9851864020000001</v>
      </c>
      <c r="AZ450">
        <f ca="1">IFERROR(IF(0=LEN(ReferenceData!$AZ$450),"",ReferenceData!$AZ$450),"")</f>
        <v>2.1982121210000001</v>
      </c>
      <c r="BA450">
        <f ca="1">IFERROR(IF(0=LEN(ReferenceData!$BA$450),"",ReferenceData!$BA$450),"")</f>
        <v>1.0978188069999999</v>
      </c>
      <c r="BB450">
        <f ca="1">IFERROR(IF(0=LEN(ReferenceData!$BB$450),"",ReferenceData!$BB$450),"")</f>
        <v>1.2943308309999999</v>
      </c>
      <c r="BC450">
        <f ca="1">IFERROR(IF(0=LEN(ReferenceData!$BC$450),"",ReferenceData!$BC$450),"")</f>
        <v>0.68977873300000003</v>
      </c>
      <c r="BD450">
        <f ca="1">IFERROR(IF(0=LEN(ReferenceData!$BD$450),"",ReferenceData!$BD$450),"")</f>
        <v>0.48076314799999997</v>
      </c>
      <c r="BE450">
        <f ca="1">IFERROR(IF(0=LEN(ReferenceData!$BE$450),"",ReferenceData!$BE$450),"")</f>
        <v>0.815581102</v>
      </c>
      <c r="BF450">
        <f ca="1">IFERROR(IF(0=LEN(ReferenceData!$BF$450),"",ReferenceData!$BF$450),"")</f>
        <v>0.57251908399999996</v>
      </c>
      <c r="BG450">
        <f ca="1">IFERROR(IF(0=LEN(ReferenceData!$BG$450),"",ReferenceData!$BG$450),"")</f>
        <v>0.49936804499999998</v>
      </c>
      <c r="BH450">
        <f ca="1">IFERROR(IF(0=LEN(ReferenceData!$BH$450),"",ReferenceData!$BH$450),"")</f>
        <v>0.49802273899999999</v>
      </c>
      <c r="BI450">
        <f ca="1">IFERROR(IF(0=LEN(ReferenceData!$BI$450),"",ReferenceData!$BI$450),"")</f>
        <v>0.334682535</v>
      </c>
      <c r="BJ450">
        <f ca="1">IFERROR(IF(0=LEN(ReferenceData!$BJ$450),"",ReferenceData!$BJ$450),"")</f>
        <v>0.28393987700000001</v>
      </c>
      <c r="BK450">
        <f ca="1">IFERROR(IF(0=LEN(ReferenceData!$BK$450),"",ReferenceData!$BK$450),"")</f>
        <v>0.32984957399999998</v>
      </c>
      <c r="BL450">
        <f ca="1">IFERROR(IF(0=LEN(ReferenceData!$BL$450),"",ReferenceData!$BL$450),"")</f>
        <v>0.512293844</v>
      </c>
      <c r="BM450">
        <f ca="1">IFERROR(IF(0=LEN(ReferenceData!$BM$450),"",ReferenceData!$BM$450),"")</f>
        <v>0.66452407999999996</v>
      </c>
    </row>
    <row r="451" spans="1:65" x14ac:dyDescent="0.25">
      <c r="A451" t="str">
        <f>IFERROR(IF(0=LEN(ReferenceData!$A$451),"",ReferenceData!$A$451),"")</f>
        <v xml:space="preserve">    Tofas Turk Otomobil Fabrikasi AS</v>
      </c>
      <c r="B451" t="str">
        <f>IFERROR(IF(0=LEN(ReferenceData!$B$451),"",ReferenceData!$B$451),"")</f>
        <v>TOASOTRY EO Equity</v>
      </c>
      <c r="C451" t="str">
        <f>IFERROR(IF(0=LEN(ReferenceData!$C$451),"",ReferenceData!$C$451),"")</f>
        <v>PR005</v>
      </c>
      <c r="D451" t="str">
        <f>IFERROR(IF(0=LEN(ReferenceData!$D$451),"",ReferenceData!$D$451),"")</f>
        <v>PX_LAST</v>
      </c>
      <c r="E451" t="str">
        <f>IFERROR(IF(0=LEN(ReferenceData!$E$451),"",ReferenceData!$E$451),"")</f>
        <v>Dynamic</v>
      </c>
      <c r="F451" t="str">
        <f ca="1">IFERROR(IF(0=LEN(ReferenceData!$F$451),"",ReferenceData!$F$451),"")</f>
        <v/>
      </c>
      <c r="G451" t="str">
        <f ca="1">IFERROR(IF(0=LEN(ReferenceData!$G$451),"",ReferenceData!$G$451),"")</f>
        <v/>
      </c>
      <c r="H451" t="str">
        <f ca="1">IFERROR(IF(0=LEN(ReferenceData!$H$451),"",ReferenceData!$H$451),"")</f>
        <v/>
      </c>
      <c r="I451" t="str">
        <f ca="1">IFERROR(IF(0=LEN(ReferenceData!$I$451),"",ReferenceData!$I$451),"")</f>
        <v/>
      </c>
      <c r="J451" t="str">
        <f ca="1">IFERROR(IF(0=LEN(ReferenceData!$J$451),"",ReferenceData!$J$451),"")</f>
        <v/>
      </c>
      <c r="K451" t="str">
        <f ca="1">IFERROR(IF(0=LEN(ReferenceData!$K$451),"",ReferenceData!$K$451),"")</f>
        <v/>
      </c>
      <c r="L451" t="str">
        <f ca="1">IFERROR(IF(0=LEN(ReferenceData!$L$451),"",ReferenceData!$L$451),"")</f>
        <v/>
      </c>
      <c r="M451" t="str">
        <f ca="1">IFERROR(IF(0=LEN(ReferenceData!$M$451),"",ReferenceData!$M$451),"")</f>
        <v/>
      </c>
      <c r="N451" t="str">
        <f ca="1">IFERROR(IF(0=LEN(ReferenceData!$N$451),"",ReferenceData!$N$451),"")</f>
        <v/>
      </c>
      <c r="O451" t="str">
        <f ca="1">IFERROR(IF(0=LEN(ReferenceData!$O$451),"",ReferenceData!$O$451),"")</f>
        <v/>
      </c>
      <c r="P451" t="str">
        <f ca="1">IFERROR(IF(0=LEN(ReferenceData!$P$451),"",ReferenceData!$P$451),"")</f>
        <v/>
      </c>
      <c r="Q451" t="str">
        <f ca="1">IFERROR(IF(0=LEN(ReferenceData!$Q$451),"",ReferenceData!$Q$451),"")</f>
        <v/>
      </c>
      <c r="R451" t="str">
        <f ca="1">IFERROR(IF(0=LEN(ReferenceData!$R$451),"",ReferenceData!$R$451),"")</f>
        <v/>
      </c>
      <c r="S451" t="str">
        <f ca="1">IFERROR(IF(0=LEN(ReferenceData!$S$451),"",ReferenceData!$S$451),"")</f>
        <v/>
      </c>
      <c r="T451" t="str">
        <f ca="1">IFERROR(IF(0=LEN(ReferenceData!$T$451),"",ReferenceData!$T$451),"")</f>
        <v/>
      </c>
      <c r="U451" t="str">
        <f ca="1">IFERROR(IF(0=LEN(ReferenceData!$U$451),"",ReferenceData!$U$451),"")</f>
        <v/>
      </c>
      <c r="V451" t="str">
        <f ca="1">IFERROR(IF(0=LEN(ReferenceData!$V$451),"",ReferenceData!$V$451),"")</f>
        <v/>
      </c>
      <c r="W451" t="str">
        <f ca="1">IFERROR(IF(0=LEN(ReferenceData!$W$451),"",ReferenceData!$W$451),"")</f>
        <v/>
      </c>
      <c r="X451" t="str">
        <f ca="1">IFERROR(IF(0=LEN(ReferenceData!$X$451),"",ReferenceData!$X$451),"")</f>
        <v/>
      </c>
      <c r="Y451" t="str">
        <f ca="1">IFERROR(IF(0=LEN(ReferenceData!$Y$451),"",ReferenceData!$Y$451),"")</f>
        <v/>
      </c>
      <c r="Z451" t="str">
        <f ca="1">IFERROR(IF(0=LEN(ReferenceData!$Z$451),"",ReferenceData!$Z$451),"")</f>
        <v/>
      </c>
      <c r="AA451" t="str">
        <f ca="1">IFERROR(IF(0=LEN(ReferenceData!$AA$451),"",ReferenceData!$AA$451),"")</f>
        <v/>
      </c>
      <c r="AB451" t="str">
        <f ca="1">IFERROR(IF(0=LEN(ReferenceData!$AB$451),"",ReferenceData!$AB$451),"")</f>
        <v/>
      </c>
      <c r="AC451" t="str">
        <f ca="1">IFERROR(IF(0=LEN(ReferenceData!$AC$451),"",ReferenceData!$AC$451),"")</f>
        <v/>
      </c>
      <c r="AD451" t="str">
        <f ca="1">IFERROR(IF(0=LEN(ReferenceData!$AD$451),"",ReferenceData!$AD$451),"")</f>
        <v/>
      </c>
      <c r="AE451" t="str">
        <f ca="1">IFERROR(IF(0=LEN(ReferenceData!$AE$451),"",ReferenceData!$AE$451),"")</f>
        <v/>
      </c>
      <c r="AF451" t="str">
        <f ca="1">IFERROR(IF(0=LEN(ReferenceData!$AF$451),"",ReferenceData!$AF$451),"")</f>
        <v/>
      </c>
      <c r="AG451" t="str">
        <f ca="1">IFERROR(IF(0=LEN(ReferenceData!$AG$451),"",ReferenceData!$AG$451),"")</f>
        <v/>
      </c>
      <c r="AH451" t="str">
        <f ca="1">IFERROR(IF(0=LEN(ReferenceData!$AH$451),"",ReferenceData!$AH$451),"")</f>
        <v/>
      </c>
      <c r="AI451" t="str">
        <f ca="1">IFERROR(IF(0=LEN(ReferenceData!$AI$451),"",ReferenceData!$AI$451),"")</f>
        <v/>
      </c>
      <c r="AJ451" t="str">
        <f ca="1">IFERROR(IF(0=LEN(ReferenceData!$AJ$451),"",ReferenceData!$AJ$451),"")</f>
        <v/>
      </c>
      <c r="AK451" t="str">
        <f ca="1">IFERROR(IF(0=LEN(ReferenceData!$AK$451),"",ReferenceData!$AK$451),"")</f>
        <v/>
      </c>
      <c r="AL451" t="str">
        <f ca="1">IFERROR(IF(0=LEN(ReferenceData!$AL$451),"",ReferenceData!$AL$451),"")</f>
        <v/>
      </c>
      <c r="AM451" t="str">
        <f ca="1">IFERROR(IF(0=LEN(ReferenceData!$AM$451),"",ReferenceData!$AM$451),"")</f>
        <v/>
      </c>
      <c r="AN451" t="str">
        <f ca="1">IFERROR(IF(0=LEN(ReferenceData!$AN$451),"",ReferenceData!$AN$451),"")</f>
        <v/>
      </c>
      <c r="AO451" t="str">
        <f ca="1">IFERROR(IF(0=LEN(ReferenceData!$AO$451),"",ReferenceData!$AO$451),"")</f>
        <v/>
      </c>
      <c r="AP451" t="str">
        <f ca="1">IFERROR(IF(0=LEN(ReferenceData!$AP$451),"",ReferenceData!$AP$451),"")</f>
        <v/>
      </c>
      <c r="AQ451" t="str">
        <f ca="1">IFERROR(IF(0=LEN(ReferenceData!$AQ$451),"",ReferenceData!$AQ$451),"")</f>
        <v/>
      </c>
      <c r="AR451" t="str">
        <f ca="1">IFERROR(IF(0=LEN(ReferenceData!$AR$451),"",ReferenceData!$AR$451),"")</f>
        <v/>
      </c>
      <c r="AS451" t="str">
        <f ca="1">IFERROR(IF(0=LEN(ReferenceData!$AS$451),"",ReferenceData!$AS$451),"")</f>
        <v/>
      </c>
      <c r="AT451" t="str">
        <f ca="1">IFERROR(IF(0=LEN(ReferenceData!$AT$451),"",ReferenceData!$AT$451),"")</f>
        <v/>
      </c>
      <c r="AU451" t="str">
        <f ca="1">IFERROR(IF(0=LEN(ReferenceData!$AU$451),"",ReferenceData!$AU$451),"")</f>
        <v/>
      </c>
      <c r="AV451" t="str">
        <f ca="1">IFERROR(IF(0=LEN(ReferenceData!$AV$451),"",ReferenceData!$AV$451),"")</f>
        <v/>
      </c>
      <c r="AW451" t="str">
        <f ca="1">IFERROR(IF(0=LEN(ReferenceData!$AW$451),"",ReferenceData!$AW$451),"")</f>
        <v/>
      </c>
      <c r="AX451" t="str">
        <f ca="1">IFERROR(IF(0=LEN(ReferenceData!$AX$451),"",ReferenceData!$AX$451),"")</f>
        <v/>
      </c>
      <c r="AY451" t="str">
        <f ca="1">IFERROR(IF(0=LEN(ReferenceData!$AY$451),"",ReferenceData!$AY$451),"")</f>
        <v/>
      </c>
      <c r="AZ451" t="str">
        <f ca="1">IFERROR(IF(0=LEN(ReferenceData!$AZ$451),"",ReferenceData!$AZ$451),"")</f>
        <v/>
      </c>
      <c r="BA451" t="str">
        <f ca="1">IFERROR(IF(0=LEN(ReferenceData!$BA$451),"",ReferenceData!$BA$451),"")</f>
        <v/>
      </c>
      <c r="BB451" t="str">
        <f ca="1">IFERROR(IF(0=LEN(ReferenceData!$BB$451),"",ReferenceData!$BB$451),"")</f>
        <v/>
      </c>
      <c r="BC451" t="str">
        <f ca="1">IFERROR(IF(0=LEN(ReferenceData!$BC$451),"",ReferenceData!$BC$451),"")</f>
        <v/>
      </c>
      <c r="BD451" t="str">
        <f ca="1">IFERROR(IF(0=LEN(ReferenceData!$BD$451),"",ReferenceData!$BD$451),"")</f>
        <v/>
      </c>
      <c r="BE451" t="str">
        <f ca="1">IFERROR(IF(0=LEN(ReferenceData!$BE$451),"",ReferenceData!$BE$451),"")</f>
        <v/>
      </c>
      <c r="BF451" t="str">
        <f ca="1">IFERROR(IF(0=LEN(ReferenceData!$BF$451),"",ReferenceData!$BF$451),"")</f>
        <v/>
      </c>
      <c r="BG451" t="str">
        <f ca="1">IFERROR(IF(0=LEN(ReferenceData!$BG$451),"",ReferenceData!$BG$451),"")</f>
        <v/>
      </c>
      <c r="BH451" t="str">
        <f ca="1">IFERROR(IF(0=LEN(ReferenceData!$BH$451),"",ReferenceData!$BH$451),"")</f>
        <v/>
      </c>
      <c r="BI451" t="str">
        <f ca="1">IFERROR(IF(0=LEN(ReferenceData!$BI$451),"",ReferenceData!$BI$451),"")</f>
        <v/>
      </c>
      <c r="BJ451" t="str">
        <f ca="1">IFERROR(IF(0=LEN(ReferenceData!$BJ$451),"",ReferenceData!$BJ$451),"")</f>
        <v/>
      </c>
      <c r="BK451" t="str">
        <f ca="1">IFERROR(IF(0=LEN(ReferenceData!$BK$451),"",ReferenceData!$BK$451),"")</f>
        <v/>
      </c>
      <c r="BL451" t="str">
        <f ca="1">IFERROR(IF(0=LEN(ReferenceData!$BL$451),"",ReferenceData!$BL$451),"")</f>
        <v/>
      </c>
      <c r="BM451" t="str">
        <f ca="1">IFERROR(IF(0=LEN(ReferenceData!$BM$451),"",ReferenceData!$BM$451),"")</f>
        <v/>
      </c>
    </row>
    <row r="452" spans="1:65" x14ac:dyDescent="0.25">
      <c r="A452" t="str">
        <f>IFERROR(IF(0=LEN(ReferenceData!$A$452),"",ReferenceData!$A$452),"")</f>
        <v xml:space="preserve">    Toyota Motor Corp</v>
      </c>
      <c r="B452" t="str">
        <f>IFERROR(IF(0=LEN(ReferenceData!$B$452),"",ReferenceData!$B$452),"")</f>
        <v>7203 JP Equity</v>
      </c>
      <c r="C452" t="str">
        <f>IFERROR(IF(0=LEN(ReferenceData!$C$452),"",ReferenceData!$C$452),"")</f>
        <v>PR005</v>
      </c>
      <c r="D452" t="str">
        <f>IFERROR(IF(0=LEN(ReferenceData!$D$452),"",ReferenceData!$D$452),"")</f>
        <v>PX_LAST</v>
      </c>
      <c r="E452" t="str">
        <f>IFERROR(IF(0=LEN(ReferenceData!$E$452),"",ReferenceData!$E$452),"")</f>
        <v>Dynamic</v>
      </c>
      <c r="F452">
        <f ca="1">IFERROR(IF(0=LEN(ReferenceData!$F$452),"",ReferenceData!$F$452),"")</f>
        <v>60.10051137</v>
      </c>
      <c r="G452">
        <f ca="1">IFERROR(IF(0=LEN(ReferenceData!$G$452),"",ReferenceData!$G$452),"")</f>
        <v>58.020106869999999</v>
      </c>
      <c r="H452">
        <f ca="1">IFERROR(IF(0=LEN(ReferenceData!$H$452),"",ReferenceData!$H$452),"")</f>
        <v>62.511013220000002</v>
      </c>
      <c r="I452">
        <f ca="1">IFERROR(IF(0=LEN(ReferenceData!$I$452),"",ReferenceData!$I$452),"")</f>
        <v>64.722874169999997</v>
      </c>
      <c r="J452">
        <f ca="1">IFERROR(IF(0=LEN(ReferenceData!$J$452),"",ReferenceData!$J$452),"")</f>
        <v>64.253436260000001</v>
      </c>
      <c r="K452">
        <f ca="1">IFERROR(IF(0=LEN(ReferenceData!$K$452),"",ReferenceData!$K$452),"")</f>
        <v>64.06999467</v>
      </c>
      <c r="L452">
        <f ca="1">IFERROR(IF(0=LEN(ReferenceData!$L$452),"",ReferenceData!$L$452),"")</f>
        <v>59.580891489999999</v>
      </c>
      <c r="M452">
        <f ca="1">IFERROR(IF(0=LEN(ReferenceData!$M$452),"",ReferenceData!$M$452),"")</f>
        <v>52.452158429999997</v>
      </c>
      <c r="N452">
        <f ca="1">IFERROR(IF(0=LEN(ReferenceData!$N$452),"",ReferenceData!$N$452),"")</f>
        <v>54.280837300000002</v>
      </c>
      <c r="O452">
        <f ca="1">IFERROR(IF(0=LEN(ReferenceData!$O$452),"",ReferenceData!$O$452),"")</f>
        <v>58.96776406</v>
      </c>
      <c r="P452">
        <f ca="1">IFERROR(IF(0=LEN(ReferenceData!$P$452),"",ReferenceData!$P$452),"")</f>
        <v>56.975253870000003</v>
      </c>
      <c r="Q452">
        <f ca="1">IFERROR(IF(0=LEN(ReferenceData!$Q$452),"",ReferenceData!$Q$452),"")</f>
        <v>48.958232389999999</v>
      </c>
      <c r="R452">
        <f ca="1">IFERROR(IF(0=LEN(ReferenceData!$R$452),"",ReferenceData!$R$452),"")</f>
        <v>52.90666667</v>
      </c>
      <c r="S452">
        <f ca="1">IFERROR(IF(0=LEN(ReferenceData!$S$452),"",ReferenceData!$S$452),"")</f>
        <v>62.084404280000001</v>
      </c>
      <c r="T452">
        <f ca="1">IFERROR(IF(0=LEN(ReferenceData!$T$452),"",ReferenceData!$T$452),"")</f>
        <v>58.251859279999998</v>
      </c>
      <c r="U452">
        <f ca="1">IFERROR(IF(0=LEN(ReferenceData!$U$452),"",ReferenceData!$U$452),"")</f>
        <v>67.171634460000007</v>
      </c>
      <c r="V452">
        <f ca="1">IFERROR(IF(0=LEN(ReferenceData!$V$452),"",ReferenceData!$V$452),"")</f>
        <v>69.887453109999996</v>
      </c>
      <c r="W452">
        <f ca="1">IFERROR(IF(0=LEN(ReferenceData!$W$452),"",ReferenceData!$W$452),"")</f>
        <v>63.268039510000001</v>
      </c>
      <c r="X452">
        <f ca="1">IFERROR(IF(0=LEN(ReferenceData!$X$452),"",ReferenceData!$X$452),"")</f>
        <v>58.936713480000002</v>
      </c>
      <c r="Y452">
        <f ca="1">IFERROR(IF(0=LEN(ReferenceData!$Y$452),"",ReferenceData!$Y$452),"")</f>
        <v>60.065159440000002</v>
      </c>
      <c r="Z452">
        <f ca="1">IFERROR(IF(0=LEN(ReferenceData!$Z$452),"",ReferenceData!$Z$452),"")</f>
        <v>56.524691959999998</v>
      </c>
      <c r="AA452">
        <f ca="1">IFERROR(IF(0=LEN(ReferenceData!$AA$452),"",ReferenceData!$AA$452),"")</f>
        <v>61.096307580000001</v>
      </c>
      <c r="AB452">
        <f ca="1">IFERROR(IF(0=LEN(ReferenceData!$AB$452),"",ReferenceData!$AB$452),"")</f>
        <v>63.84278587</v>
      </c>
      <c r="AC452">
        <f ca="1">IFERROR(IF(0=LEN(ReferenceData!$AC$452),"",ReferenceData!$AC$452),"")</f>
        <v>60.304037049999998</v>
      </c>
      <c r="AD452">
        <f ca="1">IFERROR(IF(0=LEN(ReferenceData!$AD$452),"",ReferenceData!$AD$452),"")</f>
        <v>51.581405220000001</v>
      </c>
      <c r="AE452">
        <f ca="1">IFERROR(IF(0=LEN(ReferenceData!$AE$452),"",ReferenceData!$AE$452),"")</f>
        <v>46.526486990000002</v>
      </c>
      <c r="AF452">
        <f ca="1">IFERROR(IF(0=LEN(ReferenceData!$AF$452),"",ReferenceData!$AF$452),"")</f>
        <v>39.014373720000002</v>
      </c>
      <c r="AG452">
        <f ca="1">IFERROR(IF(0=LEN(ReferenceData!$AG$452),"",ReferenceData!$AG$452),"")</f>
        <v>39.974937339999997</v>
      </c>
      <c r="AH452">
        <f ca="1">IFERROR(IF(0=LEN(ReferenceData!$AH$452),"",ReferenceData!$AH$452),"")</f>
        <v>43.204647219999998</v>
      </c>
      <c r="AI452">
        <f ca="1">IFERROR(IF(0=LEN(ReferenceData!$AI$452),"",ReferenceData!$AI$452),"")</f>
        <v>33.316015069999999</v>
      </c>
      <c r="AJ452">
        <f ca="1">IFERROR(IF(0=LEN(ReferenceData!$AJ$452),"",ReferenceData!$AJ$452),"")</f>
        <v>34.84573503</v>
      </c>
      <c r="AK452">
        <f ca="1">IFERROR(IF(0=LEN(ReferenceData!$AK$452),"",ReferenceData!$AK$452),"")</f>
        <v>40.342601790000003</v>
      </c>
      <c r="AL452">
        <f ca="1">IFERROR(IF(0=LEN(ReferenceData!$AL$452),"",ReferenceData!$AL$452),"")</f>
        <v>40.444283470000002</v>
      </c>
      <c r="AM452">
        <f ca="1">IFERROR(IF(0=LEN(ReferenceData!$AM$452),"",ReferenceData!$AM$452),"")</f>
        <v>39.39319794</v>
      </c>
      <c r="AN452">
        <f ca="1">IFERROR(IF(0=LEN(ReferenceData!$AN$452),"",ReferenceData!$AN$452),"")</f>
        <v>35.921399469999997</v>
      </c>
      <c r="AO452">
        <f ca="1">IFERROR(IF(0=LEN(ReferenceData!$AO$452),"",ReferenceData!$AO$452),"")</f>
        <v>34.770828629999997</v>
      </c>
      <c r="AP452">
        <f ca="1">IFERROR(IF(0=LEN(ReferenceData!$AP$452),"",ReferenceData!$AP$452),"")</f>
        <v>40.079195210000002</v>
      </c>
      <c r="AQ452">
        <f ca="1">IFERROR(IF(0=LEN(ReferenceData!$AQ$452),"",ReferenceData!$AQ$452),"")</f>
        <v>42.00043299</v>
      </c>
      <c r="AR452">
        <f ca="1">IFERROR(IF(0=LEN(ReferenceData!$AR$452),"",ReferenceData!$AR$452),"")</f>
        <v>39.80820696</v>
      </c>
      <c r="AS452">
        <f ca="1">IFERROR(IF(0=LEN(ReferenceData!$AS$452),"",ReferenceData!$AS$452),"")</f>
        <v>38.102159469999997</v>
      </c>
      <c r="AT452">
        <f ca="1">IFERROR(IF(0=LEN(ReferenceData!$AT$452),"",ReferenceData!$AT$452),"")</f>
        <v>31.404126819999998</v>
      </c>
      <c r="AU452">
        <f ca="1">IFERROR(IF(0=LEN(ReferenceData!$AU$452),"",ReferenceData!$AU$452),"")</f>
        <v>31.606332340000002</v>
      </c>
      <c r="AV452">
        <f ca="1">IFERROR(IF(0=LEN(ReferenceData!$AV$452),"",ReferenceData!$AV$452),"")</f>
        <v>41.246821730000001</v>
      </c>
      <c r="AW452">
        <f ca="1">IFERROR(IF(0=LEN(ReferenceData!$AW$452),"",ReferenceData!$AW$452),"")</f>
        <v>47.17958376</v>
      </c>
      <c r="AX452">
        <f ca="1">IFERROR(IF(0=LEN(ReferenceData!$AX$452),"",ReferenceData!$AX$452),"")</f>
        <v>49.769677549999997</v>
      </c>
      <c r="AY452">
        <f ca="1">IFERROR(IF(0=LEN(ReferenceData!$AY$452),"",ReferenceData!$AY$452),"")</f>
        <v>53.546099290000001</v>
      </c>
      <c r="AZ452">
        <f ca="1">IFERROR(IF(0=LEN(ReferenceData!$AZ$452),"",ReferenceData!$AZ$452),"")</f>
        <v>59.059233450000001</v>
      </c>
      <c r="BA452">
        <f ca="1">IFERROR(IF(0=LEN(ReferenceData!$BA$452),"",ReferenceData!$BA$452),"")</f>
        <v>63.280869709999997</v>
      </c>
      <c r="BB452">
        <f ca="1">IFERROR(IF(0=LEN(ReferenceData!$BB$452),"",ReferenceData!$BB$452),"")</f>
        <v>64.206139980000003</v>
      </c>
      <c r="BC452">
        <f ca="1">IFERROR(IF(0=LEN(ReferenceData!$BC$452),"",ReferenceData!$BC$452),"")</f>
        <v>66.845817940000003</v>
      </c>
      <c r="BD452">
        <f ca="1">IFERROR(IF(0=LEN(ReferenceData!$BD$452),"",ReferenceData!$BD$452),"")</f>
        <v>54.397559739999998</v>
      </c>
      <c r="BE452">
        <f ca="1">IFERROR(IF(0=LEN(ReferenceData!$BE$452),"",ReferenceData!$BE$452),"")</f>
        <v>52.328120910000003</v>
      </c>
      <c r="BF452">
        <f ca="1">IFERROR(IF(0=LEN(ReferenceData!$BF$452),"",ReferenceData!$BF$452),"")</f>
        <v>54.723404260000002</v>
      </c>
      <c r="BG452">
        <f ca="1">IFERROR(IF(0=LEN(ReferenceData!$BG$452),"",ReferenceData!$BG$452),"")</f>
        <v>51.877595999999997</v>
      </c>
      <c r="BH452">
        <f ca="1">IFERROR(IF(0=LEN(ReferenceData!$BH$452),"",ReferenceData!$BH$452),"")</f>
        <v>45.790771399999997</v>
      </c>
      <c r="BI452">
        <f ca="1">IFERROR(IF(0=LEN(ReferenceData!$BI$452),"",ReferenceData!$BI$452),"")</f>
        <v>35.788334990000003</v>
      </c>
      <c r="BJ452">
        <f ca="1">IFERROR(IF(0=LEN(ReferenceData!$BJ$452),"",ReferenceData!$BJ$452),"")</f>
        <v>37.220149249999999</v>
      </c>
      <c r="BK452">
        <f ca="1">IFERROR(IF(0=LEN(ReferenceData!$BK$452),"",ReferenceData!$BK$452),"")</f>
        <v>40.465793300000001</v>
      </c>
      <c r="BL452">
        <f ca="1">IFERROR(IF(0=LEN(ReferenceData!$BL$452),"",ReferenceData!$BL$452),"")</f>
        <v>38.388065130000001</v>
      </c>
      <c r="BM452">
        <f ca="1">IFERROR(IF(0=LEN(ReferenceData!$BM$452),"",ReferenceData!$BM$452),"")</f>
        <v>40.41327604</v>
      </c>
    </row>
    <row r="453" spans="1:65" x14ac:dyDescent="0.25">
      <c r="A453" t="str">
        <f>IFERROR(IF(0=LEN(ReferenceData!$A$453),"",ReferenceData!$A$453),"")</f>
        <v xml:space="preserve">    Volkswagen AG</v>
      </c>
      <c r="B453" t="str">
        <f>IFERROR(IF(0=LEN(ReferenceData!$B$453),"",ReferenceData!$B$453),"")</f>
        <v>VOW GR Equity</v>
      </c>
      <c r="C453" t="str">
        <f>IFERROR(IF(0=LEN(ReferenceData!$C$453),"",ReferenceData!$C$453),"")</f>
        <v>PR005</v>
      </c>
      <c r="D453" t="str">
        <f>IFERROR(IF(0=LEN(ReferenceData!$D$453),"",ReferenceData!$D$453),"")</f>
        <v>PX_LAST</v>
      </c>
      <c r="E453" t="str">
        <f>IFERROR(IF(0=LEN(ReferenceData!$E$453),"",ReferenceData!$E$453),"")</f>
        <v>Dynamic</v>
      </c>
      <c r="F453">
        <f ca="1">IFERROR(IF(0=LEN(ReferenceData!$F$453),"",ReferenceData!$F$453),"")</f>
        <v>176.67425739999999</v>
      </c>
      <c r="G453">
        <f ca="1">IFERROR(IF(0=LEN(ReferenceData!$G$453),"",ReferenceData!$G$453),"")</f>
        <v>159.14430999999999</v>
      </c>
      <c r="H453">
        <f ca="1">IFERROR(IF(0=LEN(ReferenceData!$H$453),"",ReferenceData!$H$453),"")</f>
        <v>173.39702</v>
      </c>
      <c r="I453">
        <f ca="1">IFERROR(IF(0=LEN(ReferenceData!$I$453),"",ReferenceData!$I$453),"")</f>
        <v>165.22954999999999</v>
      </c>
      <c r="J453">
        <f ca="1">IFERROR(IF(0=LEN(ReferenceData!$J$453),"",ReferenceData!$J$453),"")</f>
        <v>200.22039000000001</v>
      </c>
      <c r="K453">
        <f ca="1">IFERROR(IF(0=LEN(ReferenceData!$K$453),"",ReferenceData!$K$453),"")</f>
        <v>202.81113999999999</v>
      </c>
      <c r="L453">
        <f ca="1">IFERROR(IF(0=LEN(ReferenceData!$L$453),"",ReferenceData!$L$453),"")</f>
        <v>168.723885</v>
      </c>
      <c r="M453">
        <f ca="1">IFERROR(IF(0=LEN(ReferenceData!$M$453),"",ReferenceData!$M$453),"")</f>
        <v>155.39940799999999</v>
      </c>
      <c r="N453">
        <f ca="1">IFERROR(IF(0=LEN(ReferenceData!$N$453),"",ReferenceData!$N$453),"")</f>
        <v>149.372908</v>
      </c>
      <c r="O453">
        <f ca="1">IFERROR(IF(0=LEN(ReferenceData!$O$453),"",ReferenceData!$O$453),"")</f>
        <v>144.23022499999999</v>
      </c>
      <c r="P453">
        <f ca="1">IFERROR(IF(0=LEN(ReferenceData!$P$453),"",ReferenceData!$P$453),"")</f>
        <v>144.29102800000001</v>
      </c>
      <c r="Q453">
        <f ca="1">IFERROR(IF(0=LEN(ReferenceData!$Q$453),"",ReferenceData!$Q$453),"")</f>
        <v>135.16811100000001</v>
      </c>
      <c r="R453">
        <f ca="1">IFERROR(IF(0=LEN(ReferenceData!$R$453),"",ReferenceData!$R$453),"")</f>
        <v>145.03946400000001</v>
      </c>
      <c r="S453">
        <f ca="1">IFERROR(IF(0=LEN(ReferenceData!$S$453),"",ReferenceData!$S$453),"")</f>
        <v>155.26353</v>
      </c>
      <c r="T453">
        <f ca="1">IFERROR(IF(0=LEN(ReferenceData!$T$453),"",ReferenceData!$T$453),"")</f>
        <v>119.47967</v>
      </c>
      <c r="U453">
        <f ca="1">IFERROR(IF(0=LEN(ReferenceData!$U$453),"",ReferenceData!$U$453),"")</f>
        <v>231.59204500000001</v>
      </c>
      <c r="V453">
        <f ca="1">IFERROR(IF(0=LEN(ReferenceData!$V$453),"",ReferenceData!$V$453),"")</f>
        <v>256.57299360000002</v>
      </c>
      <c r="W453">
        <f ca="1">IFERROR(IF(0=LEN(ReferenceData!$W$453),"",ReferenceData!$W$453),"")</f>
        <v>218.94757000000001</v>
      </c>
      <c r="X453">
        <f ca="1">IFERROR(IF(0=LEN(ReferenceData!$X$453),"",ReferenceData!$X$453),"")</f>
        <v>206.45889199999999</v>
      </c>
      <c r="Y453">
        <f ca="1">IFERROR(IF(0=LEN(ReferenceData!$Y$453),"",ReferenceData!$Y$453),"")</f>
        <v>257.74162999999999</v>
      </c>
      <c r="Z453">
        <f ca="1">IFERROR(IF(0=LEN(ReferenceData!$Z$453),"",ReferenceData!$Z$453),"")</f>
        <v>253.41857200000001</v>
      </c>
      <c r="AA453">
        <f ca="1">IFERROR(IF(0=LEN(ReferenceData!$AA$453),"",ReferenceData!$AA$453),"")</f>
        <v>271.72199999999998</v>
      </c>
      <c r="AB453">
        <f ca="1">IFERROR(IF(0=LEN(ReferenceData!$AB$453),"",ReferenceData!$AB$453),"")</f>
        <v>227.03664900000001</v>
      </c>
      <c r="AC453">
        <f ca="1">IFERROR(IF(0=LEN(ReferenceData!$AC$453),"",ReferenceData!$AC$453),"")</f>
        <v>194.94495000000001</v>
      </c>
      <c r="AD453">
        <f ca="1">IFERROR(IF(0=LEN(ReferenceData!$AD$453),"",ReferenceData!$AD$453),"")</f>
        <v>187.9730844</v>
      </c>
      <c r="AE453">
        <f ca="1">IFERROR(IF(0=LEN(ReferenceData!$AE$453),"",ReferenceData!$AE$453),"")</f>
        <v>215.18805</v>
      </c>
      <c r="AF453">
        <f ca="1">IFERROR(IF(0=LEN(ReferenceData!$AF$453),"",ReferenceData!$AF$453),"")</f>
        <v>167.94166799999999</v>
      </c>
      <c r="AG453">
        <f ca="1">IFERROR(IF(0=LEN(ReferenceData!$AG$453),"",ReferenceData!$AG$453),"")</f>
        <v>149.079384</v>
      </c>
      <c r="AH453">
        <f ca="1">IFERROR(IF(0=LEN(ReferenceData!$AH$453),"",ReferenceData!$AH$453),"")</f>
        <v>161.423856</v>
      </c>
      <c r="AI453">
        <f ca="1">IFERROR(IF(0=LEN(ReferenceData!$AI$453),"",ReferenceData!$AI$453),"")</f>
        <v>134.3304</v>
      </c>
      <c r="AJ453">
        <f ca="1">IFERROR(IF(0=LEN(ReferenceData!$AJ$453),"",ReferenceData!$AJ$453),"")</f>
        <v>126.25921200000001</v>
      </c>
      <c r="AK453">
        <f ca="1">IFERROR(IF(0=LEN(ReferenceData!$AK$453),"",ReferenceData!$AK$453),"")</f>
        <v>184.55269000000001</v>
      </c>
      <c r="AL453">
        <f ca="1">IFERROR(IF(0=LEN(ReferenceData!$AL$453),"",ReferenceData!$AL$453),"")</f>
        <v>153.69189</v>
      </c>
      <c r="AM453">
        <f ca="1">IFERROR(IF(0=LEN(ReferenceData!$AM$453),"",ReferenceData!$AM$453),"")</f>
        <v>140.45517000000001</v>
      </c>
      <c r="AN453">
        <f ca="1">IFERROR(IF(0=LEN(ReferenceData!$AN$453),"",ReferenceData!$AN$453),"")</f>
        <v>110.10408</v>
      </c>
      <c r="AO453">
        <f ca="1">IFERROR(IF(0=LEN(ReferenceData!$AO$453),"",ReferenceData!$AO$453),"")</f>
        <v>85.357748000000001</v>
      </c>
      <c r="AP453">
        <f ca="1">IFERROR(IF(0=LEN(ReferenceData!$AP$453),"",ReferenceData!$AP$453),"")</f>
        <v>96.896280000000004</v>
      </c>
      <c r="AQ453">
        <f ca="1">IFERROR(IF(0=LEN(ReferenceData!$AQ$453),"",ReferenceData!$AQ$453),"")</f>
        <v>109.770914</v>
      </c>
      <c r="AR453">
        <f ca="1">IFERROR(IF(0=LEN(ReferenceData!$AR$453),"",ReferenceData!$AR$453),"")</f>
        <v>164.2165229</v>
      </c>
      <c r="AS453">
        <f ca="1">IFERROR(IF(0=LEN(ReferenceData!$AS$453),"",ReferenceData!$AS$453),"")</f>
        <v>336.88160529999999</v>
      </c>
      <c r="AT453">
        <f ca="1">IFERROR(IF(0=LEN(ReferenceData!$AT$453),"",ReferenceData!$AT$453),"")</f>
        <v>302.1104181</v>
      </c>
      <c r="AU453">
        <f ca="1">IFERROR(IF(0=LEN(ReferenceData!$AU$453),"",ReferenceData!$AU$453),"")</f>
        <v>350.80664569999999</v>
      </c>
      <c r="AV453">
        <f ca="1">IFERROR(IF(0=LEN(ReferenceData!$AV$453),"",ReferenceData!$AV$453),"")</f>
        <v>389.60939009999998</v>
      </c>
      <c r="AW453">
        <f ca="1">IFERROR(IF(0=LEN(ReferenceData!$AW$453),"",ReferenceData!$AW$453),"")</f>
        <v>285.98827519999998</v>
      </c>
      <c r="AX453">
        <f ca="1">IFERROR(IF(0=LEN(ReferenceData!$AX$453),"",ReferenceData!$AX$453),"")</f>
        <v>289.04390699999999</v>
      </c>
      <c r="AY453">
        <f ca="1">IFERROR(IF(0=LEN(ReferenceData!$AY$453),"",ReferenceData!$AY$453),"")</f>
        <v>228.39752580000001</v>
      </c>
      <c r="AZ453">
        <f ca="1">IFERROR(IF(0=LEN(ReferenceData!$AZ$453),"",ReferenceData!$AZ$453),"")</f>
        <v>224.4596827</v>
      </c>
      <c r="BA453">
        <f ca="1">IFERROR(IF(0=LEN(ReferenceData!$BA$453),"",ReferenceData!$BA$453),"")</f>
        <v>158.37913019999999</v>
      </c>
      <c r="BB453">
        <f ca="1">IFERROR(IF(0=LEN(ReferenceData!$BB$453),"",ReferenceData!$BB$453),"")</f>
        <v>149.6722882</v>
      </c>
      <c r="BC453">
        <f ca="1">IFERROR(IF(0=LEN(ReferenceData!$BC$453),"",ReferenceData!$BC$453),"")</f>
        <v>112.86034189999999</v>
      </c>
      <c r="BD453">
        <f ca="1">IFERROR(IF(0=LEN(ReferenceData!$BD$453),"",ReferenceData!$BD$453),"")</f>
        <v>85.096776169999998</v>
      </c>
      <c r="BE453">
        <f ca="1">IFERROR(IF(0=LEN(ReferenceData!$BE$453),"",ReferenceData!$BE$453),"")</f>
        <v>69.694204999999997</v>
      </c>
      <c r="BF453">
        <f ca="1">IFERROR(IF(0=LEN(ReferenceData!$BF$453),"",ReferenceData!$BF$453),"")</f>
        <v>74.705271890000006</v>
      </c>
      <c r="BG453">
        <f ca="1">IFERROR(IF(0=LEN(ReferenceData!$BG$453),"",ReferenceData!$BG$453),"")</f>
        <v>52.481323410000002</v>
      </c>
      <c r="BH453">
        <f ca="1">IFERROR(IF(0=LEN(ReferenceData!$BH$453),"",ReferenceData!$BH$453),"")</f>
        <v>61.392395809999996</v>
      </c>
      <c r="BI453">
        <f ca="1">IFERROR(IF(0=LEN(ReferenceData!$BI$453),"",ReferenceData!$BI$453),"")</f>
        <v>45.354390870000003</v>
      </c>
      <c r="BJ453">
        <f ca="1">IFERROR(IF(0=LEN(ReferenceData!$BJ$453),"",ReferenceData!$BJ$453),"")</f>
        <v>47.278272780000002</v>
      </c>
      <c r="BK453">
        <f ca="1">IFERROR(IF(0=LEN(ReferenceData!$BK$453),"",ReferenceData!$BK$453),"")</f>
        <v>45.216023819999997</v>
      </c>
      <c r="BL453">
        <f ca="1">IFERROR(IF(0=LEN(ReferenceData!$BL$453),"",ReferenceData!$BL$453),"")</f>
        <v>38.229555120000001</v>
      </c>
      <c r="BM453">
        <f ca="1">IFERROR(IF(0=LEN(ReferenceData!$BM$453),"",ReferenceData!$BM$453),"")</f>
        <v>41.981896740000003</v>
      </c>
    </row>
    <row r="454" spans="1:65" x14ac:dyDescent="0.25">
      <c r="A454" t="str">
        <f>IFERROR(IF(0=LEN(ReferenceData!$A$454),"",ReferenceData!$A$454),"")</f>
        <v xml:space="preserve">    Yulon Motor Co Ltd</v>
      </c>
      <c r="B454" t="str">
        <f>IFERROR(IF(0=LEN(ReferenceData!$B$454),"",ReferenceData!$B$454),"")</f>
        <v>2201 TT Equity</v>
      </c>
      <c r="C454" t="str">
        <f>IFERROR(IF(0=LEN(ReferenceData!$C$454),"",ReferenceData!$C$454),"")</f>
        <v>PR005</v>
      </c>
      <c r="D454" t="str">
        <f>IFERROR(IF(0=LEN(ReferenceData!$D$454),"",ReferenceData!$D$454),"")</f>
        <v>PX_LAST</v>
      </c>
      <c r="E454" t="str">
        <f>IFERROR(IF(0=LEN(ReferenceData!$E$454),"",ReferenceData!$E$454),"")</f>
        <v>Dynamic</v>
      </c>
      <c r="F454">
        <f ca="1">IFERROR(IF(0=LEN(ReferenceData!$F$454),"",ReferenceData!$F$454),"")</f>
        <v>0.61381571800000001</v>
      </c>
      <c r="G454">
        <f ca="1">IFERROR(IF(0=LEN(ReferenceData!$G$454),"",ReferenceData!$G$454),"")</f>
        <v>0.59592023800000005</v>
      </c>
      <c r="H454">
        <f ca="1">IFERROR(IF(0=LEN(ReferenceData!$H$454),"",ReferenceData!$H$454),"")</f>
        <v>0.71182548800000001</v>
      </c>
      <c r="I454">
        <f ca="1">IFERROR(IF(0=LEN(ReferenceData!$I$454),"",ReferenceData!$I$454),"")</f>
        <v>0.69287098199999997</v>
      </c>
      <c r="J454">
        <f ca="1">IFERROR(IF(0=LEN(ReferenceData!$J$454),"",ReferenceData!$J$454),"")</f>
        <v>0.77636550999999998</v>
      </c>
      <c r="K454">
        <f ca="1">IFERROR(IF(0=LEN(ReferenceData!$K$454),"",ReferenceData!$K$454),"")</f>
        <v>0.81398092300000002</v>
      </c>
      <c r="L454">
        <f ca="1">IFERROR(IF(0=LEN(ReferenceData!$L$454),"",ReferenceData!$L$454),"")</f>
        <v>0.85520884900000005</v>
      </c>
      <c r="M454">
        <f ca="1">IFERROR(IF(0=LEN(ReferenceData!$M$454),"",ReferenceData!$M$454),"")</f>
        <v>0.89873584399999995</v>
      </c>
      <c r="N454">
        <f ca="1">IFERROR(IF(0=LEN(ReferenceData!$N$454),"",ReferenceData!$N$454),"")</f>
        <v>0.93062327099999997</v>
      </c>
      <c r="O454">
        <f ca="1">IFERROR(IF(0=LEN(ReferenceData!$O$454),"",ReferenceData!$O$454),"")</f>
        <v>0.82733924000000003</v>
      </c>
      <c r="P454">
        <f ca="1">IFERROR(IF(0=LEN(ReferenceData!$P$454),"",ReferenceData!$P$454),"")</f>
        <v>0.88047299499999998</v>
      </c>
      <c r="Q454">
        <f ca="1">IFERROR(IF(0=LEN(ReferenceData!$Q$454),"",ReferenceData!$Q$454),"")</f>
        <v>0.84758918299999997</v>
      </c>
      <c r="R454">
        <f ca="1">IFERROR(IF(0=LEN(ReferenceData!$R$454),"",ReferenceData!$R$454),"")</f>
        <v>0.970707918</v>
      </c>
      <c r="S454">
        <f ca="1">IFERROR(IF(0=LEN(ReferenceData!$S$454),"",ReferenceData!$S$454),"")</f>
        <v>0.91748693599999998</v>
      </c>
      <c r="T454">
        <f ca="1">IFERROR(IF(0=LEN(ReferenceData!$T$454),"",ReferenceData!$T$454),"")</f>
        <v>0.892289047</v>
      </c>
      <c r="U454">
        <f ca="1">IFERROR(IF(0=LEN(ReferenceData!$U$454),"",ReferenceData!$U$454),"")</f>
        <v>1.1590261589999999</v>
      </c>
      <c r="V454">
        <f ca="1">IFERROR(IF(0=LEN(ReferenceData!$V$454),"",ReferenceData!$V$454),"")</f>
        <v>1.3678686849999999</v>
      </c>
      <c r="W454">
        <f ca="1">IFERROR(IF(0=LEN(ReferenceData!$W$454),"",ReferenceData!$W$454),"")</f>
        <v>1.4706347449999999</v>
      </c>
      <c r="X454">
        <f ca="1">IFERROR(IF(0=LEN(ReferenceData!$X$454),"",ReferenceData!$X$454),"")</f>
        <v>1.4958248409999999</v>
      </c>
      <c r="Y454">
        <f ca="1">IFERROR(IF(0=LEN(ReferenceData!$Y$454),"",ReferenceData!$Y$454),"")</f>
        <v>1.627050552</v>
      </c>
      <c r="Z454">
        <f ca="1">IFERROR(IF(0=LEN(ReferenceData!$Z$454),"",ReferenceData!$Z$454),"")</f>
        <v>1.6516713730000001</v>
      </c>
      <c r="AA454">
        <f ca="1">IFERROR(IF(0=LEN(ReferenceData!$AA$454),"",ReferenceData!$AA$454),"")</f>
        <v>1.8110473890000001</v>
      </c>
      <c r="AB454">
        <f ca="1">IFERROR(IF(0=LEN(ReferenceData!$AB$454),"",ReferenceData!$AB$454),"")</f>
        <v>1.674560217</v>
      </c>
      <c r="AC454">
        <f ca="1">IFERROR(IF(0=LEN(ReferenceData!$AC$454),"",ReferenceData!$AC$454),"")</f>
        <v>1.6011741939999999</v>
      </c>
      <c r="AD454">
        <f ca="1">IFERROR(IF(0=LEN(ReferenceData!$AD$454),"",ReferenceData!$AD$454),"")</f>
        <v>1.789484267</v>
      </c>
      <c r="AE454">
        <f ca="1">IFERROR(IF(0=LEN(ReferenceData!$AE$454),"",ReferenceData!$AE$454),"")</f>
        <v>1.8917896329999999</v>
      </c>
      <c r="AF454">
        <f ca="1">IFERROR(IF(0=LEN(ReferenceData!$AF$454),"",ReferenceData!$AF$454),"")</f>
        <v>2.0117980019999999</v>
      </c>
      <c r="AG454">
        <f ca="1">IFERROR(IF(0=LEN(ReferenceData!$AG$454),"",ReferenceData!$AG$454),"")</f>
        <v>1.755914483</v>
      </c>
      <c r="AH454">
        <f ca="1">IFERROR(IF(0=LEN(ReferenceData!$AH$454),"",ReferenceData!$AH$454),"")</f>
        <v>1.9114108519999999</v>
      </c>
      <c r="AI454">
        <f ca="1">IFERROR(IF(0=LEN(ReferenceData!$AI$454),"",ReferenceData!$AI$454),"")</f>
        <v>1.7168515580000001</v>
      </c>
      <c r="AJ454">
        <f ca="1">IFERROR(IF(0=LEN(ReferenceData!$AJ$454),"",ReferenceData!$AJ$454),"")</f>
        <v>1.8928583139999999</v>
      </c>
      <c r="AK454">
        <f ca="1">IFERROR(IF(0=LEN(ReferenceData!$AK$454),"",ReferenceData!$AK$454),"")</f>
        <v>2.4429967430000001</v>
      </c>
      <c r="AL454">
        <f ca="1">IFERROR(IF(0=LEN(ReferenceData!$AL$454),"",ReferenceData!$AL$454),"")</f>
        <v>1.8465619259999999</v>
      </c>
      <c r="AM454">
        <f ca="1">IFERROR(IF(0=LEN(ReferenceData!$AM$454),"",ReferenceData!$AM$454),"")</f>
        <v>2.1161299169999999</v>
      </c>
      <c r="AN454">
        <f ca="1">IFERROR(IF(0=LEN(ReferenceData!$AN$454),"",ReferenceData!$AN$454),"")</f>
        <v>1.8060714739999999</v>
      </c>
      <c r="AO454">
        <f ca="1">IFERROR(IF(0=LEN(ReferenceData!$AO$454),"",ReferenceData!$AO$454),"")</f>
        <v>0.98966762100000005</v>
      </c>
      <c r="AP454">
        <f ca="1">IFERROR(IF(0=LEN(ReferenceData!$AP$454),"",ReferenceData!$AP$454),"")</f>
        <v>1.10988665</v>
      </c>
      <c r="AQ454">
        <f ca="1">IFERROR(IF(0=LEN(ReferenceData!$AQ$454),"",ReferenceData!$AQ$454),"")</f>
        <v>1.178677505</v>
      </c>
      <c r="AR454">
        <f ca="1">IFERROR(IF(0=LEN(ReferenceData!$AR$454),"",ReferenceData!$AR$454),"")</f>
        <v>1.149371656</v>
      </c>
      <c r="AS454">
        <f ca="1">IFERROR(IF(0=LEN(ReferenceData!$AS$454),"",ReferenceData!$AS$454),"")</f>
        <v>0.95092959499999996</v>
      </c>
      <c r="AT454">
        <f ca="1">IFERROR(IF(0=LEN(ReferenceData!$AT$454),"",ReferenceData!$AT$454),"")</f>
        <v>0.54405520200000002</v>
      </c>
      <c r="AU454">
        <f ca="1">IFERROR(IF(0=LEN(ReferenceData!$AU$454),"",ReferenceData!$AU$454),"")</f>
        <v>0.42961608800000001</v>
      </c>
      <c r="AV454">
        <f ca="1">IFERROR(IF(0=LEN(ReferenceData!$AV$454),"",ReferenceData!$AV$454),"")</f>
        <v>0.53521563800000005</v>
      </c>
      <c r="AW454">
        <f ca="1">IFERROR(IF(0=LEN(ReferenceData!$AW$454),"",ReferenceData!$AW$454),"")</f>
        <v>0.99959479299999998</v>
      </c>
      <c r="AX454">
        <f ca="1">IFERROR(IF(0=LEN(ReferenceData!$AX$454),"",ReferenceData!$AX$454),"")</f>
        <v>1.433539076</v>
      </c>
      <c r="AY454">
        <f ca="1">IFERROR(IF(0=LEN(ReferenceData!$AY$454),"",ReferenceData!$AY$454),"")</f>
        <v>0.944963993</v>
      </c>
      <c r="AZ454">
        <f ca="1">IFERROR(IF(0=LEN(ReferenceData!$AZ$454),"",ReferenceData!$AZ$454),"")</f>
        <v>1.1280044090000001</v>
      </c>
      <c r="BA454">
        <f ca="1">IFERROR(IF(0=LEN(ReferenceData!$BA$454),"",ReferenceData!$BA$454),"")</f>
        <v>1.19695036</v>
      </c>
      <c r="BB454">
        <f ca="1">IFERROR(IF(0=LEN(ReferenceData!$BB$454),"",ReferenceData!$BB$454),"")</f>
        <v>1.0922722579999999</v>
      </c>
      <c r="BC454">
        <f ca="1">IFERROR(IF(0=LEN(ReferenceData!$BC$454),"",ReferenceData!$BC$454),"")</f>
        <v>1.176673302</v>
      </c>
      <c r="BD454">
        <f ca="1">IFERROR(IF(0=LEN(ReferenceData!$BD$454),"",ReferenceData!$BD$454),"")</f>
        <v>0.98408846699999997</v>
      </c>
      <c r="BE454">
        <f ca="1">IFERROR(IF(0=LEN(ReferenceData!$BE$454),"",ReferenceData!$BE$454),"")</f>
        <v>1.14767267</v>
      </c>
      <c r="BF454">
        <f ca="1">IFERROR(IF(0=LEN(ReferenceData!$BF$454),"",ReferenceData!$BF$454),"")</f>
        <v>0.88555016600000003</v>
      </c>
      <c r="BG454">
        <f ca="1">IFERROR(IF(0=LEN(ReferenceData!$BG$454),"",ReferenceData!$BG$454),"")</f>
        <v>1.0359178550000001</v>
      </c>
      <c r="BH454">
        <f ca="1">IFERROR(IF(0=LEN(ReferenceData!$BH$454),"",ReferenceData!$BH$454),"")</f>
        <v>0.95688673999999996</v>
      </c>
      <c r="BI454">
        <f ca="1">IFERROR(IF(0=LEN(ReferenceData!$BI$454),"",ReferenceData!$BI$454),"")</f>
        <v>1.089762294</v>
      </c>
      <c r="BJ454">
        <f ca="1">IFERROR(IF(0=LEN(ReferenceData!$BJ$454),"",ReferenceData!$BJ$454),"")</f>
        <v>1.1600686790000001</v>
      </c>
      <c r="BK454">
        <f ca="1">IFERROR(IF(0=LEN(ReferenceData!$BK$454),"",ReferenceData!$BK$454),"")</f>
        <v>1.093959465</v>
      </c>
      <c r="BL454">
        <f ca="1">IFERROR(IF(0=LEN(ReferenceData!$BL$454),"",ReferenceData!$BL$454),"")</f>
        <v>0.99279252200000001</v>
      </c>
      <c r="BM454">
        <f ca="1">IFERROR(IF(0=LEN(ReferenceData!$BM$454),"",ReferenceData!$BM$454),"")</f>
        <v>1.0226609280000001</v>
      </c>
    </row>
    <row r="455" spans="1:65" x14ac:dyDescent="0.25">
      <c r="A455" t="str">
        <f>IFERROR(IF(0=LEN(ReferenceData!$A$455),"",ReferenceData!$A$455),"")</f>
        <v>Market Cap ($M)</v>
      </c>
      <c r="B455" t="str">
        <f>IFERROR(IF(0=LEN(ReferenceData!$B$455),"",ReferenceData!$B$455),"")</f>
        <v/>
      </c>
      <c r="C455" t="str">
        <f>IFERROR(IF(0=LEN(ReferenceData!$C$455),"",ReferenceData!$C$455),"")</f>
        <v/>
      </c>
      <c r="D455" t="str">
        <f>IFERROR(IF(0=LEN(ReferenceData!$D$455),"",ReferenceData!$D$455),"")</f>
        <v/>
      </c>
      <c r="E455" t="str">
        <f>IFERROR(IF(0=LEN(ReferenceData!$E$455),"",ReferenceData!$E$455),"")</f>
        <v>Average</v>
      </c>
      <c r="F455">
        <f ca="1">IFERROR(IF(0=LEN(ReferenceData!$F$455),"",ReferenceData!$F$455),"")</f>
        <v>26517.082753916216</v>
      </c>
      <c r="G455">
        <f ca="1">IFERROR(IF(0=LEN(ReferenceData!$G$455),"",ReferenceData!$G$455),"")</f>
        <v>24728.889657513519</v>
      </c>
      <c r="H455">
        <f ca="1">IFERROR(IF(0=LEN(ReferenceData!$H$455),"",ReferenceData!$H$455),"")</f>
        <v>27640.245636635136</v>
      </c>
      <c r="I455">
        <f ca="1">IFERROR(IF(0=LEN(ReferenceData!$I$455),"",ReferenceData!$I$455),"")</f>
        <v>28812.331838443239</v>
      </c>
      <c r="J455">
        <f ca="1">IFERROR(IF(0=LEN(ReferenceData!$J$455),"",ReferenceData!$J$455),"")</f>
        <v>31362.287384781088</v>
      </c>
      <c r="K455">
        <f ca="1">IFERROR(IF(0=LEN(ReferenceData!$K$455),"",ReferenceData!$K$455),"")</f>
        <v>31886.003267724333</v>
      </c>
      <c r="L455">
        <f ca="1">IFERROR(IF(0=LEN(ReferenceData!$L$455),"",ReferenceData!$L$455),"")</f>
        <v>30326.566558943236</v>
      </c>
      <c r="M455">
        <f ca="1">IFERROR(IF(0=LEN(ReferenceData!$M$455),"",ReferenceData!$M$455),"")</f>
        <v>27808.242849894592</v>
      </c>
      <c r="N455">
        <f ca="1">IFERROR(IF(0=LEN(ReferenceData!$N$455),"",ReferenceData!$N$455),"")</f>
        <v>27014.192710816216</v>
      </c>
      <c r="O455">
        <f ca="1">IFERROR(IF(0=LEN(ReferenceData!$O$455),"",ReferenceData!$O$455),"")</f>
        <v>27033.514607241665</v>
      </c>
      <c r="P455">
        <f ca="1">IFERROR(IF(0=LEN(ReferenceData!$P$455),"",ReferenceData!$P$455),"")</f>
        <v>25568.132664654058</v>
      </c>
      <c r="Q455">
        <f ca="1">IFERROR(IF(0=LEN(ReferenceData!$Q$455),"",ReferenceData!$Q$455),"")</f>
        <v>23109.527760340541</v>
      </c>
      <c r="R455">
        <f ca="1">IFERROR(IF(0=LEN(ReferenceData!$R$455),"",ReferenceData!$R$455),"")</f>
        <v>25565.762247472969</v>
      </c>
      <c r="S455">
        <f ca="1">IFERROR(IF(0=LEN(ReferenceData!$S$455),"",ReferenceData!$S$455),"")</f>
        <v>28576.748583843251</v>
      </c>
      <c r="T455">
        <f ca="1">IFERROR(IF(0=LEN(ReferenceData!$T$455),"",ReferenceData!$T$455),"")</f>
        <v>25622.77128167298</v>
      </c>
      <c r="U455">
        <f ca="1">IFERROR(IF(0=LEN(ReferenceData!$U$455),"",ReferenceData!$U$455),"")</f>
        <v>31039.220958764861</v>
      </c>
      <c r="V455">
        <f ca="1">IFERROR(IF(0=LEN(ReferenceData!$V$455),"",ReferenceData!$V$455),"")</f>
        <v>32212.432424970266</v>
      </c>
      <c r="W455">
        <f ca="1">IFERROR(IF(0=LEN(ReferenceData!$W$455),"",ReferenceData!$W$455),"")</f>
        <v>29061.754562872971</v>
      </c>
      <c r="X455">
        <f ca="1">IFERROR(IF(0=LEN(ReferenceData!$X$455),"",ReferenceData!$X$455),"")</f>
        <v>29015.944589630551</v>
      </c>
      <c r="Y455">
        <f ca="1">IFERROR(IF(0=LEN(ReferenceData!$Y$455),"",ReferenceData!$Y$455),"")</f>
        <v>30427.782496513515</v>
      </c>
      <c r="Z455">
        <f ca="1">IFERROR(IF(0=LEN(ReferenceData!$Z$455),"",ReferenceData!$Z$455),"")</f>
        <v>29290.263974837846</v>
      </c>
      <c r="AA455">
        <f ca="1">IFERROR(IF(0=LEN(ReferenceData!$AA$455),"",ReferenceData!$AA$455),"")</f>
        <v>29533.122735808105</v>
      </c>
      <c r="AB455">
        <f ca="1">IFERROR(IF(0=LEN(ReferenceData!$AB$455),"",ReferenceData!$AB$455),"")</f>
        <v>28856.832273302702</v>
      </c>
      <c r="AC455">
        <f ca="1">IFERROR(IF(0=LEN(ReferenceData!$AC$455),"",ReferenceData!$AC$455),"")</f>
        <v>25608.17111023243</v>
      </c>
      <c r="AD455">
        <f ca="1">IFERROR(IF(0=LEN(ReferenceData!$AD$455),"",ReferenceData!$AD$455),"")</f>
        <v>23307.551264854053</v>
      </c>
      <c r="AE455">
        <f ca="1">IFERROR(IF(0=LEN(ReferenceData!$AE$455),"",ReferenceData!$AE$455),"")</f>
        <v>23292.489019710811</v>
      </c>
      <c r="AF455">
        <f ca="1">IFERROR(IF(0=LEN(ReferenceData!$AF$455),"",ReferenceData!$AF$455),"")</f>
        <v>19713.136275145949</v>
      </c>
      <c r="AG455">
        <f ca="1">IFERROR(IF(0=LEN(ReferenceData!$AG$455),"",ReferenceData!$AG$455),"")</f>
        <v>19521.520685916217</v>
      </c>
      <c r="AH455">
        <f ca="1">IFERROR(IF(0=LEN(ReferenceData!$AH$455),"",ReferenceData!$AH$455),"")</f>
        <v>22396.956933375677</v>
      </c>
      <c r="AI455">
        <f ca="1">IFERROR(IF(0=LEN(ReferenceData!$AI$455),"",ReferenceData!$AI$455),"")</f>
        <v>18118.109366402699</v>
      </c>
      <c r="AJ455">
        <f ca="1">IFERROR(IF(0=LEN(ReferenceData!$AJ$455),"",ReferenceData!$AJ$455),"")</f>
        <v>18433.575094744447</v>
      </c>
      <c r="AK455">
        <f ca="1">IFERROR(IF(0=LEN(ReferenceData!$AK$455),"",ReferenceData!$AK$455),"")</f>
        <v>24203.499591691667</v>
      </c>
      <c r="AL455">
        <f ca="1">IFERROR(IF(0=LEN(ReferenceData!$AL$455),"",ReferenceData!$AL$455),"")</f>
        <v>22921.512727188892</v>
      </c>
      <c r="AM455">
        <f ca="1">IFERROR(IF(0=LEN(ReferenceData!$AM$455),"",ReferenceData!$AM$455),"")</f>
        <v>22615.761952547222</v>
      </c>
      <c r="AN455">
        <f ca="1">IFERROR(IF(0=LEN(ReferenceData!$AN$455),"",ReferenceData!$AN$455),"")</f>
        <v>19408.310342119999</v>
      </c>
      <c r="AO455">
        <f ca="1">IFERROR(IF(0=LEN(ReferenceData!$AO$455),"",ReferenceData!$AO$455),"")</f>
        <v>16238.808390514709</v>
      </c>
      <c r="AP455">
        <f ca="1">IFERROR(IF(0=LEN(ReferenceData!$AP$455),"",ReferenceData!$AP$455),"")</f>
        <v>18440.130972790914</v>
      </c>
      <c r="AQ455">
        <f ca="1">IFERROR(IF(0=LEN(ReferenceData!$AQ$455),"",ReferenceData!$AQ$455),"")</f>
        <v>18623.371696742423</v>
      </c>
      <c r="AR455">
        <f ca="1">IFERROR(IF(0=LEN(ReferenceData!$AR$455),"",ReferenceData!$AR$455),"")</f>
        <v>17201.252599051517</v>
      </c>
      <c r="AS455">
        <f ca="1">IFERROR(IF(0=LEN(ReferenceData!$AS$455),"",ReferenceData!$AS$455),"")</f>
        <v>16201.276573306059</v>
      </c>
      <c r="AT455">
        <f ca="1">IFERROR(IF(0=LEN(ReferenceData!$AT$455),"",ReferenceData!$AT$455),"")</f>
        <v>12313.652104660607</v>
      </c>
      <c r="AU455">
        <f ca="1">IFERROR(IF(0=LEN(ReferenceData!$AU$455),"",ReferenceData!$AU$455),"")</f>
        <v>12878.663144253031</v>
      </c>
      <c r="AV455">
        <f ca="1">IFERROR(IF(0=LEN(ReferenceData!$AV$455),"",ReferenceData!$AV$455),"")</f>
        <v>17267.669537590911</v>
      </c>
      <c r="AW455">
        <f ca="1">IFERROR(IF(0=LEN(ReferenceData!$AW$455),"",ReferenceData!$AW$455),"")</f>
        <v>18904.424330366666</v>
      </c>
      <c r="AX455">
        <f ca="1">IFERROR(IF(0=LEN(ReferenceData!$AX$455),"",ReferenceData!$AX$455),"")</f>
        <v>20878.651671387885</v>
      </c>
      <c r="AY455">
        <f ca="1">IFERROR(IF(0=LEN(ReferenceData!$AY$455),"",ReferenceData!$AY$455),"")</f>
        <v>23218.775224960606</v>
      </c>
      <c r="AZ455">
        <f ca="1">IFERROR(IF(0=LEN(ReferenceData!$AZ$455),"",ReferenceData!$AZ$455),"")</f>
        <v>24016.338879696967</v>
      </c>
      <c r="BA455">
        <f ca="1">IFERROR(IF(0=LEN(ReferenceData!$BA$455),"",ReferenceData!$BA$455),"")</f>
        <v>23124.901726133336</v>
      </c>
      <c r="BB455">
        <f ca="1">IFERROR(IF(0=LEN(ReferenceData!$BB$455),"",ReferenceData!$BB$455),"")</f>
        <v>21801.847289496971</v>
      </c>
      <c r="BC455">
        <f ca="1">IFERROR(IF(0=LEN(ReferenceData!$BC$455),"",ReferenceData!$BC$455),"")</f>
        <v>21120.642981157576</v>
      </c>
      <c r="BD455">
        <f ca="1">IFERROR(IF(0=LEN(ReferenceData!$BD$455),"",ReferenceData!$BD$455),"")</f>
        <v>18138.444350493937</v>
      </c>
      <c r="BE455">
        <f ca="1">IFERROR(IF(0=LEN(ReferenceData!$BE$455),"",ReferenceData!$BE$455),"")</f>
        <v>17208.691613242427</v>
      </c>
      <c r="BF455">
        <f ca="1">IFERROR(IF(0=LEN(ReferenceData!$BF$455),"",ReferenceData!$BF$455),"")</f>
        <v>18230.317831460608</v>
      </c>
      <c r="BG455">
        <f ca="1">IFERROR(IF(0=LEN(ReferenceData!$BG$455),"",ReferenceData!$BG$455),"")</f>
        <v>16831.961777718749</v>
      </c>
      <c r="BH455">
        <f ca="1">IFERROR(IF(0=LEN(ReferenceData!$BH$455),"",ReferenceData!$BH$455),"")</f>
        <v>16887.370995403224</v>
      </c>
      <c r="BI455">
        <f ca="1">IFERROR(IF(0=LEN(ReferenceData!$BI$455),"",ReferenceData!$BI$455),"")</f>
        <v>14070.143743345163</v>
      </c>
      <c r="BJ455">
        <f ca="1">IFERROR(IF(0=LEN(ReferenceData!$BJ$455),"",ReferenceData!$BJ$455),"")</f>
        <v>14640.410789374195</v>
      </c>
      <c r="BK455">
        <f ca="1">IFERROR(IF(0=LEN(ReferenceData!$BK$455),"",ReferenceData!$BK$455),"")</f>
        <v>15274.599793112906</v>
      </c>
      <c r="BL455">
        <f ca="1">IFERROR(IF(0=LEN(ReferenceData!$BL$455),"",ReferenceData!$BL$455),"")</f>
        <v>14373.506799048384</v>
      </c>
      <c r="BM455">
        <f ca="1">IFERROR(IF(0=LEN(ReferenceData!$BM$455),"",ReferenceData!$BM$455),"")</f>
        <v>14958.732109677418</v>
      </c>
    </row>
    <row r="456" spans="1:65" x14ac:dyDescent="0.25">
      <c r="A456" t="str">
        <f>IFERROR(IF(0=LEN(ReferenceData!$A$456),"",ReferenceData!$A$456),"")</f>
        <v xml:space="preserve">    AUDI AG</v>
      </c>
      <c r="B456" t="str">
        <f>IFERROR(IF(0=LEN(ReferenceData!$B$456),"",ReferenceData!$B$456),"")</f>
        <v>NSU GR Equity</v>
      </c>
      <c r="C456" t="str">
        <f>IFERROR(IF(0=LEN(ReferenceData!$C$456),"",ReferenceData!$C$456),"")</f>
        <v>RR902</v>
      </c>
      <c r="D456" t="str">
        <f>IFERROR(IF(0=LEN(ReferenceData!$D$456),"",ReferenceData!$D$456),"")</f>
        <v>CUR_MKT_CAP</v>
      </c>
      <c r="E456" t="str">
        <f>IFERROR(IF(0=LEN(ReferenceData!$E$456),"",ReferenceData!$E$456),"")</f>
        <v>Dynamic</v>
      </c>
      <c r="F456">
        <f ca="1">IFERROR(IF(0=LEN(ReferenceData!$F$456),"",ReferenceData!$F$456),"")</f>
        <v>38835.088799999998</v>
      </c>
      <c r="G456">
        <f ca="1">IFERROR(IF(0=LEN(ReferenceData!$G$456),"",ReferenceData!$G$456),"")</f>
        <v>38471.506600000001</v>
      </c>
      <c r="H456">
        <f ca="1">IFERROR(IF(0=LEN(ReferenceData!$H$456),"",ReferenceData!$H$456),"")</f>
        <v>40251.801200000002</v>
      </c>
      <c r="I456">
        <f ca="1">IFERROR(IF(0=LEN(ReferenceData!$I$456),"",ReferenceData!$I$456),"")</f>
        <v>37507.691700000003</v>
      </c>
      <c r="J456">
        <f ca="1">IFERROR(IF(0=LEN(ReferenceData!$J$456),"",ReferenceData!$J$456),"")</f>
        <v>40589.7984</v>
      </c>
      <c r="K456">
        <f ca="1">IFERROR(IF(0=LEN(ReferenceData!$K$456),"",ReferenceData!$K$456),"")</f>
        <v>37527.694869999999</v>
      </c>
      <c r="L456">
        <f ca="1">IFERROR(IF(0=LEN(ReferenceData!$L$456),"",ReferenceData!$L$456),"")</f>
        <v>35920.364970000002</v>
      </c>
      <c r="M456">
        <f ca="1">IFERROR(IF(0=LEN(ReferenceData!$M$456),"",ReferenceData!$M$456),"")</f>
        <v>34745.737200000003</v>
      </c>
      <c r="N456">
        <f ca="1">IFERROR(IF(0=LEN(ReferenceData!$N$456),"",ReferenceData!$N$456),"")</f>
        <v>29479.541389999999</v>
      </c>
      <c r="O456">
        <f ca="1">IFERROR(IF(0=LEN(ReferenceData!$O$456),"",ReferenceData!$O$456),"")</f>
        <v>28617.1751</v>
      </c>
      <c r="P456">
        <f ca="1">IFERROR(IF(0=LEN(ReferenceData!$P$456),"",ReferenceData!$P$456),"")</f>
        <v>30180.07804</v>
      </c>
      <c r="Q456">
        <f ca="1">IFERROR(IF(0=LEN(ReferenceData!$Q$456),"",ReferenceData!$Q$456),"")</f>
        <v>29473.004099999998</v>
      </c>
      <c r="R456">
        <f ca="1">IFERROR(IF(0=LEN(ReferenceData!$R$456),"",ReferenceData!$R$456),"")</f>
        <v>30698.750899999999</v>
      </c>
      <c r="S456">
        <f ca="1">IFERROR(IF(0=LEN(ReferenceData!$S$456),"",ReferenceData!$S$456),"")</f>
        <v>31809.929400000001</v>
      </c>
      <c r="T456">
        <f ca="1">IFERROR(IF(0=LEN(ReferenceData!$T$456),"",ReferenceData!$T$456),"")</f>
        <v>32359.589800000002</v>
      </c>
      <c r="U456">
        <f ca="1">IFERROR(IF(0=LEN(ReferenceData!$U$456),"",ReferenceData!$U$456),"")</f>
        <v>36962.640220000001</v>
      </c>
      <c r="V456">
        <f ca="1">IFERROR(IF(0=LEN(ReferenceData!$V$456),"",ReferenceData!$V$456),"")</f>
        <v>34307.916570000001</v>
      </c>
      <c r="W456">
        <f ca="1">IFERROR(IF(0=LEN(ReferenceData!$W$456),"",ReferenceData!$W$456),"")</f>
        <v>33976.201249999998</v>
      </c>
      <c r="X456">
        <f ca="1">IFERROR(IF(0=LEN(ReferenceData!$X$456),"",ReferenceData!$X$456),"")</f>
        <v>32691.429400000001</v>
      </c>
      <c r="Y456">
        <f ca="1">IFERROR(IF(0=LEN(ReferenceData!$Y$456),"",ReferenceData!$Y$456),"")</f>
        <v>36674.141000000003</v>
      </c>
      <c r="Z456">
        <f ca="1">IFERROR(IF(0=LEN(ReferenceData!$Z$456),"",ReferenceData!$Z$456),"")</f>
        <v>37870.934200000003</v>
      </c>
      <c r="AA456">
        <f ca="1">IFERROR(IF(0=LEN(ReferenceData!$AA$456),"",ReferenceData!$AA$456),"")</f>
        <v>37861.887000000002</v>
      </c>
      <c r="AB456">
        <f ca="1">IFERROR(IF(0=LEN(ReferenceData!$AB$456),"",ReferenceData!$AB$456),"")</f>
        <v>35389.992230000003</v>
      </c>
      <c r="AC456">
        <f ca="1">IFERROR(IF(0=LEN(ReferenceData!$AC$456),"",ReferenceData!$AC$456),"")</f>
        <v>35071.168729999998</v>
      </c>
      <c r="AD456">
        <f ca="1">IFERROR(IF(0=LEN(ReferenceData!$AD$456),"",ReferenceData!$AD$456),"")</f>
        <v>31946.145069999999</v>
      </c>
      <c r="AE456">
        <f ca="1">IFERROR(IF(0=LEN(ReferenceData!$AE$456),"",ReferenceData!$AE$456),"")</f>
        <v>29854.350460000001</v>
      </c>
      <c r="AF456">
        <f ca="1">IFERROR(IF(0=LEN(ReferenceData!$AF$456),"",ReferenceData!$AF$456),"")</f>
        <v>29039.886600000002</v>
      </c>
      <c r="AG456">
        <f ca="1">IFERROR(IF(0=LEN(ReferenceData!$AG$456),"",ReferenceData!$AG$456),"")</f>
        <v>29226.023929999999</v>
      </c>
      <c r="AH456">
        <f ca="1">IFERROR(IF(0=LEN(ReferenceData!$AH$456),"",ReferenceData!$AH$456),"")</f>
        <v>34016.478009999999</v>
      </c>
      <c r="AI456">
        <f ca="1">IFERROR(IF(0=LEN(ReferenceData!$AI$456),"",ReferenceData!$AI$456),"")</f>
        <v>30248.043839999998</v>
      </c>
      <c r="AJ456">
        <f ca="1">IFERROR(IF(0=LEN(ReferenceData!$AJ$456),"",ReferenceData!$AJ$456),"")</f>
        <v>30930.171590000002</v>
      </c>
      <c r="AK456">
        <f ca="1">IFERROR(IF(0=LEN(ReferenceData!$AK$456),"",ReferenceData!$AK$456),"")</f>
        <v>36506.1443</v>
      </c>
      <c r="AL456">
        <f ca="1">IFERROR(IF(0=LEN(ReferenceData!$AL$456),"",ReferenceData!$AL$456),"")</f>
        <v>37830.54</v>
      </c>
      <c r="AM456">
        <f ca="1">IFERROR(IF(0=LEN(ReferenceData!$AM$456),"",ReferenceData!$AM$456),"")</f>
        <v>36214.621500000001</v>
      </c>
      <c r="AN456">
        <f ca="1">IFERROR(IF(0=LEN(ReferenceData!$AN$456),"",ReferenceData!$AN$456),"")</f>
        <v>35549.561999999998</v>
      </c>
      <c r="AO456">
        <f ca="1">IFERROR(IF(0=LEN(ReferenceData!$AO$456),"",ReferenceData!$AO$456),"")</f>
        <v>29532.248680000001</v>
      </c>
      <c r="AP456">
        <f ca="1">IFERROR(IF(0=LEN(ReferenceData!$AP$456),"",ReferenceData!$AP$456),"")</f>
        <v>33821.132279999998</v>
      </c>
      <c r="AQ456">
        <f ca="1">IFERROR(IF(0=LEN(ReferenceData!$AQ$456),"",ReferenceData!$AQ$456),"")</f>
        <v>30828.85</v>
      </c>
      <c r="AR456">
        <f ca="1">IFERROR(IF(0=LEN(ReferenceData!$AR$456),"",ReferenceData!$AR$456),"")</f>
        <v>25500.784500000002</v>
      </c>
      <c r="AS456">
        <f ca="1">IFERROR(IF(0=LEN(ReferenceData!$AS$456),"",ReferenceData!$AS$456),"")</f>
        <v>23178.214749999999</v>
      </c>
      <c r="AT456">
        <f ca="1">IFERROR(IF(0=LEN(ReferenceData!$AT$456),"",ReferenceData!$AT$456),"")</f>
        <v>17729.25445</v>
      </c>
      <c r="AU456">
        <f ca="1">IFERROR(IF(0=LEN(ReferenceData!$AU$456),"",ReferenceData!$AU$456),"")</f>
        <v>28251.288100000002</v>
      </c>
      <c r="AV456">
        <f ca="1">IFERROR(IF(0=LEN(ReferenceData!$AV$456),"",ReferenceData!$AV$456),"")</f>
        <v>29032.828839999998</v>
      </c>
      <c r="AW456">
        <f ca="1">IFERROR(IF(0=LEN(ReferenceData!$AW$456),"",ReferenceData!$AW$456),"")</f>
        <v>34956.312330000001</v>
      </c>
      <c r="AX456">
        <f ca="1">IFERROR(IF(0=LEN(ReferenceData!$AX$456),"",ReferenceData!$AX$456),"")</f>
        <v>36557.585290000003</v>
      </c>
      <c r="AY456">
        <f ca="1">IFERROR(IF(0=LEN(ReferenceData!$AY$456),"",ReferenceData!$AY$456),"")</f>
        <v>39222.192000000003</v>
      </c>
      <c r="AZ456">
        <f ca="1">IFERROR(IF(0=LEN(ReferenceData!$AZ$456),"",ReferenceData!$AZ$456),"")</f>
        <v>33268.518859999996</v>
      </c>
      <c r="BA456">
        <f ca="1">IFERROR(IF(0=LEN(ReferenceData!$BA$456),"",ReferenceData!$BA$456),"")</f>
        <v>32340.454369999999</v>
      </c>
      <c r="BB456">
        <f ca="1">IFERROR(IF(0=LEN(ReferenceData!$BB$456),"",ReferenceData!$BB$456),"")</f>
        <v>32496.91851</v>
      </c>
      <c r="BC456">
        <f ca="1">IFERROR(IF(0=LEN(ReferenceData!$BC$456),"",ReferenceData!$BC$456),"")</f>
        <v>30908.4215</v>
      </c>
      <c r="BD456">
        <f ca="1">IFERROR(IF(0=LEN(ReferenceData!$BD$456),"",ReferenceData!$BD$456),"")</f>
        <v>23701.8881</v>
      </c>
      <c r="BE456">
        <f ca="1">IFERROR(IF(0=LEN(ReferenceData!$BE$456),"",ReferenceData!$BE$456),"")</f>
        <v>16822.503000000001</v>
      </c>
      <c r="BF456">
        <f ca="1">IFERROR(IF(0=LEN(ReferenceData!$BF$456),"",ReferenceData!$BF$456),"")</f>
        <v>17225.241000000002</v>
      </c>
      <c r="BG456">
        <f ca="1">IFERROR(IF(0=LEN(ReferenceData!$BG$456),"",ReferenceData!$BG$456),"")</f>
        <v>15671.6252</v>
      </c>
      <c r="BH456">
        <f ca="1">IFERROR(IF(0=LEN(ReferenceData!$BH$456),"",ReferenceData!$BH$456),"")</f>
        <v>12249.4272</v>
      </c>
      <c r="BI456">
        <f ca="1">IFERROR(IF(0=LEN(ReferenceData!$BI$456),"",ReferenceData!$BI$456),"")</f>
        <v>12468.006950000001</v>
      </c>
      <c r="BJ456">
        <f ca="1">IFERROR(IF(0=LEN(ReferenceData!$BJ$456),"",ReferenceData!$BJ$456),"")</f>
        <v>12825.352000000001</v>
      </c>
      <c r="BK456">
        <f ca="1">IFERROR(IF(0=LEN(ReferenceData!$BK$456),"",ReferenceData!$BK$456),"")</f>
        <v>13076.5193</v>
      </c>
      <c r="BL456">
        <f ca="1">IFERROR(IF(0=LEN(ReferenceData!$BL$456),"",ReferenceData!$BL$456),"")</f>
        <v>11477.39471</v>
      </c>
      <c r="BM456">
        <f ca="1">IFERROR(IF(0=LEN(ReferenceData!$BM$456),"",ReferenceData!$BM$456),"")</f>
        <v>11593.503650000001</v>
      </c>
    </row>
    <row r="457" spans="1:65" x14ac:dyDescent="0.25">
      <c r="A457" t="str">
        <f>IFERROR(IF(0=LEN(ReferenceData!$A$457),"",ReferenceData!$A$457),"")</f>
        <v xml:space="preserve">    Avtovaz PJSC</v>
      </c>
      <c r="B457" t="str">
        <f>IFERROR(IF(0=LEN(ReferenceData!$B$457),"",ReferenceData!$B$457),"")</f>
        <v>AVAZ RM Equity</v>
      </c>
      <c r="C457" t="str">
        <f>IFERROR(IF(0=LEN(ReferenceData!$C$457),"",ReferenceData!$C$457),"")</f>
        <v>RR902</v>
      </c>
      <c r="D457" t="str">
        <f>IFERROR(IF(0=LEN(ReferenceData!$D$457),"",ReferenceData!$D$457),"")</f>
        <v>CUR_MKT_CAP</v>
      </c>
      <c r="E457" t="str">
        <f>IFERROR(IF(0=LEN(ReferenceData!$E$457),"",ReferenceData!$E$457),"")</f>
        <v>Dynamic</v>
      </c>
      <c r="F457">
        <f ca="1">IFERROR(IF(0=LEN(ReferenceData!$F$457),"",ReferenceData!$F$457),"")</f>
        <v>2008.6578850000001</v>
      </c>
      <c r="G457">
        <f ca="1">IFERROR(IF(0=LEN(ReferenceData!$G$457),"",ReferenceData!$G$457),"")</f>
        <v>1886.8678399999999</v>
      </c>
      <c r="H457">
        <f ca="1">IFERROR(IF(0=LEN(ReferenceData!$H$457),"",ReferenceData!$H$457),"")</f>
        <v>855.30153159999998</v>
      </c>
      <c r="I457">
        <f ca="1">IFERROR(IF(0=LEN(ReferenceData!$I$457),"",ReferenceData!$I$457),"")</f>
        <v>881.52826379999999</v>
      </c>
      <c r="J457">
        <f ca="1">IFERROR(IF(0=LEN(ReferenceData!$J$457),"",ReferenceData!$J$457),"")</f>
        <v>1077.4436889999999</v>
      </c>
      <c r="K457">
        <f ca="1">IFERROR(IF(0=LEN(ReferenceData!$K$457),"",ReferenceData!$K$457),"")</f>
        <v>821.08530800000005</v>
      </c>
      <c r="L457">
        <f ca="1">IFERROR(IF(0=LEN(ReferenceData!$L$457),"",ReferenceData!$L$457),"")</f>
        <v>960.66984349999996</v>
      </c>
      <c r="M457">
        <f ca="1">IFERROR(IF(0=LEN(ReferenceData!$M$457),"",ReferenceData!$M$457),"")</f>
        <v>749.77763400000003</v>
      </c>
      <c r="N457">
        <f ca="1">IFERROR(IF(0=LEN(ReferenceData!$N$457),"",ReferenceData!$N$457),"")</f>
        <v>803.6767734</v>
      </c>
      <c r="O457">
        <f ca="1">IFERROR(IF(0=LEN(ReferenceData!$O$457),"",ReferenceData!$O$457),"")</f>
        <v>746.62177050000003</v>
      </c>
      <c r="P457">
        <f ca="1">IFERROR(IF(0=LEN(ReferenceData!$P$457),"",ReferenceData!$P$457),"")</f>
        <v>308.0957444</v>
      </c>
      <c r="Q457">
        <f ca="1">IFERROR(IF(0=LEN(ReferenceData!$Q$457),"",ReferenceData!$Q$457),"")</f>
        <v>206.6355825</v>
      </c>
      <c r="R457">
        <f ca="1">IFERROR(IF(0=LEN(ReferenceData!$R$457),"",ReferenceData!$R$457),"")</f>
        <v>244.03340159999999</v>
      </c>
      <c r="S457">
        <f ca="1">IFERROR(IF(0=LEN(ReferenceData!$S$457),"",ReferenceData!$S$457),"")</f>
        <v>233.5399831</v>
      </c>
      <c r="T457">
        <f ca="1">IFERROR(IF(0=LEN(ReferenceData!$T$457),"",ReferenceData!$T$457),"")</f>
        <v>272.8313167</v>
      </c>
      <c r="U457">
        <f ca="1">IFERROR(IF(0=LEN(ReferenceData!$U$457),"",ReferenceData!$U$457),"")</f>
        <v>329.43828309999998</v>
      </c>
      <c r="V457">
        <f ca="1">IFERROR(IF(0=LEN(ReferenceData!$V$457),"",ReferenceData!$V$457),"")</f>
        <v>368.38637060000002</v>
      </c>
      <c r="W457">
        <f ca="1">IFERROR(IF(0=LEN(ReferenceData!$W$457),"",ReferenceData!$W$457),"")</f>
        <v>275.07421069999998</v>
      </c>
      <c r="X457">
        <f ca="1">IFERROR(IF(0=LEN(ReferenceData!$X$457),"",ReferenceData!$X$457),"")</f>
        <v>481.86989249999999</v>
      </c>
      <c r="Y457">
        <f ca="1">IFERROR(IF(0=LEN(ReferenceData!$Y$457),"",ReferenceData!$Y$457),"")</f>
        <v>520.16897310000002</v>
      </c>
      <c r="Z457">
        <f ca="1">IFERROR(IF(0=LEN(ReferenceData!$Z$457),"",ReferenceData!$Z$457),"")</f>
        <v>524.8680564</v>
      </c>
      <c r="AA457">
        <f ca="1">IFERROR(IF(0=LEN(ReferenceData!$AA$457),"",ReferenceData!$AA$457),"")</f>
        <v>602.02115260000005</v>
      </c>
      <c r="AB457">
        <f ca="1">IFERROR(IF(0=LEN(ReferenceData!$AB$457),"",ReferenceData!$AB$457),"")</f>
        <v>589.32715429999996</v>
      </c>
      <c r="AC457">
        <f ca="1">IFERROR(IF(0=LEN(ReferenceData!$AC$457),"",ReferenceData!$AC$457),"")</f>
        <v>534.70122519999995</v>
      </c>
      <c r="AD457">
        <f ca="1">IFERROR(IF(0=LEN(ReferenceData!$AD$457),"",ReferenceData!$AD$457),"")</f>
        <v>729.31377359999999</v>
      </c>
      <c r="AE457">
        <f ca="1">IFERROR(IF(0=LEN(ReferenceData!$AE$457),"",ReferenceData!$AE$457),"")</f>
        <v>954.40143939999996</v>
      </c>
      <c r="AF457">
        <f ca="1">IFERROR(IF(0=LEN(ReferenceData!$AF$457),"",ReferenceData!$AF$457),"")</f>
        <v>918.56583460000002</v>
      </c>
      <c r="AG457">
        <f ca="1">IFERROR(IF(0=LEN(ReferenceData!$AG$457),"",ReferenceData!$AG$457),"")</f>
        <v>923.78420419999998</v>
      </c>
      <c r="AH457">
        <f ca="1">IFERROR(IF(0=LEN(ReferenceData!$AH$457),"",ReferenceData!$AH$457),"")</f>
        <v>1482.92741</v>
      </c>
      <c r="AI457">
        <f ca="1">IFERROR(IF(0=LEN(ReferenceData!$AI$457),"",ReferenceData!$AI$457),"")</f>
        <v>857.26077009999995</v>
      </c>
      <c r="AJ457">
        <f ca="1">IFERROR(IF(0=LEN(ReferenceData!$AJ$457),"",ReferenceData!$AJ$457),"")</f>
        <v>881.05321179999999</v>
      </c>
      <c r="AK457">
        <f ca="1">IFERROR(IF(0=LEN(ReferenceData!$AK$457),"",ReferenceData!$AK$457),"")</f>
        <v>1581.873341</v>
      </c>
      <c r="AL457">
        <f ca="1">IFERROR(IF(0=LEN(ReferenceData!$AL$457),"",ReferenceData!$AL$457),"")</f>
        <v>1460.1438370000001</v>
      </c>
      <c r="AM457">
        <f ca="1">IFERROR(IF(0=LEN(ReferenceData!$AM$457),"",ReferenceData!$AM$457),"")</f>
        <v>1532.931564</v>
      </c>
      <c r="AN457">
        <f ca="1">IFERROR(IF(0=LEN(ReferenceData!$AN$457),"",ReferenceData!$AN$457),"")</f>
        <v>1219.5285140000001</v>
      </c>
      <c r="AO457">
        <f ca="1">IFERROR(IF(0=LEN(ReferenceData!$AO$457),"",ReferenceData!$AO$457),"")</f>
        <v>593.2067978</v>
      </c>
      <c r="AP457">
        <f ca="1">IFERROR(IF(0=LEN(ReferenceData!$AP$457),"",ReferenceData!$AP$457),"")</f>
        <v>726.01167080000005</v>
      </c>
      <c r="AQ457">
        <f ca="1">IFERROR(IF(0=LEN(ReferenceData!$AQ$457),"",ReferenceData!$AQ$457),"")</f>
        <v>683.53679650000004</v>
      </c>
      <c r="AR457">
        <f ca="1">IFERROR(IF(0=LEN(ReferenceData!$AR$457),"",ReferenceData!$AR$457),"")</f>
        <v>682.86928399999999</v>
      </c>
      <c r="AS457">
        <f ca="1">IFERROR(IF(0=LEN(ReferenceData!$AS$457),"",ReferenceData!$AS$457),"")</f>
        <v>586.82853939999995</v>
      </c>
      <c r="AT457">
        <f ca="1">IFERROR(IF(0=LEN(ReferenceData!$AT$457),"",ReferenceData!$AT$457),"")</f>
        <v>520.61680030000002</v>
      </c>
      <c r="AU457">
        <f ca="1">IFERROR(IF(0=LEN(ReferenceData!$AU$457),"",ReferenceData!$AU$457),"")</f>
        <v>343.78144630000003</v>
      </c>
      <c r="AV457">
        <f ca="1">IFERROR(IF(0=LEN(ReferenceData!$AV$457),"",ReferenceData!$AV$457),"")</f>
        <v>634.55555470000002</v>
      </c>
      <c r="AW457">
        <f ca="1">IFERROR(IF(0=LEN(ReferenceData!$AW$457),"",ReferenceData!$AW$457),"")</f>
        <v>4304.3985590000002</v>
      </c>
      <c r="AX457">
        <f ca="1">IFERROR(IF(0=LEN(ReferenceData!$AX$457),"",ReferenceData!$AX$457),"")</f>
        <v>4594.7883680000004</v>
      </c>
      <c r="AY457">
        <f ca="1">IFERROR(IF(0=LEN(ReferenceData!$AY$457),"",ReferenceData!$AY$457),"")</f>
        <v>5178.2814859999999</v>
      </c>
      <c r="AZ457">
        <f ca="1">IFERROR(IF(0=LEN(ReferenceData!$AZ$457),"",ReferenceData!$AZ$457),"")</f>
        <v>4449.4311630000002</v>
      </c>
      <c r="BA457">
        <f ca="1">IFERROR(IF(0=LEN(ReferenceData!$BA$457),"",ReferenceData!$BA$457),"")</f>
        <v>4137.8668939999998</v>
      </c>
      <c r="BB457">
        <f ca="1">IFERROR(IF(0=LEN(ReferenceData!$BB$457),"",ReferenceData!$BB$457),"")</f>
        <v>2870.962145</v>
      </c>
      <c r="BC457">
        <f ca="1">IFERROR(IF(0=LEN(ReferenceData!$BC$457),"",ReferenceData!$BC$457),"")</f>
        <v>1847.6894199999999</v>
      </c>
      <c r="BD457">
        <f ca="1">IFERROR(IF(0=LEN(ReferenceData!$BD$457),"",ReferenceData!$BD$457),"")</f>
        <v>1803.0063170000001</v>
      </c>
      <c r="BE457">
        <f ca="1">IFERROR(IF(0=LEN(ReferenceData!$BE$457),"",ReferenceData!$BE$457),"")</f>
        <v>1463.9910970000001</v>
      </c>
      <c r="BF457">
        <f ca="1">IFERROR(IF(0=LEN(ReferenceData!$BF$457),"",ReferenceData!$BF$457),"")</f>
        <v>1730.4412749999999</v>
      </c>
      <c r="BG457">
        <f ca="1">IFERROR(IF(0=LEN(ReferenceData!$BG$457),"",ReferenceData!$BG$457),"")</f>
        <v>985.56223320000004</v>
      </c>
      <c r="BH457">
        <f ca="1">IFERROR(IF(0=LEN(ReferenceData!$BH$457),"",ReferenceData!$BH$457),"")</f>
        <v>676.31910049999999</v>
      </c>
      <c r="BI457">
        <f ca="1">IFERROR(IF(0=LEN(ReferenceData!$BI$457),"",ReferenceData!$BI$457),"")</f>
        <v>643.47569850000002</v>
      </c>
      <c r="BJ457">
        <f ca="1">IFERROR(IF(0=LEN(ReferenceData!$BJ$457),"",ReferenceData!$BJ$457),"")</f>
        <v>807.82173590000002</v>
      </c>
      <c r="BK457">
        <f ca="1">IFERROR(IF(0=LEN(ReferenceData!$BK$457),"",ReferenceData!$BK$457),"")</f>
        <v>762.42001189999996</v>
      </c>
      <c r="BL457">
        <f ca="1">IFERROR(IF(0=LEN(ReferenceData!$BL$457),"",ReferenceData!$BL$457),"")</f>
        <v>709.17427710000004</v>
      </c>
      <c r="BM457">
        <f ca="1">IFERROR(IF(0=LEN(ReferenceData!$BM$457),"",ReferenceData!$BM$457),"")</f>
        <v>653.01085</v>
      </c>
    </row>
    <row r="458" spans="1:65" x14ac:dyDescent="0.25">
      <c r="A458" t="str">
        <f>IFERROR(IF(0=LEN(ReferenceData!$A$458),"",ReferenceData!$A$458),"")</f>
        <v xml:space="preserve">    Bayerische Motoren Werke AG</v>
      </c>
      <c r="B458" t="str">
        <f>IFERROR(IF(0=LEN(ReferenceData!$B$458),"",ReferenceData!$B$458),"")</f>
        <v>BMW GR Equity</v>
      </c>
      <c r="C458" t="str">
        <f>IFERROR(IF(0=LEN(ReferenceData!$C$458),"",ReferenceData!$C$458),"")</f>
        <v>RR902</v>
      </c>
      <c r="D458" t="str">
        <f>IFERROR(IF(0=LEN(ReferenceData!$D$458),"",ReferenceData!$D$458),"")</f>
        <v>CUR_MKT_CAP</v>
      </c>
      <c r="E458" t="str">
        <f>IFERROR(IF(0=LEN(ReferenceData!$E$458),"",ReferenceData!$E$458),"")</f>
        <v>Dynamic</v>
      </c>
      <c r="F458">
        <f ca="1">IFERROR(IF(0=LEN(ReferenceData!$F$458),"",ReferenceData!$F$458),"")</f>
        <v>53930.004690000002</v>
      </c>
      <c r="G458">
        <f ca="1">IFERROR(IF(0=LEN(ReferenceData!$G$458),"",ReferenceData!$G$458),"")</f>
        <v>52644.795819999999</v>
      </c>
      <c r="H458">
        <f ca="1">IFERROR(IF(0=LEN(ReferenceData!$H$458),"",ReferenceData!$H$458),"")</f>
        <v>58537.384429999998</v>
      </c>
      <c r="I458">
        <f ca="1">IFERROR(IF(0=LEN(ReferenceData!$I$458),"",ReferenceData!$I$458),"")</f>
        <v>58990.14516</v>
      </c>
      <c r="J458">
        <f ca="1">IFERROR(IF(0=LEN(ReferenceData!$J$458),"",ReferenceData!$J$458),"")</f>
        <v>70434.129270000005</v>
      </c>
      <c r="K458">
        <f ca="1">IFERROR(IF(0=LEN(ReferenceData!$K$458),"",ReferenceData!$K$458),"")</f>
        <v>67785.982829999994</v>
      </c>
      <c r="L458">
        <f ca="1">IFERROR(IF(0=LEN(ReferenceData!$L$458),"",ReferenceData!$L$458),"")</f>
        <v>65704.304080000002</v>
      </c>
      <c r="M458">
        <f ca="1">IFERROR(IF(0=LEN(ReferenceData!$M$458),"",ReferenceData!$M$458),"")</f>
        <v>60554.850789999997</v>
      </c>
      <c r="N458">
        <f ca="1">IFERROR(IF(0=LEN(ReferenceData!$N$458),"",ReferenceData!$N$458),"")</f>
        <v>59367.522290000001</v>
      </c>
      <c r="O458">
        <f ca="1">IFERROR(IF(0=LEN(ReferenceData!$O$458),"",ReferenceData!$O$458),"")</f>
        <v>60552.13076</v>
      </c>
      <c r="P458">
        <f ca="1">IFERROR(IF(0=LEN(ReferenceData!$P$458),"",ReferenceData!$P$458),"")</f>
        <v>54538.052000000003</v>
      </c>
      <c r="Q458">
        <f ca="1">IFERROR(IF(0=LEN(ReferenceData!$Q$458),"",ReferenceData!$Q$458),"")</f>
        <v>47572.172120000003</v>
      </c>
      <c r="R458">
        <f ca="1">IFERROR(IF(0=LEN(ReferenceData!$R$458),"",ReferenceData!$R$458),"")</f>
        <v>59642.010730000002</v>
      </c>
      <c r="S458">
        <f ca="1">IFERROR(IF(0=LEN(ReferenceData!$S$458),"",ReferenceData!$S$458),"")</f>
        <v>68730.133470000001</v>
      </c>
      <c r="T458">
        <f ca="1">IFERROR(IF(0=LEN(ReferenceData!$T$458),"",ReferenceData!$T$458),"")</f>
        <v>56952.560189999997</v>
      </c>
      <c r="U458">
        <f ca="1">IFERROR(IF(0=LEN(ReferenceData!$U$458),"",ReferenceData!$U$458),"")</f>
        <v>70761.005059999996</v>
      </c>
      <c r="V458">
        <f ca="1">IFERROR(IF(0=LEN(ReferenceData!$V$458),"",ReferenceData!$V$458),"")</f>
        <v>79775.278489999997</v>
      </c>
      <c r="W458">
        <f ca="1">IFERROR(IF(0=LEN(ReferenceData!$W$458),"",ReferenceData!$W$458),"")</f>
        <v>70115.970520000003</v>
      </c>
      <c r="X458">
        <f ca="1">IFERROR(IF(0=LEN(ReferenceData!$X$458),"",ReferenceData!$X$458),"")</f>
        <v>69862.111359999995</v>
      </c>
      <c r="Y458">
        <f ca="1">IFERROR(IF(0=LEN(ReferenceData!$Y$458),"",ReferenceData!$Y$458),"")</f>
        <v>81357.657770000005</v>
      </c>
      <c r="Z458">
        <f ca="1">IFERROR(IF(0=LEN(ReferenceData!$Z$458),"",ReferenceData!$Z$458),"")</f>
        <v>80897.120580000003</v>
      </c>
      <c r="AA458">
        <f ca="1">IFERROR(IF(0=LEN(ReferenceData!$AA$458),"",ReferenceData!$AA$458),"")</f>
        <v>75387.020380000002</v>
      </c>
      <c r="AB458">
        <f ca="1">IFERROR(IF(0=LEN(ReferenceData!$AB$458),"",ReferenceData!$AB$458),"")</f>
        <v>69266.961070000005</v>
      </c>
      <c r="AC458">
        <f ca="1">IFERROR(IF(0=LEN(ReferenceData!$AC$458),"",ReferenceData!$AC$458),"")</f>
        <v>56319.59072</v>
      </c>
      <c r="AD458">
        <f ca="1">IFERROR(IF(0=LEN(ReferenceData!$AD$458),"",ReferenceData!$AD$458),"")</f>
        <v>55814.169450000001</v>
      </c>
      <c r="AE458">
        <f ca="1">IFERROR(IF(0=LEN(ReferenceData!$AE$458),"",ReferenceData!$AE$458),"")</f>
        <v>61502.637999999999</v>
      </c>
      <c r="AF458">
        <f ca="1">IFERROR(IF(0=LEN(ReferenceData!$AF$458),"",ReferenceData!$AF$458),"")</f>
        <v>47040.536189999999</v>
      </c>
      <c r="AG458">
        <f ca="1">IFERROR(IF(0=LEN(ReferenceData!$AG$458),"",ReferenceData!$AG$458),"")</f>
        <v>45935.465210000002</v>
      </c>
      <c r="AH458">
        <f ca="1">IFERROR(IF(0=LEN(ReferenceData!$AH$458),"",ReferenceData!$AH$458),"")</f>
        <v>57294.09491</v>
      </c>
      <c r="AI458">
        <f ca="1">IFERROR(IF(0=LEN(ReferenceData!$AI$458),"",ReferenceData!$AI$458),"")</f>
        <v>42920.008410000002</v>
      </c>
      <c r="AJ458">
        <f ca="1">IFERROR(IF(0=LEN(ReferenceData!$AJ$458),"",ReferenceData!$AJ$458),"")</f>
        <v>42838.274060000003</v>
      </c>
      <c r="AK458">
        <f ca="1">IFERROR(IF(0=LEN(ReferenceData!$AK$458),"",ReferenceData!$AK$458),"")</f>
        <v>62809.58655</v>
      </c>
      <c r="AL458">
        <f ca="1">IFERROR(IF(0=LEN(ReferenceData!$AL$458),"",ReferenceData!$AL$458),"")</f>
        <v>53237.759469999997</v>
      </c>
      <c r="AM458">
        <f ca="1">IFERROR(IF(0=LEN(ReferenceData!$AM$458),"",ReferenceData!$AM$458),"")</f>
        <v>49702.020409999997</v>
      </c>
      <c r="AN458">
        <f ca="1">IFERROR(IF(0=LEN(ReferenceData!$AN$458),"",ReferenceData!$AN$458),"")</f>
        <v>44605.729829999997</v>
      </c>
      <c r="AO458">
        <f ca="1">IFERROR(IF(0=LEN(ReferenceData!$AO$458),"",ReferenceData!$AO$458),"")</f>
        <v>31474.560659999999</v>
      </c>
      <c r="AP458">
        <f ca="1">IFERROR(IF(0=LEN(ReferenceData!$AP$458),"",ReferenceData!$AP$458),"")</f>
        <v>29735.48575</v>
      </c>
      <c r="AQ458">
        <f ca="1">IFERROR(IF(0=LEN(ReferenceData!$AQ$458),"",ReferenceData!$AQ$458),"")</f>
        <v>29186.664110000002</v>
      </c>
      <c r="AR458">
        <f ca="1">IFERROR(IF(0=LEN(ReferenceData!$AR$458),"",ReferenceData!$AR$458),"")</f>
        <v>30747.483240000001</v>
      </c>
      <c r="AS458">
        <f ca="1">IFERROR(IF(0=LEN(ReferenceData!$AS$458),"",ReferenceData!$AS$458),"")</f>
        <v>23954.269049999999</v>
      </c>
      <c r="AT458">
        <f ca="1">IFERROR(IF(0=LEN(ReferenceData!$AT$458),"",ReferenceData!$AT$458),"")</f>
        <v>18179.084579999999</v>
      </c>
      <c r="AU458">
        <f ca="1">IFERROR(IF(0=LEN(ReferenceData!$AU$458),"",ReferenceData!$AU$458),"")</f>
        <v>19382.124390000001</v>
      </c>
      <c r="AV458">
        <f ca="1">IFERROR(IF(0=LEN(ReferenceData!$AV$458),"",ReferenceData!$AV$458),"")</f>
        <v>24849.89889</v>
      </c>
      <c r="AW458">
        <f ca="1">IFERROR(IF(0=LEN(ReferenceData!$AW$458),"",ReferenceData!$AW$458),"")</f>
        <v>30996.679189999999</v>
      </c>
      <c r="AX458">
        <f ca="1">IFERROR(IF(0=LEN(ReferenceData!$AX$458),"",ReferenceData!$AX$458),"")</f>
        <v>35592.476999999999</v>
      </c>
      <c r="AY458">
        <f ca="1">IFERROR(IF(0=LEN(ReferenceData!$AY$458),"",ReferenceData!$AY$458),"")</f>
        <v>40618.0916</v>
      </c>
      <c r="AZ458">
        <f ca="1">IFERROR(IF(0=LEN(ReferenceData!$AZ$458),"",ReferenceData!$AZ$458),"")</f>
        <v>41644.0648</v>
      </c>
      <c r="BA458">
        <f ca="1">IFERROR(IF(0=LEN(ReferenceData!$BA$458),"",ReferenceData!$BA$458),"")</f>
        <v>41675.534800000001</v>
      </c>
      <c r="BB458">
        <f ca="1">IFERROR(IF(0=LEN(ReferenceData!$BB$458),"",ReferenceData!$BB$458),"")</f>
        <v>38670.676670000001</v>
      </c>
      <c r="BC458">
        <f ca="1">IFERROR(IF(0=LEN(ReferenceData!$BC$458),"",ReferenceData!$BC$458),"")</f>
        <v>37699.088360000002</v>
      </c>
      <c r="BD458">
        <f ca="1">IFERROR(IF(0=LEN(ReferenceData!$BD$458),"",ReferenceData!$BD$458),"")</f>
        <v>35054.385829999999</v>
      </c>
      <c r="BE458">
        <f ca="1">IFERROR(IF(0=LEN(ReferenceData!$BE$458),"",ReferenceData!$BE$458),"")</f>
        <v>33559.50937</v>
      </c>
      <c r="BF458">
        <f ca="1">IFERROR(IF(0=LEN(ReferenceData!$BF$458),"",ReferenceData!$BF$458),"")</f>
        <v>36964.327720000001</v>
      </c>
      <c r="BG458">
        <f ca="1">IFERROR(IF(0=LEN(ReferenceData!$BG$458),"",ReferenceData!$BG$458),"")</f>
        <v>29280.640719999999</v>
      </c>
      <c r="BH458">
        <f ca="1">IFERROR(IF(0=LEN(ReferenceData!$BH$458),"",ReferenceData!$BH$458),"")</f>
        <v>31260.221870000001</v>
      </c>
      <c r="BI458">
        <f ca="1">IFERROR(IF(0=LEN(ReferenceData!$BI$458),"",ReferenceData!$BI$458),"")</f>
        <v>30429.09374</v>
      </c>
      <c r="BJ458">
        <f ca="1">IFERROR(IF(0=LEN(ReferenceData!$BJ$458),"",ReferenceData!$BJ$458),"")</f>
        <v>30145.006819999999</v>
      </c>
      <c r="BK458">
        <f ca="1">IFERROR(IF(0=LEN(ReferenceData!$BK$458),"",ReferenceData!$BK$458),"")</f>
        <v>29936.525020000001</v>
      </c>
      <c r="BL458">
        <f ca="1">IFERROR(IF(0=LEN(ReferenceData!$BL$458),"",ReferenceData!$BL$458),"")</f>
        <v>27156.23792</v>
      </c>
      <c r="BM458">
        <f ca="1">IFERROR(IF(0=LEN(ReferenceData!$BM$458),"",ReferenceData!$BM$458),"")</f>
        <v>29142.83124</v>
      </c>
    </row>
    <row r="459" spans="1:65" x14ac:dyDescent="0.25">
      <c r="A459" t="str">
        <f>IFERROR(IF(0=LEN(ReferenceData!$A$459),"",ReferenceData!$A$459),"")</f>
        <v xml:space="preserve">    Brilliance China Automotive Holdings Ltd</v>
      </c>
      <c r="B459" t="str">
        <f>IFERROR(IF(0=LEN(ReferenceData!$B$459),"",ReferenceData!$B$459),"")</f>
        <v>1114 HK Equity</v>
      </c>
      <c r="C459" t="str">
        <f>IFERROR(IF(0=LEN(ReferenceData!$C$459),"",ReferenceData!$C$459),"")</f>
        <v>RR902</v>
      </c>
      <c r="D459" t="str">
        <f>IFERROR(IF(0=LEN(ReferenceData!$D$459),"",ReferenceData!$D$459),"")</f>
        <v>CUR_MKT_CAP</v>
      </c>
      <c r="E459" t="str">
        <f>IFERROR(IF(0=LEN(ReferenceData!$E$459),"",ReferenceData!$E$459),"")</f>
        <v>Dynamic</v>
      </c>
      <c r="F459">
        <f ca="1">IFERROR(IF(0=LEN(ReferenceData!$F$459),"",ReferenceData!$F$459),"")</f>
        <v>5078.3105480000004</v>
      </c>
      <c r="G459">
        <f ca="1">IFERROR(IF(0=LEN(ReferenceData!$G$459),"",ReferenceData!$G$459),"")</f>
        <v>3755.5119289999998</v>
      </c>
      <c r="H459">
        <f ca="1">IFERROR(IF(0=LEN(ReferenceData!$H$459),"",ReferenceData!$H$459),"")</f>
        <v>8162.1762769999996</v>
      </c>
      <c r="I459">
        <f ca="1">IFERROR(IF(0=LEN(ReferenceData!$I$459),"",ReferenceData!$I$459),"")</f>
        <v>9105.1737830000002</v>
      </c>
      <c r="J459">
        <f ca="1">IFERROR(IF(0=LEN(ReferenceData!$J$459),"",ReferenceData!$J$459),"")</f>
        <v>10529.59324</v>
      </c>
      <c r="K459">
        <f ca="1">IFERROR(IF(0=LEN(ReferenceData!$K$459),"",ReferenceData!$K$459),"")</f>
        <v>13497.450199999999</v>
      </c>
      <c r="L459">
        <f ca="1">IFERROR(IF(0=LEN(ReferenceData!$L$459),"",ReferenceData!$L$459),"")</f>
        <v>13433.728880000001</v>
      </c>
      <c r="M459">
        <f ca="1">IFERROR(IF(0=LEN(ReferenceData!$M$459),"",ReferenceData!$M$459),"")</f>
        <v>9190.1381820000006</v>
      </c>
      <c r="N459">
        <f ca="1">IFERROR(IF(0=LEN(ReferenceData!$N$459),"",ReferenceData!$N$459),"")</f>
        <v>8430.5867820000003</v>
      </c>
      <c r="O459">
        <f ca="1">IFERROR(IF(0=LEN(ReferenceData!$O$459),"",ReferenceData!$O$459),"")</f>
        <v>6941.7722229999999</v>
      </c>
      <c r="P459">
        <f ca="1">IFERROR(IF(0=LEN(ReferenceData!$P$459),"",ReferenceData!$P$459),"")</f>
        <v>5650.8822490000002</v>
      </c>
      <c r="Q459">
        <f ca="1">IFERROR(IF(0=LEN(ReferenceData!$Q$459),"",ReferenceData!$Q$459),"")</f>
        <v>5167.700484</v>
      </c>
      <c r="R459">
        <f ca="1">IFERROR(IF(0=LEN(ReferenceData!$R$459),"",ReferenceData!$R$459),"")</f>
        <v>5215.3631310000001</v>
      </c>
      <c r="S459">
        <f ca="1">IFERROR(IF(0=LEN(ReferenceData!$S$459),"",ReferenceData!$S$459),"")</f>
        <v>6322.6607309999999</v>
      </c>
      <c r="T459">
        <f ca="1">IFERROR(IF(0=LEN(ReferenceData!$T$459),"",ReferenceData!$T$459),"")</f>
        <v>5939.9054109999997</v>
      </c>
      <c r="U459">
        <f ca="1">IFERROR(IF(0=LEN(ReferenceData!$U$459),"",ReferenceData!$U$459),"")</f>
        <v>7844.6609040000003</v>
      </c>
      <c r="V459">
        <f ca="1">IFERROR(IF(0=LEN(ReferenceData!$V$459),"",ReferenceData!$V$459),"")</f>
        <v>9684.7627080000002</v>
      </c>
      <c r="W459">
        <f ca="1">IFERROR(IF(0=LEN(ReferenceData!$W$459),"",ReferenceData!$W$459),"")</f>
        <v>8076.0763429999997</v>
      </c>
      <c r="X459">
        <f ca="1">IFERROR(IF(0=LEN(ReferenceData!$X$459),"",ReferenceData!$X$459),"")</f>
        <v>8776.8278030000001</v>
      </c>
      <c r="Y459">
        <f ca="1">IFERROR(IF(0=LEN(ReferenceData!$Y$459),"",ReferenceData!$Y$459),"")</f>
        <v>9428.5054940000009</v>
      </c>
      <c r="Z459">
        <f ca="1">IFERROR(IF(0=LEN(ReferenceData!$Z$459),"",ReferenceData!$Z$459),"")</f>
        <v>7684.2071759999999</v>
      </c>
      <c r="AA459">
        <f ca="1">IFERROR(IF(0=LEN(ReferenceData!$AA$459),"",ReferenceData!$AA$459),"")</f>
        <v>8192.8508440000005</v>
      </c>
      <c r="AB459">
        <f ca="1">IFERROR(IF(0=LEN(ReferenceData!$AB$459),"",ReferenceData!$AB$459),"")</f>
        <v>7543.2230019999997</v>
      </c>
      <c r="AC459">
        <f ca="1">IFERROR(IF(0=LEN(ReferenceData!$AC$459),"",ReferenceData!$AC$459),"")</f>
        <v>5637.3944279999996</v>
      </c>
      <c r="AD459">
        <f ca="1">IFERROR(IF(0=LEN(ReferenceData!$AD$459),"",ReferenceData!$AD$459),"")</f>
        <v>5904.3679709999997</v>
      </c>
      <c r="AE459">
        <f ca="1">IFERROR(IF(0=LEN(ReferenceData!$AE$459),"",ReferenceData!$AE$459),"")</f>
        <v>6185.8418160000001</v>
      </c>
      <c r="AF459">
        <f ca="1">IFERROR(IF(0=LEN(ReferenceData!$AF$459),"",ReferenceData!$AF$459),"")</f>
        <v>5541.4840139999997</v>
      </c>
      <c r="AG459">
        <f ca="1">IFERROR(IF(0=LEN(ReferenceData!$AG$459),"",ReferenceData!$AG$459),"")</f>
        <v>4366.4599870000002</v>
      </c>
      <c r="AH459">
        <f ca="1">IFERROR(IF(0=LEN(ReferenceData!$AH$459),"",ReferenceData!$AH$459),"")</f>
        <v>5431.9136630000003</v>
      </c>
      <c r="AI459">
        <f ca="1">IFERROR(IF(0=LEN(ReferenceData!$AI$459),"",ReferenceData!$AI$459),"")</f>
        <v>5404.8977249999998</v>
      </c>
      <c r="AJ459">
        <f ca="1">IFERROR(IF(0=LEN(ReferenceData!$AJ$459),"",ReferenceData!$AJ$459),"")</f>
        <v>3940.477648</v>
      </c>
      <c r="AK459">
        <f ca="1">IFERROR(IF(0=LEN(ReferenceData!$AK$459),"",ReferenceData!$AK$459),"")</f>
        <v>5638.0857290000004</v>
      </c>
      <c r="AL459">
        <f ca="1">IFERROR(IF(0=LEN(ReferenceData!$AL$459),"",ReferenceData!$AL$459),"")</f>
        <v>5008.9962269999996</v>
      </c>
      <c r="AM459">
        <f ca="1">IFERROR(IF(0=LEN(ReferenceData!$AM$459),"",ReferenceData!$AM$459),"")</f>
        <v>3809.983221</v>
      </c>
      <c r="AN459">
        <f ca="1">IFERROR(IF(0=LEN(ReferenceData!$AN$459),"",ReferenceData!$AN$459),"")</f>
        <v>3719.8306910000001</v>
      </c>
      <c r="AO459">
        <f ca="1">IFERROR(IF(0=LEN(ReferenceData!$AO$459),"",ReferenceData!$AO$459),"")</f>
        <v>1635.495422</v>
      </c>
      <c r="AP459">
        <f ca="1">IFERROR(IF(0=LEN(ReferenceData!$AP$459),"",ReferenceData!$AP$459),"")</f>
        <v>1421.4089610000001</v>
      </c>
      <c r="AQ459">
        <f ca="1">IFERROR(IF(0=LEN(ReferenceData!$AQ$459),"",ReferenceData!$AQ$459),"")</f>
        <v>1407.755647</v>
      </c>
      <c r="AR459">
        <f ca="1">IFERROR(IF(0=LEN(ReferenceData!$AR$459),"",ReferenceData!$AR$459),"")</f>
        <v>527.32929579999995</v>
      </c>
      <c r="AS459">
        <f ca="1">IFERROR(IF(0=LEN(ReferenceData!$AS$459),"",ReferenceData!$AS$459),"")</f>
        <v>578.77605640000002</v>
      </c>
      <c r="AT459">
        <f ca="1">IFERROR(IF(0=LEN(ReferenceData!$AT$459),"",ReferenceData!$AT$459),"")</f>
        <v>232.0209127</v>
      </c>
      <c r="AU459">
        <f ca="1">IFERROR(IF(0=LEN(ReferenceData!$AU$459),"",ReferenceData!$AU$459),"")</f>
        <v>191.7723871</v>
      </c>
      <c r="AV459">
        <f ca="1">IFERROR(IF(0=LEN(ReferenceData!$AV$459),"",ReferenceData!$AV$459),"")</f>
        <v>264.66475459999998</v>
      </c>
      <c r="AW459">
        <f ca="1">IFERROR(IF(0=LEN(ReferenceData!$AW$459),"",ReferenceData!$AW$459),"")</f>
        <v>447.07329770000001</v>
      </c>
      <c r="AX459">
        <f ca="1">IFERROR(IF(0=LEN(ReferenceData!$AX$459),"",ReferenceData!$AX$459),"")</f>
        <v>608.27974859999995</v>
      </c>
      <c r="AY459">
        <f ca="1">IFERROR(IF(0=LEN(ReferenceData!$AY$459),"",ReferenceData!$AY$459),"")</f>
        <v>818.69255880000003</v>
      </c>
      <c r="AZ459">
        <f ca="1">IFERROR(IF(0=LEN(ReferenceData!$AZ$459),"",ReferenceData!$AZ$459),"")</f>
        <v>1011.163052</v>
      </c>
      <c r="BA459">
        <f ca="1">IFERROR(IF(0=LEN(ReferenceData!$BA$459),"",ReferenceData!$BA$459),"")</f>
        <v>924.35886110000001</v>
      </c>
      <c r="BB459">
        <f ca="1">IFERROR(IF(0=LEN(ReferenceData!$BB$459),"",ReferenceData!$BB$459),"")</f>
        <v>896.63013920000003</v>
      </c>
      <c r="BC459">
        <f ca="1">IFERROR(IF(0=LEN(ReferenceData!$BC$459),"",ReferenceData!$BC$459),"")</f>
        <v>622.47251570000003</v>
      </c>
      <c r="BD459">
        <f ca="1">IFERROR(IF(0=LEN(ReferenceData!$BD$459),"",ReferenceData!$BD$459),"")</f>
        <v>569.69170910000003</v>
      </c>
      <c r="BE459">
        <f ca="1">IFERROR(IF(0=LEN(ReferenceData!$BE$459),"",ReferenceData!$BE$459),"")</f>
        <v>618.71920160000002</v>
      </c>
      <c r="BF459">
        <f ca="1">IFERROR(IF(0=LEN(ReferenceData!$BF$459),"",ReferenceData!$BF$459),"")</f>
        <v>543.64740519999998</v>
      </c>
      <c r="BG459">
        <f ca="1">IFERROR(IF(0=LEN(ReferenceData!$BG$459),"",ReferenceData!$BG$459),"")</f>
        <v>544.08211559999995</v>
      </c>
      <c r="BH459">
        <f ca="1">IFERROR(IF(0=LEN(ReferenceData!$BH$459),"",ReferenceData!$BH$459),"")</f>
        <v>529.62910390000002</v>
      </c>
      <c r="BI459">
        <f ca="1">IFERROR(IF(0=LEN(ReferenceData!$BI$459),"",ReferenceData!$BI$459),"")</f>
        <v>651.40312670000003</v>
      </c>
      <c r="BJ459">
        <f ca="1">IFERROR(IF(0=LEN(ReferenceData!$BJ$459),"",ReferenceData!$BJ$459),"")</f>
        <v>649.06460660000005</v>
      </c>
      <c r="BK459">
        <f ca="1">IFERROR(IF(0=LEN(ReferenceData!$BK$459),"",ReferenceData!$BK$459),"")</f>
        <v>717.34904429999995</v>
      </c>
      <c r="BL459">
        <f ca="1">IFERROR(IF(0=LEN(ReferenceData!$BL$459),"",ReferenceData!$BL$459),"")</f>
        <v>733.97929350000004</v>
      </c>
      <c r="BM459">
        <f ca="1">IFERROR(IF(0=LEN(ReferenceData!$BM$459),"",ReferenceData!$BM$459),"")</f>
        <v>1081.732737</v>
      </c>
    </row>
    <row r="460" spans="1:65" x14ac:dyDescent="0.25">
      <c r="A460" t="str">
        <f>IFERROR(IF(0=LEN(ReferenceData!$A$460),"",ReferenceData!$A$460),"")</f>
        <v xml:space="preserve">    BYD Co Ltd</v>
      </c>
      <c r="B460" t="str">
        <f>IFERROR(IF(0=LEN(ReferenceData!$B$460),"",ReferenceData!$B$460),"")</f>
        <v>1211 HK Equity</v>
      </c>
      <c r="C460" t="str">
        <f>IFERROR(IF(0=LEN(ReferenceData!$C$460),"",ReferenceData!$C$460),"")</f>
        <v>RR902</v>
      </c>
      <c r="D460" t="str">
        <f>IFERROR(IF(0=LEN(ReferenceData!$D$460),"",ReferenceData!$D$460),"")</f>
        <v>CUR_MKT_CAP</v>
      </c>
      <c r="E460" t="str">
        <f>IFERROR(IF(0=LEN(ReferenceData!$E$460),"",ReferenceData!$E$460),"")</f>
        <v>Dynamic</v>
      </c>
      <c r="F460">
        <f ca="1">IFERROR(IF(0=LEN(ReferenceData!$F$460),"",ReferenceData!$F$460),"")</f>
        <v>19868.198</v>
      </c>
      <c r="G460">
        <f ca="1">IFERROR(IF(0=LEN(ReferenceData!$G$460),"",ReferenceData!$G$460),"")</f>
        <v>19276.134910000001</v>
      </c>
      <c r="H460">
        <f ca="1">IFERROR(IF(0=LEN(ReferenceData!$H$460),"",ReferenceData!$H$460),"")</f>
        <v>19531.469410000002</v>
      </c>
      <c r="I460">
        <f ca="1">IFERROR(IF(0=LEN(ReferenceData!$I$460),"",ReferenceData!$I$460),"")</f>
        <v>18596.458429999999</v>
      </c>
      <c r="J460">
        <f ca="1">IFERROR(IF(0=LEN(ReferenceData!$J$460),"",ReferenceData!$J$460),"")</f>
        <v>23239.867480000001</v>
      </c>
      <c r="K460">
        <f ca="1">IFERROR(IF(0=LEN(ReferenceData!$K$460),"",ReferenceData!$K$460),"")</f>
        <v>26102.76844</v>
      </c>
      <c r="L460">
        <f ca="1">IFERROR(IF(0=LEN(ReferenceData!$L$460),"",ReferenceData!$L$460),"")</f>
        <v>27150.690119999999</v>
      </c>
      <c r="M460">
        <f ca="1">IFERROR(IF(0=LEN(ReferenceData!$M$460),"",ReferenceData!$M$460),"")</f>
        <v>19001.596890000001</v>
      </c>
      <c r="N460">
        <f ca="1">IFERROR(IF(0=LEN(ReferenceData!$N$460),"",ReferenceData!$N$460),"")</f>
        <v>17734.023509999999</v>
      </c>
      <c r="O460">
        <f ca="1">IFERROR(IF(0=LEN(ReferenceData!$O$460),"",ReferenceData!$O$460),"")</f>
        <v>17800.457149999998</v>
      </c>
      <c r="P460">
        <f ca="1">IFERROR(IF(0=LEN(ReferenceData!$P$460),"",ReferenceData!$P$460),"")</f>
        <v>21124.868699999999</v>
      </c>
      <c r="Q460">
        <f ca="1">IFERROR(IF(0=LEN(ReferenceData!$Q$460),"",ReferenceData!$Q$460),"")</f>
        <v>19788.63322</v>
      </c>
      <c r="R460">
        <f ca="1">IFERROR(IF(0=LEN(ReferenceData!$R$460),"",ReferenceData!$R$460),"")</f>
        <v>19476.715219999998</v>
      </c>
      <c r="S460">
        <f ca="1">IFERROR(IF(0=LEN(ReferenceData!$S$460),"",ReferenceData!$S$460),"")</f>
        <v>20531.093769999999</v>
      </c>
      <c r="T460">
        <f ca="1">IFERROR(IF(0=LEN(ReferenceData!$T$460),"",ReferenceData!$T$460),"")</f>
        <v>19556.483209999999</v>
      </c>
      <c r="U460">
        <f ca="1">IFERROR(IF(0=LEN(ReferenceData!$U$460),"",ReferenceData!$U$460),"")</f>
        <v>19403.339049999999</v>
      </c>
      <c r="V460">
        <f ca="1">IFERROR(IF(0=LEN(ReferenceData!$V$460),"",ReferenceData!$V$460),"")</f>
        <v>17898.788779999999</v>
      </c>
      <c r="W460">
        <f ca="1">IFERROR(IF(0=LEN(ReferenceData!$W$460),"",ReferenceData!$W$460),"")</f>
        <v>13175.19068</v>
      </c>
      <c r="X460">
        <f ca="1">IFERROR(IF(0=LEN(ReferenceData!$X$460),"",ReferenceData!$X$460),"")</f>
        <v>18492.615880000001</v>
      </c>
      <c r="Y460">
        <f ca="1">IFERROR(IF(0=LEN(ReferenceData!$Y$460),"",ReferenceData!$Y$460),"")</f>
        <v>17208.164929999999</v>
      </c>
      <c r="Z460">
        <f ca="1">IFERROR(IF(0=LEN(ReferenceData!$Z$460),"",ReferenceData!$Z$460),"")</f>
        <v>16979.442159999999</v>
      </c>
      <c r="AA460">
        <f ca="1">IFERROR(IF(0=LEN(ReferenceData!$AA$460),"",ReferenceData!$AA$460),"")</f>
        <v>13605.05011</v>
      </c>
      <c r="AB460">
        <f ca="1">IFERROR(IF(0=LEN(ReferenceData!$AB$460),"",ReferenceData!$AB$460),"")</f>
        <v>13575.464319999999</v>
      </c>
      <c r="AC460">
        <f ca="1">IFERROR(IF(0=LEN(ReferenceData!$AC$460),"",ReferenceData!$AC$460),"")</f>
        <v>10235.08159</v>
      </c>
      <c r="AD460">
        <f ca="1">IFERROR(IF(0=LEN(ReferenceData!$AD$460),"",ReferenceData!$AD$460),"")</f>
        <v>8230.7167860000009</v>
      </c>
      <c r="AE460">
        <f ca="1">IFERROR(IF(0=LEN(ReferenceData!$AE$460),"",ReferenceData!$AE$460),"")</f>
        <v>7473.8672779999997</v>
      </c>
      <c r="AF460">
        <f ca="1">IFERROR(IF(0=LEN(ReferenceData!$AF$460),"",ReferenceData!$AF$460),"")</f>
        <v>4939.0017879999996</v>
      </c>
      <c r="AG460">
        <f ca="1">IFERROR(IF(0=LEN(ReferenceData!$AG$460),"",ReferenceData!$AG$460),"")</f>
        <v>6372.8614710000002</v>
      </c>
      <c r="AH460">
        <f ca="1">IFERROR(IF(0=LEN(ReferenceData!$AH$460),"",ReferenceData!$AH$460),"")</f>
        <v>9230.288219</v>
      </c>
      <c r="AI460">
        <f ca="1">IFERROR(IF(0=LEN(ReferenceData!$AI$460),"",ReferenceData!$AI$460),"")</f>
        <v>7369.2484860000004</v>
      </c>
      <c r="AJ460">
        <f ca="1">IFERROR(IF(0=LEN(ReferenceData!$AJ$460),"",ReferenceData!$AJ$460),"")</f>
        <v>6062.4904729999998</v>
      </c>
      <c r="AK460">
        <f ca="1">IFERROR(IF(0=LEN(ReferenceData!$AK$460),"",ReferenceData!$AK$460),"")</f>
        <v>8709.4341729999996</v>
      </c>
      <c r="AL460">
        <f ca="1">IFERROR(IF(0=LEN(ReferenceData!$AL$460),"",ReferenceData!$AL$460),"")</f>
        <v>8718.2032340000005</v>
      </c>
      <c r="AM460">
        <f ca="1">IFERROR(IF(0=LEN(ReferenceData!$AM$460),"",ReferenceData!$AM$460),"")</f>
        <v>11956.802439999999</v>
      </c>
      <c r="AN460">
        <f ca="1">IFERROR(IF(0=LEN(ReferenceData!$AN$460),"",ReferenceData!$AN$460),"")</f>
        <v>18280.430359999998</v>
      </c>
      <c r="AO460">
        <f ca="1">IFERROR(IF(0=LEN(ReferenceData!$AO$460),"",ReferenceData!$AO$460),"")</f>
        <v>17034.615300000001</v>
      </c>
      <c r="AP460">
        <f ca="1">IFERROR(IF(0=LEN(ReferenceData!$AP$460),"",ReferenceData!$AP$460),"")</f>
        <v>22664.269</v>
      </c>
      <c r="AQ460">
        <f ca="1">IFERROR(IF(0=LEN(ReferenceData!$AQ$460),"",ReferenceData!$AQ$460),"")</f>
        <v>20085.458419999999</v>
      </c>
      <c r="AR460">
        <f ca="1">IFERROR(IF(0=LEN(ReferenceData!$AR$460),"",ReferenceData!$AR$460),"")</f>
        <v>18743.64633</v>
      </c>
      <c r="AS460">
        <f ca="1">IFERROR(IF(0=LEN(ReferenceData!$AS$460),"",ReferenceData!$AS$460),"")</f>
        <v>8120.9364070000001</v>
      </c>
      <c r="AT460">
        <f ca="1">IFERROR(IF(0=LEN(ReferenceData!$AT$460),"",ReferenceData!$AT$460),"")</f>
        <v>3777.4257950000001</v>
      </c>
      <c r="AU460">
        <f ca="1">IFERROR(IF(0=LEN(ReferenceData!$AU$460),"",ReferenceData!$AU$460),"")</f>
        <v>3359.4753219999998</v>
      </c>
      <c r="AV460">
        <f ca="1">IFERROR(IF(0=LEN(ReferenceData!$AV$460),"",ReferenceData!$AV$460),"")</f>
        <v>3390.0787770000002</v>
      </c>
      <c r="AW460">
        <f ca="1">IFERROR(IF(0=LEN(ReferenceData!$AW$460),"",ReferenceData!$AW$460),"")</f>
        <v>2629.0074060000002</v>
      </c>
      <c r="AX460">
        <f ca="1">IFERROR(IF(0=LEN(ReferenceData!$AX$460),"",ReferenceData!$AX$460),"")</f>
        <v>3766.9197509999999</v>
      </c>
      <c r="AY460">
        <f ca="1">IFERROR(IF(0=LEN(ReferenceData!$AY$460),"",ReferenceData!$AY$460),"")</f>
        <v>3569.2287970000002</v>
      </c>
      <c r="AZ460">
        <f ca="1">IFERROR(IF(0=LEN(ReferenceData!$AZ$460),"",ReferenceData!$AZ$460),"")</f>
        <v>4032.3919089999999</v>
      </c>
      <c r="BA460">
        <f ca="1">IFERROR(IF(0=LEN(ReferenceData!$BA$460),"",ReferenceData!$BA$460),"")</f>
        <v>3101.8437979999999</v>
      </c>
      <c r="BB460">
        <f ca="1">IFERROR(IF(0=LEN(ReferenceData!$BB$460),"",ReferenceData!$BB$460),"")</f>
        <v>2661.4615330000001</v>
      </c>
      <c r="BC460">
        <f ca="1">IFERROR(IF(0=LEN(ReferenceData!$BC$460),"",ReferenceData!$BC$460),"")</f>
        <v>2066.7043749999998</v>
      </c>
      <c r="BD460">
        <f ca="1">IFERROR(IF(0=LEN(ReferenceData!$BD$460),"",ReferenceData!$BD$460),"")</f>
        <v>1557.947764</v>
      </c>
      <c r="BE460">
        <f ca="1">IFERROR(IF(0=LEN(ReferenceData!$BE$460),"",ReferenceData!$BE$460),"")</f>
        <v>1100.9495300000001</v>
      </c>
      <c r="BF460">
        <f ca="1">IFERROR(IF(0=LEN(ReferenceData!$BF$460),"",ReferenceData!$BF$460),"")</f>
        <v>1115.8616730000001</v>
      </c>
      <c r="BG460">
        <f ca="1">IFERROR(IF(0=LEN(ReferenceData!$BG$460),"",ReferenceData!$BG$460),"")</f>
        <v>831.47723020000001</v>
      </c>
      <c r="BH460">
        <f ca="1">IFERROR(IF(0=LEN(ReferenceData!$BH$460),"",ReferenceData!$BH$460),"")</f>
        <v>862.36545279999996</v>
      </c>
      <c r="BI460">
        <f ca="1">IFERROR(IF(0=LEN(ReferenceData!$BI$460),"",ReferenceData!$BI$460),"")</f>
        <v>1162.7903240000001</v>
      </c>
      <c r="BJ460">
        <f ca="1">IFERROR(IF(0=LEN(ReferenceData!$BJ$460),"",ReferenceData!$BJ$460),"")</f>
        <v>1587.4767609999999</v>
      </c>
      <c r="BK460">
        <f ca="1">IFERROR(IF(0=LEN(ReferenceData!$BK$460),"",ReferenceData!$BK$460),"")</f>
        <v>1429.7825809999999</v>
      </c>
      <c r="BL460">
        <f ca="1">IFERROR(IF(0=LEN(ReferenceData!$BL$460),"",ReferenceData!$BL$460),"")</f>
        <v>1639.922789</v>
      </c>
      <c r="BM460">
        <f ca="1">IFERROR(IF(0=LEN(ReferenceData!$BM$460),"",ReferenceData!$BM$460),"")</f>
        <v>1594.332547</v>
      </c>
    </row>
    <row r="461" spans="1:65" x14ac:dyDescent="0.25">
      <c r="A461" t="str">
        <f>IFERROR(IF(0=LEN(ReferenceData!$A$461),"",ReferenceData!$A$461),"")</f>
        <v xml:space="preserve">    Chongqing Changan Automobile Co Ltd</v>
      </c>
      <c r="B461" t="str">
        <f>IFERROR(IF(0=LEN(ReferenceData!$B$461),"",ReferenceData!$B$461),"")</f>
        <v>200625 CH Equity</v>
      </c>
      <c r="C461" t="str">
        <f>IFERROR(IF(0=LEN(ReferenceData!$C$461),"",ReferenceData!$C$461),"")</f>
        <v>RR902</v>
      </c>
      <c r="D461" t="str">
        <f>IFERROR(IF(0=LEN(ReferenceData!$D$461),"",ReferenceData!$D$461),"")</f>
        <v>CUR_MKT_CAP</v>
      </c>
      <c r="E461" t="str">
        <f>IFERROR(IF(0=LEN(ReferenceData!$E$461),"",ReferenceData!$E$461),"")</f>
        <v>Dynamic</v>
      </c>
      <c r="F461">
        <f ca="1">IFERROR(IF(0=LEN(ReferenceData!$F$461),"",ReferenceData!$F$461),"")</f>
        <v>5534.5157349999999</v>
      </c>
      <c r="G461">
        <f ca="1">IFERROR(IF(0=LEN(ReferenceData!$G$461),"",ReferenceData!$G$461),"")</f>
        <v>4139.2419650000002</v>
      </c>
      <c r="H461">
        <f ca="1">IFERROR(IF(0=LEN(ReferenceData!$H$461),"",ReferenceData!$H$461),"")</f>
        <v>4862.4531159999997</v>
      </c>
      <c r="I461">
        <f ca="1">IFERROR(IF(0=LEN(ReferenceData!$I$461),"",ReferenceData!$I$461),"")</f>
        <v>6211.5126630000004</v>
      </c>
      <c r="J461">
        <f ca="1">IFERROR(IF(0=LEN(ReferenceData!$J$461),"",ReferenceData!$J$461),"")</f>
        <v>7894.4530839999998</v>
      </c>
      <c r="K461">
        <f ca="1">IFERROR(IF(0=LEN(ReferenceData!$K$461),"",ReferenceData!$K$461),"")</f>
        <v>8546.4298280000003</v>
      </c>
      <c r="L461">
        <f ca="1">IFERROR(IF(0=LEN(ReferenceData!$L$461),"",ReferenceData!$L$461),"")</f>
        <v>9523.3019769999992</v>
      </c>
      <c r="M461">
        <f ca="1">IFERROR(IF(0=LEN(ReferenceData!$M$461),"",ReferenceData!$M$461),"")</f>
        <v>9504.4482630000002</v>
      </c>
      <c r="N461">
        <f ca="1">IFERROR(IF(0=LEN(ReferenceData!$N$461),"",ReferenceData!$N$461),"")</f>
        <v>10203.18324</v>
      </c>
      <c r="O461">
        <f ca="1">IFERROR(IF(0=LEN(ReferenceData!$O$461),"",ReferenceData!$O$461),"")</f>
        <v>9687.5299930000001</v>
      </c>
      <c r="P461">
        <f ca="1">IFERROR(IF(0=LEN(ReferenceData!$P$461),"",ReferenceData!$P$461),"")</f>
        <v>10423.362730000001</v>
      </c>
      <c r="Q461">
        <f ca="1">IFERROR(IF(0=LEN(ReferenceData!$Q$461),"",ReferenceData!$Q$461),"")</f>
        <v>8981.0313010000009</v>
      </c>
      <c r="R461">
        <f ca="1">IFERROR(IF(0=LEN(ReferenceData!$R$461),"",ReferenceData!$R$461),"")</f>
        <v>10881.15547</v>
      </c>
      <c r="S461">
        <f ca="1">IFERROR(IF(0=LEN(ReferenceData!$S$461),"",ReferenceData!$S$461),"")</f>
        <v>11827.92362</v>
      </c>
      <c r="T461">
        <f ca="1">IFERROR(IF(0=LEN(ReferenceData!$T$461),"",ReferenceData!$T$461),"")</f>
        <v>10254.433789999999</v>
      </c>
      <c r="U461">
        <f ca="1">IFERROR(IF(0=LEN(ReferenceData!$U$461),"",ReferenceData!$U$461),"")</f>
        <v>15139.95119</v>
      </c>
      <c r="V461">
        <f ca="1">IFERROR(IF(0=LEN(ReferenceData!$V$461),"",ReferenceData!$V$461),"")</f>
        <v>14659.044</v>
      </c>
      <c r="W461">
        <f ca="1">IFERROR(IF(0=LEN(ReferenceData!$W$461),"",ReferenceData!$W$461),"")</f>
        <v>11997.201510000001</v>
      </c>
      <c r="X461">
        <f ca="1">IFERROR(IF(0=LEN(ReferenceData!$X$461),"",ReferenceData!$X$461),"")</f>
        <v>10331.67684</v>
      </c>
      <c r="Y461">
        <f ca="1">IFERROR(IF(0=LEN(ReferenceData!$Y$461),"",ReferenceData!$Y$461),"")</f>
        <v>9242.7542959999992</v>
      </c>
      <c r="Z461">
        <f ca="1">IFERROR(IF(0=LEN(ReferenceData!$Z$461),"",ReferenceData!$Z$461),"")</f>
        <v>7285.5699830000003</v>
      </c>
      <c r="AA461">
        <f ca="1">IFERROR(IF(0=LEN(ReferenceData!$AA$461),"",ReferenceData!$AA$461),"")</f>
        <v>8883.7733580000004</v>
      </c>
      <c r="AB461">
        <f ca="1">IFERROR(IF(0=LEN(ReferenceData!$AB$461),"",ReferenceData!$AB$461),"")</f>
        <v>7705.2317300000004</v>
      </c>
      <c r="AC461">
        <f ca="1">IFERROR(IF(0=LEN(ReferenceData!$AC$461),"",ReferenceData!$AC$461),"")</f>
        <v>6762.4795720000002</v>
      </c>
      <c r="AD461">
        <f ca="1">IFERROR(IF(0=LEN(ReferenceData!$AD$461),"",ReferenceData!$AD$461),"")</f>
        <v>6514.5416249999998</v>
      </c>
      <c r="AE461">
        <f ca="1">IFERROR(IF(0=LEN(ReferenceData!$AE$461),"",ReferenceData!$AE$461),"")</f>
        <v>4517.4416739999997</v>
      </c>
      <c r="AF461">
        <f ca="1">IFERROR(IF(0=LEN(ReferenceData!$AF$461),"",ReferenceData!$AF$461),"")</f>
        <v>3504.919762</v>
      </c>
      <c r="AG461">
        <f ca="1">IFERROR(IF(0=LEN(ReferenceData!$AG$461),"",ReferenceData!$AG$461),"")</f>
        <v>3247.2205530000001</v>
      </c>
      <c r="AH461">
        <f ca="1">IFERROR(IF(0=LEN(ReferenceData!$AH$461),"",ReferenceData!$AH$461),"")</f>
        <v>2989.3773299999998</v>
      </c>
      <c r="AI461">
        <f ca="1">IFERROR(IF(0=LEN(ReferenceData!$AI$461),"",ReferenceData!$AI$461),"")</f>
        <v>2640.928778</v>
      </c>
      <c r="AJ461">
        <f ca="1">IFERROR(IF(0=LEN(ReferenceData!$AJ$461),"",ReferenceData!$AJ$461),"")</f>
        <v>2830.420318</v>
      </c>
      <c r="AK461">
        <f ca="1">IFERROR(IF(0=LEN(ReferenceData!$AK$461),"",ReferenceData!$AK$461),"")</f>
        <v>3384.5821890000002</v>
      </c>
      <c r="AL461">
        <f ca="1">IFERROR(IF(0=LEN(ReferenceData!$AL$461),"",ReferenceData!$AL$461),"")</f>
        <v>3473.0124700000001</v>
      </c>
      <c r="AM461">
        <f ca="1">IFERROR(IF(0=LEN(ReferenceData!$AM$461),"",ReferenceData!$AM$461),"")</f>
        <v>3000.4503300000001</v>
      </c>
      <c r="AN461">
        <f ca="1">IFERROR(IF(0=LEN(ReferenceData!$AN$461),"",ReferenceData!$AN$461),"")</f>
        <v>3374.0999870000001</v>
      </c>
      <c r="AO461">
        <f ca="1">IFERROR(IF(0=LEN(ReferenceData!$AO$461),"",ReferenceData!$AO$461),"")</f>
        <v>2557.5365870000001</v>
      </c>
      <c r="AP461">
        <f ca="1">IFERROR(IF(0=LEN(ReferenceData!$AP$461),"",ReferenceData!$AP$461),"")</f>
        <v>3622.3951750000001</v>
      </c>
      <c r="AQ461">
        <f ca="1">IFERROR(IF(0=LEN(ReferenceData!$AQ$461),"",ReferenceData!$AQ$461),"")</f>
        <v>4169.080833</v>
      </c>
      <c r="AR461">
        <f ca="1">IFERROR(IF(0=LEN(ReferenceData!$AR$461),"",ReferenceData!$AR$461),"")</f>
        <v>2928.7796149999999</v>
      </c>
      <c r="AS461">
        <f ca="1">IFERROR(IF(0=LEN(ReferenceData!$AS$461),"",ReferenceData!$AS$461),"")</f>
        <v>2340.0529999999999</v>
      </c>
      <c r="AT461">
        <f ca="1">IFERROR(IF(0=LEN(ReferenceData!$AT$461),"",ReferenceData!$AT$461),"")</f>
        <v>2088.357696</v>
      </c>
      <c r="AU461">
        <f ca="1">IFERROR(IF(0=LEN(ReferenceData!$AU$461),"",ReferenceData!$AU$461),"")</f>
        <v>1062.3792169999999</v>
      </c>
      <c r="AV461">
        <f ca="1">IFERROR(IF(0=LEN(ReferenceData!$AV$461),"",ReferenceData!$AV$461),"")</f>
        <v>1156.4397269999999</v>
      </c>
      <c r="AW461">
        <f ca="1">IFERROR(IF(0=LEN(ReferenceData!$AW$461),"",ReferenceData!$AW$461),"")</f>
        <v>1453.341784</v>
      </c>
      <c r="AX461">
        <f ca="1">IFERROR(IF(0=LEN(ReferenceData!$AX$461),"",ReferenceData!$AX$461),"")</f>
        <v>2320.2374009999999</v>
      </c>
      <c r="AY461">
        <f ca="1">IFERROR(IF(0=LEN(ReferenceData!$AY$461),"",ReferenceData!$AY$461),"")</f>
        <v>4237.2124739999999</v>
      </c>
      <c r="AZ461">
        <f ca="1">IFERROR(IF(0=LEN(ReferenceData!$AZ$461),"",ReferenceData!$AZ$461),"")</f>
        <v>5116.871862</v>
      </c>
      <c r="BA461">
        <f ca="1">IFERROR(IF(0=LEN(ReferenceData!$BA$461),"",ReferenceData!$BA$461),"")</f>
        <v>3092.5968630000002</v>
      </c>
      <c r="BB461">
        <f ca="1">IFERROR(IF(0=LEN(ReferenceData!$BB$461),"",ReferenceData!$BB$461),"")</f>
        <v>2665.5340860000001</v>
      </c>
      <c r="BC461">
        <f ca="1">IFERROR(IF(0=LEN(ReferenceData!$BC$461),"",ReferenceData!$BC$461),"")</f>
        <v>1727.1020860000001</v>
      </c>
      <c r="BD461">
        <f ca="1">IFERROR(IF(0=LEN(ReferenceData!$BD$461),"",ReferenceData!$BD$461),"")</f>
        <v>972.12055169999996</v>
      </c>
      <c r="BE461">
        <f ca="1">IFERROR(IF(0=LEN(ReferenceData!$BE$461),"",ReferenceData!$BE$461),"")</f>
        <v>1031.417058</v>
      </c>
      <c r="BF461">
        <f ca="1">IFERROR(IF(0=LEN(ReferenceData!$BF$461),"",ReferenceData!$BF$461),"")</f>
        <v>972.56791329999999</v>
      </c>
      <c r="BG461">
        <f ca="1">IFERROR(IF(0=LEN(ReferenceData!$BG$461),"",ReferenceData!$BG$461),"")</f>
        <v>660.26069700000005</v>
      </c>
      <c r="BH461">
        <f ca="1">IFERROR(IF(0=LEN(ReferenceData!$BH$461),"",ReferenceData!$BH$461),"")</f>
        <v>855.76938910000001</v>
      </c>
      <c r="BI461">
        <f ca="1">IFERROR(IF(0=LEN(ReferenceData!$BI$461),"",ReferenceData!$BI$461),"")</f>
        <v>1011.908513</v>
      </c>
      <c r="BJ461">
        <f ca="1">IFERROR(IF(0=LEN(ReferenceData!$BJ$461),"",ReferenceData!$BJ$461),"")</f>
        <v>974.81957350000005</v>
      </c>
      <c r="BK461">
        <f ca="1">IFERROR(IF(0=LEN(ReferenceData!$BK$461),"",ReferenceData!$BK$461),"")</f>
        <v>1021.7413320000001</v>
      </c>
      <c r="BL461">
        <f ca="1">IFERROR(IF(0=LEN(ReferenceData!$BL$461),"",ReferenceData!$BL$461),"")</f>
        <v>1400.3506279999999</v>
      </c>
      <c r="BM461">
        <f ca="1">IFERROR(IF(0=LEN(ReferenceData!$BM$461),"",ReferenceData!$BM$461),"")</f>
        <v>1409.108743</v>
      </c>
    </row>
    <row r="462" spans="1:65" x14ac:dyDescent="0.25">
      <c r="A462" t="str">
        <f>IFERROR(IF(0=LEN(ReferenceData!$A$462),"",ReferenceData!$A$462),"")</f>
        <v xml:space="preserve">    Daihatsu Motor Co Ltd</v>
      </c>
      <c r="B462" t="str">
        <f>IFERROR(IF(0=LEN(ReferenceData!$B$462),"",ReferenceData!$B$462),"")</f>
        <v>7262 JP Equity</v>
      </c>
      <c r="C462" t="str">
        <f>IFERROR(IF(0=LEN(ReferenceData!$C$462),"",ReferenceData!$C$462),"")</f>
        <v>RR902</v>
      </c>
      <c r="D462" t="str">
        <f>IFERROR(IF(0=LEN(ReferenceData!$D$462),"",ReferenceData!$D$462),"")</f>
        <v>CUR_MKT_CAP</v>
      </c>
      <c r="E462" t="str">
        <f>IFERROR(IF(0=LEN(ReferenceData!$E$462),"",ReferenceData!$E$462),"")</f>
        <v>Dynamic</v>
      </c>
      <c r="F462" t="str">
        <f ca="1">IFERROR(IF(0=LEN(ReferenceData!$F$462),"",ReferenceData!$F$462),"")</f>
        <v/>
      </c>
      <c r="G462" t="str">
        <f ca="1">IFERROR(IF(0=LEN(ReferenceData!$G$462),"",ReferenceData!$G$462),"")</f>
        <v/>
      </c>
      <c r="H462" t="str">
        <f ca="1">IFERROR(IF(0=LEN(ReferenceData!$H$462),"",ReferenceData!$H$462),"")</f>
        <v/>
      </c>
      <c r="I462" t="str">
        <f ca="1">IFERROR(IF(0=LEN(ReferenceData!$I$462),"",ReferenceData!$I$462),"")</f>
        <v/>
      </c>
      <c r="J462" t="str">
        <f ca="1">IFERROR(IF(0=LEN(ReferenceData!$J$462),"",ReferenceData!$J$462),"")</f>
        <v/>
      </c>
      <c r="K462" t="str">
        <f ca="1">IFERROR(IF(0=LEN(ReferenceData!$K$462),"",ReferenceData!$K$462),"")</f>
        <v/>
      </c>
      <c r="L462" t="str">
        <f ca="1">IFERROR(IF(0=LEN(ReferenceData!$L$462),"",ReferenceData!$L$462),"")</f>
        <v/>
      </c>
      <c r="M462" t="str">
        <f ca="1">IFERROR(IF(0=LEN(ReferenceData!$M$462),"",ReferenceData!$M$462),"")</f>
        <v/>
      </c>
      <c r="N462" t="str">
        <f ca="1">IFERROR(IF(0=LEN(ReferenceData!$N$462),"",ReferenceData!$N$462),"")</f>
        <v/>
      </c>
      <c r="O462" t="str">
        <f ca="1">IFERROR(IF(0=LEN(ReferenceData!$O$462),"",ReferenceData!$O$462),"")</f>
        <v/>
      </c>
      <c r="P462">
        <f ca="1">IFERROR(IF(0=LEN(ReferenceData!$P$462),"",ReferenceData!$P$462),"")</f>
        <v>6077.3005670000002</v>
      </c>
      <c r="Q462">
        <f ca="1">IFERROR(IF(0=LEN(ReferenceData!$Q$462),"",ReferenceData!$Q$462),"")</f>
        <v>5476.1475909999999</v>
      </c>
      <c r="R462">
        <f ca="1">IFERROR(IF(0=LEN(ReferenceData!$R$462),"",ReferenceData!$R$462),"")</f>
        <v>6021.4845079999996</v>
      </c>
      <c r="S462">
        <f ca="1">IFERROR(IF(0=LEN(ReferenceData!$S$462),"",ReferenceData!$S$462),"")</f>
        <v>5811.365307</v>
      </c>
      <c r="T462">
        <f ca="1">IFERROR(IF(0=LEN(ReferenceData!$T$462),"",ReferenceData!$T$462),"")</f>
        <v>4929.0281720000003</v>
      </c>
      <c r="U462">
        <f ca="1">IFERROR(IF(0=LEN(ReferenceData!$U$462),"",ReferenceData!$U$462),"")</f>
        <v>6096.260327</v>
      </c>
      <c r="V462">
        <f ca="1">IFERROR(IF(0=LEN(ReferenceData!$V$462),"",ReferenceData!$V$462),"")</f>
        <v>6544.8269440000004</v>
      </c>
      <c r="W462">
        <f ca="1">IFERROR(IF(0=LEN(ReferenceData!$W$462),"",ReferenceData!$W$462),"")</f>
        <v>5645.6315619999996</v>
      </c>
      <c r="X462">
        <f ca="1">IFERROR(IF(0=LEN(ReferenceData!$X$462),"",ReferenceData!$X$462),"")</f>
        <v>6781.151425</v>
      </c>
      <c r="Y462">
        <f ca="1">IFERROR(IF(0=LEN(ReferenceData!$Y$462),"",ReferenceData!$Y$462),"")</f>
        <v>7594.5151800000003</v>
      </c>
      <c r="Z462">
        <f ca="1">IFERROR(IF(0=LEN(ReferenceData!$Z$462),"",ReferenceData!$Z$462),"")</f>
        <v>7554.5274820000004</v>
      </c>
      <c r="AA462">
        <f ca="1">IFERROR(IF(0=LEN(ReferenceData!$AA$462),"",ReferenceData!$AA$462),"")</f>
        <v>7243.3679709999997</v>
      </c>
      <c r="AB462">
        <f ca="1">IFERROR(IF(0=LEN(ReferenceData!$AB$462),"",ReferenceData!$AB$462),"")</f>
        <v>8263.2482959999998</v>
      </c>
      <c r="AC462">
        <f ca="1">IFERROR(IF(0=LEN(ReferenceData!$AC$462),"",ReferenceData!$AC$462),"")</f>
        <v>8084.0748620000004</v>
      </c>
      <c r="AD462">
        <f ca="1">IFERROR(IF(0=LEN(ReferenceData!$AD$462),"",ReferenceData!$AD$462),"")</f>
        <v>8848.9075389999998</v>
      </c>
      <c r="AE462">
        <f ca="1">IFERROR(IF(0=LEN(ReferenceData!$AE$462),"",ReferenceData!$AE$462),"")</f>
        <v>8489.8632519999992</v>
      </c>
      <c r="AF462">
        <f ca="1">IFERROR(IF(0=LEN(ReferenceData!$AF$462),"",ReferenceData!$AF$462),"")</f>
        <v>7136.9882900000002</v>
      </c>
      <c r="AG462">
        <f ca="1">IFERROR(IF(0=LEN(ReferenceData!$AG$462),"",ReferenceData!$AG$462),"")</f>
        <v>7423.8042779999996</v>
      </c>
      <c r="AH462">
        <f ca="1">IFERROR(IF(0=LEN(ReferenceData!$AH$462),"",ReferenceData!$AH$462),"")</f>
        <v>7836.3602389999996</v>
      </c>
      <c r="AI462">
        <f ca="1">IFERROR(IF(0=LEN(ReferenceData!$AI$462),"",ReferenceData!$AI$462),"")</f>
        <v>7622.6390769999998</v>
      </c>
      <c r="AJ462">
        <f ca="1">IFERROR(IF(0=LEN(ReferenceData!$AJ$462),"",ReferenceData!$AJ$462),"")</f>
        <v>7801.6111879999999</v>
      </c>
      <c r="AK462">
        <f ca="1">IFERROR(IF(0=LEN(ReferenceData!$AK$462),"",ReferenceData!$AK$462),"")</f>
        <v>7231.8241399999997</v>
      </c>
      <c r="AL462">
        <f ca="1">IFERROR(IF(0=LEN(ReferenceData!$AL$462),"",ReferenceData!$AL$462),"")</f>
        <v>6249.8256529999999</v>
      </c>
      <c r="AM462">
        <f ca="1">IFERROR(IF(0=LEN(ReferenceData!$AM$462),"",ReferenceData!$AM$462),"")</f>
        <v>6510.8299530000004</v>
      </c>
      <c r="AN462">
        <f ca="1">IFERROR(IF(0=LEN(ReferenceData!$AN$462),"",ReferenceData!$AN$462),"")</f>
        <v>5716.4674720000003</v>
      </c>
      <c r="AO462">
        <f ca="1">IFERROR(IF(0=LEN(ReferenceData!$AO$462),"",ReferenceData!$AO$462),"")</f>
        <v>4002.168416</v>
      </c>
      <c r="AP462">
        <f ca="1">IFERROR(IF(0=LEN(ReferenceData!$AP$462),"",ReferenceData!$AP$462),"")</f>
        <v>4081.9865829999999</v>
      </c>
      <c r="AQ462">
        <f ca="1">IFERROR(IF(0=LEN(ReferenceData!$AQ$462),"",ReferenceData!$AQ$462),"")</f>
        <v>4276.7781109999996</v>
      </c>
      <c r="AR462">
        <f ca="1">IFERROR(IF(0=LEN(ReferenceData!$AR$462),"",ReferenceData!$AR$462),"")</f>
        <v>4367.4373109999997</v>
      </c>
      <c r="AS462">
        <f ca="1">IFERROR(IF(0=LEN(ReferenceData!$AS$462),"",ReferenceData!$AS$462),"")</f>
        <v>3982.1059100000002</v>
      </c>
      <c r="AT462">
        <f ca="1">IFERROR(IF(0=LEN(ReferenceData!$AT$462),"",ReferenceData!$AT$462),"")</f>
        <v>3306.0651849999999</v>
      </c>
      <c r="AU462">
        <f ca="1">IFERROR(IF(0=LEN(ReferenceData!$AU$462),"",ReferenceData!$AU$462),"")</f>
        <v>3702.39453</v>
      </c>
      <c r="AV462">
        <f ca="1">IFERROR(IF(0=LEN(ReferenceData!$AV$462),"",ReferenceData!$AV$462),"")</f>
        <v>4585.3677729999999</v>
      </c>
      <c r="AW462">
        <f ca="1">IFERROR(IF(0=LEN(ReferenceData!$AW$462),"",ReferenceData!$AW$462),"")</f>
        <v>4891.0589579999996</v>
      </c>
      <c r="AX462">
        <f ca="1">IFERROR(IF(0=LEN(ReferenceData!$AX$462),"",ReferenceData!$AX$462),"")</f>
        <v>5119.8299020000004</v>
      </c>
      <c r="AY462">
        <f ca="1">IFERROR(IF(0=LEN(ReferenceData!$AY$462),"",ReferenceData!$AY$462),"")</f>
        <v>3979.6654090000002</v>
      </c>
      <c r="AZ462">
        <f ca="1">IFERROR(IF(0=LEN(ReferenceData!$AZ$462),"",ReferenceData!$AZ$462),"")</f>
        <v>4438.6561160000001</v>
      </c>
      <c r="BA462">
        <f ca="1">IFERROR(IF(0=LEN(ReferenceData!$BA$462),"",ReferenceData!$BA$462),"")</f>
        <v>3915.6983129999999</v>
      </c>
      <c r="BB462">
        <f ca="1">IFERROR(IF(0=LEN(ReferenceData!$BB$462),"",ReferenceData!$BB$462),"")</f>
        <v>4075.4485079999999</v>
      </c>
      <c r="BC462">
        <f ca="1">IFERROR(IF(0=LEN(ReferenceData!$BC$462),"",ReferenceData!$BC$462),"")</f>
        <v>4307.8158039999998</v>
      </c>
      <c r="BD462">
        <f ca="1">IFERROR(IF(0=LEN(ReferenceData!$BD$462),"",ReferenceData!$BD$462),"")</f>
        <v>3912.2178250000002</v>
      </c>
      <c r="BE462">
        <f ca="1">IFERROR(IF(0=LEN(ReferenceData!$BE$462),"",ReferenceData!$BE$462),"")</f>
        <v>3798.4729590000002</v>
      </c>
      <c r="BF462">
        <f ca="1">IFERROR(IF(0=LEN(ReferenceData!$BF$462),"",ReferenceData!$BF$462),"")</f>
        <v>4398.4579819999999</v>
      </c>
      <c r="BG462">
        <f ca="1">IFERROR(IF(0=LEN(ReferenceData!$BG$462),"",ReferenceData!$BG$462),"")</f>
        <v>4616.2736880000002</v>
      </c>
      <c r="BH462">
        <f ca="1">IFERROR(IF(0=LEN(ReferenceData!$BH$462),"",ReferenceData!$BH$462),"")</f>
        <v>4325.3912799999998</v>
      </c>
      <c r="BI462">
        <f ca="1">IFERROR(IF(0=LEN(ReferenceData!$BI$462),"",ReferenceData!$BI$462),"")</f>
        <v>3677.1157619999999</v>
      </c>
      <c r="BJ462">
        <f ca="1">IFERROR(IF(0=LEN(ReferenceData!$BJ$462),"",ReferenceData!$BJ$462),"")</f>
        <v>3311.000012</v>
      </c>
      <c r="BK462">
        <f ca="1">IFERROR(IF(0=LEN(ReferenceData!$BK$462),"",ReferenceData!$BK$462),"")</f>
        <v>3386.3122699999999</v>
      </c>
      <c r="BL462">
        <f ca="1">IFERROR(IF(0=LEN(ReferenceData!$BL$462),"",ReferenceData!$BL$462),"")</f>
        <v>3426.9305330000002</v>
      </c>
      <c r="BM462">
        <f ca="1">IFERROR(IF(0=LEN(ReferenceData!$BM$462),"",ReferenceData!$BM$462),"")</f>
        <v>3081.2840430000001</v>
      </c>
    </row>
    <row r="463" spans="1:65" x14ac:dyDescent="0.25">
      <c r="A463" t="str">
        <f>IFERROR(IF(0=LEN(ReferenceData!$A$463),"",ReferenceData!$A$463),"")</f>
        <v xml:space="preserve">    Daimler AG</v>
      </c>
      <c r="B463" t="str">
        <f>IFERROR(IF(0=LEN(ReferenceData!$B$463),"",ReferenceData!$B$463),"")</f>
        <v>DAI GR Equity</v>
      </c>
      <c r="C463" t="str">
        <f>IFERROR(IF(0=LEN(ReferenceData!$C$463),"",ReferenceData!$C$463),"")</f>
        <v>RR902</v>
      </c>
      <c r="D463" t="str">
        <f>IFERROR(IF(0=LEN(ReferenceData!$D$463),"",ReferenceData!$D$463),"")</f>
        <v>CUR_MKT_CAP</v>
      </c>
      <c r="E463" t="str">
        <f>IFERROR(IF(0=LEN(ReferenceData!$E$463),"",ReferenceData!$E$463),"")</f>
        <v>Dynamic</v>
      </c>
      <c r="F463">
        <f ca="1">IFERROR(IF(0=LEN(ReferenceData!$F$463),"",ReferenceData!$F$463),"")</f>
        <v>63398.736140000001</v>
      </c>
      <c r="G463">
        <f ca="1">IFERROR(IF(0=LEN(ReferenceData!$G$463),"",ReferenceData!$G$463),"")</f>
        <v>56193.88697</v>
      </c>
      <c r="H463">
        <f ca="1">IFERROR(IF(0=LEN(ReferenceData!$H$463),"",ReferenceData!$H$463),"")</f>
        <v>67592.501080000002</v>
      </c>
      <c r="I463">
        <f ca="1">IFERROR(IF(0=LEN(ReferenceData!$I$463),"",ReferenceData!$I$463),"")</f>
        <v>68871.107669999998</v>
      </c>
      <c r="J463">
        <f ca="1">IFERROR(IF(0=LEN(ReferenceData!$J$463),"",ReferenceData!$J$463),"")</f>
        <v>90862.160940000002</v>
      </c>
      <c r="K463">
        <f ca="1">IFERROR(IF(0=LEN(ReferenceData!$K$463),"",ReferenceData!$K$463),"")</f>
        <v>91060.02738</v>
      </c>
      <c r="L463">
        <f ca="1">IFERROR(IF(0=LEN(ReferenceData!$L$463),"",ReferenceData!$L$463),"")</f>
        <v>85032.176649999994</v>
      </c>
      <c r="M463">
        <f ca="1">IFERROR(IF(0=LEN(ReferenceData!$M$463),"",ReferenceData!$M$463),"")</f>
        <v>77533.844630000007</v>
      </c>
      <c r="N463">
        <f ca="1">IFERROR(IF(0=LEN(ReferenceData!$N$463),"",ReferenceData!$N$463),"")</f>
        <v>79066.946240000005</v>
      </c>
      <c r="O463">
        <f ca="1">IFERROR(IF(0=LEN(ReferenceData!$O$463),"",ReferenceData!$O$463),"")</f>
        <v>79797.442980000007</v>
      </c>
      <c r="P463">
        <f ca="1">IFERROR(IF(0=LEN(ReferenceData!$P$463),"",ReferenceData!$P$463),"")</f>
        <v>75268.033859999996</v>
      </c>
      <c r="Q463">
        <f ca="1">IFERROR(IF(0=LEN(ReferenceData!$Q$463),"",ReferenceData!$Q$463),"")</f>
        <v>63968.88697</v>
      </c>
      <c r="R463">
        <f ca="1">IFERROR(IF(0=LEN(ReferenceData!$R$463),"",ReferenceData!$R$463),"")</f>
        <v>82152.689169999998</v>
      </c>
      <c r="S463">
        <f ca="1">IFERROR(IF(0=LEN(ReferenceData!$S$463),"",ReferenceData!$S$463),"")</f>
        <v>90559.102169999998</v>
      </c>
      <c r="T463">
        <f ca="1">IFERROR(IF(0=LEN(ReferenceData!$T$463),"",ReferenceData!$T$463),"")</f>
        <v>77766.169670000003</v>
      </c>
      <c r="U463">
        <f ca="1">IFERROR(IF(0=LEN(ReferenceData!$U$463),"",ReferenceData!$U$463),"")</f>
        <v>98008.598249999995</v>
      </c>
      <c r="V463">
        <f ca="1">IFERROR(IF(0=LEN(ReferenceData!$V$463),"",ReferenceData!$V$463),"")</f>
        <v>103057.3625</v>
      </c>
      <c r="W463">
        <f ca="1">IFERROR(IF(0=LEN(ReferenceData!$W$463),"",ReferenceData!$W$463),"")</f>
        <v>89702.473729999998</v>
      </c>
      <c r="X463">
        <f ca="1">IFERROR(IF(0=LEN(ReferenceData!$X$463),"",ReferenceData!$X$463),"")</f>
        <v>81768.430110000001</v>
      </c>
      <c r="Y463">
        <f ca="1">IFERROR(IF(0=LEN(ReferenceData!$Y$463),"",ReferenceData!$Y$463),"")</f>
        <v>100061.97779999999</v>
      </c>
      <c r="Z463">
        <f ca="1">IFERROR(IF(0=LEN(ReferenceData!$Z$463),"",ReferenceData!$Z$463),"")</f>
        <v>101377.1632</v>
      </c>
      <c r="AA463">
        <f ca="1">IFERROR(IF(0=LEN(ReferenceData!$AA$463),"",ReferenceData!$AA$463),"")</f>
        <v>92829.186719999998</v>
      </c>
      <c r="AB463">
        <f ca="1">IFERROR(IF(0=LEN(ReferenceData!$AB$463),"",ReferenceData!$AB$463),"")</f>
        <v>83480.539439999993</v>
      </c>
      <c r="AC463">
        <f ca="1">IFERROR(IF(0=LEN(ReferenceData!$AC$463),"",ReferenceData!$AC$463),"")</f>
        <v>64438.582199999997</v>
      </c>
      <c r="AD463">
        <f ca="1">IFERROR(IF(0=LEN(ReferenceData!$AD$463),"",ReferenceData!$AD$463),"")</f>
        <v>58464.775560000002</v>
      </c>
      <c r="AE463">
        <f ca="1">IFERROR(IF(0=LEN(ReferenceData!$AE$463),"",ReferenceData!$AE$463),"")</f>
        <v>58316.203580000001</v>
      </c>
      <c r="AF463">
        <f ca="1">IFERROR(IF(0=LEN(ReferenceData!$AF$463),"",ReferenceData!$AF$463),"")</f>
        <v>51997.17871</v>
      </c>
      <c r="AG463">
        <f ca="1">IFERROR(IF(0=LEN(ReferenceData!$AG$463),"",ReferenceData!$AG$463),"")</f>
        <v>47687.516340000002</v>
      </c>
      <c r="AH463">
        <f ca="1">IFERROR(IF(0=LEN(ReferenceData!$AH$463),"",ReferenceData!$AH$463),"")</f>
        <v>64614.087549999997</v>
      </c>
      <c r="AI463">
        <f ca="1">IFERROR(IF(0=LEN(ReferenceData!$AI$463),"",ReferenceData!$AI$463),"")</f>
        <v>46876.393909999999</v>
      </c>
      <c r="AJ463">
        <f ca="1">IFERROR(IF(0=LEN(ReferenceData!$AJ$463),"",ReferenceData!$AJ$463),"")</f>
        <v>48055.522499999999</v>
      </c>
      <c r="AK463">
        <f ca="1">IFERROR(IF(0=LEN(ReferenceData!$AK$463),"",ReferenceData!$AK$463),"")</f>
        <v>80034.195330000002</v>
      </c>
      <c r="AL463">
        <f ca="1">IFERROR(IF(0=LEN(ReferenceData!$AL$463),"",ReferenceData!$AL$463),"")</f>
        <v>75607.74798</v>
      </c>
      <c r="AM463">
        <f ca="1">IFERROR(IF(0=LEN(ReferenceData!$AM$463),"",ReferenceData!$AM$463),"")</f>
        <v>71576.979170000006</v>
      </c>
      <c r="AN463">
        <f ca="1">IFERROR(IF(0=LEN(ReferenceData!$AN$463),"",ReferenceData!$AN$463),"")</f>
        <v>67164.330130000002</v>
      </c>
      <c r="AO463">
        <f ca="1">IFERROR(IF(0=LEN(ReferenceData!$AO$463),"",ReferenceData!$AO$463),"")</f>
        <v>54567.69586</v>
      </c>
      <c r="AP463">
        <f ca="1">IFERROR(IF(0=LEN(ReferenceData!$AP$463),"",ReferenceData!$AP$463),"")</f>
        <v>50163.062619999997</v>
      </c>
      <c r="AQ463">
        <f ca="1">IFERROR(IF(0=LEN(ReferenceData!$AQ$463),"",ReferenceData!$AQ$463),"")</f>
        <v>56649.076710000001</v>
      </c>
      <c r="AR463">
        <f ca="1">IFERROR(IF(0=LEN(ReferenceData!$AR$463),"",ReferenceData!$AR$463),"")</f>
        <v>53784.652750000001</v>
      </c>
      <c r="AS463">
        <f ca="1">IFERROR(IF(0=LEN(ReferenceData!$AS$463),"",ReferenceData!$AS$463),"")</f>
        <v>38339.684229999999</v>
      </c>
      <c r="AT463">
        <f ca="1">IFERROR(IF(0=LEN(ReferenceData!$AT$463),"",ReferenceData!$AT$463),"")</f>
        <v>27242.928779999998</v>
      </c>
      <c r="AU463">
        <f ca="1">IFERROR(IF(0=LEN(ReferenceData!$AU$463),"",ReferenceData!$AU$463),"")</f>
        <v>36348.746579999999</v>
      </c>
      <c r="AV463">
        <f ca="1">IFERROR(IF(0=LEN(ReferenceData!$AV$463),"",ReferenceData!$AV$463),"")</f>
        <v>48876.789089999998</v>
      </c>
      <c r="AW463">
        <f ca="1">IFERROR(IF(0=LEN(ReferenceData!$AW$463),"",ReferenceData!$AW$463),"")</f>
        <v>59495.155169999998</v>
      </c>
      <c r="AX463">
        <f ca="1">IFERROR(IF(0=LEN(ReferenceData!$AX$463),"",ReferenceData!$AX$463),"")</f>
        <v>87019.063930000004</v>
      </c>
      <c r="AY463">
        <f ca="1">IFERROR(IF(0=LEN(ReferenceData!$AY$463),"",ReferenceData!$AY$463),"")</f>
        <v>102250.3976</v>
      </c>
      <c r="AZ463">
        <f ca="1">IFERROR(IF(0=LEN(ReferenceData!$AZ$463),"",ReferenceData!$AZ$463),"")</f>
        <v>106269.4757</v>
      </c>
      <c r="BA463">
        <f ca="1">IFERROR(IF(0=LEN(ReferenceData!$BA$463),"",ReferenceData!$BA$463),"")</f>
        <v>95068.738200000007</v>
      </c>
      <c r="BB463">
        <f ca="1">IFERROR(IF(0=LEN(ReferenceData!$BB$463),"",ReferenceData!$BB$463),"")</f>
        <v>84850.043909999993</v>
      </c>
      <c r="BC463">
        <f ca="1">IFERROR(IF(0=LEN(ReferenceData!$BC$463),"",ReferenceData!$BC$463),"")</f>
        <v>63420.228219999997</v>
      </c>
      <c r="BD463">
        <f ca="1">IFERROR(IF(0=LEN(ReferenceData!$BD$463),"",ReferenceData!$BD$463),"")</f>
        <v>51253.083489999997</v>
      </c>
      <c r="BE463">
        <f ca="1">IFERROR(IF(0=LEN(ReferenceData!$BE$463),"",ReferenceData!$BE$463),"")</f>
        <v>50225.779849999999</v>
      </c>
      <c r="BF463">
        <f ca="1">IFERROR(IF(0=LEN(ReferenceData!$BF$463),"",ReferenceData!$BF$463),"")</f>
        <v>58593.89976</v>
      </c>
      <c r="BG463">
        <f ca="1">IFERROR(IF(0=LEN(ReferenceData!$BG$463),"",ReferenceData!$BG$463),"")</f>
        <v>51950.696309999999</v>
      </c>
      <c r="BH463">
        <f ca="1">IFERROR(IF(0=LEN(ReferenceData!$BH$463),"",ReferenceData!$BH$463),"")</f>
        <v>53793.562709999998</v>
      </c>
      <c r="BI463">
        <f ca="1">IFERROR(IF(0=LEN(ReferenceData!$BI$463),"",ReferenceData!$BI$463),"")</f>
        <v>41156.952980000002</v>
      </c>
      <c r="BJ463">
        <f ca="1">IFERROR(IF(0=LEN(ReferenceData!$BJ$463),"",ReferenceData!$BJ$463),"")</f>
        <v>45470.951110000002</v>
      </c>
      <c r="BK463">
        <f ca="1">IFERROR(IF(0=LEN(ReferenceData!$BK$463),"",ReferenceData!$BK$463),"")</f>
        <v>48700.690790000001</v>
      </c>
      <c r="BL463">
        <f ca="1">IFERROR(IF(0=LEN(ReferenceData!$BL$463),"",ReferenceData!$BL$463),"")</f>
        <v>41714.56525</v>
      </c>
      <c r="BM463">
        <f ca="1">IFERROR(IF(0=LEN(ReferenceData!$BM$463),"",ReferenceData!$BM$463),"")</f>
        <v>47439.136489999997</v>
      </c>
    </row>
    <row r="464" spans="1:65" x14ac:dyDescent="0.25">
      <c r="A464" t="str">
        <f>IFERROR(IF(0=LEN(ReferenceData!$A$464),"",ReferenceData!$A$464),"")</f>
        <v xml:space="preserve">    Dongfeng Motor Group Co Ltd</v>
      </c>
      <c r="B464" t="str">
        <f>IFERROR(IF(0=LEN(ReferenceData!$B$464),"",ReferenceData!$B$464),"")</f>
        <v>489 HK Equity</v>
      </c>
      <c r="C464" t="str">
        <f>IFERROR(IF(0=LEN(ReferenceData!$C$464),"",ReferenceData!$C$464),"")</f>
        <v>RR902</v>
      </c>
      <c r="D464" t="str">
        <f>IFERROR(IF(0=LEN(ReferenceData!$D$464),"",ReferenceData!$D$464),"")</f>
        <v>CUR_MKT_CAP</v>
      </c>
      <c r="E464" t="str">
        <f>IFERROR(IF(0=LEN(ReferenceData!$E$464),"",ReferenceData!$E$464),"")</f>
        <v>Dynamic</v>
      </c>
      <c r="F464">
        <f ca="1">IFERROR(IF(0=LEN(ReferenceData!$F$464),"",ReferenceData!$F$464),"")</f>
        <v>9561.756899</v>
      </c>
      <c r="G464">
        <f ca="1">IFERROR(IF(0=LEN(ReferenceData!$G$464),"",ReferenceData!$G$464),"")</f>
        <v>7810.6345600000004</v>
      </c>
      <c r="H464">
        <f ca="1">IFERROR(IF(0=LEN(ReferenceData!$H$464),"",ReferenceData!$H$464),"")</f>
        <v>8874.3118269999995</v>
      </c>
      <c r="I464">
        <f ca="1">IFERROR(IF(0=LEN(ReferenceData!$I$464),"",ReferenceData!$I$464),"")</f>
        <v>9114.4497969999993</v>
      </c>
      <c r="J464">
        <f ca="1">IFERROR(IF(0=LEN(ReferenceData!$J$464),"",ReferenceData!$J$464),"")</f>
        <v>10001.000599999999</v>
      </c>
      <c r="K464">
        <f ca="1">IFERROR(IF(0=LEN(ReferenceData!$K$464),"",ReferenceData!$K$464),"")</f>
        <v>10433.354719999999</v>
      </c>
      <c r="L464">
        <f ca="1">IFERROR(IF(0=LEN(ReferenceData!$L$464),"",ReferenceData!$L$464),"")</f>
        <v>11382.569750000001</v>
      </c>
      <c r="M464">
        <f ca="1">IFERROR(IF(0=LEN(ReferenceData!$M$464),"",ReferenceData!$M$464),"")</f>
        <v>10187.12205</v>
      </c>
      <c r="N464">
        <f ca="1">IFERROR(IF(0=LEN(ReferenceData!$N$464),"",ReferenceData!$N$464),"")</f>
        <v>9678.7913559999997</v>
      </c>
      <c r="O464">
        <f ca="1">IFERROR(IF(0=LEN(ReferenceData!$O$464),"",ReferenceData!$O$464),"")</f>
        <v>8411.7705800000003</v>
      </c>
      <c r="P464">
        <f ca="1">IFERROR(IF(0=LEN(ReferenceData!$P$464),"",ReferenceData!$P$464),"")</f>
        <v>8609.898588</v>
      </c>
      <c r="Q464">
        <f ca="1">IFERROR(IF(0=LEN(ReferenceData!$Q$464),"",ReferenceData!$Q$464),"")</f>
        <v>8972.117569</v>
      </c>
      <c r="R464">
        <f ca="1">IFERROR(IF(0=LEN(ReferenceData!$R$464),"",ReferenceData!$R$464),"")</f>
        <v>10753.347809999999</v>
      </c>
      <c r="S464">
        <f ca="1">IFERROR(IF(0=LEN(ReferenceData!$S$464),"",ReferenceData!$S$464),"")</f>
        <v>11517.658160000001</v>
      </c>
      <c r="T464">
        <f ca="1">IFERROR(IF(0=LEN(ReferenceData!$T$464),"",ReferenceData!$T$464),"")</f>
        <v>10728.043729999999</v>
      </c>
      <c r="U464">
        <f ca="1">IFERROR(IF(0=LEN(ReferenceData!$U$464),"",ReferenceData!$U$464),"")</f>
        <v>11559.294029999999</v>
      </c>
      <c r="V464">
        <f ca="1">IFERROR(IF(0=LEN(ReferenceData!$V$464),"",ReferenceData!$V$464),"")</f>
        <v>13825.08893</v>
      </c>
      <c r="W464">
        <f ca="1">IFERROR(IF(0=LEN(ReferenceData!$W$464),"",ReferenceData!$W$464),"")</f>
        <v>12200.956529999999</v>
      </c>
      <c r="X464">
        <f ca="1">IFERROR(IF(0=LEN(ReferenceData!$X$464),"",ReferenceData!$X$464),"")</f>
        <v>14159.167820000001</v>
      </c>
      <c r="Y464">
        <f ca="1">IFERROR(IF(0=LEN(ReferenceData!$Y$464),"",ReferenceData!$Y$464),"")</f>
        <v>15430.39645</v>
      </c>
      <c r="Z464">
        <f ca="1">IFERROR(IF(0=LEN(ReferenceData!$Z$464),"",ReferenceData!$Z$464),"")</f>
        <v>12196.237779999999</v>
      </c>
      <c r="AA464">
        <f ca="1">IFERROR(IF(0=LEN(ReferenceData!$AA$464),"",ReferenceData!$AA$464),"")</f>
        <v>13490.12046</v>
      </c>
      <c r="AB464">
        <f ca="1">IFERROR(IF(0=LEN(ReferenceData!$AB$464),"",ReferenceData!$AB$464),"")</f>
        <v>13087.552100000001</v>
      </c>
      <c r="AC464">
        <f ca="1">IFERROR(IF(0=LEN(ReferenceData!$AC$464),"",ReferenceData!$AC$464),"")</f>
        <v>11508.74828</v>
      </c>
      <c r="AD464">
        <f ca="1">IFERROR(IF(0=LEN(ReferenceData!$AD$464),"",ReferenceData!$AD$464),"")</f>
        <v>12098.01843</v>
      </c>
      <c r="AE464">
        <f ca="1">IFERROR(IF(0=LEN(ReferenceData!$AE$464),"",ReferenceData!$AE$464),"")</f>
        <v>13295.074689999999</v>
      </c>
      <c r="AF464">
        <f ca="1">IFERROR(IF(0=LEN(ReferenceData!$AF$464),"",ReferenceData!$AF$464),"")</f>
        <v>10055.825210000001</v>
      </c>
      <c r="AG464">
        <f ca="1">IFERROR(IF(0=LEN(ReferenceData!$AG$464),"",ReferenceData!$AG$464),"")</f>
        <v>13216.78168</v>
      </c>
      <c r="AH464">
        <f ca="1">IFERROR(IF(0=LEN(ReferenceData!$AH$464),"",ReferenceData!$AH$464),"")</f>
        <v>15558.33202</v>
      </c>
      <c r="AI464">
        <f ca="1">IFERROR(IF(0=LEN(ReferenceData!$AI$464),"",ReferenceData!$AI$464),"")</f>
        <v>14776.957420000001</v>
      </c>
      <c r="AJ464">
        <f ca="1">IFERROR(IF(0=LEN(ReferenceData!$AJ$464),"",ReferenceData!$AJ$464),"")</f>
        <v>11863.086569999999</v>
      </c>
      <c r="AK464">
        <f ca="1">IFERROR(IF(0=LEN(ReferenceData!$AK$464),"",ReferenceData!$AK$464),"")</f>
        <v>16277.09548</v>
      </c>
      <c r="AL464">
        <f ca="1">IFERROR(IF(0=LEN(ReferenceData!$AL$464),"",ReferenceData!$AL$464),"")</f>
        <v>14669.319229999999</v>
      </c>
      <c r="AM464">
        <f ca="1">IFERROR(IF(0=LEN(ReferenceData!$AM$464),"",ReferenceData!$AM$464),"")</f>
        <v>14853.85024</v>
      </c>
      <c r="AN464">
        <f ca="1">IFERROR(IF(0=LEN(ReferenceData!$AN$464),"",ReferenceData!$AN$464),"")</f>
        <v>17632.411209999998</v>
      </c>
      <c r="AO464">
        <f ca="1">IFERROR(IF(0=LEN(ReferenceData!$AO$464),"",ReferenceData!$AO$464),"")</f>
        <v>10158.222159999999</v>
      </c>
      <c r="AP464">
        <f ca="1">IFERROR(IF(0=LEN(ReferenceData!$AP$464),"",ReferenceData!$AP$464),"")</f>
        <v>14003.996800000001</v>
      </c>
      <c r="AQ464">
        <f ca="1">IFERROR(IF(0=LEN(ReferenceData!$AQ$464),"",ReferenceData!$AQ$464),"")</f>
        <v>12423.99732</v>
      </c>
      <c r="AR464">
        <f ca="1">IFERROR(IF(0=LEN(ReferenceData!$AR$464),"",ReferenceData!$AR$464),"")</f>
        <v>9160.7628609999992</v>
      </c>
      <c r="AS464">
        <f ca="1">IFERROR(IF(0=LEN(ReferenceData!$AS$464),"",ReferenceData!$AS$464),"")</f>
        <v>7270.7996499999999</v>
      </c>
      <c r="AT464">
        <f ca="1">IFERROR(IF(0=LEN(ReferenceData!$AT$464),"",ReferenceData!$AT$464),"")</f>
        <v>4458.0896940000002</v>
      </c>
      <c r="AU464">
        <f ca="1">IFERROR(IF(0=LEN(ReferenceData!$AU$464),"",ReferenceData!$AU$464),"")</f>
        <v>2779.3576640000001</v>
      </c>
      <c r="AV464">
        <f ca="1">IFERROR(IF(0=LEN(ReferenceData!$AV$464),"",ReferenceData!$AV$464),"")</f>
        <v>3084.7946390000002</v>
      </c>
      <c r="AW464">
        <f ca="1">IFERROR(IF(0=LEN(ReferenceData!$AW$464),"",ReferenceData!$AW$464),"")</f>
        <v>3447.331905</v>
      </c>
      <c r="AX464">
        <f ca="1">IFERROR(IF(0=LEN(ReferenceData!$AX$464),"",ReferenceData!$AX$464),"")</f>
        <v>3874.8515619999998</v>
      </c>
      <c r="AY464">
        <f ca="1">IFERROR(IF(0=LEN(ReferenceData!$AY$464),"",ReferenceData!$AY$464),"")</f>
        <v>6075.8586619999996</v>
      </c>
      <c r="AZ464">
        <f ca="1">IFERROR(IF(0=LEN(ReferenceData!$AZ$464),"",ReferenceData!$AZ$464),"")</f>
        <v>7577.0735130000003</v>
      </c>
      <c r="BA464">
        <f ca="1">IFERROR(IF(0=LEN(ReferenceData!$BA$464),"",ReferenceData!$BA$464),"")</f>
        <v>4584.6252830000003</v>
      </c>
      <c r="BB464">
        <f ca="1">IFERROR(IF(0=LEN(ReferenceData!$BB$464),"",ReferenceData!$BB$464),"")</f>
        <v>4697.0555530000001</v>
      </c>
      <c r="BC464">
        <f ca="1">IFERROR(IF(0=LEN(ReferenceData!$BC$464),"",ReferenceData!$BC$464),"")</f>
        <v>4175.6465589999998</v>
      </c>
      <c r="BD464">
        <f ca="1">IFERROR(IF(0=LEN(ReferenceData!$BD$464),"",ReferenceData!$BD$464),"")</f>
        <v>3494.441249</v>
      </c>
      <c r="BE464">
        <f ca="1">IFERROR(IF(0=LEN(ReferenceData!$BE$464),"",ReferenceData!$BE$464),"")</f>
        <v>4021.2996990000001</v>
      </c>
      <c r="BF464">
        <f ca="1">IFERROR(IF(0=LEN(ReferenceData!$BF$464),"",ReferenceData!$BF$464),"")</f>
        <v>3775.1527430000001</v>
      </c>
      <c r="BG464">
        <f ca="1">IFERROR(IF(0=LEN(ReferenceData!$BG$464),"",ReferenceData!$BG$464),"")</f>
        <v>2166.8924350000002</v>
      </c>
      <c r="BH464" t="str">
        <f ca="1">IFERROR(IF(0=LEN(ReferenceData!$BH$464),"",ReferenceData!$BH$464),"")</f>
        <v/>
      </c>
      <c r="BI464" t="str">
        <f ca="1">IFERROR(IF(0=LEN(ReferenceData!$BI$464),"",ReferenceData!$BI$464),"")</f>
        <v/>
      </c>
      <c r="BJ464" t="str">
        <f ca="1">IFERROR(IF(0=LEN(ReferenceData!$BJ$464),"",ReferenceData!$BJ$464),"")</f>
        <v/>
      </c>
      <c r="BK464" t="str">
        <f ca="1">IFERROR(IF(0=LEN(ReferenceData!$BK$464),"",ReferenceData!$BK$464),"")</f>
        <v/>
      </c>
      <c r="BL464" t="str">
        <f ca="1">IFERROR(IF(0=LEN(ReferenceData!$BL$464),"",ReferenceData!$BL$464),"")</f>
        <v/>
      </c>
      <c r="BM464" t="str">
        <f ca="1">IFERROR(IF(0=LEN(ReferenceData!$BM$464),"",ReferenceData!$BM$464),"")</f>
        <v/>
      </c>
    </row>
    <row r="465" spans="1:65" x14ac:dyDescent="0.25">
      <c r="A465" t="str">
        <f>IFERROR(IF(0=LEN(ReferenceData!$A$465),"",ReferenceData!$A$465),"")</f>
        <v xml:space="preserve">    DRB-Hicom Bhd</v>
      </c>
      <c r="B465" t="str">
        <f>IFERROR(IF(0=LEN(ReferenceData!$B$465),"",ReferenceData!$B$465),"")</f>
        <v>DRB MK Equity</v>
      </c>
      <c r="C465" t="str">
        <f>IFERROR(IF(0=LEN(ReferenceData!$C$465),"",ReferenceData!$C$465),"")</f>
        <v>RR902</v>
      </c>
      <c r="D465" t="str">
        <f>IFERROR(IF(0=LEN(ReferenceData!$D$465),"",ReferenceData!$D$465),"")</f>
        <v>CUR_MKT_CAP</v>
      </c>
      <c r="E465" t="str">
        <f>IFERROR(IF(0=LEN(ReferenceData!$E$465),"",ReferenceData!$E$465),"")</f>
        <v>Dynamic</v>
      </c>
      <c r="F465">
        <f ca="1">IFERROR(IF(0=LEN(ReferenceData!$F$465),"",ReferenceData!$F$465),"")</f>
        <v>879.50041220000003</v>
      </c>
      <c r="G465">
        <f ca="1">IFERROR(IF(0=LEN(ReferenceData!$G$465),"",ReferenceData!$G$465),"")</f>
        <v>794.99346560000004</v>
      </c>
      <c r="H465">
        <f ca="1">IFERROR(IF(0=LEN(ReferenceData!$H$465),"",ReferenceData!$H$465),"")</f>
        <v>1013.682349</v>
      </c>
      <c r="I465">
        <f ca="1">IFERROR(IF(0=LEN(ReferenceData!$I$465),"",ReferenceData!$I$465),"")</f>
        <v>939.8612511</v>
      </c>
      <c r="J465">
        <f ca="1">IFERROR(IF(0=LEN(ReferenceData!$J$465),"",ReferenceData!$J$465),"")</f>
        <v>1221.7297080000001</v>
      </c>
      <c r="K465">
        <f ca="1">IFERROR(IF(0=LEN(ReferenceData!$K$465),"",ReferenceData!$K$465),"")</f>
        <v>871.08479920000002</v>
      </c>
      <c r="L465">
        <f ca="1">IFERROR(IF(0=LEN(ReferenceData!$L$465),"",ReferenceData!$L$465),"")</f>
        <v>746.28215350000005</v>
      </c>
      <c r="M465">
        <f ca="1">IFERROR(IF(0=LEN(ReferenceData!$M$465),"",ReferenceData!$M$465),"")</f>
        <v>800.54948649999994</v>
      </c>
      <c r="N465">
        <f ca="1">IFERROR(IF(0=LEN(ReferenceData!$N$465),"",ReferenceData!$N$465),"")</f>
        <v>611.57651899999996</v>
      </c>
      <c r="O465">
        <f ca="1">IFERROR(IF(0=LEN(ReferenceData!$O$465),"",ReferenceData!$O$465),"")</f>
        <v>495.4808602</v>
      </c>
      <c r="P465">
        <f ca="1">IFERROR(IF(0=LEN(ReferenceData!$P$465),"",ReferenceData!$P$465),"")</f>
        <v>678.90378729999998</v>
      </c>
      <c r="Q465">
        <f ca="1">IFERROR(IF(0=LEN(ReferenceData!$Q$465),"",ReferenceData!$Q$465),"")</f>
        <v>435.82820359999999</v>
      </c>
      <c r="R465">
        <f ca="1">IFERROR(IF(0=LEN(ReferenceData!$R$465),"",ReferenceData!$R$465),"")</f>
        <v>509.07494559999998</v>
      </c>
      <c r="S465">
        <f ca="1">IFERROR(IF(0=LEN(ReferenceData!$S$465),"",ReferenceData!$S$465),"")</f>
        <v>556.93468280000002</v>
      </c>
      <c r="T465">
        <f ca="1">IFERROR(IF(0=LEN(ReferenceData!$T$465),"",ReferenceData!$T$465),"")</f>
        <v>586.23011640000004</v>
      </c>
      <c r="U465">
        <f ca="1">IFERROR(IF(0=LEN(ReferenceData!$U$465),"",ReferenceData!$U$465),"")</f>
        <v>820.94034299999998</v>
      </c>
      <c r="V465">
        <f ca="1">IFERROR(IF(0=LEN(ReferenceData!$V$465),"",ReferenceData!$V$465),"")</f>
        <v>1027.9012740000001</v>
      </c>
      <c r="W465">
        <f ca="1">IFERROR(IF(0=LEN(ReferenceData!$W$465),"",ReferenceData!$W$465),"")</f>
        <v>966.20444269999996</v>
      </c>
      <c r="X465">
        <f ca="1">IFERROR(IF(0=LEN(ReferenceData!$X$465),"",ReferenceData!$X$465),"")</f>
        <v>1343.3031109999999</v>
      </c>
      <c r="Y465">
        <f ca="1">IFERROR(IF(0=LEN(ReferenceData!$Y$465),"",ReferenceData!$Y$465),"")</f>
        <v>1331.2313529999999</v>
      </c>
      <c r="Z465">
        <f ca="1">IFERROR(IF(0=LEN(ReferenceData!$Z$465),"",ReferenceData!$Z$465),"")</f>
        <v>1466.327511</v>
      </c>
      <c r="AA465">
        <f ca="1">IFERROR(IF(0=LEN(ReferenceData!$AA$465),"",ReferenceData!$AA$465),"")</f>
        <v>1661.352586</v>
      </c>
      <c r="AB465">
        <f ca="1">IFERROR(IF(0=LEN(ReferenceData!$AB$465),"",ReferenceData!$AB$465),"")</f>
        <v>1578.5402529999999</v>
      </c>
      <c r="AC465">
        <f ca="1">IFERROR(IF(0=LEN(ReferenceData!$AC$465),"",ReferenceData!$AC$465),"")</f>
        <v>1636.841048</v>
      </c>
      <c r="AD465">
        <f ca="1">IFERROR(IF(0=LEN(ReferenceData!$AD$465),"",ReferenceData!$AD$465),"")</f>
        <v>1583.850835</v>
      </c>
      <c r="AE465">
        <f ca="1">IFERROR(IF(0=LEN(ReferenceData!$AE$465),"",ReferenceData!$AE$465),"")</f>
        <v>1728.7052650000001</v>
      </c>
      <c r="AF465">
        <f ca="1">IFERROR(IF(0=LEN(ReferenceData!$AF$465),"",ReferenceData!$AF$465),"")</f>
        <v>1470.214228</v>
      </c>
      <c r="AG465">
        <f ca="1">IFERROR(IF(0=LEN(ReferenceData!$AG$465),"",ReferenceData!$AG$465),"")</f>
        <v>1543.7471929999999</v>
      </c>
      <c r="AH465">
        <f ca="1">IFERROR(IF(0=LEN(ReferenceData!$AH$465),"",ReferenceData!$AH$465),"")</f>
        <v>1591.7134619999999</v>
      </c>
      <c r="AI465">
        <f ca="1">IFERROR(IF(0=LEN(ReferenceData!$AI$465),"",ReferenceData!$AI$465),"")</f>
        <v>1245.477216</v>
      </c>
      <c r="AJ465">
        <f ca="1">IFERROR(IF(0=LEN(ReferenceData!$AJ$465),"",ReferenceData!$AJ$465),"")</f>
        <v>1053.6341809999999</v>
      </c>
      <c r="AK465">
        <f ca="1">IFERROR(IF(0=LEN(ReferenceData!$AK$465),"",ReferenceData!$AK$465),"")</f>
        <v>1454.332437</v>
      </c>
      <c r="AL465">
        <f ca="1">IFERROR(IF(0=LEN(ReferenceData!$AL$465),"",ReferenceData!$AL$465),"")</f>
        <v>1469.656334</v>
      </c>
      <c r="AM465">
        <f ca="1">IFERROR(IF(0=LEN(ReferenceData!$AM$465),"",ReferenceData!$AM$465),"")</f>
        <v>1218.08376</v>
      </c>
      <c r="AN465">
        <f ca="1">IFERROR(IF(0=LEN(ReferenceData!$AN$465),"",ReferenceData!$AN$465),"")</f>
        <v>783.44831439999996</v>
      </c>
      <c r="AO465">
        <f ca="1">IFERROR(IF(0=LEN(ReferenceData!$AO$465),"",ReferenceData!$AO$465),"")</f>
        <v>623.33484510000005</v>
      </c>
      <c r="AP465">
        <f ca="1">IFERROR(IF(0=LEN(ReferenceData!$AP$465),"",ReferenceData!$AP$465),"")</f>
        <v>687.47853780000003</v>
      </c>
      <c r="AQ465">
        <f ca="1">IFERROR(IF(0=LEN(ReferenceData!$AQ$465),"",ReferenceData!$AQ$465),"")</f>
        <v>567.77244289999999</v>
      </c>
      <c r="AR465">
        <f ca="1">IFERROR(IF(0=LEN(ReferenceData!$AR$465),"",ReferenceData!$AR$465),"")</f>
        <v>646.73539730000005</v>
      </c>
      <c r="AS465">
        <f ca="1">IFERROR(IF(0=LEN(ReferenceData!$AS$465),"",ReferenceData!$AS$465),"")</f>
        <v>571.99617149999995</v>
      </c>
      <c r="AT465">
        <f ca="1">IFERROR(IF(0=LEN(ReferenceData!$AT$465),"",ReferenceData!$AT$465),"")</f>
        <v>365.91237740000003</v>
      </c>
      <c r="AU465">
        <f ca="1">IFERROR(IF(0=LEN(ReferenceData!$AU$465),"",ReferenceData!$AU$465),"")</f>
        <v>405.08580030000002</v>
      </c>
      <c r="AV465">
        <f ca="1">IFERROR(IF(0=LEN(ReferenceData!$AV$465),"",ReferenceData!$AV$465),"")</f>
        <v>259.03625219999998</v>
      </c>
      <c r="AW465">
        <f ca="1">IFERROR(IF(0=LEN(ReferenceData!$AW$465),"",ReferenceData!$AW$465),"")</f>
        <v>296.03759209999998</v>
      </c>
      <c r="AX465">
        <f ca="1">IFERROR(IF(0=LEN(ReferenceData!$AX$465),"",ReferenceData!$AX$465),"")</f>
        <v>400.58257570000001</v>
      </c>
      <c r="AY465">
        <f ca="1">IFERROR(IF(0=LEN(ReferenceData!$AY$465),"",ReferenceData!$AY$465),"")</f>
        <v>484.49974759999998</v>
      </c>
      <c r="AZ465">
        <f ca="1">IFERROR(IF(0=LEN(ReferenceData!$AZ$465),"",ReferenceData!$AZ$465),"")</f>
        <v>567.69929690000004</v>
      </c>
      <c r="BA465">
        <f ca="1">IFERROR(IF(0=LEN(ReferenceData!$BA$465),"",ReferenceData!$BA$465),"")</f>
        <v>534.08284530000003</v>
      </c>
      <c r="BB465">
        <f ca="1">IFERROR(IF(0=LEN(ReferenceData!$BB$465),"",ReferenceData!$BB$465),"")</f>
        <v>568.28167099999996</v>
      </c>
      <c r="BC465">
        <f ca="1">IFERROR(IF(0=LEN(ReferenceData!$BC$465),"",ReferenceData!$BC$465),"")</f>
        <v>479.81291270000003</v>
      </c>
      <c r="BD465">
        <f ca="1">IFERROR(IF(0=LEN(ReferenceData!$BD$465),"",ReferenceData!$BD$465),"")</f>
        <v>391.66591019999998</v>
      </c>
      <c r="BE465">
        <f ca="1">IFERROR(IF(0=LEN(ReferenceData!$BE$465),"",ReferenceData!$BE$465),"")</f>
        <v>390.3749838</v>
      </c>
      <c r="BF465">
        <f ca="1">IFERROR(IF(0=LEN(ReferenceData!$BF$465),"",ReferenceData!$BF$465),"")</f>
        <v>390.6652254</v>
      </c>
      <c r="BG465">
        <f ca="1">IFERROR(IF(0=LEN(ReferenceData!$BG$465),"",ReferenceData!$BG$465),"")</f>
        <v>314.27419709999998</v>
      </c>
      <c r="BH465">
        <f ca="1">IFERROR(IF(0=LEN(ReferenceData!$BH$465),"",ReferenceData!$BH$465),"")</f>
        <v>410.86820770000003</v>
      </c>
      <c r="BI465">
        <f ca="1">IFERROR(IF(0=LEN(ReferenceData!$BI$465),"",ReferenceData!$BI$465),"")</f>
        <v>381.38256469999999</v>
      </c>
      <c r="BJ465">
        <f ca="1">IFERROR(IF(0=LEN(ReferenceData!$BJ$465),"",ReferenceData!$BJ$465),"")</f>
        <v>482.3899687</v>
      </c>
      <c r="BK465">
        <f ca="1">IFERROR(IF(0=LEN(ReferenceData!$BK$465),"",ReferenceData!$BK$465),"")</f>
        <v>567.30839300000002</v>
      </c>
      <c r="BL465">
        <f ca="1">IFERROR(IF(0=LEN(ReferenceData!$BL$465),"",ReferenceData!$BL$465),"")</f>
        <v>542.73008330000005</v>
      </c>
      <c r="BM465">
        <f ca="1">IFERROR(IF(0=LEN(ReferenceData!$BM$465),"",ReferenceData!$BM$465),"")</f>
        <v>405.36599510000002</v>
      </c>
    </row>
    <row r="466" spans="1:65" x14ac:dyDescent="0.25">
      <c r="A466" t="str">
        <f>IFERROR(IF(0=LEN(ReferenceData!$A$466),"",ReferenceData!$A$466),"")</f>
        <v xml:space="preserve">    FAW CAR Co Ltd</v>
      </c>
      <c r="B466" t="str">
        <f>IFERROR(IF(0=LEN(ReferenceData!$B$466),"",ReferenceData!$B$466),"")</f>
        <v>000800 CH Equity</v>
      </c>
      <c r="C466" t="str">
        <f>IFERROR(IF(0=LEN(ReferenceData!$C$466),"",ReferenceData!$C$466),"")</f>
        <v>RR902</v>
      </c>
      <c r="D466" t="str">
        <f>IFERROR(IF(0=LEN(ReferenceData!$D$466),"",ReferenceData!$D$466),"")</f>
        <v>CUR_MKT_CAP</v>
      </c>
      <c r="E466" t="str">
        <f>IFERROR(IF(0=LEN(ReferenceData!$E$466),"",ReferenceData!$E$466),"")</f>
        <v>Dynamic</v>
      </c>
      <c r="F466">
        <f ca="1">IFERROR(IF(0=LEN(ReferenceData!$F$466),"",ReferenceData!$F$466),"")</f>
        <v>1951.293527</v>
      </c>
      <c r="G466">
        <f ca="1">IFERROR(IF(0=LEN(ReferenceData!$G$466),"",ReferenceData!$G$466),"")</f>
        <v>1566.4054550000001</v>
      </c>
      <c r="H466">
        <f ca="1">IFERROR(IF(0=LEN(ReferenceData!$H$466),"",ReferenceData!$H$466),"")</f>
        <v>1561.3726690000001</v>
      </c>
      <c r="I466">
        <f ca="1">IFERROR(IF(0=LEN(ReferenceData!$I$466),"",ReferenceData!$I$466),"")</f>
        <v>1837.8447739999999</v>
      </c>
      <c r="J466">
        <f ca="1">IFERROR(IF(0=LEN(ReferenceData!$J$466),"",ReferenceData!$J$466),"")</f>
        <v>2640.0286259999998</v>
      </c>
      <c r="K466">
        <f ca="1">IFERROR(IF(0=LEN(ReferenceData!$K$466),"",ReferenceData!$K$466),"")</f>
        <v>2691.364286</v>
      </c>
      <c r="L466">
        <f ca="1">IFERROR(IF(0=LEN(ReferenceData!$L$466),"",ReferenceData!$L$466),"")</f>
        <v>3375.2430330000002</v>
      </c>
      <c r="M466">
        <f ca="1">IFERROR(IF(0=LEN(ReferenceData!$M$466),"",ReferenceData!$M$466),"")</f>
        <v>2446.6268049999999</v>
      </c>
      <c r="N466">
        <f ca="1">IFERROR(IF(0=LEN(ReferenceData!$N$466),"",ReferenceData!$N$466),"")</f>
        <v>2782.8602999999998</v>
      </c>
      <c r="O466">
        <f ca="1">IFERROR(IF(0=LEN(ReferenceData!$O$466),"",ReferenceData!$O$466),"")</f>
        <v>2549.234837</v>
      </c>
      <c r="P466">
        <f ca="1">IFERROR(IF(0=LEN(ReferenceData!$P$466),"",ReferenceData!$P$466),"")</f>
        <v>2556.1293369999999</v>
      </c>
      <c r="Q466">
        <f ca="1">IFERROR(IF(0=LEN(ReferenceData!$Q$466),"",ReferenceData!$Q$466),"")</f>
        <v>2660.856237</v>
      </c>
      <c r="R466">
        <f ca="1">IFERROR(IF(0=LEN(ReferenceData!$R$466),"",ReferenceData!$R$466),"")</f>
        <v>3553.7798130000001</v>
      </c>
      <c r="S466">
        <f ca="1">IFERROR(IF(0=LEN(ReferenceData!$S$466),"",ReferenceData!$S$466),"")</f>
        <v>4106.6936420000002</v>
      </c>
      <c r="T466">
        <f ca="1">IFERROR(IF(0=LEN(ReferenceData!$T$466),"",ReferenceData!$T$466),"")</f>
        <v>3724.5198890000001</v>
      </c>
      <c r="U466">
        <f ca="1">IFERROR(IF(0=LEN(ReferenceData!$U$466),"",ReferenceData!$U$466),"")</f>
        <v>6532.5804630000002</v>
      </c>
      <c r="V466">
        <f ca="1">IFERROR(IF(0=LEN(ReferenceData!$V$466),"",ReferenceData!$V$466),"")</f>
        <v>5143.7555430000002</v>
      </c>
      <c r="W466">
        <f ca="1">IFERROR(IF(0=LEN(ReferenceData!$W$466),"",ReferenceData!$W$466),"")</f>
        <v>3969.5121949999998</v>
      </c>
      <c r="X466">
        <f ca="1">IFERROR(IF(0=LEN(ReferenceData!$X$466),"",ReferenceData!$X$466),"")</f>
        <v>2943.0859209999999</v>
      </c>
      <c r="Y466">
        <f ca="1">IFERROR(IF(0=LEN(ReferenceData!$Y$466),"",ReferenceData!$Y$466),"")</f>
        <v>2518.2940589999998</v>
      </c>
      <c r="Z466">
        <f ca="1">IFERROR(IF(0=LEN(ReferenceData!$Z$466),"",ReferenceData!$Z$466),"")</f>
        <v>2643.3625470000002</v>
      </c>
      <c r="AA466">
        <f ca="1">IFERROR(IF(0=LEN(ReferenceData!$AA$466),"",ReferenceData!$AA$466),"")</f>
        <v>3199.928954</v>
      </c>
      <c r="AB466">
        <f ca="1">IFERROR(IF(0=LEN(ReferenceData!$AB$466),"",ReferenceData!$AB$466),"")</f>
        <v>3528.1022320000002</v>
      </c>
      <c r="AC466">
        <f ca="1">IFERROR(IF(0=LEN(ReferenceData!$AC$466),"",ReferenceData!$AC$466),"")</f>
        <v>3261.5761859999998</v>
      </c>
      <c r="AD466">
        <f ca="1">IFERROR(IF(0=LEN(ReferenceData!$AD$466),"",ReferenceData!$AD$466),"")</f>
        <v>2054.421331</v>
      </c>
      <c r="AE466">
        <f ca="1">IFERROR(IF(0=LEN(ReferenceData!$AE$466),"",ReferenceData!$AE$466),"")</f>
        <v>2171.7401759999998</v>
      </c>
      <c r="AF466">
        <f ca="1">IFERROR(IF(0=LEN(ReferenceData!$AF$466),"",ReferenceData!$AF$466),"")</f>
        <v>1765.8134210000001</v>
      </c>
      <c r="AG466">
        <f ca="1">IFERROR(IF(0=LEN(ReferenceData!$AG$466),"",ReferenceData!$AG$466),"")</f>
        <v>2781.175749</v>
      </c>
      <c r="AH466">
        <f ca="1">IFERROR(IF(0=LEN(ReferenceData!$AH$466),"",ReferenceData!$AH$466),"")</f>
        <v>2715.686819</v>
      </c>
      <c r="AI466">
        <f ca="1">IFERROR(IF(0=LEN(ReferenceData!$AI$466),"",ReferenceData!$AI$466),"")</f>
        <v>2286.358874</v>
      </c>
      <c r="AJ466">
        <f ca="1">IFERROR(IF(0=LEN(ReferenceData!$AJ$466),"",ReferenceData!$AJ$466),"")</f>
        <v>2916.9042770000001</v>
      </c>
      <c r="AK466">
        <f ca="1">IFERROR(IF(0=LEN(ReferenceData!$AK$466),"",ReferenceData!$AK$466),"")</f>
        <v>3565.246987</v>
      </c>
      <c r="AL466">
        <f ca="1">IFERROR(IF(0=LEN(ReferenceData!$AL$466),"",ReferenceData!$AL$466),"")</f>
        <v>4162.8172430000004</v>
      </c>
      <c r="AM466">
        <f ca="1">IFERROR(IF(0=LEN(ReferenceData!$AM$466),"",ReferenceData!$AM$466),"")</f>
        <v>3963.9702870000001</v>
      </c>
      <c r="AN466">
        <f ca="1">IFERROR(IF(0=LEN(ReferenceData!$AN$466),"",ReferenceData!$AN$466),"")</f>
        <v>4517.5896860000003</v>
      </c>
      <c r="AO466">
        <f ca="1">IFERROR(IF(0=LEN(ReferenceData!$AO$466),"",ReferenceData!$AO$466),"")</f>
        <v>3647.9193089999999</v>
      </c>
      <c r="AP466">
        <f ca="1">IFERROR(IF(0=LEN(ReferenceData!$AP$466),"",ReferenceData!$AP$466),"")</f>
        <v>5259.3056470000001</v>
      </c>
      <c r="AQ466">
        <f ca="1">IFERROR(IF(0=LEN(ReferenceData!$AQ$466),"",ReferenceData!$AQ$466),"")</f>
        <v>6202.8606579999996</v>
      </c>
      <c r="AR466">
        <f ca="1">IFERROR(IF(0=LEN(ReferenceData!$AR$466),"",ReferenceData!$AR$466),"")</f>
        <v>4060.2266239999999</v>
      </c>
      <c r="AS466">
        <f ca="1">IFERROR(IF(0=LEN(ReferenceData!$AS$466),"",ReferenceData!$AS$466),"")</f>
        <v>3678.7737710000001</v>
      </c>
      <c r="AT466">
        <f ca="1">IFERROR(IF(0=LEN(ReferenceData!$AT$466),"",ReferenceData!$AT$466),"")</f>
        <v>2922.2408390000001</v>
      </c>
      <c r="AU466">
        <f ca="1">IFERROR(IF(0=LEN(ReferenceData!$AU$466),"",ReferenceData!$AU$466),"")</f>
        <v>1712.028423</v>
      </c>
      <c r="AV466">
        <f ca="1">IFERROR(IF(0=LEN(ReferenceData!$AV$466),"",ReferenceData!$AV$466),"")</f>
        <v>1615.974301</v>
      </c>
      <c r="AW466">
        <f ca="1">IFERROR(IF(0=LEN(ReferenceData!$AW$466),"",ReferenceData!$AW$466),"")</f>
        <v>1885.2909850000001</v>
      </c>
      <c r="AX466">
        <f ca="1">IFERROR(IF(0=LEN(ReferenceData!$AX$466),"",ReferenceData!$AX$466),"")</f>
        <v>3082.31603</v>
      </c>
      <c r="AY466">
        <f ca="1">IFERROR(IF(0=LEN(ReferenceData!$AY$466),"",ReferenceData!$AY$466),"")</f>
        <v>4255.8631450000003</v>
      </c>
      <c r="AZ466">
        <f ca="1">IFERROR(IF(0=LEN(ReferenceData!$AZ$466),"",ReferenceData!$AZ$466),"")</f>
        <v>4672.5496599999997</v>
      </c>
      <c r="BA466">
        <f ca="1">IFERROR(IF(0=LEN(ReferenceData!$BA$466),"",ReferenceData!$BA$466),"")</f>
        <v>2330.1305630000002</v>
      </c>
      <c r="BB466">
        <f ca="1">IFERROR(IF(0=LEN(ReferenceData!$BB$466),"",ReferenceData!$BB$466),"")</f>
        <v>1904.297178</v>
      </c>
      <c r="BC466">
        <f ca="1">IFERROR(IF(0=LEN(ReferenceData!$BC$466),"",ReferenceData!$BC$466),"")</f>
        <v>840.32555639999998</v>
      </c>
      <c r="BD466">
        <f ca="1">IFERROR(IF(0=LEN(ReferenceData!$BD$466),"",ReferenceData!$BD$466),"")</f>
        <v>638.30796680000003</v>
      </c>
      <c r="BE466">
        <f ca="1">IFERROR(IF(0=LEN(ReferenceData!$BE$466),"",ReferenceData!$BE$466),"")</f>
        <v>722.71806160000006</v>
      </c>
      <c r="BF466">
        <f ca="1">IFERROR(IF(0=LEN(ReferenceData!$BF$466),"",ReferenceData!$BF$466),"")</f>
        <v>692.23357280000005</v>
      </c>
      <c r="BG466">
        <f ca="1">IFERROR(IF(0=LEN(ReferenceData!$BG$466),"",ReferenceData!$BG$466),"")</f>
        <v>629.20373719999998</v>
      </c>
      <c r="BH466">
        <f ca="1">IFERROR(IF(0=LEN(ReferenceData!$BH$466),"",ReferenceData!$BH$466),"")</f>
        <v>569.18252600000005</v>
      </c>
      <c r="BI466">
        <f ca="1">IFERROR(IF(0=LEN(ReferenceData!$BI$466),"",ReferenceData!$BI$466),"")</f>
        <v>530.93736409999997</v>
      </c>
      <c r="BJ466">
        <f ca="1">IFERROR(IF(0=LEN(ReferenceData!$BJ$466),"",ReferenceData!$BJ$466),"")</f>
        <v>641.05770619999998</v>
      </c>
      <c r="BK466">
        <f ca="1">IFERROR(IF(0=LEN(ReferenceData!$BK$466),"",ReferenceData!$BK$466),"")</f>
        <v>717.73998670000003</v>
      </c>
      <c r="BL466">
        <f ca="1">IFERROR(IF(0=LEN(ReferenceData!$BL$466),"",ReferenceData!$BL$466),"")</f>
        <v>1140.518335</v>
      </c>
      <c r="BM466">
        <f ca="1">IFERROR(IF(0=LEN(ReferenceData!$BM$466),"",ReferenceData!$BM$466),"")</f>
        <v>1217.208361</v>
      </c>
    </row>
    <row r="467" spans="1:65" x14ac:dyDescent="0.25">
      <c r="A467" t="str">
        <f>IFERROR(IF(0=LEN(ReferenceData!$A$467),"",ReferenceData!$A$467),"")</f>
        <v xml:space="preserve">    Fiat Chrysler Automobiles NV</v>
      </c>
      <c r="B467" t="str">
        <f>IFERROR(IF(0=LEN(ReferenceData!$B$467),"",ReferenceData!$B$467),"")</f>
        <v>FCAU US Equity</v>
      </c>
      <c r="C467" t="str">
        <f>IFERROR(IF(0=LEN(ReferenceData!$C$467),"",ReferenceData!$C$467),"")</f>
        <v>RR902</v>
      </c>
      <c r="D467" t="str">
        <f>IFERROR(IF(0=LEN(ReferenceData!$D$467),"",ReferenceData!$D$467),"")</f>
        <v>CUR_MKT_CAP</v>
      </c>
      <c r="E467" t="str">
        <f>IFERROR(IF(0=LEN(ReferenceData!$E$467),"",ReferenceData!$E$467),"")</f>
        <v>Dynamic</v>
      </c>
      <c r="F467">
        <f ca="1">IFERROR(IF(0=LEN(ReferenceData!$F$467),"",ReferenceData!$F$467),"")</f>
        <v>23197.238740000001</v>
      </c>
      <c r="G467">
        <f ca="1">IFERROR(IF(0=LEN(ReferenceData!$G$467),"",ReferenceData!$G$467),"")</f>
        <v>22421.929960000001</v>
      </c>
      <c r="H467">
        <f ca="1">IFERROR(IF(0=LEN(ReferenceData!$H$467),"",ReferenceData!$H$467),"")</f>
        <v>27151.313529999999</v>
      </c>
      <c r="I467">
        <f ca="1">IFERROR(IF(0=LEN(ReferenceData!$I$467),"",ReferenceData!$I$467),"")</f>
        <v>29291.16577</v>
      </c>
      <c r="J467">
        <f ca="1">IFERROR(IF(0=LEN(ReferenceData!$J$467),"",ReferenceData!$J$467),"")</f>
        <v>31602.640439999999</v>
      </c>
      <c r="K467">
        <f ca="1">IFERROR(IF(0=LEN(ReferenceData!$K$467),"",ReferenceData!$K$467),"")</f>
        <v>27475.200069999999</v>
      </c>
      <c r="L467">
        <f ca="1">IFERROR(IF(0=LEN(ReferenceData!$L$467),"",ReferenceData!$L$467),"")</f>
        <v>27532.93894</v>
      </c>
      <c r="M467">
        <f ca="1">IFERROR(IF(0=LEN(ReferenceData!$M$467),"",ReferenceData!$M$467),"")</f>
        <v>16341.437239999999</v>
      </c>
      <c r="N467">
        <f ca="1">IFERROR(IF(0=LEN(ReferenceData!$N$467),"",ReferenceData!$N$467),"")</f>
        <v>16700.958610000001</v>
      </c>
      <c r="O467">
        <f ca="1">IFERROR(IF(0=LEN(ReferenceData!$O$467),"",ReferenceData!$O$467),"")</f>
        <v>13935.04717</v>
      </c>
      <c r="P467">
        <f ca="1">IFERROR(IF(0=LEN(ReferenceData!$P$467),"",ReferenceData!$P$467),"")</f>
        <v>8250.0874999999996</v>
      </c>
      <c r="Q467">
        <f ca="1">IFERROR(IF(0=LEN(ReferenceData!$Q$467),"",ReferenceData!$Q$467),"")</f>
        <v>7888.6426460000002</v>
      </c>
      <c r="R467">
        <f ca="1">IFERROR(IF(0=LEN(ReferenceData!$R$467),"",ReferenceData!$R$467),"")</f>
        <v>10389.29081</v>
      </c>
      <c r="S467">
        <f ca="1">IFERROR(IF(0=LEN(ReferenceData!$S$467),"",ReferenceData!$S$467),"")</f>
        <v>18032.495210000001</v>
      </c>
      <c r="T467">
        <f ca="1">IFERROR(IF(0=LEN(ReferenceData!$T$467),"",ReferenceData!$T$467),"")</f>
        <v>17026.57573</v>
      </c>
      <c r="U467">
        <f ca="1">IFERROR(IF(0=LEN(ReferenceData!$U$467),"",ReferenceData!$U$467),"")</f>
        <v>18727.944390000001</v>
      </c>
      <c r="V467">
        <f ca="1">IFERROR(IF(0=LEN(ReferenceData!$V$467),"",ReferenceData!$V$467),"")</f>
        <v>20995.487499999999</v>
      </c>
      <c r="W467">
        <f ca="1">IFERROR(IF(0=LEN(ReferenceData!$W$467),"",ReferenceData!$W$467),"")</f>
        <v>14879.36845</v>
      </c>
      <c r="X467" t="str">
        <f ca="1">IFERROR(IF(0=LEN(ReferenceData!$X$467),"",ReferenceData!$X$467),"")</f>
        <v/>
      </c>
      <c r="Y467" t="str">
        <f ca="1">IFERROR(IF(0=LEN(ReferenceData!$Y$467),"",ReferenceData!$Y$467),"")</f>
        <v/>
      </c>
      <c r="Z467" t="str">
        <f ca="1">IFERROR(IF(0=LEN(ReferenceData!$Z$467),"",ReferenceData!$Z$467),"")</f>
        <v/>
      </c>
      <c r="AA467" t="str">
        <f ca="1">IFERROR(IF(0=LEN(ReferenceData!$AA$467),"",ReferenceData!$AA$467),"")</f>
        <v/>
      </c>
      <c r="AB467" t="str">
        <f ca="1">IFERROR(IF(0=LEN(ReferenceData!$AB$467),"",ReferenceData!$AB$467),"")</f>
        <v/>
      </c>
      <c r="AC467" t="str">
        <f ca="1">IFERROR(IF(0=LEN(ReferenceData!$AC$467),"",ReferenceData!$AC$467),"")</f>
        <v/>
      </c>
      <c r="AD467" t="str">
        <f ca="1">IFERROR(IF(0=LEN(ReferenceData!$AD$467),"",ReferenceData!$AD$467),"")</f>
        <v/>
      </c>
      <c r="AE467" t="str">
        <f ca="1">IFERROR(IF(0=LEN(ReferenceData!$AE$467),"",ReferenceData!$AE$467),"")</f>
        <v/>
      </c>
      <c r="AF467" t="str">
        <f ca="1">IFERROR(IF(0=LEN(ReferenceData!$AF$467),"",ReferenceData!$AF$467),"")</f>
        <v/>
      </c>
      <c r="AG467" t="str">
        <f ca="1">IFERROR(IF(0=LEN(ReferenceData!$AG$467),"",ReferenceData!$AG$467),"")</f>
        <v/>
      </c>
      <c r="AH467" t="str">
        <f ca="1">IFERROR(IF(0=LEN(ReferenceData!$AH$467),"",ReferenceData!$AH$467),"")</f>
        <v/>
      </c>
      <c r="AI467" t="str">
        <f ca="1">IFERROR(IF(0=LEN(ReferenceData!$AI$467),"",ReferenceData!$AI$467),"")</f>
        <v/>
      </c>
      <c r="AJ467" t="str">
        <f ca="1">IFERROR(IF(0=LEN(ReferenceData!$AJ$467),"",ReferenceData!$AJ$467),"")</f>
        <v/>
      </c>
      <c r="AK467" t="str">
        <f ca="1">IFERROR(IF(0=LEN(ReferenceData!$AK$467),"",ReferenceData!$AK$467),"")</f>
        <v/>
      </c>
      <c r="AL467" t="str">
        <f ca="1">IFERROR(IF(0=LEN(ReferenceData!$AL$467),"",ReferenceData!$AL$467),"")</f>
        <v/>
      </c>
      <c r="AM467" t="str">
        <f ca="1">IFERROR(IF(0=LEN(ReferenceData!$AM$467),"",ReferenceData!$AM$467),"")</f>
        <v/>
      </c>
      <c r="AN467" t="str">
        <f ca="1">IFERROR(IF(0=LEN(ReferenceData!$AN$467),"",ReferenceData!$AN$467),"")</f>
        <v/>
      </c>
      <c r="AO467" t="str">
        <f ca="1">IFERROR(IF(0=LEN(ReferenceData!$AO$467),"",ReferenceData!$AO$467),"")</f>
        <v/>
      </c>
      <c r="AP467" t="str">
        <f ca="1">IFERROR(IF(0=LEN(ReferenceData!$AP$467),"",ReferenceData!$AP$467),"")</f>
        <v/>
      </c>
      <c r="AQ467" t="str">
        <f ca="1">IFERROR(IF(0=LEN(ReferenceData!$AQ$467),"",ReferenceData!$AQ$467),"")</f>
        <v/>
      </c>
      <c r="AR467" t="str">
        <f ca="1">IFERROR(IF(0=LEN(ReferenceData!$AR$467),"",ReferenceData!$AR$467),"")</f>
        <v/>
      </c>
      <c r="AS467" t="str">
        <f ca="1">IFERROR(IF(0=LEN(ReferenceData!$AS$467),"",ReferenceData!$AS$467),"")</f>
        <v/>
      </c>
      <c r="AT467" t="str">
        <f ca="1">IFERROR(IF(0=LEN(ReferenceData!$AT$467),"",ReferenceData!$AT$467),"")</f>
        <v/>
      </c>
      <c r="AU467" t="str">
        <f ca="1">IFERROR(IF(0=LEN(ReferenceData!$AU$467),"",ReferenceData!$AU$467),"")</f>
        <v/>
      </c>
      <c r="AV467" t="str">
        <f ca="1">IFERROR(IF(0=LEN(ReferenceData!$AV$467),"",ReferenceData!$AV$467),"")</f>
        <v/>
      </c>
      <c r="AW467" t="str">
        <f ca="1">IFERROR(IF(0=LEN(ReferenceData!$AW$467),"",ReferenceData!$AW$467),"")</f>
        <v/>
      </c>
      <c r="AX467" t="str">
        <f ca="1">IFERROR(IF(0=LEN(ReferenceData!$AX$467),"",ReferenceData!$AX$467),"")</f>
        <v/>
      </c>
      <c r="AY467" t="str">
        <f ca="1">IFERROR(IF(0=LEN(ReferenceData!$AY$467),"",ReferenceData!$AY$467),"")</f>
        <v/>
      </c>
      <c r="AZ467" t="str">
        <f ca="1">IFERROR(IF(0=LEN(ReferenceData!$AZ$467),"",ReferenceData!$AZ$467),"")</f>
        <v/>
      </c>
      <c r="BA467" t="str">
        <f ca="1">IFERROR(IF(0=LEN(ReferenceData!$BA$467),"",ReferenceData!$BA$467),"")</f>
        <v/>
      </c>
      <c r="BB467" t="str">
        <f ca="1">IFERROR(IF(0=LEN(ReferenceData!$BB$467),"",ReferenceData!$BB$467),"")</f>
        <v/>
      </c>
      <c r="BC467" t="str">
        <f ca="1">IFERROR(IF(0=LEN(ReferenceData!$BC$467),"",ReferenceData!$BC$467),"")</f>
        <v/>
      </c>
      <c r="BD467" t="str">
        <f ca="1">IFERROR(IF(0=LEN(ReferenceData!$BD$467),"",ReferenceData!$BD$467),"")</f>
        <v/>
      </c>
      <c r="BE467" t="str">
        <f ca="1">IFERROR(IF(0=LEN(ReferenceData!$BE$467),"",ReferenceData!$BE$467),"")</f>
        <v/>
      </c>
      <c r="BF467" t="str">
        <f ca="1">IFERROR(IF(0=LEN(ReferenceData!$BF$467),"",ReferenceData!$BF$467),"")</f>
        <v/>
      </c>
      <c r="BG467" t="str">
        <f ca="1">IFERROR(IF(0=LEN(ReferenceData!$BG$467),"",ReferenceData!$BG$467),"")</f>
        <v/>
      </c>
      <c r="BH467" t="str">
        <f ca="1">IFERROR(IF(0=LEN(ReferenceData!$BH$467),"",ReferenceData!$BH$467),"")</f>
        <v/>
      </c>
      <c r="BI467" t="str">
        <f ca="1">IFERROR(IF(0=LEN(ReferenceData!$BI$467),"",ReferenceData!$BI$467),"")</f>
        <v/>
      </c>
      <c r="BJ467" t="str">
        <f ca="1">IFERROR(IF(0=LEN(ReferenceData!$BJ$467),"",ReferenceData!$BJ$467),"")</f>
        <v/>
      </c>
      <c r="BK467" t="str">
        <f ca="1">IFERROR(IF(0=LEN(ReferenceData!$BK$467),"",ReferenceData!$BK$467),"")</f>
        <v/>
      </c>
      <c r="BL467" t="str">
        <f ca="1">IFERROR(IF(0=LEN(ReferenceData!$BL$467),"",ReferenceData!$BL$467),"")</f>
        <v/>
      </c>
      <c r="BM467" t="str">
        <f ca="1">IFERROR(IF(0=LEN(ReferenceData!$BM$467),"",ReferenceData!$BM$467),"")</f>
        <v/>
      </c>
    </row>
    <row r="468" spans="1:65" x14ac:dyDescent="0.25">
      <c r="A468" t="str">
        <f>IFERROR(IF(0=LEN(ReferenceData!$A$468),"",ReferenceData!$A$468),"")</f>
        <v xml:space="preserve">    Ford Motor Co</v>
      </c>
      <c r="B468" t="str">
        <f>IFERROR(IF(0=LEN(ReferenceData!$B$468),"",ReferenceData!$B$468),"")</f>
        <v>F US Equity</v>
      </c>
      <c r="C468" t="str">
        <f>IFERROR(IF(0=LEN(ReferenceData!$C$468),"",ReferenceData!$C$468),"")</f>
        <v>RR902</v>
      </c>
      <c r="D468" t="str">
        <f>IFERROR(IF(0=LEN(ReferenceData!$D$468),"",ReferenceData!$D$468),"")</f>
        <v>CUR_MKT_CAP</v>
      </c>
      <c r="E468" t="str">
        <f>IFERROR(IF(0=LEN(ReferenceData!$E$468),"",ReferenceData!$E$468),"")</f>
        <v>Dynamic</v>
      </c>
      <c r="F468">
        <f ca="1">IFERROR(IF(0=LEN(ReferenceData!$F$468),"",ReferenceData!$F$468),"")</f>
        <v>34653.18563</v>
      </c>
      <c r="G468">
        <f ca="1">IFERROR(IF(0=LEN(ReferenceData!$G$468),"",ReferenceData!$G$468),"")</f>
        <v>30430.960899999998</v>
      </c>
      <c r="H468">
        <f ca="1">IFERROR(IF(0=LEN(ReferenceData!$H$468),"",ReferenceData!$H$468),"")</f>
        <v>36867.970480000004</v>
      </c>
      <c r="I468">
        <f ca="1">IFERROR(IF(0=LEN(ReferenceData!$I$468),"",ReferenceData!$I$468),"")</f>
        <v>44113.437059999997</v>
      </c>
      <c r="J468">
        <f ca="1">IFERROR(IF(0=LEN(ReferenceData!$J$468),"",ReferenceData!$J$468),"")</f>
        <v>44024.736349999999</v>
      </c>
      <c r="K468">
        <f ca="1">IFERROR(IF(0=LEN(ReferenceData!$K$468),"",ReferenceData!$K$468),"")</f>
        <v>49614.054380000001</v>
      </c>
      <c r="L468">
        <f ca="1">IFERROR(IF(0=LEN(ReferenceData!$L$468),"",ReferenceData!$L$468),"")</f>
        <v>47541.909039999999</v>
      </c>
      <c r="M468">
        <f ca="1">IFERROR(IF(0=LEN(ReferenceData!$M$468),"",ReferenceData!$M$468),"")</f>
        <v>44558.426780000002</v>
      </c>
      <c r="N468">
        <f ca="1">IFERROR(IF(0=LEN(ReferenceData!$N$468),"",ReferenceData!$N$468),"")</f>
        <v>46349.289550000001</v>
      </c>
      <c r="O468">
        <f ca="1">IFERROR(IF(0=LEN(ReferenceData!$O$468),"",ReferenceData!$O$468),"")</f>
        <v>48201.158369999997</v>
      </c>
      <c r="P468">
        <f ca="1">IFERROR(IF(0=LEN(ReferenceData!$P$468),"",ReferenceData!$P$468),"")</f>
        <v>47957.015800000001</v>
      </c>
      <c r="Q468">
        <f ca="1">IFERROR(IF(0=LEN(ReferenceData!$Q$468),"",ReferenceData!$Q$468),"")</f>
        <v>49938.538820000002</v>
      </c>
      <c r="R468">
        <f ca="1">IFERROR(IF(0=LEN(ReferenceData!$R$468),"",ReferenceData!$R$468),"")</f>
        <v>53757.923159999998</v>
      </c>
      <c r="S468">
        <f ca="1">IFERROR(IF(0=LEN(ReferenceData!$S$468),"",ReferenceData!$S$468),"")</f>
        <v>55917.998809999997</v>
      </c>
      <c r="T468">
        <f ca="1">IFERROR(IF(0=LEN(ReferenceData!$T$468),"",ReferenceData!$T$468),"")</f>
        <v>53843.560490000003</v>
      </c>
      <c r="U468">
        <f ca="1">IFERROR(IF(0=LEN(ReferenceData!$U$468),"",ReferenceData!$U$468),"")</f>
        <v>59670.096920000004</v>
      </c>
      <c r="V468">
        <f ca="1">IFERROR(IF(0=LEN(ReferenceData!$V$468),"",ReferenceData!$V$468),"")</f>
        <v>64154.258260000002</v>
      </c>
      <c r="W468">
        <f ca="1">IFERROR(IF(0=LEN(ReferenceData!$W$468),"",ReferenceData!$W$468),"")</f>
        <v>59654.656600000002</v>
      </c>
      <c r="X468">
        <f ca="1">IFERROR(IF(0=LEN(ReferenceData!$X$468),"",ReferenceData!$X$468),"")</f>
        <v>57362.397879999997</v>
      </c>
      <c r="Y468">
        <f ca="1">IFERROR(IF(0=LEN(ReferenceData!$Y$468),"",ReferenceData!$Y$468),"")</f>
        <v>68171.413499999995</v>
      </c>
      <c r="Z468">
        <f ca="1">IFERROR(IF(0=LEN(ReferenceData!$Z$468),"",ReferenceData!$Z$468),"")</f>
        <v>61659.186979999999</v>
      </c>
      <c r="AA468">
        <f ca="1">IFERROR(IF(0=LEN(ReferenceData!$AA$468),"",ReferenceData!$AA$468),"")</f>
        <v>60862.655910000001</v>
      </c>
      <c r="AB468">
        <f ca="1">IFERROR(IF(0=LEN(ReferenceData!$AB$468),"",ReferenceData!$AB$468),"")</f>
        <v>66462.194900000002</v>
      </c>
      <c r="AC468">
        <f ca="1">IFERROR(IF(0=LEN(ReferenceData!$AC$468),"",ReferenceData!$AC$468),"")</f>
        <v>60815.758020000001</v>
      </c>
      <c r="AD468">
        <f ca="1">IFERROR(IF(0=LEN(ReferenceData!$AD$468),"",ReferenceData!$AD$468),"")</f>
        <v>51577.555999999997</v>
      </c>
      <c r="AE468">
        <f ca="1">IFERROR(IF(0=LEN(ReferenceData!$AE$468),"",ReferenceData!$AE$468),"")</f>
        <v>49373.971749999997</v>
      </c>
      <c r="AF468">
        <f ca="1">IFERROR(IF(0=LEN(ReferenceData!$AF$468),"",ReferenceData!$AF$468),"")</f>
        <v>37605.908049999998</v>
      </c>
      <c r="AG468">
        <f ca="1">IFERROR(IF(0=LEN(ReferenceData!$AG$468),"",ReferenceData!$AG$468),"")</f>
        <v>36598.964110000001</v>
      </c>
      <c r="AH468">
        <f ca="1">IFERROR(IF(0=LEN(ReferenceData!$AH$468),"",ReferenceData!$AH$468),"")</f>
        <v>47414.317230000001</v>
      </c>
      <c r="AI468">
        <f ca="1">IFERROR(IF(0=LEN(ReferenceData!$AI$468),"",ReferenceData!$AI$468),"")</f>
        <v>40889.077539999998</v>
      </c>
      <c r="AJ468">
        <f ca="1">IFERROR(IF(0=LEN(ReferenceData!$AJ$468),"",ReferenceData!$AJ$468),"")</f>
        <v>36744.34549</v>
      </c>
      <c r="AK468">
        <f ca="1">IFERROR(IF(0=LEN(ReferenceData!$AK$468),"",ReferenceData!$AK$468),"")</f>
        <v>52377.060120000002</v>
      </c>
      <c r="AL468">
        <f ca="1">IFERROR(IF(0=LEN(ReferenceData!$AL$468),"",ReferenceData!$AL$468),"")</f>
        <v>56400.220759999997</v>
      </c>
      <c r="AM468">
        <f ca="1">IFERROR(IF(0=LEN(ReferenceData!$AM$468),"",ReferenceData!$AM$468),"")</f>
        <v>62912.815320000002</v>
      </c>
      <c r="AN468">
        <f ca="1">IFERROR(IF(0=LEN(ReferenceData!$AN$468),"",ReferenceData!$AN$468),"")</f>
        <v>42097.266239999997</v>
      </c>
      <c r="AO468">
        <f ca="1">IFERROR(IF(0=LEN(ReferenceData!$AO$468),"",ReferenceData!$AO$468),"")</f>
        <v>34338.335030000002</v>
      </c>
      <c r="AP468">
        <f ca="1">IFERROR(IF(0=LEN(ReferenceData!$AP$468),"",ReferenceData!$AP$468),"")</f>
        <v>42339.099479999997</v>
      </c>
      <c r="AQ468">
        <f ca="1">IFERROR(IF(0=LEN(ReferenceData!$AQ$468),"",ReferenceData!$AQ$468),"")</f>
        <v>33071.008759999997</v>
      </c>
      <c r="AR468">
        <f ca="1">IFERROR(IF(0=LEN(ReferenceData!$AR$468),"",ReferenceData!$AR$468),"")</f>
        <v>23225.499749999999</v>
      </c>
      <c r="AS468">
        <f ca="1">IFERROR(IF(0=LEN(ReferenceData!$AS$468),"",ReferenceData!$AS$468),"")</f>
        <v>19534.776300000001</v>
      </c>
      <c r="AT468">
        <f ca="1">IFERROR(IF(0=LEN(ReferenceData!$AT$468),"",ReferenceData!$AT$468),"")</f>
        <v>6302.3238259999998</v>
      </c>
      <c r="AU468">
        <f ca="1">IFERROR(IF(0=LEN(ReferenceData!$AU$468),"",ReferenceData!$AU$468),"")</f>
        <v>5470.4791279999999</v>
      </c>
      <c r="AV468">
        <f ca="1">IFERROR(IF(0=LEN(ReferenceData!$AV$468),"",ReferenceData!$AV$468),"")</f>
        <v>11759.02202</v>
      </c>
      <c r="AW468">
        <f ca="1">IFERROR(IF(0=LEN(ReferenceData!$AW$468),"",ReferenceData!$AW$468),"")</f>
        <v>10784.02022</v>
      </c>
      <c r="AX468">
        <f ca="1">IFERROR(IF(0=LEN(ReferenceData!$AX$468),"",ReferenceData!$AX$468),"")</f>
        <v>12624.052830000001</v>
      </c>
      <c r="AY468">
        <f ca="1">IFERROR(IF(0=LEN(ReferenceData!$AY$468),"",ReferenceData!$AY$468),"")</f>
        <v>14201.68377</v>
      </c>
      <c r="AZ468">
        <f ca="1">IFERROR(IF(0=LEN(ReferenceData!$AZ$468),"",ReferenceData!$AZ$468),"")</f>
        <v>17825.557540000002</v>
      </c>
      <c r="BA468">
        <f ca="1">IFERROR(IF(0=LEN(ReferenceData!$BA$468),"",ReferenceData!$BA$468),"")</f>
        <v>17710.990659999999</v>
      </c>
      <c r="BB468">
        <f ca="1">IFERROR(IF(0=LEN(ReferenceData!$BB$468),"",ReferenceData!$BB$468),"")</f>
        <v>14932.12875</v>
      </c>
      <c r="BC468">
        <f ca="1">IFERROR(IF(0=LEN(ReferenceData!$BC$468),"",ReferenceData!$BC$468),"")</f>
        <v>14185.592769999999</v>
      </c>
      <c r="BD468">
        <f ca="1">IFERROR(IF(0=LEN(ReferenceData!$BD$468),"",ReferenceData!$BD$468),"")</f>
        <v>15217.3753</v>
      </c>
      <c r="BE468">
        <f ca="1">IFERROR(IF(0=LEN(ReferenceData!$BE$468),"",ReferenceData!$BE$468),"")</f>
        <v>13000.343629999999</v>
      </c>
      <c r="BF468">
        <f ca="1">IFERROR(IF(0=LEN(ReferenceData!$BF$468),"",ReferenceData!$BF$468),"")</f>
        <v>14838.54225</v>
      </c>
      <c r="BG468">
        <f ca="1">IFERROR(IF(0=LEN(ReferenceData!$BG$468),"",ReferenceData!$BG$468),"")</f>
        <v>14340.762629999999</v>
      </c>
      <c r="BH468">
        <f ca="1">IFERROR(IF(0=LEN(ReferenceData!$BH$468),"",ReferenceData!$BH$468),"")</f>
        <v>18271.07273</v>
      </c>
      <c r="BI468">
        <f ca="1">IFERROR(IF(0=LEN(ReferenceData!$BI$468),"",ReferenceData!$BI$468),"")</f>
        <v>18845.214220000002</v>
      </c>
      <c r="BJ468">
        <f ca="1">IFERROR(IF(0=LEN(ReferenceData!$BJ$468),"",ReferenceData!$BJ$468),"")</f>
        <v>20744.10194</v>
      </c>
      <c r="BK468">
        <f ca="1">IFERROR(IF(0=LEN(ReferenceData!$BK$468),"",ReferenceData!$BK$468),"")</f>
        <v>26786.337609999999</v>
      </c>
      <c r="BL468">
        <f ca="1">IFERROR(IF(0=LEN(ReferenceData!$BL$468),"",ReferenceData!$BL$468),"")</f>
        <v>25708.50921</v>
      </c>
      <c r="BM468">
        <f ca="1">IFERROR(IF(0=LEN(ReferenceData!$BM$468),"",ReferenceData!$BM$468),"")</f>
        <v>28652.693579999999</v>
      </c>
    </row>
    <row r="469" spans="1:65" x14ac:dyDescent="0.25">
      <c r="A469" t="str">
        <f>IFERROR(IF(0=LEN(ReferenceData!$A$469),"",ReferenceData!$A$469),"")</f>
        <v xml:space="preserve">    Ford Otomotiv Sanayi AS</v>
      </c>
      <c r="B469" t="str">
        <f>IFERROR(IF(0=LEN(ReferenceData!$B$469),"",ReferenceData!$B$469),"")</f>
        <v>FROTOTRY EO Equity</v>
      </c>
      <c r="C469" t="str">
        <f>IFERROR(IF(0=LEN(ReferenceData!$C$469),"",ReferenceData!$C$469),"")</f>
        <v>RR902</v>
      </c>
      <c r="D469" t="str">
        <f>IFERROR(IF(0=LEN(ReferenceData!$D$469),"",ReferenceData!$D$469),"")</f>
        <v>CUR_MKT_CAP</v>
      </c>
      <c r="E469" t="str">
        <f>IFERROR(IF(0=LEN(ReferenceData!$E$469),"",ReferenceData!$E$469),"")</f>
        <v>Dynamic</v>
      </c>
      <c r="F469" t="str">
        <f ca="1">IFERROR(IF(0=LEN(ReferenceData!$F$469),"",ReferenceData!$F$469),"")</f>
        <v/>
      </c>
      <c r="G469" t="str">
        <f ca="1">IFERROR(IF(0=LEN(ReferenceData!$G$469),"",ReferenceData!$G$469),"")</f>
        <v/>
      </c>
      <c r="H469" t="str">
        <f ca="1">IFERROR(IF(0=LEN(ReferenceData!$H$469),"",ReferenceData!$H$469),"")</f>
        <v/>
      </c>
      <c r="I469" t="str">
        <f ca="1">IFERROR(IF(0=LEN(ReferenceData!$I$469),"",ReferenceData!$I$469),"")</f>
        <v/>
      </c>
      <c r="J469" t="str">
        <f ca="1">IFERROR(IF(0=LEN(ReferenceData!$J$469),"",ReferenceData!$J$469),"")</f>
        <v/>
      </c>
      <c r="K469" t="str">
        <f ca="1">IFERROR(IF(0=LEN(ReferenceData!$K$469),"",ReferenceData!$K$469),"")</f>
        <v/>
      </c>
      <c r="L469" t="str">
        <f ca="1">IFERROR(IF(0=LEN(ReferenceData!$L$469),"",ReferenceData!$L$469),"")</f>
        <v/>
      </c>
      <c r="M469" t="str">
        <f ca="1">IFERROR(IF(0=LEN(ReferenceData!$M$469),"",ReferenceData!$M$469),"")</f>
        <v/>
      </c>
      <c r="N469" t="str">
        <f ca="1">IFERROR(IF(0=LEN(ReferenceData!$N$469),"",ReferenceData!$N$469),"")</f>
        <v/>
      </c>
      <c r="O469" t="str">
        <f ca="1">IFERROR(IF(0=LEN(ReferenceData!$O$469),"",ReferenceData!$O$469),"")</f>
        <v/>
      </c>
      <c r="P469" t="str">
        <f ca="1">IFERROR(IF(0=LEN(ReferenceData!$P$469),"",ReferenceData!$P$469),"")</f>
        <v/>
      </c>
      <c r="Q469" t="str">
        <f ca="1">IFERROR(IF(0=LEN(ReferenceData!$Q$469),"",ReferenceData!$Q$469),"")</f>
        <v/>
      </c>
      <c r="R469" t="str">
        <f ca="1">IFERROR(IF(0=LEN(ReferenceData!$R$469),"",ReferenceData!$R$469),"")</f>
        <v/>
      </c>
      <c r="S469" t="str">
        <f ca="1">IFERROR(IF(0=LEN(ReferenceData!$S$469),"",ReferenceData!$S$469),"")</f>
        <v/>
      </c>
      <c r="T469" t="str">
        <f ca="1">IFERROR(IF(0=LEN(ReferenceData!$T$469),"",ReferenceData!$T$469),"")</f>
        <v/>
      </c>
      <c r="U469" t="str">
        <f ca="1">IFERROR(IF(0=LEN(ReferenceData!$U$469),"",ReferenceData!$U$469),"")</f>
        <v/>
      </c>
      <c r="V469" t="str">
        <f ca="1">IFERROR(IF(0=LEN(ReferenceData!$V$469),"",ReferenceData!$V$469),"")</f>
        <v/>
      </c>
      <c r="W469" t="str">
        <f ca="1">IFERROR(IF(0=LEN(ReferenceData!$W$469),"",ReferenceData!$W$469),"")</f>
        <v/>
      </c>
      <c r="X469" t="str">
        <f ca="1">IFERROR(IF(0=LEN(ReferenceData!$X$469),"",ReferenceData!$X$469),"")</f>
        <v/>
      </c>
      <c r="Y469" t="str">
        <f ca="1">IFERROR(IF(0=LEN(ReferenceData!$Y$469),"",ReferenceData!$Y$469),"")</f>
        <v/>
      </c>
      <c r="Z469" t="str">
        <f ca="1">IFERROR(IF(0=LEN(ReferenceData!$Z$469),"",ReferenceData!$Z$469),"")</f>
        <v/>
      </c>
      <c r="AA469" t="str">
        <f ca="1">IFERROR(IF(0=LEN(ReferenceData!$AA$469),"",ReferenceData!$AA$469),"")</f>
        <v/>
      </c>
      <c r="AB469" t="str">
        <f ca="1">IFERROR(IF(0=LEN(ReferenceData!$AB$469),"",ReferenceData!$AB$469),"")</f>
        <v/>
      </c>
      <c r="AC469" t="str">
        <f ca="1">IFERROR(IF(0=LEN(ReferenceData!$AC$469),"",ReferenceData!$AC$469),"")</f>
        <v/>
      </c>
      <c r="AD469" t="str">
        <f ca="1">IFERROR(IF(0=LEN(ReferenceData!$AD$469),"",ReferenceData!$AD$469),"")</f>
        <v/>
      </c>
      <c r="AE469" t="str">
        <f ca="1">IFERROR(IF(0=LEN(ReferenceData!$AE$469),"",ReferenceData!$AE$469),"")</f>
        <v/>
      </c>
      <c r="AF469" t="str">
        <f ca="1">IFERROR(IF(0=LEN(ReferenceData!$AF$469),"",ReferenceData!$AF$469),"")</f>
        <v/>
      </c>
      <c r="AG469" t="str">
        <f ca="1">IFERROR(IF(0=LEN(ReferenceData!$AG$469),"",ReferenceData!$AG$469),"")</f>
        <v/>
      </c>
      <c r="AH469" t="str">
        <f ca="1">IFERROR(IF(0=LEN(ReferenceData!$AH$469),"",ReferenceData!$AH$469),"")</f>
        <v/>
      </c>
      <c r="AI469" t="str">
        <f ca="1">IFERROR(IF(0=LEN(ReferenceData!$AI$469),"",ReferenceData!$AI$469),"")</f>
        <v/>
      </c>
      <c r="AJ469" t="str">
        <f ca="1">IFERROR(IF(0=LEN(ReferenceData!$AJ$469),"",ReferenceData!$AJ$469),"")</f>
        <v/>
      </c>
      <c r="AK469" t="str">
        <f ca="1">IFERROR(IF(0=LEN(ReferenceData!$AK$469),"",ReferenceData!$AK$469),"")</f>
        <v/>
      </c>
      <c r="AL469" t="str">
        <f ca="1">IFERROR(IF(0=LEN(ReferenceData!$AL$469),"",ReferenceData!$AL$469),"")</f>
        <v/>
      </c>
      <c r="AM469" t="str">
        <f ca="1">IFERROR(IF(0=LEN(ReferenceData!$AM$469),"",ReferenceData!$AM$469),"")</f>
        <v/>
      </c>
      <c r="AN469" t="str">
        <f ca="1">IFERROR(IF(0=LEN(ReferenceData!$AN$469),"",ReferenceData!$AN$469),"")</f>
        <v/>
      </c>
      <c r="AO469" t="str">
        <f ca="1">IFERROR(IF(0=LEN(ReferenceData!$AO$469),"",ReferenceData!$AO$469),"")</f>
        <v/>
      </c>
      <c r="AP469" t="str">
        <f ca="1">IFERROR(IF(0=LEN(ReferenceData!$AP$469),"",ReferenceData!$AP$469),"")</f>
        <v/>
      </c>
      <c r="AQ469" t="str">
        <f ca="1">IFERROR(IF(0=LEN(ReferenceData!$AQ$469),"",ReferenceData!$AQ$469),"")</f>
        <v/>
      </c>
      <c r="AR469" t="str">
        <f ca="1">IFERROR(IF(0=LEN(ReferenceData!$AR$469),"",ReferenceData!$AR$469),"")</f>
        <v/>
      </c>
      <c r="AS469" t="str">
        <f ca="1">IFERROR(IF(0=LEN(ReferenceData!$AS$469),"",ReferenceData!$AS$469),"")</f>
        <v/>
      </c>
      <c r="AT469" t="str">
        <f ca="1">IFERROR(IF(0=LEN(ReferenceData!$AT$469),"",ReferenceData!$AT$469),"")</f>
        <v/>
      </c>
      <c r="AU469" t="str">
        <f ca="1">IFERROR(IF(0=LEN(ReferenceData!$AU$469),"",ReferenceData!$AU$469),"")</f>
        <v/>
      </c>
      <c r="AV469" t="str">
        <f ca="1">IFERROR(IF(0=LEN(ReferenceData!$AV$469),"",ReferenceData!$AV$469),"")</f>
        <v/>
      </c>
      <c r="AW469" t="str">
        <f ca="1">IFERROR(IF(0=LEN(ReferenceData!$AW$469),"",ReferenceData!$AW$469),"")</f>
        <v/>
      </c>
      <c r="AX469" t="str">
        <f ca="1">IFERROR(IF(0=LEN(ReferenceData!$AX$469),"",ReferenceData!$AX$469),"")</f>
        <v/>
      </c>
      <c r="AY469" t="str">
        <f ca="1">IFERROR(IF(0=LEN(ReferenceData!$AY$469),"",ReferenceData!$AY$469),"")</f>
        <v/>
      </c>
      <c r="AZ469" t="str">
        <f ca="1">IFERROR(IF(0=LEN(ReferenceData!$AZ$469),"",ReferenceData!$AZ$469),"")</f>
        <v/>
      </c>
      <c r="BA469" t="str">
        <f ca="1">IFERROR(IF(0=LEN(ReferenceData!$BA$469),"",ReferenceData!$BA$469),"")</f>
        <v/>
      </c>
      <c r="BB469" t="str">
        <f ca="1">IFERROR(IF(0=LEN(ReferenceData!$BB$469),"",ReferenceData!$BB$469),"")</f>
        <v/>
      </c>
      <c r="BC469" t="str">
        <f ca="1">IFERROR(IF(0=LEN(ReferenceData!$BC$469),"",ReferenceData!$BC$469),"")</f>
        <v/>
      </c>
      <c r="BD469" t="str">
        <f ca="1">IFERROR(IF(0=LEN(ReferenceData!$BD$469),"",ReferenceData!$BD$469),"")</f>
        <v/>
      </c>
      <c r="BE469" t="str">
        <f ca="1">IFERROR(IF(0=LEN(ReferenceData!$BE$469),"",ReferenceData!$BE$469),"")</f>
        <v/>
      </c>
      <c r="BF469" t="str">
        <f ca="1">IFERROR(IF(0=LEN(ReferenceData!$BF$469),"",ReferenceData!$BF$469),"")</f>
        <v/>
      </c>
      <c r="BG469" t="str">
        <f ca="1">IFERROR(IF(0=LEN(ReferenceData!$BG$469),"",ReferenceData!$BG$469),"")</f>
        <v/>
      </c>
      <c r="BH469" t="str">
        <f ca="1">IFERROR(IF(0=LEN(ReferenceData!$BH$469),"",ReferenceData!$BH$469),"")</f>
        <v/>
      </c>
      <c r="BI469" t="str">
        <f ca="1">IFERROR(IF(0=LEN(ReferenceData!$BI$469),"",ReferenceData!$BI$469),"")</f>
        <v/>
      </c>
      <c r="BJ469" t="str">
        <f ca="1">IFERROR(IF(0=LEN(ReferenceData!$BJ$469),"",ReferenceData!$BJ$469),"")</f>
        <v/>
      </c>
      <c r="BK469" t="str">
        <f ca="1">IFERROR(IF(0=LEN(ReferenceData!$BK$469),"",ReferenceData!$BK$469),"")</f>
        <v/>
      </c>
      <c r="BL469" t="str">
        <f ca="1">IFERROR(IF(0=LEN(ReferenceData!$BL$469),"",ReferenceData!$BL$469),"")</f>
        <v/>
      </c>
      <c r="BM469" t="str">
        <f ca="1">IFERROR(IF(0=LEN(ReferenceData!$BM$469),"",ReferenceData!$BM$469),"")</f>
        <v/>
      </c>
    </row>
    <row r="470" spans="1:65" x14ac:dyDescent="0.25">
      <c r="A470" t="str">
        <f>IFERROR(IF(0=LEN(ReferenceData!$A$470),"",ReferenceData!$A$470),"")</f>
        <v xml:space="preserve">    GAZ PJSC</v>
      </c>
      <c r="B470" t="str">
        <f>IFERROR(IF(0=LEN(ReferenceData!$B$470),"",ReferenceData!$B$470),"")</f>
        <v>GAZA RM Equity</v>
      </c>
      <c r="C470" t="str">
        <f>IFERROR(IF(0=LEN(ReferenceData!$C$470),"",ReferenceData!$C$470),"")</f>
        <v>RR902</v>
      </c>
      <c r="D470" t="str">
        <f>IFERROR(IF(0=LEN(ReferenceData!$D$470),"",ReferenceData!$D$470),"")</f>
        <v>CUR_MKT_CAP</v>
      </c>
      <c r="E470" t="str">
        <f>IFERROR(IF(0=LEN(ReferenceData!$E$470),"",ReferenceData!$E$470),"")</f>
        <v>Dynamic</v>
      </c>
      <c r="F470">
        <f ca="1">IFERROR(IF(0=LEN(ReferenceData!$F$470),"",ReferenceData!$F$470),"")</f>
        <v>146.16806819999999</v>
      </c>
      <c r="G470">
        <f ca="1">IFERROR(IF(0=LEN(ReferenceData!$G$470),"",ReferenceData!$G$470),"")</f>
        <v>131.70115799999999</v>
      </c>
      <c r="H470">
        <f ca="1">IFERROR(IF(0=LEN(ReferenceData!$H$470),"",ReferenceData!$H$470),"")</f>
        <v>115.7540788</v>
      </c>
      <c r="I470">
        <f ca="1">IFERROR(IF(0=LEN(ReferenceData!$I$470),"",ReferenceData!$I$470),"")</f>
        <v>131.97643840000001</v>
      </c>
      <c r="J470">
        <f ca="1">IFERROR(IF(0=LEN(ReferenceData!$J$470),"",ReferenceData!$J$470),"")</f>
        <v>217.40587059999999</v>
      </c>
      <c r="K470">
        <f ca="1">IFERROR(IF(0=LEN(ReferenceData!$K$470),"",ReferenceData!$K$470),"")</f>
        <v>269.8321522</v>
      </c>
      <c r="L470">
        <f ca="1">IFERROR(IF(0=LEN(ReferenceData!$L$470),"",ReferenceData!$L$470),"")</f>
        <v>257.71506460000001</v>
      </c>
      <c r="M470">
        <f ca="1">IFERROR(IF(0=LEN(ReferenceData!$M$470),"",ReferenceData!$M$470),"")</f>
        <v>161.8817277</v>
      </c>
      <c r="N470">
        <f ca="1">IFERROR(IF(0=LEN(ReferenceData!$N$470),"",ReferenceData!$N$470),"")</f>
        <v>187.1066974</v>
      </c>
      <c r="O470" t="str">
        <f ca="1">IFERROR(IF(0=LEN(ReferenceData!$O$470),"",ReferenceData!$O$470),"")</f>
        <v/>
      </c>
      <c r="P470" t="str">
        <f ca="1">IFERROR(IF(0=LEN(ReferenceData!$P$470),"",ReferenceData!$P$470),"")</f>
        <v/>
      </c>
      <c r="Q470" t="str">
        <f ca="1">IFERROR(IF(0=LEN(ReferenceData!$Q$470),"",ReferenceData!$Q$470),"")</f>
        <v/>
      </c>
      <c r="R470" t="str">
        <f ca="1">IFERROR(IF(0=LEN(ReferenceData!$R$470),"",ReferenceData!$R$470),"")</f>
        <v/>
      </c>
      <c r="S470" t="str">
        <f ca="1">IFERROR(IF(0=LEN(ReferenceData!$S$470),"",ReferenceData!$S$470),"")</f>
        <v/>
      </c>
      <c r="T470" t="str">
        <f ca="1">IFERROR(IF(0=LEN(ReferenceData!$T$470),"",ReferenceData!$T$470),"")</f>
        <v/>
      </c>
      <c r="U470" t="str">
        <f ca="1">IFERROR(IF(0=LEN(ReferenceData!$U$470),"",ReferenceData!$U$470),"")</f>
        <v/>
      </c>
      <c r="V470" t="str">
        <f ca="1">IFERROR(IF(0=LEN(ReferenceData!$V$470),"",ReferenceData!$V$470),"")</f>
        <v/>
      </c>
      <c r="W470" t="str">
        <f ca="1">IFERROR(IF(0=LEN(ReferenceData!$W$470),"",ReferenceData!$W$470),"")</f>
        <v/>
      </c>
      <c r="X470" t="str">
        <f ca="1">IFERROR(IF(0=LEN(ReferenceData!$X$470),"",ReferenceData!$X$470),"")</f>
        <v/>
      </c>
      <c r="Y470">
        <f ca="1">IFERROR(IF(0=LEN(ReferenceData!$Y$470),"",ReferenceData!$Y$470),"")</f>
        <v>356.35088500000001</v>
      </c>
      <c r="Z470">
        <f ca="1">IFERROR(IF(0=LEN(ReferenceData!$Z$470),"",ReferenceData!$Z$470),"")</f>
        <v>401.4034082</v>
      </c>
      <c r="AA470">
        <f ca="1">IFERROR(IF(0=LEN(ReferenceData!$AA$470),"",ReferenceData!$AA$470),"")</f>
        <v>498.0854764</v>
      </c>
      <c r="AB470">
        <f ca="1">IFERROR(IF(0=LEN(ReferenceData!$AB$470),"",ReferenceData!$AB$470),"")</f>
        <v>573.6932918</v>
      </c>
      <c r="AC470">
        <f ca="1">IFERROR(IF(0=LEN(ReferenceData!$AC$470),"",ReferenceData!$AC$470),"")</f>
        <v>609.85271709999995</v>
      </c>
      <c r="AD470">
        <f ca="1">IFERROR(IF(0=LEN(ReferenceData!$AD$470),"",ReferenceData!$AD$470),"")</f>
        <v>853.08145669999999</v>
      </c>
      <c r="AE470">
        <f ca="1">IFERROR(IF(0=LEN(ReferenceData!$AE$470),"",ReferenceData!$AE$470),"")</f>
        <v>846.9756691</v>
      </c>
      <c r="AF470">
        <f ca="1">IFERROR(IF(0=LEN(ReferenceData!$AF$470),"",ReferenceData!$AF$470),"")</f>
        <v>588.51977699999998</v>
      </c>
      <c r="AG470">
        <f ca="1">IFERROR(IF(0=LEN(ReferenceData!$AG$470),"",ReferenceData!$AG$470),"")</f>
        <v>531.99067590000004</v>
      </c>
      <c r="AH470">
        <f ca="1">IFERROR(IF(0=LEN(ReferenceData!$AH$470),"",ReferenceData!$AH$470),"")</f>
        <v>656.44385929999999</v>
      </c>
      <c r="AI470">
        <f ca="1">IFERROR(IF(0=LEN(ReferenceData!$AI$470),"",ReferenceData!$AI$470),"")</f>
        <v>522.26843310000004</v>
      </c>
      <c r="AJ470" t="str">
        <f ca="1">IFERROR(IF(0=LEN(ReferenceData!$AJ$470),"",ReferenceData!$AJ$470),"")</f>
        <v/>
      </c>
      <c r="AK470" t="str">
        <f ca="1">IFERROR(IF(0=LEN(ReferenceData!$AK$470),"",ReferenceData!$AK$470),"")</f>
        <v/>
      </c>
      <c r="AL470" t="str">
        <f ca="1">IFERROR(IF(0=LEN(ReferenceData!$AL$470),"",ReferenceData!$AL$470),"")</f>
        <v/>
      </c>
      <c r="AM470" t="str">
        <f ca="1">IFERROR(IF(0=LEN(ReferenceData!$AM$470),"",ReferenceData!$AM$470),"")</f>
        <v/>
      </c>
      <c r="AN470" t="str">
        <f ca="1">IFERROR(IF(0=LEN(ReferenceData!$AN$470),"",ReferenceData!$AN$470),"")</f>
        <v/>
      </c>
      <c r="AO470" t="str">
        <f ca="1">IFERROR(IF(0=LEN(ReferenceData!$AO$470),"",ReferenceData!$AO$470),"")</f>
        <v/>
      </c>
      <c r="AP470" t="str">
        <f ca="1">IFERROR(IF(0=LEN(ReferenceData!$AP$470),"",ReferenceData!$AP$470),"")</f>
        <v/>
      </c>
      <c r="AQ470" t="str">
        <f ca="1">IFERROR(IF(0=LEN(ReferenceData!$AQ$470),"",ReferenceData!$AQ$470),"")</f>
        <v/>
      </c>
      <c r="AR470" t="str">
        <f ca="1">IFERROR(IF(0=LEN(ReferenceData!$AR$470),"",ReferenceData!$AR$470),"")</f>
        <v/>
      </c>
      <c r="AS470" t="str">
        <f ca="1">IFERROR(IF(0=LEN(ReferenceData!$AS$470),"",ReferenceData!$AS$470),"")</f>
        <v/>
      </c>
      <c r="AT470" t="str">
        <f ca="1">IFERROR(IF(0=LEN(ReferenceData!$AT$470),"",ReferenceData!$AT$470),"")</f>
        <v/>
      </c>
      <c r="AU470" t="str">
        <f ca="1">IFERROR(IF(0=LEN(ReferenceData!$AU$470),"",ReferenceData!$AU$470),"")</f>
        <v/>
      </c>
      <c r="AV470" t="str">
        <f ca="1">IFERROR(IF(0=LEN(ReferenceData!$AV$470),"",ReferenceData!$AV$470),"")</f>
        <v/>
      </c>
      <c r="AW470" t="str">
        <f ca="1">IFERROR(IF(0=LEN(ReferenceData!$AW$470),"",ReferenceData!$AW$470),"")</f>
        <v/>
      </c>
      <c r="AX470" t="str">
        <f ca="1">IFERROR(IF(0=LEN(ReferenceData!$AX$470),"",ReferenceData!$AX$470),"")</f>
        <v/>
      </c>
      <c r="AY470" t="str">
        <f ca="1">IFERROR(IF(0=LEN(ReferenceData!$AY$470),"",ReferenceData!$AY$470),"")</f>
        <v/>
      </c>
      <c r="AZ470" t="str">
        <f ca="1">IFERROR(IF(0=LEN(ReferenceData!$AZ$470),"",ReferenceData!$AZ$470),"")</f>
        <v/>
      </c>
      <c r="BA470" t="str">
        <f ca="1">IFERROR(IF(0=LEN(ReferenceData!$BA$470),"",ReferenceData!$BA$470),"")</f>
        <v/>
      </c>
      <c r="BB470" t="str">
        <f ca="1">IFERROR(IF(0=LEN(ReferenceData!$BB$470),"",ReferenceData!$BB$470),"")</f>
        <v/>
      </c>
      <c r="BC470" t="str">
        <f ca="1">IFERROR(IF(0=LEN(ReferenceData!$BC$470),"",ReferenceData!$BC$470),"")</f>
        <v/>
      </c>
      <c r="BD470" t="str">
        <f ca="1">IFERROR(IF(0=LEN(ReferenceData!$BD$470),"",ReferenceData!$BD$470),"")</f>
        <v/>
      </c>
      <c r="BE470" t="str">
        <f ca="1">IFERROR(IF(0=LEN(ReferenceData!$BE$470),"",ReferenceData!$BE$470),"")</f>
        <v/>
      </c>
      <c r="BF470" t="str">
        <f ca="1">IFERROR(IF(0=LEN(ReferenceData!$BF$470),"",ReferenceData!$BF$470),"")</f>
        <v/>
      </c>
      <c r="BG470" t="str">
        <f ca="1">IFERROR(IF(0=LEN(ReferenceData!$BG$470),"",ReferenceData!$BG$470),"")</f>
        <v/>
      </c>
      <c r="BH470" t="str">
        <f ca="1">IFERROR(IF(0=LEN(ReferenceData!$BH$470),"",ReferenceData!$BH$470),"")</f>
        <v/>
      </c>
      <c r="BI470" t="str">
        <f ca="1">IFERROR(IF(0=LEN(ReferenceData!$BI$470),"",ReferenceData!$BI$470),"")</f>
        <v/>
      </c>
      <c r="BJ470" t="str">
        <f ca="1">IFERROR(IF(0=LEN(ReferenceData!$BJ$470),"",ReferenceData!$BJ$470),"")</f>
        <v/>
      </c>
      <c r="BK470" t="str">
        <f ca="1">IFERROR(IF(0=LEN(ReferenceData!$BK$470),"",ReferenceData!$BK$470),"")</f>
        <v/>
      </c>
      <c r="BL470" t="str">
        <f ca="1">IFERROR(IF(0=LEN(ReferenceData!$BL$470),"",ReferenceData!$BL$470),"")</f>
        <v/>
      </c>
      <c r="BM470" t="str">
        <f ca="1">IFERROR(IF(0=LEN(ReferenceData!$BM$470),"",ReferenceData!$BM$470),"")</f>
        <v/>
      </c>
    </row>
    <row r="471" spans="1:65" x14ac:dyDescent="0.25">
      <c r="A471" t="str">
        <f>IFERROR(IF(0=LEN(ReferenceData!$A$471),"",ReferenceData!$A$471),"")</f>
        <v xml:space="preserve">    Geely Automobile Holdings Ltd</v>
      </c>
      <c r="B471" t="str">
        <f>IFERROR(IF(0=LEN(ReferenceData!$B$471),"",ReferenceData!$B$471),"")</f>
        <v>175 HK Equity</v>
      </c>
      <c r="C471" t="str">
        <f>IFERROR(IF(0=LEN(ReferenceData!$C$471),"",ReferenceData!$C$471),"")</f>
        <v>RR902</v>
      </c>
      <c r="D471" t="str">
        <f>IFERROR(IF(0=LEN(ReferenceData!$D$471),"",ReferenceData!$D$471),"")</f>
        <v>CUR_MKT_CAP</v>
      </c>
      <c r="E471" t="str">
        <f>IFERROR(IF(0=LEN(ReferenceData!$E$471),"",ReferenceData!$E$471),"")</f>
        <v>Dynamic</v>
      </c>
      <c r="F471">
        <f ca="1">IFERROR(IF(0=LEN(ReferenceData!$F$471),"",ReferenceData!$F$471),"")</f>
        <v>17673.71184</v>
      </c>
      <c r="G471">
        <f ca="1">IFERROR(IF(0=LEN(ReferenceData!$G$471),"",ReferenceData!$G$471),"")</f>
        <v>15825.215529999999</v>
      </c>
      <c r="H471">
        <f ca="1">IFERROR(IF(0=LEN(ReferenceData!$H$471),"",ReferenceData!$H$471),"")</f>
        <v>17898.696110000001</v>
      </c>
      <c r="I471">
        <f ca="1">IFERROR(IF(0=LEN(ReferenceData!$I$471),"",ReferenceData!$I$471),"")</f>
        <v>23284.27159</v>
      </c>
      <c r="J471">
        <f ca="1">IFERROR(IF(0=LEN(ReferenceData!$J$471),"",ReferenceData!$J$471),"")</f>
        <v>25839.62513</v>
      </c>
      <c r="K471">
        <f ca="1">IFERROR(IF(0=LEN(ReferenceData!$K$471),"",ReferenceData!$K$471),"")</f>
        <v>31117.71745</v>
      </c>
      <c r="L471">
        <f ca="1">IFERROR(IF(0=LEN(ReferenceData!$L$471),"",ReferenceData!$L$471),"")</f>
        <v>25242.133170000001</v>
      </c>
      <c r="M471">
        <f ca="1">IFERROR(IF(0=LEN(ReferenceData!$M$471),"",ReferenceData!$M$471),"")</f>
        <v>19273.223290000002</v>
      </c>
      <c r="N471">
        <f ca="1">IFERROR(IF(0=LEN(ReferenceData!$N$471),"",ReferenceData!$N$471),"")</f>
        <v>13643.551359999999</v>
      </c>
      <c r="O471">
        <f ca="1">IFERROR(IF(0=LEN(ReferenceData!$O$471),"",ReferenceData!$O$471),"")</f>
        <v>8488.8897770000003</v>
      </c>
      <c r="P471">
        <f ca="1">IFERROR(IF(0=LEN(ReferenceData!$P$471),"",ReferenceData!$P$471),"")</f>
        <v>7888.6107300000003</v>
      </c>
      <c r="Q471">
        <f ca="1">IFERROR(IF(0=LEN(ReferenceData!$Q$471),"",ReferenceData!$Q$471),"")</f>
        <v>4753.2347799999998</v>
      </c>
      <c r="R471">
        <f ca="1">IFERROR(IF(0=LEN(ReferenceData!$R$471),"",ReferenceData!$R$471),"")</f>
        <v>4357.8122380000004</v>
      </c>
      <c r="S471">
        <f ca="1">IFERROR(IF(0=LEN(ReferenceData!$S$471),"",ReferenceData!$S$471),"")</f>
        <v>4690.5463849999996</v>
      </c>
      <c r="T471">
        <f ca="1">IFERROR(IF(0=LEN(ReferenceData!$T$471),"",ReferenceData!$T$471),"")</f>
        <v>4190.6046329999999</v>
      </c>
      <c r="U471">
        <f ca="1">IFERROR(IF(0=LEN(ReferenceData!$U$471),"",ReferenceData!$U$471),"")</f>
        <v>4700.6229139999996</v>
      </c>
      <c r="V471">
        <f ca="1">IFERROR(IF(0=LEN(ReferenceData!$V$471),"",ReferenceData!$V$471),"")</f>
        <v>4529.6302919999998</v>
      </c>
      <c r="W471">
        <f ca="1">IFERROR(IF(0=LEN(ReferenceData!$W$471),"",ReferenceData!$W$471),"")</f>
        <v>2803.6952160000001</v>
      </c>
      <c r="X471">
        <f ca="1">IFERROR(IF(0=LEN(ReferenceData!$X$471),"",ReferenceData!$X$471),"")</f>
        <v>3683.9414839999999</v>
      </c>
      <c r="Y471">
        <f ca="1">IFERROR(IF(0=LEN(ReferenceData!$Y$471),"",ReferenceData!$Y$471),"")</f>
        <v>3100.2204230000002</v>
      </c>
      <c r="Z471">
        <f ca="1">IFERROR(IF(0=LEN(ReferenceData!$Z$471),"",ReferenceData!$Z$471),"")</f>
        <v>3460.7138399999999</v>
      </c>
      <c r="AA471">
        <f ca="1">IFERROR(IF(0=LEN(ReferenceData!$AA$471),"",ReferenceData!$AA$471),"")</f>
        <v>4256.6771879999997</v>
      </c>
      <c r="AB471">
        <f ca="1">IFERROR(IF(0=LEN(ReferenceData!$AB$471),"",ReferenceData!$AB$471),"")</f>
        <v>4256.4935459999997</v>
      </c>
      <c r="AC471">
        <f ca="1">IFERROR(IF(0=LEN(ReferenceData!$AC$471),"",ReferenceData!$AC$471),"")</f>
        <v>3584.0459040000001</v>
      </c>
      <c r="AD471">
        <f ca="1">IFERROR(IF(0=LEN(ReferenceData!$AD$471),"",ReferenceData!$AD$471),"")</f>
        <v>4012.6634119999999</v>
      </c>
      <c r="AE471">
        <f ca="1">IFERROR(IF(0=LEN(ReferenceData!$AE$471),"",ReferenceData!$AE$471),"")</f>
        <v>3910.5579520000001</v>
      </c>
      <c r="AF471">
        <f ca="1">IFERROR(IF(0=LEN(ReferenceData!$AF$471),"",ReferenceData!$AF$471),"")</f>
        <v>2835.8340539999999</v>
      </c>
      <c r="AG471">
        <f ca="1">IFERROR(IF(0=LEN(ReferenceData!$AG$471),"",ReferenceData!$AG$471),"")</f>
        <v>2601.8038179999999</v>
      </c>
      <c r="AH471">
        <f ca="1">IFERROR(IF(0=LEN(ReferenceData!$AH$471),"",ReferenceData!$AH$471),"")</f>
        <v>2921.1910010000001</v>
      </c>
      <c r="AI471">
        <f ca="1">IFERROR(IF(0=LEN(ReferenceData!$AI$471),"",ReferenceData!$AI$471),"")</f>
        <v>1632.3336810000001</v>
      </c>
      <c r="AJ471">
        <f ca="1">IFERROR(IF(0=LEN(ReferenceData!$AJ$471),"",ReferenceData!$AJ$471),"")</f>
        <v>1675.728662</v>
      </c>
      <c r="AK471">
        <f ca="1">IFERROR(IF(0=LEN(ReferenceData!$AK$471),"",ReferenceData!$AK$471),"")</f>
        <v>2911.796531</v>
      </c>
      <c r="AL471">
        <f ca="1">IFERROR(IF(0=LEN(ReferenceData!$AL$471),"",ReferenceData!$AL$471),"")</f>
        <v>2765.4287239999999</v>
      </c>
      <c r="AM471">
        <f ca="1">IFERROR(IF(0=LEN(ReferenceData!$AM$471),"",ReferenceData!$AM$471),"")</f>
        <v>3254.7561059999998</v>
      </c>
      <c r="AN471">
        <f ca="1">IFERROR(IF(0=LEN(ReferenceData!$AN$471),"",ReferenceData!$AN$471),"")</f>
        <v>3666.8500220000001</v>
      </c>
      <c r="AO471">
        <f ca="1">IFERROR(IF(0=LEN(ReferenceData!$AO$471),"",ReferenceData!$AO$471),"")</f>
        <v>2268.4645860000001</v>
      </c>
      <c r="AP471">
        <f ca="1">IFERROR(IF(0=LEN(ReferenceData!$AP$471),"",ReferenceData!$AP$471),"")</f>
        <v>3871.5681650000001</v>
      </c>
      <c r="AQ471">
        <f ca="1">IFERROR(IF(0=LEN(ReferenceData!$AQ$471),"",ReferenceData!$AQ$471),"")</f>
        <v>4026.2791619999998</v>
      </c>
      <c r="AR471">
        <f ca="1">IFERROR(IF(0=LEN(ReferenceData!$AR$471),"",ReferenceData!$AR$471),"")</f>
        <v>1984.3695729999999</v>
      </c>
      <c r="AS471">
        <f ca="1">IFERROR(IF(0=LEN(ReferenceData!$AS$471),"",ReferenceData!$AS$471),"")</f>
        <v>1275.2941920000001</v>
      </c>
      <c r="AT471">
        <f ca="1">IFERROR(IF(0=LEN(ReferenceData!$AT$471),"",ReferenceData!$AT$471),"")</f>
        <v>569.4163069</v>
      </c>
      <c r="AU471">
        <f ca="1">IFERROR(IF(0=LEN(ReferenceData!$AU$471),"",ReferenceData!$AU$471),"")</f>
        <v>527.54746079999995</v>
      </c>
      <c r="AV471">
        <f ca="1">IFERROR(IF(0=LEN(ReferenceData!$AV$471),"",ReferenceData!$AV$471),"")</f>
        <v>493.11706429999998</v>
      </c>
      <c r="AW471">
        <f ca="1">IFERROR(IF(0=LEN(ReferenceData!$AW$471),"",ReferenceData!$AW$471),"")</f>
        <v>593.6091705</v>
      </c>
      <c r="AX471">
        <f ca="1">IFERROR(IF(0=LEN(ReferenceData!$AX$471),"",ReferenceData!$AX$471),"")</f>
        <v>621.51564399999995</v>
      </c>
      <c r="AY471">
        <f ca="1">IFERROR(IF(0=LEN(ReferenceData!$AY$471),"",ReferenceData!$AY$471),"")</f>
        <v>586.82652429999996</v>
      </c>
      <c r="AZ471">
        <f ca="1">IFERROR(IF(0=LEN(ReferenceData!$AZ$471),"",ReferenceData!$AZ$471),"")</f>
        <v>613.23560999999995</v>
      </c>
      <c r="BA471">
        <f ca="1">IFERROR(IF(0=LEN(ReferenceData!$BA$471),"",ReferenceData!$BA$471),"")</f>
        <v>768.64233839999997</v>
      </c>
      <c r="BB471">
        <f ca="1">IFERROR(IF(0=LEN(ReferenceData!$BB$471),"",ReferenceData!$BB$471),"")</f>
        <v>635.79036080000003</v>
      </c>
      <c r="BC471">
        <f ca="1">IFERROR(IF(0=LEN(ReferenceData!$BC$471),"",ReferenceData!$BC$471),"")</f>
        <v>410.91762249999999</v>
      </c>
      <c r="BD471">
        <f ca="1">IFERROR(IF(0=LEN(ReferenceData!$BD$471),"",ReferenceData!$BD$471),"")</f>
        <v>489.9197618</v>
      </c>
      <c r="BE471">
        <f ca="1">IFERROR(IF(0=LEN(ReferenceData!$BE$471),"",ReferenceData!$BE$471),"")</f>
        <v>514.5689691</v>
      </c>
      <c r="BF471">
        <f ca="1">IFERROR(IF(0=LEN(ReferenceData!$BF$471),"",ReferenceData!$BF$471),"")</f>
        <v>408.84601029999999</v>
      </c>
      <c r="BG471">
        <f ca="1">IFERROR(IF(0=LEN(ReferenceData!$BG$471),"",ReferenceData!$BG$471),"")</f>
        <v>172.70286050000001</v>
      </c>
      <c r="BH471">
        <f ca="1">IFERROR(IF(0=LEN(ReferenceData!$BH$471),"",ReferenceData!$BH$471),"")</f>
        <v>231.0429049</v>
      </c>
      <c r="BI471">
        <f ca="1">IFERROR(IF(0=LEN(ReferenceData!$BI$471),"",ReferenceData!$BI$471),"")</f>
        <v>265.08815140000002</v>
      </c>
      <c r="BJ471">
        <f ca="1">IFERROR(IF(0=LEN(ReferenceData!$BJ$471),"",ReferenceData!$BJ$471),"")</f>
        <v>256.21239709999998</v>
      </c>
      <c r="BK471">
        <f ca="1">IFERROR(IF(0=LEN(ReferenceData!$BK$471),"",ReferenceData!$BK$471),"")</f>
        <v>193.47700689999999</v>
      </c>
      <c r="BL471">
        <f ca="1">IFERROR(IF(0=LEN(ReferenceData!$BL$471),"",ReferenceData!$BL$471),"")</f>
        <v>190.2441321</v>
      </c>
      <c r="BM471">
        <f ca="1">IFERROR(IF(0=LEN(ReferenceData!$BM$471),"",ReferenceData!$BM$471),"")</f>
        <v>327.51665229999998</v>
      </c>
    </row>
    <row r="472" spans="1:65" x14ac:dyDescent="0.25">
      <c r="A472" t="str">
        <f>IFERROR(IF(0=LEN(ReferenceData!$A$472),"",ReferenceData!$A$472),"")</f>
        <v xml:space="preserve">    General Motors Co</v>
      </c>
      <c r="B472" t="str">
        <f>IFERROR(IF(0=LEN(ReferenceData!$B$472),"",ReferenceData!$B$472),"")</f>
        <v>GM US Equity</v>
      </c>
      <c r="C472" t="str">
        <f>IFERROR(IF(0=LEN(ReferenceData!$C$472),"",ReferenceData!$C$472),"")</f>
        <v>RR902</v>
      </c>
      <c r="D472" t="str">
        <f>IFERROR(IF(0=LEN(ReferenceData!$D$472),"",ReferenceData!$D$472),"")</f>
        <v>CUR_MKT_CAP</v>
      </c>
      <c r="E472" t="str">
        <f>IFERROR(IF(0=LEN(ReferenceData!$E$472),"",ReferenceData!$E$472),"")</f>
        <v>Dynamic</v>
      </c>
      <c r="F472">
        <f ca="1">IFERROR(IF(0=LEN(ReferenceData!$F$472),"",ReferenceData!$F$472),"")</f>
        <v>55357.286970000001</v>
      </c>
      <c r="G472">
        <f ca="1">IFERROR(IF(0=LEN(ReferenceData!$G$472),"",ReferenceData!$G$472),"")</f>
        <v>47211.451520000002</v>
      </c>
      <c r="H472">
        <f ca="1">IFERROR(IF(0=LEN(ReferenceData!$H$472),"",ReferenceData!$H$472),"")</f>
        <v>47504.609600000003</v>
      </c>
      <c r="I472">
        <f ca="1">IFERROR(IF(0=LEN(ReferenceData!$I$472),"",ReferenceData!$I$472),"")</f>
        <v>55532.00621</v>
      </c>
      <c r="J472">
        <f ca="1">IFERROR(IF(0=LEN(ReferenceData!$J$472),"",ReferenceData!$J$472),"")</f>
        <v>50895.055350000002</v>
      </c>
      <c r="K472">
        <f ca="1">IFERROR(IF(0=LEN(ReferenceData!$K$472),"",ReferenceData!$K$472),"")</f>
        <v>58222.505879999997</v>
      </c>
      <c r="L472">
        <f ca="1">IFERROR(IF(0=LEN(ReferenceData!$L$472),"",ReferenceData!$L$472),"")</f>
        <v>58842.0697</v>
      </c>
      <c r="M472">
        <f ca="1">IFERROR(IF(0=LEN(ReferenceData!$M$472),"",ReferenceData!$M$472),"")</f>
        <v>52713.259559999999</v>
      </c>
      <c r="N472">
        <f ca="1">IFERROR(IF(0=LEN(ReferenceData!$N$472),"",ReferenceData!$N$472),"")</f>
        <v>52968.02824</v>
      </c>
      <c r="O472">
        <f ca="1">IFERROR(IF(0=LEN(ReferenceData!$O$472),"",ReferenceData!$O$472),"")</f>
        <v>53108.144760000003</v>
      </c>
      <c r="P472">
        <f ca="1">IFERROR(IF(0=LEN(ReferenceData!$P$472),"",ReferenceData!$P$472),"")</f>
        <v>49622.257969999999</v>
      </c>
      <c r="Q472">
        <f ca="1">IFERROR(IF(0=LEN(ReferenceData!$Q$472),"",ReferenceData!$Q$472),"")</f>
        <v>43577.056479999999</v>
      </c>
      <c r="R472">
        <f ca="1">IFERROR(IF(0=LEN(ReferenceData!$R$472),"",ReferenceData!$R$472),"")</f>
        <v>48543.400959999999</v>
      </c>
      <c r="S472">
        <f ca="1">IFERROR(IF(0=LEN(ReferenceData!$S$472),"",ReferenceData!$S$472),"")</f>
        <v>52925.575680000002</v>
      </c>
      <c r="T472">
        <f ca="1">IFERROR(IF(0=LEN(ReferenceData!$T$472),"",ReferenceData!$T$472),"")</f>
        <v>47551.603040000002</v>
      </c>
      <c r="U472">
        <f ca="1">IFERROR(IF(0=LEN(ReferenceData!$U$472),"",ReferenceData!$U$472),"")</f>
        <v>53568.230689999997</v>
      </c>
      <c r="V472">
        <f ca="1">IFERROR(IF(0=LEN(ReferenceData!$V$472),"",ReferenceData!$V$472),"")</f>
        <v>60388.723749999997</v>
      </c>
      <c r="W472">
        <f ca="1">IFERROR(IF(0=LEN(ReferenceData!$W$472),"",ReferenceData!$W$472),"")</f>
        <v>56089.767449999999</v>
      </c>
      <c r="X472">
        <f ca="1">IFERROR(IF(0=LEN(ReferenceData!$X$472),"",ReferenceData!$X$472),"")</f>
        <v>51253.539400000001</v>
      </c>
      <c r="Y472">
        <f ca="1">IFERROR(IF(0=LEN(ReferenceData!$Y$472),"",ReferenceData!$Y$472),"")</f>
        <v>58214.977330000002</v>
      </c>
      <c r="Z472">
        <f ca="1">IFERROR(IF(0=LEN(ReferenceData!$Z$472),"",ReferenceData!$Z$472),"")</f>
        <v>54720.514320000002</v>
      </c>
      <c r="AA472">
        <f ca="1">IFERROR(IF(0=LEN(ReferenceData!$AA$472),"",ReferenceData!$AA$472),"")</f>
        <v>56767.357360000002</v>
      </c>
      <c r="AB472">
        <f ca="1">IFERROR(IF(0=LEN(ReferenceData!$AB$472),"",ReferenceData!$AB$472),"")</f>
        <v>49787.437290000002</v>
      </c>
      <c r="AC472">
        <f ca="1">IFERROR(IF(0=LEN(ReferenceData!$AC$472),"",ReferenceData!$AC$472),"")</f>
        <v>45790.795899999997</v>
      </c>
      <c r="AD472">
        <f ca="1">IFERROR(IF(0=LEN(ReferenceData!$AD$472),"",ReferenceData!$AD$472),"")</f>
        <v>38014.454259999999</v>
      </c>
      <c r="AE472">
        <f ca="1">IFERROR(IF(0=LEN(ReferenceData!$AE$472),"",ReferenceData!$AE$472),"")</f>
        <v>45148.353640000001</v>
      </c>
      <c r="AF472">
        <f ca="1">IFERROR(IF(0=LEN(ReferenceData!$AF$472),"",ReferenceData!$AF$472),"")</f>
        <v>35625.464139999996</v>
      </c>
      <c r="AG472">
        <f ca="1">IFERROR(IF(0=LEN(ReferenceData!$AG$472),"",ReferenceData!$AG$472),"")</f>
        <v>30878.662619999999</v>
      </c>
      <c r="AH472">
        <f ca="1">IFERROR(IF(0=LEN(ReferenceData!$AH$472),"",ReferenceData!$AH$472),"")</f>
        <v>40161.794349999996</v>
      </c>
      <c r="AI472">
        <f ca="1">IFERROR(IF(0=LEN(ReferenceData!$AI$472),"",ReferenceData!$AI$472),"")</f>
        <v>31713.6695</v>
      </c>
      <c r="AJ472">
        <f ca="1">IFERROR(IF(0=LEN(ReferenceData!$AJ$472),"",ReferenceData!$AJ$472),"")</f>
        <v>31516.440170000002</v>
      </c>
      <c r="AK472">
        <f ca="1">IFERROR(IF(0=LEN(ReferenceData!$AK$472),"",ReferenceData!$AK$472),"")</f>
        <v>47385.466990000001</v>
      </c>
      <c r="AL472">
        <f ca="1">IFERROR(IF(0=LEN(ReferenceData!$AL$472),"",ReferenceData!$AL$472),"")</f>
        <v>48429.856590000003</v>
      </c>
      <c r="AM472">
        <f ca="1">IFERROR(IF(0=LEN(ReferenceData!$AM$472),"",ReferenceData!$AM$472),"")</f>
        <v>55290</v>
      </c>
      <c r="AN472" t="str">
        <f ca="1">IFERROR(IF(0=LEN(ReferenceData!$AN$472),"",ReferenceData!$AN$472),"")</f>
        <v/>
      </c>
      <c r="AO472" t="str">
        <f ca="1">IFERROR(IF(0=LEN(ReferenceData!$AO$472),"",ReferenceData!$AO$472),"")</f>
        <v/>
      </c>
      <c r="AP472" t="str">
        <f ca="1">IFERROR(IF(0=LEN(ReferenceData!$AP$472),"",ReferenceData!$AP$472),"")</f>
        <v/>
      </c>
      <c r="AQ472" t="str">
        <f ca="1">IFERROR(IF(0=LEN(ReferenceData!$AQ$472),"",ReferenceData!$AQ$472),"")</f>
        <v/>
      </c>
      <c r="AR472" t="str">
        <f ca="1">IFERROR(IF(0=LEN(ReferenceData!$AR$472),"",ReferenceData!$AR$472),"")</f>
        <v/>
      </c>
      <c r="AS472" t="str">
        <f ca="1">IFERROR(IF(0=LEN(ReferenceData!$AS$472),"",ReferenceData!$AS$472),"")</f>
        <v/>
      </c>
      <c r="AT472" t="str">
        <f ca="1">IFERROR(IF(0=LEN(ReferenceData!$AT$472),"",ReferenceData!$AT$472),"")</f>
        <v/>
      </c>
      <c r="AU472" t="str">
        <f ca="1">IFERROR(IF(0=LEN(ReferenceData!$AU$472),"",ReferenceData!$AU$472),"")</f>
        <v/>
      </c>
      <c r="AV472" t="str">
        <f ca="1">IFERROR(IF(0=LEN(ReferenceData!$AV$472),"",ReferenceData!$AV$472),"")</f>
        <v/>
      </c>
      <c r="AW472" t="str">
        <f ca="1">IFERROR(IF(0=LEN(ReferenceData!$AW$472),"",ReferenceData!$AW$472),"")</f>
        <v/>
      </c>
      <c r="AX472" t="str">
        <f ca="1">IFERROR(IF(0=LEN(ReferenceData!$AX$472),"",ReferenceData!$AX$472),"")</f>
        <v/>
      </c>
      <c r="AY472" t="str">
        <f ca="1">IFERROR(IF(0=LEN(ReferenceData!$AY$472),"",ReferenceData!$AY$472),"")</f>
        <v/>
      </c>
      <c r="AZ472" t="str">
        <f ca="1">IFERROR(IF(0=LEN(ReferenceData!$AZ$472),"",ReferenceData!$AZ$472),"")</f>
        <v/>
      </c>
      <c r="BA472" t="str">
        <f ca="1">IFERROR(IF(0=LEN(ReferenceData!$BA$472),"",ReferenceData!$BA$472),"")</f>
        <v/>
      </c>
      <c r="BB472" t="str">
        <f ca="1">IFERROR(IF(0=LEN(ReferenceData!$BB$472),"",ReferenceData!$BB$472),"")</f>
        <v/>
      </c>
      <c r="BC472" t="str">
        <f ca="1">IFERROR(IF(0=LEN(ReferenceData!$BC$472),"",ReferenceData!$BC$472),"")</f>
        <v/>
      </c>
      <c r="BD472" t="str">
        <f ca="1">IFERROR(IF(0=LEN(ReferenceData!$BD$472),"",ReferenceData!$BD$472),"")</f>
        <v/>
      </c>
      <c r="BE472" t="str">
        <f ca="1">IFERROR(IF(0=LEN(ReferenceData!$BE$472),"",ReferenceData!$BE$472),"")</f>
        <v/>
      </c>
      <c r="BF472" t="str">
        <f ca="1">IFERROR(IF(0=LEN(ReferenceData!$BF$472),"",ReferenceData!$BF$472),"")</f>
        <v/>
      </c>
      <c r="BG472" t="str">
        <f ca="1">IFERROR(IF(0=LEN(ReferenceData!$BG$472),"",ReferenceData!$BG$472),"")</f>
        <v/>
      </c>
      <c r="BH472" t="str">
        <f ca="1">IFERROR(IF(0=LEN(ReferenceData!$BH$472),"",ReferenceData!$BH$472),"")</f>
        <v/>
      </c>
      <c r="BI472" t="str">
        <f ca="1">IFERROR(IF(0=LEN(ReferenceData!$BI$472),"",ReferenceData!$BI$472),"")</f>
        <v/>
      </c>
      <c r="BJ472" t="str">
        <f ca="1">IFERROR(IF(0=LEN(ReferenceData!$BJ$472),"",ReferenceData!$BJ$472),"")</f>
        <v/>
      </c>
      <c r="BK472" t="str">
        <f ca="1">IFERROR(IF(0=LEN(ReferenceData!$BK$472),"",ReferenceData!$BK$472),"")</f>
        <v/>
      </c>
      <c r="BL472" t="str">
        <f ca="1">IFERROR(IF(0=LEN(ReferenceData!$BL$472),"",ReferenceData!$BL$472),"")</f>
        <v/>
      </c>
      <c r="BM472" t="str">
        <f ca="1">IFERROR(IF(0=LEN(ReferenceData!$BM$472),"",ReferenceData!$BM$472),"")</f>
        <v/>
      </c>
    </row>
    <row r="473" spans="1:65" x14ac:dyDescent="0.25">
      <c r="A473" t="str">
        <f>IFERROR(IF(0=LEN(ReferenceData!$A$473),"",ReferenceData!$A$473),"")</f>
        <v xml:space="preserve">    Great Wall Motor Co Ltd</v>
      </c>
      <c r="B473" t="str">
        <f>IFERROR(IF(0=LEN(ReferenceData!$B$473),"",ReferenceData!$B$473),"")</f>
        <v>2333 HK Equity</v>
      </c>
      <c r="C473" t="str">
        <f>IFERROR(IF(0=LEN(ReferenceData!$C$473),"",ReferenceData!$C$473),"")</f>
        <v>RR902</v>
      </c>
      <c r="D473" t="str">
        <f>IFERROR(IF(0=LEN(ReferenceData!$D$473),"",ReferenceData!$D$473),"")</f>
        <v>CUR_MKT_CAP</v>
      </c>
      <c r="E473" t="str">
        <f>IFERROR(IF(0=LEN(ReferenceData!$E$473),"",ReferenceData!$E$473),"")</f>
        <v>Dynamic</v>
      </c>
      <c r="F473">
        <f ca="1">IFERROR(IF(0=LEN(ReferenceData!$F$473),"",ReferenceData!$F$473),"")</f>
        <v>9953.3484559999997</v>
      </c>
      <c r="G473">
        <f ca="1">IFERROR(IF(0=LEN(ReferenceData!$G$473),"",ReferenceData!$G$473),"")</f>
        <v>6683.2715150000004</v>
      </c>
      <c r="H473">
        <f ca="1">IFERROR(IF(0=LEN(ReferenceData!$H$473),"",ReferenceData!$H$473),"")</f>
        <v>8882.4817870000006</v>
      </c>
      <c r="I473">
        <f ca="1">IFERROR(IF(0=LEN(ReferenceData!$I$473),"",ReferenceData!$I$473),"")</f>
        <v>11306.392879999999</v>
      </c>
      <c r="J473">
        <f ca="1">IFERROR(IF(0=LEN(ReferenceData!$J$473),"",ReferenceData!$J$473),"")</f>
        <v>13999.73119</v>
      </c>
      <c r="K473">
        <f ca="1">IFERROR(IF(0=LEN(ReferenceData!$K$473),"",ReferenceData!$K$473),"")</f>
        <v>14195.12241</v>
      </c>
      <c r="L473">
        <f ca="1">IFERROR(IF(0=LEN(ReferenceData!$L$473),"",ReferenceData!$L$473),"")</f>
        <v>14921.052610000001</v>
      </c>
      <c r="M473">
        <f ca="1">IFERROR(IF(0=LEN(ReferenceData!$M$473),"",ReferenceData!$M$473),"")</f>
        <v>15668.91388</v>
      </c>
      <c r="N473">
        <f ca="1">IFERROR(IF(0=LEN(ReferenceData!$N$473),"",ReferenceData!$N$473),"")</f>
        <v>14555.16122</v>
      </c>
      <c r="O473">
        <f ca="1">IFERROR(IF(0=LEN(ReferenceData!$O$473),"",ReferenceData!$O$473),"")</f>
        <v>12500.67944</v>
      </c>
      <c r="P473">
        <f ca="1">IFERROR(IF(0=LEN(ReferenceData!$P$473),"",ReferenceData!$P$473),"")</f>
        <v>12683.3667</v>
      </c>
      <c r="Q473">
        <f ca="1">IFERROR(IF(0=LEN(ReferenceData!$Q$473),"",ReferenceData!$Q$473),"")</f>
        <v>10209.335859999999</v>
      </c>
      <c r="R473">
        <f ca="1">IFERROR(IF(0=LEN(ReferenceData!$R$473),"",ReferenceData!$R$473),"")</f>
        <v>11037.006670000001</v>
      </c>
      <c r="S473">
        <f ca="1">IFERROR(IF(0=LEN(ReferenceData!$S$473),"",ReferenceData!$S$473),"")</f>
        <v>14798.1392</v>
      </c>
      <c r="T473">
        <f ca="1">IFERROR(IF(0=LEN(ReferenceData!$T$473),"",ReferenceData!$T$473),"")</f>
        <v>13766.79435</v>
      </c>
      <c r="U473">
        <f ca="1">IFERROR(IF(0=LEN(ReferenceData!$U$473),"",ReferenceData!$U$473),"")</f>
        <v>18909.310270000002</v>
      </c>
      <c r="V473">
        <f ca="1">IFERROR(IF(0=LEN(ReferenceData!$V$473),"",ReferenceData!$V$473),"")</f>
        <v>24153.729879999999</v>
      </c>
      <c r="W473">
        <f ca="1">IFERROR(IF(0=LEN(ReferenceData!$W$473),"",ReferenceData!$W$473),"")</f>
        <v>19325.287670000002</v>
      </c>
      <c r="X473">
        <f ca="1">IFERROR(IF(0=LEN(ReferenceData!$X$473),"",ReferenceData!$X$473),"")</f>
        <v>13966.02851</v>
      </c>
      <c r="Y473">
        <f ca="1">IFERROR(IF(0=LEN(ReferenceData!$Y$473),"",ReferenceData!$Y$473),"")</f>
        <v>12032.68973</v>
      </c>
      <c r="Z473">
        <f ca="1">IFERROR(IF(0=LEN(ReferenceData!$Z$473),"",ReferenceData!$Z$473),"")</f>
        <v>15672.57987</v>
      </c>
      <c r="AA473">
        <f ca="1">IFERROR(IF(0=LEN(ReferenceData!$AA$473),"",ReferenceData!$AA$473),"")</f>
        <v>19370.417939999999</v>
      </c>
      <c r="AB473">
        <f ca="1">IFERROR(IF(0=LEN(ReferenceData!$AB$473),"",ReferenceData!$AB$473),"")</f>
        <v>22368.125199999999</v>
      </c>
      <c r="AC473">
        <f ca="1">IFERROR(IF(0=LEN(ReferenceData!$AC$473),"",ReferenceData!$AC$473),"")</f>
        <v>16051.14352</v>
      </c>
      <c r="AD473">
        <f ca="1">IFERROR(IF(0=LEN(ReferenceData!$AD$473),"",ReferenceData!$AD$473),"")</f>
        <v>13969.60708</v>
      </c>
      <c r="AE473">
        <f ca="1">IFERROR(IF(0=LEN(ReferenceData!$AE$473),"",ReferenceData!$AE$473),"")</f>
        <v>10896.51727</v>
      </c>
      <c r="AF473">
        <f ca="1">IFERROR(IF(0=LEN(ReferenceData!$AF$473),"",ReferenceData!$AF$473),"")</f>
        <v>8328.1788550000001</v>
      </c>
      <c r="AG473">
        <f ca="1">IFERROR(IF(0=LEN(ReferenceData!$AG$473),"",ReferenceData!$AG$473),"")</f>
        <v>7676.0163339999999</v>
      </c>
      <c r="AH473">
        <f ca="1">IFERROR(IF(0=LEN(ReferenceData!$AH$473),"",ReferenceData!$AH$473),"")</f>
        <v>6303.0708969999996</v>
      </c>
      <c r="AI473">
        <f ca="1">IFERROR(IF(0=LEN(ReferenceData!$AI$473),"",ReferenceData!$AI$473),"")</f>
        <v>5326.2880889999997</v>
      </c>
      <c r="AJ473">
        <f ca="1">IFERROR(IF(0=LEN(ReferenceData!$AJ$473),"",ReferenceData!$AJ$473),"")</f>
        <v>5119.1070099999997</v>
      </c>
      <c r="AK473">
        <f ca="1">IFERROR(IF(0=LEN(ReferenceData!$AK$473),"",ReferenceData!$AK$473),"")</f>
        <v>4504.2222620000002</v>
      </c>
      <c r="AL473">
        <f ca="1">IFERROR(IF(0=LEN(ReferenceData!$AL$473),"",ReferenceData!$AL$473),"")</f>
        <v>5063.2704750000003</v>
      </c>
      <c r="AM473">
        <f ca="1">IFERROR(IF(0=LEN(ReferenceData!$AM$473),"",ReferenceData!$AM$473),"")</f>
        <v>3381.860858</v>
      </c>
      <c r="AN473">
        <f ca="1">IFERROR(IF(0=LEN(ReferenceData!$AN$473),"",ReferenceData!$AN$473),"")</f>
        <v>2964.085681</v>
      </c>
      <c r="AO473">
        <f ca="1">IFERROR(IF(0=LEN(ReferenceData!$AO$473),"",ReferenceData!$AO$473),"")</f>
        <v>1913.040589</v>
      </c>
      <c r="AP473">
        <f ca="1">IFERROR(IF(0=LEN(ReferenceData!$AP$473),"",ReferenceData!$AP$473),"")</f>
        <v>2276.7032599999998</v>
      </c>
      <c r="AQ473">
        <f ca="1">IFERROR(IF(0=LEN(ReferenceData!$AQ$473),"",ReferenceData!$AQ$473),"")</f>
        <v>1367.4301579999999</v>
      </c>
      <c r="AR473">
        <f ca="1">IFERROR(IF(0=LEN(ReferenceData!$AR$473),"",ReferenceData!$AR$473),"")</f>
        <v>986.43870170000002</v>
      </c>
      <c r="AS473">
        <f ca="1">IFERROR(IF(0=LEN(ReferenceData!$AS$473),"",ReferenceData!$AS$473),"")</f>
        <v>869.14011679999999</v>
      </c>
      <c r="AT473">
        <f ca="1">IFERROR(IF(0=LEN(ReferenceData!$AT$473),"",ReferenceData!$AT$473),"")</f>
        <v>445.16932809999997</v>
      </c>
      <c r="AU473">
        <f ca="1">IFERROR(IF(0=LEN(ReferenceData!$AU$473),"",ReferenceData!$AU$473),"")</f>
        <v>381.57370980000002</v>
      </c>
      <c r="AV473">
        <f ca="1">IFERROR(IF(0=LEN(ReferenceData!$AV$473),"",ReferenceData!$AV$473),"")</f>
        <v>457.02159619999998</v>
      </c>
      <c r="AW473">
        <f ca="1">IFERROR(IF(0=LEN(ReferenceData!$AW$473),"",ReferenceData!$AW$473),"")</f>
        <v>726.15494439999998</v>
      </c>
      <c r="AX473">
        <f ca="1">IFERROR(IF(0=LEN(ReferenceData!$AX$473),"",ReferenceData!$AX$473),"")</f>
        <v>1056.90807</v>
      </c>
      <c r="AY473">
        <f ca="1">IFERROR(IF(0=LEN(ReferenceData!$AY$473),"",ReferenceData!$AY$473),"")</f>
        <v>1575.607651</v>
      </c>
      <c r="AZ473">
        <f ca="1">IFERROR(IF(0=LEN(ReferenceData!$AZ$473),"",ReferenceData!$AZ$473),"")</f>
        <v>1621.7686040000001</v>
      </c>
      <c r="BA473">
        <f ca="1">IFERROR(IF(0=LEN(ReferenceData!$BA$473),"",ReferenceData!$BA$473),"")</f>
        <v>1591.4723469999999</v>
      </c>
      <c r="BB473">
        <f ca="1">IFERROR(IF(0=LEN(ReferenceData!$BB$473),"",ReferenceData!$BB$473),"")</f>
        <v>1391.9410499999999</v>
      </c>
      <c r="BC473">
        <f ca="1">IFERROR(IF(0=LEN(ReferenceData!$BC$473),"",ReferenceData!$BC$473),"")</f>
        <v>911.53759330000003</v>
      </c>
      <c r="BD473">
        <f ca="1">IFERROR(IF(0=LEN(ReferenceData!$BD$473),"",ReferenceData!$BD$473),"")</f>
        <v>788.90355890000001</v>
      </c>
      <c r="BE473">
        <f ca="1">IFERROR(IF(0=LEN(ReferenceData!$BE$473),"",ReferenceData!$BE$473),"")</f>
        <v>513.61465840000005</v>
      </c>
      <c r="BF473">
        <f ca="1">IFERROR(IF(0=LEN(ReferenceData!$BF$473),"",ReferenceData!$BF$473),"")</f>
        <v>626.63566060000005</v>
      </c>
      <c r="BG473">
        <f ca="1">IFERROR(IF(0=LEN(ReferenceData!$BG$473),"",ReferenceData!$BG$473),"")</f>
        <v>310.5240119</v>
      </c>
      <c r="BH473">
        <f ca="1">IFERROR(IF(0=LEN(ReferenceData!$BH$473),"",ReferenceData!$BH$473),"")</f>
        <v>325.58621110000001</v>
      </c>
      <c r="BI473">
        <f ca="1">IFERROR(IF(0=LEN(ReferenceData!$BI$473),"",ReferenceData!$BI$473),"")</f>
        <v>337.14920339999998</v>
      </c>
      <c r="BJ473">
        <f ca="1">IFERROR(IF(0=LEN(ReferenceData!$BJ$473),"",ReferenceData!$BJ$473),"")</f>
        <v>357.12417920000001</v>
      </c>
      <c r="BK473">
        <f ca="1">IFERROR(IF(0=LEN(ReferenceData!$BK$473),"",ReferenceData!$BK$473),"")</f>
        <v>434.26155199999999</v>
      </c>
      <c r="BL473">
        <f ca="1">IFERROR(IF(0=LEN(ReferenceData!$BL$473),"",ReferenceData!$BL$473),"")</f>
        <v>448.07357439999998</v>
      </c>
      <c r="BM473">
        <f ca="1">IFERROR(IF(0=LEN(ReferenceData!$BM$473),"",ReferenceData!$BM$473),"")</f>
        <v>475.13847120000003</v>
      </c>
    </row>
    <row r="474" spans="1:65" x14ac:dyDescent="0.25">
      <c r="A474" t="str">
        <f>IFERROR(IF(0=LEN(ReferenceData!$A$474),"",ReferenceData!$A$474),"")</f>
        <v xml:space="preserve">    Guangzhou Automobile Group Co Ltd</v>
      </c>
      <c r="B474" t="str">
        <f>IFERROR(IF(0=LEN(ReferenceData!$B$474),"",ReferenceData!$B$474),"")</f>
        <v>2238 HK Equity</v>
      </c>
      <c r="C474" t="str">
        <f>IFERROR(IF(0=LEN(ReferenceData!$C$474),"",ReferenceData!$C$474),"")</f>
        <v>RR902</v>
      </c>
      <c r="D474" t="str">
        <f>IFERROR(IF(0=LEN(ReferenceData!$D$474),"",ReferenceData!$D$474),"")</f>
        <v>CUR_MKT_CAP</v>
      </c>
      <c r="E474" t="str">
        <f>IFERROR(IF(0=LEN(ReferenceData!$E$474),"",ReferenceData!$E$474),"")</f>
        <v>Dynamic</v>
      </c>
      <c r="F474">
        <f ca="1">IFERROR(IF(0=LEN(ReferenceData!$F$474),"",ReferenceData!$F$474),"")</f>
        <v>16848.111290000001</v>
      </c>
      <c r="G474">
        <f ca="1">IFERROR(IF(0=LEN(ReferenceData!$G$474),"",ReferenceData!$G$474),"")</f>
        <v>13759.74934</v>
      </c>
      <c r="H474">
        <f ca="1">IFERROR(IF(0=LEN(ReferenceData!$H$474),"",ReferenceData!$H$474),"")</f>
        <v>14880.31681</v>
      </c>
      <c r="I474">
        <f ca="1">IFERROR(IF(0=LEN(ReferenceData!$I$474),"",ReferenceData!$I$474),"")</f>
        <v>14994.63502</v>
      </c>
      <c r="J474">
        <f ca="1">IFERROR(IF(0=LEN(ReferenceData!$J$474),"",ReferenceData!$J$474),"")</f>
        <v>21442.136640000001</v>
      </c>
      <c r="K474">
        <f ca="1">IFERROR(IF(0=LEN(ReferenceData!$K$474),"",ReferenceData!$K$474),"")</f>
        <v>24458.98846</v>
      </c>
      <c r="L474">
        <f ca="1">IFERROR(IF(0=LEN(ReferenceData!$L$474),"",ReferenceData!$L$474),"")</f>
        <v>22466.36565</v>
      </c>
      <c r="M474">
        <f ca="1">IFERROR(IF(0=LEN(ReferenceData!$M$474),"",ReferenceData!$M$474),"")</f>
        <v>20396.171490000001</v>
      </c>
      <c r="N474">
        <f ca="1">IFERROR(IF(0=LEN(ReferenceData!$N$474),"",ReferenceData!$N$474),"")</f>
        <v>19779.823769999999</v>
      </c>
      <c r="O474">
        <f ca="1">IFERROR(IF(0=LEN(ReferenceData!$O$474),"",ReferenceData!$O$474),"")</f>
        <v>16831.235509999999</v>
      </c>
      <c r="P474">
        <f ca="1">IFERROR(IF(0=LEN(ReferenceData!$P$474),"",ReferenceData!$P$474),"")</f>
        <v>16973.7251</v>
      </c>
      <c r="Q474">
        <f ca="1">IFERROR(IF(0=LEN(ReferenceData!$Q$474),"",ReferenceData!$Q$474),"")</f>
        <v>17540.458930000001</v>
      </c>
      <c r="R474">
        <f ca="1">IFERROR(IF(0=LEN(ReferenceData!$R$474),"",ReferenceData!$R$474),"")</f>
        <v>15793.640509999999</v>
      </c>
      <c r="S474">
        <f ca="1">IFERROR(IF(0=LEN(ReferenceData!$S$474),"",ReferenceData!$S$474),"")</f>
        <v>16660.736430000001</v>
      </c>
      <c r="T474">
        <f ca="1">IFERROR(IF(0=LEN(ReferenceData!$T$474),"",ReferenceData!$T$474),"")</f>
        <v>13873.71702</v>
      </c>
      <c r="U474">
        <f ca="1">IFERROR(IF(0=LEN(ReferenceData!$U$474),"",ReferenceData!$U$474),"")</f>
        <v>12470.622300000001</v>
      </c>
      <c r="V474">
        <f ca="1">IFERROR(IF(0=LEN(ReferenceData!$V$474),"",ReferenceData!$V$474),"")</f>
        <v>8810.1132030000008</v>
      </c>
      <c r="W474">
        <f ca="1">IFERROR(IF(0=LEN(ReferenceData!$W$474),"",ReferenceData!$W$474),"")</f>
        <v>7918.5925010000001</v>
      </c>
      <c r="X474">
        <f ca="1">IFERROR(IF(0=LEN(ReferenceData!$X$474),"",ReferenceData!$X$474),"")</f>
        <v>7966.1794959999997</v>
      </c>
      <c r="Y474">
        <f ca="1">IFERROR(IF(0=LEN(ReferenceData!$Y$474),"",ReferenceData!$Y$474),"")</f>
        <v>7688.3155150000002</v>
      </c>
      <c r="Z474">
        <f ca="1">IFERROR(IF(0=LEN(ReferenceData!$Z$474),"",ReferenceData!$Z$474),"")</f>
        <v>7254.2552159999996</v>
      </c>
      <c r="AA474">
        <f ca="1">IFERROR(IF(0=LEN(ReferenceData!$AA$474),"",ReferenceData!$AA$474),"")</f>
        <v>8168.2241979999999</v>
      </c>
      <c r="AB474">
        <f ca="1">IFERROR(IF(0=LEN(ReferenceData!$AB$474),"",ReferenceData!$AB$474),"")</f>
        <v>7993.3351199999997</v>
      </c>
      <c r="AC474">
        <f ca="1">IFERROR(IF(0=LEN(ReferenceData!$AC$474),"",ReferenceData!$AC$474),"")</f>
        <v>7154.2489930000002</v>
      </c>
      <c r="AD474">
        <f ca="1">IFERROR(IF(0=LEN(ReferenceData!$AD$474),"",ReferenceData!$AD$474),"")</f>
        <v>5759.1035490000004</v>
      </c>
      <c r="AE474">
        <f ca="1">IFERROR(IF(0=LEN(ReferenceData!$AE$474),"",ReferenceData!$AE$474),"")</f>
        <v>6098.8377829999999</v>
      </c>
      <c r="AF474">
        <f ca="1">IFERROR(IF(0=LEN(ReferenceData!$AF$474),"",ReferenceData!$AF$474),"")</f>
        <v>5025.8936030000004</v>
      </c>
      <c r="AG474">
        <f ca="1">IFERROR(IF(0=LEN(ReferenceData!$AG$474),"",ReferenceData!$AG$474),"")</f>
        <v>6952.4981120000002</v>
      </c>
      <c r="AH474">
        <f ca="1">IFERROR(IF(0=LEN(ReferenceData!$AH$474),"",ReferenceData!$AH$474),"")</f>
        <v>7905.6415079999997</v>
      </c>
      <c r="AI474">
        <f ca="1">IFERROR(IF(0=LEN(ReferenceData!$AI$474),"",ReferenceData!$AI$474),"")</f>
        <v>5129.5844719999996</v>
      </c>
      <c r="AJ474">
        <f ca="1">IFERROR(IF(0=LEN(ReferenceData!$AJ$474),"",ReferenceData!$AJ$474),"")</f>
        <v>6056.540994</v>
      </c>
      <c r="AK474">
        <f ca="1">IFERROR(IF(0=LEN(ReferenceData!$AK$474),"",ReferenceData!$AK$474),"")</f>
        <v>7506.0170609999996</v>
      </c>
      <c r="AL474">
        <f ca="1">IFERROR(IF(0=LEN(ReferenceData!$AL$474),"",ReferenceData!$AL$474),"")</f>
        <v>7471.0245940000004</v>
      </c>
      <c r="AM474">
        <f ca="1">IFERROR(IF(0=LEN(ReferenceData!$AM$474),"",ReferenceData!$AM$474),"")</f>
        <v>8479.2103800000004</v>
      </c>
      <c r="AN474">
        <f ca="1">IFERROR(IF(0=LEN(ReferenceData!$AN$474),"",ReferenceData!$AN$474),"")</f>
        <v>10585.077660000001</v>
      </c>
      <c r="AO474" t="str">
        <f ca="1">IFERROR(IF(0=LEN(ReferenceData!$AO$474),"",ReferenceData!$AO$474),"")</f>
        <v/>
      </c>
      <c r="AP474" t="str">
        <f ca="1">IFERROR(IF(0=LEN(ReferenceData!$AP$474),"",ReferenceData!$AP$474),"")</f>
        <v/>
      </c>
      <c r="AQ474" t="str">
        <f ca="1">IFERROR(IF(0=LEN(ReferenceData!$AQ$474),"",ReferenceData!$AQ$474),"")</f>
        <v/>
      </c>
      <c r="AR474" t="str">
        <f ca="1">IFERROR(IF(0=LEN(ReferenceData!$AR$474),"",ReferenceData!$AR$474),"")</f>
        <v/>
      </c>
      <c r="AS474" t="str">
        <f ca="1">IFERROR(IF(0=LEN(ReferenceData!$AS$474),"",ReferenceData!$AS$474),"")</f>
        <v/>
      </c>
      <c r="AT474" t="str">
        <f ca="1">IFERROR(IF(0=LEN(ReferenceData!$AT$474),"",ReferenceData!$AT$474),"")</f>
        <v/>
      </c>
      <c r="AU474" t="str">
        <f ca="1">IFERROR(IF(0=LEN(ReferenceData!$AU$474),"",ReferenceData!$AU$474),"")</f>
        <v/>
      </c>
      <c r="AV474" t="str">
        <f ca="1">IFERROR(IF(0=LEN(ReferenceData!$AV$474),"",ReferenceData!$AV$474),"")</f>
        <v/>
      </c>
      <c r="AW474" t="str">
        <f ca="1">IFERROR(IF(0=LEN(ReferenceData!$AW$474),"",ReferenceData!$AW$474),"")</f>
        <v/>
      </c>
      <c r="AX474" t="str">
        <f ca="1">IFERROR(IF(0=LEN(ReferenceData!$AX$474),"",ReferenceData!$AX$474),"")</f>
        <v/>
      </c>
      <c r="AY474" t="str">
        <f ca="1">IFERROR(IF(0=LEN(ReferenceData!$AY$474),"",ReferenceData!$AY$474),"")</f>
        <v/>
      </c>
      <c r="AZ474" t="str">
        <f ca="1">IFERROR(IF(0=LEN(ReferenceData!$AZ$474),"",ReferenceData!$AZ$474),"")</f>
        <v/>
      </c>
      <c r="BA474" t="str">
        <f ca="1">IFERROR(IF(0=LEN(ReferenceData!$BA$474),"",ReferenceData!$BA$474),"")</f>
        <v/>
      </c>
      <c r="BB474" t="str">
        <f ca="1">IFERROR(IF(0=LEN(ReferenceData!$BB$474),"",ReferenceData!$BB$474),"")</f>
        <v/>
      </c>
      <c r="BC474" t="str">
        <f ca="1">IFERROR(IF(0=LEN(ReferenceData!$BC$474),"",ReferenceData!$BC$474),"")</f>
        <v/>
      </c>
      <c r="BD474" t="str">
        <f ca="1">IFERROR(IF(0=LEN(ReferenceData!$BD$474),"",ReferenceData!$BD$474),"")</f>
        <v/>
      </c>
      <c r="BE474" t="str">
        <f ca="1">IFERROR(IF(0=LEN(ReferenceData!$BE$474),"",ReferenceData!$BE$474),"")</f>
        <v/>
      </c>
      <c r="BF474" t="str">
        <f ca="1">IFERROR(IF(0=LEN(ReferenceData!$BF$474),"",ReferenceData!$BF$474),"")</f>
        <v/>
      </c>
      <c r="BG474" t="str">
        <f ca="1">IFERROR(IF(0=LEN(ReferenceData!$BG$474),"",ReferenceData!$BG$474),"")</f>
        <v/>
      </c>
      <c r="BH474" t="str">
        <f ca="1">IFERROR(IF(0=LEN(ReferenceData!$BH$474),"",ReferenceData!$BH$474),"")</f>
        <v/>
      </c>
      <c r="BI474" t="str">
        <f ca="1">IFERROR(IF(0=LEN(ReferenceData!$BI$474),"",ReferenceData!$BI$474),"")</f>
        <v/>
      </c>
      <c r="BJ474" t="str">
        <f ca="1">IFERROR(IF(0=LEN(ReferenceData!$BJ$474),"",ReferenceData!$BJ$474),"")</f>
        <v/>
      </c>
      <c r="BK474" t="str">
        <f ca="1">IFERROR(IF(0=LEN(ReferenceData!$BK$474),"",ReferenceData!$BK$474),"")</f>
        <v/>
      </c>
      <c r="BL474" t="str">
        <f ca="1">IFERROR(IF(0=LEN(ReferenceData!$BL$474),"",ReferenceData!$BL$474),"")</f>
        <v/>
      </c>
      <c r="BM474" t="str">
        <f ca="1">IFERROR(IF(0=LEN(ReferenceData!$BM$474),"",ReferenceData!$BM$474),"")</f>
        <v/>
      </c>
    </row>
    <row r="475" spans="1:65" x14ac:dyDescent="0.25">
      <c r="A475" t="str">
        <f>IFERROR(IF(0=LEN(ReferenceData!$A$475),"",ReferenceData!$A$475),"")</f>
        <v xml:space="preserve">    Honda Motor Co Ltd</v>
      </c>
      <c r="B475" t="str">
        <f>IFERROR(IF(0=LEN(ReferenceData!$B$475),"",ReferenceData!$B$475),"")</f>
        <v>7267 JP Equity</v>
      </c>
      <c r="C475" t="str">
        <f>IFERROR(IF(0=LEN(ReferenceData!$C$475),"",ReferenceData!$C$475),"")</f>
        <v>RR902</v>
      </c>
      <c r="D475" t="str">
        <f>IFERROR(IF(0=LEN(ReferenceData!$D$475),"",ReferenceData!$D$475),"")</f>
        <v>CUR_MKT_CAP</v>
      </c>
      <c r="E475" t="str">
        <f>IFERROR(IF(0=LEN(ReferenceData!$E$475),"",ReferenceData!$E$475),"")</f>
        <v>Dynamic</v>
      </c>
      <c r="F475">
        <f ca="1">IFERROR(IF(0=LEN(ReferenceData!$F$475),"",ReferenceData!$F$475),"")</f>
        <v>51191.118139999999</v>
      </c>
      <c r="G475">
        <f ca="1">IFERROR(IF(0=LEN(ReferenceData!$G$475),"",ReferenceData!$G$475),"")</f>
        <v>47488.26728</v>
      </c>
      <c r="H475">
        <f ca="1">IFERROR(IF(0=LEN(ReferenceData!$H$475),"",ReferenceData!$H$475),"")</f>
        <v>54885.483440000004</v>
      </c>
      <c r="I475">
        <f ca="1">IFERROR(IF(0=LEN(ReferenceData!$I$475),"",ReferenceData!$I$475),"")</f>
        <v>53191.701419999998</v>
      </c>
      <c r="J475">
        <f ca="1">IFERROR(IF(0=LEN(ReferenceData!$J$475),"",ReferenceData!$J$475),"")</f>
        <v>62416.00503</v>
      </c>
      <c r="K475">
        <f ca="1">IFERROR(IF(0=LEN(ReferenceData!$K$475),"",ReferenceData!$K$475),"")</f>
        <v>62140.136760000001</v>
      </c>
      <c r="L475">
        <f ca="1">IFERROR(IF(0=LEN(ReferenceData!$L$475),"",ReferenceData!$L$475),"")</f>
        <v>53593.318489999998</v>
      </c>
      <c r="M475">
        <f ca="1">IFERROR(IF(0=LEN(ReferenceData!$M$475),"",ReferenceData!$M$475),"")</f>
        <v>49401.128810000002</v>
      </c>
      <c r="N475">
        <f ca="1">IFERROR(IF(0=LEN(ReferenceData!$N$475),"",ReferenceData!$N$475),"")</f>
        <v>54533.256600000001</v>
      </c>
      <c r="O475">
        <f ca="1">IFERROR(IF(0=LEN(ReferenceData!$O$475),"",ReferenceData!$O$475),"")</f>
        <v>53035.221310000001</v>
      </c>
      <c r="P475">
        <f ca="1">IFERROR(IF(0=LEN(ReferenceData!$P$475),"",ReferenceData!$P$475),"")</f>
        <v>51567.580580000002</v>
      </c>
      <c r="Q475">
        <f ca="1">IFERROR(IF(0=LEN(ReferenceData!$Q$475),"",ReferenceData!$Q$475),"")</f>
        <v>45158.44298</v>
      </c>
      <c r="R475">
        <f ca="1">IFERROR(IF(0=LEN(ReferenceData!$R$475),"",ReferenceData!$R$475),"")</f>
        <v>49689.495540000004</v>
      </c>
      <c r="S475">
        <f ca="1">IFERROR(IF(0=LEN(ReferenceData!$S$475),"",ReferenceData!$S$475),"")</f>
        <v>58723.864560000002</v>
      </c>
      <c r="T475">
        <f ca="1">IFERROR(IF(0=LEN(ReferenceData!$T$475),"",ReferenceData!$T$475),"")</f>
        <v>53569.360269999997</v>
      </c>
      <c r="U475">
        <f ca="1">IFERROR(IF(0=LEN(ReferenceData!$U$475),"",ReferenceData!$U$475),"")</f>
        <v>58761.659610000002</v>
      </c>
      <c r="V475">
        <f ca="1">IFERROR(IF(0=LEN(ReferenceData!$V$475),"",ReferenceData!$V$475),"")</f>
        <v>58941.269740000003</v>
      </c>
      <c r="W475">
        <f ca="1">IFERROR(IF(0=LEN(ReferenceData!$W$475),"",ReferenceData!$W$475),"")</f>
        <v>53466.405270000003</v>
      </c>
      <c r="X475">
        <f ca="1">IFERROR(IF(0=LEN(ReferenceData!$X$475),"",ReferenceData!$X$475),"")</f>
        <v>62770.638099999996</v>
      </c>
      <c r="Y475">
        <f ca="1">IFERROR(IF(0=LEN(ReferenceData!$Y$475),"",ReferenceData!$Y$475),"")</f>
        <v>63254.245110000003</v>
      </c>
      <c r="Z475">
        <f ca="1">IFERROR(IF(0=LEN(ReferenceData!$Z$475),"",ReferenceData!$Z$475),"")</f>
        <v>63866.605689999997</v>
      </c>
      <c r="AA475">
        <f ca="1">IFERROR(IF(0=LEN(ReferenceData!$AA$475),"",ReferenceData!$AA$475),"")</f>
        <v>74642.98878</v>
      </c>
      <c r="AB475">
        <f ca="1">IFERROR(IF(0=LEN(ReferenceData!$AB$475),"",ReferenceData!$AB$475),"")</f>
        <v>68889.983949999994</v>
      </c>
      <c r="AC475">
        <f ca="1">IFERROR(IF(0=LEN(ReferenceData!$AC$475),"",ReferenceData!$AC$475),"")</f>
        <v>67201.388300000006</v>
      </c>
      <c r="AD475">
        <f ca="1">IFERROR(IF(0=LEN(ReferenceData!$AD$475),"",ReferenceData!$AD$475),"")</f>
        <v>68346.717950000006</v>
      </c>
      <c r="AE475">
        <f ca="1">IFERROR(IF(0=LEN(ReferenceData!$AE$475),"",ReferenceData!$AE$475),"")</f>
        <v>66181.948699999994</v>
      </c>
      <c r="AF475">
        <f ca="1">IFERROR(IF(0=LEN(ReferenceData!$AF$475),"",ReferenceData!$AF$475),"")</f>
        <v>55723.738989999998</v>
      </c>
      <c r="AG475">
        <f ca="1">IFERROR(IF(0=LEN(ReferenceData!$AG$475),"",ReferenceData!$AG$475),"")</f>
        <v>62401.209519999997</v>
      </c>
      <c r="AH475">
        <f ca="1">IFERROR(IF(0=LEN(ReferenceData!$AH$475),"",ReferenceData!$AH$475),"")</f>
        <v>68945.203250000006</v>
      </c>
      <c r="AI475">
        <f ca="1">IFERROR(IF(0=LEN(ReferenceData!$AI$475),"",ReferenceData!$AI$475),"")</f>
        <v>55243.97653</v>
      </c>
      <c r="AJ475">
        <f ca="1">IFERROR(IF(0=LEN(ReferenceData!$AJ$475),"",ReferenceData!$AJ$475),"")</f>
        <v>53985.91865</v>
      </c>
      <c r="AK475">
        <f ca="1">IFERROR(IF(0=LEN(ReferenceData!$AK$475),"",ReferenceData!$AK$475),"")</f>
        <v>69367.636790000004</v>
      </c>
      <c r="AL475">
        <f ca="1">IFERROR(IF(0=LEN(ReferenceData!$AL$475),"",ReferenceData!$AL$475),"")</f>
        <v>68341.349249999999</v>
      </c>
      <c r="AM475">
        <f ca="1">IFERROR(IF(0=LEN(ReferenceData!$AM$475),"",ReferenceData!$AM$475),"")</f>
        <v>71247.155870000002</v>
      </c>
      <c r="AN475">
        <f ca="1">IFERROR(IF(0=LEN(ReferenceData!$AN$475),"",ReferenceData!$AN$475),"")</f>
        <v>64309.400280000002</v>
      </c>
      <c r="AO475">
        <f ca="1">IFERROR(IF(0=LEN(ReferenceData!$AO$475),"",ReferenceData!$AO$475),"")</f>
        <v>53793.737580000001</v>
      </c>
      <c r="AP475">
        <f ca="1">IFERROR(IF(0=LEN(ReferenceData!$AP$475),"",ReferenceData!$AP$475),"")</f>
        <v>64800.231359999998</v>
      </c>
      <c r="AQ475">
        <f ca="1">IFERROR(IF(0=LEN(ReferenceData!$AQ$475),"",ReferenceData!$AQ$475),"")</f>
        <v>61770.039270000001</v>
      </c>
      <c r="AR475">
        <f ca="1">IFERROR(IF(0=LEN(ReferenceData!$AR$475),"",ReferenceData!$AR$475),"")</f>
        <v>56571.14675</v>
      </c>
      <c r="AS475">
        <f ca="1">IFERROR(IF(0=LEN(ReferenceData!$AS$475),"",ReferenceData!$AS$475),"")</f>
        <v>50671.132290000001</v>
      </c>
      <c r="AT475">
        <f ca="1">IFERROR(IF(0=LEN(ReferenceData!$AT$475),"",ReferenceData!$AT$475),"")</f>
        <v>42754.178910000002</v>
      </c>
      <c r="AU475">
        <f ca="1">IFERROR(IF(0=LEN(ReferenceData!$AU$475),"",ReferenceData!$AU$475),"")</f>
        <v>38715.630149999997</v>
      </c>
      <c r="AV475">
        <f ca="1">IFERROR(IF(0=LEN(ReferenceData!$AV$475),"",ReferenceData!$AV$475),"")</f>
        <v>53391.276590000001</v>
      </c>
      <c r="AW475">
        <f ca="1">IFERROR(IF(0=LEN(ReferenceData!$AW$475),"",ReferenceData!$AW$475),"")</f>
        <v>62376.216330000003</v>
      </c>
      <c r="AX475">
        <f ca="1">IFERROR(IF(0=LEN(ReferenceData!$AX$475),"",ReferenceData!$AX$475),"")</f>
        <v>52274.050770000002</v>
      </c>
      <c r="AY475">
        <f ca="1">IFERROR(IF(0=LEN(ReferenceData!$AY$475),"",ReferenceData!$AY$475),"")</f>
        <v>60998.28355</v>
      </c>
      <c r="AZ475">
        <f ca="1">IFERROR(IF(0=LEN(ReferenceData!$AZ$475),"",ReferenceData!$AZ$475),"")</f>
        <v>61693.706489999997</v>
      </c>
      <c r="BA475">
        <f ca="1">IFERROR(IF(0=LEN(ReferenceData!$BA$475),"",ReferenceData!$BA$475),"")</f>
        <v>66986.270170000003</v>
      </c>
      <c r="BB475">
        <f ca="1">IFERROR(IF(0=LEN(ReferenceData!$BB$475),"",ReferenceData!$BB$475),"")</f>
        <v>64130.83253</v>
      </c>
      <c r="BC475">
        <f ca="1">IFERROR(IF(0=LEN(ReferenceData!$BC$475),"",ReferenceData!$BC$475),"")</f>
        <v>72419.325960000002</v>
      </c>
      <c r="BD475">
        <f ca="1">IFERROR(IF(0=LEN(ReferenceData!$BD$475),"",ReferenceData!$BD$475),"")</f>
        <v>61720.628920000003</v>
      </c>
      <c r="BE475">
        <f ca="1">IFERROR(IF(0=LEN(ReferenceData!$BE$475),"",ReferenceData!$BE$475),"")</f>
        <v>58184.912900000003</v>
      </c>
      <c r="BF475">
        <f ca="1">IFERROR(IF(0=LEN(ReferenceData!$BF$475),"",ReferenceData!$BF$475),"")</f>
        <v>56918.718339999999</v>
      </c>
      <c r="BG475">
        <f ca="1">IFERROR(IF(0=LEN(ReferenceData!$BG$475),"",ReferenceData!$BG$475),"")</f>
        <v>52964.545749999997</v>
      </c>
      <c r="BH475">
        <f ca="1">IFERROR(IF(0=LEN(ReferenceData!$BH$475),"",ReferenceData!$BH$475),"")</f>
        <v>52486.959009999999</v>
      </c>
      <c r="BI475">
        <f ca="1">IFERROR(IF(0=LEN(ReferenceData!$BI$475),"",ReferenceData!$BI$475),"")</f>
        <v>45780.452440000001</v>
      </c>
      <c r="BJ475">
        <f ca="1">IFERROR(IF(0=LEN(ReferenceData!$BJ$475),"",ReferenceData!$BJ$475),"")</f>
        <v>46507.315029999998</v>
      </c>
      <c r="BK475">
        <f ca="1">IFERROR(IF(0=LEN(ReferenceData!$BK$475),"",ReferenceData!$BK$475),"")</f>
        <v>48406.4951</v>
      </c>
      <c r="BL475">
        <f ca="1">IFERROR(IF(0=LEN(ReferenceData!$BL$475),"",ReferenceData!$BL$475),"")</f>
        <v>45633.327989999998</v>
      </c>
      <c r="BM475">
        <f ca="1">IFERROR(IF(0=LEN(ReferenceData!$BM$475),"",ReferenceData!$BM$475),"")</f>
        <v>46863.103660000001</v>
      </c>
    </row>
    <row r="476" spans="1:65" x14ac:dyDescent="0.25">
      <c r="A476" t="str">
        <f>IFERROR(IF(0=LEN(ReferenceData!$A$476),"",ReferenceData!$A$476),"")</f>
        <v xml:space="preserve">    Hyundai Motor Co</v>
      </c>
      <c r="B476" t="str">
        <f>IFERROR(IF(0=LEN(ReferenceData!$B$476),"",ReferenceData!$B$476),"")</f>
        <v>005380 KS Equity</v>
      </c>
      <c r="C476" t="str">
        <f>IFERROR(IF(0=LEN(ReferenceData!$C$476),"",ReferenceData!$C$476),"")</f>
        <v>RR902</v>
      </c>
      <c r="D476" t="str">
        <f>IFERROR(IF(0=LEN(ReferenceData!$D$476),"",ReferenceData!$D$476),"")</f>
        <v>CUR_MKT_CAP</v>
      </c>
      <c r="E476" t="str">
        <f>IFERROR(IF(0=LEN(ReferenceData!$E$476),"",ReferenceData!$E$476),"")</f>
        <v>Dynamic</v>
      </c>
      <c r="F476">
        <f ca="1">IFERROR(IF(0=LEN(ReferenceData!$F$476),"",ReferenceData!$F$476),"")</f>
        <v>23043.67452</v>
      </c>
      <c r="G476">
        <f ca="1">IFERROR(IF(0=LEN(ReferenceData!$G$476),"",ReferenceData!$G$476),"")</f>
        <v>22702.12513</v>
      </c>
      <c r="H476">
        <f ca="1">IFERROR(IF(0=LEN(ReferenceData!$H$476),"",ReferenceData!$H$476),"")</f>
        <v>24930.425729999999</v>
      </c>
      <c r="I476">
        <f ca="1">IFERROR(IF(0=LEN(ReferenceData!$I$476),"",ReferenceData!$I$476),"")</f>
        <v>24830.41848</v>
      </c>
      <c r="J476">
        <f ca="1">IFERROR(IF(0=LEN(ReferenceData!$J$476),"",ReferenceData!$J$476),"")</f>
        <v>29795.99266</v>
      </c>
      <c r="K476">
        <f ca="1">IFERROR(IF(0=LEN(ReferenceData!$K$476),"",ReferenceData!$K$476),"")</f>
        <v>32076.703310000001</v>
      </c>
      <c r="L476">
        <f ca="1">IFERROR(IF(0=LEN(ReferenceData!$L$476),"",ReferenceData!$L$476),"")</f>
        <v>28967.538789999999</v>
      </c>
      <c r="M476">
        <f ca="1">IFERROR(IF(0=LEN(ReferenceData!$M$476),"",ReferenceData!$M$476),"")</f>
        <v>30717.530999999999</v>
      </c>
      <c r="N476">
        <f ca="1">IFERROR(IF(0=LEN(ReferenceData!$N$476),"",ReferenceData!$N$476),"")</f>
        <v>31037.623039999999</v>
      </c>
      <c r="O476">
        <f ca="1">IFERROR(IF(0=LEN(ReferenceData!$O$476),"",ReferenceData!$O$476),"")</f>
        <v>26649.291679999998</v>
      </c>
      <c r="P476">
        <f ca="1">IFERROR(IF(0=LEN(ReferenceData!$P$476),"",ReferenceData!$P$476),"")</f>
        <v>27148.865040000001</v>
      </c>
      <c r="Q476">
        <f ca="1">IFERROR(IF(0=LEN(ReferenceData!$Q$476),"",ReferenceData!$Q$476),"")</f>
        <v>25905.6574</v>
      </c>
      <c r="R476">
        <f ca="1">IFERROR(IF(0=LEN(ReferenceData!$R$476),"",ReferenceData!$R$476),"")</f>
        <v>29409.022870000001</v>
      </c>
      <c r="S476">
        <f ca="1">IFERROR(IF(0=LEN(ReferenceData!$S$476),"",ReferenceData!$S$476),"")</f>
        <v>27857.538430000001</v>
      </c>
      <c r="T476">
        <f ca="1">IFERROR(IF(0=LEN(ReferenceData!$T$476),"",ReferenceData!$T$476),"")</f>
        <v>30475.23345</v>
      </c>
      <c r="U476">
        <f ca="1">IFERROR(IF(0=LEN(ReferenceData!$U$476),"",ReferenceData!$U$476),"")</f>
        <v>26804.817790000001</v>
      </c>
      <c r="V476">
        <f ca="1">IFERROR(IF(0=LEN(ReferenceData!$V$476),"",ReferenceData!$V$476),"")</f>
        <v>33477.875569999997</v>
      </c>
      <c r="W476">
        <f ca="1">IFERROR(IF(0=LEN(ReferenceData!$W$476),"",ReferenceData!$W$476),"")</f>
        <v>33950.810409999998</v>
      </c>
      <c r="X476">
        <f ca="1">IFERROR(IF(0=LEN(ReferenceData!$X$476),"",ReferenceData!$X$476),"")</f>
        <v>39662.257369999999</v>
      </c>
      <c r="Y476">
        <f ca="1">IFERROR(IF(0=LEN(ReferenceData!$Y$476),"",ReferenceData!$Y$476),"")</f>
        <v>49982.154750000002</v>
      </c>
      <c r="Z476">
        <f ca="1">IFERROR(IF(0=LEN(ReferenceData!$Z$476),"",ReferenceData!$Z$476),"")</f>
        <v>52067.460520000001</v>
      </c>
      <c r="AA476">
        <f ca="1">IFERROR(IF(0=LEN(ReferenceData!$AA$476),"",ReferenceData!$AA$476),"")</f>
        <v>49379.512889999998</v>
      </c>
      <c r="AB476">
        <f ca="1">IFERROR(IF(0=LEN(ReferenceData!$AB$476),"",ReferenceData!$AB$476),"")</f>
        <v>51413.82114</v>
      </c>
      <c r="AC476">
        <f ca="1">IFERROR(IF(0=LEN(ReferenceData!$AC$476),"",ReferenceData!$AC$476),"")</f>
        <v>43474.985679999998</v>
      </c>
      <c r="AD476">
        <f ca="1">IFERROR(IF(0=LEN(ReferenceData!$AD$476),"",ReferenceData!$AD$476),"")</f>
        <v>44320.432059999999</v>
      </c>
      <c r="AE476">
        <f ca="1">IFERROR(IF(0=LEN(ReferenceData!$AE$476),"",ReferenceData!$AE$476),"")</f>
        <v>45097.602469999998</v>
      </c>
      <c r="AF476">
        <f ca="1">IFERROR(IF(0=LEN(ReferenceData!$AF$476),"",ReferenceData!$AF$476),"")</f>
        <v>49893.20145</v>
      </c>
      <c r="AG476">
        <f ca="1">IFERROR(IF(0=LEN(ReferenceData!$AG$476),"",ReferenceData!$AG$476),"")</f>
        <v>44830.825989999998</v>
      </c>
      <c r="AH476">
        <f ca="1">IFERROR(IF(0=LEN(ReferenceData!$AH$476),"",ReferenceData!$AH$476),"")</f>
        <v>45324.383650000003</v>
      </c>
      <c r="AI476">
        <f ca="1">IFERROR(IF(0=LEN(ReferenceData!$AI$476),"",ReferenceData!$AI$476),"")</f>
        <v>40572.18808</v>
      </c>
      <c r="AJ476">
        <f ca="1">IFERROR(IF(0=LEN(ReferenceData!$AJ$476),"",ReferenceData!$AJ$476),"")</f>
        <v>39353.407939999997</v>
      </c>
      <c r="AK476">
        <f ca="1">IFERROR(IF(0=LEN(ReferenceData!$AK$476),"",ReferenceData!$AK$476),"")</f>
        <v>48877.922599999998</v>
      </c>
      <c r="AL476">
        <f ca="1">IFERROR(IF(0=LEN(ReferenceData!$AL$476),"",ReferenceData!$AL$476),"")</f>
        <v>40730.63753</v>
      </c>
      <c r="AM476">
        <f ca="1">IFERROR(IF(0=LEN(ReferenceData!$AM$476),"",ReferenceData!$AM$476),"")</f>
        <v>33821.814129999999</v>
      </c>
      <c r="AN476">
        <f ca="1">IFERROR(IF(0=LEN(ReferenceData!$AN$476),"",ReferenceData!$AN$476),"")</f>
        <v>29685.814490000001</v>
      </c>
      <c r="AO476">
        <f ca="1">IFERROR(IF(0=LEN(ReferenceData!$AO$476),"",ReferenceData!$AO$476),"")</f>
        <v>26060.221799999999</v>
      </c>
      <c r="AP476">
        <f ca="1">IFERROR(IF(0=LEN(ReferenceData!$AP$476),"",ReferenceData!$AP$476),"")</f>
        <v>22502.0442</v>
      </c>
      <c r="AQ476">
        <f ca="1">IFERROR(IF(0=LEN(ReferenceData!$AQ$476),"",ReferenceData!$AQ$476),"")</f>
        <v>22888.327219999999</v>
      </c>
      <c r="AR476">
        <f ca="1">IFERROR(IF(0=LEN(ReferenceData!$AR$476),"",ReferenceData!$AR$476),"")</f>
        <v>20892.165919999999</v>
      </c>
      <c r="AS476">
        <f ca="1">IFERROR(IF(0=LEN(ReferenceData!$AS$476),"",ReferenceData!$AS$476),"")</f>
        <v>12828.615540000001</v>
      </c>
      <c r="AT476">
        <f ca="1">IFERROR(IF(0=LEN(ReferenceData!$AT$476),"",ReferenceData!$AT$476),"")</f>
        <v>8941.5586039999998</v>
      </c>
      <c r="AU476">
        <f ca="1">IFERROR(IF(0=LEN(ReferenceData!$AU$476),"",ReferenceData!$AU$476),"")</f>
        <v>6716.2654789999997</v>
      </c>
      <c r="AV476">
        <f ca="1">IFERROR(IF(0=LEN(ReferenceData!$AV$476),"",ReferenceData!$AV$476),"")</f>
        <v>13542.316919999999</v>
      </c>
      <c r="AW476">
        <f ca="1">IFERROR(IF(0=LEN(ReferenceData!$AW$476),"",ReferenceData!$AW$476),"")</f>
        <v>14908.12149</v>
      </c>
      <c r="AX476">
        <f ca="1">IFERROR(IF(0=LEN(ReferenceData!$AX$476),"",ReferenceData!$AX$476),"")</f>
        <v>17505.592720000001</v>
      </c>
      <c r="AY476">
        <f ca="1">IFERROR(IF(0=LEN(ReferenceData!$AY$476),"",ReferenceData!$AY$476),"")</f>
        <v>16826.596509999999</v>
      </c>
      <c r="AZ476">
        <f ca="1">IFERROR(IF(0=LEN(ReferenceData!$AZ$476),"",ReferenceData!$AZ$476),"")</f>
        <v>17750.412950000002</v>
      </c>
      <c r="BA476">
        <f ca="1">IFERROR(IF(0=LEN(ReferenceData!$BA$476),"",ReferenceData!$BA$476),"")</f>
        <v>17365.090749999999</v>
      </c>
      <c r="BB476">
        <f ca="1">IFERROR(IF(0=LEN(ReferenceData!$BB$476),"",ReferenceData!$BB$476),"")</f>
        <v>15422.83217</v>
      </c>
      <c r="BC476">
        <f ca="1">IFERROR(IF(0=LEN(ReferenceData!$BC$476),"",ReferenceData!$BC$476),"")</f>
        <v>15911.38816</v>
      </c>
      <c r="BD476">
        <f ca="1">IFERROR(IF(0=LEN(ReferenceData!$BD$476),"",ReferenceData!$BD$476),"")</f>
        <v>18746.703379999999</v>
      </c>
      <c r="BE476">
        <f ca="1">IFERROR(IF(0=LEN(ReferenceData!$BE$476),"",ReferenceData!$BE$476),"")</f>
        <v>18610.868839999999</v>
      </c>
      <c r="BF476">
        <f ca="1">IFERROR(IF(0=LEN(ReferenceData!$BF$476),"",ReferenceData!$BF$476),"")</f>
        <v>18419.282490000001</v>
      </c>
      <c r="BG476">
        <f ca="1">IFERROR(IF(0=LEN(ReferenceData!$BG$476),"",ReferenceData!$BG$476),"")</f>
        <v>21116.967909999999</v>
      </c>
      <c r="BH476">
        <f ca="1">IFERROR(IF(0=LEN(ReferenceData!$BH$476),"",ReferenceData!$BH$476),"")</f>
        <v>17093.444090000001</v>
      </c>
      <c r="BI476">
        <f ca="1">IFERROR(IF(0=LEN(ReferenceData!$BI$476),"",ReferenceData!$BI$476),"")</f>
        <v>12151.886920000001</v>
      </c>
      <c r="BJ476">
        <f ca="1">IFERROR(IF(0=LEN(ReferenceData!$BJ$476),"",ReferenceData!$BJ$476),"")</f>
        <v>11841.02046</v>
      </c>
      <c r="BK476">
        <f ca="1">IFERROR(IF(0=LEN(ReferenceData!$BK$476),"",ReferenceData!$BK$476),"")</f>
        <v>11650.37967</v>
      </c>
      <c r="BL476">
        <f ca="1">IFERROR(IF(0=LEN(ReferenceData!$BL$476),"",ReferenceData!$BL$476),"")</f>
        <v>10061.95435</v>
      </c>
      <c r="BM476">
        <f ca="1">IFERROR(IF(0=LEN(ReferenceData!$BM$476),"",ReferenceData!$BM$476),"")</f>
        <v>8393.702636</v>
      </c>
    </row>
    <row r="477" spans="1:65" x14ac:dyDescent="0.25">
      <c r="A477" t="str">
        <f>IFERROR(IF(0=LEN(ReferenceData!$A$477),"",ReferenceData!$A$477),"")</f>
        <v xml:space="preserve">    Kia Motors Corp</v>
      </c>
      <c r="B477" t="str">
        <f>IFERROR(IF(0=LEN(ReferenceData!$B$477),"",ReferenceData!$B$477),"")</f>
        <v>000270 KS Equity</v>
      </c>
      <c r="C477" t="str">
        <f>IFERROR(IF(0=LEN(ReferenceData!$C$477),"",ReferenceData!$C$477),"")</f>
        <v>RR902</v>
      </c>
      <c r="D477" t="str">
        <f>IFERROR(IF(0=LEN(ReferenceData!$D$477),"",ReferenceData!$D$477),"")</f>
        <v>CUR_MKT_CAP</v>
      </c>
      <c r="E477" t="str">
        <f>IFERROR(IF(0=LEN(ReferenceData!$E$477),"",ReferenceData!$E$477),"")</f>
        <v>Dynamic</v>
      </c>
      <c r="F477">
        <f ca="1">IFERROR(IF(0=LEN(ReferenceData!$F$477),"",ReferenceData!$F$477),"")</f>
        <v>12862.36923</v>
      </c>
      <c r="G477">
        <f ca="1">IFERROR(IF(0=LEN(ReferenceData!$G$477),"",ReferenceData!$G$477),"")</f>
        <v>12248.493490000001</v>
      </c>
      <c r="H477">
        <f ca="1">IFERROR(IF(0=LEN(ReferenceData!$H$477),"",ReferenceData!$H$477),"")</f>
        <v>12819.51678</v>
      </c>
      <c r="I477">
        <f ca="1">IFERROR(IF(0=LEN(ReferenceData!$I$477),"",ReferenceData!$I$477),"")</f>
        <v>11232.381170000001</v>
      </c>
      <c r="J477">
        <f ca="1">IFERROR(IF(0=LEN(ReferenceData!$J$477),"",ReferenceData!$J$477),"")</f>
        <v>11845.243769999999</v>
      </c>
      <c r="K477">
        <f ca="1">IFERROR(IF(0=LEN(ReferenceData!$K$477),"",ReferenceData!$K$477),"")</f>
        <v>12676.118399999999</v>
      </c>
      <c r="L477">
        <f ca="1">IFERROR(IF(0=LEN(ReferenceData!$L$477),"",ReferenceData!$L$477),"")</f>
        <v>11210.504639999999</v>
      </c>
      <c r="M477">
        <f ca="1">IFERROR(IF(0=LEN(ReferenceData!$M$477),"",ReferenceData!$M$477),"")</f>
        <v>13538.337509999999</v>
      </c>
      <c r="N477">
        <f ca="1">IFERROR(IF(0=LEN(ReferenceData!$N$477),"",ReferenceData!$N$477),"")</f>
        <v>13436.07639</v>
      </c>
      <c r="O477">
        <f ca="1">IFERROR(IF(0=LEN(ReferenceData!$O$477),"",ReferenceData!$O$477),"")</f>
        <v>13184.049709999999</v>
      </c>
      <c r="P477">
        <f ca="1">IFERROR(IF(0=LEN(ReferenceData!$P$477),"",ReferenceData!$P$477),"")</f>
        <v>15541.263300000001</v>
      </c>
      <c r="Q477">
        <f ca="1">IFERROR(IF(0=LEN(ReferenceData!$Q$477),"",ReferenceData!$Q$477),"")</f>
        <v>15199.014359999999</v>
      </c>
      <c r="R477">
        <f ca="1">IFERROR(IF(0=LEN(ReferenceData!$R$477),"",ReferenceData!$R$477),"")</f>
        <v>17140.924350000001</v>
      </c>
      <c r="S477">
        <f ca="1">IFERROR(IF(0=LEN(ReferenceData!$S$477),"",ReferenceData!$S$477),"")</f>
        <v>18097.499370000001</v>
      </c>
      <c r="T477">
        <f ca="1">IFERROR(IF(0=LEN(ReferenceData!$T$477),"",ReferenceData!$T$477),"")</f>
        <v>18329.234980000001</v>
      </c>
      <c r="U477">
        <f ca="1">IFERROR(IF(0=LEN(ReferenceData!$U$477),"",ReferenceData!$U$477),"")</f>
        <v>16430.414100000002</v>
      </c>
      <c r="V477">
        <f ca="1">IFERROR(IF(0=LEN(ReferenceData!$V$477),"",ReferenceData!$V$477),"")</f>
        <v>16526.191340000001</v>
      </c>
      <c r="W477">
        <f ca="1">IFERROR(IF(0=LEN(ReferenceData!$W$477),"",ReferenceData!$W$477),"")</f>
        <v>19334.880209999999</v>
      </c>
      <c r="X477">
        <f ca="1">IFERROR(IF(0=LEN(ReferenceData!$X$477),"",ReferenceData!$X$477),"")</f>
        <v>20574.680039999999</v>
      </c>
      <c r="Y477">
        <f ca="1">IFERROR(IF(0=LEN(ReferenceData!$Y$477),"",ReferenceData!$Y$477),"")</f>
        <v>22684.283810000001</v>
      </c>
      <c r="Z477">
        <f ca="1">IFERROR(IF(0=LEN(ReferenceData!$Z$477),"",ReferenceData!$Z$477),"")</f>
        <v>22637.252980000001</v>
      </c>
      <c r="AA477">
        <f ca="1">IFERROR(IF(0=LEN(ReferenceData!$AA$477),"",ReferenceData!$AA$477),"")</f>
        <v>21555.339810000001</v>
      </c>
      <c r="AB477">
        <f ca="1">IFERROR(IF(0=LEN(ReferenceData!$AB$477),"",ReferenceData!$AB$477),"")</f>
        <v>24614.76525</v>
      </c>
      <c r="AC477">
        <f ca="1">IFERROR(IF(0=LEN(ReferenceData!$AC$477),"",ReferenceData!$AC$477),"")</f>
        <v>22032.35181</v>
      </c>
      <c r="AD477">
        <f ca="1">IFERROR(IF(0=LEN(ReferenceData!$AD$477),"",ReferenceData!$AD$477),"")</f>
        <v>20244.498459999999</v>
      </c>
      <c r="AE477">
        <f ca="1">IFERROR(IF(0=LEN(ReferenceData!$AE$477),"",ReferenceData!$AE$477),"")</f>
        <v>21459.852060000001</v>
      </c>
      <c r="AF477">
        <f ca="1">IFERROR(IF(0=LEN(ReferenceData!$AF$477),"",ReferenceData!$AF$477),"")</f>
        <v>25285.79221</v>
      </c>
      <c r="AG477">
        <f ca="1">IFERROR(IF(0=LEN(ReferenceData!$AG$477),"",ReferenceData!$AG$477),"")</f>
        <v>26506.393950000001</v>
      </c>
      <c r="AH477">
        <f ca="1">IFERROR(IF(0=LEN(ReferenceData!$AH$477),"",ReferenceData!$AH$477),"")</f>
        <v>26525.920099999999</v>
      </c>
      <c r="AI477">
        <f ca="1">IFERROR(IF(0=LEN(ReferenceData!$AI$477),"",ReferenceData!$AI$477),"")</f>
        <v>23291.030510000001</v>
      </c>
      <c r="AJ477">
        <f ca="1">IFERROR(IF(0=LEN(ReferenceData!$AJ$477),"",ReferenceData!$AJ$477),"")</f>
        <v>24338.90465</v>
      </c>
      <c r="AK477">
        <f ca="1">IFERROR(IF(0=LEN(ReferenceData!$AK$477),"",ReferenceData!$AK$477),"")</f>
        <v>27010.084620000001</v>
      </c>
      <c r="AL477">
        <f ca="1">IFERROR(IF(0=LEN(ReferenceData!$AL$477),"",ReferenceData!$AL$477),"")</f>
        <v>25038.780050000001</v>
      </c>
      <c r="AM477">
        <f ca="1">IFERROR(IF(0=LEN(ReferenceData!$AM$477),"",ReferenceData!$AM$477),"")</f>
        <v>17803.208350000001</v>
      </c>
      <c r="AN477">
        <f ca="1">IFERROR(IF(0=LEN(ReferenceData!$AN$477),"",ReferenceData!$AN$477),"")</f>
        <v>12781.207249999999</v>
      </c>
      <c r="AO477">
        <f ca="1">IFERROR(IF(0=LEN(ReferenceData!$AO$477),"",ReferenceData!$AO$477),"")</f>
        <v>10485.945309999999</v>
      </c>
      <c r="AP477">
        <f ca="1">IFERROR(IF(0=LEN(ReferenceData!$AP$477),"",ReferenceData!$AP$477),"")</f>
        <v>8712.1577780000007</v>
      </c>
      <c r="AQ477">
        <f ca="1">IFERROR(IF(0=LEN(ReferenceData!$AQ$477),"",ReferenceData!$AQ$477),"")</f>
        <v>6675.3222660000001</v>
      </c>
      <c r="AR477">
        <f ca="1">IFERROR(IF(0=LEN(ReferenceData!$AR$477),"",ReferenceData!$AR$477),"")</f>
        <v>6029.441073</v>
      </c>
      <c r="AS477">
        <f ca="1">IFERROR(IF(0=LEN(ReferenceData!$AS$477),"",ReferenceData!$AS$477),"")</f>
        <v>3649.2734420000002</v>
      </c>
      <c r="AT477">
        <f ca="1">IFERROR(IF(0=LEN(ReferenceData!$AT$477),"",ReferenceData!$AT$477),"")</f>
        <v>2166.301817</v>
      </c>
      <c r="AU477">
        <f ca="1">IFERROR(IF(0=LEN(ReferenceData!$AU$477),"",ReferenceData!$AU$477),"")</f>
        <v>1755.5845389999999</v>
      </c>
      <c r="AV477">
        <f ca="1">IFERROR(IF(0=LEN(ReferenceData!$AV$477),"",ReferenceData!$AV$477),"")</f>
        <v>4262.728298</v>
      </c>
      <c r="AW477">
        <f ca="1">IFERROR(IF(0=LEN(ReferenceData!$AW$477),"",ReferenceData!$AW$477),"")</f>
        <v>3664.133139</v>
      </c>
      <c r="AX477">
        <f ca="1">IFERROR(IF(0=LEN(ReferenceData!$AX$477),"",ReferenceData!$AX$477),"")</f>
        <v>3994.3770850000001</v>
      </c>
      <c r="AY477">
        <f ca="1">IFERROR(IF(0=LEN(ReferenceData!$AY$477),"",ReferenceData!$AY$477),"")</f>
        <v>3748.4267239999999</v>
      </c>
      <c r="AZ477">
        <f ca="1">IFERROR(IF(0=LEN(ReferenceData!$AZ$477),"",ReferenceData!$AZ$477),"")</f>
        <v>4731.3338249999997</v>
      </c>
      <c r="BA477">
        <f ca="1">IFERROR(IF(0=LEN(ReferenceData!$BA$477),"",ReferenceData!$BA$477),"")</f>
        <v>5419.5959130000001</v>
      </c>
      <c r="BB477">
        <f ca="1">IFERROR(IF(0=LEN(ReferenceData!$BB$477),"",ReferenceData!$BB$477),"")</f>
        <v>4688.3131409999996</v>
      </c>
      <c r="BC477">
        <f ca="1">IFERROR(IF(0=LEN(ReferenceData!$BC$477),"",ReferenceData!$BC$477),"")</f>
        <v>5023.6650520000003</v>
      </c>
      <c r="BD477">
        <f ca="1">IFERROR(IF(0=LEN(ReferenceData!$BD$477),"",ReferenceData!$BD$477),"")</f>
        <v>5631.2606059999998</v>
      </c>
      <c r="BE477">
        <f ca="1">IFERROR(IF(0=LEN(ReferenceData!$BE$477),"",ReferenceData!$BE$477),"")</f>
        <v>5947.6078980000002</v>
      </c>
      <c r="BF477">
        <f ca="1">IFERROR(IF(0=LEN(ReferenceData!$BF$477),"",ReferenceData!$BF$477),"")</f>
        <v>7129.3659859999998</v>
      </c>
      <c r="BG477">
        <f ca="1">IFERROR(IF(0=LEN(ReferenceData!$BG$477),"",ReferenceData!$BG$477),"")</f>
        <v>9133.5708680000007</v>
      </c>
      <c r="BH477">
        <f ca="1">IFERROR(IF(0=LEN(ReferenceData!$BH$477),"",ReferenceData!$BH$477),"")</f>
        <v>6495.5820569999996</v>
      </c>
      <c r="BI477">
        <f ca="1">IFERROR(IF(0=LEN(ReferenceData!$BI$477),"",ReferenceData!$BI$477),"")</f>
        <v>4615.1951330000002</v>
      </c>
      <c r="BJ477">
        <f ca="1">IFERROR(IF(0=LEN(ReferenceData!$BJ$477),"",ReferenceData!$BJ$477),"")</f>
        <v>4787.0280549999998</v>
      </c>
      <c r="BK477">
        <f ca="1">IFERROR(IF(0=LEN(ReferenceData!$BK$477),"",ReferenceData!$BK$477),"")</f>
        <v>3634.001385</v>
      </c>
      <c r="BL477">
        <f ca="1">IFERROR(IF(0=LEN(ReferenceData!$BL$477),"",ReferenceData!$BL$477),"")</f>
        <v>3196.3901799999999</v>
      </c>
      <c r="BM477">
        <f ca="1">IFERROR(IF(0=LEN(ReferenceData!$BM$477),"",ReferenceData!$BM$477),"")</f>
        <v>2965.9584840000002</v>
      </c>
    </row>
    <row r="478" spans="1:65" x14ac:dyDescent="0.25">
      <c r="A478" t="str">
        <f>IFERROR(IF(0=LEN(ReferenceData!$A$478),"",ReferenceData!$A$478),"")</f>
        <v xml:space="preserve">    Mazda Motor Corp</v>
      </c>
      <c r="B478" t="str">
        <f>IFERROR(IF(0=LEN(ReferenceData!$B$478),"",ReferenceData!$B$478),"")</f>
        <v>7261 JP Equity</v>
      </c>
      <c r="C478" t="str">
        <f>IFERROR(IF(0=LEN(ReferenceData!$C$478),"",ReferenceData!$C$478),"")</f>
        <v>RR902</v>
      </c>
      <c r="D478" t="str">
        <f>IFERROR(IF(0=LEN(ReferenceData!$D$478),"",ReferenceData!$D$478),"")</f>
        <v>CUR_MKT_CAP</v>
      </c>
      <c r="E478" t="str">
        <f>IFERROR(IF(0=LEN(ReferenceData!$E$478),"",ReferenceData!$E$478),"")</f>
        <v>Dynamic</v>
      </c>
      <c r="F478">
        <f ca="1">IFERROR(IF(0=LEN(ReferenceData!$F$478),"",ReferenceData!$F$478),"")</f>
        <v>7350.4776540000003</v>
      </c>
      <c r="G478">
        <f ca="1">IFERROR(IF(0=LEN(ReferenceData!$G$478),"",ReferenceData!$G$478),"")</f>
        <v>6494.8602129999999</v>
      </c>
      <c r="H478">
        <f ca="1">IFERROR(IF(0=LEN(ReferenceData!$H$478),"",ReferenceData!$H$478),"")</f>
        <v>7592.7808580000001</v>
      </c>
      <c r="I478">
        <f ca="1">IFERROR(IF(0=LEN(ReferenceData!$I$478),"",ReferenceData!$I$478),"")</f>
        <v>7756.3947589999998</v>
      </c>
      <c r="J478">
        <f ca="1">IFERROR(IF(0=LEN(ReferenceData!$J$478),"",ReferenceData!$J$478),"")</f>
        <v>8365.9602379999997</v>
      </c>
      <c r="K478">
        <f ca="1">IFERROR(IF(0=LEN(ReferenceData!$K$478),"",ReferenceData!$K$478),"")</f>
        <v>8482.6053850000008</v>
      </c>
      <c r="L478">
        <f ca="1">IFERROR(IF(0=LEN(ReferenceData!$L$478),"",ReferenceData!$L$478),"")</f>
        <v>9188.2898359999999</v>
      </c>
      <c r="M478">
        <f ca="1">IFERROR(IF(0=LEN(ReferenceData!$M$478),"",ReferenceData!$M$478),"")</f>
        <v>8372.0940420000006</v>
      </c>
      <c r="N478">
        <f ca="1">IFERROR(IF(0=LEN(ReferenceData!$N$478),"",ReferenceData!$N$478),"")</f>
        <v>8638.9399670000003</v>
      </c>
      <c r="O478">
        <f ca="1">IFERROR(IF(0=LEN(ReferenceData!$O$478),"",ReferenceData!$O$478),"")</f>
        <v>9833.3499109999993</v>
      </c>
      <c r="P478">
        <f ca="1">IFERROR(IF(0=LEN(ReferenceData!$P$478),"",ReferenceData!$P$478),"")</f>
        <v>9057.5698539999994</v>
      </c>
      <c r="Q478">
        <f ca="1">IFERROR(IF(0=LEN(ReferenceData!$Q$478),"",ReferenceData!$Q$478),"")</f>
        <v>7900.2886769999996</v>
      </c>
      <c r="R478">
        <f ca="1">IFERROR(IF(0=LEN(ReferenceData!$R$478),"",ReferenceData!$R$478),"")</f>
        <v>9312.7336909999995</v>
      </c>
      <c r="S478">
        <f ca="1">IFERROR(IF(0=LEN(ReferenceData!$S$478),"",ReferenceData!$S$478),"")</f>
        <v>12553.567139999999</v>
      </c>
      <c r="T478">
        <f ca="1">IFERROR(IF(0=LEN(ReferenceData!$T$478),"",ReferenceData!$T$478),"")</f>
        <v>9423.9652210000004</v>
      </c>
      <c r="U478">
        <f ca="1">IFERROR(IF(0=LEN(ReferenceData!$U$478),"",ReferenceData!$U$478),"")</f>
        <v>11779.408949999999</v>
      </c>
      <c r="V478">
        <f ca="1">IFERROR(IF(0=LEN(ReferenceData!$V$478),"",ReferenceData!$V$478),"")</f>
        <v>12197.55161</v>
      </c>
      <c r="W478">
        <f ca="1">IFERROR(IF(0=LEN(ReferenceData!$W$478),"",ReferenceData!$W$478),"")</f>
        <v>14700.6152</v>
      </c>
      <c r="X478">
        <f ca="1">IFERROR(IF(0=LEN(ReferenceData!$X$478),"",ReferenceData!$X$478),"")</f>
        <v>15037.91462</v>
      </c>
      <c r="Y478">
        <f ca="1">IFERROR(IF(0=LEN(ReferenceData!$Y$478),"",ReferenceData!$Y$478),"")</f>
        <v>14065.596649999999</v>
      </c>
      <c r="Z478">
        <f ca="1">IFERROR(IF(0=LEN(ReferenceData!$Z$478),"",ReferenceData!$Z$478),"")</f>
        <v>13327.9797</v>
      </c>
      <c r="AA478">
        <f ca="1">IFERROR(IF(0=LEN(ReferenceData!$AA$478),"",ReferenceData!$AA$478),"")</f>
        <v>15527.80099</v>
      </c>
      <c r="AB478">
        <f ca="1">IFERROR(IF(0=LEN(ReferenceData!$AB$478),"",ReferenceData!$AB$478),"")</f>
        <v>13346.17597</v>
      </c>
      <c r="AC478">
        <f ca="1">IFERROR(IF(0=LEN(ReferenceData!$AC$478),"",ReferenceData!$AC$478),"")</f>
        <v>11806.67049</v>
      </c>
      <c r="AD478">
        <f ca="1">IFERROR(IF(0=LEN(ReferenceData!$AD$478),"",ReferenceData!$AD$478),"")</f>
        <v>8945.2882730000001</v>
      </c>
      <c r="AE478">
        <f ca="1">IFERROR(IF(0=LEN(ReferenceData!$AE$478),"",ReferenceData!$AE$478),"")</f>
        <v>6062.8679689999999</v>
      </c>
      <c r="AF478">
        <f ca="1">IFERROR(IF(0=LEN(ReferenceData!$AF$478),"",ReferenceData!$AF$478),"")</f>
        <v>3502.8663649999999</v>
      </c>
      <c r="AG478">
        <f ca="1">IFERROR(IF(0=LEN(ReferenceData!$AG$478),"",ReferenceData!$AG$478),"")</f>
        <v>4021.7216320000002</v>
      </c>
      <c r="AH478">
        <f ca="1">IFERROR(IF(0=LEN(ReferenceData!$AH$478),"",ReferenceData!$AH$478),"")</f>
        <v>5263.3393319999996</v>
      </c>
      <c r="AI478">
        <f ca="1">IFERROR(IF(0=LEN(ReferenceData!$AI$478),"",ReferenceData!$AI$478),"")</f>
        <v>3144.9711910000001</v>
      </c>
      <c r="AJ478">
        <f ca="1">IFERROR(IF(0=LEN(ReferenceData!$AJ$478),"",ReferenceData!$AJ$478),"")</f>
        <v>3646.6118190000002</v>
      </c>
      <c r="AK478">
        <f ca="1">IFERROR(IF(0=LEN(ReferenceData!$AK$478),"",ReferenceData!$AK$478),"")</f>
        <v>4663.1037749999996</v>
      </c>
      <c r="AL478">
        <f ca="1">IFERROR(IF(0=LEN(ReferenceData!$AL$478),"",ReferenceData!$AL$478),"")</f>
        <v>3933.4670019999999</v>
      </c>
      <c r="AM478">
        <f ca="1">IFERROR(IF(0=LEN(ReferenceData!$AM$478),"",ReferenceData!$AM$478),"")</f>
        <v>5074.9687279999998</v>
      </c>
      <c r="AN478">
        <f ca="1">IFERROR(IF(0=LEN(ReferenceData!$AN$478),"",ReferenceData!$AN$478),"")</f>
        <v>4287.7530040000001</v>
      </c>
      <c r="AO478">
        <f ca="1">IFERROR(IF(0=LEN(ReferenceData!$AO$478),"",ReferenceData!$AO$478),"")</f>
        <v>4220.8090169999996</v>
      </c>
      <c r="AP478">
        <f ca="1">IFERROR(IF(0=LEN(ReferenceData!$AP$478),"",ReferenceData!$AP$478),"")</f>
        <v>5011.1222930000004</v>
      </c>
      <c r="AQ478">
        <f ca="1">IFERROR(IF(0=LEN(ReferenceData!$AQ$478),"",ReferenceData!$AQ$478),"")</f>
        <v>4085.733033</v>
      </c>
      <c r="AR478">
        <f ca="1">IFERROR(IF(0=LEN(ReferenceData!$AR$478),"",ReferenceData!$AR$478),"")</f>
        <v>3179.3085329999999</v>
      </c>
      <c r="AS478">
        <f ca="1">IFERROR(IF(0=LEN(ReferenceData!$AS$478),"",ReferenceData!$AS$478),"")</f>
        <v>3637.581205</v>
      </c>
      <c r="AT478">
        <f ca="1">IFERROR(IF(0=LEN(ReferenceData!$AT$478),"",ReferenceData!$AT$478),"")</f>
        <v>2341.5756569999999</v>
      </c>
      <c r="AU478">
        <f ca="1">IFERROR(IF(0=LEN(ReferenceData!$AU$478),"",ReferenceData!$AU$478),"")</f>
        <v>2339.8416969999998</v>
      </c>
      <c r="AV478">
        <f ca="1">IFERROR(IF(0=LEN(ReferenceData!$AV$478),"",ReferenceData!$AV$478),"")</f>
        <v>5583.7360289999997</v>
      </c>
      <c r="AW478">
        <f ca="1">IFERROR(IF(0=LEN(ReferenceData!$AW$478),"",ReferenceData!$AW$478),"")</f>
        <v>7360.3793109999997</v>
      </c>
      <c r="AX478">
        <f ca="1">IFERROR(IF(0=LEN(ReferenceData!$AX$478),"",ReferenceData!$AX$478),"")</f>
        <v>5014.3582820000001</v>
      </c>
      <c r="AY478">
        <f ca="1">IFERROR(IF(0=LEN(ReferenceData!$AY$478),"",ReferenceData!$AY$478),"")</f>
        <v>7017.0943690000004</v>
      </c>
      <c r="AZ478">
        <f ca="1">IFERROR(IF(0=LEN(ReferenceData!$AZ$478),"",ReferenceData!$AZ$478),"")</f>
        <v>7173.8649690000002</v>
      </c>
      <c r="BA478">
        <f ca="1">IFERROR(IF(0=LEN(ReferenceData!$BA$478),"",ReferenceData!$BA$478),"")</f>
        <v>8070.8931229999998</v>
      </c>
      <c r="BB478">
        <f ca="1">IFERROR(IF(0=LEN(ReferenceData!$BB$478),"",ReferenceData!$BB$478),"")</f>
        <v>7844.9365079999998</v>
      </c>
      <c r="BC478">
        <f ca="1">IFERROR(IF(0=LEN(ReferenceData!$BC$478),"",ReferenceData!$BC$478),"")</f>
        <v>9621.9781239999993</v>
      </c>
      <c r="BD478">
        <f ca="1">IFERROR(IF(0=LEN(ReferenceData!$BD$478),"",ReferenceData!$BD$478),"")</f>
        <v>8548.0951110000005</v>
      </c>
      <c r="BE478">
        <f ca="1">IFERROR(IF(0=LEN(ReferenceData!$BE$478),"",ReferenceData!$BE$478),"")</f>
        <v>8820.589183</v>
      </c>
      <c r="BF478">
        <f ca="1">IFERROR(IF(0=LEN(ReferenceData!$BF$478),"",ReferenceData!$BF$478),"")</f>
        <v>8357.4746720000003</v>
      </c>
      <c r="BG478">
        <f ca="1">IFERROR(IF(0=LEN(ReferenceData!$BG$478),"",ReferenceData!$BG$478),"")</f>
        <v>6165.9238830000004</v>
      </c>
      <c r="BH478">
        <f ca="1">IFERROR(IF(0=LEN(ReferenceData!$BH$478),"",ReferenceData!$BH$478),"")</f>
        <v>5510.3313770000004</v>
      </c>
      <c r="BI478">
        <f ca="1">IFERROR(IF(0=LEN(ReferenceData!$BI$478),"",ReferenceData!$BI$478),"")</f>
        <v>4601.4665100000002</v>
      </c>
      <c r="BJ478">
        <f ca="1">IFERROR(IF(0=LEN(ReferenceData!$BJ$478),"",ReferenceData!$BJ$478),"")</f>
        <v>4173.8781330000002</v>
      </c>
      <c r="BK478">
        <f ca="1">IFERROR(IF(0=LEN(ReferenceData!$BK$478),"",ReferenceData!$BK$478),"")</f>
        <v>3819.9722900000002</v>
      </c>
      <c r="BL478">
        <f ca="1">IFERROR(IF(0=LEN(ReferenceData!$BL$478),"",ReferenceData!$BL$478),"")</f>
        <v>3792.193487</v>
      </c>
      <c r="BM478">
        <f ca="1">IFERROR(IF(0=LEN(ReferenceData!$BM$478),"",ReferenceData!$BM$478),"")</f>
        <v>4292.2083579999999</v>
      </c>
    </row>
    <row r="479" spans="1:65" x14ac:dyDescent="0.25">
      <c r="A479" t="str">
        <f>IFERROR(IF(0=LEN(ReferenceData!$A$479),"",ReferenceData!$A$479),"")</f>
        <v xml:space="preserve">    Mitsubishi Motors Corp</v>
      </c>
      <c r="B479" t="str">
        <f>IFERROR(IF(0=LEN(ReferenceData!$B$479),"",ReferenceData!$B$479),"")</f>
        <v>7211 JP Equity</v>
      </c>
      <c r="C479" t="str">
        <f>IFERROR(IF(0=LEN(ReferenceData!$C$479),"",ReferenceData!$C$479),"")</f>
        <v>RR902</v>
      </c>
      <c r="D479" t="str">
        <f>IFERROR(IF(0=LEN(ReferenceData!$D$479),"",ReferenceData!$D$479),"")</f>
        <v>CUR_MKT_CAP</v>
      </c>
      <c r="E479" t="str">
        <f>IFERROR(IF(0=LEN(ReferenceData!$E$479),"",ReferenceData!$E$479),"")</f>
        <v>Dynamic</v>
      </c>
      <c r="F479">
        <f ca="1">IFERROR(IF(0=LEN(ReferenceData!$F$479),"",ReferenceData!$F$479),"")</f>
        <v>8396.1475399999999</v>
      </c>
      <c r="G479">
        <f ca="1">IFERROR(IF(0=LEN(ReferenceData!$G$479),"",ReferenceData!$G$479),"")</f>
        <v>8125.6232460000001</v>
      </c>
      <c r="H479">
        <f ca="1">IFERROR(IF(0=LEN(ReferenceData!$H$479),"",ReferenceData!$H$479),"")</f>
        <v>10530.45429</v>
      </c>
      <c r="I479">
        <f ca="1">IFERROR(IF(0=LEN(ReferenceData!$I$479),"",ReferenceData!$I$479),"")</f>
        <v>11878.67344</v>
      </c>
      <c r="J479">
        <f ca="1">IFERROR(IF(0=LEN(ReferenceData!$J$479),"",ReferenceData!$J$479),"")</f>
        <v>10676.943880000001</v>
      </c>
      <c r="K479">
        <f ca="1">IFERROR(IF(0=LEN(ReferenceData!$K$479),"",ReferenceData!$K$479),"")</f>
        <v>10775.35932</v>
      </c>
      <c r="L479">
        <f ca="1">IFERROR(IF(0=LEN(ReferenceData!$L$479),"",ReferenceData!$L$479),"")</f>
        <v>11777.22804</v>
      </c>
      <c r="M479">
        <f ca="1">IFERROR(IF(0=LEN(ReferenceData!$M$479),"",ReferenceData!$M$479),"")</f>
        <v>9815.8346980000006</v>
      </c>
      <c r="N479">
        <f ca="1">IFERROR(IF(0=LEN(ReferenceData!$N$479),"",ReferenceData!$N$479),"")</f>
        <v>8956.9578020000008</v>
      </c>
      <c r="O479">
        <f ca="1">IFERROR(IF(0=LEN(ReferenceData!$O$479),"",ReferenceData!$O$479),"")</f>
        <v>8509.3289220000006</v>
      </c>
      <c r="P479">
        <f ca="1">IFERROR(IF(0=LEN(ReferenceData!$P$479),"",ReferenceData!$P$479),"")</f>
        <v>4548.3332680000003</v>
      </c>
      <c r="Q479">
        <f ca="1">IFERROR(IF(0=LEN(ReferenceData!$Q$479),"",ReferenceData!$Q$479),"")</f>
        <v>4470.7572769999997</v>
      </c>
      <c r="R479">
        <f ca="1">IFERROR(IF(0=LEN(ReferenceData!$R$479),"",ReferenceData!$R$479),"")</f>
        <v>7370.9067009999999</v>
      </c>
      <c r="S479">
        <f ca="1">IFERROR(IF(0=LEN(ReferenceData!$S$479),"",ReferenceData!$S$479),"")</f>
        <v>8400.3961870000003</v>
      </c>
      <c r="T479">
        <f ca="1">IFERROR(IF(0=LEN(ReferenceData!$T$479),"",ReferenceData!$T$479),"")</f>
        <v>7496.445866</v>
      </c>
      <c r="U479">
        <f ca="1">IFERROR(IF(0=LEN(ReferenceData!$U$479),"",ReferenceData!$U$479),"")</f>
        <v>8393.1847949999992</v>
      </c>
      <c r="V479">
        <f ca="1">IFERROR(IF(0=LEN(ReferenceData!$V$479),"",ReferenceData!$V$479),"")</f>
        <v>8897.6506040000004</v>
      </c>
      <c r="W479">
        <f ca="1">IFERROR(IF(0=LEN(ReferenceData!$W$479),"",ReferenceData!$W$479),"")</f>
        <v>9140.0028309999998</v>
      </c>
      <c r="X479">
        <f ca="1">IFERROR(IF(0=LEN(ReferenceData!$X$479),"",ReferenceData!$X$479),"")</f>
        <v>11939.21233</v>
      </c>
      <c r="Y479">
        <f ca="1">IFERROR(IF(0=LEN(ReferenceData!$Y$479),"",ReferenceData!$Y$479),"")</f>
        <v>10857.28141</v>
      </c>
      <c r="Z479">
        <f ca="1">IFERROR(IF(0=LEN(ReferenceData!$Z$479),"",ReferenceData!$Z$479),"")</f>
        <v>10307.120209999999</v>
      </c>
      <c r="AA479">
        <f ca="1">IFERROR(IF(0=LEN(ReferenceData!$AA$479),"",ReferenceData!$AA$479),"")</f>
        <v>6692.4943430000003</v>
      </c>
      <c r="AB479">
        <f ca="1">IFERROR(IF(0=LEN(ReferenceData!$AB$479),"",ReferenceData!$AB$479),"")</f>
        <v>6875.2375160000001</v>
      </c>
      <c r="AC479">
        <f ca="1">IFERROR(IF(0=LEN(ReferenceData!$AC$479),"",ReferenceData!$AC$479),"")</f>
        <v>8460.0405919999994</v>
      </c>
      <c r="AD479">
        <f ca="1">IFERROR(IF(0=LEN(ReferenceData!$AD$479),"",ReferenceData!$AD$479),"")</f>
        <v>6283.4566249999998</v>
      </c>
      <c r="AE479">
        <f ca="1">IFERROR(IF(0=LEN(ReferenceData!$AE$479),"",ReferenceData!$AE$479),"")</f>
        <v>6211.5561049999997</v>
      </c>
      <c r="AF479">
        <f ca="1">IFERROR(IF(0=LEN(ReferenceData!$AF$479),"",ReferenceData!$AF$479),"")</f>
        <v>5228.5122160000001</v>
      </c>
      <c r="AG479">
        <f ca="1">IFERROR(IF(0=LEN(ReferenceData!$AG$479),"",ReferenceData!$AG$479),"")</f>
        <v>5551.8366230000001</v>
      </c>
      <c r="AH479">
        <f ca="1">IFERROR(IF(0=LEN(ReferenceData!$AH$479),"",ReferenceData!$AH$479),"")</f>
        <v>6299.9874250000003</v>
      </c>
      <c r="AI479">
        <f ca="1">IFERROR(IF(0=LEN(ReferenceData!$AI$479),"",ReferenceData!$AI$479),"")</f>
        <v>6545.7084020000002</v>
      </c>
      <c r="AJ479">
        <f ca="1">IFERROR(IF(0=LEN(ReferenceData!$AJ$479),"",ReferenceData!$AJ$479),"")</f>
        <v>7394.4720539999998</v>
      </c>
      <c r="AK479">
        <f ca="1">IFERROR(IF(0=LEN(ReferenceData!$AK$479),"",ReferenceData!$AK$479),"")</f>
        <v>6736.8394870000002</v>
      </c>
      <c r="AL479">
        <f ca="1">IFERROR(IF(0=LEN(ReferenceData!$AL$479),"",ReferenceData!$AL$479),"")</f>
        <v>6819.6500930000002</v>
      </c>
      <c r="AM479">
        <f ca="1">IFERROR(IF(0=LEN(ReferenceData!$AM$479),"",ReferenceData!$AM$479),"")</f>
        <v>7994.6039840000003</v>
      </c>
      <c r="AN479">
        <f ca="1">IFERROR(IF(0=LEN(ReferenceData!$AN$479),"",ReferenceData!$AN$479),"")</f>
        <v>7232.6541630000002</v>
      </c>
      <c r="AO479">
        <f ca="1">IFERROR(IF(0=LEN(ReferenceData!$AO$479),"",ReferenceData!$AO$479),"")</f>
        <v>7064.6776309999996</v>
      </c>
      <c r="AP479">
        <f ca="1">IFERROR(IF(0=LEN(ReferenceData!$AP$479),"",ReferenceData!$AP$479),"")</f>
        <v>7526.9749890000003</v>
      </c>
      <c r="AQ479">
        <f ca="1">IFERROR(IF(0=LEN(ReferenceData!$AQ$479),"",ReferenceData!$AQ$479),"")</f>
        <v>7673.2896730000002</v>
      </c>
      <c r="AR479">
        <f ca="1">IFERROR(IF(0=LEN(ReferenceData!$AR$479),"",ReferenceData!$AR$479),"")</f>
        <v>9139.3581689999992</v>
      </c>
      <c r="AS479">
        <f ca="1">IFERROR(IF(0=LEN(ReferenceData!$AS$479),"",ReferenceData!$AS$479),"")</f>
        <v>10406.5584</v>
      </c>
      <c r="AT479">
        <f ca="1">IFERROR(IF(0=LEN(ReferenceData!$AT$479),"",ReferenceData!$AT$479),"")</f>
        <v>6967.6634700000004</v>
      </c>
      <c r="AU479">
        <f ca="1">IFERROR(IF(0=LEN(ReferenceData!$AU$479),"",ReferenceData!$AU$479),"")</f>
        <v>7479.5048040000001</v>
      </c>
      <c r="AV479">
        <f ca="1">IFERROR(IF(0=LEN(ReferenceData!$AV$479),"",ReferenceData!$AV$479),"")</f>
        <v>9074.2481690000004</v>
      </c>
      <c r="AW479">
        <f ca="1">IFERROR(IF(0=LEN(ReferenceData!$AW$479),"",ReferenceData!$AW$479),"")</f>
        <v>10065.112569999999</v>
      </c>
      <c r="AX479">
        <f ca="1">IFERROR(IF(0=LEN(ReferenceData!$AX$479),"",ReferenceData!$AX$479),"")</f>
        <v>9094.8854759999995</v>
      </c>
      <c r="AY479">
        <f ca="1">IFERROR(IF(0=LEN(ReferenceData!$AY$479),"",ReferenceData!$AY$479),"")</f>
        <v>9278.924755</v>
      </c>
      <c r="AZ479">
        <f ca="1">IFERROR(IF(0=LEN(ReferenceData!$AZ$479),"",ReferenceData!$AZ$479),"")</f>
        <v>8371.2262410000003</v>
      </c>
      <c r="BA479">
        <f ca="1">IFERROR(IF(0=LEN(ReferenceData!$BA$479),"",ReferenceData!$BA$479),"")</f>
        <v>8331.2802570000003</v>
      </c>
      <c r="BB479">
        <f ca="1">IFERROR(IF(0=LEN(ReferenceData!$BB$479),"",ReferenceData!$BB$479),"")</f>
        <v>8592.8995209999994</v>
      </c>
      <c r="BC479">
        <f ca="1">IFERROR(IF(0=LEN(ReferenceData!$BC$479),"",ReferenceData!$BC$479),"")</f>
        <v>9084.890582</v>
      </c>
      <c r="BD479">
        <f ca="1">IFERROR(IF(0=LEN(ReferenceData!$BD$479),"",ReferenceData!$BD$479),"")</f>
        <v>9119.9563959999996</v>
      </c>
      <c r="BE479">
        <f ca="1">IFERROR(IF(0=LEN(ReferenceData!$BE$479),"",ReferenceData!$BE$479),"")</f>
        <v>10170.363579999999</v>
      </c>
      <c r="BF479">
        <f ca="1">IFERROR(IF(0=LEN(ReferenceData!$BF$479),"",ReferenceData!$BF$479),"")</f>
        <v>11499.77693</v>
      </c>
      <c r="BG479">
        <f ca="1">IFERROR(IF(0=LEN(ReferenceData!$BG$479),"",ReferenceData!$BG$479),"")</f>
        <v>11221.69742</v>
      </c>
      <c r="BH479">
        <f ca="1">IFERROR(IF(0=LEN(ReferenceData!$BH$479),"",ReferenceData!$BH$479),"")</f>
        <v>8888.1755020000001</v>
      </c>
      <c r="BI479">
        <f ca="1">IFERROR(IF(0=LEN(ReferenceData!$BI$479),"",ReferenceData!$BI$479),"")</f>
        <v>5389.2009600000001</v>
      </c>
      <c r="BJ479">
        <f ca="1">IFERROR(IF(0=LEN(ReferenceData!$BJ$479),"",ReferenceData!$BJ$479),"")</f>
        <v>5577.86499</v>
      </c>
      <c r="BK479">
        <f ca="1">IFERROR(IF(0=LEN(ReferenceData!$BK$479),"",ReferenceData!$BK$479),"")</f>
        <v>3158.4035979999999</v>
      </c>
      <c r="BL479">
        <f ca="1">IFERROR(IF(0=LEN(ReferenceData!$BL$479),"",ReferenceData!$BL$479),"")</f>
        <v>2604.8854150000002</v>
      </c>
      <c r="BM479">
        <f ca="1">IFERROR(IF(0=LEN(ReferenceData!$BM$479),"",ReferenceData!$BM$479),"")</f>
        <v>2414.3013230000001</v>
      </c>
    </row>
    <row r="480" spans="1:65" x14ac:dyDescent="0.25">
      <c r="A480" t="str">
        <f>IFERROR(IF(0=LEN(ReferenceData!$A$480),"",ReferenceData!$A$480),"")</f>
        <v xml:space="preserve">    Nissan Motor Co Ltd</v>
      </c>
      <c r="B480" t="str">
        <f>IFERROR(IF(0=LEN(ReferenceData!$B$480),"",ReferenceData!$B$480),"")</f>
        <v>7201 JP Equity</v>
      </c>
      <c r="C480" t="str">
        <f>IFERROR(IF(0=LEN(ReferenceData!$C$480),"",ReferenceData!$C$480),"")</f>
        <v>RR902</v>
      </c>
      <c r="D480" t="str">
        <f>IFERROR(IF(0=LEN(ReferenceData!$D$480),"",ReferenceData!$D$480),"")</f>
        <v>CUR_MKT_CAP</v>
      </c>
      <c r="E480" t="str">
        <f>IFERROR(IF(0=LEN(ReferenceData!$E$480),"",ReferenceData!$E$480),"")</f>
        <v>Dynamic</v>
      </c>
      <c r="F480">
        <f ca="1">IFERROR(IF(0=LEN(ReferenceData!$F$480),"",ReferenceData!$F$480),"")</f>
        <v>36168.833789999997</v>
      </c>
      <c r="G480">
        <f ca="1">IFERROR(IF(0=LEN(ReferenceData!$G$480),"",ReferenceData!$G$480),"")</f>
        <v>33651.802490000002</v>
      </c>
      <c r="H480">
        <f ca="1">IFERROR(IF(0=LEN(ReferenceData!$H$480),"",ReferenceData!$H$480),"")</f>
        <v>39548.286529999998</v>
      </c>
      <c r="I480">
        <f ca="1">IFERROR(IF(0=LEN(ReferenceData!$I$480),"",ReferenceData!$I$480),"")</f>
        <v>41071.7719</v>
      </c>
      <c r="J480">
        <f ca="1">IFERROR(IF(0=LEN(ReferenceData!$J$480),"",ReferenceData!$J$480),"")</f>
        <v>43868.099069999997</v>
      </c>
      <c r="K480">
        <f ca="1">IFERROR(IF(0=LEN(ReferenceData!$K$480),"",ReferenceData!$K$480),"")</f>
        <v>42120.922259999999</v>
      </c>
      <c r="L480">
        <f ca="1">IFERROR(IF(0=LEN(ReferenceData!$L$480),"",ReferenceData!$L$480),"")</f>
        <v>41768.664470000003</v>
      </c>
      <c r="M480">
        <f ca="1">IFERROR(IF(0=LEN(ReferenceData!$M$480),"",ReferenceData!$M$480),"")</f>
        <v>42000.531739999999</v>
      </c>
      <c r="N480">
        <f ca="1">IFERROR(IF(0=LEN(ReferenceData!$N$480),"",ReferenceData!$N$480),"")</f>
        <v>40705.578200000004</v>
      </c>
      <c r="O480">
        <f ca="1">IFERROR(IF(0=LEN(ReferenceData!$O$480),"",ReferenceData!$O$480),"")</f>
        <v>42536.444380000001</v>
      </c>
      <c r="P480">
        <f ca="1">IFERROR(IF(0=LEN(ReferenceData!$P$480),"",ReferenceData!$P$480),"")</f>
        <v>41492.895170000003</v>
      </c>
      <c r="Q480">
        <f ca="1">IFERROR(IF(0=LEN(ReferenceData!$Q$480),"",ReferenceData!$Q$480),"")</f>
        <v>39056.474499999997</v>
      </c>
      <c r="R480">
        <f ca="1">IFERROR(IF(0=LEN(ReferenceData!$R$480),"",ReferenceData!$R$480),"")</f>
        <v>41611.075720000001</v>
      </c>
      <c r="S480">
        <f ca="1">IFERROR(IF(0=LEN(ReferenceData!$S$480),"",ReferenceData!$S$480),"")</f>
        <v>47958.339</v>
      </c>
      <c r="T480">
        <f ca="1">IFERROR(IF(0=LEN(ReferenceData!$T$480),"",ReferenceData!$T$480),"")</f>
        <v>41327.505420000001</v>
      </c>
      <c r="U480">
        <f ca="1">IFERROR(IF(0=LEN(ReferenceData!$U$480),"",ReferenceData!$U$480),"")</f>
        <v>47198.755720000001</v>
      </c>
      <c r="V480">
        <f ca="1">IFERROR(IF(0=LEN(ReferenceData!$V$480),"",ReferenceData!$V$480),"")</f>
        <v>46130.517440000003</v>
      </c>
      <c r="W480">
        <f ca="1">IFERROR(IF(0=LEN(ReferenceData!$W$480),"",ReferenceData!$W$480),"")</f>
        <v>39999.967400000001</v>
      </c>
      <c r="X480">
        <f ca="1">IFERROR(IF(0=LEN(ReferenceData!$X$480),"",ReferenceData!$X$480),"")</f>
        <v>44069.347889999997</v>
      </c>
      <c r="Y480">
        <f ca="1">IFERROR(IF(0=LEN(ReferenceData!$Y$480),"",ReferenceData!$Y$480),"")</f>
        <v>42890.783239999997</v>
      </c>
      <c r="Z480">
        <f ca="1">IFERROR(IF(0=LEN(ReferenceData!$Z$480),"",ReferenceData!$Z$480),"")</f>
        <v>40351.781369999997</v>
      </c>
      <c r="AA480">
        <f ca="1">IFERROR(IF(0=LEN(ReferenceData!$AA$480),"",ReferenceData!$AA$480),"")</f>
        <v>38031.141539999997</v>
      </c>
      <c r="AB480">
        <f ca="1">IFERROR(IF(0=LEN(ReferenceData!$AB$480),"",ReferenceData!$AB$480),"")</f>
        <v>45294.612430000001</v>
      </c>
      <c r="AC480">
        <f ca="1">IFERROR(IF(0=LEN(ReferenceData!$AC$480),"",ReferenceData!$AC$480),"")</f>
        <v>45739.64471</v>
      </c>
      <c r="AD480">
        <f ca="1">IFERROR(IF(0=LEN(ReferenceData!$AD$480),"",ReferenceData!$AD$480),"")</f>
        <v>43422.281629999998</v>
      </c>
      <c r="AE480">
        <f ca="1">IFERROR(IF(0=LEN(ReferenceData!$AE$480),"",ReferenceData!$AE$480),"")</f>
        <v>42591.77665</v>
      </c>
      <c r="AF480">
        <f ca="1">IFERROR(IF(0=LEN(ReferenceData!$AF$480),"",ReferenceData!$AF$480),"")</f>
        <v>38581.566939999997</v>
      </c>
      <c r="AG480">
        <f ca="1">IFERROR(IF(0=LEN(ReferenceData!$AG$480),"",ReferenceData!$AG$480),"")</f>
        <v>42374.624920000002</v>
      </c>
      <c r="AH480">
        <f ca="1">IFERROR(IF(0=LEN(ReferenceData!$AH$480),"",ReferenceData!$AH$480),"")</f>
        <v>48199.808879999997</v>
      </c>
      <c r="AI480">
        <f ca="1">IFERROR(IF(0=LEN(ReferenceData!$AI$480),"",ReferenceData!$AI$480),"")</f>
        <v>40633.004410000001</v>
      </c>
      <c r="AJ480">
        <f ca="1">IFERROR(IF(0=LEN(ReferenceData!$AJ$480),"",ReferenceData!$AJ$480),"")</f>
        <v>40612.596899999997</v>
      </c>
      <c r="AK480">
        <f ca="1">IFERROR(IF(0=LEN(ReferenceData!$AK$480),"",ReferenceData!$AK$480),"")</f>
        <v>47249.780409999999</v>
      </c>
      <c r="AL480">
        <f ca="1">IFERROR(IF(0=LEN(ReferenceData!$AL$480),"",ReferenceData!$AL$480),"")</f>
        <v>40278.738559999998</v>
      </c>
      <c r="AM480">
        <f ca="1">IFERROR(IF(0=LEN(ReferenceData!$AM$480),"",ReferenceData!$AM$480),"")</f>
        <v>42751.565349999997</v>
      </c>
      <c r="AN480">
        <f ca="1">IFERROR(IF(0=LEN(ReferenceData!$AN$480),"",ReferenceData!$AN$480),"")</f>
        <v>39487.197180000003</v>
      </c>
      <c r="AO480">
        <f ca="1">IFERROR(IF(0=LEN(ReferenceData!$AO$480),"",ReferenceData!$AO$480),"")</f>
        <v>31948.157569999999</v>
      </c>
      <c r="AP480">
        <f ca="1">IFERROR(IF(0=LEN(ReferenceData!$AP$480),"",ReferenceData!$AP$480),"")</f>
        <v>38753.135499999997</v>
      </c>
      <c r="AQ480">
        <f ca="1">IFERROR(IF(0=LEN(ReferenceData!$AQ$480),"",ReferenceData!$AQ$480),"")</f>
        <v>39638.22709</v>
      </c>
      <c r="AR480">
        <f ca="1">IFERROR(IF(0=LEN(ReferenceData!$AR$480),"",ReferenceData!$AR$480),"")</f>
        <v>30598.508099999999</v>
      </c>
      <c r="AS480">
        <f ca="1">IFERROR(IF(0=LEN(ReferenceData!$AS$480),"",ReferenceData!$AS$480),"")</f>
        <v>27503.521430000001</v>
      </c>
      <c r="AT480">
        <f ca="1">IFERROR(IF(0=LEN(ReferenceData!$AT$480),"",ReferenceData!$AT$480),"")</f>
        <v>15926.02281</v>
      </c>
      <c r="AU480">
        <f ca="1">IFERROR(IF(0=LEN(ReferenceData!$AU$480),"",ReferenceData!$AU$480),"")</f>
        <v>16014.93309</v>
      </c>
      <c r="AV480">
        <f ca="1">IFERROR(IF(0=LEN(ReferenceData!$AV$480),"",ReferenceData!$AV$480),"")</f>
        <v>29672.6489</v>
      </c>
      <c r="AW480">
        <f ca="1">IFERROR(IF(0=LEN(ReferenceData!$AW$480),"",ReferenceData!$AW$480),"")</f>
        <v>37335.599829999999</v>
      </c>
      <c r="AX480">
        <f ca="1">IFERROR(IF(0=LEN(ReferenceData!$AX$480),"",ReferenceData!$AX$480),"")</f>
        <v>37302.918420000002</v>
      </c>
      <c r="AY480">
        <f ca="1">IFERROR(IF(0=LEN(ReferenceData!$AY$480),"",ReferenceData!$AY$480),"")</f>
        <v>49295.034209999998</v>
      </c>
      <c r="AZ480">
        <f ca="1">IFERROR(IF(0=LEN(ReferenceData!$AZ$480),"",ReferenceData!$AZ$480),"")</f>
        <v>45325.290480000003</v>
      </c>
      <c r="BA480">
        <f ca="1">IFERROR(IF(0=LEN(ReferenceData!$BA$480),"",ReferenceData!$BA$480),"")</f>
        <v>48449.334360000001</v>
      </c>
      <c r="BB480">
        <f ca="1">IFERROR(IF(0=LEN(ReferenceData!$BB$480),"",ReferenceData!$BB$480),"")</f>
        <v>48555.688959999999</v>
      </c>
      <c r="BC480">
        <f ca="1">IFERROR(IF(0=LEN(ReferenceData!$BC$480),"",ReferenceData!$BC$480),"")</f>
        <v>54401.957260000003</v>
      </c>
      <c r="BD480">
        <f ca="1">IFERROR(IF(0=LEN(ReferenceData!$BD$480),"",ReferenceData!$BD$480),"")</f>
        <v>50677.057990000001</v>
      </c>
      <c r="BE480">
        <f ca="1">IFERROR(IF(0=LEN(ReferenceData!$BE$480),"",ReferenceData!$BE$480),"")</f>
        <v>49365.721720000001</v>
      </c>
      <c r="BF480">
        <f ca="1">IFERROR(IF(0=LEN(ReferenceData!$BF$480),"",ReferenceData!$BF$480),"")</f>
        <v>53786.893909999999</v>
      </c>
      <c r="BG480">
        <f ca="1">IFERROR(IF(0=LEN(ReferenceData!$BG$480),"",ReferenceData!$BG$480),"")</f>
        <v>45793.462930000002</v>
      </c>
      <c r="BH480">
        <f ca="1">IFERROR(IF(0=LEN(ReferenceData!$BH$480),"",ReferenceData!$BH$480),"")</f>
        <v>51592.518819999998</v>
      </c>
      <c r="BI480">
        <f ca="1">IFERROR(IF(0=LEN(ReferenceData!$BI$480),"",ReferenceData!$BI$480),"")</f>
        <v>44746.641109999997</v>
      </c>
      <c r="BJ480">
        <f ca="1">IFERROR(IF(0=LEN(ReferenceData!$BJ$480),"",ReferenceData!$BJ$480),"")</f>
        <v>46345.761319999998</v>
      </c>
      <c r="BK480">
        <f ca="1">IFERROR(IF(0=LEN(ReferenceData!$BK$480),"",ReferenceData!$BK$480),"")</f>
        <v>48870.221599999997</v>
      </c>
      <c r="BL480">
        <f ca="1">IFERROR(IF(0=LEN(ReferenceData!$BL$480),"",ReferenceData!$BL$480),"")</f>
        <v>49348.292659999999</v>
      </c>
      <c r="BM480">
        <f ca="1">IFERROR(IF(0=LEN(ReferenceData!$BM$480),"",ReferenceData!$BM$480),"")</f>
        <v>50138.311289999998</v>
      </c>
    </row>
    <row r="481" spans="1:65" x14ac:dyDescent="0.25">
      <c r="A481" t="str">
        <f>IFERROR(IF(0=LEN(ReferenceData!$A$481),"",ReferenceData!$A$481),"")</f>
        <v xml:space="preserve">    Peugeot SA</v>
      </c>
      <c r="B481" t="str">
        <f>IFERROR(IF(0=LEN(ReferenceData!$B$481),"",ReferenceData!$B$481),"")</f>
        <v>UG FP Equity</v>
      </c>
      <c r="C481" t="str">
        <f>IFERROR(IF(0=LEN(ReferenceData!$C$481),"",ReferenceData!$C$481),"")</f>
        <v>RR902</v>
      </c>
      <c r="D481" t="str">
        <f>IFERROR(IF(0=LEN(ReferenceData!$D$481),"",ReferenceData!$D$481),"")</f>
        <v>CUR_MKT_CAP</v>
      </c>
      <c r="E481" t="str">
        <f>IFERROR(IF(0=LEN(ReferenceData!$E$481),"",ReferenceData!$E$481),"")</f>
        <v>Dynamic</v>
      </c>
      <c r="F481">
        <f ca="1">IFERROR(IF(0=LEN(ReferenceData!$F$481),"",ReferenceData!$F$481),"")</f>
        <v>23275.187689999999</v>
      </c>
      <c r="G481">
        <f ca="1">IFERROR(IF(0=LEN(ReferenceData!$G$481),"",ReferenceData!$G$481),"")</f>
        <v>19320.12183</v>
      </c>
      <c r="H481">
        <f ca="1">IFERROR(IF(0=LEN(ReferenceData!$H$481),"",ReferenceData!$H$481),"")</f>
        <v>24411.651709999998</v>
      </c>
      <c r="I481">
        <f ca="1">IFERROR(IF(0=LEN(ReferenceData!$I$481),"",ReferenceData!$I$481),"")</f>
        <v>20666.468209999999</v>
      </c>
      <c r="J481">
        <f ca="1">IFERROR(IF(0=LEN(ReferenceData!$J$481),"",ReferenceData!$J$481),"")</f>
        <v>21742.031169999998</v>
      </c>
      <c r="K481">
        <f ca="1">IFERROR(IF(0=LEN(ReferenceData!$K$481),"",ReferenceData!$K$481),"")</f>
        <v>18443.38582</v>
      </c>
      <c r="L481">
        <f ca="1">IFERROR(IF(0=LEN(ReferenceData!$L$481),"",ReferenceData!$L$481),"")</f>
        <v>21519.569469999999</v>
      </c>
      <c r="M481">
        <f ca="1">IFERROR(IF(0=LEN(ReferenceData!$M$481),"",ReferenceData!$M$481),"")</f>
        <v>18035.763340000001</v>
      </c>
      <c r="N481">
        <f ca="1">IFERROR(IF(0=LEN(ReferenceData!$N$481),"",ReferenceData!$N$481),"")</f>
        <v>17546.076499999999</v>
      </c>
      <c r="O481">
        <f ca="1">IFERROR(IF(0=LEN(ReferenceData!$O$481),"",ReferenceData!$O$481),"")</f>
        <v>13266.090459999999</v>
      </c>
      <c r="P481">
        <f ca="1">IFERROR(IF(0=LEN(ReferenceData!$P$481),"",ReferenceData!$P$481),"")</f>
        <v>12365.037329999999</v>
      </c>
      <c r="Q481">
        <f ca="1">IFERROR(IF(0=LEN(ReferenceData!$Q$481),"",ReferenceData!$Q$481),"")</f>
        <v>9695.9661049999995</v>
      </c>
      <c r="R481">
        <f ca="1">IFERROR(IF(0=LEN(ReferenceData!$R$481),"",ReferenceData!$R$481),"")</f>
        <v>13860.03606</v>
      </c>
      <c r="S481">
        <f ca="1">IFERROR(IF(0=LEN(ReferenceData!$S$481),"",ReferenceData!$S$481),"")</f>
        <v>14231.23984</v>
      </c>
      <c r="T481">
        <f ca="1">IFERROR(IF(0=LEN(ReferenceData!$T$481),"",ReferenceData!$T$481),"")</f>
        <v>12157.928669999999</v>
      </c>
      <c r="U481">
        <f ca="1">IFERROR(IF(0=LEN(ReferenceData!$U$481),"",ReferenceData!$U$481),"")</f>
        <v>16552.217140000001</v>
      </c>
      <c r="V481">
        <f ca="1">IFERROR(IF(0=LEN(ReferenceData!$V$481),"",ReferenceData!$V$481),"")</f>
        <v>13155.65696</v>
      </c>
      <c r="W481">
        <f ca="1">IFERROR(IF(0=LEN(ReferenceData!$W$481),"",ReferenceData!$W$481),"")</f>
        <v>9683.8312850000002</v>
      </c>
      <c r="X481">
        <f ca="1">IFERROR(IF(0=LEN(ReferenceData!$X$481),"",ReferenceData!$X$481),"")</f>
        <v>10042.916209999999</v>
      </c>
      <c r="Y481">
        <f ca="1">IFERROR(IF(0=LEN(ReferenceData!$Y$481),"",ReferenceData!$Y$481),"")</f>
        <v>11572.762570000001</v>
      </c>
      <c r="Z481">
        <f ca="1">IFERROR(IF(0=LEN(ReferenceData!$Z$481),"",ReferenceData!$Z$481),"")</f>
        <v>6692.7196780000004</v>
      </c>
      <c r="AA481">
        <f ca="1">IFERROR(IF(0=LEN(ReferenceData!$AA$481),"",ReferenceData!$AA$481),"")</f>
        <v>4618.0255260000004</v>
      </c>
      <c r="AB481">
        <f ca="1">IFERROR(IF(0=LEN(ReferenceData!$AB$481),"",ReferenceData!$AB$481),"")</f>
        <v>5833.7760939999998</v>
      </c>
      <c r="AC481">
        <f ca="1">IFERROR(IF(0=LEN(ReferenceData!$AC$481),"",ReferenceData!$AC$481),"")</f>
        <v>2918.8681040000001</v>
      </c>
      <c r="AD481">
        <f ca="1">IFERROR(IF(0=LEN(ReferenceData!$AD$481),"",ReferenceData!$AD$481),"")</f>
        <v>2570.6787340000001</v>
      </c>
      <c r="AE481">
        <f ca="1">IFERROR(IF(0=LEN(ReferenceData!$AE$481),"",ReferenceData!$AE$481),"")</f>
        <v>2562.0376999999999</v>
      </c>
      <c r="AF481">
        <f ca="1">IFERROR(IF(0=LEN(ReferenceData!$AF$481),"",ReferenceData!$AF$481),"")</f>
        <v>2809.9569630000001</v>
      </c>
      <c r="AG481">
        <f ca="1">IFERROR(IF(0=LEN(ReferenceData!$AG$481),"",ReferenceData!$AG$481),"")</f>
        <v>3480.4726409999998</v>
      </c>
      <c r="AH481">
        <f ca="1">IFERROR(IF(0=LEN(ReferenceData!$AH$481),"",ReferenceData!$AH$481),"")</f>
        <v>5712.4975770000001</v>
      </c>
      <c r="AI481">
        <f ca="1">IFERROR(IF(0=LEN(ReferenceData!$AI$481),"",ReferenceData!$AI$481),"")</f>
        <v>3673.2991229999998</v>
      </c>
      <c r="AJ481">
        <f ca="1">IFERROR(IF(0=LEN(ReferenceData!$AJ$481),"",ReferenceData!$AJ$481),"")</f>
        <v>5088.2996990000001</v>
      </c>
      <c r="AK481">
        <f ca="1">IFERROR(IF(0=LEN(ReferenceData!$AK$481),"",ReferenceData!$AK$481),"")</f>
        <v>10483.614009999999</v>
      </c>
      <c r="AL481">
        <f ca="1">IFERROR(IF(0=LEN(ReferenceData!$AL$481),"",ReferenceData!$AL$481),"")</f>
        <v>9259.3886930000008</v>
      </c>
      <c r="AM481">
        <f ca="1">IFERROR(IF(0=LEN(ReferenceData!$AM$481),"",ReferenceData!$AM$481),"")</f>
        <v>8887.5046509999993</v>
      </c>
      <c r="AN481">
        <f ca="1">IFERROR(IF(0=LEN(ReferenceData!$AN$481),"",ReferenceData!$AN$481),"")</f>
        <v>7862.5854410000002</v>
      </c>
      <c r="AO481">
        <f ca="1">IFERROR(IF(0=LEN(ReferenceData!$AO$481),"",ReferenceData!$AO$481),"")</f>
        <v>6043.0005000000001</v>
      </c>
      <c r="AP481">
        <f ca="1">IFERROR(IF(0=LEN(ReferenceData!$AP$481),"",ReferenceData!$AP$481),"")</f>
        <v>6904.9039380000004</v>
      </c>
      <c r="AQ481">
        <f ca="1">IFERROR(IF(0=LEN(ReferenceData!$AQ$481),"",ReferenceData!$AQ$481),"")</f>
        <v>7937.6157309999999</v>
      </c>
      <c r="AR481">
        <f ca="1">IFERROR(IF(0=LEN(ReferenceData!$AR$481),"",ReferenceData!$AR$481),"")</f>
        <v>7140.522328</v>
      </c>
      <c r="AS481">
        <f ca="1">IFERROR(IF(0=LEN(ReferenceData!$AS$481),"",ReferenceData!$AS$481),"")</f>
        <v>6155.8578550000002</v>
      </c>
      <c r="AT481">
        <f ca="1">IFERROR(IF(0=LEN(ReferenceData!$AT$481),"",ReferenceData!$AT$481),"")</f>
        <v>4409.0337179999997</v>
      </c>
      <c r="AU481">
        <f ca="1">IFERROR(IF(0=LEN(ReferenceData!$AU$481),"",ReferenceData!$AU$481),"")</f>
        <v>3967.8046909999998</v>
      </c>
      <c r="AV481">
        <f ca="1">IFERROR(IF(0=LEN(ReferenceData!$AV$481),"",ReferenceData!$AV$481),"")</f>
        <v>8681.3478309999991</v>
      </c>
      <c r="AW481">
        <f ca="1">IFERROR(IF(0=LEN(ReferenceData!$AW$481),"",ReferenceData!$AW$481),"")</f>
        <v>12715.20364</v>
      </c>
      <c r="AX481">
        <f ca="1">IFERROR(IF(0=LEN(ReferenceData!$AX$481),"",ReferenceData!$AX$481),"")</f>
        <v>18189.054</v>
      </c>
      <c r="AY481">
        <f ca="1">IFERROR(IF(0=LEN(ReferenceData!$AY$481),"",ReferenceData!$AY$481),"")</f>
        <v>17714.602650000001</v>
      </c>
      <c r="AZ481">
        <f ca="1">IFERROR(IF(0=LEN(ReferenceData!$AZ$481),"",ReferenceData!$AZ$481),"")</f>
        <v>19330.713319999999</v>
      </c>
      <c r="BA481">
        <f ca="1">IFERROR(IF(0=LEN(ReferenceData!$BA$481),"",ReferenceData!$BA$481),"")</f>
        <v>18987.697609999999</v>
      </c>
      <c r="BB481">
        <f ca="1">IFERROR(IF(0=LEN(ReferenceData!$BB$481),"",ReferenceData!$BB$481),"")</f>
        <v>16551.240979999999</v>
      </c>
      <c r="BC481">
        <f ca="1">IFERROR(IF(0=LEN(ReferenceData!$BC$481),"",ReferenceData!$BC$481),"")</f>
        <v>15533.791499999999</v>
      </c>
      <c r="BD481">
        <f ca="1">IFERROR(IF(0=LEN(ReferenceData!$BD$481),"",ReferenceData!$BD$481),"")</f>
        <v>13235.90748</v>
      </c>
      <c r="BE481">
        <f ca="1">IFERROR(IF(0=LEN(ReferenceData!$BE$481),"",ReferenceData!$BE$481),"")</f>
        <v>14593.02959</v>
      </c>
      <c r="BF481">
        <f ca="1">IFERROR(IF(0=LEN(ReferenceData!$BF$481),"",ReferenceData!$BF$481),"")</f>
        <v>14809.76412</v>
      </c>
      <c r="BG481">
        <f ca="1">IFERROR(IF(0=LEN(ReferenceData!$BG$481),"",ReferenceData!$BG$481),"")</f>
        <v>13520.28081</v>
      </c>
      <c r="BH481">
        <f ca="1">IFERROR(IF(0=LEN(ReferenceData!$BH$481),"",ReferenceData!$BH$481),"")</f>
        <v>16524.004000000001</v>
      </c>
      <c r="BI481">
        <f ca="1">IFERROR(IF(0=LEN(ReferenceData!$BI$481),"",ReferenceData!$BI$481),"")</f>
        <v>14400.910830000001</v>
      </c>
      <c r="BJ481">
        <f ca="1">IFERROR(IF(0=LEN(ReferenceData!$BJ$481),"",ReferenceData!$BJ$481),"")</f>
        <v>15454.23546</v>
      </c>
      <c r="BK481">
        <f ca="1">IFERROR(IF(0=LEN(ReferenceData!$BK$481),"",ReferenceData!$BK$481),"")</f>
        <v>15390.39112</v>
      </c>
      <c r="BL481">
        <f ca="1">IFERROR(IF(0=LEN(ReferenceData!$BL$481),"",ReferenceData!$BL$481),"")</f>
        <v>14985.945100000001</v>
      </c>
      <c r="BM481">
        <f ca="1">IFERROR(IF(0=LEN(ReferenceData!$BM$481),"",ReferenceData!$BM$481),"")</f>
        <v>13540.57228</v>
      </c>
    </row>
    <row r="482" spans="1:65" x14ac:dyDescent="0.25">
      <c r="A482" t="str">
        <f>IFERROR(IF(0=LEN(ReferenceData!$A$482),"",ReferenceData!$A$482),"")</f>
        <v xml:space="preserve">    Renault SA</v>
      </c>
      <c r="B482" t="str">
        <f>IFERROR(IF(0=LEN(ReferenceData!$B$482),"",ReferenceData!$B$482),"")</f>
        <v>RNO FP Equity</v>
      </c>
      <c r="C482" t="str">
        <f>IFERROR(IF(0=LEN(ReferenceData!$C$482),"",ReferenceData!$C$482),"")</f>
        <v>RR902</v>
      </c>
      <c r="D482" t="str">
        <f>IFERROR(IF(0=LEN(ReferenceData!$D$482),"",ReferenceData!$D$482),"")</f>
        <v>CUR_MKT_CAP</v>
      </c>
      <c r="E482" t="str">
        <f>IFERROR(IF(0=LEN(ReferenceData!$E$482),"",ReferenceData!$E$482),"")</f>
        <v>Dynamic</v>
      </c>
      <c r="F482">
        <f ca="1">IFERROR(IF(0=LEN(ReferenceData!$F$482),"",ReferenceData!$F$482),"")</f>
        <v>20044.353309999999</v>
      </c>
      <c r="G482">
        <f ca="1">IFERROR(IF(0=LEN(ReferenceData!$G$482),"",ReferenceData!$G$482),"")</f>
        <v>18473.966260000001</v>
      </c>
      <c r="H482">
        <f ca="1">IFERROR(IF(0=LEN(ReferenceData!$H$482),"",ReferenceData!$H$482),"")</f>
        <v>25587.163619999999</v>
      </c>
      <c r="I482">
        <f ca="1">IFERROR(IF(0=LEN(ReferenceData!$I$482),"",ReferenceData!$I$482),"")</f>
        <v>25149.284970000001</v>
      </c>
      <c r="J482">
        <f ca="1">IFERROR(IF(0=LEN(ReferenceData!$J$482),"",ReferenceData!$J$482),"")</f>
        <v>35802.017540000001</v>
      </c>
      <c r="K482">
        <f ca="1">IFERROR(IF(0=LEN(ReferenceData!$K$482),"",ReferenceData!$K$482),"")</f>
        <v>29831.459149999999</v>
      </c>
      <c r="L482">
        <f ca="1">IFERROR(IF(0=LEN(ReferenceData!$L$482),"",ReferenceData!$L$482),"")</f>
        <v>29008.799080000001</v>
      </c>
      <c r="M482">
        <f ca="1">IFERROR(IF(0=LEN(ReferenceData!$M$482),"",ReferenceData!$M$482),"")</f>
        <v>26747.497080000001</v>
      </c>
      <c r="N482">
        <f ca="1">IFERROR(IF(0=LEN(ReferenceData!$N$482),"",ReferenceData!$N$482),"")</f>
        <v>25759.088500000002</v>
      </c>
      <c r="O482">
        <f ca="1">IFERROR(IF(0=LEN(ReferenceData!$O$482),"",ReferenceData!$O$482),"")</f>
        <v>26358.525269999998</v>
      </c>
      <c r="P482">
        <f ca="1">IFERROR(IF(0=LEN(ReferenceData!$P$482),"",ReferenceData!$P$482),"")</f>
        <v>24285.185249999999</v>
      </c>
      <c r="Q482">
        <f ca="1">IFERROR(IF(0=LEN(ReferenceData!$Q$482),"",ReferenceData!$Q$482),"")</f>
        <v>22410.903289999998</v>
      </c>
      <c r="R482">
        <f ca="1">IFERROR(IF(0=LEN(ReferenceData!$R$482),"",ReferenceData!$R$482),"")</f>
        <v>29388.553520000001</v>
      </c>
      <c r="S482">
        <f ca="1">IFERROR(IF(0=LEN(ReferenceData!$S$482),"",ReferenceData!$S$482),"")</f>
        <v>29764.968369999999</v>
      </c>
      <c r="T482">
        <f ca="1">IFERROR(IF(0=LEN(ReferenceData!$T$482),"",ReferenceData!$T$482),"")</f>
        <v>21163.306540000001</v>
      </c>
      <c r="U482">
        <f ca="1">IFERROR(IF(0=LEN(ReferenceData!$U$482),"",ReferenceData!$U$482),"")</f>
        <v>30811.697530000001</v>
      </c>
      <c r="V482">
        <f ca="1">IFERROR(IF(0=LEN(ReferenceData!$V$482),"",ReferenceData!$V$482),"")</f>
        <v>26893.356479999999</v>
      </c>
      <c r="W482">
        <f ca="1">IFERROR(IF(0=LEN(ReferenceData!$W$482),"",ReferenceData!$W$482),"")</f>
        <v>21659.08496</v>
      </c>
      <c r="X482">
        <f ca="1">IFERROR(IF(0=LEN(ReferenceData!$X$482),"",ReferenceData!$X$482),"")</f>
        <v>21418.371449999999</v>
      </c>
      <c r="Y482">
        <f ca="1">IFERROR(IF(0=LEN(ReferenceData!$Y$482),"",ReferenceData!$Y$482),"")</f>
        <v>26731.83711</v>
      </c>
      <c r="Z482">
        <f ca="1">IFERROR(IF(0=LEN(ReferenceData!$Z$482),"",ReferenceData!$Z$482),"")</f>
        <v>28728.73677</v>
      </c>
      <c r="AA482">
        <f ca="1">IFERROR(IF(0=LEN(ReferenceData!$AA$482),"",ReferenceData!$AA$482),"")</f>
        <v>23834.242170000001</v>
      </c>
      <c r="AB482">
        <f ca="1">IFERROR(IF(0=LEN(ReferenceData!$AB$482),"",ReferenceData!$AB$482),"")</f>
        <v>23580.358080000002</v>
      </c>
      <c r="AC482">
        <f ca="1">IFERROR(IF(0=LEN(ReferenceData!$AC$482),"",ReferenceData!$AC$482),"")</f>
        <v>19883.13953</v>
      </c>
      <c r="AD482">
        <f ca="1">IFERROR(IF(0=LEN(ReferenceData!$AD$482),"",ReferenceData!$AD$482),"")</f>
        <v>18532.184000000001</v>
      </c>
      <c r="AE482">
        <f ca="1">IFERROR(IF(0=LEN(ReferenceData!$AE$482),"",ReferenceData!$AE$482),"")</f>
        <v>15877.91957</v>
      </c>
      <c r="AF482">
        <f ca="1">IFERROR(IF(0=LEN(ReferenceData!$AF$482),"",ReferenceData!$AF$482),"")</f>
        <v>13905.794190000001</v>
      </c>
      <c r="AG482">
        <f ca="1">IFERROR(IF(0=LEN(ReferenceData!$AG$482),"",ReferenceData!$AG$482),"")</f>
        <v>11762.27838</v>
      </c>
      <c r="AH482">
        <f ca="1">IFERROR(IF(0=LEN(ReferenceData!$AH$482),"",ReferenceData!$AH$482),"")</f>
        <v>15583.006230000001</v>
      </c>
      <c r="AI482">
        <f ca="1">IFERROR(IF(0=LEN(ReferenceData!$AI$482),"",ReferenceData!$AI$482),"")</f>
        <v>10271.26316</v>
      </c>
      <c r="AJ482">
        <f ca="1">IFERROR(IF(0=LEN(ReferenceData!$AJ$482),"",ReferenceData!$AJ$482),"")</f>
        <v>9970.7628800000002</v>
      </c>
      <c r="AK482">
        <f ca="1">IFERROR(IF(0=LEN(ReferenceData!$AK$482),"",ReferenceData!$AK$482),"")</f>
        <v>17543.469059999999</v>
      </c>
      <c r="AL482">
        <f ca="1">IFERROR(IF(0=LEN(ReferenceData!$AL$482),"",ReferenceData!$AL$482),"")</f>
        <v>16369.76355</v>
      </c>
      <c r="AM482">
        <f ca="1">IFERROR(IF(0=LEN(ReferenceData!$AM$482),"",ReferenceData!$AM$482),"")</f>
        <v>17193.914959999998</v>
      </c>
      <c r="AN482">
        <f ca="1">IFERROR(IF(0=LEN(ReferenceData!$AN$482),"",ReferenceData!$AN$482),"")</f>
        <v>15202.695530000001</v>
      </c>
      <c r="AO482">
        <f ca="1">IFERROR(IF(0=LEN(ReferenceData!$AO$482),"",ReferenceData!$AO$482),"")</f>
        <v>11158.54077</v>
      </c>
      <c r="AP482">
        <f ca="1">IFERROR(IF(0=LEN(ReferenceData!$AP$482),"",ReferenceData!$AP$482),"")</f>
        <v>13380.50675</v>
      </c>
      <c r="AQ482">
        <f ca="1">IFERROR(IF(0=LEN(ReferenceData!$AQ$482),"",ReferenceData!$AQ$482),"")</f>
        <v>14782.02973</v>
      </c>
      <c r="AR482">
        <f ca="1">IFERROR(IF(0=LEN(ReferenceData!$AR$482),"",ReferenceData!$AR$482),"")</f>
        <v>13295.1423</v>
      </c>
      <c r="AS482">
        <f ca="1">IFERROR(IF(0=LEN(ReferenceData!$AS$482),"",ReferenceData!$AS$482),"")</f>
        <v>10476.80961</v>
      </c>
      <c r="AT482">
        <f ca="1">IFERROR(IF(0=LEN(ReferenceData!$AT$482),"",ReferenceData!$AT$482),"")</f>
        <v>5836.9669059999997</v>
      </c>
      <c r="AU482">
        <f ca="1">IFERROR(IF(0=LEN(ReferenceData!$AU$482),"",ReferenceData!$AU$482),"")</f>
        <v>7374.9743310000003</v>
      </c>
      <c r="AV482">
        <f ca="1">IFERROR(IF(0=LEN(ReferenceData!$AV$482),"",ReferenceData!$AV$482),"")</f>
        <v>17857.311150000001</v>
      </c>
      <c r="AW482">
        <f ca="1">IFERROR(IF(0=LEN(ReferenceData!$AW$482),"",ReferenceData!$AW$482),"")</f>
        <v>23360.443039999998</v>
      </c>
      <c r="AX482">
        <f ca="1">IFERROR(IF(0=LEN(ReferenceData!$AX$482),"",ReferenceData!$AX$482),"")</f>
        <v>31577.040369999999</v>
      </c>
      <c r="AY482">
        <f ca="1">IFERROR(IF(0=LEN(ReferenceData!$AY$482),"",ReferenceData!$AY$482),"")</f>
        <v>40309.961669999997</v>
      </c>
      <c r="AZ482">
        <f ca="1">IFERROR(IF(0=LEN(ReferenceData!$AZ$482),"",ReferenceData!$AZ$482),"")</f>
        <v>41217.881560000002</v>
      </c>
      <c r="BA482">
        <f ca="1">IFERROR(IF(0=LEN(ReferenceData!$BA$482),"",ReferenceData!$BA$482),"")</f>
        <v>45985.001250000001</v>
      </c>
      <c r="BB482">
        <f ca="1">IFERROR(IF(0=LEN(ReferenceData!$BB$482),"",ReferenceData!$BB$482),"")</f>
        <v>33355.622040000002</v>
      </c>
      <c r="BC482">
        <f ca="1">IFERROR(IF(0=LEN(ReferenceData!$BC$482),"",ReferenceData!$BC$482),"")</f>
        <v>34198.122640000001</v>
      </c>
      <c r="BD482">
        <f ca="1">IFERROR(IF(0=LEN(ReferenceData!$BD$482),"",ReferenceData!$BD$482),"")</f>
        <v>32695.07087</v>
      </c>
      <c r="BE482">
        <f ca="1">IFERROR(IF(0=LEN(ReferenceData!$BE$482),"",ReferenceData!$BE$482),"")</f>
        <v>30600.53527</v>
      </c>
      <c r="BF482">
        <f ca="1">IFERROR(IF(0=LEN(ReferenceData!$BF$482),"",ReferenceData!$BF$482),"")</f>
        <v>30351.412130000001</v>
      </c>
      <c r="BG482">
        <f ca="1">IFERROR(IF(0=LEN(ReferenceData!$BG$482),"",ReferenceData!$BG$482),"")</f>
        <v>23230.735059999999</v>
      </c>
      <c r="BH482">
        <f ca="1">IFERROR(IF(0=LEN(ReferenceData!$BH$482),"",ReferenceData!$BH$482),"")</f>
        <v>27011.002939999998</v>
      </c>
      <c r="BI482">
        <f ca="1">IFERROR(IF(0=LEN(ReferenceData!$BI$482),"",ReferenceData!$BI$482),"")</f>
        <v>25121.545719999998</v>
      </c>
      <c r="BJ482">
        <f ca="1">IFERROR(IF(0=LEN(ReferenceData!$BJ$482),"",ReferenceData!$BJ$482),"")</f>
        <v>25458.985229999998</v>
      </c>
      <c r="BK482">
        <f ca="1">IFERROR(IF(0=LEN(ReferenceData!$BK$482),"",ReferenceData!$BK$482),"")</f>
        <v>23774.34074</v>
      </c>
      <c r="BL482">
        <f ca="1">IFERROR(IF(0=LEN(ReferenceData!$BL$482),"",ReferenceData!$BL$482),"")</f>
        <v>23318.783439999999</v>
      </c>
      <c r="BM482">
        <f ca="1">IFERROR(IF(0=LEN(ReferenceData!$BM$482),"",ReferenceData!$BM$482),"")</f>
        <v>21705.921559999999</v>
      </c>
    </row>
    <row r="483" spans="1:65" x14ac:dyDescent="0.25">
      <c r="A483" t="str">
        <f>IFERROR(IF(0=LEN(ReferenceData!$A$483),"",ReferenceData!$A$483),"")</f>
        <v xml:space="preserve">    SAIC Motor Corp Ltd</v>
      </c>
      <c r="B483" t="str">
        <f>IFERROR(IF(0=LEN(ReferenceData!$B$483),"",ReferenceData!$B$483),"")</f>
        <v>600104 CH Equity</v>
      </c>
      <c r="C483" t="str">
        <f>IFERROR(IF(0=LEN(ReferenceData!$C$483),"",ReferenceData!$C$483),"")</f>
        <v>RR902</v>
      </c>
      <c r="D483" t="str">
        <f>IFERROR(IF(0=LEN(ReferenceData!$D$483),"",ReferenceData!$D$483),"")</f>
        <v>CUR_MKT_CAP</v>
      </c>
      <c r="E483" t="str">
        <f>IFERROR(IF(0=LEN(ReferenceData!$E$483),"",ReferenceData!$E$483),"")</f>
        <v>Dynamic</v>
      </c>
      <c r="F483">
        <f ca="1">IFERROR(IF(0=LEN(ReferenceData!$F$483),"",ReferenceData!$F$483),"")</f>
        <v>49436.587740000003</v>
      </c>
      <c r="G483">
        <f ca="1">IFERROR(IF(0=LEN(ReferenceData!$G$483),"",ReferenceData!$G$483),"")</f>
        <v>45302.246899999998</v>
      </c>
      <c r="H483">
        <f ca="1">IFERROR(IF(0=LEN(ReferenceData!$H$483),"",ReferenceData!$H$483),"")</f>
        <v>56605.027470000001</v>
      </c>
      <c r="I483">
        <f ca="1">IFERROR(IF(0=LEN(ReferenceData!$I$483),"",ReferenceData!$I$483),"")</f>
        <v>61716.558700000001</v>
      </c>
      <c r="J483">
        <f ca="1">IFERROR(IF(0=LEN(ReferenceData!$J$483),"",ReferenceData!$J$483),"")</f>
        <v>63192.512889999998</v>
      </c>
      <c r="K483">
        <f ca="1">IFERROR(IF(0=LEN(ReferenceData!$K$483),"",ReferenceData!$K$483),"")</f>
        <v>57531.175889999999</v>
      </c>
      <c r="L483">
        <f ca="1">IFERROR(IF(0=LEN(ReferenceData!$L$483),"",ReferenceData!$L$483),"")</f>
        <v>53161.87111</v>
      </c>
      <c r="M483">
        <f ca="1">IFERROR(IF(0=LEN(ReferenceData!$M$483),"",ReferenceData!$M$483),"")</f>
        <v>53623.961519999997</v>
      </c>
      <c r="N483">
        <f ca="1">IFERROR(IF(0=LEN(ReferenceData!$N$483),"",ReferenceData!$N$483),"")</f>
        <v>43114.784019999999</v>
      </c>
      <c r="O483">
        <f ca="1">IFERROR(IF(0=LEN(ReferenceData!$O$483),"",ReferenceData!$O$483),"")</f>
        <v>37256.586340000002</v>
      </c>
      <c r="P483">
        <f ca="1">IFERROR(IF(0=LEN(ReferenceData!$P$483),"",ReferenceData!$P$483),"")</f>
        <v>36138.281499999997</v>
      </c>
      <c r="Q483">
        <f ca="1">IFERROR(IF(0=LEN(ReferenceData!$Q$483),"",ReferenceData!$Q$483),"")</f>
        <v>33616.653250000003</v>
      </c>
      <c r="R483">
        <f ca="1">IFERROR(IF(0=LEN(ReferenceData!$R$483),"",ReferenceData!$R$483),"")</f>
        <v>34276.018120000001</v>
      </c>
      <c r="S483">
        <f ca="1">IFERROR(IF(0=LEN(ReferenceData!$S$483),"",ReferenceData!$S$483),"")</f>
        <v>36063.586770000002</v>
      </c>
      <c r="T483">
        <f ca="1">IFERROR(IF(0=LEN(ReferenceData!$T$483),"",ReferenceData!$T$483),"")</f>
        <v>29133.757310000001</v>
      </c>
      <c r="U483">
        <f ca="1">IFERROR(IF(0=LEN(ReferenceData!$U$483),"",ReferenceData!$U$483),"")</f>
        <v>40199.693599999999</v>
      </c>
      <c r="V483">
        <f ca="1">IFERROR(IF(0=LEN(ReferenceData!$V$483),"",ReferenceData!$V$483),"")</f>
        <v>44198.271520000002</v>
      </c>
      <c r="W483">
        <f ca="1">IFERROR(IF(0=LEN(ReferenceData!$W$483),"",ReferenceData!$W$483),"")</f>
        <v>38134.953560000002</v>
      </c>
      <c r="X483">
        <f ca="1">IFERROR(IF(0=LEN(ReferenceData!$X$483),"",ReferenceData!$X$483),"")</f>
        <v>32475.683529999998</v>
      </c>
      <c r="Y483">
        <f ca="1">IFERROR(IF(0=LEN(ReferenceData!$Y$483),"",ReferenceData!$Y$483),"")</f>
        <v>27189.83366</v>
      </c>
      <c r="Z483">
        <f ca="1">IFERROR(IF(0=LEN(ReferenceData!$Z$483),"",ReferenceData!$Z$483),"")</f>
        <v>24556.41951</v>
      </c>
      <c r="AA483">
        <f ca="1">IFERROR(IF(0=LEN(ReferenceData!$AA$483),"",ReferenceData!$AA$483),"")</f>
        <v>25758.62616</v>
      </c>
      <c r="AB483">
        <f ca="1">IFERROR(IF(0=LEN(ReferenceData!$AB$483),"",ReferenceData!$AB$483),"")</f>
        <v>24369.574519999998</v>
      </c>
      <c r="AC483">
        <f ca="1">IFERROR(IF(0=LEN(ReferenceData!$AC$483),"",ReferenceData!$AC$483),"")</f>
        <v>23730.404760000001</v>
      </c>
      <c r="AD483">
        <f ca="1">IFERROR(IF(0=LEN(ReferenceData!$AD$483),"",ReferenceData!$AD$483),"")</f>
        <v>26273.327560000002</v>
      </c>
      <c r="AE483">
        <f ca="1">IFERROR(IF(0=LEN(ReferenceData!$AE$483),"",ReferenceData!$AE$483),"")</f>
        <v>31193.43389</v>
      </c>
      <c r="AF483">
        <f ca="1">IFERROR(IF(0=LEN(ReferenceData!$AF$483),"",ReferenceData!$AF$483),"")</f>
        <v>23749.748500000002</v>
      </c>
      <c r="AG483">
        <f ca="1">IFERROR(IF(0=LEN(ReferenceData!$AG$483),"",ReferenceData!$AG$483),"")</f>
        <v>24791.953539999999</v>
      </c>
      <c r="AH483">
        <f ca="1">IFERROR(IF(0=LEN(ReferenceData!$AH$483),"",ReferenceData!$AH$483),"")</f>
        <v>25959.6021</v>
      </c>
      <c r="AI483">
        <f ca="1">IFERROR(IF(0=LEN(ReferenceData!$AI$483),"",ReferenceData!$AI$483),"")</f>
        <v>24747.449720000001</v>
      </c>
      <c r="AJ483">
        <f ca="1">IFERROR(IF(0=LEN(ReferenceData!$AJ$483),"",ReferenceData!$AJ$483),"")</f>
        <v>23138.634119999999</v>
      </c>
      <c r="AK483">
        <f ca="1">IFERROR(IF(0=LEN(ReferenceData!$AK$483),"",ReferenceData!$AK$483),"")</f>
        <v>26795.430919999999</v>
      </c>
      <c r="AL483">
        <f ca="1">IFERROR(IF(0=LEN(ReferenceData!$AL$483),"",ReferenceData!$AL$483),"")</f>
        <v>26039.563200000001</v>
      </c>
      <c r="AM483">
        <f ca="1">IFERROR(IF(0=LEN(ReferenceData!$AM$483),"",ReferenceData!$AM$483),"")</f>
        <v>20589.518970000001</v>
      </c>
      <c r="AN483">
        <f ca="1">IFERROR(IF(0=LEN(ReferenceData!$AN$483),"",ReferenceData!$AN$483),"")</f>
        <v>21462.823270000001</v>
      </c>
      <c r="AO483">
        <f ca="1">IFERROR(IF(0=LEN(ReferenceData!$AO$483),"",ReferenceData!$AO$483),"")</f>
        <v>15418.362880000001</v>
      </c>
      <c r="AP483">
        <f ca="1">IFERROR(IF(0=LEN(ReferenceData!$AP$483),"",ReferenceData!$AP$483),"")</f>
        <v>19655.74166</v>
      </c>
      <c r="AQ483">
        <f ca="1">IFERROR(IF(0=LEN(ReferenceData!$AQ$483),"",ReferenceData!$AQ$483),"")</f>
        <v>25073.368709999999</v>
      </c>
      <c r="AR483">
        <f ca="1">IFERROR(IF(0=LEN(ReferenceData!$AR$483),"",ReferenceData!$AR$483),"")</f>
        <v>18953.579389999999</v>
      </c>
      <c r="AS483">
        <f ca="1">IFERROR(IF(0=LEN(ReferenceData!$AS$483),"",ReferenceData!$AS$483),"")</f>
        <v>14337.89919</v>
      </c>
      <c r="AT483">
        <f ca="1">IFERROR(IF(0=LEN(ReferenceData!$AT$483),"",ReferenceData!$AT$483),"")</f>
        <v>9433.1133630000004</v>
      </c>
      <c r="AU483">
        <f ca="1">IFERROR(IF(0=LEN(ReferenceData!$AU$483),"",ReferenceData!$AU$483),"")</f>
        <v>5144.4607770000002</v>
      </c>
      <c r="AV483">
        <f ca="1">IFERROR(IF(0=LEN(ReferenceData!$AV$483),"",ReferenceData!$AV$483),"")</f>
        <v>6523.7677059999996</v>
      </c>
      <c r="AW483">
        <f ca="1">IFERROR(IF(0=LEN(ReferenceData!$AW$483),"",ReferenceData!$AW$483),"")</f>
        <v>7502.67479</v>
      </c>
      <c r="AX483">
        <f ca="1">IFERROR(IF(0=LEN(ReferenceData!$AX$483),"",ReferenceData!$AX$483),"")</f>
        <v>12827.385270000001</v>
      </c>
      <c r="AY483">
        <f ca="1">IFERROR(IF(0=LEN(ReferenceData!$AY$483),"",ReferenceData!$AY$483),"")</f>
        <v>23579.436239999999</v>
      </c>
      <c r="AZ483">
        <f ca="1">IFERROR(IF(0=LEN(ReferenceData!$AZ$483),"",ReferenceData!$AZ$483),"")</f>
        <v>25781.351890000002</v>
      </c>
      <c r="BA483">
        <f ca="1">IFERROR(IF(0=LEN(ReferenceData!$BA$483),"",ReferenceData!$BA$483),"")</f>
        <v>14860.54169</v>
      </c>
      <c r="BB483">
        <f ca="1">IFERROR(IF(0=LEN(ReferenceData!$BB$483),"",ReferenceData!$BB$483),"")</f>
        <v>10497.247820000001</v>
      </c>
      <c r="BC483">
        <f ca="1">IFERROR(IF(0=LEN(ReferenceData!$BC$483),"",ReferenceData!$BC$483),"")</f>
        <v>3429.1568360000001</v>
      </c>
      <c r="BD483">
        <f ca="1">IFERROR(IF(0=LEN(ReferenceData!$BD$483),"",ReferenceData!$BD$483),"")</f>
        <v>2159.3799309999999</v>
      </c>
      <c r="BE483">
        <f ca="1">IFERROR(IF(0=LEN(ReferenceData!$BE$483),"",ReferenceData!$BE$483),"")</f>
        <v>2401.3802679999999</v>
      </c>
      <c r="BF483">
        <f ca="1">IFERROR(IF(0=LEN(ReferenceData!$BF$483),"",ReferenceData!$BF$483),"")</f>
        <v>1426.0884840000001</v>
      </c>
      <c r="BG483">
        <f ca="1">IFERROR(IF(0=LEN(ReferenceData!$BG$483),"",ReferenceData!$BG$483),"")</f>
        <v>1343.6540319999999</v>
      </c>
      <c r="BH483">
        <f ca="1">IFERROR(IF(0=LEN(ReferenceData!$BH$483),"",ReferenceData!$BH$483),"")</f>
        <v>2088.9959170000002</v>
      </c>
      <c r="BI483">
        <f ca="1">IFERROR(IF(0=LEN(ReferenceData!$BI$483),"",ReferenceData!$BI$483),"")</f>
        <v>1702.04386</v>
      </c>
      <c r="BJ483">
        <f ca="1">IFERROR(IF(0=LEN(ReferenceData!$BJ$483),"",ReferenceData!$BJ$483),"")</f>
        <v>1709.960343</v>
      </c>
      <c r="BK483">
        <f ca="1">IFERROR(IF(0=LEN(ReferenceData!$BK$483),"",ReferenceData!$BK$483),"")</f>
        <v>1880.142012</v>
      </c>
      <c r="BL483">
        <f ca="1">IFERROR(IF(0=LEN(ReferenceData!$BL$483),"",ReferenceData!$BL$483),"")</f>
        <v>3095.3074809999998</v>
      </c>
      <c r="BM483">
        <f ca="1">IFERROR(IF(0=LEN(ReferenceData!$BM$483),"",ReferenceData!$BM$483),"")</f>
        <v>3372.3810400000002</v>
      </c>
    </row>
    <row r="484" spans="1:65" x14ac:dyDescent="0.25">
      <c r="A484" t="str">
        <f>IFERROR(IF(0=LEN(ReferenceData!$A$484),"",ReferenceData!$A$484),"")</f>
        <v xml:space="preserve">    Sanyang Motor Co Ltd</v>
      </c>
      <c r="B484" t="str">
        <f>IFERROR(IF(0=LEN(ReferenceData!$B$484),"",ReferenceData!$B$484),"")</f>
        <v>2206 TT Equity</v>
      </c>
      <c r="C484" t="str">
        <f>IFERROR(IF(0=LEN(ReferenceData!$C$484),"",ReferenceData!$C$484),"")</f>
        <v>RR902</v>
      </c>
      <c r="D484" t="str">
        <f>IFERROR(IF(0=LEN(ReferenceData!$D$484),"",ReferenceData!$D$484),"")</f>
        <v>CUR_MKT_CAP</v>
      </c>
      <c r="E484" t="str">
        <f>IFERROR(IF(0=LEN(ReferenceData!$E$484),"",ReferenceData!$E$484),"")</f>
        <v>Dynamic</v>
      </c>
      <c r="F484">
        <f ca="1">IFERROR(IF(0=LEN(ReferenceData!$F$484),"",ReferenceData!$F$484),"")</f>
        <v>556.8799616</v>
      </c>
      <c r="G484">
        <f ca="1">IFERROR(IF(0=LEN(ReferenceData!$G$484),"",ReferenceData!$G$484),"")</f>
        <v>558.98340199999996</v>
      </c>
      <c r="H484">
        <f ca="1">IFERROR(IF(0=LEN(ReferenceData!$H$484),"",ReferenceData!$H$484),"")</f>
        <v>574.01049309999996</v>
      </c>
      <c r="I484">
        <f ca="1">IFERROR(IF(0=LEN(ReferenceData!$I$484),"",ReferenceData!$I$484),"")</f>
        <v>612.45407499999999</v>
      </c>
      <c r="J484">
        <f ca="1">IFERROR(IF(0=LEN(ReferenceData!$J$484),"",ReferenceData!$J$484),"")</f>
        <v>642.42349139999999</v>
      </c>
      <c r="K484">
        <f ca="1">IFERROR(IF(0=LEN(ReferenceData!$K$484),"",ReferenceData!$K$484),"")</f>
        <v>634.76876619999996</v>
      </c>
      <c r="L484">
        <f ca="1">IFERROR(IF(0=LEN(ReferenceData!$L$484),"",ReferenceData!$L$484),"")</f>
        <v>618.9516284</v>
      </c>
      <c r="M484">
        <f ca="1">IFERROR(IF(0=LEN(ReferenceData!$M$484),"",ReferenceData!$M$484),"")</f>
        <v>634.48041560000001</v>
      </c>
      <c r="N484">
        <f ca="1">IFERROR(IF(0=LEN(ReferenceData!$N$484),"",ReferenceData!$N$484),"")</f>
        <v>621.8525836</v>
      </c>
      <c r="O484">
        <f ca="1">IFERROR(IF(0=LEN(ReferenceData!$O$484),"",ReferenceData!$O$484),"")</f>
        <v>562.37222750000001</v>
      </c>
      <c r="P484">
        <f ca="1">IFERROR(IF(0=LEN(ReferenceData!$P$484),"",ReferenceData!$P$484),"")</f>
        <v>585.00888550000002</v>
      </c>
      <c r="Q484">
        <f ca="1">IFERROR(IF(0=LEN(ReferenceData!$Q$484),"",ReferenceData!$Q$484),"")</f>
        <v>565.58488509999995</v>
      </c>
      <c r="R484">
        <f ca="1">IFERROR(IF(0=LEN(ReferenceData!$R$484),"",ReferenceData!$R$484),"")</f>
        <v>587.7351989</v>
      </c>
      <c r="S484">
        <f ca="1">IFERROR(IF(0=LEN(ReferenceData!$S$484),"",ReferenceData!$S$484),"")</f>
        <v>588.19363129999999</v>
      </c>
      <c r="T484">
        <f ca="1">IFERROR(IF(0=LEN(ReferenceData!$T$484),"",ReferenceData!$T$484),"")</f>
        <v>638.11677110000005</v>
      </c>
      <c r="U484">
        <f ca="1">IFERROR(IF(0=LEN(ReferenceData!$U$484),"",ReferenceData!$U$484),"")</f>
        <v>722.64654540000004</v>
      </c>
      <c r="V484">
        <f ca="1">IFERROR(IF(0=LEN(ReferenceData!$V$484),"",ReferenceData!$V$484),"")</f>
        <v>754.52497219999998</v>
      </c>
      <c r="W484">
        <f ca="1">IFERROR(IF(0=LEN(ReferenceData!$W$484),"",ReferenceData!$W$484),"")</f>
        <v>811.26131680000003</v>
      </c>
      <c r="X484">
        <f ca="1">IFERROR(IF(0=LEN(ReferenceData!$X$484),"",ReferenceData!$X$484),"")</f>
        <v>822.17481710000004</v>
      </c>
      <c r="Y484">
        <f ca="1">IFERROR(IF(0=LEN(ReferenceData!$Y$484),"",ReferenceData!$Y$484),"")</f>
        <v>939.29008409999994</v>
      </c>
      <c r="Z484">
        <f ca="1">IFERROR(IF(0=LEN(ReferenceData!$Z$484),"",ReferenceData!$Z$484),"")</f>
        <v>1486.40661</v>
      </c>
      <c r="AA484">
        <f ca="1">IFERROR(IF(0=LEN(ReferenceData!$AA$484),"",ReferenceData!$AA$484),"")</f>
        <v>1468.5583799999999</v>
      </c>
      <c r="AB484">
        <f ca="1">IFERROR(IF(0=LEN(ReferenceData!$AB$484),"",ReferenceData!$AB$484),"")</f>
        <v>1290.2852359999999</v>
      </c>
      <c r="AC484">
        <f ca="1">IFERROR(IF(0=LEN(ReferenceData!$AC$484),"",ReferenceData!$AC$484),"")</f>
        <v>831.25205840000001</v>
      </c>
      <c r="AD484">
        <f ca="1">IFERROR(IF(0=LEN(ReferenceData!$AD$484),"",ReferenceData!$AD$484),"")</f>
        <v>746.45496920000005</v>
      </c>
      <c r="AE484">
        <f ca="1">IFERROR(IF(0=LEN(ReferenceData!$AE$484),"",ReferenceData!$AE$484),"")</f>
        <v>545.72520310000004</v>
      </c>
      <c r="AF484">
        <f ca="1">IFERROR(IF(0=LEN(ReferenceData!$AF$484),"",ReferenceData!$AF$484),"")</f>
        <v>615.88269909999997</v>
      </c>
      <c r="AG484">
        <f ca="1">IFERROR(IF(0=LEN(ReferenceData!$AG$484),"",ReferenceData!$AG$484),"")</f>
        <v>579.72225930000002</v>
      </c>
      <c r="AH484">
        <f ca="1">IFERROR(IF(0=LEN(ReferenceData!$AH$484),"",ReferenceData!$AH$484),"")</f>
        <v>609.08781780000004</v>
      </c>
      <c r="AI484">
        <f ca="1">IFERROR(IF(0=LEN(ReferenceData!$AI$484),"",ReferenceData!$AI$484),"")</f>
        <v>486.83960200000001</v>
      </c>
      <c r="AJ484">
        <f ca="1">IFERROR(IF(0=LEN(ReferenceData!$AJ$484),"",ReferenceData!$AJ$484),"")</f>
        <v>498.42818130000001</v>
      </c>
      <c r="AK484">
        <f ca="1">IFERROR(IF(0=LEN(ReferenceData!$AK$484),"",ReferenceData!$AK$484),"")</f>
        <v>511.34491750000001</v>
      </c>
      <c r="AL484">
        <f ca="1">IFERROR(IF(0=LEN(ReferenceData!$AL$484),"",ReferenceData!$AL$484),"")</f>
        <v>498.9399368</v>
      </c>
      <c r="AM484">
        <f ca="1">IFERROR(IF(0=LEN(ReferenceData!$AM$484),"",ReferenceData!$AM$484),"")</f>
        <v>536.55424230000006</v>
      </c>
      <c r="AN484">
        <f ca="1">IFERROR(IF(0=LEN(ReferenceData!$AN$484),"",ReferenceData!$AN$484),"")</f>
        <v>449.51962709999998</v>
      </c>
      <c r="AO484">
        <f ca="1">IFERROR(IF(0=LEN(ReferenceData!$AO$484),"",ReferenceData!$AO$484),"")</f>
        <v>336.86582399999998</v>
      </c>
      <c r="AP484">
        <f ca="1">IFERROR(IF(0=LEN(ReferenceData!$AP$484),"",ReferenceData!$AP$484),"")</f>
        <v>347.46795589999999</v>
      </c>
      <c r="AQ484">
        <f ca="1">IFERROR(IF(0=LEN(ReferenceData!$AQ$484),"",ReferenceData!$AQ$484),"")</f>
        <v>364.85262289999997</v>
      </c>
      <c r="AR484">
        <f ca="1">IFERROR(IF(0=LEN(ReferenceData!$AR$484),"",ReferenceData!$AR$484),"")</f>
        <v>382.73111890000001</v>
      </c>
      <c r="AS484">
        <f ca="1">IFERROR(IF(0=LEN(ReferenceData!$AS$484),"",ReferenceData!$AS$484),"")</f>
        <v>389.18443100000002</v>
      </c>
      <c r="AT484">
        <f ca="1">IFERROR(IF(0=LEN(ReferenceData!$AT$484),"",ReferenceData!$AT$484),"")</f>
        <v>195.00156229999999</v>
      </c>
      <c r="AU484">
        <f ca="1">IFERROR(IF(0=LEN(ReferenceData!$AU$484),"",ReferenceData!$AU$484),"")</f>
        <v>158.71825380000001</v>
      </c>
      <c r="AV484">
        <f ca="1">IFERROR(IF(0=LEN(ReferenceData!$AV$484),"",ReferenceData!$AV$484),"")</f>
        <v>211.47521620000001</v>
      </c>
      <c r="AW484">
        <f ca="1">IFERROR(IF(0=LEN(ReferenceData!$AW$484),"",ReferenceData!$AW$484),"")</f>
        <v>331.59173049999998</v>
      </c>
      <c r="AX484">
        <f ca="1">IFERROR(IF(0=LEN(ReferenceData!$AX$484),"",ReferenceData!$AX$484),"")</f>
        <v>611.05261310000003</v>
      </c>
      <c r="AY484">
        <f ca="1">IFERROR(IF(0=LEN(ReferenceData!$AY$484),"",ReferenceData!$AY$484),"")</f>
        <v>444.55787939999999</v>
      </c>
      <c r="AZ484">
        <f ca="1">IFERROR(IF(0=LEN(ReferenceData!$AZ$484),"",ReferenceData!$AZ$484),"")</f>
        <v>632.33464059999994</v>
      </c>
      <c r="BA484">
        <f ca="1">IFERROR(IF(0=LEN(ReferenceData!$BA$484),"",ReferenceData!$BA$484),"")</f>
        <v>611.68893079999998</v>
      </c>
      <c r="BB484">
        <f ca="1">IFERROR(IF(0=LEN(ReferenceData!$BB$484),"",ReferenceData!$BB$484),"")</f>
        <v>474.96491470000001</v>
      </c>
      <c r="BC484">
        <f ca="1">IFERROR(IF(0=LEN(ReferenceData!$BC$484),"",ReferenceData!$BC$484),"")</f>
        <v>575.77616169999999</v>
      </c>
      <c r="BD484">
        <f ca="1">IFERROR(IF(0=LEN(ReferenceData!$BD$484),"",ReferenceData!$BD$484),"")</f>
        <v>413.64663330000002</v>
      </c>
      <c r="BE484">
        <f ca="1">IFERROR(IF(0=LEN(ReferenceData!$BE$484),"",ReferenceData!$BE$484),"")</f>
        <v>401.70250540000001</v>
      </c>
      <c r="BF484">
        <f ca="1">IFERROR(IF(0=LEN(ReferenceData!$BF$484),"",ReferenceData!$BF$484),"")</f>
        <v>285.34582979999999</v>
      </c>
      <c r="BG484">
        <f ca="1">IFERROR(IF(0=LEN(ReferenceData!$BG$484),"",ReferenceData!$BG$484),"")</f>
        <v>301.78373010000001</v>
      </c>
      <c r="BH484">
        <f ca="1">IFERROR(IF(0=LEN(ReferenceData!$BH$484),"",ReferenceData!$BH$484),"")</f>
        <v>291.21161719999998</v>
      </c>
      <c r="BI484">
        <f ca="1">IFERROR(IF(0=LEN(ReferenceData!$BI$484),"",ReferenceData!$BI$484),"")</f>
        <v>340.97813380000002</v>
      </c>
      <c r="BJ484">
        <f ca="1">IFERROR(IF(0=LEN(ReferenceData!$BJ$484),"",ReferenceData!$BJ$484),"")</f>
        <v>357.7264485</v>
      </c>
      <c r="BK484">
        <f ca="1">IFERROR(IF(0=LEN(ReferenceData!$BK$484),"",ReferenceData!$BK$484),"")</f>
        <v>352.17676820000003</v>
      </c>
      <c r="BL484">
        <f ca="1">IFERROR(IF(0=LEN(ReferenceData!$BL$484),"",ReferenceData!$BL$484),"")</f>
        <v>336.53857720000002</v>
      </c>
      <c r="BM484">
        <f ca="1">IFERROR(IF(0=LEN(ReferenceData!$BM$484),"",ReferenceData!$BM$484),"")</f>
        <v>279.004795</v>
      </c>
    </row>
    <row r="485" spans="1:65" x14ac:dyDescent="0.25">
      <c r="A485" t="str">
        <f>IFERROR(IF(0=LEN(ReferenceData!$A$485),"",ReferenceData!$A$485),"")</f>
        <v xml:space="preserve">    Sollers PJSC</v>
      </c>
      <c r="B485" t="str">
        <f>IFERROR(IF(0=LEN(ReferenceData!$B$485),"",ReferenceData!$B$485),"")</f>
        <v>SVAV RM Equity</v>
      </c>
      <c r="C485" t="str">
        <f>IFERROR(IF(0=LEN(ReferenceData!$C$485),"",ReferenceData!$C$485),"")</f>
        <v>RR902</v>
      </c>
      <c r="D485" t="str">
        <f>IFERROR(IF(0=LEN(ReferenceData!$D$485),"",ReferenceData!$D$485),"")</f>
        <v>CUR_MKT_CAP</v>
      </c>
      <c r="E485" t="str">
        <f>IFERROR(IF(0=LEN(ReferenceData!$E$485),"",ReferenceData!$E$485),"")</f>
        <v>Dynamic</v>
      </c>
      <c r="F485">
        <f ca="1">IFERROR(IF(0=LEN(ReferenceData!$F$485),"",ReferenceData!$F$485),"")</f>
        <v>211.0993627</v>
      </c>
      <c r="G485">
        <f ca="1">IFERROR(IF(0=LEN(ReferenceData!$G$485),"",ReferenceData!$G$485),"")</f>
        <v>201.00955830000001</v>
      </c>
      <c r="H485">
        <f ca="1">IFERROR(IF(0=LEN(ReferenceData!$H$485),"",ReferenceData!$H$485),"")</f>
        <v>266.87179959999997</v>
      </c>
      <c r="I485">
        <f ca="1">IFERROR(IF(0=LEN(ReferenceData!$I$485),"",ReferenceData!$I$485),"")</f>
        <v>282.40509739999999</v>
      </c>
      <c r="J485">
        <f ca="1">IFERROR(IF(0=LEN(ReferenceData!$J$485),"",ReferenceData!$J$485),"")</f>
        <v>339.2324132</v>
      </c>
      <c r="K485">
        <f ca="1">IFERROR(IF(0=LEN(ReferenceData!$K$485),"",ReferenceData!$K$485),"")</f>
        <v>370.26296509999997</v>
      </c>
      <c r="L485">
        <f ca="1">IFERROR(IF(0=LEN(ReferenceData!$L$485),"",ReferenceData!$L$485),"")</f>
        <v>341.09435589999998</v>
      </c>
      <c r="M485">
        <f ca="1">IFERROR(IF(0=LEN(ReferenceData!$M$485),"",ReferenceData!$M$485),"")</f>
        <v>340.17262319999998</v>
      </c>
      <c r="N485">
        <f ca="1">IFERROR(IF(0=LEN(ReferenceData!$N$485),"",ReferenceData!$N$485),"")</f>
        <v>352.51666929999999</v>
      </c>
      <c r="O485">
        <f ca="1">IFERROR(IF(0=LEN(ReferenceData!$O$485),"",ReferenceData!$O$485),"")</f>
        <v>299.47430939999998</v>
      </c>
      <c r="P485">
        <f ca="1">IFERROR(IF(0=LEN(ReferenceData!$P$485),"",ReferenceData!$P$485),"")</f>
        <v>318.28976299999999</v>
      </c>
      <c r="Q485">
        <f ca="1">IFERROR(IF(0=LEN(ReferenceData!$Q$485),"",ReferenceData!$Q$485),"")</f>
        <v>232.06646520000001</v>
      </c>
      <c r="R485">
        <f ca="1">IFERROR(IF(0=LEN(ReferenceData!$R$485),"",ReferenceData!$R$485),"")</f>
        <v>210.0687101</v>
      </c>
      <c r="S485">
        <f ca="1">IFERROR(IF(0=LEN(ReferenceData!$S$485),"",ReferenceData!$S$485),"")</f>
        <v>187.60960220000001</v>
      </c>
      <c r="T485">
        <f ca="1">IFERROR(IF(0=LEN(ReferenceData!$T$485),"",ReferenceData!$T$485),"")</f>
        <v>230.6328627</v>
      </c>
      <c r="U485">
        <f ca="1">IFERROR(IF(0=LEN(ReferenceData!$U$485),"",ReferenceData!$U$485),"")</f>
        <v>275.32708480000002</v>
      </c>
      <c r="V485">
        <f ca="1">IFERROR(IF(0=LEN(ReferenceData!$V$485),"",ReferenceData!$V$485),"")</f>
        <v>213.2368171</v>
      </c>
      <c r="W485">
        <f ca="1">IFERROR(IF(0=LEN(ReferenceData!$W$485),"",ReferenceData!$W$485),"")</f>
        <v>215.2679191</v>
      </c>
      <c r="X485">
        <f ca="1">IFERROR(IF(0=LEN(ReferenceData!$X$485),"",ReferenceData!$X$485),"")</f>
        <v>396.9426469</v>
      </c>
      <c r="Y485">
        <f ca="1">IFERROR(IF(0=LEN(ReferenceData!$Y$485),"",ReferenceData!$Y$485),"")</f>
        <v>600.05607780000003</v>
      </c>
      <c r="Z485">
        <f ca="1">IFERROR(IF(0=LEN(ReferenceData!$Z$485),"",ReferenceData!$Z$485),"")</f>
        <v>486.76631329999998</v>
      </c>
      <c r="AA485">
        <f ca="1">IFERROR(IF(0=LEN(ReferenceData!$AA$485),"",ReferenceData!$AA$485),"")</f>
        <v>887.34579010000004</v>
      </c>
      <c r="AB485">
        <f ca="1">IFERROR(IF(0=LEN(ReferenceData!$AB$485),"",ReferenceData!$AB$485),"")</f>
        <v>720.16942979999999</v>
      </c>
      <c r="AC485">
        <f ca="1">IFERROR(IF(0=LEN(ReferenceData!$AC$485),"",ReferenceData!$AC$485),"")</f>
        <v>741.42099270000006</v>
      </c>
      <c r="AD485">
        <f ca="1">IFERROR(IF(0=LEN(ReferenceData!$AD$485),"",ReferenceData!$AD$485),"")</f>
        <v>838.38766190000001</v>
      </c>
      <c r="AE485">
        <f ca="1">IFERROR(IF(0=LEN(ReferenceData!$AE$485),"",ReferenceData!$AE$485),"")</f>
        <v>772.78030130000002</v>
      </c>
      <c r="AF485">
        <f ca="1">IFERROR(IF(0=LEN(ReferenceData!$AF$485),"",ReferenceData!$AF$485),"")</f>
        <v>683.9753647</v>
      </c>
      <c r="AG485">
        <f ca="1">IFERROR(IF(0=LEN(ReferenceData!$AG$485),"",ReferenceData!$AG$485),"")</f>
        <v>418.22548410000002</v>
      </c>
      <c r="AH485">
        <f ca="1">IFERROR(IF(0=LEN(ReferenceData!$AH$485),"",ReferenceData!$AH$485),"")</f>
        <v>546.22805979999998</v>
      </c>
      <c r="AI485">
        <f ca="1">IFERROR(IF(0=LEN(ReferenceData!$AI$485),"",ReferenceData!$AI$485),"")</f>
        <v>324.1934139</v>
      </c>
      <c r="AJ485">
        <f ca="1">IFERROR(IF(0=LEN(ReferenceData!$AJ$485),"",ReferenceData!$AJ$485),"")</f>
        <v>357.99281769999999</v>
      </c>
      <c r="AK485">
        <f ca="1">IFERROR(IF(0=LEN(ReferenceData!$AK$485),"",ReferenceData!$AK$485),"")</f>
        <v>634.04566279999995</v>
      </c>
      <c r="AL485">
        <f ca="1">IFERROR(IF(0=LEN(ReferenceData!$AL$485),"",ReferenceData!$AL$485),"")</f>
        <v>703.12563699999998</v>
      </c>
      <c r="AM485">
        <f ca="1">IFERROR(IF(0=LEN(ReferenceData!$AM$485),"",ReferenceData!$AM$485),"")</f>
        <v>724.16954650000002</v>
      </c>
      <c r="AN485">
        <f ca="1">IFERROR(IF(0=LEN(ReferenceData!$AN$485),"",ReferenceData!$AN$485),"")</f>
        <v>538.77623419999998</v>
      </c>
      <c r="AO485">
        <f ca="1">IFERROR(IF(0=LEN(ReferenceData!$AO$485),"",ReferenceData!$AO$485),"")</f>
        <v>480.65055009999998</v>
      </c>
      <c r="AP485">
        <f ca="1">IFERROR(IF(0=LEN(ReferenceData!$AP$485),"",ReferenceData!$AP$485),"")</f>
        <v>623.87081069999999</v>
      </c>
      <c r="AQ485">
        <f ca="1">IFERROR(IF(0=LEN(ReferenceData!$AQ$485),"",ReferenceData!$AQ$485),"")</f>
        <v>484.13002699999998</v>
      </c>
      <c r="AR485">
        <f ca="1">IFERROR(IF(0=LEN(ReferenceData!$AR$485),"",ReferenceData!$AR$485),"")</f>
        <v>482.00173369999999</v>
      </c>
      <c r="AS485">
        <f ca="1">IFERROR(IF(0=LEN(ReferenceData!$AS$485),"",ReferenceData!$AS$485),"")</f>
        <v>240.8204088</v>
      </c>
      <c r="AT485">
        <f ca="1">IFERROR(IF(0=LEN(ReferenceData!$AT$485),"",ReferenceData!$AT$485),"")</f>
        <v>147.13686240000001</v>
      </c>
      <c r="AU485">
        <f ca="1">IFERROR(IF(0=LEN(ReferenceData!$AU$485),"",ReferenceData!$AU$485),"")</f>
        <v>142.73227539999999</v>
      </c>
      <c r="AV485">
        <f ca="1">IFERROR(IF(0=LEN(ReferenceData!$AV$485),"",ReferenceData!$AV$485),"")</f>
        <v>1014.4640920000001</v>
      </c>
      <c r="AW485">
        <f ca="1">IFERROR(IF(0=LEN(ReferenceData!$AW$485),"",ReferenceData!$AW$485),"")</f>
        <v>2132.3842970000001</v>
      </c>
      <c r="AX485">
        <f ca="1">IFERROR(IF(0=LEN(ReferenceData!$AX$485),"",ReferenceData!$AX$485),"")</f>
        <v>2080.7095909999998</v>
      </c>
      <c r="AY485">
        <f ca="1">IFERROR(IF(0=LEN(ReferenceData!$AY$485),"",ReferenceData!$AY$485),"")</f>
        <v>1864.3135520000001</v>
      </c>
      <c r="AZ485">
        <f ca="1">IFERROR(IF(0=LEN(ReferenceData!$AZ$485),"",ReferenceData!$AZ$485),"")</f>
        <v>1680.0021899999999</v>
      </c>
      <c r="BA485">
        <f ca="1">IFERROR(IF(0=LEN(ReferenceData!$BA$485),"",ReferenceData!$BA$485),"")</f>
        <v>1155.8508220000001</v>
      </c>
      <c r="BB485">
        <f ca="1">IFERROR(IF(0=LEN(ReferenceData!$BB$485),"",ReferenceData!$BB$485),"")</f>
        <v>1114.104765</v>
      </c>
      <c r="BC485">
        <f ca="1">IFERROR(IF(0=LEN(ReferenceData!$BC$485),"",ReferenceData!$BC$485),"")</f>
        <v>1054.3955570000001</v>
      </c>
      <c r="BD485">
        <f ca="1">IFERROR(IF(0=LEN(ReferenceData!$BD$485),"",ReferenceData!$BD$485),"")</f>
        <v>693.40833580000003</v>
      </c>
      <c r="BE485">
        <f ca="1">IFERROR(IF(0=LEN(ReferenceData!$BE$485),"",ReferenceData!$BE$485),"")</f>
        <v>664.95063359999995</v>
      </c>
      <c r="BF485">
        <f ca="1">IFERROR(IF(0=LEN(ReferenceData!$BF$485),"",ReferenceData!$BF$485),"")</f>
        <v>822.82196650000003</v>
      </c>
      <c r="BG485" t="str">
        <f ca="1">IFERROR(IF(0=LEN(ReferenceData!$BG$485),"",ReferenceData!$BG$485),"")</f>
        <v/>
      </c>
      <c r="BH485" t="str">
        <f ca="1">IFERROR(IF(0=LEN(ReferenceData!$BH$485),"",ReferenceData!$BH$485),"")</f>
        <v/>
      </c>
      <c r="BI485" t="str">
        <f ca="1">IFERROR(IF(0=LEN(ReferenceData!$BI$485),"",ReferenceData!$BI$485),"")</f>
        <v/>
      </c>
      <c r="BJ485" t="str">
        <f ca="1">IFERROR(IF(0=LEN(ReferenceData!$BJ$485),"",ReferenceData!$BJ$485),"")</f>
        <v/>
      </c>
      <c r="BK485" t="str">
        <f ca="1">IFERROR(IF(0=LEN(ReferenceData!$BK$485),"",ReferenceData!$BK$485),"")</f>
        <v/>
      </c>
      <c r="BL485" t="str">
        <f ca="1">IFERROR(IF(0=LEN(ReferenceData!$BL$485),"",ReferenceData!$BL$485),"")</f>
        <v/>
      </c>
      <c r="BM485" t="str">
        <f ca="1">IFERROR(IF(0=LEN(ReferenceData!$BM$485),"",ReferenceData!$BM$485),"")</f>
        <v/>
      </c>
    </row>
    <row r="486" spans="1:65" x14ac:dyDescent="0.25">
      <c r="A486" t="str">
        <f>IFERROR(IF(0=LEN(ReferenceData!$A$486),"",ReferenceData!$A$486),"")</f>
        <v xml:space="preserve">    Ssangyong Motor Co</v>
      </c>
      <c r="B486" t="str">
        <f>IFERROR(IF(0=LEN(ReferenceData!$B$486),"",ReferenceData!$B$486),"")</f>
        <v>003620 KS Equity</v>
      </c>
      <c r="C486" t="str">
        <f>IFERROR(IF(0=LEN(ReferenceData!$C$486),"",ReferenceData!$C$486),"")</f>
        <v>RR902</v>
      </c>
      <c r="D486" t="str">
        <f>IFERROR(IF(0=LEN(ReferenceData!$D$486),"",ReferenceData!$D$486),"")</f>
        <v>CUR_MKT_CAP</v>
      </c>
      <c r="E486" t="str">
        <f>IFERROR(IF(0=LEN(ReferenceData!$E$486),"",ReferenceData!$E$486),"")</f>
        <v>Dynamic</v>
      </c>
      <c r="F486">
        <f ca="1">IFERROR(IF(0=LEN(ReferenceData!$F$486),"",ReferenceData!$F$486),"")</f>
        <v>678.45020739999995</v>
      </c>
      <c r="G486">
        <f ca="1">IFERROR(IF(0=LEN(ReferenceData!$G$486),"",ReferenceData!$G$486),"")</f>
        <v>489.80508220000002</v>
      </c>
      <c r="H486">
        <f ca="1">IFERROR(IF(0=LEN(ReferenceData!$H$486),"",ReferenceData!$H$486),"")</f>
        <v>567.3886536</v>
      </c>
      <c r="I486">
        <f ca="1">IFERROR(IF(0=LEN(ReferenceData!$I$486),"",ReferenceData!$I$486),"")</f>
        <v>566.24996829999998</v>
      </c>
      <c r="J486">
        <f ca="1">IFERROR(IF(0=LEN(ReferenceData!$J$486),"",ReferenceData!$J$486),"")</f>
        <v>645.61986969999998</v>
      </c>
      <c r="K486">
        <f ca="1">IFERROR(IF(0=LEN(ReferenceData!$K$486),"",ReferenceData!$K$486),"")</f>
        <v>659.30560409999998</v>
      </c>
      <c r="L486">
        <f ca="1">IFERROR(IF(0=LEN(ReferenceData!$L$486),"",ReferenceData!$L$486),"")</f>
        <v>624.39085599999999</v>
      </c>
      <c r="M486">
        <f ca="1">IFERROR(IF(0=LEN(ReferenceData!$M$486),"",ReferenceData!$M$486),"")</f>
        <v>824.96101410000006</v>
      </c>
      <c r="N486">
        <f ca="1">IFERROR(IF(0=LEN(ReferenceData!$N$486),"",ReferenceData!$N$486),"")</f>
        <v>981.13039549999996</v>
      </c>
      <c r="O486">
        <f ca="1">IFERROR(IF(0=LEN(ReferenceData!$O$486),"",ReferenceData!$O$486),"")</f>
        <v>897.13832609999997</v>
      </c>
      <c r="P486">
        <f ca="1">IFERROR(IF(0=LEN(ReferenceData!$P$486),"",ReferenceData!$P$486),"")</f>
        <v>983.53131800000006</v>
      </c>
      <c r="Q486">
        <f ca="1">IFERROR(IF(0=LEN(ReferenceData!$Q$486),"",ReferenceData!$Q$486),"")</f>
        <v>833.68685719999996</v>
      </c>
      <c r="R486">
        <f ca="1">IFERROR(IF(0=LEN(ReferenceData!$R$486),"",ReferenceData!$R$486),"")</f>
        <v>992.29405929999996</v>
      </c>
      <c r="S486">
        <f ca="1">IFERROR(IF(0=LEN(ReferenceData!$S$486),"",ReferenceData!$S$486),"")</f>
        <v>902.62584579999998</v>
      </c>
      <c r="T486">
        <f ca="1">IFERROR(IF(0=LEN(ReferenceData!$T$486),"",ReferenceData!$T$486),"")</f>
        <v>1011.729046</v>
      </c>
      <c r="U486">
        <f ca="1">IFERROR(IF(0=LEN(ReferenceData!$U$486),"",ReferenceData!$U$486),"")</f>
        <v>1068.1759520000001</v>
      </c>
      <c r="V486">
        <f ca="1">IFERROR(IF(0=LEN(ReferenceData!$V$486),"",ReferenceData!$V$486),"")</f>
        <v>1122.573705</v>
      </c>
      <c r="W486">
        <f ca="1">IFERROR(IF(0=LEN(ReferenceData!$W$486),"",ReferenceData!$W$486),"")</f>
        <v>1158.8414479999999</v>
      </c>
      <c r="X486">
        <f ca="1">IFERROR(IF(0=LEN(ReferenceData!$X$486),"",ReferenceData!$X$486),"")</f>
        <v>854.70738319999998</v>
      </c>
      <c r="Y486">
        <f ca="1">IFERROR(IF(0=LEN(ReferenceData!$Y$486),"",ReferenceData!$Y$486),"")</f>
        <v>1187.1071770000001</v>
      </c>
      <c r="Z486">
        <f ca="1">IFERROR(IF(0=LEN(ReferenceData!$Z$486),"",ReferenceData!$Z$486),"")</f>
        <v>1129.415387</v>
      </c>
      <c r="AA486">
        <f ca="1">IFERROR(IF(0=LEN(ReferenceData!$AA$486),"",ReferenceData!$AA$486),"")</f>
        <v>982.00161179999998</v>
      </c>
      <c r="AB486">
        <f ca="1">IFERROR(IF(0=LEN(ReferenceData!$AB$486),"",ReferenceData!$AB$486),"")</f>
        <v>1089.7167440000001</v>
      </c>
      <c r="AC486">
        <f ca="1">IFERROR(IF(0=LEN(ReferenceData!$AC$486),"",ReferenceData!$AC$486),"")</f>
        <v>1072.491732</v>
      </c>
      <c r="AD486">
        <f ca="1">IFERROR(IF(0=LEN(ReferenceData!$AD$486),"",ReferenceData!$AD$486),"")</f>
        <v>671.05749219999996</v>
      </c>
      <c r="AE486">
        <f ca="1">IFERROR(IF(0=LEN(ReferenceData!$AE$486),"",ReferenceData!$AE$486),"")</f>
        <v>610.35569840000005</v>
      </c>
      <c r="AF486">
        <f ca="1">IFERROR(IF(0=LEN(ReferenceData!$AF$486),"",ReferenceData!$AF$486),"")</f>
        <v>568.9538</v>
      </c>
      <c r="AG486">
        <f ca="1">IFERROR(IF(0=LEN(ReferenceData!$AG$486),"",ReferenceData!$AG$486),"")</f>
        <v>597.79728939999995</v>
      </c>
      <c r="AH486">
        <f ca="1">IFERROR(IF(0=LEN(ReferenceData!$AH$486),"",ReferenceData!$AH$486),"")</f>
        <v>755.00469399999997</v>
      </c>
      <c r="AI486">
        <f ca="1">IFERROR(IF(0=LEN(ReferenceData!$AI$486),"",ReferenceData!$AI$486),"")</f>
        <v>536.81221879999998</v>
      </c>
      <c r="AJ486">
        <f ca="1">IFERROR(IF(0=LEN(ReferenceData!$AJ$486),"",ReferenceData!$AJ$486),"")</f>
        <v>552.47096399999998</v>
      </c>
      <c r="AK486">
        <f ca="1">IFERROR(IF(0=LEN(ReferenceData!$AK$486),"",ReferenceData!$AK$486),"")</f>
        <v>962.60419860000002</v>
      </c>
      <c r="AL486">
        <f ca="1">IFERROR(IF(0=LEN(ReferenceData!$AL$486),"",ReferenceData!$AL$486),"")</f>
        <v>1017.598428</v>
      </c>
      <c r="AM486">
        <f ca="1">IFERROR(IF(0=LEN(ReferenceData!$AM$486),"",ReferenceData!$AM$486),"")</f>
        <v>272.25845090000001</v>
      </c>
      <c r="AN486">
        <f ca="1">IFERROR(IF(0=LEN(ReferenceData!$AN$486),"",ReferenceData!$AN$486),"")</f>
        <v>295.76372550000002</v>
      </c>
      <c r="AO486">
        <f ca="1">IFERROR(IF(0=LEN(ReferenceData!$AO$486),"",ReferenceData!$AO$486),"")</f>
        <v>414.02359849999999</v>
      </c>
      <c r="AP486">
        <f ca="1">IFERROR(IF(0=LEN(ReferenceData!$AP$486),"",ReferenceData!$AP$486),"")</f>
        <v>384.9584309</v>
      </c>
      <c r="AQ486">
        <f ca="1">IFERROR(IF(0=LEN(ReferenceData!$AQ$486),"",ReferenceData!$AQ$486),"")</f>
        <v>259.3486552</v>
      </c>
      <c r="AR486">
        <f ca="1">IFERROR(IF(0=LEN(ReferenceData!$AR$486),"",ReferenceData!$AR$486),"")</f>
        <v>266.6620843</v>
      </c>
      <c r="AS486">
        <f ca="1">IFERROR(IF(0=LEN(ReferenceData!$AS$486),"",ReferenceData!$AS$486),"")</f>
        <v>136.24757819999999</v>
      </c>
      <c r="AT486">
        <f ca="1">IFERROR(IF(0=LEN(ReferenceData!$AT$486),"",ReferenceData!$AT$486),"")</f>
        <v>106.02707940000001</v>
      </c>
      <c r="AU486">
        <f ca="1">IFERROR(IF(0=LEN(ReferenceData!$AU$486),"",ReferenceData!$AU$486),"")</f>
        <v>89.519428349999998</v>
      </c>
      <c r="AV486">
        <f ca="1">IFERROR(IF(0=LEN(ReferenceData!$AV$486),"",ReferenceData!$AV$486),"")</f>
        <v>255.10336530000001</v>
      </c>
      <c r="AW486">
        <f ca="1">IFERROR(IF(0=LEN(ReferenceData!$AW$486),"",ReferenceData!$AW$486),"")</f>
        <v>455.11546679999998</v>
      </c>
      <c r="AX486">
        <f ca="1">IFERROR(IF(0=LEN(ReferenceData!$AX$486),"",ReferenceData!$AX$486),"")</f>
        <v>661.92633439999997</v>
      </c>
      <c r="AY486">
        <f ca="1">IFERROR(IF(0=LEN(ReferenceData!$AY$486),"",ReferenceData!$AY$486),"")</f>
        <v>800.54354660000001</v>
      </c>
      <c r="AZ486">
        <f ca="1">IFERROR(IF(0=LEN(ReferenceData!$AZ$486),"",ReferenceData!$AZ$486),"")</f>
        <v>782.71123250000005</v>
      </c>
      <c r="BA486">
        <f ca="1">IFERROR(IF(0=LEN(ReferenceData!$BA$486),"",ReferenceData!$BA$486),"")</f>
        <v>936.21603679999998</v>
      </c>
      <c r="BB486">
        <f ca="1">IFERROR(IF(0=LEN(ReferenceData!$BB$486),"",ReferenceData!$BB$486),"")</f>
        <v>789.86637470000005</v>
      </c>
      <c r="BC486">
        <f ca="1">IFERROR(IF(0=LEN(ReferenceData!$BC$486),"",ReferenceData!$BC$486),"")</f>
        <v>683.51768389999995</v>
      </c>
      <c r="BD486">
        <f ca="1">IFERROR(IF(0=LEN(ReferenceData!$BD$486),"",ReferenceData!$BD$486),"")</f>
        <v>588.38797939999995</v>
      </c>
      <c r="BE486">
        <f ca="1">IFERROR(IF(0=LEN(ReferenceData!$BE$486),"",ReferenceData!$BE$486),"")</f>
        <v>602.94065350000005</v>
      </c>
      <c r="BF486">
        <f ca="1">IFERROR(IF(0=LEN(ReferenceData!$BF$486),"",ReferenceData!$BF$486),"")</f>
        <v>782.03155100000004</v>
      </c>
      <c r="BG486">
        <f ca="1">IFERROR(IF(0=LEN(ReferenceData!$BG$486),"",ReferenceData!$BG$486),"")</f>
        <v>973.04347059999998</v>
      </c>
      <c r="BH486">
        <f ca="1">IFERROR(IF(0=LEN(ReferenceData!$BH$486),"",ReferenceData!$BH$486),"")</f>
        <v>931.76229160000003</v>
      </c>
      <c r="BI486">
        <f ca="1">IFERROR(IF(0=LEN(ReferenceData!$BI$486),"",ReferenceData!$BI$486),"")</f>
        <v>805.75327660000005</v>
      </c>
      <c r="BJ486">
        <f ca="1">IFERROR(IF(0=LEN(ReferenceData!$BJ$486),"",ReferenceData!$BJ$486),"")</f>
        <v>867.22359440000002</v>
      </c>
      <c r="BK486">
        <f ca="1">IFERROR(IF(0=LEN(ReferenceData!$BK$486),"",ReferenceData!$BK$486),"")</f>
        <v>695.94586790000005</v>
      </c>
      <c r="BL486">
        <f ca="1">IFERROR(IF(0=LEN(ReferenceData!$BL$486),"",ReferenceData!$BL$486),"")</f>
        <v>851.87440819999995</v>
      </c>
      <c r="BM486">
        <f ca="1">IFERROR(IF(0=LEN(ReferenceData!$BM$486),"",ReferenceData!$BM$486),"")</f>
        <v>815.47027939999998</v>
      </c>
    </row>
    <row r="487" spans="1:65" x14ac:dyDescent="0.25">
      <c r="A487" t="str">
        <f>IFERROR(IF(0=LEN(ReferenceData!$A$487),"",ReferenceData!$A$487),"")</f>
        <v xml:space="preserve">    Subaru Corp</v>
      </c>
      <c r="B487" t="str">
        <f>IFERROR(IF(0=LEN(ReferenceData!$B$487),"",ReferenceData!$B$487),"")</f>
        <v>7270 JP Equity</v>
      </c>
      <c r="C487" t="str">
        <f>IFERROR(IF(0=LEN(ReferenceData!$C$487),"",ReferenceData!$C$487),"")</f>
        <v>RR902</v>
      </c>
      <c r="D487" t="str">
        <f>IFERROR(IF(0=LEN(ReferenceData!$D$487),"",ReferenceData!$D$487),"")</f>
        <v>CUR_MKT_CAP</v>
      </c>
      <c r="E487" t="str">
        <f>IFERROR(IF(0=LEN(ReferenceData!$E$487),"",ReferenceData!$E$487),"")</f>
        <v>Dynamic</v>
      </c>
      <c r="F487">
        <f ca="1">IFERROR(IF(0=LEN(ReferenceData!$F$487),"",ReferenceData!$F$487),"")</f>
        <v>19725.661769999999</v>
      </c>
      <c r="G487">
        <f ca="1">IFERROR(IF(0=LEN(ReferenceData!$G$487),"",ReferenceData!$G$487),"")</f>
        <v>16441.038499999999</v>
      </c>
      <c r="H487">
        <f ca="1">IFERROR(IF(0=LEN(ReferenceData!$H$487),"",ReferenceData!$H$487),"")</f>
        <v>23583.54219</v>
      </c>
      <c r="I487">
        <f ca="1">IFERROR(IF(0=LEN(ReferenceData!$I$487),"",ReferenceData!$I$487),"")</f>
        <v>22392.05805</v>
      </c>
      <c r="J487">
        <f ca="1">IFERROR(IF(0=LEN(ReferenceData!$J$487),"",ReferenceData!$J$487),"")</f>
        <v>25250.576809999999</v>
      </c>
      <c r="K487">
        <f ca="1">IFERROR(IF(0=LEN(ReferenceData!$K$487),"",ReferenceData!$K$487),"")</f>
        <v>24479.98892</v>
      </c>
      <c r="L487">
        <f ca="1">IFERROR(IF(0=LEN(ReferenceData!$L$487),"",ReferenceData!$L$487),"")</f>
        <v>27729.124879999999</v>
      </c>
      <c r="M487">
        <f ca="1">IFERROR(IF(0=LEN(ReferenceData!$M$487),"",ReferenceData!$M$487),"")</f>
        <v>25919.892919999998</v>
      </c>
      <c r="N487">
        <f ca="1">IFERROR(IF(0=LEN(ReferenceData!$N$487),"",ReferenceData!$N$487),"")</f>
        <v>28214.403139999999</v>
      </c>
      <c r="O487">
        <f ca="1">IFERROR(IF(0=LEN(ReferenceData!$O$487),"",ReferenceData!$O$487),"")</f>
        <v>31468.684929999999</v>
      </c>
      <c r="P487">
        <f ca="1">IFERROR(IF(0=LEN(ReferenceData!$P$487),"",ReferenceData!$P$487),"")</f>
        <v>28475.35756</v>
      </c>
      <c r="Q487">
        <f ca="1">IFERROR(IF(0=LEN(ReferenceData!$Q$487),"",ReferenceData!$Q$487),"")</f>
        <v>26386.34953</v>
      </c>
      <c r="R487">
        <f ca="1">IFERROR(IF(0=LEN(ReferenceData!$R$487),"",ReferenceData!$R$487),"")</f>
        <v>27661.259849999999</v>
      </c>
      <c r="S487">
        <f ca="1">IFERROR(IF(0=LEN(ReferenceData!$S$487),"",ReferenceData!$S$487),"")</f>
        <v>32629.687430000002</v>
      </c>
      <c r="T487">
        <f ca="1">IFERROR(IF(0=LEN(ReferenceData!$T$487),"",ReferenceData!$T$487),"")</f>
        <v>28018.83858</v>
      </c>
      <c r="U487">
        <f ca="1">IFERROR(IF(0=LEN(ReferenceData!$U$487),"",ReferenceData!$U$487),"")</f>
        <v>28899.1093</v>
      </c>
      <c r="V487">
        <f ca="1">IFERROR(IF(0=LEN(ReferenceData!$V$487),"",ReferenceData!$V$487),"")</f>
        <v>26047.666410000002</v>
      </c>
      <c r="W487">
        <f ca="1">IFERROR(IF(0=LEN(ReferenceData!$W$487),"",ReferenceData!$W$487),"")</f>
        <v>28179.500520000001</v>
      </c>
      <c r="X487">
        <f ca="1">IFERROR(IF(0=LEN(ReferenceData!$X$487),"",ReferenceData!$X$487),"")</f>
        <v>25886.11666</v>
      </c>
      <c r="Y487">
        <f ca="1">IFERROR(IF(0=LEN(ReferenceData!$Y$487),"",ReferenceData!$Y$487),"")</f>
        <v>21679.718570000001</v>
      </c>
      <c r="Z487">
        <f ca="1">IFERROR(IF(0=LEN(ReferenceData!$Z$487),"",ReferenceData!$Z$487),"")</f>
        <v>21206.572609999999</v>
      </c>
      <c r="AA487">
        <f ca="1">IFERROR(IF(0=LEN(ReferenceData!$AA$487),"",ReferenceData!$AA$487),"")</f>
        <v>22462.319390000001</v>
      </c>
      <c r="AB487">
        <f ca="1">IFERROR(IF(0=LEN(ReferenceData!$AB$487),"",ReferenceData!$AB$487),"")</f>
        <v>21602.346389999999</v>
      </c>
      <c r="AC487">
        <f ca="1">IFERROR(IF(0=LEN(ReferenceData!$AC$487),"",ReferenceData!$AC$487),"")</f>
        <v>19270.180110000001</v>
      </c>
      <c r="AD487">
        <f ca="1">IFERROR(IF(0=LEN(ReferenceData!$AD$487),"",ReferenceData!$AD$487),"")</f>
        <v>12139.3238</v>
      </c>
      <c r="AE487">
        <f ca="1">IFERROR(IF(0=LEN(ReferenceData!$AE$487),"",ReferenceData!$AE$487),"")</f>
        <v>9785.8238220000003</v>
      </c>
      <c r="AF487">
        <f ca="1">IFERROR(IF(0=LEN(ReferenceData!$AF$487),"",ReferenceData!$AF$487),"")</f>
        <v>6510.4864850000004</v>
      </c>
      <c r="AG487">
        <f ca="1">IFERROR(IF(0=LEN(ReferenceData!$AG$487),"",ReferenceData!$AG$487),"")</f>
        <v>6249.1927569999998</v>
      </c>
      <c r="AH487">
        <f ca="1">IFERROR(IF(0=LEN(ReferenceData!$AH$487),"",ReferenceData!$AH$487),"")</f>
        <v>6300.4456899999996</v>
      </c>
      <c r="AI487">
        <f ca="1">IFERROR(IF(0=LEN(ReferenceData!$AI$487),"",ReferenceData!$AI$487),"")</f>
        <v>4728.31077</v>
      </c>
      <c r="AJ487">
        <f ca="1">IFERROR(IF(0=LEN(ReferenceData!$AJ$487),"",ReferenceData!$AJ$487),"")</f>
        <v>4648.0760289999998</v>
      </c>
      <c r="AK487">
        <f ca="1">IFERROR(IF(0=LEN(ReferenceData!$AK$487),"",ReferenceData!$AK$487),"")</f>
        <v>6044.4701770000001</v>
      </c>
      <c r="AL487">
        <f ca="1">IFERROR(IF(0=LEN(ReferenceData!$AL$487),"",ReferenceData!$AL$487),"")</f>
        <v>5065.9913079999997</v>
      </c>
      <c r="AM487">
        <f ca="1">IFERROR(IF(0=LEN(ReferenceData!$AM$487),"",ReferenceData!$AM$487),"")</f>
        <v>6033.8321960000003</v>
      </c>
      <c r="AN487">
        <f ca="1">IFERROR(IF(0=LEN(ReferenceData!$AN$487),"",ReferenceData!$AN$487),"")</f>
        <v>4990.2300130000003</v>
      </c>
      <c r="AO487">
        <f ca="1">IFERROR(IF(0=LEN(ReferenceData!$AO$487),"",ReferenceData!$AO$487),"")</f>
        <v>4242.2169359999998</v>
      </c>
      <c r="AP487">
        <f ca="1">IFERROR(IF(0=LEN(ReferenceData!$AP$487),"",ReferenceData!$AP$487),"")</f>
        <v>4055.083897</v>
      </c>
      <c r="AQ487">
        <f ca="1">IFERROR(IF(0=LEN(ReferenceData!$AQ$487),"",ReferenceData!$AQ$487),"")</f>
        <v>3813.483467</v>
      </c>
      <c r="AR487">
        <f ca="1">IFERROR(IF(0=LEN(ReferenceData!$AR$487),"",ReferenceData!$AR$487),"")</f>
        <v>3046.6119370000001</v>
      </c>
      <c r="AS487">
        <f ca="1">IFERROR(IF(0=LEN(ReferenceData!$AS$487),"",ReferenceData!$AS$487),"")</f>
        <v>3177.9539180000002</v>
      </c>
      <c r="AT487">
        <f ca="1">IFERROR(IF(0=LEN(ReferenceData!$AT$487),"",ReferenceData!$AT$487),"")</f>
        <v>2537.3204059999998</v>
      </c>
      <c r="AU487">
        <f ca="1">IFERROR(IF(0=LEN(ReferenceData!$AU$487),"",ReferenceData!$AU$487),"")</f>
        <v>2071.3486360000002</v>
      </c>
      <c r="AV487">
        <f ca="1">IFERROR(IF(0=LEN(ReferenceData!$AV$487),"",ReferenceData!$AV$487),"")</f>
        <v>3840.9744169999999</v>
      </c>
      <c r="AW487">
        <f ca="1">IFERROR(IF(0=LEN(ReferenceData!$AW$487),"",ReferenceData!$AW$487),"")</f>
        <v>3833.6021049999999</v>
      </c>
      <c r="AX487">
        <f ca="1">IFERROR(IF(0=LEN(ReferenceData!$AX$487),"",ReferenceData!$AX$487),"")</f>
        <v>3269.1270960000002</v>
      </c>
      <c r="AY487">
        <f ca="1">IFERROR(IF(0=LEN(ReferenceData!$AY$487),"",ReferenceData!$AY$487),"")</f>
        <v>3622.836339</v>
      </c>
      <c r="AZ487">
        <f ca="1">IFERROR(IF(0=LEN(ReferenceData!$AZ$487),"",ReferenceData!$AZ$487),"")</f>
        <v>3443.7911220000001</v>
      </c>
      <c r="BA487">
        <f ca="1">IFERROR(IF(0=LEN(ReferenceData!$BA$487),"",ReferenceData!$BA$487),"")</f>
        <v>3747.288759</v>
      </c>
      <c r="BB487">
        <f ca="1">IFERROR(IF(0=LEN(ReferenceData!$BB$487),"",ReferenceData!$BB$487),"")</f>
        <v>4074.4439120000002</v>
      </c>
      <c r="BC487">
        <f ca="1">IFERROR(IF(0=LEN(ReferenceData!$BC$487),"",ReferenceData!$BC$487),"")</f>
        <v>4016.8877550000002</v>
      </c>
      <c r="BD487">
        <f ca="1">IFERROR(IF(0=LEN(ReferenceData!$BD$487),"",ReferenceData!$BD$487),"")</f>
        <v>4457.5987679999998</v>
      </c>
      <c r="BE487">
        <f ca="1">IFERROR(IF(0=LEN(ReferenceData!$BE$487),"",ReferenceData!$BE$487),"")</f>
        <v>4575.3228730000001</v>
      </c>
      <c r="BF487">
        <f ca="1">IFERROR(IF(0=LEN(ReferenceData!$BF$487),"",ReferenceData!$BF$487),"")</f>
        <v>4610.5797640000001</v>
      </c>
      <c r="BG487">
        <f ca="1">IFERROR(IF(0=LEN(ReferenceData!$BG$487),"",ReferenceData!$BG$487),"")</f>
        <v>4247.1314869999997</v>
      </c>
      <c r="BH487">
        <f ca="1">IFERROR(IF(0=LEN(ReferenceData!$BH$487),"",ReferenceData!$BH$487),"")</f>
        <v>3536.5458530000001</v>
      </c>
      <c r="BI487">
        <f ca="1">IFERROR(IF(0=LEN(ReferenceData!$BI$487),"",ReferenceData!$BI$487),"")</f>
        <v>3260.470495</v>
      </c>
      <c r="BJ487">
        <f ca="1">IFERROR(IF(0=LEN(ReferenceData!$BJ$487),"",ReferenceData!$BJ$487),"")</f>
        <v>3826.6946889999999</v>
      </c>
      <c r="BK487">
        <f ca="1">IFERROR(IF(0=LEN(ReferenceData!$BK$487),"",ReferenceData!$BK$487),"")</f>
        <v>3798.475418</v>
      </c>
      <c r="BL487">
        <f ca="1">IFERROR(IF(0=LEN(ReferenceData!$BL$487),"",ReferenceData!$BL$487),"")</f>
        <v>3966.6718959999998</v>
      </c>
      <c r="BM487">
        <f ca="1">IFERROR(IF(0=LEN(ReferenceData!$BM$487),"",ReferenceData!$BM$487),"")</f>
        <v>4380.6698329999999</v>
      </c>
    </row>
    <row r="488" spans="1:65" x14ac:dyDescent="0.25">
      <c r="A488" t="str">
        <f>IFERROR(IF(0=LEN(ReferenceData!$A$488),"",ReferenceData!$A$488),"")</f>
        <v xml:space="preserve">    Suzuki Motor Corp</v>
      </c>
      <c r="B488" t="str">
        <f>IFERROR(IF(0=LEN(ReferenceData!$B$488),"",ReferenceData!$B$488),"")</f>
        <v>7269 JP Equity</v>
      </c>
      <c r="C488" t="str">
        <f>IFERROR(IF(0=LEN(ReferenceData!$C$488),"",ReferenceData!$C$488),"")</f>
        <v>RR902</v>
      </c>
      <c r="D488" t="str">
        <f>IFERROR(IF(0=LEN(ReferenceData!$D$488),"",ReferenceData!$D$488),"")</f>
        <v>CUR_MKT_CAP</v>
      </c>
      <c r="E488" t="str">
        <f>IFERROR(IF(0=LEN(ReferenceData!$E$488),"",ReferenceData!$E$488),"")</f>
        <v>Dynamic</v>
      </c>
      <c r="F488">
        <f ca="1">IFERROR(IF(0=LEN(ReferenceData!$F$488),"",ReferenceData!$F$488),"")</f>
        <v>25572.616290000002</v>
      </c>
      <c r="G488">
        <f ca="1">IFERROR(IF(0=LEN(ReferenceData!$G$488),"",ReferenceData!$G$488),"")</f>
        <v>24759.264009999999</v>
      </c>
      <c r="H488">
        <f ca="1">IFERROR(IF(0=LEN(ReferenceData!$H$488),"",ReferenceData!$H$488),"")</f>
        <v>28156.366020000001</v>
      </c>
      <c r="I488">
        <f ca="1">IFERROR(IF(0=LEN(ReferenceData!$I$488),"",ReferenceData!$I$488),"")</f>
        <v>27117.248019999999</v>
      </c>
      <c r="J488">
        <f ca="1">IFERROR(IF(0=LEN(ReferenceData!$J$488),"",ReferenceData!$J$488),"")</f>
        <v>26487.79621</v>
      </c>
      <c r="K488">
        <f ca="1">IFERROR(IF(0=LEN(ReferenceData!$K$488),"",ReferenceData!$K$488),"")</f>
        <v>28498.06596</v>
      </c>
      <c r="L488">
        <f ca="1">IFERROR(IF(0=LEN(ReferenceData!$L$488),"",ReferenceData!$L$488),"")</f>
        <v>25732.452730000001</v>
      </c>
      <c r="M488">
        <f ca="1">IFERROR(IF(0=LEN(ReferenceData!$M$488),"",ReferenceData!$M$488),"")</f>
        <v>23293.54695</v>
      </c>
      <c r="N488">
        <f ca="1">IFERROR(IF(0=LEN(ReferenceData!$N$488),"",ReferenceData!$N$488),"")</f>
        <v>20388.12326</v>
      </c>
      <c r="O488">
        <f ca="1">IFERROR(IF(0=LEN(ReferenceData!$O$488),"",ReferenceData!$O$488),"")</f>
        <v>17318.021260000001</v>
      </c>
      <c r="P488">
        <f ca="1">IFERROR(IF(0=LEN(ReferenceData!$P$488),"",ReferenceData!$P$488),"")</f>
        <v>16265.01035</v>
      </c>
      <c r="Q488">
        <f ca="1">IFERROR(IF(0=LEN(ReferenceData!$Q$488),"",ReferenceData!$Q$488),"")</f>
        <v>13101.739509999999</v>
      </c>
      <c r="R488">
        <f ca="1">IFERROR(IF(0=LEN(ReferenceData!$R$488),"",ReferenceData!$R$488),"")</f>
        <v>13141.34222</v>
      </c>
      <c r="S488">
        <f ca="1">IFERROR(IF(0=LEN(ReferenceData!$S$488),"",ReferenceData!$S$488),"")</f>
        <v>17225.42211</v>
      </c>
      <c r="T488">
        <f ca="1">IFERROR(IF(0=LEN(ReferenceData!$T$488),"",ReferenceData!$T$488),"")</f>
        <v>17168.5069</v>
      </c>
      <c r="U488">
        <f ca="1">IFERROR(IF(0=LEN(ReferenceData!$U$488),"",ReferenceData!$U$488),"")</f>
        <v>18997.13884</v>
      </c>
      <c r="V488">
        <f ca="1">IFERROR(IF(0=LEN(ReferenceData!$V$488),"",ReferenceData!$V$488),"")</f>
        <v>16896.901870000002</v>
      </c>
      <c r="W488">
        <f ca="1">IFERROR(IF(0=LEN(ReferenceData!$W$488),"",ReferenceData!$W$488),"")</f>
        <v>17095.363969999999</v>
      </c>
      <c r="X488">
        <f ca="1">IFERROR(IF(0=LEN(ReferenceData!$X$488),"",ReferenceData!$X$488),"")</f>
        <v>18600.10457</v>
      </c>
      <c r="Y488">
        <f ca="1">IFERROR(IF(0=LEN(ReferenceData!$Y$488),"",ReferenceData!$Y$488),"")</f>
        <v>17575.309410000002</v>
      </c>
      <c r="Z488">
        <f ca="1">IFERROR(IF(0=LEN(ReferenceData!$Z$488),"",ReferenceData!$Z$488),"")</f>
        <v>14664.416730000001</v>
      </c>
      <c r="AA488">
        <f ca="1">IFERROR(IF(0=LEN(ReferenceData!$AA$488),"",ReferenceData!$AA$488),"")</f>
        <v>15099.36973</v>
      </c>
      <c r="AB488">
        <f ca="1">IFERROR(IF(0=LEN(ReferenceData!$AB$488),"",ReferenceData!$AB$488),"")</f>
        <v>13436.34309</v>
      </c>
      <c r="AC488">
        <f ca="1">IFERROR(IF(0=LEN(ReferenceData!$AC$488),"",ReferenceData!$AC$488),"")</f>
        <v>12917.7004</v>
      </c>
      <c r="AD488">
        <f ca="1">IFERROR(IF(0=LEN(ReferenceData!$AD$488),"",ReferenceData!$AD$488),"")</f>
        <v>12570.27017</v>
      </c>
      <c r="AE488">
        <f ca="1">IFERROR(IF(0=LEN(ReferenceData!$AE$488),"",ReferenceData!$AE$488),"")</f>
        <v>14612.779409999999</v>
      </c>
      <c r="AF488">
        <f ca="1">IFERROR(IF(0=LEN(ReferenceData!$AF$488),"",ReferenceData!$AF$488),"")</f>
        <v>10908.45307</v>
      </c>
      <c r="AG488">
        <f ca="1">IFERROR(IF(0=LEN(ReferenceData!$AG$488),"",ReferenceData!$AG$488),"")</f>
        <v>11396.712740000001</v>
      </c>
      <c r="AH488">
        <f ca="1">IFERROR(IF(0=LEN(ReferenceData!$AH$488),"",ReferenceData!$AH$488),"")</f>
        <v>13423.58122</v>
      </c>
      <c r="AI488">
        <f ca="1">IFERROR(IF(0=LEN(ReferenceData!$AI$488),"",ReferenceData!$AI$488),"")</f>
        <v>11601.3418</v>
      </c>
      <c r="AJ488">
        <f ca="1">IFERROR(IF(0=LEN(ReferenceData!$AJ$488),"",ReferenceData!$AJ$488),"")</f>
        <v>12524.28642</v>
      </c>
      <c r="AK488">
        <f ca="1">IFERROR(IF(0=LEN(ReferenceData!$AK$488),"",ReferenceData!$AK$488),"")</f>
        <v>12570.63531</v>
      </c>
      <c r="AL488">
        <f ca="1">IFERROR(IF(0=LEN(ReferenceData!$AL$488),"",ReferenceData!$AL$488),"")</f>
        <v>12591.898279999999</v>
      </c>
      <c r="AM488">
        <f ca="1">IFERROR(IF(0=LEN(ReferenceData!$AM$488),"",ReferenceData!$AM$488),"")</f>
        <v>13727.607099999999</v>
      </c>
      <c r="AN488">
        <f ca="1">IFERROR(IF(0=LEN(ReferenceData!$AN$488),"",ReferenceData!$AN$488),"")</f>
        <v>11804.446</v>
      </c>
      <c r="AO488">
        <f ca="1">IFERROR(IF(0=LEN(ReferenceData!$AO$488),"",ReferenceData!$AO$488),"")</f>
        <v>11128.472680000001</v>
      </c>
      <c r="AP488">
        <f ca="1">IFERROR(IF(0=LEN(ReferenceData!$AP$488),"",ReferenceData!$AP$488),"")</f>
        <v>11980.823350000001</v>
      </c>
      <c r="AQ488">
        <f ca="1">IFERROR(IF(0=LEN(ReferenceData!$AQ$488),"",ReferenceData!$AQ$488),"")</f>
        <v>13392.89214</v>
      </c>
      <c r="AR488">
        <f ca="1">IFERROR(IF(0=LEN(ReferenceData!$AR$488),"",ReferenceData!$AR$488),"")</f>
        <v>12676.69116</v>
      </c>
      <c r="AS488">
        <f ca="1">IFERROR(IF(0=LEN(ReferenceData!$AS$488),"",ReferenceData!$AS$488),"")</f>
        <v>12225.33426</v>
      </c>
      <c r="AT488">
        <f ca="1">IFERROR(IF(0=LEN(ReferenceData!$AT$488),"",ReferenceData!$AT$488),"")</f>
        <v>8897.5552819999994</v>
      </c>
      <c r="AU488">
        <f ca="1">IFERROR(IF(0=LEN(ReferenceData!$AU$488),"",ReferenceData!$AU$488),"")</f>
        <v>7377.0688840000003</v>
      </c>
      <c r="AV488">
        <f ca="1">IFERROR(IF(0=LEN(ReferenceData!$AV$488),"",ReferenceData!$AV$488),"")</f>
        <v>9801.2725090000004</v>
      </c>
      <c r="AW488">
        <f ca="1">IFERROR(IF(0=LEN(ReferenceData!$AW$488),"",ReferenceData!$AW$488),"")</f>
        <v>12826.48279</v>
      </c>
      <c r="AX488">
        <f ca="1">IFERROR(IF(0=LEN(ReferenceData!$AX$488),"",ReferenceData!$AX$488),"")</f>
        <v>13666.70782</v>
      </c>
      <c r="AY488">
        <f ca="1">IFERROR(IF(0=LEN(ReferenceData!$AY$488),"",ReferenceData!$AY$488),"")</f>
        <v>16212.063029999999</v>
      </c>
      <c r="AZ488">
        <f ca="1">IFERROR(IF(0=LEN(ReferenceData!$AZ$488),"",ReferenceData!$AZ$488),"")</f>
        <v>16071.429630000001</v>
      </c>
      <c r="BA488">
        <f ca="1">IFERROR(IF(0=LEN(ReferenceData!$BA$488),"",ReferenceData!$BA$488),"")</f>
        <v>15408.606449999999</v>
      </c>
      <c r="BB488">
        <f ca="1">IFERROR(IF(0=LEN(ReferenceData!$BB$488),"",ReferenceData!$BB$488),"")</f>
        <v>14121.09967</v>
      </c>
      <c r="BC488">
        <f ca="1">IFERROR(IF(0=LEN(ReferenceData!$BC$488),"",ReferenceData!$BC$488),"")</f>
        <v>15311.506869999999</v>
      </c>
      <c r="BD488">
        <f ca="1">IFERROR(IF(0=LEN(ReferenceData!$BD$488),"",ReferenceData!$BD$488),"")</f>
        <v>13793.774649999999</v>
      </c>
      <c r="BE488">
        <f ca="1">IFERROR(IF(0=LEN(ReferenceData!$BE$488),"",ReferenceData!$BE$488),"")</f>
        <v>11732.78203</v>
      </c>
      <c r="BF488">
        <f ca="1">IFERROR(IF(0=LEN(ReferenceData!$BF$488),"",ReferenceData!$BF$488),"")</f>
        <v>12492.42886</v>
      </c>
      <c r="BG488">
        <f ca="1">IFERROR(IF(0=LEN(ReferenceData!$BG$488),"",ReferenceData!$BG$488),"")</f>
        <v>10050.72393</v>
      </c>
      <c r="BH488">
        <f ca="1">IFERROR(IF(0=LEN(ReferenceData!$BH$488),"",ReferenceData!$BH$488),"")</f>
        <v>10034.86174</v>
      </c>
      <c r="BI488">
        <f ca="1">IFERROR(IF(0=LEN(ReferenceData!$BI$488),"",ReferenceData!$BI$488),"")</f>
        <v>8526.4030120000007</v>
      </c>
      <c r="BJ488">
        <f ca="1">IFERROR(IF(0=LEN(ReferenceData!$BJ$488),"",ReferenceData!$BJ$488),"")</f>
        <v>9708.9284299999999</v>
      </c>
      <c r="BK488">
        <f ca="1">IFERROR(IF(0=LEN(ReferenceData!$BK$488),"",ReferenceData!$BK$488),"")</f>
        <v>9857.6939480000001</v>
      </c>
      <c r="BL488">
        <f ca="1">IFERROR(IF(0=LEN(ReferenceData!$BL$488),"",ReferenceData!$BL$488),"")</f>
        <v>8900.1429250000001</v>
      </c>
      <c r="BM488">
        <f ca="1">IFERROR(IF(0=LEN(ReferenceData!$BM$488),"",ReferenceData!$BM$488),"")</f>
        <v>9536.14077</v>
      </c>
    </row>
    <row r="489" spans="1:65" x14ac:dyDescent="0.25">
      <c r="A489" t="str">
        <f>IFERROR(IF(0=LEN(ReferenceData!$A$489),"",ReferenceData!$A$489),"")</f>
        <v xml:space="preserve">    Tata Motors Ltd</v>
      </c>
      <c r="B489" t="str">
        <f>IFERROR(IF(0=LEN(ReferenceData!$B$489),"",ReferenceData!$B$489),"")</f>
        <v>TTMT IN Equity</v>
      </c>
      <c r="C489" t="str">
        <f>IFERROR(IF(0=LEN(ReferenceData!$C$489),"",ReferenceData!$C$489),"")</f>
        <v>RR902</v>
      </c>
      <c r="D489" t="str">
        <f>IFERROR(IF(0=LEN(ReferenceData!$D$489),"",ReferenceData!$D$489),"")</f>
        <v>CUR_MKT_CAP</v>
      </c>
      <c r="E489" t="str">
        <f>IFERROR(IF(0=LEN(ReferenceData!$E$489),"",ReferenceData!$E$489),"")</f>
        <v>Dynamic</v>
      </c>
      <c r="F489">
        <f ca="1">IFERROR(IF(0=LEN(ReferenceData!$F$489),"",ReferenceData!$F$489),"")</f>
        <v>7726.0004339999996</v>
      </c>
      <c r="G489">
        <f ca="1">IFERROR(IF(0=LEN(ReferenceData!$G$489),"",ReferenceData!$G$489),"")</f>
        <v>7831.2220719999996</v>
      </c>
      <c r="H489">
        <f ca="1">IFERROR(IF(0=LEN(ReferenceData!$H$489),"",ReferenceData!$H$489),"")</f>
        <v>9719.7893399999994</v>
      </c>
      <c r="I489">
        <f ca="1">IFERROR(IF(0=LEN(ReferenceData!$I$489),"",ReferenceData!$I$489),"")</f>
        <v>12533.580250000001</v>
      </c>
      <c r="J489">
        <f ca="1">IFERROR(IF(0=LEN(ReferenceData!$J$489),"",ReferenceData!$J$489),"")</f>
        <v>15918.00145</v>
      </c>
      <c r="K489">
        <f ca="1">IFERROR(IF(0=LEN(ReferenceData!$K$489),"",ReferenceData!$K$489),"")</f>
        <v>21472.116290000002</v>
      </c>
      <c r="L489">
        <f ca="1">IFERROR(IF(0=LEN(ReferenceData!$L$489),"",ReferenceData!$L$489),"")</f>
        <v>19469.172709999999</v>
      </c>
      <c r="M489">
        <f ca="1">IFERROR(IF(0=LEN(ReferenceData!$M$489),"",ReferenceData!$M$489),"")</f>
        <v>21399.1541</v>
      </c>
      <c r="N489">
        <f ca="1">IFERROR(IF(0=LEN(ReferenceData!$N$489),"",ReferenceData!$N$489),"")</f>
        <v>22948.710650000001</v>
      </c>
      <c r="O489">
        <f ca="1">IFERROR(IF(0=LEN(ReferenceData!$O$489),"",ReferenceData!$O$489),"")</f>
        <v>22284.873729999999</v>
      </c>
      <c r="P489">
        <f ca="1">IFERROR(IF(0=LEN(ReferenceData!$P$489),"",ReferenceData!$P$489),"")</f>
        <v>25774.417560000002</v>
      </c>
      <c r="Q489">
        <f ca="1">IFERROR(IF(0=LEN(ReferenceData!$Q$489),"",ReferenceData!$Q$489),"")</f>
        <v>21832.53254</v>
      </c>
      <c r="R489">
        <f ca="1">IFERROR(IF(0=LEN(ReferenceData!$R$489),"",ReferenceData!$R$489),"")</f>
        <v>19090.910400000001</v>
      </c>
      <c r="S489">
        <f ca="1">IFERROR(IF(0=LEN(ReferenceData!$S$489),"",ReferenceData!$S$489),"")</f>
        <v>19278.620510000001</v>
      </c>
      <c r="T489">
        <f ca="1">IFERROR(IF(0=LEN(ReferenceData!$T$489),"",ReferenceData!$T$489),"")</f>
        <v>14836.195239999999</v>
      </c>
      <c r="U489">
        <f ca="1">IFERROR(IF(0=LEN(ReferenceData!$U$489),"",ReferenceData!$U$489),"")</f>
        <v>21788.788809999998</v>
      </c>
      <c r="V489">
        <f ca="1">IFERROR(IF(0=LEN(ReferenceData!$V$489),"",ReferenceData!$V$489),"")</f>
        <v>26353.77449</v>
      </c>
      <c r="W489">
        <f ca="1">IFERROR(IF(0=LEN(ReferenceData!$W$489),"",ReferenceData!$W$489),"")</f>
        <v>23674.859639999999</v>
      </c>
      <c r="X489">
        <f ca="1">IFERROR(IF(0=LEN(ReferenceData!$X$489),"",ReferenceData!$X$489),"")</f>
        <v>24535.927629999998</v>
      </c>
      <c r="Y489">
        <f ca="1">IFERROR(IF(0=LEN(ReferenceData!$Y$489),"",ReferenceData!$Y$489),"")</f>
        <v>21717.251219999998</v>
      </c>
      <c r="Z489">
        <f ca="1">IFERROR(IF(0=LEN(ReferenceData!$Z$489),"",ReferenceData!$Z$489),"")</f>
        <v>19561.091919999999</v>
      </c>
      <c r="AA489">
        <f ca="1">IFERROR(IF(0=LEN(ReferenceData!$AA$489),"",ReferenceData!$AA$489),"")</f>
        <v>17894.28586</v>
      </c>
      <c r="AB489">
        <f ca="1">IFERROR(IF(0=LEN(ReferenceData!$AB$489),"",ReferenceData!$AB$489),"")</f>
        <v>15556.086359999999</v>
      </c>
      <c r="AC489">
        <f ca="1">IFERROR(IF(0=LEN(ReferenceData!$AC$489),"",ReferenceData!$AC$489),"")</f>
        <v>13846.723389999999</v>
      </c>
      <c r="AD489">
        <f ca="1">IFERROR(IF(0=LEN(ReferenceData!$AD$489),"",ReferenceData!$AD$489),"")</f>
        <v>14518.547570000001</v>
      </c>
      <c r="AE489">
        <f ca="1">IFERROR(IF(0=LEN(ReferenceData!$AE$489),"",ReferenceData!$AE$489),"")</f>
        <v>16736.510579999998</v>
      </c>
      <c r="AF489">
        <f ca="1">IFERROR(IF(0=LEN(ReferenceData!$AF$489),"",ReferenceData!$AF$489),"")</f>
        <v>14959.580980000001</v>
      </c>
      <c r="AG489">
        <f ca="1">IFERROR(IF(0=LEN(ReferenceData!$AG$489),"",ReferenceData!$AG$489),"")</f>
        <v>12786.36652</v>
      </c>
      <c r="AH489">
        <f ca="1">IFERROR(IF(0=LEN(ReferenceData!$AH$489),"",ReferenceData!$AH$489),"")</f>
        <v>16036.77376</v>
      </c>
      <c r="AI489">
        <f ca="1">IFERROR(IF(0=LEN(ReferenceData!$AI$489),"",ReferenceData!$AI$489),"")</f>
        <v>9845.3099689999999</v>
      </c>
      <c r="AJ489">
        <f ca="1">IFERROR(IF(0=LEN(ReferenceData!$AJ$489),"",ReferenceData!$AJ$489),"")</f>
        <v>9443.2615499999993</v>
      </c>
      <c r="AK489">
        <f ca="1">IFERROR(IF(0=LEN(ReferenceData!$AK$489),"",ReferenceData!$AK$489),"")</f>
        <v>13183.294159999999</v>
      </c>
      <c r="AL489">
        <f ca="1">IFERROR(IF(0=LEN(ReferenceData!$AL$489),"",ReferenceData!$AL$489),"")</f>
        <v>16544.145540000001</v>
      </c>
      <c r="AM489">
        <f ca="1">IFERROR(IF(0=LEN(ReferenceData!$AM$489),"",ReferenceData!$AM$489),"")</f>
        <v>17400.96773</v>
      </c>
      <c r="AN489">
        <f ca="1">IFERROR(IF(0=LEN(ReferenceData!$AN$489),"",ReferenceData!$AN$489),"")</f>
        <v>13506.71679</v>
      </c>
      <c r="AO489">
        <f ca="1">IFERROR(IF(0=LEN(ReferenceData!$AO$489),"",ReferenceData!$AO$489),"")</f>
        <v>9177.5764780000009</v>
      </c>
      <c r="AP489">
        <f ca="1">IFERROR(IF(0=LEN(ReferenceData!$AP$489),"",ReferenceData!$AP$489),"")</f>
        <v>8737.3093580000004</v>
      </c>
      <c r="AQ489">
        <f ca="1">IFERROR(IF(0=LEN(ReferenceData!$AQ$489),"",ReferenceData!$AQ$489),"")</f>
        <v>8845.0488750000004</v>
      </c>
      <c r="AR489">
        <f ca="1">IFERROR(IF(0=LEN(ReferenceData!$AR$489),"",ReferenceData!$AR$489),"")</f>
        <v>6107.9751150000002</v>
      </c>
      <c r="AS489">
        <f ca="1">IFERROR(IF(0=LEN(ReferenceData!$AS$489),"",ReferenceData!$AS$489),"")</f>
        <v>2730.0911449999999</v>
      </c>
      <c r="AT489">
        <f ca="1">IFERROR(IF(0=LEN(ReferenceData!$AT$489),"",ReferenceData!$AT$489),"")</f>
        <v>1598.550385</v>
      </c>
      <c r="AU489">
        <f ca="1">IFERROR(IF(0=LEN(ReferenceData!$AU$489),"",ReferenceData!$AU$489),"")</f>
        <v>1477.219214</v>
      </c>
      <c r="AV489">
        <f ca="1">IFERROR(IF(0=LEN(ReferenceData!$AV$489),"",ReferenceData!$AV$489),"")</f>
        <v>3279.1292440000002</v>
      </c>
      <c r="AW489">
        <f ca="1">IFERROR(IF(0=LEN(ReferenceData!$AW$489),"",ReferenceData!$AW$489),"")</f>
        <v>3815.7533840000001</v>
      </c>
      <c r="AX489">
        <f ca="1">IFERROR(IF(0=LEN(ReferenceData!$AX$489),"",ReferenceData!$AX$489),"")</f>
        <v>5984.6732490000004</v>
      </c>
      <c r="AY489">
        <f ca="1">IFERROR(IF(0=LEN(ReferenceData!$AY$489),"",ReferenceData!$AY$489),"")</f>
        <v>7256.0134699999999</v>
      </c>
      <c r="AZ489">
        <f ca="1">IFERROR(IF(0=LEN(ReferenceData!$AZ$489),"",ReferenceData!$AZ$489),"")</f>
        <v>7529.7570519999999</v>
      </c>
      <c r="BA489">
        <f ca="1">IFERROR(IF(0=LEN(ReferenceData!$BA$489),"",ReferenceData!$BA$489),"")</f>
        <v>6345.7962450000005</v>
      </c>
      <c r="BB489">
        <f ca="1">IFERROR(IF(0=LEN(ReferenceData!$BB$489),"",ReferenceData!$BB$489),"")</f>
        <v>6455.0955510000003</v>
      </c>
      <c r="BC489">
        <f ca="1">IFERROR(IF(0=LEN(ReferenceData!$BC$489),"",ReferenceData!$BC$489),"")</f>
        <v>7839.3366480000004</v>
      </c>
      <c r="BD489">
        <f ca="1">IFERROR(IF(0=LEN(ReferenceData!$BD$489),"",ReferenceData!$BD$489),"")</f>
        <v>7226.5436319999999</v>
      </c>
      <c r="BE489">
        <f ca="1">IFERROR(IF(0=LEN(ReferenceData!$BE$489),"",ReferenceData!$BE$489),"")</f>
        <v>6612.5186279999998</v>
      </c>
      <c r="BF489">
        <f ca="1">IFERROR(IF(0=LEN(ReferenceData!$BF$489),"",ReferenceData!$BF$489),"")</f>
        <v>7911.9821199999997</v>
      </c>
      <c r="BG489">
        <f ca="1">IFERROR(IF(0=LEN(ReferenceData!$BG$489),"",ReferenceData!$BG$489),"")</f>
        <v>5456.9936200000002</v>
      </c>
      <c r="BH489">
        <f ca="1">IFERROR(IF(0=LEN(ReferenceData!$BH$489),"",ReferenceData!$BH$489),"")</f>
        <v>4566.809921</v>
      </c>
      <c r="BI489">
        <f ca="1">IFERROR(IF(0=LEN(ReferenceData!$BI$489),"",ReferenceData!$BI$489),"")</f>
        <v>3536.0658149999999</v>
      </c>
      <c r="BJ489">
        <f ca="1">IFERROR(IF(0=LEN(ReferenceData!$BJ$489),"",ReferenceData!$BJ$489),"")</f>
        <v>3421.1151450000002</v>
      </c>
      <c r="BK489">
        <f ca="1">IFERROR(IF(0=LEN(ReferenceData!$BK$489),"",ReferenceData!$BK$489),"")</f>
        <v>4200.4790759999996</v>
      </c>
      <c r="BL489">
        <f ca="1">IFERROR(IF(0=LEN(ReferenceData!$BL$489),"",ReferenceData!$BL$489),"")</f>
        <v>3146.788223</v>
      </c>
      <c r="BM489">
        <f ca="1">IFERROR(IF(0=LEN(ReferenceData!$BM$489),"",ReferenceData!$BM$489),"")</f>
        <v>2915.2078449999999</v>
      </c>
    </row>
    <row r="490" spans="1:65" x14ac:dyDescent="0.25">
      <c r="A490" t="str">
        <f>IFERROR(IF(0=LEN(ReferenceData!$A$490),"",ReferenceData!$A$490),"")</f>
        <v xml:space="preserve">    Tesla Inc</v>
      </c>
      <c r="B490" t="str">
        <f>IFERROR(IF(0=LEN(ReferenceData!$B$490),"",ReferenceData!$B$490),"")</f>
        <v>TSLA US Equity</v>
      </c>
      <c r="C490" t="str">
        <f>IFERROR(IF(0=LEN(ReferenceData!$C$490),"",ReferenceData!$C$490),"")</f>
        <v>RR902</v>
      </c>
      <c r="D490" t="str">
        <f>IFERROR(IF(0=LEN(ReferenceData!$D$490),"",ReferenceData!$D$490),"")</f>
        <v>CUR_MKT_CAP</v>
      </c>
      <c r="E490" t="str">
        <f>IFERROR(IF(0=LEN(ReferenceData!$E$490),"",ReferenceData!$E$490),"")</f>
        <v>Dynamic</v>
      </c>
      <c r="F490">
        <f ca="1">IFERROR(IF(0=LEN(ReferenceData!$F$490),"",ReferenceData!$F$490),"")</f>
        <v>50865.181250000001</v>
      </c>
      <c r="G490">
        <f ca="1">IFERROR(IF(0=LEN(ReferenceData!$G$490),"",ReferenceData!$G$490),"")</f>
        <v>57152.667520000003</v>
      </c>
      <c r="H490">
        <f ca="1">IFERROR(IF(0=LEN(ReferenceData!$H$490),"",ReferenceData!$H$490),"")</f>
        <v>45167.946739999999</v>
      </c>
      <c r="I490">
        <f ca="1">IFERROR(IF(0=LEN(ReferenceData!$I$490),"",ReferenceData!$I$490),"")</f>
        <v>58230.744270000003</v>
      </c>
      <c r="J490">
        <f ca="1">IFERROR(IF(0=LEN(ReferenceData!$J$490),"",ReferenceData!$J$490),"")</f>
        <v>44954.6639</v>
      </c>
      <c r="K490">
        <f ca="1">IFERROR(IF(0=LEN(ReferenceData!$K$490),"",ReferenceData!$K$490),"")</f>
        <v>52327.660450000003</v>
      </c>
      <c r="L490">
        <f ca="1">IFERROR(IF(0=LEN(ReferenceData!$L$490),"",ReferenceData!$L$490),"")</f>
        <v>56925.155700000003</v>
      </c>
      <c r="M490">
        <f ca="1">IFERROR(IF(0=LEN(ReferenceData!$M$490),"",ReferenceData!$M$490),"")</f>
        <v>59398.058599999997</v>
      </c>
      <c r="N490">
        <f ca="1">IFERROR(IF(0=LEN(ReferenceData!$N$490),"",ReferenceData!$N$490),"")</f>
        <v>45389.895100000002</v>
      </c>
      <c r="O490">
        <f ca="1">IFERROR(IF(0=LEN(ReferenceData!$O$490),"",ReferenceData!$O$490),"")</f>
        <v>34423.044159999998</v>
      </c>
      <c r="P490">
        <f ca="1">IFERROR(IF(0=LEN(ReferenceData!$P$490),"",ReferenceData!$P$490),"")</f>
        <v>30337.753560000001</v>
      </c>
      <c r="Q490">
        <f ca="1">IFERROR(IF(0=LEN(ReferenceData!$Q$490),"",ReferenceData!$Q$490),"")</f>
        <v>31263.888770000001</v>
      </c>
      <c r="R490">
        <f ca="1">IFERROR(IF(0=LEN(ReferenceData!$R$490),"",ReferenceData!$R$490),"")</f>
        <v>30342.584200000001</v>
      </c>
      <c r="S490">
        <f ca="1">IFERROR(IF(0=LEN(ReferenceData!$S$490),"",ReferenceData!$S$490),"")</f>
        <v>31429.627380000002</v>
      </c>
      <c r="T490">
        <f ca="1">IFERROR(IF(0=LEN(ReferenceData!$T$490),"",ReferenceData!$T$490),"")</f>
        <v>32351.943329999998</v>
      </c>
      <c r="U490">
        <f ca="1">IFERROR(IF(0=LEN(ReferenceData!$U$490),"",ReferenceData!$U$490),"")</f>
        <v>33909.081599999998</v>
      </c>
      <c r="V490">
        <f ca="1">IFERROR(IF(0=LEN(ReferenceData!$V$490),"",ReferenceData!$V$490),"")</f>
        <v>23740.249919999998</v>
      </c>
      <c r="W490">
        <f ca="1">IFERROR(IF(0=LEN(ReferenceData!$W$490),"",ReferenceData!$W$490),"")</f>
        <v>27886.165649999999</v>
      </c>
      <c r="X490">
        <f ca="1">IFERROR(IF(0=LEN(ReferenceData!$X$490),"",ReferenceData!$X$490),"")</f>
        <v>30245.1633</v>
      </c>
      <c r="Y490">
        <f ca="1">IFERROR(IF(0=LEN(ReferenceData!$Y$490),"",ReferenceData!$Y$490),"")</f>
        <v>29789.082979999999</v>
      </c>
      <c r="Z490">
        <f ca="1">IFERROR(IF(0=LEN(ReferenceData!$Z$490),"",ReferenceData!$Z$490),"")</f>
        <v>25679.359960000002</v>
      </c>
      <c r="AA490">
        <f ca="1">IFERROR(IF(0=LEN(ReferenceData!$AA$490),"",ReferenceData!$AA$490),"")</f>
        <v>18441.681619999999</v>
      </c>
      <c r="AB490">
        <f ca="1">IFERROR(IF(0=LEN(ReferenceData!$AB$490),"",ReferenceData!$AB$490),"")</f>
        <v>23484.718049999999</v>
      </c>
      <c r="AC490">
        <f ca="1">IFERROR(IF(0=LEN(ReferenceData!$AC$490),"",ReferenceData!$AC$490),"")</f>
        <v>12782.700709999999</v>
      </c>
      <c r="AD490">
        <f ca="1">IFERROR(IF(0=LEN(ReferenceData!$AD$490),"",ReferenceData!$AD$490),"")</f>
        <v>4339.0869339999999</v>
      </c>
      <c r="AE490">
        <f ca="1">IFERROR(IF(0=LEN(ReferenceData!$AE$490),"",ReferenceData!$AE$490),"")</f>
        <v>3853.6913479999998</v>
      </c>
      <c r="AF490">
        <f ca="1">IFERROR(IF(0=LEN(ReferenceData!$AF$490),"",ReferenceData!$AF$490),"")</f>
        <v>3299.4987120000001</v>
      </c>
      <c r="AG490">
        <f ca="1">IFERROR(IF(0=LEN(ReferenceData!$AG$490),"",ReferenceData!$AG$490),"")</f>
        <v>3292.1586149999998</v>
      </c>
      <c r="AH490">
        <f ca="1">IFERROR(IF(0=LEN(ReferenceData!$AH$490),"",ReferenceData!$AH$490),"")</f>
        <v>3895.4528209999999</v>
      </c>
      <c r="AI490">
        <f ca="1">IFERROR(IF(0=LEN(ReferenceData!$AI$490),"",ReferenceData!$AI$490),"")</f>
        <v>2978.7679939999998</v>
      </c>
      <c r="AJ490">
        <f ca="1">IFERROR(IF(0=LEN(ReferenceData!$AJ$490),"",ReferenceData!$AJ$490),"")</f>
        <v>2537.0064080000002</v>
      </c>
      <c r="AK490">
        <f ca="1">IFERROR(IF(0=LEN(ReferenceData!$AK$490),"",ReferenceData!$AK$490),"")</f>
        <v>2995.7524290000001</v>
      </c>
      <c r="AL490">
        <f ca="1">IFERROR(IF(0=LEN(ReferenceData!$AL$490),"",ReferenceData!$AL$490),"")</f>
        <v>2645.5574459999998</v>
      </c>
      <c r="AM490">
        <f ca="1">IFERROR(IF(0=LEN(ReferenceData!$AM$490),"",ReferenceData!$AM$490),"")</f>
        <v>2483.798702</v>
      </c>
      <c r="AN490">
        <f ca="1">IFERROR(IF(0=LEN(ReferenceData!$AN$490),"",ReferenceData!$AN$490),"")</f>
        <v>1901.7031260000001</v>
      </c>
      <c r="AO490">
        <f ca="1">IFERROR(IF(0=LEN(ReferenceData!$AO$490),"",ReferenceData!$AO$490),"")</f>
        <v>2218.7969520000001</v>
      </c>
      <c r="AP490" t="str">
        <f ca="1">IFERROR(IF(0=LEN(ReferenceData!$AP$490),"",ReferenceData!$AP$490),"")</f>
        <v/>
      </c>
      <c r="AQ490" t="str">
        <f ca="1">IFERROR(IF(0=LEN(ReferenceData!$AQ$490),"",ReferenceData!$AQ$490),"")</f>
        <v/>
      </c>
      <c r="AR490" t="str">
        <f ca="1">IFERROR(IF(0=LEN(ReferenceData!$AR$490),"",ReferenceData!$AR$490),"")</f>
        <v/>
      </c>
      <c r="AS490" t="str">
        <f ca="1">IFERROR(IF(0=LEN(ReferenceData!$AS$490),"",ReferenceData!$AS$490),"")</f>
        <v/>
      </c>
      <c r="AT490" t="str">
        <f ca="1">IFERROR(IF(0=LEN(ReferenceData!$AT$490),"",ReferenceData!$AT$490),"")</f>
        <v/>
      </c>
      <c r="AU490" t="str">
        <f ca="1">IFERROR(IF(0=LEN(ReferenceData!$AU$490),"",ReferenceData!$AU$490),"")</f>
        <v/>
      </c>
      <c r="AV490" t="str">
        <f ca="1">IFERROR(IF(0=LEN(ReferenceData!$AV$490),"",ReferenceData!$AV$490),"")</f>
        <v/>
      </c>
      <c r="AW490" t="str">
        <f ca="1">IFERROR(IF(0=LEN(ReferenceData!$AW$490),"",ReferenceData!$AW$490),"")</f>
        <v/>
      </c>
      <c r="AX490" t="str">
        <f ca="1">IFERROR(IF(0=LEN(ReferenceData!$AX$490),"",ReferenceData!$AX$490),"")</f>
        <v/>
      </c>
      <c r="AY490" t="str">
        <f ca="1">IFERROR(IF(0=LEN(ReferenceData!$AY$490),"",ReferenceData!$AY$490),"")</f>
        <v/>
      </c>
      <c r="AZ490" t="str">
        <f ca="1">IFERROR(IF(0=LEN(ReferenceData!$AZ$490),"",ReferenceData!$AZ$490),"")</f>
        <v/>
      </c>
      <c r="BA490" t="str">
        <f ca="1">IFERROR(IF(0=LEN(ReferenceData!$BA$490),"",ReferenceData!$BA$490),"")</f>
        <v/>
      </c>
      <c r="BB490" t="str">
        <f ca="1">IFERROR(IF(0=LEN(ReferenceData!$BB$490),"",ReferenceData!$BB$490),"")</f>
        <v/>
      </c>
      <c r="BC490" t="str">
        <f ca="1">IFERROR(IF(0=LEN(ReferenceData!$BC$490),"",ReferenceData!$BC$490),"")</f>
        <v/>
      </c>
      <c r="BD490" t="str">
        <f ca="1">IFERROR(IF(0=LEN(ReferenceData!$BD$490),"",ReferenceData!$BD$490),"")</f>
        <v/>
      </c>
      <c r="BE490" t="str">
        <f ca="1">IFERROR(IF(0=LEN(ReferenceData!$BE$490),"",ReferenceData!$BE$490),"")</f>
        <v/>
      </c>
      <c r="BF490" t="str">
        <f ca="1">IFERROR(IF(0=LEN(ReferenceData!$BF$490),"",ReferenceData!$BF$490),"")</f>
        <v/>
      </c>
      <c r="BG490" t="str">
        <f ca="1">IFERROR(IF(0=LEN(ReferenceData!$BG$490),"",ReferenceData!$BG$490),"")</f>
        <v/>
      </c>
      <c r="BH490" t="str">
        <f ca="1">IFERROR(IF(0=LEN(ReferenceData!$BH$490),"",ReferenceData!$BH$490),"")</f>
        <v/>
      </c>
      <c r="BI490" t="str">
        <f ca="1">IFERROR(IF(0=LEN(ReferenceData!$BI$490),"",ReferenceData!$BI$490),"")</f>
        <v/>
      </c>
      <c r="BJ490" t="str">
        <f ca="1">IFERROR(IF(0=LEN(ReferenceData!$BJ$490),"",ReferenceData!$BJ$490),"")</f>
        <v/>
      </c>
      <c r="BK490" t="str">
        <f ca="1">IFERROR(IF(0=LEN(ReferenceData!$BK$490),"",ReferenceData!$BK$490),"")</f>
        <v/>
      </c>
      <c r="BL490" t="str">
        <f ca="1">IFERROR(IF(0=LEN(ReferenceData!$BL$490),"",ReferenceData!$BL$490),"")</f>
        <v/>
      </c>
      <c r="BM490" t="str">
        <f ca="1">IFERROR(IF(0=LEN(ReferenceData!$BM$490),"",ReferenceData!$BM$490),"")</f>
        <v/>
      </c>
    </row>
    <row r="491" spans="1:65" x14ac:dyDescent="0.25">
      <c r="A491" t="str">
        <f>IFERROR(IF(0=LEN(ReferenceData!$A$491),"",ReferenceData!$A$491),"")</f>
        <v xml:space="preserve">    Tianjin Faw Xiali Automobile Co Ltd</v>
      </c>
      <c r="B491" t="str">
        <f>IFERROR(IF(0=LEN(ReferenceData!$B$491),"",ReferenceData!$B$491),"")</f>
        <v>000927 CH Equity</v>
      </c>
      <c r="C491" t="str">
        <f>IFERROR(IF(0=LEN(ReferenceData!$C$491),"",ReferenceData!$C$491),"")</f>
        <v>RR902</v>
      </c>
      <c r="D491" t="str">
        <f>IFERROR(IF(0=LEN(ReferenceData!$D$491),"",ReferenceData!$D$491),"")</f>
        <v>CUR_MKT_CAP</v>
      </c>
      <c r="E491" t="str">
        <f>IFERROR(IF(0=LEN(ReferenceData!$E$491),"",ReferenceData!$E$491),"")</f>
        <v>Dynamic</v>
      </c>
      <c r="F491">
        <f ca="1">IFERROR(IF(0=LEN(ReferenceData!$F$491),"",ReferenceData!$F$491),"")</f>
        <v>869.55064089999996</v>
      </c>
      <c r="G491">
        <f ca="1">IFERROR(IF(0=LEN(ReferenceData!$G$491),"",ReferenceData!$G$491),"")</f>
        <v>730.53969979999999</v>
      </c>
      <c r="H491">
        <f ca="1">IFERROR(IF(0=LEN(ReferenceData!$H$491),"",ReferenceData!$H$491),"")</f>
        <v>775.63017379999997</v>
      </c>
      <c r="I491">
        <f ca="1">IFERROR(IF(0=LEN(ReferenceData!$I$491),"",ReferenceData!$I$491),"")</f>
        <v>936.79357140000002</v>
      </c>
      <c r="J491">
        <f ca="1">IFERROR(IF(0=LEN(ReferenceData!$J$491),"",ReferenceData!$J$491),"")</f>
        <v>1029.962869</v>
      </c>
      <c r="K491">
        <f ca="1">IFERROR(IF(0=LEN(ReferenceData!$K$491),"",ReferenceData!$K$491),"")</f>
        <v>1120.3751930000001</v>
      </c>
      <c r="L491">
        <f ca="1">IFERROR(IF(0=LEN(ReferenceData!$L$491),"",ReferenceData!$L$491),"")</f>
        <v>1389.6374980000001</v>
      </c>
      <c r="M491">
        <f ca="1">IFERROR(IF(0=LEN(ReferenceData!$M$491),"",ReferenceData!$M$491),"")</f>
        <v>1242.637561</v>
      </c>
      <c r="N491">
        <f ca="1">IFERROR(IF(0=LEN(ReferenceData!$N$491),"",ReferenceData!$N$491),"")</f>
        <v>1795.1970630000001</v>
      </c>
      <c r="O491">
        <f ca="1">IFERROR(IF(0=LEN(ReferenceData!$O$491),"",ReferenceData!$O$491),"")</f>
        <v>1383.7698909999999</v>
      </c>
      <c r="P491">
        <f ca="1">IFERROR(IF(0=LEN(ReferenceData!$P$491),"",ReferenceData!$P$491),"")</f>
        <v>1177.3032169999999</v>
      </c>
      <c r="Q491">
        <f ca="1">IFERROR(IF(0=LEN(ReferenceData!$Q$491),"",ReferenceData!$Q$491),"")</f>
        <v>1268.0467699999999</v>
      </c>
      <c r="R491">
        <f ca="1">IFERROR(IF(0=LEN(ReferenceData!$R$491),"",ReferenceData!$R$491),"")</f>
        <v>1619.227637</v>
      </c>
      <c r="S491">
        <f ca="1">IFERROR(IF(0=LEN(ReferenceData!$S$491),"",ReferenceData!$S$491),"")</f>
        <v>1824.461135</v>
      </c>
      <c r="T491">
        <f ca="1">IFERROR(IF(0=LEN(ReferenceData!$T$491),"",ReferenceData!$T$491),"")</f>
        <v>1618.2816290000001</v>
      </c>
      <c r="U491">
        <f ca="1">IFERROR(IF(0=LEN(ReferenceData!$U$491),"",ReferenceData!$U$491),"")</f>
        <v>2485.9855670000002</v>
      </c>
      <c r="V491">
        <f ca="1">IFERROR(IF(0=LEN(ReferenceData!$V$491),"",ReferenceData!$V$491),"")</f>
        <v>2163.253076</v>
      </c>
      <c r="W491">
        <f ca="1">IFERROR(IF(0=LEN(ReferenceData!$W$491),"",ReferenceData!$W$491),"")</f>
        <v>1698.633988</v>
      </c>
      <c r="X491">
        <f ca="1">IFERROR(IF(0=LEN(ReferenceData!$X$491),"",ReferenceData!$X$491),"")</f>
        <v>1260.401136</v>
      </c>
      <c r="Y491">
        <f ca="1">IFERROR(IF(0=LEN(ReferenceData!$Y$491),"",ReferenceData!$Y$491),"")</f>
        <v>917.889726</v>
      </c>
      <c r="Z491">
        <f ca="1">IFERROR(IF(0=LEN(ReferenceData!$Z$491),"",ReferenceData!$Z$491),"")</f>
        <v>964.51789210000004</v>
      </c>
      <c r="AA491">
        <f ca="1">IFERROR(IF(0=LEN(ReferenceData!$AA$491),"",ReferenceData!$AA$491),"")</f>
        <v>943.54688699999997</v>
      </c>
      <c r="AB491">
        <f ca="1">IFERROR(IF(0=LEN(ReferenceData!$AB$491),"",ReferenceData!$AB$491),"")</f>
        <v>966.78795830000001</v>
      </c>
      <c r="AC491">
        <f ca="1">IFERROR(IF(0=LEN(ReferenceData!$AC$491),"",ReferenceData!$AC$491),"")</f>
        <v>935.64694020000002</v>
      </c>
      <c r="AD491">
        <f ca="1">IFERROR(IF(0=LEN(ReferenceData!$AD$491),"",ReferenceData!$AD$491),"")</f>
        <v>1127.522001</v>
      </c>
      <c r="AE491">
        <f ca="1">IFERROR(IF(0=LEN(ReferenceData!$AE$491),"",ReferenceData!$AE$491),"")</f>
        <v>1274.092425</v>
      </c>
      <c r="AF491">
        <f ca="1">IFERROR(IF(0=LEN(ReferenceData!$AF$491),"",ReferenceData!$AF$491),"")</f>
        <v>1223.1917080000001</v>
      </c>
      <c r="AG491">
        <f ca="1">IFERROR(IF(0=LEN(ReferenceData!$AG$491),"",ReferenceData!$AG$491),"")</f>
        <v>1839.8805769999999</v>
      </c>
      <c r="AH491">
        <f ca="1">IFERROR(IF(0=LEN(ReferenceData!$AH$491),"",ReferenceData!$AH$491),"")</f>
        <v>1671.5060599999999</v>
      </c>
      <c r="AI491">
        <f ca="1">IFERROR(IF(0=LEN(ReferenceData!$AI$491),"",ReferenceData!$AI$491),"")</f>
        <v>1547.139203</v>
      </c>
      <c r="AJ491">
        <f ca="1">IFERROR(IF(0=LEN(ReferenceData!$AJ$491),"",ReferenceData!$AJ$491),"")</f>
        <v>1834.337583</v>
      </c>
      <c r="AK491">
        <f ca="1">IFERROR(IF(0=LEN(ReferenceData!$AK$491),"",ReferenceData!$AK$491),"")</f>
        <v>1742.2806800000001</v>
      </c>
      <c r="AL491">
        <f ca="1">IFERROR(IF(0=LEN(ReferenceData!$AL$491),"",ReferenceData!$AL$491),"")</f>
        <v>1919.4850730000001</v>
      </c>
      <c r="AM491">
        <f ca="1">IFERROR(IF(0=LEN(ReferenceData!$AM$491),"",ReferenceData!$AM$491),"")</f>
        <v>1972.8721880000001</v>
      </c>
      <c r="AN491">
        <f ca="1">IFERROR(IF(0=LEN(ReferenceData!$AN$491),"",ReferenceData!$AN$491),"")</f>
        <v>1905.1479609999999</v>
      </c>
      <c r="AO491">
        <f ca="1">IFERROR(IF(0=LEN(ReferenceData!$AO$491),"",ReferenceData!$AO$491),"")</f>
        <v>1818.311062</v>
      </c>
      <c r="AP491">
        <f ca="1">IFERROR(IF(0=LEN(ReferenceData!$AP$491),"",ReferenceData!$AP$491),"")</f>
        <v>2278.319199</v>
      </c>
      <c r="AQ491">
        <f ca="1">IFERROR(IF(0=LEN(ReferenceData!$AQ$491),"",ReferenceData!$AQ$491),"")</f>
        <v>2780.4734090000002</v>
      </c>
      <c r="AR491">
        <f ca="1">IFERROR(IF(0=LEN(ReferenceData!$AR$491),"",ReferenceData!$AR$491),"")</f>
        <v>1584.3546590000001</v>
      </c>
      <c r="AS491">
        <f ca="1">IFERROR(IF(0=LEN(ReferenceData!$AS$491),"",ReferenceData!$AS$491),"")</f>
        <v>1632.3754180000001</v>
      </c>
      <c r="AT491">
        <f ca="1">IFERROR(IF(0=LEN(ReferenceData!$AT$491),"",ReferenceData!$AT$491),"")</f>
        <v>1164.817742</v>
      </c>
      <c r="AU491">
        <f ca="1">IFERROR(IF(0=LEN(ReferenceData!$AU$491),"",ReferenceData!$AU$491),"")</f>
        <v>890.42529739999998</v>
      </c>
      <c r="AV491">
        <f ca="1">IFERROR(IF(0=LEN(ReferenceData!$AV$491),"",ReferenceData!$AV$491),"")</f>
        <v>829.20425729999999</v>
      </c>
      <c r="AW491">
        <f ca="1">IFERROR(IF(0=LEN(ReferenceData!$AW$491),"",ReferenceData!$AW$491),"")</f>
        <v>977.44688510000003</v>
      </c>
      <c r="AX491">
        <f ca="1">IFERROR(IF(0=LEN(ReferenceData!$AX$491),"",ReferenceData!$AX$491),"")</f>
        <v>1797.1824509999999</v>
      </c>
      <c r="AY491">
        <f ca="1">IFERROR(IF(0=LEN(ReferenceData!$AY$491),"",ReferenceData!$AY$491),"")</f>
        <v>3166.7098799999999</v>
      </c>
      <c r="AZ491">
        <f ca="1">IFERROR(IF(0=LEN(ReferenceData!$AZ$491),"",ReferenceData!$AZ$491),"")</f>
        <v>3506.522125</v>
      </c>
      <c r="BA491">
        <f ca="1">IFERROR(IF(0=LEN(ReferenceData!$BA$491),"",ReferenceData!$BA$491),"")</f>
        <v>1751.644718</v>
      </c>
      <c r="BB491">
        <f ca="1">IFERROR(IF(0=LEN(ReferenceData!$BB$491),"",ReferenceData!$BB$491),"")</f>
        <v>2064.6777689999999</v>
      </c>
      <c r="BC491">
        <f ca="1">IFERROR(IF(0=LEN(ReferenceData!$BC$491),"",ReferenceData!$BC$491),"")</f>
        <v>1101.583136</v>
      </c>
      <c r="BD491">
        <f ca="1">IFERROR(IF(0=LEN(ReferenceData!$BD$491),"",ReferenceData!$BD$491),"")</f>
        <v>766.89897229999997</v>
      </c>
      <c r="BE491">
        <f ca="1">IFERROR(IF(0=LEN(ReferenceData!$BE$491),"",ReferenceData!$BE$491),"")</f>
        <v>1300.990542</v>
      </c>
      <c r="BF491">
        <f ca="1">IFERROR(IF(0=LEN(ReferenceData!$BF$491),"",ReferenceData!$BF$491),"")</f>
        <v>913.26529230000006</v>
      </c>
      <c r="BG491">
        <f ca="1">IFERROR(IF(0=LEN(ReferenceData!$BG$491),"",ReferenceData!$BG$491),"")</f>
        <v>796.5788976</v>
      </c>
      <c r="BH491">
        <f ca="1">IFERROR(IF(0=LEN(ReferenceData!$BH$491),"",ReferenceData!$BH$491),"")</f>
        <v>794.43095370000003</v>
      </c>
      <c r="BI491">
        <f ca="1">IFERROR(IF(0=LEN(ReferenceData!$BI$491),"",ReferenceData!$BI$491),"")</f>
        <v>533.88200449999999</v>
      </c>
      <c r="BJ491">
        <f ca="1">IFERROR(IF(0=LEN(ReferenceData!$BJ$491),"",ReferenceData!$BJ$491),"")</f>
        <v>452.93238650000001</v>
      </c>
      <c r="BK491">
        <f ca="1">IFERROR(IF(0=LEN(ReferenceData!$BK$491),"",ReferenceData!$BK$491),"")</f>
        <v>526.16615960000001</v>
      </c>
      <c r="BL491">
        <f ca="1">IFERROR(IF(0=LEN(ReferenceData!$BL$491),"",ReferenceData!$BL$491),"")</f>
        <v>817.19579369999997</v>
      </c>
      <c r="BM491">
        <f ca="1">IFERROR(IF(0=LEN(ReferenceData!$BM$491),"",ReferenceData!$BM$491),"")</f>
        <v>1060.0417130000001</v>
      </c>
    </row>
    <row r="492" spans="1:65" x14ac:dyDescent="0.25">
      <c r="A492" t="str">
        <f>IFERROR(IF(0=LEN(ReferenceData!$A$492),"",ReferenceData!$A$492),"")</f>
        <v xml:space="preserve">    Tofas Turk Otomobil Fabrikasi AS</v>
      </c>
      <c r="B492" t="str">
        <f>IFERROR(IF(0=LEN(ReferenceData!$B$492),"",ReferenceData!$B$492),"")</f>
        <v>TOASOTRY EO Equity</v>
      </c>
      <c r="C492" t="str">
        <f>IFERROR(IF(0=LEN(ReferenceData!$C$492),"",ReferenceData!$C$492),"")</f>
        <v>RR902</v>
      </c>
      <c r="D492" t="str">
        <f>IFERROR(IF(0=LEN(ReferenceData!$D$492),"",ReferenceData!$D$492),"")</f>
        <v>CUR_MKT_CAP</v>
      </c>
      <c r="E492" t="str">
        <f>IFERROR(IF(0=LEN(ReferenceData!$E$492),"",ReferenceData!$E$492),"")</f>
        <v>Dynamic</v>
      </c>
      <c r="F492" t="str">
        <f ca="1">IFERROR(IF(0=LEN(ReferenceData!$F$492),"",ReferenceData!$F$492),"")</f>
        <v/>
      </c>
      <c r="G492" t="str">
        <f ca="1">IFERROR(IF(0=LEN(ReferenceData!$G$492),"",ReferenceData!$G$492),"")</f>
        <v/>
      </c>
      <c r="H492" t="str">
        <f ca="1">IFERROR(IF(0=LEN(ReferenceData!$H$492),"",ReferenceData!$H$492),"")</f>
        <v/>
      </c>
      <c r="I492" t="str">
        <f ca="1">IFERROR(IF(0=LEN(ReferenceData!$I$492),"",ReferenceData!$I$492),"")</f>
        <v/>
      </c>
      <c r="J492" t="str">
        <f ca="1">IFERROR(IF(0=LEN(ReferenceData!$J$492),"",ReferenceData!$J$492),"")</f>
        <v/>
      </c>
      <c r="K492" t="str">
        <f ca="1">IFERROR(IF(0=LEN(ReferenceData!$K$492),"",ReferenceData!$K$492),"")</f>
        <v/>
      </c>
      <c r="L492" t="str">
        <f ca="1">IFERROR(IF(0=LEN(ReferenceData!$L$492),"",ReferenceData!$L$492),"")</f>
        <v/>
      </c>
      <c r="M492" t="str">
        <f ca="1">IFERROR(IF(0=LEN(ReferenceData!$M$492),"",ReferenceData!$M$492),"")</f>
        <v/>
      </c>
      <c r="N492" t="str">
        <f ca="1">IFERROR(IF(0=LEN(ReferenceData!$N$492),"",ReferenceData!$N$492),"")</f>
        <v/>
      </c>
      <c r="O492" t="str">
        <f ca="1">IFERROR(IF(0=LEN(ReferenceData!$O$492),"",ReferenceData!$O$492),"")</f>
        <v/>
      </c>
      <c r="P492" t="str">
        <f ca="1">IFERROR(IF(0=LEN(ReferenceData!$P$492),"",ReferenceData!$P$492),"")</f>
        <v/>
      </c>
      <c r="Q492" t="str">
        <f ca="1">IFERROR(IF(0=LEN(ReferenceData!$Q$492),"",ReferenceData!$Q$492),"")</f>
        <v/>
      </c>
      <c r="R492" t="str">
        <f ca="1">IFERROR(IF(0=LEN(ReferenceData!$R$492),"",ReferenceData!$R$492),"")</f>
        <v/>
      </c>
      <c r="S492" t="str">
        <f ca="1">IFERROR(IF(0=LEN(ReferenceData!$S$492),"",ReferenceData!$S$492),"")</f>
        <v/>
      </c>
      <c r="T492" t="str">
        <f ca="1">IFERROR(IF(0=LEN(ReferenceData!$T$492),"",ReferenceData!$T$492),"")</f>
        <v/>
      </c>
      <c r="U492" t="str">
        <f ca="1">IFERROR(IF(0=LEN(ReferenceData!$U$492),"",ReferenceData!$U$492),"")</f>
        <v/>
      </c>
      <c r="V492" t="str">
        <f ca="1">IFERROR(IF(0=LEN(ReferenceData!$V$492),"",ReferenceData!$V$492),"")</f>
        <v/>
      </c>
      <c r="W492" t="str">
        <f ca="1">IFERROR(IF(0=LEN(ReferenceData!$W$492),"",ReferenceData!$W$492),"")</f>
        <v/>
      </c>
      <c r="X492" t="str">
        <f ca="1">IFERROR(IF(0=LEN(ReferenceData!$X$492),"",ReferenceData!$X$492),"")</f>
        <v/>
      </c>
      <c r="Y492" t="str">
        <f ca="1">IFERROR(IF(0=LEN(ReferenceData!$Y$492),"",ReferenceData!$Y$492),"")</f>
        <v/>
      </c>
      <c r="Z492" t="str">
        <f ca="1">IFERROR(IF(0=LEN(ReferenceData!$Z$492),"",ReferenceData!$Z$492),"")</f>
        <v/>
      </c>
      <c r="AA492" t="str">
        <f ca="1">IFERROR(IF(0=LEN(ReferenceData!$AA$492),"",ReferenceData!$AA$492),"")</f>
        <v/>
      </c>
      <c r="AB492" t="str">
        <f ca="1">IFERROR(IF(0=LEN(ReferenceData!$AB$492),"",ReferenceData!$AB$492),"")</f>
        <v/>
      </c>
      <c r="AC492" t="str">
        <f ca="1">IFERROR(IF(0=LEN(ReferenceData!$AC$492),"",ReferenceData!$AC$492),"")</f>
        <v/>
      </c>
      <c r="AD492" t="str">
        <f ca="1">IFERROR(IF(0=LEN(ReferenceData!$AD$492),"",ReferenceData!$AD$492),"")</f>
        <v/>
      </c>
      <c r="AE492" t="str">
        <f ca="1">IFERROR(IF(0=LEN(ReferenceData!$AE$492),"",ReferenceData!$AE$492),"")</f>
        <v/>
      </c>
      <c r="AF492" t="str">
        <f ca="1">IFERROR(IF(0=LEN(ReferenceData!$AF$492),"",ReferenceData!$AF$492),"")</f>
        <v/>
      </c>
      <c r="AG492" t="str">
        <f ca="1">IFERROR(IF(0=LEN(ReferenceData!$AG$492),"",ReferenceData!$AG$492),"")</f>
        <v/>
      </c>
      <c r="AH492" t="str">
        <f ca="1">IFERROR(IF(0=LEN(ReferenceData!$AH$492),"",ReferenceData!$AH$492),"")</f>
        <v/>
      </c>
      <c r="AI492" t="str">
        <f ca="1">IFERROR(IF(0=LEN(ReferenceData!$AI$492),"",ReferenceData!$AI$492),"")</f>
        <v/>
      </c>
      <c r="AJ492" t="str">
        <f ca="1">IFERROR(IF(0=LEN(ReferenceData!$AJ$492),"",ReferenceData!$AJ$492),"")</f>
        <v/>
      </c>
      <c r="AK492" t="str">
        <f ca="1">IFERROR(IF(0=LEN(ReferenceData!$AK$492),"",ReferenceData!$AK$492),"")</f>
        <v/>
      </c>
      <c r="AL492" t="str">
        <f ca="1">IFERROR(IF(0=LEN(ReferenceData!$AL$492),"",ReferenceData!$AL$492),"")</f>
        <v/>
      </c>
      <c r="AM492" t="str">
        <f ca="1">IFERROR(IF(0=LEN(ReferenceData!$AM$492),"",ReferenceData!$AM$492),"")</f>
        <v/>
      </c>
      <c r="AN492" t="str">
        <f ca="1">IFERROR(IF(0=LEN(ReferenceData!$AN$492),"",ReferenceData!$AN$492),"")</f>
        <v/>
      </c>
      <c r="AO492" t="str">
        <f ca="1">IFERROR(IF(0=LEN(ReferenceData!$AO$492),"",ReferenceData!$AO$492),"")</f>
        <v/>
      </c>
      <c r="AP492" t="str">
        <f ca="1">IFERROR(IF(0=LEN(ReferenceData!$AP$492),"",ReferenceData!$AP$492),"")</f>
        <v/>
      </c>
      <c r="AQ492" t="str">
        <f ca="1">IFERROR(IF(0=LEN(ReferenceData!$AQ$492),"",ReferenceData!$AQ$492),"")</f>
        <v/>
      </c>
      <c r="AR492" t="str">
        <f ca="1">IFERROR(IF(0=LEN(ReferenceData!$AR$492),"",ReferenceData!$AR$492),"")</f>
        <v/>
      </c>
      <c r="AS492" t="str">
        <f ca="1">IFERROR(IF(0=LEN(ReferenceData!$AS$492),"",ReferenceData!$AS$492),"")</f>
        <v/>
      </c>
      <c r="AT492" t="str">
        <f ca="1">IFERROR(IF(0=LEN(ReferenceData!$AT$492),"",ReferenceData!$AT$492),"")</f>
        <v/>
      </c>
      <c r="AU492" t="str">
        <f ca="1">IFERROR(IF(0=LEN(ReferenceData!$AU$492),"",ReferenceData!$AU$492),"")</f>
        <v/>
      </c>
      <c r="AV492" t="str">
        <f ca="1">IFERROR(IF(0=LEN(ReferenceData!$AV$492),"",ReferenceData!$AV$492),"")</f>
        <v/>
      </c>
      <c r="AW492" t="str">
        <f ca="1">IFERROR(IF(0=LEN(ReferenceData!$AW$492),"",ReferenceData!$AW$492),"")</f>
        <v/>
      </c>
      <c r="AX492" t="str">
        <f ca="1">IFERROR(IF(0=LEN(ReferenceData!$AX$492),"",ReferenceData!$AX$492),"")</f>
        <v/>
      </c>
      <c r="AY492" t="str">
        <f ca="1">IFERROR(IF(0=LEN(ReferenceData!$AY$492),"",ReferenceData!$AY$492),"")</f>
        <v/>
      </c>
      <c r="AZ492" t="str">
        <f ca="1">IFERROR(IF(0=LEN(ReferenceData!$AZ$492),"",ReferenceData!$AZ$492),"")</f>
        <v/>
      </c>
      <c r="BA492" t="str">
        <f ca="1">IFERROR(IF(0=LEN(ReferenceData!$BA$492),"",ReferenceData!$BA$492),"")</f>
        <v/>
      </c>
      <c r="BB492" t="str">
        <f ca="1">IFERROR(IF(0=LEN(ReferenceData!$BB$492),"",ReferenceData!$BB$492),"")</f>
        <v/>
      </c>
      <c r="BC492" t="str">
        <f ca="1">IFERROR(IF(0=LEN(ReferenceData!$BC$492),"",ReferenceData!$BC$492),"")</f>
        <v/>
      </c>
      <c r="BD492" t="str">
        <f ca="1">IFERROR(IF(0=LEN(ReferenceData!$BD$492),"",ReferenceData!$BD$492),"")</f>
        <v/>
      </c>
      <c r="BE492" t="str">
        <f ca="1">IFERROR(IF(0=LEN(ReferenceData!$BE$492),"",ReferenceData!$BE$492),"")</f>
        <v/>
      </c>
      <c r="BF492" t="str">
        <f ca="1">IFERROR(IF(0=LEN(ReferenceData!$BF$492),"",ReferenceData!$BF$492),"")</f>
        <v/>
      </c>
      <c r="BG492" t="str">
        <f ca="1">IFERROR(IF(0=LEN(ReferenceData!$BG$492),"",ReferenceData!$BG$492),"")</f>
        <v/>
      </c>
      <c r="BH492" t="str">
        <f ca="1">IFERROR(IF(0=LEN(ReferenceData!$BH$492),"",ReferenceData!$BH$492),"")</f>
        <v/>
      </c>
      <c r="BI492" t="str">
        <f ca="1">IFERROR(IF(0=LEN(ReferenceData!$BI$492),"",ReferenceData!$BI$492),"")</f>
        <v/>
      </c>
      <c r="BJ492" t="str">
        <f ca="1">IFERROR(IF(0=LEN(ReferenceData!$BJ$492),"",ReferenceData!$BJ$492),"")</f>
        <v/>
      </c>
      <c r="BK492" t="str">
        <f ca="1">IFERROR(IF(0=LEN(ReferenceData!$BK$492),"",ReferenceData!$BK$492),"")</f>
        <v/>
      </c>
      <c r="BL492" t="str">
        <f ca="1">IFERROR(IF(0=LEN(ReferenceData!$BL$492),"",ReferenceData!$BL$492),"")</f>
        <v/>
      </c>
      <c r="BM492" t="str">
        <f ca="1">IFERROR(IF(0=LEN(ReferenceData!$BM$492),"",ReferenceData!$BM$492),"")</f>
        <v/>
      </c>
    </row>
    <row r="493" spans="1:65" x14ac:dyDescent="0.25">
      <c r="A493" t="str">
        <f>IFERROR(IF(0=LEN(ReferenceData!$A$493),"",ReferenceData!$A$493),"")</f>
        <v xml:space="preserve">    Toyota Motor Corp</v>
      </c>
      <c r="B493" t="str">
        <f>IFERROR(IF(0=LEN(ReferenceData!$B$493),"",ReferenceData!$B$493),"")</f>
        <v>7203 JP Equity</v>
      </c>
      <c r="C493" t="str">
        <f>IFERROR(IF(0=LEN(ReferenceData!$C$493),"",ReferenceData!$C$493),"")</f>
        <v>RR902</v>
      </c>
      <c r="D493" t="str">
        <f>IFERROR(IF(0=LEN(ReferenceData!$D$493),"",ReferenceData!$D$493),"")</f>
        <v>CUR_MKT_CAP</v>
      </c>
      <c r="E493" t="str">
        <f>IFERROR(IF(0=LEN(ReferenceData!$E$493),"",ReferenceData!$E$493),"")</f>
        <v>Dynamic</v>
      </c>
      <c r="F493">
        <f ca="1">IFERROR(IF(0=LEN(ReferenceData!$F$493),"",ReferenceData!$F$493),"")</f>
        <v>198293.9333</v>
      </c>
      <c r="G493">
        <f ca="1">IFERROR(IF(0=LEN(ReferenceData!$G$493),"",ReferenceData!$G$493),"")</f>
        <v>189319.4632</v>
      </c>
      <c r="H493">
        <f ca="1">IFERROR(IF(0=LEN(ReferenceData!$H$493),"",ReferenceData!$H$493),"")</f>
        <v>203973.27929999999</v>
      </c>
      <c r="I493">
        <f ca="1">IFERROR(IF(0=LEN(ReferenceData!$I$493),"",ReferenceData!$I$493),"")</f>
        <v>211190.57610000001</v>
      </c>
      <c r="J493">
        <f ca="1">IFERROR(IF(0=LEN(ReferenceData!$J$493),"",ReferenceData!$J$493),"")</f>
        <v>209658.8014</v>
      </c>
      <c r="K493">
        <f ca="1">IFERROR(IF(0=LEN(ReferenceData!$K$493),"",ReferenceData!$K$493),"")</f>
        <v>209060.23190000001</v>
      </c>
      <c r="L493">
        <f ca="1">IFERROR(IF(0=LEN(ReferenceData!$L$493),"",ReferenceData!$L$493),"")</f>
        <v>194412.29949999999</v>
      </c>
      <c r="M493">
        <f ca="1">IFERROR(IF(0=LEN(ReferenceData!$M$493),"",ReferenceData!$M$493),"")</f>
        <v>171151.26490000001</v>
      </c>
      <c r="N493">
        <f ca="1">IFERROR(IF(0=LEN(ReferenceData!$N$493),"",ReferenceData!$N$493),"")</f>
        <v>177118.2396</v>
      </c>
      <c r="O493">
        <f ca="1">IFERROR(IF(0=LEN(ReferenceData!$O$493),"",ReferenceData!$O$493),"")</f>
        <v>192411.67019999999</v>
      </c>
      <c r="P493">
        <f ca="1">IFERROR(IF(0=LEN(ReferenceData!$P$493),"",ReferenceData!$P$493),"")</f>
        <v>190183.25829999999</v>
      </c>
      <c r="Q493">
        <f ca="1">IFERROR(IF(0=LEN(ReferenceData!$Q$493),"",ReferenceData!$Q$493),"")</f>
        <v>163422.4602</v>
      </c>
      <c r="R493">
        <f ca="1">IFERROR(IF(0=LEN(ReferenceData!$R$493),"",ReferenceData!$R$493),"")</f>
        <v>176602.3242</v>
      </c>
      <c r="S493">
        <f ca="1">IFERROR(IF(0=LEN(ReferenceData!$S$493),"",ReferenceData!$S$493),"")</f>
        <v>207237.58989999999</v>
      </c>
      <c r="T493">
        <f ca="1">IFERROR(IF(0=LEN(ReferenceData!$T$493),"",ReferenceData!$T$493),"")</f>
        <v>199104.71280000001</v>
      </c>
      <c r="U493">
        <f ca="1">IFERROR(IF(0=LEN(ReferenceData!$U$493),"",ReferenceData!$U$493),"")</f>
        <v>229592.48259999999</v>
      </c>
      <c r="V493">
        <f ca="1">IFERROR(IF(0=LEN(ReferenceData!$V$493),"",ReferenceData!$V$493),"")</f>
        <v>238875.1441</v>
      </c>
      <c r="W493">
        <f ca="1">IFERROR(IF(0=LEN(ReferenceData!$W$493),"",ReferenceData!$W$493),"")</f>
        <v>216250.00459999999</v>
      </c>
      <c r="X493">
        <f ca="1">IFERROR(IF(0=LEN(ReferenceData!$X$493),"",ReferenceData!$X$493),"")</f>
        <v>201445.5428</v>
      </c>
      <c r="Y493">
        <f ca="1">IFERROR(IF(0=LEN(ReferenceData!$Y$493),"",ReferenceData!$Y$493),"")</f>
        <v>205302.56830000001</v>
      </c>
      <c r="Z493">
        <f ca="1">IFERROR(IF(0=LEN(ReferenceData!$Z$493),"",ReferenceData!$Z$493),"")</f>
        <v>194896.9999</v>
      </c>
      <c r="AA493">
        <f ca="1">IFERROR(IF(0=LEN(ReferenceData!$AA$493),"",ReferenceData!$AA$493),"")</f>
        <v>210659.91940000001</v>
      </c>
      <c r="AB493">
        <f ca="1">IFERROR(IF(0=LEN(ReferenceData!$AB$493),"",ReferenceData!$AB$493),"")</f>
        <v>220129.76980000001</v>
      </c>
      <c r="AC493">
        <f ca="1">IFERROR(IF(0=LEN(ReferenceData!$AC$493),"",ReferenceData!$AC$493),"")</f>
        <v>207928.17249999999</v>
      </c>
      <c r="AD493">
        <f ca="1">IFERROR(IF(0=LEN(ReferenceData!$AD$493),"",ReferenceData!$AD$493),"")</f>
        <v>177852.55929999999</v>
      </c>
      <c r="AE493">
        <f ca="1">IFERROR(IF(0=LEN(ReferenceData!$AE$493),"",ReferenceData!$AE$493),"")</f>
        <v>160423.21350000001</v>
      </c>
      <c r="AF493">
        <f ca="1">IFERROR(IF(0=LEN(ReferenceData!$AF$493),"",ReferenceData!$AF$493),"")</f>
        <v>134521.46530000001</v>
      </c>
      <c r="AG493">
        <f ca="1">IFERROR(IF(0=LEN(ReferenceData!$AG$493),"",ReferenceData!$AG$493),"")</f>
        <v>137833.48639999999</v>
      </c>
      <c r="AH493">
        <f ca="1">IFERROR(IF(0=LEN(ReferenceData!$AH$493),"",ReferenceData!$AH$493),"")</f>
        <v>148969.51809999999</v>
      </c>
      <c r="AI493">
        <f ca="1">IFERROR(IF(0=LEN(ReferenceData!$AI$493),"",ReferenceData!$AI$493),"")</f>
        <v>114873.5386</v>
      </c>
      <c r="AJ493">
        <f ca="1">IFERROR(IF(0=LEN(ReferenceData!$AJ$493),"",ReferenceData!$AJ$493),"")</f>
        <v>120148.00930000001</v>
      </c>
      <c r="AK493">
        <f ca="1">IFERROR(IF(0=LEN(ReferenceData!$AK$493),"",ReferenceData!$AK$493),"")</f>
        <v>139101.1925</v>
      </c>
      <c r="AL493">
        <f ca="1">IFERROR(IF(0=LEN(ReferenceData!$AL$493),"",ReferenceData!$AL$493),"")</f>
        <v>139451.79070000001</v>
      </c>
      <c r="AM493">
        <f ca="1">IFERROR(IF(0=LEN(ReferenceData!$AM$493),"",ReferenceData!$AM$493),"")</f>
        <v>135827.65030000001</v>
      </c>
      <c r="AN493">
        <f ca="1">IFERROR(IF(0=LEN(ReferenceData!$AN$493),"",ReferenceData!$AN$493),"")</f>
        <v>123856.8977</v>
      </c>
      <c r="AO493">
        <f ca="1">IFERROR(IF(0=LEN(ReferenceData!$AO$493),"",ReferenceData!$AO$493),"")</f>
        <v>119889.7322</v>
      </c>
      <c r="AP493">
        <f ca="1">IFERROR(IF(0=LEN(ReferenceData!$AP$493),"",ReferenceData!$AP$493),"")</f>
        <v>138192.96720000001</v>
      </c>
      <c r="AQ493">
        <f ca="1">IFERROR(IF(0=LEN(ReferenceData!$AQ$493),"",ReferenceData!$AQ$493),"")</f>
        <v>144817.3904</v>
      </c>
      <c r="AR493">
        <f ca="1">IFERROR(IF(0=LEN(ReferenceData!$AR$493),"",ReferenceData!$AR$493),"")</f>
        <v>137258.6004</v>
      </c>
      <c r="AS493">
        <f ca="1">IFERROR(IF(0=LEN(ReferenceData!$AS$493),"",ReferenceData!$AS$493),"")</f>
        <v>131376.15280000001</v>
      </c>
      <c r="AT493">
        <f ca="1">IFERROR(IF(0=LEN(ReferenceData!$AT$493),"",ReferenceData!$AT$493),"")</f>
        <v>108281.3526</v>
      </c>
      <c r="AU493">
        <f ca="1">IFERROR(IF(0=LEN(ReferenceData!$AU$493),"",ReferenceData!$AU$493),"")</f>
        <v>108978.5567</v>
      </c>
      <c r="AV493">
        <f ca="1">IFERROR(IF(0=LEN(ReferenceData!$AV$493),"",ReferenceData!$AV$493),"")</f>
        <v>142218.9406</v>
      </c>
      <c r="AW493">
        <f ca="1">IFERROR(IF(0=LEN(ReferenceData!$AW$493),"",ReferenceData!$AW$493),"")</f>
        <v>162675.08960000001</v>
      </c>
      <c r="AX493">
        <f ca="1">IFERROR(IF(0=LEN(ReferenceData!$AX$493),"",ReferenceData!$AX$493),"")</f>
        <v>171605.7267</v>
      </c>
      <c r="AY493">
        <f ca="1">IFERROR(IF(0=LEN(ReferenceData!$AY$493),"",ReferenceData!$AY$493),"")</f>
        <v>193301.28769999999</v>
      </c>
      <c r="AZ493">
        <f ca="1">IFERROR(IF(0=LEN(ReferenceData!$AZ$493),"",ReferenceData!$AZ$493),"")</f>
        <v>213203.68859999999</v>
      </c>
      <c r="BA493">
        <f ca="1">IFERROR(IF(0=LEN(ReferenceData!$BA$493),"",ReferenceData!$BA$493),"")</f>
        <v>228443.78510000001</v>
      </c>
      <c r="BB493">
        <f ca="1">IFERROR(IF(0=LEN(ReferenceData!$BB$493),"",ReferenceData!$BB$493),"")</f>
        <v>231784.0086</v>
      </c>
      <c r="BC493">
        <f ca="1">IFERROR(IF(0=LEN(ReferenceData!$BC$493),"",ReferenceData!$BC$493),"")</f>
        <v>241313.2396</v>
      </c>
      <c r="BD493">
        <f ca="1">IFERROR(IF(0=LEN(ReferenceData!$BD$493),"",ReferenceData!$BD$493),"")</f>
        <v>196375.05780000001</v>
      </c>
      <c r="BE493">
        <f ca="1">IFERROR(IF(0=LEN(ReferenceData!$BE$493),"",ReferenceData!$BE$493),"")</f>
        <v>188904.38870000001</v>
      </c>
      <c r="BF493">
        <f ca="1">IFERROR(IF(0=LEN(ReferenceData!$BF$493),"",ReferenceData!$BF$493),"")</f>
        <v>197551.35579999999</v>
      </c>
      <c r="BG493">
        <f ca="1">IFERROR(IF(0=LEN(ReferenceData!$BG$493),"",ReferenceData!$BG$493),"")</f>
        <v>187277.99489999999</v>
      </c>
      <c r="BH493">
        <f ca="1">IFERROR(IF(0=LEN(ReferenceData!$BH$493),"",ReferenceData!$BH$493),"")</f>
        <v>165304.573</v>
      </c>
      <c r="BI493">
        <f ca="1">IFERROR(IF(0=LEN(ReferenceData!$BI$493),"",ReferenceData!$BI$493),"")</f>
        <v>129195.80190000001</v>
      </c>
      <c r="BJ493">
        <f ca="1">IFERROR(IF(0=LEN(ReferenceData!$BJ$493),"",ReferenceData!$BJ$493),"")</f>
        <v>134364.6661</v>
      </c>
      <c r="BK493">
        <f ca="1">IFERROR(IF(0=LEN(ReferenceData!$BK$493),"",ReferenceData!$BK$493),"")</f>
        <v>146081.43479999999</v>
      </c>
      <c r="BL493">
        <f ca="1">IFERROR(IF(0=LEN(ReferenceData!$BL$493),"",ReferenceData!$BL$493),"")</f>
        <v>138580.84020000001</v>
      </c>
      <c r="BM493">
        <f ca="1">IFERROR(IF(0=LEN(ReferenceData!$BM$493),"",ReferenceData!$BM$493),"")</f>
        <v>145891.84760000001</v>
      </c>
    </row>
    <row r="494" spans="1:65" x14ac:dyDescent="0.25">
      <c r="A494" t="str">
        <f>IFERROR(IF(0=LEN(ReferenceData!$A$494),"",ReferenceData!$A$494),"")</f>
        <v xml:space="preserve">    Volkswagen AG</v>
      </c>
      <c r="B494" t="str">
        <f>IFERROR(IF(0=LEN(ReferenceData!$B$494),"",ReferenceData!$B$494),"")</f>
        <v>VOW GR Equity</v>
      </c>
      <c r="C494" t="str">
        <f>IFERROR(IF(0=LEN(ReferenceData!$C$494),"",ReferenceData!$C$494),"")</f>
        <v>RR902</v>
      </c>
      <c r="D494" t="str">
        <f>IFERROR(IF(0=LEN(ReferenceData!$D$494),"",ReferenceData!$D$494),"")</f>
        <v>CUR_MKT_CAP</v>
      </c>
      <c r="E494" t="str">
        <f>IFERROR(IF(0=LEN(ReferenceData!$E$494),"",ReferenceData!$E$494),"")</f>
        <v>Dynamic</v>
      </c>
      <c r="F494">
        <f ca="1">IFERROR(IF(0=LEN(ReferenceData!$F$494),"",ReferenceData!$F$494),"")</f>
        <v>85018.961370000005</v>
      </c>
      <c r="G494">
        <f ca="1">IFERROR(IF(0=LEN(ReferenceData!$G$494),"",ReferenceData!$G$494),"")</f>
        <v>79735.823199999999</v>
      </c>
      <c r="H494">
        <f ca="1">IFERROR(IF(0=LEN(ReferenceData!$H$494),"",ReferenceData!$H$494),"")</f>
        <v>87330.232650000005</v>
      </c>
      <c r="I494">
        <f ca="1">IFERROR(IF(0=LEN(ReferenceData!$I$494),"",ReferenceData!$I$494),"")</f>
        <v>82901.026549999995</v>
      </c>
      <c r="J494">
        <f ca="1">IFERROR(IF(0=LEN(ReferenceData!$J$494),"",ReferenceData!$J$494),"")</f>
        <v>100040.0518</v>
      </c>
      <c r="K494">
        <f ca="1">IFERROR(IF(0=LEN(ReferenceData!$K$494),"",ReferenceData!$K$494),"")</f>
        <v>101110.4883</v>
      </c>
      <c r="L494">
        <f ca="1">IFERROR(IF(0=LEN(ReferenceData!$L$494),"",ReferenceData!$L$494),"")</f>
        <v>83266.208240000007</v>
      </c>
      <c r="M494">
        <f ca="1">IFERROR(IF(0=LEN(ReferenceData!$M$494),"",ReferenceData!$M$494),"")</f>
        <v>77206.491209999993</v>
      </c>
      <c r="N494">
        <f ca="1">IFERROR(IF(0=LEN(ReferenceData!$N$494),"",ReferenceData!$N$494),"")</f>
        <v>74180.257089999999</v>
      </c>
      <c r="O494">
        <f ca="1">IFERROR(IF(0=LEN(ReferenceData!$O$494),"",ReferenceData!$O$494),"")</f>
        <v>71562.479189999998</v>
      </c>
      <c r="P494">
        <f ca="1">IFERROR(IF(0=LEN(ReferenceData!$P$494),"",ReferenceData!$P$494),"")</f>
        <v>69600.383870000005</v>
      </c>
      <c r="Q494">
        <f ca="1">IFERROR(IF(0=LEN(ReferenceData!$Q$494),"",ReferenceData!$Q$494),"")</f>
        <v>64788.542959999999</v>
      </c>
      <c r="R494">
        <f ca="1">IFERROR(IF(0=LEN(ReferenceData!$R$494),"",ReferenceData!$R$494),"")</f>
        <v>69072.364839999995</v>
      </c>
      <c r="S494">
        <f ca="1">IFERROR(IF(0=LEN(ReferenceData!$S$494),"",ReferenceData!$S$494),"")</f>
        <v>75909.200259999998</v>
      </c>
      <c r="T494">
        <f ca="1">IFERROR(IF(0=LEN(ReferenceData!$T$494),"",ReferenceData!$T$494),"")</f>
        <v>55260.692759999998</v>
      </c>
      <c r="U494">
        <f ca="1">IFERROR(IF(0=LEN(ReferenceData!$U$494),"",ReferenceData!$U$494),"")</f>
        <v>110451.999</v>
      </c>
      <c r="V494">
        <f ca="1">IFERROR(IF(0=LEN(ReferenceData!$V$494),"",ReferenceData!$V$494),"")</f>
        <v>123797.73020000001</v>
      </c>
      <c r="W494">
        <f ca="1">IFERROR(IF(0=LEN(ReferenceData!$W$494),"",ReferenceData!$W$494),"")</f>
        <v>105159.41710000001</v>
      </c>
      <c r="X494">
        <f ca="1">IFERROR(IF(0=LEN(ReferenceData!$X$494),"",ReferenceData!$X$494),"")</f>
        <v>98319.333719999995</v>
      </c>
      <c r="Y494">
        <f ca="1">IFERROR(IF(0=LEN(ReferenceData!$Y$494),"",ReferenceData!$Y$494),"")</f>
        <v>123399.9056</v>
      </c>
      <c r="Z494">
        <f ca="1">IFERROR(IF(0=LEN(ReferenceData!$Z$494),"",ReferenceData!$Z$494),"")</f>
        <v>118881.78200000001</v>
      </c>
      <c r="AA494">
        <f ca="1">IFERROR(IF(0=LEN(ReferenceData!$AA$494),"",ReferenceData!$AA$494),"")</f>
        <v>128117.73</v>
      </c>
      <c r="AB494">
        <f ca="1">IFERROR(IF(0=LEN(ReferenceData!$AB$494),"",ReferenceData!$AB$494),"")</f>
        <v>107124.8556</v>
      </c>
      <c r="AC494">
        <f ca="1">IFERROR(IF(0=LEN(ReferenceData!$AC$494),"",ReferenceData!$AC$494),"")</f>
        <v>91913.945389999993</v>
      </c>
      <c r="AD494">
        <f ca="1">IFERROR(IF(0=LEN(ReferenceData!$AD$494),"",ReferenceData!$AD$494),"")</f>
        <v>89446.911810000005</v>
      </c>
      <c r="AE494">
        <f ca="1">IFERROR(IF(0=LEN(ReferenceData!$AE$494),"",ReferenceData!$AE$494),"")</f>
        <v>102227.1508</v>
      </c>
      <c r="AF494">
        <f ca="1">IFERROR(IF(0=LEN(ReferenceData!$AF$494),"",ReferenceData!$AF$494),"")</f>
        <v>80828.766310000006</v>
      </c>
      <c r="AG494">
        <f ca="1">IFERROR(IF(0=LEN(ReferenceData!$AG$494),"",ReferenceData!$AG$494),"")</f>
        <v>70854.716190000006</v>
      </c>
      <c r="AH494">
        <f ca="1">IFERROR(IF(0=LEN(ReferenceData!$AH$494),"",ReferenceData!$AH$494),"")</f>
        <v>77535.844849999994</v>
      </c>
      <c r="AI494">
        <f ca="1">IFERROR(IF(0=LEN(ReferenceData!$AI$494),"",ReferenceData!$AI$494),"")</f>
        <v>65162.995410000003</v>
      </c>
      <c r="AJ494">
        <f ca="1">IFERROR(IF(0=LEN(ReferenceData!$AJ$494),"",ReferenceData!$AJ$494),"")</f>
        <v>60272.102319999998</v>
      </c>
      <c r="AK494">
        <f ca="1">IFERROR(IF(0=LEN(ReferenceData!$AK$494),"",ReferenceData!$AK$494),"")</f>
        <v>89132.881429999994</v>
      </c>
      <c r="AL494">
        <f ca="1">IFERROR(IF(0=LEN(ReferenceData!$AL$494),"",ReferenceData!$AL$494),"")</f>
        <v>73002.271040000007</v>
      </c>
      <c r="AM494">
        <f ca="1">IFERROR(IF(0=LEN(ReferenceData!$AM$494),"",ReferenceData!$AM$494),"")</f>
        <v>68835.796400000007</v>
      </c>
      <c r="AN494">
        <f ca="1">IFERROR(IF(0=LEN(ReferenceData!$AN$494),"",ReferenceData!$AN$494),"")</f>
        <v>53012.016589999999</v>
      </c>
      <c r="AO494">
        <f ca="1">IFERROR(IF(0=LEN(ReferenceData!$AO$494),"",ReferenceData!$AO$494),"")</f>
        <v>40315.873780000002</v>
      </c>
      <c r="AP494">
        <f ca="1">IFERROR(IF(0=LEN(ReferenceData!$AP$494),"",ReferenceData!$AP$494),"")</f>
        <v>38259.515769999998</v>
      </c>
      <c r="AQ494">
        <f ca="1">IFERROR(IF(0=LEN(ReferenceData!$AQ$494),"",ReferenceData!$AQ$494),"")</f>
        <v>42491.811959999999</v>
      </c>
      <c r="AR494">
        <f ca="1">IFERROR(IF(0=LEN(ReferenceData!$AR$494),"",ReferenceData!$AR$494),"")</f>
        <v>60884.505799999999</v>
      </c>
      <c r="AS494">
        <f ca="1">IFERROR(IF(0=LEN(ReferenceData!$AS$494),"",ReferenceData!$AS$494),"")</f>
        <v>107291.7257</v>
      </c>
      <c r="AT494">
        <f ca="1">IFERROR(IF(0=LEN(ReferenceData!$AT$494),"",ReferenceData!$AT$494),"")</f>
        <v>95653.048949999997</v>
      </c>
      <c r="AU494">
        <f ca="1">IFERROR(IF(0=LEN(ReferenceData!$AU$494),"",ReferenceData!$AU$494),"")</f>
        <v>109708.5903</v>
      </c>
      <c r="AV494">
        <f ca="1">IFERROR(IF(0=LEN(ReferenceData!$AV$494),"",ReferenceData!$AV$494),"")</f>
        <v>128493.0551</v>
      </c>
      <c r="AW494">
        <f ca="1">IFERROR(IF(0=LEN(ReferenceData!$AW$494),"",ReferenceData!$AW$494),"")</f>
        <v>99045.473429999998</v>
      </c>
      <c r="AX494">
        <f ca="1">IFERROR(IF(0=LEN(ReferenceData!$AX$494),"",ReferenceData!$AX$494),"")</f>
        <v>102150.0526</v>
      </c>
      <c r="AY494">
        <f ca="1">IFERROR(IF(0=LEN(ReferenceData!$AY$494),"",ReferenceData!$AY$494),"")</f>
        <v>82312.029479999997</v>
      </c>
      <c r="AZ494">
        <f ca="1">IFERROR(IF(0=LEN(ReferenceData!$AZ$494),"",ReferenceData!$AZ$494),"")</f>
        <v>79549.68806</v>
      </c>
      <c r="BA494">
        <f ca="1">IFERROR(IF(0=LEN(ReferenceData!$BA$494),"",ReferenceData!$BA$494),"")</f>
        <v>56705.968549999998</v>
      </c>
      <c r="BB494">
        <f ca="1">IFERROR(IF(0=LEN(ReferenceData!$BB$494),"",ReferenceData!$BB$494),"")</f>
        <v>54012.817280000003</v>
      </c>
      <c r="BC494">
        <f ca="1">IFERROR(IF(0=LEN(ReferenceData!$BC$494),"",ReferenceData!$BC$494),"")</f>
        <v>40119.599770000001</v>
      </c>
      <c r="BD494">
        <f ca="1">IFERROR(IF(0=LEN(ReferenceData!$BD$494),"",ReferenceData!$BD$494),"")</f>
        <v>30421.001619999999</v>
      </c>
      <c r="BE494">
        <f ca="1">IFERROR(IF(0=LEN(ReferenceData!$BE$494),"",ReferenceData!$BE$494),"")</f>
        <v>24917.040400000002</v>
      </c>
      <c r="BF494">
        <f ca="1">IFERROR(IF(0=LEN(ReferenceData!$BF$494),"",ReferenceData!$BF$494),"")</f>
        <v>29947.574860000001</v>
      </c>
      <c r="BG494">
        <f ca="1">IFERROR(IF(0=LEN(ReferenceData!$BG$494),"",ReferenceData!$BG$494),"")</f>
        <v>21022.837790000001</v>
      </c>
      <c r="BH494">
        <f ca="1">IFERROR(IF(0=LEN(ReferenceData!$BH$494),"",ReferenceData!$BH$494),"")</f>
        <v>24583.69671</v>
      </c>
      <c r="BI494">
        <f ca="1">IFERROR(IF(0=LEN(ReferenceData!$BI$494),"",ReferenceData!$BI$494),"")</f>
        <v>18295.782879999999</v>
      </c>
      <c r="BJ494">
        <f ca="1">IFERROR(IF(0=LEN(ReferenceData!$BJ$494),"",ReferenceData!$BJ$494),"")</f>
        <v>19031.728770000002</v>
      </c>
      <c r="BK494">
        <f ca="1">IFERROR(IF(0=LEN(ReferenceData!$BK$494),"",ReferenceData!$BK$494),"")</f>
        <v>18069.753939999999</v>
      </c>
      <c r="BL494">
        <f ca="1">IFERROR(IF(0=LEN(ReferenceData!$BL$494),"",ReferenceData!$BL$494),"")</f>
        <v>15186.70492</v>
      </c>
      <c r="BM494">
        <f ca="1">IFERROR(IF(0=LEN(ReferenceData!$BM$494),"",ReferenceData!$BM$494),"")</f>
        <v>16572.633170000001</v>
      </c>
    </row>
    <row r="495" spans="1:65" x14ac:dyDescent="0.25">
      <c r="A495" t="str">
        <f>IFERROR(IF(0=LEN(ReferenceData!$A$495),"",ReferenceData!$A$495),"")</f>
        <v xml:space="preserve">    Yulon Motor Co Ltd</v>
      </c>
      <c r="B495" t="str">
        <f>IFERROR(IF(0=LEN(ReferenceData!$B$495),"",ReferenceData!$B$495),"")</f>
        <v>2201 TT Equity</v>
      </c>
      <c r="C495" t="str">
        <f>IFERROR(IF(0=LEN(ReferenceData!$C$495),"",ReferenceData!$C$495),"")</f>
        <v>RR902</v>
      </c>
      <c r="D495" t="str">
        <f>IFERROR(IF(0=LEN(ReferenceData!$D$495),"",ReferenceData!$D$495),"")</f>
        <v>CUR_MKT_CAP</v>
      </c>
      <c r="E495" t="str">
        <f>IFERROR(IF(0=LEN(ReferenceData!$E$495),"",ReferenceData!$E$495),"")</f>
        <v>Dynamic</v>
      </c>
      <c r="F495">
        <f ca="1">IFERROR(IF(0=LEN(ReferenceData!$F$495),"",ReferenceData!$F$495),"")</f>
        <v>969.86406390000002</v>
      </c>
      <c r="G495">
        <f ca="1">IFERROR(IF(0=LEN(ReferenceData!$G$495),"",ReferenceData!$G$495),"")</f>
        <v>937.33480710000003</v>
      </c>
      <c r="H495">
        <f ca="1">IFERROR(IF(0=LEN(ReferenceData!$H$495),"",ReferenceData!$H$495),"")</f>
        <v>1119.6444819999999</v>
      </c>
      <c r="I495">
        <f ca="1">IFERROR(IF(0=LEN(ReferenceData!$I$495),"",ReferenceData!$I$495),"")</f>
        <v>1089.830561</v>
      </c>
      <c r="J495">
        <f ca="1">IFERROR(IF(0=LEN(ReferenceData!$J$495),"",ReferenceData!$J$495),"")</f>
        <v>1221.160768</v>
      </c>
      <c r="K495">
        <f ca="1">IFERROR(IF(0=LEN(ReferenceData!$K$495),"",ReferenceData!$K$495),"")</f>
        <v>1280.3267989999999</v>
      </c>
      <c r="L495">
        <f ca="1">IFERROR(IF(0=LEN(ReferenceData!$L$495),"",ReferenceData!$L$495),"")</f>
        <v>1345.175025</v>
      </c>
      <c r="M495">
        <f ca="1">IFERROR(IF(0=LEN(ReferenceData!$M$495),"",ReferenceData!$M$495),"")</f>
        <v>1413.639514</v>
      </c>
      <c r="N495">
        <f ca="1">IFERROR(IF(0=LEN(ReferenceData!$N$495),"",ReferenceData!$N$495),"")</f>
        <v>1463.7958819999999</v>
      </c>
      <c r="O495">
        <f ca="1">IFERROR(IF(0=LEN(ReferenceData!$O$495),"",ReferenceData!$O$495),"")</f>
        <v>1301.338373</v>
      </c>
      <c r="P495">
        <f ca="1">IFERROR(IF(0=LEN(ReferenceData!$P$495),"",ReferenceData!$P$495),"")</f>
        <v>1384.9135140000001</v>
      </c>
      <c r="Q495">
        <f ca="1">IFERROR(IF(0=LEN(ReferenceData!$Q$495),"",ReferenceData!$Q$495),"")</f>
        <v>1333.189912</v>
      </c>
      <c r="R495">
        <f ca="1">IFERROR(IF(0=LEN(ReferenceData!$R$495),"",ReferenceData!$R$495),"")</f>
        <v>1526.845822</v>
      </c>
      <c r="S495">
        <f ca="1">IFERROR(IF(0=LEN(ReferenceData!$S$495),"",ReferenceData!$S$495),"")</f>
        <v>1443.13348</v>
      </c>
      <c r="T495">
        <f ca="1">IFERROR(IF(0=LEN(ReferenceData!$T$495),"",ReferenceData!$T$495),"")</f>
        <v>1403.4992179999999</v>
      </c>
      <c r="U495">
        <f ca="1">IFERROR(IF(0=LEN(ReferenceData!$U$495),"",ReferenceData!$U$495),"")</f>
        <v>1823.0553359999999</v>
      </c>
      <c r="V495">
        <f ca="1">IFERROR(IF(0=LEN(ReferenceData!$V$495),"",ReferenceData!$V$495),"")</f>
        <v>2151.5479049999999</v>
      </c>
      <c r="W495">
        <f ca="1">IFERROR(IF(0=LEN(ReferenceData!$W$495),"",ReferenceData!$W$495),"")</f>
        <v>2313.1906880000001</v>
      </c>
      <c r="X495">
        <f ca="1">IFERROR(IF(0=LEN(ReferenceData!$X$495),"",ReferenceData!$X$495),"")</f>
        <v>2352.8126910000001</v>
      </c>
      <c r="Y495">
        <f ca="1">IFERROR(IF(0=LEN(ReferenceData!$Y$495),"",ReferenceData!$Y$495),"")</f>
        <v>2559.2202280000001</v>
      </c>
      <c r="Z495">
        <f ca="1">IFERROR(IF(0=LEN(ReferenceData!$Z$495),"",ReferenceData!$Z$495),"")</f>
        <v>2597.947009</v>
      </c>
      <c r="AA495">
        <f ca="1">IFERROR(IF(0=LEN(ReferenceData!$AA$495),"",ReferenceData!$AA$495),"")</f>
        <v>2848.6327390000001</v>
      </c>
      <c r="AB495">
        <f ca="1">IFERROR(IF(0=LEN(ReferenceData!$AB$495),"",ReferenceData!$AB$495),"")</f>
        <v>2633.949329</v>
      </c>
      <c r="AC495">
        <f ca="1">IFERROR(IF(0=LEN(ReferenceData!$AC$495),"",ReferenceData!$AC$495),"")</f>
        <v>2518.5189839999998</v>
      </c>
      <c r="AD495">
        <f ca="1">IFERROR(IF(0=LEN(ReferenceData!$AD$495),"",ReferenceData!$AD$495),"")</f>
        <v>2814.7156709999999</v>
      </c>
      <c r="AE495">
        <f ca="1">IFERROR(IF(0=LEN(ReferenceData!$AE$495),"",ReferenceData!$AE$495),"")</f>
        <v>2975.6338329999999</v>
      </c>
      <c r="AF495">
        <f ca="1">IFERROR(IF(0=LEN(ReferenceData!$AF$495),"",ReferenceData!$AF$495),"")</f>
        <v>3164.3974010000002</v>
      </c>
      <c r="AG495">
        <f ca="1">IFERROR(IF(0=LEN(ReferenceData!$AG$495),"",ReferenceData!$AG$495),"")</f>
        <v>2761.913086</v>
      </c>
      <c r="AH495">
        <f ca="1">IFERROR(IF(0=LEN(ReferenceData!$AH$495),"",ReferenceData!$AH$495),"")</f>
        <v>3006.4964409999998</v>
      </c>
      <c r="AI495">
        <f ca="1">IFERROR(IF(0=LEN(ReferenceData!$AI$495),"",ReferenceData!$AI$495),"")</f>
        <v>2700.470229</v>
      </c>
      <c r="AJ495">
        <f ca="1">IFERROR(IF(0=LEN(ReferenceData!$AJ$495),"",ReferenceData!$AJ$495),"")</f>
        <v>2977.3147829999998</v>
      </c>
      <c r="AK495">
        <f ca="1">IFERROR(IF(0=LEN(ReferenceData!$AK$495),"",ReferenceData!$AK$495),"")</f>
        <v>3842.6385439999999</v>
      </c>
      <c r="AL495">
        <f ca="1">IFERROR(IF(0=LEN(ReferenceData!$AL$495),"",ReferenceData!$AL$495),"")</f>
        <v>2904.4940409999999</v>
      </c>
      <c r="AM495">
        <f ca="1">IFERROR(IF(0=LEN(ReferenceData!$AM$495),"",ReferenceData!$AM$495),"")</f>
        <v>3328.5029039999999</v>
      </c>
      <c r="AN495">
        <f ca="1">IFERROR(IF(0=LEN(ReferenceData!$AN$495),"",ReferenceData!$AN$495),"")</f>
        <v>2840.8058019999999</v>
      </c>
      <c r="AO495">
        <f ca="1">IFERROR(IF(0=LEN(ReferenceData!$AO$495),"",ReferenceData!$AO$495),"")</f>
        <v>1556.667917</v>
      </c>
      <c r="AP495">
        <f ca="1">IFERROR(IF(0=LEN(ReferenceData!$AP$495),"",ReferenceData!$AP$495),"")</f>
        <v>1743.283733</v>
      </c>
      <c r="AQ495">
        <f ca="1">IFERROR(IF(0=LEN(ReferenceData!$AQ$495),"",ReferenceData!$AQ$495),"")</f>
        <v>1851.3325850000001</v>
      </c>
      <c r="AR495">
        <f ca="1">IFERROR(IF(0=LEN(ReferenceData!$AR$495),"",ReferenceData!$AR$495),"")</f>
        <v>1805.0139650000001</v>
      </c>
      <c r="AS495">
        <f ca="1">IFERROR(IF(0=LEN(ReferenceData!$AS$495),"",ReferenceData!$AS$495),"")</f>
        <v>1493.3441539999999</v>
      </c>
      <c r="AT495">
        <f ca="1">IFERROR(IF(0=LEN(ReferenceData!$AT$495),"",ReferenceData!$AT$495),"")</f>
        <v>854.38675929999999</v>
      </c>
      <c r="AU495">
        <f ca="1">IFERROR(IF(0=LEN(ReferenceData!$AU$495),"",ReferenceData!$AU$495),"")</f>
        <v>674.67105509999999</v>
      </c>
      <c r="AV495">
        <f ca="1">IFERROR(IF(0=LEN(ReferenceData!$AV$495),"",ReferenceData!$AV$495),"")</f>
        <v>840.50506770000004</v>
      </c>
      <c r="AW495">
        <f ca="1">IFERROR(IF(0=LEN(ReferenceData!$AW$495),"",ReferenceData!$AW$495),"")</f>
        <v>1559.7075620000001</v>
      </c>
      <c r="AX495">
        <f ca="1">IFERROR(IF(0=LEN(ReferenceData!$AX$495),"",ReferenceData!$AX$495),"")</f>
        <v>2149.276206</v>
      </c>
      <c r="AY495">
        <f ca="1">IFERROR(IF(0=LEN(ReferenceData!$AY$495),"",ReferenceData!$AY$495),"")</f>
        <v>1416.7654439999999</v>
      </c>
      <c r="AZ495">
        <f ca="1">IFERROR(IF(0=LEN(ReferenceData!$AZ$495),"",ReferenceData!$AZ$495),"")</f>
        <v>1655.018967</v>
      </c>
      <c r="BA495">
        <f ca="1">IFERROR(IF(0=LEN(ReferenceData!$BA$495),"",ReferenceData!$BA$495),"")</f>
        <v>1782.1700920000001</v>
      </c>
      <c r="BB495">
        <f ca="1">IFERROR(IF(0=LEN(ReferenceData!$BB$495),"",ReferenceData!$BB$495),"")</f>
        <v>1613.0979830000001</v>
      </c>
      <c r="BC495">
        <f ca="1">IFERROR(IF(0=LEN(ReferenceData!$BC$495),"",ReferenceData!$BC$495),"")</f>
        <v>1737.743788</v>
      </c>
      <c r="BD495">
        <f ca="1">IFERROR(IF(0=LEN(ReferenceData!$BD$495),"",ReferenceData!$BD$495),"")</f>
        <v>1453.329158</v>
      </c>
      <c r="BE495">
        <f ca="1">IFERROR(IF(0=LEN(ReferenceData!$BE$495),"",ReferenceData!$BE$495),"")</f>
        <v>1694.914955</v>
      </c>
      <c r="BF495">
        <f ca="1">IFERROR(IF(0=LEN(ReferenceData!$BF$495),"",ReferenceData!$BF$495),"")</f>
        <v>1307.8051419999999</v>
      </c>
      <c r="BG495">
        <f ca="1">IFERROR(IF(0=LEN(ReferenceData!$BG$495),"",ReferenceData!$BG$495),"")</f>
        <v>1529.872333</v>
      </c>
      <c r="BH495">
        <f ca="1">IFERROR(IF(0=LEN(ReferenceData!$BH$495),"",ReferenceData!$BH$495),"")</f>
        <v>1413.1563719999999</v>
      </c>
      <c r="BI495">
        <f ca="1">IFERROR(IF(0=LEN(ReferenceData!$BI$495),"",ReferenceData!$BI$495),"")</f>
        <v>1609.4564459999999</v>
      </c>
      <c r="BJ495">
        <f ca="1">IFERROR(IF(0=LEN(ReferenceData!$BJ$495),"",ReferenceData!$BJ$495),"")</f>
        <v>1713.291076</v>
      </c>
      <c r="BK495">
        <f ca="1">IFERROR(IF(0=LEN(ReferenceData!$BK$495),"",ReferenceData!$BK$495),"")</f>
        <v>1615.6551959999999</v>
      </c>
      <c r="BL495">
        <f ca="1">IFERROR(IF(0=LEN(ReferenceData!$BL$495),"",ReferenceData!$BL$495),"")</f>
        <v>1466.2429890000001</v>
      </c>
      <c r="BM495">
        <f ca="1">IFERROR(IF(0=LEN(ReferenceData!$BM$495),"",ReferenceData!$BM$495),"")</f>
        <v>1510.3554039999999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021"/>
  <sheetViews>
    <sheetView workbookViewId="0"/>
  </sheetViews>
  <sheetFormatPr defaultRowHeight="15" x14ac:dyDescent="0.25"/>
  <cols>
    <col min="1" max="1" width="56.28515625" customWidth="1"/>
    <col min="2" max="2" width="15.85546875" customWidth="1"/>
    <col min="3" max="125" width="9.140625" bestFit="1" customWidth="1"/>
  </cols>
  <sheetData>
    <row r="1" spans="1:12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</row>
    <row r="2" spans="1:125" x14ac:dyDescent="0.25">
      <c r="A2" s="1" t="str">
        <f>"Description"</f>
        <v>Description</v>
      </c>
      <c r="B2" s="1" t="str">
        <f>"Ticker"</f>
        <v>Ticker</v>
      </c>
      <c r="C2" s="1" t="str">
        <f>"Field ID"</f>
        <v>Field ID</v>
      </c>
      <c r="D2" s="1" t="str">
        <f>"Field Mnemonic"</f>
        <v>Field Mnemonic</v>
      </c>
      <c r="E2" s="1" t="str">
        <f>"Data State"</f>
        <v>Data State</v>
      </c>
      <c r="F2" s="1" t="str">
        <f>ReferenceData!$C$1012</f>
        <v>2019 Q1</v>
      </c>
      <c r="G2" s="1" t="str">
        <f>ReferenceData!$D$1012</f>
        <v>2018 Q4</v>
      </c>
      <c r="H2" s="1" t="str">
        <f>ReferenceData!$E$1012</f>
        <v>2018 Q3</v>
      </c>
      <c r="I2" s="1" t="str">
        <f>ReferenceData!$F$1012</f>
        <v>2018 Q2</v>
      </c>
      <c r="J2" s="1" t="str">
        <f>ReferenceData!$G$1012</f>
        <v>2018 Q1</v>
      </c>
      <c r="K2" s="1" t="str">
        <f>ReferenceData!$H$1012</f>
        <v>2017 Q4</v>
      </c>
      <c r="L2" s="1" t="str">
        <f>ReferenceData!$I$1012</f>
        <v>2017 Q3</v>
      </c>
      <c r="M2" s="1" t="str">
        <f>ReferenceData!$J$1012</f>
        <v>2017 Q2</v>
      </c>
      <c r="N2" s="1" t="str">
        <f>ReferenceData!$K$1012</f>
        <v>2017 Q1</v>
      </c>
      <c r="O2" s="1" t="str">
        <f>ReferenceData!$L$1012</f>
        <v>2016 Q4</v>
      </c>
      <c r="P2" s="1" t="str">
        <f>ReferenceData!$M$1012</f>
        <v>2016 Q3</v>
      </c>
      <c r="Q2" s="1" t="str">
        <f>ReferenceData!$N$1012</f>
        <v>2016 Q2</v>
      </c>
      <c r="R2" s="1" t="str">
        <f>ReferenceData!$O$1012</f>
        <v>2016 Q1</v>
      </c>
      <c r="S2" s="1" t="str">
        <f>ReferenceData!$P$1012</f>
        <v>2015 Q4</v>
      </c>
      <c r="T2" s="1" t="str">
        <f>ReferenceData!$Q$1012</f>
        <v>2015 Q3</v>
      </c>
      <c r="U2" s="1" t="str">
        <f>ReferenceData!$R$1012</f>
        <v>2015 Q2</v>
      </c>
      <c r="V2" s="1" t="str">
        <f>ReferenceData!$S$1012</f>
        <v>2015 Q1</v>
      </c>
      <c r="W2" s="1" t="str">
        <f>ReferenceData!$T$1012</f>
        <v>2014 Q4</v>
      </c>
      <c r="X2" s="1" t="str">
        <f>ReferenceData!$U$1012</f>
        <v>2014 Q3</v>
      </c>
      <c r="Y2" s="1" t="str">
        <f>ReferenceData!$V$1012</f>
        <v>2014 Q2</v>
      </c>
      <c r="Z2" s="1" t="str">
        <f>ReferenceData!$W$1012</f>
        <v>2014 Q1</v>
      </c>
      <c r="AA2" s="1" t="str">
        <f>ReferenceData!$X$1012</f>
        <v>2013 Q4</v>
      </c>
      <c r="AB2" s="1" t="str">
        <f>ReferenceData!$Y$1012</f>
        <v>2013 Q3</v>
      </c>
      <c r="AC2" s="1" t="str">
        <f>ReferenceData!$Z$1012</f>
        <v>2013 Q2</v>
      </c>
      <c r="AD2" s="1" t="str">
        <f>ReferenceData!$AA$1012</f>
        <v>2013 Q1</v>
      </c>
      <c r="AE2" s="1" t="str">
        <f>ReferenceData!$AB$1012</f>
        <v>2012 Q4</v>
      </c>
      <c r="AF2" s="1" t="str">
        <f>ReferenceData!$AC$1012</f>
        <v>2012 Q3</v>
      </c>
      <c r="AG2" s="1" t="str">
        <f>ReferenceData!$AD$1012</f>
        <v>2012 Q2</v>
      </c>
      <c r="AH2" s="1" t="str">
        <f>ReferenceData!$AE$1012</f>
        <v>2012 Q1</v>
      </c>
      <c r="AI2" s="1" t="str">
        <f>ReferenceData!$AF$1012</f>
        <v>2011 Q4</v>
      </c>
      <c r="AJ2" s="1" t="str">
        <f>ReferenceData!$AG$1012</f>
        <v>2011 Q3</v>
      </c>
      <c r="AK2" s="1" t="str">
        <f>ReferenceData!$AH$1012</f>
        <v>2011 Q2</v>
      </c>
      <c r="AL2" s="1" t="str">
        <f>ReferenceData!$AI$1012</f>
        <v>2011 Q1</v>
      </c>
      <c r="AM2" s="1" t="str">
        <f>ReferenceData!$AJ$1012</f>
        <v>2010 Q4</v>
      </c>
      <c r="AN2" s="1" t="str">
        <f>ReferenceData!$AK$1012</f>
        <v>2010 Q3</v>
      </c>
      <c r="AO2" s="1" t="str">
        <f>ReferenceData!$AL$1012</f>
        <v>2010 Q2</v>
      </c>
      <c r="AP2" s="1" t="str">
        <f>ReferenceData!$AM$1012</f>
        <v>2010 Q1</v>
      </c>
      <c r="AQ2" s="1" t="str">
        <f>ReferenceData!$AN$1012</f>
        <v>2009 Q4</v>
      </c>
      <c r="AR2" s="1" t="str">
        <f>ReferenceData!$AO$1012</f>
        <v>2009 Q3</v>
      </c>
      <c r="AS2" s="1" t="str">
        <f>ReferenceData!$AP$1012</f>
        <v>2009 Q2</v>
      </c>
      <c r="AT2" s="1" t="str">
        <f>ReferenceData!$AQ$1012</f>
        <v>2009 Q1</v>
      </c>
      <c r="AU2" s="1" t="str">
        <f>ReferenceData!$AR$1012</f>
        <v>2008 Q4</v>
      </c>
      <c r="AV2" s="1" t="str">
        <f>ReferenceData!$AS$1012</f>
        <v>2008 Q3</v>
      </c>
      <c r="AW2" s="1" t="str">
        <f>ReferenceData!$AT$1012</f>
        <v>2008 Q2</v>
      </c>
      <c r="AX2" s="1" t="str">
        <f>ReferenceData!$AU$1012</f>
        <v>2008 Q1</v>
      </c>
      <c r="AY2" s="1" t="str">
        <f>ReferenceData!$AV$1012</f>
        <v>2007 Q4</v>
      </c>
      <c r="AZ2" s="1" t="str">
        <f>ReferenceData!$AW$1012</f>
        <v>2007 Q3</v>
      </c>
      <c r="BA2" s="1" t="str">
        <f>ReferenceData!$AX$1012</f>
        <v>2007 Q2</v>
      </c>
      <c r="BB2" s="1" t="str">
        <f>ReferenceData!$AY$1012</f>
        <v>2007 Q1</v>
      </c>
      <c r="BC2" s="1" t="str">
        <f>ReferenceData!$AZ$1012</f>
        <v>2006 Q4</v>
      </c>
      <c r="BD2" s="1" t="str">
        <f>ReferenceData!$BA$1012</f>
        <v>2006 Q3</v>
      </c>
      <c r="BE2" s="1" t="str">
        <f>ReferenceData!$BB$1012</f>
        <v>2006 Q2</v>
      </c>
      <c r="BF2" s="1" t="str">
        <f>ReferenceData!$BC$1012</f>
        <v>2006 Q1</v>
      </c>
      <c r="BG2" s="1" t="str">
        <f>ReferenceData!$BD$1012</f>
        <v>2005 Q4</v>
      </c>
      <c r="BH2" s="1" t="str">
        <f>ReferenceData!$BE$1012</f>
        <v>2005 Q3</v>
      </c>
      <c r="BI2" s="1" t="str">
        <f>ReferenceData!$BF$1012</f>
        <v>2005 Q2</v>
      </c>
      <c r="BJ2" s="1" t="str">
        <f>ReferenceData!$BG$1012</f>
        <v>2005 Q1</v>
      </c>
      <c r="BK2" s="1" t="str">
        <f>ReferenceData!$BH$1012</f>
        <v>2004 Q4</v>
      </c>
      <c r="BL2" s="1" t="str">
        <f>ReferenceData!$BI$1012</f>
        <v>2004 Q3</v>
      </c>
      <c r="BM2" s="1" t="str">
        <f>ReferenceData!$BJ$1012</f>
        <v>2004 Q2</v>
      </c>
      <c r="BN2" t="str">
        <f>$C$1012</f>
        <v>2019 Q1</v>
      </c>
      <c r="BO2" t="str">
        <f>$D$1012</f>
        <v>2018 Q4</v>
      </c>
      <c r="BP2" t="str">
        <f>$E$1012</f>
        <v>2018 Q3</v>
      </c>
      <c r="BQ2" t="str">
        <f>$F$1012</f>
        <v>2018 Q2</v>
      </c>
      <c r="BR2" t="str">
        <f>$G$1012</f>
        <v>2018 Q1</v>
      </c>
      <c r="BS2" t="str">
        <f>$H$1012</f>
        <v>2017 Q4</v>
      </c>
      <c r="BT2" t="str">
        <f>$I$1012</f>
        <v>2017 Q3</v>
      </c>
      <c r="BU2" t="str">
        <f>$J$1012</f>
        <v>2017 Q2</v>
      </c>
      <c r="BV2" t="str">
        <f>$K$1012</f>
        <v>2017 Q1</v>
      </c>
      <c r="BW2" t="str">
        <f>$L$1012</f>
        <v>2016 Q4</v>
      </c>
      <c r="BX2" t="str">
        <f>$M$1012</f>
        <v>2016 Q3</v>
      </c>
      <c r="BY2" t="str">
        <f>$N$1012</f>
        <v>2016 Q2</v>
      </c>
      <c r="BZ2" t="str">
        <f>$O$1012</f>
        <v>2016 Q1</v>
      </c>
      <c r="CA2" t="str">
        <f>$P$1012</f>
        <v>2015 Q4</v>
      </c>
      <c r="CB2" t="str">
        <f>$Q$1012</f>
        <v>2015 Q3</v>
      </c>
      <c r="CC2" t="str">
        <f>$R$1012</f>
        <v>2015 Q2</v>
      </c>
      <c r="CD2" t="str">
        <f>$S$1012</f>
        <v>2015 Q1</v>
      </c>
      <c r="CE2" t="str">
        <f>$T$1012</f>
        <v>2014 Q4</v>
      </c>
      <c r="CF2" t="str">
        <f>$U$1012</f>
        <v>2014 Q3</v>
      </c>
      <c r="CG2" t="str">
        <f>$V$1012</f>
        <v>2014 Q2</v>
      </c>
      <c r="CH2" t="str">
        <f>$W$1012</f>
        <v>2014 Q1</v>
      </c>
      <c r="CI2" t="str">
        <f>$X$1012</f>
        <v>2013 Q4</v>
      </c>
      <c r="CJ2" t="str">
        <f>$Y$1012</f>
        <v>2013 Q3</v>
      </c>
      <c r="CK2" t="str">
        <f>$Z$1012</f>
        <v>2013 Q2</v>
      </c>
      <c r="CL2" t="str">
        <f>$AA$1012</f>
        <v>2013 Q1</v>
      </c>
      <c r="CM2" t="str">
        <f>$AB$1012</f>
        <v>2012 Q4</v>
      </c>
      <c r="CN2" t="str">
        <f>$AC$1012</f>
        <v>2012 Q3</v>
      </c>
      <c r="CO2" t="str">
        <f>$AD$1012</f>
        <v>2012 Q2</v>
      </c>
      <c r="CP2" t="str">
        <f>$AE$1012</f>
        <v>2012 Q1</v>
      </c>
      <c r="CQ2" t="str">
        <f>$AF$1012</f>
        <v>2011 Q4</v>
      </c>
      <c r="CR2" t="str">
        <f>$AG$1012</f>
        <v>2011 Q3</v>
      </c>
      <c r="CS2" t="str">
        <f>$AH$1012</f>
        <v>2011 Q2</v>
      </c>
      <c r="CT2" t="str">
        <f>$AI$1012</f>
        <v>2011 Q1</v>
      </c>
      <c r="CU2" t="str">
        <f>$AJ$1012</f>
        <v>2010 Q4</v>
      </c>
      <c r="CV2" t="str">
        <f>$AK$1012</f>
        <v>2010 Q3</v>
      </c>
      <c r="CW2" t="str">
        <f>$AL$1012</f>
        <v>2010 Q2</v>
      </c>
      <c r="CX2" t="str">
        <f>$AM$1012</f>
        <v>2010 Q1</v>
      </c>
      <c r="CY2" t="str">
        <f>$AN$1012</f>
        <v>2009 Q4</v>
      </c>
      <c r="CZ2" t="str">
        <f>$AO$1012</f>
        <v>2009 Q3</v>
      </c>
      <c r="DA2" t="str">
        <f>$AP$1012</f>
        <v>2009 Q2</v>
      </c>
      <c r="DB2" t="str">
        <f>$AQ$1012</f>
        <v>2009 Q1</v>
      </c>
      <c r="DC2" t="str">
        <f>$AR$1012</f>
        <v>2008 Q4</v>
      </c>
      <c r="DD2" t="str">
        <f>$AS$1012</f>
        <v>2008 Q3</v>
      </c>
      <c r="DE2" t="str">
        <f>$AT$1012</f>
        <v>2008 Q2</v>
      </c>
      <c r="DF2" t="str">
        <f>$AU$1012</f>
        <v>2008 Q1</v>
      </c>
      <c r="DG2" t="str">
        <f>$AV$1012</f>
        <v>2007 Q4</v>
      </c>
      <c r="DH2" t="str">
        <f>$AW$1012</f>
        <v>2007 Q3</v>
      </c>
      <c r="DI2" t="str">
        <f>$AX$1012</f>
        <v>2007 Q2</v>
      </c>
      <c r="DJ2" t="str">
        <f>$AY$1012</f>
        <v>2007 Q1</v>
      </c>
      <c r="DK2" t="str">
        <f>$AZ$1012</f>
        <v>2006 Q4</v>
      </c>
      <c r="DL2" t="str">
        <f>$BA$1012</f>
        <v>2006 Q3</v>
      </c>
      <c r="DM2" t="str">
        <f>$BB$1012</f>
        <v>2006 Q2</v>
      </c>
      <c r="DN2" t="str">
        <f>$BC$1012</f>
        <v>2006 Q1</v>
      </c>
      <c r="DO2" t="str">
        <f>$BD$1012</f>
        <v>2005 Q4</v>
      </c>
      <c r="DP2" t="str">
        <f>$BE$1012</f>
        <v>2005 Q3</v>
      </c>
      <c r="DQ2" t="str">
        <f>$BF$1012</f>
        <v>2005 Q2</v>
      </c>
      <c r="DR2" t="str">
        <f>$BG$1012</f>
        <v>2005 Q1</v>
      </c>
      <c r="DS2" t="str">
        <f>$BH$1012</f>
        <v>2004 Q4</v>
      </c>
      <c r="DT2" t="str">
        <f>$BI$1012</f>
        <v>2004 Q3</v>
      </c>
      <c r="DU2" t="str">
        <f>$BJ$1012</f>
        <v>2004 Q2</v>
      </c>
    </row>
    <row r="3" spans="1:125" x14ac:dyDescent="0.25">
      <c r="A3" t="str">
        <f>"T12M EPS"</f>
        <v>T12M EPS</v>
      </c>
      <c r="B3" t="str">
        <f>""</f>
        <v/>
      </c>
      <c r="E3" t="str">
        <f>"Average"</f>
        <v>Average</v>
      </c>
      <c r="F3" t="str">
        <f ca="1">IF(ISERROR(IF(AVERAGE($F$4:$F$43) = 0, "", AVERAGE($F$4:$F$43))), "", (IF(AVERAGE($F$4:$F$43) = 0, "", AVERAGE($F$4:$F$43))))</f>
        <v/>
      </c>
      <c r="G3">
        <f ca="1">IF(ISERROR(IF(AVERAGE($G$4:$G$43) = 0, "", AVERAGE($G$4:$G$43))), "", (IF(AVERAGE($G$4:$G$43) = 0, "", AVERAGE($G$4:$G$43))))</f>
        <v>4.3658669405000001</v>
      </c>
      <c r="H3">
        <f ca="1">IF(ISERROR(IF(AVERAGE($H$4:$H$43) = 0, "", AVERAGE($H$4:$H$43))), "", (IF(AVERAGE($H$4:$H$43) = 0, "", AVERAGE($H$4:$H$43))))</f>
        <v>3.3140199604516134</v>
      </c>
      <c r="I3">
        <f ca="1">IF(ISERROR(IF(AVERAGE($I$4:$I$43) = 0, "", AVERAGE($I$4:$I$43))), "", (IF(AVERAGE($I$4:$I$43) = 0, "", AVERAGE($I$4:$I$43))))</f>
        <v>3.1988718607741937</v>
      </c>
      <c r="J3">
        <f ca="1">IF(ISERROR(IF(AVERAGE($J$4:$J$43) = 0, "", AVERAGE($J$4:$J$43))), "", (IF(AVERAGE($J$4:$J$43) = 0, "", AVERAGE($J$4:$J$43))))</f>
        <v>3.2126880113548388</v>
      </c>
      <c r="K3">
        <f ca="1">IF(ISERROR(IF(AVERAGE($K$4:$K$43) = 0, "", AVERAGE($K$4:$K$43))), "", (IF(AVERAGE($K$4:$K$43) = 0, "", AVERAGE($K$4:$K$43))))</f>
        <v>3.2720257323225796</v>
      </c>
      <c r="L3">
        <f ca="1">IF(ISERROR(IF(AVERAGE($L$4:$L$43) = 0, "", AVERAGE($L$4:$L$43))), "", (IF(AVERAGE($L$4:$L$43) = 0, "", AVERAGE($L$4:$L$43))))</f>
        <v>2.995387180774193</v>
      </c>
      <c r="M3">
        <f ca="1">IF(ISERROR(IF(AVERAGE($M$4:$M$43) = 0, "", AVERAGE($M$4:$M$43))), "", (IF(AVERAGE($M$4:$M$43) = 0, "", AVERAGE($M$4:$M$43))))</f>
        <v>3.1628239245806458</v>
      </c>
      <c r="N3">
        <f ca="1">IF(ISERROR(IF(AVERAGE($N$4:$N$43) = 0, "", AVERAGE($N$4:$N$43))), "", (IF(AVERAGE($N$4:$N$43) = 0, "", AVERAGE($N$4:$N$43))))</f>
        <v>3.1737143310322584</v>
      </c>
      <c r="O3">
        <f ca="1">IF(ISERROR(IF(AVERAGE($O$4:$O$43) = 0, "", AVERAGE($O$4:$O$43))), "", (IF(AVERAGE($O$4:$O$43) = 0, "", AVERAGE($O$4:$O$43))))</f>
        <v>2.9800847651290319</v>
      </c>
      <c r="P3">
        <f ca="1">IF(ISERROR(IF(AVERAGE($P$4:$P$43) = 0, "", AVERAGE($P$4:$P$43))), "", (IF(AVERAGE($P$4:$P$43) = 0, "", AVERAGE($P$4:$P$43))))</f>
        <v>3.0320500502258065</v>
      </c>
      <c r="Q3">
        <f ca="1">IF(ISERROR(IF(AVERAGE($Q$4:$Q$43) = 0, "", AVERAGE($Q$4:$Q$43))), "", (IF(AVERAGE($Q$4:$Q$43) = 0, "", AVERAGE($Q$4:$Q$43))))</f>
        <v>2.9472779937096769</v>
      </c>
      <c r="R3">
        <f ca="1">IF(ISERROR(IF(AVERAGE($R$4:$R$43) = 0, "", AVERAGE($R$4:$R$43))), "", (IF(AVERAGE($R$4:$R$43) = 0, "", AVERAGE($R$4:$R$43))))</f>
        <v>2.9299553832903222</v>
      </c>
      <c r="S3">
        <f ca="1">IF(ISERROR(IF(AVERAGE($S$4:$S$43) = 0, "", AVERAGE($S$4:$S$43))), "", (IF(AVERAGE($S$4:$S$43) = 0, "", AVERAGE($S$4:$S$43))))</f>
        <v>3.084386584645161</v>
      </c>
      <c r="T3">
        <f ca="1">IF(ISERROR(IF(AVERAGE($T$4:$T$43) = 0, "", AVERAGE($T$4:$T$43))), "", (IF(AVERAGE($T$4:$T$43) = 0, "", AVERAGE($T$4:$T$43))))</f>
        <v>3.0877614489032257</v>
      </c>
      <c r="U3">
        <f ca="1">IF(ISERROR(IF(AVERAGE($U$4:$U$43) = 0, "", AVERAGE($U$4:$U$43))), "", (IF(AVERAGE($U$4:$U$43) = 0, "", AVERAGE($U$4:$U$43))))</f>
        <v>3.1970146462258064</v>
      </c>
      <c r="V3">
        <f ca="1">IF(ISERROR(IF(AVERAGE($V$4:$V$43) = 0, "", AVERAGE($V$4:$V$43))), "", (IF(AVERAGE($V$4:$V$43) = 0, "", AVERAGE($V$4:$V$43))))</f>
        <v>3.4536972307419349</v>
      </c>
      <c r="W3">
        <f ca="1">IF(ISERROR(IF(AVERAGE($W$4:$W$43) = 0, "", AVERAGE($W$4:$W$43))), "", (IF(AVERAGE($W$4:$W$43) = 0, "", AVERAGE($W$4:$W$43))))</f>
        <v>3.5087207649677428</v>
      </c>
      <c r="X3">
        <f ca="1">IF(ISERROR(IF(AVERAGE($X$4:$X$43) = 0, "", AVERAGE($X$4:$X$43))), "", (IF(AVERAGE($X$4:$X$43) = 0, "", AVERAGE($X$4:$X$43))))</f>
        <v>3.7068735984838703</v>
      </c>
      <c r="Y3">
        <f ca="1">IF(ISERROR(IF(AVERAGE($Y$4:$Y$43) = 0, "", AVERAGE($Y$4:$Y$43))), "", (IF(AVERAGE($Y$4:$Y$43) = 0, "", AVERAGE($Y$4:$Y$43))))</f>
        <v>3.6827251965161292</v>
      </c>
      <c r="Z3">
        <f ca="1">IF(ISERROR(IF(AVERAGE($Z$4:$Z$43) = 0, "", AVERAGE($Z$4:$Z$43))), "", (IF(AVERAGE($Z$4:$Z$43) = 0, "", AVERAGE($Z$4:$Z$43))))</f>
        <v>3.6202301813333344</v>
      </c>
      <c r="AA3">
        <f ca="1">IF(ISERROR(IF(AVERAGE($AA$4:$AA$43) = 0, "", AVERAGE($AA$4:$AA$43))), "", (IF(AVERAGE($AA$4:$AA$43) = 0, "", AVERAGE($AA$4:$AA$43))))</f>
        <v>3.5200325341999994</v>
      </c>
      <c r="AB3">
        <f ca="1">IF(ISERROR(IF(AVERAGE($AB$4:$AB$43) = 0, "", AVERAGE($AB$4:$AB$43))), "", (IF(AVERAGE($AB$4:$AB$43) = 0, "", AVERAGE($AB$4:$AB$43))))</f>
        <v>3.2665362583000008</v>
      </c>
      <c r="AC3">
        <f ca="1">IF(ISERROR(IF(AVERAGE($AC$4:$AC$43) = 0, "", AVERAGE($AC$4:$AC$43))), "", (IF(AVERAGE($AC$4:$AC$43) = 0, "", AVERAGE($AC$4:$AC$43))))</f>
        <v>4.0344400316666666</v>
      </c>
      <c r="AD3">
        <f ca="1">IF(ISERROR(IF(AVERAGE($AD$4:$AD$43) = 0, "", AVERAGE($AD$4:$AD$43))), "", (IF(AVERAGE($AD$4:$AD$43) = 0, "", AVERAGE($AD$4:$AD$43))))</f>
        <v>4.2278389718333322</v>
      </c>
      <c r="AE3">
        <f ca="1">IF(ISERROR(IF(AVERAGE($AE$4:$AE$43) = 0, "", AVERAGE($AE$4:$AE$43))), "", (IF(AVERAGE($AE$4:$AE$43) = 0, "", AVERAGE($AE$4:$AE$43))))</f>
        <v>4.3579937999666667</v>
      </c>
      <c r="AF3">
        <f ca="1">IF(ISERROR(IF(AVERAGE($AF$4:$AF$43) = 0, "", AVERAGE($AF$4:$AF$43))), "", (IF(AVERAGE($AF$4:$AF$43) = 0, "", AVERAGE($AF$4:$AF$43))))</f>
        <v>4.8089113473333329</v>
      </c>
      <c r="AG3">
        <f ca="1">IF(ISERROR(IF(AVERAGE($AG$4:$AG$43) = 0, "", AVERAGE($AG$4:$AG$43))), "", (IF(AVERAGE($AG$4:$AG$43) = 0, "", AVERAGE($AG$4:$AG$43))))</f>
        <v>4.3770478094074079</v>
      </c>
      <c r="AH3">
        <f ca="1">IF(ISERROR(IF(AVERAGE($AH$4:$AH$43) = 0, "", AVERAGE($AH$4:$AH$43))), "", (IF(AVERAGE($AH$4:$AH$43) = 0, "", AVERAGE($AH$4:$AH$43))))</f>
        <v>4.4549960700384617</v>
      </c>
      <c r="AI3">
        <f ca="1">IF(ISERROR(IF(AVERAGE($AI$4:$AI$43) = 0, "", AVERAGE($AI$4:$AI$43))), "", (IF(AVERAGE($AI$4:$AI$43) = 0, "", AVERAGE($AI$4:$AI$43))))</f>
        <v>4.0829687251153848</v>
      </c>
      <c r="AJ3">
        <f ca="1">IF(ISERROR(IF(AVERAGE($AJ$4:$AJ$43) = 0, "", AVERAGE($AJ$4:$AJ$43))), "", (IF(AVERAGE($AJ$4:$AJ$43) = 0, "", AVERAGE($AJ$4:$AJ$43))))</f>
        <v>4.3217733481923073</v>
      </c>
      <c r="AK3">
        <f ca="1">IF(ISERROR(IF(AVERAGE($AK$4:$AK$43) = 0, "", AVERAGE($AK$4:$AK$43))), "", (IF(AVERAGE($AK$4:$AK$43) = 0, "", AVERAGE($AK$4:$AK$43))))</f>
        <v>3.6858663804999994</v>
      </c>
      <c r="AL3">
        <f ca="1">IF(ISERROR(IF(AVERAGE($AL$4:$AL$43) = 0, "", AVERAGE($AL$4:$AL$43))), "", (IF(AVERAGE($AL$4:$AL$43) = 0, "", AVERAGE($AL$4:$AL$43))))</f>
        <v>2.9595438412307686</v>
      </c>
      <c r="AM3">
        <f ca="1">IF(ISERROR(IF(AVERAGE($AM$4:$AM$43) = 0, "", AVERAGE($AM$4:$AM$43))), "", (IF(AVERAGE($AM$4:$AM$43) = 0, "", AVERAGE($AM$4:$AM$43))))</f>
        <v>2.4732584599999998</v>
      </c>
      <c r="AN3">
        <f ca="1">IF(ISERROR(IF(AVERAGE($AN$4:$AN$43) = 0, "", AVERAGE($AN$4:$AN$43))), "", (IF(AVERAGE($AN$4:$AN$43) = 0, "", AVERAGE($AN$4:$AN$43))))</f>
        <v>0.7359310564399999</v>
      </c>
      <c r="AO3">
        <f ca="1">IF(ISERROR(IF(AVERAGE($AO$4:$AO$43) = 0, "", AVERAGE($AO$4:$AO$43))), "", (IF(AVERAGE($AO$4:$AO$43) = 0, "", AVERAGE($AO$4:$AO$43))))</f>
        <v>5.1383022765000002</v>
      </c>
      <c r="AP3">
        <f ca="1">IF(ISERROR(IF(AVERAGE($AP$4:$AP$43) = 0, "", AVERAGE($AP$4:$AP$43))), "", (IF(AVERAGE($AP$4:$AP$43) = 0, "", AVERAGE($AP$4:$AP$43))))</f>
        <v>4.0381340921304352</v>
      </c>
      <c r="AQ3">
        <f ca="1">IF(ISERROR(IF(AVERAGE($AQ$4:$AQ$43) = 0, "", AVERAGE($AQ$4:$AQ$43))), "", (IF(AVERAGE($AQ$4:$AQ$43) = 0, "", AVERAGE($AQ$4:$AQ$43))))</f>
        <v>2.8802572731304346</v>
      </c>
      <c r="AR3">
        <f ca="1">IF(ISERROR(IF(AVERAGE($AR$4:$AR$43) = 0, "", AVERAGE($AR$4:$AR$43))), "", (IF(AVERAGE($AR$4:$AR$43) = 0, "", AVERAGE($AR$4:$AR$43))))</f>
        <v>-0.88404561692857153</v>
      </c>
      <c r="AS3">
        <f ca="1">IF(ISERROR(IF(AVERAGE($AS$4:$AS$43) = 0, "", AVERAGE($AS$4:$AS$43))), "", (IF(AVERAGE($AS$4:$AS$43) = 0, "", AVERAGE($AS$4:$AS$43))))</f>
        <v>-0.5873320411538463</v>
      </c>
      <c r="AT3">
        <f ca="1">IF(ISERROR(IF(AVERAGE($AT$4:$AT$43) = 0, "", AVERAGE($AT$4:$AT$43))), "", (IF(AVERAGE($AT$4:$AT$43) = 0, "", AVERAGE($AT$4:$AT$43))))</f>
        <v>0.48400713015384622</v>
      </c>
      <c r="AU3">
        <f ca="1">IF(ISERROR(IF(AVERAGE($AU$4:$AU$43) = 0, "", AVERAGE($AU$4:$AU$43))), "", (IF(AVERAGE($AU$4:$AU$43) = 0, "", AVERAGE($AU$4:$AU$43))))</f>
        <v>3.7662383521999998</v>
      </c>
      <c r="AV3">
        <f ca="1">IF(ISERROR(IF(AVERAGE($AV$4:$AV$43) = 0, "", AVERAGE($AV$4:$AV$43))), "", (IF(AVERAGE($AV$4:$AV$43) = 0, "", AVERAGE($AV$4:$AV$43))))</f>
        <v>7.3829683106666666</v>
      </c>
      <c r="AW3">
        <f ca="1">IF(ISERROR(IF(AVERAGE($AW$4:$AW$43) = 0, "", AVERAGE($AW$4:$AW$43))), "", (IF(AVERAGE($AW$4:$AW$43) = 0, "", AVERAGE($AW$4:$AW$43))))</f>
        <v>7.4771426336666664</v>
      </c>
      <c r="AX3">
        <f ca="1">IF(ISERROR(IF(AVERAGE($AX$4:$AX$43) = 0, "", AVERAGE($AX$4:$AX$43))), "", (IF(AVERAGE($AX$4:$AX$43) = 0, "", AVERAGE($AX$4:$AX$43))))</f>
        <v>5.2057316932499997</v>
      </c>
      <c r="AY3">
        <f ca="1">IF(ISERROR(IF(AVERAGE($AY$4:$AY$43) = 0, "", AVERAGE($AY$4:$AY$43))), "", (IF(AVERAGE($AY$4:$AY$43) = 0, "", AVERAGE($AY$4:$AY$43))))</f>
        <v>5.2544821114999998</v>
      </c>
      <c r="AZ3">
        <f ca="1">IF(ISERROR(IF(AVERAGE($AZ$4:$AZ$43) = 0, "", AVERAGE($AZ$4:$AZ$43))), "", (IF(AVERAGE($AZ$4:$AZ$43) = 0, "", AVERAGE($AZ$4:$AZ$43))))</f>
        <v>1.2559033846666667</v>
      </c>
      <c r="BA3">
        <f ca="1">IF(ISERROR(IF(AVERAGE($BA$4:$BA$43) = 0, "", AVERAGE($BA$4:$BA$43))), "", (IF(AVERAGE($BA$4:$BA$43) = 0, "", AVERAGE($BA$4:$BA$43))))</f>
        <v>1.3332110069999998</v>
      </c>
      <c r="BB3">
        <f ca="1">IF(ISERROR(IF(AVERAGE($BB$4:$BB$43) = 0, "", AVERAGE($BB$4:$BB$43))), "", (IF(AVERAGE($BB$4:$BB$43) = 0, "", AVERAGE($BB$4:$BB$43))))</f>
        <v>1.405857479</v>
      </c>
      <c r="BC3">
        <f ca="1">IF(ISERROR(IF(AVERAGE($BC$4:$BC$43) = 0, "", AVERAGE($BC$4:$BC$43))), "", (IF(AVERAGE($BC$4:$BC$43) = 0, "", AVERAGE($BC$4:$BC$43))))</f>
        <v>0.62726863633333318</v>
      </c>
      <c r="BD3">
        <f ca="1">IF(ISERROR(IF(AVERAGE($BD$4:$BD$43) = 0, "", AVERAGE($BD$4:$BD$43))), "", (IF(AVERAGE($BD$4:$BD$43) = 0, "", AVERAGE($BD$4:$BD$43))))</f>
        <v>1.6471776553333333</v>
      </c>
      <c r="BE3">
        <f ca="1">IF(ISERROR(IF(AVERAGE($BE$4:$BE$43) = 0, "", AVERAGE($BE$4:$BE$43))), "", (IF(AVERAGE($BE$4:$BE$43) = 0, "", AVERAGE($BE$4:$BE$43))))</f>
        <v>1.6199504953333335</v>
      </c>
      <c r="BF3">
        <f ca="1">IF(ISERROR(IF(AVERAGE($BF$4:$BF$43) = 0, "", AVERAGE($BF$4:$BF$43))), "", (IF(AVERAGE($BF$4:$BF$43) = 0, "", AVERAGE($BF$4:$BF$43))))</f>
        <v>1.3920621656666665</v>
      </c>
      <c r="BG3">
        <f ca="1">IF(ISERROR(IF(AVERAGE($BG$4:$BG$43) = 0, "", AVERAGE($BG$4:$BG$43))), "", (IF(AVERAGE($BG$4:$BG$43) = 0, "", AVERAGE($BG$4:$BG$43))))</f>
        <v>2.07999775</v>
      </c>
      <c r="BH3">
        <f ca="1">IF(ISERROR(IF(AVERAGE($BH$4:$BH$43) = 0, "", AVERAGE($BH$4:$BH$43))), "", (IF(AVERAGE($BH$4:$BH$43) = 0, "", AVERAGE($BH$4:$BH$43))))</f>
        <v>3.1128367555000001</v>
      </c>
      <c r="BI3">
        <f ca="1">IF(ISERROR(IF(AVERAGE($BI$4:$BI$43) = 0, "", AVERAGE($BI$4:$BI$43))), "", (IF(AVERAGE($BI$4:$BI$43) = 0, "", AVERAGE($BI$4:$BI$43))))</f>
        <v>3.3924957015000001</v>
      </c>
      <c r="BJ3">
        <f ca="1">IF(ISERROR(IF(AVERAGE($BJ$4:$BJ$43) = 0, "", AVERAGE($BJ$4:$BJ$43))), "", (IF(AVERAGE($BJ$4:$BJ$43) = 0, "", AVERAGE($BJ$4:$BJ$43))))</f>
        <v>3.3339051189999998</v>
      </c>
      <c r="BK3">
        <f ca="1">IF(ISERROR(IF(AVERAGE($BK$4:$BK$43) = 0, "", AVERAGE($BK$4:$BK$43))), "", (IF(AVERAGE($BK$4:$BK$43) = 0, "", AVERAGE($BK$4:$BK$43))))</f>
        <v>3.6250378065</v>
      </c>
      <c r="BL3">
        <f ca="1">IF(ISERROR(IF(AVERAGE($BL$4:$BL$43) = 0, "", AVERAGE($BL$4:$BL$43))), "", (IF(AVERAGE($BL$4:$BL$43) = 0, "", AVERAGE($BL$4:$BL$43))))</f>
        <v>2.4183364489999999</v>
      </c>
      <c r="BM3">
        <f ca="1">IF(ISERROR(IF(AVERAGE($BM$4:$BM$43) = 0, "", AVERAGE($BM$4:$BM$43))), "", (IF(AVERAGE($BM$4:$BM$43) = 0, "", AVERAGE($BM$4:$BM$43))))</f>
        <v>2.3849999999999998</v>
      </c>
      <c r="BN3" t="str">
        <f>""</f>
        <v/>
      </c>
      <c r="BO3">
        <f>4.365866941</f>
        <v>4.3658669410000002</v>
      </c>
      <c r="BP3">
        <f>3.31401996</f>
        <v>3.31401996</v>
      </c>
      <c r="BQ3">
        <f>3.198871861</f>
        <v>3.1988718610000002</v>
      </c>
      <c r="BR3">
        <f>3.212688012</f>
        <v>3.2126880120000001</v>
      </c>
      <c r="BS3">
        <f>3.272025732</f>
        <v>3.2720257319999999</v>
      </c>
      <c r="BT3">
        <f>2.995387181</f>
        <v>2.9953871809999999</v>
      </c>
      <c r="BU3">
        <f>3.162823924</f>
        <v>3.162823924</v>
      </c>
      <c r="BV3">
        <f>3.173714331</f>
        <v>3.1737143310000002</v>
      </c>
      <c r="BW3">
        <f>2.980084765</f>
        <v>2.980084765</v>
      </c>
      <c r="BX3">
        <f>3.03205005</f>
        <v>3.0320500500000001</v>
      </c>
      <c r="BY3">
        <f>2.947277994</f>
        <v>2.9472779939999998</v>
      </c>
      <c r="BZ3">
        <f>2.929955383</f>
        <v>2.9299553829999998</v>
      </c>
      <c r="CA3">
        <f>3.084386584</f>
        <v>3.0843865840000002</v>
      </c>
      <c r="CB3">
        <f>3.087761449</f>
        <v>3.0877614489999998</v>
      </c>
      <c r="CC3">
        <f>3.197014646</f>
        <v>3.197014646</v>
      </c>
      <c r="CD3">
        <f>3.453697231</f>
        <v>3.453697231</v>
      </c>
      <c r="CE3">
        <f>3.508720765</f>
        <v>3.5087207650000001</v>
      </c>
      <c r="CF3">
        <f>3.706873598</f>
        <v>3.706873598</v>
      </c>
      <c r="CG3">
        <f>3.682725197</f>
        <v>3.6827251969999999</v>
      </c>
      <c r="CH3">
        <f>3.620230182</f>
        <v>3.6202301819999998</v>
      </c>
      <c r="CI3">
        <f>3.520032534</f>
        <v>3.5200325339999998</v>
      </c>
      <c r="CJ3">
        <f>3.266536258</f>
        <v>3.2665362579999999</v>
      </c>
      <c r="CK3">
        <f>4.034440032</f>
        <v>4.034440032</v>
      </c>
      <c r="CL3">
        <f>4.227838972</f>
        <v>4.2278389719999998</v>
      </c>
      <c r="CM3">
        <f>4.3579938</f>
        <v>4.3579938</v>
      </c>
      <c r="CN3">
        <f>4.808911347</f>
        <v>4.8089113469999996</v>
      </c>
      <c r="CO3">
        <f>4.377047809</f>
        <v>4.3770478089999996</v>
      </c>
      <c r="CP3">
        <f>4.45499607</f>
        <v>4.45499607</v>
      </c>
      <c r="CQ3">
        <f>4.082968725</f>
        <v>4.0829687249999997</v>
      </c>
      <c r="CR3">
        <f>4.321773348</f>
        <v>4.3217733479999998</v>
      </c>
      <c r="CS3">
        <f>3.68586638</f>
        <v>3.6858663800000002</v>
      </c>
      <c r="CT3">
        <f>2.959543841</f>
        <v>2.9595438409999999</v>
      </c>
      <c r="CU3">
        <f>2.47325846</f>
        <v>2.4732584599999998</v>
      </c>
      <c r="CV3">
        <f>0.735931056</f>
        <v>0.73593105599999997</v>
      </c>
      <c r="CW3">
        <f>5.138302276</f>
        <v>5.1383022760000001</v>
      </c>
      <c r="CX3">
        <f>4.038134092</f>
        <v>4.038134092</v>
      </c>
      <c r="CY3">
        <f>2.880257273</f>
        <v>2.8802572729999998</v>
      </c>
      <c r="CZ3">
        <f>-0.884045617</f>
        <v>-0.88404561699999995</v>
      </c>
      <c r="DA3">
        <f>-0.587332041</f>
        <v>-0.58733204100000003</v>
      </c>
      <c r="DB3">
        <f>0.48400713</f>
        <v>0.48400713000000001</v>
      </c>
      <c r="DC3">
        <f>3.766238351</f>
        <v>3.7662383510000002</v>
      </c>
      <c r="DD3">
        <f>7.382968311</f>
        <v>7.382968311</v>
      </c>
      <c r="DE3">
        <f>7.477142633</f>
        <v>7.4771426329999997</v>
      </c>
      <c r="DF3">
        <f>5.205731694</f>
        <v>5.2057316939999998</v>
      </c>
      <c r="DG3">
        <f>5.254482112</f>
        <v>5.2544821119999998</v>
      </c>
      <c r="DH3">
        <f>1.255903384</f>
        <v>1.255903384</v>
      </c>
      <c r="DI3">
        <f>1.333211007</f>
        <v>1.3332110070000001</v>
      </c>
      <c r="DJ3">
        <f>1.405857479</f>
        <v>1.405857479</v>
      </c>
      <c r="DK3">
        <f>0.627268636</f>
        <v>0.62726863600000005</v>
      </c>
      <c r="DL3">
        <f>1.647177655</f>
        <v>1.6471776549999999</v>
      </c>
      <c r="DM3">
        <f>1.619950495</f>
        <v>1.6199504950000001</v>
      </c>
      <c r="DN3">
        <f>1.392062166</f>
        <v>1.3920621660000001</v>
      </c>
      <c r="DO3">
        <f>2.07999775</f>
        <v>2.07999775</v>
      </c>
      <c r="DP3">
        <f>3.112836755</f>
        <v>3.112836755</v>
      </c>
      <c r="DQ3">
        <f>3.392495702</f>
        <v>3.3924957020000002</v>
      </c>
      <c r="DR3">
        <f>3.333905119</f>
        <v>3.3339051190000002</v>
      </c>
      <c r="DS3">
        <f>3.625037807</f>
        <v>3.625037807</v>
      </c>
      <c r="DT3">
        <f>2.418336449</f>
        <v>2.4183364489999999</v>
      </c>
      <c r="DU3">
        <f>2.385</f>
        <v>2.3849999999999998</v>
      </c>
    </row>
    <row r="4" spans="1:125" x14ac:dyDescent="0.25">
      <c r="A4" t="str">
        <f>"    AUDI AG"</f>
        <v xml:space="preserve">    AUDI AG</v>
      </c>
      <c r="B4" t="str">
        <f>"NSU GR Equity"</f>
        <v>NSU GR Equity</v>
      </c>
      <c r="C4" t="str">
        <f t="shared" ref="C4:C43" si="0">"RR844"</f>
        <v>RR844</v>
      </c>
      <c r="D4" t="str">
        <f t="shared" ref="D4:D43" si="1">"T12M_DIL_EPS_CONT_OPS"</f>
        <v>T12M_DIL_EPS_CONT_OPS</v>
      </c>
      <c r="E4" t="str">
        <f t="shared" ref="E4:E43" si="2">"Dynamic"</f>
        <v>Dynamic</v>
      </c>
      <c r="F4" t="str">
        <f ca="1">IF(AND(ISNUMBER($F$513),$B$511=1),$F$513,HLOOKUP(INDIRECT(ADDRESS(2,COLUMN())),OFFSET($BN$2,0,0,ROW()-1,60),ROW()-1,FALSE))</f>
        <v/>
      </c>
      <c r="G4" t="str">
        <f ca="1">IF(AND(ISNUMBER($G$513),$B$511=1),$G$513,HLOOKUP(INDIRECT(ADDRESS(2,COLUMN())),OFFSET($BN$2,0,0,ROW()-1,60),ROW()-1,FALSE))</f>
        <v/>
      </c>
      <c r="H4" t="str">
        <f ca="1">IF(AND(ISNUMBER($H$513),$B$511=1),$H$513,HLOOKUP(INDIRECT(ADDRESS(2,COLUMN())),OFFSET($BN$2,0,0,ROW()-1,60),ROW()-1,FALSE))</f>
        <v/>
      </c>
      <c r="I4" t="str">
        <f ca="1">IF(AND(ISNUMBER($I$513),$B$511=1),$I$513,HLOOKUP(INDIRECT(ADDRESS(2,COLUMN())),OFFSET($BN$2,0,0,ROW()-1,60),ROW()-1,FALSE))</f>
        <v/>
      </c>
      <c r="J4" t="str">
        <f ca="1">IF(AND(ISNUMBER($J$513),$B$511=1),$J$513,HLOOKUP(INDIRECT(ADDRESS(2,COLUMN())),OFFSET($BN$2,0,0,ROW()-1,60),ROW()-1,FALSE))</f>
        <v/>
      </c>
      <c r="K4" t="str">
        <f ca="1">IF(AND(ISNUMBER($K$513),$B$511=1),$K$513,HLOOKUP(INDIRECT(ADDRESS(2,COLUMN())),OFFSET($BN$2,0,0,ROW()-1,60),ROW()-1,FALSE))</f>
        <v/>
      </c>
      <c r="L4" t="str">
        <f ca="1">IF(AND(ISNUMBER($L$513),$B$511=1),$L$513,HLOOKUP(INDIRECT(ADDRESS(2,COLUMN())),OFFSET($BN$2,0,0,ROW()-1,60),ROW()-1,FALSE))</f>
        <v/>
      </c>
      <c r="M4" t="str">
        <f ca="1">IF(AND(ISNUMBER($M$513),$B$511=1),$M$513,HLOOKUP(INDIRECT(ADDRESS(2,COLUMN())),OFFSET($BN$2,0,0,ROW()-1,60),ROW()-1,FALSE))</f>
        <v/>
      </c>
      <c r="N4" t="str">
        <f ca="1">IF(AND(ISNUMBER($N$513),$B$511=1),$N$513,HLOOKUP(INDIRECT(ADDRESS(2,COLUMN())),OFFSET($BN$2,0,0,ROW()-1,60),ROW()-1,FALSE))</f>
        <v/>
      </c>
      <c r="O4" t="str">
        <f ca="1">IF(AND(ISNUMBER($O$513),$B$511=1),$O$513,HLOOKUP(INDIRECT(ADDRESS(2,COLUMN())),OFFSET($BN$2,0,0,ROW()-1,60),ROW()-1,FALSE))</f>
        <v/>
      </c>
      <c r="P4" t="str">
        <f ca="1">IF(AND(ISNUMBER($P$513),$B$511=1),$P$513,HLOOKUP(INDIRECT(ADDRESS(2,COLUMN())),OFFSET($BN$2,0,0,ROW()-1,60),ROW()-1,FALSE))</f>
        <v/>
      </c>
      <c r="Q4" t="str">
        <f ca="1">IF(AND(ISNUMBER($Q$513),$B$511=1),$Q$513,HLOOKUP(INDIRECT(ADDRESS(2,COLUMN())),OFFSET($BN$2,0,0,ROW()-1,60),ROW()-1,FALSE))</f>
        <v/>
      </c>
      <c r="R4" t="str">
        <f ca="1">IF(AND(ISNUMBER($R$513),$B$511=1),$R$513,HLOOKUP(INDIRECT(ADDRESS(2,COLUMN())),OFFSET($BN$2,0,0,ROW()-1,60),ROW()-1,FALSE))</f>
        <v/>
      </c>
      <c r="S4" t="str">
        <f ca="1">IF(AND(ISNUMBER($S$513),$B$511=1),$S$513,HLOOKUP(INDIRECT(ADDRESS(2,COLUMN())),OFFSET($BN$2,0,0,ROW()-1,60),ROW()-1,FALSE))</f>
        <v/>
      </c>
      <c r="T4" t="str">
        <f ca="1">IF(AND(ISNUMBER($T$513),$B$511=1),$T$513,HLOOKUP(INDIRECT(ADDRESS(2,COLUMN())),OFFSET($BN$2,0,0,ROW()-1,60),ROW()-1,FALSE))</f>
        <v/>
      </c>
      <c r="U4" t="str">
        <f ca="1">IF(AND(ISNUMBER($U$513),$B$511=1),$U$513,HLOOKUP(INDIRECT(ADDRESS(2,COLUMN())),OFFSET($BN$2,0,0,ROW()-1,60),ROW()-1,FALSE))</f>
        <v/>
      </c>
      <c r="V4" t="str">
        <f ca="1">IF(AND(ISNUMBER($V$513),$B$511=1),$V$513,HLOOKUP(INDIRECT(ADDRESS(2,COLUMN())),OFFSET($BN$2,0,0,ROW()-1,60),ROW()-1,FALSE))</f>
        <v/>
      </c>
      <c r="W4" t="str">
        <f ca="1">IF(AND(ISNUMBER($W$513),$B$511=1),$W$513,HLOOKUP(INDIRECT(ADDRESS(2,COLUMN())),OFFSET($BN$2,0,0,ROW()-1,60),ROW()-1,FALSE))</f>
        <v/>
      </c>
      <c r="X4" t="str">
        <f ca="1">IF(AND(ISNUMBER($X$513),$B$511=1),$X$513,HLOOKUP(INDIRECT(ADDRESS(2,COLUMN())),OFFSET($BN$2,0,0,ROW()-1,60),ROW()-1,FALSE))</f>
        <v/>
      </c>
      <c r="Y4" t="str">
        <f ca="1">IF(AND(ISNUMBER($Y$513),$B$511=1),$Y$513,HLOOKUP(INDIRECT(ADDRESS(2,COLUMN())),OFFSET($BN$2,0,0,ROW()-1,60),ROW()-1,FALSE))</f>
        <v/>
      </c>
      <c r="Z4" t="str">
        <f ca="1">IF(AND(ISNUMBER($Z$513),$B$511=1),$Z$513,HLOOKUP(INDIRECT(ADDRESS(2,COLUMN())),OFFSET($BN$2,0,0,ROW()-1,60),ROW()-1,FALSE))</f>
        <v/>
      </c>
      <c r="AA4" t="str">
        <f ca="1">IF(AND(ISNUMBER($AA$513),$B$511=1),$AA$513,HLOOKUP(INDIRECT(ADDRESS(2,COLUMN())),OFFSET($BN$2,0,0,ROW()-1,60),ROW()-1,FALSE))</f>
        <v/>
      </c>
      <c r="AB4" t="str">
        <f ca="1">IF(AND(ISNUMBER($AB$513),$B$511=1),$AB$513,HLOOKUP(INDIRECT(ADDRESS(2,COLUMN())),OFFSET($BN$2,0,0,ROW()-1,60),ROW()-1,FALSE))</f>
        <v/>
      </c>
      <c r="AC4" t="str">
        <f ca="1">IF(AND(ISNUMBER($AC$513),$B$511=1),$AC$513,HLOOKUP(INDIRECT(ADDRESS(2,COLUMN())),OFFSET($BN$2,0,0,ROW()-1,60),ROW()-1,FALSE))</f>
        <v/>
      </c>
      <c r="AD4" t="str">
        <f ca="1">IF(AND(ISNUMBER($AD$513),$B$511=1),$AD$513,HLOOKUP(INDIRECT(ADDRESS(2,COLUMN())),OFFSET($BN$2,0,0,ROW()-1,60),ROW()-1,FALSE))</f>
        <v/>
      </c>
      <c r="AE4" t="str">
        <f ca="1">IF(AND(ISNUMBER($AE$513),$B$511=1),$AE$513,HLOOKUP(INDIRECT(ADDRESS(2,COLUMN())),OFFSET($BN$2,0,0,ROW()-1,60),ROW()-1,FALSE))</f>
        <v/>
      </c>
      <c r="AF4" t="str">
        <f ca="1">IF(AND(ISNUMBER($AF$513),$B$511=1),$AF$513,HLOOKUP(INDIRECT(ADDRESS(2,COLUMN())),OFFSET($BN$2,0,0,ROW()-1,60),ROW()-1,FALSE))</f>
        <v/>
      </c>
      <c r="AG4" t="str">
        <f ca="1">IF(AND(ISNUMBER($AG$513),$B$511=1),$AG$513,HLOOKUP(INDIRECT(ADDRESS(2,COLUMN())),OFFSET($BN$2,0,0,ROW()-1,60),ROW()-1,FALSE))</f>
        <v/>
      </c>
      <c r="AH4" t="str">
        <f ca="1">IF(AND(ISNUMBER($AH$513),$B$511=1),$AH$513,HLOOKUP(INDIRECT(ADDRESS(2,COLUMN())),OFFSET($BN$2,0,0,ROW()-1,60),ROW()-1,FALSE))</f>
        <v/>
      </c>
      <c r="AI4" t="str">
        <f ca="1">IF(AND(ISNUMBER($AI$513),$B$511=1),$AI$513,HLOOKUP(INDIRECT(ADDRESS(2,COLUMN())),OFFSET($BN$2,0,0,ROW()-1,60),ROW()-1,FALSE))</f>
        <v/>
      </c>
      <c r="AJ4" t="str">
        <f ca="1">IF(AND(ISNUMBER($AJ$513),$B$511=1),$AJ$513,HLOOKUP(INDIRECT(ADDRESS(2,COLUMN())),OFFSET($BN$2,0,0,ROW()-1,60),ROW()-1,FALSE))</f>
        <v/>
      </c>
      <c r="AK4" t="str">
        <f ca="1">IF(AND(ISNUMBER($AK$513),$B$511=1),$AK$513,HLOOKUP(INDIRECT(ADDRESS(2,COLUMN())),OFFSET($BN$2,0,0,ROW()-1,60),ROW()-1,FALSE))</f>
        <v/>
      </c>
      <c r="AL4" t="str">
        <f ca="1">IF(AND(ISNUMBER($AL$513),$B$511=1),$AL$513,HLOOKUP(INDIRECT(ADDRESS(2,COLUMN())),OFFSET($BN$2,0,0,ROW()-1,60),ROW()-1,FALSE))</f>
        <v/>
      </c>
      <c r="AM4" t="str">
        <f ca="1">IF(AND(ISNUMBER($AM$513),$B$511=1),$AM$513,HLOOKUP(INDIRECT(ADDRESS(2,COLUMN())),OFFSET($BN$2,0,0,ROW()-1,60),ROW()-1,FALSE))</f>
        <v/>
      </c>
      <c r="AN4" t="str">
        <f ca="1">IF(AND(ISNUMBER($AN$513),$B$511=1),$AN$513,HLOOKUP(INDIRECT(ADDRESS(2,COLUMN())),OFFSET($BN$2,0,0,ROW()-1,60),ROW()-1,FALSE))</f>
        <v/>
      </c>
      <c r="AO4" t="str">
        <f ca="1">IF(AND(ISNUMBER($AO$513),$B$511=1),$AO$513,HLOOKUP(INDIRECT(ADDRESS(2,COLUMN())),OFFSET($BN$2,0,0,ROW()-1,60),ROW()-1,FALSE))</f>
        <v/>
      </c>
      <c r="AP4" t="str">
        <f ca="1">IF(AND(ISNUMBER($AP$513),$B$511=1),$AP$513,HLOOKUP(INDIRECT(ADDRESS(2,COLUMN())),OFFSET($BN$2,0,0,ROW()-1,60),ROW()-1,FALSE))</f>
        <v/>
      </c>
      <c r="AQ4" t="str">
        <f ca="1">IF(AND(ISNUMBER($AQ$513),$B$511=1),$AQ$513,HLOOKUP(INDIRECT(ADDRESS(2,COLUMN())),OFFSET($BN$2,0,0,ROW()-1,60),ROW()-1,FALSE))</f>
        <v/>
      </c>
      <c r="AR4" t="str">
        <f ca="1">IF(AND(ISNUMBER($AR$513),$B$511=1),$AR$513,HLOOKUP(INDIRECT(ADDRESS(2,COLUMN())),OFFSET($BN$2,0,0,ROW()-1,60),ROW()-1,FALSE))</f>
        <v/>
      </c>
      <c r="AS4" t="str">
        <f ca="1">IF(AND(ISNUMBER($AS$513),$B$511=1),$AS$513,HLOOKUP(INDIRECT(ADDRESS(2,COLUMN())),OFFSET($BN$2,0,0,ROW()-1,60),ROW()-1,FALSE))</f>
        <v/>
      </c>
      <c r="AT4" t="str">
        <f ca="1">IF(AND(ISNUMBER($AT$513),$B$511=1),$AT$513,HLOOKUP(INDIRECT(ADDRESS(2,COLUMN())),OFFSET($BN$2,0,0,ROW()-1,60),ROW()-1,FALSE))</f>
        <v/>
      </c>
      <c r="AU4" t="str">
        <f ca="1">IF(AND(ISNUMBER($AU$513),$B$511=1),$AU$513,HLOOKUP(INDIRECT(ADDRESS(2,COLUMN())),OFFSET($BN$2,0,0,ROW()-1,60),ROW()-1,FALSE))</f>
        <v/>
      </c>
      <c r="AV4" t="str">
        <f ca="1">IF(AND(ISNUMBER($AV$513),$B$511=1),$AV$513,HLOOKUP(INDIRECT(ADDRESS(2,COLUMN())),OFFSET($BN$2,0,0,ROW()-1,60),ROW()-1,FALSE))</f>
        <v/>
      </c>
      <c r="AW4" t="str">
        <f ca="1">IF(AND(ISNUMBER($AW$513),$B$511=1),$AW$513,HLOOKUP(INDIRECT(ADDRESS(2,COLUMN())),OFFSET($BN$2,0,0,ROW()-1,60),ROW()-1,FALSE))</f>
        <v/>
      </c>
      <c r="AX4" t="str">
        <f ca="1">IF(AND(ISNUMBER($AX$513),$B$511=1),$AX$513,HLOOKUP(INDIRECT(ADDRESS(2,COLUMN())),OFFSET($BN$2,0,0,ROW()-1,60),ROW()-1,FALSE))</f>
        <v/>
      </c>
      <c r="AY4" t="str">
        <f ca="1">IF(AND(ISNUMBER($AY$513),$B$511=1),$AY$513,HLOOKUP(INDIRECT(ADDRESS(2,COLUMN())),OFFSET($BN$2,0,0,ROW()-1,60),ROW()-1,FALSE))</f>
        <v/>
      </c>
      <c r="AZ4" t="str">
        <f ca="1">IF(AND(ISNUMBER($AZ$513),$B$511=1),$AZ$513,HLOOKUP(INDIRECT(ADDRESS(2,COLUMN())),OFFSET($BN$2,0,0,ROW()-1,60),ROW()-1,FALSE))</f>
        <v/>
      </c>
      <c r="BA4" t="str">
        <f ca="1">IF(AND(ISNUMBER($BA$513),$B$511=1),$BA$513,HLOOKUP(INDIRECT(ADDRESS(2,COLUMN())),OFFSET($BN$2,0,0,ROW()-1,60),ROW()-1,FALSE))</f>
        <v/>
      </c>
      <c r="BB4" t="str">
        <f ca="1">IF(AND(ISNUMBER($BB$513),$B$511=1),$BB$513,HLOOKUP(INDIRECT(ADDRESS(2,COLUMN())),OFFSET($BN$2,0,0,ROW()-1,60),ROW()-1,FALSE))</f>
        <v/>
      </c>
      <c r="BC4" t="str">
        <f ca="1">IF(AND(ISNUMBER($BC$513),$B$511=1),$BC$513,HLOOKUP(INDIRECT(ADDRESS(2,COLUMN())),OFFSET($BN$2,0,0,ROW()-1,60),ROW()-1,FALSE))</f>
        <v/>
      </c>
      <c r="BD4" t="str">
        <f ca="1">IF(AND(ISNUMBER($BD$513),$B$511=1),$BD$513,HLOOKUP(INDIRECT(ADDRESS(2,COLUMN())),OFFSET($BN$2,0,0,ROW()-1,60),ROW()-1,FALSE))</f>
        <v/>
      </c>
      <c r="BE4" t="str">
        <f ca="1">IF(AND(ISNUMBER($BE$513),$B$511=1),$BE$513,HLOOKUP(INDIRECT(ADDRESS(2,COLUMN())),OFFSET($BN$2,0,0,ROW()-1,60),ROW()-1,FALSE))</f>
        <v/>
      </c>
      <c r="BF4" t="str">
        <f ca="1">IF(AND(ISNUMBER($BF$513),$B$511=1),$BF$513,HLOOKUP(INDIRECT(ADDRESS(2,COLUMN())),OFFSET($BN$2,0,0,ROW()-1,60),ROW()-1,FALSE))</f>
        <v/>
      </c>
      <c r="BG4" t="str">
        <f ca="1">IF(AND(ISNUMBER($BG$513),$B$511=1),$BG$513,HLOOKUP(INDIRECT(ADDRESS(2,COLUMN())),OFFSET($BN$2,0,0,ROW()-1,60),ROW()-1,FALSE))</f>
        <v/>
      </c>
      <c r="BH4" t="str">
        <f ca="1">IF(AND(ISNUMBER($BH$513),$B$511=1),$BH$513,HLOOKUP(INDIRECT(ADDRESS(2,COLUMN())),OFFSET($BN$2,0,0,ROW()-1,60),ROW()-1,FALSE))</f>
        <v/>
      </c>
      <c r="BI4" t="str">
        <f ca="1">IF(AND(ISNUMBER($BI$513),$B$511=1),$BI$513,HLOOKUP(INDIRECT(ADDRESS(2,COLUMN())),OFFSET($BN$2,0,0,ROW()-1,60),ROW()-1,FALSE))</f>
        <v/>
      </c>
      <c r="BJ4" t="str">
        <f ca="1">IF(AND(ISNUMBER($BJ$513),$B$511=1),$BJ$513,HLOOKUP(INDIRECT(ADDRESS(2,COLUMN())),OFFSET($BN$2,0,0,ROW()-1,60),ROW()-1,FALSE))</f>
        <v/>
      </c>
      <c r="BK4" t="str">
        <f ca="1">IF(AND(ISNUMBER($BK$513),$B$511=1),$BK$513,HLOOKUP(INDIRECT(ADDRESS(2,COLUMN())),OFFSET($BN$2,0,0,ROW()-1,60),ROW()-1,FALSE))</f>
        <v/>
      </c>
      <c r="BL4" t="str">
        <f ca="1">IF(AND(ISNUMBER($BL$513),$B$511=1),$BL$513,HLOOKUP(INDIRECT(ADDRESS(2,COLUMN())),OFFSET($BN$2,0,0,ROW()-1,60),ROW()-1,FALSE))</f>
        <v/>
      </c>
      <c r="BM4" t="str">
        <f ca="1">IF(AND(ISNUMBER($BM$513),$B$511=1),$BM$513,HLOOKUP(INDIRECT(ADDRESS(2,COLUMN())),OFFSET($BN$2,0,0,ROW()-1,60),ROW()-1,FALSE))</f>
        <v/>
      </c>
      <c r="BN4" t="str">
        <f>""</f>
        <v/>
      </c>
      <c r="BO4" t="str">
        <f>""</f>
        <v/>
      </c>
      <c r="BP4" t="str">
        <f>""</f>
        <v/>
      </c>
      <c r="BQ4" t="str">
        <f>""</f>
        <v/>
      </c>
      <c r="BR4" t="str">
        <f>""</f>
        <v/>
      </c>
      <c r="BS4" t="str">
        <f>""</f>
        <v/>
      </c>
      <c r="BT4" t="str">
        <f>""</f>
        <v/>
      </c>
      <c r="BU4" t="str">
        <f>""</f>
        <v/>
      </c>
      <c r="BV4" t="str">
        <f>""</f>
        <v/>
      </c>
      <c r="BW4" t="str">
        <f>""</f>
        <v/>
      </c>
      <c r="BX4" t="str">
        <f>""</f>
        <v/>
      </c>
      <c r="BY4" t="str">
        <f>""</f>
        <v/>
      </c>
      <c r="BZ4" t="str">
        <f>""</f>
        <v/>
      </c>
      <c r="CA4" t="str">
        <f>""</f>
        <v/>
      </c>
      <c r="CB4" t="str">
        <f>""</f>
        <v/>
      </c>
      <c r="CC4" t="str">
        <f>""</f>
        <v/>
      </c>
      <c r="CD4" t="str">
        <f>""</f>
        <v/>
      </c>
      <c r="CE4" t="str">
        <f>""</f>
        <v/>
      </c>
      <c r="CF4" t="str">
        <f>""</f>
        <v/>
      </c>
      <c r="CG4" t="str">
        <f>""</f>
        <v/>
      </c>
      <c r="CH4" t="str">
        <f>""</f>
        <v/>
      </c>
      <c r="CI4" t="str">
        <f>""</f>
        <v/>
      </c>
      <c r="CJ4" t="str">
        <f>""</f>
        <v/>
      </c>
      <c r="CK4" t="str">
        <f>""</f>
        <v/>
      </c>
      <c r="CL4" t="str">
        <f>""</f>
        <v/>
      </c>
      <c r="CM4" t="str">
        <f>""</f>
        <v/>
      </c>
      <c r="CN4" t="str">
        <f>""</f>
        <v/>
      </c>
      <c r="CO4" t="str">
        <f>""</f>
        <v/>
      </c>
      <c r="CP4" t="str">
        <f>""</f>
        <v/>
      </c>
      <c r="CQ4" t="str">
        <f>""</f>
        <v/>
      </c>
      <c r="CR4" t="str">
        <f>""</f>
        <v/>
      </c>
      <c r="CS4" t="str">
        <f>""</f>
        <v/>
      </c>
      <c r="CT4" t="str">
        <f>""</f>
        <v/>
      </c>
      <c r="CU4" t="str">
        <f>""</f>
        <v/>
      </c>
      <c r="CV4" t="str">
        <f>""</f>
        <v/>
      </c>
      <c r="CW4" t="str">
        <f>""</f>
        <v/>
      </c>
      <c r="CX4" t="str">
        <f>""</f>
        <v/>
      </c>
      <c r="CY4" t="str">
        <f>""</f>
        <v/>
      </c>
      <c r="CZ4" t="str">
        <f>""</f>
        <v/>
      </c>
      <c r="DA4" t="str">
        <f>""</f>
        <v/>
      </c>
      <c r="DB4" t="str">
        <f>""</f>
        <v/>
      </c>
      <c r="DC4" t="str">
        <f>""</f>
        <v/>
      </c>
      <c r="DD4" t="str">
        <f>""</f>
        <v/>
      </c>
      <c r="DE4" t="str">
        <f>""</f>
        <v/>
      </c>
      <c r="DF4" t="str">
        <f>""</f>
        <v/>
      </c>
      <c r="DG4" t="str">
        <f>""</f>
        <v/>
      </c>
      <c r="DH4" t="str">
        <f>""</f>
        <v/>
      </c>
      <c r="DI4" t="str">
        <f>""</f>
        <v/>
      </c>
      <c r="DJ4" t="str">
        <f>""</f>
        <v/>
      </c>
      <c r="DK4" t="str">
        <f>""</f>
        <v/>
      </c>
      <c r="DL4" t="str">
        <f>""</f>
        <v/>
      </c>
      <c r="DM4" t="str">
        <f>""</f>
        <v/>
      </c>
      <c r="DN4" t="str">
        <f>""</f>
        <v/>
      </c>
      <c r="DO4" t="str">
        <f>""</f>
        <v/>
      </c>
      <c r="DP4" t="str">
        <f>""</f>
        <v/>
      </c>
      <c r="DQ4" t="str">
        <f>""</f>
        <v/>
      </c>
      <c r="DR4" t="str">
        <f>""</f>
        <v/>
      </c>
      <c r="DS4" t="str">
        <f>""</f>
        <v/>
      </c>
      <c r="DT4" t="str">
        <f>""</f>
        <v/>
      </c>
      <c r="DU4" t="str">
        <f>""</f>
        <v/>
      </c>
    </row>
    <row r="5" spans="1:125" x14ac:dyDescent="0.25">
      <c r="A5" t="str">
        <f>"    Avtovaz PJSC"</f>
        <v xml:space="preserve">    Avtovaz PJSC</v>
      </c>
      <c r="B5" t="str">
        <f>"AVAZ RM Equity"</f>
        <v>AVAZ RM Equity</v>
      </c>
      <c r="C5" t="str">
        <f t="shared" si="0"/>
        <v>RR844</v>
      </c>
      <c r="D5" t="str">
        <f t="shared" si="1"/>
        <v>T12M_DIL_EPS_CONT_OPS</v>
      </c>
      <c r="E5" t="str">
        <f t="shared" si="2"/>
        <v>Dynamic</v>
      </c>
      <c r="F5" t="str">
        <f ca="1">IF(AND(ISNUMBER($F$514),$B$511=1),$F$514,HLOOKUP(INDIRECT(ADDRESS(2,COLUMN())),OFFSET($BN$2,0,0,ROW()-1,60),ROW()-1,FALSE))</f>
        <v/>
      </c>
      <c r="G5" t="str">
        <f ca="1">IF(AND(ISNUMBER($G$514),$B$511=1),$G$514,HLOOKUP(INDIRECT(ADDRESS(2,COLUMN())),OFFSET($BN$2,0,0,ROW()-1,60),ROW()-1,FALSE))</f>
        <v/>
      </c>
      <c r="H5">
        <f ca="1">IF(AND(ISNUMBER($H$514),$B$511=1),$H$514,HLOOKUP(INDIRECT(ADDRESS(2,COLUMN())),OFFSET($BN$2,0,0,ROW()-1,60),ROW()-1,FALSE))</f>
        <v>3.4831580000000001E-3</v>
      </c>
      <c r="I5">
        <f ca="1">IF(AND(ISNUMBER($I$514),$B$511=1),$I$514,HLOOKUP(INDIRECT(ADDRESS(2,COLUMN())),OFFSET($BN$2,0,0,ROW()-1,60),ROW()-1,FALSE))</f>
        <v>-5.8437489999999996E-3</v>
      </c>
      <c r="J5">
        <f ca="1">IF(AND(ISNUMBER($J$514),$B$511=1),$J$514,HLOOKUP(INDIRECT(ADDRESS(2,COLUMN())),OFFSET($BN$2,0,0,ROW()-1,60),ROW()-1,FALSE))</f>
        <v>-1.5278299E-2</v>
      </c>
      <c r="K5">
        <f ca="1">IF(AND(ISNUMBER($K$514),$B$511=1),$K$514,HLOOKUP(INDIRECT(ADDRESS(2,COLUMN())),OFFSET($BN$2,0,0,ROW()-1,60),ROW()-1,FALSE))</f>
        <v>-2.7365206E-2</v>
      </c>
      <c r="L5">
        <f ca="1">IF(AND(ISNUMBER($L$514),$B$511=1),$L$514,HLOOKUP(INDIRECT(ADDRESS(2,COLUMN())),OFFSET($BN$2,0,0,ROW()-1,60),ROW()-1,FALSE))</f>
        <v>4.4187879999999999E-3</v>
      </c>
      <c r="M5">
        <f ca="1">IF(AND(ISNUMBER($M$514),$B$511=1),$M$514,HLOOKUP(INDIRECT(ADDRESS(2,COLUMN())),OFFSET($BN$2,0,0,ROW()-1,60),ROW()-1,FALSE))</f>
        <v>-0.14500538199999999</v>
      </c>
      <c r="N5">
        <f ca="1">IF(AND(ISNUMBER($N$514),$B$511=1),$N$514,HLOOKUP(INDIRECT(ADDRESS(2,COLUMN())),OFFSET($BN$2,0,0,ROW()-1,60),ROW()-1,FALSE))</f>
        <v>-0.15659152500000001</v>
      </c>
      <c r="O5">
        <f ca="1">IF(AND(ISNUMBER($O$514),$B$511=1),$O$514,HLOOKUP(INDIRECT(ADDRESS(2,COLUMN())),OFFSET($BN$2,0,0,ROW()-1,60),ROW()-1,FALSE))</f>
        <v>-0.19172040800000001</v>
      </c>
      <c r="P5">
        <f ca="1">IF(AND(ISNUMBER($P$514),$B$511=1),$P$514,HLOOKUP(INDIRECT(ADDRESS(2,COLUMN())),OFFSET($BN$2,0,0,ROW()-1,60),ROW()-1,FALSE))</f>
        <v>-0.40081006699999999</v>
      </c>
      <c r="Q5">
        <f ca="1">IF(AND(ISNUMBER($Q$514),$B$511=1),$Q$514,HLOOKUP(INDIRECT(ADDRESS(2,COLUMN())),OFFSET($BN$2,0,0,ROW()-1,60),ROW()-1,FALSE))</f>
        <v>-0.346736763</v>
      </c>
      <c r="R5" t="str">
        <f ca="1">IF(AND(ISNUMBER($R$514),$B$511=1),$R$514,HLOOKUP(INDIRECT(ADDRESS(2,COLUMN())),OFFSET($BN$2,0,0,ROW()-1,60),ROW()-1,FALSE))</f>
        <v/>
      </c>
      <c r="S5" t="str">
        <f ca="1">IF(AND(ISNUMBER($S$514),$B$511=1),$S$514,HLOOKUP(INDIRECT(ADDRESS(2,COLUMN())),OFFSET($BN$2,0,0,ROW()-1,60),ROW()-1,FALSE))</f>
        <v/>
      </c>
      <c r="T5" t="str">
        <f ca="1">IF(AND(ISNUMBER($T$514),$B$511=1),$T$514,HLOOKUP(INDIRECT(ADDRESS(2,COLUMN())),OFFSET($BN$2,0,0,ROW()-1,60),ROW()-1,FALSE))</f>
        <v/>
      </c>
      <c r="U5" t="str">
        <f ca="1">IF(AND(ISNUMBER($U$514),$B$511=1),$U$514,HLOOKUP(INDIRECT(ADDRESS(2,COLUMN())),OFFSET($BN$2,0,0,ROW()-1,60),ROW()-1,FALSE))</f>
        <v/>
      </c>
      <c r="V5" t="str">
        <f ca="1">IF(AND(ISNUMBER($V$514),$B$511=1),$V$514,HLOOKUP(INDIRECT(ADDRESS(2,COLUMN())),OFFSET($BN$2,0,0,ROW()-1,60),ROW()-1,FALSE))</f>
        <v/>
      </c>
      <c r="W5" t="str">
        <f ca="1">IF(AND(ISNUMBER($W$514),$B$511=1),$W$514,HLOOKUP(INDIRECT(ADDRESS(2,COLUMN())),OFFSET($BN$2,0,0,ROW()-1,60),ROW()-1,FALSE))</f>
        <v/>
      </c>
      <c r="X5" t="str">
        <f ca="1">IF(AND(ISNUMBER($X$514),$B$511=1),$X$514,HLOOKUP(INDIRECT(ADDRESS(2,COLUMN())),OFFSET($BN$2,0,0,ROW()-1,60),ROW()-1,FALSE))</f>
        <v/>
      </c>
      <c r="Y5" t="str">
        <f ca="1">IF(AND(ISNUMBER($Y$514),$B$511=1),$Y$514,HLOOKUP(INDIRECT(ADDRESS(2,COLUMN())),OFFSET($BN$2,0,0,ROW()-1,60),ROW()-1,FALSE))</f>
        <v/>
      </c>
      <c r="Z5" t="str">
        <f ca="1">IF(AND(ISNUMBER($Z$514),$B$511=1),$Z$514,HLOOKUP(INDIRECT(ADDRESS(2,COLUMN())),OFFSET($BN$2,0,0,ROW()-1,60),ROW()-1,FALSE))</f>
        <v/>
      </c>
      <c r="AA5" t="str">
        <f ca="1">IF(AND(ISNUMBER($AA$514),$B$511=1),$AA$514,HLOOKUP(INDIRECT(ADDRESS(2,COLUMN())),OFFSET($BN$2,0,0,ROW()-1,60),ROW()-1,FALSE))</f>
        <v/>
      </c>
      <c r="AB5" t="str">
        <f ca="1">IF(AND(ISNUMBER($AB$514),$B$511=1),$AB$514,HLOOKUP(INDIRECT(ADDRESS(2,COLUMN())),OFFSET($BN$2,0,0,ROW()-1,60),ROW()-1,FALSE))</f>
        <v/>
      </c>
      <c r="AC5" t="str">
        <f ca="1">IF(AND(ISNUMBER($AC$514),$B$511=1),$AC$514,HLOOKUP(INDIRECT(ADDRESS(2,COLUMN())),OFFSET($BN$2,0,0,ROW()-1,60),ROW()-1,FALSE))</f>
        <v/>
      </c>
      <c r="AD5" t="str">
        <f ca="1">IF(AND(ISNUMBER($AD$514),$B$511=1),$AD$514,HLOOKUP(INDIRECT(ADDRESS(2,COLUMN())),OFFSET($BN$2,0,0,ROW()-1,60),ROW()-1,FALSE))</f>
        <v/>
      </c>
      <c r="AE5" t="str">
        <f ca="1">IF(AND(ISNUMBER($AE$514),$B$511=1),$AE$514,HLOOKUP(INDIRECT(ADDRESS(2,COLUMN())),OFFSET($BN$2,0,0,ROW()-1,60),ROW()-1,FALSE))</f>
        <v/>
      </c>
      <c r="AF5" t="str">
        <f ca="1">IF(AND(ISNUMBER($AF$514),$B$511=1),$AF$514,HLOOKUP(INDIRECT(ADDRESS(2,COLUMN())),OFFSET($BN$2,0,0,ROW()-1,60),ROW()-1,FALSE))</f>
        <v/>
      </c>
      <c r="AG5" t="str">
        <f ca="1">IF(AND(ISNUMBER($AG$514),$B$511=1),$AG$514,HLOOKUP(INDIRECT(ADDRESS(2,COLUMN())),OFFSET($BN$2,0,0,ROW()-1,60),ROW()-1,FALSE))</f>
        <v/>
      </c>
      <c r="AH5" t="str">
        <f ca="1">IF(AND(ISNUMBER($AH$514),$B$511=1),$AH$514,HLOOKUP(INDIRECT(ADDRESS(2,COLUMN())),OFFSET($BN$2,0,0,ROW()-1,60),ROW()-1,FALSE))</f>
        <v/>
      </c>
      <c r="AI5" t="str">
        <f ca="1">IF(AND(ISNUMBER($AI$514),$B$511=1),$AI$514,HLOOKUP(INDIRECT(ADDRESS(2,COLUMN())),OFFSET($BN$2,0,0,ROW()-1,60),ROW()-1,FALSE))</f>
        <v/>
      </c>
      <c r="AJ5" t="str">
        <f ca="1">IF(AND(ISNUMBER($AJ$514),$B$511=1),$AJ$514,HLOOKUP(INDIRECT(ADDRESS(2,COLUMN())),OFFSET($BN$2,0,0,ROW()-1,60),ROW()-1,FALSE))</f>
        <v/>
      </c>
      <c r="AK5" t="str">
        <f ca="1">IF(AND(ISNUMBER($AK$514),$B$511=1),$AK$514,HLOOKUP(INDIRECT(ADDRESS(2,COLUMN())),OFFSET($BN$2,0,0,ROW()-1,60),ROW()-1,FALSE))</f>
        <v/>
      </c>
      <c r="AL5" t="str">
        <f ca="1">IF(AND(ISNUMBER($AL$514),$B$511=1),$AL$514,HLOOKUP(INDIRECT(ADDRESS(2,COLUMN())),OFFSET($BN$2,0,0,ROW()-1,60),ROW()-1,FALSE))</f>
        <v/>
      </c>
      <c r="AM5" t="str">
        <f ca="1">IF(AND(ISNUMBER($AM$514),$B$511=1),$AM$514,HLOOKUP(INDIRECT(ADDRESS(2,COLUMN())),OFFSET($BN$2,0,0,ROW()-1,60),ROW()-1,FALSE))</f>
        <v/>
      </c>
      <c r="AN5" t="str">
        <f ca="1">IF(AND(ISNUMBER($AN$514),$B$511=1),$AN$514,HLOOKUP(INDIRECT(ADDRESS(2,COLUMN())),OFFSET($BN$2,0,0,ROW()-1,60),ROW()-1,FALSE))</f>
        <v/>
      </c>
      <c r="AO5" t="str">
        <f ca="1">IF(AND(ISNUMBER($AO$514),$B$511=1),$AO$514,HLOOKUP(INDIRECT(ADDRESS(2,COLUMN())),OFFSET($BN$2,0,0,ROW()-1,60),ROW()-1,FALSE))</f>
        <v/>
      </c>
      <c r="AP5" t="str">
        <f ca="1">IF(AND(ISNUMBER($AP$514),$B$511=1),$AP$514,HLOOKUP(INDIRECT(ADDRESS(2,COLUMN())),OFFSET($BN$2,0,0,ROW()-1,60),ROW()-1,FALSE))</f>
        <v/>
      </c>
      <c r="AQ5" t="str">
        <f ca="1">IF(AND(ISNUMBER($AQ$514),$B$511=1),$AQ$514,HLOOKUP(INDIRECT(ADDRESS(2,COLUMN())),OFFSET($BN$2,0,0,ROW()-1,60),ROW()-1,FALSE))</f>
        <v/>
      </c>
      <c r="AR5" t="str">
        <f ca="1">IF(AND(ISNUMBER($AR$514),$B$511=1),$AR$514,HLOOKUP(INDIRECT(ADDRESS(2,COLUMN())),OFFSET($BN$2,0,0,ROW()-1,60),ROW()-1,FALSE))</f>
        <v/>
      </c>
      <c r="AS5" t="str">
        <f ca="1">IF(AND(ISNUMBER($AS$514),$B$511=1),$AS$514,HLOOKUP(INDIRECT(ADDRESS(2,COLUMN())),OFFSET($BN$2,0,0,ROW()-1,60),ROW()-1,FALSE))</f>
        <v/>
      </c>
      <c r="AT5" t="str">
        <f ca="1">IF(AND(ISNUMBER($AT$514),$B$511=1),$AT$514,HLOOKUP(INDIRECT(ADDRESS(2,COLUMN())),OFFSET($BN$2,0,0,ROW()-1,60),ROW()-1,FALSE))</f>
        <v/>
      </c>
      <c r="AU5" t="str">
        <f ca="1">IF(AND(ISNUMBER($AU$514),$B$511=1),$AU$514,HLOOKUP(INDIRECT(ADDRESS(2,COLUMN())),OFFSET($BN$2,0,0,ROW()-1,60),ROW()-1,FALSE))</f>
        <v/>
      </c>
      <c r="AV5" t="str">
        <f ca="1">IF(AND(ISNUMBER($AV$514),$B$511=1),$AV$514,HLOOKUP(INDIRECT(ADDRESS(2,COLUMN())),OFFSET($BN$2,0,0,ROW()-1,60),ROW()-1,FALSE))</f>
        <v/>
      </c>
      <c r="AW5" t="str">
        <f ca="1">IF(AND(ISNUMBER($AW$514),$B$511=1),$AW$514,HLOOKUP(INDIRECT(ADDRESS(2,COLUMN())),OFFSET($BN$2,0,0,ROW()-1,60),ROW()-1,FALSE))</f>
        <v/>
      </c>
      <c r="AX5" t="str">
        <f ca="1">IF(AND(ISNUMBER($AX$514),$B$511=1),$AX$514,HLOOKUP(INDIRECT(ADDRESS(2,COLUMN())),OFFSET($BN$2,0,0,ROW()-1,60),ROW()-1,FALSE))</f>
        <v/>
      </c>
      <c r="AY5" t="str">
        <f ca="1">IF(AND(ISNUMBER($AY$514),$B$511=1),$AY$514,HLOOKUP(INDIRECT(ADDRESS(2,COLUMN())),OFFSET($BN$2,0,0,ROW()-1,60),ROW()-1,FALSE))</f>
        <v/>
      </c>
      <c r="AZ5" t="str">
        <f ca="1">IF(AND(ISNUMBER($AZ$514),$B$511=1),$AZ$514,HLOOKUP(INDIRECT(ADDRESS(2,COLUMN())),OFFSET($BN$2,0,0,ROW()-1,60),ROW()-1,FALSE))</f>
        <v/>
      </c>
      <c r="BA5" t="str">
        <f ca="1">IF(AND(ISNUMBER($BA$514),$B$511=1),$BA$514,HLOOKUP(INDIRECT(ADDRESS(2,COLUMN())),OFFSET($BN$2,0,0,ROW()-1,60),ROW()-1,FALSE))</f>
        <v/>
      </c>
      <c r="BB5" t="str">
        <f ca="1">IF(AND(ISNUMBER($BB$514),$B$511=1),$BB$514,HLOOKUP(INDIRECT(ADDRESS(2,COLUMN())),OFFSET($BN$2,0,0,ROW()-1,60),ROW()-1,FALSE))</f>
        <v/>
      </c>
      <c r="BC5" t="str">
        <f ca="1">IF(AND(ISNUMBER($BC$514),$B$511=1),$BC$514,HLOOKUP(INDIRECT(ADDRESS(2,COLUMN())),OFFSET($BN$2,0,0,ROW()-1,60),ROW()-1,FALSE))</f>
        <v/>
      </c>
      <c r="BD5" t="str">
        <f ca="1">IF(AND(ISNUMBER($BD$514),$B$511=1),$BD$514,HLOOKUP(INDIRECT(ADDRESS(2,COLUMN())),OFFSET($BN$2,0,0,ROW()-1,60),ROW()-1,FALSE))</f>
        <v/>
      </c>
      <c r="BE5" t="str">
        <f ca="1">IF(AND(ISNUMBER($BE$514),$B$511=1),$BE$514,HLOOKUP(INDIRECT(ADDRESS(2,COLUMN())),OFFSET($BN$2,0,0,ROW()-1,60),ROW()-1,FALSE))</f>
        <v/>
      </c>
      <c r="BF5" t="str">
        <f ca="1">IF(AND(ISNUMBER($BF$514),$B$511=1),$BF$514,HLOOKUP(INDIRECT(ADDRESS(2,COLUMN())),OFFSET($BN$2,0,0,ROW()-1,60),ROW()-1,FALSE))</f>
        <v/>
      </c>
      <c r="BG5" t="str">
        <f ca="1">IF(AND(ISNUMBER($BG$514),$B$511=1),$BG$514,HLOOKUP(INDIRECT(ADDRESS(2,COLUMN())),OFFSET($BN$2,0,0,ROW()-1,60),ROW()-1,FALSE))</f>
        <v/>
      </c>
      <c r="BH5" t="str">
        <f ca="1">IF(AND(ISNUMBER($BH$514),$B$511=1),$BH$514,HLOOKUP(INDIRECT(ADDRESS(2,COLUMN())),OFFSET($BN$2,0,0,ROW()-1,60),ROW()-1,FALSE))</f>
        <v/>
      </c>
      <c r="BI5" t="str">
        <f ca="1">IF(AND(ISNUMBER($BI$514),$B$511=1),$BI$514,HLOOKUP(INDIRECT(ADDRESS(2,COLUMN())),OFFSET($BN$2,0,0,ROW()-1,60),ROW()-1,FALSE))</f>
        <v/>
      </c>
      <c r="BJ5" t="str">
        <f ca="1">IF(AND(ISNUMBER($BJ$514),$B$511=1),$BJ$514,HLOOKUP(INDIRECT(ADDRESS(2,COLUMN())),OFFSET($BN$2,0,0,ROW()-1,60),ROW()-1,FALSE))</f>
        <v/>
      </c>
      <c r="BK5" t="str">
        <f ca="1">IF(AND(ISNUMBER($BK$514),$B$511=1),$BK$514,HLOOKUP(INDIRECT(ADDRESS(2,COLUMN())),OFFSET($BN$2,0,0,ROW()-1,60),ROW()-1,FALSE))</f>
        <v/>
      </c>
      <c r="BL5" t="str">
        <f ca="1">IF(AND(ISNUMBER($BL$514),$B$511=1),$BL$514,HLOOKUP(INDIRECT(ADDRESS(2,COLUMN())),OFFSET($BN$2,0,0,ROW()-1,60),ROW()-1,FALSE))</f>
        <v/>
      </c>
      <c r="BM5" t="str">
        <f ca="1">IF(AND(ISNUMBER($BM$514),$B$511=1),$BM$514,HLOOKUP(INDIRECT(ADDRESS(2,COLUMN())),OFFSET($BN$2,0,0,ROW()-1,60),ROW()-1,FALSE))</f>
        <v/>
      </c>
      <c r="BN5" t="str">
        <f>""</f>
        <v/>
      </c>
      <c r="BO5" t="str">
        <f>""</f>
        <v/>
      </c>
      <c r="BP5">
        <f>0.003483158</f>
        <v>3.4831580000000001E-3</v>
      </c>
      <c r="BQ5">
        <f>-0.005843749</f>
        <v>-5.8437489999999996E-3</v>
      </c>
      <c r="BR5">
        <f>-0.015278299</f>
        <v>-1.5278299E-2</v>
      </c>
      <c r="BS5">
        <f>-0.027365206</f>
        <v>-2.7365206E-2</v>
      </c>
      <c r="BT5">
        <f>0.004418788</f>
        <v>4.4187879999999999E-3</v>
      </c>
      <c r="BU5">
        <f>-0.145005382</f>
        <v>-0.14500538199999999</v>
      </c>
      <c r="BV5">
        <f>-0.156591525</f>
        <v>-0.15659152500000001</v>
      </c>
      <c r="BW5">
        <f>-0.191720408</f>
        <v>-0.19172040800000001</v>
      </c>
      <c r="BX5">
        <f>-0.400810067</f>
        <v>-0.40081006699999999</v>
      </c>
      <c r="BY5">
        <f>-0.346736763</f>
        <v>-0.346736763</v>
      </c>
      <c r="BZ5" t="str">
        <f>""</f>
        <v/>
      </c>
      <c r="CA5" t="str">
        <f>""</f>
        <v/>
      </c>
      <c r="CB5" t="str">
        <f>""</f>
        <v/>
      </c>
      <c r="CC5" t="str">
        <f>""</f>
        <v/>
      </c>
      <c r="CD5" t="str">
        <f>""</f>
        <v/>
      </c>
      <c r="CE5" t="str">
        <f>""</f>
        <v/>
      </c>
      <c r="CF5" t="str">
        <f>""</f>
        <v/>
      </c>
      <c r="CG5" t="str">
        <f>""</f>
        <v/>
      </c>
      <c r="CH5" t="str">
        <f>""</f>
        <v/>
      </c>
      <c r="CI5" t="str">
        <f>""</f>
        <v/>
      </c>
      <c r="CJ5" t="str">
        <f>""</f>
        <v/>
      </c>
      <c r="CK5" t="str">
        <f>""</f>
        <v/>
      </c>
      <c r="CL5" t="str">
        <f>""</f>
        <v/>
      </c>
      <c r="CM5" t="str">
        <f>""</f>
        <v/>
      </c>
      <c r="CN5" t="str">
        <f>""</f>
        <v/>
      </c>
      <c r="CO5" t="str">
        <f>""</f>
        <v/>
      </c>
      <c r="CP5" t="str">
        <f>""</f>
        <v/>
      </c>
      <c r="CQ5" t="str">
        <f>""</f>
        <v/>
      </c>
      <c r="CR5" t="str">
        <f>""</f>
        <v/>
      </c>
      <c r="CS5" t="str">
        <f>""</f>
        <v/>
      </c>
      <c r="CT5" t="str">
        <f>""</f>
        <v/>
      </c>
      <c r="CU5" t="str">
        <f>""</f>
        <v/>
      </c>
      <c r="CV5" t="str">
        <f>""</f>
        <v/>
      </c>
      <c r="CW5" t="str">
        <f>""</f>
        <v/>
      </c>
      <c r="CX5" t="str">
        <f>""</f>
        <v/>
      </c>
      <c r="CY5" t="str">
        <f>""</f>
        <v/>
      </c>
      <c r="CZ5" t="str">
        <f>""</f>
        <v/>
      </c>
      <c r="DA5" t="str">
        <f>""</f>
        <v/>
      </c>
      <c r="DB5" t="str">
        <f>""</f>
        <v/>
      </c>
      <c r="DC5" t="str">
        <f>""</f>
        <v/>
      </c>
      <c r="DD5" t="str">
        <f>""</f>
        <v/>
      </c>
      <c r="DE5" t="str">
        <f>""</f>
        <v/>
      </c>
      <c r="DF5" t="str">
        <f>""</f>
        <v/>
      </c>
      <c r="DG5" t="str">
        <f>""</f>
        <v/>
      </c>
      <c r="DH5" t="str">
        <f>""</f>
        <v/>
      </c>
      <c r="DI5" t="str">
        <f>""</f>
        <v/>
      </c>
      <c r="DJ5" t="str">
        <f>""</f>
        <v/>
      </c>
      <c r="DK5" t="str">
        <f>""</f>
        <v/>
      </c>
      <c r="DL5" t="str">
        <f>""</f>
        <v/>
      </c>
      <c r="DM5" t="str">
        <f>""</f>
        <v/>
      </c>
      <c r="DN5" t="str">
        <f>""</f>
        <v/>
      </c>
      <c r="DO5" t="str">
        <f>""</f>
        <v/>
      </c>
      <c r="DP5" t="str">
        <f>""</f>
        <v/>
      </c>
      <c r="DQ5" t="str">
        <f>""</f>
        <v/>
      </c>
      <c r="DR5" t="str">
        <f>""</f>
        <v/>
      </c>
      <c r="DS5" t="str">
        <f>""</f>
        <v/>
      </c>
      <c r="DT5" t="str">
        <f>""</f>
        <v/>
      </c>
      <c r="DU5" t="str">
        <f>""</f>
        <v/>
      </c>
    </row>
    <row r="6" spans="1:125" x14ac:dyDescent="0.25">
      <c r="A6" t="str">
        <f>"    Bayerische Motoren Werke AG"</f>
        <v xml:space="preserve">    Bayerische Motoren Werke AG</v>
      </c>
      <c r="B6" t="str">
        <f>"BMW GR Equity"</f>
        <v>BMW GR Equity</v>
      </c>
      <c r="C6" t="str">
        <f t="shared" si="0"/>
        <v>RR844</v>
      </c>
      <c r="D6" t="str">
        <f t="shared" si="1"/>
        <v>T12M_DIL_EPS_CONT_OPS</v>
      </c>
      <c r="E6" t="str">
        <f t="shared" si="2"/>
        <v>Dynamic</v>
      </c>
      <c r="F6" t="str">
        <f ca="1">IF(AND(ISNUMBER($F$515),$B$511=1),$F$515,HLOOKUP(INDIRECT(ADDRESS(2,COLUMN())),OFFSET($BN$2,0,0,ROW()-1,60),ROW()-1,FALSE))</f>
        <v/>
      </c>
      <c r="G6" t="str">
        <f ca="1">IF(AND(ISNUMBER($G$515),$B$511=1),$G$515,HLOOKUP(INDIRECT(ADDRESS(2,COLUMN())),OFFSET($BN$2,0,0,ROW()-1,60),ROW()-1,FALSE))</f>
        <v/>
      </c>
      <c r="H6">
        <f ca="1">IF(AND(ISNUMBER($H$515),$B$511=1),$H$515,HLOOKUP(INDIRECT(ADDRESS(2,COLUMN())),OFFSET($BN$2,0,0,ROW()-1,60),ROW()-1,FALSE))</f>
        <v>14.87176155</v>
      </c>
      <c r="I6">
        <f ca="1">IF(AND(ISNUMBER($I$515),$B$511=1),$I$515,HLOOKUP(INDIRECT(ADDRESS(2,COLUMN())),OFFSET($BN$2,0,0,ROW()-1,60),ROW()-1,FALSE))</f>
        <v>15.67887024</v>
      </c>
      <c r="J6">
        <f ca="1">IF(AND(ISNUMBER($J$515),$B$511=1),$J$515,HLOOKUP(INDIRECT(ADDRESS(2,COLUMN())),OFFSET($BN$2,0,0,ROW()-1,60),ROW()-1,FALSE))</f>
        <v>15.615170559999999</v>
      </c>
      <c r="K6">
        <f ca="1">IF(AND(ISNUMBER($K$515),$B$511=1),$K$515,HLOOKUP(INDIRECT(ADDRESS(2,COLUMN())),OFFSET($BN$2,0,0,ROW()-1,60),ROW()-1,FALSE))</f>
        <v>15.046421179999999</v>
      </c>
      <c r="L6">
        <f ca="1">IF(AND(ISNUMBER($L$515),$B$511=1),$L$515,HLOOKUP(INDIRECT(ADDRESS(2,COLUMN())),OFFSET($BN$2,0,0,ROW()-1,60),ROW()-1,FALSE))</f>
        <v>13.10051696</v>
      </c>
      <c r="M6">
        <f ca="1">IF(AND(ISNUMBER($M$515),$B$511=1),$M$515,HLOOKUP(INDIRECT(ADDRESS(2,COLUMN())),OFFSET($BN$2,0,0,ROW()-1,60),ROW()-1,FALSE))</f>
        <v>12.916688580000001</v>
      </c>
      <c r="N6">
        <f ca="1">IF(AND(ISNUMBER($N$515),$B$511=1),$N$515,HLOOKUP(INDIRECT(ADDRESS(2,COLUMN())),OFFSET($BN$2,0,0,ROW()-1,60),ROW()-1,FALSE))</f>
        <v>12.572899169999999</v>
      </c>
      <c r="O6">
        <f ca="1">IF(AND(ISNUMBER($O$515),$B$511=1),$O$515,HLOOKUP(INDIRECT(ADDRESS(2,COLUMN())),OFFSET($BN$2,0,0,ROW()-1,60),ROW()-1,FALSE))</f>
        <v>11.690197209999999</v>
      </c>
      <c r="P6">
        <f ca="1">IF(AND(ISNUMBER($P$515),$B$511=1),$P$515,HLOOKUP(INDIRECT(ADDRESS(2,COLUMN())),OFFSET($BN$2,0,0,ROW()-1,60),ROW()-1,FALSE))</f>
        <v>11.688425430000001</v>
      </c>
      <c r="Q6">
        <f ca="1">IF(AND(ISNUMBER($Q$515),$B$511=1),$Q$515,HLOOKUP(INDIRECT(ADDRESS(2,COLUMN())),OFFSET($BN$2,0,0,ROW()-1,60),ROW()-1,FALSE))</f>
        <v>11.27763657</v>
      </c>
      <c r="R6">
        <f ca="1">IF(AND(ISNUMBER($R$515),$B$511=1),$R$515,HLOOKUP(INDIRECT(ADDRESS(2,COLUMN())),OFFSET($BN$2,0,0,ROW()-1,60),ROW()-1,FALSE))</f>
        <v>10.90012153</v>
      </c>
      <c r="S6">
        <f ca="1">IF(AND(ISNUMBER($S$515),$B$511=1),$S$515,HLOOKUP(INDIRECT(ADDRESS(2,COLUMN())),OFFSET($BN$2,0,0,ROW()-1,60),ROW()-1,FALSE))</f>
        <v>10.67412794</v>
      </c>
      <c r="T6">
        <f ca="1">IF(AND(ISNUMBER($T$515),$B$511=1),$T$515,HLOOKUP(INDIRECT(ADDRESS(2,COLUMN())),OFFSET($BN$2,0,0,ROW()-1,60),ROW()-1,FALSE))</f>
        <v>10.844945709999999</v>
      </c>
      <c r="U6">
        <f ca="1">IF(AND(ISNUMBER($U$515),$B$511=1),$U$515,HLOOKUP(INDIRECT(ADDRESS(2,COLUMN())),OFFSET($BN$2,0,0,ROW()-1,60),ROW()-1,FALSE))</f>
        <v>10.8610399</v>
      </c>
      <c r="V6">
        <f ca="1">IF(AND(ISNUMBER($V$515),$B$511=1),$V$515,HLOOKUP(INDIRECT(ADDRESS(2,COLUMN())),OFFSET($BN$2,0,0,ROW()-1,60),ROW()-1,FALSE))</f>
        <v>11.481455349999999</v>
      </c>
      <c r="W6">
        <f ca="1">IF(AND(ISNUMBER($W$515),$B$511=1),$W$515,HLOOKUP(INDIRECT(ADDRESS(2,COLUMN())),OFFSET($BN$2,0,0,ROW()-1,60),ROW()-1,FALSE))</f>
        <v>11.916463200000001</v>
      </c>
      <c r="X6">
        <f ca="1">IF(AND(ISNUMBER($X$515),$B$511=1),$X$515,HLOOKUP(INDIRECT(ADDRESS(2,COLUMN())),OFFSET($BN$2,0,0,ROW()-1,60),ROW()-1,FALSE))</f>
        <v>12.145242590000001</v>
      </c>
      <c r="Y6">
        <f ca="1">IF(AND(ISNUMBER($Y$515),$B$511=1),$Y$515,HLOOKUP(INDIRECT(ADDRESS(2,COLUMN())),OFFSET($BN$2,0,0,ROW()-1,60),ROW()-1,FALSE))</f>
        <v>12.189620939999999</v>
      </c>
      <c r="Z6">
        <f ca="1">IF(AND(ISNUMBER($Z$515),$B$511=1),$Z$515,HLOOKUP(INDIRECT(ADDRESS(2,COLUMN())),OFFSET($BN$2,0,0,ROW()-1,60),ROW()-1,FALSE))</f>
        <v>11.27955652</v>
      </c>
      <c r="AA6">
        <f ca="1">IF(AND(ISNUMBER($AA$515),$B$511=1),$AA$515,HLOOKUP(INDIRECT(ADDRESS(2,COLUMN())),OFFSET($BN$2,0,0,ROW()-1,60),ROW()-1,FALSE))</f>
        <v>10.870571379999999</v>
      </c>
      <c r="AB6">
        <f ca="1">IF(AND(ISNUMBER($AB$515),$B$511=1),$AB$515,HLOOKUP(INDIRECT(ADDRESS(2,COLUMN())),OFFSET($BN$2,0,0,ROW()-1,60),ROW()-1,FALSE))</f>
        <v>10.65937265</v>
      </c>
      <c r="AC6">
        <f ca="1">IF(AND(ISNUMBER($AC$515),$B$511=1),$AC$515,HLOOKUP(INDIRECT(ADDRESS(2,COLUMN())),OFFSET($BN$2,0,0,ROW()-1,60),ROW()-1,FALSE))</f>
        <v>10.42689665</v>
      </c>
      <c r="AD6">
        <f ca="1">IF(AND(ISNUMBER($AD$515),$B$511=1),$AD$515,HLOOKUP(INDIRECT(ADDRESS(2,COLUMN())),OFFSET($BN$2,0,0,ROW()-1,60),ROW()-1,FALSE))</f>
        <v>10.161563320000001</v>
      </c>
      <c r="AE6">
        <f ca="1">IF(AND(ISNUMBER($AE$515),$B$511=1),$AE$515,HLOOKUP(INDIRECT(ADDRESS(2,COLUMN())),OFFSET($BN$2,0,0,ROW()-1,60),ROW()-1,FALSE))</f>
        <v>10.22267518</v>
      </c>
      <c r="AF6">
        <f ca="1">IF(AND(ISNUMBER($AF$515),$B$511=1),$AF$515,HLOOKUP(INDIRECT(ADDRESS(2,COLUMN())),OFFSET($BN$2,0,0,ROW()-1,60),ROW()-1,FALSE))</f>
        <v>9.4907349449999998</v>
      </c>
      <c r="AG6">
        <f ca="1">IF(AND(ISNUMBER($AG$515),$B$511=1),$AG$515,HLOOKUP(INDIRECT(ADDRESS(2,COLUMN())),OFFSET($BN$2,0,0,ROW()-1,60),ROW()-1,FALSE))</f>
        <v>9.4401898620000004</v>
      </c>
      <c r="AH6">
        <f ca="1">IF(AND(ISNUMBER($AH$515),$B$511=1),$AH$515,HLOOKUP(INDIRECT(ADDRESS(2,COLUMN())),OFFSET($BN$2,0,0,ROW()-1,60),ROW()-1,FALSE))</f>
        <v>10.762019909999999</v>
      </c>
      <c r="AI6">
        <f ca="1">IF(AND(ISNUMBER($AI$515),$B$511=1),$AI$515,HLOOKUP(INDIRECT(ADDRESS(2,COLUMN())),OFFSET($BN$2,0,0,ROW()-1,60),ROW()-1,FALSE))</f>
        <v>10.42909199</v>
      </c>
      <c r="AJ6">
        <f ca="1">IF(AND(ISNUMBER($AJ$515),$B$511=1),$AJ$515,HLOOKUP(INDIRECT(ADDRESS(2,COLUMN())),OFFSET($BN$2,0,0,ROW()-1,60),ROW()-1,FALSE))</f>
        <v>11.35342063</v>
      </c>
      <c r="AK6">
        <f ca="1">IF(AND(ISNUMBER($AK$515),$B$511=1),$AK$515,HLOOKUP(INDIRECT(ADDRESS(2,COLUMN())),OFFSET($BN$2,0,0,ROW()-1,60),ROW()-1,FALSE))</f>
        <v>10.61512113</v>
      </c>
      <c r="AL6">
        <f ca="1">IF(AND(ISNUMBER($AL$515),$B$511=1),$AL$515,HLOOKUP(INDIRECT(ADDRESS(2,COLUMN())),OFFSET($BN$2,0,0,ROW()-1,60),ROW()-1,FALSE))</f>
        <v>8.4010018280000001</v>
      </c>
      <c r="AM6">
        <f ca="1">IF(AND(ISNUMBER($AM$515),$B$511=1),$AM$515,HLOOKUP(INDIRECT(ADDRESS(2,COLUMN())),OFFSET($BN$2,0,0,ROW()-1,60),ROW()-1,FALSE))</f>
        <v>6.7789828759999997</v>
      </c>
      <c r="AN6">
        <f ca="1">IF(AND(ISNUMBER($AN$515),$B$511=1),$AN$515,HLOOKUP(INDIRECT(ADDRESS(2,COLUMN())),OFFSET($BN$2,0,0,ROW()-1,60),ROW()-1,FALSE))</f>
        <v>4.5148268429999998</v>
      </c>
      <c r="AO6">
        <f ca="1">IF(AND(ISNUMBER($AO$515),$B$511=1),$AO$515,HLOOKUP(INDIRECT(ADDRESS(2,COLUMN())),OFFSET($BN$2,0,0,ROW()-1,60),ROW()-1,FALSE))</f>
        <v>2.9471917670000001</v>
      </c>
      <c r="AP6">
        <f ca="1">IF(AND(ISNUMBER($AP$515),$B$511=1),$AP$515,HLOOKUP(INDIRECT(ADDRESS(2,COLUMN())),OFFSET($BN$2,0,0,ROW()-1,60),ROW()-1,FALSE))</f>
        <v>1.4534342499999999</v>
      </c>
      <c r="AQ6">
        <f ca="1">IF(AND(ISNUMBER($AQ$515),$B$511=1),$AQ$515,HLOOKUP(INDIRECT(ADDRESS(2,COLUMN())),OFFSET($BN$2,0,0,ROW()-1,60),ROW()-1,FALSE))</f>
        <v>0.42956737699999997</v>
      </c>
      <c r="AR6">
        <f ca="1">IF(AND(ISNUMBER($AR$515),$B$511=1),$AR$515,HLOOKUP(INDIRECT(ADDRESS(2,COLUMN())),OFFSET($BN$2,0,0,ROW()-1,60),ROW()-1,FALSE))</f>
        <v>-1.3986069489999999</v>
      </c>
      <c r="AS6">
        <f ca="1">IF(AND(ISNUMBER($AS$515),$B$511=1),$AS$515,HLOOKUP(INDIRECT(ADDRESS(2,COLUMN())),OFFSET($BN$2,0,0,ROW()-1,60),ROW()-1,FALSE))</f>
        <v>-0.96437299200000004</v>
      </c>
      <c r="AT6">
        <f ca="1">IF(AND(ISNUMBER($AT$515),$B$511=1),$AT$515,HLOOKUP(INDIRECT(ADDRESS(2,COLUMN())),OFFSET($BN$2,0,0,ROW()-1,60),ROW()-1,FALSE))</f>
        <v>-0.16764428300000001</v>
      </c>
      <c r="AU6">
        <f ca="1">IF(AND(ISNUMBER($AU$515),$B$511=1),$AU$515,HLOOKUP(INDIRECT(ADDRESS(2,COLUMN())),OFFSET($BN$2,0,0,ROW()-1,60),ROW()-1,FALSE))</f>
        <v>1.2535007789999999</v>
      </c>
      <c r="AV6" t="str">
        <f ca="1">IF(AND(ISNUMBER($AV$515),$B$511=1),$AV$515,HLOOKUP(INDIRECT(ADDRESS(2,COLUMN())),OFFSET($BN$2,0,0,ROW()-1,60),ROW()-1,FALSE))</f>
        <v/>
      </c>
      <c r="AW6" t="str">
        <f ca="1">IF(AND(ISNUMBER($AW$515),$B$511=1),$AW$515,HLOOKUP(INDIRECT(ADDRESS(2,COLUMN())),OFFSET($BN$2,0,0,ROW()-1,60),ROW()-1,FALSE))</f>
        <v/>
      </c>
      <c r="AX6" t="str">
        <f ca="1">IF(AND(ISNUMBER($AX$515),$B$511=1),$AX$515,HLOOKUP(INDIRECT(ADDRESS(2,COLUMN())),OFFSET($BN$2,0,0,ROW()-1,60),ROW()-1,FALSE))</f>
        <v/>
      </c>
      <c r="AY6" t="str">
        <f ca="1">IF(AND(ISNUMBER($AY$515),$B$511=1),$AY$515,HLOOKUP(INDIRECT(ADDRESS(2,COLUMN())),OFFSET($BN$2,0,0,ROW()-1,60),ROW()-1,FALSE))</f>
        <v/>
      </c>
      <c r="AZ6" t="str">
        <f ca="1">IF(AND(ISNUMBER($AZ$515),$B$511=1),$AZ$515,HLOOKUP(INDIRECT(ADDRESS(2,COLUMN())),OFFSET($BN$2,0,0,ROW()-1,60),ROW()-1,FALSE))</f>
        <v/>
      </c>
      <c r="BA6" t="str">
        <f ca="1">IF(AND(ISNUMBER($BA$515),$B$511=1),$BA$515,HLOOKUP(INDIRECT(ADDRESS(2,COLUMN())),OFFSET($BN$2,0,0,ROW()-1,60),ROW()-1,FALSE))</f>
        <v/>
      </c>
      <c r="BB6" t="str">
        <f ca="1">IF(AND(ISNUMBER($BB$515),$B$511=1),$BB$515,HLOOKUP(INDIRECT(ADDRESS(2,COLUMN())),OFFSET($BN$2,0,0,ROW()-1,60),ROW()-1,FALSE))</f>
        <v/>
      </c>
      <c r="BC6" t="str">
        <f ca="1">IF(AND(ISNUMBER($BC$515),$B$511=1),$BC$515,HLOOKUP(INDIRECT(ADDRESS(2,COLUMN())),OFFSET($BN$2,0,0,ROW()-1,60),ROW()-1,FALSE))</f>
        <v/>
      </c>
      <c r="BD6" t="str">
        <f ca="1">IF(AND(ISNUMBER($BD$515),$B$511=1),$BD$515,HLOOKUP(INDIRECT(ADDRESS(2,COLUMN())),OFFSET($BN$2,0,0,ROW()-1,60),ROW()-1,FALSE))</f>
        <v/>
      </c>
      <c r="BE6" t="str">
        <f ca="1">IF(AND(ISNUMBER($BE$515),$B$511=1),$BE$515,HLOOKUP(INDIRECT(ADDRESS(2,COLUMN())),OFFSET($BN$2,0,0,ROW()-1,60),ROW()-1,FALSE))</f>
        <v/>
      </c>
      <c r="BF6" t="str">
        <f ca="1">IF(AND(ISNUMBER($BF$515),$B$511=1),$BF$515,HLOOKUP(INDIRECT(ADDRESS(2,COLUMN())),OFFSET($BN$2,0,0,ROW()-1,60),ROW()-1,FALSE))</f>
        <v/>
      </c>
      <c r="BG6" t="str">
        <f ca="1">IF(AND(ISNUMBER($BG$515),$B$511=1),$BG$515,HLOOKUP(INDIRECT(ADDRESS(2,COLUMN())),OFFSET($BN$2,0,0,ROW()-1,60),ROW()-1,FALSE))</f>
        <v/>
      </c>
      <c r="BH6" t="str">
        <f ca="1">IF(AND(ISNUMBER($BH$515),$B$511=1),$BH$515,HLOOKUP(INDIRECT(ADDRESS(2,COLUMN())),OFFSET($BN$2,0,0,ROW()-1,60),ROW()-1,FALSE))</f>
        <v/>
      </c>
      <c r="BI6" t="str">
        <f ca="1">IF(AND(ISNUMBER($BI$515),$B$511=1),$BI$515,HLOOKUP(INDIRECT(ADDRESS(2,COLUMN())),OFFSET($BN$2,0,0,ROW()-1,60),ROW()-1,FALSE))</f>
        <v/>
      </c>
      <c r="BJ6" t="str">
        <f ca="1">IF(AND(ISNUMBER($BJ$515),$B$511=1),$BJ$515,HLOOKUP(INDIRECT(ADDRESS(2,COLUMN())),OFFSET($BN$2,0,0,ROW()-1,60),ROW()-1,FALSE))</f>
        <v/>
      </c>
      <c r="BK6" t="str">
        <f ca="1">IF(AND(ISNUMBER($BK$515),$B$511=1),$BK$515,HLOOKUP(INDIRECT(ADDRESS(2,COLUMN())),OFFSET($BN$2,0,0,ROW()-1,60),ROW()-1,FALSE))</f>
        <v/>
      </c>
      <c r="BL6" t="str">
        <f ca="1">IF(AND(ISNUMBER($BL$515),$B$511=1),$BL$515,HLOOKUP(INDIRECT(ADDRESS(2,COLUMN())),OFFSET($BN$2,0,0,ROW()-1,60),ROW()-1,FALSE))</f>
        <v/>
      </c>
      <c r="BM6" t="str">
        <f ca="1">IF(AND(ISNUMBER($BM$515),$B$511=1),$BM$515,HLOOKUP(INDIRECT(ADDRESS(2,COLUMN())),OFFSET($BN$2,0,0,ROW()-1,60),ROW()-1,FALSE))</f>
        <v/>
      </c>
      <c r="BN6" t="str">
        <f>""</f>
        <v/>
      </c>
      <c r="BO6" t="str">
        <f>""</f>
        <v/>
      </c>
      <c r="BP6">
        <f>14.87176155</f>
        <v>14.87176155</v>
      </c>
      <c r="BQ6">
        <f>15.67887024</f>
        <v>15.67887024</v>
      </c>
      <c r="BR6">
        <f>15.61517056</f>
        <v>15.615170559999999</v>
      </c>
      <c r="BS6">
        <f>15.04642118</f>
        <v>15.046421179999999</v>
      </c>
      <c r="BT6">
        <f>13.10051696</f>
        <v>13.10051696</v>
      </c>
      <c r="BU6">
        <f>12.91668858</f>
        <v>12.916688580000001</v>
      </c>
      <c r="BV6">
        <f>12.57289917</f>
        <v>12.572899169999999</v>
      </c>
      <c r="BW6">
        <f>11.69019721</f>
        <v>11.690197209999999</v>
      </c>
      <c r="BX6">
        <f>11.68842543</f>
        <v>11.688425430000001</v>
      </c>
      <c r="BY6">
        <f>11.27763657</f>
        <v>11.27763657</v>
      </c>
      <c r="BZ6">
        <f>10.90012153</f>
        <v>10.90012153</v>
      </c>
      <c r="CA6">
        <f>10.67412794</f>
        <v>10.67412794</v>
      </c>
      <c r="CB6">
        <f>10.84494571</f>
        <v>10.844945709999999</v>
      </c>
      <c r="CC6">
        <f>10.8610399</f>
        <v>10.8610399</v>
      </c>
      <c r="CD6">
        <f>11.48145535</f>
        <v>11.481455349999999</v>
      </c>
      <c r="CE6">
        <f>11.9164632</f>
        <v>11.916463200000001</v>
      </c>
      <c r="CF6">
        <f>12.14524259</f>
        <v>12.145242590000001</v>
      </c>
      <c r="CG6">
        <f>12.18962094</f>
        <v>12.189620939999999</v>
      </c>
      <c r="CH6">
        <f>11.27955652</f>
        <v>11.27955652</v>
      </c>
      <c r="CI6">
        <f>10.87057138</f>
        <v>10.870571379999999</v>
      </c>
      <c r="CJ6">
        <f>10.65937265</f>
        <v>10.65937265</v>
      </c>
      <c r="CK6">
        <f>10.42689665</f>
        <v>10.42689665</v>
      </c>
      <c r="CL6">
        <f>10.16156332</f>
        <v>10.161563320000001</v>
      </c>
      <c r="CM6">
        <f>10.22267518</f>
        <v>10.22267518</v>
      </c>
      <c r="CN6">
        <f>9.490734945</f>
        <v>9.4907349449999998</v>
      </c>
      <c r="CO6">
        <f>9.440189862</f>
        <v>9.4401898620000004</v>
      </c>
      <c r="CP6">
        <f>10.76201991</f>
        <v>10.762019909999999</v>
      </c>
      <c r="CQ6">
        <f>10.42909199</f>
        <v>10.42909199</v>
      </c>
      <c r="CR6">
        <f>11.35342063</f>
        <v>11.35342063</v>
      </c>
      <c r="CS6">
        <f>10.61512113</f>
        <v>10.61512113</v>
      </c>
      <c r="CT6">
        <f>8.401001828</f>
        <v>8.4010018280000001</v>
      </c>
      <c r="CU6">
        <f>6.778982876</f>
        <v>6.7789828759999997</v>
      </c>
      <c r="CV6">
        <f>4.514826843</f>
        <v>4.5148268429999998</v>
      </c>
      <c r="CW6">
        <f>2.947191767</f>
        <v>2.9471917670000001</v>
      </c>
      <c r="CX6">
        <f>1.45343425</f>
        <v>1.4534342499999999</v>
      </c>
      <c r="CY6">
        <f>0.429567377</f>
        <v>0.42956737699999997</v>
      </c>
      <c r="CZ6">
        <f>-1.398606949</f>
        <v>-1.3986069489999999</v>
      </c>
      <c r="DA6">
        <f>-0.964372992</f>
        <v>-0.96437299200000004</v>
      </c>
      <c r="DB6">
        <f>-0.167644283</f>
        <v>-0.16764428300000001</v>
      </c>
      <c r="DC6">
        <f>1.253500779</f>
        <v>1.2535007789999999</v>
      </c>
      <c r="DD6" t="str">
        <f>""</f>
        <v/>
      </c>
      <c r="DE6" t="str">
        <f>""</f>
        <v/>
      </c>
      <c r="DF6" t="str">
        <f>""</f>
        <v/>
      </c>
      <c r="DG6" t="str">
        <f>""</f>
        <v/>
      </c>
      <c r="DH6" t="str">
        <f>""</f>
        <v/>
      </c>
      <c r="DI6" t="str">
        <f>""</f>
        <v/>
      </c>
      <c r="DJ6" t="str">
        <f>""</f>
        <v/>
      </c>
      <c r="DK6" t="str">
        <f>""</f>
        <v/>
      </c>
      <c r="DL6" t="str">
        <f>""</f>
        <v/>
      </c>
      <c r="DM6" t="str">
        <f>""</f>
        <v/>
      </c>
      <c r="DN6" t="str">
        <f>""</f>
        <v/>
      </c>
      <c r="DO6" t="str">
        <f>""</f>
        <v/>
      </c>
      <c r="DP6" t="str">
        <f>""</f>
        <v/>
      </c>
      <c r="DQ6" t="str">
        <f>""</f>
        <v/>
      </c>
      <c r="DR6" t="str">
        <f>""</f>
        <v/>
      </c>
      <c r="DS6" t="str">
        <f>""</f>
        <v/>
      </c>
      <c r="DT6" t="str">
        <f>""</f>
        <v/>
      </c>
      <c r="DU6" t="str">
        <f>""</f>
        <v/>
      </c>
    </row>
    <row r="7" spans="1:125" x14ac:dyDescent="0.25">
      <c r="A7" t="str">
        <f>"    Brilliance China Automotive Holdings Ltd"</f>
        <v xml:space="preserve">    Brilliance China Automotive Holdings Ltd</v>
      </c>
      <c r="B7" t="str">
        <f>"1114 HK Equity"</f>
        <v>1114 HK Equity</v>
      </c>
      <c r="C7" t="str">
        <f t="shared" si="0"/>
        <v>RR844</v>
      </c>
      <c r="D7" t="str">
        <f t="shared" si="1"/>
        <v>T12M_DIL_EPS_CONT_OPS</v>
      </c>
      <c r="E7" t="str">
        <f t="shared" si="2"/>
        <v>Dynamic</v>
      </c>
      <c r="F7" t="str">
        <f ca="1">IF(AND(ISNUMBER($F$516),$B$511=1),$F$516,HLOOKUP(INDIRECT(ADDRESS(2,COLUMN())),OFFSET($BN$2,0,0,ROW()-1,60),ROW()-1,FALSE))</f>
        <v/>
      </c>
      <c r="G7" t="str">
        <f ca="1">IF(AND(ISNUMBER($G$516),$B$511=1),$G$516,HLOOKUP(INDIRECT(ADDRESS(2,COLUMN())),OFFSET($BN$2,0,0,ROW()-1,60),ROW()-1,FALSE))</f>
        <v/>
      </c>
      <c r="H7" t="str">
        <f ca="1">IF(AND(ISNUMBER($H$516),$B$511=1),$H$516,HLOOKUP(INDIRECT(ADDRESS(2,COLUMN())),OFFSET($BN$2,0,0,ROW()-1,60),ROW()-1,FALSE))</f>
        <v/>
      </c>
      <c r="I7" t="str">
        <f ca="1">IF(AND(ISNUMBER($I$516),$B$511=1),$I$516,HLOOKUP(INDIRECT(ADDRESS(2,COLUMN())),OFFSET($BN$2,0,0,ROW()-1,60),ROW()-1,FALSE))</f>
        <v/>
      </c>
      <c r="J7" t="str">
        <f ca="1">IF(AND(ISNUMBER($J$516),$B$511=1),$J$516,HLOOKUP(INDIRECT(ADDRESS(2,COLUMN())),OFFSET($BN$2,0,0,ROW()-1,60),ROW()-1,FALSE))</f>
        <v/>
      </c>
      <c r="K7" t="str">
        <f ca="1">IF(AND(ISNUMBER($K$516),$B$511=1),$K$516,HLOOKUP(INDIRECT(ADDRESS(2,COLUMN())),OFFSET($BN$2,0,0,ROW()-1,60),ROW()-1,FALSE))</f>
        <v/>
      </c>
      <c r="L7" t="str">
        <f ca="1">IF(AND(ISNUMBER($L$516),$B$511=1),$L$516,HLOOKUP(INDIRECT(ADDRESS(2,COLUMN())),OFFSET($BN$2,0,0,ROW()-1,60),ROW()-1,FALSE))</f>
        <v/>
      </c>
      <c r="M7" t="str">
        <f ca="1">IF(AND(ISNUMBER($M$516),$B$511=1),$M$516,HLOOKUP(INDIRECT(ADDRESS(2,COLUMN())),OFFSET($BN$2,0,0,ROW()-1,60),ROW()-1,FALSE))</f>
        <v/>
      </c>
      <c r="N7" t="str">
        <f ca="1">IF(AND(ISNUMBER($N$516),$B$511=1),$N$516,HLOOKUP(INDIRECT(ADDRESS(2,COLUMN())),OFFSET($BN$2,0,0,ROW()-1,60),ROW()-1,FALSE))</f>
        <v/>
      </c>
      <c r="O7" t="str">
        <f ca="1">IF(AND(ISNUMBER($O$516),$B$511=1),$O$516,HLOOKUP(INDIRECT(ADDRESS(2,COLUMN())),OFFSET($BN$2,0,0,ROW()-1,60),ROW()-1,FALSE))</f>
        <v/>
      </c>
      <c r="P7" t="str">
        <f ca="1">IF(AND(ISNUMBER($P$516),$B$511=1),$P$516,HLOOKUP(INDIRECT(ADDRESS(2,COLUMN())),OFFSET($BN$2,0,0,ROW()-1,60),ROW()-1,FALSE))</f>
        <v/>
      </c>
      <c r="Q7" t="str">
        <f ca="1">IF(AND(ISNUMBER($Q$516),$B$511=1),$Q$516,HLOOKUP(INDIRECT(ADDRESS(2,COLUMN())),OFFSET($BN$2,0,0,ROW()-1,60),ROW()-1,FALSE))</f>
        <v/>
      </c>
      <c r="R7" t="str">
        <f ca="1">IF(AND(ISNUMBER($R$516),$B$511=1),$R$516,HLOOKUP(INDIRECT(ADDRESS(2,COLUMN())),OFFSET($BN$2,0,0,ROW()-1,60),ROW()-1,FALSE))</f>
        <v/>
      </c>
      <c r="S7" t="str">
        <f ca="1">IF(AND(ISNUMBER($S$516),$B$511=1),$S$516,HLOOKUP(INDIRECT(ADDRESS(2,COLUMN())),OFFSET($BN$2,0,0,ROW()-1,60),ROW()-1,FALSE))</f>
        <v/>
      </c>
      <c r="T7" t="str">
        <f ca="1">IF(AND(ISNUMBER($T$516),$B$511=1),$T$516,HLOOKUP(INDIRECT(ADDRESS(2,COLUMN())),OFFSET($BN$2,0,0,ROW()-1,60),ROW()-1,FALSE))</f>
        <v/>
      </c>
      <c r="U7" t="str">
        <f ca="1">IF(AND(ISNUMBER($U$516),$B$511=1),$U$516,HLOOKUP(INDIRECT(ADDRESS(2,COLUMN())),OFFSET($BN$2,0,0,ROW()-1,60),ROW()-1,FALSE))</f>
        <v/>
      </c>
      <c r="V7" t="str">
        <f ca="1">IF(AND(ISNUMBER($V$516),$B$511=1),$V$516,HLOOKUP(INDIRECT(ADDRESS(2,COLUMN())),OFFSET($BN$2,0,0,ROW()-1,60),ROW()-1,FALSE))</f>
        <v/>
      </c>
      <c r="W7" t="str">
        <f ca="1">IF(AND(ISNUMBER($W$516),$B$511=1),$W$516,HLOOKUP(INDIRECT(ADDRESS(2,COLUMN())),OFFSET($BN$2,0,0,ROW()-1,60),ROW()-1,FALSE))</f>
        <v/>
      </c>
      <c r="X7" t="str">
        <f ca="1">IF(AND(ISNUMBER($X$516),$B$511=1),$X$516,HLOOKUP(INDIRECT(ADDRESS(2,COLUMN())),OFFSET($BN$2,0,0,ROW()-1,60),ROW()-1,FALSE))</f>
        <v/>
      </c>
      <c r="Y7" t="str">
        <f ca="1">IF(AND(ISNUMBER($Y$516),$B$511=1),$Y$516,HLOOKUP(INDIRECT(ADDRESS(2,COLUMN())),OFFSET($BN$2,0,0,ROW()-1,60),ROW()-1,FALSE))</f>
        <v/>
      </c>
      <c r="Z7" t="str">
        <f ca="1">IF(AND(ISNUMBER($Z$516),$B$511=1),$Z$516,HLOOKUP(INDIRECT(ADDRESS(2,COLUMN())),OFFSET($BN$2,0,0,ROW()-1,60),ROW()-1,FALSE))</f>
        <v/>
      </c>
      <c r="AA7" t="str">
        <f ca="1">IF(AND(ISNUMBER($AA$516),$B$511=1),$AA$516,HLOOKUP(INDIRECT(ADDRESS(2,COLUMN())),OFFSET($BN$2,0,0,ROW()-1,60),ROW()-1,FALSE))</f>
        <v/>
      </c>
      <c r="AB7" t="str">
        <f ca="1">IF(AND(ISNUMBER($AB$516),$B$511=1),$AB$516,HLOOKUP(INDIRECT(ADDRESS(2,COLUMN())),OFFSET($BN$2,0,0,ROW()-1,60),ROW()-1,FALSE))</f>
        <v/>
      </c>
      <c r="AC7" t="str">
        <f ca="1">IF(AND(ISNUMBER($AC$516),$B$511=1),$AC$516,HLOOKUP(INDIRECT(ADDRESS(2,COLUMN())),OFFSET($BN$2,0,0,ROW()-1,60),ROW()-1,FALSE))</f>
        <v/>
      </c>
      <c r="AD7" t="str">
        <f ca="1">IF(AND(ISNUMBER($AD$516),$B$511=1),$AD$516,HLOOKUP(INDIRECT(ADDRESS(2,COLUMN())),OFFSET($BN$2,0,0,ROW()-1,60),ROW()-1,FALSE))</f>
        <v/>
      </c>
      <c r="AE7" t="str">
        <f ca="1">IF(AND(ISNUMBER($AE$516),$B$511=1),$AE$516,HLOOKUP(INDIRECT(ADDRESS(2,COLUMN())),OFFSET($BN$2,0,0,ROW()-1,60),ROW()-1,FALSE))</f>
        <v/>
      </c>
      <c r="AF7" t="str">
        <f ca="1">IF(AND(ISNUMBER($AF$516),$B$511=1),$AF$516,HLOOKUP(INDIRECT(ADDRESS(2,COLUMN())),OFFSET($BN$2,0,0,ROW()-1,60),ROW()-1,FALSE))</f>
        <v/>
      </c>
      <c r="AG7" t="str">
        <f ca="1">IF(AND(ISNUMBER($AG$516),$B$511=1),$AG$516,HLOOKUP(INDIRECT(ADDRESS(2,COLUMN())),OFFSET($BN$2,0,0,ROW()-1,60),ROW()-1,FALSE))</f>
        <v/>
      </c>
      <c r="AH7" t="str">
        <f ca="1">IF(AND(ISNUMBER($AH$516),$B$511=1),$AH$516,HLOOKUP(INDIRECT(ADDRESS(2,COLUMN())),OFFSET($BN$2,0,0,ROW()-1,60),ROW()-1,FALSE))</f>
        <v/>
      </c>
      <c r="AI7" t="str">
        <f ca="1">IF(AND(ISNUMBER($AI$516),$B$511=1),$AI$516,HLOOKUP(INDIRECT(ADDRESS(2,COLUMN())),OFFSET($BN$2,0,0,ROW()-1,60),ROW()-1,FALSE))</f>
        <v/>
      </c>
      <c r="AJ7" t="str">
        <f ca="1">IF(AND(ISNUMBER($AJ$516),$B$511=1),$AJ$516,HLOOKUP(INDIRECT(ADDRESS(2,COLUMN())),OFFSET($BN$2,0,0,ROW()-1,60),ROW()-1,FALSE))</f>
        <v/>
      </c>
      <c r="AK7" t="str">
        <f ca="1">IF(AND(ISNUMBER($AK$516),$B$511=1),$AK$516,HLOOKUP(INDIRECT(ADDRESS(2,COLUMN())),OFFSET($BN$2,0,0,ROW()-1,60),ROW()-1,FALSE))</f>
        <v/>
      </c>
      <c r="AL7" t="str">
        <f ca="1">IF(AND(ISNUMBER($AL$516),$B$511=1),$AL$516,HLOOKUP(INDIRECT(ADDRESS(2,COLUMN())),OFFSET($BN$2,0,0,ROW()-1,60),ROW()-1,FALSE))</f>
        <v/>
      </c>
      <c r="AM7" t="str">
        <f ca="1">IF(AND(ISNUMBER($AM$516),$B$511=1),$AM$516,HLOOKUP(INDIRECT(ADDRESS(2,COLUMN())),OFFSET($BN$2,0,0,ROW()-1,60),ROW()-1,FALSE))</f>
        <v/>
      </c>
      <c r="AN7" t="str">
        <f ca="1">IF(AND(ISNUMBER($AN$516),$B$511=1),$AN$516,HLOOKUP(INDIRECT(ADDRESS(2,COLUMN())),OFFSET($BN$2,0,0,ROW()-1,60),ROW()-1,FALSE))</f>
        <v/>
      </c>
      <c r="AO7" t="str">
        <f ca="1">IF(AND(ISNUMBER($AO$516),$B$511=1),$AO$516,HLOOKUP(INDIRECT(ADDRESS(2,COLUMN())),OFFSET($BN$2,0,0,ROW()-1,60),ROW()-1,FALSE))</f>
        <v/>
      </c>
      <c r="AP7" t="str">
        <f ca="1">IF(AND(ISNUMBER($AP$516),$B$511=1),$AP$516,HLOOKUP(INDIRECT(ADDRESS(2,COLUMN())),OFFSET($BN$2,0,0,ROW()-1,60),ROW()-1,FALSE))</f>
        <v/>
      </c>
      <c r="AQ7" t="str">
        <f ca="1">IF(AND(ISNUMBER($AQ$516),$B$511=1),$AQ$516,HLOOKUP(INDIRECT(ADDRESS(2,COLUMN())),OFFSET($BN$2,0,0,ROW()-1,60),ROW()-1,FALSE))</f>
        <v/>
      </c>
      <c r="AR7" t="str">
        <f ca="1">IF(AND(ISNUMBER($AR$516),$B$511=1),$AR$516,HLOOKUP(INDIRECT(ADDRESS(2,COLUMN())),OFFSET($BN$2,0,0,ROW()-1,60),ROW()-1,FALSE))</f>
        <v/>
      </c>
      <c r="AS7" t="str">
        <f ca="1">IF(AND(ISNUMBER($AS$516),$B$511=1),$AS$516,HLOOKUP(INDIRECT(ADDRESS(2,COLUMN())),OFFSET($BN$2,0,0,ROW()-1,60),ROW()-1,FALSE))</f>
        <v/>
      </c>
      <c r="AT7" t="str">
        <f ca="1">IF(AND(ISNUMBER($AT$516),$B$511=1),$AT$516,HLOOKUP(INDIRECT(ADDRESS(2,COLUMN())),OFFSET($BN$2,0,0,ROW()-1,60),ROW()-1,FALSE))</f>
        <v/>
      </c>
      <c r="AU7" t="str">
        <f ca="1">IF(AND(ISNUMBER($AU$516),$B$511=1),$AU$516,HLOOKUP(INDIRECT(ADDRESS(2,COLUMN())),OFFSET($BN$2,0,0,ROW()-1,60),ROW()-1,FALSE))</f>
        <v/>
      </c>
      <c r="AV7" t="str">
        <f ca="1">IF(AND(ISNUMBER($AV$516),$B$511=1),$AV$516,HLOOKUP(INDIRECT(ADDRESS(2,COLUMN())),OFFSET($BN$2,0,0,ROW()-1,60),ROW()-1,FALSE))</f>
        <v/>
      </c>
      <c r="AW7" t="str">
        <f ca="1">IF(AND(ISNUMBER($AW$516),$B$511=1),$AW$516,HLOOKUP(INDIRECT(ADDRESS(2,COLUMN())),OFFSET($BN$2,0,0,ROW()-1,60),ROW()-1,FALSE))</f>
        <v/>
      </c>
      <c r="AX7" t="str">
        <f ca="1">IF(AND(ISNUMBER($AX$516),$B$511=1),$AX$516,HLOOKUP(INDIRECT(ADDRESS(2,COLUMN())),OFFSET($BN$2,0,0,ROW()-1,60),ROW()-1,FALSE))</f>
        <v/>
      </c>
      <c r="AY7" t="str">
        <f ca="1">IF(AND(ISNUMBER($AY$516),$B$511=1),$AY$516,HLOOKUP(INDIRECT(ADDRESS(2,COLUMN())),OFFSET($BN$2,0,0,ROW()-1,60),ROW()-1,FALSE))</f>
        <v/>
      </c>
      <c r="AZ7" t="str">
        <f ca="1">IF(AND(ISNUMBER($AZ$516),$B$511=1),$AZ$516,HLOOKUP(INDIRECT(ADDRESS(2,COLUMN())),OFFSET($BN$2,0,0,ROW()-1,60),ROW()-1,FALSE))</f>
        <v/>
      </c>
      <c r="BA7" t="str">
        <f ca="1">IF(AND(ISNUMBER($BA$516),$B$511=1),$BA$516,HLOOKUP(INDIRECT(ADDRESS(2,COLUMN())),OFFSET($BN$2,0,0,ROW()-1,60),ROW()-1,FALSE))</f>
        <v/>
      </c>
      <c r="BB7" t="str">
        <f ca="1">IF(AND(ISNUMBER($BB$516),$B$511=1),$BB$516,HLOOKUP(INDIRECT(ADDRESS(2,COLUMN())),OFFSET($BN$2,0,0,ROW()-1,60),ROW()-1,FALSE))</f>
        <v/>
      </c>
      <c r="BC7" t="str">
        <f ca="1">IF(AND(ISNUMBER($BC$516),$B$511=1),$BC$516,HLOOKUP(INDIRECT(ADDRESS(2,COLUMN())),OFFSET($BN$2,0,0,ROW()-1,60),ROW()-1,FALSE))</f>
        <v/>
      </c>
      <c r="BD7" t="str">
        <f ca="1">IF(AND(ISNUMBER($BD$516),$B$511=1),$BD$516,HLOOKUP(INDIRECT(ADDRESS(2,COLUMN())),OFFSET($BN$2,0,0,ROW()-1,60),ROW()-1,FALSE))</f>
        <v/>
      </c>
      <c r="BE7" t="str">
        <f ca="1">IF(AND(ISNUMBER($BE$516),$B$511=1),$BE$516,HLOOKUP(INDIRECT(ADDRESS(2,COLUMN())),OFFSET($BN$2,0,0,ROW()-1,60),ROW()-1,FALSE))</f>
        <v/>
      </c>
      <c r="BF7" t="str">
        <f ca="1">IF(AND(ISNUMBER($BF$516),$B$511=1),$BF$516,HLOOKUP(INDIRECT(ADDRESS(2,COLUMN())),OFFSET($BN$2,0,0,ROW()-1,60),ROW()-1,FALSE))</f>
        <v/>
      </c>
      <c r="BG7" t="str">
        <f ca="1">IF(AND(ISNUMBER($BG$516),$B$511=1),$BG$516,HLOOKUP(INDIRECT(ADDRESS(2,COLUMN())),OFFSET($BN$2,0,0,ROW()-1,60),ROW()-1,FALSE))</f>
        <v/>
      </c>
      <c r="BH7" t="str">
        <f ca="1">IF(AND(ISNUMBER($BH$516),$B$511=1),$BH$516,HLOOKUP(INDIRECT(ADDRESS(2,COLUMN())),OFFSET($BN$2,0,0,ROW()-1,60),ROW()-1,FALSE))</f>
        <v/>
      </c>
      <c r="BI7" t="str">
        <f ca="1">IF(AND(ISNUMBER($BI$516),$B$511=1),$BI$516,HLOOKUP(INDIRECT(ADDRESS(2,COLUMN())),OFFSET($BN$2,0,0,ROW()-1,60),ROW()-1,FALSE))</f>
        <v/>
      </c>
      <c r="BJ7" t="str">
        <f ca="1">IF(AND(ISNUMBER($BJ$516),$B$511=1),$BJ$516,HLOOKUP(INDIRECT(ADDRESS(2,COLUMN())),OFFSET($BN$2,0,0,ROW()-1,60),ROW()-1,FALSE))</f>
        <v/>
      </c>
      <c r="BK7" t="str">
        <f ca="1">IF(AND(ISNUMBER($BK$516),$B$511=1),$BK$516,HLOOKUP(INDIRECT(ADDRESS(2,COLUMN())),OFFSET($BN$2,0,0,ROW()-1,60),ROW()-1,FALSE))</f>
        <v/>
      </c>
      <c r="BL7" t="str">
        <f ca="1">IF(AND(ISNUMBER($BL$516),$B$511=1),$BL$516,HLOOKUP(INDIRECT(ADDRESS(2,COLUMN())),OFFSET($BN$2,0,0,ROW()-1,60),ROW()-1,FALSE))</f>
        <v/>
      </c>
      <c r="BM7" t="str">
        <f ca="1">IF(AND(ISNUMBER($BM$516),$B$511=1),$BM$516,HLOOKUP(INDIRECT(ADDRESS(2,COLUMN())),OFFSET($BN$2,0,0,ROW()-1,60),ROW()-1,FALSE))</f>
        <v/>
      </c>
      <c r="BN7" t="str">
        <f>""</f>
        <v/>
      </c>
      <c r="BO7" t="str">
        <f>""</f>
        <v/>
      </c>
      <c r="BP7" t="str">
        <f>""</f>
        <v/>
      </c>
      <c r="BQ7" t="str">
        <f>""</f>
        <v/>
      </c>
      <c r="BR7" t="str">
        <f>""</f>
        <v/>
      </c>
      <c r="BS7" t="str">
        <f>""</f>
        <v/>
      </c>
      <c r="BT7" t="str">
        <f>""</f>
        <v/>
      </c>
      <c r="BU7" t="str">
        <f>""</f>
        <v/>
      </c>
      <c r="BV7" t="str">
        <f>""</f>
        <v/>
      </c>
      <c r="BW7" t="str">
        <f>""</f>
        <v/>
      </c>
      <c r="BX7" t="str">
        <f>""</f>
        <v/>
      </c>
      <c r="BY7" t="str">
        <f>""</f>
        <v/>
      </c>
      <c r="BZ7" t="str">
        <f>""</f>
        <v/>
      </c>
      <c r="CA7" t="str">
        <f>""</f>
        <v/>
      </c>
      <c r="CB7" t="str">
        <f>""</f>
        <v/>
      </c>
      <c r="CC7" t="str">
        <f>""</f>
        <v/>
      </c>
      <c r="CD7" t="str">
        <f>""</f>
        <v/>
      </c>
      <c r="CE7" t="str">
        <f>""</f>
        <v/>
      </c>
      <c r="CF7" t="str">
        <f>""</f>
        <v/>
      </c>
      <c r="CG7" t="str">
        <f>""</f>
        <v/>
      </c>
      <c r="CH7" t="str">
        <f>""</f>
        <v/>
      </c>
      <c r="CI7" t="str">
        <f>""</f>
        <v/>
      </c>
      <c r="CJ7" t="str">
        <f>""</f>
        <v/>
      </c>
      <c r="CK7" t="str">
        <f>""</f>
        <v/>
      </c>
      <c r="CL7" t="str">
        <f>""</f>
        <v/>
      </c>
      <c r="CM7" t="str">
        <f>""</f>
        <v/>
      </c>
      <c r="CN7" t="str">
        <f>""</f>
        <v/>
      </c>
      <c r="CO7" t="str">
        <f>""</f>
        <v/>
      </c>
      <c r="CP7" t="str">
        <f>""</f>
        <v/>
      </c>
      <c r="CQ7" t="str">
        <f>""</f>
        <v/>
      </c>
      <c r="CR7" t="str">
        <f>""</f>
        <v/>
      </c>
      <c r="CS7" t="str">
        <f>""</f>
        <v/>
      </c>
      <c r="CT7" t="str">
        <f>""</f>
        <v/>
      </c>
      <c r="CU7" t="str">
        <f>""</f>
        <v/>
      </c>
      <c r="CV7" t="str">
        <f>""</f>
        <v/>
      </c>
      <c r="CW7" t="str">
        <f>""</f>
        <v/>
      </c>
      <c r="CX7" t="str">
        <f>""</f>
        <v/>
      </c>
      <c r="CY7" t="str">
        <f>""</f>
        <v/>
      </c>
      <c r="CZ7" t="str">
        <f>""</f>
        <v/>
      </c>
      <c r="DA7" t="str">
        <f>""</f>
        <v/>
      </c>
      <c r="DB7" t="str">
        <f>""</f>
        <v/>
      </c>
      <c r="DC7" t="str">
        <f>""</f>
        <v/>
      </c>
      <c r="DD7" t="str">
        <f>""</f>
        <v/>
      </c>
      <c r="DE7" t="str">
        <f>""</f>
        <v/>
      </c>
      <c r="DF7" t="str">
        <f>""</f>
        <v/>
      </c>
      <c r="DG7" t="str">
        <f>""</f>
        <v/>
      </c>
      <c r="DH7" t="str">
        <f>""</f>
        <v/>
      </c>
      <c r="DI7" t="str">
        <f>""</f>
        <v/>
      </c>
      <c r="DJ7" t="str">
        <f>""</f>
        <v/>
      </c>
      <c r="DK7" t="str">
        <f>""</f>
        <v/>
      </c>
      <c r="DL7" t="str">
        <f>""</f>
        <v/>
      </c>
      <c r="DM7" t="str">
        <f>""</f>
        <v/>
      </c>
      <c r="DN7" t="str">
        <f>""</f>
        <v/>
      </c>
      <c r="DO7" t="str">
        <f>""</f>
        <v/>
      </c>
      <c r="DP7" t="str">
        <f>""</f>
        <v/>
      </c>
      <c r="DQ7" t="str">
        <f>""</f>
        <v/>
      </c>
      <c r="DR7" t="str">
        <f>""</f>
        <v/>
      </c>
      <c r="DS7" t="str">
        <f>""</f>
        <v/>
      </c>
      <c r="DT7" t="str">
        <f>""</f>
        <v/>
      </c>
      <c r="DU7" t="str">
        <f>""</f>
        <v/>
      </c>
    </row>
    <row r="8" spans="1:125" x14ac:dyDescent="0.25">
      <c r="A8" t="str">
        <f>"    BYD Co Ltd"</f>
        <v xml:space="preserve">    BYD Co Ltd</v>
      </c>
      <c r="B8" t="str">
        <f>"1211 HK Equity"</f>
        <v>1211 HK Equity</v>
      </c>
      <c r="C8" t="str">
        <f t="shared" si="0"/>
        <v>RR844</v>
      </c>
      <c r="D8" t="str">
        <f t="shared" si="1"/>
        <v>T12M_DIL_EPS_CONT_OPS</v>
      </c>
      <c r="E8" t="str">
        <f t="shared" si="2"/>
        <v>Dynamic</v>
      </c>
      <c r="F8" t="str">
        <f ca="1">IF(AND(ISNUMBER($F$517),$B$511=1),$F$517,HLOOKUP(INDIRECT(ADDRESS(2,COLUMN())),OFFSET($BN$2,0,0,ROW()-1,60),ROW()-1,FALSE))</f>
        <v/>
      </c>
      <c r="G8" t="str">
        <f ca="1">IF(AND(ISNUMBER($G$517),$B$511=1),$G$517,HLOOKUP(INDIRECT(ADDRESS(2,COLUMN())),OFFSET($BN$2,0,0,ROW()-1,60),ROW()-1,FALSE))</f>
        <v/>
      </c>
      <c r="H8">
        <f ca="1">IF(AND(ISNUMBER($H$517),$B$511=1),$H$517,HLOOKUP(INDIRECT(ADDRESS(2,COLUMN())),OFFSET($BN$2,0,0,ROW()-1,60),ROW()-1,FALSE))</f>
        <v>0.13274554599999999</v>
      </c>
      <c r="I8">
        <f ca="1">IF(AND(ISNUMBER($I$517),$B$511=1),$I$517,HLOOKUP(INDIRECT(ADDRESS(2,COLUMN())),OFFSET($BN$2,0,0,ROW()-1,60),ROW()-1,FALSE))</f>
        <v>0.12512532300000001</v>
      </c>
      <c r="J8">
        <f ca="1">IF(AND(ISNUMBER($J$517),$B$511=1),$J$517,HLOOKUP(INDIRECT(ADDRESS(2,COLUMN())),OFFSET($BN$2,0,0,ROW()-1,60),ROW()-1,FALSE))</f>
        <v>0.19193637099999999</v>
      </c>
      <c r="K8">
        <f ca="1">IF(AND(ISNUMBER($K$517),$B$511=1),$K$517,HLOOKUP(INDIRECT(ADDRESS(2,COLUMN())),OFFSET($BN$2,0,0,ROW()-1,60),ROW()-1,FALSE))</f>
        <v>0.20682513399999999</v>
      </c>
      <c r="L8">
        <f ca="1">IF(AND(ISNUMBER($L$517),$B$511=1),$L$517,HLOOKUP(INDIRECT(ADDRESS(2,COLUMN())),OFFSET($BN$2,0,0,ROW()-1,60),ROW()-1,FALSE))</f>
        <v>0.19835878000000001</v>
      </c>
      <c r="M8">
        <f ca="1">IF(AND(ISNUMBER($M$517),$B$511=1),$M$517,HLOOKUP(INDIRECT(ADDRESS(2,COLUMN())),OFFSET($BN$2,0,0,ROW()-1,60),ROW()-1,FALSE))</f>
        <v>0.23476535700000001</v>
      </c>
      <c r="N8">
        <f ca="1">IF(AND(ISNUMBER($N$517),$B$511=1),$N$517,HLOOKUP(INDIRECT(ADDRESS(2,COLUMN())),OFFSET($BN$2,0,0,ROW()-1,60),ROW()-1,FALSE))</f>
        <v>0.27644059399999998</v>
      </c>
      <c r="O8">
        <f ca="1">IF(AND(ISNUMBER($O$517),$B$511=1),$O$517,HLOOKUP(INDIRECT(ADDRESS(2,COLUMN())),OFFSET($BN$2,0,0,ROW()-1,60),ROW()-1,FALSE))</f>
        <v>0.29978101099999999</v>
      </c>
      <c r="P8">
        <f ca="1">IF(AND(ISNUMBER($P$517),$B$511=1),$P$517,HLOOKUP(INDIRECT(ADDRESS(2,COLUMN())),OFFSET($BN$2,0,0,ROW()-1,60),ROW()-1,FALSE))</f>
        <v>0.29858625</v>
      </c>
      <c r="Q8">
        <f ca="1">IF(AND(ISNUMBER($Q$517),$B$511=1),$Q$517,HLOOKUP(INDIRECT(ADDRESS(2,COLUMN())),OFFSET($BN$2,0,0,ROW()-1,60),ROW()-1,FALSE))</f>
        <v>0.23079835400000001</v>
      </c>
      <c r="R8">
        <f ca="1">IF(AND(ISNUMBER($R$517),$B$511=1),$R$517,HLOOKUP(INDIRECT(ADDRESS(2,COLUMN())),OFFSET($BN$2,0,0,ROW()-1,60),ROW()-1,FALSE))</f>
        <v>0.15892381899999999</v>
      </c>
      <c r="S8">
        <f ca="1">IF(AND(ISNUMBER($S$517),$B$511=1),$S$517,HLOOKUP(INDIRECT(ADDRESS(2,COLUMN())),OFFSET($BN$2,0,0,ROW()-1,60),ROW()-1,FALSE))</f>
        <v>0.111780213</v>
      </c>
      <c r="T8">
        <f ca="1">IF(AND(ISNUMBER($T$517),$B$511=1),$T$517,HLOOKUP(INDIRECT(ADDRESS(2,COLUMN())),OFFSET($BN$2,0,0,ROW()-1,60),ROW()-1,FALSE))</f>
        <v>6.2861480999999997E-2</v>
      </c>
      <c r="U8">
        <f ca="1">IF(AND(ISNUMBER($U$517),$B$511=1),$U$517,HLOOKUP(INDIRECT(ADDRESS(2,COLUMN())),OFFSET($BN$2,0,0,ROW()-1,60),ROW()-1,FALSE))</f>
        <v>1.2911283000000001E-2</v>
      </c>
      <c r="V8">
        <f ca="1">IF(AND(ISNUMBER($V$517),$B$511=1),$V$517,HLOOKUP(INDIRECT(ADDRESS(2,COLUMN())),OFFSET($BN$2,0,0,ROW()-1,60),ROW()-1,FALSE))</f>
        <v>1.5954270999999999E-2</v>
      </c>
      <c r="W8">
        <f ca="1">IF(AND(ISNUMBER($W$517),$B$511=1),$W$517,HLOOKUP(INDIRECT(ADDRESS(2,COLUMN())),OFFSET($BN$2,0,0,ROW()-1,60),ROW()-1,FALSE))</f>
        <v>9.6571199999999999E-3</v>
      </c>
      <c r="X8">
        <f ca="1">IF(AND(ISNUMBER($X$517),$B$511=1),$X$517,HLOOKUP(INDIRECT(ADDRESS(2,COLUMN())),OFFSET($BN$2,0,0,ROW()-1,60),ROW()-1,FALSE))</f>
        <v>7.3682940000000001E-3</v>
      </c>
      <c r="Y8">
        <f ca="1">IF(AND(ISNUMBER($Y$517),$B$511=1),$Y$517,HLOOKUP(INDIRECT(ADDRESS(2,COLUMN())),OFFSET($BN$2,0,0,ROW()-1,60),ROW()-1,FALSE))</f>
        <v>3.2746995000000001E-2</v>
      </c>
      <c r="Z8">
        <f ca="1">IF(AND(ISNUMBER($Z$517),$B$511=1),$Z$517,HLOOKUP(INDIRECT(ADDRESS(2,COLUMN())),OFFSET($BN$2,0,0,ROW()-1,60),ROW()-1,FALSE))</f>
        <v>2.7858443E-2</v>
      </c>
      <c r="AA8">
        <f ca="1">IF(AND(ISNUMBER($AA$517),$B$511=1),$AA$517,HLOOKUP(INDIRECT(ADDRESS(2,COLUMN())),OFFSET($BN$2,0,0,ROW()-1,60),ROW()-1,FALSE))</f>
        <v>3.5556285E-2</v>
      </c>
      <c r="AB8">
        <f ca="1">IF(AND(ISNUMBER($AB$517),$B$511=1),$AB$517,HLOOKUP(INDIRECT(ADDRESS(2,COLUMN())),OFFSET($BN$2,0,0,ROW()-1,60),ROW()-1,FALSE))</f>
        <v>3.7223799000000002E-2</v>
      </c>
      <c r="AC8">
        <f ca="1">IF(AND(ISNUMBER($AC$517),$B$511=1),$AC$517,HLOOKUP(INDIRECT(ADDRESS(2,COLUMN())),OFFSET($BN$2,0,0,ROW()-1,60),ROW()-1,FALSE))</f>
        <v>3.1538099999999999E-2</v>
      </c>
      <c r="AD8">
        <f ca="1">IF(AND(ISNUMBER($AD$517),$B$511=1),$AD$517,HLOOKUP(INDIRECT(ADDRESS(2,COLUMN())),OFFSET($BN$2,0,0,ROW()-1,60),ROW()-1,FALSE))</f>
        <v>1.0690160000000001E-2</v>
      </c>
      <c r="AE8">
        <f ca="1">IF(AND(ISNUMBER($AE$517),$B$511=1),$AE$517,HLOOKUP(INDIRECT(ADDRESS(2,COLUMN())),OFFSET($BN$2,0,0,ROW()-1,60),ROW()-1,FALSE))</f>
        <v>3.4916610000000001E-3</v>
      </c>
      <c r="AF8">
        <f ca="1">IF(AND(ISNUMBER($AF$517),$B$511=1),$AF$517,HLOOKUP(INDIRECT(ADDRESS(2,COLUMN())),OFFSET($BN$2,0,0,ROW()-1,60),ROW()-1,FALSE))</f>
        <v>3.8577354000000001E-2</v>
      </c>
      <c r="AG8">
        <f ca="1">IF(AND(ISNUMBER($AG$517),$B$511=1),$AG$517,HLOOKUP(INDIRECT(ADDRESS(2,COLUMN())),OFFSET($BN$2,0,0,ROW()-1,60),ROW()-1,FALSE))</f>
        <v>4.9817477999999998E-2</v>
      </c>
      <c r="AH8" t="str">
        <f ca="1">IF(AND(ISNUMBER($AH$517),$B$511=1),$AH$517,HLOOKUP(INDIRECT(ADDRESS(2,COLUMN())),OFFSET($BN$2,0,0,ROW()-1,60),ROW()-1,FALSE))</f>
        <v/>
      </c>
      <c r="AI8" t="str">
        <f ca="1">IF(AND(ISNUMBER($AI$517),$B$511=1),$AI$517,HLOOKUP(INDIRECT(ADDRESS(2,COLUMN())),OFFSET($BN$2,0,0,ROW()-1,60),ROW()-1,FALSE))</f>
        <v/>
      </c>
      <c r="AJ8" t="str">
        <f ca="1">IF(AND(ISNUMBER($AJ$517),$B$511=1),$AJ$517,HLOOKUP(INDIRECT(ADDRESS(2,COLUMN())),OFFSET($BN$2,0,0,ROW()-1,60),ROW()-1,FALSE))</f>
        <v/>
      </c>
      <c r="AK8" t="str">
        <f ca="1">IF(AND(ISNUMBER($AK$517),$B$511=1),$AK$517,HLOOKUP(INDIRECT(ADDRESS(2,COLUMN())),OFFSET($BN$2,0,0,ROW()-1,60),ROW()-1,FALSE))</f>
        <v/>
      </c>
      <c r="AL8" t="str">
        <f ca="1">IF(AND(ISNUMBER($AL$517),$B$511=1),$AL$517,HLOOKUP(INDIRECT(ADDRESS(2,COLUMN())),OFFSET($BN$2,0,0,ROW()-1,60),ROW()-1,FALSE))</f>
        <v/>
      </c>
      <c r="AM8">
        <f ca="1">IF(AND(ISNUMBER($AM$517),$B$511=1),$AM$517,HLOOKUP(INDIRECT(ADDRESS(2,COLUMN())),OFFSET($BN$2,0,0,ROW()-1,60),ROW()-1,FALSE))</f>
        <v>0.16703994599999999</v>
      </c>
      <c r="AN8">
        <f ca="1">IF(AND(ISNUMBER($AN$517),$B$511=1),$AN$517,HLOOKUP(INDIRECT(ADDRESS(2,COLUMN())),OFFSET($BN$2,0,0,ROW()-1,60),ROW()-1,FALSE))</f>
        <v>0.259107737</v>
      </c>
      <c r="AO8">
        <f ca="1">IF(AND(ISNUMBER($AO$517),$B$511=1),$AO$517,HLOOKUP(INDIRECT(ADDRESS(2,COLUMN())),OFFSET($BN$2,0,0,ROW()-1,60),ROW()-1,FALSE))</f>
        <v>0.33435494900000001</v>
      </c>
      <c r="AP8" t="str">
        <f ca="1">IF(AND(ISNUMBER($AP$517),$B$511=1),$AP$517,HLOOKUP(INDIRECT(ADDRESS(2,COLUMN())),OFFSET($BN$2,0,0,ROW()-1,60),ROW()-1,FALSE))</f>
        <v/>
      </c>
      <c r="AQ8" t="str">
        <f ca="1">IF(AND(ISNUMBER($AQ$517),$B$511=1),$AQ$517,HLOOKUP(INDIRECT(ADDRESS(2,COLUMN())),OFFSET($BN$2,0,0,ROW()-1,60),ROW()-1,FALSE))</f>
        <v/>
      </c>
      <c r="AR8" t="str">
        <f ca="1">IF(AND(ISNUMBER($AR$517),$B$511=1),$AR$517,HLOOKUP(INDIRECT(ADDRESS(2,COLUMN())),OFFSET($BN$2,0,0,ROW()-1,60),ROW()-1,FALSE))</f>
        <v/>
      </c>
      <c r="AS8" t="str">
        <f ca="1">IF(AND(ISNUMBER($AS$517),$B$511=1),$AS$517,HLOOKUP(INDIRECT(ADDRESS(2,COLUMN())),OFFSET($BN$2,0,0,ROW()-1,60),ROW()-1,FALSE))</f>
        <v/>
      </c>
      <c r="AT8" t="str">
        <f ca="1">IF(AND(ISNUMBER($AT$517),$B$511=1),$AT$517,HLOOKUP(INDIRECT(ADDRESS(2,COLUMN())),OFFSET($BN$2,0,0,ROW()-1,60),ROW()-1,FALSE))</f>
        <v/>
      </c>
      <c r="AU8" t="str">
        <f ca="1">IF(AND(ISNUMBER($AU$517),$B$511=1),$AU$517,HLOOKUP(INDIRECT(ADDRESS(2,COLUMN())),OFFSET($BN$2,0,0,ROW()-1,60),ROW()-1,FALSE))</f>
        <v/>
      </c>
      <c r="AV8" t="str">
        <f ca="1">IF(AND(ISNUMBER($AV$517),$B$511=1),$AV$517,HLOOKUP(INDIRECT(ADDRESS(2,COLUMN())),OFFSET($BN$2,0,0,ROW()-1,60),ROW()-1,FALSE))</f>
        <v/>
      </c>
      <c r="AW8" t="str">
        <f ca="1">IF(AND(ISNUMBER($AW$517),$B$511=1),$AW$517,HLOOKUP(INDIRECT(ADDRESS(2,COLUMN())),OFFSET($BN$2,0,0,ROW()-1,60),ROW()-1,FALSE))</f>
        <v/>
      </c>
      <c r="AX8" t="str">
        <f ca="1">IF(AND(ISNUMBER($AX$517),$B$511=1),$AX$517,HLOOKUP(INDIRECT(ADDRESS(2,COLUMN())),OFFSET($BN$2,0,0,ROW()-1,60),ROW()-1,FALSE))</f>
        <v/>
      </c>
      <c r="AY8" t="str">
        <f ca="1">IF(AND(ISNUMBER($AY$517),$B$511=1),$AY$517,HLOOKUP(INDIRECT(ADDRESS(2,COLUMN())),OFFSET($BN$2,0,0,ROW()-1,60),ROW()-1,FALSE))</f>
        <v/>
      </c>
      <c r="AZ8" t="str">
        <f ca="1">IF(AND(ISNUMBER($AZ$517),$B$511=1),$AZ$517,HLOOKUP(INDIRECT(ADDRESS(2,COLUMN())),OFFSET($BN$2,0,0,ROW()-1,60),ROW()-1,FALSE))</f>
        <v/>
      </c>
      <c r="BA8" t="str">
        <f ca="1">IF(AND(ISNUMBER($BA$517),$B$511=1),$BA$517,HLOOKUP(INDIRECT(ADDRESS(2,COLUMN())),OFFSET($BN$2,0,0,ROW()-1,60),ROW()-1,FALSE))</f>
        <v/>
      </c>
      <c r="BB8" t="str">
        <f ca="1">IF(AND(ISNUMBER($BB$517),$B$511=1),$BB$517,HLOOKUP(INDIRECT(ADDRESS(2,COLUMN())),OFFSET($BN$2,0,0,ROW()-1,60),ROW()-1,FALSE))</f>
        <v/>
      </c>
      <c r="BC8" t="str">
        <f ca="1">IF(AND(ISNUMBER($BC$517),$B$511=1),$BC$517,HLOOKUP(INDIRECT(ADDRESS(2,COLUMN())),OFFSET($BN$2,0,0,ROW()-1,60),ROW()-1,FALSE))</f>
        <v/>
      </c>
      <c r="BD8" t="str">
        <f ca="1">IF(AND(ISNUMBER($BD$517),$B$511=1),$BD$517,HLOOKUP(INDIRECT(ADDRESS(2,COLUMN())),OFFSET($BN$2,0,0,ROW()-1,60),ROW()-1,FALSE))</f>
        <v/>
      </c>
      <c r="BE8" t="str">
        <f ca="1">IF(AND(ISNUMBER($BE$517),$B$511=1),$BE$517,HLOOKUP(INDIRECT(ADDRESS(2,COLUMN())),OFFSET($BN$2,0,0,ROW()-1,60),ROW()-1,FALSE))</f>
        <v/>
      </c>
      <c r="BF8" t="str">
        <f ca="1">IF(AND(ISNUMBER($BF$517),$B$511=1),$BF$517,HLOOKUP(INDIRECT(ADDRESS(2,COLUMN())),OFFSET($BN$2,0,0,ROW()-1,60),ROW()-1,FALSE))</f>
        <v/>
      </c>
      <c r="BG8" t="str">
        <f ca="1">IF(AND(ISNUMBER($BG$517),$B$511=1),$BG$517,HLOOKUP(INDIRECT(ADDRESS(2,COLUMN())),OFFSET($BN$2,0,0,ROW()-1,60),ROW()-1,FALSE))</f>
        <v/>
      </c>
      <c r="BH8" t="str">
        <f ca="1">IF(AND(ISNUMBER($BH$517),$B$511=1),$BH$517,HLOOKUP(INDIRECT(ADDRESS(2,COLUMN())),OFFSET($BN$2,0,0,ROW()-1,60),ROW()-1,FALSE))</f>
        <v/>
      </c>
      <c r="BI8" t="str">
        <f ca="1">IF(AND(ISNUMBER($BI$517),$B$511=1),$BI$517,HLOOKUP(INDIRECT(ADDRESS(2,COLUMN())),OFFSET($BN$2,0,0,ROW()-1,60),ROW()-1,FALSE))</f>
        <v/>
      </c>
      <c r="BJ8" t="str">
        <f ca="1">IF(AND(ISNUMBER($BJ$517),$B$511=1),$BJ$517,HLOOKUP(INDIRECT(ADDRESS(2,COLUMN())),OFFSET($BN$2,0,0,ROW()-1,60),ROW()-1,FALSE))</f>
        <v/>
      </c>
      <c r="BK8" t="str">
        <f ca="1">IF(AND(ISNUMBER($BK$517),$B$511=1),$BK$517,HLOOKUP(INDIRECT(ADDRESS(2,COLUMN())),OFFSET($BN$2,0,0,ROW()-1,60),ROW()-1,FALSE))</f>
        <v/>
      </c>
      <c r="BL8" t="str">
        <f ca="1">IF(AND(ISNUMBER($BL$517),$B$511=1),$BL$517,HLOOKUP(INDIRECT(ADDRESS(2,COLUMN())),OFFSET($BN$2,0,0,ROW()-1,60),ROW()-1,FALSE))</f>
        <v/>
      </c>
      <c r="BM8" t="str">
        <f ca="1">IF(AND(ISNUMBER($BM$517),$B$511=1),$BM$517,HLOOKUP(INDIRECT(ADDRESS(2,COLUMN())),OFFSET($BN$2,0,0,ROW()-1,60),ROW()-1,FALSE))</f>
        <v/>
      </c>
      <c r="BN8" t="str">
        <f>""</f>
        <v/>
      </c>
      <c r="BO8" t="str">
        <f>""</f>
        <v/>
      </c>
      <c r="BP8">
        <f>0.132745546</f>
        <v>0.13274554599999999</v>
      </c>
      <c r="BQ8">
        <f>0.125125323</f>
        <v>0.12512532300000001</v>
      </c>
      <c r="BR8">
        <f>0.191936371</f>
        <v>0.19193637099999999</v>
      </c>
      <c r="BS8">
        <f>0.206825134</f>
        <v>0.20682513399999999</v>
      </c>
      <c r="BT8">
        <f>0.19835878</f>
        <v>0.19835878000000001</v>
      </c>
      <c r="BU8">
        <f>0.234765357</f>
        <v>0.23476535700000001</v>
      </c>
      <c r="BV8">
        <f>0.276440594</f>
        <v>0.27644059399999998</v>
      </c>
      <c r="BW8">
        <f>0.299781011</f>
        <v>0.29978101099999999</v>
      </c>
      <c r="BX8">
        <f>0.29858625</f>
        <v>0.29858625</v>
      </c>
      <c r="BY8">
        <f>0.230798354</f>
        <v>0.23079835400000001</v>
      </c>
      <c r="BZ8">
        <f>0.158923819</f>
        <v>0.15892381899999999</v>
      </c>
      <c r="CA8">
        <f>0.111780213</f>
        <v>0.111780213</v>
      </c>
      <c r="CB8">
        <f>0.062861481</f>
        <v>6.2861480999999997E-2</v>
      </c>
      <c r="CC8">
        <f>0.012911283</f>
        <v>1.2911283000000001E-2</v>
      </c>
      <c r="CD8">
        <f>0.015954271</f>
        <v>1.5954270999999999E-2</v>
      </c>
      <c r="CE8">
        <f>0.00965712</f>
        <v>9.6571199999999999E-3</v>
      </c>
      <c r="CF8">
        <f>0.007368294</f>
        <v>7.3682940000000001E-3</v>
      </c>
      <c r="CG8">
        <f>0.032746995</f>
        <v>3.2746995000000001E-2</v>
      </c>
      <c r="CH8">
        <f>0.027858443</f>
        <v>2.7858443E-2</v>
      </c>
      <c r="CI8">
        <f>0.035556285</f>
        <v>3.5556285E-2</v>
      </c>
      <c r="CJ8">
        <f>0.037223799</f>
        <v>3.7223799000000002E-2</v>
      </c>
      <c r="CK8">
        <f>0.0315381</f>
        <v>3.1538099999999999E-2</v>
      </c>
      <c r="CL8">
        <f>0.01069016</f>
        <v>1.0690160000000001E-2</v>
      </c>
      <c r="CM8">
        <f>0.003491661</f>
        <v>3.4916610000000001E-3</v>
      </c>
      <c r="CN8">
        <f>0.038577354</f>
        <v>3.8577354000000001E-2</v>
      </c>
      <c r="CO8">
        <f>0.049817478</f>
        <v>4.9817477999999998E-2</v>
      </c>
      <c r="CP8" t="str">
        <f>""</f>
        <v/>
      </c>
      <c r="CQ8" t="str">
        <f>""</f>
        <v/>
      </c>
      <c r="CR8" t="str">
        <f>""</f>
        <v/>
      </c>
      <c r="CS8" t="str">
        <f>""</f>
        <v/>
      </c>
      <c r="CT8" t="str">
        <f>""</f>
        <v/>
      </c>
      <c r="CU8">
        <f>0.167039946</f>
        <v>0.16703994599999999</v>
      </c>
      <c r="CV8">
        <f>0.259107737</f>
        <v>0.259107737</v>
      </c>
      <c r="CW8">
        <f>0.334354949</f>
        <v>0.33435494900000001</v>
      </c>
      <c r="CX8" t="str">
        <f>""</f>
        <v/>
      </c>
      <c r="CY8" t="str">
        <f>""</f>
        <v/>
      </c>
      <c r="CZ8" t="str">
        <f>""</f>
        <v/>
      </c>
      <c r="DA8" t="str">
        <f>""</f>
        <v/>
      </c>
      <c r="DB8" t="str">
        <f>""</f>
        <v/>
      </c>
      <c r="DC8" t="str">
        <f>""</f>
        <v/>
      </c>
      <c r="DD8" t="str">
        <f>""</f>
        <v/>
      </c>
      <c r="DE8" t="str">
        <f>""</f>
        <v/>
      </c>
      <c r="DF8" t="str">
        <f>""</f>
        <v/>
      </c>
      <c r="DG8" t="str">
        <f>""</f>
        <v/>
      </c>
      <c r="DH8" t="str">
        <f>""</f>
        <v/>
      </c>
      <c r="DI8" t="str">
        <f>""</f>
        <v/>
      </c>
      <c r="DJ8" t="str">
        <f>""</f>
        <v/>
      </c>
      <c r="DK8" t="str">
        <f>""</f>
        <v/>
      </c>
      <c r="DL8" t="str">
        <f>""</f>
        <v/>
      </c>
      <c r="DM8" t="str">
        <f>""</f>
        <v/>
      </c>
      <c r="DN8" t="str">
        <f>""</f>
        <v/>
      </c>
      <c r="DO8" t="str">
        <f>""</f>
        <v/>
      </c>
      <c r="DP8" t="str">
        <f>""</f>
        <v/>
      </c>
      <c r="DQ8" t="str">
        <f>""</f>
        <v/>
      </c>
      <c r="DR8" t="str">
        <f>""</f>
        <v/>
      </c>
      <c r="DS8" t="str">
        <f>""</f>
        <v/>
      </c>
      <c r="DT8" t="str">
        <f>""</f>
        <v/>
      </c>
      <c r="DU8" t="str">
        <f>""</f>
        <v/>
      </c>
    </row>
    <row r="9" spans="1:125" x14ac:dyDescent="0.25">
      <c r="A9" t="str">
        <f>"    Chongqing Changan Automobile Co Ltd"</f>
        <v xml:space="preserve">    Chongqing Changan Automobile Co Ltd</v>
      </c>
      <c r="B9" t="str">
        <f>"200625 CH Equity"</f>
        <v>200625 CH Equity</v>
      </c>
      <c r="C9" t="str">
        <f t="shared" si="0"/>
        <v>RR844</v>
      </c>
      <c r="D9" t="str">
        <f t="shared" si="1"/>
        <v>T12M_DIL_EPS_CONT_OPS</v>
      </c>
      <c r="E9" t="str">
        <f t="shared" si="2"/>
        <v>Dynamic</v>
      </c>
      <c r="F9" t="str">
        <f ca="1">IF(AND(ISNUMBER($F$518),$B$511=1),$F$518,HLOOKUP(INDIRECT(ADDRESS(2,COLUMN())),OFFSET($BN$2,0,0,ROW()-1,60),ROW()-1,FALSE))</f>
        <v/>
      </c>
      <c r="G9" t="str">
        <f ca="1">IF(AND(ISNUMBER($G$518),$B$511=1),$G$518,HLOOKUP(INDIRECT(ADDRESS(2,COLUMN())),OFFSET($BN$2,0,0,ROW()-1,60),ROW()-1,FALSE))</f>
        <v/>
      </c>
      <c r="H9">
        <f ca="1">IF(AND(ISNUMBER($H$518),$B$511=1),$H$518,HLOOKUP(INDIRECT(ADDRESS(2,COLUMN())),OFFSET($BN$2,0,0,ROW()-1,60),ROW()-1,FALSE))</f>
        <v>8.2906043999999998E-2</v>
      </c>
      <c r="I9">
        <f ca="1">IF(AND(ISNUMBER($I$518),$B$511=1),$I$518,HLOOKUP(INDIRECT(ADDRESS(2,COLUMN())),OFFSET($BN$2,0,0,ROW()-1,60),ROW()-1,FALSE))</f>
        <v>0.13439637800000001</v>
      </c>
      <c r="J9">
        <f ca="1">IF(AND(ISNUMBER($J$518),$B$511=1),$J$518,HLOOKUP(INDIRECT(ADDRESS(2,COLUMN())),OFFSET($BN$2,0,0,ROW()-1,60),ROW()-1,FALSE))</f>
        <v>0.19496641000000001</v>
      </c>
      <c r="K9">
        <f ca="1">IF(AND(ISNUMBER($K$518),$B$511=1),$K$518,HLOOKUP(INDIRECT(ADDRESS(2,COLUMN())),OFFSET($BN$2,0,0,ROW()-1,60),ROW()-1,FALSE))</f>
        <v>0.22178420700000001</v>
      </c>
      <c r="L9">
        <f ca="1">IF(AND(ISNUMBER($L$518),$B$511=1),$L$518,HLOOKUP(INDIRECT(ADDRESS(2,COLUMN())),OFFSET($BN$2,0,0,ROW()-1,60),ROW()-1,FALSE))</f>
        <v>0.260447977</v>
      </c>
      <c r="M9">
        <f ca="1">IF(AND(ISNUMBER($M$518),$B$511=1),$M$518,HLOOKUP(INDIRECT(ADDRESS(2,COLUMN())),OFFSET($BN$2,0,0,ROW()-1,60),ROW()-1,FALSE))</f>
        <v>0.29675870100000001</v>
      </c>
      <c r="N9">
        <f ca="1">IF(AND(ISNUMBER($N$518),$B$511=1),$N$518,HLOOKUP(INDIRECT(ADDRESS(2,COLUMN())),OFFSET($BN$2,0,0,ROW()-1,60),ROW()-1,FALSE))</f>
        <v>0.32181901800000001</v>
      </c>
      <c r="O9">
        <f ca="1">IF(AND(ISNUMBER($O$518),$B$511=1),$O$518,HLOOKUP(INDIRECT(ADDRESS(2,COLUMN())),OFFSET($BN$2,0,0,ROW()-1,60),ROW()-1,FALSE))</f>
        <v>0.337498456</v>
      </c>
      <c r="P9">
        <f ca="1">IF(AND(ISNUMBER($P$518),$B$511=1),$P$518,HLOOKUP(INDIRECT(ADDRESS(2,COLUMN())),OFFSET($BN$2,0,0,ROW()-1,60),ROW()-1,FALSE))</f>
        <v>0.37292175300000002</v>
      </c>
      <c r="Q9">
        <f ca="1">IF(AND(ISNUMBER($Q$518),$B$511=1),$Q$518,HLOOKUP(INDIRECT(ADDRESS(2,COLUMN())),OFFSET($BN$2,0,0,ROW()-1,60),ROW()-1,FALSE))</f>
        <v>0.35628548100000001</v>
      </c>
      <c r="R9">
        <f ca="1">IF(AND(ISNUMBER($R$518),$B$511=1),$R$518,HLOOKUP(INDIRECT(ADDRESS(2,COLUMN())),OFFSET($BN$2,0,0,ROW()-1,60),ROW()-1,FALSE))</f>
        <v>0.35495603199999998</v>
      </c>
      <c r="S9">
        <f ca="1">IF(AND(ISNUMBER($S$518),$B$511=1),$S$518,HLOOKUP(INDIRECT(ADDRESS(2,COLUMN())),OFFSET($BN$2,0,0,ROW()-1,60),ROW()-1,FALSE))</f>
        <v>0.35203030200000002</v>
      </c>
      <c r="T9">
        <f ca="1">IF(AND(ISNUMBER($T$518),$B$511=1),$T$518,HLOOKUP(INDIRECT(ADDRESS(2,COLUMN())),OFFSET($BN$2,0,0,ROW()-1,60),ROW()-1,FALSE))</f>
        <v>0.30973113299999999</v>
      </c>
      <c r="U9">
        <f ca="1">IF(AND(ISNUMBER($U$518),$B$511=1),$U$518,HLOOKUP(INDIRECT(ADDRESS(2,COLUMN())),OFFSET($BN$2,0,0,ROW()-1,60),ROW()-1,FALSE))</f>
        <v>0.31777129399999998</v>
      </c>
      <c r="V9">
        <f ca="1">IF(AND(ISNUMBER($V$518),$B$511=1),$V$518,HLOOKUP(INDIRECT(ADDRESS(2,COLUMN())),OFFSET($BN$2,0,0,ROW()-1,60),ROW()-1,FALSE))</f>
        <v>0.28359996100000001</v>
      </c>
      <c r="W9">
        <f ca="1">IF(AND(ISNUMBER($W$518),$B$511=1),$W$518,HLOOKUP(INDIRECT(ADDRESS(2,COLUMN())),OFFSET($BN$2,0,0,ROW()-1,60),ROW()-1,FALSE))</f>
        <v>0.26525169799999998</v>
      </c>
      <c r="X9">
        <f ca="1">IF(AND(ISNUMBER($X$518),$B$511=1),$X$518,HLOOKUP(INDIRECT(ADDRESS(2,COLUMN())),OFFSET($BN$2,0,0,ROW()-1,60),ROW()-1,FALSE))</f>
        <v>0.232376624</v>
      </c>
      <c r="Y9">
        <f ca="1">IF(AND(ISNUMBER($Y$518),$B$511=1),$Y$518,HLOOKUP(INDIRECT(ADDRESS(2,COLUMN())),OFFSET($BN$2,0,0,ROW()-1,60),ROW()-1,FALSE))</f>
        <v>0.20218248699999999</v>
      </c>
      <c r="Z9">
        <f ca="1">IF(AND(ISNUMBER($Z$518),$B$511=1),$Z$518,HLOOKUP(INDIRECT(ADDRESS(2,COLUMN())),OFFSET($BN$2,0,0,ROW()-1,60),ROW()-1,FALSE))</f>
        <v>0.17179928699999999</v>
      </c>
      <c r="AA9">
        <f ca="1">IF(AND(ISNUMBER($AA$518),$B$511=1),$AA$518,HLOOKUP(INDIRECT(ADDRESS(2,COLUMN())),OFFSET($BN$2,0,0,ROW()-1,60),ROW()-1,FALSE))</f>
        <v>0.12355479699999999</v>
      </c>
      <c r="AB9">
        <f ca="1">IF(AND(ISNUMBER($AB$518),$B$511=1),$AB$518,HLOOKUP(INDIRECT(ADDRESS(2,COLUMN())),OFFSET($BN$2,0,0,ROW()-1,60),ROW()-1,FALSE))</f>
        <v>0.106847026</v>
      </c>
      <c r="AC9">
        <f ca="1">IF(AND(ISNUMBER($AC$518),$B$511=1),$AC$518,HLOOKUP(INDIRECT(ADDRESS(2,COLUMN())),OFFSET($BN$2,0,0,ROW()-1,60),ROW()-1,FALSE))</f>
        <v>8.0220527999999999E-2</v>
      </c>
      <c r="AD9">
        <f ca="1">IF(AND(ISNUMBER($AD$518),$B$511=1),$AD$518,HLOOKUP(INDIRECT(ADDRESS(2,COLUMN())),OFFSET($BN$2,0,0,ROW()-1,60),ROW()-1,FALSE))</f>
        <v>6.7410738999999997E-2</v>
      </c>
      <c r="AE9">
        <f ca="1">IF(AND(ISNUMBER($AE$518),$B$511=1),$AE$518,HLOOKUP(INDIRECT(ADDRESS(2,COLUMN())),OFFSET($BN$2,0,0,ROW()-1,60),ROW()-1,FALSE))</f>
        <v>5.3534415000000002E-2</v>
      </c>
      <c r="AF9">
        <f ca="1">IF(AND(ISNUMBER($AF$518),$B$511=1),$AF$518,HLOOKUP(INDIRECT(ADDRESS(2,COLUMN())),OFFSET($BN$2,0,0,ROW()-1,60),ROW()-1,FALSE))</f>
        <v>2.5861680000000001E-2</v>
      </c>
      <c r="AG9">
        <f ca="1">IF(AND(ISNUMBER($AG$518),$B$511=1),$AG$518,HLOOKUP(INDIRECT(ADDRESS(2,COLUMN())),OFFSET($BN$2,0,0,ROW()-1,60),ROW()-1,FALSE))</f>
        <v>1.5709076999999998E-2</v>
      </c>
      <c r="AH9">
        <f ca="1">IF(AND(ISNUMBER($AH$518),$B$511=1),$AH$518,HLOOKUP(INDIRECT(ADDRESS(2,COLUMN())),OFFSET($BN$2,0,0,ROW()-1,60),ROW()-1,FALSE))</f>
        <v>1.2010303999999999E-2</v>
      </c>
      <c r="AI9">
        <f ca="1">IF(AND(ISNUMBER($AI$518),$B$511=1),$AI$518,HLOOKUP(INDIRECT(ADDRESS(2,COLUMN())),OFFSET($BN$2,0,0,ROW()-1,60),ROW()-1,FALSE))</f>
        <v>3.0136577000000001E-2</v>
      </c>
      <c r="AJ9">
        <f ca="1">IF(AND(ISNUMBER($AJ$518),$B$511=1),$AJ$518,HLOOKUP(INDIRECT(ADDRESS(2,COLUMN())),OFFSET($BN$2,0,0,ROW()-1,60),ROW()-1,FALSE))</f>
        <v>3.9796680000000001E-2</v>
      </c>
      <c r="AK9">
        <f ca="1">IF(AND(ISNUMBER($AK$518),$B$511=1),$AK$518,HLOOKUP(INDIRECT(ADDRESS(2,COLUMN())),OFFSET($BN$2,0,0,ROW()-1,60),ROW()-1,FALSE))</f>
        <v>5.6432415999999999E-2</v>
      </c>
      <c r="AL9">
        <f ca="1">IF(AND(ISNUMBER($AL$518),$B$511=1),$AL$518,HLOOKUP(INDIRECT(ADDRESS(2,COLUMN())),OFFSET($BN$2,0,0,ROW()-1,60),ROW()-1,FALSE))</f>
        <v>6.6053487999999994E-2</v>
      </c>
      <c r="AM9">
        <f ca="1">IF(AND(ISNUMBER($AM$518),$B$511=1),$AM$518,HLOOKUP(INDIRECT(ADDRESS(2,COLUMN())),OFFSET($BN$2,0,0,ROW()-1,60),ROW()-1,FALSE))</f>
        <v>7.1485361999999997E-2</v>
      </c>
      <c r="AN9">
        <f ca="1">IF(AND(ISNUMBER($AN$518),$B$511=1),$AN$518,HLOOKUP(INDIRECT(ADDRESS(2,COLUMN())),OFFSET($BN$2,0,0,ROW()-1,60),ROW()-1,FALSE))</f>
        <v>7.7272414999999997E-2</v>
      </c>
      <c r="AO9">
        <f ca="1">IF(AND(ISNUMBER($AO$518),$B$511=1),$AO$518,HLOOKUP(INDIRECT(ADDRESS(2,COLUMN())),OFFSET($BN$2,0,0,ROW()-1,60),ROW()-1,FALSE))</f>
        <v>7.5468703999999998E-2</v>
      </c>
      <c r="AP9">
        <f ca="1">IF(AND(ISNUMBER($AP$518),$B$511=1),$AP$518,HLOOKUP(INDIRECT(ADDRESS(2,COLUMN())),OFFSET($BN$2,0,0,ROW()-1,60),ROW()-1,FALSE))</f>
        <v>7.7313352000000002E-2</v>
      </c>
      <c r="AQ9">
        <f ca="1">IF(AND(ISNUMBER($AQ$518),$B$511=1),$AQ$518,HLOOKUP(INDIRECT(ADDRESS(2,COLUMN())),OFFSET($BN$2,0,0,ROW()-1,60),ROW()-1,FALSE))</f>
        <v>5.0633053999999997E-2</v>
      </c>
      <c r="AR9" t="str">
        <f ca="1">IF(AND(ISNUMBER($AR$518),$B$511=1),$AR$518,HLOOKUP(INDIRECT(ADDRESS(2,COLUMN())),OFFSET($BN$2,0,0,ROW()-1,60),ROW()-1,FALSE))</f>
        <v/>
      </c>
      <c r="AS9" t="str">
        <f ca="1">IF(AND(ISNUMBER($AS$518),$B$511=1),$AS$518,HLOOKUP(INDIRECT(ADDRESS(2,COLUMN())),OFFSET($BN$2,0,0,ROW()-1,60),ROW()-1,FALSE))</f>
        <v/>
      </c>
      <c r="AT9" t="str">
        <f ca="1">IF(AND(ISNUMBER($AT$518),$B$511=1),$AT$518,HLOOKUP(INDIRECT(ADDRESS(2,COLUMN())),OFFSET($BN$2,0,0,ROW()-1,60),ROW()-1,FALSE))</f>
        <v/>
      </c>
      <c r="AU9" t="str">
        <f ca="1">IF(AND(ISNUMBER($AU$518),$B$511=1),$AU$518,HLOOKUP(INDIRECT(ADDRESS(2,COLUMN())),OFFSET($BN$2,0,0,ROW()-1,60),ROW()-1,FALSE))</f>
        <v/>
      </c>
      <c r="AV9" t="str">
        <f ca="1">IF(AND(ISNUMBER($AV$518),$B$511=1),$AV$518,HLOOKUP(INDIRECT(ADDRESS(2,COLUMN())),OFFSET($BN$2,0,0,ROW()-1,60),ROW()-1,FALSE))</f>
        <v/>
      </c>
      <c r="AW9" t="str">
        <f ca="1">IF(AND(ISNUMBER($AW$518),$B$511=1),$AW$518,HLOOKUP(INDIRECT(ADDRESS(2,COLUMN())),OFFSET($BN$2,0,0,ROW()-1,60),ROW()-1,FALSE))</f>
        <v/>
      </c>
      <c r="AX9" t="str">
        <f ca="1">IF(AND(ISNUMBER($AX$518),$B$511=1),$AX$518,HLOOKUP(INDIRECT(ADDRESS(2,COLUMN())),OFFSET($BN$2,0,0,ROW()-1,60),ROW()-1,FALSE))</f>
        <v/>
      </c>
      <c r="AY9" t="str">
        <f ca="1">IF(AND(ISNUMBER($AY$518),$B$511=1),$AY$518,HLOOKUP(INDIRECT(ADDRESS(2,COLUMN())),OFFSET($BN$2,0,0,ROW()-1,60),ROW()-1,FALSE))</f>
        <v/>
      </c>
      <c r="AZ9" t="str">
        <f ca="1">IF(AND(ISNUMBER($AZ$518),$B$511=1),$AZ$518,HLOOKUP(INDIRECT(ADDRESS(2,COLUMN())),OFFSET($BN$2,0,0,ROW()-1,60),ROW()-1,FALSE))</f>
        <v/>
      </c>
      <c r="BA9" t="str">
        <f ca="1">IF(AND(ISNUMBER($BA$518),$B$511=1),$BA$518,HLOOKUP(INDIRECT(ADDRESS(2,COLUMN())),OFFSET($BN$2,0,0,ROW()-1,60),ROW()-1,FALSE))</f>
        <v/>
      </c>
      <c r="BB9" t="str">
        <f ca="1">IF(AND(ISNUMBER($BB$518),$B$511=1),$BB$518,HLOOKUP(INDIRECT(ADDRESS(2,COLUMN())),OFFSET($BN$2,0,0,ROW()-1,60),ROW()-1,FALSE))</f>
        <v/>
      </c>
      <c r="BC9" t="str">
        <f ca="1">IF(AND(ISNUMBER($BC$518),$B$511=1),$BC$518,HLOOKUP(INDIRECT(ADDRESS(2,COLUMN())),OFFSET($BN$2,0,0,ROW()-1,60),ROW()-1,FALSE))</f>
        <v/>
      </c>
      <c r="BD9" t="str">
        <f ca="1">IF(AND(ISNUMBER($BD$518),$B$511=1),$BD$518,HLOOKUP(INDIRECT(ADDRESS(2,COLUMN())),OFFSET($BN$2,0,0,ROW()-1,60),ROW()-1,FALSE))</f>
        <v/>
      </c>
      <c r="BE9" t="str">
        <f ca="1">IF(AND(ISNUMBER($BE$518),$B$511=1),$BE$518,HLOOKUP(INDIRECT(ADDRESS(2,COLUMN())),OFFSET($BN$2,0,0,ROW()-1,60),ROW()-1,FALSE))</f>
        <v/>
      </c>
      <c r="BF9" t="str">
        <f ca="1">IF(AND(ISNUMBER($BF$518),$B$511=1),$BF$518,HLOOKUP(INDIRECT(ADDRESS(2,COLUMN())),OFFSET($BN$2,0,0,ROW()-1,60),ROW()-1,FALSE))</f>
        <v/>
      </c>
      <c r="BG9" t="str">
        <f ca="1">IF(AND(ISNUMBER($BG$518),$B$511=1),$BG$518,HLOOKUP(INDIRECT(ADDRESS(2,COLUMN())),OFFSET($BN$2,0,0,ROW()-1,60),ROW()-1,FALSE))</f>
        <v/>
      </c>
      <c r="BH9" t="str">
        <f ca="1">IF(AND(ISNUMBER($BH$518),$B$511=1),$BH$518,HLOOKUP(INDIRECT(ADDRESS(2,COLUMN())),OFFSET($BN$2,0,0,ROW()-1,60),ROW()-1,FALSE))</f>
        <v/>
      </c>
      <c r="BI9" t="str">
        <f ca="1">IF(AND(ISNUMBER($BI$518),$B$511=1),$BI$518,HLOOKUP(INDIRECT(ADDRESS(2,COLUMN())),OFFSET($BN$2,0,0,ROW()-1,60),ROW()-1,FALSE))</f>
        <v/>
      </c>
      <c r="BJ9" t="str">
        <f ca="1">IF(AND(ISNUMBER($BJ$518),$B$511=1),$BJ$518,HLOOKUP(INDIRECT(ADDRESS(2,COLUMN())),OFFSET($BN$2,0,0,ROW()-1,60),ROW()-1,FALSE))</f>
        <v/>
      </c>
      <c r="BK9" t="str">
        <f ca="1">IF(AND(ISNUMBER($BK$518),$B$511=1),$BK$518,HLOOKUP(INDIRECT(ADDRESS(2,COLUMN())),OFFSET($BN$2,0,0,ROW()-1,60),ROW()-1,FALSE))</f>
        <v/>
      </c>
      <c r="BL9" t="str">
        <f ca="1">IF(AND(ISNUMBER($BL$518),$B$511=1),$BL$518,HLOOKUP(INDIRECT(ADDRESS(2,COLUMN())),OFFSET($BN$2,0,0,ROW()-1,60),ROW()-1,FALSE))</f>
        <v/>
      </c>
      <c r="BM9" t="str">
        <f ca="1">IF(AND(ISNUMBER($BM$518),$B$511=1),$BM$518,HLOOKUP(INDIRECT(ADDRESS(2,COLUMN())),OFFSET($BN$2,0,0,ROW()-1,60),ROW()-1,FALSE))</f>
        <v/>
      </c>
      <c r="BN9" t="str">
        <f>""</f>
        <v/>
      </c>
      <c r="BO9" t="str">
        <f>""</f>
        <v/>
      </c>
      <c r="BP9">
        <f>0.082906044</f>
        <v>8.2906043999999998E-2</v>
      </c>
      <c r="BQ9">
        <f>0.134396378</f>
        <v>0.13439637800000001</v>
      </c>
      <c r="BR9">
        <f>0.19496641</f>
        <v>0.19496641000000001</v>
      </c>
      <c r="BS9">
        <f>0.221784207</f>
        <v>0.22178420700000001</v>
      </c>
      <c r="BT9">
        <f>0.260447977</f>
        <v>0.260447977</v>
      </c>
      <c r="BU9">
        <f>0.296758701</f>
        <v>0.29675870100000001</v>
      </c>
      <c r="BV9">
        <f>0.321819018</f>
        <v>0.32181901800000001</v>
      </c>
      <c r="BW9">
        <f>0.337498456</f>
        <v>0.337498456</v>
      </c>
      <c r="BX9">
        <f>0.372921753</f>
        <v>0.37292175300000002</v>
      </c>
      <c r="BY9">
        <f>0.356285481</f>
        <v>0.35628548100000001</v>
      </c>
      <c r="BZ9">
        <f>0.354956032</f>
        <v>0.35495603199999998</v>
      </c>
      <c r="CA9">
        <f>0.352030302</f>
        <v>0.35203030200000002</v>
      </c>
      <c r="CB9">
        <f>0.309731133</f>
        <v>0.30973113299999999</v>
      </c>
      <c r="CC9">
        <f>0.317771294</f>
        <v>0.31777129399999998</v>
      </c>
      <c r="CD9">
        <f>0.283599961</f>
        <v>0.28359996100000001</v>
      </c>
      <c r="CE9">
        <f>0.265251698</f>
        <v>0.26525169799999998</v>
      </c>
      <c r="CF9">
        <f>0.232376624</f>
        <v>0.232376624</v>
      </c>
      <c r="CG9">
        <f>0.202182487</f>
        <v>0.20218248699999999</v>
      </c>
      <c r="CH9">
        <f>0.171799287</f>
        <v>0.17179928699999999</v>
      </c>
      <c r="CI9">
        <f>0.123554797</f>
        <v>0.12355479699999999</v>
      </c>
      <c r="CJ9">
        <f>0.106847026</f>
        <v>0.106847026</v>
      </c>
      <c r="CK9">
        <f>0.080220528</f>
        <v>8.0220527999999999E-2</v>
      </c>
      <c r="CL9">
        <f>0.067410739</f>
        <v>6.7410738999999997E-2</v>
      </c>
      <c r="CM9">
        <f>0.053534415</f>
        <v>5.3534415000000002E-2</v>
      </c>
      <c r="CN9">
        <f>0.02586168</f>
        <v>2.5861680000000001E-2</v>
      </c>
      <c r="CO9">
        <f>0.015709077</f>
        <v>1.5709076999999998E-2</v>
      </c>
      <c r="CP9">
        <f>0.012010304</f>
        <v>1.2010303999999999E-2</v>
      </c>
      <c r="CQ9">
        <f>0.030136577</f>
        <v>3.0136577000000001E-2</v>
      </c>
      <c r="CR9">
        <f>0.03979668</f>
        <v>3.9796680000000001E-2</v>
      </c>
      <c r="CS9">
        <f>0.056432416</f>
        <v>5.6432415999999999E-2</v>
      </c>
      <c r="CT9">
        <f>0.066053488</f>
        <v>6.6053487999999994E-2</v>
      </c>
      <c r="CU9">
        <f>0.071485362</f>
        <v>7.1485361999999997E-2</v>
      </c>
      <c r="CV9">
        <f>0.077272415</f>
        <v>7.7272414999999997E-2</v>
      </c>
      <c r="CW9">
        <f>0.075468704</f>
        <v>7.5468703999999998E-2</v>
      </c>
      <c r="CX9">
        <f>0.077313352</f>
        <v>7.7313352000000002E-2</v>
      </c>
      <c r="CY9">
        <f>0.050633054</f>
        <v>5.0633053999999997E-2</v>
      </c>
      <c r="CZ9" t="str">
        <f>""</f>
        <v/>
      </c>
      <c r="DA9" t="str">
        <f>""</f>
        <v/>
      </c>
      <c r="DB9" t="str">
        <f>""</f>
        <v/>
      </c>
      <c r="DC9" t="str">
        <f>""</f>
        <v/>
      </c>
      <c r="DD9" t="str">
        <f>""</f>
        <v/>
      </c>
      <c r="DE9" t="str">
        <f>""</f>
        <v/>
      </c>
      <c r="DF9" t="str">
        <f>""</f>
        <v/>
      </c>
      <c r="DG9" t="str">
        <f>""</f>
        <v/>
      </c>
      <c r="DH9" t="str">
        <f>""</f>
        <v/>
      </c>
      <c r="DI9" t="str">
        <f>""</f>
        <v/>
      </c>
      <c r="DJ9" t="str">
        <f>""</f>
        <v/>
      </c>
      <c r="DK9" t="str">
        <f>""</f>
        <v/>
      </c>
      <c r="DL9" t="str">
        <f>""</f>
        <v/>
      </c>
      <c r="DM9" t="str">
        <f>""</f>
        <v/>
      </c>
      <c r="DN9" t="str">
        <f>""</f>
        <v/>
      </c>
      <c r="DO9" t="str">
        <f>""</f>
        <v/>
      </c>
      <c r="DP9" t="str">
        <f>""</f>
        <v/>
      </c>
      <c r="DQ9" t="str">
        <f>""</f>
        <v/>
      </c>
      <c r="DR9" t="str">
        <f>""</f>
        <v/>
      </c>
      <c r="DS9" t="str">
        <f>""</f>
        <v/>
      </c>
      <c r="DT9" t="str">
        <f>""</f>
        <v/>
      </c>
      <c r="DU9" t="str">
        <f>""</f>
        <v/>
      </c>
    </row>
    <row r="10" spans="1:125" x14ac:dyDescent="0.25">
      <c r="A10" t="str">
        <f>"    Daihatsu Motor Co Ltd"</f>
        <v xml:space="preserve">    Daihatsu Motor Co Ltd</v>
      </c>
      <c r="B10" t="str">
        <f>"7262 JP Equity"</f>
        <v>7262 JP Equity</v>
      </c>
      <c r="C10" t="str">
        <f t="shared" si="0"/>
        <v>RR844</v>
      </c>
      <c r="D10" t="str">
        <f t="shared" si="1"/>
        <v>T12M_DIL_EPS_CONT_OPS</v>
      </c>
      <c r="E10" t="str">
        <f t="shared" si="2"/>
        <v>Dynamic</v>
      </c>
      <c r="F10" t="str">
        <f ca="1">IF(AND(ISNUMBER($F$519),$B$511=1),$F$519,HLOOKUP(INDIRECT(ADDRESS(2,COLUMN())),OFFSET($BN$2,0,0,ROW()-1,60),ROW()-1,FALSE))</f>
        <v/>
      </c>
      <c r="G10" t="str">
        <f ca="1">IF(AND(ISNUMBER($G$519),$B$511=1),$G$519,HLOOKUP(INDIRECT(ADDRESS(2,COLUMN())),OFFSET($BN$2,0,0,ROW()-1,60),ROW()-1,FALSE))</f>
        <v/>
      </c>
      <c r="H10" t="str">
        <f ca="1">IF(AND(ISNUMBER($H$519),$B$511=1),$H$519,HLOOKUP(INDIRECT(ADDRESS(2,COLUMN())),OFFSET($BN$2,0,0,ROW()-1,60),ROW()-1,FALSE))</f>
        <v/>
      </c>
      <c r="I10" t="str">
        <f ca="1">IF(AND(ISNUMBER($I$519),$B$511=1),$I$519,HLOOKUP(INDIRECT(ADDRESS(2,COLUMN())),OFFSET($BN$2,0,0,ROW()-1,60),ROW()-1,FALSE))</f>
        <v/>
      </c>
      <c r="J10" t="str">
        <f ca="1">IF(AND(ISNUMBER($J$519),$B$511=1),$J$519,HLOOKUP(INDIRECT(ADDRESS(2,COLUMN())),OFFSET($BN$2,0,0,ROW()-1,60),ROW()-1,FALSE))</f>
        <v/>
      </c>
      <c r="K10" t="str">
        <f ca="1">IF(AND(ISNUMBER($K$519),$B$511=1),$K$519,HLOOKUP(INDIRECT(ADDRESS(2,COLUMN())),OFFSET($BN$2,0,0,ROW()-1,60),ROW()-1,FALSE))</f>
        <v/>
      </c>
      <c r="L10" t="str">
        <f ca="1">IF(AND(ISNUMBER($L$519),$B$511=1),$L$519,HLOOKUP(INDIRECT(ADDRESS(2,COLUMN())),OFFSET($BN$2,0,0,ROW()-1,60),ROW()-1,FALSE))</f>
        <v/>
      </c>
      <c r="M10" t="str">
        <f ca="1">IF(AND(ISNUMBER($M$519),$B$511=1),$M$519,HLOOKUP(INDIRECT(ADDRESS(2,COLUMN())),OFFSET($BN$2,0,0,ROW()-1,60),ROW()-1,FALSE))</f>
        <v/>
      </c>
      <c r="N10" t="str">
        <f ca="1">IF(AND(ISNUMBER($N$519),$B$511=1),$N$519,HLOOKUP(INDIRECT(ADDRESS(2,COLUMN())),OFFSET($BN$2,0,0,ROW()-1,60),ROW()-1,FALSE))</f>
        <v/>
      </c>
      <c r="O10" t="str">
        <f ca="1">IF(AND(ISNUMBER($O$519),$B$511=1),$O$519,HLOOKUP(INDIRECT(ADDRESS(2,COLUMN())),OFFSET($BN$2,0,0,ROW()-1,60),ROW()-1,FALSE))</f>
        <v/>
      </c>
      <c r="P10" t="str">
        <f ca="1">IF(AND(ISNUMBER($P$519),$B$511=1),$P$519,HLOOKUP(INDIRECT(ADDRESS(2,COLUMN())),OFFSET($BN$2,0,0,ROW()-1,60),ROW()-1,FALSE))</f>
        <v/>
      </c>
      <c r="Q10" t="str">
        <f ca="1">IF(AND(ISNUMBER($Q$519),$B$511=1),$Q$519,HLOOKUP(INDIRECT(ADDRESS(2,COLUMN())),OFFSET($BN$2,0,0,ROW()-1,60),ROW()-1,FALSE))</f>
        <v/>
      </c>
      <c r="R10">
        <f ca="1">IF(AND(ISNUMBER($R$519),$B$511=1),$R$519,HLOOKUP(INDIRECT(ADDRESS(2,COLUMN())),OFFSET($BN$2,0,0,ROW()-1,60),ROW()-1,FALSE))</f>
        <v>0.84923855800000003</v>
      </c>
      <c r="S10">
        <f ca="1">IF(AND(ISNUMBER($S$519),$B$511=1),$S$519,HLOOKUP(INDIRECT(ADDRESS(2,COLUMN())),OFFSET($BN$2,0,0,ROW()-1,60),ROW()-1,FALSE))</f>
        <v>1.2025510189999999</v>
      </c>
      <c r="T10">
        <f ca="1">IF(AND(ISNUMBER($T$519),$B$511=1),$T$519,HLOOKUP(INDIRECT(ADDRESS(2,COLUMN())),OFFSET($BN$2,0,0,ROW()-1,60),ROW()-1,FALSE))</f>
        <v>1.197968111</v>
      </c>
      <c r="U10">
        <f ca="1">IF(AND(ISNUMBER($U$519),$B$511=1),$U$519,HLOOKUP(INDIRECT(ADDRESS(2,COLUMN())),OFFSET($BN$2,0,0,ROW()-1,60),ROW()-1,FALSE))</f>
        <v>1.2616251940000001</v>
      </c>
      <c r="V10">
        <f ca="1">IF(AND(ISNUMBER($V$519),$B$511=1),$V$519,HLOOKUP(INDIRECT(ADDRESS(2,COLUMN())),OFFSET($BN$2,0,0,ROW()-1,60),ROW()-1,FALSE))</f>
        <v>1.4957169749999999</v>
      </c>
      <c r="W10">
        <f ca="1">IF(AND(ISNUMBER($W$519),$B$511=1),$W$519,HLOOKUP(INDIRECT(ADDRESS(2,COLUMN())),OFFSET($BN$2,0,0,ROW()-1,60),ROW()-1,FALSE))</f>
        <v>1.369279197</v>
      </c>
      <c r="X10">
        <f ca="1">IF(AND(ISNUMBER($X$519),$B$511=1),$X$519,HLOOKUP(INDIRECT(ADDRESS(2,COLUMN())),OFFSET($BN$2,0,0,ROW()-1,60),ROW()-1,FALSE))</f>
        <v>1.571468072</v>
      </c>
      <c r="Y10">
        <f ca="1">IF(AND(ISNUMBER($Y$519),$B$511=1),$Y$519,HLOOKUP(INDIRECT(ADDRESS(2,COLUMN())),OFFSET($BN$2,0,0,ROW()-1,60),ROW()-1,FALSE))</f>
        <v>1.7484895709999999</v>
      </c>
      <c r="Z10">
        <f ca="1">IF(AND(ISNUMBER($Z$519),$B$511=1),$Z$519,HLOOKUP(INDIRECT(ADDRESS(2,COLUMN())),OFFSET($BN$2,0,0,ROW()-1,60),ROW()-1,FALSE))</f>
        <v>2.0126894129999999</v>
      </c>
      <c r="AA10">
        <f ca="1">IF(AND(ISNUMBER($AA$519),$B$511=1),$AA$519,HLOOKUP(INDIRECT(ADDRESS(2,COLUMN())),OFFSET($BN$2,0,0,ROW()-1,60),ROW()-1,FALSE))</f>
        <v>1.8762275829999999</v>
      </c>
      <c r="AB10">
        <f ca="1">IF(AND(ISNUMBER($AB$519),$B$511=1),$AB$519,HLOOKUP(INDIRECT(ADDRESS(2,COLUMN())),OFFSET($BN$2,0,0,ROW()-1,60),ROW()-1,FALSE))</f>
        <v>1.930703338</v>
      </c>
      <c r="AC10">
        <f ca="1">IF(AND(ISNUMBER($AC$519),$B$511=1),$AC$519,HLOOKUP(INDIRECT(ADDRESS(2,COLUMN())),OFFSET($BN$2,0,0,ROW()-1,60),ROW()-1,FALSE))</f>
        <v>2.3346721189999999</v>
      </c>
      <c r="AD10">
        <f ca="1">IF(AND(ISNUMBER($AD$519),$B$511=1),$AD$519,HLOOKUP(INDIRECT(ADDRESS(2,COLUMN())),OFFSET($BN$2,0,0,ROW()-1,60),ROW()-1,FALSE))</f>
        <v>2.344473941</v>
      </c>
      <c r="AE10">
        <f ca="1">IF(AND(ISNUMBER($AE$519),$B$511=1),$AE$519,HLOOKUP(INDIRECT(ADDRESS(2,COLUMN())),OFFSET($BN$2,0,0,ROW()-1,60),ROW()-1,FALSE))</f>
        <v>2.6242420279999998</v>
      </c>
      <c r="AF10">
        <f ca="1">IF(AND(ISNUMBER($AF$519),$B$511=1),$AF$519,HLOOKUP(INDIRECT(ADDRESS(2,COLUMN())),OFFSET($BN$2,0,0,ROW()-1,60),ROW()-1,FALSE))</f>
        <v>2.6639213019999999</v>
      </c>
      <c r="AG10">
        <f ca="1">IF(AND(ISNUMBER($AG$519),$B$511=1),$AG$519,HLOOKUP(INDIRECT(ADDRESS(2,COLUMN())),OFFSET($BN$2,0,0,ROW()-1,60),ROW()-1,FALSE))</f>
        <v>2.3913033989999999</v>
      </c>
      <c r="AH10">
        <f ca="1">IF(AND(ISNUMBER($AH$519),$B$511=1),$AH$519,HLOOKUP(INDIRECT(ADDRESS(2,COLUMN())),OFFSET($BN$2,0,0,ROW()-1,60),ROW()-1,FALSE))</f>
        <v>2.0081595380000001</v>
      </c>
      <c r="AI10">
        <f ca="1">IF(AND(ISNUMBER($AI$519),$B$511=1),$AI$519,HLOOKUP(INDIRECT(ADDRESS(2,COLUMN())),OFFSET($BN$2,0,0,ROW()-1,60),ROW()-1,FALSE))</f>
        <v>1.589221794</v>
      </c>
      <c r="AJ10">
        <f ca="1">IF(AND(ISNUMBER($AJ$519),$B$511=1),$AJ$519,HLOOKUP(INDIRECT(ADDRESS(2,COLUMN())),OFFSET($BN$2,0,0,ROW()-1,60),ROW()-1,FALSE))</f>
        <v>1.4802405649999999</v>
      </c>
      <c r="AK10">
        <f ca="1">IF(AND(ISNUMBER($AK$519),$B$511=1),$AK$519,HLOOKUP(INDIRECT(ADDRESS(2,COLUMN())),OFFSET($BN$2,0,0,ROW()-1,60),ROW()-1,FALSE))</f>
        <v>1.295068186</v>
      </c>
      <c r="AL10">
        <f ca="1">IF(AND(ISNUMBER($AL$519),$B$511=1),$AL$519,HLOOKUP(INDIRECT(ADDRESS(2,COLUMN())),OFFSET($BN$2,0,0,ROW()-1,60),ROW()-1,FALSE))</f>
        <v>1.595475099</v>
      </c>
      <c r="AM10">
        <f ca="1">IF(AND(ISNUMBER($AM$519),$B$511=1),$AM$519,HLOOKUP(INDIRECT(ADDRESS(2,COLUMN())),OFFSET($BN$2,0,0,ROW()-1,60),ROW()-1,FALSE))</f>
        <v>1.2850832210000001</v>
      </c>
      <c r="AN10">
        <f ca="1">IF(AND(ISNUMBER($AN$519),$B$511=1),$AN$519,HLOOKUP(INDIRECT(ADDRESS(2,COLUMN())),OFFSET($BN$2,0,0,ROW()-1,60),ROW()-1,FALSE))</f>
        <v>1.2292241370000001</v>
      </c>
      <c r="AO10">
        <f ca="1">IF(AND(ISNUMBER($AO$519),$B$511=1),$AO$519,HLOOKUP(INDIRECT(ADDRESS(2,COLUMN())),OFFSET($BN$2,0,0,ROW()-1,60),ROW()-1,FALSE))</f>
        <v>1.051321656</v>
      </c>
      <c r="AP10">
        <f ca="1">IF(AND(ISNUMBER($AP$519),$B$511=1),$AP$519,HLOOKUP(INDIRECT(ADDRESS(2,COLUMN())),OFFSET($BN$2,0,0,ROW()-1,60),ROW()-1,FALSE))</f>
        <v>0.63166635800000004</v>
      </c>
      <c r="AQ10">
        <f ca="1">IF(AND(ISNUMBER($AQ$519),$B$511=1),$AQ$519,HLOOKUP(INDIRECT(ADDRESS(2,COLUMN())),OFFSET($BN$2,0,0,ROW()-1,60),ROW()-1,FALSE))</f>
        <v>0.54399915799999998</v>
      </c>
      <c r="AR10">
        <f ca="1">IF(AND(ISNUMBER($AR$519),$B$511=1),$AR$519,HLOOKUP(INDIRECT(ADDRESS(2,COLUMN())),OFFSET($BN$2,0,0,ROW()-1,60),ROW()-1,FALSE))</f>
        <v>0.34899123199999998</v>
      </c>
      <c r="AS10">
        <f ca="1">IF(AND(ISNUMBER($AS$519),$B$511=1),$AS$519,HLOOKUP(INDIRECT(ADDRESS(2,COLUMN())),OFFSET($BN$2,0,0,ROW()-1,60),ROW()-1,FALSE))</f>
        <v>0.386834014</v>
      </c>
      <c r="AT10">
        <f ca="1">IF(AND(ISNUMBER($AT$519),$B$511=1),$AT$519,HLOOKUP(INDIRECT(ADDRESS(2,COLUMN())),OFFSET($BN$2,0,0,ROW()-1,60),ROW()-1,FALSE))</f>
        <v>0.55717790499999997</v>
      </c>
      <c r="AU10" t="str">
        <f ca="1">IF(AND(ISNUMBER($AU$519),$B$511=1),$AU$519,HLOOKUP(INDIRECT(ADDRESS(2,COLUMN())),OFFSET($BN$2,0,0,ROW()-1,60),ROW()-1,FALSE))</f>
        <v/>
      </c>
      <c r="AV10" t="str">
        <f ca="1">IF(AND(ISNUMBER($AV$519),$B$511=1),$AV$519,HLOOKUP(INDIRECT(ADDRESS(2,COLUMN())),OFFSET($BN$2,0,0,ROW()-1,60),ROW()-1,FALSE))</f>
        <v/>
      </c>
      <c r="AW10" t="str">
        <f ca="1">IF(AND(ISNUMBER($AW$519),$B$511=1),$AW$519,HLOOKUP(INDIRECT(ADDRESS(2,COLUMN())),OFFSET($BN$2,0,0,ROW()-1,60),ROW()-1,FALSE))</f>
        <v/>
      </c>
      <c r="AX10" t="str">
        <f ca="1">IF(AND(ISNUMBER($AX$519),$B$511=1),$AX$519,HLOOKUP(INDIRECT(ADDRESS(2,COLUMN())),OFFSET($BN$2,0,0,ROW()-1,60),ROW()-1,FALSE))</f>
        <v/>
      </c>
      <c r="AY10" t="str">
        <f ca="1">IF(AND(ISNUMBER($AY$519),$B$511=1),$AY$519,HLOOKUP(INDIRECT(ADDRESS(2,COLUMN())),OFFSET($BN$2,0,0,ROW()-1,60),ROW()-1,FALSE))</f>
        <v/>
      </c>
      <c r="AZ10" t="str">
        <f ca="1">IF(AND(ISNUMBER($AZ$519),$B$511=1),$AZ$519,HLOOKUP(INDIRECT(ADDRESS(2,COLUMN())),OFFSET($BN$2,0,0,ROW()-1,60),ROW()-1,FALSE))</f>
        <v/>
      </c>
      <c r="BA10" t="str">
        <f ca="1">IF(AND(ISNUMBER($BA$519),$B$511=1),$BA$519,HLOOKUP(INDIRECT(ADDRESS(2,COLUMN())),OFFSET($BN$2,0,0,ROW()-1,60),ROW()-1,FALSE))</f>
        <v/>
      </c>
      <c r="BB10" t="str">
        <f ca="1">IF(AND(ISNUMBER($BB$519),$B$511=1),$BB$519,HLOOKUP(INDIRECT(ADDRESS(2,COLUMN())),OFFSET($BN$2,0,0,ROW()-1,60),ROW()-1,FALSE))</f>
        <v/>
      </c>
      <c r="BC10" t="str">
        <f ca="1">IF(AND(ISNUMBER($BC$519),$B$511=1),$BC$519,HLOOKUP(INDIRECT(ADDRESS(2,COLUMN())),OFFSET($BN$2,0,0,ROW()-1,60),ROW()-1,FALSE))</f>
        <v/>
      </c>
      <c r="BD10" t="str">
        <f ca="1">IF(AND(ISNUMBER($BD$519),$B$511=1),$BD$519,HLOOKUP(INDIRECT(ADDRESS(2,COLUMN())),OFFSET($BN$2,0,0,ROW()-1,60),ROW()-1,FALSE))</f>
        <v/>
      </c>
      <c r="BE10" t="str">
        <f ca="1">IF(AND(ISNUMBER($BE$519),$B$511=1),$BE$519,HLOOKUP(INDIRECT(ADDRESS(2,COLUMN())),OFFSET($BN$2,0,0,ROW()-1,60),ROW()-1,FALSE))</f>
        <v/>
      </c>
      <c r="BF10" t="str">
        <f ca="1">IF(AND(ISNUMBER($BF$519),$B$511=1),$BF$519,HLOOKUP(INDIRECT(ADDRESS(2,COLUMN())),OFFSET($BN$2,0,0,ROW()-1,60),ROW()-1,FALSE))</f>
        <v/>
      </c>
      <c r="BG10" t="str">
        <f ca="1">IF(AND(ISNUMBER($BG$519),$B$511=1),$BG$519,HLOOKUP(INDIRECT(ADDRESS(2,COLUMN())),OFFSET($BN$2,0,0,ROW()-1,60),ROW()-1,FALSE))</f>
        <v/>
      </c>
      <c r="BH10" t="str">
        <f ca="1">IF(AND(ISNUMBER($BH$519),$B$511=1),$BH$519,HLOOKUP(INDIRECT(ADDRESS(2,COLUMN())),OFFSET($BN$2,0,0,ROW()-1,60),ROW()-1,FALSE))</f>
        <v/>
      </c>
      <c r="BI10" t="str">
        <f ca="1">IF(AND(ISNUMBER($BI$519),$B$511=1),$BI$519,HLOOKUP(INDIRECT(ADDRESS(2,COLUMN())),OFFSET($BN$2,0,0,ROW()-1,60),ROW()-1,FALSE))</f>
        <v/>
      </c>
      <c r="BJ10" t="str">
        <f ca="1">IF(AND(ISNUMBER($BJ$519),$B$511=1),$BJ$519,HLOOKUP(INDIRECT(ADDRESS(2,COLUMN())),OFFSET($BN$2,0,0,ROW()-1,60),ROW()-1,FALSE))</f>
        <v/>
      </c>
      <c r="BK10" t="str">
        <f ca="1">IF(AND(ISNUMBER($BK$519),$B$511=1),$BK$519,HLOOKUP(INDIRECT(ADDRESS(2,COLUMN())),OFFSET($BN$2,0,0,ROW()-1,60),ROW()-1,FALSE))</f>
        <v/>
      </c>
      <c r="BL10" t="str">
        <f ca="1">IF(AND(ISNUMBER($BL$519),$B$511=1),$BL$519,HLOOKUP(INDIRECT(ADDRESS(2,COLUMN())),OFFSET($BN$2,0,0,ROW()-1,60),ROW()-1,FALSE))</f>
        <v/>
      </c>
      <c r="BM10" t="str">
        <f ca="1">IF(AND(ISNUMBER($BM$519),$B$511=1),$BM$519,HLOOKUP(INDIRECT(ADDRESS(2,COLUMN())),OFFSET($BN$2,0,0,ROW()-1,60),ROW()-1,FALSE))</f>
        <v/>
      </c>
      <c r="BN10" t="str">
        <f>""</f>
        <v/>
      </c>
      <c r="BO10" t="str">
        <f>""</f>
        <v/>
      </c>
      <c r="BP10" t="str">
        <f>""</f>
        <v/>
      </c>
      <c r="BQ10" t="str">
        <f>""</f>
        <v/>
      </c>
      <c r="BR10" t="str">
        <f>""</f>
        <v/>
      </c>
      <c r="BS10" t="str">
        <f>""</f>
        <v/>
      </c>
      <c r="BT10" t="str">
        <f>""</f>
        <v/>
      </c>
      <c r="BU10" t="str">
        <f>""</f>
        <v/>
      </c>
      <c r="BV10" t="str">
        <f>""</f>
        <v/>
      </c>
      <c r="BW10" t="str">
        <f>""</f>
        <v/>
      </c>
      <c r="BX10" t="str">
        <f>""</f>
        <v/>
      </c>
      <c r="BY10" t="str">
        <f>""</f>
        <v/>
      </c>
      <c r="BZ10">
        <f>0.849238558</f>
        <v>0.84923855800000003</v>
      </c>
      <c r="CA10">
        <f>1.202551019</f>
        <v>1.2025510189999999</v>
      </c>
      <c r="CB10">
        <f>1.197968111</f>
        <v>1.197968111</v>
      </c>
      <c r="CC10">
        <f>1.261625194</f>
        <v>1.2616251940000001</v>
      </c>
      <c r="CD10">
        <f>1.495716975</f>
        <v>1.4957169749999999</v>
      </c>
      <c r="CE10">
        <f>1.369279197</f>
        <v>1.369279197</v>
      </c>
      <c r="CF10">
        <f>1.571468072</f>
        <v>1.571468072</v>
      </c>
      <c r="CG10">
        <f>1.748489571</f>
        <v>1.7484895709999999</v>
      </c>
      <c r="CH10">
        <f>2.012689413</f>
        <v>2.0126894129999999</v>
      </c>
      <c r="CI10">
        <f>1.876227583</f>
        <v>1.8762275829999999</v>
      </c>
      <c r="CJ10">
        <f>1.930703338</f>
        <v>1.930703338</v>
      </c>
      <c r="CK10">
        <f>2.334672119</f>
        <v>2.3346721189999999</v>
      </c>
      <c r="CL10">
        <f>2.344473941</f>
        <v>2.344473941</v>
      </c>
      <c r="CM10">
        <f>2.624242028</f>
        <v>2.6242420279999998</v>
      </c>
      <c r="CN10">
        <f>2.663921302</f>
        <v>2.6639213019999999</v>
      </c>
      <c r="CO10">
        <f>2.391303399</f>
        <v>2.3913033989999999</v>
      </c>
      <c r="CP10">
        <f>2.008159538</f>
        <v>2.0081595380000001</v>
      </c>
      <c r="CQ10">
        <f>1.589221794</f>
        <v>1.589221794</v>
      </c>
      <c r="CR10">
        <f>1.480240565</f>
        <v>1.4802405649999999</v>
      </c>
      <c r="CS10">
        <f>1.295068186</f>
        <v>1.295068186</v>
      </c>
      <c r="CT10">
        <f>1.595475099</f>
        <v>1.595475099</v>
      </c>
      <c r="CU10">
        <f>1.285083221</f>
        <v>1.2850832210000001</v>
      </c>
      <c r="CV10">
        <f>1.229224137</f>
        <v>1.2292241370000001</v>
      </c>
      <c r="CW10">
        <f>1.051321656</f>
        <v>1.051321656</v>
      </c>
      <c r="CX10">
        <f>0.631666358</f>
        <v>0.63166635800000004</v>
      </c>
      <c r="CY10">
        <f>0.543999158</f>
        <v>0.54399915799999998</v>
      </c>
      <c r="CZ10">
        <f>0.348991232</f>
        <v>0.34899123199999998</v>
      </c>
      <c r="DA10">
        <f>0.386834014</f>
        <v>0.386834014</v>
      </c>
      <c r="DB10">
        <f>0.557177905</f>
        <v>0.55717790499999997</v>
      </c>
      <c r="DC10" t="str">
        <f>""</f>
        <v/>
      </c>
      <c r="DD10" t="str">
        <f>""</f>
        <v/>
      </c>
      <c r="DE10" t="str">
        <f>""</f>
        <v/>
      </c>
      <c r="DF10" t="str">
        <f>""</f>
        <v/>
      </c>
      <c r="DG10" t="str">
        <f>""</f>
        <v/>
      </c>
      <c r="DH10" t="str">
        <f>""</f>
        <v/>
      </c>
      <c r="DI10" t="str">
        <f>""</f>
        <v/>
      </c>
      <c r="DJ10" t="str">
        <f>""</f>
        <v/>
      </c>
      <c r="DK10" t="str">
        <f>""</f>
        <v/>
      </c>
      <c r="DL10" t="str">
        <f>""</f>
        <v/>
      </c>
      <c r="DM10" t="str">
        <f>""</f>
        <v/>
      </c>
      <c r="DN10" t="str">
        <f>""</f>
        <v/>
      </c>
      <c r="DO10" t="str">
        <f>""</f>
        <v/>
      </c>
      <c r="DP10" t="str">
        <f>""</f>
        <v/>
      </c>
      <c r="DQ10" t="str">
        <f>""</f>
        <v/>
      </c>
      <c r="DR10" t="str">
        <f>""</f>
        <v/>
      </c>
      <c r="DS10" t="str">
        <f>""</f>
        <v/>
      </c>
      <c r="DT10" t="str">
        <f>""</f>
        <v/>
      </c>
      <c r="DU10" t="str">
        <f>""</f>
        <v/>
      </c>
    </row>
    <row r="11" spans="1:125" x14ac:dyDescent="0.25">
      <c r="A11" t="str">
        <f>"    Daimler AG"</f>
        <v xml:space="preserve">    Daimler AG</v>
      </c>
      <c r="B11" t="str">
        <f>"DAI GR Equity"</f>
        <v>DAI GR Equity</v>
      </c>
      <c r="C11" t="str">
        <f t="shared" si="0"/>
        <v>RR844</v>
      </c>
      <c r="D11" t="str">
        <f t="shared" si="1"/>
        <v>T12M_DIL_EPS_CONT_OPS</v>
      </c>
      <c r="E11" t="str">
        <f t="shared" si="2"/>
        <v>Dynamic</v>
      </c>
      <c r="F11" t="str">
        <f ca="1">IF(AND(ISNUMBER($F$520),$B$511=1),$F$520,HLOOKUP(INDIRECT(ADDRESS(2,COLUMN())),OFFSET($BN$2,0,0,ROW()-1,60),ROW()-1,FALSE))</f>
        <v/>
      </c>
      <c r="G11">
        <f ca="1">IF(AND(ISNUMBER($G$520),$B$511=1),$G$520,HLOOKUP(INDIRECT(ADDRESS(2,COLUMN())),OFFSET($BN$2,0,0,ROW()-1,60),ROW()-1,FALSE))</f>
        <v>8.1558440220000001</v>
      </c>
      <c r="H11">
        <f ca="1">IF(AND(ISNUMBER($H$520),$B$511=1),$H$520,HLOOKUP(INDIRECT(ADDRESS(2,COLUMN())),OFFSET($BN$2,0,0,ROW()-1,60),ROW()-1,FALSE))</f>
        <v>9.4490274850000002</v>
      </c>
      <c r="I11">
        <f ca="1">IF(AND(ISNUMBER($I$520),$B$511=1),$I$520,HLOOKUP(INDIRECT(ADDRESS(2,COLUMN())),OFFSET($BN$2,0,0,ROW()-1,60),ROW()-1,FALSE))</f>
        <v>10.5368814</v>
      </c>
      <c r="J11">
        <f ca="1">IF(AND(ISNUMBER($J$520),$B$511=1),$J$520,HLOOKUP(INDIRECT(ADDRESS(2,COLUMN())),OFFSET($BN$2,0,0,ROW()-1,60),ROW()-1,FALSE))</f>
        <v>10.81963623</v>
      </c>
      <c r="K11">
        <f ca="1">IF(AND(ISNUMBER($K$520),$B$511=1),$K$520,HLOOKUP(INDIRECT(ADDRESS(2,COLUMN())),OFFSET($BN$2,0,0,ROW()-1,60),ROW()-1,FALSE))</f>
        <v>10.370519460000001</v>
      </c>
      <c r="L11">
        <f ca="1">IF(AND(ISNUMBER($L$520),$B$511=1),$L$520,HLOOKUP(INDIRECT(ADDRESS(2,COLUMN())),OFFSET($BN$2,0,0,ROW()-1,60),ROW()-1,FALSE))</f>
        <v>9.835578216</v>
      </c>
      <c r="M11">
        <f ca="1">IF(AND(ISNUMBER($M$520),$B$511=1),$M$520,HLOOKUP(INDIRECT(ADDRESS(2,COLUMN())),OFFSET($BN$2,0,0,ROW()-1,60),ROW()-1,FALSE))</f>
        <v>9.7461374329999995</v>
      </c>
      <c r="N11">
        <f ca="1">IF(AND(ISNUMBER($N$520),$B$511=1),$N$520,HLOOKUP(INDIRECT(ADDRESS(2,COLUMN())),OFFSET($BN$2,0,0,ROW()-1,60),ROW()-1,FALSE))</f>
        <v>10.510089560000001</v>
      </c>
      <c r="O11">
        <f ca="1">IF(AND(ISNUMBER($O$520),$B$511=1),$O$520,HLOOKUP(INDIRECT(ADDRESS(2,COLUMN())),OFFSET($BN$2,0,0,ROW()-1,60),ROW()-1,FALSE))</f>
        <v>9.9493726410000001</v>
      </c>
      <c r="P11">
        <f ca="1">IF(AND(ISNUMBER($P$520),$B$511=1),$P$520,HLOOKUP(INDIRECT(ADDRESS(2,COLUMN())),OFFSET($BN$2,0,0,ROW()-1,60),ROW()-1,FALSE))</f>
        <v>9.7974533049999994</v>
      </c>
      <c r="Q11">
        <f ca="1">IF(AND(ISNUMBER($Q$520),$B$511=1),$Q$520,HLOOKUP(INDIRECT(ADDRESS(2,COLUMN())),OFFSET($BN$2,0,0,ROW()-1,60),ROW()-1,FALSE))</f>
        <v>9.5715984289999998</v>
      </c>
      <c r="R11">
        <f ca="1">IF(AND(ISNUMBER($R$520),$B$511=1),$R$520,HLOOKUP(INDIRECT(ADDRESS(2,COLUMN())),OFFSET($BN$2,0,0,ROW()-1,60),ROW()-1,FALSE))</f>
        <v>8.6534151149999996</v>
      </c>
      <c r="S11">
        <f ca="1">IF(AND(ISNUMBER($S$520),$B$511=1),$S$520,HLOOKUP(INDIRECT(ADDRESS(2,COLUMN())),OFFSET($BN$2,0,0,ROW()-1,60),ROW()-1,FALSE))</f>
        <v>9.1220906450000001</v>
      </c>
      <c r="T11">
        <f ca="1">IF(AND(ISNUMBER($T$520),$B$511=1),$T$520,HLOOKUP(INDIRECT(ADDRESS(2,COLUMN())),OFFSET($BN$2,0,0,ROW()-1,60),ROW()-1,FALSE))</f>
        <v>9.6536244010000001</v>
      </c>
      <c r="U11">
        <f ca="1">IF(AND(ISNUMBER($U$520),$B$511=1),$U$520,HLOOKUP(INDIRECT(ADDRESS(2,COLUMN())),OFFSET($BN$2,0,0,ROW()-1,60),ROW()-1,FALSE))</f>
        <v>9.0243587509999994</v>
      </c>
      <c r="V11">
        <f ca="1">IF(AND(ISNUMBER($V$520),$B$511=1),$V$520,HLOOKUP(INDIRECT(ADDRESS(2,COLUMN())),OFFSET($BN$2,0,0,ROW()-1,60),ROW()-1,FALSE))</f>
        <v>9.9554818239999996</v>
      </c>
      <c r="W11">
        <f ca="1">IF(AND(ISNUMBER($W$520),$B$511=1),$W$520,HLOOKUP(INDIRECT(ADDRESS(2,COLUMN())),OFFSET($BN$2,0,0,ROW()-1,60),ROW()-1,FALSE))</f>
        <v>9.4994745799999993</v>
      </c>
      <c r="X11">
        <f ca="1">IF(AND(ISNUMBER($X$520),$B$511=1),$X$520,HLOOKUP(INDIRECT(ADDRESS(2,COLUMN())),OFFSET($BN$2,0,0,ROW()-1,60),ROW()-1,FALSE))</f>
        <v>8.8094763960000009</v>
      </c>
      <c r="Y11">
        <f ca="1">IF(AND(ISNUMBER($Y$520),$B$511=1),$Y$520,HLOOKUP(INDIRECT(ADDRESS(2,COLUMN())),OFFSET($BN$2,0,0,ROW()-1,60),ROW()-1,FALSE))</f>
        <v>9.4572237979999993</v>
      </c>
      <c r="Z11">
        <f ca="1">IF(AND(ISNUMBER($Z$520),$B$511=1),$Z$520,HLOOKUP(INDIRECT(ADDRESS(2,COLUMN())),OFFSET($BN$2,0,0,ROW()-1,60),ROW()-1,FALSE))</f>
        <v>6.9992542379999998</v>
      </c>
      <c r="AA11">
        <f ca="1">IF(AND(ISNUMBER($AA$520),$B$511=1),$AA$520,HLOOKUP(INDIRECT(ADDRESS(2,COLUMN())),OFFSET($BN$2,0,0,ROW()-1,60),ROW()-1,FALSE))</f>
        <v>6.0896836309999998</v>
      </c>
      <c r="AB11">
        <f ca="1">IF(AND(ISNUMBER($AB$520),$B$511=1),$AB$520,HLOOKUP(INDIRECT(ADDRESS(2,COLUMN())),OFFSET($BN$2,0,0,ROW()-1,60),ROW()-1,FALSE))</f>
        <v>6.361534335</v>
      </c>
      <c r="AC11">
        <f ca="1">IF(AND(ISNUMBER($AC$520),$B$511=1),$AC$520,HLOOKUP(INDIRECT(ADDRESS(2,COLUMN())),OFFSET($BN$2,0,0,ROW()-1,60),ROW()-1,FALSE))</f>
        <v>5.3594623969999997</v>
      </c>
      <c r="AD11">
        <f ca="1">IF(AND(ISNUMBER($AD$520),$B$511=1),$AD$520,HLOOKUP(INDIRECT(ADDRESS(2,COLUMN())),OFFSET($BN$2,0,0,ROW()-1,60),ROW()-1,FALSE))</f>
        <v>6.1903174779999999</v>
      </c>
      <c r="AE11">
        <f ca="1">IF(AND(ISNUMBER($AE$520),$B$511=1),$AE$520,HLOOKUP(INDIRECT(ADDRESS(2,COLUMN())),OFFSET($BN$2,0,0,ROW()-1,60),ROW()-1,FALSE))</f>
        <v>7.1493712619999998</v>
      </c>
      <c r="AF11">
        <f ca="1">IF(AND(ISNUMBER($AF$520),$B$511=1),$AF$520,HLOOKUP(INDIRECT(ADDRESS(2,COLUMN())),OFFSET($BN$2,0,0,ROW()-1,60),ROW()-1,FALSE))</f>
        <v>6.9431165799999999</v>
      </c>
      <c r="AG11">
        <f ca="1">IF(AND(ISNUMBER($AG$520),$B$511=1),$AG$520,HLOOKUP(INDIRECT(ADDRESS(2,COLUMN())),OFFSET($BN$2,0,0,ROW()-1,60),ROW()-1,FALSE))</f>
        <v>7.4728770579999999</v>
      </c>
      <c r="AH11">
        <f ca="1">IF(AND(ISNUMBER($AH$520),$B$511=1),$AH$520,HLOOKUP(INDIRECT(ADDRESS(2,COLUMN())),OFFSET($BN$2,0,0,ROW()-1,60),ROW()-1,FALSE))</f>
        <v>7.8006138079999996</v>
      </c>
      <c r="AI11">
        <f ca="1">IF(AND(ISNUMBER($AI$520),$B$511=1),$AI$520,HLOOKUP(INDIRECT(ADDRESS(2,COLUMN())),OFFSET($BN$2,0,0,ROW()-1,60),ROW()-1,FALSE))</f>
        <v>7.5520675329999998</v>
      </c>
      <c r="AJ11">
        <f ca="1">IF(AND(ISNUMBER($AJ$520),$B$511=1),$AJ$520,HLOOKUP(INDIRECT(ADDRESS(2,COLUMN())),OFFSET($BN$2,0,0,ROW()-1,60),ROW()-1,FALSE))</f>
        <v>6.8333686330000001</v>
      </c>
      <c r="AK11">
        <f ca="1">IF(AND(ISNUMBER($AK$520),$B$511=1),$AK$520,HLOOKUP(INDIRECT(ADDRESS(2,COLUMN())),OFFSET($BN$2,0,0,ROW()-1,60),ROW()-1,FALSE))</f>
        <v>6.5200789139999999</v>
      </c>
      <c r="AL11">
        <f ca="1">IF(AND(ISNUMBER($AL$520),$B$511=1),$AL$520,HLOOKUP(INDIRECT(ADDRESS(2,COLUMN())),OFFSET($BN$2,0,0,ROW()-1,60),ROW()-1,FALSE))</f>
        <v>5.9698881669999997</v>
      </c>
      <c r="AM11">
        <f ca="1">IF(AND(ISNUMBER($AM$520),$B$511=1),$AM$520,HLOOKUP(INDIRECT(ADDRESS(2,COLUMN())),OFFSET($BN$2,0,0,ROW()-1,60),ROW()-1,FALSE))</f>
        <v>5.294782283</v>
      </c>
      <c r="AN11">
        <f ca="1">IF(AND(ISNUMBER($AN$520),$B$511=1),$AN$520,HLOOKUP(INDIRECT(ADDRESS(2,COLUMN())),OFFSET($BN$2,0,0,ROW()-1,60),ROW()-1,FALSE))</f>
        <v>3.6733146849999998</v>
      </c>
      <c r="AO11">
        <f ca="1">IF(AND(ISNUMBER($AO$520),$B$511=1),$AO$520,HLOOKUP(INDIRECT(ADDRESS(2,COLUMN())),OFFSET($BN$2,0,0,ROW()-1,60),ROW()-1,FALSE))</f>
        <v>2.140786764</v>
      </c>
      <c r="AP11">
        <f ca="1">IF(AND(ISNUMBER($AP$520),$B$511=1),$AP$520,HLOOKUP(INDIRECT(ADDRESS(2,COLUMN())),OFFSET($BN$2,0,0,ROW()-1,60),ROW()-1,FALSE))</f>
        <v>-0.378690156</v>
      </c>
      <c r="AQ11">
        <f ca="1">IF(AND(ISNUMBER($AQ$520),$B$511=1),$AQ$520,HLOOKUP(INDIRECT(ADDRESS(2,COLUMN())),OFFSET($BN$2,0,0,ROW()-1,60),ROW()-1,FALSE))</f>
        <v>-3.0008514530000001</v>
      </c>
      <c r="AR11">
        <f ca="1">IF(AND(ISNUMBER($AR$520),$B$511=1),$AR$520,HLOOKUP(INDIRECT(ADDRESS(2,COLUMN())),OFFSET($BN$2,0,0,ROW()-1,60),ROW()-1,FALSE))</f>
        <v>-3.3966319760000001</v>
      </c>
      <c r="AS11">
        <f ca="1">IF(AND(ISNUMBER($AS$520),$B$511=1),$AS$520,HLOOKUP(INDIRECT(ADDRESS(2,COLUMN())),OFFSET($BN$2,0,0,ROW()-1,60),ROW()-1,FALSE))</f>
        <v>-3.1504436930000002</v>
      </c>
      <c r="AT11">
        <f ca="1">IF(AND(ISNUMBER($AT$520),$B$511=1),$AT$520,HLOOKUP(INDIRECT(ADDRESS(2,COLUMN())),OFFSET($BN$2,0,0,ROW()-1,60),ROW()-1,FALSE))</f>
        <v>-0.39755351500000002</v>
      </c>
      <c r="AU11">
        <f ca="1">IF(AND(ISNUMBER($AU$520),$B$511=1),$AU$520,HLOOKUP(INDIRECT(ADDRESS(2,COLUMN())),OFFSET($BN$2,0,0,ROW()-1,60),ROW()-1,FALSE))</f>
        <v>3.6511108210000001</v>
      </c>
      <c r="AV11">
        <f ca="1">IF(AND(ISNUMBER($AV$520),$B$511=1),$AV$520,HLOOKUP(INDIRECT(ADDRESS(2,COLUMN())),OFFSET($BN$2,0,0,ROW()-1,60),ROW()-1,FALSE))</f>
        <v>5.5141537520000004</v>
      </c>
      <c r="AW11">
        <f ca="1">IF(AND(ISNUMBER($AW$520),$B$511=1),$AW$520,HLOOKUP(INDIRECT(ADDRESS(2,COLUMN())),OFFSET($BN$2,0,0,ROW()-1,60),ROW()-1,FALSE))</f>
        <v>5.8234144710000004</v>
      </c>
      <c r="AX11">
        <f ca="1">IF(AND(ISNUMBER($AX$520),$B$511=1),$AX$520,HLOOKUP(INDIRECT(ADDRESS(2,COLUMN())),OFFSET($BN$2,0,0,ROW()-1,60),ROW()-1,FALSE))</f>
        <v>5.4817638300000002</v>
      </c>
      <c r="AY11">
        <f ca="1">IF(AND(ISNUMBER($AY$520),$B$511=1),$AY$520,HLOOKUP(INDIRECT(ADDRESS(2,COLUMN())),OFFSET($BN$2,0,0,ROW()-1,60),ROW()-1,FALSE))</f>
        <v>6.9587594309999998</v>
      </c>
      <c r="AZ11">
        <f ca="1">IF(AND(ISNUMBER($AZ$520),$B$511=1),$AZ$520,HLOOKUP(INDIRECT(ADDRESS(2,COLUMN())),OFFSET($BN$2,0,0,ROW()-1,60),ROW()-1,FALSE))</f>
        <v>4.7457341460000002</v>
      </c>
      <c r="BA11">
        <f ca="1">IF(AND(ISNUMBER($BA$520),$B$511=1),$BA$520,HLOOKUP(INDIRECT(ADDRESS(2,COLUMN())),OFFSET($BN$2,0,0,ROW()-1,60),ROW()-1,FALSE))</f>
        <v>5.4244474589999996</v>
      </c>
      <c r="BB11">
        <f ca="1">IF(AND(ISNUMBER($BB$520),$B$511=1),$BB$520,HLOOKUP(INDIRECT(ADDRESS(2,COLUMN())),OFFSET($BN$2,0,0,ROW()-1,60),ROW()-1,FALSE))</f>
        <v>5.8313296379999997</v>
      </c>
      <c r="BC11">
        <f ca="1">IF(AND(ISNUMBER($BC$520),$B$511=1),$BC$520,HLOOKUP(INDIRECT(ADDRESS(2,COLUMN())),OFFSET($BN$2,0,0,ROW()-1,60),ROW()-1,FALSE))</f>
        <v>3.3972452949999998</v>
      </c>
      <c r="BD11">
        <f ca="1">IF(AND(ISNUMBER($BD$520),$B$511=1),$BD$520,HLOOKUP(INDIRECT(ADDRESS(2,COLUMN())),OFFSET($BN$2,0,0,ROW()-1,60),ROW()-1,FALSE))</f>
        <v>5.2083501930000002</v>
      </c>
      <c r="BE11">
        <f ca="1">IF(AND(ISNUMBER($BE$520),$B$511=1),$BE$520,HLOOKUP(INDIRECT(ADDRESS(2,COLUMN())),OFFSET($BN$2,0,0,ROW()-1,60),ROW()-1,FALSE))</f>
        <v>4.9231716260000002</v>
      </c>
      <c r="BF11">
        <f ca="1">IF(AND(ISNUMBER($BF$520),$B$511=1),$BF$520,HLOOKUP(INDIRECT(ADDRESS(2,COLUMN())),OFFSET($BN$2,0,0,ROW()-1,60),ROW()-1,FALSE))</f>
        <v>3.7062122369999999</v>
      </c>
      <c r="BG11">
        <f ca="1">IF(AND(ISNUMBER($BG$520),$B$511=1),$BG$520,HLOOKUP(INDIRECT(ADDRESS(2,COLUMN())),OFFSET($BN$2,0,0,ROW()-1,60),ROW()-1,FALSE))</f>
        <v>3.1899955000000002</v>
      </c>
      <c r="BH11">
        <f ca="1">IF(AND(ISNUMBER($BH$520),$B$511=1),$BH$520,HLOOKUP(INDIRECT(ADDRESS(2,COLUMN())),OFFSET($BN$2,0,0,ROW()-1,60),ROW()-1,FALSE))</f>
        <v>5.2556735110000004</v>
      </c>
      <c r="BI11">
        <f ca="1">IF(AND(ISNUMBER($BI$520),$B$511=1),$BI$520,HLOOKUP(INDIRECT(ADDRESS(2,COLUMN())),OFFSET($BN$2,0,0,ROW()-1,60),ROW()-1,FALSE))</f>
        <v>5.294991403</v>
      </c>
      <c r="BJ11">
        <f ca="1">IF(AND(ISNUMBER($BJ$520),$B$511=1),$BJ$520,HLOOKUP(INDIRECT(ADDRESS(2,COLUMN())),OFFSET($BN$2,0,0,ROW()-1,60),ROW()-1,FALSE))</f>
        <v>5.0378102379999996</v>
      </c>
      <c r="BK11">
        <f ca="1">IF(AND(ISNUMBER($BK$520),$B$511=1),$BK$520,HLOOKUP(INDIRECT(ADDRESS(2,COLUMN())),OFFSET($BN$2,0,0,ROW()-1,60),ROW()-1,FALSE))</f>
        <v>5.1400756129999996</v>
      </c>
      <c r="BL11" t="str">
        <f ca="1">IF(AND(ISNUMBER($BL$520),$B$511=1),$BL$520,HLOOKUP(INDIRECT(ADDRESS(2,COLUMN())),OFFSET($BN$2,0,0,ROW()-1,60),ROW()-1,FALSE))</f>
        <v/>
      </c>
      <c r="BM11" t="str">
        <f ca="1">IF(AND(ISNUMBER($BM$520),$B$511=1),$BM$520,HLOOKUP(INDIRECT(ADDRESS(2,COLUMN())),OFFSET($BN$2,0,0,ROW()-1,60),ROW()-1,FALSE))</f>
        <v/>
      </c>
      <c r="BN11" t="str">
        <f>""</f>
        <v/>
      </c>
      <c r="BO11">
        <f>8.155844022</f>
        <v>8.1558440220000001</v>
      </c>
      <c r="BP11">
        <f>9.449027485</f>
        <v>9.4490274850000002</v>
      </c>
      <c r="BQ11">
        <f>10.5368814</f>
        <v>10.5368814</v>
      </c>
      <c r="BR11">
        <f>10.81963623</f>
        <v>10.81963623</v>
      </c>
      <c r="BS11">
        <f>10.37051946</f>
        <v>10.370519460000001</v>
      </c>
      <c r="BT11">
        <f>9.835578216</f>
        <v>9.835578216</v>
      </c>
      <c r="BU11">
        <f>9.746137433</f>
        <v>9.7461374329999995</v>
      </c>
      <c r="BV11">
        <f>10.51008956</f>
        <v>10.510089560000001</v>
      </c>
      <c r="BW11">
        <f>9.949372641</f>
        <v>9.9493726410000001</v>
      </c>
      <c r="BX11">
        <f>9.797453305</f>
        <v>9.7974533049999994</v>
      </c>
      <c r="BY11">
        <f>9.571598429</f>
        <v>9.5715984289999998</v>
      </c>
      <c r="BZ11">
        <f>8.653415115</f>
        <v>8.6534151149999996</v>
      </c>
      <c r="CA11">
        <f>9.122090645</f>
        <v>9.1220906450000001</v>
      </c>
      <c r="CB11">
        <f>9.653624401</f>
        <v>9.6536244010000001</v>
      </c>
      <c r="CC11">
        <f>9.024358751</f>
        <v>9.0243587509999994</v>
      </c>
      <c r="CD11">
        <f>9.955481824</f>
        <v>9.9554818239999996</v>
      </c>
      <c r="CE11">
        <f>9.49947458</f>
        <v>9.4994745799999993</v>
      </c>
      <c r="CF11">
        <f>8.809476396</f>
        <v>8.8094763960000009</v>
      </c>
      <c r="CG11">
        <f>9.457223798</f>
        <v>9.4572237979999993</v>
      </c>
      <c r="CH11">
        <f>6.999254238</f>
        <v>6.9992542379999998</v>
      </c>
      <c r="CI11">
        <f>6.089683631</f>
        <v>6.0896836309999998</v>
      </c>
      <c r="CJ11">
        <f>6.361534335</f>
        <v>6.361534335</v>
      </c>
      <c r="CK11">
        <f>5.359462397</f>
        <v>5.3594623969999997</v>
      </c>
      <c r="CL11">
        <f>6.190317478</f>
        <v>6.1903174779999999</v>
      </c>
      <c r="CM11">
        <f>7.149371262</f>
        <v>7.1493712619999998</v>
      </c>
      <c r="CN11">
        <f>6.94311658</f>
        <v>6.9431165799999999</v>
      </c>
      <c r="CO11">
        <f>7.472877058</f>
        <v>7.4728770579999999</v>
      </c>
      <c r="CP11">
        <f>7.800613808</f>
        <v>7.8006138079999996</v>
      </c>
      <c r="CQ11">
        <f>7.552067533</f>
        <v>7.5520675329999998</v>
      </c>
      <c r="CR11">
        <f>6.833368633</f>
        <v>6.8333686330000001</v>
      </c>
      <c r="CS11">
        <f>6.520078914</f>
        <v>6.5200789139999999</v>
      </c>
      <c r="CT11">
        <f>5.969888167</f>
        <v>5.9698881669999997</v>
      </c>
      <c r="CU11">
        <f>5.294782283</f>
        <v>5.294782283</v>
      </c>
      <c r="CV11">
        <f>3.673314685</f>
        <v>3.6733146849999998</v>
      </c>
      <c r="CW11">
        <f>2.140786764</f>
        <v>2.140786764</v>
      </c>
      <c r="CX11">
        <f>-0.378690156</f>
        <v>-0.378690156</v>
      </c>
      <c r="CY11">
        <f>-3.000851453</f>
        <v>-3.0008514530000001</v>
      </c>
      <c r="CZ11">
        <f>-3.396631976</f>
        <v>-3.3966319760000001</v>
      </c>
      <c r="DA11">
        <f>-3.150443693</f>
        <v>-3.1504436930000002</v>
      </c>
      <c r="DB11">
        <f>-0.397553515</f>
        <v>-0.39755351500000002</v>
      </c>
      <c r="DC11">
        <f>3.651110821</f>
        <v>3.6511108210000001</v>
      </c>
      <c r="DD11">
        <f>5.514153752</f>
        <v>5.5141537520000004</v>
      </c>
      <c r="DE11">
        <f>5.823414471</f>
        <v>5.8234144710000004</v>
      </c>
      <c r="DF11">
        <f>5.48176383</f>
        <v>5.4817638300000002</v>
      </c>
      <c r="DG11">
        <f>6.958759431</f>
        <v>6.9587594309999998</v>
      </c>
      <c r="DH11">
        <f>4.745734146</f>
        <v>4.7457341460000002</v>
      </c>
      <c r="DI11">
        <f>5.424447459</f>
        <v>5.4244474589999996</v>
      </c>
      <c r="DJ11">
        <f>5.831329638</f>
        <v>5.8313296379999997</v>
      </c>
      <c r="DK11">
        <f>3.397245295</f>
        <v>3.3972452949999998</v>
      </c>
      <c r="DL11">
        <f>5.208350193</f>
        <v>5.2083501930000002</v>
      </c>
      <c r="DM11">
        <f>4.923171626</f>
        <v>4.9231716260000002</v>
      </c>
      <c r="DN11">
        <f>3.706212237</f>
        <v>3.7062122369999999</v>
      </c>
      <c r="DO11">
        <f>3.1899955</f>
        <v>3.1899955000000002</v>
      </c>
      <c r="DP11">
        <f>5.255673511</f>
        <v>5.2556735110000004</v>
      </c>
      <c r="DQ11">
        <f>5.294991403</f>
        <v>5.294991403</v>
      </c>
      <c r="DR11">
        <f>5.037810238</f>
        <v>5.0378102379999996</v>
      </c>
      <c r="DS11">
        <f>5.140075613</f>
        <v>5.1400756129999996</v>
      </c>
      <c r="DT11" t="str">
        <f>""</f>
        <v/>
      </c>
      <c r="DU11" t="str">
        <f>""</f>
        <v/>
      </c>
    </row>
    <row r="12" spans="1:125" x14ac:dyDescent="0.25">
      <c r="A12" t="str">
        <f>"    Dongfeng Motor Group Co Ltd"</f>
        <v xml:space="preserve">    Dongfeng Motor Group Co Ltd</v>
      </c>
      <c r="B12" t="str">
        <f>"489 HK Equity"</f>
        <v>489 HK Equity</v>
      </c>
      <c r="C12" t="str">
        <f t="shared" si="0"/>
        <v>RR844</v>
      </c>
      <c r="D12" t="str">
        <f t="shared" si="1"/>
        <v>T12M_DIL_EPS_CONT_OPS</v>
      </c>
      <c r="E12" t="str">
        <f t="shared" si="2"/>
        <v>Dynamic</v>
      </c>
      <c r="F12" t="str">
        <f ca="1">IF(AND(ISNUMBER($F$521),$B$511=1),$F$521,HLOOKUP(INDIRECT(ADDRESS(2,COLUMN())),OFFSET($BN$2,0,0,ROW()-1,60),ROW()-1,FALSE))</f>
        <v/>
      </c>
      <c r="G12" t="str">
        <f ca="1">IF(AND(ISNUMBER($G$521),$B$511=1),$G$521,HLOOKUP(INDIRECT(ADDRESS(2,COLUMN())),OFFSET($BN$2,0,0,ROW()-1,60),ROW()-1,FALSE))</f>
        <v/>
      </c>
      <c r="H12" t="str">
        <f ca="1">IF(AND(ISNUMBER($H$521),$B$511=1),$H$521,HLOOKUP(INDIRECT(ADDRESS(2,COLUMN())),OFFSET($BN$2,0,0,ROW()-1,60),ROW()-1,FALSE))</f>
        <v/>
      </c>
      <c r="I12" t="str">
        <f ca="1">IF(AND(ISNUMBER($I$521),$B$511=1),$I$521,HLOOKUP(INDIRECT(ADDRESS(2,COLUMN())),OFFSET($BN$2,0,0,ROW()-1,60),ROW()-1,FALSE))</f>
        <v/>
      </c>
      <c r="J12" t="str">
        <f ca="1">IF(AND(ISNUMBER($J$521),$B$511=1),$J$521,HLOOKUP(INDIRECT(ADDRESS(2,COLUMN())),OFFSET($BN$2,0,0,ROW()-1,60),ROW()-1,FALSE))</f>
        <v/>
      </c>
      <c r="K12" t="str">
        <f ca="1">IF(AND(ISNUMBER($K$521),$B$511=1),$K$521,HLOOKUP(INDIRECT(ADDRESS(2,COLUMN())),OFFSET($BN$2,0,0,ROW()-1,60),ROW()-1,FALSE))</f>
        <v/>
      </c>
      <c r="L12" t="str">
        <f ca="1">IF(AND(ISNUMBER($L$521),$B$511=1),$L$521,HLOOKUP(INDIRECT(ADDRESS(2,COLUMN())),OFFSET($BN$2,0,0,ROW()-1,60),ROW()-1,FALSE))</f>
        <v/>
      </c>
      <c r="M12" t="str">
        <f ca="1">IF(AND(ISNUMBER($M$521),$B$511=1),$M$521,HLOOKUP(INDIRECT(ADDRESS(2,COLUMN())),OFFSET($BN$2,0,0,ROW()-1,60),ROW()-1,FALSE))</f>
        <v/>
      </c>
      <c r="N12" t="str">
        <f ca="1">IF(AND(ISNUMBER($N$521),$B$511=1),$N$521,HLOOKUP(INDIRECT(ADDRESS(2,COLUMN())),OFFSET($BN$2,0,0,ROW()-1,60),ROW()-1,FALSE))</f>
        <v/>
      </c>
      <c r="O12" t="str">
        <f ca="1">IF(AND(ISNUMBER($O$521),$B$511=1),$O$521,HLOOKUP(INDIRECT(ADDRESS(2,COLUMN())),OFFSET($BN$2,0,0,ROW()-1,60),ROW()-1,FALSE))</f>
        <v/>
      </c>
      <c r="P12" t="str">
        <f ca="1">IF(AND(ISNUMBER($P$521),$B$511=1),$P$521,HLOOKUP(INDIRECT(ADDRESS(2,COLUMN())),OFFSET($BN$2,0,0,ROW()-1,60),ROW()-1,FALSE))</f>
        <v/>
      </c>
      <c r="Q12" t="str">
        <f ca="1">IF(AND(ISNUMBER($Q$521),$B$511=1),$Q$521,HLOOKUP(INDIRECT(ADDRESS(2,COLUMN())),OFFSET($BN$2,0,0,ROW()-1,60),ROW()-1,FALSE))</f>
        <v/>
      </c>
      <c r="R12" t="str">
        <f ca="1">IF(AND(ISNUMBER($R$521),$B$511=1),$R$521,HLOOKUP(INDIRECT(ADDRESS(2,COLUMN())),OFFSET($BN$2,0,0,ROW()-1,60),ROW()-1,FALSE))</f>
        <v/>
      </c>
      <c r="S12" t="str">
        <f ca="1">IF(AND(ISNUMBER($S$521),$B$511=1),$S$521,HLOOKUP(INDIRECT(ADDRESS(2,COLUMN())),OFFSET($BN$2,0,0,ROW()-1,60),ROW()-1,FALSE))</f>
        <v/>
      </c>
      <c r="T12" t="str">
        <f ca="1">IF(AND(ISNUMBER($T$521),$B$511=1),$T$521,HLOOKUP(INDIRECT(ADDRESS(2,COLUMN())),OFFSET($BN$2,0,0,ROW()-1,60),ROW()-1,FALSE))</f>
        <v/>
      </c>
      <c r="U12" t="str">
        <f ca="1">IF(AND(ISNUMBER($U$521),$B$511=1),$U$521,HLOOKUP(INDIRECT(ADDRESS(2,COLUMN())),OFFSET($BN$2,0,0,ROW()-1,60),ROW()-1,FALSE))</f>
        <v/>
      </c>
      <c r="V12" t="str">
        <f ca="1">IF(AND(ISNUMBER($V$521),$B$511=1),$V$521,HLOOKUP(INDIRECT(ADDRESS(2,COLUMN())),OFFSET($BN$2,0,0,ROW()-1,60),ROW()-1,FALSE))</f>
        <v/>
      </c>
      <c r="W12" t="str">
        <f ca="1">IF(AND(ISNUMBER($W$521),$B$511=1),$W$521,HLOOKUP(INDIRECT(ADDRESS(2,COLUMN())),OFFSET($BN$2,0,0,ROW()-1,60),ROW()-1,FALSE))</f>
        <v/>
      </c>
      <c r="X12" t="str">
        <f ca="1">IF(AND(ISNUMBER($X$521),$B$511=1),$X$521,HLOOKUP(INDIRECT(ADDRESS(2,COLUMN())),OFFSET($BN$2,0,0,ROW()-1,60),ROW()-1,FALSE))</f>
        <v/>
      </c>
      <c r="Y12" t="str">
        <f ca="1">IF(AND(ISNUMBER($Y$521),$B$511=1),$Y$521,HLOOKUP(INDIRECT(ADDRESS(2,COLUMN())),OFFSET($BN$2,0,0,ROW()-1,60),ROW()-1,FALSE))</f>
        <v/>
      </c>
      <c r="Z12" t="str">
        <f ca="1">IF(AND(ISNUMBER($Z$521),$B$511=1),$Z$521,HLOOKUP(INDIRECT(ADDRESS(2,COLUMN())),OFFSET($BN$2,0,0,ROW()-1,60),ROW()-1,FALSE))</f>
        <v/>
      </c>
      <c r="AA12" t="str">
        <f ca="1">IF(AND(ISNUMBER($AA$521),$B$511=1),$AA$521,HLOOKUP(INDIRECT(ADDRESS(2,COLUMN())),OFFSET($BN$2,0,0,ROW()-1,60),ROW()-1,FALSE))</f>
        <v/>
      </c>
      <c r="AB12" t="str">
        <f ca="1">IF(AND(ISNUMBER($AB$521),$B$511=1),$AB$521,HLOOKUP(INDIRECT(ADDRESS(2,COLUMN())),OFFSET($BN$2,0,0,ROW()-1,60),ROW()-1,FALSE))</f>
        <v/>
      </c>
      <c r="AC12" t="str">
        <f ca="1">IF(AND(ISNUMBER($AC$521),$B$511=1),$AC$521,HLOOKUP(INDIRECT(ADDRESS(2,COLUMN())),OFFSET($BN$2,0,0,ROW()-1,60),ROW()-1,FALSE))</f>
        <v/>
      </c>
      <c r="AD12" t="str">
        <f ca="1">IF(AND(ISNUMBER($AD$521),$B$511=1),$AD$521,HLOOKUP(INDIRECT(ADDRESS(2,COLUMN())),OFFSET($BN$2,0,0,ROW()-1,60),ROW()-1,FALSE))</f>
        <v/>
      </c>
      <c r="AE12" t="str">
        <f ca="1">IF(AND(ISNUMBER($AE$521),$B$511=1),$AE$521,HLOOKUP(INDIRECT(ADDRESS(2,COLUMN())),OFFSET($BN$2,0,0,ROW()-1,60),ROW()-1,FALSE))</f>
        <v/>
      </c>
      <c r="AF12" t="str">
        <f ca="1">IF(AND(ISNUMBER($AF$521),$B$511=1),$AF$521,HLOOKUP(INDIRECT(ADDRESS(2,COLUMN())),OFFSET($BN$2,0,0,ROW()-1,60),ROW()-1,FALSE))</f>
        <v/>
      </c>
      <c r="AG12" t="str">
        <f ca="1">IF(AND(ISNUMBER($AG$521),$B$511=1),$AG$521,HLOOKUP(INDIRECT(ADDRESS(2,COLUMN())),OFFSET($BN$2,0,0,ROW()-1,60),ROW()-1,FALSE))</f>
        <v/>
      </c>
      <c r="AH12" t="str">
        <f ca="1">IF(AND(ISNUMBER($AH$521),$B$511=1),$AH$521,HLOOKUP(INDIRECT(ADDRESS(2,COLUMN())),OFFSET($BN$2,0,0,ROW()-1,60),ROW()-1,FALSE))</f>
        <v/>
      </c>
      <c r="AI12" t="str">
        <f ca="1">IF(AND(ISNUMBER($AI$521),$B$511=1),$AI$521,HLOOKUP(INDIRECT(ADDRESS(2,COLUMN())),OFFSET($BN$2,0,0,ROW()-1,60),ROW()-1,FALSE))</f>
        <v/>
      </c>
      <c r="AJ12" t="str">
        <f ca="1">IF(AND(ISNUMBER($AJ$521),$B$511=1),$AJ$521,HLOOKUP(INDIRECT(ADDRESS(2,COLUMN())),OFFSET($BN$2,0,0,ROW()-1,60),ROW()-1,FALSE))</f>
        <v/>
      </c>
      <c r="AK12" t="str">
        <f ca="1">IF(AND(ISNUMBER($AK$521),$B$511=1),$AK$521,HLOOKUP(INDIRECT(ADDRESS(2,COLUMN())),OFFSET($BN$2,0,0,ROW()-1,60),ROW()-1,FALSE))</f>
        <v/>
      </c>
      <c r="AL12" t="str">
        <f ca="1">IF(AND(ISNUMBER($AL$521),$B$511=1),$AL$521,HLOOKUP(INDIRECT(ADDRESS(2,COLUMN())),OFFSET($BN$2,0,0,ROW()-1,60),ROW()-1,FALSE))</f>
        <v/>
      </c>
      <c r="AM12" t="str">
        <f ca="1">IF(AND(ISNUMBER($AM$521),$B$511=1),$AM$521,HLOOKUP(INDIRECT(ADDRESS(2,COLUMN())),OFFSET($BN$2,0,0,ROW()-1,60),ROW()-1,FALSE))</f>
        <v/>
      </c>
      <c r="AN12" t="str">
        <f ca="1">IF(AND(ISNUMBER($AN$521),$B$511=1),$AN$521,HLOOKUP(INDIRECT(ADDRESS(2,COLUMN())),OFFSET($BN$2,0,0,ROW()-1,60),ROW()-1,FALSE))</f>
        <v/>
      </c>
      <c r="AO12" t="str">
        <f ca="1">IF(AND(ISNUMBER($AO$521),$B$511=1),$AO$521,HLOOKUP(INDIRECT(ADDRESS(2,COLUMN())),OFFSET($BN$2,0,0,ROW()-1,60),ROW()-1,FALSE))</f>
        <v/>
      </c>
      <c r="AP12" t="str">
        <f ca="1">IF(AND(ISNUMBER($AP$521),$B$511=1),$AP$521,HLOOKUP(INDIRECT(ADDRESS(2,COLUMN())),OFFSET($BN$2,0,0,ROW()-1,60),ROW()-1,FALSE))</f>
        <v/>
      </c>
      <c r="AQ12" t="str">
        <f ca="1">IF(AND(ISNUMBER($AQ$521),$B$511=1),$AQ$521,HLOOKUP(INDIRECT(ADDRESS(2,COLUMN())),OFFSET($BN$2,0,0,ROW()-1,60),ROW()-1,FALSE))</f>
        <v/>
      </c>
      <c r="AR12" t="str">
        <f ca="1">IF(AND(ISNUMBER($AR$521),$B$511=1),$AR$521,HLOOKUP(INDIRECT(ADDRESS(2,COLUMN())),OFFSET($BN$2,0,0,ROW()-1,60),ROW()-1,FALSE))</f>
        <v/>
      </c>
      <c r="AS12" t="str">
        <f ca="1">IF(AND(ISNUMBER($AS$521),$B$511=1),$AS$521,HLOOKUP(INDIRECT(ADDRESS(2,COLUMN())),OFFSET($BN$2,0,0,ROW()-1,60),ROW()-1,FALSE))</f>
        <v/>
      </c>
      <c r="AT12" t="str">
        <f ca="1">IF(AND(ISNUMBER($AT$521),$B$511=1),$AT$521,HLOOKUP(INDIRECT(ADDRESS(2,COLUMN())),OFFSET($BN$2,0,0,ROW()-1,60),ROW()-1,FALSE))</f>
        <v/>
      </c>
      <c r="AU12" t="str">
        <f ca="1">IF(AND(ISNUMBER($AU$521),$B$511=1),$AU$521,HLOOKUP(INDIRECT(ADDRESS(2,COLUMN())),OFFSET($BN$2,0,0,ROW()-1,60),ROW()-1,FALSE))</f>
        <v/>
      </c>
      <c r="AV12" t="str">
        <f ca="1">IF(AND(ISNUMBER($AV$521),$B$511=1),$AV$521,HLOOKUP(INDIRECT(ADDRESS(2,COLUMN())),OFFSET($BN$2,0,0,ROW()-1,60),ROW()-1,FALSE))</f>
        <v/>
      </c>
      <c r="AW12" t="str">
        <f ca="1">IF(AND(ISNUMBER($AW$521),$B$511=1),$AW$521,HLOOKUP(INDIRECT(ADDRESS(2,COLUMN())),OFFSET($BN$2,0,0,ROW()-1,60),ROW()-1,FALSE))</f>
        <v/>
      </c>
      <c r="AX12" t="str">
        <f ca="1">IF(AND(ISNUMBER($AX$521),$B$511=1),$AX$521,HLOOKUP(INDIRECT(ADDRESS(2,COLUMN())),OFFSET($BN$2,0,0,ROW()-1,60),ROW()-1,FALSE))</f>
        <v/>
      </c>
      <c r="AY12" t="str">
        <f ca="1">IF(AND(ISNUMBER($AY$521),$B$511=1),$AY$521,HLOOKUP(INDIRECT(ADDRESS(2,COLUMN())),OFFSET($BN$2,0,0,ROW()-1,60),ROW()-1,FALSE))</f>
        <v/>
      </c>
      <c r="AZ12" t="str">
        <f ca="1">IF(AND(ISNUMBER($AZ$521),$B$511=1),$AZ$521,HLOOKUP(INDIRECT(ADDRESS(2,COLUMN())),OFFSET($BN$2,0,0,ROW()-1,60),ROW()-1,FALSE))</f>
        <v/>
      </c>
      <c r="BA12" t="str">
        <f ca="1">IF(AND(ISNUMBER($BA$521),$B$511=1),$BA$521,HLOOKUP(INDIRECT(ADDRESS(2,COLUMN())),OFFSET($BN$2,0,0,ROW()-1,60),ROW()-1,FALSE))</f>
        <v/>
      </c>
      <c r="BB12" t="str">
        <f ca="1">IF(AND(ISNUMBER($BB$521),$B$511=1),$BB$521,HLOOKUP(INDIRECT(ADDRESS(2,COLUMN())),OFFSET($BN$2,0,0,ROW()-1,60),ROW()-1,FALSE))</f>
        <v/>
      </c>
      <c r="BC12" t="str">
        <f ca="1">IF(AND(ISNUMBER($BC$521),$B$511=1),$BC$521,HLOOKUP(INDIRECT(ADDRESS(2,COLUMN())),OFFSET($BN$2,0,0,ROW()-1,60),ROW()-1,FALSE))</f>
        <v/>
      </c>
      <c r="BD12" t="str">
        <f ca="1">IF(AND(ISNUMBER($BD$521),$B$511=1),$BD$521,HLOOKUP(INDIRECT(ADDRESS(2,COLUMN())),OFFSET($BN$2,0,0,ROW()-1,60),ROW()-1,FALSE))</f>
        <v/>
      </c>
      <c r="BE12" t="str">
        <f ca="1">IF(AND(ISNUMBER($BE$521),$B$511=1),$BE$521,HLOOKUP(INDIRECT(ADDRESS(2,COLUMN())),OFFSET($BN$2,0,0,ROW()-1,60),ROW()-1,FALSE))</f>
        <v/>
      </c>
      <c r="BF12" t="str">
        <f ca="1">IF(AND(ISNUMBER($BF$521),$B$511=1),$BF$521,HLOOKUP(INDIRECT(ADDRESS(2,COLUMN())),OFFSET($BN$2,0,0,ROW()-1,60),ROW()-1,FALSE))</f>
        <v/>
      </c>
      <c r="BG12" t="str">
        <f ca="1">IF(AND(ISNUMBER($BG$521),$B$511=1),$BG$521,HLOOKUP(INDIRECT(ADDRESS(2,COLUMN())),OFFSET($BN$2,0,0,ROW()-1,60),ROW()-1,FALSE))</f>
        <v/>
      </c>
      <c r="BH12" t="str">
        <f ca="1">IF(AND(ISNUMBER($BH$521),$B$511=1),$BH$521,HLOOKUP(INDIRECT(ADDRESS(2,COLUMN())),OFFSET($BN$2,0,0,ROW()-1,60),ROW()-1,FALSE))</f>
        <v/>
      </c>
      <c r="BI12" t="str">
        <f ca="1">IF(AND(ISNUMBER($BI$521),$B$511=1),$BI$521,HLOOKUP(INDIRECT(ADDRESS(2,COLUMN())),OFFSET($BN$2,0,0,ROW()-1,60),ROW()-1,FALSE))</f>
        <v/>
      </c>
      <c r="BJ12" t="str">
        <f ca="1">IF(AND(ISNUMBER($BJ$521),$B$511=1),$BJ$521,HLOOKUP(INDIRECT(ADDRESS(2,COLUMN())),OFFSET($BN$2,0,0,ROW()-1,60),ROW()-1,FALSE))</f>
        <v/>
      </c>
      <c r="BK12" t="str">
        <f ca="1">IF(AND(ISNUMBER($BK$521),$B$511=1),$BK$521,HLOOKUP(INDIRECT(ADDRESS(2,COLUMN())),OFFSET($BN$2,0,0,ROW()-1,60),ROW()-1,FALSE))</f>
        <v/>
      </c>
      <c r="BL12" t="str">
        <f ca="1">IF(AND(ISNUMBER($BL$521),$B$511=1),$BL$521,HLOOKUP(INDIRECT(ADDRESS(2,COLUMN())),OFFSET($BN$2,0,0,ROW()-1,60),ROW()-1,FALSE))</f>
        <v/>
      </c>
      <c r="BM12" t="str">
        <f ca="1">IF(AND(ISNUMBER($BM$521),$B$511=1),$BM$521,HLOOKUP(INDIRECT(ADDRESS(2,COLUMN())),OFFSET($BN$2,0,0,ROW()-1,60),ROW()-1,FALSE))</f>
        <v/>
      </c>
      <c r="BN12" t="str">
        <f>""</f>
        <v/>
      </c>
      <c r="BO12" t="str">
        <f>""</f>
        <v/>
      </c>
      <c r="BP12" t="str">
        <f>""</f>
        <v/>
      </c>
      <c r="BQ12" t="str">
        <f>""</f>
        <v/>
      </c>
      <c r="BR12" t="str">
        <f>""</f>
        <v/>
      </c>
      <c r="BS12" t="str">
        <f>""</f>
        <v/>
      </c>
      <c r="BT12" t="str">
        <f>""</f>
        <v/>
      </c>
      <c r="BU12" t="str">
        <f>""</f>
        <v/>
      </c>
      <c r="BV12" t="str">
        <f>""</f>
        <v/>
      </c>
      <c r="BW12" t="str">
        <f>""</f>
        <v/>
      </c>
      <c r="BX12" t="str">
        <f>""</f>
        <v/>
      </c>
      <c r="BY12" t="str">
        <f>""</f>
        <v/>
      </c>
      <c r="BZ12" t="str">
        <f>""</f>
        <v/>
      </c>
      <c r="CA12" t="str">
        <f>""</f>
        <v/>
      </c>
      <c r="CB12" t="str">
        <f>""</f>
        <v/>
      </c>
      <c r="CC12" t="str">
        <f>""</f>
        <v/>
      </c>
      <c r="CD12" t="str">
        <f>""</f>
        <v/>
      </c>
      <c r="CE12" t="str">
        <f>""</f>
        <v/>
      </c>
      <c r="CF12" t="str">
        <f>""</f>
        <v/>
      </c>
      <c r="CG12" t="str">
        <f>""</f>
        <v/>
      </c>
      <c r="CH12" t="str">
        <f>""</f>
        <v/>
      </c>
      <c r="CI12" t="str">
        <f>""</f>
        <v/>
      </c>
      <c r="CJ12" t="str">
        <f>""</f>
        <v/>
      </c>
      <c r="CK12" t="str">
        <f>""</f>
        <v/>
      </c>
      <c r="CL12" t="str">
        <f>""</f>
        <v/>
      </c>
      <c r="CM12" t="str">
        <f>""</f>
        <v/>
      </c>
      <c r="CN12" t="str">
        <f>""</f>
        <v/>
      </c>
      <c r="CO12" t="str">
        <f>""</f>
        <v/>
      </c>
      <c r="CP12" t="str">
        <f>""</f>
        <v/>
      </c>
      <c r="CQ12" t="str">
        <f>""</f>
        <v/>
      </c>
      <c r="CR12" t="str">
        <f>""</f>
        <v/>
      </c>
      <c r="CS12" t="str">
        <f>""</f>
        <v/>
      </c>
      <c r="CT12" t="str">
        <f>""</f>
        <v/>
      </c>
      <c r="CU12" t="str">
        <f>""</f>
        <v/>
      </c>
      <c r="CV12" t="str">
        <f>""</f>
        <v/>
      </c>
      <c r="CW12" t="str">
        <f>""</f>
        <v/>
      </c>
      <c r="CX12" t="str">
        <f>""</f>
        <v/>
      </c>
      <c r="CY12" t="str">
        <f>""</f>
        <v/>
      </c>
      <c r="CZ12" t="str">
        <f>""</f>
        <v/>
      </c>
      <c r="DA12" t="str">
        <f>""</f>
        <v/>
      </c>
      <c r="DB12" t="str">
        <f>""</f>
        <v/>
      </c>
      <c r="DC12" t="str">
        <f>""</f>
        <v/>
      </c>
      <c r="DD12" t="str">
        <f>""</f>
        <v/>
      </c>
      <c r="DE12" t="str">
        <f>""</f>
        <v/>
      </c>
      <c r="DF12" t="str">
        <f>""</f>
        <v/>
      </c>
      <c r="DG12" t="str">
        <f>""</f>
        <v/>
      </c>
      <c r="DH12" t="str">
        <f>""</f>
        <v/>
      </c>
      <c r="DI12" t="str">
        <f>""</f>
        <v/>
      </c>
      <c r="DJ12" t="str">
        <f>""</f>
        <v/>
      </c>
      <c r="DK12" t="str">
        <f>""</f>
        <v/>
      </c>
      <c r="DL12" t="str">
        <f>""</f>
        <v/>
      </c>
      <c r="DM12" t="str">
        <f>""</f>
        <v/>
      </c>
      <c r="DN12" t="str">
        <f>""</f>
        <v/>
      </c>
      <c r="DO12" t="str">
        <f>""</f>
        <v/>
      </c>
      <c r="DP12" t="str">
        <f>""</f>
        <v/>
      </c>
      <c r="DQ12" t="str">
        <f>""</f>
        <v/>
      </c>
      <c r="DR12" t="str">
        <f>""</f>
        <v/>
      </c>
      <c r="DS12" t="str">
        <f>""</f>
        <v/>
      </c>
      <c r="DT12" t="str">
        <f>""</f>
        <v/>
      </c>
      <c r="DU12" t="str">
        <f>""</f>
        <v/>
      </c>
    </row>
    <row r="13" spans="1:125" x14ac:dyDescent="0.25">
      <c r="A13" t="str">
        <f>"    DRB-Hicom Bhd"</f>
        <v xml:space="preserve">    DRB-Hicom Bhd</v>
      </c>
      <c r="B13" t="str">
        <f>"DRB MK Equity"</f>
        <v>DRB MK Equity</v>
      </c>
      <c r="C13" t="str">
        <f t="shared" si="0"/>
        <v>RR844</v>
      </c>
      <c r="D13" t="str">
        <f t="shared" si="1"/>
        <v>T12M_DIL_EPS_CONT_OPS</v>
      </c>
      <c r="E13" t="str">
        <f t="shared" si="2"/>
        <v>Dynamic</v>
      </c>
      <c r="F13" t="str">
        <f ca="1">IF(AND(ISNUMBER($F$522),$B$511=1),$F$522,HLOOKUP(INDIRECT(ADDRESS(2,COLUMN())),OFFSET($BN$2,0,0,ROW()-1,60),ROW()-1,FALSE))</f>
        <v/>
      </c>
      <c r="G13" t="str">
        <f ca="1">IF(AND(ISNUMBER($G$522),$B$511=1),$G$522,HLOOKUP(INDIRECT(ADDRESS(2,COLUMN())),OFFSET($BN$2,0,0,ROW()-1,60),ROW()-1,FALSE))</f>
        <v/>
      </c>
      <c r="H13">
        <f ca="1">IF(AND(ISNUMBER($H$522),$B$511=1),$H$522,HLOOKUP(INDIRECT(ADDRESS(2,COLUMN())),OFFSET($BN$2,0,0,ROW()-1,60),ROW()-1,FALSE))</f>
        <v>-9.5356480000000007E-3</v>
      </c>
      <c r="I13">
        <f ca="1">IF(AND(ISNUMBER($I$522),$B$511=1),$I$522,HLOOKUP(INDIRECT(ADDRESS(2,COLUMN())),OFFSET($BN$2,0,0,ROW()-1,60),ROW()-1,FALSE))</f>
        <v>8.5584313999999995E-2</v>
      </c>
      <c r="J13">
        <f ca="1">IF(AND(ISNUMBER($J$522),$B$511=1),$J$522,HLOOKUP(INDIRECT(ADDRESS(2,COLUMN())),OFFSET($BN$2,0,0,ROW()-1,60),ROW()-1,FALSE))</f>
        <v>7.1558404000000006E-2</v>
      </c>
      <c r="K13">
        <f ca="1">IF(AND(ISNUMBER($K$522),$B$511=1),$K$522,HLOOKUP(INDIRECT(ADDRESS(2,COLUMN())),OFFSET($BN$2,0,0,ROW()-1,60),ROW()-1,FALSE))</f>
        <v>3.4957820000000001E-2</v>
      </c>
      <c r="L13">
        <f ca="1">IF(AND(ISNUMBER($L$522),$B$511=1),$L$522,HLOOKUP(INDIRECT(ADDRESS(2,COLUMN())),OFFSET($BN$2,0,0,ROW()-1,60),ROW()-1,FALSE))</f>
        <v>4.2641289999999998E-2</v>
      </c>
      <c r="M13">
        <f ca="1">IF(AND(ISNUMBER($M$522),$B$511=1),$M$522,HLOOKUP(INDIRECT(ADDRESS(2,COLUMN())),OFFSET($BN$2,0,0,ROW()-1,60),ROW()-1,FALSE))</f>
        <v>-6.9831651999999994E-2</v>
      </c>
      <c r="N13">
        <f ca="1">IF(AND(ISNUMBER($N$522),$B$511=1),$N$522,HLOOKUP(INDIRECT(ADDRESS(2,COLUMN())),OFFSET($BN$2,0,0,ROW()-1,60),ROW()-1,FALSE))</f>
        <v>-7.1268353000000007E-2</v>
      </c>
      <c r="O13">
        <f ca="1">IF(AND(ISNUMBER($O$522),$B$511=1),$O$522,HLOOKUP(INDIRECT(ADDRESS(2,COLUMN())),OFFSET($BN$2,0,0,ROW()-1,60),ROW()-1,FALSE))</f>
        <v>-0.13151247599999999</v>
      </c>
      <c r="P13">
        <f ca="1">IF(AND(ISNUMBER($P$522),$B$511=1),$P$522,HLOOKUP(INDIRECT(ADDRESS(2,COLUMN())),OFFSET($BN$2,0,0,ROW()-1,60),ROW()-1,FALSE))</f>
        <v>-0.158610947</v>
      </c>
      <c r="Q13">
        <f ca="1">IF(AND(ISNUMBER($Q$522),$B$511=1),$Q$522,HLOOKUP(INDIRECT(ADDRESS(2,COLUMN())),OFFSET($BN$2,0,0,ROW()-1,60),ROW()-1,FALSE))</f>
        <v>-0.13844203099999999</v>
      </c>
      <c r="R13">
        <f ca="1">IF(AND(ISNUMBER($R$522),$B$511=1),$R$522,HLOOKUP(INDIRECT(ADDRESS(2,COLUMN())),OFFSET($BN$2,0,0,ROW()-1,60),ROW()-1,FALSE))</f>
        <v>-0.125924912</v>
      </c>
      <c r="S13">
        <f ca="1">IF(AND(ISNUMBER($S$522),$B$511=1),$S$522,HLOOKUP(INDIRECT(ADDRESS(2,COLUMN())),OFFSET($BN$2,0,0,ROW()-1,60),ROW()-1,FALSE))</f>
        <v>-2.3233549999999999E-2</v>
      </c>
      <c r="T13">
        <f ca="1">IF(AND(ISNUMBER($T$522),$B$511=1),$T$522,HLOOKUP(INDIRECT(ADDRESS(2,COLUMN())),OFFSET($BN$2,0,0,ROW()-1,60),ROW()-1,FALSE))</f>
        <v>-1.0003900000000001E-3</v>
      </c>
      <c r="U13">
        <f ca="1">IF(AND(ISNUMBER($U$522),$B$511=1),$U$522,HLOOKUP(INDIRECT(ADDRESS(2,COLUMN())),OFFSET($BN$2,0,0,ROW()-1,60),ROW()-1,FALSE))</f>
        <v>1.6588361999999999E-2</v>
      </c>
      <c r="V13">
        <f ca="1">IF(AND(ISNUMBER($V$522),$B$511=1),$V$522,HLOOKUP(INDIRECT(ADDRESS(2,COLUMN())),OFFSET($BN$2,0,0,ROW()-1,60),ROW()-1,FALSE))</f>
        <v>3.6921735999999997E-2</v>
      </c>
      <c r="W13">
        <f ca="1">IF(AND(ISNUMBER($W$522),$B$511=1),$W$522,HLOOKUP(INDIRECT(ADDRESS(2,COLUMN())),OFFSET($BN$2,0,0,ROW()-1,60),ROW()-1,FALSE))</f>
        <v>5.5348873E-2</v>
      </c>
      <c r="X13">
        <f ca="1">IF(AND(ISNUMBER($X$522),$B$511=1),$X$522,HLOOKUP(INDIRECT(ADDRESS(2,COLUMN())),OFFSET($BN$2,0,0,ROW()-1,60),ROW()-1,FALSE))</f>
        <v>7.2815599999999994E-2</v>
      </c>
      <c r="Y13">
        <f ca="1">IF(AND(ISNUMBER($Y$522),$B$511=1),$Y$522,HLOOKUP(INDIRECT(ADDRESS(2,COLUMN())),OFFSET($BN$2,0,0,ROW()-1,60),ROW()-1,FALSE))</f>
        <v>8.5929681999999993E-2</v>
      </c>
      <c r="Z13">
        <f ca="1">IF(AND(ISNUMBER($Z$522),$B$511=1),$Z$522,HLOOKUP(INDIRECT(ADDRESS(2,COLUMN())),OFFSET($BN$2,0,0,ROW()-1,60),ROW()-1,FALSE))</f>
        <v>7.5798736000000005E-2</v>
      </c>
      <c r="AA13">
        <f ca="1">IF(AND(ISNUMBER($AA$522),$B$511=1),$AA$522,HLOOKUP(INDIRECT(ADDRESS(2,COLUMN())),OFFSET($BN$2,0,0,ROW()-1,60),ROW()-1,FALSE))</f>
        <v>6.0196227999999997E-2</v>
      </c>
      <c r="AB13">
        <f ca="1">IF(AND(ISNUMBER($AB$522),$B$511=1),$AB$522,HLOOKUP(INDIRECT(ADDRESS(2,COLUMN())),OFFSET($BN$2,0,0,ROW()-1,60),ROW()-1,FALSE))</f>
        <v>5.2954512000000002E-2</v>
      </c>
      <c r="AC13">
        <f ca="1">IF(AND(ISNUMBER($AC$522),$B$511=1),$AC$522,HLOOKUP(INDIRECT(ADDRESS(2,COLUMN())),OFFSET($BN$2,0,0,ROW()-1,60),ROW()-1,FALSE))</f>
        <v>4.1014636E-2</v>
      </c>
      <c r="AD13">
        <f ca="1">IF(AND(ISNUMBER($AD$522),$B$511=1),$AD$522,HLOOKUP(INDIRECT(ADDRESS(2,COLUMN())),OFFSET($BN$2,0,0,ROW()-1,60),ROW()-1,FALSE))</f>
        <v>3.8833887999999997E-2</v>
      </c>
      <c r="AE13">
        <f ca="1">IF(AND(ISNUMBER($AE$522),$B$511=1),$AE$522,HLOOKUP(INDIRECT(ADDRESS(2,COLUMN())),OFFSET($BN$2,0,0,ROW()-1,60),ROW()-1,FALSE))</f>
        <v>8.4960985000000003E-2</v>
      </c>
      <c r="AF13" t="str">
        <f ca="1">IF(AND(ISNUMBER($AF$522),$B$511=1),$AF$522,HLOOKUP(INDIRECT(ADDRESS(2,COLUMN())),OFFSET($BN$2,0,0,ROW()-1,60),ROW()-1,FALSE))</f>
        <v/>
      </c>
      <c r="AG13" t="str">
        <f ca="1">IF(AND(ISNUMBER($AG$522),$B$511=1),$AG$522,HLOOKUP(INDIRECT(ADDRESS(2,COLUMN())),OFFSET($BN$2,0,0,ROW()-1,60),ROW()-1,FALSE))</f>
        <v/>
      </c>
      <c r="AH13" t="str">
        <f ca="1">IF(AND(ISNUMBER($AH$522),$B$511=1),$AH$522,HLOOKUP(INDIRECT(ADDRESS(2,COLUMN())),OFFSET($BN$2,0,0,ROW()-1,60),ROW()-1,FALSE))</f>
        <v/>
      </c>
      <c r="AI13" t="str">
        <f ca="1">IF(AND(ISNUMBER($AI$522),$B$511=1),$AI$522,HLOOKUP(INDIRECT(ADDRESS(2,COLUMN())),OFFSET($BN$2,0,0,ROW()-1,60),ROW()-1,FALSE))</f>
        <v/>
      </c>
      <c r="AJ13" t="str">
        <f ca="1">IF(AND(ISNUMBER($AJ$522),$B$511=1),$AJ$522,HLOOKUP(INDIRECT(ADDRESS(2,COLUMN())),OFFSET($BN$2,0,0,ROW()-1,60),ROW()-1,FALSE))</f>
        <v/>
      </c>
      <c r="AK13" t="str">
        <f ca="1">IF(AND(ISNUMBER($AK$522),$B$511=1),$AK$522,HLOOKUP(INDIRECT(ADDRESS(2,COLUMN())),OFFSET($BN$2,0,0,ROW()-1,60),ROW()-1,FALSE))</f>
        <v/>
      </c>
      <c r="AL13" t="str">
        <f ca="1">IF(AND(ISNUMBER($AL$522),$B$511=1),$AL$522,HLOOKUP(INDIRECT(ADDRESS(2,COLUMN())),OFFSET($BN$2,0,0,ROW()-1,60),ROW()-1,FALSE))</f>
        <v/>
      </c>
      <c r="AM13" t="str">
        <f ca="1">IF(AND(ISNUMBER($AM$522),$B$511=1),$AM$522,HLOOKUP(INDIRECT(ADDRESS(2,COLUMN())),OFFSET($BN$2,0,0,ROW()-1,60),ROW()-1,FALSE))</f>
        <v/>
      </c>
      <c r="AN13" t="str">
        <f ca="1">IF(AND(ISNUMBER($AN$522),$B$511=1),$AN$522,HLOOKUP(INDIRECT(ADDRESS(2,COLUMN())),OFFSET($BN$2,0,0,ROW()-1,60),ROW()-1,FALSE))</f>
        <v/>
      </c>
      <c r="AO13" t="str">
        <f ca="1">IF(AND(ISNUMBER($AO$522),$B$511=1),$AO$522,HLOOKUP(INDIRECT(ADDRESS(2,COLUMN())),OFFSET($BN$2,0,0,ROW()-1,60),ROW()-1,FALSE))</f>
        <v/>
      </c>
      <c r="AP13" t="str">
        <f ca="1">IF(AND(ISNUMBER($AP$522),$B$511=1),$AP$522,HLOOKUP(INDIRECT(ADDRESS(2,COLUMN())),OFFSET($BN$2,0,0,ROW()-1,60),ROW()-1,FALSE))</f>
        <v/>
      </c>
      <c r="AQ13" t="str">
        <f ca="1">IF(AND(ISNUMBER($AQ$522),$B$511=1),$AQ$522,HLOOKUP(INDIRECT(ADDRESS(2,COLUMN())),OFFSET($BN$2,0,0,ROW()-1,60),ROW()-1,FALSE))</f>
        <v/>
      </c>
      <c r="AR13" t="str">
        <f ca="1">IF(AND(ISNUMBER($AR$522),$B$511=1),$AR$522,HLOOKUP(INDIRECT(ADDRESS(2,COLUMN())),OFFSET($BN$2,0,0,ROW()-1,60),ROW()-1,FALSE))</f>
        <v/>
      </c>
      <c r="AS13" t="str">
        <f ca="1">IF(AND(ISNUMBER($AS$522),$B$511=1),$AS$522,HLOOKUP(INDIRECT(ADDRESS(2,COLUMN())),OFFSET($BN$2,0,0,ROW()-1,60),ROW()-1,FALSE))</f>
        <v/>
      </c>
      <c r="AT13" t="str">
        <f ca="1">IF(AND(ISNUMBER($AT$522),$B$511=1),$AT$522,HLOOKUP(INDIRECT(ADDRESS(2,COLUMN())),OFFSET($BN$2,0,0,ROW()-1,60),ROW()-1,FALSE))</f>
        <v/>
      </c>
      <c r="AU13" t="str">
        <f ca="1">IF(AND(ISNUMBER($AU$522),$B$511=1),$AU$522,HLOOKUP(INDIRECT(ADDRESS(2,COLUMN())),OFFSET($BN$2,0,0,ROW()-1,60),ROW()-1,FALSE))</f>
        <v/>
      </c>
      <c r="AV13" t="str">
        <f ca="1">IF(AND(ISNUMBER($AV$522),$B$511=1),$AV$522,HLOOKUP(INDIRECT(ADDRESS(2,COLUMN())),OFFSET($BN$2,0,0,ROW()-1,60),ROW()-1,FALSE))</f>
        <v/>
      </c>
      <c r="AW13" t="str">
        <f ca="1">IF(AND(ISNUMBER($AW$522),$B$511=1),$AW$522,HLOOKUP(INDIRECT(ADDRESS(2,COLUMN())),OFFSET($BN$2,0,0,ROW()-1,60),ROW()-1,FALSE))</f>
        <v/>
      </c>
      <c r="AX13">
        <f ca="1">IF(AND(ISNUMBER($AX$522),$B$511=1),$AX$522,HLOOKUP(INDIRECT(ADDRESS(2,COLUMN())),OFFSET($BN$2,0,0,ROW()-1,60),ROW()-1,FALSE))</f>
        <v>8.6033753000000004E-2</v>
      </c>
      <c r="AY13">
        <f ca="1">IF(AND(ISNUMBER($AY$522),$B$511=1),$AY$522,HLOOKUP(INDIRECT(ADDRESS(2,COLUMN())),OFFSET($BN$2,0,0,ROW()-1,60),ROW()-1,FALSE))</f>
        <v>7.8166605E-2</v>
      </c>
      <c r="AZ13">
        <f ca="1">IF(AND(ISNUMBER($AZ$522),$B$511=1),$AZ$522,HLOOKUP(INDIRECT(ADDRESS(2,COLUMN())),OFFSET($BN$2,0,0,ROW()-1,60),ROW()-1,FALSE))</f>
        <v>4.1976008000000002E-2</v>
      </c>
      <c r="BA13">
        <f ca="1">IF(AND(ISNUMBER($BA$522),$B$511=1),$BA$522,HLOOKUP(INDIRECT(ADDRESS(2,COLUMN())),OFFSET($BN$2,0,0,ROW()-1,60),ROW()-1,FALSE))</f>
        <v>3.5185561999999997E-2</v>
      </c>
      <c r="BB13">
        <f ca="1">IF(AND(ISNUMBER($BB$522),$B$511=1),$BB$522,HLOOKUP(INDIRECT(ADDRESS(2,COLUMN())),OFFSET($BN$2,0,0,ROW()-1,60),ROW()-1,FALSE))</f>
        <v>2.6242799000000001E-2</v>
      </c>
      <c r="BC13">
        <f ca="1">IF(AND(ISNUMBER($BC$522),$B$511=1),$BC$522,HLOOKUP(INDIRECT(ADDRESS(2,COLUMN())),OFFSET($BN$2,0,0,ROW()-1,60),ROW()-1,FALSE))</f>
        <v>-1.5439385999999999E-2</v>
      </c>
      <c r="BD13">
        <f ca="1">IF(AND(ISNUMBER($BD$522),$B$511=1),$BD$522,HLOOKUP(INDIRECT(ADDRESS(2,COLUMN())),OFFSET($BN$2,0,0,ROW()-1,60),ROW()-1,FALSE))</f>
        <v>-7.6817227000000002E-2</v>
      </c>
      <c r="BE13">
        <f ca="1">IF(AND(ISNUMBER($BE$522),$B$511=1),$BE$522,HLOOKUP(INDIRECT(ADDRESS(2,COLUMN())),OFFSET($BN$2,0,0,ROW()-1,60),ROW()-1,FALSE))</f>
        <v>-7.3320140000000006E-2</v>
      </c>
      <c r="BF13">
        <f ca="1">IF(AND(ISNUMBER($BF$522),$B$511=1),$BF$522,HLOOKUP(INDIRECT(ADDRESS(2,COLUMN())),OFFSET($BN$2,0,0,ROW()-1,60),ROW()-1,FALSE))</f>
        <v>-6.0025740000000001E-2</v>
      </c>
      <c r="BG13" t="str">
        <f ca="1">IF(AND(ISNUMBER($BG$522),$B$511=1),$BG$522,HLOOKUP(INDIRECT(ADDRESS(2,COLUMN())),OFFSET($BN$2,0,0,ROW()-1,60),ROW()-1,FALSE))</f>
        <v/>
      </c>
      <c r="BH13" t="str">
        <f ca="1">IF(AND(ISNUMBER($BH$522),$B$511=1),$BH$522,HLOOKUP(INDIRECT(ADDRESS(2,COLUMN())),OFFSET($BN$2,0,0,ROW()-1,60),ROW()-1,FALSE))</f>
        <v/>
      </c>
      <c r="BI13" t="str">
        <f ca="1">IF(AND(ISNUMBER($BI$522),$B$511=1),$BI$522,HLOOKUP(INDIRECT(ADDRESS(2,COLUMN())),OFFSET($BN$2,0,0,ROW()-1,60),ROW()-1,FALSE))</f>
        <v/>
      </c>
      <c r="BJ13" t="str">
        <f ca="1">IF(AND(ISNUMBER($BJ$522),$B$511=1),$BJ$522,HLOOKUP(INDIRECT(ADDRESS(2,COLUMN())),OFFSET($BN$2,0,0,ROW()-1,60),ROW()-1,FALSE))</f>
        <v/>
      </c>
      <c r="BK13" t="str">
        <f ca="1">IF(AND(ISNUMBER($BK$522),$B$511=1),$BK$522,HLOOKUP(INDIRECT(ADDRESS(2,COLUMN())),OFFSET($BN$2,0,0,ROW()-1,60),ROW()-1,FALSE))</f>
        <v/>
      </c>
      <c r="BL13" t="str">
        <f ca="1">IF(AND(ISNUMBER($BL$522),$B$511=1),$BL$522,HLOOKUP(INDIRECT(ADDRESS(2,COLUMN())),OFFSET($BN$2,0,0,ROW()-1,60),ROW()-1,FALSE))</f>
        <v/>
      </c>
      <c r="BM13" t="str">
        <f ca="1">IF(AND(ISNUMBER($BM$522),$B$511=1),$BM$522,HLOOKUP(INDIRECT(ADDRESS(2,COLUMN())),OFFSET($BN$2,0,0,ROW()-1,60),ROW()-1,FALSE))</f>
        <v/>
      </c>
      <c r="BN13" t="str">
        <f>""</f>
        <v/>
      </c>
      <c r="BO13" t="str">
        <f>""</f>
        <v/>
      </c>
      <c r="BP13">
        <f>-0.009535648</f>
        <v>-9.5356480000000007E-3</v>
      </c>
      <c r="BQ13">
        <f>0.085584314</f>
        <v>8.5584313999999995E-2</v>
      </c>
      <c r="BR13">
        <f>0.071558404</f>
        <v>7.1558404000000006E-2</v>
      </c>
      <c r="BS13">
        <f>0.03495782</f>
        <v>3.4957820000000001E-2</v>
      </c>
      <c r="BT13">
        <f>0.04264129</f>
        <v>4.2641289999999998E-2</v>
      </c>
      <c r="BU13">
        <f>-0.069831652</f>
        <v>-6.9831651999999994E-2</v>
      </c>
      <c r="BV13">
        <f>-0.071268353</f>
        <v>-7.1268353000000007E-2</v>
      </c>
      <c r="BW13">
        <f>-0.131512476</f>
        <v>-0.13151247599999999</v>
      </c>
      <c r="BX13">
        <f>-0.158610947</f>
        <v>-0.158610947</v>
      </c>
      <c r="BY13">
        <f>-0.138442031</f>
        <v>-0.13844203099999999</v>
      </c>
      <c r="BZ13">
        <f>-0.125924912</f>
        <v>-0.125924912</v>
      </c>
      <c r="CA13">
        <f>-0.02323355</f>
        <v>-2.3233549999999999E-2</v>
      </c>
      <c r="CB13">
        <f>-0.00100039</f>
        <v>-1.0003900000000001E-3</v>
      </c>
      <c r="CC13">
        <f>0.016588362</f>
        <v>1.6588361999999999E-2</v>
      </c>
      <c r="CD13">
        <f>0.036921736</f>
        <v>3.6921735999999997E-2</v>
      </c>
      <c r="CE13">
        <f>0.055348873</f>
        <v>5.5348873E-2</v>
      </c>
      <c r="CF13">
        <f>0.0728156</f>
        <v>7.2815599999999994E-2</v>
      </c>
      <c r="CG13">
        <f>0.085929682</f>
        <v>8.5929681999999993E-2</v>
      </c>
      <c r="CH13">
        <f>0.075798736</f>
        <v>7.5798736000000005E-2</v>
      </c>
      <c r="CI13">
        <f>0.060196228</f>
        <v>6.0196227999999997E-2</v>
      </c>
      <c r="CJ13">
        <f>0.052954512</f>
        <v>5.2954512000000002E-2</v>
      </c>
      <c r="CK13">
        <f>0.041014636</f>
        <v>4.1014636E-2</v>
      </c>
      <c r="CL13">
        <f>0.038833888</f>
        <v>3.8833887999999997E-2</v>
      </c>
      <c r="CM13">
        <f>0.084960985</f>
        <v>8.4960985000000003E-2</v>
      </c>
      <c r="CN13" t="str">
        <f>""</f>
        <v/>
      </c>
      <c r="CO13" t="str">
        <f>""</f>
        <v/>
      </c>
      <c r="CP13" t="str">
        <f>""</f>
        <v/>
      </c>
      <c r="CQ13" t="str">
        <f>""</f>
        <v/>
      </c>
      <c r="CR13" t="str">
        <f>""</f>
        <v/>
      </c>
      <c r="CS13" t="str">
        <f>""</f>
        <v/>
      </c>
      <c r="CT13" t="str">
        <f>""</f>
        <v/>
      </c>
      <c r="CU13" t="str">
        <f>""</f>
        <v/>
      </c>
      <c r="CV13" t="str">
        <f>""</f>
        <v/>
      </c>
      <c r="CW13" t="str">
        <f>""</f>
        <v/>
      </c>
      <c r="CX13" t="str">
        <f>""</f>
        <v/>
      </c>
      <c r="CY13" t="str">
        <f>""</f>
        <v/>
      </c>
      <c r="CZ13" t="str">
        <f>""</f>
        <v/>
      </c>
      <c r="DA13" t="str">
        <f>""</f>
        <v/>
      </c>
      <c r="DB13" t="str">
        <f>""</f>
        <v/>
      </c>
      <c r="DC13" t="str">
        <f>""</f>
        <v/>
      </c>
      <c r="DD13" t="str">
        <f>""</f>
        <v/>
      </c>
      <c r="DE13" t="str">
        <f>""</f>
        <v/>
      </c>
      <c r="DF13">
        <f>0.086033753</f>
        <v>8.6033753000000004E-2</v>
      </c>
      <c r="DG13">
        <f>0.078166605</f>
        <v>7.8166605E-2</v>
      </c>
      <c r="DH13">
        <f>0.041976008</f>
        <v>4.1976008000000002E-2</v>
      </c>
      <c r="DI13">
        <f>0.035185562</f>
        <v>3.5185561999999997E-2</v>
      </c>
      <c r="DJ13">
        <f>0.026242799</f>
        <v>2.6242799000000001E-2</v>
      </c>
      <c r="DK13">
        <f>-0.015439386</f>
        <v>-1.5439385999999999E-2</v>
      </c>
      <c r="DL13">
        <f>-0.076817227</f>
        <v>-7.6817227000000002E-2</v>
      </c>
      <c r="DM13">
        <f>-0.07332014</f>
        <v>-7.3320140000000006E-2</v>
      </c>
      <c r="DN13">
        <f>-0.06002574</f>
        <v>-6.0025740000000001E-2</v>
      </c>
      <c r="DO13" t="str">
        <f>""</f>
        <v/>
      </c>
      <c r="DP13" t="str">
        <f>""</f>
        <v/>
      </c>
      <c r="DQ13" t="str">
        <f>""</f>
        <v/>
      </c>
      <c r="DR13" t="str">
        <f>""</f>
        <v/>
      </c>
      <c r="DS13" t="str">
        <f>""</f>
        <v/>
      </c>
      <c r="DT13" t="str">
        <f>""</f>
        <v/>
      </c>
      <c r="DU13" t="str">
        <f>""</f>
        <v/>
      </c>
    </row>
    <row r="14" spans="1:125" x14ac:dyDescent="0.25">
      <c r="A14" t="str">
        <f>"    FAW CAR Co Ltd"</f>
        <v xml:space="preserve">    FAW CAR Co Ltd</v>
      </c>
      <c r="B14" t="str">
        <f>"000800 CH Equity"</f>
        <v>000800 CH Equity</v>
      </c>
      <c r="C14" t="str">
        <f t="shared" si="0"/>
        <v>RR844</v>
      </c>
      <c r="D14" t="str">
        <f t="shared" si="1"/>
        <v>T12M_DIL_EPS_CONT_OPS</v>
      </c>
      <c r="E14" t="str">
        <f t="shared" si="2"/>
        <v>Dynamic</v>
      </c>
      <c r="F14" t="str">
        <f ca="1">IF(AND(ISNUMBER($F$523),$B$511=1),$F$523,HLOOKUP(INDIRECT(ADDRESS(2,COLUMN())),OFFSET($BN$2,0,0,ROW()-1,60),ROW()-1,FALSE))</f>
        <v/>
      </c>
      <c r="G14" t="str">
        <f ca="1">IF(AND(ISNUMBER($G$523),$B$511=1),$G$523,HLOOKUP(INDIRECT(ADDRESS(2,COLUMN())),OFFSET($BN$2,0,0,ROW()-1,60),ROW()-1,FALSE))</f>
        <v/>
      </c>
      <c r="H14">
        <f ca="1">IF(AND(ISNUMBER($H$523),$B$511=1),$H$523,HLOOKUP(INDIRECT(ADDRESS(2,COLUMN())),OFFSET($BN$2,0,0,ROW()-1,60),ROW()-1,FALSE))</f>
        <v>7.4423400000000004E-3</v>
      </c>
      <c r="I14">
        <f ca="1">IF(AND(ISNUMBER($I$523),$B$511=1),$I$523,HLOOKUP(INDIRECT(ADDRESS(2,COLUMN())),OFFSET($BN$2,0,0,ROW()-1,60),ROW()-1,FALSE))</f>
        <v>4.2830309999999996E-3</v>
      </c>
      <c r="J14">
        <f ca="1">IF(AND(ISNUMBER($J$523),$B$511=1),$J$523,HLOOKUP(INDIRECT(ADDRESS(2,COLUMN())),OFFSET($BN$2,0,0,ROW()-1,60),ROW()-1,FALSE))</f>
        <v>1.1676410999999999E-2</v>
      </c>
      <c r="K14">
        <f ca="1">IF(AND(ISNUMBER($K$523),$B$511=1),$K$523,HLOOKUP(INDIRECT(ADDRESS(2,COLUMN())),OFFSET($BN$2,0,0,ROW()-1,60),ROW()-1,FALSE))</f>
        <v>2.1464474000000001E-2</v>
      </c>
      <c r="L14">
        <f ca="1">IF(AND(ISNUMBER($L$523),$B$511=1),$L$523,HLOOKUP(INDIRECT(ADDRESS(2,COLUMN())),OFFSET($BN$2,0,0,ROW()-1,60),ROW()-1,FALSE))</f>
        <v>-5.5371370000000001E-3</v>
      </c>
      <c r="M14">
        <f ca="1">IF(AND(ISNUMBER($M$523),$B$511=1),$M$523,HLOOKUP(INDIRECT(ADDRESS(2,COLUMN())),OFFSET($BN$2,0,0,ROW()-1,60),ROW()-1,FALSE))</f>
        <v>2.566512E-3</v>
      </c>
      <c r="N14">
        <f ca="1">IF(AND(ISNUMBER($N$523),$B$511=1),$N$523,HLOOKUP(INDIRECT(ADDRESS(2,COLUMN())),OFFSET($BN$2,0,0,ROW()-1,60),ROW()-1,FALSE))</f>
        <v>-4.4194074999999999E-2</v>
      </c>
      <c r="O14">
        <f ca="1">IF(AND(ISNUMBER($O$523),$B$511=1),$O$523,HLOOKUP(INDIRECT(ADDRESS(2,COLUMN())),OFFSET($BN$2,0,0,ROW()-1,60),ROW()-1,FALSE))</f>
        <v>-9.8876602999999993E-2</v>
      </c>
      <c r="P14">
        <f ca="1">IF(AND(ISNUMBER($P$523),$B$511=1),$P$523,HLOOKUP(INDIRECT(ADDRESS(2,COLUMN())),OFFSET($BN$2,0,0,ROW()-1,60),ROW()-1,FALSE))</f>
        <v>-6.1867983000000001E-2</v>
      </c>
      <c r="Q14">
        <f ca="1">IF(AND(ISNUMBER($Q$523),$B$511=1),$Q$523,HLOOKUP(INDIRECT(ADDRESS(2,COLUMN())),OFFSET($BN$2,0,0,ROW()-1,60),ROW()-1,FALSE))</f>
        <v>-8.6865490000000004E-2</v>
      </c>
      <c r="R14">
        <f ca="1">IF(AND(ISNUMBER($R$523),$B$511=1),$R$523,HLOOKUP(INDIRECT(ADDRESS(2,COLUMN())),OFFSET($BN$2,0,0,ROW()-1,60),ROW()-1,FALSE))</f>
        <v>-4.6169242999999999E-2</v>
      </c>
      <c r="S14">
        <f ca="1">IF(AND(ISNUMBER($S$523),$B$511=1),$S$523,HLOOKUP(INDIRECT(ADDRESS(2,COLUMN())),OFFSET($BN$2,0,0,ROW()-1,60),ROW()-1,FALSE))</f>
        <v>8.0248709999999994E-3</v>
      </c>
      <c r="T14">
        <f ca="1">IF(AND(ISNUMBER($T$523),$B$511=1),$T$523,HLOOKUP(INDIRECT(ADDRESS(2,COLUMN())),OFFSET($BN$2,0,0,ROW()-1,60),ROW()-1,FALSE))</f>
        <v>4.829725E-3</v>
      </c>
      <c r="U14">
        <f ca="1">IF(AND(ISNUMBER($U$523),$B$511=1),$U$523,HLOOKUP(INDIRECT(ADDRESS(2,COLUMN())),OFFSET($BN$2,0,0,ROW()-1,60),ROW()-1,FALSE))</f>
        <v>1.3186517E-2</v>
      </c>
      <c r="V14">
        <f ca="1">IF(AND(ISNUMBER($V$523),$B$511=1),$V$523,HLOOKUP(INDIRECT(ADDRESS(2,COLUMN())),OFFSET($BN$2,0,0,ROW()-1,60),ROW()-1,FALSE))</f>
        <v>1.542202E-2</v>
      </c>
      <c r="W14">
        <f ca="1">IF(AND(ISNUMBER($W$523),$B$511=1),$W$523,HLOOKUP(INDIRECT(ADDRESS(2,COLUMN())),OFFSET($BN$2,0,0,ROW()-1,60),ROW()-1,FALSE))</f>
        <v>2.8913415000000001E-2</v>
      </c>
      <c r="X14">
        <f ca="1">IF(AND(ISNUMBER($X$523),$B$511=1),$X$523,HLOOKUP(INDIRECT(ADDRESS(2,COLUMN())),OFFSET($BN$2,0,0,ROW()-1,60),ROW()-1,FALSE))</f>
        <v>4.8551795000000002E-2</v>
      </c>
      <c r="Y14">
        <f ca="1">IF(AND(ISNUMBER($Y$523),$B$511=1),$Y$523,HLOOKUP(INDIRECT(ADDRESS(2,COLUMN())),OFFSET($BN$2,0,0,ROW()-1,60),ROW()-1,FALSE))</f>
        <v>6.9724071999999998E-2</v>
      </c>
      <c r="Z14">
        <f ca="1">IF(AND(ISNUMBER($Z$523),$B$511=1),$Z$523,HLOOKUP(INDIRECT(ADDRESS(2,COLUMN())),OFFSET($BN$2,0,0,ROW()-1,60),ROW()-1,FALSE))</f>
        <v>9.1804671000000004E-2</v>
      </c>
      <c r="AA14">
        <f ca="1">IF(AND(ISNUMBER($AA$523),$B$511=1),$AA$523,HLOOKUP(INDIRECT(ADDRESS(2,COLUMN())),OFFSET($BN$2,0,0,ROW()-1,60),ROW()-1,FALSE))</f>
        <v>9.9945059000000003E-2</v>
      </c>
      <c r="AB14">
        <f ca="1">IF(AND(ISNUMBER($AB$523),$B$511=1),$AB$523,HLOOKUP(INDIRECT(ADDRESS(2,COLUMN())),OFFSET($BN$2,0,0,ROW()-1,60),ROW()-1,FALSE))</f>
        <v>3.4216607000000003E-2</v>
      </c>
      <c r="AC14">
        <f ca="1">IF(AND(ISNUMBER($AC$523),$B$511=1),$AC$523,HLOOKUP(INDIRECT(ADDRESS(2,COLUMN())),OFFSET($BN$2,0,0,ROW()-1,60),ROW()-1,FALSE))</f>
        <v>-5.6146410000000001E-3</v>
      </c>
      <c r="AD14">
        <f ca="1">IF(AND(ISNUMBER($AD$523),$B$511=1),$AD$523,HLOOKUP(INDIRECT(ADDRESS(2,COLUMN())),OFFSET($BN$2,0,0,ROW()-1,60),ROW()-1,FALSE))</f>
        <v>-3.7827977999999998E-2</v>
      </c>
      <c r="AE14">
        <f ca="1">IF(AND(ISNUMBER($AE$523),$B$511=1),$AE$523,HLOOKUP(INDIRECT(ADDRESS(2,COLUMN())),OFFSET($BN$2,0,0,ROW()-1,60),ROW()-1,FALSE))</f>
        <v>-7.2453033E-2</v>
      </c>
      <c r="AF14">
        <f ca="1">IF(AND(ISNUMBER($AF$523),$B$511=1),$AF$523,HLOOKUP(INDIRECT(ADDRESS(2,COLUMN())),OFFSET($BN$2,0,0,ROW()-1,60),ROW()-1,FALSE))</f>
        <v>-7.8479154999999995E-2</v>
      </c>
      <c r="AG14">
        <f ca="1">IF(AND(ISNUMBER($AG$523),$B$511=1),$AG$523,HLOOKUP(INDIRECT(ADDRESS(2,COLUMN())),OFFSET($BN$2,0,0,ROW()-1,60),ROW()-1,FALSE))</f>
        <v>-5.9416008999999999E-2</v>
      </c>
      <c r="AH14">
        <f ca="1">IF(AND(ISNUMBER($AH$523),$B$511=1),$AH$523,HLOOKUP(INDIRECT(ADDRESS(2,COLUMN())),OFFSET($BN$2,0,0,ROW()-1,60),ROW()-1,FALSE))</f>
        <v>-1.3551017E-2</v>
      </c>
      <c r="AI14">
        <f ca="1">IF(AND(ISNUMBER($AI$523),$B$511=1),$AI$523,HLOOKUP(INDIRECT(ADDRESS(2,COLUMN())),OFFSET($BN$2,0,0,ROW()-1,60),ROW()-1,FALSE))</f>
        <v>2.3827414000000002E-2</v>
      </c>
      <c r="AJ14">
        <f ca="1">IF(AND(ISNUMBER($AJ$523),$B$511=1),$AJ$523,HLOOKUP(INDIRECT(ADDRESS(2,COLUMN())),OFFSET($BN$2,0,0,ROW()-1,60),ROW()-1,FALSE))</f>
        <v>7.6202168000000001E-2</v>
      </c>
      <c r="AK14">
        <f ca="1">IF(AND(ISNUMBER($AK$523),$B$511=1),$AK$523,HLOOKUP(INDIRECT(ADDRESS(2,COLUMN())),OFFSET($BN$2,0,0,ROW()-1,60),ROW()-1,FALSE))</f>
        <v>0.122009299</v>
      </c>
      <c r="AL14">
        <f ca="1">IF(AND(ISNUMBER($AL$523),$B$511=1),$AL$523,HLOOKUP(INDIRECT(ADDRESS(2,COLUMN())),OFFSET($BN$2,0,0,ROW()-1,60),ROW()-1,FALSE))</f>
        <v>0.14098417399999999</v>
      </c>
      <c r="AM14">
        <f ca="1">IF(AND(ISNUMBER($AM$523),$B$511=1),$AM$523,HLOOKUP(INDIRECT(ADDRESS(2,COLUMN())),OFFSET($BN$2,0,0,ROW()-1,60),ROW()-1,FALSE))</f>
        <v>0.16781304599999999</v>
      </c>
      <c r="AN14">
        <f ca="1">IF(AND(ISNUMBER($AN$523),$B$511=1),$AN$523,HLOOKUP(INDIRECT(ADDRESS(2,COLUMN())),OFFSET($BN$2,0,0,ROW()-1,60),ROW()-1,FALSE))</f>
        <v>0.22722194700000001</v>
      </c>
      <c r="AO14">
        <f ca="1">IF(AND(ISNUMBER($AO$523),$B$511=1),$AO$523,HLOOKUP(INDIRECT(ADDRESS(2,COLUMN())),OFFSET($BN$2,0,0,ROW()-1,60),ROW()-1,FALSE))</f>
        <v>0.21907381100000001</v>
      </c>
      <c r="AP14">
        <f ca="1">IF(AND(ISNUMBER($AP$523),$B$511=1),$AP$523,HLOOKUP(INDIRECT(ADDRESS(2,COLUMN())),OFFSET($BN$2,0,0,ROW()-1,60),ROW()-1,FALSE))</f>
        <v>0.18762474600000001</v>
      </c>
      <c r="AQ14">
        <f ca="1">IF(AND(ISNUMBER($AQ$523),$B$511=1),$AQ$523,HLOOKUP(INDIRECT(ADDRESS(2,COLUMN())),OFFSET($BN$2,0,0,ROW()-1,60),ROW()-1,FALSE))</f>
        <v>0.14687146600000001</v>
      </c>
      <c r="AR14" t="str">
        <f ca="1">IF(AND(ISNUMBER($AR$523),$B$511=1),$AR$523,HLOOKUP(INDIRECT(ADDRESS(2,COLUMN())),OFFSET($BN$2,0,0,ROW()-1,60),ROW()-1,FALSE))</f>
        <v/>
      </c>
      <c r="AS14" t="str">
        <f ca="1">IF(AND(ISNUMBER($AS$523),$B$511=1),$AS$523,HLOOKUP(INDIRECT(ADDRESS(2,COLUMN())),OFFSET($BN$2,0,0,ROW()-1,60),ROW()-1,FALSE))</f>
        <v/>
      </c>
      <c r="AT14" t="str">
        <f ca="1">IF(AND(ISNUMBER($AT$523),$B$511=1),$AT$523,HLOOKUP(INDIRECT(ADDRESS(2,COLUMN())),OFFSET($BN$2,0,0,ROW()-1,60),ROW()-1,FALSE))</f>
        <v/>
      </c>
      <c r="AU14" t="str">
        <f ca="1">IF(AND(ISNUMBER($AU$523),$B$511=1),$AU$523,HLOOKUP(INDIRECT(ADDRESS(2,COLUMN())),OFFSET($BN$2,0,0,ROW()-1,60),ROW()-1,FALSE))</f>
        <v/>
      </c>
      <c r="AV14" t="str">
        <f ca="1">IF(AND(ISNUMBER($AV$523),$B$511=1),$AV$523,HLOOKUP(INDIRECT(ADDRESS(2,COLUMN())),OFFSET($BN$2,0,0,ROW()-1,60),ROW()-1,FALSE))</f>
        <v/>
      </c>
      <c r="AW14" t="str">
        <f ca="1">IF(AND(ISNUMBER($AW$523),$B$511=1),$AW$523,HLOOKUP(INDIRECT(ADDRESS(2,COLUMN())),OFFSET($BN$2,0,0,ROW()-1,60),ROW()-1,FALSE))</f>
        <v/>
      </c>
      <c r="AX14" t="str">
        <f ca="1">IF(AND(ISNUMBER($AX$523),$B$511=1),$AX$523,HLOOKUP(INDIRECT(ADDRESS(2,COLUMN())),OFFSET($BN$2,0,0,ROW()-1,60),ROW()-1,FALSE))</f>
        <v/>
      </c>
      <c r="AY14" t="str">
        <f ca="1">IF(AND(ISNUMBER($AY$523),$B$511=1),$AY$523,HLOOKUP(INDIRECT(ADDRESS(2,COLUMN())),OFFSET($BN$2,0,0,ROW()-1,60),ROW()-1,FALSE))</f>
        <v/>
      </c>
      <c r="AZ14" t="str">
        <f ca="1">IF(AND(ISNUMBER($AZ$523),$B$511=1),$AZ$523,HLOOKUP(INDIRECT(ADDRESS(2,COLUMN())),OFFSET($BN$2,0,0,ROW()-1,60),ROW()-1,FALSE))</f>
        <v/>
      </c>
      <c r="BA14" t="str">
        <f ca="1">IF(AND(ISNUMBER($BA$523),$B$511=1),$BA$523,HLOOKUP(INDIRECT(ADDRESS(2,COLUMN())),OFFSET($BN$2,0,0,ROW()-1,60),ROW()-1,FALSE))</f>
        <v/>
      </c>
      <c r="BB14" t="str">
        <f ca="1">IF(AND(ISNUMBER($BB$523),$B$511=1),$BB$523,HLOOKUP(INDIRECT(ADDRESS(2,COLUMN())),OFFSET($BN$2,0,0,ROW()-1,60),ROW()-1,FALSE))</f>
        <v/>
      </c>
      <c r="BC14" t="str">
        <f ca="1">IF(AND(ISNUMBER($BC$523),$B$511=1),$BC$523,HLOOKUP(INDIRECT(ADDRESS(2,COLUMN())),OFFSET($BN$2,0,0,ROW()-1,60),ROW()-1,FALSE))</f>
        <v/>
      </c>
      <c r="BD14" t="str">
        <f ca="1">IF(AND(ISNUMBER($BD$523),$B$511=1),$BD$523,HLOOKUP(INDIRECT(ADDRESS(2,COLUMN())),OFFSET($BN$2,0,0,ROW()-1,60),ROW()-1,FALSE))</f>
        <v/>
      </c>
      <c r="BE14" t="str">
        <f ca="1">IF(AND(ISNUMBER($BE$523),$B$511=1),$BE$523,HLOOKUP(INDIRECT(ADDRESS(2,COLUMN())),OFFSET($BN$2,0,0,ROW()-1,60),ROW()-1,FALSE))</f>
        <v/>
      </c>
      <c r="BF14" t="str">
        <f ca="1">IF(AND(ISNUMBER($BF$523),$B$511=1),$BF$523,HLOOKUP(INDIRECT(ADDRESS(2,COLUMN())),OFFSET($BN$2,0,0,ROW()-1,60),ROW()-1,FALSE))</f>
        <v/>
      </c>
      <c r="BG14" t="str">
        <f ca="1">IF(AND(ISNUMBER($BG$523),$B$511=1),$BG$523,HLOOKUP(INDIRECT(ADDRESS(2,COLUMN())),OFFSET($BN$2,0,0,ROW()-1,60),ROW()-1,FALSE))</f>
        <v/>
      </c>
      <c r="BH14" t="str">
        <f ca="1">IF(AND(ISNUMBER($BH$523),$B$511=1),$BH$523,HLOOKUP(INDIRECT(ADDRESS(2,COLUMN())),OFFSET($BN$2,0,0,ROW()-1,60),ROW()-1,FALSE))</f>
        <v/>
      </c>
      <c r="BI14" t="str">
        <f ca="1">IF(AND(ISNUMBER($BI$523),$B$511=1),$BI$523,HLOOKUP(INDIRECT(ADDRESS(2,COLUMN())),OFFSET($BN$2,0,0,ROW()-1,60),ROW()-1,FALSE))</f>
        <v/>
      </c>
      <c r="BJ14" t="str">
        <f ca="1">IF(AND(ISNUMBER($BJ$523),$B$511=1),$BJ$523,HLOOKUP(INDIRECT(ADDRESS(2,COLUMN())),OFFSET($BN$2,0,0,ROW()-1,60),ROW()-1,FALSE))</f>
        <v/>
      </c>
      <c r="BK14" t="str">
        <f ca="1">IF(AND(ISNUMBER($BK$523),$B$511=1),$BK$523,HLOOKUP(INDIRECT(ADDRESS(2,COLUMN())),OFFSET($BN$2,0,0,ROW()-1,60),ROW()-1,FALSE))</f>
        <v/>
      </c>
      <c r="BL14" t="str">
        <f ca="1">IF(AND(ISNUMBER($BL$523),$B$511=1),$BL$523,HLOOKUP(INDIRECT(ADDRESS(2,COLUMN())),OFFSET($BN$2,0,0,ROW()-1,60),ROW()-1,FALSE))</f>
        <v/>
      </c>
      <c r="BM14" t="str">
        <f ca="1">IF(AND(ISNUMBER($BM$523),$B$511=1),$BM$523,HLOOKUP(INDIRECT(ADDRESS(2,COLUMN())),OFFSET($BN$2,0,0,ROW()-1,60),ROW()-1,FALSE))</f>
        <v/>
      </c>
      <c r="BN14" t="str">
        <f>""</f>
        <v/>
      </c>
      <c r="BO14" t="str">
        <f>""</f>
        <v/>
      </c>
      <c r="BP14">
        <f>0.00744234</f>
        <v>7.4423400000000004E-3</v>
      </c>
      <c r="BQ14">
        <f>0.004283031</f>
        <v>4.2830309999999996E-3</v>
      </c>
      <c r="BR14">
        <f>0.011676411</f>
        <v>1.1676410999999999E-2</v>
      </c>
      <c r="BS14">
        <f>0.021464474</f>
        <v>2.1464474000000001E-2</v>
      </c>
      <c r="BT14">
        <f>-0.005537137</f>
        <v>-5.5371370000000001E-3</v>
      </c>
      <c r="BU14">
        <f>0.002566512</f>
        <v>2.566512E-3</v>
      </c>
      <c r="BV14">
        <f>-0.044194075</f>
        <v>-4.4194074999999999E-2</v>
      </c>
      <c r="BW14">
        <f>-0.098876603</f>
        <v>-9.8876602999999993E-2</v>
      </c>
      <c r="BX14">
        <f>-0.061867983</f>
        <v>-6.1867983000000001E-2</v>
      </c>
      <c r="BY14">
        <f>-0.08686549</f>
        <v>-8.6865490000000004E-2</v>
      </c>
      <c r="BZ14">
        <f>-0.046169243</f>
        <v>-4.6169242999999999E-2</v>
      </c>
      <c r="CA14">
        <f>0.008024871</f>
        <v>8.0248709999999994E-3</v>
      </c>
      <c r="CB14">
        <f>0.004829725</f>
        <v>4.829725E-3</v>
      </c>
      <c r="CC14">
        <f>0.013186517</f>
        <v>1.3186517E-2</v>
      </c>
      <c r="CD14">
        <f>0.01542202</f>
        <v>1.542202E-2</v>
      </c>
      <c r="CE14">
        <f>0.028913415</f>
        <v>2.8913415000000001E-2</v>
      </c>
      <c r="CF14">
        <f>0.048551795</f>
        <v>4.8551795000000002E-2</v>
      </c>
      <c r="CG14">
        <f>0.069724072</f>
        <v>6.9724071999999998E-2</v>
      </c>
      <c r="CH14">
        <f>0.091804671</f>
        <v>9.1804671000000004E-2</v>
      </c>
      <c r="CI14">
        <f>0.099945059</f>
        <v>9.9945059000000003E-2</v>
      </c>
      <c r="CJ14">
        <f>0.034216607</f>
        <v>3.4216607000000003E-2</v>
      </c>
      <c r="CK14">
        <f>-0.005614641</f>
        <v>-5.6146410000000001E-3</v>
      </c>
      <c r="CL14">
        <f>-0.037827978</f>
        <v>-3.7827977999999998E-2</v>
      </c>
      <c r="CM14">
        <f>-0.072453033</f>
        <v>-7.2453033E-2</v>
      </c>
      <c r="CN14">
        <f>-0.078479155</f>
        <v>-7.8479154999999995E-2</v>
      </c>
      <c r="CO14">
        <f>-0.059416009</f>
        <v>-5.9416008999999999E-2</v>
      </c>
      <c r="CP14">
        <f>-0.013551017</f>
        <v>-1.3551017E-2</v>
      </c>
      <c r="CQ14">
        <f>0.023827414</f>
        <v>2.3827414000000002E-2</v>
      </c>
      <c r="CR14">
        <f>0.076202168</f>
        <v>7.6202168000000001E-2</v>
      </c>
      <c r="CS14">
        <f>0.122009299</f>
        <v>0.122009299</v>
      </c>
      <c r="CT14">
        <f>0.140984174</f>
        <v>0.14098417399999999</v>
      </c>
      <c r="CU14">
        <f>0.167813046</f>
        <v>0.16781304599999999</v>
      </c>
      <c r="CV14">
        <f>0.227221947</f>
        <v>0.22722194700000001</v>
      </c>
      <c r="CW14">
        <f>0.219073811</f>
        <v>0.21907381100000001</v>
      </c>
      <c r="CX14">
        <f>0.187624746</f>
        <v>0.18762474600000001</v>
      </c>
      <c r="CY14">
        <f>0.146871466</f>
        <v>0.14687146600000001</v>
      </c>
      <c r="CZ14" t="str">
        <f>""</f>
        <v/>
      </c>
      <c r="DA14" t="str">
        <f>""</f>
        <v/>
      </c>
      <c r="DB14" t="str">
        <f>""</f>
        <v/>
      </c>
      <c r="DC14" t="str">
        <f>""</f>
        <v/>
      </c>
      <c r="DD14" t="str">
        <f>""</f>
        <v/>
      </c>
      <c r="DE14" t="str">
        <f>""</f>
        <v/>
      </c>
      <c r="DF14" t="str">
        <f>""</f>
        <v/>
      </c>
      <c r="DG14" t="str">
        <f>""</f>
        <v/>
      </c>
      <c r="DH14" t="str">
        <f>""</f>
        <v/>
      </c>
      <c r="DI14" t="str">
        <f>""</f>
        <v/>
      </c>
      <c r="DJ14" t="str">
        <f>""</f>
        <v/>
      </c>
      <c r="DK14" t="str">
        <f>""</f>
        <v/>
      </c>
      <c r="DL14" t="str">
        <f>""</f>
        <v/>
      </c>
      <c r="DM14" t="str">
        <f>""</f>
        <v/>
      </c>
      <c r="DN14" t="str">
        <f>""</f>
        <v/>
      </c>
      <c r="DO14" t="str">
        <f>""</f>
        <v/>
      </c>
      <c r="DP14" t="str">
        <f>""</f>
        <v/>
      </c>
      <c r="DQ14" t="str">
        <f>""</f>
        <v/>
      </c>
      <c r="DR14" t="str">
        <f>""</f>
        <v/>
      </c>
      <c r="DS14" t="str">
        <f>""</f>
        <v/>
      </c>
      <c r="DT14" t="str">
        <f>""</f>
        <v/>
      </c>
      <c r="DU14" t="str">
        <f>""</f>
        <v/>
      </c>
    </row>
    <row r="15" spans="1:125" x14ac:dyDescent="0.25">
      <c r="A15" t="str">
        <f>"    Fiat Chrysler Automobiles NV"</f>
        <v xml:space="preserve">    Fiat Chrysler Automobiles NV</v>
      </c>
      <c r="B15" t="str">
        <f>"FCAU US Equity"</f>
        <v>FCAU US Equity</v>
      </c>
      <c r="C15" t="str">
        <f t="shared" si="0"/>
        <v>RR844</v>
      </c>
      <c r="D15" t="str">
        <f t="shared" si="1"/>
        <v>T12M_DIL_EPS_CONT_OPS</v>
      </c>
      <c r="E15" t="str">
        <f t="shared" si="2"/>
        <v>Dynamic</v>
      </c>
      <c r="F15" t="str">
        <f ca="1">IF(AND(ISNUMBER($F$524),$B$511=1),$F$524,HLOOKUP(INDIRECT(ADDRESS(2,COLUMN())),OFFSET($BN$2,0,0,ROW()-1,60),ROW()-1,FALSE))</f>
        <v/>
      </c>
      <c r="G15">
        <f ca="1">IF(AND(ISNUMBER($G$524),$B$511=1),$G$524,HLOOKUP(INDIRECT(ADDRESS(2,COLUMN())),OFFSET($BN$2,0,0,ROW()-1,60),ROW()-1,FALSE))</f>
        <v>3.2899048139999998</v>
      </c>
      <c r="H15">
        <f ca="1">IF(AND(ISNUMBER($H$524),$B$511=1),$H$524,HLOOKUP(INDIRECT(ADDRESS(2,COLUMN())),OFFSET($BN$2,0,0,ROW()-1,60),ROW()-1,FALSE))</f>
        <v>3.3241392940000001</v>
      </c>
      <c r="I15">
        <f ca="1">IF(AND(ISNUMBER($I$524),$B$511=1),$I$524,HLOOKUP(INDIRECT(ADDRESS(2,COLUMN())),OFFSET($BN$2,0,0,ROW()-1,60),ROW()-1,FALSE))</f>
        <v>2.965082615</v>
      </c>
      <c r="J15">
        <f ca="1">IF(AND(ISNUMBER($J$524),$B$511=1),$J$524,HLOOKUP(INDIRECT(ADDRESS(2,COLUMN())),OFFSET($BN$2,0,0,ROW()-1,60),ROW()-1,FALSE))</f>
        <v>3.002182237</v>
      </c>
      <c r="K15">
        <f ca="1">IF(AND(ISNUMBER($K$524),$B$511=1),$K$524,HLOOKUP(INDIRECT(ADDRESS(2,COLUMN())),OFFSET($BN$2,0,0,ROW()-1,60),ROW()-1,FALSE))</f>
        <v>2.6395418230000001</v>
      </c>
      <c r="L15">
        <f ca="1">IF(AND(ISNUMBER($L$524),$B$511=1),$L$524,HLOOKUP(INDIRECT(ADDRESS(2,COLUMN())),OFFSET($BN$2,0,0,ROW()-1,60),ROW()-1,FALSE))</f>
        <v>2.2784725899999998</v>
      </c>
      <c r="M15">
        <f ca="1">IF(AND(ISNUMBER($M$524),$B$511=1),$M$524,HLOOKUP(INDIRECT(ADDRESS(2,COLUMN())),OFFSET($BN$2,0,0,ROW()-1,60),ROW()-1,FALSE))</f>
        <v>2.1753808569999999</v>
      </c>
      <c r="N15">
        <f ca="1">IF(AND(ISNUMBER($N$524),$B$511=1),$N$524,HLOOKUP(INDIRECT(ADDRESS(2,COLUMN())),OFFSET($BN$2,0,0,ROW()-1,60),ROW()-1,FALSE))</f>
        <v>1.919794056</v>
      </c>
      <c r="O15">
        <f ca="1">IF(AND(ISNUMBER($O$524),$B$511=1),$O$524,HLOOKUP(INDIRECT(ADDRESS(2,COLUMN())),OFFSET($BN$2,0,0,ROW()-1,60),ROW()-1,FALSE))</f>
        <v>1.8344335009999999</v>
      </c>
      <c r="P15">
        <f ca="1">IF(AND(ISNUMBER($P$524),$B$511=1),$P$524,HLOOKUP(INDIRECT(ADDRESS(2,COLUMN())),OFFSET($BN$2,0,0,ROW()-1,60),ROW()-1,FALSE))</f>
        <v>2.122143382</v>
      </c>
      <c r="Q15">
        <f ca="1">IF(AND(ISNUMBER($Q$524),$B$511=1),$Q$524,HLOOKUP(INDIRECT(ADDRESS(2,COLUMN())),OFFSET($BN$2,0,0,ROW()-1,60),ROW()-1,FALSE))</f>
        <v>1.7405786139999999</v>
      </c>
      <c r="R15">
        <f ca="1">IF(AND(ISNUMBER($R$524),$B$511=1),$R$524,HLOOKUP(INDIRECT(ADDRESS(2,COLUMN())),OFFSET($BN$2,0,0,ROW()-1,60),ROW()-1,FALSE))</f>
        <v>1.485464653</v>
      </c>
      <c r="S15">
        <f ca="1">IF(AND(ISNUMBER($S$524),$B$511=1),$S$524,HLOOKUP(INDIRECT(ADDRESS(2,COLUMN())),OFFSET($BN$2,0,0,ROW()-1,60),ROW()-1,FALSE))</f>
        <v>1.130172674</v>
      </c>
      <c r="T15">
        <f ca="1">IF(AND(ISNUMBER($T$524),$B$511=1),$T$524,HLOOKUP(INDIRECT(ADDRESS(2,COLUMN())),OFFSET($BN$2,0,0,ROW()-1,60),ROW()-1,FALSE))</f>
        <v>0.62770565700000003</v>
      </c>
      <c r="U15">
        <f ca="1">IF(AND(ISNUMBER($U$524),$B$511=1),$U$524,HLOOKUP(INDIRECT(ADDRESS(2,COLUMN())),OFFSET($BN$2,0,0,ROW()-1,60),ROW()-1,FALSE))</f>
        <v>0.68243001999999997</v>
      </c>
      <c r="V15">
        <f ca="1">IF(AND(ISNUMBER($V$524),$B$511=1),$V$524,HLOOKUP(INDIRECT(ADDRESS(2,COLUMN())),OFFSET($BN$2,0,0,ROW()-1,60),ROW()-1,FALSE))</f>
        <v>0.61000043400000004</v>
      </c>
      <c r="W15">
        <f ca="1">IF(AND(ISNUMBER($W$524),$B$511=1),$W$524,HLOOKUP(INDIRECT(ADDRESS(2,COLUMN())),OFFSET($BN$2,0,0,ROW()-1,60),ROW()-1,FALSE))</f>
        <v>0.60960360999999996</v>
      </c>
      <c r="X15">
        <f ca="1">IF(AND(ISNUMBER($X$524),$B$511=1),$X$524,HLOOKUP(INDIRECT(ADDRESS(2,COLUMN())),OFFSET($BN$2,0,0,ROW()-1,60),ROW()-1,FALSE))</f>
        <v>1.333881461</v>
      </c>
      <c r="Y15">
        <f ca="1">IF(AND(ISNUMBER($Y$524),$B$511=1),$Y$524,HLOOKUP(INDIRECT(ADDRESS(2,COLUMN())),OFFSET($BN$2,0,0,ROW()-1,60),ROW()-1,FALSE))</f>
        <v>1.131704034</v>
      </c>
      <c r="Z15" t="str">
        <f ca="1">IF(AND(ISNUMBER($Z$524),$B$511=1),$Z$524,HLOOKUP(INDIRECT(ADDRESS(2,COLUMN())),OFFSET($BN$2,0,0,ROW()-1,60),ROW()-1,FALSE))</f>
        <v/>
      </c>
      <c r="AA15" t="str">
        <f ca="1">IF(AND(ISNUMBER($AA$524),$B$511=1),$AA$524,HLOOKUP(INDIRECT(ADDRESS(2,COLUMN())),OFFSET($BN$2,0,0,ROW()-1,60),ROW()-1,FALSE))</f>
        <v/>
      </c>
      <c r="AB15" t="str">
        <f ca="1">IF(AND(ISNUMBER($AB$524),$B$511=1),$AB$524,HLOOKUP(INDIRECT(ADDRESS(2,COLUMN())),OFFSET($BN$2,0,0,ROW()-1,60),ROW()-1,FALSE))</f>
        <v/>
      </c>
      <c r="AC15" t="str">
        <f ca="1">IF(AND(ISNUMBER($AC$524),$B$511=1),$AC$524,HLOOKUP(INDIRECT(ADDRESS(2,COLUMN())),OFFSET($BN$2,0,0,ROW()-1,60),ROW()-1,FALSE))</f>
        <v/>
      </c>
      <c r="AD15" t="str">
        <f ca="1">IF(AND(ISNUMBER($AD$524),$B$511=1),$AD$524,HLOOKUP(INDIRECT(ADDRESS(2,COLUMN())),OFFSET($BN$2,0,0,ROW()-1,60),ROW()-1,FALSE))</f>
        <v/>
      </c>
      <c r="AE15" t="str">
        <f ca="1">IF(AND(ISNUMBER($AE$524),$B$511=1),$AE$524,HLOOKUP(INDIRECT(ADDRESS(2,COLUMN())),OFFSET($BN$2,0,0,ROW()-1,60),ROW()-1,FALSE))</f>
        <v/>
      </c>
      <c r="AF15" t="str">
        <f ca="1">IF(AND(ISNUMBER($AF$524),$B$511=1),$AF$524,HLOOKUP(INDIRECT(ADDRESS(2,COLUMN())),OFFSET($BN$2,0,0,ROW()-1,60),ROW()-1,FALSE))</f>
        <v/>
      </c>
      <c r="AG15" t="str">
        <f ca="1">IF(AND(ISNUMBER($AG$524),$B$511=1),$AG$524,HLOOKUP(INDIRECT(ADDRESS(2,COLUMN())),OFFSET($BN$2,0,0,ROW()-1,60),ROW()-1,FALSE))</f>
        <v/>
      </c>
      <c r="AH15" t="str">
        <f ca="1">IF(AND(ISNUMBER($AH$524),$B$511=1),$AH$524,HLOOKUP(INDIRECT(ADDRESS(2,COLUMN())),OFFSET($BN$2,0,0,ROW()-1,60),ROW()-1,FALSE))</f>
        <v/>
      </c>
      <c r="AI15" t="str">
        <f ca="1">IF(AND(ISNUMBER($AI$524),$B$511=1),$AI$524,HLOOKUP(INDIRECT(ADDRESS(2,COLUMN())),OFFSET($BN$2,0,0,ROW()-1,60),ROW()-1,FALSE))</f>
        <v/>
      </c>
      <c r="AJ15" t="str">
        <f ca="1">IF(AND(ISNUMBER($AJ$524),$B$511=1),$AJ$524,HLOOKUP(INDIRECT(ADDRESS(2,COLUMN())),OFFSET($BN$2,0,0,ROW()-1,60),ROW()-1,FALSE))</f>
        <v/>
      </c>
      <c r="AK15" t="str">
        <f ca="1">IF(AND(ISNUMBER($AK$524),$B$511=1),$AK$524,HLOOKUP(INDIRECT(ADDRESS(2,COLUMN())),OFFSET($BN$2,0,0,ROW()-1,60),ROW()-1,FALSE))</f>
        <v/>
      </c>
      <c r="AL15" t="str">
        <f ca="1">IF(AND(ISNUMBER($AL$524),$B$511=1),$AL$524,HLOOKUP(INDIRECT(ADDRESS(2,COLUMN())),OFFSET($BN$2,0,0,ROW()-1,60),ROW()-1,FALSE))</f>
        <v/>
      </c>
      <c r="AM15" t="str">
        <f ca="1">IF(AND(ISNUMBER($AM$524),$B$511=1),$AM$524,HLOOKUP(INDIRECT(ADDRESS(2,COLUMN())),OFFSET($BN$2,0,0,ROW()-1,60),ROW()-1,FALSE))</f>
        <v/>
      </c>
      <c r="AN15" t="str">
        <f ca="1">IF(AND(ISNUMBER($AN$524),$B$511=1),$AN$524,HLOOKUP(INDIRECT(ADDRESS(2,COLUMN())),OFFSET($BN$2,0,0,ROW()-1,60),ROW()-1,FALSE))</f>
        <v/>
      </c>
      <c r="AO15" t="str">
        <f ca="1">IF(AND(ISNUMBER($AO$524),$B$511=1),$AO$524,HLOOKUP(INDIRECT(ADDRESS(2,COLUMN())),OFFSET($BN$2,0,0,ROW()-1,60),ROW()-1,FALSE))</f>
        <v/>
      </c>
      <c r="AP15" t="str">
        <f ca="1">IF(AND(ISNUMBER($AP$524),$B$511=1),$AP$524,HLOOKUP(INDIRECT(ADDRESS(2,COLUMN())),OFFSET($BN$2,0,0,ROW()-1,60),ROW()-1,FALSE))</f>
        <v/>
      </c>
      <c r="AQ15" t="str">
        <f ca="1">IF(AND(ISNUMBER($AQ$524),$B$511=1),$AQ$524,HLOOKUP(INDIRECT(ADDRESS(2,COLUMN())),OFFSET($BN$2,0,0,ROW()-1,60),ROW()-1,FALSE))</f>
        <v/>
      </c>
      <c r="AR15" t="str">
        <f ca="1">IF(AND(ISNUMBER($AR$524),$B$511=1),$AR$524,HLOOKUP(INDIRECT(ADDRESS(2,COLUMN())),OFFSET($BN$2,0,0,ROW()-1,60),ROW()-1,FALSE))</f>
        <v/>
      </c>
      <c r="AS15" t="str">
        <f ca="1">IF(AND(ISNUMBER($AS$524),$B$511=1),$AS$524,HLOOKUP(INDIRECT(ADDRESS(2,COLUMN())),OFFSET($BN$2,0,0,ROW()-1,60),ROW()-1,FALSE))</f>
        <v/>
      </c>
      <c r="AT15" t="str">
        <f ca="1">IF(AND(ISNUMBER($AT$524),$B$511=1),$AT$524,HLOOKUP(INDIRECT(ADDRESS(2,COLUMN())),OFFSET($BN$2,0,0,ROW()-1,60),ROW()-1,FALSE))</f>
        <v/>
      </c>
      <c r="AU15" t="str">
        <f ca="1">IF(AND(ISNUMBER($AU$524),$B$511=1),$AU$524,HLOOKUP(INDIRECT(ADDRESS(2,COLUMN())),OFFSET($BN$2,0,0,ROW()-1,60),ROW()-1,FALSE))</f>
        <v/>
      </c>
      <c r="AV15" t="str">
        <f ca="1">IF(AND(ISNUMBER($AV$524),$B$511=1),$AV$524,HLOOKUP(INDIRECT(ADDRESS(2,COLUMN())),OFFSET($BN$2,0,0,ROW()-1,60),ROW()-1,FALSE))</f>
        <v/>
      </c>
      <c r="AW15" t="str">
        <f ca="1">IF(AND(ISNUMBER($AW$524),$B$511=1),$AW$524,HLOOKUP(INDIRECT(ADDRESS(2,COLUMN())),OFFSET($BN$2,0,0,ROW()-1,60),ROW()-1,FALSE))</f>
        <v/>
      </c>
      <c r="AX15" t="str">
        <f ca="1">IF(AND(ISNUMBER($AX$524),$B$511=1),$AX$524,HLOOKUP(INDIRECT(ADDRESS(2,COLUMN())),OFFSET($BN$2,0,0,ROW()-1,60),ROW()-1,FALSE))</f>
        <v/>
      </c>
      <c r="AY15" t="str">
        <f ca="1">IF(AND(ISNUMBER($AY$524),$B$511=1),$AY$524,HLOOKUP(INDIRECT(ADDRESS(2,COLUMN())),OFFSET($BN$2,0,0,ROW()-1,60),ROW()-1,FALSE))</f>
        <v/>
      </c>
      <c r="AZ15" t="str">
        <f ca="1">IF(AND(ISNUMBER($AZ$524),$B$511=1),$AZ$524,HLOOKUP(INDIRECT(ADDRESS(2,COLUMN())),OFFSET($BN$2,0,0,ROW()-1,60),ROW()-1,FALSE))</f>
        <v/>
      </c>
      <c r="BA15" t="str">
        <f ca="1">IF(AND(ISNUMBER($BA$524),$B$511=1),$BA$524,HLOOKUP(INDIRECT(ADDRESS(2,COLUMN())),OFFSET($BN$2,0,0,ROW()-1,60),ROW()-1,FALSE))</f>
        <v/>
      </c>
      <c r="BB15" t="str">
        <f ca="1">IF(AND(ISNUMBER($BB$524),$B$511=1),$BB$524,HLOOKUP(INDIRECT(ADDRESS(2,COLUMN())),OFFSET($BN$2,0,0,ROW()-1,60),ROW()-1,FALSE))</f>
        <v/>
      </c>
      <c r="BC15" t="str">
        <f ca="1">IF(AND(ISNUMBER($BC$524),$B$511=1),$BC$524,HLOOKUP(INDIRECT(ADDRESS(2,COLUMN())),OFFSET($BN$2,0,0,ROW()-1,60),ROW()-1,FALSE))</f>
        <v/>
      </c>
      <c r="BD15" t="str">
        <f ca="1">IF(AND(ISNUMBER($BD$524),$B$511=1),$BD$524,HLOOKUP(INDIRECT(ADDRESS(2,COLUMN())),OFFSET($BN$2,0,0,ROW()-1,60),ROW()-1,FALSE))</f>
        <v/>
      </c>
      <c r="BE15" t="str">
        <f ca="1">IF(AND(ISNUMBER($BE$524),$B$511=1),$BE$524,HLOOKUP(INDIRECT(ADDRESS(2,COLUMN())),OFFSET($BN$2,0,0,ROW()-1,60),ROW()-1,FALSE))</f>
        <v/>
      </c>
      <c r="BF15" t="str">
        <f ca="1">IF(AND(ISNUMBER($BF$524),$B$511=1),$BF$524,HLOOKUP(INDIRECT(ADDRESS(2,COLUMN())),OFFSET($BN$2,0,0,ROW()-1,60),ROW()-1,FALSE))</f>
        <v/>
      </c>
      <c r="BG15" t="str">
        <f ca="1">IF(AND(ISNUMBER($BG$524),$B$511=1),$BG$524,HLOOKUP(INDIRECT(ADDRESS(2,COLUMN())),OFFSET($BN$2,0,0,ROW()-1,60),ROW()-1,FALSE))</f>
        <v/>
      </c>
      <c r="BH15" t="str">
        <f ca="1">IF(AND(ISNUMBER($BH$524),$B$511=1),$BH$524,HLOOKUP(INDIRECT(ADDRESS(2,COLUMN())),OFFSET($BN$2,0,0,ROW()-1,60),ROW()-1,FALSE))</f>
        <v/>
      </c>
      <c r="BI15" t="str">
        <f ca="1">IF(AND(ISNUMBER($BI$524),$B$511=1),$BI$524,HLOOKUP(INDIRECT(ADDRESS(2,COLUMN())),OFFSET($BN$2,0,0,ROW()-1,60),ROW()-1,FALSE))</f>
        <v/>
      </c>
      <c r="BJ15" t="str">
        <f ca="1">IF(AND(ISNUMBER($BJ$524),$B$511=1),$BJ$524,HLOOKUP(INDIRECT(ADDRESS(2,COLUMN())),OFFSET($BN$2,0,0,ROW()-1,60),ROW()-1,FALSE))</f>
        <v/>
      </c>
      <c r="BK15" t="str">
        <f ca="1">IF(AND(ISNUMBER($BK$524),$B$511=1),$BK$524,HLOOKUP(INDIRECT(ADDRESS(2,COLUMN())),OFFSET($BN$2,0,0,ROW()-1,60),ROW()-1,FALSE))</f>
        <v/>
      </c>
      <c r="BL15" t="str">
        <f ca="1">IF(AND(ISNUMBER($BL$524),$B$511=1),$BL$524,HLOOKUP(INDIRECT(ADDRESS(2,COLUMN())),OFFSET($BN$2,0,0,ROW()-1,60),ROW()-1,FALSE))</f>
        <v/>
      </c>
      <c r="BM15" t="str">
        <f ca="1">IF(AND(ISNUMBER($BM$524),$B$511=1),$BM$524,HLOOKUP(INDIRECT(ADDRESS(2,COLUMN())),OFFSET($BN$2,0,0,ROW()-1,60),ROW()-1,FALSE))</f>
        <v/>
      </c>
      <c r="BN15" t="str">
        <f>""</f>
        <v/>
      </c>
      <c r="BO15">
        <f>3.289904814</f>
        <v>3.2899048139999998</v>
      </c>
      <c r="BP15">
        <f>3.324139294</f>
        <v>3.3241392940000001</v>
      </c>
      <c r="BQ15">
        <f>2.965082615</f>
        <v>2.965082615</v>
      </c>
      <c r="BR15">
        <f>3.002182237</f>
        <v>3.002182237</v>
      </c>
      <c r="BS15">
        <f>2.639541823</f>
        <v>2.6395418230000001</v>
      </c>
      <c r="BT15">
        <f>2.27847259</f>
        <v>2.2784725899999998</v>
      </c>
      <c r="BU15">
        <f>2.175380857</f>
        <v>2.1753808569999999</v>
      </c>
      <c r="BV15">
        <f>1.919794056</f>
        <v>1.919794056</v>
      </c>
      <c r="BW15">
        <f>1.834433501</f>
        <v>1.8344335009999999</v>
      </c>
      <c r="BX15">
        <f>2.122143382</f>
        <v>2.122143382</v>
      </c>
      <c r="BY15">
        <f>1.740578614</f>
        <v>1.7405786139999999</v>
      </c>
      <c r="BZ15">
        <f>1.485464653</f>
        <v>1.485464653</v>
      </c>
      <c r="CA15">
        <f>1.130172674</f>
        <v>1.130172674</v>
      </c>
      <c r="CB15">
        <f>0.627705657</f>
        <v>0.62770565700000003</v>
      </c>
      <c r="CC15">
        <f>0.68243002</f>
        <v>0.68243001999999997</v>
      </c>
      <c r="CD15">
        <f>0.610000434</f>
        <v>0.61000043400000004</v>
      </c>
      <c r="CE15">
        <f>0.60960361</f>
        <v>0.60960360999999996</v>
      </c>
      <c r="CF15">
        <f>1.333881461</f>
        <v>1.333881461</v>
      </c>
      <c r="CG15">
        <f>1.131704034</f>
        <v>1.131704034</v>
      </c>
      <c r="CH15" t="str">
        <f>""</f>
        <v/>
      </c>
      <c r="CI15" t="str">
        <f>""</f>
        <v/>
      </c>
      <c r="CJ15" t="str">
        <f>""</f>
        <v/>
      </c>
      <c r="CK15" t="str">
        <f>""</f>
        <v/>
      </c>
      <c r="CL15" t="str">
        <f>""</f>
        <v/>
      </c>
      <c r="CM15" t="str">
        <f>""</f>
        <v/>
      </c>
      <c r="CN15" t="str">
        <f>""</f>
        <v/>
      </c>
      <c r="CO15" t="str">
        <f>""</f>
        <v/>
      </c>
      <c r="CP15" t="str">
        <f>""</f>
        <v/>
      </c>
      <c r="CQ15" t="str">
        <f>""</f>
        <v/>
      </c>
      <c r="CR15" t="str">
        <f>""</f>
        <v/>
      </c>
      <c r="CS15" t="str">
        <f>""</f>
        <v/>
      </c>
      <c r="CT15" t="str">
        <f>""</f>
        <v/>
      </c>
      <c r="CU15" t="str">
        <f>""</f>
        <v/>
      </c>
      <c r="CV15" t="str">
        <f>""</f>
        <v/>
      </c>
      <c r="CW15" t="str">
        <f>""</f>
        <v/>
      </c>
      <c r="CX15" t="str">
        <f>""</f>
        <v/>
      </c>
      <c r="CY15" t="str">
        <f>""</f>
        <v/>
      </c>
      <c r="CZ15" t="str">
        <f>""</f>
        <v/>
      </c>
      <c r="DA15" t="str">
        <f>""</f>
        <v/>
      </c>
      <c r="DB15" t="str">
        <f>""</f>
        <v/>
      </c>
      <c r="DC15" t="str">
        <f>""</f>
        <v/>
      </c>
      <c r="DD15" t="str">
        <f>""</f>
        <v/>
      </c>
      <c r="DE15" t="str">
        <f>""</f>
        <v/>
      </c>
      <c r="DF15" t="str">
        <f>""</f>
        <v/>
      </c>
      <c r="DG15" t="str">
        <f>""</f>
        <v/>
      </c>
      <c r="DH15" t="str">
        <f>""</f>
        <v/>
      </c>
      <c r="DI15" t="str">
        <f>""</f>
        <v/>
      </c>
      <c r="DJ15" t="str">
        <f>""</f>
        <v/>
      </c>
      <c r="DK15" t="str">
        <f>""</f>
        <v/>
      </c>
      <c r="DL15" t="str">
        <f>""</f>
        <v/>
      </c>
      <c r="DM15" t="str">
        <f>""</f>
        <v/>
      </c>
      <c r="DN15" t="str">
        <f>""</f>
        <v/>
      </c>
      <c r="DO15" t="str">
        <f>""</f>
        <v/>
      </c>
      <c r="DP15" t="str">
        <f>""</f>
        <v/>
      </c>
      <c r="DQ15" t="str">
        <f>""</f>
        <v/>
      </c>
      <c r="DR15" t="str">
        <f>""</f>
        <v/>
      </c>
      <c r="DS15" t="str">
        <f>""</f>
        <v/>
      </c>
      <c r="DT15" t="str">
        <f>""</f>
        <v/>
      </c>
      <c r="DU15" t="str">
        <f>""</f>
        <v/>
      </c>
    </row>
    <row r="16" spans="1:125" x14ac:dyDescent="0.25">
      <c r="A16" t="str">
        <f>"    Ford Motor Co"</f>
        <v xml:space="preserve">    Ford Motor Co</v>
      </c>
      <c r="B16" t="str">
        <f>"F US Equity"</f>
        <v>F US Equity</v>
      </c>
      <c r="C16" t="str">
        <f t="shared" si="0"/>
        <v>RR844</v>
      </c>
      <c r="D16" t="str">
        <f t="shared" si="1"/>
        <v>T12M_DIL_EPS_CONT_OPS</v>
      </c>
      <c r="E16" t="str">
        <f t="shared" si="2"/>
        <v>Dynamic</v>
      </c>
      <c r="F16" t="str">
        <f ca="1">IF(AND(ISNUMBER($F$525),$B$511=1),$F$525,HLOOKUP(INDIRECT(ADDRESS(2,COLUMN())),OFFSET($BN$2,0,0,ROW()-1,60),ROW()-1,FALSE))</f>
        <v/>
      </c>
      <c r="G16">
        <f ca="1">IF(AND(ISNUMBER($G$525),$B$511=1),$G$525,HLOOKUP(INDIRECT(ADDRESS(2,COLUMN())),OFFSET($BN$2,0,0,ROW()-1,60),ROW()-1,FALSE))</f>
        <v>1.26701</v>
      </c>
      <c r="H16">
        <f ca="1">IF(AND(ISNUMBER($H$525),$B$511=1),$H$525,HLOOKUP(INDIRECT(ADDRESS(2,COLUMN())),OFFSET($BN$2,0,0,ROW()-1,60),ROW()-1,FALSE))</f>
        <v>1.274459</v>
      </c>
      <c r="I16">
        <f ca="1">IF(AND(ISNUMBER($I$525),$B$511=1),$I$525,HLOOKUP(INDIRECT(ADDRESS(2,COLUMN())),OFFSET($BN$2,0,0,ROW()-1,60),ROW()-1,FALSE))</f>
        <v>1.40083</v>
      </c>
      <c r="J16">
        <f ca="1">IF(AND(ISNUMBER($J$525),$B$511=1),$J$525,HLOOKUP(INDIRECT(ADDRESS(2,COLUMN())),OFFSET($BN$2,0,0,ROW()-1,60),ROW()-1,FALSE))</f>
        <v>1.6850419999999999</v>
      </c>
      <c r="K16">
        <f ca="1">IF(AND(ISNUMBER($K$525),$B$511=1),$K$525,HLOOKUP(INDIRECT(ADDRESS(2,COLUMN())),OFFSET($BN$2,0,0,ROW()-1,60),ROW()-1,FALSE))</f>
        <v>1.648037</v>
      </c>
      <c r="L16">
        <f ca="1">IF(AND(ISNUMBER($L$525),$B$511=1),$L$525,HLOOKUP(INDIRECT(ADDRESS(2,COLUMN())),OFFSET($BN$2,0,0,ROW()-1,60),ROW()-1,FALSE))</f>
        <v>1.620692</v>
      </c>
      <c r="M16">
        <f ca="1">IF(AND(ISNUMBER($M$525),$B$511=1),$M$525,HLOOKUP(INDIRECT(ADDRESS(2,COLUMN())),OFFSET($BN$2,0,0,ROW()-1,60),ROW()-1,FALSE))</f>
        <v>1.4449419999999999</v>
      </c>
      <c r="N16">
        <f ca="1">IF(AND(ISNUMBER($N$525),$B$511=1),$N$525,HLOOKUP(INDIRECT(ADDRESS(2,COLUMN())),OFFSET($BN$2,0,0,ROW()-1,60),ROW()-1,FALSE))</f>
        <v>1.4053020000000001</v>
      </c>
      <c r="O16">
        <f ca="1">IF(AND(ISNUMBER($O$525),$B$511=1),$O$525,HLOOKUP(INDIRECT(ADDRESS(2,COLUMN())),OFFSET($BN$2,0,0,ROW()-1,60),ROW()-1,FALSE))</f>
        <v>1.647583</v>
      </c>
      <c r="P16">
        <f ca="1">IF(AND(ISNUMBER($P$525),$B$511=1),$P$525,HLOOKUP(INDIRECT(ADDRESS(2,COLUMN())),OFFSET($BN$2,0,0,ROW()-1,60),ROW()-1,FALSE))</f>
        <v>1.954758</v>
      </c>
      <c r="Q16">
        <f ca="1">IF(AND(ISNUMBER($Q$525),$B$511=1),$Q$525,HLOOKUP(INDIRECT(ADDRESS(2,COLUMN())),OFFSET($BN$2,0,0,ROW()-1,60),ROW()-1,FALSE))</f>
        <v>2.2372700000000001</v>
      </c>
      <c r="R16">
        <f ca="1">IF(AND(ISNUMBER($R$525),$B$511=1),$R$525,HLOOKUP(INDIRECT(ADDRESS(2,COLUMN())),OFFSET($BN$2,0,0,ROW()-1,60),ROW()-1,FALSE))</f>
        <v>2.2589540000000001</v>
      </c>
      <c r="S16">
        <f ca="1">IF(AND(ISNUMBER($S$525),$B$511=1),$S$525,HLOOKUP(INDIRECT(ADDRESS(2,COLUMN())),OFFSET($BN$2,0,0,ROW()-1,60),ROW()-1,FALSE))</f>
        <v>1.904857</v>
      </c>
      <c r="T16">
        <f ca="1">IF(AND(ISNUMBER($T$525),$B$511=1),$T$525,HLOOKUP(INDIRECT(ADDRESS(2,COLUMN())),OFFSET($BN$2,0,0,ROW()-1,60),ROW()-1,FALSE))</f>
        <v>1.962145</v>
      </c>
      <c r="U16">
        <f ca="1">IF(AND(ISNUMBER($U$525),$B$511=1),$U$525,HLOOKUP(INDIRECT(ADDRESS(2,COLUMN())),OFFSET($BN$2,0,0,ROW()-1,60),ROW()-1,FALSE))</f>
        <v>1.650072</v>
      </c>
      <c r="V16">
        <f ca="1">IF(AND(ISNUMBER($V$525),$B$511=1),$V$525,HLOOKUP(INDIRECT(ADDRESS(2,COLUMN())),OFFSET($BN$2,0,0,ROW()-1,60),ROW()-1,FALSE))</f>
        <v>1.4979150000000001</v>
      </c>
      <c r="W16">
        <f ca="1">IF(AND(ISNUMBER($W$525),$B$511=1),$W$525,HLOOKUP(INDIRECT(ADDRESS(2,COLUMN())),OFFSET($BN$2,0,0,ROW()-1,60),ROW()-1,FALSE))</f>
        <v>1.4647079999999999</v>
      </c>
      <c r="X16">
        <f ca="1">IF(AND(ISNUMBER($X$525),$B$511=1),$X$525,HLOOKUP(INDIRECT(ADDRESS(2,COLUMN())),OFFSET($BN$2,0,0,ROW()-1,60),ROW()-1,FALSE))</f>
        <v>1.605801</v>
      </c>
      <c r="Y16">
        <f ca="1">IF(AND(ISNUMBER($Y$525),$B$511=1),$Y$525,HLOOKUP(INDIRECT(ADDRESS(2,COLUMN())),OFFSET($BN$2,0,0,ROW()-1,60),ROW()-1,FALSE))</f>
        <v>1.7098340000000001</v>
      </c>
      <c r="Z16">
        <f ca="1">IF(AND(ISNUMBER($Z$525),$B$511=1),$Z$525,HLOOKUP(INDIRECT(ADDRESS(2,COLUMN())),OFFSET($BN$2,0,0,ROW()-1,60),ROW()-1,FALSE))</f>
        <v>1.6899029999999999</v>
      </c>
      <c r="AA16">
        <f ca="1">IF(AND(ISNUMBER($AA$525),$B$511=1),$AA$525,HLOOKUP(INDIRECT(ADDRESS(2,COLUMN())),OFFSET($BN$2,0,0,ROW()-1,60),ROW()-1,FALSE))</f>
        <v>1.833825</v>
      </c>
      <c r="AB16">
        <f ca="1">IF(AND(ISNUMBER($AB$525),$B$511=1),$AB$525,HLOOKUP(INDIRECT(ADDRESS(2,COLUMN())),OFFSET($BN$2,0,0,ROW()-1,60),ROW()-1,FALSE))</f>
        <v>1.4694700000000001</v>
      </c>
      <c r="AC16">
        <f ca="1">IF(AND(ISNUMBER($AC$525),$B$511=1),$AC$525,HLOOKUP(INDIRECT(ADDRESS(2,COLUMN())),OFFSET($BN$2,0,0,ROW()-1,60),ROW()-1,FALSE))</f>
        <v>1.4954019999999999</v>
      </c>
      <c r="AD16">
        <f ca="1">IF(AND(ISNUMBER($AD$525),$B$511=1),$AD$525,HLOOKUP(INDIRECT(ADDRESS(2,COLUMN())),OFFSET($BN$2,0,0,ROW()-1,60),ROW()-1,FALSE))</f>
        <v>1.454364</v>
      </c>
      <c r="AE16">
        <f ca="1">IF(AND(ISNUMBER($AE$525),$B$511=1),$AE$525,HLOOKUP(INDIRECT(ADDRESS(2,COLUMN())),OFFSET($BN$2,0,0,ROW()-1,60),ROW()-1,FALSE))</f>
        <v>1.441859</v>
      </c>
      <c r="AF16">
        <f ca="1">IF(AND(ISNUMBER($AF$525),$B$511=1),$AF$525,HLOOKUP(INDIRECT(ADDRESS(2,COLUMN())),OFFSET($BN$2,0,0,ROW()-1,60),ROW()-1,FALSE))</f>
        <v>1.269676</v>
      </c>
      <c r="AG16">
        <f ca="1">IF(AND(ISNUMBER($AG$525),$B$511=1),$AG$525,HLOOKUP(INDIRECT(ADDRESS(2,COLUMN())),OFFSET($BN$2,0,0,ROW()-1,60),ROW()-1,FALSE))</f>
        <v>1.3443609999999999</v>
      </c>
      <c r="AH16">
        <f ca="1">IF(AND(ISNUMBER($AH$525),$B$511=1),$AH$525,HLOOKUP(INDIRECT(ADDRESS(2,COLUMN())),OFFSET($BN$2,0,0,ROW()-1,60),ROW()-1,FALSE))</f>
        <v>1.6226389999999999</v>
      </c>
      <c r="AI16">
        <f ca="1">IF(AND(ISNUMBER($AI$525),$B$511=1),$AI$525,HLOOKUP(INDIRECT(ADDRESS(2,COLUMN())),OFFSET($BN$2,0,0,ROW()-1,60),ROW()-1,FALSE))</f>
        <v>1.863885</v>
      </c>
      <c r="AJ16">
        <f ca="1">IF(AND(ISNUMBER($AJ$525),$B$511=1),$AJ$525,HLOOKUP(INDIRECT(ADDRESS(2,COLUMN())),OFFSET($BN$2,0,0,ROW()-1,60),ROW()-1,FALSE))</f>
        <v>2.0212780000000001</v>
      </c>
      <c r="AK16">
        <f ca="1">IF(AND(ISNUMBER($AK$525),$B$511=1),$AK$525,HLOOKUP(INDIRECT(ADDRESS(2,COLUMN())),OFFSET($BN$2,0,0,ROW()-1,60),ROW()-1,FALSE))</f>
        <v>2.0337480000000001</v>
      </c>
      <c r="AL16">
        <f ca="1">IF(AND(ISNUMBER($AL$525),$B$511=1),$AL$525,HLOOKUP(INDIRECT(ADDRESS(2,COLUMN())),OFFSET($BN$2,0,0,ROW()-1,60),ROW()-1,FALSE))</f>
        <v>2.0657519999999998</v>
      </c>
      <c r="AM16">
        <f ca="1">IF(AND(ISNUMBER($AM$525),$B$511=1),$AM$525,HLOOKUP(INDIRECT(ADDRESS(2,COLUMN())),OFFSET($BN$2,0,0,ROW()-1,60),ROW()-1,FALSE))</f>
        <v>1.908496</v>
      </c>
      <c r="AN16">
        <f ca="1">IF(AND(ISNUMBER($AN$525),$B$511=1),$AN$525,HLOOKUP(INDIRECT(ADDRESS(2,COLUMN())),OFFSET($BN$2,0,0,ROW()-1,60),ROW()-1,FALSE))</f>
        <v>2.117715</v>
      </c>
      <c r="AO16">
        <f ca="1">IF(AND(ISNUMBER($AO$525),$B$511=1),$AO$525,HLOOKUP(INDIRECT(ADDRESS(2,COLUMN())),OFFSET($BN$2,0,0,ROW()-1,60),ROW()-1,FALSE))</f>
        <v>1.9108970000000001</v>
      </c>
      <c r="AP16">
        <f ca="1">IF(AND(ISNUMBER($AP$525),$B$511=1),$AP$525,HLOOKUP(INDIRECT(ADDRESS(2,COLUMN())),OFFSET($BN$2,0,0,ROW()-1,60),ROW()-1,FALSE))</f>
        <v>1.0155149999999999</v>
      </c>
      <c r="AQ16">
        <f ca="1">IF(AND(ISNUMBER($AQ$525),$B$511=1),$AQ$525,HLOOKUP(INDIRECT(ADDRESS(2,COLUMN())),OFFSET($BN$2,0,0,ROW()-1,60),ROW()-1,FALSE))</f>
        <v>-0.196882</v>
      </c>
      <c r="AR16">
        <f ca="1">IF(AND(ISNUMBER($AR$525),$B$511=1),$AR$525,HLOOKUP(INDIRECT(ADDRESS(2,COLUMN())),OFFSET($BN$2,0,0,ROW()-1,60),ROW()-1,FALSE))</f>
        <v>-2.6653790000000002</v>
      </c>
      <c r="AS16">
        <f ca="1">IF(AND(ISNUMBER($AS$525),$B$511=1),$AS$525,HLOOKUP(INDIRECT(ADDRESS(2,COLUMN())),OFFSET($BN$2,0,0,ROW()-1,60),ROW()-1,FALSE))</f>
        <v>-4.229895</v>
      </c>
      <c r="AT16">
        <f ca="1">IF(AND(ISNUMBER($AT$525),$B$511=1),$AT$525,HLOOKUP(INDIRECT(ADDRESS(2,COLUMN())),OFFSET($BN$2,0,0,ROW()-1,60),ROW()-1,FALSE))</f>
        <v>-4.6042639999999997</v>
      </c>
      <c r="AU16">
        <f ca="1">IF(AND(ISNUMBER($AU$525),$B$511=1),$AU$525,HLOOKUP(INDIRECT(ADDRESS(2,COLUMN())),OFFSET($BN$2,0,0,ROW()-1,60),ROW()-1,FALSE))</f>
        <v>-3.83</v>
      </c>
      <c r="AV16">
        <f ca="1">IF(AND(ISNUMBER($AV$525),$B$511=1),$AV$525,HLOOKUP(INDIRECT(ADDRESS(2,COLUMN())),OFFSET($BN$2,0,0,ROW()-1,60),ROW()-1,FALSE))</f>
        <v>-2.15</v>
      </c>
      <c r="AW16">
        <f ca="1">IF(AND(ISNUMBER($AW$525),$B$511=1),$AW$525,HLOOKUP(INDIRECT(ADDRESS(2,COLUMN())),OFFSET($BN$2,0,0,ROW()-1,60),ROW()-1,FALSE))</f>
        <v>-0.84</v>
      </c>
      <c r="AX16">
        <f ca="1">IF(AND(ISNUMBER($AX$525),$B$511=1),$AX$525,HLOOKUP(INDIRECT(ADDRESS(2,COLUMN())),OFFSET($BN$2,0,0,ROW()-1,60),ROW()-1,FALSE))</f>
        <v>-0.08</v>
      </c>
      <c r="AY16">
        <f ca="1">IF(AND(ISNUMBER($AY$525),$B$511=1),$AY$525,HLOOKUP(INDIRECT(ADDRESS(2,COLUMN())),OFFSET($BN$2,0,0,ROW()-1,60),ROW()-1,FALSE))</f>
        <v>-0.22</v>
      </c>
      <c r="AZ16">
        <f ca="1">IF(AND(ISNUMBER($AZ$525),$B$511=1),$AZ$525,HLOOKUP(INDIRECT(ADDRESS(2,COLUMN())),OFFSET($BN$2,0,0,ROW()-1,60),ROW()-1,FALSE))</f>
        <v>-1.02</v>
      </c>
      <c r="BA16">
        <f ca="1">IF(AND(ISNUMBER($BA$525),$B$511=1),$BA$525,HLOOKUP(INDIRECT(ADDRESS(2,COLUMN())),OFFSET($BN$2,0,0,ROW()-1,60),ROW()-1,FALSE))</f>
        <v>-1.46</v>
      </c>
      <c r="BB16">
        <f ca="1">IF(AND(ISNUMBER($BB$525),$B$511=1),$BB$525,HLOOKUP(INDIRECT(ADDRESS(2,COLUMN())),OFFSET($BN$2,0,0,ROW()-1,60),ROW()-1,FALSE))</f>
        <v>-1.64</v>
      </c>
      <c r="BC16">
        <f ca="1">IF(AND(ISNUMBER($BC$525),$B$511=1),$BC$525,HLOOKUP(INDIRECT(ADDRESS(2,COLUMN())),OFFSET($BN$2,0,0,ROW()-1,60),ROW()-1,FALSE))</f>
        <v>-1.5</v>
      </c>
      <c r="BD16">
        <f ca="1">IF(AND(ISNUMBER($BD$525),$B$511=1),$BD$525,HLOOKUP(INDIRECT(ADDRESS(2,COLUMN())),OFFSET($BN$2,0,0,ROW()-1,60),ROW()-1,FALSE))</f>
        <v>-0.19</v>
      </c>
      <c r="BE16">
        <f ca="1">IF(AND(ISNUMBER($BE$525),$B$511=1),$BE$525,HLOOKUP(INDIRECT(ADDRESS(2,COLUMN())),OFFSET($BN$2,0,0,ROW()-1,60),ROW()-1,FALSE))</f>
        <v>0.01</v>
      </c>
      <c r="BF16">
        <f ca="1">IF(AND(ISNUMBER($BF$525),$B$511=1),$BF$525,HLOOKUP(INDIRECT(ADDRESS(2,COLUMN())),OFFSET($BN$2,0,0,ROW()-1,60),ROW()-1,FALSE))</f>
        <v>0.53</v>
      </c>
      <c r="BG16">
        <f ca="1">IF(AND(ISNUMBER($BG$525),$B$511=1),$BG$525,HLOOKUP(INDIRECT(ADDRESS(2,COLUMN())),OFFSET($BN$2,0,0,ROW()-1,60),ROW()-1,FALSE))</f>
        <v>0.97</v>
      </c>
      <c r="BH16">
        <f ca="1">IF(AND(ISNUMBER($BH$525),$B$511=1),$BH$525,HLOOKUP(INDIRECT(ADDRESS(2,COLUMN())),OFFSET($BN$2,0,0,ROW()-1,60),ROW()-1,FALSE))</f>
        <v>0.97</v>
      </c>
      <c r="BI16">
        <f ca="1">IF(AND(ISNUMBER($BI$525),$B$511=1),$BI$525,HLOOKUP(INDIRECT(ADDRESS(2,COLUMN())),OFFSET($BN$2,0,0,ROW()-1,60),ROW()-1,FALSE))</f>
        <v>1.49</v>
      </c>
      <c r="BJ16">
        <f ca="1">IF(AND(ISNUMBER($BJ$525),$B$511=1),$BJ$525,HLOOKUP(INDIRECT(ADDRESS(2,COLUMN())),OFFSET($BN$2,0,0,ROW()-1,60),ROW()-1,FALSE))</f>
        <v>1.63</v>
      </c>
      <c r="BK16">
        <f ca="1">IF(AND(ISNUMBER($BK$525),$B$511=1),$BK$525,HLOOKUP(INDIRECT(ADDRESS(2,COLUMN())),OFFSET($BN$2,0,0,ROW()-1,60),ROW()-1,FALSE))</f>
        <v>2.11</v>
      </c>
      <c r="BL16">
        <f ca="1">IF(AND(ISNUMBER($BL$525),$B$511=1),$BL$525,HLOOKUP(INDIRECT(ADDRESS(2,COLUMN())),OFFSET($BN$2,0,0,ROW()-1,60),ROW()-1,FALSE))</f>
        <v>2.5249999999999999</v>
      </c>
      <c r="BM16">
        <f ca="1">IF(AND(ISNUMBER($BM$525),$B$511=1),$BM$525,HLOOKUP(INDIRECT(ADDRESS(2,COLUMN())),OFFSET($BN$2,0,0,ROW()-1,60),ROW()-1,FALSE))</f>
        <v>2.3849999999999998</v>
      </c>
      <c r="BN16" t="str">
        <f>""</f>
        <v/>
      </c>
      <c r="BO16">
        <f>1.26701</f>
        <v>1.26701</v>
      </c>
      <c r="BP16">
        <f>1.274459</f>
        <v>1.274459</v>
      </c>
      <c r="BQ16">
        <f>1.40083</f>
        <v>1.40083</v>
      </c>
      <c r="BR16">
        <f>1.685042</f>
        <v>1.6850419999999999</v>
      </c>
      <c r="BS16">
        <f>1.648037</f>
        <v>1.648037</v>
      </c>
      <c r="BT16">
        <f>1.620692</f>
        <v>1.620692</v>
      </c>
      <c r="BU16">
        <f>1.444942</f>
        <v>1.4449419999999999</v>
      </c>
      <c r="BV16">
        <f>1.405302</f>
        <v>1.4053020000000001</v>
      </c>
      <c r="BW16">
        <f>1.647583</f>
        <v>1.647583</v>
      </c>
      <c r="BX16">
        <f>1.954758</f>
        <v>1.954758</v>
      </c>
      <c r="BY16">
        <f>2.23727</f>
        <v>2.2372700000000001</v>
      </c>
      <c r="BZ16">
        <f>2.258954</f>
        <v>2.2589540000000001</v>
      </c>
      <c r="CA16">
        <f>1.904857</f>
        <v>1.904857</v>
      </c>
      <c r="CB16">
        <f>1.962145</f>
        <v>1.962145</v>
      </c>
      <c r="CC16">
        <f>1.650072</f>
        <v>1.650072</v>
      </c>
      <c r="CD16">
        <f>1.497915</f>
        <v>1.4979150000000001</v>
      </c>
      <c r="CE16">
        <f>1.464708</f>
        <v>1.4647079999999999</v>
      </c>
      <c r="CF16">
        <f>1.605801</f>
        <v>1.605801</v>
      </c>
      <c r="CG16">
        <f>1.709834</f>
        <v>1.7098340000000001</v>
      </c>
      <c r="CH16">
        <f>1.689903</f>
        <v>1.6899029999999999</v>
      </c>
      <c r="CI16">
        <f>1.833825</f>
        <v>1.833825</v>
      </c>
      <c r="CJ16">
        <f>1.46947</f>
        <v>1.4694700000000001</v>
      </c>
      <c r="CK16">
        <f>1.495402</f>
        <v>1.4954019999999999</v>
      </c>
      <c r="CL16">
        <f>1.454364</f>
        <v>1.454364</v>
      </c>
      <c r="CM16">
        <f>1.441859</f>
        <v>1.441859</v>
      </c>
      <c r="CN16">
        <f>1.269676</f>
        <v>1.269676</v>
      </c>
      <c r="CO16">
        <f>1.344361</f>
        <v>1.3443609999999999</v>
      </c>
      <c r="CP16">
        <f>1.622639</f>
        <v>1.6226389999999999</v>
      </c>
      <c r="CQ16">
        <f>1.863885</f>
        <v>1.863885</v>
      </c>
      <c r="CR16">
        <f>2.021278</f>
        <v>2.0212780000000001</v>
      </c>
      <c r="CS16">
        <f>2.033748</f>
        <v>2.0337480000000001</v>
      </c>
      <c r="CT16">
        <f>2.065752</f>
        <v>2.0657519999999998</v>
      </c>
      <c r="CU16">
        <f>1.908496</f>
        <v>1.908496</v>
      </c>
      <c r="CV16">
        <f>2.117715</f>
        <v>2.117715</v>
      </c>
      <c r="CW16">
        <f>1.910897</f>
        <v>1.9108970000000001</v>
      </c>
      <c r="CX16">
        <f>1.015515</f>
        <v>1.0155149999999999</v>
      </c>
      <c r="CY16">
        <f>-0.196882</f>
        <v>-0.196882</v>
      </c>
      <c r="CZ16">
        <f>-2.665379</f>
        <v>-2.6653790000000002</v>
      </c>
      <c r="DA16">
        <f>-4.229895</f>
        <v>-4.229895</v>
      </c>
      <c r="DB16">
        <f>-4.604264</f>
        <v>-4.6042639999999997</v>
      </c>
      <c r="DC16">
        <f>-3.83</f>
        <v>-3.83</v>
      </c>
      <c r="DD16">
        <f>-2.15</f>
        <v>-2.15</v>
      </c>
      <c r="DE16">
        <f>-0.84</f>
        <v>-0.84</v>
      </c>
      <c r="DF16">
        <f>-0.08</f>
        <v>-0.08</v>
      </c>
      <c r="DG16">
        <f>-0.22</f>
        <v>-0.22</v>
      </c>
      <c r="DH16">
        <f>-1.02</f>
        <v>-1.02</v>
      </c>
      <c r="DI16">
        <f>-1.46</f>
        <v>-1.46</v>
      </c>
      <c r="DJ16">
        <f>-1.64</f>
        <v>-1.64</v>
      </c>
      <c r="DK16">
        <f>-1.5</f>
        <v>-1.5</v>
      </c>
      <c r="DL16">
        <f>-0.19</f>
        <v>-0.19</v>
      </c>
      <c r="DM16">
        <f>0.01</f>
        <v>0.01</v>
      </c>
      <c r="DN16">
        <f>0.53</f>
        <v>0.53</v>
      </c>
      <c r="DO16">
        <f>0.97</f>
        <v>0.97</v>
      </c>
      <c r="DP16">
        <f>0.97</f>
        <v>0.97</v>
      </c>
      <c r="DQ16">
        <f>1.49</f>
        <v>1.49</v>
      </c>
      <c r="DR16">
        <f>1.63</f>
        <v>1.63</v>
      </c>
      <c r="DS16">
        <f>2.11</f>
        <v>2.11</v>
      </c>
      <c r="DT16">
        <f>2.525</f>
        <v>2.5249999999999999</v>
      </c>
      <c r="DU16">
        <f>2.385</f>
        <v>2.3849999999999998</v>
      </c>
    </row>
    <row r="17" spans="1:125" x14ac:dyDescent="0.25">
      <c r="A17" t="str">
        <f>"    Ford Otomotiv Sanayi AS"</f>
        <v xml:space="preserve">    Ford Otomotiv Sanayi AS</v>
      </c>
      <c r="B17" t="str">
        <f>"FROTOTRY EO Equity"</f>
        <v>FROTOTRY EO Equity</v>
      </c>
      <c r="C17" t="str">
        <f t="shared" si="0"/>
        <v>RR844</v>
      </c>
      <c r="D17" t="str">
        <f t="shared" si="1"/>
        <v>T12M_DIL_EPS_CONT_OPS</v>
      </c>
      <c r="E17" t="str">
        <f t="shared" si="2"/>
        <v>Dynamic</v>
      </c>
      <c r="F17" t="str">
        <f ca="1">IF(AND(ISNUMBER($F$526),$B$511=1),$F$526,HLOOKUP(INDIRECT(ADDRESS(2,COLUMN())),OFFSET($BN$2,0,0,ROW()-1,60),ROW()-1,FALSE))</f>
        <v/>
      </c>
      <c r="G17">
        <f ca="1">IF(AND(ISNUMBER($G$526),$B$511=1),$G$526,HLOOKUP(INDIRECT(ADDRESS(2,COLUMN())),OFFSET($BN$2,0,0,ROW()-1,60),ROW()-1,FALSE))</f>
        <v>1.0247283780000001</v>
      </c>
      <c r="H17">
        <f ca="1">IF(AND(ISNUMBER($H$526),$B$511=1),$H$526,HLOOKUP(INDIRECT(ADDRESS(2,COLUMN())),OFFSET($BN$2,0,0,ROW()-1,60),ROW()-1,FALSE))</f>
        <v>1.189596171</v>
      </c>
      <c r="I17">
        <f ca="1">IF(AND(ISNUMBER($I$526),$B$511=1),$I$526,HLOOKUP(INDIRECT(ADDRESS(2,COLUMN())),OFFSET($BN$2,0,0,ROW()-1,60),ROW()-1,FALSE))</f>
        <v>1.3165174610000001</v>
      </c>
      <c r="J17">
        <f ca="1">IF(AND(ISNUMBER($J$526),$B$511=1),$J$526,HLOOKUP(INDIRECT(ADDRESS(2,COLUMN())),OFFSET($BN$2,0,0,ROW()-1,60),ROW()-1,FALSE))</f>
        <v>1.283737406</v>
      </c>
      <c r="K17">
        <f ca="1">IF(AND(ISNUMBER($K$526),$B$511=1),$K$526,HLOOKUP(INDIRECT(ADDRESS(2,COLUMN())),OFFSET($BN$2,0,0,ROW()-1,60),ROW()-1,FALSE))</f>
        <v>1.167872485</v>
      </c>
      <c r="L17">
        <f ca="1">IF(AND(ISNUMBER($L$526),$B$511=1),$L$526,HLOOKUP(INDIRECT(ADDRESS(2,COLUMN())),OFFSET($BN$2,0,0,ROW()-1,60),ROW()-1,FALSE))</f>
        <v>1.0570302</v>
      </c>
      <c r="M17">
        <f ca="1">IF(AND(ISNUMBER($M$526),$B$511=1),$M$526,HLOOKUP(INDIRECT(ADDRESS(2,COLUMN())),OFFSET($BN$2,0,0,ROW()-1,60),ROW()-1,FALSE))</f>
        <v>0.96057182299999999</v>
      </c>
      <c r="N17">
        <f ca="1">IF(AND(ISNUMBER($N$526),$B$511=1),$N$526,HLOOKUP(INDIRECT(ADDRESS(2,COLUMN())),OFFSET($BN$2,0,0,ROW()-1,60),ROW()-1,FALSE))</f>
        <v>0.922072805</v>
      </c>
      <c r="O17">
        <f ca="1">IF(AND(ISNUMBER($O$526),$B$511=1),$O$526,HLOOKUP(INDIRECT(ADDRESS(2,COLUMN())),OFFSET($BN$2,0,0,ROW()-1,60),ROW()-1,FALSE))</f>
        <v>0.90800049000000005</v>
      </c>
      <c r="P17">
        <f ca="1">IF(AND(ISNUMBER($P$526),$B$511=1),$P$526,HLOOKUP(INDIRECT(ADDRESS(2,COLUMN())),OFFSET($BN$2,0,0,ROW()-1,60),ROW()-1,FALSE))</f>
        <v>0.90151670500000003</v>
      </c>
      <c r="Q17">
        <f ca="1">IF(AND(ISNUMBER($Q$526),$B$511=1),$Q$526,HLOOKUP(INDIRECT(ADDRESS(2,COLUMN())),OFFSET($BN$2,0,0,ROW()-1,60),ROW()-1,FALSE))</f>
        <v>0.88738747299999998</v>
      </c>
      <c r="R17">
        <f ca="1">IF(AND(ISNUMBER($R$526),$B$511=1),$R$526,HLOOKUP(INDIRECT(ADDRESS(2,COLUMN())),OFFSET($BN$2,0,0,ROW()-1,60),ROW()-1,FALSE))</f>
        <v>0.819383168</v>
      </c>
      <c r="S17">
        <f ca="1">IF(AND(ISNUMBER($S$526),$B$511=1),$S$526,HLOOKUP(INDIRECT(ADDRESS(2,COLUMN())),OFFSET($BN$2,0,0,ROW()-1,60),ROW()-1,FALSE))</f>
        <v>0.88714754600000001</v>
      </c>
      <c r="T17">
        <f ca="1">IF(AND(ISNUMBER($T$526),$B$511=1),$T$526,HLOOKUP(INDIRECT(ADDRESS(2,COLUMN())),OFFSET($BN$2,0,0,ROW()-1,60),ROW()-1,FALSE))</f>
        <v>0.75729169200000002</v>
      </c>
      <c r="U17">
        <f ca="1">IF(AND(ISNUMBER($U$526),$B$511=1),$U$526,HLOOKUP(INDIRECT(ADDRESS(2,COLUMN())),OFFSET($BN$2,0,0,ROW()-1,60),ROW()-1,FALSE))</f>
        <v>0.78090033800000003</v>
      </c>
      <c r="V17">
        <f ca="1">IF(AND(ISNUMBER($V$526),$B$511=1),$V$526,HLOOKUP(INDIRECT(ADDRESS(2,COLUMN())),OFFSET($BN$2,0,0,ROW()-1,60),ROW()-1,FALSE))</f>
        <v>0.79654776000000005</v>
      </c>
      <c r="W17">
        <f ca="1">IF(AND(ISNUMBER($W$526),$B$511=1),$W$526,HLOOKUP(INDIRECT(ADDRESS(2,COLUMN())),OFFSET($BN$2,0,0,ROW()-1,60),ROW()-1,FALSE))</f>
        <v>0.779142008</v>
      </c>
      <c r="X17">
        <f ca="1">IF(AND(ISNUMBER($X$526),$B$511=1),$X$526,HLOOKUP(INDIRECT(ADDRESS(2,COLUMN())),OFFSET($BN$2,0,0,ROW()-1,60),ROW()-1,FALSE))</f>
        <v>0.81721511899999999</v>
      </c>
      <c r="Y17">
        <f ca="1">IF(AND(ISNUMBER($Y$526),$B$511=1),$Y$526,HLOOKUP(INDIRECT(ADDRESS(2,COLUMN())),OFFSET($BN$2,0,0,ROW()-1,60),ROW()-1,FALSE))</f>
        <v>0.77579695699999995</v>
      </c>
      <c r="Z17">
        <f ca="1">IF(AND(ISNUMBER($Z$526),$B$511=1),$Z$526,HLOOKUP(INDIRECT(ADDRESS(2,COLUMN())),OFFSET($BN$2,0,0,ROW()-1,60),ROW()-1,FALSE))</f>
        <v>0.95807500999999995</v>
      </c>
      <c r="AA17">
        <f ca="1">IF(AND(ISNUMBER($AA$526),$B$511=1),$AA$526,HLOOKUP(INDIRECT(ADDRESS(2,COLUMN())),OFFSET($BN$2,0,0,ROW()-1,60),ROW()-1,FALSE))</f>
        <v>0.96766051099999995</v>
      </c>
      <c r="AB17">
        <f ca="1">IF(AND(ISNUMBER($AB$526),$B$511=1),$AB$526,HLOOKUP(INDIRECT(ADDRESS(2,COLUMN())),OFFSET($BN$2,0,0,ROW()-1,60),ROW()-1,FALSE))</f>
        <v>1.1105437279999999</v>
      </c>
      <c r="AC17">
        <f ca="1">IF(AND(ISNUMBER($AC$526),$B$511=1),$AC$526,HLOOKUP(INDIRECT(ADDRESS(2,COLUMN())),OFFSET($BN$2,0,0,ROW()-1,60),ROW()-1,FALSE))</f>
        <v>1.2388242759999999</v>
      </c>
      <c r="AD17">
        <f ca="1">IF(AND(ISNUMBER($AD$526),$B$511=1),$AD$526,HLOOKUP(INDIRECT(ADDRESS(2,COLUMN())),OFFSET($BN$2,0,0,ROW()-1,60),ROW()-1,FALSE))</f>
        <v>1.100943327</v>
      </c>
      <c r="AE17">
        <f ca="1">IF(AND(ISNUMBER($AE$526),$B$511=1),$AE$526,HLOOKUP(INDIRECT(ADDRESS(2,COLUMN())),OFFSET($BN$2,0,0,ROW()-1,60),ROW()-1,FALSE))</f>
        <v>1.081547086</v>
      </c>
      <c r="AF17">
        <f ca="1">IF(AND(ISNUMBER($AF$526),$B$511=1),$AF$526,HLOOKUP(INDIRECT(ADDRESS(2,COLUMN())),OFFSET($BN$2,0,0,ROW()-1,60),ROW()-1,FALSE))</f>
        <v>1.0013074470000001</v>
      </c>
      <c r="AG17">
        <f ca="1">IF(AND(ISNUMBER($AG$526),$B$511=1),$AG$526,HLOOKUP(INDIRECT(ADDRESS(2,COLUMN())),OFFSET($BN$2,0,0,ROW()-1,60),ROW()-1,FALSE))</f>
        <v>1.0558929210000001</v>
      </c>
      <c r="AH17">
        <f ca="1">IF(AND(ISNUMBER($AH$526),$B$511=1),$AH$526,HLOOKUP(INDIRECT(ADDRESS(2,COLUMN())),OFFSET($BN$2,0,0,ROW()-1,60),ROW()-1,FALSE))</f>
        <v>1.12917731</v>
      </c>
      <c r="AI17">
        <f ca="1">IF(AND(ISNUMBER($AI$526),$B$511=1),$AI$526,HLOOKUP(INDIRECT(ADDRESS(2,COLUMN())),OFFSET($BN$2,0,0,ROW()-1,60),ROW()-1,FALSE))</f>
        <v>1.1787407519999999</v>
      </c>
      <c r="AJ17">
        <f ca="1">IF(AND(ISNUMBER($AJ$526),$B$511=1),$AJ$526,HLOOKUP(INDIRECT(ADDRESS(2,COLUMN())),OFFSET($BN$2,0,0,ROW()-1,60),ROW()-1,FALSE))</f>
        <v>1.3201919049999999</v>
      </c>
      <c r="AK17">
        <f ca="1">IF(AND(ISNUMBER($AK$526),$B$511=1),$AK$526,HLOOKUP(INDIRECT(ADDRESS(2,COLUMN())),OFFSET($BN$2,0,0,ROW()-1,60),ROW()-1,FALSE))</f>
        <v>1.2483164090000001</v>
      </c>
      <c r="AL17">
        <f ca="1">IF(AND(ISNUMBER($AL$526),$B$511=1),$AL$526,HLOOKUP(INDIRECT(ADDRESS(2,COLUMN())),OFFSET($BN$2,0,0,ROW()-1,60),ROW()-1,FALSE))</f>
        <v>1.1340296620000001</v>
      </c>
      <c r="AM17">
        <f ca="1">IF(AND(ISNUMBER($AM$526),$B$511=1),$AM$526,HLOOKUP(INDIRECT(ADDRESS(2,COLUMN())),OFFSET($BN$2,0,0,ROW()-1,60),ROW()-1,FALSE))</f>
        <v>0.95552670500000003</v>
      </c>
      <c r="AN17">
        <f ca="1">IF(AND(ISNUMBER($AN$526),$B$511=1),$AN$526,HLOOKUP(INDIRECT(ADDRESS(2,COLUMN())),OFFSET($BN$2,0,0,ROW()-1,60),ROW()-1,FALSE))</f>
        <v>0.81736578699999995</v>
      </c>
      <c r="AO17">
        <f ca="1">IF(AND(ISNUMBER($AO$526),$B$511=1),$AO$526,HLOOKUP(INDIRECT(ADDRESS(2,COLUMN())),OFFSET($BN$2,0,0,ROW()-1,60),ROW()-1,FALSE))</f>
        <v>0.78237028500000005</v>
      </c>
      <c r="AP17">
        <f ca="1">IF(AND(ISNUMBER($AP$526),$B$511=1),$AP$526,HLOOKUP(INDIRECT(ADDRESS(2,COLUMN())),OFFSET($BN$2,0,0,ROW()-1,60),ROW()-1,FALSE))</f>
        <v>0.70304850600000002</v>
      </c>
      <c r="AQ17">
        <f ca="1">IF(AND(ISNUMBER($AQ$526),$B$511=1),$AQ$526,HLOOKUP(INDIRECT(ADDRESS(2,COLUMN())),OFFSET($BN$2,0,0,ROW()-1,60),ROW()-1,FALSE))</f>
        <v>0.61518467499999996</v>
      </c>
      <c r="AR17" t="str">
        <f ca="1">IF(AND(ISNUMBER($AR$526),$B$511=1),$AR$526,HLOOKUP(INDIRECT(ADDRESS(2,COLUMN())),OFFSET($BN$2,0,0,ROW()-1,60),ROW()-1,FALSE))</f>
        <v/>
      </c>
      <c r="AS17" t="str">
        <f ca="1">IF(AND(ISNUMBER($AS$526),$B$511=1),$AS$526,HLOOKUP(INDIRECT(ADDRESS(2,COLUMN())),OFFSET($BN$2,0,0,ROW()-1,60),ROW()-1,FALSE))</f>
        <v/>
      </c>
      <c r="AT17" t="str">
        <f ca="1">IF(AND(ISNUMBER($AT$526),$B$511=1),$AT$526,HLOOKUP(INDIRECT(ADDRESS(2,COLUMN())),OFFSET($BN$2,0,0,ROW()-1,60),ROW()-1,FALSE))</f>
        <v/>
      </c>
      <c r="AU17" t="str">
        <f ca="1">IF(AND(ISNUMBER($AU$526),$B$511=1),$AU$526,HLOOKUP(INDIRECT(ADDRESS(2,COLUMN())),OFFSET($BN$2,0,0,ROW()-1,60),ROW()-1,FALSE))</f>
        <v/>
      </c>
      <c r="AV17" t="str">
        <f ca="1">IF(AND(ISNUMBER($AV$526),$B$511=1),$AV$526,HLOOKUP(INDIRECT(ADDRESS(2,COLUMN())),OFFSET($BN$2,0,0,ROW()-1,60),ROW()-1,FALSE))</f>
        <v/>
      </c>
      <c r="AW17" t="str">
        <f ca="1">IF(AND(ISNUMBER($AW$526),$B$511=1),$AW$526,HLOOKUP(INDIRECT(ADDRESS(2,COLUMN())),OFFSET($BN$2,0,0,ROW()-1,60),ROW()-1,FALSE))</f>
        <v/>
      </c>
      <c r="AX17" t="str">
        <f ca="1">IF(AND(ISNUMBER($AX$526),$B$511=1),$AX$526,HLOOKUP(INDIRECT(ADDRESS(2,COLUMN())),OFFSET($BN$2,0,0,ROW()-1,60),ROW()-1,FALSE))</f>
        <v/>
      </c>
      <c r="AY17" t="str">
        <f ca="1">IF(AND(ISNUMBER($AY$526),$B$511=1),$AY$526,HLOOKUP(INDIRECT(ADDRESS(2,COLUMN())),OFFSET($BN$2,0,0,ROW()-1,60),ROW()-1,FALSE))</f>
        <v/>
      </c>
      <c r="AZ17" t="str">
        <f ca="1">IF(AND(ISNUMBER($AZ$526),$B$511=1),$AZ$526,HLOOKUP(INDIRECT(ADDRESS(2,COLUMN())),OFFSET($BN$2,0,0,ROW()-1,60),ROW()-1,FALSE))</f>
        <v/>
      </c>
      <c r="BA17" t="str">
        <f ca="1">IF(AND(ISNUMBER($BA$526),$B$511=1),$BA$526,HLOOKUP(INDIRECT(ADDRESS(2,COLUMN())),OFFSET($BN$2,0,0,ROW()-1,60),ROW()-1,FALSE))</f>
        <v/>
      </c>
      <c r="BB17" t="str">
        <f ca="1">IF(AND(ISNUMBER($BB$526),$B$511=1),$BB$526,HLOOKUP(INDIRECT(ADDRESS(2,COLUMN())),OFFSET($BN$2,0,0,ROW()-1,60),ROW()-1,FALSE))</f>
        <v/>
      </c>
      <c r="BC17" t="str">
        <f ca="1">IF(AND(ISNUMBER($BC$526),$B$511=1),$BC$526,HLOOKUP(INDIRECT(ADDRESS(2,COLUMN())),OFFSET($BN$2,0,0,ROW()-1,60),ROW()-1,FALSE))</f>
        <v/>
      </c>
      <c r="BD17" t="str">
        <f ca="1">IF(AND(ISNUMBER($BD$526),$B$511=1),$BD$526,HLOOKUP(INDIRECT(ADDRESS(2,COLUMN())),OFFSET($BN$2,0,0,ROW()-1,60),ROW()-1,FALSE))</f>
        <v/>
      </c>
      <c r="BE17" t="str">
        <f ca="1">IF(AND(ISNUMBER($BE$526),$B$511=1),$BE$526,HLOOKUP(INDIRECT(ADDRESS(2,COLUMN())),OFFSET($BN$2,0,0,ROW()-1,60),ROW()-1,FALSE))</f>
        <v/>
      </c>
      <c r="BF17" t="str">
        <f ca="1">IF(AND(ISNUMBER($BF$526),$B$511=1),$BF$526,HLOOKUP(INDIRECT(ADDRESS(2,COLUMN())),OFFSET($BN$2,0,0,ROW()-1,60),ROW()-1,FALSE))</f>
        <v/>
      </c>
      <c r="BG17" t="str">
        <f ca="1">IF(AND(ISNUMBER($BG$526),$B$511=1),$BG$526,HLOOKUP(INDIRECT(ADDRESS(2,COLUMN())),OFFSET($BN$2,0,0,ROW()-1,60),ROW()-1,FALSE))</f>
        <v/>
      </c>
      <c r="BH17" t="str">
        <f ca="1">IF(AND(ISNUMBER($BH$526),$B$511=1),$BH$526,HLOOKUP(INDIRECT(ADDRESS(2,COLUMN())),OFFSET($BN$2,0,0,ROW()-1,60),ROW()-1,FALSE))</f>
        <v/>
      </c>
      <c r="BI17" t="str">
        <f ca="1">IF(AND(ISNUMBER($BI$526),$B$511=1),$BI$526,HLOOKUP(INDIRECT(ADDRESS(2,COLUMN())),OFFSET($BN$2,0,0,ROW()-1,60),ROW()-1,FALSE))</f>
        <v/>
      </c>
      <c r="BJ17" t="str">
        <f ca="1">IF(AND(ISNUMBER($BJ$526),$B$511=1),$BJ$526,HLOOKUP(INDIRECT(ADDRESS(2,COLUMN())),OFFSET($BN$2,0,0,ROW()-1,60),ROW()-1,FALSE))</f>
        <v/>
      </c>
      <c r="BK17" t="str">
        <f ca="1">IF(AND(ISNUMBER($BK$526),$B$511=1),$BK$526,HLOOKUP(INDIRECT(ADDRESS(2,COLUMN())),OFFSET($BN$2,0,0,ROW()-1,60),ROW()-1,FALSE))</f>
        <v/>
      </c>
      <c r="BL17" t="str">
        <f ca="1">IF(AND(ISNUMBER($BL$526),$B$511=1),$BL$526,HLOOKUP(INDIRECT(ADDRESS(2,COLUMN())),OFFSET($BN$2,0,0,ROW()-1,60),ROW()-1,FALSE))</f>
        <v/>
      </c>
      <c r="BM17" t="str">
        <f ca="1">IF(AND(ISNUMBER($BM$526),$B$511=1),$BM$526,HLOOKUP(INDIRECT(ADDRESS(2,COLUMN())),OFFSET($BN$2,0,0,ROW()-1,60),ROW()-1,FALSE))</f>
        <v/>
      </c>
      <c r="BN17" t="str">
        <f>""</f>
        <v/>
      </c>
      <c r="BO17">
        <f>1.024728378</f>
        <v>1.0247283780000001</v>
      </c>
      <c r="BP17">
        <f>1.189596171</f>
        <v>1.189596171</v>
      </c>
      <c r="BQ17">
        <f>1.316517461</f>
        <v>1.3165174610000001</v>
      </c>
      <c r="BR17">
        <f>1.283737406</f>
        <v>1.283737406</v>
      </c>
      <c r="BS17">
        <f>1.167872485</f>
        <v>1.167872485</v>
      </c>
      <c r="BT17">
        <f>1.0570302</f>
        <v>1.0570302</v>
      </c>
      <c r="BU17">
        <f>0.960571823</f>
        <v>0.96057182299999999</v>
      </c>
      <c r="BV17">
        <f>0.922072805</f>
        <v>0.922072805</v>
      </c>
      <c r="BW17">
        <f>0.90800049</f>
        <v>0.90800049000000005</v>
      </c>
      <c r="BX17">
        <f>0.901516705</f>
        <v>0.90151670500000003</v>
      </c>
      <c r="BY17">
        <f>0.887387473</f>
        <v>0.88738747299999998</v>
      </c>
      <c r="BZ17">
        <f>0.819383168</f>
        <v>0.819383168</v>
      </c>
      <c r="CA17">
        <f>0.887147546</f>
        <v>0.88714754600000001</v>
      </c>
      <c r="CB17">
        <f>0.757291692</f>
        <v>0.75729169200000002</v>
      </c>
      <c r="CC17">
        <f>0.780900338</f>
        <v>0.78090033800000003</v>
      </c>
      <c r="CD17">
        <f>0.79654776</f>
        <v>0.79654776000000005</v>
      </c>
      <c r="CE17">
        <f>0.779142008</f>
        <v>0.779142008</v>
      </c>
      <c r="CF17">
        <f>0.817215119</f>
        <v>0.81721511899999999</v>
      </c>
      <c r="CG17">
        <f>0.775796957</f>
        <v>0.77579695699999995</v>
      </c>
      <c r="CH17">
        <f>0.95807501</f>
        <v>0.95807500999999995</v>
      </c>
      <c r="CI17">
        <f>0.967660511</f>
        <v>0.96766051099999995</v>
      </c>
      <c r="CJ17">
        <f>1.110543728</f>
        <v>1.1105437279999999</v>
      </c>
      <c r="CK17">
        <f>1.238824276</f>
        <v>1.2388242759999999</v>
      </c>
      <c r="CL17">
        <f>1.100943327</f>
        <v>1.100943327</v>
      </c>
      <c r="CM17">
        <f>1.081547086</f>
        <v>1.081547086</v>
      </c>
      <c r="CN17">
        <f>1.001307447</f>
        <v>1.0013074470000001</v>
      </c>
      <c r="CO17">
        <f>1.055892921</f>
        <v>1.0558929210000001</v>
      </c>
      <c r="CP17">
        <f>1.12917731</f>
        <v>1.12917731</v>
      </c>
      <c r="CQ17">
        <f>1.178740752</f>
        <v>1.1787407519999999</v>
      </c>
      <c r="CR17">
        <f>1.320191905</f>
        <v>1.3201919049999999</v>
      </c>
      <c r="CS17">
        <f>1.248316409</f>
        <v>1.2483164090000001</v>
      </c>
      <c r="CT17">
        <f>1.134029662</f>
        <v>1.1340296620000001</v>
      </c>
      <c r="CU17">
        <f>0.955526705</f>
        <v>0.95552670500000003</v>
      </c>
      <c r="CV17">
        <f>0.817365787</f>
        <v>0.81736578699999995</v>
      </c>
      <c r="CW17">
        <f>0.782370285</f>
        <v>0.78237028500000005</v>
      </c>
      <c r="CX17">
        <f>0.703048506</f>
        <v>0.70304850600000002</v>
      </c>
      <c r="CY17">
        <f>0.615184675</f>
        <v>0.61518467499999996</v>
      </c>
      <c r="CZ17" t="str">
        <f>""</f>
        <v/>
      </c>
      <c r="DA17" t="str">
        <f>""</f>
        <v/>
      </c>
      <c r="DB17" t="str">
        <f>""</f>
        <v/>
      </c>
      <c r="DC17" t="str">
        <f>""</f>
        <v/>
      </c>
      <c r="DD17" t="str">
        <f>""</f>
        <v/>
      </c>
      <c r="DE17" t="str">
        <f>""</f>
        <v/>
      </c>
      <c r="DF17" t="str">
        <f>""</f>
        <v/>
      </c>
      <c r="DG17" t="str">
        <f>""</f>
        <v/>
      </c>
      <c r="DH17" t="str">
        <f>""</f>
        <v/>
      </c>
      <c r="DI17" t="str">
        <f>""</f>
        <v/>
      </c>
      <c r="DJ17" t="str">
        <f>""</f>
        <v/>
      </c>
      <c r="DK17" t="str">
        <f>""</f>
        <v/>
      </c>
      <c r="DL17" t="str">
        <f>""</f>
        <v/>
      </c>
      <c r="DM17" t="str">
        <f>""</f>
        <v/>
      </c>
      <c r="DN17" t="str">
        <f>""</f>
        <v/>
      </c>
      <c r="DO17" t="str">
        <f>""</f>
        <v/>
      </c>
      <c r="DP17" t="str">
        <f>""</f>
        <v/>
      </c>
      <c r="DQ17" t="str">
        <f>""</f>
        <v/>
      </c>
      <c r="DR17" t="str">
        <f>""</f>
        <v/>
      </c>
      <c r="DS17" t="str">
        <f>""</f>
        <v/>
      </c>
      <c r="DT17" t="str">
        <f>""</f>
        <v/>
      </c>
      <c r="DU17" t="str">
        <f>""</f>
        <v/>
      </c>
    </row>
    <row r="18" spans="1:125" x14ac:dyDescent="0.25">
      <c r="A18" t="str">
        <f>"    GAZ PJSC"</f>
        <v xml:space="preserve">    GAZ PJSC</v>
      </c>
      <c r="B18" t="str">
        <f>"GAZA RM Equity"</f>
        <v>GAZA RM Equity</v>
      </c>
      <c r="C18" t="str">
        <f t="shared" si="0"/>
        <v>RR844</v>
      </c>
      <c r="D18" t="str">
        <f t="shared" si="1"/>
        <v>T12M_DIL_EPS_CONT_OPS</v>
      </c>
      <c r="E18" t="str">
        <f t="shared" si="2"/>
        <v>Dynamic</v>
      </c>
      <c r="F18" t="str">
        <f ca="1">IF(AND(ISNUMBER($F$527),$B$511=1),$F$527,HLOOKUP(INDIRECT(ADDRESS(2,COLUMN())),OFFSET($BN$2,0,0,ROW()-1,60),ROW()-1,FALSE))</f>
        <v/>
      </c>
      <c r="G18" t="str">
        <f ca="1">IF(AND(ISNUMBER($G$527),$B$511=1),$G$527,HLOOKUP(INDIRECT(ADDRESS(2,COLUMN())),OFFSET($BN$2,0,0,ROW()-1,60),ROW()-1,FALSE))</f>
        <v/>
      </c>
      <c r="H18" t="str">
        <f ca="1">IF(AND(ISNUMBER($H$527),$B$511=1),$H$527,HLOOKUP(INDIRECT(ADDRESS(2,COLUMN())),OFFSET($BN$2,0,0,ROW()-1,60),ROW()-1,FALSE))</f>
        <v/>
      </c>
      <c r="I18" t="str">
        <f ca="1">IF(AND(ISNUMBER($I$527),$B$511=1),$I$527,HLOOKUP(INDIRECT(ADDRESS(2,COLUMN())),OFFSET($BN$2,0,0,ROW()-1,60),ROW()-1,FALSE))</f>
        <v/>
      </c>
      <c r="J18" t="str">
        <f ca="1">IF(AND(ISNUMBER($J$527),$B$511=1),$J$527,HLOOKUP(INDIRECT(ADDRESS(2,COLUMN())),OFFSET($BN$2,0,0,ROW()-1,60),ROW()-1,FALSE))</f>
        <v/>
      </c>
      <c r="K18" t="str">
        <f ca="1">IF(AND(ISNUMBER($K$527),$B$511=1),$K$527,HLOOKUP(INDIRECT(ADDRESS(2,COLUMN())),OFFSET($BN$2,0,0,ROW()-1,60),ROW()-1,FALSE))</f>
        <v/>
      </c>
      <c r="L18" t="str">
        <f ca="1">IF(AND(ISNUMBER($L$527),$B$511=1),$L$527,HLOOKUP(INDIRECT(ADDRESS(2,COLUMN())),OFFSET($BN$2,0,0,ROW()-1,60),ROW()-1,FALSE))</f>
        <v/>
      </c>
      <c r="M18" t="str">
        <f ca="1">IF(AND(ISNUMBER($M$527),$B$511=1),$M$527,HLOOKUP(INDIRECT(ADDRESS(2,COLUMN())),OFFSET($BN$2,0,0,ROW()-1,60),ROW()-1,FALSE))</f>
        <v/>
      </c>
      <c r="N18" t="str">
        <f ca="1">IF(AND(ISNUMBER($N$527),$B$511=1),$N$527,HLOOKUP(INDIRECT(ADDRESS(2,COLUMN())),OFFSET($BN$2,0,0,ROW()-1,60),ROW()-1,FALSE))</f>
        <v/>
      </c>
      <c r="O18" t="str">
        <f ca="1">IF(AND(ISNUMBER($O$527),$B$511=1),$O$527,HLOOKUP(INDIRECT(ADDRESS(2,COLUMN())),OFFSET($BN$2,0,0,ROW()-1,60),ROW()-1,FALSE))</f>
        <v/>
      </c>
      <c r="P18" t="str">
        <f ca="1">IF(AND(ISNUMBER($P$527),$B$511=1),$P$527,HLOOKUP(INDIRECT(ADDRESS(2,COLUMN())),OFFSET($BN$2,0,0,ROW()-1,60),ROW()-1,FALSE))</f>
        <v/>
      </c>
      <c r="Q18" t="str">
        <f ca="1">IF(AND(ISNUMBER($Q$527),$B$511=1),$Q$527,HLOOKUP(INDIRECT(ADDRESS(2,COLUMN())),OFFSET($BN$2,0,0,ROW()-1,60),ROW()-1,FALSE))</f>
        <v/>
      </c>
      <c r="R18" t="str">
        <f ca="1">IF(AND(ISNUMBER($R$527),$B$511=1),$R$527,HLOOKUP(INDIRECT(ADDRESS(2,COLUMN())),OFFSET($BN$2,0,0,ROW()-1,60),ROW()-1,FALSE))</f>
        <v/>
      </c>
      <c r="S18" t="str">
        <f ca="1">IF(AND(ISNUMBER($S$527),$B$511=1),$S$527,HLOOKUP(INDIRECT(ADDRESS(2,COLUMN())),OFFSET($BN$2,0,0,ROW()-1,60),ROW()-1,FALSE))</f>
        <v/>
      </c>
      <c r="T18" t="str">
        <f ca="1">IF(AND(ISNUMBER($T$527),$B$511=1),$T$527,HLOOKUP(INDIRECT(ADDRESS(2,COLUMN())),OFFSET($BN$2,0,0,ROW()-1,60),ROW()-1,FALSE))</f>
        <v/>
      </c>
      <c r="U18" t="str">
        <f ca="1">IF(AND(ISNUMBER($U$527),$B$511=1),$U$527,HLOOKUP(INDIRECT(ADDRESS(2,COLUMN())),OFFSET($BN$2,0,0,ROW()-1,60),ROW()-1,FALSE))</f>
        <v/>
      </c>
      <c r="V18" t="str">
        <f ca="1">IF(AND(ISNUMBER($V$527),$B$511=1),$V$527,HLOOKUP(INDIRECT(ADDRESS(2,COLUMN())),OFFSET($BN$2,0,0,ROW()-1,60),ROW()-1,FALSE))</f>
        <v/>
      </c>
      <c r="W18" t="str">
        <f ca="1">IF(AND(ISNUMBER($W$527),$B$511=1),$W$527,HLOOKUP(INDIRECT(ADDRESS(2,COLUMN())),OFFSET($BN$2,0,0,ROW()-1,60),ROW()-1,FALSE))</f>
        <v/>
      </c>
      <c r="X18" t="str">
        <f ca="1">IF(AND(ISNUMBER($X$527),$B$511=1),$X$527,HLOOKUP(INDIRECT(ADDRESS(2,COLUMN())),OFFSET($BN$2,0,0,ROW()-1,60),ROW()-1,FALSE))</f>
        <v/>
      </c>
      <c r="Y18" t="str">
        <f ca="1">IF(AND(ISNUMBER($Y$527),$B$511=1),$Y$527,HLOOKUP(INDIRECT(ADDRESS(2,COLUMN())),OFFSET($BN$2,0,0,ROW()-1,60),ROW()-1,FALSE))</f>
        <v/>
      </c>
      <c r="Z18" t="str">
        <f ca="1">IF(AND(ISNUMBER($Z$527),$B$511=1),$Z$527,HLOOKUP(INDIRECT(ADDRESS(2,COLUMN())),OFFSET($BN$2,0,0,ROW()-1,60),ROW()-1,FALSE))</f>
        <v/>
      </c>
      <c r="AA18" t="str">
        <f ca="1">IF(AND(ISNUMBER($AA$527),$B$511=1),$AA$527,HLOOKUP(INDIRECT(ADDRESS(2,COLUMN())),OFFSET($BN$2,0,0,ROW()-1,60),ROW()-1,FALSE))</f>
        <v/>
      </c>
      <c r="AB18" t="str">
        <f ca="1">IF(AND(ISNUMBER($AB$527),$B$511=1),$AB$527,HLOOKUP(INDIRECT(ADDRESS(2,COLUMN())),OFFSET($BN$2,0,0,ROW()-1,60),ROW()-1,FALSE))</f>
        <v/>
      </c>
      <c r="AC18" t="str">
        <f ca="1">IF(AND(ISNUMBER($AC$527),$B$511=1),$AC$527,HLOOKUP(INDIRECT(ADDRESS(2,COLUMN())),OFFSET($BN$2,0,0,ROW()-1,60),ROW()-1,FALSE))</f>
        <v/>
      </c>
      <c r="AD18" t="str">
        <f ca="1">IF(AND(ISNUMBER($AD$527),$B$511=1),$AD$527,HLOOKUP(INDIRECT(ADDRESS(2,COLUMN())),OFFSET($BN$2,0,0,ROW()-1,60),ROW()-1,FALSE))</f>
        <v/>
      </c>
      <c r="AE18" t="str">
        <f ca="1">IF(AND(ISNUMBER($AE$527),$B$511=1),$AE$527,HLOOKUP(INDIRECT(ADDRESS(2,COLUMN())),OFFSET($BN$2,0,0,ROW()-1,60),ROW()-1,FALSE))</f>
        <v/>
      </c>
      <c r="AF18" t="str">
        <f ca="1">IF(AND(ISNUMBER($AF$527),$B$511=1),$AF$527,HLOOKUP(INDIRECT(ADDRESS(2,COLUMN())),OFFSET($BN$2,0,0,ROW()-1,60),ROW()-1,FALSE))</f>
        <v/>
      </c>
      <c r="AG18" t="str">
        <f ca="1">IF(AND(ISNUMBER($AG$527),$B$511=1),$AG$527,HLOOKUP(INDIRECT(ADDRESS(2,COLUMN())),OFFSET($BN$2,0,0,ROW()-1,60),ROW()-1,FALSE))</f>
        <v/>
      </c>
      <c r="AH18" t="str">
        <f ca="1">IF(AND(ISNUMBER($AH$527),$B$511=1),$AH$527,HLOOKUP(INDIRECT(ADDRESS(2,COLUMN())),OFFSET($BN$2,0,0,ROW()-1,60),ROW()-1,FALSE))</f>
        <v/>
      </c>
      <c r="AI18" t="str">
        <f ca="1">IF(AND(ISNUMBER($AI$527),$B$511=1),$AI$527,HLOOKUP(INDIRECT(ADDRESS(2,COLUMN())),OFFSET($BN$2,0,0,ROW()-1,60),ROW()-1,FALSE))</f>
        <v/>
      </c>
      <c r="AJ18" t="str">
        <f ca="1">IF(AND(ISNUMBER($AJ$527),$B$511=1),$AJ$527,HLOOKUP(INDIRECT(ADDRESS(2,COLUMN())),OFFSET($BN$2,0,0,ROW()-1,60),ROW()-1,FALSE))</f>
        <v/>
      </c>
      <c r="AK18" t="str">
        <f ca="1">IF(AND(ISNUMBER($AK$527),$B$511=1),$AK$527,HLOOKUP(INDIRECT(ADDRESS(2,COLUMN())),OFFSET($BN$2,0,0,ROW()-1,60),ROW()-1,FALSE))</f>
        <v/>
      </c>
      <c r="AL18" t="str">
        <f ca="1">IF(AND(ISNUMBER($AL$527),$B$511=1),$AL$527,HLOOKUP(INDIRECT(ADDRESS(2,COLUMN())),OFFSET($BN$2,0,0,ROW()-1,60),ROW()-1,FALSE))</f>
        <v/>
      </c>
      <c r="AM18" t="str">
        <f ca="1">IF(AND(ISNUMBER($AM$527),$B$511=1),$AM$527,HLOOKUP(INDIRECT(ADDRESS(2,COLUMN())),OFFSET($BN$2,0,0,ROW()-1,60),ROW()-1,FALSE))</f>
        <v/>
      </c>
      <c r="AN18" t="str">
        <f ca="1">IF(AND(ISNUMBER($AN$527),$B$511=1),$AN$527,HLOOKUP(INDIRECT(ADDRESS(2,COLUMN())),OFFSET($BN$2,0,0,ROW()-1,60),ROW()-1,FALSE))</f>
        <v/>
      </c>
      <c r="AO18" t="str">
        <f ca="1">IF(AND(ISNUMBER($AO$527),$B$511=1),$AO$527,HLOOKUP(INDIRECT(ADDRESS(2,COLUMN())),OFFSET($BN$2,0,0,ROW()-1,60),ROW()-1,FALSE))</f>
        <v/>
      </c>
      <c r="AP18" t="str">
        <f ca="1">IF(AND(ISNUMBER($AP$527),$B$511=1),$AP$527,HLOOKUP(INDIRECT(ADDRESS(2,COLUMN())),OFFSET($BN$2,0,0,ROW()-1,60),ROW()-1,FALSE))</f>
        <v/>
      </c>
      <c r="AQ18" t="str">
        <f ca="1">IF(AND(ISNUMBER($AQ$527),$B$511=1),$AQ$527,HLOOKUP(INDIRECT(ADDRESS(2,COLUMN())),OFFSET($BN$2,0,0,ROW()-1,60),ROW()-1,FALSE))</f>
        <v/>
      </c>
      <c r="AR18" t="str">
        <f ca="1">IF(AND(ISNUMBER($AR$527),$B$511=1),$AR$527,HLOOKUP(INDIRECT(ADDRESS(2,COLUMN())),OFFSET($BN$2,0,0,ROW()-1,60),ROW()-1,FALSE))</f>
        <v/>
      </c>
      <c r="AS18" t="str">
        <f ca="1">IF(AND(ISNUMBER($AS$527),$B$511=1),$AS$527,HLOOKUP(INDIRECT(ADDRESS(2,COLUMN())),OFFSET($BN$2,0,0,ROW()-1,60),ROW()-1,FALSE))</f>
        <v/>
      </c>
      <c r="AT18" t="str">
        <f ca="1">IF(AND(ISNUMBER($AT$527),$B$511=1),$AT$527,HLOOKUP(INDIRECT(ADDRESS(2,COLUMN())),OFFSET($BN$2,0,0,ROW()-1,60),ROW()-1,FALSE))</f>
        <v/>
      </c>
      <c r="AU18" t="str">
        <f ca="1">IF(AND(ISNUMBER($AU$527),$B$511=1),$AU$527,HLOOKUP(INDIRECT(ADDRESS(2,COLUMN())),OFFSET($BN$2,0,0,ROW()-1,60),ROW()-1,FALSE))</f>
        <v/>
      </c>
      <c r="AV18" t="str">
        <f ca="1">IF(AND(ISNUMBER($AV$527),$B$511=1),$AV$527,HLOOKUP(INDIRECT(ADDRESS(2,COLUMN())),OFFSET($BN$2,0,0,ROW()-1,60),ROW()-1,FALSE))</f>
        <v/>
      </c>
      <c r="AW18" t="str">
        <f ca="1">IF(AND(ISNUMBER($AW$527),$B$511=1),$AW$527,HLOOKUP(INDIRECT(ADDRESS(2,COLUMN())),OFFSET($BN$2,0,0,ROW()-1,60),ROW()-1,FALSE))</f>
        <v/>
      </c>
      <c r="AX18" t="str">
        <f ca="1">IF(AND(ISNUMBER($AX$527),$B$511=1),$AX$527,HLOOKUP(INDIRECT(ADDRESS(2,COLUMN())),OFFSET($BN$2,0,0,ROW()-1,60),ROW()-1,FALSE))</f>
        <v/>
      </c>
      <c r="AY18" t="str">
        <f ca="1">IF(AND(ISNUMBER($AY$527),$B$511=1),$AY$527,HLOOKUP(INDIRECT(ADDRESS(2,COLUMN())),OFFSET($BN$2,0,0,ROW()-1,60),ROW()-1,FALSE))</f>
        <v/>
      </c>
      <c r="AZ18" t="str">
        <f ca="1">IF(AND(ISNUMBER($AZ$527),$B$511=1),$AZ$527,HLOOKUP(INDIRECT(ADDRESS(2,COLUMN())),OFFSET($BN$2,0,0,ROW()-1,60),ROW()-1,FALSE))</f>
        <v/>
      </c>
      <c r="BA18" t="str">
        <f ca="1">IF(AND(ISNUMBER($BA$527),$B$511=1),$BA$527,HLOOKUP(INDIRECT(ADDRESS(2,COLUMN())),OFFSET($BN$2,0,0,ROW()-1,60),ROW()-1,FALSE))</f>
        <v/>
      </c>
      <c r="BB18" t="str">
        <f ca="1">IF(AND(ISNUMBER($BB$527),$B$511=1),$BB$527,HLOOKUP(INDIRECT(ADDRESS(2,COLUMN())),OFFSET($BN$2,0,0,ROW()-1,60),ROW()-1,FALSE))</f>
        <v/>
      </c>
      <c r="BC18" t="str">
        <f ca="1">IF(AND(ISNUMBER($BC$527),$B$511=1),$BC$527,HLOOKUP(INDIRECT(ADDRESS(2,COLUMN())),OFFSET($BN$2,0,0,ROW()-1,60),ROW()-1,FALSE))</f>
        <v/>
      </c>
      <c r="BD18" t="str">
        <f ca="1">IF(AND(ISNUMBER($BD$527),$B$511=1),$BD$527,HLOOKUP(INDIRECT(ADDRESS(2,COLUMN())),OFFSET($BN$2,0,0,ROW()-1,60),ROW()-1,FALSE))</f>
        <v/>
      </c>
      <c r="BE18" t="str">
        <f ca="1">IF(AND(ISNUMBER($BE$527),$B$511=1),$BE$527,HLOOKUP(INDIRECT(ADDRESS(2,COLUMN())),OFFSET($BN$2,0,0,ROW()-1,60),ROW()-1,FALSE))</f>
        <v/>
      </c>
      <c r="BF18" t="str">
        <f ca="1">IF(AND(ISNUMBER($BF$527),$B$511=1),$BF$527,HLOOKUP(INDIRECT(ADDRESS(2,COLUMN())),OFFSET($BN$2,0,0,ROW()-1,60),ROW()-1,FALSE))</f>
        <v/>
      </c>
      <c r="BG18" t="str">
        <f ca="1">IF(AND(ISNUMBER($BG$527),$B$511=1),$BG$527,HLOOKUP(INDIRECT(ADDRESS(2,COLUMN())),OFFSET($BN$2,0,0,ROW()-1,60),ROW()-1,FALSE))</f>
        <v/>
      </c>
      <c r="BH18" t="str">
        <f ca="1">IF(AND(ISNUMBER($BH$527),$B$511=1),$BH$527,HLOOKUP(INDIRECT(ADDRESS(2,COLUMN())),OFFSET($BN$2,0,0,ROW()-1,60),ROW()-1,FALSE))</f>
        <v/>
      </c>
      <c r="BI18" t="str">
        <f ca="1">IF(AND(ISNUMBER($BI$527),$B$511=1),$BI$527,HLOOKUP(INDIRECT(ADDRESS(2,COLUMN())),OFFSET($BN$2,0,0,ROW()-1,60),ROW()-1,FALSE))</f>
        <v/>
      </c>
      <c r="BJ18" t="str">
        <f ca="1">IF(AND(ISNUMBER($BJ$527),$B$511=1),$BJ$527,HLOOKUP(INDIRECT(ADDRESS(2,COLUMN())),OFFSET($BN$2,0,0,ROW()-1,60),ROW()-1,FALSE))</f>
        <v/>
      </c>
      <c r="BK18" t="str">
        <f ca="1">IF(AND(ISNUMBER($BK$527),$B$511=1),$BK$527,HLOOKUP(INDIRECT(ADDRESS(2,COLUMN())),OFFSET($BN$2,0,0,ROW()-1,60),ROW()-1,FALSE))</f>
        <v/>
      </c>
      <c r="BL18" t="str">
        <f ca="1">IF(AND(ISNUMBER($BL$527),$B$511=1),$BL$527,HLOOKUP(INDIRECT(ADDRESS(2,COLUMN())),OFFSET($BN$2,0,0,ROW()-1,60),ROW()-1,FALSE))</f>
        <v/>
      </c>
      <c r="BM18" t="str">
        <f ca="1">IF(AND(ISNUMBER($BM$527),$B$511=1),$BM$527,HLOOKUP(INDIRECT(ADDRESS(2,COLUMN())),OFFSET($BN$2,0,0,ROW()-1,60),ROW()-1,FALSE))</f>
        <v/>
      </c>
      <c r="BN18" t="str">
        <f>""</f>
        <v/>
      </c>
      <c r="BO18" t="str">
        <f>""</f>
        <v/>
      </c>
      <c r="BP18" t="str">
        <f>""</f>
        <v/>
      </c>
      <c r="BQ18" t="str">
        <f>""</f>
        <v/>
      </c>
      <c r="BR18" t="str">
        <f>""</f>
        <v/>
      </c>
      <c r="BS18" t="str">
        <f>""</f>
        <v/>
      </c>
      <c r="BT18" t="str">
        <f>""</f>
        <v/>
      </c>
      <c r="BU18" t="str">
        <f>""</f>
        <v/>
      </c>
      <c r="BV18" t="str">
        <f>""</f>
        <v/>
      </c>
      <c r="BW18" t="str">
        <f>""</f>
        <v/>
      </c>
      <c r="BX18" t="str">
        <f>""</f>
        <v/>
      </c>
      <c r="BY18" t="str">
        <f>""</f>
        <v/>
      </c>
      <c r="BZ18" t="str">
        <f>""</f>
        <v/>
      </c>
      <c r="CA18" t="str">
        <f>""</f>
        <v/>
      </c>
      <c r="CB18" t="str">
        <f>""</f>
        <v/>
      </c>
      <c r="CC18" t="str">
        <f>""</f>
        <v/>
      </c>
      <c r="CD18" t="str">
        <f>""</f>
        <v/>
      </c>
      <c r="CE18" t="str">
        <f>""</f>
        <v/>
      </c>
      <c r="CF18" t="str">
        <f>""</f>
        <v/>
      </c>
      <c r="CG18" t="str">
        <f>""</f>
        <v/>
      </c>
      <c r="CH18" t="str">
        <f>""</f>
        <v/>
      </c>
      <c r="CI18" t="str">
        <f>""</f>
        <v/>
      </c>
      <c r="CJ18" t="str">
        <f>""</f>
        <v/>
      </c>
      <c r="CK18" t="str">
        <f>""</f>
        <v/>
      </c>
      <c r="CL18" t="str">
        <f>""</f>
        <v/>
      </c>
      <c r="CM18" t="str">
        <f>""</f>
        <v/>
      </c>
      <c r="CN18" t="str">
        <f>""</f>
        <v/>
      </c>
      <c r="CO18" t="str">
        <f>""</f>
        <v/>
      </c>
      <c r="CP18" t="str">
        <f>""</f>
        <v/>
      </c>
      <c r="CQ18" t="str">
        <f>""</f>
        <v/>
      </c>
      <c r="CR18" t="str">
        <f>""</f>
        <v/>
      </c>
      <c r="CS18" t="str">
        <f>""</f>
        <v/>
      </c>
      <c r="CT18" t="str">
        <f>""</f>
        <v/>
      </c>
      <c r="CU18" t="str">
        <f>""</f>
        <v/>
      </c>
      <c r="CV18" t="str">
        <f>""</f>
        <v/>
      </c>
      <c r="CW18" t="str">
        <f>""</f>
        <v/>
      </c>
      <c r="CX18" t="str">
        <f>""</f>
        <v/>
      </c>
      <c r="CY18" t="str">
        <f>""</f>
        <v/>
      </c>
      <c r="CZ18" t="str">
        <f>""</f>
        <v/>
      </c>
      <c r="DA18" t="str">
        <f>""</f>
        <v/>
      </c>
      <c r="DB18" t="str">
        <f>""</f>
        <v/>
      </c>
      <c r="DC18" t="str">
        <f>""</f>
        <v/>
      </c>
      <c r="DD18" t="str">
        <f>""</f>
        <v/>
      </c>
      <c r="DE18" t="str">
        <f>""</f>
        <v/>
      </c>
      <c r="DF18" t="str">
        <f>""</f>
        <v/>
      </c>
      <c r="DG18" t="str">
        <f>""</f>
        <v/>
      </c>
      <c r="DH18" t="str">
        <f>""</f>
        <v/>
      </c>
      <c r="DI18" t="str">
        <f>""</f>
        <v/>
      </c>
      <c r="DJ18" t="str">
        <f>""</f>
        <v/>
      </c>
      <c r="DK18" t="str">
        <f>""</f>
        <v/>
      </c>
      <c r="DL18" t="str">
        <f>""</f>
        <v/>
      </c>
      <c r="DM18" t="str">
        <f>""</f>
        <v/>
      </c>
      <c r="DN18" t="str">
        <f>""</f>
        <v/>
      </c>
      <c r="DO18" t="str">
        <f>""</f>
        <v/>
      </c>
      <c r="DP18" t="str">
        <f>""</f>
        <v/>
      </c>
      <c r="DQ18" t="str">
        <f>""</f>
        <v/>
      </c>
      <c r="DR18" t="str">
        <f>""</f>
        <v/>
      </c>
      <c r="DS18" t="str">
        <f>""</f>
        <v/>
      </c>
      <c r="DT18" t="str">
        <f>""</f>
        <v/>
      </c>
      <c r="DU18" t="str">
        <f>""</f>
        <v/>
      </c>
    </row>
    <row r="19" spans="1:125" x14ac:dyDescent="0.25">
      <c r="A19" t="str">
        <f>"    Geely Automobile Holdings Ltd"</f>
        <v xml:space="preserve">    Geely Automobile Holdings Ltd</v>
      </c>
      <c r="B19" t="str">
        <f>"175 HK Equity"</f>
        <v>175 HK Equity</v>
      </c>
      <c r="C19" t="str">
        <f t="shared" si="0"/>
        <v>RR844</v>
      </c>
      <c r="D19" t="str">
        <f t="shared" si="1"/>
        <v>T12M_DIL_EPS_CONT_OPS</v>
      </c>
      <c r="E19" t="str">
        <f t="shared" si="2"/>
        <v>Dynamic</v>
      </c>
      <c r="F19" t="str">
        <f ca="1">IF(AND(ISNUMBER($F$528),$B$511=1),$F$528,HLOOKUP(INDIRECT(ADDRESS(2,COLUMN())),OFFSET($BN$2,0,0,ROW()-1,60),ROW()-1,FALSE))</f>
        <v/>
      </c>
      <c r="G19" t="str">
        <f ca="1">IF(AND(ISNUMBER($G$528),$B$511=1),$G$528,HLOOKUP(INDIRECT(ADDRESS(2,COLUMN())),OFFSET($BN$2,0,0,ROW()-1,60),ROW()-1,FALSE))</f>
        <v/>
      </c>
      <c r="H19" t="str">
        <f ca="1">IF(AND(ISNUMBER($H$528),$B$511=1),$H$528,HLOOKUP(INDIRECT(ADDRESS(2,COLUMN())),OFFSET($BN$2,0,0,ROW()-1,60),ROW()-1,FALSE))</f>
        <v/>
      </c>
      <c r="I19" t="str">
        <f ca="1">IF(AND(ISNUMBER($I$528),$B$511=1),$I$528,HLOOKUP(INDIRECT(ADDRESS(2,COLUMN())),OFFSET($BN$2,0,0,ROW()-1,60),ROW()-1,FALSE))</f>
        <v/>
      </c>
      <c r="J19" t="str">
        <f ca="1">IF(AND(ISNUMBER($J$528),$B$511=1),$J$528,HLOOKUP(INDIRECT(ADDRESS(2,COLUMN())),OFFSET($BN$2,0,0,ROW()-1,60),ROW()-1,FALSE))</f>
        <v/>
      </c>
      <c r="K19" t="str">
        <f ca="1">IF(AND(ISNUMBER($K$528),$B$511=1),$K$528,HLOOKUP(INDIRECT(ADDRESS(2,COLUMN())),OFFSET($BN$2,0,0,ROW()-1,60),ROW()-1,FALSE))</f>
        <v/>
      </c>
      <c r="L19" t="str">
        <f ca="1">IF(AND(ISNUMBER($L$528),$B$511=1),$L$528,HLOOKUP(INDIRECT(ADDRESS(2,COLUMN())),OFFSET($BN$2,0,0,ROW()-1,60),ROW()-1,FALSE))</f>
        <v/>
      </c>
      <c r="M19" t="str">
        <f ca="1">IF(AND(ISNUMBER($M$528),$B$511=1),$M$528,HLOOKUP(INDIRECT(ADDRESS(2,COLUMN())),OFFSET($BN$2,0,0,ROW()-1,60),ROW()-1,FALSE))</f>
        <v/>
      </c>
      <c r="N19" t="str">
        <f ca="1">IF(AND(ISNUMBER($N$528),$B$511=1),$N$528,HLOOKUP(INDIRECT(ADDRESS(2,COLUMN())),OFFSET($BN$2,0,0,ROW()-1,60),ROW()-1,FALSE))</f>
        <v/>
      </c>
      <c r="O19" t="str">
        <f ca="1">IF(AND(ISNUMBER($O$528),$B$511=1),$O$528,HLOOKUP(INDIRECT(ADDRESS(2,COLUMN())),OFFSET($BN$2,0,0,ROW()-1,60),ROW()-1,FALSE))</f>
        <v/>
      </c>
      <c r="P19" t="str">
        <f ca="1">IF(AND(ISNUMBER($P$528),$B$511=1),$P$528,HLOOKUP(INDIRECT(ADDRESS(2,COLUMN())),OFFSET($BN$2,0,0,ROW()-1,60),ROW()-1,FALSE))</f>
        <v/>
      </c>
      <c r="Q19" t="str">
        <f ca="1">IF(AND(ISNUMBER($Q$528),$B$511=1),$Q$528,HLOOKUP(INDIRECT(ADDRESS(2,COLUMN())),OFFSET($BN$2,0,0,ROW()-1,60),ROW()-1,FALSE))</f>
        <v/>
      </c>
      <c r="R19" t="str">
        <f ca="1">IF(AND(ISNUMBER($R$528),$B$511=1),$R$528,HLOOKUP(INDIRECT(ADDRESS(2,COLUMN())),OFFSET($BN$2,0,0,ROW()-1,60),ROW()-1,FALSE))</f>
        <v/>
      </c>
      <c r="S19" t="str">
        <f ca="1">IF(AND(ISNUMBER($S$528),$B$511=1),$S$528,HLOOKUP(INDIRECT(ADDRESS(2,COLUMN())),OFFSET($BN$2,0,0,ROW()-1,60),ROW()-1,FALSE))</f>
        <v/>
      </c>
      <c r="T19" t="str">
        <f ca="1">IF(AND(ISNUMBER($T$528),$B$511=1),$T$528,HLOOKUP(INDIRECT(ADDRESS(2,COLUMN())),OFFSET($BN$2,0,0,ROW()-1,60),ROW()-1,FALSE))</f>
        <v/>
      </c>
      <c r="U19" t="str">
        <f ca="1">IF(AND(ISNUMBER($U$528),$B$511=1),$U$528,HLOOKUP(INDIRECT(ADDRESS(2,COLUMN())),OFFSET($BN$2,0,0,ROW()-1,60),ROW()-1,FALSE))</f>
        <v/>
      </c>
      <c r="V19" t="str">
        <f ca="1">IF(AND(ISNUMBER($V$528),$B$511=1),$V$528,HLOOKUP(INDIRECT(ADDRESS(2,COLUMN())),OFFSET($BN$2,0,0,ROW()-1,60),ROW()-1,FALSE))</f>
        <v/>
      </c>
      <c r="W19" t="str">
        <f ca="1">IF(AND(ISNUMBER($W$528),$B$511=1),$W$528,HLOOKUP(INDIRECT(ADDRESS(2,COLUMN())),OFFSET($BN$2,0,0,ROW()-1,60),ROW()-1,FALSE))</f>
        <v/>
      </c>
      <c r="X19" t="str">
        <f ca="1">IF(AND(ISNUMBER($X$528),$B$511=1),$X$528,HLOOKUP(INDIRECT(ADDRESS(2,COLUMN())),OFFSET($BN$2,0,0,ROW()-1,60),ROW()-1,FALSE))</f>
        <v/>
      </c>
      <c r="Y19" t="str">
        <f ca="1">IF(AND(ISNUMBER($Y$528),$B$511=1),$Y$528,HLOOKUP(INDIRECT(ADDRESS(2,COLUMN())),OFFSET($BN$2,0,0,ROW()-1,60),ROW()-1,FALSE))</f>
        <v/>
      </c>
      <c r="Z19" t="str">
        <f ca="1">IF(AND(ISNUMBER($Z$528),$B$511=1),$Z$528,HLOOKUP(INDIRECT(ADDRESS(2,COLUMN())),OFFSET($BN$2,0,0,ROW()-1,60),ROW()-1,FALSE))</f>
        <v/>
      </c>
      <c r="AA19" t="str">
        <f ca="1">IF(AND(ISNUMBER($AA$528),$B$511=1),$AA$528,HLOOKUP(INDIRECT(ADDRESS(2,COLUMN())),OFFSET($BN$2,0,0,ROW()-1,60),ROW()-1,FALSE))</f>
        <v/>
      </c>
      <c r="AB19" t="str">
        <f ca="1">IF(AND(ISNUMBER($AB$528),$B$511=1),$AB$528,HLOOKUP(INDIRECT(ADDRESS(2,COLUMN())),OFFSET($BN$2,0,0,ROW()-1,60),ROW()-1,FALSE))</f>
        <v/>
      </c>
      <c r="AC19" t="str">
        <f ca="1">IF(AND(ISNUMBER($AC$528),$B$511=1),$AC$528,HLOOKUP(INDIRECT(ADDRESS(2,COLUMN())),OFFSET($BN$2,0,0,ROW()-1,60),ROW()-1,FALSE))</f>
        <v/>
      </c>
      <c r="AD19" t="str">
        <f ca="1">IF(AND(ISNUMBER($AD$528),$B$511=1),$AD$528,HLOOKUP(INDIRECT(ADDRESS(2,COLUMN())),OFFSET($BN$2,0,0,ROW()-1,60),ROW()-1,FALSE))</f>
        <v/>
      </c>
      <c r="AE19" t="str">
        <f ca="1">IF(AND(ISNUMBER($AE$528),$B$511=1),$AE$528,HLOOKUP(INDIRECT(ADDRESS(2,COLUMN())),OFFSET($BN$2,0,0,ROW()-1,60),ROW()-1,FALSE))</f>
        <v/>
      </c>
      <c r="AF19" t="str">
        <f ca="1">IF(AND(ISNUMBER($AF$528),$B$511=1),$AF$528,HLOOKUP(INDIRECT(ADDRESS(2,COLUMN())),OFFSET($BN$2,0,0,ROW()-1,60),ROW()-1,FALSE))</f>
        <v/>
      </c>
      <c r="AG19" t="str">
        <f ca="1">IF(AND(ISNUMBER($AG$528),$B$511=1),$AG$528,HLOOKUP(INDIRECT(ADDRESS(2,COLUMN())),OFFSET($BN$2,0,0,ROW()-1,60),ROW()-1,FALSE))</f>
        <v/>
      </c>
      <c r="AH19" t="str">
        <f ca="1">IF(AND(ISNUMBER($AH$528),$B$511=1),$AH$528,HLOOKUP(INDIRECT(ADDRESS(2,COLUMN())),OFFSET($BN$2,0,0,ROW()-1,60),ROW()-1,FALSE))</f>
        <v/>
      </c>
      <c r="AI19" t="str">
        <f ca="1">IF(AND(ISNUMBER($AI$528),$B$511=1),$AI$528,HLOOKUP(INDIRECT(ADDRESS(2,COLUMN())),OFFSET($BN$2,0,0,ROW()-1,60),ROW()-1,FALSE))</f>
        <v/>
      </c>
      <c r="AJ19" t="str">
        <f ca="1">IF(AND(ISNUMBER($AJ$528),$B$511=1),$AJ$528,HLOOKUP(INDIRECT(ADDRESS(2,COLUMN())),OFFSET($BN$2,0,0,ROW()-1,60),ROW()-1,FALSE))</f>
        <v/>
      </c>
      <c r="AK19" t="str">
        <f ca="1">IF(AND(ISNUMBER($AK$528),$B$511=1),$AK$528,HLOOKUP(INDIRECT(ADDRESS(2,COLUMN())),OFFSET($BN$2,0,0,ROW()-1,60),ROW()-1,FALSE))</f>
        <v/>
      </c>
      <c r="AL19" t="str">
        <f ca="1">IF(AND(ISNUMBER($AL$528),$B$511=1),$AL$528,HLOOKUP(INDIRECT(ADDRESS(2,COLUMN())),OFFSET($BN$2,0,0,ROW()-1,60),ROW()-1,FALSE))</f>
        <v/>
      </c>
      <c r="AM19" t="str">
        <f ca="1">IF(AND(ISNUMBER($AM$528),$B$511=1),$AM$528,HLOOKUP(INDIRECT(ADDRESS(2,COLUMN())),OFFSET($BN$2,0,0,ROW()-1,60),ROW()-1,FALSE))</f>
        <v/>
      </c>
      <c r="AN19" t="str">
        <f ca="1">IF(AND(ISNUMBER($AN$528),$B$511=1),$AN$528,HLOOKUP(INDIRECT(ADDRESS(2,COLUMN())),OFFSET($BN$2,0,0,ROW()-1,60),ROW()-1,FALSE))</f>
        <v/>
      </c>
      <c r="AO19" t="str">
        <f ca="1">IF(AND(ISNUMBER($AO$528),$B$511=1),$AO$528,HLOOKUP(INDIRECT(ADDRESS(2,COLUMN())),OFFSET($BN$2,0,0,ROW()-1,60),ROW()-1,FALSE))</f>
        <v/>
      </c>
      <c r="AP19" t="str">
        <f ca="1">IF(AND(ISNUMBER($AP$528),$B$511=1),$AP$528,HLOOKUP(INDIRECT(ADDRESS(2,COLUMN())),OFFSET($BN$2,0,0,ROW()-1,60),ROW()-1,FALSE))</f>
        <v/>
      </c>
      <c r="AQ19" t="str">
        <f ca="1">IF(AND(ISNUMBER($AQ$528),$B$511=1),$AQ$528,HLOOKUP(INDIRECT(ADDRESS(2,COLUMN())),OFFSET($BN$2,0,0,ROW()-1,60),ROW()-1,FALSE))</f>
        <v/>
      </c>
      <c r="AR19" t="str">
        <f ca="1">IF(AND(ISNUMBER($AR$528),$B$511=1),$AR$528,HLOOKUP(INDIRECT(ADDRESS(2,COLUMN())),OFFSET($BN$2,0,0,ROW()-1,60),ROW()-1,FALSE))</f>
        <v/>
      </c>
      <c r="AS19" t="str">
        <f ca="1">IF(AND(ISNUMBER($AS$528),$B$511=1),$AS$528,HLOOKUP(INDIRECT(ADDRESS(2,COLUMN())),OFFSET($BN$2,0,0,ROW()-1,60),ROW()-1,FALSE))</f>
        <v/>
      </c>
      <c r="AT19" t="str">
        <f ca="1">IF(AND(ISNUMBER($AT$528),$B$511=1),$AT$528,HLOOKUP(INDIRECT(ADDRESS(2,COLUMN())),OFFSET($BN$2,0,0,ROW()-1,60),ROW()-1,FALSE))</f>
        <v/>
      </c>
      <c r="AU19" t="str">
        <f ca="1">IF(AND(ISNUMBER($AU$528),$B$511=1),$AU$528,HLOOKUP(INDIRECT(ADDRESS(2,COLUMN())),OFFSET($BN$2,0,0,ROW()-1,60),ROW()-1,FALSE))</f>
        <v/>
      </c>
      <c r="AV19" t="str">
        <f ca="1">IF(AND(ISNUMBER($AV$528),$B$511=1),$AV$528,HLOOKUP(INDIRECT(ADDRESS(2,COLUMN())),OFFSET($BN$2,0,0,ROW()-1,60),ROW()-1,FALSE))</f>
        <v/>
      </c>
      <c r="AW19" t="str">
        <f ca="1">IF(AND(ISNUMBER($AW$528),$B$511=1),$AW$528,HLOOKUP(INDIRECT(ADDRESS(2,COLUMN())),OFFSET($BN$2,0,0,ROW()-1,60),ROW()-1,FALSE))</f>
        <v/>
      </c>
      <c r="AX19" t="str">
        <f ca="1">IF(AND(ISNUMBER($AX$528),$B$511=1),$AX$528,HLOOKUP(INDIRECT(ADDRESS(2,COLUMN())),OFFSET($BN$2,0,0,ROW()-1,60),ROW()-1,FALSE))</f>
        <v/>
      </c>
      <c r="AY19" t="str">
        <f ca="1">IF(AND(ISNUMBER($AY$528),$B$511=1),$AY$528,HLOOKUP(INDIRECT(ADDRESS(2,COLUMN())),OFFSET($BN$2,0,0,ROW()-1,60),ROW()-1,FALSE))</f>
        <v/>
      </c>
      <c r="AZ19" t="str">
        <f ca="1">IF(AND(ISNUMBER($AZ$528),$B$511=1),$AZ$528,HLOOKUP(INDIRECT(ADDRESS(2,COLUMN())),OFFSET($BN$2,0,0,ROW()-1,60),ROW()-1,FALSE))</f>
        <v/>
      </c>
      <c r="BA19" t="str">
        <f ca="1">IF(AND(ISNUMBER($BA$528),$B$511=1),$BA$528,HLOOKUP(INDIRECT(ADDRESS(2,COLUMN())),OFFSET($BN$2,0,0,ROW()-1,60),ROW()-1,FALSE))</f>
        <v/>
      </c>
      <c r="BB19" t="str">
        <f ca="1">IF(AND(ISNUMBER($BB$528),$B$511=1),$BB$528,HLOOKUP(INDIRECT(ADDRESS(2,COLUMN())),OFFSET($BN$2,0,0,ROW()-1,60),ROW()-1,FALSE))</f>
        <v/>
      </c>
      <c r="BC19" t="str">
        <f ca="1">IF(AND(ISNUMBER($BC$528),$B$511=1),$BC$528,HLOOKUP(INDIRECT(ADDRESS(2,COLUMN())),OFFSET($BN$2,0,0,ROW()-1,60),ROW()-1,FALSE))</f>
        <v/>
      </c>
      <c r="BD19" t="str">
        <f ca="1">IF(AND(ISNUMBER($BD$528),$B$511=1),$BD$528,HLOOKUP(INDIRECT(ADDRESS(2,COLUMN())),OFFSET($BN$2,0,0,ROW()-1,60),ROW()-1,FALSE))</f>
        <v/>
      </c>
      <c r="BE19" t="str">
        <f ca="1">IF(AND(ISNUMBER($BE$528),$B$511=1),$BE$528,HLOOKUP(INDIRECT(ADDRESS(2,COLUMN())),OFFSET($BN$2,0,0,ROW()-1,60),ROW()-1,FALSE))</f>
        <v/>
      </c>
      <c r="BF19" t="str">
        <f ca="1">IF(AND(ISNUMBER($BF$528),$B$511=1),$BF$528,HLOOKUP(INDIRECT(ADDRESS(2,COLUMN())),OFFSET($BN$2,0,0,ROW()-1,60),ROW()-1,FALSE))</f>
        <v/>
      </c>
      <c r="BG19" t="str">
        <f ca="1">IF(AND(ISNUMBER($BG$528),$B$511=1),$BG$528,HLOOKUP(INDIRECT(ADDRESS(2,COLUMN())),OFFSET($BN$2,0,0,ROW()-1,60),ROW()-1,FALSE))</f>
        <v/>
      </c>
      <c r="BH19" t="str">
        <f ca="1">IF(AND(ISNUMBER($BH$528),$B$511=1),$BH$528,HLOOKUP(INDIRECT(ADDRESS(2,COLUMN())),OFFSET($BN$2,0,0,ROW()-1,60),ROW()-1,FALSE))</f>
        <v/>
      </c>
      <c r="BI19" t="str">
        <f ca="1">IF(AND(ISNUMBER($BI$528),$B$511=1),$BI$528,HLOOKUP(INDIRECT(ADDRESS(2,COLUMN())),OFFSET($BN$2,0,0,ROW()-1,60),ROW()-1,FALSE))</f>
        <v/>
      </c>
      <c r="BJ19" t="str">
        <f ca="1">IF(AND(ISNUMBER($BJ$528),$B$511=1),$BJ$528,HLOOKUP(INDIRECT(ADDRESS(2,COLUMN())),OFFSET($BN$2,0,0,ROW()-1,60),ROW()-1,FALSE))</f>
        <v/>
      </c>
      <c r="BK19" t="str">
        <f ca="1">IF(AND(ISNUMBER($BK$528),$B$511=1),$BK$528,HLOOKUP(INDIRECT(ADDRESS(2,COLUMN())),OFFSET($BN$2,0,0,ROW()-1,60),ROW()-1,FALSE))</f>
        <v/>
      </c>
      <c r="BL19" t="str">
        <f ca="1">IF(AND(ISNUMBER($BL$528),$B$511=1),$BL$528,HLOOKUP(INDIRECT(ADDRESS(2,COLUMN())),OFFSET($BN$2,0,0,ROW()-1,60),ROW()-1,FALSE))</f>
        <v/>
      </c>
      <c r="BM19" t="str">
        <f ca="1">IF(AND(ISNUMBER($BM$528),$B$511=1),$BM$528,HLOOKUP(INDIRECT(ADDRESS(2,COLUMN())),OFFSET($BN$2,0,0,ROW()-1,60),ROW()-1,FALSE))</f>
        <v/>
      </c>
      <c r="BN19" t="str">
        <f>""</f>
        <v/>
      </c>
      <c r="BO19" t="str">
        <f>""</f>
        <v/>
      </c>
      <c r="BP19" t="str">
        <f>""</f>
        <v/>
      </c>
      <c r="BQ19" t="str">
        <f>""</f>
        <v/>
      </c>
      <c r="BR19" t="str">
        <f>""</f>
        <v/>
      </c>
      <c r="BS19" t="str">
        <f>""</f>
        <v/>
      </c>
      <c r="BT19" t="str">
        <f>""</f>
        <v/>
      </c>
      <c r="BU19" t="str">
        <f>""</f>
        <v/>
      </c>
      <c r="BV19" t="str">
        <f>""</f>
        <v/>
      </c>
      <c r="BW19" t="str">
        <f>""</f>
        <v/>
      </c>
      <c r="BX19" t="str">
        <f>""</f>
        <v/>
      </c>
      <c r="BY19" t="str">
        <f>""</f>
        <v/>
      </c>
      <c r="BZ19" t="str">
        <f>""</f>
        <v/>
      </c>
      <c r="CA19" t="str">
        <f>""</f>
        <v/>
      </c>
      <c r="CB19" t="str">
        <f>""</f>
        <v/>
      </c>
      <c r="CC19" t="str">
        <f>""</f>
        <v/>
      </c>
      <c r="CD19" t="str">
        <f>""</f>
        <v/>
      </c>
      <c r="CE19" t="str">
        <f>""</f>
        <v/>
      </c>
      <c r="CF19" t="str">
        <f>""</f>
        <v/>
      </c>
      <c r="CG19" t="str">
        <f>""</f>
        <v/>
      </c>
      <c r="CH19" t="str">
        <f>""</f>
        <v/>
      </c>
      <c r="CI19" t="str">
        <f>""</f>
        <v/>
      </c>
      <c r="CJ19" t="str">
        <f>""</f>
        <v/>
      </c>
      <c r="CK19" t="str">
        <f>""</f>
        <v/>
      </c>
      <c r="CL19" t="str">
        <f>""</f>
        <v/>
      </c>
      <c r="CM19" t="str">
        <f>""</f>
        <v/>
      </c>
      <c r="CN19" t="str">
        <f>""</f>
        <v/>
      </c>
      <c r="CO19" t="str">
        <f>""</f>
        <v/>
      </c>
      <c r="CP19" t="str">
        <f>""</f>
        <v/>
      </c>
      <c r="CQ19" t="str">
        <f>""</f>
        <v/>
      </c>
      <c r="CR19" t="str">
        <f>""</f>
        <v/>
      </c>
      <c r="CS19" t="str">
        <f>""</f>
        <v/>
      </c>
      <c r="CT19" t="str">
        <f>""</f>
        <v/>
      </c>
      <c r="CU19" t="str">
        <f>""</f>
        <v/>
      </c>
      <c r="CV19" t="str">
        <f>""</f>
        <v/>
      </c>
      <c r="CW19" t="str">
        <f>""</f>
        <v/>
      </c>
      <c r="CX19" t="str">
        <f>""</f>
        <v/>
      </c>
      <c r="CY19" t="str">
        <f>""</f>
        <v/>
      </c>
      <c r="CZ19" t="str">
        <f>""</f>
        <v/>
      </c>
      <c r="DA19" t="str">
        <f>""</f>
        <v/>
      </c>
      <c r="DB19" t="str">
        <f>""</f>
        <v/>
      </c>
      <c r="DC19" t="str">
        <f>""</f>
        <v/>
      </c>
      <c r="DD19" t="str">
        <f>""</f>
        <v/>
      </c>
      <c r="DE19" t="str">
        <f>""</f>
        <v/>
      </c>
      <c r="DF19" t="str">
        <f>""</f>
        <v/>
      </c>
      <c r="DG19" t="str">
        <f>""</f>
        <v/>
      </c>
      <c r="DH19" t="str">
        <f>""</f>
        <v/>
      </c>
      <c r="DI19" t="str">
        <f>""</f>
        <v/>
      </c>
      <c r="DJ19" t="str">
        <f>""</f>
        <v/>
      </c>
      <c r="DK19" t="str">
        <f>""</f>
        <v/>
      </c>
      <c r="DL19" t="str">
        <f>""</f>
        <v/>
      </c>
      <c r="DM19" t="str">
        <f>""</f>
        <v/>
      </c>
      <c r="DN19" t="str">
        <f>""</f>
        <v/>
      </c>
      <c r="DO19" t="str">
        <f>""</f>
        <v/>
      </c>
      <c r="DP19" t="str">
        <f>""</f>
        <v/>
      </c>
      <c r="DQ19" t="str">
        <f>""</f>
        <v/>
      </c>
      <c r="DR19" t="str">
        <f>""</f>
        <v/>
      </c>
      <c r="DS19" t="str">
        <f>""</f>
        <v/>
      </c>
      <c r="DT19" t="str">
        <f>""</f>
        <v/>
      </c>
      <c r="DU19" t="str">
        <f>""</f>
        <v/>
      </c>
    </row>
    <row r="20" spans="1:125" x14ac:dyDescent="0.25">
      <c r="A20" t="str">
        <f>"    General Motors Co"</f>
        <v xml:space="preserve">    General Motors Co</v>
      </c>
      <c r="B20" t="str">
        <f>"GM US Equity"</f>
        <v>GM US Equity</v>
      </c>
      <c r="C20" t="str">
        <f t="shared" si="0"/>
        <v>RR844</v>
      </c>
      <c r="D20" t="str">
        <f t="shared" si="1"/>
        <v>T12M_DIL_EPS_CONT_OPS</v>
      </c>
      <c r="E20" t="str">
        <f t="shared" si="2"/>
        <v>Dynamic</v>
      </c>
      <c r="F20" t="str">
        <f ca="1">IF(AND(ISNUMBER($F$529),$B$511=1),$F$529,HLOOKUP(INDIRECT(ADDRESS(2,COLUMN())),OFFSET($BN$2,0,0,ROW()-1,60),ROW()-1,FALSE))</f>
        <v/>
      </c>
      <c r="G20">
        <f ca="1">IF(AND(ISNUMBER($G$529),$B$511=1),$G$529,HLOOKUP(INDIRECT(ADDRESS(2,COLUMN())),OFFSET($BN$2,0,0,ROW()-1,60),ROW()-1,FALSE))</f>
        <v>7.4303679999999996</v>
      </c>
      <c r="H20">
        <f ca="1">IF(AND(ISNUMBER($H$529),$B$511=1),$H$529,HLOOKUP(INDIRECT(ADDRESS(2,COLUMN())),OFFSET($BN$2,0,0,ROW()-1,60),ROW()-1,FALSE))</f>
        <v>7.3074700000000004</v>
      </c>
      <c r="I20">
        <f ca="1">IF(AND(ISNUMBER($I$529),$B$511=1),$I$529,HLOOKUP(INDIRECT(ADDRESS(2,COLUMN())),OFFSET($BN$2,0,0,ROW()-1,60),ROW()-1,FALSE))</f>
        <v>6.760815</v>
      </c>
      <c r="J20">
        <f ca="1">IF(AND(ISNUMBER($J$529),$B$511=1),$J$529,HLOOKUP(INDIRECT(ADDRESS(2,COLUMN())),OFFSET($BN$2,0,0,ROW()-1,60),ROW()-1,FALSE))</f>
        <v>6.926628</v>
      </c>
      <c r="K20">
        <f ca="1">IF(AND(ISNUMBER($K$529),$B$511=1),$K$529,HLOOKUP(INDIRECT(ADDRESS(2,COLUMN())),OFFSET($BN$2,0,0,ROW()-1,60),ROW()-1,FALSE))</f>
        <v>6.9894119999999997</v>
      </c>
      <c r="L20">
        <f ca="1">IF(AND(ISNUMBER($L$529),$B$511=1),$L$529,HLOOKUP(INDIRECT(ADDRESS(2,COLUMN())),OFFSET($BN$2,0,0,ROW()-1,60),ROW()-1,FALSE))</f>
        <v>6.6226890000000003</v>
      </c>
      <c r="M20">
        <f ca="1">IF(AND(ISNUMBER($M$529),$B$511=1),$M$529,HLOOKUP(INDIRECT(ADDRESS(2,COLUMN())),OFFSET($BN$2,0,0,ROW()-1,60),ROW()-1,FALSE))</f>
        <v>7.0115610000000004</v>
      </c>
      <c r="N20">
        <f ca="1">IF(AND(ISNUMBER($N$529),$B$511=1),$N$529,HLOOKUP(INDIRECT(ADDRESS(2,COLUMN())),OFFSET($BN$2,0,0,ROW()-1,60),ROW()-1,FALSE))</f>
        <v>6.8423670000000003</v>
      </c>
      <c r="O20">
        <f ca="1">IF(AND(ISNUMBER($O$529),$B$511=1),$O$529,HLOOKUP(INDIRECT(ADDRESS(2,COLUMN())),OFFSET($BN$2,0,0,ROW()-1,60),ROW()-1,FALSE))</f>
        <v>6.4956719999999999</v>
      </c>
      <c r="P20">
        <f ca="1">IF(AND(ISNUMBER($P$529),$B$511=1),$P$529,HLOOKUP(INDIRECT(ADDRESS(2,COLUMN())),OFFSET($BN$2,0,0,ROW()-1,60),ROW()-1,FALSE))</f>
        <v>6.7616589999999999</v>
      </c>
      <c r="Q20">
        <f ca="1">IF(AND(ISNUMBER($Q$529),$B$511=1),$Q$529,HLOOKUP(INDIRECT(ADDRESS(2,COLUMN())),OFFSET($BN$2,0,0,ROW()-1,60),ROW()-1,FALSE))</f>
        <v>6.7122019999999996</v>
      </c>
      <c r="R20">
        <f ca="1">IF(AND(ISNUMBER($R$529),$B$511=1),$R$529,HLOOKUP(INDIRECT(ADDRESS(2,COLUMN())),OFFSET($BN$2,0,0,ROW()-1,60),ROW()-1,FALSE))</f>
        <v>5.9927169999999998</v>
      </c>
      <c r="S20">
        <f ca="1">IF(AND(ISNUMBER($S$529),$B$511=1),$S$529,HLOOKUP(INDIRECT(ADDRESS(2,COLUMN())),OFFSET($BN$2,0,0,ROW()-1,60),ROW()-1,FALSE))</f>
        <v>5.3513859999999998</v>
      </c>
      <c r="T20">
        <f ca="1">IF(AND(ISNUMBER($T$529),$B$511=1),$T$529,HLOOKUP(INDIRECT(ADDRESS(2,COLUMN())),OFFSET($BN$2,0,0,ROW()-1,60),ROW()-1,FALSE))</f>
        <v>2.982793</v>
      </c>
      <c r="U20">
        <f ca="1">IF(AND(ISNUMBER($U$529),$B$511=1),$U$529,HLOOKUP(INDIRECT(ADDRESS(2,COLUMN())),OFFSET($BN$2,0,0,ROW()-1,60),ROW()-1,FALSE))</f>
        <v>2.4280740000000001</v>
      </c>
      <c r="V20">
        <f ca="1">IF(AND(ISNUMBER($V$529),$B$511=1),$V$529,HLOOKUP(INDIRECT(ADDRESS(2,COLUMN())),OFFSET($BN$2,0,0,ROW()-1,60),ROW()-1,FALSE))</f>
        <v>1.9151590000000001</v>
      </c>
      <c r="W20">
        <f ca="1">IF(AND(ISNUMBER($W$529),$B$511=1),$W$529,HLOOKUP(INDIRECT(ADDRESS(2,COLUMN())),OFFSET($BN$2,0,0,ROW()-1,60),ROW()-1,FALSE))</f>
        <v>1.877723</v>
      </c>
      <c r="X20">
        <f ca="1">IF(AND(ISNUMBER($X$529),$B$511=1),$X$529,HLOOKUP(INDIRECT(ADDRESS(2,COLUMN())),OFFSET($BN$2,0,0,ROW()-1,60),ROW()-1,FALSE))</f>
        <v>3.3921260000000002</v>
      </c>
      <c r="Y20">
        <f ca="1">IF(AND(ISNUMBER($Y$529),$B$511=1),$Y$529,HLOOKUP(INDIRECT(ADDRESS(2,COLUMN())),OFFSET($BN$2,0,0,ROW()-1,60),ROW()-1,FALSE))</f>
        <v>2.7440479999999998</v>
      </c>
      <c r="Z20">
        <f ca="1">IF(AND(ISNUMBER($Z$529),$B$511=1),$Z$529,HLOOKUP(INDIRECT(ADDRESS(2,COLUMN())),OFFSET($BN$2,0,0,ROW()-1,60),ROW()-1,FALSE))</f>
        <v>3.1437970000000002</v>
      </c>
      <c r="AA20">
        <f ca="1">IF(AND(ISNUMBER($AA$529),$B$511=1),$AA$529,HLOOKUP(INDIRECT(ADDRESS(2,COLUMN())),OFFSET($BN$2,0,0,ROW()-1,60),ROW()-1,FALSE))</f>
        <v>3.1930700000000001</v>
      </c>
      <c r="AB20">
        <f ca="1">IF(AND(ISNUMBER($AB$529),$B$511=1),$AB$529,HLOOKUP(INDIRECT(ADDRESS(2,COLUMN())),OFFSET($BN$2,0,0,ROW()-1,60),ROW()-1,FALSE))</f>
        <v>2.8084060000000002</v>
      </c>
      <c r="AC20">
        <f ca="1">IF(AND(ISNUMBER($AC$529),$B$511=1),$AC$529,HLOOKUP(INDIRECT(ADDRESS(2,COLUMN())),OFFSET($BN$2,0,0,ROW()-1,60),ROW()-1,FALSE))</f>
        <v>3.2441589999999998</v>
      </c>
      <c r="AD20">
        <f ca="1">IF(AND(ISNUMBER($AD$529),$B$511=1),$AD$529,HLOOKUP(INDIRECT(ADDRESS(2,COLUMN())),OFFSET($BN$2,0,0,ROW()-1,60),ROW()-1,FALSE))</f>
        <v>3.340179</v>
      </c>
      <c r="AE20">
        <f ca="1">IF(AND(ISNUMBER($AE$529),$B$511=1),$AE$529,HLOOKUP(INDIRECT(ADDRESS(2,COLUMN())),OFFSET($BN$2,0,0,ROW()-1,60),ROW()-1,FALSE))</f>
        <v>3.5709040000000001</v>
      </c>
      <c r="AF20">
        <f ca="1">IF(AND(ISNUMBER($AF$529),$B$511=1),$AF$529,HLOOKUP(INDIRECT(ADDRESS(2,COLUMN())),OFFSET($BN$2,0,0,ROW()-1,60),ROW()-1,FALSE))</f>
        <v>3.2459199999999999</v>
      </c>
      <c r="AG20">
        <f ca="1">IF(AND(ISNUMBER($AG$529),$B$511=1),$AG$529,HLOOKUP(INDIRECT(ADDRESS(2,COLUMN())),OFFSET($BN$2,0,0,ROW()-1,60),ROW()-1,FALSE))</f>
        <v>3.4445269999999999</v>
      </c>
      <c r="AH20">
        <f ca="1">IF(AND(ISNUMBER($AH$529),$B$511=1),$AH$529,HLOOKUP(INDIRECT(ADDRESS(2,COLUMN())),OFFSET($BN$2,0,0,ROW()-1,60),ROW()-1,FALSE))</f>
        <v>3.9634490000000002</v>
      </c>
      <c r="AI20">
        <f ca="1">IF(AND(ISNUMBER($AI$529),$B$511=1),$AI$529,HLOOKUP(INDIRECT(ADDRESS(2,COLUMN())),OFFSET($BN$2,0,0,ROW()-1,60),ROW()-1,FALSE))</f>
        <v>4.3092160000000002</v>
      </c>
      <c r="AJ20">
        <f ca="1">IF(AND(ISNUMBER($AJ$529),$B$511=1),$AJ$529,HLOOKUP(INDIRECT(ADDRESS(2,COLUMN())),OFFSET($BN$2,0,0,ROW()-1,60),ROW()-1,FALSE))</f>
        <v>4.3332699999999997</v>
      </c>
      <c r="AK20">
        <f ca="1">IF(AND(ISNUMBER($AK$529),$B$511=1),$AK$529,HLOOKUP(INDIRECT(ADDRESS(2,COLUMN())),OFFSET($BN$2,0,0,ROW()-1,60),ROW()-1,FALSE))</f>
        <v>4.5525690000000001</v>
      </c>
      <c r="AL20">
        <f ca="1">IF(AND(ISNUMBER($AL$529),$B$511=1),$AL$529,HLOOKUP(INDIRECT(ADDRESS(2,COLUMN())),OFFSET($BN$2,0,0,ROW()-1,60),ROW()-1,FALSE))</f>
        <v>3.895292</v>
      </c>
      <c r="AM20">
        <f ca="1">IF(AND(ISNUMBER($AM$529),$B$511=1),$AM$529,HLOOKUP(INDIRECT(ADDRESS(2,COLUMN())),OFFSET($BN$2,0,0,ROW()-1,60),ROW()-1,FALSE))</f>
        <v>3.1599140000000001</v>
      </c>
      <c r="AN20">
        <f ca="1">IF(AND(ISNUMBER($AN$529),$B$511=1),$AN$529,HLOOKUP(INDIRECT(ADDRESS(2,COLUMN())),OFFSET($BN$2,0,0,ROW()-1,60),ROW()-1,FALSE))</f>
        <v>-5.682334</v>
      </c>
      <c r="AO20">
        <f ca="1">IF(AND(ISNUMBER($AO$529),$B$511=1),$AO$529,HLOOKUP(INDIRECT(ADDRESS(2,COLUMN())),OFFSET($BN$2,0,0,ROW()-1,60),ROW()-1,FALSE))</f>
        <v>97.327089999999998</v>
      </c>
      <c r="AP20">
        <f ca="1">IF(AND(ISNUMBER($AP$529),$B$511=1),$AP$529,HLOOKUP(INDIRECT(ADDRESS(2,COLUMN())),OFFSET($BN$2,0,0,ROW()-1,60),ROW()-1,FALSE))</f>
        <v>80.439818000000002</v>
      </c>
      <c r="AQ20">
        <f ca="1">IF(AND(ISNUMBER($AQ$529),$B$511=1),$AQ$529,HLOOKUP(INDIRECT(ADDRESS(2,COLUMN())),OFFSET($BN$2,0,0,ROW()-1,60),ROW()-1,FALSE))</f>
        <v>69.988111000000004</v>
      </c>
      <c r="AR20" t="str">
        <f ca="1">IF(AND(ISNUMBER($AR$529),$B$511=1),$AR$529,HLOOKUP(INDIRECT(ADDRESS(2,COLUMN())),OFFSET($BN$2,0,0,ROW()-1,60),ROW()-1,FALSE))</f>
        <v/>
      </c>
      <c r="AS20" t="str">
        <f ca="1">IF(AND(ISNUMBER($AS$529),$B$511=1),$AS$529,HLOOKUP(INDIRECT(ADDRESS(2,COLUMN())),OFFSET($BN$2,0,0,ROW()-1,60),ROW()-1,FALSE))</f>
        <v/>
      </c>
      <c r="AT20" t="str">
        <f ca="1">IF(AND(ISNUMBER($AT$529),$B$511=1),$AT$529,HLOOKUP(INDIRECT(ADDRESS(2,COLUMN())),OFFSET($BN$2,0,0,ROW()-1,60),ROW()-1,FALSE))</f>
        <v/>
      </c>
      <c r="AU20" t="str">
        <f ca="1">IF(AND(ISNUMBER($AU$529),$B$511=1),$AU$529,HLOOKUP(INDIRECT(ADDRESS(2,COLUMN())),OFFSET($BN$2,0,0,ROW()-1,60),ROW()-1,FALSE))</f>
        <v/>
      </c>
      <c r="AV20" t="str">
        <f ca="1">IF(AND(ISNUMBER($AV$529),$B$511=1),$AV$529,HLOOKUP(INDIRECT(ADDRESS(2,COLUMN())),OFFSET($BN$2,0,0,ROW()-1,60),ROW()-1,FALSE))</f>
        <v/>
      </c>
      <c r="AW20" t="str">
        <f ca="1">IF(AND(ISNUMBER($AW$529),$B$511=1),$AW$529,HLOOKUP(INDIRECT(ADDRESS(2,COLUMN())),OFFSET($BN$2,0,0,ROW()-1,60),ROW()-1,FALSE))</f>
        <v/>
      </c>
      <c r="AX20" t="str">
        <f ca="1">IF(AND(ISNUMBER($AX$529),$B$511=1),$AX$529,HLOOKUP(INDIRECT(ADDRESS(2,COLUMN())),OFFSET($BN$2,0,0,ROW()-1,60),ROW()-1,FALSE))</f>
        <v/>
      </c>
      <c r="AY20" t="str">
        <f ca="1">IF(AND(ISNUMBER($AY$529),$B$511=1),$AY$529,HLOOKUP(INDIRECT(ADDRESS(2,COLUMN())),OFFSET($BN$2,0,0,ROW()-1,60),ROW()-1,FALSE))</f>
        <v/>
      </c>
      <c r="AZ20" t="str">
        <f ca="1">IF(AND(ISNUMBER($AZ$529),$B$511=1),$AZ$529,HLOOKUP(INDIRECT(ADDRESS(2,COLUMN())),OFFSET($BN$2,0,0,ROW()-1,60),ROW()-1,FALSE))</f>
        <v/>
      </c>
      <c r="BA20" t="str">
        <f ca="1">IF(AND(ISNUMBER($BA$529),$B$511=1),$BA$529,HLOOKUP(INDIRECT(ADDRESS(2,COLUMN())),OFFSET($BN$2,0,0,ROW()-1,60),ROW()-1,FALSE))</f>
        <v/>
      </c>
      <c r="BB20" t="str">
        <f ca="1">IF(AND(ISNUMBER($BB$529),$B$511=1),$BB$529,HLOOKUP(INDIRECT(ADDRESS(2,COLUMN())),OFFSET($BN$2,0,0,ROW()-1,60),ROW()-1,FALSE))</f>
        <v/>
      </c>
      <c r="BC20" t="str">
        <f ca="1">IF(AND(ISNUMBER($BC$529),$B$511=1),$BC$529,HLOOKUP(INDIRECT(ADDRESS(2,COLUMN())),OFFSET($BN$2,0,0,ROW()-1,60),ROW()-1,FALSE))</f>
        <v/>
      </c>
      <c r="BD20" t="str">
        <f ca="1">IF(AND(ISNUMBER($BD$529),$B$511=1),$BD$529,HLOOKUP(INDIRECT(ADDRESS(2,COLUMN())),OFFSET($BN$2,0,0,ROW()-1,60),ROW()-1,FALSE))</f>
        <v/>
      </c>
      <c r="BE20" t="str">
        <f ca="1">IF(AND(ISNUMBER($BE$529),$B$511=1),$BE$529,HLOOKUP(INDIRECT(ADDRESS(2,COLUMN())),OFFSET($BN$2,0,0,ROW()-1,60),ROW()-1,FALSE))</f>
        <v/>
      </c>
      <c r="BF20" t="str">
        <f ca="1">IF(AND(ISNUMBER($BF$529),$B$511=1),$BF$529,HLOOKUP(INDIRECT(ADDRESS(2,COLUMN())),OFFSET($BN$2,0,0,ROW()-1,60),ROW()-1,FALSE))</f>
        <v/>
      </c>
      <c r="BG20" t="str">
        <f ca="1">IF(AND(ISNUMBER($BG$529),$B$511=1),$BG$529,HLOOKUP(INDIRECT(ADDRESS(2,COLUMN())),OFFSET($BN$2,0,0,ROW()-1,60),ROW()-1,FALSE))</f>
        <v/>
      </c>
      <c r="BH20" t="str">
        <f ca="1">IF(AND(ISNUMBER($BH$529),$B$511=1),$BH$529,HLOOKUP(INDIRECT(ADDRESS(2,COLUMN())),OFFSET($BN$2,0,0,ROW()-1,60),ROW()-1,FALSE))</f>
        <v/>
      </c>
      <c r="BI20" t="str">
        <f ca="1">IF(AND(ISNUMBER($BI$529),$B$511=1),$BI$529,HLOOKUP(INDIRECT(ADDRESS(2,COLUMN())),OFFSET($BN$2,0,0,ROW()-1,60),ROW()-1,FALSE))</f>
        <v/>
      </c>
      <c r="BJ20" t="str">
        <f ca="1">IF(AND(ISNUMBER($BJ$529),$B$511=1),$BJ$529,HLOOKUP(INDIRECT(ADDRESS(2,COLUMN())),OFFSET($BN$2,0,0,ROW()-1,60),ROW()-1,FALSE))</f>
        <v/>
      </c>
      <c r="BK20" t="str">
        <f ca="1">IF(AND(ISNUMBER($BK$529),$B$511=1),$BK$529,HLOOKUP(INDIRECT(ADDRESS(2,COLUMN())),OFFSET($BN$2,0,0,ROW()-1,60),ROW()-1,FALSE))</f>
        <v/>
      </c>
      <c r="BL20" t="str">
        <f ca="1">IF(AND(ISNUMBER($BL$529),$B$511=1),$BL$529,HLOOKUP(INDIRECT(ADDRESS(2,COLUMN())),OFFSET($BN$2,0,0,ROW()-1,60),ROW()-1,FALSE))</f>
        <v/>
      </c>
      <c r="BM20" t="str">
        <f ca="1">IF(AND(ISNUMBER($BM$529),$B$511=1),$BM$529,HLOOKUP(INDIRECT(ADDRESS(2,COLUMN())),OFFSET($BN$2,0,0,ROW()-1,60),ROW()-1,FALSE))</f>
        <v/>
      </c>
      <c r="BN20" t="str">
        <f>""</f>
        <v/>
      </c>
      <c r="BO20">
        <f>7.430368</f>
        <v>7.4303679999999996</v>
      </c>
      <c r="BP20">
        <f>7.30747</f>
        <v>7.3074700000000004</v>
      </c>
      <c r="BQ20">
        <f>6.760815</f>
        <v>6.760815</v>
      </c>
      <c r="BR20">
        <f>6.926628</f>
        <v>6.926628</v>
      </c>
      <c r="BS20">
        <f>6.989412</f>
        <v>6.9894119999999997</v>
      </c>
      <c r="BT20">
        <f>6.622689</f>
        <v>6.6226890000000003</v>
      </c>
      <c r="BU20">
        <f>7.011561</f>
        <v>7.0115610000000004</v>
      </c>
      <c r="BV20">
        <f>6.842367</f>
        <v>6.8423670000000003</v>
      </c>
      <c r="BW20">
        <f>6.495672</f>
        <v>6.4956719999999999</v>
      </c>
      <c r="BX20">
        <f>6.761659</f>
        <v>6.7616589999999999</v>
      </c>
      <c r="BY20">
        <f>6.712202</f>
        <v>6.7122019999999996</v>
      </c>
      <c r="BZ20">
        <f>5.992717</f>
        <v>5.9927169999999998</v>
      </c>
      <c r="CA20">
        <f>5.351386</f>
        <v>5.3513859999999998</v>
      </c>
      <c r="CB20">
        <f>2.982793</f>
        <v>2.982793</v>
      </c>
      <c r="CC20">
        <f>2.428074</f>
        <v>2.4280740000000001</v>
      </c>
      <c r="CD20">
        <f>1.915159</f>
        <v>1.9151590000000001</v>
      </c>
      <c r="CE20">
        <f>1.877723</f>
        <v>1.877723</v>
      </c>
      <c r="CF20">
        <f>3.392126</f>
        <v>3.3921260000000002</v>
      </c>
      <c r="CG20">
        <f>2.744048</f>
        <v>2.7440479999999998</v>
      </c>
      <c r="CH20">
        <f>3.143797</f>
        <v>3.1437970000000002</v>
      </c>
      <c r="CI20">
        <f>3.19307</f>
        <v>3.1930700000000001</v>
      </c>
      <c r="CJ20">
        <f>2.808406</f>
        <v>2.8084060000000002</v>
      </c>
      <c r="CK20">
        <f>3.244159</f>
        <v>3.2441589999999998</v>
      </c>
      <c r="CL20">
        <f>3.340179</f>
        <v>3.340179</v>
      </c>
      <c r="CM20">
        <f>3.570904</f>
        <v>3.5709040000000001</v>
      </c>
      <c r="CN20">
        <f>3.24592</f>
        <v>3.2459199999999999</v>
      </c>
      <c r="CO20">
        <f>3.444527</f>
        <v>3.4445269999999999</v>
      </c>
      <c r="CP20">
        <f>3.963449</f>
        <v>3.9634490000000002</v>
      </c>
      <c r="CQ20">
        <f>4.309216</f>
        <v>4.3092160000000002</v>
      </c>
      <c r="CR20">
        <f>4.33327</f>
        <v>4.3332699999999997</v>
      </c>
      <c r="CS20">
        <f>4.552569</f>
        <v>4.5525690000000001</v>
      </c>
      <c r="CT20">
        <f>3.895292</f>
        <v>3.895292</v>
      </c>
      <c r="CU20">
        <f>3.159914</f>
        <v>3.1599140000000001</v>
      </c>
      <c r="CV20">
        <f>-5.682334</f>
        <v>-5.682334</v>
      </c>
      <c r="CW20">
        <f>97.32709</f>
        <v>97.327089999999998</v>
      </c>
      <c r="CX20">
        <f>80.439818</f>
        <v>80.439818000000002</v>
      </c>
      <c r="CY20">
        <f>69.988111</f>
        <v>69.988111000000004</v>
      </c>
      <c r="CZ20" t="str">
        <f>""</f>
        <v/>
      </c>
      <c r="DA20" t="str">
        <f>""</f>
        <v/>
      </c>
      <c r="DB20" t="str">
        <f>""</f>
        <v/>
      </c>
      <c r="DC20" t="str">
        <f>""</f>
        <v/>
      </c>
      <c r="DD20" t="str">
        <f>""</f>
        <v/>
      </c>
      <c r="DE20" t="str">
        <f>""</f>
        <v/>
      </c>
      <c r="DF20" t="str">
        <f>""</f>
        <v/>
      </c>
      <c r="DG20" t="str">
        <f>""</f>
        <v/>
      </c>
      <c r="DH20" t="str">
        <f>""</f>
        <v/>
      </c>
      <c r="DI20" t="str">
        <f>""</f>
        <v/>
      </c>
      <c r="DJ20" t="str">
        <f>""</f>
        <v/>
      </c>
      <c r="DK20" t="str">
        <f>""</f>
        <v/>
      </c>
      <c r="DL20" t="str">
        <f>""</f>
        <v/>
      </c>
      <c r="DM20" t="str">
        <f>""</f>
        <v/>
      </c>
      <c r="DN20" t="str">
        <f>""</f>
        <v/>
      </c>
      <c r="DO20" t="str">
        <f>""</f>
        <v/>
      </c>
      <c r="DP20" t="str">
        <f>""</f>
        <v/>
      </c>
      <c r="DQ20" t="str">
        <f>""</f>
        <v/>
      </c>
      <c r="DR20" t="str">
        <f>""</f>
        <v/>
      </c>
      <c r="DS20" t="str">
        <f>""</f>
        <v/>
      </c>
      <c r="DT20" t="str">
        <f>""</f>
        <v/>
      </c>
      <c r="DU20" t="str">
        <f>""</f>
        <v/>
      </c>
    </row>
    <row r="21" spans="1:125" x14ac:dyDescent="0.25">
      <c r="A21" t="str">
        <f>"    Great Wall Motor Co Ltd"</f>
        <v xml:space="preserve">    Great Wall Motor Co Ltd</v>
      </c>
      <c r="B21" t="str">
        <f>"2333 HK Equity"</f>
        <v>2333 HK Equity</v>
      </c>
      <c r="C21" t="str">
        <f t="shared" si="0"/>
        <v>RR844</v>
      </c>
      <c r="D21" t="str">
        <f t="shared" si="1"/>
        <v>T12M_DIL_EPS_CONT_OPS</v>
      </c>
      <c r="E21" t="str">
        <f t="shared" si="2"/>
        <v>Dynamic</v>
      </c>
      <c r="F21" t="str">
        <f ca="1">IF(AND(ISNUMBER($F$530),$B$511=1),$F$530,HLOOKUP(INDIRECT(ADDRESS(2,COLUMN())),OFFSET($BN$2,0,0,ROW()-1,60),ROW()-1,FALSE))</f>
        <v/>
      </c>
      <c r="G21" t="str">
        <f ca="1">IF(AND(ISNUMBER($G$530),$B$511=1),$G$530,HLOOKUP(INDIRECT(ADDRESS(2,COLUMN())),OFFSET($BN$2,0,0,ROW()-1,60),ROW()-1,FALSE))</f>
        <v/>
      </c>
      <c r="H21">
        <f ca="1">IF(AND(ISNUMBER($H$530),$B$511=1),$H$530,HLOOKUP(INDIRECT(ADDRESS(2,COLUMN())),OFFSET($BN$2,0,0,ROW()-1,60),ROW()-1,FALSE))</f>
        <v>9.7459154000000006E-2</v>
      </c>
      <c r="I21">
        <f ca="1">IF(AND(ISNUMBER($I$530),$B$511=1),$I$530,HLOOKUP(INDIRECT(ADDRESS(2,COLUMN())),OFFSET($BN$2,0,0,ROW()-1,60),ROW()-1,FALSE))</f>
        <v>0.102521695</v>
      </c>
      <c r="J21">
        <f ca="1">IF(AND(ISNUMBER($J$530),$B$511=1),$J$530,HLOOKUP(INDIRECT(ADDRESS(2,COLUMN())),OFFSET($BN$2,0,0,ROW()-1,60),ROW()-1,FALSE))</f>
        <v>8.2081893000000003E-2</v>
      </c>
      <c r="K21">
        <f ca="1">IF(AND(ISNUMBER($K$530),$B$511=1),$K$530,HLOOKUP(INDIRECT(ADDRESS(2,COLUMN())),OFFSET($BN$2,0,0,ROW()-1,60),ROW()-1,FALSE))</f>
        <v>7.6483198000000002E-2</v>
      </c>
      <c r="L21">
        <f ca="1">IF(AND(ISNUMBER($L$530),$B$511=1),$L$530,HLOOKUP(INDIRECT(ADDRESS(2,COLUMN())),OFFSET($BN$2,0,0,ROW()-1,60),ROW()-1,FALSE))</f>
        <v>9.7784456000000006E-2</v>
      </c>
      <c r="M21">
        <f ca="1">IF(AND(ISNUMBER($M$530),$B$511=1),$M$530,HLOOKUP(INDIRECT(ADDRESS(2,COLUMN())),OFFSET($BN$2,0,0,ROW()-1,60),ROW()-1,FALSE))</f>
        <v>0.127727756</v>
      </c>
      <c r="N21">
        <f ca="1">IF(AND(ISNUMBER($N$530),$B$511=1),$N$530,HLOOKUP(INDIRECT(ADDRESS(2,COLUMN())),OFFSET($BN$2,0,0,ROW()-1,60),ROW()-1,FALSE))</f>
        <v>0.164176503</v>
      </c>
      <c r="O21">
        <f ca="1">IF(AND(ISNUMBER($O$530),$B$511=1),$O$530,HLOOKUP(INDIRECT(ADDRESS(2,COLUMN())),OFFSET($BN$2,0,0,ROW()-1,60),ROW()-1,FALSE))</f>
        <v>0.17379256700000001</v>
      </c>
      <c r="P21">
        <f ca="1">IF(AND(ISNUMBER($P$530),$B$511=1),$P$530,HLOOKUP(INDIRECT(ADDRESS(2,COLUMN())),OFFSET($BN$2,0,0,ROW()-1,60),ROW()-1,FALSE))</f>
        <v>0.15092552100000001</v>
      </c>
      <c r="Q21">
        <f ca="1">IF(AND(ISNUMBER($Q$530),$B$511=1),$Q$530,HLOOKUP(INDIRECT(ADDRESS(2,COLUMN())),OFFSET($BN$2,0,0,ROW()-1,60),ROW()-1,FALSE))</f>
        <v>0.13966187999999999</v>
      </c>
      <c r="R21">
        <f ca="1">IF(AND(ISNUMBER($R$530),$B$511=1),$R$530,HLOOKUP(INDIRECT(ADDRESS(2,COLUMN())),OFFSET($BN$2,0,0,ROW()-1,60),ROW()-1,FALSE))</f>
        <v>0.134111746</v>
      </c>
      <c r="S21">
        <f ca="1">IF(AND(ISNUMBER($S$530),$B$511=1),$S$530,HLOOKUP(INDIRECT(ADDRESS(2,COLUMN())),OFFSET($BN$2,0,0,ROW()-1,60),ROW()-1,FALSE))</f>
        <v>0.13820491900000001</v>
      </c>
      <c r="T21">
        <f ca="1">IF(AND(ISNUMBER($T$530),$B$511=1),$T$530,HLOOKUP(INDIRECT(ADDRESS(2,COLUMN())),OFFSET($BN$2,0,0,ROW()-1,60),ROW()-1,FALSE))</f>
        <v>0.15110627800000001</v>
      </c>
      <c r="U21">
        <f ca="1">IF(AND(ISNUMBER($U$530),$B$511=1),$U$530,HLOOKUP(INDIRECT(ADDRESS(2,COLUMN())),OFFSET($BN$2,0,0,ROW()-1,60),ROW()-1,FALSE))</f>
        <v>0.15469501799999999</v>
      </c>
      <c r="V21">
        <f ca="1">IF(AND(ISNUMBER($V$530),$B$511=1),$V$530,HLOOKUP(INDIRECT(ADDRESS(2,COLUMN())),OFFSET($BN$2,0,0,ROW()-1,60),ROW()-1,FALSE))</f>
        <v>0.15103762500000001</v>
      </c>
      <c r="W21">
        <f ca="1">IF(AND(ISNUMBER($W$530),$B$511=1),$W$530,HLOOKUP(INDIRECT(ADDRESS(2,COLUMN())),OFFSET($BN$2,0,0,ROW()-1,60),ROW()-1,FALSE))</f>
        <v>0.14272426299999999</v>
      </c>
      <c r="X21">
        <f ca="1">IF(AND(ISNUMBER($X$530),$B$511=1),$X$530,HLOOKUP(INDIRECT(ADDRESS(2,COLUMN())),OFFSET($BN$2,0,0,ROW()-1,60),ROW()-1,FALSE))</f>
        <v>0.13549924399999999</v>
      </c>
      <c r="Y21">
        <f ca="1">IF(AND(ISNUMBER($Y$530),$B$511=1),$Y$530,HLOOKUP(INDIRECT(ADDRESS(2,COLUMN())),OFFSET($BN$2,0,0,ROW()-1,60),ROW()-1,FALSE))</f>
        <v>0.14374759500000001</v>
      </c>
      <c r="Z21">
        <f ca="1">IF(AND(ISNUMBER($Z$530),$B$511=1),$Z$530,HLOOKUP(INDIRECT(ADDRESS(2,COLUMN())),OFFSET($BN$2,0,0,ROW()-1,60),ROW()-1,FALSE))</f>
        <v>0.148795279</v>
      </c>
      <c r="AA21">
        <f ca="1">IF(AND(ISNUMBER($AA$530),$B$511=1),$AA$530,HLOOKUP(INDIRECT(ADDRESS(2,COLUMN())),OFFSET($BN$2,0,0,ROW()-1,60),ROW()-1,FALSE))</f>
        <v>0.14547773</v>
      </c>
      <c r="AB21">
        <f ca="1">IF(AND(ISNUMBER($AB$530),$B$511=1),$AB$530,HLOOKUP(INDIRECT(ADDRESS(2,COLUMN())),OFFSET($BN$2,0,0,ROW()-1,60),ROW()-1,FALSE))</f>
        <v>0.14082635099999999</v>
      </c>
      <c r="AC21">
        <f ca="1">IF(AND(ISNUMBER($AC$530),$B$511=1),$AC$530,HLOOKUP(INDIRECT(ADDRESS(2,COLUMN())),OFFSET($BN$2,0,0,ROW()-1,60),ROW()-1,FALSE))</f>
        <v>0.12897581499999999</v>
      </c>
      <c r="AD21">
        <f ca="1">IF(AND(ISNUMBER($AD$530),$B$511=1),$AD$530,HLOOKUP(INDIRECT(ADDRESS(2,COLUMN())),OFFSET($BN$2,0,0,ROW()-1,60),ROW()-1,FALSE))</f>
        <v>0.11216475300000001</v>
      </c>
      <c r="AE21">
        <f ca="1">IF(AND(ISNUMBER($AE$530),$B$511=1),$AE$530,HLOOKUP(INDIRECT(ADDRESS(2,COLUMN())),OFFSET($BN$2,0,0,ROW()-1,60),ROW()-1,FALSE))</f>
        <v>9.8340179999999999E-2</v>
      </c>
      <c r="AF21" t="str">
        <f ca="1">IF(AND(ISNUMBER($AF$530),$B$511=1),$AF$530,HLOOKUP(INDIRECT(ADDRESS(2,COLUMN())),OFFSET($BN$2,0,0,ROW()-1,60),ROW()-1,FALSE))</f>
        <v/>
      </c>
      <c r="AG21" t="str">
        <f ca="1">IF(AND(ISNUMBER($AG$530),$B$511=1),$AG$530,HLOOKUP(INDIRECT(ADDRESS(2,COLUMN())),OFFSET($BN$2,0,0,ROW()-1,60),ROW()-1,FALSE))</f>
        <v/>
      </c>
      <c r="AH21" t="str">
        <f ca="1">IF(AND(ISNUMBER($AH$530),$B$511=1),$AH$530,HLOOKUP(INDIRECT(ADDRESS(2,COLUMN())),OFFSET($BN$2,0,0,ROW()-1,60),ROW()-1,FALSE))</f>
        <v/>
      </c>
      <c r="AI21" t="str">
        <f ca="1">IF(AND(ISNUMBER($AI$530),$B$511=1),$AI$530,HLOOKUP(INDIRECT(ADDRESS(2,COLUMN())),OFFSET($BN$2,0,0,ROW()-1,60),ROW()-1,FALSE))</f>
        <v/>
      </c>
      <c r="AJ21" t="str">
        <f ca="1">IF(AND(ISNUMBER($AJ$530),$B$511=1),$AJ$530,HLOOKUP(INDIRECT(ADDRESS(2,COLUMN())),OFFSET($BN$2,0,0,ROW()-1,60),ROW()-1,FALSE))</f>
        <v/>
      </c>
      <c r="AK21" t="str">
        <f ca="1">IF(AND(ISNUMBER($AK$530),$B$511=1),$AK$530,HLOOKUP(INDIRECT(ADDRESS(2,COLUMN())),OFFSET($BN$2,0,0,ROW()-1,60),ROW()-1,FALSE))</f>
        <v/>
      </c>
      <c r="AL21" t="str">
        <f ca="1">IF(AND(ISNUMBER($AL$530),$B$511=1),$AL$530,HLOOKUP(INDIRECT(ADDRESS(2,COLUMN())),OFFSET($BN$2,0,0,ROW()-1,60),ROW()-1,FALSE))</f>
        <v/>
      </c>
      <c r="AM21" t="str">
        <f ca="1">IF(AND(ISNUMBER($AM$530),$B$511=1),$AM$530,HLOOKUP(INDIRECT(ADDRESS(2,COLUMN())),OFFSET($BN$2,0,0,ROW()-1,60),ROW()-1,FALSE))</f>
        <v/>
      </c>
      <c r="AN21" t="str">
        <f ca="1">IF(AND(ISNUMBER($AN$530),$B$511=1),$AN$530,HLOOKUP(INDIRECT(ADDRESS(2,COLUMN())),OFFSET($BN$2,0,0,ROW()-1,60),ROW()-1,FALSE))</f>
        <v/>
      </c>
      <c r="AO21" t="str">
        <f ca="1">IF(AND(ISNUMBER($AO$530),$B$511=1),$AO$530,HLOOKUP(INDIRECT(ADDRESS(2,COLUMN())),OFFSET($BN$2,0,0,ROW()-1,60),ROW()-1,FALSE))</f>
        <v/>
      </c>
      <c r="AP21" t="str">
        <f ca="1">IF(AND(ISNUMBER($AP$530),$B$511=1),$AP$530,HLOOKUP(INDIRECT(ADDRESS(2,COLUMN())),OFFSET($BN$2,0,0,ROW()-1,60),ROW()-1,FALSE))</f>
        <v/>
      </c>
      <c r="AQ21" t="str">
        <f ca="1">IF(AND(ISNUMBER($AQ$530),$B$511=1),$AQ$530,HLOOKUP(INDIRECT(ADDRESS(2,COLUMN())),OFFSET($BN$2,0,0,ROW()-1,60),ROW()-1,FALSE))</f>
        <v/>
      </c>
      <c r="AR21" t="str">
        <f ca="1">IF(AND(ISNUMBER($AR$530),$B$511=1),$AR$530,HLOOKUP(INDIRECT(ADDRESS(2,COLUMN())),OFFSET($BN$2,0,0,ROW()-1,60),ROW()-1,FALSE))</f>
        <v/>
      </c>
      <c r="AS21" t="str">
        <f ca="1">IF(AND(ISNUMBER($AS$530),$B$511=1),$AS$530,HLOOKUP(INDIRECT(ADDRESS(2,COLUMN())),OFFSET($BN$2,0,0,ROW()-1,60),ROW()-1,FALSE))</f>
        <v/>
      </c>
      <c r="AT21" t="str">
        <f ca="1">IF(AND(ISNUMBER($AT$530),$B$511=1),$AT$530,HLOOKUP(INDIRECT(ADDRESS(2,COLUMN())),OFFSET($BN$2,0,0,ROW()-1,60),ROW()-1,FALSE))</f>
        <v/>
      </c>
      <c r="AU21" t="str">
        <f ca="1">IF(AND(ISNUMBER($AU$530),$B$511=1),$AU$530,HLOOKUP(INDIRECT(ADDRESS(2,COLUMN())),OFFSET($BN$2,0,0,ROW()-1,60),ROW()-1,FALSE))</f>
        <v/>
      </c>
      <c r="AV21" t="str">
        <f ca="1">IF(AND(ISNUMBER($AV$530),$B$511=1),$AV$530,HLOOKUP(INDIRECT(ADDRESS(2,COLUMN())),OFFSET($BN$2,0,0,ROW()-1,60),ROW()-1,FALSE))</f>
        <v/>
      </c>
      <c r="AW21" t="str">
        <f ca="1">IF(AND(ISNUMBER($AW$530),$B$511=1),$AW$530,HLOOKUP(INDIRECT(ADDRESS(2,COLUMN())),OFFSET($BN$2,0,0,ROW()-1,60),ROW()-1,FALSE))</f>
        <v/>
      </c>
      <c r="AX21" t="str">
        <f ca="1">IF(AND(ISNUMBER($AX$530),$B$511=1),$AX$530,HLOOKUP(INDIRECT(ADDRESS(2,COLUMN())),OFFSET($BN$2,0,0,ROW()-1,60),ROW()-1,FALSE))</f>
        <v/>
      </c>
      <c r="AY21" t="str">
        <f ca="1">IF(AND(ISNUMBER($AY$530),$B$511=1),$AY$530,HLOOKUP(INDIRECT(ADDRESS(2,COLUMN())),OFFSET($BN$2,0,0,ROW()-1,60),ROW()-1,FALSE))</f>
        <v/>
      </c>
      <c r="AZ21" t="str">
        <f ca="1">IF(AND(ISNUMBER($AZ$530),$B$511=1),$AZ$530,HLOOKUP(INDIRECT(ADDRESS(2,COLUMN())),OFFSET($BN$2,0,0,ROW()-1,60),ROW()-1,FALSE))</f>
        <v/>
      </c>
      <c r="BA21" t="str">
        <f ca="1">IF(AND(ISNUMBER($BA$530),$B$511=1),$BA$530,HLOOKUP(INDIRECT(ADDRESS(2,COLUMN())),OFFSET($BN$2,0,0,ROW()-1,60),ROW()-1,FALSE))</f>
        <v/>
      </c>
      <c r="BB21" t="str">
        <f ca="1">IF(AND(ISNUMBER($BB$530),$B$511=1),$BB$530,HLOOKUP(INDIRECT(ADDRESS(2,COLUMN())),OFFSET($BN$2,0,0,ROW()-1,60),ROW()-1,FALSE))</f>
        <v/>
      </c>
      <c r="BC21" t="str">
        <f ca="1">IF(AND(ISNUMBER($BC$530),$B$511=1),$BC$530,HLOOKUP(INDIRECT(ADDRESS(2,COLUMN())),OFFSET($BN$2,0,0,ROW()-1,60),ROW()-1,FALSE))</f>
        <v/>
      </c>
      <c r="BD21" t="str">
        <f ca="1">IF(AND(ISNUMBER($BD$530),$B$511=1),$BD$530,HLOOKUP(INDIRECT(ADDRESS(2,COLUMN())),OFFSET($BN$2,0,0,ROW()-1,60),ROW()-1,FALSE))</f>
        <v/>
      </c>
      <c r="BE21" t="str">
        <f ca="1">IF(AND(ISNUMBER($BE$530),$B$511=1),$BE$530,HLOOKUP(INDIRECT(ADDRESS(2,COLUMN())),OFFSET($BN$2,0,0,ROW()-1,60),ROW()-1,FALSE))</f>
        <v/>
      </c>
      <c r="BF21" t="str">
        <f ca="1">IF(AND(ISNUMBER($BF$530),$B$511=1),$BF$530,HLOOKUP(INDIRECT(ADDRESS(2,COLUMN())),OFFSET($BN$2,0,0,ROW()-1,60),ROW()-1,FALSE))</f>
        <v/>
      </c>
      <c r="BG21" t="str">
        <f ca="1">IF(AND(ISNUMBER($BG$530),$B$511=1),$BG$530,HLOOKUP(INDIRECT(ADDRESS(2,COLUMN())),OFFSET($BN$2,0,0,ROW()-1,60),ROW()-1,FALSE))</f>
        <v/>
      </c>
      <c r="BH21" t="str">
        <f ca="1">IF(AND(ISNUMBER($BH$530),$B$511=1),$BH$530,HLOOKUP(INDIRECT(ADDRESS(2,COLUMN())),OFFSET($BN$2,0,0,ROW()-1,60),ROW()-1,FALSE))</f>
        <v/>
      </c>
      <c r="BI21" t="str">
        <f ca="1">IF(AND(ISNUMBER($BI$530),$B$511=1),$BI$530,HLOOKUP(INDIRECT(ADDRESS(2,COLUMN())),OFFSET($BN$2,0,0,ROW()-1,60),ROW()-1,FALSE))</f>
        <v/>
      </c>
      <c r="BJ21" t="str">
        <f ca="1">IF(AND(ISNUMBER($BJ$530),$B$511=1),$BJ$530,HLOOKUP(INDIRECT(ADDRESS(2,COLUMN())),OFFSET($BN$2,0,0,ROW()-1,60),ROW()-1,FALSE))</f>
        <v/>
      </c>
      <c r="BK21" t="str">
        <f ca="1">IF(AND(ISNUMBER($BK$530),$B$511=1),$BK$530,HLOOKUP(INDIRECT(ADDRESS(2,COLUMN())),OFFSET($BN$2,0,0,ROW()-1,60),ROW()-1,FALSE))</f>
        <v/>
      </c>
      <c r="BL21" t="str">
        <f ca="1">IF(AND(ISNUMBER($BL$530),$B$511=1),$BL$530,HLOOKUP(INDIRECT(ADDRESS(2,COLUMN())),OFFSET($BN$2,0,0,ROW()-1,60),ROW()-1,FALSE))</f>
        <v/>
      </c>
      <c r="BM21" t="str">
        <f ca="1">IF(AND(ISNUMBER($BM$530),$B$511=1),$BM$530,HLOOKUP(INDIRECT(ADDRESS(2,COLUMN())),OFFSET($BN$2,0,0,ROW()-1,60),ROW()-1,FALSE))</f>
        <v/>
      </c>
      <c r="BN21" t="str">
        <f>""</f>
        <v/>
      </c>
      <c r="BO21" t="str">
        <f>""</f>
        <v/>
      </c>
      <c r="BP21">
        <f>0.097459154</f>
        <v>9.7459154000000006E-2</v>
      </c>
      <c r="BQ21">
        <f>0.102521695</f>
        <v>0.102521695</v>
      </c>
      <c r="BR21">
        <f>0.082081893</f>
        <v>8.2081893000000003E-2</v>
      </c>
      <c r="BS21">
        <f>0.076483198</f>
        <v>7.6483198000000002E-2</v>
      </c>
      <c r="BT21">
        <f>0.097784456</f>
        <v>9.7784456000000006E-2</v>
      </c>
      <c r="BU21">
        <f>0.127727756</f>
        <v>0.127727756</v>
      </c>
      <c r="BV21">
        <f>0.164176503</f>
        <v>0.164176503</v>
      </c>
      <c r="BW21">
        <f>0.173792567</f>
        <v>0.17379256700000001</v>
      </c>
      <c r="BX21">
        <f>0.150925521</f>
        <v>0.15092552100000001</v>
      </c>
      <c r="BY21">
        <f>0.13966188</f>
        <v>0.13966187999999999</v>
      </c>
      <c r="BZ21">
        <f>0.134111746</f>
        <v>0.134111746</v>
      </c>
      <c r="CA21">
        <f>0.138204919</f>
        <v>0.13820491900000001</v>
      </c>
      <c r="CB21">
        <f>0.151106278</f>
        <v>0.15110627800000001</v>
      </c>
      <c r="CC21">
        <f>0.154695018</f>
        <v>0.15469501799999999</v>
      </c>
      <c r="CD21">
        <f>0.151037625</f>
        <v>0.15103762500000001</v>
      </c>
      <c r="CE21">
        <f>0.142724263</f>
        <v>0.14272426299999999</v>
      </c>
      <c r="CF21">
        <f>0.135499244</f>
        <v>0.13549924399999999</v>
      </c>
      <c r="CG21">
        <f>0.143747595</f>
        <v>0.14374759500000001</v>
      </c>
      <c r="CH21">
        <f>0.148795279</f>
        <v>0.148795279</v>
      </c>
      <c r="CI21">
        <f>0.14547773</f>
        <v>0.14547773</v>
      </c>
      <c r="CJ21">
        <f>0.140826351</f>
        <v>0.14082635099999999</v>
      </c>
      <c r="CK21">
        <f>0.128975815</f>
        <v>0.12897581499999999</v>
      </c>
      <c r="CL21">
        <f>0.112164753</f>
        <v>0.11216475300000001</v>
      </c>
      <c r="CM21">
        <f>0.09834018</f>
        <v>9.8340179999999999E-2</v>
      </c>
      <c r="CN21" t="str">
        <f>""</f>
        <v/>
      </c>
      <c r="CO21" t="str">
        <f>""</f>
        <v/>
      </c>
      <c r="CP21" t="str">
        <f>""</f>
        <v/>
      </c>
      <c r="CQ21" t="str">
        <f>""</f>
        <v/>
      </c>
      <c r="CR21" t="str">
        <f>""</f>
        <v/>
      </c>
      <c r="CS21" t="str">
        <f>""</f>
        <v/>
      </c>
      <c r="CT21" t="str">
        <f>""</f>
        <v/>
      </c>
      <c r="CU21" t="str">
        <f>""</f>
        <v/>
      </c>
      <c r="CV21" t="str">
        <f>""</f>
        <v/>
      </c>
      <c r="CW21" t="str">
        <f>""</f>
        <v/>
      </c>
      <c r="CX21" t="str">
        <f>""</f>
        <v/>
      </c>
      <c r="CY21" t="str">
        <f>""</f>
        <v/>
      </c>
      <c r="CZ21" t="str">
        <f>""</f>
        <v/>
      </c>
      <c r="DA21" t="str">
        <f>""</f>
        <v/>
      </c>
      <c r="DB21" t="str">
        <f>""</f>
        <v/>
      </c>
      <c r="DC21" t="str">
        <f>""</f>
        <v/>
      </c>
      <c r="DD21" t="str">
        <f>""</f>
        <v/>
      </c>
      <c r="DE21" t="str">
        <f>""</f>
        <v/>
      </c>
      <c r="DF21" t="str">
        <f>""</f>
        <v/>
      </c>
      <c r="DG21" t="str">
        <f>""</f>
        <v/>
      </c>
      <c r="DH21" t="str">
        <f>""</f>
        <v/>
      </c>
      <c r="DI21" t="str">
        <f>""</f>
        <v/>
      </c>
      <c r="DJ21" t="str">
        <f>""</f>
        <v/>
      </c>
      <c r="DK21" t="str">
        <f>""</f>
        <v/>
      </c>
      <c r="DL21" t="str">
        <f>""</f>
        <v/>
      </c>
      <c r="DM21" t="str">
        <f>""</f>
        <v/>
      </c>
      <c r="DN21" t="str">
        <f>""</f>
        <v/>
      </c>
      <c r="DO21" t="str">
        <f>""</f>
        <v/>
      </c>
      <c r="DP21" t="str">
        <f>""</f>
        <v/>
      </c>
      <c r="DQ21" t="str">
        <f>""</f>
        <v/>
      </c>
      <c r="DR21" t="str">
        <f>""</f>
        <v/>
      </c>
      <c r="DS21" t="str">
        <f>""</f>
        <v/>
      </c>
      <c r="DT21" t="str">
        <f>""</f>
        <v/>
      </c>
      <c r="DU21" t="str">
        <f>""</f>
        <v/>
      </c>
    </row>
    <row r="22" spans="1:125" x14ac:dyDescent="0.25">
      <c r="A22" t="str">
        <f>"    Guangzhou Automobile Group Co Ltd"</f>
        <v xml:space="preserve">    Guangzhou Automobile Group Co Ltd</v>
      </c>
      <c r="B22" t="str">
        <f>"2238 HK Equity"</f>
        <v>2238 HK Equity</v>
      </c>
      <c r="C22" t="str">
        <f t="shared" si="0"/>
        <v>RR844</v>
      </c>
      <c r="D22" t="str">
        <f t="shared" si="1"/>
        <v>T12M_DIL_EPS_CONT_OPS</v>
      </c>
      <c r="E22" t="str">
        <f t="shared" si="2"/>
        <v>Dynamic</v>
      </c>
      <c r="F22" t="str">
        <f ca="1">IF(AND(ISNUMBER($F$531),$B$511=1),$F$531,HLOOKUP(INDIRECT(ADDRESS(2,COLUMN())),OFFSET($BN$2,0,0,ROW()-1,60),ROW()-1,FALSE))</f>
        <v/>
      </c>
      <c r="G22" t="str">
        <f ca="1">IF(AND(ISNUMBER($G$531),$B$511=1),$G$531,HLOOKUP(INDIRECT(ADDRESS(2,COLUMN())),OFFSET($BN$2,0,0,ROW()-1,60),ROW()-1,FALSE))</f>
        <v/>
      </c>
      <c r="H22">
        <f ca="1">IF(AND(ISNUMBER($H$531),$B$511=1),$H$531,HLOOKUP(INDIRECT(ADDRESS(2,COLUMN())),OFFSET($BN$2,0,0,ROW()-1,60),ROW()-1,FALSE))</f>
        <v>0.166428715</v>
      </c>
      <c r="I22">
        <f ca="1">IF(AND(ISNUMBER($I$531),$B$511=1),$I$531,HLOOKUP(INDIRECT(ADDRESS(2,COLUMN())),OFFSET($BN$2,0,0,ROW()-1,60),ROW()-1,FALSE))</f>
        <v>0.17263439899999999</v>
      </c>
      <c r="J22">
        <f ca="1">IF(AND(ISNUMBER($J$531),$B$511=1),$J$531,HLOOKUP(INDIRECT(ADDRESS(2,COLUMN())),OFFSET($BN$2,0,0,ROW()-1,60),ROW()-1,FALSE))</f>
        <v>0.18645008199999999</v>
      </c>
      <c r="K22">
        <f ca="1">IF(AND(ISNUMBER($K$531),$B$511=1),$K$531,HLOOKUP(INDIRECT(ADDRESS(2,COLUMN())),OFFSET($BN$2,0,0,ROW()-1,60),ROW()-1,FALSE))</f>
        <v>0.18771396400000001</v>
      </c>
      <c r="L22">
        <f ca="1">IF(AND(ISNUMBER($L$531),$B$511=1),$L$531,HLOOKUP(INDIRECT(ADDRESS(2,COLUMN())),OFFSET($BN$2,0,0,ROW()-1,60),ROW()-1,FALSE))</f>
        <v>0.17246013099999999</v>
      </c>
      <c r="M22">
        <f ca="1">IF(AND(ISNUMBER($M$531),$B$511=1),$M$531,HLOOKUP(INDIRECT(ADDRESS(2,COLUMN())),OFFSET($BN$2,0,0,ROW()-1,60),ROW()-1,FALSE))</f>
        <v>0.15378371699999999</v>
      </c>
      <c r="N22">
        <f ca="1">IF(AND(ISNUMBER($N$531),$B$511=1),$N$531,HLOOKUP(INDIRECT(ADDRESS(2,COLUMN())),OFFSET($BN$2,0,0,ROW()-1,60),ROW()-1,FALSE))</f>
        <v>0.142045377</v>
      </c>
      <c r="O22">
        <f ca="1">IF(AND(ISNUMBER($O$531),$B$511=1),$O$531,HLOOKUP(INDIRECT(ADDRESS(2,COLUMN())),OFFSET($BN$2,0,0,ROW()-1,60),ROW()-1,FALSE))</f>
        <v>0.112746865</v>
      </c>
      <c r="P22">
        <f ca="1">IF(AND(ISNUMBER($P$531),$B$511=1),$P$531,HLOOKUP(INDIRECT(ADDRESS(2,COLUMN())),OFFSET($BN$2,0,0,ROW()-1,60),ROW()-1,FALSE))</f>
        <v>0.12547064499999999</v>
      </c>
      <c r="Q22">
        <f ca="1">IF(AND(ISNUMBER($Q$531),$B$511=1),$Q$531,HLOOKUP(INDIRECT(ADDRESS(2,COLUMN())),OFFSET($BN$2,0,0,ROW()-1,60),ROW()-1,FALSE))</f>
        <v>0.11570462400000001</v>
      </c>
      <c r="R22">
        <f ca="1">IF(AND(ISNUMBER($R$531),$B$511=1),$R$531,HLOOKUP(INDIRECT(ADDRESS(2,COLUMN())),OFFSET($BN$2,0,0,ROW()-1,60),ROW()-1,FALSE))</f>
        <v>9.9210153999999995E-2</v>
      </c>
      <c r="S22">
        <f ca="1">IF(AND(ISNUMBER($S$531),$B$511=1),$S$531,HLOOKUP(INDIRECT(ADDRESS(2,COLUMN())),OFFSET($BN$2,0,0,ROW()-1,60),ROW()-1,FALSE))</f>
        <v>7.6808119999999994E-2</v>
      </c>
      <c r="T22">
        <f ca="1">IF(AND(ISNUMBER($T$531),$B$511=1),$T$531,HLOOKUP(INDIRECT(ADDRESS(2,COLUMN())),OFFSET($BN$2,0,0,ROW()-1,60),ROW()-1,FALSE))</f>
        <v>6.1377828000000002E-2</v>
      </c>
      <c r="U22">
        <f ca="1">IF(AND(ISNUMBER($U$531),$B$511=1),$U$531,HLOOKUP(INDIRECT(ADDRESS(2,COLUMN())),OFFSET($BN$2,0,0,ROW()-1,60),ROW()-1,FALSE))</f>
        <v>5.4273861E-2</v>
      </c>
      <c r="V22">
        <f ca="1">IF(AND(ISNUMBER($V$531),$B$511=1),$V$531,HLOOKUP(INDIRECT(ADDRESS(2,COLUMN())),OFFSET($BN$2,0,0,ROW()-1,60),ROW()-1,FALSE))</f>
        <v>4.86445E-2</v>
      </c>
      <c r="W22">
        <f ca="1">IF(AND(ISNUMBER($W$531),$B$511=1),$W$531,HLOOKUP(INDIRECT(ADDRESS(2,COLUMN())),OFFSET($BN$2,0,0,ROW()-1,60),ROW()-1,FALSE))</f>
        <v>5.4660789000000001E-2</v>
      </c>
      <c r="X22">
        <f ca="1">IF(AND(ISNUMBER($X$531),$B$511=1),$X$531,HLOOKUP(INDIRECT(ADDRESS(2,COLUMN())),OFFSET($BN$2,0,0,ROW()-1,60),ROW()-1,FALSE))</f>
        <v>5.8301770000000003E-2</v>
      </c>
      <c r="Y22">
        <f ca="1">IF(AND(ISNUMBER($Y$531),$B$511=1),$Y$531,HLOOKUP(INDIRECT(ADDRESS(2,COLUMN())),OFFSET($BN$2,0,0,ROW()-1,60),ROW()-1,FALSE))</f>
        <v>6.7391718000000003E-2</v>
      </c>
      <c r="Z22">
        <f ca="1">IF(AND(ISNUMBER($Z$531),$B$511=1),$Z$531,HLOOKUP(INDIRECT(ADDRESS(2,COLUMN())),OFFSET($BN$2,0,0,ROW()-1,60),ROW()-1,FALSE))</f>
        <v>6.4953712999999996E-2</v>
      </c>
      <c r="AA22">
        <f ca="1">IF(AND(ISNUMBER($AA$531),$B$511=1),$AA$531,HLOOKUP(INDIRECT(ADDRESS(2,COLUMN())),OFFSET($BN$2,0,0,ROW()-1,60),ROW()-1,FALSE))</f>
        <v>5.7981913000000003E-2</v>
      </c>
      <c r="AB22">
        <f ca="1">IF(AND(ISNUMBER($AB$531),$B$511=1),$AB$531,HLOOKUP(INDIRECT(ADDRESS(2,COLUMN())),OFFSET($BN$2,0,0,ROW()-1,60),ROW()-1,FALSE))</f>
        <v>2.3374458000000001E-2</v>
      </c>
      <c r="AC22">
        <f ca="1">IF(AND(ISNUMBER($AC$531),$B$511=1),$AC$531,HLOOKUP(INDIRECT(ADDRESS(2,COLUMN())),OFFSET($BN$2,0,0,ROW()-1,60),ROW()-1,FALSE))</f>
        <v>1.1150086E-2</v>
      </c>
      <c r="AD22">
        <f ca="1">IF(AND(ISNUMBER($AD$531),$B$511=1),$AD$531,HLOOKUP(INDIRECT(ADDRESS(2,COLUMN())),OFFSET($BN$2,0,0,ROW()-1,60),ROW()-1,FALSE))</f>
        <v>1.3193712E-2</v>
      </c>
      <c r="AE22">
        <f ca="1">IF(AND(ISNUMBER($AE$531),$B$511=1),$AE$531,HLOOKUP(INDIRECT(ADDRESS(2,COLUMN())),OFFSET($BN$2,0,0,ROW()-1,60),ROW()-1,FALSE))</f>
        <v>2.0600340000000002E-2</v>
      </c>
      <c r="AF22">
        <f ca="1">IF(AND(ISNUMBER($AF$531),$B$511=1),$AF$531,HLOOKUP(INDIRECT(ADDRESS(2,COLUMN())),OFFSET($BN$2,0,0,ROW()-1,60),ROW()-1,FALSE))</f>
        <v>8.1557524000000006E-2</v>
      </c>
      <c r="AG22">
        <f ca="1">IF(AND(ISNUMBER($AG$531),$B$511=1),$AG$531,HLOOKUP(INDIRECT(ADDRESS(2,COLUMN())),OFFSET($BN$2,0,0,ROW()-1,60),ROW()-1,FALSE))</f>
        <v>9.1366536999999998E-2</v>
      </c>
      <c r="AH22">
        <f ca="1">IF(AND(ISNUMBER($AH$531),$B$511=1),$AH$531,HLOOKUP(INDIRECT(ADDRESS(2,COLUMN())),OFFSET($BN$2,0,0,ROW()-1,60),ROW()-1,FALSE))</f>
        <v>6.7864206999999996E-2</v>
      </c>
      <c r="AI22">
        <f ca="1">IF(AND(ISNUMBER($AI$531),$B$511=1),$AI$531,HLOOKUP(INDIRECT(ADDRESS(2,COLUMN())),OFFSET($BN$2,0,0,ROW()-1,60),ROW()-1,FALSE))</f>
        <v>6.4625906999999996E-2</v>
      </c>
      <c r="AJ22">
        <f ca="1">IF(AND(ISNUMBER($AJ$531),$B$511=1),$AJ$531,HLOOKUP(INDIRECT(ADDRESS(2,COLUMN())),OFFSET($BN$2,0,0,ROW()-1,60),ROW()-1,FALSE))</f>
        <v>3.6684089000000003E-2</v>
      </c>
      <c r="AK22">
        <f ca="1">IF(AND(ISNUMBER($AK$531),$B$511=1),$AK$531,HLOOKUP(INDIRECT(ADDRESS(2,COLUMN())),OFFSET($BN$2,0,0,ROW()-1,60),ROW()-1,FALSE))</f>
        <v>4.2513549999999997E-2</v>
      </c>
      <c r="AL22">
        <f ca="1">IF(AND(ISNUMBER($AL$531),$B$511=1),$AL$531,HLOOKUP(INDIRECT(ADDRESS(2,COLUMN())),OFFSET($BN$2,0,0,ROW()-1,60),ROW()-1,FALSE))</f>
        <v>7.5293252000000005E-2</v>
      </c>
      <c r="AM22">
        <f ca="1">IF(AND(ISNUMBER($AM$531),$B$511=1),$AM$531,HLOOKUP(INDIRECT(ADDRESS(2,COLUMN())),OFFSET($BN$2,0,0,ROW()-1,60),ROW()-1,FALSE))</f>
        <v>9.8444502000000003E-2</v>
      </c>
      <c r="AN22">
        <f ca="1">IF(AND(ISNUMBER($AN$531),$B$511=1),$AN$531,HLOOKUP(INDIRECT(ADDRESS(2,COLUMN())),OFFSET($BN$2,0,0,ROW()-1,60),ROW()-1,FALSE))</f>
        <v>9.886955E-2</v>
      </c>
      <c r="AO22">
        <f ca="1">IF(AND(ISNUMBER($AO$531),$B$511=1),$AO$531,HLOOKUP(INDIRECT(ADDRESS(2,COLUMN())),OFFSET($BN$2,0,0,ROW()-1,60),ROW()-1,FALSE))</f>
        <v>9.9341220999999993E-2</v>
      </c>
      <c r="AP22">
        <f ca="1">IF(AND(ISNUMBER($AP$531),$B$511=1),$AP$531,HLOOKUP(INDIRECT(ADDRESS(2,COLUMN())),OFFSET($BN$2,0,0,ROW()-1,60),ROW()-1,FALSE))</f>
        <v>8.4562874999999996E-2</v>
      </c>
      <c r="AQ22">
        <f ca="1">IF(AND(ISNUMBER($AQ$531),$B$511=1),$AQ$531,HLOOKUP(INDIRECT(ADDRESS(2,COLUMN())),OFFSET($BN$2,0,0,ROW()-1,60),ROW()-1,FALSE))</f>
        <v>5.8827132999999997E-2</v>
      </c>
      <c r="AR22" t="str">
        <f ca="1">IF(AND(ISNUMBER($AR$531),$B$511=1),$AR$531,HLOOKUP(INDIRECT(ADDRESS(2,COLUMN())),OFFSET($BN$2,0,0,ROW()-1,60),ROW()-1,FALSE))</f>
        <v/>
      </c>
      <c r="AS22" t="str">
        <f ca="1">IF(AND(ISNUMBER($AS$531),$B$511=1),$AS$531,HLOOKUP(INDIRECT(ADDRESS(2,COLUMN())),OFFSET($BN$2,0,0,ROW()-1,60),ROW()-1,FALSE))</f>
        <v/>
      </c>
      <c r="AT22" t="str">
        <f ca="1">IF(AND(ISNUMBER($AT$531),$B$511=1),$AT$531,HLOOKUP(INDIRECT(ADDRESS(2,COLUMN())),OFFSET($BN$2,0,0,ROW()-1,60),ROW()-1,FALSE))</f>
        <v/>
      </c>
      <c r="AU22" t="str">
        <f ca="1">IF(AND(ISNUMBER($AU$531),$B$511=1),$AU$531,HLOOKUP(INDIRECT(ADDRESS(2,COLUMN())),OFFSET($BN$2,0,0,ROW()-1,60),ROW()-1,FALSE))</f>
        <v/>
      </c>
      <c r="AV22" t="str">
        <f ca="1">IF(AND(ISNUMBER($AV$531),$B$511=1),$AV$531,HLOOKUP(INDIRECT(ADDRESS(2,COLUMN())),OFFSET($BN$2,0,0,ROW()-1,60),ROW()-1,FALSE))</f>
        <v/>
      </c>
      <c r="AW22" t="str">
        <f ca="1">IF(AND(ISNUMBER($AW$531),$B$511=1),$AW$531,HLOOKUP(INDIRECT(ADDRESS(2,COLUMN())),OFFSET($BN$2,0,0,ROW()-1,60),ROW()-1,FALSE))</f>
        <v/>
      </c>
      <c r="AX22" t="str">
        <f ca="1">IF(AND(ISNUMBER($AX$531),$B$511=1),$AX$531,HLOOKUP(INDIRECT(ADDRESS(2,COLUMN())),OFFSET($BN$2,0,0,ROW()-1,60),ROW()-1,FALSE))</f>
        <v/>
      </c>
      <c r="AY22" t="str">
        <f ca="1">IF(AND(ISNUMBER($AY$531),$B$511=1),$AY$531,HLOOKUP(INDIRECT(ADDRESS(2,COLUMN())),OFFSET($BN$2,0,0,ROW()-1,60),ROW()-1,FALSE))</f>
        <v/>
      </c>
      <c r="AZ22" t="str">
        <f ca="1">IF(AND(ISNUMBER($AZ$531),$B$511=1),$AZ$531,HLOOKUP(INDIRECT(ADDRESS(2,COLUMN())),OFFSET($BN$2,0,0,ROW()-1,60),ROW()-1,FALSE))</f>
        <v/>
      </c>
      <c r="BA22" t="str">
        <f ca="1">IF(AND(ISNUMBER($BA$531),$B$511=1),$BA$531,HLOOKUP(INDIRECT(ADDRESS(2,COLUMN())),OFFSET($BN$2,0,0,ROW()-1,60),ROW()-1,FALSE))</f>
        <v/>
      </c>
      <c r="BB22" t="str">
        <f ca="1">IF(AND(ISNUMBER($BB$531),$B$511=1),$BB$531,HLOOKUP(INDIRECT(ADDRESS(2,COLUMN())),OFFSET($BN$2,0,0,ROW()-1,60),ROW()-1,FALSE))</f>
        <v/>
      </c>
      <c r="BC22" t="str">
        <f ca="1">IF(AND(ISNUMBER($BC$531),$B$511=1),$BC$531,HLOOKUP(INDIRECT(ADDRESS(2,COLUMN())),OFFSET($BN$2,0,0,ROW()-1,60),ROW()-1,FALSE))</f>
        <v/>
      </c>
      <c r="BD22" t="str">
        <f ca="1">IF(AND(ISNUMBER($BD$531),$B$511=1),$BD$531,HLOOKUP(INDIRECT(ADDRESS(2,COLUMN())),OFFSET($BN$2,0,0,ROW()-1,60),ROW()-1,FALSE))</f>
        <v/>
      </c>
      <c r="BE22" t="str">
        <f ca="1">IF(AND(ISNUMBER($BE$531),$B$511=1),$BE$531,HLOOKUP(INDIRECT(ADDRESS(2,COLUMN())),OFFSET($BN$2,0,0,ROW()-1,60),ROW()-1,FALSE))</f>
        <v/>
      </c>
      <c r="BF22" t="str">
        <f ca="1">IF(AND(ISNUMBER($BF$531),$B$511=1),$BF$531,HLOOKUP(INDIRECT(ADDRESS(2,COLUMN())),OFFSET($BN$2,0,0,ROW()-1,60),ROW()-1,FALSE))</f>
        <v/>
      </c>
      <c r="BG22" t="str">
        <f ca="1">IF(AND(ISNUMBER($BG$531),$B$511=1),$BG$531,HLOOKUP(INDIRECT(ADDRESS(2,COLUMN())),OFFSET($BN$2,0,0,ROW()-1,60),ROW()-1,FALSE))</f>
        <v/>
      </c>
      <c r="BH22" t="str">
        <f ca="1">IF(AND(ISNUMBER($BH$531),$B$511=1),$BH$531,HLOOKUP(INDIRECT(ADDRESS(2,COLUMN())),OFFSET($BN$2,0,0,ROW()-1,60),ROW()-1,FALSE))</f>
        <v/>
      </c>
      <c r="BI22" t="str">
        <f ca="1">IF(AND(ISNUMBER($BI$531),$B$511=1),$BI$531,HLOOKUP(INDIRECT(ADDRESS(2,COLUMN())),OFFSET($BN$2,0,0,ROW()-1,60),ROW()-1,FALSE))</f>
        <v/>
      </c>
      <c r="BJ22" t="str">
        <f ca="1">IF(AND(ISNUMBER($BJ$531),$B$511=1),$BJ$531,HLOOKUP(INDIRECT(ADDRESS(2,COLUMN())),OFFSET($BN$2,0,0,ROW()-1,60),ROW()-1,FALSE))</f>
        <v/>
      </c>
      <c r="BK22" t="str">
        <f ca="1">IF(AND(ISNUMBER($BK$531),$B$511=1),$BK$531,HLOOKUP(INDIRECT(ADDRESS(2,COLUMN())),OFFSET($BN$2,0,0,ROW()-1,60),ROW()-1,FALSE))</f>
        <v/>
      </c>
      <c r="BL22" t="str">
        <f ca="1">IF(AND(ISNUMBER($BL$531),$B$511=1),$BL$531,HLOOKUP(INDIRECT(ADDRESS(2,COLUMN())),OFFSET($BN$2,0,0,ROW()-1,60),ROW()-1,FALSE))</f>
        <v/>
      </c>
      <c r="BM22" t="str">
        <f ca="1">IF(AND(ISNUMBER($BM$531),$B$511=1),$BM$531,HLOOKUP(INDIRECT(ADDRESS(2,COLUMN())),OFFSET($BN$2,0,0,ROW()-1,60),ROW()-1,FALSE))</f>
        <v/>
      </c>
      <c r="BN22" t="str">
        <f>""</f>
        <v/>
      </c>
      <c r="BO22" t="str">
        <f>""</f>
        <v/>
      </c>
      <c r="BP22">
        <f>0.166428715</f>
        <v>0.166428715</v>
      </c>
      <c r="BQ22">
        <f>0.172634399</f>
        <v>0.17263439899999999</v>
      </c>
      <c r="BR22">
        <f>0.186450082</f>
        <v>0.18645008199999999</v>
      </c>
      <c r="BS22">
        <f>0.187713964</f>
        <v>0.18771396400000001</v>
      </c>
      <c r="BT22">
        <f>0.172460131</f>
        <v>0.17246013099999999</v>
      </c>
      <c r="BU22">
        <f>0.153783717</f>
        <v>0.15378371699999999</v>
      </c>
      <c r="BV22">
        <f>0.142045377</f>
        <v>0.142045377</v>
      </c>
      <c r="BW22">
        <f>0.112746865</f>
        <v>0.112746865</v>
      </c>
      <c r="BX22">
        <f>0.125470645</f>
        <v>0.12547064499999999</v>
      </c>
      <c r="BY22">
        <f>0.115704624</f>
        <v>0.11570462400000001</v>
      </c>
      <c r="BZ22">
        <f>0.099210154</f>
        <v>9.9210153999999995E-2</v>
      </c>
      <c r="CA22">
        <f>0.07680812</f>
        <v>7.6808119999999994E-2</v>
      </c>
      <c r="CB22">
        <f>0.061377828</f>
        <v>6.1377828000000002E-2</v>
      </c>
      <c r="CC22">
        <f>0.054273861</f>
        <v>5.4273861E-2</v>
      </c>
      <c r="CD22">
        <f>0.0486445</f>
        <v>4.86445E-2</v>
      </c>
      <c r="CE22">
        <f>0.054660789</f>
        <v>5.4660789000000001E-2</v>
      </c>
      <c r="CF22">
        <f>0.05830177</f>
        <v>5.8301770000000003E-2</v>
      </c>
      <c r="CG22">
        <f>0.067391718</f>
        <v>6.7391718000000003E-2</v>
      </c>
      <c r="CH22">
        <f>0.064953713</f>
        <v>6.4953712999999996E-2</v>
      </c>
      <c r="CI22">
        <f>0.057981913</f>
        <v>5.7981913000000003E-2</v>
      </c>
      <c r="CJ22">
        <f>0.023374458</f>
        <v>2.3374458000000001E-2</v>
      </c>
      <c r="CK22">
        <f>0.011150086</f>
        <v>1.1150086E-2</v>
      </c>
      <c r="CL22">
        <f>0.013193712</f>
        <v>1.3193712E-2</v>
      </c>
      <c r="CM22">
        <f>0.02060034</f>
        <v>2.0600340000000002E-2</v>
      </c>
      <c r="CN22">
        <f>0.081557524</f>
        <v>8.1557524000000006E-2</v>
      </c>
      <c r="CO22">
        <f>0.091366537</f>
        <v>9.1366536999999998E-2</v>
      </c>
      <c r="CP22">
        <f>0.067864207</f>
        <v>6.7864206999999996E-2</v>
      </c>
      <c r="CQ22">
        <f>0.064625907</f>
        <v>6.4625906999999996E-2</v>
      </c>
      <c r="CR22">
        <f>0.036684089</f>
        <v>3.6684089000000003E-2</v>
      </c>
      <c r="CS22">
        <f>0.04251355</f>
        <v>4.2513549999999997E-2</v>
      </c>
      <c r="CT22">
        <f>0.075293252</f>
        <v>7.5293252000000005E-2</v>
      </c>
      <c r="CU22">
        <f>0.098444502</f>
        <v>9.8444502000000003E-2</v>
      </c>
      <c r="CV22">
        <f>0.09886955</f>
        <v>9.886955E-2</v>
      </c>
      <c r="CW22">
        <f>0.099341221</f>
        <v>9.9341220999999993E-2</v>
      </c>
      <c r="CX22">
        <f>0.084562875</f>
        <v>8.4562874999999996E-2</v>
      </c>
      <c r="CY22">
        <f>0.058827133</f>
        <v>5.8827132999999997E-2</v>
      </c>
      <c r="CZ22" t="str">
        <f>""</f>
        <v/>
      </c>
      <c r="DA22" t="str">
        <f>""</f>
        <v/>
      </c>
      <c r="DB22" t="str">
        <f>""</f>
        <v/>
      </c>
      <c r="DC22" t="str">
        <f>""</f>
        <v/>
      </c>
      <c r="DD22" t="str">
        <f>""</f>
        <v/>
      </c>
      <c r="DE22" t="str">
        <f>""</f>
        <v/>
      </c>
      <c r="DF22" t="str">
        <f>""</f>
        <v/>
      </c>
      <c r="DG22" t="str">
        <f>""</f>
        <v/>
      </c>
      <c r="DH22" t="str">
        <f>""</f>
        <v/>
      </c>
      <c r="DI22" t="str">
        <f>""</f>
        <v/>
      </c>
      <c r="DJ22" t="str">
        <f>""</f>
        <v/>
      </c>
      <c r="DK22" t="str">
        <f>""</f>
        <v/>
      </c>
      <c r="DL22" t="str">
        <f>""</f>
        <v/>
      </c>
      <c r="DM22" t="str">
        <f>""</f>
        <v/>
      </c>
      <c r="DN22" t="str">
        <f>""</f>
        <v/>
      </c>
      <c r="DO22" t="str">
        <f>""</f>
        <v/>
      </c>
      <c r="DP22" t="str">
        <f>""</f>
        <v/>
      </c>
      <c r="DQ22" t="str">
        <f>""</f>
        <v/>
      </c>
      <c r="DR22" t="str">
        <f>""</f>
        <v/>
      </c>
      <c r="DS22" t="str">
        <f>""</f>
        <v/>
      </c>
      <c r="DT22" t="str">
        <f>""</f>
        <v/>
      </c>
      <c r="DU22" t="str">
        <f>""</f>
        <v/>
      </c>
    </row>
    <row r="23" spans="1:125" x14ac:dyDescent="0.25">
      <c r="A23" t="str">
        <f>"    Honda Motor Co Ltd"</f>
        <v xml:space="preserve">    Honda Motor Co Ltd</v>
      </c>
      <c r="B23" t="str">
        <f>"7267 JP Equity"</f>
        <v>7267 JP Equity</v>
      </c>
      <c r="C23" t="str">
        <f t="shared" si="0"/>
        <v>RR844</v>
      </c>
      <c r="D23" t="str">
        <f t="shared" si="1"/>
        <v>T12M_DIL_EPS_CONT_OPS</v>
      </c>
      <c r="E23" t="str">
        <f t="shared" si="2"/>
        <v>Dynamic</v>
      </c>
      <c r="F23" t="str">
        <f ca="1">IF(AND(ISNUMBER($F$532),$B$511=1),$F$532,HLOOKUP(INDIRECT(ADDRESS(2,COLUMN())),OFFSET($BN$2,0,0,ROW()-1,60),ROW()-1,FALSE))</f>
        <v/>
      </c>
      <c r="G23">
        <f ca="1">IF(AND(ISNUMBER($G$532),$B$511=1),$G$532,HLOOKUP(INDIRECT(ADDRESS(2,COLUMN())),OFFSET($BN$2,0,0,ROW()-1,60),ROW()-1,FALSE))</f>
        <v>3.7463434059999998</v>
      </c>
      <c r="H23">
        <f ca="1">IF(AND(ISNUMBER($H$532),$B$511=1),$H$532,HLOOKUP(INDIRECT(ADDRESS(2,COLUMN())),OFFSET($BN$2,0,0,ROW()-1,60),ROW()-1,FALSE))</f>
        <v>5.7640384549999997</v>
      </c>
      <c r="I23">
        <f ca="1">IF(AND(ISNUMBER($I$532),$B$511=1),$I$532,HLOOKUP(INDIRECT(ADDRESS(2,COLUMN())),OFFSET($BN$2,0,0,ROW()-1,60),ROW()-1,FALSE))</f>
        <v>5.5613350690000001</v>
      </c>
      <c r="J23">
        <f ca="1">IF(AND(ISNUMBER($J$532),$B$511=1),$J$532,HLOOKUP(INDIRECT(ADDRESS(2,COLUMN())),OFFSET($BN$2,0,0,ROW()-1,60),ROW()-1,FALSE))</f>
        <v>5.3308906470000004</v>
      </c>
      <c r="K23">
        <f ca="1">IF(AND(ISNUMBER($K$532),$B$511=1),$K$532,HLOOKUP(INDIRECT(ADDRESS(2,COLUMN())),OFFSET($BN$2,0,0,ROW()-1,60),ROW()-1,FALSE))</f>
        <v>5.2470261770000004</v>
      </c>
      <c r="L23">
        <f ca="1">IF(AND(ISNUMBER($L$532),$B$511=1),$L$532,HLOOKUP(INDIRECT(ADDRESS(2,COLUMN())),OFFSET($BN$2,0,0,ROW()-1,60),ROW()-1,FALSE))</f>
        <v>3.2680523579999998</v>
      </c>
      <c r="M23">
        <f ca="1">IF(AND(ISNUMBER($M$532),$B$511=1),$M$532,HLOOKUP(INDIRECT(ADDRESS(2,COLUMN())),OFFSET($BN$2,0,0,ROW()-1,60),ROW()-1,FALSE))</f>
        <v>3.3535496220000001</v>
      </c>
      <c r="N23">
        <f ca="1">IF(AND(ISNUMBER($N$532),$B$511=1),$N$532,HLOOKUP(INDIRECT(ADDRESS(2,COLUMN())),OFFSET($BN$2,0,0,ROW()-1,60),ROW()-1,FALSE))</f>
        <v>3.2104867229999998</v>
      </c>
      <c r="O23">
        <f ca="1">IF(AND(ISNUMBER($O$532),$B$511=1),$O$532,HLOOKUP(INDIRECT(ADDRESS(2,COLUMN())),OFFSET($BN$2,0,0,ROW()-1,60),ROW()-1,FALSE))</f>
        <v>2.2849449079999999</v>
      </c>
      <c r="P23">
        <f ca="1">IF(AND(ISNUMBER($P$532),$B$511=1),$P$532,HLOOKUP(INDIRECT(ADDRESS(2,COLUMN())),OFFSET($BN$2,0,0,ROW()-1,60),ROW()-1,FALSE))</f>
        <v>2.0053620570000001</v>
      </c>
      <c r="Q23">
        <f ca="1">IF(AND(ISNUMBER($Q$532),$B$511=1),$Q$532,HLOOKUP(INDIRECT(ADDRESS(2,COLUMN())),OFFSET($BN$2,0,0,ROW()-1,60),ROW()-1,FALSE))</f>
        <v>1.6811761439999999</v>
      </c>
      <c r="R23">
        <f ca="1">IF(AND(ISNUMBER($R$532),$B$511=1),$R$532,HLOOKUP(INDIRECT(ADDRESS(2,COLUMN())),OFFSET($BN$2,0,0,ROW()-1,60),ROW()-1,FALSE))</f>
        <v>1.683770507</v>
      </c>
      <c r="S23">
        <f ca="1">IF(AND(ISNUMBER($S$532),$B$511=1),$S$532,HLOOKUP(INDIRECT(ADDRESS(2,COLUMN())),OFFSET($BN$2,0,0,ROW()-1,60),ROW()-1,FALSE))</f>
        <v>2.4657216979999999</v>
      </c>
      <c r="T23">
        <f ca="1">IF(AND(ISNUMBER($T$532),$B$511=1),$T$532,HLOOKUP(INDIRECT(ADDRESS(2,COLUMN())),OFFSET($BN$2,0,0,ROW()-1,60),ROW()-1,FALSE))</f>
        <v>2.6357238540000001</v>
      </c>
      <c r="U23">
        <f ca="1">IF(AND(ISNUMBER($U$532),$B$511=1),$U$532,HLOOKUP(INDIRECT(ADDRESS(2,COLUMN())),OFFSET($BN$2,0,0,ROW()-1,60),ROW()-1,FALSE))</f>
        <v>2.709655739</v>
      </c>
      <c r="V23">
        <f ca="1">IF(AND(ISNUMBER($V$532),$B$511=1),$V$532,HLOOKUP(INDIRECT(ADDRESS(2,COLUMN())),OFFSET($BN$2,0,0,ROW()-1,60),ROW()-1,FALSE))</f>
        <v>2.6749058689999998</v>
      </c>
      <c r="W23">
        <f ca="1">IF(AND(ISNUMBER($W$532),$B$511=1),$W$532,HLOOKUP(INDIRECT(ADDRESS(2,COLUMN())),OFFSET($BN$2,0,0,ROW()-1,60),ROW()-1,FALSE))</f>
        <v>3.144038251</v>
      </c>
      <c r="X23">
        <f ca="1">IF(AND(ISNUMBER($X$532),$B$511=1),$X$532,HLOOKUP(INDIRECT(ADDRESS(2,COLUMN())),OFFSET($BN$2,0,0,ROW()-1,60),ROW()-1,FALSE))</f>
        <v>3.2960136809999998</v>
      </c>
      <c r="Y23">
        <f ca="1">IF(AND(ISNUMBER($Y$532),$B$511=1),$Y$532,HLOOKUP(INDIRECT(ADDRESS(2,COLUMN())),OFFSET($BN$2,0,0,ROW()-1,60),ROW()-1,FALSE))</f>
        <v>3.3445669269999998</v>
      </c>
      <c r="Z23">
        <f ca="1">IF(AND(ISNUMBER($Z$532),$B$511=1),$Z$532,HLOOKUP(INDIRECT(ADDRESS(2,COLUMN())),OFFSET($BN$2,0,0,ROW()-1,60),ROW()-1,FALSE))</f>
        <v>3.1920997579999999</v>
      </c>
      <c r="AA23">
        <f ca="1">IF(AND(ISNUMBER($AA$532),$B$511=1),$AA$532,HLOOKUP(INDIRECT(ADDRESS(2,COLUMN())),OFFSET($BN$2,0,0,ROW()-1,60),ROW()-1,FALSE))</f>
        <v>2.838567437</v>
      </c>
      <c r="AB23">
        <f ca="1">IF(AND(ISNUMBER($AB$532),$B$511=1),$AB$532,HLOOKUP(INDIRECT(ADDRESS(2,COLUMN())),OFFSET($BN$2,0,0,ROW()-1,60),ROW()-1,FALSE))</f>
        <v>2.5021061339999999</v>
      </c>
      <c r="AC23">
        <f ca="1">IF(AND(ISNUMBER($AC$532),$B$511=1),$AC$532,HLOOKUP(INDIRECT(ADDRESS(2,COLUMN())),OFFSET($BN$2,0,0,ROW()-1,60),ROW()-1,FALSE))</f>
        <v>2.3899320030000002</v>
      </c>
      <c r="AD23">
        <f ca="1">IF(AND(ISNUMBER($AD$532),$B$511=1),$AD$532,HLOOKUP(INDIRECT(ADDRESS(2,COLUMN())),OFFSET($BN$2,0,0,ROW()-1,60),ROW()-1,FALSE))</f>
        <v>2.599215681</v>
      </c>
      <c r="AE23">
        <f ca="1">IF(AND(ISNUMBER($AE$532),$B$511=1),$AE$532,HLOOKUP(INDIRECT(ADDRESS(2,COLUMN())),OFFSET($BN$2,0,0,ROW()-1,60),ROW()-1,FALSE))</f>
        <v>2.563405736</v>
      </c>
      <c r="AF23">
        <f ca="1">IF(AND(ISNUMBER($AF$532),$B$511=1),$AF$532,HLOOKUP(INDIRECT(ADDRESS(2,COLUMN())),OFFSET($BN$2,0,0,ROW()-1,60),ROW()-1,FALSE))</f>
        <v>2.4102755459999998</v>
      </c>
      <c r="AG23">
        <f ca="1">IF(AND(ISNUMBER($AG$532),$B$511=1),$AG$532,HLOOKUP(INDIRECT(ADDRESS(2,COLUMN())),OFFSET($BN$2,0,0,ROW()-1,60),ROW()-1,FALSE))</f>
        <v>2.2836568700000002</v>
      </c>
      <c r="AH23">
        <f ca="1">IF(AND(ISNUMBER($AH$532),$B$511=1),$AH$532,HLOOKUP(INDIRECT(ADDRESS(2,COLUMN())),OFFSET($BN$2,0,0,ROW()-1,60),ROW()-1,FALSE))</f>
        <v>1.5426640410000001</v>
      </c>
      <c r="AI23">
        <f ca="1">IF(AND(ISNUMBER($AI$532),$B$511=1),$AI$532,HLOOKUP(INDIRECT(ADDRESS(2,COLUMN())),OFFSET($BN$2,0,0,ROW()-1,60),ROW()-1,FALSE))</f>
        <v>1.396915495</v>
      </c>
      <c r="AJ23">
        <f ca="1">IF(AND(ISNUMBER($AJ$532),$B$511=1),$AJ$532,HLOOKUP(INDIRECT(ADDRESS(2,COLUMN())),OFFSET($BN$2,0,0,ROW()-1,60),ROW()-1,FALSE))</f>
        <v>1.5729499650000001</v>
      </c>
      <c r="AK23">
        <f ca="1">IF(AND(ISNUMBER($AK$532),$B$511=1),$AK$532,HLOOKUP(INDIRECT(ADDRESS(2,COLUMN())),OFFSET($BN$2,0,0,ROW()-1,60),ROW()-1,FALSE))</f>
        <v>2.037895561</v>
      </c>
      <c r="AL23">
        <f ca="1">IF(AND(ISNUMBER($AL$532),$B$511=1),$AL$532,HLOOKUP(INDIRECT(ADDRESS(2,COLUMN())),OFFSET($BN$2,0,0,ROW()-1,60),ROW()-1,FALSE))</f>
        <v>3.5316463320000002</v>
      </c>
      <c r="AM23">
        <f ca="1">IF(AND(ISNUMBER($AM$532),$B$511=1),$AM$532,HLOOKUP(INDIRECT(ADDRESS(2,COLUMN())),OFFSET($BN$2,0,0,ROW()-1,60),ROW()-1,FALSE))</f>
        <v>3.5524409929999998</v>
      </c>
      <c r="AN23">
        <f ca="1">IF(AND(ISNUMBER($AN$532),$B$511=1),$AN$532,HLOOKUP(INDIRECT(ADDRESS(2,COLUMN())),OFFSET($BN$2,0,0,ROW()-1,60),ROW()-1,FALSE))</f>
        <v>3.802520989</v>
      </c>
      <c r="AO23">
        <f ca="1">IF(AND(ISNUMBER($AO$532),$B$511=1),$AO$532,HLOOKUP(INDIRECT(ADDRESS(2,COLUMN())),OFFSET($BN$2,0,0,ROW()-1,60),ROW()-1,FALSE))</f>
        <v>3.225773534</v>
      </c>
      <c r="AP23">
        <f ca="1">IF(AND(ISNUMBER($AP$532),$B$511=1),$AP$532,HLOOKUP(INDIRECT(ADDRESS(2,COLUMN())),OFFSET($BN$2,0,0,ROW()-1,60),ROW()-1,FALSE))</f>
        <v>1.610787127</v>
      </c>
      <c r="AQ23">
        <f ca="1">IF(AND(ISNUMBER($AQ$532),$B$511=1),$AQ$532,HLOOKUP(INDIRECT(ADDRESS(2,COLUMN())),OFFSET($BN$2,0,0,ROW()-1,60),ROW()-1,FALSE))</f>
        <v>0.13205562900000001</v>
      </c>
      <c r="AR23">
        <f ca="1">IF(AND(ISNUMBER($AR$532),$B$511=1),$AR$532,HLOOKUP(INDIRECT(ADDRESS(2,COLUMN())),OFFSET($BN$2,0,0,ROW()-1,60),ROW()-1,FALSE))</f>
        <v>-0.41115589800000002</v>
      </c>
      <c r="AS23">
        <f ca="1">IF(AND(ISNUMBER($AS$532),$B$511=1),$AS$532,HLOOKUP(INDIRECT(ADDRESS(2,COLUMN())),OFFSET($BN$2,0,0,ROW()-1,60),ROW()-1,FALSE))</f>
        <v>3.0675903000000001E-2</v>
      </c>
      <c r="AT23">
        <f ca="1">IF(AND(ISNUMBER($AT$532),$B$511=1),$AT$532,HLOOKUP(INDIRECT(ADDRESS(2,COLUMN())),OFFSET($BN$2,0,0,ROW()-1,60),ROW()-1,FALSE))</f>
        <v>0.97288591700000004</v>
      </c>
      <c r="AU23" t="str">
        <f ca="1">IF(AND(ISNUMBER($AU$532),$B$511=1),$AU$532,HLOOKUP(INDIRECT(ADDRESS(2,COLUMN())),OFFSET($BN$2,0,0,ROW()-1,60),ROW()-1,FALSE))</f>
        <v/>
      </c>
      <c r="AV23" t="str">
        <f ca="1">IF(AND(ISNUMBER($AV$532),$B$511=1),$AV$532,HLOOKUP(INDIRECT(ADDRESS(2,COLUMN())),OFFSET($BN$2,0,0,ROW()-1,60),ROW()-1,FALSE))</f>
        <v/>
      </c>
      <c r="AW23" t="str">
        <f ca="1">IF(AND(ISNUMBER($AW$532),$B$511=1),$AW$532,HLOOKUP(INDIRECT(ADDRESS(2,COLUMN())),OFFSET($BN$2,0,0,ROW()-1,60),ROW()-1,FALSE))</f>
        <v/>
      </c>
      <c r="AX23" t="str">
        <f ca="1">IF(AND(ISNUMBER($AX$532),$B$511=1),$AX$532,HLOOKUP(INDIRECT(ADDRESS(2,COLUMN())),OFFSET($BN$2,0,0,ROW()-1,60),ROW()-1,FALSE))</f>
        <v/>
      </c>
      <c r="AY23" t="str">
        <f ca="1">IF(AND(ISNUMBER($AY$532),$B$511=1),$AY$532,HLOOKUP(INDIRECT(ADDRESS(2,COLUMN())),OFFSET($BN$2,0,0,ROW()-1,60),ROW()-1,FALSE))</f>
        <v/>
      </c>
      <c r="AZ23" t="str">
        <f ca="1">IF(AND(ISNUMBER($AZ$532),$B$511=1),$AZ$532,HLOOKUP(INDIRECT(ADDRESS(2,COLUMN())),OFFSET($BN$2,0,0,ROW()-1,60),ROW()-1,FALSE))</f>
        <v/>
      </c>
      <c r="BA23" t="str">
        <f ca="1">IF(AND(ISNUMBER($BA$532),$B$511=1),$BA$532,HLOOKUP(INDIRECT(ADDRESS(2,COLUMN())),OFFSET($BN$2,0,0,ROW()-1,60),ROW()-1,FALSE))</f>
        <v/>
      </c>
      <c r="BB23" t="str">
        <f ca="1">IF(AND(ISNUMBER($BB$532),$B$511=1),$BB$532,HLOOKUP(INDIRECT(ADDRESS(2,COLUMN())),OFFSET($BN$2,0,0,ROW()-1,60),ROW()-1,FALSE))</f>
        <v/>
      </c>
      <c r="BC23" t="str">
        <f ca="1">IF(AND(ISNUMBER($BC$532),$B$511=1),$BC$532,HLOOKUP(INDIRECT(ADDRESS(2,COLUMN())),OFFSET($BN$2,0,0,ROW()-1,60),ROW()-1,FALSE))</f>
        <v/>
      </c>
      <c r="BD23" t="str">
        <f ca="1">IF(AND(ISNUMBER($BD$532),$B$511=1),$BD$532,HLOOKUP(INDIRECT(ADDRESS(2,COLUMN())),OFFSET($BN$2,0,0,ROW()-1,60),ROW()-1,FALSE))</f>
        <v/>
      </c>
      <c r="BE23" t="str">
        <f ca="1">IF(AND(ISNUMBER($BE$532),$B$511=1),$BE$532,HLOOKUP(INDIRECT(ADDRESS(2,COLUMN())),OFFSET($BN$2,0,0,ROW()-1,60),ROW()-1,FALSE))</f>
        <v/>
      </c>
      <c r="BF23" t="str">
        <f ca="1">IF(AND(ISNUMBER($BF$532),$B$511=1),$BF$532,HLOOKUP(INDIRECT(ADDRESS(2,COLUMN())),OFFSET($BN$2,0,0,ROW()-1,60),ROW()-1,FALSE))</f>
        <v/>
      </c>
      <c r="BG23" t="str">
        <f ca="1">IF(AND(ISNUMBER($BG$532),$B$511=1),$BG$532,HLOOKUP(INDIRECT(ADDRESS(2,COLUMN())),OFFSET($BN$2,0,0,ROW()-1,60),ROW()-1,FALSE))</f>
        <v/>
      </c>
      <c r="BH23" t="str">
        <f ca="1">IF(AND(ISNUMBER($BH$532),$B$511=1),$BH$532,HLOOKUP(INDIRECT(ADDRESS(2,COLUMN())),OFFSET($BN$2,0,0,ROW()-1,60),ROW()-1,FALSE))</f>
        <v/>
      </c>
      <c r="BI23" t="str">
        <f ca="1">IF(AND(ISNUMBER($BI$532),$B$511=1),$BI$532,HLOOKUP(INDIRECT(ADDRESS(2,COLUMN())),OFFSET($BN$2,0,0,ROW()-1,60),ROW()-1,FALSE))</f>
        <v/>
      </c>
      <c r="BJ23" t="str">
        <f ca="1">IF(AND(ISNUMBER($BJ$532),$B$511=1),$BJ$532,HLOOKUP(INDIRECT(ADDRESS(2,COLUMN())),OFFSET($BN$2,0,0,ROW()-1,60),ROW()-1,FALSE))</f>
        <v/>
      </c>
      <c r="BK23" t="str">
        <f ca="1">IF(AND(ISNUMBER($BK$532),$B$511=1),$BK$532,HLOOKUP(INDIRECT(ADDRESS(2,COLUMN())),OFFSET($BN$2,0,0,ROW()-1,60),ROW()-1,FALSE))</f>
        <v/>
      </c>
      <c r="BL23" t="str">
        <f ca="1">IF(AND(ISNUMBER($BL$532),$B$511=1),$BL$532,HLOOKUP(INDIRECT(ADDRESS(2,COLUMN())),OFFSET($BN$2,0,0,ROW()-1,60),ROW()-1,FALSE))</f>
        <v/>
      </c>
      <c r="BM23" t="str">
        <f ca="1">IF(AND(ISNUMBER($BM$532),$B$511=1),$BM$532,HLOOKUP(INDIRECT(ADDRESS(2,COLUMN())),OFFSET($BN$2,0,0,ROW()-1,60),ROW()-1,FALSE))</f>
        <v/>
      </c>
      <c r="BN23" t="str">
        <f>""</f>
        <v/>
      </c>
      <c r="BO23">
        <f>3.746343406</f>
        <v>3.7463434059999998</v>
      </c>
      <c r="BP23">
        <f>5.764038455</f>
        <v>5.7640384549999997</v>
      </c>
      <c r="BQ23">
        <f>5.561335069</f>
        <v>5.5613350690000001</v>
      </c>
      <c r="BR23">
        <f>5.330890647</f>
        <v>5.3308906470000004</v>
      </c>
      <c r="BS23">
        <f>5.247026177</f>
        <v>5.2470261770000004</v>
      </c>
      <c r="BT23">
        <f>3.268052358</f>
        <v>3.2680523579999998</v>
      </c>
      <c r="BU23">
        <f>3.353549622</f>
        <v>3.3535496220000001</v>
      </c>
      <c r="BV23">
        <f>3.210486723</f>
        <v>3.2104867229999998</v>
      </c>
      <c r="BW23">
        <f>2.284944908</f>
        <v>2.2849449079999999</v>
      </c>
      <c r="BX23">
        <f>2.005362057</f>
        <v>2.0053620570000001</v>
      </c>
      <c r="BY23">
        <f>1.681176144</f>
        <v>1.6811761439999999</v>
      </c>
      <c r="BZ23">
        <f>1.683770507</f>
        <v>1.683770507</v>
      </c>
      <c r="CA23">
        <f>2.465721698</f>
        <v>2.4657216979999999</v>
      </c>
      <c r="CB23">
        <f>2.635723854</f>
        <v>2.6357238540000001</v>
      </c>
      <c r="CC23">
        <f>2.709655739</f>
        <v>2.709655739</v>
      </c>
      <c r="CD23">
        <f>2.674905869</f>
        <v>2.6749058689999998</v>
      </c>
      <c r="CE23">
        <f>3.144038251</f>
        <v>3.144038251</v>
      </c>
      <c r="CF23">
        <f>3.296013681</f>
        <v>3.2960136809999998</v>
      </c>
      <c r="CG23">
        <f>3.344566927</f>
        <v>3.3445669269999998</v>
      </c>
      <c r="CH23">
        <f>3.192099758</f>
        <v>3.1920997579999999</v>
      </c>
      <c r="CI23">
        <f>2.838567437</f>
        <v>2.838567437</v>
      </c>
      <c r="CJ23">
        <f>2.502106134</f>
        <v>2.5021061339999999</v>
      </c>
      <c r="CK23">
        <f>2.389932003</f>
        <v>2.3899320030000002</v>
      </c>
      <c r="CL23">
        <f>2.599215681</f>
        <v>2.599215681</v>
      </c>
      <c r="CM23">
        <f>2.563405736</f>
        <v>2.563405736</v>
      </c>
      <c r="CN23">
        <f>2.410275546</f>
        <v>2.4102755459999998</v>
      </c>
      <c r="CO23">
        <f>2.28365687</f>
        <v>2.2836568700000002</v>
      </c>
      <c r="CP23">
        <f>1.542664041</f>
        <v>1.5426640410000001</v>
      </c>
      <c r="CQ23">
        <f>1.396915495</f>
        <v>1.396915495</v>
      </c>
      <c r="CR23">
        <f>1.572949965</f>
        <v>1.5729499650000001</v>
      </c>
      <c r="CS23">
        <f>2.037895561</f>
        <v>2.037895561</v>
      </c>
      <c r="CT23">
        <f>3.531646332</f>
        <v>3.5316463320000002</v>
      </c>
      <c r="CU23">
        <f>3.552440993</f>
        <v>3.5524409929999998</v>
      </c>
      <c r="CV23">
        <f>3.802520989</f>
        <v>3.802520989</v>
      </c>
      <c r="CW23">
        <f>3.225773534</f>
        <v>3.225773534</v>
      </c>
      <c r="CX23">
        <f>1.610787127</f>
        <v>1.610787127</v>
      </c>
      <c r="CY23">
        <f>0.132055629</f>
        <v>0.13205562900000001</v>
      </c>
      <c r="CZ23">
        <f>-0.411155898</f>
        <v>-0.41115589800000002</v>
      </c>
      <c r="DA23">
        <f>0.030675903</f>
        <v>3.0675903000000001E-2</v>
      </c>
      <c r="DB23">
        <f>0.972885917</f>
        <v>0.97288591700000004</v>
      </c>
      <c r="DC23" t="str">
        <f>""</f>
        <v/>
      </c>
      <c r="DD23" t="str">
        <f>""</f>
        <v/>
      </c>
      <c r="DE23" t="str">
        <f>""</f>
        <v/>
      </c>
      <c r="DF23" t="str">
        <f>""</f>
        <v/>
      </c>
      <c r="DG23" t="str">
        <f>""</f>
        <v/>
      </c>
      <c r="DH23" t="str">
        <f>""</f>
        <v/>
      </c>
      <c r="DI23" t="str">
        <f>""</f>
        <v/>
      </c>
      <c r="DJ23" t="str">
        <f>""</f>
        <v/>
      </c>
      <c r="DK23" t="str">
        <f>""</f>
        <v/>
      </c>
      <c r="DL23" t="str">
        <f>""</f>
        <v/>
      </c>
      <c r="DM23" t="str">
        <f>""</f>
        <v/>
      </c>
      <c r="DN23" t="str">
        <f>""</f>
        <v/>
      </c>
      <c r="DO23" t="str">
        <f>""</f>
        <v/>
      </c>
      <c r="DP23" t="str">
        <f>""</f>
        <v/>
      </c>
      <c r="DQ23" t="str">
        <f>""</f>
        <v/>
      </c>
      <c r="DR23" t="str">
        <f>""</f>
        <v/>
      </c>
      <c r="DS23" t="str">
        <f>""</f>
        <v/>
      </c>
      <c r="DT23" t="str">
        <f>""</f>
        <v/>
      </c>
      <c r="DU23" t="str">
        <f>""</f>
        <v/>
      </c>
    </row>
    <row r="24" spans="1:125" x14ac:dyDescent="0.25">
      <c r="A24" t="str">
        <f>"    Hyundai Motor Co"</f>
        <v xml:space="preserve">    Hyundai Motor Co</v>
      </c>
      <c r="B24" t="str">
        <f>"005380 KS Equity"</f>
        <v>005380 KS Equity</v>
      </c>
      <c r="C24" t="str">
        <f t="shared" si="0"/>
        <v>RR844</v>
      </c>
      <c r="D24" t="str">
        <f t="shared" si="1"/>
        <v>T12M_DIL_EPS_CONT_OPS</v>
      </c>
      <c r="E24" t="str">
        <f t="shared" si="2"/>
        <v>Dynamic</v>
      </c>
      <c r="F24" t="str">
        <f ca="1">IF(AND(ISNUMBER($F$533),$B$511=1),$F$533,HLOOKUP(INDIRECT(ADDRESS(2,COLUMN())),OFFSET($BN$2,0,0,ROW()-1,60),ROW()-1,FALSE))</f>
        <v/>
      </c>
      <c r="G24" t="str">
        <f ca="1">IF(AND(ISNUMBER($G$533),$B$511=1),$G$533,HLOOKUP(INDIRECT(ADDRESS(2,COLUMN())),OFFSET($BN$2,0,0,ROW()-1,60),ROW()-1,FALSE))</f>
        <v/>
      </c>
      <c r="H24">
        <f ca="1">IF(AND(ISNUMBER($H$533),$B$511=1),$H$533,HLOOKUP(INDIRECT(ADDRESS(2,COLUMN())),OFFSET($BN$2,0,0,ROW()-1,60),ROW()-1,FALSE))</f>
        <v>9.2733349280000006</v>
      </c>
      <c r="I24">
        <f ca="1">IF(AND(ISNUMBER($I$533),$B$511=1),$I$533,HLOOKUP(INDIRECT(ADDRESS(2,COLUMN())),OFFSET($BN$2,0,0,ROW()-1,60),ROW()-1,FALSE))</f>
        <v>11.774787529999999</v>
      </c>
      <c r="J24">
        <f ca="1">IF(AND(ISNUMBER($J$533),$B$511=1),$J$533,HLOOKUP(INDIRECT(ADDRESS(2,COLUMN())),OFFSET($BN$2,0,0,ROW()-1,60),ROW()-1,FALSE))</f>
        <v>13.24994066</v>
      </c>
      <c r="K24">
        <f ca="1">IF(AND(ISNUMBER($K$533),$B$511=1),$K$533,HLOOKUP(INDIRECT(ADDRESS(2,COLUMN())),OFFSET($BN$2,0,0,ROW()-1,60),ROW()-1,FALSE))</f>
        <v>15.13019004</v>
      </c>
      <c r="L24">
        <f ca="1">IF(AND(ISNUMBER($L$533),$B$511=1),$L$533,HLOOKUP(INDIRECT(ADDRESS(2,COLUMN())),OFFSET($BN$2,0,0,ROW()-1,60),ROW()-1,FALSE))</f>
        <v>15.275870530000001</v>
      </c>
      <c r="M24">
        <f ca="1">IF(AND(ISNUMBER($M$533),$B$511=1),$M$533,HLOOKUP(INDIRECT(ADDRESS(2,COLUMN())),OFFSET($BN$2,0,0,ROW()-1,60),ROW()-1,FALSE))</f>
        <v>15.305138149999999</v>
      </c>
      <c r="N24">
        <f ca="1">IF(AND(ISNUMBER($N$533),$B$511=1),$N$533,HLOOKUP(INDIRECT(ADDRESS(2,COLUMN())),OFFSET($BN$2,0,0,ROW()-1,60),ROW()-1,FALSE))</f>
        <v>16.776317370000001</v>
      </c>
      <c r="O24">
        <f ca="1">IF(AND(ISNUMBER($O$533),$B$511=1),$O$533,HLOOKUP(INDIRECT(ADDRESS(2,COLUMN())),OFFSET($BN$2,0,0,ROW()-1,60),ROW()-1,FALSE))</f>
        <v>16.962551019999999</v>
      </c>
      <c r="P24">
        <f ca="1">IF(AND(ISNUMBER($P$533),$B$511=1),$P$533,HLOOKUP(INDIRECT(ADDRESS(2,COLUMN())),OFFSET($BN$2,0,0,ROW()-1,60),ROW()-1,FALSE))</f>
        <v>18.675316890000001</v>
      </c>
      <c r="Q24">
        <f ca="1">IF(AND(ISNUMBER($Q$533),$B$511=1),$Q$533,HLOOKUP(INDIRECT(ADDRESS(2,COLUMN())),OFFSET($BN$2,0,0,ROW()-1,60),ROW()-1,FALSE))</f>
        <v>18.734690610000001</v>
      </c>
      <c r="R24">
        <f ca="1">IF(AND(ISNUMBER($R$533),$B$511=1),$R$533,HLOOKUP(INDIRECT(ADDRESS(2,COLUMN())),OFFSET($BN$2,0,0,ROW()-1,60),ROW()-1,FALSE))</f>
        <v>19.101226560000001</v>
      </c>
      <c r="S24">
        <f ca="1">IF(AND(ISNUMBER($S$533),$B$511=1),$S$533,HLOOKUP(INDIRECT(ADDRESS(2,COLUMN())),OFFSET($BN$2,0,0,ROW()-1,60),ROW()-1,FALSE))</f>
        <v>20.980624890000001</v>
      </c>
      <c r="T24">
        <f ca="1">IF(AND(ISNUMBER($T$533),$B$511=1),$T$533,HLOOKUP(INDIRECT(ADDRESS(2,COLUMN())),OFFSET($BN$2,0,0,ROW()-1,60),ROW()-1,FALSE))</f>
        <v>21.436698280000002</v>
      </c>
      <c r="U24">
        <f ca="1">IF(AND(ISNUMBER($U$533),$B$511=1),$U$533,HLOOKUP(INDIRECT(ADDRESS(2,COLUMN())),OFFSET($BN$2,0,0,ROW()-1,60),ROW()-1,FALSE))</f>
        <v>23.405018680000001</v>
      </c>
      <c r="V24">
        <f ca="1">IF(AND(ISNUMBER($V$533),$B$511=1),$V$533,HLOOKUP(INDIRECT(ADDRESS(2,COLUMN())),OFFSET($BN$2,0,0,ROW()-1,60),ROW()-1,FALSE))</f>
        <v>25.656638789999999</v>
      </c>
      <c r="W24">
        <f ca="1">IF(AND(ISNUMBER($W$533),$B$511=1),$W$533,HLOOKUP(INDIRECT(ADDRESS(2,COLUMN())),OFFSET($BN$2,0,0,ROW()-1,60),ROW()-1,FALSE))</f>
        <v>25.83947736</v>
      </c>
      <c r="X24">
        <f ca="1">IF(AND(ISNUMBER($X$533),$B$511=1),$X$533,HLOOKUP(INDIRECT(ADDRESS(2,COLUMN())),OFFSET($BN$2,0,0,ROW()-1,60),ROW()-1,FALSE))</f>
        <v>26.17937191</v>
      </c>
      <c r="Y24">
        <f ca="1">IF(AND(ISNUMBER($Y$533),$B$511=1),$Y$533,HLOOKUP(INDIRECT(ADDRESS(2,COLUMN())),OFFSET($BN$2,0,0,ROW()-1,60),ROW()-1,FALSE))</f>
        <v>27.840433669999999</v>
      </c>
      <c r="Z24">
        <f ca="1">IF(AND(ISNUMBER($Z$533),$B$511=1),$Z$533,HLOOKUP(INDIRECT(ADDRESS(2,COLUMN())),OFFSET($BN$2,0,0,ROW()-1,60),ROW()-1,FALSE))</f>
        <v>27.7536296</v>
      </c>
      <c r="AA24">
        <f ca="1">IF(AND(ISNUMBER($AA$533),$B$511=1),$AA$533,HLOOKUP(INDIRECT(ADDRESS(2,COLUMN())),OFFSET($BN$2,0,0,ROW()-1,60),ROW()-1,FALSE))</f>
        <v>27.432648709999999</v>
      </c>
      <c r="AB24">
        <f ca="1">IF(AND(ISNUMBER($AB$533),$B$511=1),$AB$533,HLOOKUP(INDIRECT(ADDRESS(2,COLUMN())),OFFSET($BN$2,0,0,ROW()-1,60),ROW()-1,FALSE))</f>
        <v>27.825591930000002</v>
      </c>
      <c r="AC24">
        <f ca="1">IF(AND(ISNUMBER($AC$533),$B$511=1),$AC$533,HLOOKUP(INDIRECT(ADDRESS(2,COLUMN())),OFFSET($BN$2,0,0,ROW()-1,60),ROW()-1,FALSE))</f>
        <v>27.251503150000001</v>
      </c>
      <c r="AD24">
        <f ca="1">IF(AND(ISNUMBER($AD$533),$B$511=1),$AD$533,HLOOKUP(INDIRECT(ADDRESS(2,COLUMN())),OFFSET($BN$2,0,0,ROW()-1,60),ROW()-1,FALSE))</f>
        <v>27.140941219999998</v>
      </c>
      <c r="AE24">
        <f ca="1">IF(AND(ISNUMBER($AE$533),$B$511=1),$AE$533,HLOOKUP(INDIRECT(ADDRESS(2,COLUMN())),OFFSET($BN$2,0,0,ROW()-1,60),ROW()-1,FALSE))</f>
        <v>28.28739006</v>
      </c>
      <c r="AF24">
        <f ca="1">IF(AND(ISNUMBER($AF$533),$B$511=1),$AF$533,HLOOKUP(INDIRECT(ADDRESS(2,COLUMN())),OFFSET($BN$2,0,0,ROW()-1,60),ROW()-1,FALSE))</f>
        <v>28.181677329999999</v>
      </c>
      <c r="AG24">
        <f ca="1">IF(AND(ISNUMBER($AG$533),$B$511=1),$AG$533,HLOOKUP(INDIRECT(ADDRESS(2,COLUMN())),OFFSET($BN$2,0,0,ROW()-1,60),ROW()-1,FALSE))</f>
        <v>27.72878176</v>
      </c>
      <c r="AH24">
        <f ca="1">IF(AND(ISNUMBER($AH$533),$B$511=1),$AH$533,HLOOKUP(INDIRECT(ADDRESS(2,COLUMN())),OFFSET($BN$2,0,0,ROW()-1,60),ROW()-1,FALSE))</f>
        <v>26.897622500000001</v>
      </c>
      <c r="AI24">
        <f ca="1">IF(AND(ISNUMBER($AI$533),$B$511=1),$AI$533,HLOOKUP(INDIRECT(ADDRESS(2,COLUMN())),OFFSET($BN$2,0,0,ROW()-1,60),ROW()-1,FALSE))</f>
        <v>25.457605619999999</v>
      </c>
      <c r="AJ24">
        <f ca="1">IF(AND(ISNUMBER($AJ$533),$B$511=1),$AJ$533,HLOOKUP(INDIRECT(ADDRESS(2,COLUMN())),OFFSET($BN$2,0,0,ROW()-1,60),ROW()-1,FALSE))</f>
        <v>23.776876789999999</v>
      </c>
      <c r="AK24">
        <f ca="1">IF(AND(ISNUMBER($AK$533),$B$511=1),$AK$533,HLOOKUP(INDIRECT(ADDRESS(2,COLUMN())),OFFSET($BN$2,0,0,ROW()-1,60),ROW()-1,FALSE))</f>
        <v>22.18914307</v>
      </c>
      <c r="AL24">
        <f ca="1">IF(AND(ISNUMBER($AL$533),$B$511=1),$AL$533,HLOOKUP(INDIRECT(ADDRESS(2,COLUMN())),OFFSET($BN$2,0,0,ROW()-1,60),ROW()-1,FALSE))</f>
        <v>20.181844219999999</v>
      </c>
      <c r="AM24">
        <f ca="1">IF(AND(ISNUMBER($AM$533),$B$511=1),$AM$533,HLOOKUP(INDIRECT(ADDRESS(2,COLUMN())),OFFSET($BN$2,0,0,ROW()-1,60),ROW()-1,FALSE))</f>
        <v>18.331876600000001</v>
      </c>
      <c r="AN24" t="str">
        <f ca="1">IF(AND(ISNUMBER($AN$533),$B$511=1),$AN$533,HLOOKUP(INDIRECT(ADDRESS(2,COLUMN())),OFFSET($BN$2,0,0,ROW()-1,60),ROW()-1,FALSE))</f>
        <v/>
      </c>
      <c r="AO24" t="str">
        <f ca="1">IF(AND(ISNUMBER($AO$533),$B$511=1),$AO$533,HLOOKUP(INDIRECT(ADDRESS(2,COLUMN())),OFFSET($BN$2,0,0,ROW()-1,60),ROW()-1,FALSE))</f>
        <v/>
      </c>
      <c r="AP24" t="str">
        <f ca="1">IF(AND(ISNUMBER($AP$533),$B$511=1),$AP$533,HLOOKUP(INDIRECT(ADDRESS(2,COLUMN())),OFFSET($BN$2,0,0,ROW()-1,60),ROW()-1,FALSE))</f>
        <v/>
      </c>
      <c r="AQ24" t="str">
        <f ca="1">IF(AND(ISNUMBER($AQ$533),$B$511=1),$AQ$533,HLOOKUP(INDIRECT(ADDRESS(2,COLUMN())),OFFSET($BN$2,0,0,ROW()-1,60),ROW()-1,FALSE))</f>
        <v/>
      </c>
      <c r="AR24" t="str">
        <f ca="1">IF(AND(ISNUMBER($AR$533),$B$511=1),$AR$533,HLOOKUP(INDIRECT(ADDRESS(2,COLUMN())),OFFSET($BN$2,0,0,ROW()-1,60),ROW()-1,FALSE))</f>
        <v/>
      </c>
      <c r="AS24" t="str">
        <f ca="1">IF(AND(ISNUMBER($AS$533),$B$511=1),$AS$533,HLOOKUP(INDIRECT(ADDRESS(2,COLUMN())),OFFSET($BN$2,0,0,ROW()-1,60),ROW()-1,FALSE))</f>
        <v/>
      </c>
      <c r="AT24" t="str">
        <f ca="1">IF(AND(ISNUMBER($AT$533),$B$511=1),$AT$533,HLOOKUP(INDIRECT(ADDRESS(2,COLUMN())),OFFSET($BN$2,0,0,ROW()-1,60),ROW()-1,FALSE))</f>
        <v/>
      </c>
      <c r="AU24" t="str">
        <f ca="1">IF(AND(ISNUMBER($AU$533),$B$511=1),$AU$533,HLOOKUP(INDIRECT(ADDRESS(2,COLUMN())),OFFSET($BN$2,0,0,ROW()-1,60),ROW()-1,FALSE))</f>
        <v/>
      </c>
      <c r="AV24" t="str">
        <f ca="1">IF(AND(ISNUMBER($AV$533),$B$511=1),$AV$533,HLOOKUP(INDIRECT(ADDRESS(2,COLUMN())),OFFSET($BN$2,0,0,ROW()-1,60),ROW()-1,FALSE))</f>
        <v/>
      </c>
      <c r="AW24" t="str">
        <f ca="1">IF(AND(ISNUMBER($AW$533),$B$511=1),$AW$533,HLOOKUP(INDIRECT(ADDRESS(2,COLUMN())),OFFSET($BN$2,0,0,ROW()-1,60),ROW()-1,FALSE))</f>
        <v/>
      </c>
      <c r="AX24" t="str">
        <f ca="1">IF(AND(ISNUMBER($AX$533),$B$511=1),$AX$533,HLOOKUP(INDIRECT(ADDRESS(2,COLUMN())),OFFSET($BN$2,0,0,ROW()-1,60),ROW()-1,FALSE))</f>
        <v/>
      </c>
      <c r="AY24" t="str">
        <f ca="1">IF(AND(ISNUMBER($AY$533),$B$511=1),$AY$533,HLOOKUP(INDIRECT(ADDRESS(2,COLUMN())),OFFSET($BN$2,0,0,ROW()-1,60),ROW()-1,FALSE))</f>
        <v/>
      </c>
      <c r="AZ24" t="str">
        <f ca="1">IF(AND(ISNUMBER($AZ$533),$B$511=1),$AZ$533,HLOOKUP(INDIRECT(ADDRESS(2,COLUMN())),OFFSET($BN$2,0,0,ROW()-1,60),ROW()-1,FALSE))</f>
        <v/>
      </c>
      <c r="BA24" t="str">
        <f ca="1">IF(AND(ISNUMBER($BA$533),$B$511=1),$BA$533,HLOOKUP(INDIRECT(ADDRESS(2,COLUMN())),OFFSET($BN$2,0,0,ROW()-1,60),ROW()-1,FALSE))</f>
        <v/>
      </c>
      <c r="BB24" t="str">
        <f ca="1">IF(AND(ISNUMBER($BB$533),$B$511=1),$BB$533,HLOOKUP(INDIRECT(ADDRESS(2,COLUMN())),OFFSET($BN$2,0,0,ROW()-1,60),ROW()-1,FALSE))</f>
        <v/>
      </c>
      <c r="BC24" t="str">
        <f ca="1">IF(AND(ISNUMBER($BC$533),$B$511=1),$BC$533,HLOOKUP(INDIRECT(ADDRESS(2,COLUMN())),OFFSET($BN$2,0,0,ROW()-1,60),ROW()-1,FALSE))</f>
        <v/>
      </c>
      <c r="BD24" t="str">
        <f ca="1">IF(AND(ISNUMBER($BD$533),$B$511=1),$BD$533,HLOOKUP(INDIRECT(ADDRESS(2,COLUMN())),OFFSET($BN$2,0,0,ROW()-1,60),ROW()-1,FALSE))</f>
        <v/>
      </c>
      <c r="BE24" t="str">
        <f ca="1">IF(AND(ISNUMBER($BE$533),$B$511=1),$BE$533,HLOOKUP(INDIRECT(ADDRESS(2,COLUMN())),OFFSET($BN$2,0,0,ROW()-1,60),ROW()-1,FALSE))</f>
        <v/>
      </c>
      <c r="BF24" t="str">
        <f ca="1">IF(AND(ISNUMBER($BF$533),$B$511=1),$BF$533,HLOOKUP(INDIRECT(ADDRESS(2,COLUMN())),OFFSET($BN$2,0,0,ROW()-1,60),ROW()-1,FALSE))</f>
        <v/>
      </c>
      <c r="BG24" t="str">
        <f ca="1">IF(AND(ISNUMBER($BG$533),$B$511=1),$BG$533,HLOOKUP(INDIRECT(ADDRESS(2,COLUMN())),OFFSET($BN$2,0,0,ROW()-1,60),ROW()-1,FALSE))</f>
        <v/>
      </c>
      <c r="BH24" t="str">
        <f ca="1">IF(AND(ISNUMBER($BH$533),$B$511=1),$BH$533,HLOOKUP(INDIRECT(ADDRESS(2,COLUMN())),OFFSET($BN$2,0,0,ROW()-1,60),ROW()-1,FALSE))</f>
        <v/>
      </c>
      <c r="BI24" t="str">
        <f ca="1">IF(AND(ISNUMBER($BI$533),$B$511=1),$BI$533,HLOOKUP(INDIRECT(ADDRESS(2,COLUMN())),OFFSET($BN$2,0,0,ROW()-1,60),ROW()-1,FALSE))</f>
        <v/>
      </c>
      <c r="BJ24" t="str">
        <f ca="1">IF(AND(ISNUMBER($BJ$533),$B$511=1),$BJ$533,HLOOKUP(INDIRECT(ADDRESS(2,COLUMN())),OFFSET($BN$2,0,0,ROW()-1,60),ROW()-1,FALSE))</f>
        <v/>
      </c>
      <c r="BK24" t="str">
        <f ca="1">IF(AND(ISNUMBER($BK$533),$B$511=1),$BK$533,HLOOKUP(INDIRECT(ADDRESS(2,COLUMN())),OFFSET($BN$2,0,0,ROW()-1,60),ROW()-1,FALSE))</f>
        <v/>
      </c>
      <c r="BL24" t="str">
        <f ca="1">IF(AND(ISNUMBER($BL$533),$B$511=1),$BL$533,HLOOKUP(INDIRECT(ADDRESS(2,COLUMN())),OFFSET($BN$2,0,0,ROW()-1,60),ROW()-1,FALSE))</f>
        <v/>
      </c>
      <c r="BM24" t="str">
        <f ca="1">IF(AND(ISNUMBER($BM$533),$B$511=1),$BM$533,HLOOKUP(INDIRECT(ADDRESS(2,COLUMN())),OFFSET($BN$2,0,0,ROW()-1,60),ROW()-1,FALSE))</f>
        <v/>
      </c>
      <c r="BN24" t="str">
        <f>""</f>
        <v/>
      </c>
      <c r="BO24" t="str">
        <f>""</f>
        <v/>
      </c>
      <c r="BP24">
        <f>9.273334928</f>
        <v>9.2733349280000006</v>
      </c>
      <c r="BQ24">
        <f>11.77478753</f>
        <v>11.774787529999999</v>
      </c>
      <c r="BR24">
        <f>13.24994066</f>
        <v>13.24994066</v>
      </c>
      <c r="BS24">
        <f>15.13019004</f>
        <v>15.13019004</v>
      </c>
      <c r="BT24">
        <f>15.27587053</f>
        <v>15.275870530000001</v>
      </c>
      <c r="BU24">
        <f>15.30513815</f>
        <v>15.305138149999999</v>
      </c>
      <c r="BV24">
        <f>16.77631737</f>
        <v>16.776317370000001</v>
      </c>
      <c r="BW24">
        <f>16.96255102</f>
        <v>16.962551019999999</v>
      </c>
      <c r="BX24">
        <f>18.67531689</f>
        <v>18.675316890000001</v>
      </c>
      <c r="BY24">
        <f>18.73469061</f>
        <v>18.734690610000001</v>
      </c>
      <c r="BZ24">
        <f>19.10122656</f>
        <v>19.101226560000001</v>
      </c>
      <c r="CA24">
        <f>20.98062489</f>
        <v>20.980624890000001</v>
      </c>
      <c r="CB24">
        <f>21.43669828</f>
        <v>21.436698280000002</v>
      </c>
      <c r="CC24">
        <f>23.40501868</f>
        <v>23.405018680000001</v>
      </c>
      <c r="CD24">
        <f>25.65663879</f>
        <v>25.656638789999999</v>
      </c>
      <c r="CE24">
        <f>25.83947736</f>
        <v>25.83947736</v>
      </c>
      <c r="CF24">
        <f>26.17937191</f>
        <v>26.17937191</v>
      </c>
      <c r="CG24">
        <f>27.84043367</f>
        <v>27.840433669999999</v>
      </c>
      <c r="CH24">
        <f>27.7536296</f>
        <v>27.7536296</v>
      </c>
      <c r="CI24">
        <f>27.43264871</f>
        <v>27.432648709999999</v>
      </c>
      <c r="CJ24">
        <f>27.82559193</f>
        <v>27.825591930000002</v>
      </c>
      <c r="CK24">
        <f>27.25150315</f>
        <v>27.251503150000001</v>
      </c>
      <c r="CL24">
        <f>27.14094122</f>
        <v>27.140941219999998</v>
      </c>
      <c r="CM24">
        <f>28.28739006</f>
        <v>28.28739006</v>
      </c>
      <c r="CN24">
        <f>28.18167733</f>
        <v>28.181677329999999</v>
      </c>
      <c r="CO24">
        <f>27.72878176</f>
        <v>27.72878176</v>
      </c>
      <c r="CP24">
        <f>26.8976225</f>
        <v>26.897622500000001</v>
      </c>
      <c r="CQ24">
        <f>25.45760562</f>
        <v>25.457605619999999</v>
      </c>
      <c r="CR24">
        <f>23.77687679</f>
        <v>23.776876789999999</v>
      </c>
      <c r="CS24">
        <f>22.18914307</f>
        <v>22.18914307</v>
      </c>
      <c r="CT24">
        <f>20.18184422</f>
        <v>20.181844219999999</v>
      </c>
      <c r="CU24">
        <f>18.3318766</f>
        <v>18.331876600000001</v>
      </c>
      <c r="CV24" t="str">
        <f>""</f>
        <v/>
      </c>
      <c r="CW24" t="str">
        <f>""</f>
        <v/>
      </c>
      <c r="CX24" t="str">
        <f>""</f>
        <v/>
      </c>
      <c r="CY24" t="str">
        <f>""</f>
        <v/>
      </c>
      <c r="CZ24" t="str">
        <f>""</f>
        <v/>
      </c>
      <c r="DA24" t="str">
        <f>""</f>
        <v/>
      </c>
      <c r="DB24" t="str">
        <f>""</f>
        <v/>
      </c>
      <c r="DC24" t="str">
        <f>""</f>
        <v/>
      </c>
      <c r="DD24" t="str">
        <f>""</f>
        <v/>
      </c>
      <c r="DE24" t="str">
        <f>""</f>
        <v/>
      </c>
      <c r="DF24" t="str">
        <f>""</f>
        <v/>
      </c>
      <c r="DG24" t="str">
        <f>""</f>
        <v/>
      </c>
      <c r="DH24" t="str">
        <f>""</f>
        <v/>
      </c>
      <c r="DI24" t="str">
        <f>""</f>
        <v/>
      </c>
      <c r="DJ24" t="str">
        <f>""</f>
        <v/>
      </c>
      <c r="DK24" t="str">
        <f>""</f>
        <v/>
      </c>
      <c r="DL24" t="str">
        <f>""</f>
        <v/>
      </c>
      <c r="DM24" t="str">
        <f>""</f>
        <v/>
      </c>
      <c r="DN24" t="str">
        <f>""</f>
        <v/>
      </c>
      <c r="DO24" t="str">
        <f>""</f>
        <v/>
      </c>
      <c r="DP24" t="str">
        <f>""</f>
        <v/>
      </c>
      <c r="DQ24" t="str">
        <f>""</f>
        <v/>
      </c>
      <c r="DR24" t="str">
        <f>""</f>
        <v/>
      </c>
      <c r="DS24" t="str">
        <f>""</f>
        <v/>
      </c>
      <c r="DT24" t="str">
        <f>""</f>
        <v/>
      </c>
      <c r="DU24" t="str">
        <f>""</f>
        <v/>
      </c>
    </row>
    <row r="25" spans="1:125" x14ac:dyDescent="0.25">
      <c r="A25" t="str">
        <f>"    Kia Motors Corp"</f>
        <v xml:space="preserve">    Kia Motors Corp</v>
      </c>
      <c r="B25" t="str">
        <f>"000270 KS Equity"</f>
        <v>000270 KS Equity</v>
      </c>
      <c r="C25" t="str">
        <f t="shared" si="0"/>
        <v>RR844</v>
      </c>
      <c r="D25" t="str">
        <f t="shared" si="1"/>
        <v>T12M_DIL_EPS_CONT_OPS</v>
      </c>
      <c r="E25" t="str">
        <f t="shared" si="2"/>
        <v>Dynamic</v>
      </c>
      <c r="F25" t="str">
        <f ca="1">IF(AND(ISNUMBER($F$534),$B$511=1),$F$534,HLOOKUP(INDIRECT(ADDRESS(2,COLUMN())),OFFSET($BN$2,0,0,ROW()-1,60),ROW()-1,FALSE))</f>
        <v/>
      </c>
      <c r="G25" t="str">
        <f ca="1">IF(AND(ISNUMBER($G$534),$B$511=1),$G$534,HLOOKUP(INDIRECT(ADDRESS(2,COLUMN())),OFFSET($BN$2,0,0,ROW()-1,60),ROW()-1,FALSE))</f>
        <v/>
      </c>
      <c r="H25">
        <f ca="1">IF(AND(ISNUMBER($H$534),$B$511=1),$H$534,HLOOKUP(INDIRECT(ADDRESS(2,COLUMN())),OFFSET($BN$2,0,0,ROW()-1,60),ROW()-1,FALSE))</f>
        <v>2.7290111019999999</v>
      </c>
      <c r="I25">
        <f ca="1">IF(AND(ISNUMBER($I$534),$B$511=1),$I$534,HLOOKUP(INDIRECT(ADDRESS(2,COLUMN())),OFFSET($BN$2,0,0,ROW()-1,60),ROW()-1,FALSE))</f>
        <v>1.3720441480000001</v>
      </c>
      <c r="J25">
        <f ca="1">IF(AND(ISNUMBER($J$534),$B$511=1),$J$534,HLOOKUP(INDIRECT(ADDRESS(2,COLUMN())),OFFSET($BN$2,0,0,ROW()-1,60),ROW()-1,FALSE))</f>
        <v>1.4156535779999999</v>
      </c>
      <c r="K25">
        <f ca="1">IF(AND(ISNUMBER($K$534),$B$511=1),$K$534,HLOOKUP(INDIRECT(ADDRESS(2,COLUMN())),OFFSET($BN$2,0,0,ROW()-1,60),ROW()-1,FALSE))</f>
        <v>2.1432156830000002</v>
      </c>
      <c r="L25">
        <f ca="1">IF(AND(ISNUMBER($L$534),$B$511=1),$L$534,HLOOKUP(INDIRECT(ADDRESS(2,COLUMN())),OFFSET($BN$2,0,0,ROW()-1,60),ROW()-1,FALSE))</f>
        <v>2.6566518650000002</v>
      </c>
      <c r="M25">
        <f ca="1">IF(AND(ISNUMBER($M$534),$B$511=1),$M$534,HLOOKUP(INDIRECT(ADDRESS(2,COLUMN())),OFFSET($BN$2,0,0,ROW()-1,60),ROW()-1,FALSE))</f>
        <v>4.7675746520000004</v>
      </c>
      <c r="N25">
        <f ca="1">IF(AND(ISNUMBER($N$534),$B$511=1),$N$534,HLOOKUP(INDIRECT(ADDRESS(2,COLUMN())),OFFSET($BN$2,0,0,ROW()-1,60),ROW()-1,FALSE))</f>
        <v>5.6942674880000004</v>
      </c>
      <c r="O25">
        <f ca="1">IF(AND(ISNUMBER($O$534),$B$511=1),$O$534,HLOOKUP(INDIRECT(ADDRESS(2,COLUMN())),OFFSET($BN$2,0,0,ROW()-1,60),ROW()-1,FALSE))</f>
        <v>6.0393989350000004</v>
      </c>
      <c r="P25">
        <f ca="1">IF(AND(ISNUMBER($P$534),$B$511=1),$P$534,HLOOKUP(INDIRECT(ADDRESS(2,COLUMN())),OFFSET($BN$2,0,0,ROW()-1,60),ROW()-1,FALSE))</f>
        <v>6.5102017700000001</v>
      </c>
      <c r="Q25">
        <f ca="1">IF(AND(ISNUMBER($Q$534),$B$511=1),$Q$534,HLOOKUP(INDIRECT(ADDRESS(2,COLUMN())),OFFSET($BN$2,0,0,ROW()-1,60),ROW()-1,FALSE))</f>
        <v>5.9567802859999999</v>
      </c>
      <c r="R25">
        <f ca="1">IF(AND(ISNUMBER($R$534),$B$511=1),$R$534,HLOOKUP(INDIRECT(ADDRESS(2,COLUMN())),OFFSET($BN$2,0,0,ROW()-1,60),ROW()-1,FALSE))</f>
        <v>5.8876571069999999</v>
      </c>
      <c r="S25">
        <f ca="1">IF(AND(ISNUMBER($S$534),$B$511=1),$S$534,HLOOKUP(INDIRECT(ADDRESS(2,COLUMN())),OFFSET($BN$2,0,0,ROW()-1,60),ROW()-1,FALSE))</f>
        <v>5.8861127639999999</v>
      </c>
      <c r="T25">
        <f ca="1">IF(AND(ISNUMBER($T$534),$B$511=1),$T$534,HLOOKUP(INDIRECT(ADDRESS(2,COLUMN())),OFFSET($BN$2,0,0,ROW()-1,60),ROW()-1,FALSE))</f>
        <v>5.6808859060000003</v>
      </c>
      <c r="U25">
        <f ca="1">IF(AND(ISNUMBER($U$534),$B$511=1),$U$534,HLOOKUP(INDIRECT(ADDRESS(2,COLUMN())),OFFSET($BN$2,0,0,ROW()-1,60),ROW()-1,FALSE))</f>
        <v>6.3590533239999996</v>
      </c>
      <c r="V25">
        <f ca="1">IF(AND(ISNUMBER($V$534),$B$511=1),$V$534,HLOOKUP(INDIRECT(ADDRESS(2,COLUMN())),OFFSET($BN$2,0,0,ROW()-1,60),ROW()-1,FALSE))</f>
        <v>7.0915393800000004</v>
      </c>
      <c r="W25">
        <f ca="1">IF(AND(ISNUMBER($W$534),$B$511=1),$W$534,HLOOKUP(INDIRECT(ADDRESS(2,COLUMN())),OFFSET($BN$2,0,0,ROW()-1,60),ROW()-1,FALSE))</f>
        <v>7.0845661880000002</v>
      </c>
      <c r="X25">
        <f ca="1">IF(AND(ISNUMBER($X$534),$B$511=1),$X$534,HLOOKUP(INDIRECT(ADDRESS(2,COLUMN())),OFFSET($BN$2,0,0,ROW()-1,60),ROW()-1,FALSE))</f>
        <v>7.9910308790000002</v>
      </c>
      <c r="Y25">
        <f ca="1">IF(AND(ISNUMBER($Y$534),$B$511=1),$Y$534,HLOOKUP(INDIRECT(ADDRESS(2,COLUMN())),OFFSET($BN$2,0,0,ROW()-1,60),ROW()-1,FALSE))</f>
        <v>8.4126493250000003</v>
      </c>
      <c r="Z25">
        <f ca="1">IF(AND(ISNUMBER($Z$534),$B$511=1),$Z$534,HLOOKUP(INDIRECT(ADDRESS(2,COLUMN())),OFFSET($BN$2,0,0,ROW()-1,60),ROW()-1,FALSE))</f>
        <v>8.5844831070000005</v>
      </c>
      <c r="AA25">
        <f ca="1">IF(AND(ISNUMBER($AA$534),$B$511=1),$AA$534,HLOOKUP(INDIRECT(ADDRESS(2,COLUMN())),OFFSET($BN$2,0,0,ROW()-1,60),ROW()-1,FALSE))</f>
        <v>8.3401028030000006</v>
      </c>
      <c r="AB25">
        <f ca="1">IF(AND(ISNUMBER($AB$534),$B$511=1),$AB$534,HLOOKUP(INDIRECT(ADDRESS(2,COLUMN())),OFFSET($BN$2,0,0,ROW()-1,60),ROW()-1,FALSE))</f>
        <v>8.1385938790000001</v>
      </c>
      <c r="AC25">
        <f ca="1">IF(AND(ISNUMBER($AC$534),$B$511=1),$AC$534,HLOOKUP(INDIRECT(ADDRESS(2,COLUMN())),OFFSET($BN$2,0,0,ROW()-1,60),ROW()-1,FALSE))</f>
        <v>7.9126943970000001</v>
      </c>
      <c r="AD25">
        <f ca="1">IF(AND(ISNUMBER($AD$534),$B$511=1),$AD$534,HLOOKUP(INDIRECT(ADDRESS(2,COLUMN())),OFFSET($BN$2,0,0,ROW()-1,60),ROW()-1,FALSE))</f>
        <v>7.6790196020000003</v>
      </c>
      <c r="AE25">
        <f ca="1">IF(AND(ISNUMBER($AE$534),$B$511=1),$AE$534,HLOOKUP(INDIRECT(ADDRESS(2,COLUMN())),OFFSET($BN$2,0,0,ROW()-1,60),ROW()-1,FALSE))</f>
        <v>8.4104047719999997</v>
      </c>
      <c r="AF25">
        <f ca="1">IF(AND(ISNUMBER($AF$534),$B$511=1),$AF$534,HLOOKUP(INDIRECT(ADDRESS(2,COLUMN())),OFFSET($BN$2,0,0,ROW()-1,60),ROW()-1,FALSE))</f>
        <v>8.3675596209999998</v>
      </c>
      <c r="AG25">
        <f ca="1">IF(AND(ISNUMBER($AG$534),$B$511=1),$AG$534,HLOOKUP(INDIRECT(ADDRESS(2,COLUMN())),OFFSET($BN$2,0,0,ROW()-1,60),ROW()-1,FALSE))</f>
        <v>8.0144768220000007</v>
      </c>
      <c r="AH25">
        <f ca="1">IF(AND(ISNUMBER($AH$534),$B$511=1),$AH$534,HLOOKUP(INDIRECT(ADDRESS(2,COLUMN())),OFFSET($BN$2,0,0,ROW()-1,60),ROW()-1,FALSE))</f>
        <v>8.178787711</v>
      </c>
      <c r="AI25">
        <f ca="1">IF(AND(ISNUMBER($AI$534),$B$511=1),$AI$534,HLOOKUP(INDIRECT(ADDRESS(2,COLUMN())),OFFSET($BN$2,0,0,ROW()-1,60),ROW()-1,FALSE))</f>
        <v>7.7062058369999997</v>
      </c>
      <c r="AJ25">
        <f ca="1">IF(AND(ISNUMBER($AJ$534),$B$511=1),$AJ$534,HLOOKUP(INDIRECT(ADDRESS(2,COLUMN())),OFFSET($BN$2,0,0,ROW()-1,60),ROW()-1,FALSE))</f>
        <v>7.8938634910000003</v>
      </c>
      <c r="AK25">
        <f ca="1">IF(AND(ISNUMBER($AK$534),$B$511=1),$AK$534,HLOOKUP(INDIRECT(ADDRESS(2,COLUMN())),OFFSET($BN$2,0,0,ROW()-1,60),ROW()-1,FALSE))</f>
        <v>7.9184891400000001</v>
      </c>
      <c r="AL25">
        <f ca="1">IF(AND(ISNUMBER($AL$534),$B$511=1),$AL$534,HLOOKUP(INDIRECT(ADDRESS(2,COLUMN())),OFFSET($BN$2,0,0,ROW()-1,60),ROW()-1,FALSE))</f>
        <v>6.7908764120000003</v>
      </c>
      <c r="AM25">
        <f ca="1">IF(AND(ISNUMBER($AM$534),$B$511=1),$AM$534,HLOOKUP(INDIRECT(ADDRESS(2,COLUMN())),OFFSET($BN$2,0,0,ROW()-1,60),ROW()-1,FALSE))</f>
        <v>5.8043286930000004</v>
      </c>
      <c r="AN25" t="str">
        <f ca="1">IF(AND(ISNUMBER($AN$534),$B$511=1),$AN$534,HLOOKUP(INDIRECT(ADDRESS(2,COLUMN())),OFFSET($BN$2,0,0,ROW()-1,60),ROW()-1,FALSE))</f>
        <v/>
      </c>
      <c r="AO25" t="str">
        <f ca="1">IF(AND(ISNUMBER($AO$534),$B$511=1),$AO$534,HLOOKUP(INDIRECT(ADDRESS(2,COLUMN())),OFFSET($BN$2,0,0,ROW()-1,60),ROW()-1,FALSE))</f>
        <v/>
      </c>
      <c r="AP25" t="str">
        <f ca="1">IF(AND(ISNUMBER($AP$534),$B$511=1),$AP$534,HLOOKUP(INDIRECT(ADDRESS(2,COLUMN())),OFFSET($BN$2,0,0,ROW()-1,60),ROW()-1,FALSE))</f>
        <v/>
      </c>
      <c r="AQ25" t="str">
        <f ca="1">IF(AND(ISNUMBER($AQ$534),$B$511=1),$AQ$534,HLOOKUP(INDIRECT(ADDRESS(2,COLUMN())),OFFSET($BN$2,0,0,ROW()-1,60),ROW()-1,FALSE))</f>
        <v/>
      </c>
      <c r="AR25" t="str">
        <f ca="1">IF(AND(ISNUMBER($AR$534),$B$511=1),$AR$534,HLOOKUP(INDIRECT(ADDRESS(2,COLUMN())),OFFSET($BN$2,0,0,ROW()-1,60),ROW()-1,FALSE))</f>
        <v/>
      </c>
      <c r="AS25" t="str">
        <f ca="1">IF(AND(ISNUMBER($AS$534),$B$511=1),$AS$534,HLOOKUP(INDIRECT(ADDRESS(2,COLUMN())),OFFSET($BN$2,0,0,ROW()-1,60),ROW()-1,FALSE))</f>
        <v/>
      </c>
      <c r="AT25" t="str">
        <f ca="1">IF(AND(ISNUMBER($AT$534),$B$511=1),$AT$534,HLOOKUP(INDIRECT(ADDRESS(2,COLUMN())),OFFSET($BN$2,0,0,ROW()-1,60),ROW()-1,FALSE))</f>
        <v/>
      </c>
      <c r="AU25" t="str">
        <f ca="1">IF(AND(ISNUMBER($AU$534),$B$511=1),$AU$534,HLOOKUP(INDIRECT(ADDRESS(2,COLUMN())),OFFSET($BN$2,0,0,ROW()-1,60),ROW()-1,FALSE))</f>
        <v/>
      </c>
      <c r="AV25" t="str">
        <f ca="1">IF(AND(ISNUMBER($AV$534),$B$511=1),$AV$534,HLOOKUP(INDIRECT(ADDRESS(2,COLUMN())),OFFSET($BN$2,0,0,ROW()-1,60),ROW()-1,FALSE))</f>
        <v/>
      </c>
      <c r="AW25" t="str">
        <f ca="1">IF(AND(ISNUMBER($AW$534),$B$511=1),$AW$534,HLOOKUP(INDIRECT(ADDRESS(2,COLUMN())),OFFSET($BN$2,0,0,ROW()-1,60),ROW()-1,FALSE))</f>
        <v/>
      </c>
      <c r="AX25" t="str">
        <f ca="1">IF(AND(ISNUMBER($AX$534),$B$511=1),$AX$534,HLOOKUP(INDIRECT(ADDRESS(2,COLUMN())),OFFSET($BN$2,0,0,ROW()-1,60),ROW()-1,FALSE))</f>
        <v/>
      </c>
      <c r="AY25" t="str">
        <f ca="1">IF(AND(ISNUMBER($AY$534),$B$511=1),$AY$534,HLOOKUP(INDIRECT(ADDRESS(2,COLUMN())),OFFSET($BN$2,0,0,ROW()-1,60),ROW()-1,FALSE))</f>
        <v/>
      </c>
      <c r="AZ25" t="str">
        <f ca="1">IF(AND(ISNUMBER($AZ$534),$B$511=1),$AZ$534,HLOOKUP(INDIRECT(ADDRESS(2,COLUMN())),OFFSET($BN$2,0,0,ROW()-1,60),ROW()-1,FALSE))</f>
        <v/>
      </c>
      <c r="BA25" t="str">
        <f ca="1">IF(AND(ISNUMBER($BA$534),$B$511=1),$BA$534,HLOOKUP(INDIRECT(ADDRESS(2,COLUMN())),OFFSET($BN$2,0,0,ROW()-1,60),ROW()-1,FALSE))</f>
        <v/>
      </c>
      <c r="BB25" t="str">
        <f ca="1">IF(AND(ISNUMBER($BB$534),$B$511=1),$BB$534,HLOOKUP(INDIRECT(ADDRESS(2,COLUMN())),OFFSET($BN$2,0,0,ROW()-1,60),ROW()-1,FALSE))</f>
        <v/>
      </c>
      <c r="BC25" t="str">
        <f ca="1">IF(AND(ISNUMBER($BC$534),$B$511=1),$BC$534,HLOOKUP(INDIRECT(ADDRESS(2,COLUMN())),OFFSET($BN$2,0,0,ROW()-1,60),ROW()-1,FALSE))</f>
        <v/>
      </c>
      <c r="BD25" t="str">
        <f ca="1">IF(AND(ISNUMBER($BD$534),$B$511=1),$BD$534,HLOOKUP(INDIRECT(ADDRESS(2,COLUMN())),OFFSET($BN$2,0,0,ROW()-1,60),ROW()-1,FALSE))</f>
        <v/>
      </c>
      <c r="BE25" t="str">
        <f ca="1">IF(AND(ISNUMBER($BE$534),$B$511=1),$BE$534,HLOOKUP(INDIRECT(ADDRESS(2,COLUMN())),OFFSET($BN$2,0,0,ROW()-1,60),ROW()-1,FALSE))</f>
        <v/>
      </c>
      <c r="BF25" t="str">
        <f ca="1">IF(AND(ISNUMBER($BF$534),$B$511=1),$BF$534,HLOOKUP(INDIRECT(ADDRESS(2,COLUMN())),OFFSET($BN$2,0,0,ROW()-1,60),ROW()-1,FALSE))</f>
        <v/>
      </c>
      <c r="BG25" t="str">
        <f ca="1">IF(AND(ISNUMBER($BG$534),$B$511=1),$BG$534,HLOOKUP(INDIRECT(ADDRESS(2,COLUMN())),OFFSET($BN$2,0,0,ROW()-1,60),ROW()-1,FALSE))</f>
        <v/>
      </c>
      <c r="BH25" t="str">
        <f ca="1">IF(AND(ISNUMBER($BH$534),$B$511=1),$BH$534,HLOOKUP(INDIRECT(ADDRESS(2,COLUMN())),OFFSET($BN$2,0,0,ROW()-1,60),ROW()-1,FALSE))</f>
        <v/>
      </c>
      <c r="BI25" t="str">
        <f ca="1">IF(AND(ISNUMBER($BI$534),$B$511=1),$BI$534,HLOOKUP(INDIRECT(ADDRESS(2,COLUMN())),OFFSET($BN$2,0,0,ROW()-1,60),ROW()-1,FALSE))</f>
        <v/>
      </c>
      <c r="BJ25" t="str">
        <f ca="1">IF(AND(ISNUMBER($BJ$534),$B$511=1),$BJ$534,HLOOKUP(INDIRECT(ADDRESS(2,COLUMN())),OFFSET($BN$2,0,0,ROW()-1,60),ROW()-1,FALSE))</f>
        <v/>
      </c>
      <c r="BK25" t="str">
        <f ca="1">IF(AND(ISNUMBER($BK$534),$B$511=1),$BK$534,HLOOKUP(INDIRECT(ADDRESS(2,COLUMN())),OFFSET($BN$2,0,0,ROW()-1,60),ROW()-1,FALSE))</f>
        <v/>
      </c>
      <c r="BL25" t="str">
        <f ca="1">IF(AND(ISNUMBER($BL$534),$B$511=1),$BL$534,HLOOKUP(INDIRECT(ADDRESS(2,COLUMN())),OFFSET($BN$2,0,0,ROW()-1,60),ROW()-1,FALSE))</f>
        <v/>
      </c>
      <c r="BM25" t="str">
        <f ca="1">IF(AND(ISNUMBER($BM$534),$B$511=1),$BM$534,HLOOKUP(INDIRECT(ADDRESS(2,COLUMN())),OFFSET($BN$2,0,0,ROW()-1,60),ROW()-1,FALSE))</f>
        <v/>
      </c>
      <c r="BN25" t="str">
        <f>""</f>
        <v/>
      </c>
      <c r="BO25" t="str">
        <f>""</f>
        <v/>
      </c>
      <c r="BP25">
        <f>2.729011102</f>
        <v>2.7290111019999999</v>
      </c>
      <c r="BQ25">
        <f>1.372044148</f>
        <v>1.3720441480000001</v>
      </c>
      <c r="BR25">
        <f>1.415653578</f>
        <v>1.4156535779999999</v>
      </c>
      <c r="BS25">
        <f>2.143215683</f>
        <v>2.1432156830000002</v>
      </c>
      <c r="BT25">
        <f>2.656651865</f>
        <v>2.6566518650000002</v>
      </c>
      <c r="BU25">
        <f>4.767574652</f>
        <v>4.7675746520000004</v>
      </c>
      <c r="BV25">
        <f>5.694267488</f>
        <v>5.6942674880000004</v>
      </c>
      <c r="BW25">
        <f>6.039398935</f>
        <v>6.0393989350000004</v>
      </c>
      <c r="BX25">
        <f>6.51020177</f>
        <v>6.5102017700000001</v>
      </c>
      <c r="BY25">
        <f>5.956780286</f>
        <v>5.9567802859999999</v>
      </c>
      <c r="BZ25">
        <f>5.887657107</f>
        <v>5.8876571069999999</v>
      </c>
      <c r="CA25">
        <f>5.886112764</f>
        <v>5.8861127639999999</v>
      </c>
      <c r="CB25">
        <f>5.680885906</f>
        <v>5.6808859060000003</v>
      </c>
      <c r="CC25">
        <f>6.359053324</f>
        <v>6.3590533239999996</v>
      </c>
      <c r="CD25">
        <f>7.09153938</f>
        <v>7.0915393800000004</v>
      </c>
      <c r="CE25">
        <f>7.084566188</f>
        <v>7.0845661880000002</v>
      </c>
      <c r="CF25">
        <f>7.991030879</f>
        <v>7.9910308790000002</v>
      </c>
      <c r="CG25">
        <f>8.412649325</f>
        <v>8.4126493250000003</v>
      </c>
      <c r="CH25">
        <f>8.584483107</f>
        <v>8.5844831070000005</v>
      </c>
      <c r="CI25">
        <f>8.340102803</f>
        <v>8.3401028030000006</v>
      </c>
      <c r="CJ25">
        <f>8.138593879</f>
        <v>8.1385938790000001</v>
      </c>
      <c r="CK25">
        <f>7.912694397</f>
        <v>7.9126943970000001</v>
      </c>
      <c r="CL25">
        <f>7.679019602</f>
        <v>7.6790196020000003</v>
      </c>
      <c r="CM25">
        <f>8.410404772</f>
        <v>8.4104047719999997</v>
      </c>
      <c r="CN25">
        <f>8.367559621</f>
        <v>8.3675596209999998</v>
      </c>
      <c r="CO25">
        <f>8.014476822</f>
        <v>8.0144768220000007</v>
      </c>
      <c r="CP25">
        <f>8.178787711</f>
        <v>8.178787711</v>
      </c>
      <c r="CQ25">
        <f>7.706205837</f>
        <v>7.7062058369999997</v>
      </c>
      <c r="CR25">
        <f>7.893863491</f>
        <v>7.8938634910000003</v>
      </c>
      <c r="CS25">
        <f>7.91848914</f>
        <v>7.9184891400000001</v>
      </c>
      <c r="CT25">
        <f>6.790876412</f>
        <v>6.7908764120000003</v>
      </c>
      <c r="CU25">
        <f>5.804328693</f>
        <v>5.8043286930000004</v>
      </c>
      <c r="CV25" t="str">
        <f>""</f>
        <v/>
      </c>
      <c r="CW25" t="str">
        <f>""</f>
        <v/>
      </c>
      <c r="CX25" t="str">
        <f>""</f>
        <v/>
      </c>
      <c r="CY25" t="str">
        <f>""</f>
        <v/>
      </c>
      <c r="CZ25" t="str">
        <f>""</f>
        <v/>
      </c>
      <c r="DA25" t="str">
        <f>""</f>
        <v/>
      </c>
      <c r="DB25" t="str">
        <f>""</f>
        <v/>
      </c>
      <c r="DC25" t="str">
        <f>""</f>
        <v/>
      </c>
      <c r="DD25" t="str">
        <f>""</f>
        <v/>
      </c>
      <c r="DE25" t="str">
        <f>""</f>
        <v/>
      </c>
      <c r="DF25" t="str">
        <f>""</f>
        <v/>
      </c>
      <c r="DG25" t="str">
        <f>""</f>
        <v/>
      </c>
      <c r="DH25" t="str">
        <f>""</f>
        <v/>
      </c>
      <c r="DI25" t="str">
        <f>""</f>
        <v/>
      </c>
      <c r="DJ25" t="str">
        <f>""</f>
        <v/>
      </c>
      <c r="DK25" t="str">
        <f>""</f>
        <v/>
      </c>
      <c r="DL25" t="str">
        <f>""</f>
        <v/>
      </c>
      <c r="DM25" t="str">
        <f>""</f>
        <v/>
      </c>
      <c r="DN25" t="str">
        <f>""</f>
        <v/>
      </c>
      <c r="DO25" t="str">
        <f>""</f>
        <v/>
      </c>
      <c r="DP25" t="str">
        <f>""</f>
        <v/>
      </c>
      <c r="DQ25" t="str">
        <f>""</f>
        <v/>
      </c>
      <c r="DR25" t="str">
        <f>""</f>
        <v/>
      </c>
      <c r="DS25" t="str">
        <f>""</f>
        <v/>
      </c>
      <c r="DT25" t="str">
        <f>""</f>
        <v/>
      </c>
      <c r="DU25" t="str">
        <f>""</f>
        <v/>
      </c>
    </row>
    <row r="26" spans="1:125" x14ac:dyDescent="0.25">
      <c r="A26" t="str">
        <f>"    Mazda Motor Corp"</f>
        <v xml:space="preserve">    Mazda Motor Corp</v>
      </c>
      <c r="B26" t="str">
        <f>"7261 JP Equity"</f>
        <v>7261 JP Equity</v>
      </c>
      <c r="C26" t="str">
        <f t="shared" si="0"/>
        <v>RR844</v>
      </c>
      <c r="D26" t="str">
        <f t="shared" si="1"/>
        <v>T12M_DIL_EPS_CONT_OPS</v>
      </c>
      <c r="E26" t="str">
        <f t="shared" si="2"/>
        <v>Dynamic</v>
      </c>
      <c r="F26" t="str">
        <f ca="1">IF(AND(ISNUMBER($F$535),$B$511=1),$F$535,HLOOKUP(INDIRECT(ADDRESS(2,COLUMN())),OFFSET($BN$2,0,0,ROW()-1,60),ROW()-1,FALSE))</f>
        <v/>
      </c>
      <c r="G26">
        <f ca="1">IF(AND(ISNUMBER($G$535),$B$511=1),$G$535,HLOOKUP(INDIRECT(ADDRESS(2,COLUMN())),OFFSET($BN$2,0,0,ROW()-1,60),ROW()-1,FALSE))</f>
        <v>1.0227353260000001</v>
      </c>
      <c r="H26">
        <f ca="1">IF(AND(ISNUMBER($H$535),$B$511=1),$H$535,HLOOKUP(INDIRECT(ADDRESS(2,COLUMN())),OFFSET($BN$2,0,0,ROW()-1,60),ROW()-1,FALSE))</f>
        <v>1.153540928</v>
      </c>
      <c r="I26">
        <f ca="1">IF(AND(ISNUMBER($I$535),$B$511=1),$I$535,HLOOKUP(INDIRECT(ADDRESS(2,COLUMN())),OFFSET($BN$2,0,0,ROW()-1,60),ROW()-1,FALSE))</f>
        <v>1.528732647</v>
      </c>
      <c r="J26">
        <f ca="1">IF(AND(ISNUMBER($J$535),$B$511=1),$J$535,HLOOKUP(INDIRECT(ADDRESS(2,COLUMN())),OFFSET($BN$2,0,0,ROW()-1,60),ROW()-1,FALSE))</f>
        <v>1.8041961040000001</v>
      </c>
      <c r="K26">
        <f ca="1">IF(AND(ISNUMBER($K$535),$B$511=1),$K$535,HLOOKUP(INDIRECT(ADDRESS(2,COLUMN())),OFFSET($BN$2,0,0,ROW()-1,60),ROW()-1,FALSE))</f>
        <v>1.6017608750000001</v>
      </c>
      <c r="L26">
        <f ca="1">IF(AND(ISNUMBER($L$535),$B$511=1),$L$535,HLOOKUP(INDIRECT(ADDRESS(2,COLUMN())),OFFSET($BN$2,0,0,ROW()-1,60),ROW()-1,FALSE))</f>
        <v>1.6598624529999999</v>
      </c>
      <c r="M26">
        <f ca="1">IF(AND(ISNUMBER($M$535),$B$511=1),$M$535,HLOOKUP(INDIRECT(ADDRESS(2,COLUMN())),OFFSET($BN$2,0,0,ROW()-1,60),ROW()-1,FALSE))</f>
        <v>1.7555122620000001</v>
      </c>
      <c r="N26">
        <f ca="1">IF(AND(ISNUMBER($N$535),$B$511=1),$N$535,HLOOKUP(INDIRECT(ADDRESS(2,COLUMN())),OFFSET($BN$2,0,0,ROW()-1,60),ROW()-1,FALSE))</f>
        <v>1.5682310699999999</v>
      </c>
      <c r="O26">
        <f ca="1">IF(AND(ISNUMBER($O$535),$B$511=1),$O$535,HLOOKUP(INDIRECT(ADDRESS(2,COLUMN())),OFFSET($BN$2,0,0,ROW()-1,60),ROW()-1,FALSE))</f>
        <v>1.506812644</v>
      </c>
      <c r="P26">
        <f ca="1">IF(AND(ISNUMBER($P$535),$B$511=1),$P$535,HLOOKUP(INDIRECT(ADDRESS(2,COLUMN())),OFFSET($BN$2,0,0,ROW()-1,60),ROW()-1,FALSE))</f>
        <v>1.638542969</v>
      </c>
      <c r="Q26">
        <f ca="1">IF(AND(ISNUMBER($Q$535),$B$511=1),$Q$535,HLOOKUP(INDIRECT(ADDRESS(2,COLUMN())),OFFSET($BN$2,0,0,ROW()-1,60),ROW()-1,FALSE))</f>
        <v>1.823291553</v>
      </c>
      <c r="R26">
        <f ca="1">IF(AND(ISNUMBER($R$535),$B$511=1),$R$535,HLOOKUP(INDIRECT(ADDRESS(2,COLUMN())),OFFSET($BN$2,0,0,ROW()-1,60),ROW()-1,FALSE))</f>
        <v>1.9383043529999999</v>
      </c>
      <c r="S26">
        <f ca="1">IF(AND(ISNUMBER($S$535),$B$511=1),$S$535,HLOOKUP(INDIRECT(ADDRESS(2,COLUMN())),OFFSET($BN$2,0,0,ROW()-1,60),ROW()-1,FALSE))</f>
        <v>2.1483371280000001</v>
      </c>
      <c r="T26">
        <f ca="1">IF(AND(ISNUMBER($T$535),$B$511=1),$T$535,HLOOKUP(INDIRECT(ADDRESS(2,COLUMN())),OFFSET($BN$2,0,0,ROW()-1,60),ROW()-1,FALSE))</f>
        <v>2.2429646540000001</v>
      </c>
      <c r="U26">
        <f ca="1">IF(AND(ISNUMBER($U$535),$B$511=1),$U$535,HLOOKUP(INDIRECT(ADDRESS(2,COLUMN())),OFFSET($BN$2,0,0,ROW()-1,60),ROW()-1,FALSE))</f>
        <v>2.2197326099999999</v>
      </c>
      <c r="V26">
        <f ca="1">IF(AND(ISNUMBER($V$535),$B$511=1),$V$535,HLOOKUP(INDIRECT(ADDRESS(2,COLUMN())),OFFSET($BN$2,0,0,ROW()-1,60),ROW()-1,FALSE))</f>
        <v>2.5083882169999998</v>
      </c>
      <c r="W26">
        <f ca="1">IF(AND(ISNUMBER($W$535),$B$511=1),$W$535,HLOOKUP(INDIRECT(ADDRESS(2,COLUMN())),OFFSET($BN$2,0,0,ROW()-1,60),ROW()-1,FALSE))</f>
        <v>3.0921410909999998</v>
      </c>
      <c r="X26">
        <f ca="1">IF(AND(ISNUMBER($X$535),$B$511=1),$X$535,HLOOKUP(INDIRECT(ADDRESS(2,COLUMN())),OFFSET($BN$2,0,0,ROW()-1,60),ROW()-1,FALSE))</f>
        <v>3.4035199980000002</v>
      </c>
      <c r="Y26">
        <f ca="1">IF(AND(ISNUMBER($Y$535),$B$511=1),$Y$535,HLOOKUP(INDIRECT(ADDRESS(2,COLUMN())),OFFSET($BN$2,0,0,ROW()-1,60),ROW()-1,FALSE))</f>
        <v>3.0428979310000002</v>
      </c>
      <c r="Z26">
        <f ca="1">IF(AND(ISNUMBER($Z$535),$B$511=1),$Z$535,HLOOKUP(INDIRECT(ADDRESS(2,COLUMN())),OFFSET($BN$2,0,0,ROW()-1,60),ROW()-1,FALSE))</f>
        <v>2.3375383649999999</v>
      </c>
      <c r="AA26">
        <f ca="1">IF(AND(ISNUMBER($AA$535),$B$511=1),$AA$535,HLOOKUP(INDIRECT(ADDRESS(2,COLUMN())),OFFSET($BN$2,0,0,ROW()-1,60),ROW()-1,FALSE))</f>
        <v>1.53579091</v>
      </c>
      <c r="AB26">
        <f ca="1">IF(AND(ISNUMBER($AB$535),$B$511=1),$AB$535,HLOOKUP(INDIRECT(ADDRESS(2,COLUMN())),OFFSET($BN$2,0,0,ROW()-1,60),ROW()-1,FALSE))</f>
        <v>1.0415070340000001</v>
      </c>
      <c r="AC26">
        <f ca="1">IF(AND(ISNUMBER($AC$535),$B$511=1),$AC$535,HLOOKUP(INDIRECT(ADDRESS(2,COLUMN())),OFFSET($BN$2,0,0,ROW()-1,60),ROW()-1,FALSE))</f>
        <v>0.844291825</v>
      </c>
      <c r="AD26">
        <f ca="1">IF(AND(ISNUMBER($AD$535),$B$511=1),$AD$535,HLOOKUP(INDIRECT(ADDRESS(2,COLUMN())),OFFSET($BN$2,0,0,ROW()-1,60),ROW()-1,FALSE))</f>
        <v>0.65969487100000002</v>
      </c>
      <c r="AE26">
        <f ca="1">IF(AND(ISNUMBER($AE$535),$B$511=1),$AE$535,HLOOKUP(INDIRECT(ADDRESS(2,COLUMN())),OFFSET($BN$2,0,0,ROW()-1,60),ROW()-1,FALSE))</f>
        <v>0.80320605</v>
      </c>
      <c r="AF26">
        <f ca="1">IF(AND(ISNUMBER($AF$535),$B$511=1),$AF$535,HLOOKUP(INDIRECT(ADDRESS(2,COLUMN())),OFFSET($BN$2,0,0,ROW()-1,60),ROW()-1,FALSE))</f>
        <v>-2.1999112959999998</v>
      </c>
      <c r="AG26">
        <f ca="1">IF(AND(ISNUMBER($AG$535),$B$511=1),$AG$535,HLOOKUP(INDIRECT(ADDRESS(2,COLUMN())),OFFSET($BN$2,0,0,ROW()-1,60),ROW()-1,FALSE))</f>
        <v>-2.863128433</v>
      </c>
      <c r="AH26">
        <f ca="1">IF(AND(ISNUMBER($AH$535),$B$511=1),$AH$535,HLOOKUP(INDIRECT(ADDRESS(2,COLUMN())),OFFSET($BN$2,0,0,ROW()-1,60),ROW()-1,FALSE))</f>
        <v>-3.5464341959999999</v>
      </c>
      <c r="AI26">
        <f ca="1">IF(AND(ISNUMBER($AI$535),$B$511=1),$AI$535,HLOOKUP(INDIRECT(ADDRESS(2,COLUMN())),OFFSET($BN$2,0,0,ROW()-1,60),ROW()-1,FALSE))</f>
        <v>-5.9084993709999996</v>
      </c>
      <c r="AJ26">
        <f ca="1">IF(AND(ISNUMBER($AJ$535),$B$511=1),$AJ$535,HLOOKUP(INDIRECT(ADDRESS(2,COLUMN())),OFFSET($BN$2,0,0,ROW()-1,60),ROW()-1,FALSE))</f>
        <v>-3.3910927370000001</v>
      </c>
      <c r="AK26">
        <f ca="1">IF(AND(ISNUMBER($AK$535),$B$511=1),$AK$535,HLOOKUP(INDIRECT(ADDRESS(2,COLUMN())),OFFSET($BN$2,0,0,ROW()-1,60),ROW()-1,FALSE))</f>
        <v>-2.564313507</v>
      </c>
      <c r="AL26">
        <f ca="1">IF(AND(ISNUMBER($AL$535),$B$511=1),$AL$535,HLOOKUP(INDIRECT(ADDRESS(2,COLUMN())),OFFSET($BN$2,0,0,ROW()-1,60),ROW()-1,FALSE))</f>
        <v>-1.744285348</v>
      </c>
      <c r="AM26">
        <f ca="1">IF(AND(ISNUMBER($AM$535),$B$511=1),$AM$535,HLOOKUP(INDIRECT(ADDRESS(2,COLUMN())),OFFSET($BN$2,0,0,ROW()-1,60),ROW()-1,FALSE))</f>
        <v>0.53677958999999997</v>
      </c>
      <c r="AN26">
        <f ca="1">IF(AND(ISNUMBER($AN$535),$B$511=1),$AN$535,HLOOKUP(INDIRECT(ADDRESS(2,COLUMN())),OFFSET($BN$2,0,0,ROW()-1,60),ROW()-1,FALSE))</f>
        <v>0.76057087000000001</v>
      </c>
      <c r="AO26">
        <f ca="1">IF(AND(ISNUMBER($AO$535),$B$511=1),$AO$535,HLOOKUP(INDIRECT(ADDRESS(2,COLUMN())),OFFSET($BN$2,0,0,ROW()-1,60),ROW()-1,FALSE))</f>
        <v>0.55834170800000005</v>
      </c>
      <c r="AP26">
        <f ca="1">IF(AND(ISNUMBER($AP$535),$B$511=1),$AP$535,HLOOKUP(INDIRECT(ADDRESS(2,COLUMN())),OFFSET($BN$2,0,0,ROW()-1,60),ROW()-1,FALSE))</f>
        <v>-0.30847797799999999</v>
      </c>
      <c r="AQ26">
        <f ca="1">IF(AND(ISNUMBER($AQ$535),$B$511=1),$AQ$535,HLOOKUP(INDIRECT(ADDRESS(2,COLUMN())),OFFSET($BN$2,0,0,ROW()-1,60),ROW()-1,FALSE))</f>
        <v>-3.9976082810000002</v>
      </c>
      <c r="AR26">
        <f ca="1">IF(AND(ISNUMBER($AR$535),$B$511=1),$AR$535,HLOOKUP(INDIRECT(ADDRESS(2,COLUMN())),OFFSET($BN$2,0,0,ROW()-1,60),ROW()-1,FALSE))</f>
        <v>-4.0976133810000004</v>
      </c>
      <c r="AS26">
        <f ca="1">IF(AND(ISNUMBER($AS$535),$B$511=1),$AS$535,HLOOKUP(INDIRECT(ADDRESS(2,COLUMN())),OFFSET($BN$2,0,0,ROW()-1,60),ROW()-1,FALSE))</f>
        <v>-3.4578079690000001</v>
      </c>
      <c r="AT26">
        <f ca="1">IF(AND(ISNUMBER($AT$535),$B$511=1),$AT$535,HLOOKUP(INDIRECT(ADDRESS(2,COLUMN())),OFFSET($BN$2,0,0,ROW()-1,60),ROW()-1,FALSE))</f>
        <v>-2.0605482670000002</v>
      </c>
      <c r="AU26" t="str">
        <f ca="1">IF(AND(ISNUMBER($AU$535),$B$511=1),$AU$535,HLOOKUP(INDIRECT(ADDRESS(2,COLUMN())),OFFSET($BN$2,0,0,ROW()-1,60),ROW()-1,FALSE))</f>
        <v/>
      </c>
      <c r="AV26" t="str">
        <f ca="1">IF(AND(ISNUMBER($AV$535),$B$511=1),$AV$535,HLOOKUP(INDIRECT(ADDRESS(2,COLUMN())),OFFSET($BN$2,0,0,ROW()-1,60),ROW()-1,FALSE))</f>
        <v/>
      </c>
      <c r="AW26" t="str">
        <f ca="1">IF(AND(ISNUMBER($AW$535),$B$511=1),$AW$535,HLOOKUP(INDIRECT(ADDRESS(2,COLUMN())),OFFSET($BN$2,0,0,ROW()-1,60),ROW()-1,FALSE))</f>
        <v/>
      </c>
      <c r="AX26" t="str">
        <f ca="1">IF(AND(ISNUMBER($AX$535),$B$511=1),$AX$535,HLOOKUP(INDIRECT(ADDRESS(2,COLUMN())),OFFSET($BN$2,0,0,ROW()-1,60),ROW()-1,FALSE))</f>
        <v/>
      </c>
      <c r="AY26" t="str">
        <f ca="1">IF(AND(ISNUMBER($AY$535),$B$511=1),$AY$535,HLOOKUP(INDIRECT(ADDRESS(2,COLUMN())),OFFSET($BN$2,0,0,ROW()-1,60),ROW()-1,FALSE))</f>
        <v/>
      </c>
      <c r="AZ26" t="str">
        <f ca="1">IF(AND(ISNUMBER($AZ$535),$B$511=1),$AZ$535,HLOOKUP(INDIRECT(ADDRESS(2,COLUMN())),OFFSET($BN$2,0,0,ROW()-1,60),ROW()-1,FALSE))</f>
        <v/>
      </c>
      <c r="BA26" t="str">
        <f ca="1">IF(AND(ISNUMBER($BA$535),$B$511=1),$BA$535,HLOOKUP(INDIRECT(ADDRESS(2,COLUMN())),OFFSET($BN$2,0,0,ROW()-1,60),ROW()-1,FALSE))</f>
        <v/>
      </c>
      <c r="BB26" t="str">
        <f ca="1">IF(AND(ISNUMBER($BB$535),$B$511=1),$BB$535,HLOOKUP(INDIRECT(ADDRESS(2,COLUMN())),OFFSET($BN$2,0,0,ROW()-1,60),ROW()-1,FALSE))</f>
        <v/>
      </c>
      <c r="BC26" t="str">
        <f ca="1">IF(AND(ISNUMBER($BC$535),$B$511=1),$BC$535,HLOOKUP(INDIRECT(ADDRESS(2,COLUMN())),OFFSET($BN$2,0,0,ROW()-1,60),ROW()-1,FALSE))</f>
        <v/>
      </c>
      <c r="BD26" t="str">
        <f ca="1">IF(AND(ISNUMBER($BD$535),$B$511=1),$BD$535,HLOOKUP(INDIRECT(ADDRESS(2,COLUMN())),OFFSET($BN$2,0,0,ROW()-1,60),ROW()-1,FALSE))</f>
        <v/>
      </c>
      <c r="BE26" t="str">
        <f ca="1">IF(AND(ISNUMBER($BE$535),$B$511=1),$BE$535,HLOOKUP(INDIRECT(ADDRESS(2,COLUMN())),OFFSET($BN$2,0,0,ROW()-1,60),ROW()-1,FALSE))</f>
        <v/>
      </c>
      <c r="BF26" t="str">
        <f ca="1">IF(AND(ISNUMBER($BF$535),$B$511=1),$BF$535,HLOOKUP(INDIRECT(ADDRESS(2,COLUMN())),OFFSET($BN$2,0,0,ROW()-1,60),ROW()-1,FALSE))</f>
        <v/>
      </c>
      <c r="BG26" t="str">
        <f ca="1">IF(AND(ISNUMBER($BG$535),$B$511=1),$BG$535,HLOOKUP(INDIRECT(ADDRESS(2,COLUMN())),OFFSET($BN$2,0,0,ROW()-1,60),ROW()-1,FALSE))</f>
        <v/>
      </c>
      <c r="BH26" t="str">
        <f ca="1">IF(AND(ISNUMBER($BH$535),$B$511=1),$BH$535,HLOOKUP(INDIRECT(ADDRESS(2,COLUMN())),OFFSET($BN$2,0,0,ROW()-1,60),ROW()-1,FALSE))</f>
        <v/>
      </c>
      <c r="BI26" t="str">
        <f ca="1">IF(AND(ISNUMBER($BI$535),$B$511=1),$BI$535,HLOOKUP(INDIRECT(ADDRESS(2,COLUMN())),OFFSET($BN$2,0,0,ROW()-1,60),ROW()-1,FALSE))</f>
        <v/>
      </c>
      <c r="BJ26" t="str">
        <f ca="1">IF(AND(ISNUMBER($BJ$535),$B$511=1),$BJ$535,HLOOKUP(INDIRECT(ADDRESS(2,COLUMN())),OFFSET($BN$2,0,0,ROW()-1,60),ROW()-1,FALSE))</f>
        <v/>
      </c>
      <c r="BK26" t="str">
        <f ca="1">IF(AND(ISNUMBER($BK$535),$B$511=1),$BK$535,HLOOKUP(INDIRECT(ADDRESS(2,COLUMN())),OFFSET($BN$2,0,0,ROW()-1,60),ROW()-1,FALSE))</f>
        <v/>
      </c>
      <c r="BL26" t="str">
        <f ca="1">IF(AND(ISNUMBER($BL$535),$B$511=1),$BL$535,HLOOKUP(INDIRECT(ADDRESS(2,COLUMN())),OFFSET($BN$2,0,0,ROW()-1,60),ROW()-1,FALSE))</f>
        <v/>
      </c>
      <c r="BM26" t="str">
        <f ca="1">IF(AND(ISNUMBER($BM$535),$B$511=1),$BM$535,HLOOKUP(INDIRECT(ADDRESS(2,COLUMN())),OFFSET($BN$2,0,0,ROW()-1,60),ROW()-1,FALSE))</f>
        <v/>
      </c>
      <c r="BN26" t="str">
        <f>""</f>
        <v/>
      </c>
      <c r="BO26">
        <f>1.022735326</f>
        <v>1.0227353260000001</v>
      </c>
      <c r="BP26">
        <f>1.153540928</f>
        <v>1.153540928</v>
      </c>
      <c r="BQ26">
        <f>1.528732647</f>
        <v>1.528732647</v>
      </c>
      <c r="BR26">
        <f>1.804196104</f>
        <v>1.8041961040000001</v>
      </c>
      <c r="BS26">
        <f>1.601760875</f>
        <v>1.6017608750000001</v>
      </c>
      <c r="BT26">
        <f>1.659862453</f>
        <v>1.6598624529999999</v>
      </c>
      <c r="BU26">
        <f>1.755512262</f>
        <v>1.7555122620000001</v>
      </c>
      <c r="BV26">
        <f>1.56823107</f>
        <v>1.5682310699999999</v>
      </c>
      <c r="BW26">
        <f>1.506812644</f>
        <v>1.506812644</v>
      </c>
      <c r="BX26">
        <f>1.638542969</f>
        <v>1.638542969</v>
      </c>
      <c r="BY26">
        <f>1.823291553</f>
        <v>1.823291553</v>
      </c>
      <c r="BZ26">
        <f>1.938304353</f>
        <v>1.9383043529999999</v>
      </c>
      <c r="CA26">
        <f>2.148337128</f>
        <v>2.1483371280000001</v>
      </c>
      <c r="CB26">
        <f>2.242964654</f>
        <v>2.2429646540000001</v>
      </c>
      <c r="CC26">
        <f>2.21973261</f>
        <v>2.2197326099999999</v>
      </c>
      <c r="CD26">
        <f>2.508388217</f>
        <v>2.5083882169999998</v>
      </c>
      <c r="CE26">
        <f>3.092141091</f>
        <v>3.0921410909999998</v>
      </c>
      <c r="CF26">
        <f>3.403519998</f>
        <v>3.4035199980000002</v>
      </c>
      <c r="CG26">
        <f>3.042897931</f>
        <v>3.0428979310000002</v>
      </c>
      <c r="CH26">
        <f>2.337538365</f>
        <v>2.3375383649999999</v>
      </c>
      <c r="CI26">
        <f>1.53579091</f>
        <v>1.53579091</v>
      </c>
      <c r="CJ26">
        <f>1.041507034</f>
        <v>1.0415070340000001</v>
      </c>
      <c r="CK26">
        <f>0.844291825</f>
        <v>0.844291825</v>
      </c>
      <c r="CL26">
        <f>0.659694871</f>
        <v>0.65969487100000002</v>
      </c>
      <c r="CM26">
        <f>0.80320605</f>
        <v>0.80320605</v>
      </c>
      <c r="CN26">
        <f>-2.199911296</f>
        <v>-2.1999112959999998</v>
      </c>
      <c r="CO26">
        <f>-2.863128433</f>
        <v>-2.863128433</v>
      </c>
      <c r="CP26">
        <f>-3.546434196</f>
        <v>-3.5464341959999999</v>
      </c>
      <c r="CQ26">
        <f>-5.908499371</f>
        <v>-5.9084993709999996</v>
      </c>
      <c r="CR26">
        <f>-3.391092737</f>
        <v>-3.3910927370000001</v>
      </c>
      <c r="CS26">
        <f>-2.564313507</f>
        <v>-2.564313507</v>
      </c>
      <c r="CT26">
        <f>-1.744285348</f>
        <v>-1.744285348</v>
      </c>
      <c r="CU26">
        <f>0.53677959</f>
        <v>0.53677958999999997</v>
      </c>
      <c r="CV26">
        <f>0.76057087</f>
        <v>0.76057087000000001</v>
      </c>
      <c r="CW26">
        <f>0.558341708</f>
        <v>0.55834170800000005</v>
      </c>
      <c r="CX26">
        <f>-0.308477978</f>
        <v>-0.30847797799999999</v>
      </c>
      <c r="CY26">
        <f>-3.997608281</f>
        <v>-3.9976082810000002</v>
      </c>
      <c r="CZ26">
        <f>-4.097613381</f>
        <v>-4.0976133810000004</v>
      </c>
      <c r="DA26">
        <f>-3.457807969</f>
        <v>-3.4578079690000001</v>
      </c>
      <c r="DB26">
        <f>-2.060548267</f>
        <v>-2.0605482670000002</v>
      </c>
      <c r="DC26" t="str">
        <f>""</f>
        <v/>
      </c>
      <c r="DD26" t="str">
        <f>""</f>
        <v/>
      </c>
      <c r="DE26" t="str">
        <f>""</f>
        <v/>
      </c>
      <c r="DF26" t="str">
        <f>""</f>
        <v/>
      </c>
      <c r="DG26" t="str">
        <f>""</f>
        <v/>
      </c>
      <c r="DH26" t="str">
        <f>""</f>
        <v/>
      </c>
      <c r="DI26" t="str">
        <f>""</f>
        <v/>
      </c>
      <c r="DJ26" t="str">
        <f>""</f>
        <v/>
      </c>
      <c r="DK26" t="str">
        <f>""</f>
        <v/>
      </c>
      <c r="DL26" t="str">
        <f>""</f>
        <v/>
      </c>
      <c r="DM26" t="str">
        <f>""</f>
        <v/>
      </c>
      <c r="DN26" t="str">
        <f>""</f>
        <v/>
      </c>
      <c r="DO26" t="str">
        <f>""</f>
        <v/>
      </c>
      <c r="DP26" t="str">
        <f>""</f>
        <v/>
      </c>
      <c r="DQ26" t="str">
        <f>""</f>
        <v/>
      </c>
      <c r="DR26" t="str">
        <f>""</f>
        <v/>
      </c>
      <c r="DS26" t="str">
        <f>""</f>
        <v/>
      </c>
      <c r="DT26" t="str">
        <f>""</f>
        <v/>
      </c>
      <c r="DU26" t="str">
        <f>""</f>
        <v/>
      </c>
    </row>
    <row r="27" spans="1:125" x14ac:dyDescent="0.25">
      <c r="A27" t="str">
        <f>"    Mitsubishi Motors Corp"</f>
        <v xml:space="preserve">    Mitsubishi Motors Corp</v>
      </c>
      <c r="B27" t="str">
        <f>"7211 JP Equity"</f>
        <v>7211 JP Equity</v>
      </c>
      <c r="C27" t="str">
        <f t="shared" si="0"/>
        <v>RR844</v>
      </c>
      <c r="D27" t="str">
        <f t="shared" si="1"/>
        <v>T12M_DIL_EPS_CONT_OPS</v>
      </c>
      <c r="E27" t="str">
        <f t="shared" si="2"/>
        <v>Dynamic</v>
      </c>
      <c r="F27" t="str">
        <f ca="1">IF(AND(ISNUMBER($F$536),$B$511=1),$F$536,HLOOKUP(INDIRECT(ADDRESS(2,COLUMN())),OFFSET($BN$2,0,0,ROW()-1,60),ROW()-1,FALSE))</f>
        <v/>
      </c>
      <c r="G27">
        <f ca="1">IF(AND(ISNUMBER($G$536),$B$511=1),$G$536,HLOOKUP(INDIRECT(ADDRESS(2,COLUMN())),OFFSET($BN$2,0,0,ROW()-1,60),ROW()-1,FALSE))</f>
        <v>0.68577255500000001</v>
      </c>
      <c r="H27">
        <f ca="1">IF(AND(ISNUMBER($H$536),$B$511=1),$H$536,HLOOKUP(INDIRECT(ADDRESS(2,COLUMN())),OFFSET($BN$2,0,0,ROW()-1,60),ROW()-1,FALSE))</f>
        <v>0.71373199399999998</v>
      </c>
      <c r="I27">
        <f ca="1">IF(AND(ISNUMBER($I$536),$B$511=1),$I$536,HLOOKUP(INDIRECT(ADDRESS(2,COLUMN())),OFFSET($BN$2,0,0,ROW()-1,60),ROW()-1,FALSE))</f>
        <v>0.72235718699999996</v>
      </c>
      <c r="J27">
        <f ca="1">IF(AND(ISNUMBER($J$536),$B$511=1),$J$536,HLOOKUP(INDIRECT(ADDRESS(2,COLUMN())),OFFSET($BN$2,0,0,ROW()-1,60),ROW()-1,FALSE))</f>
        <v>0.69105771100000002</v>
      </c>
      <c r="K27">
        <f ca="1">IF(AND(ISNUMBER($K$536),$B$511=1),$K$536,HLOOKUP(INDIRECT(ADDRESS(2,COLUMN())),OFFSET($BN$2,0,0,ROW()-1,60),ROW()-1,FALSE))</f>
        <v>0.658445999</v>
      </c>
      <c r="L27">
        <f ca="1">IF(AND(ISNUMBER($L$536),$B$511=1),$L$536,HLOOKUP(INDIRECT(ADDRESS(2,COLUMN())),OFFSET($BN$2,0,0,ROW()-1,60),ROW()-1,FALSE))</f>
        <v>0.573139332</v>
      </c>
      <c r="M27">
        <f ca="1">IF(AND(ISNUMBER($M$536),$B$511=1),$M$536,HLOOKUP(INDIRECT(ADDRESS(2,COLUMN())),OFFSET($BN$2,0,0,ROW()-1,60),ROW()-1,FALSE))</f>
        <v>-0.423937542</v>
      </c>
      <c r="N27">
        <f ca="1">IF(AND(ISNUMBER($N$536),$B$511=1),$N$536,HLOOKUP(INDIRECT(ADDRESS(2,COLUMN())),OFFSET($BN$2,0,0,ROW()-1,60),ROW()-1,FALSE))</f>
        <v>-1.790764391</v>
      </c>
      <c r="O27">
        <f ca="1">IF(AND(ISNUMBER($O$536),$B$511=1),$O$536,HLOOKUP(INDIRECT(ADDRESS(2,COLUMN())),OFFSET($BN$2,0,0,ROW()-1,60),ROW()-1,FALSE))</f>
        <v>-1.8967199669999999</v>
      </c>
      <c r="P27">
        <f ca="1">IF(AND(ISNUMBER($P$536),$B$511=1),$P$536,HLOOKUP(INDIRECT(ADDRESS(2,COLUMN())),OFFSET($BN$2,0,0,ROW()-1,60),ROW()-1,FALSE))</f>
        <v>-1.569118564</v>
      </c>
      <c r="Q27">
        <f ca="1">IF(AND(ISNUMBER($Q$536),$B$511=1),$Q$536,HLOOKUP(INDIRECT(ADDRESS(2,COLUMN())),OFFSET($BN$2,0,0,ROW()-1,60),ROW()-1,FALSE))</f>
        <v>-0.45718233699999999</v>
      </c>
      <c r="R27">
        <f ca="1">IF(AND(ISNUMBER($R$536),$B$511=1),$R$536,HLOOKUP(INDIRECT(ADDRESS(2,COLUMN())),OFFSET($BN$2,0,0,ROW()-1,60),ROW()-1,FALSE))</f>
        <v>0.80964166500000001</v>
      </c>
      <c r="S27">
        <f ca="1">IF(AND(ISNUMBER($S$536),$B$511=1),$S$536,HLOOKUP(INDIRECT(ADDRESS(2,COLUMN())),OFFSET($BN$2,0,0,ROW()-1,60),ROW()-1,FALSE))</f>
        <v>0.97148565200000003</v>
      </c>
      <c r="T27">
        <f ca="1">IF(AND(ISNUMBER($T$536),$B$511=1),$T$536,HLOOKUP(INDIRECT(ADDRESS(2,COLUMN())),OFFSET($BN$2,0,0,ROW()-1,60),ROW()-1,FALSE))</f>
        <v>1.0118288090000001</v>
      </c>
      <c r="U27">
        <f ca="1">IF(AND(ISNUMBER($U$536),$B$511=1),$U$536,HLOOKUP(INDIRECT(ADDRESS(2,COLUMN())),OFFSET($BN$2,0,0,ROW()-1,60),ROW()-1,FALSE))</f>
        <v>1.098292831</v>
      </c>
      <c r="V27">
        <f ca="1">IF(AND(ISNUMBER($V$536),$B$511=1),$V$536,HLOOKUP(INDIRECT(ADDRESS(2,COLUMN())),OFFSET($BN$2,0,0,ROW()-1,60),ROW()-1,FALSE))</f>
        <v>1.2423877569999999</v>
      </c>
      <c r="W27">
        <f ca="1">IF(AND(ISNUMBER($W$536),$B$511=1),$W$536,HLOOKUP(INDIRECT(ADDRESS(2,COLUMN())),OFFSET($BN$2,0,0,ROW()-1,60),ROW()-1,FALSE))</f>
        <v>1.1248032939999999</v>
      </c>
      <c r="X27">
        <f ca="1">IF(AND(ISNUMBER($X$536),$B$511=1),$X$536,HLOOKUP(INDIRECT(ADDRESS(2,COLUMN())),OFFSET($BN$2,0,0,ROW()-1,60),ROW()-1,FALSE))</f>
        <v>1.2189296110000001</v>
      </c>
      <c r="Y27">
        <f ca="1">IF(AND(ISNUMBER($Y$536),$B$511=1),$Y$536,HLOOKUP(INDIRECT(ADDRESS(2,COLUMN())),OFFSET($BN$2,0,0,ROW()-1,60),ROW()-1,FALSE))</f>
        <v>1.2109314200000001</v>
      </c>
      <c r="Z27">
        <f ca="1">IF(AND(ISNUMBER($Z$536),$B$511=1),$Z$536,HLOOKUP(INDIRECT(ADDRESS(2,COLUMN())),OFFSET($BN$2,0,0,ROW()-1,60),ROW()-1,FALSE))</f>
        <v>1.103700938</v>
      </c>
      <c r="AA27">
        <f ca="1">IF(AND(ISNUMBER($AA$536),$B$511=1),$AA$536,HLOOKUP(INDIRECT(ADDRESS(2,COLUMN())),OFFSET($BN$2,0,0,ROW()-1,60),ROW()-1,FALSE))</f>
        <v>1.238347911</v>
      </c>
      <c r="AB27">
        <f ca="1">IF(AND(ISNUMBER($AB$536),$B$511=1),$AB$536,HLOOKUP(INDIRECT(ADDRESS(2,COLUMN())),OFFSET($BN$2,0,0,ROW()-1,60),ROW()-1,FALSE))</f>
        <v>0.74462955099999995</v>
      </c>
      <c r="AC27">
        <f ca="1">IF(AND(ISNUMBER($AC$536),$B$511=1),$AC$536,HLOOKUP(INDIRECT(ADDRESS(2,COLUMN())),OFFSET($BN$2,0,0,ROW()-1,60),ROW()-1,FALSE))</f>
        <v>0.541617193</v>
      </c>
      <c r="AD27">
        <f ca="1">IF(AND(ISNUMBER($AD$536),$B$511=1),$AD$536,HLOOKUP(INDIRECT(ADDRESS(2,COLUMN())),OFFSET($BN$2,0,0,ROW()-1,60),ROW()-1,FALSE))</f>
        <v>0.51698550200000004</v>
      </c>
      <c r="AE27">
        <f ca="1">IF(AND(ISNUMBER($AE$536),$B$511=1),$AE$536,HLOOKUP(INDIRECT(ADDRESS(2,COLUMN())),OFFSET($BN$2,0,0,ROW()-1,60),ROW()-1,FALSE))</f>
        <v>0.469951334</v>
      </c>
      <c r="AF27">
        <f ca="1">IF(AND(ISNUMBER($AF$536),$B$511=1),$AF$536,HLOOKUP(INDIRECT(ADDRESS(2,COLUMN())),OFFSET($BN$2,0,0,ROW()-1,60),ROW()-1,FALSE))</f>
        <v>0.61260718700000005</v>
      </c>
      <c r="AG27">
        <f ca="1">IF(AND(ISNUMBER($AG$536),$B$511=1),$AG$536,HLOOKUP(INDIRECT(ADDRESS(2,COLUMN())),OFFSET($BN$2,0,0,ROW()-1,60),ROW()-1,FALSE))</f>
        <v>0.56574981999999996</v>
      </c>
      <c r="AH27">
        <f ca="1">IF(AND(ISNUMBER($AH$536),$B$511=1),$AH$536,HLOOKUP(INDIRECT(ADDRESS(2,COLUMN())),OFFSET($BN$2,0,0,ROW()-1,60),ROW()-1,FALSE))</f>
        <v>0.46246583600000002</v>
      </c>
      <c r="AI27">
        <f ca="1">IF(AND(ISNUMBER($AI$536),$B$511=1),$AI$536,HLOOKUP(INDIRECT(ADDRESS(2,COLUMN())),OFFSET($BN$2,0,0,ROW()-1,60),ROW()-1,FALSE))</f>
        <v>0.31403850999999999</v>
      </c>
      <c r="AJ27">
        <f ca="1">IF(AND(ISNUMBER($AJ$536),$B$511=1),$AJ$536,HLOOKUP(INDIRECT(ADDRESS(2,COLUMN())),OFFSET($BN$2,0,0,ROW()-1,60),ROW()-1,FALSE))</f>
        <v>0.32415745299999998</v>
      </c>
      <c r="AK27">
        <f ca="1">IF(AND(ISNUMBER($AK$536),$B$511=1),$AK$536,HLOOKUP(INDIRECT(ADDRESS(2,COLUMN())),OFFSET($BN$2,0,0,ROW()-1,60),ROW()-1,FALSE))</f>
        <v>0.33711464499999999</v>
      </c>
      <c r="AL27">
        <f ca="1">IF(AND(ISNUMBER($AL$536),$B$511=1),$AL$536,HLOOKUP(INDIRECT(ADDRESS(2,COLUMN())),OFFSET($BN$2,0,0,ROW()-1,60),ROW()-1,FALSE))</f>
        <v>7.0713032999999995E-2</v>
      </c>
      <c r="AM27">
        <f ca="1">IF(AND(ISNUMBER($AM$536),$B$511=1),$AM$536,HLOOKUP(INDIRECT(ADDRESS(2,COLUMN())),OFFSET($BN$2,0,0,ROW()-1,60),ROW()-1,FALSE))</f>
        <v>0.120182684</v>
      </c>
      <c r="AN27">
        <f ca="1">IF(AND(ISNUMBER($AN$536),$B$511=1),$AN$536,HLOOKUP(INDIRECT(ADDRESS(2,COLUMN())),OFFSET($BN$2,0,0,ROW()-1,60),ROW()-1,FALSE))</f>
        <v>0.18601457199999999</v>
      </c>
      <c r="AO27">
        <f ca="1">IF(AND(ISNUMBER($AO$536),$B$511=1),$AO$536,HLOOKUP(INDIRECT(ADDRESS(2,COLUMN())),OFFSET($BN$2,0,0,ROW()-1,60),ROW()-1,FALSE))</f>
        <v>-9.1947427999999998E-2</v>
      </c>
      <c r="AP27">
        <f ca="1">IF(AND(ISNUMBER($AP$536),$B$511=1),$AP$536,HLOOKUP(INDIRECT(ADDRESS(2,COLUMN())),OFFSET($BN$2,0,0,ROW()-1,60),ROW()-1,FALSE))</f>
        <v>-0.41902193900000001</v>
      </c>
      <c r="AQ27">
        <f ca="1">IF(AND(ISNUMBER($AQ$536),$B$511=1),$AQ$536,HLOOKUP(INDIRECT(ADDRESS(2,COLUMN())),OFFSET($BN$2,0,0,ROW()-1,60),ROW()-1,FALSE))</f>
        <v>-1.136706411</v>
      </c>
      <c r="AR27">
        <f ca="1">IF(AND(ISNUMBER($AR$536),$B$511=1),$AR$536,HLOOKUP(INDIRECT(ADDRESS(2,COLUMN())),OFFSET($BN$2,0,0,ROW()-1,60),ROW()-1,FALSE))</f>
        <v>-1.52811264</v>
      </c>
      <c r="AS27">
        <f ca="1">IF(AND(ISNUMBER($AS$536),$B$511=1),$AS$536,HLOOKUP(INDIRECT(ADDRESS(2,COLUMN())),OFFSET($BN$2,0,0,ROW()-1,60),ROW()-1,FALSE))</f>
        <v>-1.2831407189999999</v>
      </c>
      <c r="AT27">
        <f ca="1">IF(AND(ISNUMBER($AT$536),$B$511=1),$AT$536,HLOOKUP(INDIRECT(ADDRESS(2,COLUMN())),OFFSET($BN$2,0,0,ROW()-1,60),ROW()-1,FALSE))</f>
        <v>-0.655956557</v>
      </c>
      <c r="AU27" t="str">
        <f ca="1">IF(AND(ISNUMBER($AU$536),$B$511=1),$AU$536,HLOOKUP(INDIRECT(ADDRESS(2,COLUMN())),OFFSET($BN$2,0,0,ROW()-1,60),ROW()-1,FALSE))</f>
        <v/>
      </c>
      <c r="AV27" t="str">
        <f ca="1">IF(AND(ISNUMBER($AV$536),$B$511=1),$AV$536,HLOOKUP(INDIRECT(ADDRESS(2,COLUMN())),OFFSET($BN$2,0,0,ROW()-1,60),ROW()-1,FALSE))</f>
        <v/>
      </c>
      <c r="AW27" t="str">
        <f ca="1">IF(AND(ISNUMBER($AW$536),$B$511=1),$AW$536,HLOOKUP(INDIRECT(ADDRESS(2,COLUMN())),OFFSET($BN$2,0,0,ROW()-1,60),ROW()-1,FALSE))</f>
        <v/>
      </c>
      <c r="AX27" t="str">
        <f ca="1">IF(AND(ISNUMBER($AX$536),$B$511=1),$AX$536,HLOOKUP(INDIRECT(ADDRESS(2,COLUMN())),OFFSET($BN$2,0,0,ROW()-1,60),ROW()-1,FALSE))</f>
        <v/>
      </c>
      <c r="AY27" t="str">
        <f ca="1">IF(AND(ISNUMBER($AY$536),$B$511=1),$AY$536,HLOOKUP(INDIRECT(ADDRESS(2,COLUMN())),OFFSET($BN$2,0,0,ROW()-1,60),ROW()-1,FALSE))</f>
        <v/>
      </c>
      <c r="AZ27" t="str">
        <f ca="1">IF(AND(ISNUMBER($AZ$536),$B$511=1),$AZ$536,HLOOKUP(INDIRECT(ADDRESS(2,COLUMN())),OFFSET($BN$2,0,0,ROW()-1,60),ROW()-1,FALSE))</f>
        <v/>
      </c>
      <c r="BA27" t="str">
        <f ca="1">IF(AND(ISNUMBER($BA$536),$B$511=1),$BA$536,HLOOKUP(INDIRECT(ADDRESS(2,COLUMN())),OFFSET($BN$2,0,0,ROW()-1,60),ROW()-1,FALSE))</f>
        <v/>
      </c>
      <c r="BB27" t="str">
        <f ca="1">IF(AND(ISNUMBER($BB$536),$B$511=1),$BB$536,HLOOKUP(INDIRECT(ADDRESS(2,COLUMN())),OFFSET($BN$2,0,0,ROW()-1,60),ROW()-1,FALSE))</f>
        <v/>
      </c>
      <c r="BC27" t="str">
        <f ca="1">IF(AND(ISNUMBER($BC$536),$B$511=1),$BC$536,HLOOKUP(INDIRECT(ADDRESS(2,COLUMN())),OFFSET($BN$2,0,0,ROW()-1,60),ROW()-1,FALSE))</f>
        <v/>
      </c>
      <c r="BD27" t="str">
        <f ca="1">IF(AND(ISNUMBER($BD$536),$B$511=1),$BD$536,HLOOKUP(INDIRECT(ADDRESS(2,COLUMN())),OFFSET($BN$2,0,0,ROW()-1,60),ROW()-1,FALSE))</f>
        <v/>
      </c>
      <c r="BE27" t="str">
        <f ca="1">IF(AND(ISNUMBER($BE$536),$B$511=1),$BE$536,HLOOKUP(INDIRECT(ADDRESS(2,COLUMN())),OFFSET($BN$2,0,0,ROW()-1,60),ROW()-1,FALSE))</f>
        <v/>
      </c>
      <c r="BF27" t="str">
        <f ca="1">IF(AND(ISNUMBER($BF$536),$B$511=1),$BF$536,HLOOKUP(INDIRECT(ADDRESS(2,COLUMN())),OFFSET($BN$2,0,0,ROW()-1,60),ROW()-1,FALSE))</f>
        <v/>
      </c>
      <c r="BG27" t="str">
        <f ca="1">IF(AND(ISNUMBER($BG$536),$B$511=1),$BG$536,HLOOKUP(INDIRECT(ADDRESS(2,COLUMN())),OFFSET($BN$2,0,0,ROW()-1,60),ROW()-1,FALSE))</f>
        <v/>
      </c>
      <c r="BH27" t="str">
        <f ca="1">IF(AND(ISNUMBER($BH$536),$B$511=1),$BH$536,HLOOKUP(INDIRECT(ADDRESS(2,COLUMN())),OFFSET($BN$2,0,0,ROW()-1,60),ROW()-1,FALSE))</f>
        <v/>
      </c>
      <c r="BI27" t="str">
        <f ca="1">IF(AND(ISNUMBER($BI$536),$B$511=1),$BI$536,HLOOKUP(INDIRECT(ADDRESS(2,COLUMN())),OFFSET($BN$2,0,0,ROW()-1,60),ROW()-1,FALSE))</f>
        <v/>
      </c>
      <c r="BJ27" t="str">
        <f ca="1">IF(AND(ISNUMBER($BJ$536),$B$511=1),$BJ$536,HLOOKUP(INDIRECT(ADDRESS(2,COLUMN())),OFFSET($BN$2,0,0,ROW()-1,60),ROW()-1,FALSE))</f>
        <v/>
      </c>
      <c r="BK27" t="str">
        <f ca="1">IF(AND(ISNUMBER($BK$536),$B$511=1),$BK$536,HLOOKUP(INDIRECT(ADDRESS(2,COLUMN())),OFFSET($BN$2,0,0,ROW()-1,60),ROW()-1,FALSE))</f>
        <v/>
      </c>
      <c r="BL27" t="str">
        <f ca="1">IF(AND(ISNUMBER($BL$536),$B$511=1),$BL$536,HLOOKUP(INDIRECT(ADDRESS(2,COLUMN())),OFFSET($BN$2,0,0,ROW()-1,60),ROW()-1,FALSE))</f>
        <v/>
      </c>
      <c r="BM27" t="str">
        <f ca="1">IF(AND(ISNUMBER($BM$536),$B$511=1),$BM$536,HLOOKUP(INDIRECT(ADDRESS(2,COLUMN())),OFFSET($BN$2,0,0,ROW()-1,60),ROW()-1,FALSE))</f>
        <v/>
      </c>
      <c r="BN27" t="str">
        <f>""</f>
        <v/>
      </c>
      <c r="BO27">
        <f>0.685772555</f>
        <v>0.68577255500000001</v>
      </c>
      <c r="BP27">
        <f>0.713731994</f>
        <v>0.71373199399999998</v>
      </c>
      <c r="BQ27">
        <f>0.722357187</f>
        <v>0.72235718699999996</v>
      </c>
      <c r="BR27">
        <f>0.691057711</f>
        <v>0.69105771100000002</v>
      </c>
      <c r="BS27">
        <f>0.658445999</f>
        <v>0.658445999</v>
      </c>
      <c r="BT27">
        <f>0.573139332</f>
        <v>0.573139332</v>
      </c>
      <c r="BU27">
        <f>-0.423937542</f>
        <v>-0.423937542</v>
      </c>
      <c r="BV27">
        <f>-1.790764391</f>
        <v>-1.790764391</v>
      </c>
      <c r="BW27">
        <f>-1.896719967</f>
        <v>-1.8967199669999999</v>
      </c>
      <c r="BX27">
        <f>-1.569118564</f>
        <v>-1.569118564</v>
      </c>
      <c r="BY27">
        <f>-0.457182337</f>
        <v>-0.45718233699999999</v>
      </c>
      <c r="BZ27">
        <f>0.809641665</f>
        <v>0.80964166500000001</v>
      </c>
      <c r="CA27">
        <f>0.971485652</f>
        <v>0.97148565200000003</v>
      </c>
      <c r="CB27">
        <f>1.011828809</f>
        <v>1.0118288090000001</v>
      </c>
      <c r="CC27">
        <f>1.098292831</f>
        <v>1.098292831</v>
      </c>
      <c r="CD27">
        <f>1.242387757</f>
        <v>1.2423877569999999</v>
      </c>
      <c r="CE27">
        <f>1.124803294</f>
        <v>1.1248032939999999</v>
      </c>
      <c r="CF27">
        <f>1.218929611</f>
        <v>1.2189296110000001</v>
      </c>
      <c r="CG27">
        <f>1.21093142</f>
        <v>1.2109314200000001</v>
      </c>
      <c r="CH27">
        <f>1.103700938</f>
        <v>1.103700938</v>
      </c>
      <c r="CI27">
        <f>1.238347911</f>
        <v>1.238347911</v>
      </c>
      <c r="CJ27">
        <f>0.744629551</f>
        <v>0.74462955099999995</v>
      </c>
      <c r="CK27">
        <f>0.541617193</f>
        <v>0.541617193</v>
      </c>
      <c r="CL27">
        <f>0.516985502</f>
        <v>0.51698550200000004</v>
      </c>
      <c r="CM27">
        <f>0.469951334</f>
        <v>0.469951334</v>
      </c>
      <c r="CN27">
        <f>0.612607187</f>
        <v>0.61260718700000005</v>
      </c>
      <c r="CO27">
        <f>0.56574982</f>
        <v>0.56574981999999996</v>
      </c>
      <c r="CP27">
        <f>0.462465836</f>
        <v>0.46246583600000002</v>
      </c>
      <c r="CQ27">
        <f>0.31403851</f>
        <v>0.31403850999999999</v>
      </c>
      <c r="CR27">
        <f>0.324157453</f>
        <v>0.32415745299999998</v>
      </c>
      <c r="CS27">
        <f>0.337114645</f>
        <v>0.33711464499999999</v>
      </c>
      <c r="CT27">
        <f>0.070713033</f>
        <v>7.0713032999999995E-2</v>
      </c>
      <c r="CU27">
        <f>0.120182684</f>
        <v>0.120182684</v>
      </c>
      <c r="CV27">
        <f>0.186014572</f>
        <v>0.18601457199999999</v>
      </c>
      <c r="CW27">
        <f>-0.091947428</f>
        <v>-9.1947427999999998E-2</v>
      </c>
      <c r="CX27">
        <f>-0.419021939</f>
        <v>-0.41902193900000001</v>
      </c>
      <c r="CY27">
        <f>-1.136706411</f>
        <v>-1.136706411</v>
      </c>
      <c r="CZ27">
        <f>-1.52811264</f>
        <v>-1.52811264</v>
      </c>
      <c r="DA27">
        <f>-1.283140719</f>
        <v>-1.2831407189999999</v>
      </c>
      <c r="DB27">
        <f>-0.655956557</f>
        <v>-0.655956557</v>
      </c>
      <c r="DC27" t="str">
        <f>""</f>
        <v/>
      </c>
      <c r="DD27" t="str">
        <f>""</f>
        <v/>
      </c>
      <c r="DE27" t="str">
        <f>""</f>
        <v/>
      </c>
      <c r="DF27" t="str">
        <f>""</f>
        <v/>
      </c>
      <c r="DG27" t="str">
        <f>""</f>
        <v/>
      </c>
      <c r="DH27" t="str">
        <f>""</f>
        <v/>
      </c>
      <c r="DI27" t="str">
        <f>""</f>
        <v/>
      </c>
      <c r="DJ27" t="str">
        <f>""</f>
        <v/>
      </c>
      <c r="DK27" t="str">
        <f>""</f>
        <v/>
      </c>
      <c r="DL27" t="str">
        <f>""</f>
        <v/>
      </c>
      <c r="DM27" t="str">
        <f>""</f>
        <v/>
      </c>
      <c r="DN27" t="str">
        <f>""</f>
        <v/>
      </c>
      <c r="DO27" t="str">
        <f>""</f>
        <v/>
      </c>
      <c r="DP27" t="str">
        <f>""</f>
        <v/>
      </c>
      <c r="DQ27" t="str">
        <f>""</f>
        <v/>
      </c>
      <c r="DR27" t="str">
        <f>""</f>
        <v/>
      </c>
      <c r="DS27" t="str">
        <f>""</f>
        <v/>
      </c>
      <c r="DT27" t="str">
        <f>""</f>
        <v/>
      </c>
      <c r="DU27" t="str">
        <f>""</f>
        <v/>
      </c>
    </row>
    <row r="28" spans="1:125" x14ac:dyDescent="0.25">
      <c r="A28" t="str">
        <f>"    Nissan Motor Co Ltd"</f>
        <v xml:space="preserve">    Nissan Motor Co Ltd</v>
      </c>
      <c r="B28" t="str">
        <f>"7201 JP Equity"</f>
        <v>7201 JP Equity</v>
      </c>
      <c r="C28" t="str">
        <f t="shared" si="0"/>
        <v>RR844</v>
      </c>
      <c r="D28" t="str">
        <f t="shared" si="1"/>
        <v>T12M_DIL_EPS_CONT_OPS</v>
      </c>
      <c r="E28" t="str">
        <f t="shared" si="2"/>
        <v>Dynamic</v>
      </c>
      <c r="F28" t="str">
        <f ca="1">IF(AND(ISNUMBER($F$537),$B$511=1),$F$537,HLOOKUP(INDIRECT(ADDRESS(2,COLUMN())),OFFSET($BN$2,0,0,ROW()-1,60),ROW()-1,FALSE))</f>
        <v/>
      </c>
      <c r="G28">
        <f ca="1">IF(AND(ISNUMBER($G$537),$B$511=1),$G$537,HLOOKUP(INDIRECT(ADDRESS(2,COLUMN())),OFFSET($BN$2,0,0,ROW()-1,60),ROW()-1,FALSE))</f>
        <v>1.1717731739999999</v>
      </c>
      <c r="H28">
        <f ca="1">IF(AND(ISNUMBER($H$537),$B$511=1),$H$537,HLOOKUP(INDIRECT(ADDRESS(2,COLUMN())),OFFSET($BN$2,0,0,ROW()-1,60),ROW()-1,FALSE))</f>
        <v>1.7107083240000001</v>
      </c>
      <c r="I28">
        <f ca="1">IF(AND(ISNUMBER($I$537),$B$511=1),$I$537,HLOOKUP(INDIRECT(ADDRESS(2,COLUMN())),OFFSET($BN$2,0,0,ROW()-1,60),ROW()-1,FALSE))</f>
        <v>1.7379154409999999</v>
      </c>
      <c r="J28">
        <f ca="1">IF(AND(ISNUMBER($J$537),$B$511=1),$J$537,HLOOKUP(INDIRECT(ADDRESS(2,COLUMN())),OFFSET($BN$2,0,0,ROW()-1,60),ROW()-1,FALSE))</f>
        <v>1.7785139940000001</v>
      </c>
      <c r="K28">
        <f ca="1">IF(AND(ISNUMBER($K$537),$B$511=1),$K$537,HLOOKUP(INDIRECT(ADDRESS(2,COLUMN())),OFFSET($BN$2,0,0,ROW()-1,60),ROW()-1,FALSE))</f>
        <v>1.735271451</v>
      </c>
      <c r="L28">
        <f ca="1">IF(AND(ISNUMBER($L$537),$B$511=1),$L$537,HLOOKUP(INDIRECT(ADDRESS(2,COLUMN())),OFFSET($BN$2,0,0,ROW()-1,60),ROW()-1,FALSE))</f>
        <v>1.352084719</v>
      </c>
      <c r="M28">
        <f ca="1">IF(AND(ISNUMBER($M$537),$B$511=1),$M$537,HLOOKUP(INDIRECT(ADDRESS(2,COLUMN())),OFFSET($BN$2,0,0,ROW()-1,60),ROW()-1,FALSE))</f>
        <v>1.3717423609999999</v>
      </c>
      <c r="N28">
        <f ca="1">IF(AND(ISNUMBER($N$537),$B$511=1),$N$537,HLOOKUP(INDIRECT(ADDRESS(2,COLUMN())),OFFSET($BN$2,0,0,ROW()-1,60),ROW()-1,FALSE))</f>
        <v>1.3681311169999999</v>
      </c>
      <c r="O28">
        <f ca="1">IF(AND(ISNUMBER($O$537),$B$511=1),$O$537,HLOOKUP(INDIRECT(ADDRESS(2,COLUMN())),OFFSET($BN$2,0,0,ROW()-1,60),ROW()-1,FALSE))</f>
        <v>1.107783894</v>
      </c>
      <c r="P28">
        <f ca="1">IF(AND(ISNUMBER($P$537),$B$511=1),$P$537,HLOOKUP(INDIRECT(ADDRESS(2,COLUMN())),OFFSET($BN$2,0,0,ROW()-1,60),ROW()-1,FALSE))</f>
        <v>1.055521435</v>
      </c>
      <c r="Q28">
        <f ca="1">IF(AND(ISNUMBER($Q$537),$B$511=1),$Q$537,HLOOKUP(INDIRECT(ADDRESS(2,COLUMN())),OFFSET($BN$2,0,0,ROW()-1,60),ROW()-1,FALSE))</f>
        <v>1.0734211709999999</v>
      </c>
      <c r="R28">
        <f ca="1">IF(AND(ISNUMBER($R$537),$B$511=1),$R$537,HLOOKUP(INDIRECT(ADDRESS(2,COLUMN())),OFFSET($BN$2,0,0,ROW()-1,60),ROW()-1,FALSE))</f>
        <v>1.0702487439999999</v>
      </c>
      <c r="S28">
        <f ca="1">IF(AND(ISNUMBER($S$537),$B$511=1),$S$537,HLOOKUP(INDIRECT(ADDRESS(2,COLUMN())),OFFSET($BN$2,0,0,ROW()-1,60),ROW()-1,FALSE))</f>
        <v>1.1677622139999999</v>
      </c>
      <c r="T28">
        <f ca="1">IF(AND(ISNUMBER($T$537),$B$511=1),$T$537,HLOOKUP(INDIRECT(ADDRESS(2,COLUMN())),OFFSET($BN$2,0,0,ROW()-1,60),ROW()-1,FALSE))</f>
        <v>1.1353573729999999</v>
      </c>
      <c r="U28">
        <f ca="1">IF(AND(ISNUMBER($U$537),$B$511=1),$U$537,HLOOKUP(INDIRECT(ADDRESS(2,COLUMN())),OFFSET($BN$2,0,0,ROW()-1,60),ROW()-1,FALSE))</f>
        <v>1.0751048439999999</v>
      </c>
      <c r="V28">
        <f ca="1">IF(AND(ISNUMBER($V$537),$B$511=1),$V$537,HLOOKUP(INDIRECT(ADDRESS(2,COLUMN())),OFFSET($BN$2,0,0,ROW()-1,60),ROW()-1,FALSE))</f>
        <v>1.031809172</v>
      </c>
      <c r="W28">
        <f ca="1">IF(AND(ISNUMBER($W$537),$B$511=1),$W$537,HLOOKUP(INDIRECT(ADDRESS(2,COLUMN())),OFFSET($BN$2,0,0,ROW()-1,60),ROW()-1,FALSE))</f>
        <v>1.0391703290000001</v>
      </c>
      <c r="X28">
        <f ca="1">IF(AND(ISNUMBER($X$537),$B$511=1),$X$537,HLOOKUP(INDIRECT(ADDRESS(2,COLUMN())),OFFSET($BN$2,0,0,ROW()-1,60),ROW()-1,FALSE))</f>
        <v>1.0308220779999999</v>
      </c>
      <c r="Y28">
        <f ca="1">IF(AND(ISNUMBER($Y$537),$B$511=1),$Y$537,HLOOKUP(INDIRECT(ADDRESS(2,COLUMN())),OFFSET($BN$2,0,0,ROW()-1,60),ROW()-1,FALSE))</f>
        <v>1.0036143259999999</v>
      </c>
      <c r="Z28">
        <f ca="1">IF(AND(ISNUMBER($Z$537),$B$511=1),$Z$537,HLOOKUP(INDIRECT(ADDRESS(2,COLUMN())),OFFSET($BN$2,0,0,ROW()-1,60),ROW()-1,FALSE))</f>
        <v>0.94030938399999997</v>
      </c>
      <c r="AA28">
        <f ca="1">IF(AND(ISNUMBER($AA$537),$B$511=1),$AA$537,HLOOKUP(INDIRECT(ADDRESS(2,COLUMN())),OFFSET($BN$2,0,0,ROW()-1,60),ROW()-1,FALSE))</f>
        <v>0.95758137799999998</v>
      </c>
      <c r="AB28">
        <f ca="1">IF(AND(ISNUMBER($AB$537),$B$511=1),$AB$537,HLOOKUP(INDIRECT(ADDRESS(2,COLUMN())),OFFSET($BN$2,0,0,ROW()-1,60),ROW()-1,FALSE))</f>
        <v>0.93991687199999996</v>
      </c>
      <c r="AC28">
        <f ca="1">IF(AND(ISNUMBER($AC$537),$B$511=1),$AC$537,HLOOKUP(INDIRECT(ADDRESS(2,COLUMN())),OFFSET($BN$2,0,0,ROW()-1,60),ROW()-1,FALSE))</f>
        <v>0.99120522</v>
      </c>
      <c r="AD28">
        <f ca="1">IF(AND(ISNUMBER($AD$537),$B$511=1),$AD$537,HLOOKUP(INDIRECT(ADDRESS(2,COLUMN())),OFFSET($BN$2,0,0,ROW()-1,60),ROW()-1,FALSE))</f>
        <v>1.01406497</v>
      </c>
      <c r="AE28">
        <f ca="1">IF(AND(ISNUMBER($AE$537),$B$511=1),$AE$537,HLOOKUP(INDIRECT(ADDRESS(2,COLUMN())),OFFSET($BN$2,0,0,ROW()-1,60),ROW()-1,FALSE))</f>
        <v>0.89399710200000004</v>
      </c>
      <c r="AF28">
        <f ca="1">IF(AND(ISNUMBER($AF$537),$B$511=1),$AF$537,HLOOKUP(INDIRECT(ADDRESS(2,COLUMN())),OFFSET($BN$2,0,0,ROW()-1,60),ROW()-1,FALSE))</f>
        <v>0.99816300800000002</v>
      </c>
      <c r="AG28">
        <f ca="1">IF(AND(ISNUMBER($AG$537),$B$511=1),$AG$537,HLOOKUP(INDIRECT(ADDRESS(2,COLUMN())),OFFSET($BN$2,0,0,ROW()-1,60),ROW()-1,FALSE))</f>
        <v>0.97557137500000002</v>
      </c>
      <c r="AH28">
        <f ca="1">IF(AND(ISNUMBER($AH$537),$B$511=1),$AH$537,HLOOKUP(INDIRECT(ADDRESS(2,COLUMN())),OFFSET($BN$2,0,0,ROW()-1,60),ROW()-1,FALSE))</f>
        <v>1.0391027900000001</v>
      </c>
      <c r="AI28">
        <f ca="1">IF(AND(ISNUMBER($AI$537),$B$511=1),$AI$537,HLOOKUP(INDIRECT(ADDRESS(2,COLUMN())),OFFSET($BN$2,0,0,ROW()-1,60),ROW()-1,FALSE))</f>
        <v>1.042627974</v>
      </c>
      <c r="AJ28">
        <f ca="1">IF(AND(ISNUMBER($AJ$537),$B$511=1),$AJ$537,HLOOKUP(INDIRECT(ADDRESS(2,COLUMN())),OFFSET($BN$2,0,0,ROW()-1,60),ROW()-1,FALSE))</f>
        <v>1.0100939870000001</v>
      </c>
      <c r="AK28">
        <f ca="1">IF(AND(ISNUMBER($AK$537),$B$511=1),$AK$537,HLOOKUP(INDIRECT(ADDRESS(2,COLUMN())),OFFSET($BN$2,0,0,ROW()-1,60),ROW()-1,FALSE))</f>
        <v>0.98980256700000002</v>
      </c>
      <c r="AL28">
        <f ca="1">IF(AND(ISNUMBER($AL$537),$B$511=1),$AL$537,HLOOKUP(INDIRECT(ADDRESS(2,COLUMN())),OFFSET($BN$2,0,0,ROW()-1,60),ROW()-1,FALSE))</f>
        <v>0.99312290000000003</v>
      </c>
      <c r="AM28">
        <f ca="1">IF(AND(ISNUMBER($AM$537),$B$511=1),$AM$537,HLOOKUP(INDIRECT(ADDRESS(2,COLUMN())),OFFSET($BN$2,0,0,ROW()-1,60),ROW()-1,FALSE))</f>
        <v>0.83466747399999996</v>
      </c>
      <c r="AN28">
        <f ca="1">IF(AND(ISNUMBER($AN$537),$B$511=1),$AN$537,HLOOKUP(INDIRECT(ADDRESS(2,COLUMN())),OFFSET($BN$2,0,0,ROW()-1,60),ROW()-1,FALSE))</f>
        <v>0.73770907600000002</v>
      </c>
      <c r="AO28">
        <f ca="1">IF(AND(ISNUMBER($AO$537),$B$511=1),$AO$537,HLOOKUP(INDIRECT(ADDRESS(2,COLUMN())),OFFSET($BN$2,0,0,ROW()-1,60),ROW()-1,FALSE))</f>
        <v>0.53175566799999996</v>
      </c>
      <c r="AP28">
        <f ca="1">IF(AND(ISNUMBER($AP$537),$B$511=1),$AP$537,HLOOKUP(INDIRECT(ADDRESS(2,COLUMN())),OFFSET($BN$2,0,0,ROW()-1,60),ROW()-1,FALSE))</f>
        <v>0.208162721</v>
      </c>
      <c r="AQ28">
        <f ca="1">IF(AND(ISNUMBER($AQ$537),$B$511=1),$AQ$537,HLOOKUP(INDIRECT(ADDRESS(2,COLUMN())),OFFSET($BN$2,0,0,ROW()-1,60),ROW()-1,FALSE))</f>
        <v>-0.56478568399999995</v>
      </c>
      <c r="AR28">
        <f ca="1">IF(AND(ISNUMBER($AR$537),$B$511=1),$AR$537,HLOOKUP(INDIRECT(ADDRESS(2,COLUMN())),OFFSET($BN$2,0,0,ROW()-1,60),ROW()-1,FALSE))</f>
        <v>-0.90508060499999998</v>
      </c>
      <c r="AS28">
        <f ca="1">IF(AND(ISNUMBER($AS$537),$B$511=1),$AS$537,HLOOKUP(INDIRECT(ADDRESS(2,COLUMN())),OFFSET($BN$2,0,0,ROW()-1,60),ROW()-1,FALSE))</f>
        <v>-0.75648443899999995</v>
      </c>
      <c r="AT28">
        <f ca="1">IF(AND(ISNUMBER($AT$537),$B$511=1),$AT$537,HLOOKUP(INDIRECT(ADDRESS(2,COLUMN())),OFFSET($BN$2,0,0,ROW()-1,60),ROW()-1,FALSE))</f>
        <v>-0.56467441699999998</v>
      </c>
      <c r="AU28">
        <f ca="1">IF(AND(ISNUMBER($AU$537),$B$511=1),$AU$537,HLOOKUP(INDIRECT(ADDRESS(2,COLUMN())),OFFSET($BN$2,0,0,ROW()-1,60),ROW()-1,FALSE))</f>
        <v>0.44210174099999999</v>
      </c>
      <c r="AV28" t="str">
        <f ca="1">IF(AND(ISNUMBER($AV$537),$B$511=1),$AV$537,HLOOKUP(INDIRECT(ADDRESS(2,COLUMN())),OFFSET($BN$2,0,0,ROW()-1,60),ROW()-1,FALSE))</f>
        <v/>
      </c>
      <c r="AW28" t="str">
        <f ca="1">IF(AND(ISNUMBER($AW$537),$B$511=1),$AW$537,HLOOKUP(INDIRECT(ADDRESS(2,COLUMN())),OFFSET($BN$2,0,0,ROW()-1,60),ROW()-1,FALSE))</f>
        <v/>
      </c>
      <c r="AX28" t="str">
        <f ca="1">IF(AND(ISNUMBER($AX$537),$B$511=1),$AX$537,HLOOKUP(INDIRECT(ADDRESS(2,COLUMN())),OFFSET($BN$2,0,0,ROW()-1,60),ROW()-1,FALSE))</f>
        <v/>
      </c>
      <c r="AY28" t="str">
        <f ca="1">IF(AND(ISNUMBER($AY$537),$B$511=1),$AY$537,HLOOKUP(INDIRECT(ADDRESS(2,COLUMN())),OFFSET($BN$2,0,0,ROW()-1,60),ROW()-1,FALSE))</f>
        <v/>
      </c>
      <c r="AZ28" t="str">
        <f ca="1">IF(AND(ISNUMBER($AZ$537),$B$511=1),$AZ$537,HLOOKUP(INDIRECT(ADDRESS(2,COLUMN())),OFFSET($BN$2,0,0,ROW()-1,60),ROW()-1,FALSE))</f>
        <v/>
      </c>
      <c r="BA28" t="str">
        <f ca="1">IF(AND(ISNUMBER($BA$537),$B$511=1),$BA$537,HLOOKUP(INDIRECT(ADDRESS(2,COLUMN())),OFFSET($BN$2,0,0,ROW()-1,60),ROW()-1,FALSE))</f>
        <v/>
      </c>
      <c r="BB28" t="str">
        <f ca="1">IF(AND(ISNUMBER($BB$537),$B$511=1),$BB$537,HLOOKUP(INDIRECT(ADDRESS(2,COLUMN())),OFFSET($BN$2,0,0,ROW()-1,60),ROW()-1,FALSE))</f>
        <v/>
      </c>
      <c r="BC28" t="str">
        <f ca="1">IF(AND(ISNUMBER($BC$537),$B$511=1),$BC$537,HLOOKUP(INDIRECT(ADDRESS(2,COLUMN())),OFFSET($BN$2,0,0,ROW()-1,60),ROW()-1,FALSE))</f>
        <v/>
      </c>
      <c r="BD28" t="str">
        <f ca="1">IF(AND(ISNUMBER($BD$537),$B$511=1),$BD$537,HLOOKUP(INDIRECT(ADDRESS(2,COLUMN())),OFFSET($BN$2,0,0,ROW()-1,60),ROW()-1,FALSE))</f>
        <v/>
      </c>
      <c r="BE28" t="str">
        <f ca="1">IF(AND(ISNUMBER($BE$537),$B$511=1),$BE$537,HLOOKUP(INDIRECT(ADDRESS(2,COLUMN())),OFFSET($BN$2,0,0,ROW()-1,60),ROW()-1,FALSE))</f>
        <v/>
      </c>
      <c r="BF28" t="str">
        <f ca="1">IF(AND(ISNUMBER($BF$537),$B$511=1),$BF$537,HLOOKUP(INDIRECT(ADDRESS(2,COLUMN())),OFFSET($BN$2,0,0,ROW()-1,60),ROW()-1,FALSE))</f>
        <v/>
      </c>
      <c r="BG28" t="str">
        <f ca="1">IF(AND(ISNUMBER($BG$537),$B$511=1),$BG$537,HLOOKUP(INDIRECT(ADDRESS(2,COLUMN())),OFFSET($BN$2,0,0,ROW()-1,60),ROW()-1,FALSE))</f>
        <v/>
      </c>
      <c r="BH28" t="str">
        <f ca="1">IF(AND(ISNUMBER($BH$537),$B$511=1),$BH$537,HLOOKUP(INDIRECT(ADDRESS(2,COLUMN())),OFFSET($BN$2,0,0,ROW()-1,60),ROW()-1,FALSE))</f>
        <v/>
      </c>
      <c r="BI28" t="str">
        <f ca="1">IF(AND(ISNUMBER($BI$537),$B$511=1),$BI$537,HLOOKUP(INDIRECT(ADDRESS(2,COLUMN())),OFFSET($BN$2,0,0,ROW()-1,60),ROW()-1,FALSE))</f>
        <v/>
      </c>
      <c r="BJ28" t="str">
        <f ca="1">IF(AND(ISNUMBER($BJ$537),$B$511=1),$BJ$537,HLOOKUP(INDIRECT(ADDRESS(2,COLUMN())),OFFSET($BN$2,0,0,ROW()-1,60),ROW()-1,FALSE))</f>
        <v/>
      </c>
      <c r="BK28" t="str">
        <f ca="1">IF(AND(ISNUMBER($BK$537),$B$511=1),$BK$537,HLOOKUP(INDIRECT(ADDRESS(2,COLUMN())),OFFSET($BN$2,0,0,ROW()-1,60),ROW()-1,FALSE))</f>
        <v/>
      </c>
      <c r="BL28" t="str">
        <f ca="1">IF(AND(ISNUMBER($BL$537),$B$511=1),$BL$537,HLOOKUP(INDIRECT(ADDRESS(2,COLUMN())),OFFSET($BN$2,0,0,ROW()-1,60),ROW()-1,FALSE))</f>
        <v/>
      </c>
      <c r="BM28" t="str">
        <f ca="1">IF(AND(ISNUMBER($BM$537),$B$511=1),$BM$537,HLOOKUP(INDIRECT(ADDRESS(2,COLUMN())),OFFSET($BN$2,0,0,ROW()-1,60),ROW()-1,FALSE))</f>
        <v/>
      </c>
      <c r="BN28" t="str">
        <f>""</f>
        <v/>
      </c>
      <c r="BO28">
        <f>1.171773174</f>
        <v>1.1717731739999999</v>
      </c>
      <c r="BP28">
        <f>1.710708324</f>
        <v>1.7107083240000001</v>
      </c>
      <c r="BQ28">
        <f>1.737915441</f>
        <v>1.7379154409999999</v>
      </c>
      <c r="BR28">
        <f>1.778513994</f>
        <v>1.7785139940000001</v>
      </c>
      <c r="BS28">
        <f>1.735271451</f>
        <v>1.735271451</v>
      </c>
      <c r="BT28">
        <f>1.352084719</f>
        <v>1.352084719</v>
      </c>
      <c r="BU28">
        <f>1.371742361</f>
        <v>1.3717423609999999</v>
      </c>
      <c r="BV28">
        <f>1.368131117</f>
        <v>1.3681311169999999</v>
      </c>
      <c r="BW28">
        <f>1.107783894</f>
        <v>1.107783894</v>
      </c>
      <c r="BX28">
        <f>1.055521435</f>
        <v>1.055521435</v>
      </c>
      <c r="BY28">
        <f>1.073421171</f>
        <v>1.0734211709999999</v>
      </c>
      <c r="BZ28">
        <f>1.070248744</f>
        <v>1.0702487439999999</v>
      </c>
      <c r="CA28">
        <f>1.167762214</f>
        <v>1.1677622139999999</v>
      </c>
      <c r="CB28">
        <f>1.135357373</f>
        <v>1.1353573729999999</v>
      </c>
      <c r="CC28">
        <f>1.075104844</f>
        <v>1.0751048439999999</v>
      </c>
      <c r="CD28">
        <f>1.031809172</f>
        <v>1.031809172</v>
      </c>
      <c r="CE28">
        <f>1.039170329</f>
        <v>1.0391703290000001</v>
      </c>
      <c r="CF28">
        <f>1.030822078</f>
        <v>1.0308220779999999</v>
      </c>
      <c r="CG28">
        <f>1.003614326</f>
        <v>1.0036143259999999</v>
      </c>
      <c r="CH28">
        <f>0.940309384</f>
        <v>0.94030938399999997</v>
      </c>
      <c r="CI28">
        <f>0.957581378</f>
        <v>0.95758137799999998</v>
      </c>
      <c r="CJ28">
        <f>0.939916872</f>
        <v>0.93991687199999996</v>
      </c>
      <c r="CK28">
        <f>0.99120522</f>
        <v>0.99120522</v>
      </c>
      <c r="CL28">
        <f>1.01406497</f>
        <v>1.01406497</v>
      </c>
      <c r="CM28">
        <f>0.893997102</f>
        <v>0.89399710200000004</v>
      </c>
      <c r="CN28">
        <f>0.998163008</f>
        <v>0.99816300800000002</v>
      </c>
      <c r="CO28">
        <f>0.975571375</f>
        <v>0.97557137500000002</v>
      </c>
      <c r="CP28">
        <f>1.03910279</f>
        <v>1.0391027900000001</v>
      </c>
      <c r="CQ28">
        <f>1.042627974</f>
        <v>1.042627974</v>
      </c>
      <c r="CR28">
        <f>1.010093987</f>
        <v>1.0100939870000001</v>
      </c>
      <c r="CS28">
        <f>0.989802567</f>
        <v>0.98980256700000002</v>
      </c>
      <c r="CT28">
        <f>0.9931229</f>
        <v>0.99312290000000003</v>
      </c>
      <c r="CU28">
        <f>0.834667474</f>
        <v>0.83466747399999996</v>
      </c>
      <c r="CV28">
        <f>0.737709076</f>
        <v>0.73770907600000002</v>
      </c>
      <c r="CW28">
        <f>0.531755668</f>
        <v>0.53175566799999996</v>
      </c>
      <c r="CX28">
        <f>0.208162721</f>
        <v>0.208162721</v>
      </c>
      <c r="CY28">
        <f>-0.564785684</f>
        <v>-0.56478568399999995</v>
      </c>
      <c r="CZ28">
        <f>-0.905080605</f>
        <v>-0.90508060499999998</v>
      </c>
      <c r="DA28">
        <f>-0.756484439</f>
        <v>-0.75648443899999995</v>
      </c>
      <c r="DB28">
        <f>-0.564674417</f>
        <v>-0.56467441699999998</v>
      </c>
      <c r="DC28">
        <f>0.442101741</f>
        <v>0.44210174099999999</v>
      </c>
      <c r="DD28" t="str">
        <f>""</f>
        <v/>
      </c>
      <c r="DE28" t="str">
        <f>""</f>
        <v/>
      </c>
      <c r="DF28" t="str">
        <f>""</f>
        <v/>
      </c>
      <c r="DG28" t="str">
        <f>""</f>
        <v/>
      </c>
      <c r="DH28" t="str">
        <f>""</f>
        <v/>
      </c>
      <c r="DI28" t="str">
        <f>""</f>
        <v/>
      </c>
      <c r="DJ28" t="str">
        <f>""</f>
        <v/>
      </c>
      <c r="DK28" t="str">
        <f>""</f>
        <v/>
      </c>
      <c r="DL28" t="str">
        <f>""</f>
        <v/>
      </c>
      <c r="DM28" t="str">
        <f>""</f>
        <v/>
      </c>
      <c r="DN28" t="str">
        <f>""</f>
        <v/>
      </c>
      <c r="DO28" t="str">
        <f>""</f>
        <v/>
      </c>
      <c r="DP28" t="str">
        <f>""</f>
        <v/>
      </c>
      <c r="DQ28" t="str">
        <f>""</f>
        <v/>
      </c>
      <c r="DR28" t="str">
        <f>""</f>
        <v/>
      </c>
      <c r="DS28" t="str">
        <f>""</f>
        <v/>
      </c>
      <c r="DT28" t="str">
        <f>""</f>
        <v/>
      </c>
      <c r="DU28" t="str">
        <f>""</f>
        <v/>
      </c>
    </row>
    <row r="29" spans="1:125" x14ac:dyDescent="0.25">
      <c r="A29" t="str">
        <f>"    Peugeot SA"</f>
        <v xml:space="preserve">    Peugeot SA</v>
      </c>
      <c r="B29" t="str">
        <f>"UG FP Equity"</f>
        <v>UG FP Equity</v>
      </c>
      <c r="C29" t="str">
        <f t="shared" si="0"/>
        <v>RR844</v>
      </c>
      <c r="D29" t="str">
        <f t="shared" si="1"/>
        <v>T12M_DIL_EPS_CONT_OPS</v>
      </c>
      <c r="E29" t="str">
        <f t="shared" si="2"/>
        <v>Dynamic</v>
      </c>
      <c r="F29" t="str">
        <f ca="1">IF(AND(ISNUMBER($F$538),$B$511=1),$F$538,HLOOKUP(INDIRECT(ADDRESS(2,COLUMN())),OFFSET($BN$2,0,0,ROW()-1,60),ROW()-1,FALSE))</f>
        <v/>
      </c>
      <c r="G29" t="str">
        <f ca="1">IF(AND(ISNUMBER($G$538),$B$511=1),$G$538,HLOOKUP(INDIRECT(ADDRESS(2,COLUMN())),OFFSET($BN$2,0,0,ROW()-1,60),ROW()-1,FALSE))</f>
        <v/>
      </c>
      <c r="H29" t="str">
        <f ca="1">IF(AND(ISNUMBER($H$538),$B$511=1),$H$538,HLOOKUP(INDIRECT(ADDRESS(2,COLUMN())),OFFSET($BN$2,0,0,ROW()-1,60),ROW()-1,FALSE))</f>
        <v/>
      </c>
      <c r="I29" t="str">
        <f ca="1">IF(AND(ISNUMBER($I$538),$B$511=1),$I$538,HLOOKUP(INDIRECT(ADDRESS(2,COLUMN())),OFFSET($BN$2,0,0,ROW()-1,60),ROW()-1,FALSE))</f>
        <v/>
      </c>
      <c r="J29" t="str">
        <f ca="1">IF(AND(ISNUMBER($J$538),$B$511=1),$J$538,HLOOKUP(INDIRECT(ADDRESS(2,COLUMN())),OFFSET($BN$2,0,0,ROW()-1,60),ROW()-1,FALSE))</f>
        <v/>
      </c>
      <c r="K29" t="str">
        <f ca="1">IF(AND(ISNUMBER($K$538),$B$511=1),$K$538,HLOOKUP(INDIRECT(ADDRESS(2,COLUMN())),OFFSET($BN$2,0,0,ROW()-1,60),ROW()-1,FALSE))</f>
        <v/>
      </c>
      <c r="L29" t="str">
        <f ca="1">IF(AND(ISNUMBER($L$538),$B$511=1),$L$538,HLOOKUP(INDIRECT(ADDRESS(2,COLUMN())),OFFSET($BN$2,0,0,ROW()-1,60),ROW()-1,FALSE))</f>
        <v/>
      </c>
      <c r="M29" t="str">
        <f ca="1">IF(AND(ISNUMBER($M$538),$B$511=1),$M$538,HLOOKUP(INDIRECT(ADDRESS(2,COLUMN())),OFFSET($BN$2,0,0,ROW()-1,60),ROW()-1,FALSE))</f>
        <v/>
      </c>
      <c r="N29" t="str">
        <f ca="1">IF(AND(ISNUMBER($N$538),$B$511=1),$N$538,HLOOKUP(INDIRECT(ADDRESS(2,COLUMN())),OFFSET($BN$2,0,0,ROW()-1,60),ROW()-1,FALSE))</f>
        <v/>
      </c>
      <c r="O29" t="str">
        <f ca="1">IF(AND(ISNUMBER($O$538),$B$511=1),$O$538,HLOOKUP(INDIRECT(ADDRESS(2,COLUMN())),OFFSET($BN$2,0,0,ROW()-1,60),ROW()-1,FALSE))</f>
        <v/>
      </c>
      <c r="P29" t="str">
        <f ca="1">IF(AND(ISNUMBER($P$538),$B$511=1),$P$538,HLOOKUP(INDIRECT(ADDRESS(2,COLUMN())),OFFSET($BN$2,0,0,ROW()-1,60),ROW()-1,FALSE))</f>
        <v/>
      </c>
      <c r="Q29" t="str">
        <f ca="1">IF(AND(ISNUMBER($Q$538),$B$511=1),$Q$538,HLOOKUP(INDIRECT(ADDRESS(2,COLUMN())),OFFSET($BN$2,0,0,ROW()-1,60),ROW()-1,FALSE))</f>
        <v/>
      </c>
      <c r="R29" t="str">
        <f ca="1">IF(AND(ISNUMBER($R$538),$B$511=1),$R$538,HLOOKUP(INDIRECT(ADDRESS(2,COLUMN())),OFFSET($BN$2,0,0,ROW()-1,60),ROW()-1,FALSE))</f>
        <v/>
      </c>
      <c r="S29" t="str">
        <f ca="1">IF(AND(ISNUMBER($S$538),$B$511=1),$S$538,HLOOKUP(INDIRECT(ADDRESS(2,COLUMN())),OFFSET($BN$2,0,0,ROW()-1,60),ROW()-1,FALSE))</f>
        <v/>
      </c>
      <c r="T29" t="str">
        <f ca="1">IF(AND(ISNUMBER($T$538),$B$511=1),$T$538,HLOOKUP(INDIRECT(ADDRESS(2,COLUMN())),OFFSET($BN$2,0,0,ROW()-1,60),ROW()-1,FALSE))</f>
        <v/>
      </c>
      <c r="U29" t="str">
        <f ca="1">IF(AND(ISNUMBER($U$538),$B$511=1),$U$538,HLOOKUP(INDIRECT(ADDRESS(2,COLUMN())),OFFSET($BN$2,0,0,ROW()-1,60),ROW()-1,FALSE))</f>
        <v/>
      </c>
      <c r="V29" t="str">
        <f ca="1">IF(AND(ISNUMBER($V$538),$B$511=1),$V$538,HLOOKUP(INDIRECT(ADDRESS(2,COLUMN())),OFFSET($BN$2,0,0,ROW()-1,60),ROW()-1,FALSE))</f>
        <v/>
      </c>
      <c r="W29" t="str">
        <f ca="1">IF(AND(ISNUMBER($W$538),$B$511=1),$W$538,HLOOKUP(INDIRECT(ADDRESS(2,COLUMN())),OFFSET($BN$2,0,0,ROW()-1,60),ROW()-1,FALSE))</f>
        <v/>
      </c>
      <c r="X29" t="str">
        <f ca="1">IF(AND(ISNUMBER($X$538),$B$511=1),$X$538,HLOOKUP(INDIRECT(ADDRESS(2,COLUMN())),OFFSET($BN$2,0,0,ROW()-1,60),ROW()-1,FALSE))</f>
        <v/>
      </c>
      <c r="Y29" t="str">
        <f ca="1">IF(AND(ISNUMBER($Y$538),$B$511=1),$Y$538,HLOOKUP(INDIRECT(ADDRESS(2,COLUMN())),OFFSET($BN$2,0,0,ROW()-1,60),ROW()-1,FALSE))</f>
        <v/>
      </c>
      <c r="Z29" t="str">
        <f ca="1">IF(AND(ISNUMBER($Z$538),$B$511=1),$Z$538,HLOOKUP(INDIRECT(ADDRESS(2,COLUMN())),OFFSET($BN$2,0,0,ROW()-1,60),ROW()-1,FALSE))</f>
        <v/>
      </c>
      <c r="AA29" t="str">
        <f ca="1">IF(AND(ISNUMBER($AA$538),$B$511=1),$AA$538,HLOOKUP(INDIRECT(ADDRESS(2,COLUMN())),OFFSET($BN$2,0,0,ROW()-1,60),ROW()-1,FALSE))</f>
        <v/>
      </c>
      <c r="AB29" t="str">
        <f ca="1">IF(AND(ISNUMBER($AB$538),$B$511=1),$AB$538,HLOOKUP(INDIRECT(ADDRESS(2,COLUMN())),OFFSET($BN$2,0,0,ROW()-1,60),ROW()-1,FALSE))</f>
        <v/>
      </c>
      <c r="AC29" t="str">
        <f ca="1">IF(AND(ISNUMBER($AC$538),$B$511=1),$AC$538,HLOOKUP(INDIRECT(ADDRESS(2,COLUMN())),OFFSET($BN$2,0,0,ROW()-1,60),ROW()-1,FALSE))</f>
        <v/>
      </c>
      <c r="AD29" t="str">
        <f ca="1">IF(AND(ISNUMBER($AD$538),$B$511=1),$AD$538,HLOOKUP(INDIRECT(ADDRESS(2,COLUMN())),OFFSET($BN$2,0,0,ROW()-1,60),ROW()-1,FALSE))</f>
        <v/>
      </c>
      <c r="AE29" t="str">
        <f ca="1">IF(AND(ISNUMBER($AE$538),$B$511=1),$AE$538,HLOOKUP(INDIRECT(ADDRESS(2,COLUMN())),OFFSET($BN$2,0,0,ROW()-1,60),ROW()-1,FALSE))</f>
        <v/>
      </c>
      <c r="AF29" t="str">
        <f ca="1">IF(AND(ISNUMBER($AF$538),$B$511=1),$AF$538,HLOOKUP(INDIRECT(ADDRESS(2,COLUMN())),OFFSET($BN$2,0,0,ROW()-1,60),ROW()-1,FALSE))</f>
        <v/>
      </c>
      <c r="AG29" t="str">
        <f ca="1">IF(AND(ISNUMBER($AG$538),$B$511=1),$AG$538,HLOOKUP(INDIRECT(ADDRESS(2,COLUMN())),OFFSET($BN$2,0,0,ROW()-1,60),ROW()-1,FALSE))</f>
        <v/>
      </c>
      <c r="AH29" t="str">
        <f ca="1">IF(AND(ISNUMBER($AH$538),$B$511=1),$AH$538,HLOOKUP(INDIRECT(ADDRESS(2,COLUMN())),OFFSET($BN$2,0,0,ROW()-1,60),ROW()-1,FALSE))</f>
        <v/>
      </c>
      <c r="AI29" t="str">
        <f ca="1">IF(AND(ISNUMBER($AI$538),$B$511=1),$AI$538,HLOOKUP(INDIRECT(ADDRESS(2,COLUMN())),OFFSET($BN$2,0,0,ROW()-1,60),ROW()-1,FALSE))</f>
        <v/>
      </c>
      <c r="AJ29" t="str">
        <f ca="1">IF(AND(ISNUMBER($AJ$538),$B$511=1),$AJ$538,HLOOKUP(INDIRECT(ADDRESS(2,COLUMN())),OFFSET($BN$2,0,0,ROW()-1,60),ROW()-1,FALSE))</f>
        <v/>
      </c>
      <c r="AK29" t="str">
        <f ca="1">IF(AND(ISNUMBER($AK$538),$B$511=1),$AK$538,HLOOKUP(INDIRECT(ADDRESS(2,COLUMN())),OFFSET($BN$2,0,0,ROW()-1,60),ROW()-1,FALSE))</f>
        <v/>
      </c>
      <c r="AL29" t="str">
        <f ca="1">IF(AND(ISNUMBER($AL$538),$B$511=1),$AL$538,HLOOKUP(INDIRECT(ADDRESS(2,COLUMN())),OFFSET($BN$2,0,0,ROW()-1,60),ROW()-1,FALSE))</f>
        <v/>
      </c>
      <c r="AM29" t="str">
        <f ca="1">IF(AND(ISNUMBER($AM$538),$B$511=1),$AM$538,HLOOKUP(INDIRECT(ADDRESS(2,COLUMN())),OFFSET($BN$2,0,0,ROW()-1,60),ROW()-1,FALSE))</f>
        <v/>
      </c>
      <c r="AN29" t="str">
        <f ca="1">IF(AND(ISNUMBER($AN$538),$B$511=1),$AN$538,HLOOKUP(INDIRECT(ADDRESS(2,COLUMN())),OFFSET($BN$2,0,0,ROW()-1,60),ROW()-1,FALSE))</f>
        <v/>
      </c>
      <c r="AO29" t="str">
        <f ca="1">IF(AND(ISNUMBER($AO$538),$B$511=1),$AO$538,HLOOKUP(INDIRECT(ADDRESS(2,COLUMN())),OFFSET($BN$2,0,0,ROW()-1,60),ROW()-1,FALSE))</f>
        <v/>
      </c>
      <c r="AP29" t="str">
        <f ca="1">IF(AND(ISNUMBER($AP$538),$B$511=1),$AP$538,HLOOKUP(INDIRECT(ADDRESS(2,COLUMN())),OFFSET($BN$2,0,0,ROW()-1,60),ROW()-1,FALSE))</f>
        <v/>
      </c>
      <c r="AQ29" t="str">
        <f ca="1">IF(AND(ISNUMBER($AQ$538),$B$511=1),$AQ$538,HLOOKUP(INDIRECT(ADDRESS(2,COLUMN())),OFFSET($BN$2,0,0,ROW()-1,60),ROW()-1,FALSE))</f>
        <v/>
      </c>
      <c r="AR29" t="str">
        <f ca="1">IF(AND(ISNUMBER($AR$538),$B$511=1),$AR$538,HLOOKUP(INDIRECT(ADDRESS(2,COLUMN())),OFFSET($BN$2,0,0,ROW()-1,60),ROW()-1,FALSE))</f>
        <v/>
      </c>
      <c r="AS29" t="str">
        <f ca="1">IF(AND(ISNUMBER($AS$538),$B$511=1),$AS$538,HLOOKUP(INDIRECT(ADDRESS(2,COLUMN())),OFFSET($BN$2,0,0,ROW()-1,60),ROW()-1,FALSE))</f>
        <v/>
      </c>
      <c r="AT29" t="str">
        <f ca="1">IF(AND(ISNUMBER($AT$538),$B$511=1),$AT$538,HLOOKUP(INDIRECT(ADDRESS(2,COLUMN())),OFFSET($BN$2,0,0,ROW()-1,60),ROW()-1,FALSE))</f>
        <v/>
      </c>
      <c r="AU29" t="str">
        <f ca="1">IF(AND(ISNUMBER($AU$538),$B$511=1),$AU$538,HLOOKUP(INDIRECT(ADDRESS(2,COLUMN())),OFFSET($BN$2,0,0,ROW()-1,60),ROW()-1,FALSE))</f>
        <v/>
      </c>
      <c r="AV29" t="str">
        <f ca="1">IF(AND(ISNUMBER($AV$538),$B$511=1),$AV$538,HLOOKUP(INDIRECT(ADDRESS(2,COLUMN())),OFFSET($BN$2,0,0,ROW()-1,60),ROW()-1,FALSE))</f>
        <v/>
      </c>
      <c r="AW29" t="str">
        <f ca="1">IF(AND(ISNUMBER($AW$538),$B$511=1),$AW$538,HLOOKUP(INDIRECT(ADDRESS(2,COLUMN())),OFFSET($BN$2,0,0,ROW()-1,60),ROW()-1,FALSE))</f>
        <v/>
      </c>
      <c r="AX29" t="str">
        <f ca="1">IF(AND(ISNUMBER($AX$538),$B$511=1),$AX$538,HLOOKUP(INDIRECT(ADDRESS(2,COLUMN())),OFFSET($BN$2,0,0,ROW()-1,60),ROW()-1,FALSE))</f>
        <v/>
      </c>
      <c r="AY29" t="str">
        <f ca="1">IF(AND(ISNUMBER($AY$538),$B$511=1),$AY$538,HLOOKUP(INDIRECT(ADDRESS(2,COLUMN())),OFFSET($BN$2,0,0,ROW()-1,60),ROW()-1,FALSE))</f>
        <v/>
      </c>
      <c r="AZ29" t="str">
        <f ca="1">IF(AND(ISNUMBER($AZ$538),$B$511=1),$AZ$538,HLOOKUP(INDIRECT(ADDRESS(2,COLUMN())),OFFSET($BN$2,0,0,ROW()-1,60),ROW()-1,FALSE))</f>
        <v/>
      </c>
      <c r="BA29" t="str">
        <f ca="1">IF(AND(ISNUMBER($BA$538),$B$511=1),$BA$538,HLOOKUP(INDIRECT(ADDRESS(2,COLUMN())),OFFSET($BN$2,0,0,ROW()-1,60),ROW()-1,FALSE))</f>
        <v/>
      </c>
      <c r="BB29" t="str">
        <f ca="1">IF(AND(ISNUMBER($BB$538),$B$511=1),$BB$538,HLOOKUP(INDIRECT(ADDRESS(2,COLUMN())),OFFSET($BN$2,0,0,ROW()-1,60),ROW()-1,FALSE))</f>
        <v/>
      </c>
      <c r="BC29" t="str">
        <f ca="1">IF(AND(ISNUMBER($BC$538),$B$511=1),$BC$538,HLOOKUP(INDIRECT(ADDRESS(2,COLUMN())),OFFSET($BN$2,0,0,ROW()-1,60),ROW()-1,FALSE))</f>
        <v/>
      </c>
      <c r="BD29" t="str">
        <f ca="1">IF(AND(ISNUMBER($BD$538),$B$511=1),$BD$538,HLOOKUP(INDIRECT(ADDRESS(2,COLUMN())),OFFSET($BN$2,0,0,ROW()-1,60),ROW()-1,FALSE))</f>
        <v/>
      </c>
      <c r="BE29" t="str">
        <f ca="1">IF(AND(ISNUMBER($BE$538),$B$511=1),$BE$538,HLOOKUP(INDIRECT(ADDRESS(2,COLUMN())),OFFSET($BN$2,0,0,ROW()-1,60),ROW()-1,FALSE))</f>
        <v/>
      </c>
      <c r="BF29" t="str">
        <f ca="1">IF(AND(ISNUMBER($BF$538),$B$511=1),$BF$538,HLOOKUP(INDIRECT(ADDRESS(2,COLUMN())),OFFSET($BN$2,0,0,ROW()-1,60),ROW()-1,FALSE))</f>
        <v/>
      </c>
      <c r="BG29" t="str">
        <f ca="1">IF(AND(ISNUMBER($BG$538),$B$511=1),$BG$538,HLOOKUP(INDIRECT(ADDRESS(2,COLUMN())),OFFSET($BN$2,0,0,ROW()-1,60),ROW()-1,FALSE))</f>
        <v/>
      </c>
      <c r="BH29" t="str">
        <f ca="1">IF(AND(ISNUMBER($BH$538),$B$511=1),$BH$538,HLOOKUP(INDIRECT(ADDRESS(2,COLUMN())),OFFSET($BN$2,0,0,ROW()-1,60),ROW()-1,FALSE))</f>
        <v/>
      </c>
      <c r="BI29" t="str">
        <f ca="1">IF(AND(ISNUMBER($BI$538),$B$511=1),$BI$538,HLOOKUP(INDIRECT(ADDRESS(2,COLUMN())),OFFSET($BN$2,0,0,ROW()-1,60),ROW()-1,FALSE))</f>
        <v/>
      </c>
      <c r="BJ29" t="str">
        <f ca="1">IF(AND(ISNUMBER($BJ$538),$B$511=1),$BJ$538,HLOOKUP(INDIRECT(ADDRESS(2,COLUMN())),OFFSET($BN$2,0,0,ROW()-1,60),ROW()-1,FALSE))</f>
        <v/>
      </c>
      <c r="BK29" t="str">
        <f ca="1">IF(AND(ISNUMBER($BK$538),$B$511=1),$BK$538,HLOOKUP(INDIRECT(ADDRESS(2,COLUMN())),OFFSET($BN$2,0,0,ROW()-1,60),ROW()-1,FALSE))</f>
        <v/>
      </c>
      <c r="BL29" t="str">
        <f ca="1">IF(AND(ISNUMBER($BL$538),$B$511=1),$BL$538,HLOOKUP(INDIRECT(ADDRESS(2,COLUMN())),OFFSET($BN$2,0,0,ROW()-1,60),ROW()-1,FALSE))</f>
        <v/>
      </c>
      <c r="BM29" t="str">
        <f ca="1">IF(AND(ISNUMBER($BM$538),$B$511=1),$BM$538,HLOOKUP(INDIRECT(ADDRESS(2,COLUMN())),OFFSET($BN$2,0,0,ROW()-1,60),ROW()-1,FALSE))</f>
        <v/>
      </c>
      <c r="BN29" t="str">
        <f>""</f>
        <v/>
      </c>
      <c r="BO29" t="str">
        <f>""</f>
        <v/>
      </c>
      <c r="BP29" t="str">
        <f>""</f>
        <v/>
      </c>
      <c r="BQ29" t="str">
        <f>""</f>
        <v/>
      </c>
      <c r="BR29" t="str">
        <f>""</f>
        <v/>
      </c>
      <c r="BS29" t="str">
        <f>""</f>
        <v/>
      </c>
      <c r="BT29" t="str">
        <f>""</f>
        <v/>
      </c>
      <c r="BU29" t="str">
        <f>""</f>
        <v/>
      </c>
      <c r="BV29" t="str">
        <f>""</f>
        <v/>
      </c>
      <c r="BW29" t="str">
        <f>""</f>
        <v/>
      </c>
      <c r="BX29" t="str">
        <f>""</f>
        <v/>
      </c>
      <c r="BY29" t="str">
        <f>""</f>
        <v/>
      </c>
      <c r="BZ29" t="str">
        <f>""</f>
        <v/>
      </c>
      <c r="CA29" t="str">
        <f>""</f>
        <v/>
      </c>
      <c r="CB29" t="str">
        <f>""</f>
        <v/>
      </c>
      <c r="CC29" t="str">
        <f>""</f>
        <v/>
      </c>
      <c r="CD29" t="str">
        <f>""</f>
        <v/>
      </c>
      <c r="CE29" t="str">
        <f>""</f>
        <v/>
      </c>
      <c r="CF29" t="str">
        <f>""</f>
        <v/>
      </c>
      <c r="CG29" t="str">
        <f>""</f>
        <v/>
      </c>
      <c r="CH29" t="str">
        <f>""</f>
        <v/>
      </c>
      <c r="CI29" t="str">
        <f>""</f>
        <v/>
      </c>
      <c r="CJ29" t="str">
        <f>""</f>
        <v/>
      </c>
      <c r="CK29" t="str">
        <f>""</f>
        <v/>
      </c>
      <c r="CL29" t="str">
        <f>""</f>
        <v/>
      </c>
      <c r="CM29" t="str">
        <f>""</f>
        <v/>
      </c>
      <c r="CN29" t="str">
        <f>""</f>
        <v/>
      </c>
      <c r="CO29" t="str">
        <f>""</f>
        <v/>
      </c>
      <c r="CP29" t="str">
        <f>""</f>
        <v/>
      </c>
      <c r="CQ29" t="str">
        <f>""</f>
        <v/>
      </c>
      <c r="CR29" t="str">
        <f>""</f>
        <v/>
      </c>
      <c r="CS29" t="str">
        <f>""</f>
        <v/>
      </c>
      <c r="CT29" t="str">
        <f>""</f>
        <v/>
      </c>
      <c r="CU29" t="str">
        <f>""</f>
        <v/>
      </c>
      <c r="CV29" t="str">
        <f>""</f>
        <v/>
      </c>
      <c r="CW29" t="str">
        <f>""</f>
        <v/>
      </c>
      <c r="CX29" t="str">
        <f>""</f>
        <v/>
      </c>
      <c r="CY29" t="str">
        <f>""</f>
        <v/>
      </c>
      <c r="CZ29" t="str">
        <f>""</f>
        <v/>
      </c>
      <c r="DA29" t="str">
        <f>""</f>
        <v/>
      </c>
      <c r="DB29" t="str">
        <f>""</f>
        <v/>
      </c>
      <c r="DC29" t="str">
        <f>""</f>
        <v/>
      </c>
      <c r="DD29" t="str">
        <f>""</f>
        <v/>
      </c>
      <c r="DE29" t="str">
        <f>""</f>
        <v/>
      </c>
      <c r="DF29" t="str">
        <f>""</f>
        <v/>
      </c>
      <c r="DG29" t="str">
        <f>""</f>
        <v/>
      </c>
      <c r="DH29" t="str">
        <f>""</f>
        <v/>
      </c>
      <c r="DI29" t="str">
        <f>""</f>
        <v/>
      </c>
      <c r="DJ29" t="str">
        <f>""</f>
        <v/>
      </c>
      <c r="DK29" t="str">
        <f>""</f>
        <v/>
      </c>
      <c r="DL29" t="str">
        <f>""</f>
        <v/>
      </c>
      <c r="DM29" t="str">
        <f>""</f>
        <v/>
      </c>
      <c r="DN29" t="str">
        <f>""</f>
        <v/>
      </c>
      <c r="DO29" t="str">
        <f>""</f>
        <v/>
      </c>
      <c r="DP29" t="str">
        <f>""</f>
        <v/>
      </c>
      <c r="DQ29" t="str">
        <f>""</f>
        <v/>
      </c>
      <c r="DR29" t="str">
        <f>""</f>
        <v/>
      </c>
      <c r="DS29" t="str">
        <f>""</f>
        <v/>
      </c>
      <c r="DT29" t="str">
        <f>""</f>
        <v/>
      </c>
      <c r="DU29" t="str">
        <f>""</f>
        <v/>
      </c>
    </row>
    <row r="30" spans="1:125" x14ac:dyDescent="0.25">
      <c r="A30" t="str">
        <f>"    Renault SA"</f>
        <v xml:space="preserve">    Renault SA</v>
      </c>
      <c r="B30" t="str">
        <f>"RNO FP Equity"</f>
        <v>RNO FP Equity</v>
      </c>
      <c r="C30" t="str">
        <f t="shared" si="0"/>
        <v>RR844</v>
      </c>
      <c r="D30" t="str">
        <f t="shared" si="1"/>
        <v>T12M_DIL_EPS_CONT_OPS</v>
      </c>
      <c r="E30" t="str">
        <f t="shared" si="2"/>
        <v>Dynamic</v>
      </c>
      <c r="F30" t="str">
        <f ca="1">IF(AND(ISNUMBER($F$539),$B$511=1),$F$539,HLOOKUP(INDIRECT(ADDRESS(2,COLUMN())),OFFSET($BN$2,0,0,ROW()-1,60),ROW()-1,FALSE))</f>
        <v/>
      </c>
      <c r="G30" t="str">
        <f ca="1">IF(AND(ISNUMBER($G$539),$B$511=1),$G$539,HLOOKUP(INDIRECT(ADDRESS(2,COLUMN())),OFFSET($BN$2,0,0,ROW()-1,60),ROW()-1,FALSE))</f>
        <v/>
      </c>
      <c r="H30" t="str">
        <f ca="1">IF(AND(ISNUMBER($H$539),$B$511=1),$H$539,HLOOKUP(INDIRECT(ADDRESS(2,COLUMN())),OFFSET($BN$2,0,0,ROW()-1,60),ROW()-1,FALSE))</f>
        <v/>
      </c>
      <c r="I30" t="str">
        <f ca="1">IF(AND(ISNUMBER($I$539),$B$511=1),$I$539,HLOOKUP(INDIRECT(ADDRESS(2,COLUMN())),OFFSET($BN$2,0,0,ROW()-1,60),ROW()-1,FALSE))</f>
        <v/>
      </c>
      <c r="J30" t="str">
        <f ca="1">IF(AND(ISNUMBER($J$539),$B$511=1),$J$539,HLOOKUP(INDIRECT(ADDRESS(2,COLUMN())),OFFSET($BN$2,0,0,ROW()-1,60),ROW()-1,FALSE))</f>
        <v/>
      </c>
      <c r="K30" t="str">
        <f ca="1">IF(AND(ISNUMBER($K$539),$B$511=1),$K$539,HLOOKUP(INDIRECT(ADDRESS(2,COLUMN())),OFFSET($BN$2,0,0,ROW()-1,60),ROW()-1,FALSE))</f>
        <v/>
      </c>
      <c r="L30" t="str">
        <f ca="1">IF(AND(ISNUMBER($L$539),$B$511=1),$L$539,HLOOKUP(INDIRECT(ADDRESS(2,COLUMN())),OFFSET($BN$2,0,0,ROW()-1,60),ROW()-1,FALSE))</f>
        <v/>
      </c>
      <c r="M30" t="str">
        <f ca="1">IF(AND(ISNUMBER($M$539),$B$511=1),$M$539,HLOOKUP(INDIRECT(ADDRESS(2,COLUMN())),OFFSET($BN$2,0,0,ROW()-1,60),ROW()-1,FALSE))</f>
        <v/>
      </c>
      <c r="N30" t="str">
        <f ca="1">IF(AND(ISNUMBER($N$539),$B$511=1),$N$539,HLOOKUP(INDIRECT(ADDRESS(2,COLUMN())),OFFSET($BN$2,0,0,ROW()-1,60),ROW()-1,FALSE))</f>
        <v/>
      </c>
      <c r="O30" t="str">
        <f ca="1">IF(AND(ISNUMBER($O$539),$B$511=1),$O$539,HLOOKUP(INDIRECT(ADDRESS(2,COLUMN())),OFFSET($BN$2,0,0,ROW()-1,60),ROW()-1,FALSE))</f>
        <v/>
      </c>
      <c r="P30" t="str">
        <f ca="1">IF(AND(ISNUMBER($P$539),$B$511=1),$P$539,HLOOKUP(INDIRECT(ADDRESS(2,COLUMN())),OFFSET($BN$2,0,0,ROW()-1,60),ROW()-1,FALSE))</f>
        <v/>
      </c>
      <c r="Q30" t="str">
        <f ca="1">IF(AND(ISNUMBER($Q$539),$B$511=1),$Q$539,HLOOKUP(INDIRECT(ADDRESS(2,COLUMN())),OFFSET($BN$2,0,0,ROW()-1,60),ROW()-1,FALSE))</f>
        <v/>
      </c>
      <c r="R30" t="str">
        <f ca="1">IF(AND(ISNUMBER($R$539),$B$511=1),$R$539,HLOOKUP(INDIRECT(ADDRESS(2,COLUMN())),OFFSET($BN$2,0,0,ROW()-1,60),ROW()-1,FALSE))</f>
        <v/>
      </c>
      <c r="S30" t="str">
        <f ca="1">IF(AND(ISNUMBER($S$539),$B$511=1),$S$539,HLOOKUP(INDIRECT(ADDRESS(2,COLUMN())),OFFSET($BN$2,0,0,ROW()-1,60),ROW()-1,FALSE))</f>
        <v/>
      </c>
      <c r="T30" t="str">
        <f ca="1">IF(AND(ISNUMBER($T$539),$B$511=1),$T$539,HLOOKUP(INDIRECT(ADDRESS(2,COLUMN())),OFFSET($BN$2,0,0,ROW()-1,60),ROW()-1,FALSE))</f>
        <v/>
      </c>
      <c r="U30" t="str">
        <f ca="1">IF(AND(ISNUMBER($U$539),$B$511=1),$U$539,HLOOKUP(INDIRECT(ADDRESS(2,COLUMN())),OFFSET($BN$2,0,0,ROW()-1,60),ROW()-1,FALSE))</f>
        <v/>
      </c>
      <c r="V30" t="str">
        <f ca="1">IF(AND(ISNUMBER($V$539),$B$511=1),$V$539,HLOOKUP(INDIRECT(ADDRESS(2,COLUMN())),OFFSET($BN$2,0,0,ROW()-1,60),ROW()-1,FALSE))</f>
        <v/>
      </c>
      <c r="W30" t="str">
        <f ca="1">IF(AND(ISNUMBER($W$539),$B$511=1),$W$539,HLOOKUP(INDIRECT(ADDRESS(2,COLUMN())),OFFSET($BN$2,0,0,ROW()-1,60),ROW()-1,FALSE))</f>
        <v/>
      </c>
      <c r="X30" t="str">
        <f ca="1">IF(AND(ISNUMBER($X$539),$B$511=1),$X$539,HLOOKUP(INDIRECT(ADDRESS(2,COLUMN())),OFFSET($BN$2,0,0,ROW()-1,60),ROW()-1,FALSE))</f>
        <v/>
      </c>
      <c r="Y30" t="str">
        <f ca="1">IF(AND(ISNUMBER($Y$539),$B$511=1),$Y$539,HLOOKUP(INDIRECT(ADDRESS(2,COLUMN())),OFFSET($BN$2,0,0,ROW()-1,60),ROW()-1,FALSE))</f>
        <v/>
      </c>
      <c r="Z30" t="str">
        <f ca="1">IF(AND(ISNUMBER($Z$539),$B$511=1),$Z$539,HLOOKUP(INDIRECT(ADDRESS(2,COLUMN())),OFFSET($BN$2,0,0,ROW()-1,60),ROW()-1,FALSE))</f>
        <v/>
      </c>
      <c r="AA30" t="str">
        <f ca="1">IF(AND(ISNUMBER($AA$539),$B$511=1),$AA$539,HLOOKUP(INDIRECT(ADDRESS(2,COLUMN())),OFFSET($BN$2,0,0,ROW()-1,60),ROW()-1,FALSE))</f>
        <v/>
      </c>
      <c r="AB30" t="str">
        <f ca="1">IF(AND(ISNUMBER($AB$539),$B$511=1),$AB$539,HLOOKUP(INDIRECT(ADDRESS(2,COLUMN())),OFFSET($BN$2,0,0,ROW()-1,60),ROW()-1,FALSE))</f>
        <v/>
      </c>
      <c r="AC30" t="str">
        <f ca="1">IF(AND(ISNUMBER($AC$539),$B$511=1),$AC$539,HLOOKUP(INDIRECT(ADDRESS(2,COLUMN())),OFFSET($BN$2,0,0,ROW()-1,60),ROW()-1,FALSE))</f>
        <v/>
      </c>
      <c r="AD30" t="str">
        <f ca="1">IF(AND(ISNUMBER($AD$539),$B$511=1),$AD$539,HLOOKUP(INDIRECT(ADDRESS(2,COLUMN())),OFFSET($BN$2,0,0,ROW()-1,60),ROW()-1,FALSE))</f>
        <v/>
      </c>
      <c r="AE30" t="str">
        <f ca="1">IF(AND(ISNUMBER($AE$539),$B$511=1),$AE$539,HLOOKUP(INDIRECT(ADDRESS(2,COLUMN())),OFFSET($BN$2,0,0,ROW()-1,60),ROW()-1,FALSE))</f>
        <v/>
      </c>
      <c r="AF30" t="str">
        <f ca="1">IF(AND(ISNUMBER($AF$539),$B$511=1),$AF$539,HLOOKUP(INDIRECT(ADDRESS(2,COLUMN())),OFFSET($BN$2,0,0,ROW()-1,60),ROW()-1,FALSE))</f>
        <v/>
      </c>
      <c r="AG30" t="str">
        <f ca="1">IF(AND(ISNUMBER($AG$539),$B$511=1),$AG$539,HLOOKUP(INDIRECT(ADDRESS(2,COLUMN())),OFFSET($BN$2,0,0,ROW()-1,60),ROW()-1,FALSE))</f>
        <v/>
      </c>
      <c r="AH30" t="str">
        <f ca="1">IF(AND(ISNUMBER($AH$539),$B$511=1),$AH$539,HLOOKUP(INDIRECT(ADDRESS(2,COLUMN())),OFFSET($BN$2,0,0,ROW()-1,60),ROW()-1,FALSE))</f>
        <v/>
      </c>
      <c r="AI30" t="str">
        <f ca="1">IF(AND(ISNUMBER($AI$539),$B$511=1),$AI$539,HLOOKUP(INDIRECT(ADDRESS(2,COLUMN())),OFFSET($BN$2,0,0,ROW()-1,60),ROW()-1,FALSE))</f>
        <v/>
      </c>
      <c r="AJ30" t="str">
        <f ca="1">IF(AND(ISNUMBER($AJ$539),$B$511=1),$AJ$539,HLOOKUP(INDIRECT(ADDRESS(2,COLUMN())),OFFSET($BN$2,0,0,ROW()-1,60),ROW()-1,FALSE))</f>
        <v/>
      </c>
      <c r="AK30" t="str">
        <f ca="1">IF(AND(ISNUMBER($AK$539),$B$511=1),$AK$539,HLOOKUP(INDIRECT(ADDRESS(2,COLUMN())),OFFSET($BN$2,0,0,ROW()-1,60),ROW()-1,FALSE))</f>
        <v/>
      </c>
      <c r="AL30" t="str">
        <f ca="1">IF(AND(ISNUMBER($AL$539),$B$511=1),$AL$539,HLOOKUP(INDIRECT(ADDRESS(2,COLUMN())),OFFSET($BN$2,0,0,ROW()-1,60),ROW()-1,FALSE))</f>
        <v/>
      </c>
      <c r="AM30" t="str">
        <f ca="1">IF(AND(ISNUMBER($AM$539),$B$511=1),$AM$539,HLOOKUP(INDIRECT(ADDRESS(2,COLUMN())),OFFSET($BN$2,0,0,ROW()-1,60),ROW()-1,FALSE))</f>
        <v/>
      </c>
      <c r="AN30" t="str">
        <f ca="1">IF(AND(ISNUMBER($AN$539),$B$511=1),$AN$539,HLOOKUP(INDIRECT(ADDRESS(2,COLUMN())),OFFSET($BN$2,0,0,ROW()-1,60),ROW()-1,FALSE))</f>
        <v/>
      </c>
      <c r="AO30" t="str">
        <f ca="1">IF(AND(ISNUMBER($AO$539),$B$511=1),$AO$539,HLOOKUP(INDIRECT(ADDRESS(2,COLUMN())),OFFSET($BN$2,0,0,ROW()-1,60),ROW()-1,FALSE))</f>
        <v/>
      </c>
      <c r="AP30" t="str">
        <f ca="1">IF(AND(ISNUMBER($AP$539),$B$511=1),$AP$539,HLOOKUP(INDIRECT(ADDRESS(2,COLUMN())),OFFSET($BN$2,0,0,ROW()-1,60),ROW()-1,FALSE))</f>
        <v/>
      </c>
      <c r="AQ30" t="str">
        <f ca="1">IF(AND(ISNUMBER($AQ$539),$B$511=1),$AQ$539,HLOOKUP(INDIRECT(ADDRESS(2,COLUMN())),OFFSET($BN$2,0,0,ROW()-1,60),ROW()-1,FALSE))</f>
        <v/>
      </c>
      <c r="AR30" t="str">
        <f ca="1">IF(AND(ISNUMBER($AR$539),$B$511=1),$AR$539,HLOOKUP(INDIRECT(ADDRESS(2,COLUMN())),OFFSET($BN$2,0,0,ROW()-1,60),ROW()-1,FALSE))</f>
        <v/>
      </c>
      <c r="AS30" t="str">
        <f ca="1">IF(AND(ISNUMBER($AS$539),$B$511=1),$AS$539,HLOOKUP(INDIRECT(ADDRESS(2,COLUMN())),OFFSET($BN$2,0,0,ROW()-1,60),ROW()-1,FALSE))</f>
        <v/>
      </c>
      <c r="AT30" t="str">
        <f ca="1">IF(AND(ISNUMBER($AT$539),$B$511=1),$AT$539,HLOOKUP(INDIRECT(ADDRESS(2,COLUMN())),OFFSET($BN$2,0,0,ROW()-1,60),ROW()-1,FALSE))</f>
        <v/>
      </c>
      <c r="AU30" t="str">
        <f ca="1">IF(AND(ISNUMBER($AU$539),$B$511=1),$AU$539,HLOOKUP(INDIRECT(ADDRESS(2,COLUMN())),OFFSET($BN$2,0,0,ROW()-1,60),ROW()-1,FALSE))</f>
        <v/>
      </c>
      <c r="AV30" t="str">
        <f ca="1">IF(AND(ISNUMBER($AV$539),$B$511=1),$AV$539,HLOOKUP(INDIRECT(ADDRESS(2,COLUMN())),OFFSET($BN$2,0,0,ROW()-1,60),ROW()-1,FALSE))</f>
        <v/>
      </c>
      <c r="AW30" t="str">
        <f ca="1">IF(AND(ISNUMBER($AW$539),$B$511=1),$AW$539,HLOOKUP(INDIRECT(ADDRESS(2,COLUMN())),OFFSET($BN$2,0,0,ROW()-1,60),ROW()-1,FALSE))</f>
        <v/>
      </c>
      <c r="AX30" t="str">
        <f ca="1">IF(AND(ISNUMBER($AX$539),$B$511=1),$AX$539,HLOOKUP(INDIRECT(ADDRESS(2,COLUMN())),OFFSET($BN$2,0,0,ROW()-1,60),ROW()-1,FALSE))</f>
        <v/>
      </c>
      <c r="AY30" t="str">
        <f ca="1">IF(AND(ISNUMBER($AY$539),$B$511=1),$AY$539,HLOOKUP(INDIRECT(ADDRESS(2,COLUMN())),OFFSET($BN$2,0,0,ROW()-1,60),ROW()-1,FALSE))</f>
        <v/>
      </c>
      <c r="AZ30" t="str">
        <f ca="1">IF(AND(ISNUMBER($AZ$539),$B$511=1),$AZ$539,HLOOKUP(INDIRECT(ADDRESS(2,COLUMN())),OFFSET($BN$2,0,0,ROW()-1,60),ROW()-1,FALSE))</f>
        <v/>
      </c>
      <c r="BA30" t="str">
        <f ca="1">IF(AND(ISNUMBER($BA$539),$B$511=1),$BA$539,HLOOKUP(INDIRECT(ADDRESS(2,COLUMN())),OFFSET($BN$2,0,0,ROW()-1,60),ROW()-1,FALSE))</f>
        <v/>
      </c>
      <c r="BB30" t="str">
        <f ca="1">IF(AND(ISNUMBER($BB$539),$B$511=1),$BB$539,HLOOKUP(INDIRECT(ADDRESS(2,COLUMN())),OFFSET($BN$2,0,0,ROW()-1,60),ROW()-1,FALSE))</f>
        <v/>
      </c>
      <c r="BC30" t="str">
        <f ca="1">IF(AND(ISNUMBER($BC$539),$B$511=1),$BC$539,HLOOKUP(INDIRECT(ADDRESS(2,COLUMN())),OFFSET($BN$2,0,0,ROW()-1,60),ROW()-1,FALSE))</f>
        <v/>
      </c>
      <c r="BD30" t="str">
        <f ca="1">IF(AND(ISNUMBER($BD$539),$B$511=1),$BD$539,HLOOKUP(INDIRECT(ADDRESS(2,COLUMN())),OFFSET($BN$2,0,0,ROW()-1,60),ROW()-1,FALSE))</f>
        <v/>
      </c>
      <c r="BE30" t="str">
        <f ca="1">IF(AND(ISNUMBER($BE$539),$B$511=1),$BE$539,HLOOKUP(INDIRECT(ADDRESS(2,COLUMN())),OFFSET($BN$2,0,0,ROW()-1,60),ROW()-1,FALSE))</f>
        <v/>
      </c>
      <c r="BF30" t="str">
        <f ca="1">IF(AND(ISNUMBER($BF$539),$B$511=1),$BF$539,HLOOKUP(INDIRECT(ADDRESS(2,COLUMN())),OFFSET($BN$2,0,0,ROW()-1,60),ROW()-1,FALSE))</f>
        <v/>
      </c>
      <c r="BG30" t="str">
        <f ca="1">IF(AND(ISNUMBER($BG$539),$B$511=1),$BG$539,HLOOKUP(INDIRECT(ADDRESS(2,COLUMN())),OFFSET($BN$2,0,0,ROW()-1,60),ROW()-1,FALSE))</f>
        <v/>
      </c>
      <c r="BH30" t="str">
        <f ca="1">IF(AND(ISNUMBER($BH$539),$B$511=1),$BH$539,HLOOKUP(INDIRECT(ADDRESS(2,COLUMN())),OFFSET($BN$2,0,0,ROW()-1,60),ROW()-1,FALSE))</f>
        <v/>
      </c>
      <c r="BI30" t="str">
        <f ca="1">IF(AND(ISNUMBER($BI$539),$B$511=1),$BI$539,HLOOKUP(INDIRECT(ADDRESS(2,COLUMN())),OFFSET($BN$2,0,0,ROW()-1,60),ROW()-1,FALSE))</f>
        <v/>
      </c>
      <c r="BJ30" t="str">
        <f ca="1">IF(AND(ISNUMBER($BJ$539),$B$511=1),$BJ$539,HLOOKUP(INDIRECT(ADDRESS(2,COLUMN())),OFFSET($BN$2,0,0,ROW()-1,60),ROW()-1,FALSE))</f>
        <v/>
      </c>
      <c r="BK30" t="str">
        <f ca="1">IF(AND(ISNUMBER($BK$539),$B$511=1),$BK$539,HLOOKUP(INDIRECT(ADDRESS(2,COLUMN())),OFFSET($BN$2,0,0,ROW()-1,60),ROW()-1,FALSE))</f>
        <v/>
      </c>
      <c r="BL30" t="str">
        <f ca="1">IF(AND(ISNUMBER($BL$539),$B$511=1),$BL$539,HLOOKUP(INDIRECT(ADDRESS(2,COLUMN())),OFFSET($BN$2,0,0,ROW()-1,60),ROW()-1,FALSE))</f>
        <v/>
      </c>
      <c r="BM30" t="str">
        <f ca="1">IF(AND(ISNUMBER($BM$539),$B$511=1),$BM$539,HLOOKUP(INDIRECT(ADDRESS(2,COLUMN())),OFFSET($BN$2,0,0,ROW()-1,60),ROW()-1,FALSE))</f>
        <v/>
      </c>
      <c r="BN30" t="str">
        <f>""</f>
        <v/>
      </c>
      <c r="BO30" t="str">
        <f>""</f>
        <v/>
      </c>
      <c r="BP30" t="str">
        <f>""</f>
        <v/>
      </c>
      <c r="BQ30" t="str">
        <f>""</f>
        <v/>
      </c>
      <c r="BR30" t="str">
        <f>""</f>
        <v/>
      </c>
      <c r="BS30" t="str">
        <f>""</f>
        <v/>
      </c>
      <c r="BT30" t="str">
        <f>""</f>
        <v/>
      </c>
      <c r="BU30" t="str">
        <f>""</f>
        <v/>
      </c>
      <c r="BV30" t="str">
        <f>""</f>
        <v/>
      </c>
      <c r="BW30" t="str">
        <f>""</f>
        <v/>
      </c>
      <c r="BX30" t="str">
        <f>""</f>
        <v/>
      </c>
      <c r="BY30" t="str">
        <f>""</f>
        <v/>
      </c>
      <c r="BZ30" t="str">
        <f>""</f>
        <v/>
      </c>
      <c r="CA30" t="str">
        <f>""</f>
        <v/>
      </c>
      <c r="CB30" t="str">
        <f>""</f>
        <v/>
      </c>
      <c r="CC30" t="str">
        <f>""</f>
        <v/>
      </c>
      <c r="CD30" t="str">
        <f>""</f>
        <v/>
      </c>
      <c r="CE30" t="str">
        <f>""</f>
        <v/>
      </c>
      <c r="CF30" t="str">
        <f>""</f>
        <v/>
      </c>
      <c r="CG30" t="str">
        <f>""</f>
        <v/>
      </c>
      <c r="CH30" t="str">
        <f>""</f>
        <v/>
      </c>
      <c r="CI30" t="str">
        <f>""</f>
        <v/>
      </c>
      <c r="CJ30" t="str">
        <f>""</f>
        <v/>
      </c>
      <c r="CK30" t="str">
        <f>""</f>
        <v/>
      </c>
      <c r="CL30" t="str">
        <f>""</f>
        <v/>
      </c>
      <c r="CM30" t="str">
        <f>""</f>
        <v/>
      </c>
      <c r="CN30" t="str">
        <f>""</f>
        <v/>
      </c>
      <c r="CO30" t="str">
        <f>""</f>
        <v/>
      </c>
      <c r="CP30" t="str">
        <f>""</f>
        <v/>
      </c>
      <c r="CQ30" t="str">
        <f>""</f>
        <v/>
      </c>
      <c r="CR30" t="str">
        <f>""</f>
        <v/>
      </c>
      <c r="CS30" t="str">
        <f>""</f>
        <v/>
      </c>
      <c r="CT30" t="str">
        <f>""</f>
        <v/>
      </c>
      <c r="CU30" t="str">
        <f>""</f>
        <v/>
      </c>
      <c r="CV30" t="str">
        <f>""</f>
        <v/>
      </c>
      <c r="CW30" t="str">
        <f>""</f>
        <v/>
      </c>
      <c r="CX30" t="str">
        <f>""</f>
        <v/>
      </c>
      <c r="CY30" t="str">
        <f>""</f>
        <v/>
      </c>
      <c r="CZ30" t="str">
        <f>""</f>
        <v/>
      </c>
      <c r="DA30" t="str">
        <f>""</f>
        <v/>
      </c>
      <c r="DB30" t="str">
        <f>""</f>
        <v/>
      </c>
      <c r="DC30" t="str">
        <f>""</f>
        <v/>
      </c>
      <c r="DD30" t="str">
        <f>""</f>
        <v/>
      </c>
      <c r="DE30" t="str">
        <f>""</f>
        <v/>
      </c>
      <c r="DF30" t="str">
        <f>""</f>
        <v/>
      </c>
      <c r="DG30" t="str">
        <f>""</f>
        <v/>
      </c>
      <c r="DH30" t="str">
        <f>""</f>
        <v/>
      </c>
      <c r="DI30" t="str">
        <f>""</f>
        <v/>
      </c>
      <c r="DJ30" t="str">
        <f>""</f>
        <v/>
      </c>
      <c r="DK30" t="str">
        <f>""</f>
        <v/>
      </c>
      <c r="DL30" t="str">
        <f>""</f>
        <v/>
      </c>
      <c r="DM30" t="str">
        <f>""</f>
        <v/>
      </c>
      <c r="DN30" t="str">
        <f>""</f>
        <v/>
      </c>
      <c r="DO30" t="str">
        <f>""</f>
        <v/>
      </c>
      <c r="DP30" t="str">
        <f>""</f>
        <v/>
      </c>
      <c r="DQ30" t="str">
        <f>""</f>
        <v/>
      </c>
      <c r="DR30" t="str">
        <f>""</f>
        <v/>
      </c>
      <c r="DS30" t="str">
        <f>""</f>
        <v/>
      </c>
      <c r="DT30" t="str">
        <f>""</f>
        <v/>
      </c>
      <c r="DU30" t="str">
        <f>""</f>
        <v/>
      </c>
    </row>
    <row r="31" spans="1:125" x14ac:dyDescent="0.25">
      <c r="A31" t="str">
        <f>"    SAIC Motor Corp Ltd"</f>
        <v xml:space="preserve">    SAIC Motor Corp Ltd</v>
      </c>
      <c r="B31" t="str">
        <f>"600104 CH Equity"</f>
        <v>600104 CH Equity</v>
      </c>
      <c r="C31" t="str">
        <f t="shared" si="0"/>
        <v>RR844</v>
      </c>
      <c r="D31" t="str">
        <f t="shared" si="1"/>
        <v>T12M_DIL_EPS_CONT_OPS</v>
      </c>
      <c r="E31" t="str">
        <f t="shared" si="2"/>
        <v>Dynamic</v>
      </c>
      <c r="F31" t="str">
        <f ca="1">IF(AND(ISNUMBER($F$540),$B$511=1),$F$540,HLOOKUP(INDIRECT(ADDRESS(2,COLUMN())),OFFSET($BN$2,0,0,ROW()-1,60),ROW()-1,FALSE))</f>
        <v/>
      </c>
      <c r="G31" t="str">
        <f ca="1">IF(AND(ISNUMBER($G$540),$B$511=1),$G$540,HLOOKUP(INDIRECT(ADDRESS(2,COLUMN())),OFFSET($BN$2,0,0,ROW()-1,60),ROW()-1,FALSE))</f>
        <v/>
      </c>
      <c r="H31">
        <f ca="1">IF(AND(ISNUMBER($H$540),$B$511=1),$H$540,HLOOKUP(INDIRECT(ADDRESS(2,COLUMN())),OFFSET($BN$2,0,0,ROW()-1,60),ROW()-1,FALSE))</f>
        <v>0.486790536</v>
      </c>
      <c r="I31">
        <f ca="1">IF(AND(ISNUMBER($I$540),$B$511=1),$I$540,HLOOKUP(INDIRECT(ADDRESS(2,COLUMN())),OFFSET($BN$2,0,0,ROW()-1,60),ROW()-1,FALSE))</f>
        <v>0.49211444100000001</v>
      </c>
      <c r="J31">
        <f ca="1">IF(AND(ISNUMBER($J$540),$B$511=1),$J$540,HLOOKUP(INDIRECT(ADDRESS(2,COLUMN())),OFFSET($BN$2,0,0,ROW()-1,60),ROW()-1,FALSE))</f>
        <v>0.47095401799999997</v>
      </c>
      <c r="K31">
        <f ca="1">IF(AND(ISNUMBER($K$540),$B$511=1),$K$540,HLOOKUP(INDIRECT(ADDRESS(2,COLUMN())),OFFSET($BN$2,0,0,ROW()-1,60),ROW()-1,FALSE))</f>
        <v>0.44846909400000001</v>
      </c>
      <c r="L31">
        <f ca="1">IF(AND(ISNUMBER($L$540),$B$511=1),$L$540,HLOOKUP(INDIRECT(ADDRESS(2,COLUMN())),OFFSET($BN$2,0,0,ROW()-1,60),ROW()-1,FALSE))</f>
        <v>0.44565547100000003</v>
      </c>
      <c r="M31">
        <f ca="1">IF(AND(ISNUMBER($M$540),$B$511=1),$M$540,HLOOKUP(INDIRECT(ADDRESS(2,COLUMN())),OFFSET($BN$2,0,0,ROW()-1,60),ROW()-1,FALSE))</f>
        <v>0.44657635299999998</v>
      </c>
      <c r="N31">
        <f ca="1">IF(AND(ISNUMBER($N$540),$B$511=1),$N$540,HLOOKUP(INDIRECT(ADDRESS(2,COLUMN())),OFFSET($BN$2,0,0,ROW()-1,60),ROW()-1,FALSE))</f>
        <v>0.44910319500000001</v>
      </c>
      <c r="O31">
        <f ca="1">IF(AND(ISNUMBER($O$540),$B$511=1),$O$540,HLOOKUP(INDIRECT(ADDRESS(2,COLUMN())),OFFSET($BN$2,0,0,ROW()-1,60),ROW()-1,FALSE))</f>
        <v>0.45054206499999999</v>
      </c>
      <c r="P31">
        <f ca="1">IF(AND(ISNUMBER($P$540),$B$511=1),$P$540,HLOOKUP(INDIRECT(ADDRESS(2,COLUMN())),OFFSET($BN$2,0,0,ROW()-1,60),ROW()-1,FALSE))</f>
        <v>0.46581950300000002</v>
      </c>
      <c r="Q31">
        <f ca="1">IF(AND(ISNUMBER($Q$540),$B$511=1),$Q$540,HLOOKUP(INDIRECT(ADDRESS(2,COLUMN())),OFFSET($BN$2,0,0,ROW()-1,60),ROW()-1,FALSE))</f>
        <v>0.45672161700000002</v>
      </c>
      <c r="R31">
        <f ca="1">IF(AND(ISNUMBER($R$540),$B$511=1),$R$540,HLOOKUP(INDIRECT(ADDRESS(2,COLUMN())),OFFSET($BN$2,0,0,ROW()-1,60),ROW()-1,FALSE))</f>
        <v>0.45535974000000001</v>
      </c>
      <c r="S31">
        <f ca="1">IF(AND(ISNUMBER($S$540),$B$511=1),$S$540,HLOOKUP(INDIRECT(ADDRESS(2,COLUMN())),OFFSET($BN$2,0,0,ROW()-1,60),ROW()-1,FALSE))</f>
        <v>0.45801828500000002</v>
      </c>
      <c r="T31">
        <f ca="1">IF(AND(ISNUMBER($T$540),$B$511=1),$T$540,HLOOKUP(INDIRECT(ADDRESS(2,COLUMN())),OFFSET($BN$2,0,0,ROW()-1,60),ROW()-1,FALSE))</f>
        <v>0.45053422900000001</v>
      </c>
      <c r="U31">
        <f ca="1">IF(AND(ISNUMBER($U$540),$B$511=1),$U$540,HLOOKUP(INDIRECT(ADDRESS(2,COLUMN())),OFFSET($BN$2,0,0,ROW()-1,60),ROW()-1,FALSE))</f>
        <v>0.44951897200000002</v>
      </c>
      <c r="V31">
        <f ca="1">IF(AND(ISNUMBER($V$540),$B$511=1),$V$540,HLOOKUP(INDIRECT(ADDRESS(2,COLUMN())),OFFSET($BN$2,0,0,ROW()-1,60),ROW()-1,FALSE))</f>
        <v>0.44977488900000001</v>
      </c>
      <c r="W31">
        <f ca="1">IF(AND(ISNUMBER($W$540),$B$511=1),$W$540,HLOOKUP(INDIRECT(ADDRESS(2,COLUMN())),OFFSET($BN$2,0,0,ROW()-1,60),ROW()-1,FALSE))</f>
        <v>0.44489704800000002</v>
      </c>
      <c r="X31">
        <f ca="1">IF(AND(ISNUMBER($X$540),$B$511=1),$X$540,HLOOKUP(INDIRECT(ADDRESS(2,COLUMN())),OFFSET($BN$2,0,0,ROW()-1,60),ROW()-1,FALSE))</f>
        <v>0.43220874500000001</v>
      </c>
      <c r="Y31">
        <f ca="1">IF(AND(ISNUMBER($Y$540),$B$511=1),$Y$540,HLOOKUP(INDIRECT(ADDRESS(2,COLUMN())),OFFSET($BN$2,0,0,ROW()-1,60),ROW()-1,FALSE))</f>
        <v>0.417022952</v>
      </c>
      <c r="Z31">
        <f ca="1">IF(AND(ISNUMBER($Z$540),$B$511=1),$Z$540,HLOOKUP(INDIRECT(ADDRESS(2,COLUMN())),OFFSET($BN$2,0,0,ROW()-1,60),ROW()-1,FALSE))</f>
        <v>0.39442097500000001</v>
      </c>
      <c r="AA31">
        <f ca="1">IF(AND(ISNUMBER($AA$540),$B$511=1),$AA$540,HLOOKUP(INDIRECT(ADDRESS(2,COLUMN())),OFFSET($BN$2,0,0,ROW()-1,60),ROW()-1,FALSE))</f>
        <v>0.37504455399999997</v>
      </c>
      <c r="AB31">
        <f ca="1">IF(AND(ISNUMBER($AB$540),$B$511=1),$AB$540,HLOOKUP(INDIRECT(ADDRESS(2,COLUMN())),OFFSET($BN$2,0,0,ROW()-1,60),ROW()-1,FALSE))</f>
        <v>0.32689336400000002</v>
      </c>
      <c r="AC31">
        <f ca="1">IF(AND(ISNUMBER($AC$540),$B$511=1),$AC$540,HLOOKUP(INDIRECT(ADDRESS(2,COLUMN())),OFFSET($BN$2,0,0,ROW()-1,60),ROW()-1,FALSE))</f>
        <v>0.31409227699999998</v>
      </c>
      <c r="AD31">
        <f ca="1">IF(AND(ISNUMBER($AD$540),$B$511=1),$AD$540,HLOOKUP(INDIRECT(ADDRESS(2,COLUMN())),OFFSET($BN$2,0,0,ROW()-1,60),ROW()-1,FALSE))</f>
        <v>0.31450536800000001</v>
      </c>
      <c r="AE31">
        <f ca="1">IF(AND(ISNUMBER($AE$540),$B$511=1),$AE$540,HLOOKUP(INDIRECT(ADDRESS(2,COLUMN())),OFFSET($BN$2,0,0,ROW()-1,60),ROW()-1,FALSE))</f>
        <v>0.30934837900000001</v>
      </c>
      <c r="AF31">
        <f ca="1">IF(AND(ISNUMBER($AF$540),$B$511=1),$AF$540,HLOOKUP(INDIRECT(ADDRESS(2,COLUMN())),OFFSET($BN$2,0,0,ROW()-1,60),ROW()-1,FALSE))</f>
        <v>0.34644140800000001</v>
      </c>
      <c r="AG31">
        <f ca="1">IF(AND(ISNUMBER($AG$540),$B$511=1),$AG$540,HLOOKUP(INDIRECT(ADDRESS(2,COLUMN())),OFFSET($BN$2,0,0,ROW()-1,60),ROW()-1,FALSE))</f>
        <v>0.36334625700000001</v>
      </c>
      <c r="AH31">
        <f ca="1">IF(AND(ISNUMBER($AH$540),$B$511=1),$AH$540,HLOOKUP(INDIRECT(ADDRESS(2,COLUMN())),OFFSET($BN$2,0,0,ROW()-1,60),ROW()-1,FALSE))</f>
        <v>0.37417115499999998</v>
      </c>
      <c r="AI31">
        <f ca="1">IF(AND(ISNUMBER($AI$540),$B$511=1),$AI$540,HLOOKUP(INDIRECT(ADDRESS(2,COLUMN())),OFFSET($BN$2,0,0,ROW()-1,60),ROW()-1,FALSE))</f>
        <v>0.38123305000000002</v>
      </c>
      <c r="AJ31">
        <f ca="1">IF(AND(ISNUMBER($AJ$540),$B$511=1),$AJ$540,HLOOKUP(INDIRECT(ADDRESS(2,COLUMN())),OFFSET($BN$2,0,0,ROW()-1,60),ROW()-1,FALSE))</f>
        <v>0.39530558999999998</v>
      </c>
      <c r="AK31">
        <f ca="1">IF(AND(ISNUMBER($AK$540),$B$511=1),$AK$540,HLOOKUP(INDIRECT(ADDRESS(2,COLUMN())),OFFSET($BN$2,0,0,ROW()-1,60),ROW()-1,FALSE))</f>
        <v>0.36611468200000002</v>
      </c>
      <c r="AL31">
        <f ca="1">IF(AND(ISNUMBER($AL$540),$B$511=1),$AL$540,HLOOKUP(INDIRECT(ADDRESS(2,COLUMN())),OFFSET($BN$2,0,0,ROW()-1,60),ROW()-1,FALSE))</f>
        <v>0.33110194799999998</v>
      </c>
      <c r="AM31">
        <f ca="1">IF(AND(ISNUMBER($AM$540),$B$511=1),$AM$540,HLOOKUP(INDIRECT(ADDRESS(2,COLUMN())),OFFSET($BN$2,0,0,ROW()-1,60),ROW()-1,FALSE))</f>
        <v>0.292256026</v>
      </c>
      <c r="AN31">
        <f ca="1">IF(AND(ISNUMBER($AN$540),$B$511=1),$AN$540,HLOOKUP(INDIRECT(ADDRESS(2,COLUMN())),OFFSET($BN$2,0,0,ROW()-1,60),ROW()-1,FALSE))</f>
        <v>0.20731075400000001</v>
      </c>
      <c r="AO31">
        <f ca="1">IF(AND(ISNUMBER($AO$540),$B$511=1),$AO$540,HLOOKUP(INDIRECT(ADDRESS(2,COLUMN())),OFFSET($BN$2,0,0,ROW()-1,60),ROW()-1,FALSE))</f>
        <v>0.18974933399999999</v>
      </c>
      <c r="AP31">
        <f ca="1">IF(AND(ISNUMBER($AP$540),$B$511=1),$AP$540,HLOOKUP(INDIRECT(ADDRESS(2,COLUMN())),OFFSET($BN$2,0,0,ROW()-1,60),ROW()-1,FALSE))</f>
        <v>0.17002406</v>
      </c>
      <c r="AQ31">
        <f ca="1">IF(AND(ISNUMBER($AQ$540),$B$511=1),$AQ$540,HLOOKUP(INDIRECT(ADDRESS(2,COLUMN())),OFFSET($BN$2,0,0,ROW()-1,60),ROW()-1,FALSE))</f>
        <v>0.13247357700000001</v>
      </c>
      <c r="AR31" t="str">
        <f ca="1">IF(AND(ISNUMBER($AR$540),$B$511=1),$AR$540,HLOOKUP(INDIRECT(ADDRESS(2,COLUMN())),OFFSET($BN$2,0,0,ROW()-1,60),ROW()-1,FALSE))</f>
        <v/>
      </c>
      <c r="AS31" t="str">
        <f ca="1">IF(AND(ISNUMBER($AS$540),$B$511=1),$AS$540,HLOOKUP(INDIRECT(ADDRESS(2,COLUMN())),OFFSET($BN$2,0,0,ROW()-1,60),ROW()-1,FALSE))</f>
        <v/>
      </c>
      <c r="AT31" t="str">
        <f ca="1">IF(AND(ISNUMBER($AT$540),$B$511=1),$AT$540,HLOOKUP(INDIRECT(ADDRESS(2,COLUMN())),OFFSET($BN$2,0,0,ROW()-1,60),ROW()-1,FALSE))</f>
        <v/>
      </c>
      <c r="AU31" t="str">
        <f ca="1">IF(AND(ISNUMBER($AU$540),$B$511=1),$AU$540,HLOOKUP(INDIRECT(ADDRESS(2,COLUMN())),OFFSET($BN$2,0,0,ROW()-1,60),ROW()-1,FALSE))</f>
        <v/>
      </c>
      <c r="AV31" t="str">
        <f ca="1">IF(AND(ISNUMBER($AV$540),$B$511=1),$AV$540,HLOOKUP(INDIRECT(ADDRESS(2,COLUMN())),OFFSET($BN$2,0,0,ROW()-1,60),ROW()-1,FALSE))</f>
        <v/>
      </c>
      <c r="AW31" t="str">
        <f ca="1">IF(AND(ISNUMBER($AW$540),$B$511=1),$AW$540,HLOOKUP(INDIRECT(ADDRESS(2,COLUMN())),OFFSET($BN$2,0,0,ROW()-1,60),ROW()-1,FALSE))</f>
        <v/>
      </c>
      <c r="AX31" t="str">
        <f ca="1">IF(AND(ISNUMBER($AX$540),$B$511=1),$AX$540,HLOOKUP(INDIRECT(ADDRESS(2,COLUMN())),OFFSET($BN$2,0,0,ROW()-1,60),ROW()-1,FALSE))</f>
        <v/>
      </c>
      <c r="AY31" t="str">
        <f ca="1">IF(AND(ISNUMBER($AY$540),$B$511=1),$AY$540,HLOOKUP(INDIRECT(ADDRESS(2,COLUMN())),OFFSET($BN$2,0,0,ROW()-1,60),ROW()-1,FALSE))</f>
        <v/>
      </c>
      <c r="AZ31" t="str">
        <f ca="1">IF(AND(ISNUMBER($AZ$540),$B$511=1),$AZ$540,HLOOKUP(INDIRECT(ADDRESS(2,COLUMN())),OFFSET($BN$2,0,0,ROW()-1,60),ROW()-1,FALSE))</f>
        <v/>
      </c>
      <c r="BA31" t="str">
        <f ca="1">IF(AND(ISNUMBER($BA$540),$B$511=1),$BA$540,HLOOKUP(INDIRECT(ADDRESS(2,COLUMN())),OFFSET($BN$2,0,0,ROW()-1,60),ROW()-1,FALSE))</f>
        <v/>
      </c>
      <c r="BB31" t="str">
        <f ca="1">IF(AND(ISNUMBER($BB$540),$B$511=1),$BB$540,HLOOKUP(INDIRECT(ADDRESS(2,COLUMN())),OFFSET($BN$2,0,0,ROW()-1,60),ROW()-1,FALSE))</f>
        <v/>
      </c>
      <c r="BC31" t="str">
        <f ca="1">IF(AND(ISNUMBER($BC$540),$B$511=1),$BC$540,HLOOKUP(INDIRECT(ADDRESS(2,COLUMN())),OFFSET($BN$2,0,0,ROW()-1,60),ROW()-1,FALSE))</f>
        <v/>
      </c>
      <c r="BD31" t="str">
        <f ca="1">IF(AND(ISNUMBER($BD$540),$B$511=1),$BD$540,HLOOKUP(INDIRECT(ADDRESS(2,COLUMN())),OFFSET($BN$2,0,0,ROW()-1,60),ROW()-1,FALSE))</f>
        <v/>
      </c>
      <c r="BE31" t="str">
        <f ca="1">IF(AND(ISNUMBER($BE$540),$B$511=1),$BE$540,HLOOKUP(INDIRECT(ADDRESS(2,COLUMN())),OFFSET($BN$2,0,0,ROW()-1,60),ROW()-1,FALSE))</f>
        <v/>
      </c>
      <c r="BF31" t="str">
        <f ca="1">IF(AND(ISNUMBER($BF$540),$B$511=1),$BF$540,HLOOKUP(INDIRECT(ADDRESS(2,COLUMN())),OFFSET($BN$2,0,0,ROW()-1,60),ROW()-1,FALSE))</f>
        <v/>
      </c>
      <c r="BG31" t="str">
        <f ca="1">IF(AND(ISNUMBER($BG$540),$B$511=1),$BG$540,HLOOKUP(INDIRECT(ADDRESS(2,COLUMN())),OFFSET($BN$2,0,0,ROW()-1,60),ROW()-1,FALSE))</f>
        <v/>
      </c>
      <c r="BH31" t="str">
        <f ca="1">IF(AND(ISNUMBER($BH$540),$B$511=1),$BH$540,HLOOKUP(INDIRECT(ADDRESS(2,COLUMN())),OFFSET($BN$2,0,0,ROW()-1,60),ROW()-1,FALSE))</f>
        <v/>
      </c>
      <c r="BI31" t="str">
        <f ca="1">IF(AND(ISNUMBER($BI$540),$B$511=1),$BI$540,HLOOKUP(INDIRECT(ADDRESS(2,COLUMN())),OFFSET($BN$2,0,0,ROW()-1,60),ROW()-1,FALSE))</f>
        <v/>
      </c>
      <c r="BJ31" t="str">
        <f ca="1">IF(AND(ISNUMBER($BJ$540),$B$511=1),$BJ$540,HLOOKUP(INDIRECT(ADDRESS(2,COLUMN())),OFFSET($BN$2,0,0,ROW()-1,60),ROW()-1,FALSE))</f>
        <v/>
      </c>
      <c r="BK31" t="str">
        <f ca="1">IF(AND(ISNUMBER($BK$540),$B$511=1),$BK$540,HLOOKUP(INDIRECT(ADDRESS(2,COLUMN())),OFFSET($BN$2,0,0,ROW()-1,60),ROW()-1,FALSE))</f>
        <v/>
      </c>
      <c r="BL31" t="str">
        <f ca="1">IF(AND(ISNUMBER($BL$540),$B$511=1),$BL$540,HLOOKUP(INDIRECT(ADDRESS(2,COLUMN())),OFFSET($BN$2,0,0,ROW()-1,60),ROW()-1,FALSE))</f>
        <v/>
      </c>
      <c r="BM31" t="str">
        <f ca="1">IF(AND(ISNUMBER($BM$540),$B$511=1),$BM$540,HLOOKUP(INDIRECT(ADDRESS(2,COLUMN())),OFFSET($BN$2,0,0,ROW()-1,60),ROW()-1,FALSE))</f>
        <v/>
      </c>
      <c r="BN31" t="str">
        <f>""</f>
        <v/>
      </c>
      <c r="BO31" t="str">
        <f>""</f>
        <v/>
      </c>
      <c r="BP31">
        <f>0.486790536</f>
        <v>0.486790536</v>
      </c>
      <c r="BQ31">
        <f>0.492114441</f>
        <v>0.49211444100000001</v>
      </c>
      <c r="BR31">
        <f>0.470954018</f>
        <v>0.47095401799999997</v>
      </c>
      <c r="BS31">
        <f>0.448469094</f>
        <v>0.44846909400000001</v>
      </c>
      <c r="BT31">
        <f>0.445655471</f>
        <v>0.44565547100000003</v>
      </c>
      <c r="BU31">
        <f>0.446576353</f>
        <v>0.44657635299999998</v>
      </c>
      <c r="BV31">
        <f>0.449103195</f>
        <v>0.44910319500000001</v>
      </c>
      <c r="BW31">
        <f>0.450542065</f>
        <v>0.45054206499999999</v>
      </c>
      <c r="BX31">
        <f>0.465819503</f>
        <v>0.46581950300000002</v>
      </c>
      <c r="BY31">
        <f>0.456721617</f>
        <v>0.45672161700000002</v>
      </c>
      <c r="BZ31">
        <f>0.45535974</f>
        <v>0.45535974000000001</v>
      </c>
      <c r="CA31">
        <f>0.458018285</f>
        <v>0.45801828500000002</v>
      </c>
      <c r="CB31">
        <f>0.450534229</f>
        <v>0.45053422900000001</v>
      </c>
      <c r="CC31">
        <f>0.449518972</f>
        <v>0.44951897200000002</v>
      </c>
      <c r="CD31">
        <f>0.449774889</f>
        <v>0.44977488900000001</v>
      </c>
      <c r="CE31">
        <f>0.444897048</f>
        <v>0.44489704800000002</v>
      </c>
      <c r="CF31">
        <f>0.432208745</f>
        <v>0.43220874500000001</v>
      </c>
      <c r="CG31">
        <f>0.417022952</f>
        <v>0.417022952</v>
      </c>
      <c r="CH31">
        <f>0.394420975</f>
        <v>0.39442097500000001</v>
      </c>
      <c r="CI31">
        <f>0.375044554</f>
        <v>0.37504455399999997</v>
      </c>
      <c r="CJ31">
        <f>0.326893364</f>
        <v>0.32689336400000002</v>
      </c>
      <c r="CK31">
        <f>0.314092277</f>
        <v>0.31409227699999998</v>
      </c>
      <c r="CL31">
        <f>0.314505368</f>
        <v>0.31450536800000001</v>
      </c>
      <c r="CM31">
        <f>0.309348379</f>
        <v>0.30934837900000001</v>
      </c>
      <c r="CN31">
        <f>0.346441408</f>
        <v>0.34644140800000001</v>
      </c>
      <c r="CO31">
        <f>0.363346257</f>
        <v>0.36334625700000001</v>
      </c>
      <c r="CP31">
        <f>0.374171155</f>
        <v>0.37417115499999998</v>
      </c>
      <c r="CQ31">
        <f>0.38123305</f>
        <v>0.38123305000000002</v>
      </c>
      <c r="CR31">
        <f>0.39530559</f>
        <v>0.39530558999999998</v>
      </c>
      <c r="CS31">
        <f>0.366114682</f>
        <v>0.36611468200000002</v>
      </c>
      <c r="CT31">
        <f>0.331101948</f>
        <v>0.33110194799999998</v>
      </c>
      <c r="CU31">
        <f>0.292256026</f>
        <v>0.292256026</v>
      </c>
      <c r="CV31">
        <f>0.207310754</f>
        <v>0.20731075400000001</v>
      </c>
      <c r="CW31">
        <f>0.189749334</f>
        <v>0.18974933399999999</v>
      </c>
      <c r="CX31">
        <f>0.17002406</f>
        <v>0.17002406</v>
      </c>
      <c r="CY31">
        <f>0.132473577</f>
        <v>0.13247357700000001</v>
      </c>
      <c r="CZ31" t="str">
        <f>""</f>
        <v/>
      </c>
      <c r="DA31" t="str">
        <f>""</f>
        <v/>
      </c>
      <c r="DB31" t="str">
        <f>""</f>
        <v/>
      </c>
      <c r="DC31" t="str">
        <f>""</f>
        <v/>
      </c>
      <c r="DD31" t="str">
        <f>""</f>
        <v/>
      </c>
      <c r="DE31" t="str">
        <f>""</f>
        <v/>
      </c>
      <c r="DF31" t="str">
        <f>""</f>
        <v/>
      </c>
      <c r="DG31" t="str">
        <f>""</f>
        <v/>
      </c>
      <c r="DH31" t="str">
        <f>""</f>
        <v/>
      </c>
      <c r="DI31" t="str">
        <f>""</f>
        <v/>
      </c>
      <c r="DJ31" t="str">
        <f>""</f>
        <v/>
      </c>
      <c r="DK31" t="str">
        <f>""</f>
        <v/>
      </c>
      <c r="DL31" t="str">
        <f>""</f>
        <v/>
      </c>
      <c r="DM31" t="str">
        <f>""</f>
        <v/>
      </c>
      <c r="DN31" t="str">
        <f>""</f>
        <v/>
      </c>
      <c r="DO31" t="str">
        <f>""</f>
        <v/>
      </c>
      <c r="DP31" t="str">
        <f>""</f>
        <v/>
      </c>
      <c r="DQ31" t="str">
        <f>""</f>
        <v/>
      </c>
      <c r="DR31" t="str">
        <f>""</f>
        <v/>
      </c>
      <c r="DS31" t="str">
        <f>""</f>
        <v/>
      </c>
      <c r="DT31" t="str">
        <f>""</f>
        <v/>
      </c>
      <c r="DU31" t="str">
        <f>""</f>
        <v/>
      </c>
    </row>
    <row r="32" spans="1:125" x14ac:dyDescent="0.25">
      <c r="A32" t="str">
        <f>"    Sanyang Motor Co Ltd"</f>
        <v xml:space="preserve">    Sanyang Motor Co Ltd</v>
      </c>
      <c r="B32" t="str">
        <f>"2206 TT Equity"</f>
        <v>2206 TT Equity</v>
      </c>
      <c r="C32" t="str">
        <f t="shared" si="0"/>
        <v>RR844</v>
      </c>
      <c r="D32" t="str">
        <f t="shared" si="1"/>
        <v>T12M_DIL_EPS_CONT_OPS</v>
      </c>
      <c r="E32" t="str">
        <f t="shared" si="2"/>
        <v>Dynamic</v>
      </c>
      <c r="F32" t="str">
        <f ca="1">IF(AND(ISNUMBER($F$541),$B$511=1),$F$541,HLOOKUP(INDIRECT(ADDRESS(2,COLUMN())),OFFSET($BN$2,0,0,ROW()-1,60),ROW()-1,FALSE))</f>
        <v/>
      </c>
      <c r="G32" t="str">
        <f ca="1">IF(AND(ISNUMBER($G$541),$B$511=1),$G$541,HLOOKUP(INDIRECT(ADDRESS(2,COLUMN())),OFFSET($BN$2,0,0,ROW()-1,60),ROW()-1,FALSE))</f>
        <v/>
      </c>
      <c r="H32">
        <f ca="1">IF(AND(ISNUMBER($H$541),$B$511=1),$H$541,HLOOKUP(INDIRECT(ADDRESS(2,COLUMN())),OFFSET($BN$2,0,0,ROW()-1,60),ROW()-1,FALSE))</f>
        <v>1.5885489999999999E-2</v>
      </c>
      <c r="I32">
        <f ca="1">IF(AND(ISNUMBER($I$541),$B$511=1),$I$541,HLOOKUP(INDIRECT(ADDRESS(2,COLUMN())),OFFSET($BN$2,0,0,ROW()-1,60),ROW()-1,FALSE))</f>
        <v>1.7095440999999999E-2</v>
      </c>
      <c r="J32">
        <f ca="1">IF(AND(ISNUMBER($J$541),$B$511=1),$J$541,HLOOKUP(INDIRECT(ADDRESS(2,COLUMN())),OFFSET($BN$2,0,0,ROW()-1,60),ROW()-1,FALSE))</f>
        <v>2.8376345000000001E-2</v>
      </c>
      <c r="K32">
        <f ca="1">IF(AND(ISNUMBER($K$541),$B$511=1),$K$541,HLOOKUP(INDIRECT(ADDRESS(2,COLUMN())),OFFSET($BN$2,0,0,ROW()-1,60),ROW()-1,FALSE))</f>
        <v>1.9601942000000001E-2</v>
      </c>
      <c r="L32">
        <f ca="1">IF(AND(ISNUMBER($L$541),$B$511=1),$L$541,HLOOKUP(INDIRECT(ADDRESS(2,COLUMN())),OFFSET($BN$2,0,0,ROW()-1,60),ROW()-1,FALSE))</f>
        <v>1.9605628999999999E-2</v>
      </c>
      <c r="M32">
        <f ca="1">IF(AND(ISNUMBER($M$541),$B$511=1),$M$541,HLOOKUP(INDIRECT(ADDRESS(2,COLUMN())),OFFSET($BN$2,0,0,ROW()-1,60),ROW()-1,FALSE))</f>
        <v>-6.5987100000000003E-4</v>
      </c>
      <c r="N32">
        <f ca="1">IF(AND(ISNUMBER($N$541),$B$511=1),$N$541,HLOOKUP(INDIRECT(ADDRESS(2,COLUMN())),OFFSET($BN$2,0,0,ROW()-1,60),ROW()-1,FALSE))</f>
        <v>-1.4269291999999999E-2</v>
      </c>
      <c r="O32">
        <f ca="1">IF(AND(ISNUMBER($O$541),$B$511=1),$O$541,HLOOKUP(INDIRECT(ADDRESS(2,COLUMN())),OFFSET($BN$2,0,0,ROW()-1,60),ROW()-1,FALSE))</f>
        <v>-1.2961317999999999E-2</v>
      </c>
      <c r="P32">
        <f ca="1">IF(AND(ISNUMBER($P$541),$B$511=1),$P$541,HLOOKUP(INDIRECT(ADDRESS(2,COLUMN())),OFFSET($BN$2,0,0,ROW()-1,60),ROW()-1,FALSE))</f>
        <v>-1.5519386E-2</v>
      </c>
      <c r="Q32">
        <f ca="1">IF(AND(ISNUMBER($Q$541),$B$511=1),$Q$541,HLOOKUP(INDIRECT(ADDRESS(2,COLUMN())),OFFSET($BN$2,0,0,ROW()-1,60),ROW()-1,FALSE))</f>
        <v>0.100574715</v>
      </c>
      <c r="R32">
        <f ca="1">IF(AND(ISNUMBER($R$541),$B$511=1),$R$541,HLOOKUP(INDIRECT(ADDRESS(2,COLUMN())),OFFSET($BN$2,0,0,ROW()-1,60),ROW()-1,FALSE))</f>
        <v>0.110515751</v>
      </c>
      <c r="S32">
        <f ca="1">IF(AND(ISNUMBER($S$541),$B$511=1),$S$541,HLOOKUP(INDIRECT(ADDRESS(2,COLUMN())),OFFSET($BN$2,0,0,ROW()-1,60),ROW()-1,FALSE))</f>
        <v>0.112216813</v>
      </c>
      <c r="T32">
        <f ca="1">IF(AND(ISNUMBER($T$541),$B$511=1),$T$541,HLOOKUP(INDIRECT(ADDRESS(2,COLUMN())),OFFSET($BN$2,0,0,ROW()-1,60),ROW()-1,FALSE))</f>
        <v>0.12003423000000001</v>
      </c>
      <c r="U32">
        <f ca="1">IF(AND(ISNUMBER($U$541),$B$511=1),$U$541,HLOOKUP(INDIRECT(ADDRESS(2,COLUMN())),OFFSET($BN$2,0,0,ROW()-1,60),ROW()-1,FALSE))</f>
        <v>7.3413050000000002E-3</v>
      </c>
      <c r="V32">
        <f ca="1">IF(AND(ISNUMBER($V$541),$B$511=1),$V$541,HLOOKUP(INDIRECT(ADDRESS(2,COLUMN())),OFFSET($BN$2,0,0,ROW()-1,60),ROW()-1,FALSE))</f>
        <v>-1.9712071000000001E-2</v>
      </c>
      <c r="W32">
        <f ca="1">IF(AND(ISNUMBER($W$541),$B$511=1),$W$541,HLOOKUP(INDIRECT(ADDRESS(2,COLUMN())),OFFSET($BN$2,0,0,ROW()-1,60),ROW()-1,FALSE))</f>
        <v>-2.5980794000000001E-2</v>
      </c>
      <c r="X32">
        <f ca="1">IF(AND(ISNUMBER($X$541),$B$511=1),$X$541,HLOOKUP(INDIRECT(ADDRESS(2,COLUMN())),OFFSET($BN$2,0,0,ROW()-1,60),ROW()-1,FALSE))</f>
        <v>-4.2507351999999998E-2</v>
      </c>
      <c r="Y32">
        <f ca="1">IF(AND(ISNUMBER($Y$541),$B$511=1),$Y$541,HLOOKUP(INDIRECT(ADDRESS(2,COLUMN())),OFFSET($BN$2,0,0,ROW()-1,60),ROW()-1,FALSE))</f>
        <v>-4.03991E-2</v>
      </c>
      <c r="Z32">
        <f ca="1">IF(AND(ISNUMBER($Z$541),$B$511=1),$Z$541,HLOOKUP(INDIRECT(ADDRESS(2,COLUMN())),OFFSET($BN$2,0,0,ROW()-1,60),ROW()-1,FALSE))</f>
        <v>-1.9868038000000001E-2</v>
      </c>
      <c r="AA32">
        <f ca="1">IF(AND(ISNUMBER($AA$541),$B$511=1),$AA$541,HLOOKUP(INDIRECT(ADDRESS(2,COLUMN())),OFFSET($BN$2,0,0,ROW()-1,60),ROW()-1,FALSE))</f>
        <v>-1.5613821999999999E-2</v>
      </c>
      <c r="AB32">
        <f ca="1">IF(AND(ISNUMBER($AB$541),$B$511=1),$AB$541,HLOOKUP(INDIRECT(ADDRESS(2,COLUMN())),OFFSET($BN$2,0,0,ROW()-1,60),ROW()-1,FALSE))</f>
        <v>-9.3946299999999997E-4</v>
      </c>
      <c r="AC32">
        <f ca="1">IF(AND(ISNUMBER($AC$541),$B$511=1),$AC$541,HLOOKUP(INDIRECT(ADDRESS(2,COLUMN())),OFFSET($BN$2,0,0,ROW()-1,60),ROW()-1,FALSE))</f>
        <v>9.5946699999999996E-3</v>
      </c>
      <c r="AD32">
        <f ca="1">IF(AND(ISNUMBER($AD$541),$B$511=1),$AD$541,HLOOKUP(INDIRECT(ADDRESS(2,COLUMN())),OFFSET($BN$2,0,0,ROW()-1,60),ROW()-1,FALSE))</f>
        <v>1.0016778E-2</v>
      </c>
      <c r="AE32">
        <f ca="1">IF(AND(ISNUMBER($AE$541),$B$511=1),$AE$541,HLOOKUP(INDIRECT(ADDRESS(2,COLUMN())),OFFSET($BN$2,0,0,ROW()-1,60),ROW()-1,FALSE))</f>
        <v>1.7900643000000001E-2</v>
      </c>
      <c r="AF32">
        <f ca="1">IF(AND(ISNUMBER($AF$541),$B$511=1),$AF$541,HLOOKUP(INDIRECT(ADDRESS(2,COLUMN())),OFFSET($BN$2,0,0,ROW()-1,60),ROW()-1,FALSE))</f>
        <v>1.8867043999999999E-2</v>
      </c>
      <c r="AG32">
        <f ca="1">IF(AND(ISNUMBER($AG$541),$B$511=1),$AG$541,HLOOKUP(INDIRECT(ADDRESS(2,COLUMN())),OFFSET($BN$2,0,0,ROW()-1,60),ROW()-1,FALSE))</f>
        <v>2.4456569000000001E-2</v>
      </c>
      <c r="AH32">
        <f ca="1">IF(AND(ISNUMBER($AH$541),$B$511=1),$AH$541,HLOOKUP(INDIRECT(ADDRESS(2,COLUMN())),OFFSET($BN$2,0,0,ROW()-1,60),ROW()-1,FALSE))</f>
        <v>3.6492687000000003E-2</v>
      </c>
      <c r="AI32">
        <f ca="1">IF(AND(ISNUMBER($AI$541),$B$511=1),$AI$541,HLOOKUP(INDIRECT(ADDRESS(2,COLUMN())),OFFSET($BN$2,0,0,ROW()-1,60),ROW()-1,FALSE))</f>
        <v>4.3513492000000001E-2</v>
      </c>
      <c r="AJ32">
        <f ca="1">IF(AND(ISNUMBER($AJ$541),$B$511=1),$AJ$541,HLOOKUP(INDIRECT(ADDRESS(2,COLUMN())),OFFSET($BN$2,0,0,ROW()-1,60),ROW()-1,FALSE))</f>
        <v>4.7306496000000003E-2</v>
      </c>
      <c r="AK32">
        <f ca="1">IF(AND(ISNUMBER($AK$541),$B$511=1),$AK$541,HLOOKUP(INDIRECT(ADDRESS(2,COLUMN())),OFFSET($BN$2,0,0,ROW()-1,60),ROW()-1,FALSE))</f>
        <v>4.3423768000000001E-2</v>
      </c>
      <c r="AL32">
        <f ca="1">IF(AND(ISNUMBER($AL$541),$B$511=1),$AL$541,HLOOKUP(INDIRECT(ADDRESS(2,COLUMN())),OFFSET($BN$2,0,0,ROW()-1,60),ROW()-1,FALSE))</f>
        <v>3.2063912999999999E-2</v>
      </c>
      <c r="AM32">
        <f ca="1">IF(AND(ISNUMBER($AM$541),$B$511=1),$AM$541,HLOOKUP(INDIRECT(ADDRESS(2,COLUMN())),OFFSET($BN$2,0,0,ROW()-1,60),ROW()-1,FALSE))</f>
        <v>2.1465952E-2</v>
      </c>
      <c r="AN32">
        <f ca="1">IF(AND(ISNUMBER($AN$541),$B$511=1),$AN$541,HLOOKUP(INDIRECT(ADDRESS(2,COLUMN())),OFFSET($BN$2,0,0,ROW()-1,60),ROW()-1,FALSE))</f>
        <v>2.4737856999999999E-2</v>
      </c>
      <c r="AO32">
        <f ca="1">IF(AND(ISNUMBER($AO$541),$B$511=1),$AO$541,HLOOKUP(INDIRECT(ADDRESS(2,COLUMN())),OFFSET($BN$2,0,0,ROW()-1,60),ROW()-1,FALSE))</f>
        <v>2.0226672000000001E-2</v>
      </c>
      <c r="AP32">
        <f ca="1">IF(AND(ISNUMBER($AP$541),$B$511=1),$AP$541,HLOOKUP(INDIRECT(ADDRESS(2,COLUMN())),OFFSET($BN$2,0,0,ROW()-1,60),ROW()-1,FALSE))</f>
        <v>1.4433143000000001E-2</v>
      </c>
      <c r="AQ32">
        <f ca="1">IF(AND(ISNUMBER($AQ$541),$B$511=1),$AQ$541,HLOOKUP(INDIRECT(ADDRESS(2,COLUMN())),OFFSET($BN$2,0,0,ROW()-1,60),ROW()-1,FALSE))</f>
        <v>-2.9396069999999999E-3</v>
      </c>
      <c r="AR32" t="str">
        <f ca="1">IF(AND(ISNUMBER($AR$541),$B$511=1),$AR$541,HLOOKUP(INDIRECT(ADDRESS(2,COLUMN())),OFFSET($BN$2,0,0,ROW()-1,60),ROW()-1,FALSE))</f>
        <v/>
      </c>
      <c r="AS32" t="str">
        <f ca="1">IF(AND(ISNUMBER($AS$541),$B$511=1),$AS$541,HLOOKUP(INDIRECT(ADDRESS(2,COLUMN())),OFFSET($BN$2,0,0,ROW()-1,60),ROW()-1,FALSE))</f>
        <v/>
      </c>
      <c r="AT32" t="str">
        <f ca="1">IF(AND(ISNUMBER($AT$541),$B$511=1),$AT$541,HLOOKUP(INDIRECT(ADDRESS(2,COLUMN())),OFFSET($BN$2,0,0,ROW()-1,60),ROW()-1,FALSE))</f>
        <v/>
      </c>
      <c r="AU32" t="str">
        <f ca="1">IF(AND(ISNUMBER($AU$541),$B$511=1),$AU$541,HLOOKUP(INDIRECT(ADDRESS(2,COLUMN())),OFFSET($BN$2,0,0,ROW()-1,60),ROW()-1,FALSE))</f>
        <v/>
      </c>
      <c r="AV32" t="str">
        <f ca="1">IF(AND(ISNUMBER($AV$541),$B$511=1),$AV$541,HLOOKUP(INDIRECT(ADDRESS(2,COLUMN())),OFFSET($BN$2,0,0,ROW()-1,60),ROW()-1,FALSE))</f>
        <v/>
      </c>
      <c r="AW32" t="str">
        <f ca="1">IF(AND(ISNUMBER($AW$541),$B$511=1),$AW$541,HLOOKUP(INDIRECT(ADDRESS(2,COLUMN())),OFFSET($BN$2,0,0,ROW()-1,60),ROW()-1,FALSE))</f>
        <v/>
      </c>
      <c r="AX32" t="str">
        <f ca="1">IF(AND(ISNUMBER($AX$541),$B$511=1),$AX$541,HLOOKUP(INDIRECT(ADDRESS(2,COLUMN())),OFFSET($BN$2,0,0,ROW()-1,60),ROW()-1,FALSE))</f>
        <v/>
      </c>
      <c r="AY32" t="str">
        <f ca="1">IF(AND(ISNUMBER($AY$541),$B$511=1),$AY$541,HLOOKUP(INDIRECT(ADDRESS(2,COLUMN())),OFFSET($BN$2,0,0,ROW()-1,60),ROW()-1,FALSE))</f>
        <v/>
      </c>
      <c r="AZ32" t="str">
        <f ca="1">IF(AND(ISNUMBER($AZ$541),$B$511=1),$AZ$541,HLOOKUP(INDIRECT(ADDRESS(2,COLUMN())),OFFSET($BN$2,0,0,ROW()-1,60),ROW()-1,FALSE))</f>
        <v/>
      </c>
      <c r="BA32" t="str">
        <f ca="1">IF(AND(ISNUMBER($BA$541),$B$511=1),$BA$541,HLOOKUP(INDIRECT(ADDRESS(2,COLUMN())),OFFSET($BN$2,0,0,ROW()-1,60),ROW()-1,FALSE))</f>
        <v/>
      </c>
      <c r="BB32" t="str">
        <f ca="1">IF(AND(ISNUMBER($BB$541),$B$511=1),$BB$541,HLOOKUP(INDIRECT(ADDRESS(2,COLUMN())),OFFSET($BN$2,0,0,ROW()-1,60),ROW()-1,FALSE))</f>
        <v/>
      </c>
      <c r="BC32" t="str">
        <f ca="1">IF(AND(ISNUMBER($BC$541),$B$511=1),$BC$541,HLOOKUP(INDIRECT(ADDRESS(2,COLUMN())),OFFSET($BN$2,0,0,ROW()-1,60),ROW()-1,FALSE))</f>
        <v/>
      </c>
      <c r="BD32" t="str">
        <f ca="1">IF(AND(ISNUMBER($BD$541),$B$511=1),$BD$541,HLOOKUP(INDIRECT(ADDRESS(2,COLUMN())),OFFSET($BN$2,0,0,ROW()-1,60),ROW()-1,FALSE))</f>
        <v/>
      </c>
      <c r="BE32" t="str">
        <f ca="1">IF(AND(ISNUMBER($BE$541),$B$511=1),$BE$541,HLOOKUP(INDIRECT(ADDRESS(2,COLUMN())),OFFSET($BN$2,0,0,ROW()-1,60),ROW()-1,FALSE))</f>
        <v/>
      </c>
      <c r="BF32" t="str">
        <f ca="1">IF(AND(ISNUMBER($BF$541),$B$511=1),$BF$541,HLOOKUP(INDIRECT(ADDRESS(2,COLUMN())),OFFSET($BN$2,0,0,ROW()-1,60),ROW()-1,FALSE))</f>
        <v/>
      </c>
      <c r="BG32" t="str">
        <f ca="1">IF(AND(ISNUMBER($BG$541),$B$511=1),$BG$541,HLOOKUP(INDIRECT(ADDRESS(2,COLUMN())),OFFSET($BN$2,0,0,ROW()-1,60),ROW()-1,FALSE))</f>
        <v/>
      </c>
      <c r="BH32" t="str">
        <f ca="1">IF(AND(ISNUMBER($BH$541),$B$511=1),$BH$541,HLOOKUP(INDIRECT(ADDRESS(2,COLUMN())),OFFSET($BN$2,0,0,ROW()-1,60),ROW()-1,FALSE))</f>
        <v/>
      </c>
      <c r="BI32" t="str">
        <f ca="1">IF(AND(ISNUMBER($BI$541),$B$511=1),$BI$541,HLOOKUP(INDIRECT(ADDRESS(2,COLUMN())),OFFSET($BN$2,0,0,ROW()-1,60),ROW()-1,FALSE))</f>
        <v/>
      </c>
      <c r="BJ32" t="str">
        <f ca="1">IF(AND(ISNUMBER($BJ$541),$B$511=1),$BJ$541,HLOOKUP(INDIRECT(ADDRESS(2,COLUMN())),OFFSET($BN$2,0,0,ROW()-1,60),ROW()-1,FALSE))</f>
        <v/>
      </c>
      <c r="BK32" t="str">
        <f ca="1">IF(AND(ISNUMBER($BK$541),$B$511=1),$BK$541,HLOOKUP(INDIRECT(ADDRESS(2,COLUMN())),OFFSET($BN$2,0,0,ROW()-1,60),ROW()-1,FALSE))</f>
        <v/>
      </c>
      <c r="BL32" t="str">
        <f ca="1">IF(AND(ISNUMBER($BL$541),$B$511=1),$BL$541,HLOOKUP(INDIRECT(ADDRESS(2,COLUMN())),OFFSET($BN$2,0,0,ROW()-1,60),ROW()-1,FALSE))</f>
        <v/>
      </c>
      <c r="BM32" t="str">
        <f ca="1">IF(AND(ISNUMBER($BM$541),$B$511=1),$BM$541,HLOOKUP(INDIRECT(ADDRESS(2,COLUMN())),OFFSET($BN$2,0,0,ROW()-1,60),ROW()-1,FALSE))</f>
        <v/>
      </c>
      <c r="BN32" t="str">
        <f>""</f>
        <v/>
      </c>
      <c r="BO32" t="str">
        <f>""</f>
        <v/>
      </c>
      <c r="BP32">
        <f>0.01588549</f>
        <v>1.5885489999999999E-2</v>
      </c>
      <c r="BQ32">
        <f>0.017095441</f>
        <v>1.7095440999999999E-2</v>
      </c>
      <c r="BR32">
        <f>0.028376345</f>
        <v>2.8376345000000001E-2</v>
      </c>
      <c r="BS32">
        <f>0.019601942</f>
        <v>1.9601942000000001E-2</v>
      </c>
      <c r="BT32">
        <f>0.019605629</f>
        <v>1.9605628999999999E-2</v>
      </c>
      <c r="BU32">
        <f>-0.000659871</f>
        <v>-6.5987100000000003E-4</v>
      </c>
      <c r="BV32">
        <f>-0.014269292</f>
        <v>-1.4269291999999999E-2</v>
      </c>
      <c r="BW32">
        <f>-0.012961318</f>
        <v>-1.2961317999999999E-2</v>
      </c>
      <c r="BX32">
        <f>-0.015519386</f>
        <v>-1.5519386E-2</v>
      </c>
      <c r="BY32">
        <f>0.100574715</f>
        <v>0.100574715</v>
      </c>
      <c r="BZ32">
        <f>0.110515751</f>
        <v>0.110515751</v>
      </c>
      <c r="CA32">
        <f>0.112216813</f>
        <v>0.112216813</v>
      </c>
      <c r="CB32">
        <f>0.12003423</f>
        <v>0.12003423000000001</v>
      </c>
      <c r="CC32">
        <f>0.007341305</f>
        <v>7.3413050000000002E-3</v>
      </c>
      <c r="CD32">
        <f>-0.019712071</f>
        <v>-1.9712071000000001E-2</v>
      </c>
      <c r="CE32">
        <f>-0.025980794</f>
        <v>-2.5980794000000001E-2</v>
      </c>
      <c r="CF32">
        <f>-0.042507352</f>
        <v>-4.2507351999999998E-2</v>
      </c>
      <c r="CG32">
        <f>-0.0403991</f>
        <v>-4.03991E-2</v>
      </c>
      <c r="CH32">
        <f>-0.019868038</f>
        <v>-1.9868038000000001E-2</v>
      </c>
      <c r="CI32">
        <f>-0.015613822</f>
        <v>-1.5613821999999999E-2</v>
      </c>
      <c r="CJ32">
        <f>-0.000939463</f>
        <v>-9.3946299999999997E-4</v>
      </c>
      <c r="CK32">
        <f>0.00959467</f>
        <v>9.5946699999999996E-3</v>
      </c>
      <c r="CL32">
        <f>0.010016778</f>
        <v>1.0016778E-2</v>
      </c>
      <c r="CM32">
        <f>0.017900643</f>
        <v>1.7900643000000001E-2</v>
      </c>
      <c r="CN32">
        <f>0.018867044</f>
        <v>1.8867043999999999E-2</v>
      </c>
      <c r="CO32">
        <f>0.024456569</f>
        <v>2.4456569000000001E-2</v>
      </c>
      <c r="CP32">
        <f>0.036492687</f>
        <v>3.6492687000000003E-2</v>
      </c>
      <c r="CQ32">
        <f>0.043513492</f>
        <v>4.3513492000000001E-2</v>
      </c>
      <c r="CR32">
        <f>0.047306496</f>
        <v>4.7306496000000003E-2</v>
      </c>
      <c r="CS32">
        <f>0.043423768</f>
        <v>4.3423768000000001E-2</v>
      </c>
      <c r="CT32">
        <f>0.032063913</f>
        <v>3.2063912999999999E-2</v>
      </c>
      <c r="CU32">
        <f>0.021465952</f>
        <v>2.1465952E-2</v>
      </c>
      <c r="CV32">
        <f>0.024737857</f>
        <v>2.4737856999999999E-2</v>
      </c>
      <c r="CW32">
        <f>0.020226672</f>
        <v>2.0226672000000001E-2</v>
      </c>
      <c r="CX32">
        <f>0.014433143</f>
        <v>1.4433143000000001E-2</v>
      </c>
      <c r="CY32">
        <f>-0.002939607</f>
        <v>-2.9396069999999999E-3</v>
      </c>
      <c r="CZ32" t="str">
        <f>""</f>
        <v/>
      </c>
      <c r="DA32" t="str">
        <f>""</f>
        <v/>
      </c>
      <c r="DB32" t="str">
        <f>""</f>
        <v/>
      </c>
      <c r="DC32" t="str">
        <f>""</f>
        <v/>
      </c>
      <c r="DD32" t="str">
        <f>""</f>
        <v/>
      </c>
      <c r="DE32" t="str">
        <f>""</f>
        <v/>
      </c>
      <c r="DF32" t="str">
        <f>""</f>
        <v/>
      </c>
      <c r="DG32" t="str">
        <f>""</f>
        <v/>
      </c>
      <c r="DH32" t="str">
        <f>""</f>
        <v/>
      </c>
      <c r="DI32" t="str">
        <f>""</f>
        <v/>
      </c>
      <c r="DJ32" t="str">
        <f>""</f>
        <v/>
      </c>
      <c r="DK32" t="str">
        <f>""</f>
        <v/>
      </c>
      <c r="DL32" t="str">
        <f>""</f>
        <v/>
      </c>
      <c r="DM32" t="str">
        <f>""</f>
        <v/>
      </c>
      <c r="DN32" t="str">
        <f>""</f>
        <v/>
      </c>
      <c r="DO32" t="str">
        <f>""</f>
        <v/>
      </c>
      <c r="DP32" t="str">
        <f>""</f>
        <v/>
      </c>
      <c r="DQ32" t="str">
        <f>""</f>
        <v/>
      </c>
      <c r="DR32" t="str">
        <f>""</f>
        <v/>
      </c>
      <c r="DS32" t="str">
        <f>""</f>
        <v/>
      </c>
      <c r="DT32" t="str">
        <f>""</f>
        <v/>
      </c>
      <c r="DU32" t="str">
        <f>""</f>
        <v/>
      </c>
    </row>
    <row r="33" spans="1:125" x14ac:dyDescent="0.25">
      <c r="A33" t="str">
        <f>"    Sollers PJSC"</f>
        <v xml:space="preserve">    Sollers PJSC</v>
      </c>
      <c r="B33" t="str">
        <f>"SVAV RM Equity"</f>
        <v>SVAV RM Equity</v>
      </c>
      <c r="C33" t="str">
        <f t="shared" si="0"/>
        <v>RR844</v>
      </c>
      <c r="D33" t="str">
        <f t="shared" si="1"/>
        <v>T12M_DIL_EPS_CONT_OPS</v>
      </c>
      <c r="E33" t="str">
        <f t="shared" si="2"/>
        <v>Dynamic</v>
      </c>
      <c r="F33" t="str">
        <f ca="1">IF(AND(ISNUMBER($F$542),$B$511=1),$F$542,HLOOKUP(INDIRECT(ADDRESS(2,COLUMN())),OFFSET($BN$2,0,0,ROW()-1,60),ROW()-1,FALSE))</f>
        <v/>
      </c>
      <c r="G33" t="str">
        <f ca="1">IF(AND(ISNUMBER($G$542),$B$511=1),$G$542,HLOOKUP(INDIRECT(ADDRESS(2,COLUMN())),OFFSET($BN$2,0,0,ROW()-1,60),ROW()-1,FALSE))</f>
        <v/>
      </c>
      <c r="H33" t="str">
        <f ca="1">IF(AND(ISNUMBER($H$542),$B$511=1),$H$542,HLOOKUP(INDIRECT(ADDRESS(2,COLUMN())),OFFSET($BN$2,0,0,ROW()-1,60),ROW()-1,FALSE))</f>
        <v/>
      </c>
      <c r="I33" t="str">
        <f ca="1">IF(AND(ISNUMBER($I$542),$B$511=1),$I$542,HLOOKUP(INDIRECT(ADDRESS(2,COLUMN())),OFFSET($BN$2,0,0,ROW()-1,60),ROW()-1,FALSE))</f>
        <v/>
      </c>
      <c r="J33" t="str">
        <f ca="1">IF(AND(ISNUMBER($J$542),$B$511=1),$J$542,HLOOKUP(INDIRECT(ADDRESS(2,COLUMN())),OFFSET($BN$2,0,0,ROW()-1,60),ROW()-1,FALSE))</f>
        <v/>
      </c>
      <c r="K33" t="str">
        <f ca="1">IF(AND(ISNUMBER($K$542),$B$511=1),$K$542,HLOOKUP(INDIRECT(ADDRESS(2,COLUMN())),OFFSET($BN$2,0,0,ROW()-1,60),ROW()-1,FALSE))</f>
        <v/>
      </c>
      <c r="L33" t="str">
        <f ca="1">IF(AND(ISNUMBER($L$542),$B$511=1),$L$542,HLOOKUP(INDIRECT(ADDRESS(2,COLUMN())),OFFSET($BN$2,0,0,ROW()-1,60),ROW()-1,FALSE))</f>
        <v/>
      </c>
      <c r="M33" t="str">
        <f ca="1">IF(AND(ISNUMBER($M$542),$B$511=1),$M$542,HLOOKUP(INDIRECT(ADDRESS(2,COLUMN())),OFFSET($BN$2,0,0,ROW()-1,60),ROW()-1,FALSE))</f>
        <v/>
      </c>
      <c r="N33" t="str">
        <f ca="1">IF(AND(ISNUMBER($N$542),$B$511=1),$N$542,HLOOKUP(INDIRECT(ADDRESS(2,COLUMN())),OFFSET($BN$2,0,0,ROW()-1,60),ROW()-1,FALSE))</f>
        <v/>
      </c>
      <c r="O33" t="str">
        <f ca="1">IF(AND(ISNUMBER($O$542),$B$511=1),$O$542,HLOOKUP(INDIRECT(ADDRESS(2,COLUMN())),OFFSET($BN$2,0,0,ROW()-1,60),ROW()-1,FALSE))</f>
        <v/>
      </c>
      <c r="P33" t="str">
        <f ca="1">IF(AND(ISNUMBER($P$542),$B$511=1),$P$542,HLOOKUP(INDIRECT(ADDRESS(2,COLUMN())),OFFSET($BN$2,0,0,ROW()-1,60),ROW()-1,FALSE))</f>
        <v/>
      </c>
      <c r="Q33" t="str">
        <f ca="1">IF(AND(ISNUMBER($Q$542),$B$511=1),$Q$542,HLOOKUP(INDIRECT(ADDRESS(2,COLUMN())),OFFSET($BN$2,0,0,ROW()-1,60),ROW()-1,FALSE))</f>
        <v/>
      </c>
      <c r="R33" t="str">
        <f ca="1">IF(AND(ISNUMBER($R$542),$B$511=1),$R$542,HLOOKUP(INDIRECT(ADDRESS(2,COLUMN())),OFFSET($BN$2,0,0,ROW()-1,60),ROW()-1,FALSE))</f>
        <v/>
      </c>
      <c r="S33" t="str">
        <f ca="1">IF(AND(ISNUMBER($S$542),$B$511=1),$S$542,HLOOKUP(INDIRECT(ADDRESS(2,COLUMN())),OFFSET($BN$2,0,0,ROW()-1,60),ROW()-1,FALSE))</f>
        <v/>
      </c>
      <c r="T33" t="str">
        <f ca="1">IF(AND(ISNUMBER($T$542),$B$511=1),$T$542,HLOOKUP(INDIRECT(ADDRESS(2,COLUMN())),OFFSET($BN$2,0,0,ROW()-1,60),ROW()-1,FALSE))</f>
        <v/>
      </c>
      <c r="U33" t="str">
        <f ca="1">IF(AND(ISNUMBER($U$542),$B$511=1),$U$542,HLOOKUP(INDIRECT(ADDRESS(2,COLUMN())),OFFSET($BN$2,0,0,ROW()-1,60),ROW()-1,FALSE))</f>
        <v/>
      </c>
      <c r="V33" t="str">
        <f ca="1">IF(AND(ISNUMBER($V$542),$B$511=1),$V$542,HLOOKUP(INDIRECT(ADDRESS(2,COLUMN())),OFFSET($BN$2,0,0,ROW()-1,60),ROW()-1,FALSE))</f>
        <v/>
      </c>
      <c r="W33" t="str">
        <f ca="1">IF(AND(ISNUMBER($W$542),$B$511=1),$W$542,HLOOKUP(INDIRECT(ADDRESS(2,COLUMN())),OFFSET($BN$2,0,0,ROW()-1,60),ROW()-1,FALSE))</f>
        <v/>
      </c>
      <c r="X33" t="str">
        <f ca="1">IF(AND(ISNUMBER($X$542),$B$511=1),$X$542,HLOOKUP(INDIRECT(ADDRESS(2,COLUMN())),OFFSET($BN$2,0,0,ROW()-1,60),ROW()-1,FALSE))</f>
        <v/>
      </c>
      <c r="Y33" t="str">
        <f ca="1">IF(AND(ISNUMBER($Y$542),$B$511=1),$Y$542,HLOOKUP(INDIRECT(ADDRESS(2,COLUMN())),OFFSET($BN$2,0,0,ROW()-1,60),ROW()-1,FALSE))</f>
        <v/>
      </c>
      <c r="Z33" t="str">
        <f ca="1">IF(AND(ISNUMBER($Z$542),$B$511=1),$Z$542,HLOOKUP(INDIRECT(ADDRESS(2,COLUMN())),OFFSET($BN$2,0,0,ROW()-1,60),ROW()-1,FALSE))</f>
        <v/>
      </c>
      <c r="AA33" t="str">
        <f ca="1">IF(AND(ISNUMBER($AA$542),$B$511=1),$AA$542,HLOOKUP(INDIRECT(ADDRESS(2,COLUMN())),OFFSET($BN$2,0,0,ROW()-1,60),ROW()-1,FALSE))</f>
        <v/>
      </c>
      <c r="AB33" t="str">
        <f ca="1">IF(AND(ISNUMBER($AB$542),$B$511=1),$AB$542,HLOOKUP(INDIRECT(ADDRESS(2,COLUMN())),OFFSET($BN$2,0,0,ROW()-1,60),ROW()-1,FALSE))</f>
        <v/>
      </c>
      <c r="AC33" t="str">
        <f ca="1">IF(AND(ISNUMBER($AC$542),$B$511=1),$AC$542,HLOOKUP(INDIRECT(ADDRESS(2,COLUMN())),OFFSET($BN$2,0,0,ROW()-1,60),ROW()-1,FALSE))</f>
        <v/>
      </c>
      <c r="AD33" t="str">
        <f ca="1">IF(AND(ISNUMBER($AD$542),$B$511=1),$AD$542,HLOOKUP(INDIRECT(ADDRESS(2,COLUMN())),OFFSET($BN$2,0,0,ROW()-1,60),ROW()-1,FALSE))</f>
        <v/>
      </c>
      <c r="AE33" t="str">
        <f ca="1">IF(AND(ISNUMBER($AE$542),$B$511=1),$AE$542,HLOOKUP(INDIRECT(ADDRESS(2,COLUMN())),OFFSET($BN$2,0,0,ROW()-1,60),ROW()-1,FALSE))</f>
        <v/>
      </c>
      <c r="AF33" t="str">
        <f ca="1">IF(AND(ISNUMBER($AF$542),$B$511=1),$AF$542,HLOOKUP(INDIRECT(ADDRESS(2,COLUMN())),OFFSET($BN$2,0,0,ROW()-1,60),ROW()-1,FALSE))</f>
        <v/>
      </c>
      <c r="AG33" t="str">
        <f ca="1">IF(AND(ISNUMBER($AG$542),$B$511=1),$AG$542,HLOOKUP(INDIRECT(ADDRESS(2,COLUMN())),OFFSET($BN$2,0,0,ROW()-1,60),ROW()-1,FALSE))</f>
        <v/>
      </c>
      <c r="AH33" t="str">
        <f ca="1">IF(AND(ISNUMBER($AH$542),$B$511=1),$AH$542,HLOOKUP(INDIRECT(ADDRESS(2,COLUMN())),OFFSET($BN$2,0,0,ROW()-1,60),ROW()-1,FALSE))</f>
        <v/>
      </c>
      <c r="AI33" t="str">
        <f ca="1">IF(AND(ISNUMBER($AI$542),$B$511=1),$AI$542,HLOOKUP(INDIRECT(ADDRESS(2,COLUMN())),OFFSET($BN$2,0,0,ROW()-1,60),ROW()-1,FALSE))</f>
        <v/>
      </c>
      <c r="AJ33" t="str">
        <f ca="1">IF(AND(ISNUMBER($AJ$542),$B$511=1),$AJ$542,HLOOKUP(INDIRECT(ADDRESS(2,COLUMN())),OFFSET($BN$2,0,0,ROW()-1,60),ROW()-1,FALSE))</f>
        <v/>
      </c>
      <c r="AK33" t="str">
        <f ca="1">IF(AND(ISNUMBER($AK$542),$B$511=1),$AK$542,HLOOKUP(INDIRECT(ADDRESS(2,COLUMN())),OFFSET($BN$2,0,0,ROW()-1,60),ROW()-1,FALSE))</f>
        <v/>
      </c>
      <c r="AL33" t="str">
        <f ca="1">IF(AND(ISNUMBER($AL$542),$B$511=1),$AL$542,HLOOKUP(INDIRECT(ADDRESS(2,COLUMN())),OFFSET($BN$2,0,0,ROW()-1,60),ROW()-1,FALSE))</f>
        <v/>
      </c>
      <c r="AM33" t="str">
        <f ca="1">IF(AND(ISNUMBER($AM$542),$B$511=1),$AM$542,HLOOKUP(INDIRECT(ADDRESS(2,COLUMN())),OFFSET($BN$2,0,0,ROW()-1,60),ROW()-1,FALSE))</f>
        <v/>
      </c>
      <c r="AN33" t="str">
        <f ca="1">IF(AND(ISNUMBER($AN$542),$B$511=1),$AN$542,HLOOKUP(INDIRECT(ADDRESS(2,COLUMN())),OFFSET($BN$2,0,0,ROW()-1,60),ROW()-1,FALSE))</f>
        <v/>
      </c>
      <c r="AO33" t="str">
        <f ca="1">IF(AND(ISNUMBER($AO$542),$B$511=1),$AO$542,HLOOKUP(INDIRECT(ADDRESS(2,COLUMN())),OFFSET($BN$2,0,0,ROW()-1,60),ROW()-1,FALSE))</f>
        <v/>
      </c>
      <c r="AP33" t="str">
        <f ca="1">IF(AND(ISNUMBER($AP$542),$B$511=1),$AP$542,HLOOKUP(INDIRECT(ADDRESS(2,COLUMN())),OFFSET($BN$2,0,0,ROW()-1,60),ROW()-1,FALSE))</f>
        <v/>
      </c>
      <c r="AQ33" t="str">
        <f ca="1">IF(AND(ISNUMBER($AQ$542),$B$511=1),$AQ$542,HLOOKUP(INDIRECT(ADDRESS(2,COLUMN())),OFFSET($BN$2,0,0,ROW()-1,60),ROW()-1,FALSE))</f>
        <v/>
      </c>
      <c r="AR33" t="str">
        <f ca="1">IF(AND(ISNUMBER($AR$542),$B$511=1),$AR$542,HLOOKUP(INDIRECT(ADDRESS(2,COLUMN())),OFFSET($BN$2,0,0,ROW()-1,60),ROW()-1,FALSE))</f>
        <v/>
      </c>
      <c r="AS33" t="str">
        <f ca="1">IF(AND(ISNUMBER($AS$542),$B$511=1),$AS$542,HLOOKUP(INDIRECT(ADDRESS(2,COLUMN())),OFFSET($BN$2,0,0,ROW()-1,60),ROW()-1,FALSE))</f>
        <v/>
      </c>
      <c r="AT33" t="str">
        <f ca="1">IF(AND(ISNUMBER($AT$542),$B$511=1),$AT$542,HLOOKUP(INDIRECT(ADDRESS(2,COLUMN())),OFFSET($BN$2,0,0,ROW()-1,60),ROW()-1,FALSE))</f>
        <v/>
      </c>
      <c r="AU33" t="str">
        <f ca="1">IF(AND(ISNUMBER($AU$542),$B$511=1),$AU$542,HLOOKUP(INDIRECT(ADDRESS(2,COLUMN())),OFFSET($BN$2,0,0,ROW()-1,60),ROW()-1,FALSE))</f>
        <v/>
      </c>
      <c r="AV33" t="str">
        <f ca="1">IF(AND(ISNUMBER($AV$542),$B$511=1),$AV$542,HLOOKUP(INDIRECT(ADDRESS(2,COLUMN())),OFFSET($BN$2,0,0,ROW()-1,60),ROW()-1,FALSE))</f>
        <v/>
      </c>
      <c r="AW33" t="str">
        <f ca="1">IF(AND(ISNUMBER($AW$542),$B$511=1),$AW$542,HLOOKUP(INDIRECT(ADDRESS(2,COLUMN())),OFFSET($BN$2,0,0,ROW()-1,60),ROW()-1,FALSE))</f>
        <v/>
      </c>
      <c r="AX33" t="str">
        <f ca="1">IF(AND(ISNUMBER($AX$542),$B$511=1),$AX$542,HLOOKUP(INDIRECT(ADDRESS(2,COLUMN())),OFFSET($BN$2,0,0,ROW()-1,60),ROW()-1,FALSE))</f>
        <v/>
      </c>
      <c r="AY33" t="str">
        <f ca="1">IF(AND(ISNUMBER($AY$542),$B$511=1),$AY$542,HLOOKUP(INDIRECT(ADDRESS(2,COLUMN())),OFFSET($BN$2,0,0,ROW()-1,60),ROW()-1,FALSE))</f>
        <v/>
      </c>
      <c r="AZ33" t="str">
        <f ca="1">IF(AND(ISNUMBER($AZ$542),$B$511=1),$AZ$542,HLOOKUP(INDIRECT(ADDRESS(2,COLUMN())),OFFSET($BN$2,0,0,ROW()-1,60),ROW()-1,FALSE))</f>
        <v/>
      </c>
      <c r="BA33" t="str">
        <f ca="1">IF(AND(ISNUMBER($BA$542),$B$511=1),$BA$542,HLOOKUP(INDIRECT(ADDRESS(2,COLUMN())),OFFSET($BN$2,0,0,ROW()-1,60),ROW()-1,FALSE))</f>
        <v/>
      </c>
      <c r="BB33" t="str">
        <f ca="1">IF(AND(ISNUMBER($BB$542),$B$511=1),$BB$542,HLOOKUP(INDIRECT(ADDRESS(2,COLUMN())),OFFSET($BN$2,0,0,ROW()-1,60),ROW()-1,FALSE))</f>
        <v/>
      </c>
      <c r="BC33" t="str">
        <f ca="1">IF(AND(ISNUMBER($BC$542),$B$511=1),$BC$542,HLOOKUP(INDIRECT(ADDRESS(2,COLUMN())),OFFSET($BN$2,0,0,ROW()-1,60),ROW()-1,FALSE))</f>
        <v/>
      </c>
      <c r="BD33" t="str">
        <f ca="1">IF(AND(ISNUMBER($BD$542),$B$511=1),$BD$542,HLOOKUP(INDIRECT(ADDRESS(2,COLUMN())),OFFSET($BN$2,0,0,ROW()-1,60),ROW()-1,FALSE))</f>
        <v/>
      </c>
      <c r="BE33" t="str">
        <f ca="1">IF(AND(ISNUMBER($BE$542),$B$511=1),$BE$542,HLOOKUP(INDIRECT(ADDRESS(2,COLUMN())),OFFSET($BN$2,0,0,ROW()-1,60),ROW()-1,FALSE))</f>
        <v/>
      </c>
      <c r="BF33" t="str">
        <f ca="1">IF(AND(ISNUMBER($BF$542),$B$511=1),$BF$542,HLOOKUP(INDIRECT(ADDRESS(2,COLUMN())),OFFSET($BN$2,0,0,ROW()-1,60),ROW()-1,FALSE))</f>
        <v/>
      </c>
      <c r="BG33" t="str">
        <f ca="1">IF(AND(ISNUMBER($BG$542),$B$511=1),$BG$542,HLOOKUP(INDIRECT(ADDRESS(2,COLUMN())),OFFSET($BN$2,0,0,ROW()-1,60),ROW()-1,FALSE))</f>
        <v/>
      </c>
      <c r="BH33" t="str">
        <f ca="1">IF(AND(ISNUMBER($BH$542),$B$511=1),$BH$542,HLOOKUP(INDIRECT(ADDRESS(2,COLUMN())),OFFSET($BN$2,0,0,ROW()-1,60),ROW()-1,FALSE))</f>
        <v/>
      </c>
      <c r="BI33" t="str">
        <f ca="1">IF(AND(ISNUMBER($BI$542),$B$511=1),$BI$542,HLOOKUP(INDIRECT(ADDRESS(2,COLUMN())),OFFSET($BN$2,0,0,ROW()-1,60),ROW()-1,FALSE))</f>
        <v/>
      </c>
      <c r="BJ33" t="str">
        <f ca="1">IF(AND(ISNUMBER($BJ$542),$B$511=1),$BJ$542,HLOOKUP(INDIRECT(ADDRESS(2,COLUMN())),OFFSET($BN$2,0,0,ROW()-1,60),ROW()-1,FALSE))</f>
        <v/>
      </c>
      <c r="BK33" t="str">
        <f ca="1">IF(AND(ISNUMBER($BK$542),$B$511=1),$BK$542,HLOOKUP(INDIRECT(ADDRESS(2,COLUMN())),OFFSET($BN$2,0,0,ROW()-1,60),ROW()-1,FALSE))</f>
        <v/>
      </c>
      <c r="BL33" t="str">
        <f ca="1">IF(AND(ISNUMBER($BL$542),$B$511=1),$BL$542,HLOOKUP(INDIRECT(ADDRESS(2,COLUMN())),OFFSET($BN$2,0,0,ROW()-1,60),ROW()-1,FALSE))</f>
        <v/>
      </c>
      <c r="BM33" t="str">
        <f ca="1">IF(AND(ISNUMBER($BM$542),$B$511=1),$BM$542,HLOOKUP(INDIRECT(ADDRESS(2,COLUMN())),OFFSET($BN$2,0,0,ROW()-1,60),ROW()-1,FALSE))</f>
        <v/>
      </c>
      <c r="BN33" t="str">
        <f>""</f>
        <v/>
      </c>
      <c r="BO33" t="str">
        <f>""</f>
        <v/>
      </c>
      <c r="BP33" t="str">
        <f>""</f>
        <v/>
      </c>
      <c r="BQ33" t="str">
        <f>""</f>
        <v/>
      </c>
      <c r="BR33" t="str">
        <f>""</f>
        <v/>
      </c>
      <c r="BS33" t="str">
        <f>""</f>
        <v/>
      </c>
      <c r="BT33" t="str">
        <f>""</f>
        <v/>
      </c>
      <c r="BU33" t="str">
        <f>""</f>
        <v/>
      </c>
      <c r="BV33" t="str">
        <f>""</f>
        <v/>
      </c>
      <c r="BW33" t="str">
        <f>""</f>
        <v/>
      </c>
      <c r="BX33" t="str">
        <f>""</f>
        <v/>
      </c>
      <c r="BY33" t="str">
        <f>""</f>
        <v/>
      </c>
      <c r="BZ33" t="str">
        <f>""</f>
        <v/>
      </c>
      <c r="CA33" t="str">
        <f>""</f>
        <v/>
      </c>
      <c r="CB33" t="str">
        <f>""</f>
        <v/>
      </c>
      <c r="CC33" t="str">
        <f>""</f>
        <v/>
      </c>
      <c r="CD33" t="str">
        <f>""</f>
        <v/>
      </c>
      <c r="CE33" t="str">
        <f>""</f>
        <v/>
      </c>
      <c r="CF33" t="str">
        <f>""</f>
        <v/>
      </c>
      <c r="CG33" t="str">
        <f>""</f>
        <v/>
      </c>
      <c r="CH33" t="str">
        <f>""</f>
        <v/>
      </c>
      <c r="CI33" t="str">
        <f>""</f>
        <v/>
      </c>
      <c r="CJ33" t="str">
        <f>""</f>
        <v/>
      </c>
      <c r="CK33" t="str">
        <f>""</f>
        <v/>
      </c>
      <c r="CL33" t="str">
        <f>""</f>
        <v/>
      </c>
      <c r="CM33" t="str">
        <f>""</f>
        <v/>
      </c>
      <c r="CN33" t="str">
        <f>""</f>
        <v/>
      </c>
      <c r="CO33" t="str">
        <f>""</f>
        <v/>
      </c>
      <c r="CP33" t="str">
        <f>""</f>
        <v/>
      </c>
      <c r="CQ33" t="str">
        <f>""</f>
        <v/>
      </c>
      <c r="CR33" t="str">
        <f>""</f>
        <v/>
      </c>
      <c r="CS33" t="str">
        <f>""</f>
        <v/>
      </c>
      <c r="CT33" t="str">
        <f>""</f>
        <v/>
      </c>
      <c r="CU33" t="str">
        <f>""</f>
        <v/>
      </c>
      <c r="CV33" t="str">
        <f>""</f>
        <v/>
      </c>
      <c r="CW33" t="str">
        <f>""</f>
        <v/>
      </c>
      <c r="CX33" t="str">
        <f>""</f>
        <v/>
      </c>
      <c r="CY33" t="str">
        <f>""</f>
        <v/>
      </c>
      <c r="CZ33" t="str">
        <f>""</f>
        <v/>
      </c>
      <c r="DA33" t="str">
        <f>""</f>
        <v/>
      </c>
      <c r="DB33" t="str">
        <f>""</f>
        <v/>
      </c>
      <c r="DC33" t="str">
        <f>""</f>
        <v/>
      </c>
      <c r="DD33" t="str">
        <f>""</f>
        <v/>
      </c>
      <c r="DE33" t="str">
        <f>""</f>
        <v/>
      </c>
      <c r="DF33" t="str">
        <f>""</f>
        <v/>
      </c>
      <c r="DG33" t="str">
        <f>""</f>
        <v/>
      </c>
      <c r="DH33" t="str">
        <f>""</f>
        <v/>
      </c>
      <c r="DI33" t="str">
        <f>""</f>
        <v/>
      </c>
      <c r="DJ33" t="str">
        <f>""</f>
        <v/>
      </c>
      <c r="DK33" t="str">
        <f>""</f>
        <v/>
      </c>
      <c r="DL33" t="str">
        <f>""</f>
        <v/>
      </c>
      <c r="DM33" t="str">
        <f>""</f>
        <v/>
      </c>
      <c r="DN33" t="str">
        <f>""</f>
        <v/>
      </c>
      <c r="DO33" t="str">
        <f>""</f>
        <v/>
      </c>
      <c r="DP33" t="str">
        <f>""</f>
        <v/>
      </c>
      <c r="DQ33" t="str">
        <f>""</f>
        <v/>
      </c>
      <c r="DR33" t="str">
        <f>""</f>
        <v/>
      </c>
      <c r="DS33" t="str">
        <f>""</f>
        <v/>
      </c>
      <c r="DT33" t="str">
        <f>""</f>
        <v/>
      </c>
      <c r="DU33" t="str">
        <f>""</f>
        <v/>
      </c>
    </row>
    <row r="34" spans="1:125" x14ac:dyDescent="0.25">
      <c r="A34" t="str">
        <f>"    Ssangyong Motor Co"</f>
        <v xml:space="preserve">    Ssangyong Motor Co</v>
      </c>
      <c r="B34" t="str">
        <f>"003620 KS Equity"</f>
        <v>003620 KS Equity</v>
      </c>
      <c r="C34" t="str">
        <f t="shared" si="0"/>
        <v>RR844</v>
      </c>
      <c r="D34" t="str">
        <f t="shared" si="1"/>
        <v>T12M_DIL_EPS_CONT_OPS</v>
      </c>
      <c r="E34" t="str">
        <f t="shared" si="2"/>
        <v>Dynamic</v>
      </c>
      <c r="F34" t="str">
        <f ca="1">IF(AND(ISNUMBER($F$543),$B$511=1),$F$543,HLOOKUP(INDIRECT(ADDRESS(2,COLUMN())),OFFSET($BN$2,0,0,ROW()-1,60),ROW()-1,FALSE))</f>
        <v/>
      </c>
      <c r="G34" t="str">
        <f ca="1">IF(AND(ISNUMBER($G$543),$B$511=1),$G$543,HLOOKUP(INDIRECT(ADDRESS(2,COLUMN())),OFFSET($BN$2,0,0,ROW()-1,60),ROW()-1,FALSE))</f>
        <v/>
      </c>
      <c r="H34">
        <f ca="1">IF(AND(ISNUMBER($H$543),$B$511=1),$H$543,HLOOKUP(INDIRECT(ADDRESS(2,COLUMN())),OFFSET($BN$2,0,0,ROW()-1,60),ROW()-1,FALSE))</f>
        <v>-0.58011802400000001</v>
      </c>
      <c r="I34">
        <f ca="1">IF(AND(ISNUMBER($I$543),$B$511=1),$I$543,HLOOKUP(INDIRECT(ADDRESS(2,COLUMN())),OFFSET($BN$2,0,0,ROW()-1,60),ROW()-1,FALSE))</f>
        <v>-0.57506545499999995</v>
      </c>
      <c r="J34">
        <f ca="1">IF(AND(ISNUMBER($J$543),$B$511=1),$J$543,HLOOKUP(INDIRECT(ADDRESS(2,COLUMN())),OFFSET($BN$2,0,0,ROW()-1,60),ROW()-1,FALSE))</f>
        <v>-0.55910193600000002</v>
      </c>
      <c r="K34">
        <f ca="1">IF(AND(ISNUMBER($K$543),$B$511=1),$K$543,HLOOKUP(INDIRECT(ADDRESS(2,COLUMN())),OFFSET($BN$2,0,0,ROW()-1,60),ROW()-1,FALSE))</f>
        <v>-0.41954722100000003</v>
      </c>
      <c r="L34">
        <f ca="1">IF(AND(ISNUMBER($L$543),$B$511=1),$L$543,HLOOKUP(INDIRECT(ADDRESS(2,COLUMN())),OFFSET($BN$2,0,0,ROW()-1,60),ROW()-1,FALSE))</f>
        <v>-0.106676382</v>
      </c>
      <c r="M34">
        <f ca="1">IF(AND(ISNUMBER($M$543),$B$511=1),$M$543,HLOOKUP(INDIRECT(ADDRESS(2,COLUMN())),OFFSET($BN$2,0,0,ROW()-1,60),ROW()-1,FALSE))</f>
        <v>0.121351969</v>
      </c>
      <c r="N34">
        <f ca="1">IF(AND(ISNUMBER($N$543),$B$511=1),$N$543,HLOOKUP(INDIRECT(ADDRESS(2,COLUMN())),OFFSET($BN$2,0,0,ROW()-1,60),ROW()-1,FALSE))</f>
        <v>0.26015584800000002</v>
      </c>
      <c r="O34">
        <f ca="1">IF(AND(ISNUMBER($O$543),$B$511=1),$O$543,HLOOKUP(INDIRECT(ADDRESS(2,COLUMN())),OFFSET($BN$2,0,0,ROW()-1,60),ROW()-1,FALSE))</f>
        <v>0.35931252699999999</v>
      </c>
      <c r="P34">
        <f ca="1">IF(AND(ISNUMBER($P$543),$B$511=1),$P$543,HLOOKUP(INDIRECT(ADDRESS(2,COLUMN())),OFFSET($BN$2,0,0,ROW()-1,60),ROW()-1,FALSE))</f>
        <v>0.36275014100000003</v>
      </c>
      <c r="Q34">
        <f ca="1">IF(AND(ISNUMBER($Q$543),$B$511=1),$Q$543,HLOOKUP(INDIRECT(ADDRESS(2,COLUMN())),OFFSET($BN$2,0,0,ROW()-1,60),ROW()-1,FALSE))</f>
        <v>7.6457793999999996E-2</v>
      </c>
      <c r="R34">
        <f ca="1">IF(AND(ISNUMBER($R$543),$B$511=1),$R$543,HLOOKUP(INDIRECT(ADDRESS(2,COLUMN())),OFFSET($BN$2,0,0,ROW()-1,60),ROW()-1,FALSE))</f>
        <v>-0.18216406499999999</v>
      </c>
      <c r="S34">
        <f ca="1">IF(AND(ISNUMBER($S$543),$B$511=1),$S$543,HLOOKUP(INDIRECT(ADDRESS(2,COLUMN())),OFFSET($BN$2,0,0,ROW()-1,60),ROW()-1,FALSE))</f>
        <v>-0.40268619</v>
      </c>
      <c r="T34">
        <f ca="1">IF(AND(ISNUMBER($T$543),$B$511=1),$T$543,HLOOKUP(INDIRECT(ADDRESS(2,COLUMN())),OFFSET($BN$2,0,0,ROW()-1,60),ROW()-1,FALSE))</f>
        <v>-0.64525825999999997</v>
      </c>
      <c r="U34">
        <f ca="1">IF(AND(ISNUMBER($U$543),$B$511=1),$U$543,HLOOKUP(INDIRECT(ADDRESS(2,COLUMN())),OFFSET($BN$2,0,0,ROW()-1,60),ROW()-1,FALSE))</f>
        <v>-0.59422438200000005</v>
      </c>
      <c r="V34">
        <f ca="1">IF(AND(ISNUMBER($V$543),$B$511=1),$V$543,HLOOKUP(INDIRECT(ADDRESS(2,COLUMN())),OFFSET($BN$2,0,0,ROW()-1,60),ROW()-1,FALSE))</f>
        <v>-0.645715123</v>
      </c>
      <c r="W34">
        <f ca="1">IF(AND(ISNUMBER($W$543),$B$511=1),$W$543,HLOOKUP(INDIRECT(ADDRESS(2,COLUMN())),OFFSET($BN$2,0,0,ROW()-1,60),ROW()-1,FALSE))</f>
        <v>-0.35941321100000001</v>
      </c>
      <c r="X34">
        <f ca="1">IF(AND(ISNUMBER($X$543),$B$511=1),$X$543,HLOOKUP(INDIRECT(ADDRESS(2,COLUMN())),OFFSET($BN$2,0,0,ROW()-1,60),ROW()-1,FALSE))</f>
        <v>-0.249106358</v>
      </c>
      <c r="Y34">
        <f ca="1">IF(AND(ISNUMBER($Y$543),$B$511=1),$Y$543,HLOOKUP(INDIRECT(ADDRESS(2,COLUMN())),OFFSET($BN$2,0,0,ROW()-1,60),ROW()-1,FALSE))</f>
        <v>-0.121895318</v>
      </c>
      <c r="Z34">
        <f ca="1">IF(AND(ISNUMBER($Z$543),$B$511=1),$Z$543,HLOOKUP(INDIRECT(ADDRESS(2,COLUMN())),OFFSET($BN$2,0,0,ROW()-1,60),ROW()-1,FALSE))</f>
        <v>0.12502528399999999</v>
      </c>
      <c r="AA34">
        <f ca="1">IF(AND(ISNUMBER($AA$543),$B$511=1),$AA$543,HLOOKUP(INDIRECT(ADDRESS(2,COLUMN())),OFFSET($BN$2,0,0,ROW()-1,60),ROW()-1,FALSE))</f>
        <v>-1.4548111000000001E-2</v>
      </c>
      <c r="AB34">
        <f ca="1">IF(AND(ISNUMBER($AB$543),$B$511=1),$AB$543,HLOOKUP(INDIRECT(ADDRESS(2,COLUMN())),OFFSET($BN$2,0,0,ROW()-1,60),ROW()-1,FALSE))</f>
        <v>-0.29893654800000002</v>
      </c>
      <c r="AC34">
        <f ca="1">IF(AND(ISNUMBER($AC$543),$B$511=1),$AC$543,HLOOKUP(INDIRECT(ADDRESS(2,COLUMN())),OFFSET($BN$2,0,0,ROW()-1,60),ROW()-1,FALSE))</f>
        <v>-0.40550847800000001</v>
      </c>
      <c r="AD34">
        <f ca="1">IF(AND(ISNUMBER($AD$543),$B$511=1),$AD$543,HLOOKUP(INDIRECT(ADDRESS(2,COLUMN())),OFFSET($BN$2,0,0,ROW()-1,60),ROW()-1,FALSE))</f>
        <v>-0.61095793499999995</v>
      </c>
      <c r="AE34">
        <f ca="1">IF(AND(ISNUMBER($AE$543),$B$511=1),$AE$543,HLOOKUP(INDIRECT(ADDRESS(2,COLUMN())),OFFSET($BN$2,0,0,ROW()-1,60),ROW()-1,FALSE))</f>
        <v>-0.76303526600000005</v>
      </c>
      <c r="AF34" t="str">
        <f ca="1">IF(AND(ISNUMBER($AF$543),$B$511=1),$AF$543,HLOOKUP(INDIRECT(ADDRESS(2,COLUMN())),OFFSET($BN$2,0,0,ROW()-1,60),ROW()-1,FALSE))</f>
        <v/>
      </c>
      <c r="AG34" t="str">
        <f ca="1">IF(AND(ISNUMBER($AG$543),$B$511=1),$AG$543,HLOOKUP(INDIRECT(ADDRESS(2,COLUMN())),OFFSET($BN$2,0,0,ROW()-1,60),ROW()-1,FALSE))</f>
        <v/>
      </c>
      <c r="AH34" t="str">
        <f ca="1">IF(AND(ISNUMBER($AH$543),$B$511=1),$AH$543,HLOOKUP(INDIRECT(ADDRESS(2,COLUMN())),OFFSET($BN$2,0,0,ROW()-1,60),ROW()-1,FALSE))</f>
        <v/>
      </c>
      <c r="AI34" t="str">
        <f ca="1">IF(AND(ISNUMBER($AI$543),$B$511=1),$AI$543,HLOOKUP(INDIRECT(ADDRESS(2,COLUMN())),OFFSET($BN$2,0,0,ROW()-1,60),ROW()-1,FALSE))</f>
        <v/>
      </c>
      <c r="AJ34" t="str">
        <f ca="1">IF(AND(ISNUMBER($AJ$543),$B$511=1),$AJ$543,HLOOKUP(INDIRECT(ADDRESS(2,COLUMN())),OFFSET($BN$2,0,0,ROW()-1,60),ROW()-1,FALSE))</f>
        <v/>
      </c>
      <c r="AK34" t="str">
        <f ca="1">IF(AND(ISNUMBER($AK$543),$B$511=1),$AK$543,HLOOKUP(INDIRECT(ADDRESS(2,COLUMN())),OFFSET($BN$2,0,0,ROW()-1,60),ROW()-1,FALSE))</f>
        <v/>
      </c>
      <c r="AL34" t="str">
        <f ca="1">IF(AND(ISNUMBER($AL$543),$B$511=1),$AL$543,HLOOKUP(INDIRECT(ADDRESS(2,COLUMN())),OFFSET($BN$2,0,0,ROW()-1,60),ROW()-1,FALSE))</f>
        <v/>
      </c>
      <c r="AM34" t="str">
        <f ca="1">IF(AND(ISNUMBER($AM$543),$B$511=1),$AM$543,HLOOKUP(INDIRECT(ADDRESS(2,COLUMN())),OFFSET($BN$2,0,0,ROW()-1,60),ROW()-1,FALSE))</f>
        <v/>
      </c>
      <c r="AN34" t="str">
        <f ca="1">IF(AND(ISNUMBER($AN$543),$B$511=1),$AN$543,HLOOKUP(INDIRECT(ADDRESS(2,COLUMN())),OFFSET($BN$2,0,0,ROW()-1,60),ROW()-1,FALSE))</f>
        <v/>
      </c>
      <c r="AO34" t="str">
        <f ca="1">IF(AND(ISNUMBER($AO$543),$B$511=1),$AO$543,HLOOKUP(INDIRECT(ADDRESS(2,COLUMN())),OFFSET($BN$2,0,0,ROW()-1,60),ROW()-1,FALSE))</f>
        <v/>
      </c>
      <c r="AP34" t="str">
        <f ca="1">IF(AND(ISNUMBER($AP$543),$B$511=1),$AP$543,HLOOKUP(INDIRECT(ADDRESS(2,COLUMN())),OFFSET($BN$2,0,0,ROW()-1,60),ROW()-1,FALSE))</f>
        <v/>
      </c>
      <c r="AQ34" t="str">
        <f ca="1">IF(AND(ISNUMBER($AQ$543),$B$511=1),$AQ$543,HLOOKUP(INDIRECT(ADDRESS(2,COLUMN())),OFFSET($BN$2,0,0,ROW()-1,60),ROW()-1,FALSE))</f>
        <v/>
      </c>
      <c r="AR34" t="str">
        <f ca="1">IF(AND(ISNUMBER($AR$543),$B$511=1),$AR$543,HLOOKUP(INDIRECT(ADDRESS(2,COLUMN())),OFFSET($BN$2,0,0,ROW()-1,60),ROW()-1,FALSE))</f>
        <v/>
      </c>
      <c r="AS34" t="str">
        <f ca="1">IF(AND(ISNUMBER($AS$543),$B$511=1),$AS$543,HLOOKUP(INDIRECT(ADDRESS(2,COLUMN())),OFFSET($BN$2,0,0,ROW()-1,60),ROW()-1,FALSE))</f>
        <v/>
      </c>
      <c r="AT34" t="str">
        <f ca="1">IF(AND(ISNUMBER($AT$543),$B$511=1),$AT$543,HLOOKUP(INDIRECT(ADDRESS(2,COLUMN())),OFFSET($BN$2,0,0,ROW()-1,60),ROW()-1,FALSE))</f>
        <v/>
      </c>
      <c r="AU34" t="str">
        <f ca="1">IF(AND(ISNUMBER($AU$543),$B$511=1),$AU$543,HLOOKUP(INDIRECT(ADDRESS(2,COLUMN())),OFFSET($BN$2,0,0,ROW()-1,60),ROW()-1,FALSE))</f>
        <v/>
      </c>
      <c r="AV34" t="str">
        <f ca="1">IF(AND(ISNUMBER($AV$543),$B$511=1),$AV$543,HLOOKUP(INDIRECT(ADDRESS(2,COLUMN())),OFFSET($BN$2,0,0,ROW()-1,60),ROW()-1,FALSE))</f>
        <v/>
      </c>
      <c r="AW34" t="str">
        <f ca="1">IF(AND(ISNUMBER($AW$543),$B$511=1),$AW$543,HLOOKUP(INDIRECT(ADDRESS(2,COLUMN())),OFFSET($BN$2,0,0,ROW()-1,60),ROW()-1,FALSE))</f>
        <v/>
      </c>
      <c r="AX34" t="str">
        <f ca="1">IF(AND(ISNUMBER($AX$543),$B$511=1),$AX$543,HLOOKUP(INDIRECT(ADDRESS(2,COLUMN())),OFFSET($BN$2,0,0,ROW()-1,60),ROW()-1,FALSE))</f>
        <v/>
      </c>
      <c r="AY34" t="str">
        <f ca="1">IF(AND(ISNUMBER($AY$543),$B$511=1),$AY$543,HLOOKUP(INDIRECT(ADDRESS(2,COLUMN())),OFFSET($BN$2,0,0,ROW()-1,60),ROW()-1,FALSE))</f>
        <v/>
      </c>
      <c r="AZ34" t="str">
        <f ca="1">IF(AND(ISNUMBER($AZ$543),$B$511=1),$AZ$543,HLOOKUP(INDIRECT(ADDRESS(2,COLUMN())),OFFSET($BN$2,0,0,ROW()-1,60),ROW()-1,FALSE))</f>
        <v/>
      </c>
      <c r="BA34" t="str">
        <f ca="1">IF(AND(ISNUMBER($BA$543),$B$511=1),$BA$543,HLOOKUP(INDIRECT(ADDRESS(2,COLUMN())),OFFSET($BN$2,0,0,ROW()-1,60),ROW()-1,FALSE))</f>
        <v/>
      </c>
      <c r="BB34" t="str">
        <f ca="1">IF(AND(ISNUMBER($BB$543),$B$511=1),$BB$543,HLOOKUP(INDIRECT(ADDRESS(2,COLUMN())),OFFSET($BN$2,0,0,ROW()-1,60),ROW()-1,FALSE))</f>
        <v/>
      </c>
      <c r="BC34" t="str">
        <f ca="1">IF(AND(ISNUMBER($BC$543),$B$511=1),$BC$543,HLOOKUP(INDIRECT(ADDRESS(2,COLUMN())),OFFSET($BN$2,0,0,ROW()-1,60),ROW()-1,FALSE))</f>
        <v/>
      </c>
      <c r="BD34" t="str">
        <f ca="1">IF(AND(ISNUMBER($BD$543),$B$511=1),$BD$543,HLOOKUP(INDIRECT(ADDRESS(2,COLUMN())),OFFSET($BN$2,0,0,ROW()-1,60),ROW()-1,FALSE))</f>
        <v/>
      </c>
      <c r="BE34" t="str">
        <f ca="1">IF(AND(ISNUMBER($BE$543),$B$511=1),$BE$543,HLOOKUP(INDIRECT(ADDRESS(2,COLUMN())),OFFSET($BN$2,0,0,ROW()-1,60),ROW()-1,FALSE))</f>
        <v/>
      </c>
      <c r="BF34" t="str">
        <f ca="1">IF(AND(ISNUMBER($BF$543),$B$511=1),$BF$543,HLOOKUP(INDIRECT(ADDRESS(2,COLUMN())),OFFSET($BN$2,0,0,ROW()-1,60),ROW()-1,FALSE))</f>
        <v/>
      </c>
      <c r="BG34" t="str">
        <f ca="1">IF(AND(ISNUMBER($BG$543),$B$511=1),$BG$543,HLOOKUP(INDIRECT(ADDRESS(2,COLUMN())),OFFSET($BN$2,0,0,ROW()-1,60),ROW()-1,FALSE))</f>
        <v/>
      </c>
      <c r="BH34" t="str">
        <f ca="1">IF(AND(ISNUMBER($BH$543),$B$511=1),$BH$543,HLOOKUP(INDIRECT(ADDRESS(2,COLUMN())),OFFSET($BN$2,0,0,ROW()-1,60),ROW()-1,FALSE))</f>
        <v/>
      </c>
      <c r="BI34" t="str">
        <f ca="1">IF(AND(ISNUMBER($BI$543),$B$511=1),$BI$543,HLOOKUP(INDIRECT(ADDRESS(2,COLUMN())),OFFSET($BN$2,0,0,ROW()-1,60),ROW()-1,FALSE))</f>
        <v/>
      </c>
      <c r="BJ34" t="str">
        <f ca="1">IF(AND(ISNUMBER($BJ$543),$B$511=1),$BJ$543,HLOOKUP(INDIRECT(ADDRESS(2,COLUMN())),OFFSET($BN$2,0,0,ROW()-1,60),ROW()-1,FALSE))</f>
        <v/>
      </c>
      <c r="BK34" t="str">
        <f ca="1">IF(AND(ISNUMBER($BK$543),$B$511=1),$BK$543,HLOOKUP(INDIRECT(ADDRESS(2,COLUMN())),OFFSET($BN$2,0,0,ROW()-1,60),ROW()-1,FALSE))</f>
        <v/>
      </c>
      <c r="BL34" t="str">
        <f ca="1">IF(AND(ISNUMBER($BL$543),$B$511=1),$BL$543,HLOOKUP(INDIRECT(ADDRESS(2,COLUMN())),OFFSET($BN$2,0,0,ROW()-1,60),ROW()-1,FALSE))</f>
        <v/>
      </c>
      <c r="BM34" t="str">
        <f ca="1">IF(AND(ISNUMBER($BM$543),$B$511=1),$BM$543,HLOOKUP(INDIRECT(ADDRESS(2,COLUMN())),OFFSET($BN$2,0,0,ROW()-1,60),ROW()-1,FALSE))</f>
        <v/>
      </c>
      <c r="BN34" t="str">
        <f>""</f>
        <v/>
      </c>
      <c r="BO34" t="str">
        <f>""</f>
        <v/>
      </c>
      <c r="BP34">
        <f>-0.580118024</f>
        <v>-0.58011802400000001</v>
      </c>
      <c r="BQ34">
        <f>-0.575065455</f>
        <v>-0.57506545499999995</v>
      </c>
      <c r="BR34">
        <f>-0.559101936</f>
        <v>-0.55910193600000002</v>
      </c>
      <c r="BS34">
        <f>-0.419547221</f>
        <v>-0.41954722100000003</v>
      </c>
      <c r="BT34">
        <f>-0.106676382</f>
        <v>-0.106676382</v>
      </c>
      <c r="BU34">
        <f>0.121351969</f>
        <v>0.121351969</v>
      </c>
      <c r="BV34">
        <f>0.260155848</f>
        <v>0.26015584800000002</v>
      </c>
      <c r="BW34">
        <f>0.359312527</f>
        <v>0.35931252699999999</v>
      </c>
      <c r="BX34">
        <f>0.362750141</f>
        <v>0.36275014100000003</v>
      </c>
      <c r="BY34">
        <f>0.076457794</f>
        <v>7.6457793999999996E-2</v>
      </c>
      <c r="BZ34">
        <f>-0.182164065</f>
        <v>-0.18216406499999999</v>
      </c>
      <c r="CA34">
        <f>-0.40268619</f>
        <v>-0.40268619</v>
      </c>
      <c r="CB34">
        <f>-0.64525826</f>
        <v>-0.64525825999999997</v>
      </c>
      <c r="CC34">
        <f>-0.594224382</f>
        <v>-0.59422438200000005</v>
      </c>
      <c r="CD34">
        <f>-0.645715123</f>
        <v>-0.645715123</v>
      </c>
      <c r="CE34">
        <f>-0.359413211</f>
        <v>-0.35941321100000001</v>
      </c>
      <c r="CF34">
        <f>-0.249106358</f>
        <v>-0.249106358</v>
      </c>
      <c r="CG34">
        <f>-0.121895318</f>
        <v>-0.121895318</v>
      </c>
      <c r="CH34">
        <f>0.125025284</f>
        <v>0.12502528399999999</v>
      </c>
      <c r="CI34">
        <f>-0.014548111</f>
        <v>-1.4548111000000001E-2</v>
      </c>
      <c r="CJ34">
        <f>-0.298936548</f>
        <v>-0.29893654800000002</v>
      </c>
      <c r="CK34">
        <f>-0.405508478</f>
        <v>-0.40550847800000001</v>
      </c>
      <c r="CL34">
        <f>-0.610957935</f>
        <v>-0.61095793499999995</v>
      </c>
      <c r="CM34">
        <f>-0.763035266</f>
        <v>-0.76303526600000005</v>
      </c>
      <c r="CN34" t="str">
        <f>""</f>
        <v/>
      </c>
      <c r="CO34" t="str">
        <f>""</f>
        <v/>
      </c>
      <c r="CP34" t="str">
        <f>""</f>
        <v/>
      </c>
      <c r="CQ34" t="str">
        <f>""</f>
        <v/>
      </c>
      <c r="CR34" t="str">
        <f>""</f>
        <v/>
      </c>
      <c r="CS34" t="str">
        <f>""</f>
        <v/>
      </c>
      <c r="CT34" t="str">
        <f>""</f>
        <v/>
      </c>
      <c r="CU34" t="str">
        <f>""</f>
        <v/>
      </c>
      <c r="CV34" t="str">
        <f>""</f>
        <v/>
      </c>
      <c r="CW34" t="str">
        <f>""</f>
        <v/>
      </c>
      <c r="CX34" t="str">
        <f>""</f>
        <v/>
      </c>
      <c r="CY34" t="str">
        <f>""</f>
        <v/>
      </c>
      <c r="CZ34" t="str">
        <f>""</f>
        <v/>
      </c>
      <c r="DA34" t="str">
        <f>""</f>
        <v/>
      </c>
      <c r="DB34" t="str">
        <f>""</f>
        <v/>
      </c>
      <c r="DC34" t="str">
        <f>""</f>
        <v/>
      </c>
      <c r="DD34" t="str">
        <f>""</f>
        <v/>
      </c>
      <c r="DE34" t="str">
        <f>""</f>
        <v/>
      </c>
      <c r="DF34" t="str">
        <f>""</f>
        <v/>
      </c>
      <c r="DG34" t="str">
        <f>""</f>
        <v/>
      </c>
      <c r="DH34" t="str">
        <f>""</f>
        <v/>
      </c>
      <c r="DI34" t="str">
        <f>""</f>
        <v/>
      </c>
      <c r="DJ34" t="str">
        <f>""</f>
        <v/>
      </c>
      <c r="DK34" t="str">
        <f>""</f>
        <v/>
      </c>
      <c r="DL34" t="str">
        <f>""</f>
        <v/>
      </c>
      <c r="DM34" t="str">
        <f>""</f>
        <v/>
      </c>
      <c r="DN34" t="str">
        <f>""</f>
        <v/>
      </c>
      <c r="DO34" t="str">
        <f>""</f>
        <v/>
      </c>
      <c r="DP34" t="str">
        <f>""</f>
        <v/>
      </c>
      <c r="DQ34" t="str">
        <f>""</f>
        <v/>
      </c>
      <c r="DR34" t="str">
        <f>""</f>
        <v/>
      </c>
      <c r="DS34" t="str">
        <f>""</f>
        <v/>
      </c>
      <c r="DT34" t="str">
        <f>""</f>
        <v/>
      </c>
      <c r="DU34" t="str">
        <f>""</f>
        <v/>
      </c>
    </row>
    <row r="35" spans="1:125" x14ac:dyDescent="0.25">
      <c r="A35" t="str">
        <f>"    Subaru Corp"</f>
        <v xml:space="preserve">    Subaru Corp</v>
      </c>
      <c r="B35" t="str">
        <f>"7270 JP Equity"</f>
        <v>7270 JP Equity</v>
      </c>
      <c r="C35" t="str">
        <f t="shared" si="0"/>
        <v>RR844</v>
      </c>
      <c r="D35" t="str">
        <f t="shared" si="1"/>
        <v>T12M_DIL_EPS_CONT_OPS</v>
      </c>
      <c r="E35" t="str">
        <f t="shared" si="2"/>
        <v>Dynamic</v>
      </c>
      <c r="F35" t="str">
        <f ca="1">IF(AND(ISNUMBER($F$544),$B$511=1),$F$544,HLOOKUP(INDIRECT(ADDRESS(2,COLUMN())),OFFSET($BN$2,0,0,ROW()-1,60),ROW()-1,FALSE))</f>
        <v/>
      </c>
      <c r="G35">
        <f ca="1">IF(AND(ISNUMBER($G$544),$B$511=1),$G$544,HLOOKUP(INDIRECT(ADDRESS(2,COLUMN())),OFFSET($BN$2,0,0,ROW()-1,60),ROW()-1,FALSE))</f>
        <v>2.1648696759999999</v>
      </c>
      <c r="H35">
        <f ca="1">IF(AND(ISNUMBER($H$544),$B$511=1),$H$544,HLOOKUP(INDIRECT(ADDRESS(2,COLUMN())),OFFSET($BN$2,0,0,ROW()-1,60),ROW()-1,FALSE))</f>
        <v>2.0893355499999999</v>
      </c>
      <c r="I35">
        <f ca="1">IF(AND(ISNUMBER($I$544),$B$511=1),$I$544,HLOOKUP(INDIRECT(ADDRESS(2,COLUMN())),OFFSET($BN$2,0,0,ROW()-1,60),ROW()-1,FALSE))</f>
        <v>2.1506308340000002</v>
      </c>
      <c r="J35">
        <f ca="1">IF(AND(ISNUMBER($J$544),$B$511=1),$J$544,HLOOKUP(INDIRECT(ADDRESS(2,COLUMN())),OFFSET($BN$2,0,0,ROW()-1,60),ROW()-1,FALSE))</f>
        <v>2.5959807019999999</v>
      </c>
      <c r="K35">
        <f ca="1">IF(AND(ISNUMBER($K$544),$B$511=1),$K$544,HLOOKUP(INDIRECT(ADDRESS(2,COLUMN())),OFFSET($BN$2,0,0,ROW()-1,60),ROW()-1,FALSE))</f>
        <v>2.7486430670000002</v>
      </c>
      <c r="L35">
        <f ca="1">IF(AND(ISNUMBER($L$544),$B$511=1),$L$544,HLOOKUP(INDIRECT(ADDRESS(2,COLUMN())),OFFSET($BN$2,0,0,ROW()-1,60),ROW()-1,FALSE))</f>
        <v>2.5253338030000001</v>
      </c>
      <c r="M35">
        <f ca="1">IF(AND(ISNUMBER($M$544),$B$511=1),$M$544,HLOOKUP(INDIRECT(ADDRESS(2,COLUMN())),OFFSET($BN$2,0,0,ROW()-1,60),ROW()-1,FALSE))</f>
        <v>3.4736085349999999</v>
      </c>
      <c r="N35">
        <f ca="1">IF(AND(ISNUMBER($N$544),$B$511=1),$N$544,HLOOKUP(INDIRECT(ADDRESS(2,COLUMN())),OFFSET($BN$2,0,0,ROW()-1,60),ROW()-1,FALSE))</f>
        <v>3.439750316</v>
      </c>
      <c r="O35">
        <f ca="1">IF(AND(ISNUMBER($O$544),$B$511=1),$O$544,HLOOKUP(INDIRECT(ADDRESS(2,COLUMN())),OFFSET($BN$2,0,0,ROW()-1,60),ROW()-1,FALSE))</f>
        <v>3.6548395149999999</v>
      </c>
      <c r="P35">
        <f ca="1">IF(AND(ISNUMBER($P$544),$B$511=1),$P$544,HLOOKUP(INDIRECT(ADDRESS(2,COLUMN())),OFFSET($BN$2,0,0,ROW()-1,60),ROW()-1,FALSE))</f>
        <v>4.6898275280000004</v>
      </c>
      <c r="Q35">
        <f ca="1">IF(AND(ISNUMBER($Q$544),$B$511=1),$Q$544,HLOOKUP(INDIRECT(ADDRESS(2,COLUMN())),OFFSET($BN$2,0,0,ROW()-1,60),ROW()-1,FALSE))</f>
        <v>4.8131911479999996</v>
      </c>
      <c r="R35">
        <f ca="1">IF(AND(ISNUMBER($R$544),$B$511=1),$R$544,HLOOKUP(INDIRECT(ADDRESS(2,COLUMN())),OFFSET($BN$2,0,0,ROW()-1,60),ROW()-1,FALSE))</f>
        <v>4.7279486740000003</v>
      </c>
      <c r="S35">
        <f ca="1">IF(AND(ISNUMBER($S$544),$B$511=1),$S$544,HLOOKUP(INDIRECT(ADDRESS(2,COLUMN())),OFFSET($BN$2,0,0,ROW()-1,60),ROW()-1,FALSE))</f>
        <v>4.3631752959999996</v>
      </c>
      <c r="T35">
        <f ca="1">IF(AND(ISNUMBER($T$544),$B$511=1),$T$544,HLOOKUP(INDIRECT(ADDRESS(2,COLUMN())),OFFSET($BN$2,0,0,ROW()-1,60),ROW()-1,FALSE))</f>
        <v>3.693538067</v>
      </c>
      <c r="U35">
        <f ca="1">IF(AND(ISNUMBER($U$544),$B$511=1),$U$544,HLOOKUP(INDIRECT(ADDRESS(2,COLUMN())),OFFSET($BN$2,0,0,ROW()-1,60),ROW()-1,FALSE))</f>
        <v>3.3099472259999998</v>
      </c>
      <c r="V35">
        <f ca="1">IF(AND(ISNUMBER($V$544),$B$511=1),$V$544,HLOOKUP(INDIRECT(ADDRESS(2,COLUMN())),OFFSET($BN$2,0,0,ROW()-1,60),ROW()-1,FALSE))</f>
        <v>3.0745602920000001</v>
      </c>
      <c r="W35">
        <f ca="1">IF(AND(ISNUMBER($W$544),$B$511=1),$W$544,HLOOKUP(INDIRECT(ADDRESS(2,COLUMN())),OFFSET($BN$2,0,0,ROW()-1,60),ROW()-1,FALSE))</f>
        <v>2.6323539779999998</v>
      </c>
      <c r="X35">
        <f ca="1">IF(AND(ISNUMBER($X$544),$B$511=1),$X$544,HLOOKUP(INDIRECT(ADDRESS(2,COLUMN())),OFFSET($BN$2,0,0,ROW()-1,60),ROW()-1,FALSE))</f>
        <v>2.4079237149999999</v>
      </c>
      <c r="Y35">
        <f ca="1">IF(AND(ISNUMBER($Y$544),$B$511=1),$Y$544,HLOOKUP(INDIRECT(ADDRESS(2,COLUMN())),OFFSET($BN$2,0,0,ROW()-1,60),ROW()-1,FALSE))</f>
        <v>2.3168496790000002</v>
      </c>
      <c r="Z35">
        <f ca="1">IF(AND(ISNUMBER($Z$544),$B$511=1),$Z$544,HLOOKUP(INDIRECT(ADDRESS(2,COLUMN())),OFFSET($BN$2,0,0,ROW()-1,60),ROW()-1,FALSE))</f>
        <v>2.289880761</v>
      </c>
      <c r="AA35">
        <f ca="1">IF(AND(ISNUMBER($AA$544),$B$511=1),$AA$544,HLOOKUP(INDIRECT(ADDRESS(2,COLUMN())),OFFSET($BN$2,0,0,ROW()-1,60),ROW()-1,FALSE))</f>
        <v>2.8969399560000002</v>
      </c>
      <c r="AB35">
        <f ca="1">IF(AND(ISNUMBER($AB$544),$B$511=1),$AB$544,HLOOKUP(INDIRECT(ADDRESS(2,COLUMN())),OFFSET($BN$2,0,0,ROW()-1,60),ROW()-1,FALSE))</f>
        <v>2.519812886</v>
      </c>
      <c r="AC35">
        <f ca="1">IF(AND(ISNUMBER($AC$544),$B$511=1),$AC$544,HLOOKUP(INDIRECT(ADDRESS(2,COLUMN())),OFFSET($BN$2,0,0,ROW()-1,60),ROW()-1,FALSE))</f>
        <v>2.2781452639999999</v>
      </c>
      <c r="AD35">
        <f ca="1">IF(AND(ISNUMBER($AD$544),$B$511=1),$AD$544,HLOOKUP(INDIRECT(ADDRESS(2,COLUMN())),OFFSET($BN$2,0,0,ROW()-1,60),ROW()-1,FALSE))</f>
        <v>1.8937033009999999</v>
      </c>
      <c r="AE35">
        <f ca="1">IF(AND(ISNUMBER($AE$544),$B$511=1),$AE$544,HLOOKUP(INDIRECT(ADDRESS(2,COLUMN())),OFFSET($BN$2,0,0,ROW()-1,60),ROW()-1,FALSE))</f>
        <v>0.94126987699999998</v>
      </c>
      <c r="AF35">
        <f ca="1">IF(AND(ISNUMBER($AF$544),$B$511=1),$AF$544,HLOOKUP(INDIRECT(ADDRESS(2,COLUMN())),OFFSET($BN$2,0,0,ROW()-1,60),ROW()-1,FALSE))</f>
        <v>0.79694811099999996</v>
      </c>
      <c r="AG35">
        <f ca="1">IF(AND(ISNUMBER($AG$544),$B$511=1),$AG$544,HLOOKUP(INDIRECT(ADDRESS(2,COLUMN())),OFFSET($BN$2,0,0,ROW()-1,60),ROW()-1,FALSE))</f>
        <v>0.47652914600000001</v>
      </c>
      <c r="AH35">
        <f ca="1">IF(AND(ISNUMBER($AH$544),$B$511=1),$AH$544,HLOOKUP(INDIRECT(ADDRESS(2,COLUMN())),OFFSET($BN$2,0,0,ROW()-1,60),ROW()-1,FALSE))</f>
        <v>0.47383420300000001</v>
      </c>
      <c r="AI35">
        <f ca="1">IF(AND(ISNUMBER($AI$544),$B$511=1),$AI$544,HLOOKUP(INDIRECT(ADDRESS(2,COLUMN())),OFFSET($BN$2,0,0,ROW()-1,60),ROW()-1,FALSE))</f>
        <v>0.36128743800000002</v>
      </c>
      <c r="AJ35">
        <f ca="1">IF(AND(ISNUMBER($AJ$544),$B$511=1),$AJ$544,HLOOKUP(INDIRECT(ADDRESS(2,COLUMN())),OFFSET($BN$2,0,0,ROW()-1,60),ROW()-1,FALSE))</f>
        <v>0.50449337400000005</v>
      </c>
      <c r="AK35">
        <f ca="1">IF(AND(ISNUMBER($AK$544),$B$511=1),$AK$544,HLOOKUP(INDIRECT(ADDRESS(2,COLUMN())),OFFSET($BN$2,0,0,ROW()-1,60),ROW()-1,FALSE))</f>
        <v>0.81474254000000002</v>
      </c>
      <c r="AL35">
        <f ca="1">IF(AND(ISNUMBER($AL$544),$B$511=1),$AL$544,HLOOKUP(INDIRECT(ADDRESS(2,COLUMN())),OFFSET($BN$2,0,0,ROW()-1,60),ROW()-1,FALSE))</f>
        <v>0.835320599</v>
      </c>
      <c r="AM35">
        <f ca="1">IF(AND(ISNUMBER($AM$544),$B$511=1),$AM$544,HLOOKUP(INDIRECT(ADDRESS(2,COLUMN())),OFFSET($BN$2,0,0,ROW()-1,60),ROW()-1,FALSE))</f>
        <v>0.995803667</v>
      </c>
      <c r="AN35">
        <f ca="1">IF(AND(ISNUMBER($AN$544),$B$511=1),$AN$544,HLOOKUP(INDIRECT(ADDRESS(2,COLUMN())),OFFSET($BN$2,0,0,ROW()-1,60),ROW()-1,FALSE))</f>
        <v>0.87891515899999995</v>
      </c>
      <c r="AO35">
        <f ca="1">IF(AND(ISNUMBER($AO$544),$B$511=1),$AO$544,HLOOKUP(INDIRECT(ADDRESS(2,COLUMN())),OFFSET($BN$2,0,0,ROW()-1,60),ROW()-1,FALSE))</f>
        <v>0.49253886400000002</v>
      </c>
      <c r="AP35">
        <f ca="1">IF(AND(ISNUMBER($AP$544),$B$511=1),$AP$544,HLOOKUP(INDIRECT(ADDRESS(2,COLUMN())),OFFSET($BN$2,0,0,ROW()-1,60),ROW()-1,FALSE))</f>
        <v>-4.4752152000000003E-2</v>
      </c>
      <c r="AQ35">
        <f ca="1">IF(AND(ISNUMBER($AQ$544),$B$511=1),$AQ$544,HLOOKUP(INDIRECT(ADDRESS(2,COLUMN())),OFFSET($BN$2,0,0,ROW()-1,60),ROW()-1,FALSE))</f>
        <v>-0.92342577199999998</v>
      </c>
      <c r="AR35">
        <f ca="1">IF(AND(ISNUMBER($AR$544),$B$511=1),$AR$544,HLOOKUP(INDIRECT(ADDRESS(2,COLUMN())),OFFSET($BN$2,0,0,ROW()-1,60),ROW()-1,FALSE))</f>
        <v>-1.2507518120000001</v>
      </c>
      <c r="AS35">
        <f ca="1">IF(AND(ISNUMBER($AS$544),$B$511=1),$AS$544,HLOOKUP(INDIRECT(ADDRESS(2,COLUMN())),OFFSET($BN$2,0,0,ROW()-1,60),ROW()-1,FALSE))</f>
        <v>-1.1551406470000001</v>
      </c>
      <c r="AT35">
        <f ca="1">IF(AND(ISNUMBER($AT$544),$B$511=1),$AT$544,HLOOKUP(INDIRECT(ADDRESS(2,COLUMN())),OFFSET($BN$2,0,0,ROW()-1,60),ROW()-1,FALSE))</f>
        <v>-0.86079815900000001</v>
      </c>
      <c r="AU35" t="str">
        <f ca="1">IF(AND(ISNUMBER($AU$544),$B$511=1),$AU$544,HLOOKUP(INDIRECT(ADDRESS(2,COLUMN())),OFFSET($BN$2,0,0,ROW()-1,60),ROW()-1,FALSE))</f>
        <v/>
      </c>
      <c r="AV35" t="str">
        <f ca="1">IF(AND(ISNUMBER($AV$544),$B$511=1),$AV$544,HLOOKUP(INDIRECT(ADDRESS(2,COLUMN())),OFFSET($BN$2,0,0,ROW()-1,60),ROW()-1,FALSE))</f>
        <v/>
      </c>
      <c r="AW35" t="str">
        <f ca="1">IF(AND(ISNUMBER($AW$544),$B$511=1),$AW$544,HLOOKUP(INDIRECT(ADDRESS(2,COLUMN())),OFFSET($BN$2,0,0,ROW()-1,60),ROW()-1,FALSE))</f>
        <v/>
      </c>
      <c r="AX35" t="str">
        <f ca="1">IF(AND(ISNUMBER($AX$544),$B$511=1),$AX$544,HLOOKUP(INDIRECT(ADDRESS(2,COLUMN())),OFFSET($BN$2,0,0,ROW()-1,60),ROW()-1,FALSE))</f>
        <v/>
      </c>
      <c r="AY35" t="str">
        <f ca="1">IF(AND(ISNUMBER($AY$544),$B$511=1),$AY$544,HLOOKUP(INDIRECT(ADDRESS(2,COLUMN())),OFFSET($BN$2,0,0,ROW()-1,60),ROW()-1,FALSE))</f>
        <v/>
      </c>
      <c r="AZ35" t="str">
        <f ca="1">IF(AND(ISNUMBER($AZ$544),$B$511=1),$AZ$544,HLOOKUP(INDIRECT(ADDRESS(2,COLUMN())),OFFSET($BN$2,0,0,ROW()-1,60),ROW()-1,FALSE))</f>
        <v/>
      </c>
      <c r="BA35" t="str">
        <f ca="1">IF(AND(ISNUMBER($BA$544),$B$511=1),$BA$544,HLOOKUP(INDIRECT(ADDRESS(2,COLUMN())),OFFSET($BN$2,0,0,ROW()-1,60),ROW()-1,FALSE))</f>
        <v/>
      </c>
      <c r="BB35" t="str">
        <f ca="1">IF(AND(ISNUMBER($BB$544),$B$511=1),$BB$544,HLOOKUP(INDIRECT(ADDRESS(2,COLUMN())),OFFSET($BN$2,0,0,ROW()-1,60),ROW()-1,FALSE))</f>
        <v/>
      </c>
      <c r="BC35" t="str">
        <f ca="1">IF(AND(ISNUMBER($BC$544),$B$511=1),$BC$544,HLOOKUP(INDIRECT(ADDRESS(2,COLUMN())),OFFSET($BN$2,0,0,ROW()-1,60),ROW()-1,FALSE))</f>
        <v/>
      </c>
      <c r="BD35" t="str">
        <f ca="1">IF(AND(ISNUMBER($BD$544),$B$511=1),$BD$544,HLOOKUP(INDIRECT(ADDRESS(2,COLUMN())),OFFSET($BN$2,0,0,ROW()-1,60),ROW()-1,FALSE))</f>
        <v/>
      </c>
      <c r="BE35" t="str">
        <f ca="1">IF(AND(ISNUMBER($BE$544),$B$511=1),$BE$544,HLOOKUP(INDIRECT(ADDRESS(2,COLUMN())),OFFSET($BN$2,0,0,ROW()-1,60),ROW()-1,FALSE))</f>
        <v/>
      </c>
      <c r="BF35" t="str">
        <f ca="1">IF(AND(ISNUMBER($BF$544),$B$511=1),$BF$544,HLOOKUP(INDIRECT(ADDRESS(2,COLUMN())),OFFSET($BN$2,0,0,ROW()-1,60),ROW()-1,FALSE))</f>
        <v/>
      </c>
      <c r="BG35" t="str">
        <f ca="1">IF(AND(ISNUMBER($BG$544),$B$511=1),$BG$544,HLOOKUP(INDIRECT(ADDRESS(2,COLUMN())),OFFSET($BN$2,0,0,ROW()-1,60),ROW()-1,FALSE))</f>
        <v/>
      </c>
      <c r="BH35" t="str">
        <f ca="1">IF(AND(ISNUMBER($BH$544),$B$511=1),$BH$544,HLOOKUP(INDIRECT(ADDRESS(2,COLUMN())),OFFSET($BN$2,0,0,ROW()-1,60),ROW()-1,FALSE))</f>
        <v/>
      </c>
      <c r="BI35" t="str">
        <f ca="1">IF(AND(ISNUMBER($BI$544),$B$511=1),$BI$544,HLOOKUP(INDIRECT(ADDRESS(2,COLUMN())),OFFSET($BN$2,0,0,ROW()-1,60),ROW()-1,FALSE))</f>
        <v/>
      </c>
      <c r="BJ35" t="str">
        <f ca="1">IF(AND(ISNUMBER($BJ$544),$B$511=1),$BJ$544,HLOOKUP(INDIRECT(ADDRESS(2,COLUMN())),OFFSET($BN$2,0,0,ROW()-1,60),ROW()-1,FALSE))</f>
        <v/>
      </c>
      <c r="BK35" t="str">
        <f ca="1">IF(AND(ISNUMBER($BK$544),$B$511=1),$BK$544,HLOOKUP(INDIRECT(ADDRESS(2,COLUMN())),OFFSET($BN$2,0,0,ROW()-1,60),ROW()-1,FALSE))</f>
        <v/>
      </c>
      <c r="BL35" t="str">
        <f ca="1">IF(AND(ISNUMBER($BL$544),$B$511=1),$BL$544,HLOOKUP(INDIRECT(ADDRESS(2,COLUMN())),OFFSET($BN$2,0,0,ROW()-1,60),ROW()-1,FALSE))</f>
        <v/>
      </c>
      <c r="BM35" t="str">
        <f ca="1">IF(AND(ISNUMBER($BM$544),$B$511=1),$BM$544,HLOOKUP(INDIRECT(ADDRESS(2,COLUMN())),OFFSET($BN$2,0,0,ROW()-1,60),ROW()-1,FALSE))</f>
        <v/>
      </c>
      <c r="BN35" t="str">
        <f>""</f>
        <v/>
      </c>
      <c r="BO35">
        <f>2.164869676</f>
        <v>2.1648696759999999</v>
      </c>
      <c r="BP35">
        <f>2.08933555</f>
        <v>2.0893355499999999</v>
      </c>
      <c r="BQ35">
        <f>2.150630834</f>
        <v>2.1506308340000002</v>
      </c>
      <c r="BR35">
        <f>2.595980702</f>
        <v>2.5959807019999999</v>
      </c>
      <c r="BS35">
        <f>2.748643067</f>
        <v>2.7486430670000002</v>
      </c>
      <c r="BT35">
        <f>2.525333803</f>
        <v>2.5253338030000001</v>
      </c>
      <c r="BU35">
        <f>3.473608535</f>
        <v>3.4736085349999999</v>
      </c>
      <c r="BV35">
        <f>3.439750316</f>
        <v>3.439750316</v>
      </c>
      <c r="BW35">
        <f>3.654839515</f>
        <v>3.6548395149999999</v>
      </c>
      <c r="BX35">
        <f>4.689827528</f>
        <v>4.6898275280000004</v>
      </c>
      <c r="BY35">
        <f>4.813191148</f>
        <v>4.8131911479999996</v>
      </c>
      <c r="BZ35">
        <f>4.727948674</f>
        <v>4.7279486740000003</v>
      </c>
      <c r="CA35">
        <f>4.363175296</f>
        <v>4.3631752959999996</v>
      </c>
      <c r="CB35">
        <f>3.693538067</f>
        <v>3.693538067</v>
      </c>
      <c r="CC35">
        <f>3.309947226</f>
        <v>3.3099472259999998</v>
      </c>
      <c r="CD35">
        <f>3.074560292</f>
        <v>3.0745602920000001</v>
      </c>
      <c r="CE35">
        <f>2.632353978</f>
        <v>2.6323539779999998</v>
      </c>
      <c r="CF35">
        <f>2.407923715</f>
        <v>2.4079237149999999</v>
      </c>
      <c r="CG35">
        <f>2.316849679</f>
        <v>2.3168496790000002</v>
      </c>
      <c r="CH35">
        <f>2.289880761</f>
        <v>2.289880761</v>
      </c>
      <c r="CI35">
        <f>2.896939956</f>
        <v>2.8969399560000002</v>
      </c>
      <c r="CJ35">
        <f>2.519812886</f>
        <v>2.519812886</v>
      </c>
      <c r="CK35">
        <f>2.278145264</f>
        <v>2.2781452639999999</v>
      </c>
      <c r="CL35">
        <f>1.893703301</f>
        <v>1.8937033009999999</v>
      </c>
      <c r="CM35">
        <f>0.941269877</f>
        <v>0.94126987699999998</v>
      </c>
      <c r="CN35">
        <f>0.796948111</f>
        <v>0.79694811099999996</v>
      </c>
      <c r="CO35">
        <f>0.476529146</f>
        <v>0.47652914600000001</v>
      </c>
      <c r="CP35">
        <f>0.473834203</f>
        <v>0.47383420300000001</v>
      </c>
      <c r="CQ35">
        <f>0.361287438</f>
        <v>0.36128743800000002</v>
      </c>
      <c r="CR35">
        <f>0.504493374</f>
        <v>0.50449337400000005</v>
      </c>
      <c r="CS35">
        <f>0.81474254</f>
        <v>0.81474254000000002</v>
      </c>
      <c r="CT35">
        <f>0.835320599</f>
        <v>0.835320599</v>
      </c>
      <c r="CU35">
        <f>0.995803667</f>
        <v>0.995803667</v>
      </c>
      <c r="CV35">
        <f>0.878915159</f>
        <v>0.87891515899999995</v>
      </c>
      <c r="CW35">
        <f>0.492538864</f>
        <v>0.49253886400000002</v>
      </c>
      <c r="CX35">
        <f>-0.044752152</f>
        <v>-4.4752152000000003E-2</v>
      </c>
      <c r="CY35">
        <f>-0.923425772</f>
        <v>-0.92342577199999998</v>
      </c>
      <c r="CZ35">
        <f>-1.250751812</f>
        <v>-1.2507518120000001</v>
      </c>
      <c r="DA35">
        <f>-1.155140647</f>
        <v>-1.1551406470000001</v>
      </c>
      <c r="DB35">
        <f>-0.860798159</f>
        <v>-0.86079815900000001</v>
      </c>
      <c r="DC35" t="str">
        <f>""</f>
        <v/>
      </c>
      <c r="DD35" t="str">
        <f>""</f>
        <v/>
      </c>
      <c r="DE35" t="str">
        <f>""</f>
        <v/>
      </c>
      <c r="DF35" t="str">
        <f>""</f>
        <v/>
      </c>
      <c r="DG35" t="str">
        <f>""</f>
        <v/>
      </c>
      <c r="DH35" t="str">
        <f>""</f>
        <v/>
      </c>
      <c r="DI35" t="str">
        <f>""</f>
        <v/>
      </c>
      <c r="DJ35" t="str">
        <f>""</f>
        <v/>
      </c>
      <c r="DK35" t="str">
        <f>""</f>
        <v/>
      </c>
      <c r="DL35" t="str">
        <f>""</f>
        <v/>
      </c>
      <c r="DM35" t="str">
        <f>""</f>
        <v/>
      </c>
      <c r="DN35" t="str">
        <f>""</f>
        <v/>
      </c>
      <c r="DO35" t="str">
        <f>""</f>
        <v/>
      </c>
      <c r="DP35" t="str">
        <f>""</f>
        <v/>
      </c>
      <c r="DQ35" t="str">
        <f>""</f>
        <v/>
      </c>
      <c r="DR35" t="str">
        <f>""</f>
        <v/>
      </c>
      <c r="DS35" t="str">
        <f>""</f>
        <v/>
      </c>
      <c r="DT35" t="str">
        <f>""</f>
        <v/>
      </c>
      <c r="DU35" t="str">
        <f>""</f>
        <v/>
      </c>
    </row>
    <row r="36" spans="1:125" x14ac:dyDescent="0.25">
      <c r="A36" t="str">
        <f>"    Suzuki Motor Corp"</f>
        <v xml:space="preserve">    Suzuki Motor Corp</v>
      </c>
      <c r="B36" t="str">
        <f>"7269 JP Equity"</f>
        <v>7269 JP Equity</v>
      </c>
      <c r="C36" t="str">
        <f t="shared" si="0"/>
        <v>RR844</v>
      </c>
      <c r="D36" t="str">
        <f t="shared" si="1"/>
        <v>T12M_DIL_EPS_CONT_OPS</v>
      </c>
      <c r="E36" t="str">
        <f t="shared" si="2"/>
        <v>Dynamic</v>
      </c>
      <c r="F36" t="str">
        <f ca="1">IF(AND(ISNUMBER($F$545),$B$511=1),$F$545,HLOOKUP(INDIRECT(ADDRESS(2,COLUMN())),OFFSET($BN$2,0,0,ROW()-1,60),ROW()-1,FALSE))</f>
        <v/>
      </c>
      <c r="G36">
        <f ca="1">IF(AND(ISNUMBER($G$545),$B$511=1),$G$545,HLOOKUP(INDIRECT(ADDRESS(2,COLUMN())),OFFSET($BN$2,0,0,ROW()-1,60),ROW()-1,FALSE))</f>
        <v>4.60462434</v>
      </c>
      <c r="H36">
        <f ca="1">IF(AND(ISNUMBER($H$545),$B$511=1),$H$545,HLOOKUP(INDIRECT(ADDRESS(2,COLUMN())),OFFSET($BN$2,0,0,ROW()-1,60),ROW()-1,FALSE))</f>
        <v>4.8989835900000003</v>
      </c>
      <c r="I36">
        <f ca="1">IF(AND(ISNUMBER($I$545),$B$511=1),$I$545,HLOOKUP(INDIRECT(ADDRESS(2,COLUMN())),OFFSET($BN$2,0,0,ROW()-1,60),ROW()-1,FALSE))</f>
        <v>4.7054524239999997</v>
      </c>
      <c r="J36">
        <f ca="1">IF(AND(ISNUMBER($J$545),$B$511=1),$J$545,HLOOKUP(INDIRECT(ADDRESS(2,COLUMN())),OFFSET($BN$2,0,0,ROW()-1,60),ROW()-1,FALSE))</f>
        <v>4.3199086260000001</v>
      </c>
      <c r="K36">
        <f ca="1">IF(AND(ISNUMBER($K$545),$B$511=1),$K$545,HLOOKUP(INDIRECT(ADDRESS(2,COLUMN())),OFFSET($BN$2,0,0,ROW()-1,60),ROW()-1,FALSE))</f>
        <v>4.2525891549999999</v>
      </c>
      <c r="L36">
        <f ca="1">IF(AND(ISNUMBER($L$545),$B$511=1),$L$545,HLOOKUP(INDIRECT(ADDRESS(2,COLUMN())),OFFSET($BN$2,0,0,ROW()-1,60),ROW()-1,FALSE))</f>
        <v>3.80120587</v>
      </c>
      <c r="M36">
        <f ca="1">IF(AND(ISNUMBER($M$545),$B$511=1),$M$545,HLOOKUP(INDIRECT(ADDRESS(2,COLUMN())),OFFSET($BN$2,0,0,ROW()-1,60),ROW()-1,FALSE))</f>
        <v>3.7785048950000002</v>
      </c>
      <c r="N36">
        <f ca="1">IF(AND(ISNUMBER($N$545),$B$511=1),$N$545,HLOOKUP(INDIRECT(ADDRESS(2,COLUMN())),OFFSET($BN$2,0,0,ROW()-1,60),ROW()-1,FALSE))</f>
        <v>3.2473013970000002</v>
      </c>
      <c r="O36">
        <f ca="1">IF(AND(ISNUMBER($O$545),$B$511=1),$O$545,HLOOKUP(INDIRECT(ADDRESS(2,COLUMN())),OFFSET($BN$2,0,0,ROW()-1,60),ROW()-1,FALSE))</f>
        <v>2.526042409</v>
      </c>
      <c r="P36">
        <f ca="1">IF(AND(ISNUMBER($P$545),$B$511=1),$P$545,HLOOKUP(INDIRECT(ADDRESS(2,COLUMN())),OFFSET($BN$2,0,0,ROW()-1,60),ROW()-1,FALSE))</f>
        <v>2.2484836389999998</v>
      </c>
      <c r="Q36">
        <f ca="1">IF(AND(ISNUMBER($Q$545),$B$511=1),$Q$545,HLOOKUP(INDIRECT(ADDRESS(2,COLUMN())),OFFSET($BN$2,0,0,ROW()-1,60),ROW()-1,FALSE))</f>
        <v>1.844285986</v>
      </c>
      <c r="R36">
        <f ca="1">IF(AND(ISNUMBER($R$545),$B$511=1),$R$545,HLOOKUP(INDIRECT(ADDRESS(2,COLUMN())),OFFSET($BN$2,0,0,ROW()-1,60),ROW()-1,FALSE))</f>
        <v>1.5480672879999999</v>
      </c>
      <c r="S36">
        <f ca="1">IF(AND(ISNUMBER($S$545),$B$511=1),$S$545,HLOOKUP(INDIRECT(ADDRESS(2,COLUMN())),OFFSET($BN$2,0,0,ROW()-1,60),ROW()-1,FALSE))</f>
        <v>1.513446697</v>
      </c>
      <c r="T36">
        <f ca="1">IF(AND(ISNUMBER($T$545),$B$511=1),$T$545,HLOOKUP(INDIRECT(ADDRESS(2,COLUMN())),OFFSET($BN$2,0,0,ROW()-1,60),ROW()-1,FALSE))</f>
        <v>1.4892060170000001</v>
      </c>
      <c r="U36">
        <f ca="1">IF(AND(ISNUMBER($U$545),$B$511=1),$U$545,HLOOKUP(INDIRECT(ADDRESS(2,COLUMN())),OFFSET($BN$2,0,0,ROW()-1,60),ROW()-1,FALSE))</f>
        <v>1.4352227339999999</v>
      </c>
      <c r="V36">
        <f ca="1">IF(AND(ISNUMBER($V$545),$B$511=1),$V$545,HLOOKUP(INDIRECT(ADDRESS(2,COLUMN())),OFFSET($BN$2,0,0,ROW()-1,60),ROW()-1,FALSE))</f>
        <v>1.5921761990000001</v>
      </c>
      <c r="W36">
        <f ca="1">IF(AND(ISNUMBER($W$545),$B$511=1),$W$545,HLOOKUP(INDIRECT(ADDRESS(2,COLUMN())),OFFSET($BN$2,0,0,ROW()-1,60),ROW()-1,FALSE))</f>
        <v>1.7855100559999999</v>
      </c>
      <c r="X36">
        <f ca="1">IF(AND(ISNUMBER($X$545),$B$511=1),$X$545,HLOOKUP(INDIRECT(ADDRESS(2,COLUMN())),OFFSET($BN$2,0,0,ROW()-1,60),ROW()-1,FALSE))</f>
        <v>1.851722168</v>
      </c>
      <c r="Y36">
        <f ca="1">IF(AND(ISNUMBER($Y$545),$B$511=1),$Y$545,HLOOKUP(INDIRECT(ADDRESS(2,COLUMN())),OFFSET($BN$2,0,0,ROW()-1,60),ROW()-1,FALSE))</f>
        <v>1.952197073</v>
      </c>
      <c r="Z36">
        <f ca="1">IF(AND(ISNUMBER($Z$545),$B$511=1),$Z$545,HLOOKUP(INDIRECT(ADDRESS(2,COLUMN())),OFFSET($BN$2,0,0,ROW()-1,60),ROW()-1,FALSE))</f>
        <v>1.779751562</v>
      </c>
      <c r="AA36">
        <f ca="1">IF(AND(ISNUMBER($AA$545),$B$511=1),$AA$545,HLOOKUP(INDIRECT(ADDRESS(2,COLUMN())),OFFSET($BN$2,0,0,ROW()-1,60),ROW()-1,FALSE))</f>
        <v>1.90786476</v>
      </c>
      <c r="AB36">
        <f ca="1">IF(AND(ISNUMBER($AB$545),$B$511=1),$AB$545,HLOOKUP(INDIRECT(ADDRESS(2,COLUMN())),OFFSET($BN$2,0,0,ROW()-1,60),ROW()-1,FALSE))</f>
        <v>1.798397638</v>
      </c>
      <c r="AC36">
        <f ca="1">IF(AND(ISNUMBER($AC$545),$B$511=1),$AC$545,HLOOKUP(INDIRECT(ADDRESS(2,COLUMN())),OFFSET($BN$2,0,0,ROW()-1,60),ROW()-1,FALSE))</f>
        <v>1.8408795120000001</v>
      </c>
      <c r="AD36">
        <f ca="1">IF(AND(ISNUMBER($AD$545),$B$511=1),$AD$545,HLOOKUP(INDIRECT(ADDRESS(2,COLUMN())),OFFSET($BN$2,0,0,ROW()-1,60),ROW()-1,FALSE))</f>
        <v>1.8394543109999999</v>
      </c>
      <c r="AE36">
        <f ca="1">IF(AND(ISNUMBER($AE$545),$B$511=1),$AE$545,HLOOKUP(INDIRECT(ADDRESS(2,COLUMN())),OFFSET($BN$2,0,0,ROW()-1,60),ROW()-1,FALSE))</f>
        <v>1.5908170370000001</v>
      </c>
      <c r="AF36">
        <f ca="1">IF(AND(ISNUMBER($AF$545),$B$511=1),$AF$545,HLOOKUP(INDIRECT(ADDRESS(2,COLUMN())),OFFSET($BN$2,0,0,ROW()-1,60),ROW()-1,FALSE))</f>
        <v>1.438572679</v>
      </c>
      <c r="AG36">
        <f ca="1">IF(AND(ISNUMBER($AG$545),$B$511=1),$AG$545,HLOOKUP(INDIRECT(ADDRESS(2,COLUMN())),OFFSET($BN$2,0,0,ROW()-1,60),ROW()-1,FALSE))</f>
        <v>1.5679926879999999</v>
      </c>
      <c r="AH36">
        <f ca="1">IF(AND(ISNUMBER($AH$545),$B$511=1),$AH$545,HLOOKUP(INDIRECT(ADDRESS(2,COLUMN())),OFFSET($BN$2,0,0,ROW()-1,60),ROW()-1,FALSE))</f>
        <v>1.358115473</v>
      </c>
      <c r="AI36">
        <f ca="1">IF(AND(ISNUMBER($AI$545),$B$511=1),$AI$545,HLOOKUP(INDIRECT(ADDRESS(2,COLUMN())),OFFSET($BN$2,0,0,ROW()-1,60),ROW()-1,FALSE))</f>
        <v>1.0811513909999999</v>
      </c>
      <c r="AJ36">
        <f ca="1">IF(AND(ISNUMBER($AJ$545),$B$511=1),$AJ$545,HLOOKUP(INDIRECT(ADDRESS(2,COLUMN())),OFFSET($BN$2,0,0,ROW()-1,60),ROW()-1,FALSE))</f>
        <v>1.151439264</v>
      </c>
      <c r="AK36">
        <f ca="1">IF(AND(ISNUMBER($AK$545),$B$511=1),$AK$545,HLOOKUP(INDIRECT(ADDRESS(2,COLUMN())),OFFSET($BN$2,0,0,ROW()-1,60),ROW()-1,FALSE))</f>
        <v>0.93981773099999999</v>
      </c>
      <c r="AL36">
        <f ca="1">IF(AND(ISNUMBER($AL$545),$B$511=1),$AL$545,HLOOKUP(INDIRECT(ADDRESS(2,COLUMN())),OFFSET($BN$2,0,0,ROW()-1,60),ROW()-1,FALSE))</f>
        <v>0.97877383699999998</v>
      </c>
      <c r="AM36">
        <f ca="1">IF(AND(ISNUMBER($AM$545),$B$511=1),$AM$545,HLOOKUP(INDIRECT(ADDRESS(2,COLUMN())),OFFSET($BN$2,0,0,ROW()-1,60),ROW()-1,FALSE))</f>
        <v>1.124062224</v>
      </c>
      <c r="AN36">
        <f ca="1">IF(AND(ISNUMBER($AN$545),$B$511=1),$AN$545,HLOOKUP(INDIRECT(ADDRESS(2,COLUMN())),OFFSET($BN$2,0,0,ROW()-1,60),ROW()-1,FALSE))</f>
        <v>0.96371602300000003</v>
      </c>
      <c r="AO36">
        <f ca="1">IF(AND(ISNUMBER($AO$545),$B$511=1),$AO$545,HLOOKUP(INDIRECT(ADDRESS(2,COLUMN())),OFFSET($BN$2,0,0,ROW()-1,60),ROW()-1,FALSE))</f>
        <v>0.87906312499999995</v>
      </c>
      <c r="AP36">
        <f ca="1">IF(AND(ISNUMBER($AP$545),$B$511=1),$AP$545,HLOOKUP(INDIRECT(ADDRESS(2,COLUMN())),OFFSET($BN$2,0,0,ROW()-1,60),ROW()-1,FALSE))</f>
        <v>0.59373564099999998</v>
      </c>
      <c r="AQ36">
        <f ca="1">IF(AND(ISNUMBER($AQ$545),$B$511=1),$AQ$545,HLOOKUP(INDIRECT(ADDRESS(2,COLUMN())),OFFSET($BN$2,0,0,ROW()-1,60),ROW()-1,FALSE))</f>
        <v>0.59449570100000004</v>
      </c>
      <c r="AR36">
        <f ca="1">IF(AND(ISNUMBER($AR$545),$B$511=1),$AR$545,HLOOKUP(INDIRECT(ADDRESS(2,COLUMN())),OFFSET($BN$2,0,0,ROW()-1,60),ROW()-1,FALSE))</f>
        <v>0.35767792300000001</v>
      </c>
      <c r="AS36">
        <f ca="1">IF(AND(ISNUMBER($AS$545),$B$511=1),$AS$545,HLOOKUP(INDIRECT(ADDRESS(2,COLUMN())),OFFSET($BN$2,0,0,ROW()-1,60),ROW()-1,FALSE))</f>
        <v>0.37895663600000001</v>
      </c>
      <c r="AT36">
        <f ca="1">IF(AND(ISNUMBER($AT$545),$B$511=1),$AT$545,HLOOKUP(INDIRECT(ADDRESS(2,COLUMN())),OFFSET($BN$2,0,0,ROW()-1,60),ROW()-1,FALSE))</f>
        <v>0.832770554</v>
      </c>
      <c r="AU36" t="str">
        <f ca="1">IF(AND(ISNUMBER($AU$545),$B$511=1),$AU$545,HLOOKUP(INDIRECT(ADDRESS(2,COLUMN())),OFFSET($BN$2,0,0,ROW()-1,60),ROW()-1,FALSE))</f>
        <v/>
      </c>
      <c r="AV36" t="str">
        <f ca="1">IF(AND(ISNUMBER($AV$545),$B$511=1),$AV$545,HLOOKUP(INDIRECT(ADDRESS(2,COLUMN())),OFFSET($BN$2,0,0,ROW()-1,60),ROW()-1,FALSE))</f>
        <v/>
      </c>
      <c r="AW36" t="str">
        <f ca="1">IF(AND(ISNUMBER($AW$545),$B$511=1),$AW$545,HLOOKUP(INDIRECT(ADDRESS(2,COLUMN())),OFFSET($BN$2,0,0,ROW()-1,60),ROW()-1,FALSE))</f>
        <v/>
      </c>
      <c r="AX36" t="str">
        <f ca="1">IF(AND(ISNUMBER($AX$545),$B$511=1),$AX$545,HLOOKUP(INDIRECT(ADDRESS(2,COLUMN())),OFFSET($BN$2,0,0,ROW()-1,60),ROW()-1,FALSE))</f>
        <v/>
      </c>
      <c r="AY36" t="str">
        <f ca="1">IF(AND(ISNUMBER($AY$545),$B$511=1),$AY$545,HLOOKUP(INDIRECT(ADDRESS(2,COLUMN())),OFFSET($BN$2,0,0,ROW()-1,60),ROW()-1,FALSE))</f>
        <v/>
      </c>
      <c r="AZ36" t="str">
        <f ca="1">IF(AND(ISNUMBER($AZ$545),$B$511=1),$AZ$545,HLOOKUP(INDIRECT(ADDRESS(2,COLUMN())),OFFSET($BN$2,0,0,ROW()-1,60),ROW()-1,FALSE))</f>
        <v/>
      </c>
      <c r="BA36" t="str">
        <f ca="1">IF(AND(ISNUMBER($BA$545),$B$511=1),$BA$545,HLOOKUP(INDIRECT(ADDRESS(2,COLUMN())),OFFSET($BN$2,0,0,ROW()-1,60),ROW()-1,FALSE))</f>
        <v/>
      </c>
      <c r="BB36" t="str">
        <f ca="1">IF(AND(ISNUMBER($BB$545),$B$511=1),$BB$545,HLOOKUP(INDIRECT(ADDRESS(2,COLUMN())),OFFSET($BN$2,0,0,ROW()-1,60),ROW()-1,FALSE))</f>
        <v/>
      </c>
      <c r="BC36" t="str">
        <f ca="1">IF(AND(ISNUMBER($BC$545),$B$511=1),$BC$545,HLOOKUP(INDIRECT(ADDRESS(2,COLUMN())),OFFSET($BN$2,0,0,ROW()-1,60),ROW()-1,FALSE))</f>
        <v/>
      </c>
      <c r="BD36" t="str">
        <f ca="1">IF(AND(ISNUMBER($BD$545),$B$511=1),$BD$545,HLOOKUP(INDIRECT(ADDRESS(2,COLUMN())),OFFSET($BN$2,0,0,ROW()-1,60),ROW()-1,FALSE))</f>
        <v/>
      </c>
      <c r="BE36" t="str">
        <f ca="1">IF(AND(ISNUMBER($BE$545),$B$511=1),$BE$545,HLOOKUP(INDIRECT(ADDRESS(2,COLUMN())),OFFSET($BN$2,0,0,ROW()-1,60),ROW()-1,FALSE))</f>
        <v/>
      </c>
      <c r="BF36" t="str">
        <f ca="1">IF(AND(ISNUMBER($BF$545),$B$511=1),$BF$545,HLOOKUP(INDIRECT(ADDRESS(2,COLUMN())),OFFSET($BN$2,0,0,ROW()-1,60),ROW()-1,FALSE))</f>
        <v/>
      </c>
      <c r="BG36" t="str">
        <f ca="1">IF(AND(ISNUMBER($BG$545),$B$511=1),$BG$545,HLOOKUP(INDIRECT(ADDRESS(2,COLUMN())),OFFSET($BN$2,0,0,ROW()-1,60),ROW()-1,FALSE))</f>
        <v/>
      </c>
      <c r="BH36" t="str">
        <f ca="1">IF(AND(ISNUMBER($BH$545),$B$511=1),$BH$545,HLOOKUP(INDIRECT(ADDRESS(2,COLUMN())),OFFSET($BN$2,0,0,ROW()-1,60),ROW()-1,FALSE))</f>
        <v/>
      </c>
      <c r="BI36" t="str">
        <f ca="1">IF(AND(ISNUMBER($BI$545),$B$511=1),$BI$545,HLOOKUP(INDIRECT(ADDRESS(2,COLUMN())),OFFSET($BN$2,0,0,ROW()-1,60),ROW()-1,FALSE))</f>
        <v/>
      </c>
      <c r="BJ36" t="str">
        <f ca="1">IF(AND(ISNUMBER($BJ$545),$B$511=1),$BJ$545,HLOOKUP(INDIRECT(ADDRESS(2,COLUMN())),OFFSET($BN$2,0,0,ROW()-1,60),ROW()-1,FALSE))</f>
        <v/>
      </c>
      <c r="BK36" t="str">
        <f ca="1">IF(AND(ISNUMBER($BK$545),$B$511=1),$BK$545,HLOOKUP(INDIRECT(ADDRESS(2,COLUMN())),OFFSET($BN$2,0,0,ROW()-1,60),ROW()-1,FALSE))</f>
        <v/>
      </c>
      <c r="BL36" t="str">
        <f ca="1">IF(AND(ISNUMBER($BL$545),$B$511=1),$BL$545,HLOOKUP(INDIRECT(ADDRESS(2,COLUMN())),OFFSET($BN$2,0,0,ROW()-1,60),ROW()-1,FALSE))</f>
        <v/>
      </c>
      <c r="BM36" t="str">
        <f ca="1">IF(AND(ISNUMBER($BM$545),$B$511=1),$BM$545,HLOOKUP(INDIRECT(ADDRESS(2,COLUMN())),OFFSET($BN$2,0,0,ROW()-1,60),ROW()-1,FALSE))</f>
        <v/>
      </c>
      <c r="BN36" t="str">
        <f>""</f>
        <v/>
      </c>
      <c r="BO36">
        <f>4.60462434</f>
        <v>4.60462434</v>
      </c>
      <c r="BP36">
        <f>4.89898359</f>
        <v>4.8989835900000003</v>
      </c>
      <c r="BQ36">
        <f>4.705452424</f>
        <v>4.7054524239999997</v>
      </c>
      <c r="BR36">
        <f>4.319908626</f>
        <v>4.3199086260000001</v>
      </c>
      <c r="BS36">
        <f>4.252589155</f>
        <v>4.2525891549999999</v>
      </c>
      <c r="BT36">
        <f>3.80120587</f>
        <v>3.80120587</v>
      </c>
      <c r="BU36">
        <f>3.778504895</f>
        <v>3.7785048950000002</v>
      </c>
      <c r="BV36">
        <f>3.247301397</f>
        <v>3.2473013970000002</v>
      </c>
      <c r="BW36">
        <f>2.526042409</f>
        <v>2.526042409</v>
      </c>
      <c r="BX36">
        <f>2.248483639</f>
        <v>2.2484836389999998</v>
      </c>
      <c r="BY36">
        <f>1.844285986</f>
        <v>1.844285986</v>
      </c>
      <c r="BZ36">
        <f>1.548067288</f>
        <v>1.5480672879999999</v>
      </c>
      <c r="CA36">
        <f>1.513446697</f>
        <v>1.513446697</v>
      </c>
      <c r="CB36">
        <f>1.489206017</f>
        <v>1.4892060170000001</v>
      </c>
      <c r="CC36">
        <f>1.435222734</f>
        <v>1.4352227339999999</v>
      </c>
      <c r="CD36">
        <f>1.592176199</f>
        <v>1.5921761990000001</v>
      </c>
      <c r="CE36">
        <f>1.785510056</f>
        <v>1.7855100559999999</v>
      </c>
      <c r="CF36">
        <f>1.851722168</f>
        <v>1.851722168</v>
      </c>
      <c r="CG36">
        <f>1.952197073</f>
        <v>1.952197073</v>
      </c>
      <c r="CH36">
        <f>1.779751562</f>
        <v>1.779751562</v>
      </c>
      <c r="CI36">
        <f>1.90786476</f>
        <v>1.90786476</v>
      </c>
      <c r="CJ36">
        <f>1.798397638</f>
        <v>1.798397638</v>
      </c>
      <c r="CK36">
        <f>1.840879512</f>
        <v>1.8408795120000001</v>
      </c>
      <c r="CL36">
        <f>1.839454311</f>
        <v>1.8394543109999999</v>
      </c>
      <c r="CM36">
        <f>1.590817037</f>
        <v>1.5908170370000001</v>
      </c>
      <c r="CN36">
        <f>1.438572679</f>
        <v>1.438572679</v>
      </c>
      <c r="CO36">
        <f>1.567992688</f>
        <v>1.5679926879999999</v>
      </c>
      <c r="CP36">
        <f>1.358115473</f>
        <v>1.358115473</v>
      </c>
      <c r="CQ36">
        <f>1.081151391</f>
        <v>1.0811513909999999</v>
      </c>
      <c r="CR36">
        <f>1.151439264</f>
        <v>1.151439264</v>
      </c>
      <c r="CS36">
        <f>0.939817731</f>
        <v>0.93981773099999999</v>
      </c>
      <c r="CT36">
        <f>0.978773837</f>
        <v>0.97877383699999998</v>
      </c>
      <c r="CU36">
        <f>1.124062224</f>
        <v>1.124062224</v>
      </c>
      <c r="CV36">
        <f>0.963716023</f>
        <v>0.96371602300000003</v>
      </c>
      <c r="CW36">
        <f>0.879063125</f>
        <v>0.87906312499999995</v>
      </c>
      <c r="CX36">
        <f>0.593735641</f>
        <v>0.59373564099999998</v>
      </c>
      <c r="CY36">
        <f>0.594495701</f>
        <v>0.59449570100000004</v>
      </c>
      <c r="CZ36">
        <f>0.357677923</f>
        <v>0.35767792300000001</v>
      </c>
      <c r="DA36">
        <f>0.378956636</f>
        <v>0.37895663600000001</v>
      </c>
      <c r="DB36">
        <f>0.832770554</f>
        <v>0.832770554</v>
      </c>
      <c r="DC36" t="str">
        <f>""</f>
        <v/>
      </c>
      <c r="DD36" t="str">
        <f>""</f>
        <v/>
      </c>
      <c r="DE36" t="str">
        <f>""</f>
        <v/>
      </c>
      <c r="DF36" t="str">
        <f>""</f>
        <v/>
      </c>
      <c r="DG36" t="str">
        <f>""</f>
        <v/>
      </c>
      <c r="DH36" t="str">
        <f>""</f>
        <v/>
      </c>
      <c r="DI36" t="str">
        <f>""</f>
        <v/>
      </c>
      <c r="DJ36" t="str">
        <f>""</f>
        <v/>
      </c>
      <c r="DK36" t="str">
        <f>""</f>
        <v/>
      </c>
      <c r="DL36" t="str">
        <f>""</f>
        <v/>
      </c>
      <c r="DM36" t="str">
        <f>""</f>
        <v/>
      </c>
      <c r="DN36" t="str">
        <f>""</f>
        <v/>
      </c>
      <c r="DO36" t="str">
        <f>""</f>
        <v/>
      </c>
      <c r="DP36" t="str">
        <f>""</f>
        <v/>
      </c>
      <c r="DQ36" t="str">
        <f>""</f>
        <v/>
      </c>
      <c r="DR36" t="str">
        <f>""</f>
        <v/>
      </c>
      <c r="DS36" t="str">
        <f>""</f>
        <v/>
      </c>
      <c r="DT36" t="str">
        <f>""</f>
        <v/>
      </c>
      <c r="DU36" t="str">
        <f>""</f>
        <v/>
      </c>
    </row>
    <row r="37" spans="1:125" x14ac:dyDescent="0.25">
      <c r="A37" t="str">
        <f>"    Tata Motors Ltd"</f>
        <v xml:space="preserve">    Tata Motors Ltd</v>
      </c>
      <c r="B37" t="str">
        <f>"TTMT IN Equity"</f>
        <v>TTMT IN Equity</v>
      </c>
      <c r="C37" t="str">
        <f t="shared" si="0"/>
        <v>RR844</v>
      </c>
      <c r="D37" t="str">
        <f t="shared" si="1"/>
        <v>T12M_DIL_EPS_CONT_OPS</v>
      </c>
      <c r="E37" t="str">
        <f t="shared" si="2"/>
        <v>Dynamic</v>
      </c>
      <c r="F37" t="str">
        <f ca="1">IF(AND(ISNUMBER($F$546),$B$511=1),$F$546,HLOOKUP(INDIRECT(ADDRESS(2,COLUMN())),OFFSET($BN$2,0,0,ROW()-1,60),ROW()-1,FALSE))</f>
        <v/>
      </c>
      <c r="G37">
        <f ca="1">IF(AND(ISNUMBER($G$546),$B$511=1),$G$546,HLOOKUP(INDIRECT(ADDRESS(2,COLUMN())),OFFSET($BN$2,0,0,ROW()-1,60),ROW()-1,FALSE))</f>
        <v>-0.30415230199999999</v>
      </c>
      <c r="H37">
        <f ca="1">IF(AND(ISNUMBER($H$546),$B$511=1),$H$546,HLOOKUP(INDIRECT(ADDRESS(2,COLUMN())),OFFSET($BN$2,0,0,ROW()-1,60),ROW()-1,FALSE))</f>
        <v>6.7468374999999997E-2</v>
      </c>
      <c r="I37">
        <f ca="1">IF(AND(ISNUMBER($I$546),$B$511=1),$I$546,HLOOKUP(INDIRECT(ADDRESS(2,COLUMN())),OFFSET($BN$2,0,0,ROW()-1,60),ROW()-1,FALSE))</f>
        <v>0.228448874</v>
      </c>
      <c r="J37">
        <f ca="1">IF(AND(ISNUMBER($J$546),$B$511=1),$J$546,HLOOKUP(INDIRECT(ADDRESS(2,COLUMN())),OFFSET($BN$2,0,0,ROW()-1,60),ROW()-1,FALSE))</f>
        <v>0.34702744000000002</v>
      </c>
      <c r="K37">
        <f ca="1">IF(AND(ISNUMBER($K$546),$B$511=1),$K$546,HLOOKUP(INDIRECT(ADDRESS(2,COLUMN())),OFFSET($BN$2,0,0,ROW()-1,60),ROW()-1,FALSE))</f>
        <v>0.38978664899999999</v>
      </c>
      <c r="L37">
        <f ca="1">IF(AND(ISNUMBER($L$546),$B$511=1),$L$546,HLOOKUP(INDIRECT(ADDRESS(2,COLUMN())),OFFSET($BN$2,0,0,ROW()-1,60),ROW()-1,FALSE))</f>
        <v>0.31535026999999999</v>
      </c>
      <c r="M37">
        <f ca="1">IF(AND(ISNUMBER($M$546),$B$511=1),$M$546,HLOOKUP(INDIRECT(ADDRESS(2,COLUMN())),OFFSET($BN$2,0,0,ROW()-1,60),ROW()-1,FALSE))</f>
        <v>0.23934165099999999</v>
      </c>
      <c r="N37">
        <f ca="1">IF(AND(ISNUMBER($N$546),$B$511=1),$N$546,HLOOKUP(INDIRECT(ADDRESS(2,COLUMN())),OFFSET($BN$2,0,0,ROW()-1,60),ROW()-1,FALSE))</f>
        <v>0.29279685100000002</v>
      </c>
      <c r="O37">
        <f ca="1">IF(AND(ISNUMBER($O$546),$B$511=1),$O$546,HLOOKUP(INDIRECT(ADDRESS(2,COLUMN())),OFFSET($BN$2,0,0,ROW()-1,60),ROW()-1,FALSE))</f>
        <v>0.31472089599999997</v>
      </c>
      <c r="P37">
        <f ca="1">IF(AND(ISNUMBER($P$546),$B$511=1),$P$546,HLOOKUP(INDIRECT(ADDRESS(2,COLUMN())),OFFSET($BN$2,0,0,ROW()-1,60),ROW()-1,FALSE))</f>
        <v>0.46881103800000001</v>
      </c>
      <c r="Q37">
        <f ca="1">IF(AND(ISNUMBER($Q$546),$B$511=1),$Q$546,HLOOKUP(INDIRECT(ADDRESS(2,COLUMN())),OFFSET($BN$2,0,0,ROW()-1,60),ROW()-1,FALSE))</f>
        <v>0.43079856999999999</v>
      </c>
      <c r="R37">
        <f ca="1">IF(AND(ISNUMBER($R$546),$B$511=1),$R$546,HLOOKUP(INDIRECT(ADDRESS(2,COLUMN())),OFFSET($BN$2,0,0,ROW()-1,60),ROW()-1,FALSE))</f>
        <v>0.59153150600000004</v>
      </c>
      <c r="S37">
        <f ca="1">IF(AND(ISNUMBER($S$546),$B$511=1),$S$546,HLOOKUP(INDIRECT(ADDRESS(2,COLUMN())),OFFSET($BN$2,0,0,ROW()-1,60),ROW()-1,FALSE))</f>
        <v>0.48480248300000001</v>
      </c>
      <c r="T37">
        <f ca="1">IF(AND(ISNUMBER($T$546),$B$511=1),$T$546,HLOOKUP(INDIRECT(ADDRESS(2,COLUMN())),OFFSET($BN$2,0,0,ROW()-1,60),ROW()-1,FALSE))</f>
        <v>0.53265900499999996</v>
      </c>
      <c r="U37">
        <f ca="1">IF(AND(ISNUMBER($U$546),$B$511=1),$U$546,HLOOKUP(INDIRECT(ADDRESS(2,COLUMN())),OFFSET($BN$2,0,0,ROW()-1,60),ROW()-1,FALSE))</f>
        <v>0.71002438599999995</v>
      </c>
      <c r="V37">
        <f ca="1">IF(AND(ISNUMBER($V$546),$B$511=1),$V$546,HLOOKUP(INDIRECT(ADDRESS(2,COLUMN())),OFFSET($BN$2,0,0,ROW()-1,60),ROW()-1,FALSE))</f>
        <v>0.73346892500000005</v>
      </c>
      <c r="W37">
        <f ca="1">IF(AND(ISNUMBER($W$546),$B$511=1),$W$546,HLOOKUP(INDIRECT(ADDRESS(2,COLUMN())),OFFSET($BN$2,0,0,ROW()-1,60),ROW()-1,FALSE))</f>
        <v>0.82441139600000002</v>
      </c>
      <c r="X37">
        <f ca="1">IF(AND(ISNUMBER($X$546),$B$511=1),$X$546,HLOOKUP(INDIRECT(ADDRESS(2,COLUMN())),OFFSET($BN$2,0,0,ROW()-1,60),ROW()-1,FALSE))</f>
        <v>0.87666951800000004</v>
      </c>
      <c r="Y37">
        <f ca="1">IF(AND(ISNUMBER($Y$546),$B$511=1),$Y$546,HLOOKUP(INDIRECT(ADDRESS(2,COLUMN())),OFFSET($BN$2,0,0,ROW()-1,60),ROW()-1,FALSE))</f>
        <v>0.89080536799999999</v>
      </c>
      <c r="Z37">
        <f ca="1">IF(AND(ISNUMBER($Z$546),$B$511=1),$Z$546,HLOOKUP(INDIRECT(ADDRESS(2,COLUMN())),OFFSET($BN$2,0,0,ROW()-1,60),ROW()-1,FALSE))</f>
        <v>0.71925279099999995</v>
      </c>
      <c r="AA37">
        <f ca="1">IF(AND(ISNUMBER($AA$546),$B$511=1),$AA$546,HLOOKUP(INDIRECT(ADDRESS(2,COLUMN())),OFFSET($BN$2,0,0,ROW()-1,60),ROW()-1,FALSE))</f>
        <v>0.74585148999999995</v>
      </c>
      <c r="AB37">
        <f ca="1">IF(AND(ISNUMBER($AB$546),$B$511=1),$AB$546,HLOOKUP(INDIRECT(ADDRESS(2,COLUMN())),OFFSET($BN$2,0,0,ROW()-1,60),ROW()-1,FALSE))</f>
        <v>0.59809098299999996</v>
      </c>
      <c r="AC37">
        <f ca="1">IF(AND(ISNUMBER($AC$546),$B$511=1),$AC$546,HLOOKUP(INDIRECT(ADDRESS(2,COLUMN())),OFFSET($BN$2,0,0,ROW()-1,60),ROW()-1,FALSE))</f>
        <v>0.52829870300000004</v>
      </c>
      <c r="AD37">
        <f ca="1">IF(AND(ISNUMBER($AD$546),$B$511=1),$AD$546,HLOOKUP(INDIRECT(ADDRESS(2,COLUMN())),OFFSET($BN$2,0,0,ROW()-1,60),ROW()-1,FALSE))</f>
        <v>0.56276352799999996</v>
      </c>
      <c r="AE37">
        <f ca="1">IF(AND(ISNUMBER($AE$546),$B$511=1),$AE$546,HLOOKUP(INDIRECT(ADDRESS(2,COLUMN())),OFFSET($BN$2,0,0,ROW()-1,60),ROW()-1,FALSE))</f>
        <v>0.71869556899999998</v>
      </c>
      <c r="AF37">
        <f ca="1">IF(AND(ISNUMBER($AF$546),$B$511=1),$AF$546,HLOOKUP(INDIRECT(ADDRESS(2,COLUMN())),OFFSET($BN$2,0,0,ROW()-1,60),ROW()-1,FALSE))</f>
        <v>0.826688741</v>
      </c>
      <c r="AG37">
        <f ca="1">IF(AND(ISNUMBER($AG$546),$B$511=1),$AG$546,HLOOKUP(INDIRECT(ADDRESS(2,COLUMN())),OFFSET($BN$2,0,0,ROW()-1,60),ROW()-1,FALSE))</f>
        <v>0.84992367499999999</v>
      </c>
      <c r="AH37">
        <f ca="1">IF(AND(ISNUMBER($AH$546),$B$511=1),$AH$546,HLOOKUP(INDIRECT(ADDRESS(2,COLUMN())),OFFSET($BN$2,0,0,ROW()-1,60),ROW()-1,FALSE))</f>
        <v>0.87054826799999996</v>
      </c>
      <c r="AI37">
        <f ca="1">IF(AND(ISNUMBER($AI$546),$B$511=1),$AI$546,HLOOKUP(INDIRECT(ADDRESS(2,COLUMN())),OFFSET($BN$2,0,0,ROW()-1,60),ROW()-1,FALSE))</f>
        <v>0.63420676799999998</v>
      </c>
      <c r="AJ37">
        <f ca="1">IF(AND(ISNUMBER($AJ$546),$B$511=1),$AJ$546,HLOOKUP(INDIRECT(ADDRESS(2,COLUMN())),OFFSET($BN$2,0,0,ROW()-1,60),ROW()-1,FALSE))</f>
        <v>0.59002750299999995</v>
      </c>
      <c r="AK37">
        <f ca="1">IF(AND(ISNUMBER($AK$546),$B$511=1),$AK$546,HLOOKUP(INDIRECT(ADDRESS(2,COLUMN())),OFFSET($BN$2,0,0,ROW()-1,60),ROW()-1,FALSE))</f>
        <v>0.62057195099999996</v>
      </c>
      <c r="AL37">
        <f ca="1">IF(AND(ISNUMBER($AL$546),$B$511=1),$AL$546,HLOOKUP(INDIRECT(ADDRESS(2,COLUMN())),OFFSET($BN$2,0,0,ROW()-1,60),ROW()-1,FALSE))</f>
        <v>0.62570844299999995</v>
      </c>
      <c r="AM37">
        <f ca="1">IF(AND(ISNUMBER($AM$546),$B$511=1),$AM$546,HLOOKUP(INDIRECT(ADDRESS(2,COLUMN())),OFFSET($BN$2,0,0,ROW()-1,60),ROW()-1,FALSE))</f>
        <v>0.57387752000000003</v>
      </c>
      <c r="AN37">
        <f ca="1">IF(AND(ISNUMBER($AN$546),$B$511=1),$AN$546,HLOOKUP(INDIRECT(ADDRESS(2,COLUMN())),OFFSET($BN$2,0,0,ROW()-1,60),ROW()-1,FALSE))</f>
        <v>0.45776610699999998</v>
      </c>
      <c r="AO37">
        <f ca="1">IF(AND(ISNUMBER($AO$546),$B$511=1),$AO$546,HLOOKUP(INDIRECT(ADDRESS(2,COLUMN())),OFFSET($BN$2,0,0,ROW()-1,60),ROW()-1,FALSE))</f>
        <v>0.285489147</v>
      </c>
      <c r="AP37">
        <f ca="1">IF(AND(ISNUMBER($AP$546),$B$511=1),$AP$546,HLOOKUP(INDIRECT(ADDRESS(2,COLUMN())),OFFSET($BN$2,0,0,ROW()-1,60),ROW()-1,FALSE))</f>
        <v>0.103696466</v>
      </c>
      <c r="AQ37">
        <f ca="1">IF(AND(ISNUMBER($AQ$546),$B$511=1),$AQ$546,HLOOKUP(INDIRECT(ADDRESS(2,COLUMN())),OFFSET($BN$2,0,0,ROW()-1,60),ROW()-1,FALSE))</f>
        <v>5.443013E-3</v>
      </c>
      <c r="AR37">
        <f ca="1">IF(AND(ISNUMBER($AR$546),$B$511=1),$AR$546,HLOOKUP(INDIRECT(ADDRESS(2,COLUMN())),OFFSET($BN$2,0,0,ROW()-1,60),ROW()-1,FALSE))</f>
        <v>-0.265730244</v>
      </c>
      <c r="AS37">
        <f ca="1">IF(AND(ISNUMBER($AS$546),$B$511=1),$AS$546,HLOOKUP(INDIRECT(ADDRESS(2,COLUMN())),OFFSET($BN$2,0,0,ROW()-1,60),ROW()-1,FALSE))</f>
        <v>-0.385085646</v>
      </c>
      <c r="AT37">
        <f ca="1">IF(AND(ISNUMBER($AT$546),$B$511=1),$AT$546,HLOOKUP(INDIRECT(ADDRESS(2,COLUMN())),OFFSET($BN$2,0,0,ROW()-1,60),ROW()-1,FALSE))</f>
        <v>-0.30065929200000002</v>
      </c>
      <c r="AU37" t="str">
        <f ca="1">IF(AND(ISNUMBER($AU$546),$B$511=1),$AU$546,HLOOKUP(INDIRECT(ADDRESS(2,COLUMN())),OFFSET($BN$2,0,0,ROW()-1,60),ROW()-1,FALSE))</f>
        <v/>
      </c>
      <c r="AV37" t="str">
        <f ca="1">IF(AND(ISNUMBER($AV$546),$B$511=1),$AV$546,HLOOKUP(INDIRECT(ADDRESS(2,COLUMN())),OFFSET($BN$2,0,0,ROW()-1,60),ROW()-1,FALSE))</f>
        <v/>
      </c>
      <c r="AW37" t="str">
        <f ca="1">IF(AND(ISNUMBER($AW$546),$B$511=1),$AW$546,HLOOKUP(INDIRECT(ADDRESS(2,COLUMN())),OFFSET($BN$2,0,0,ROW()-1,60),ROW()-1,FALSE))</f>
        <v/>
      </c>
      <c r="AX37" t="str">
        <f ca="1">IF(AND(ISNUMBER($AX$546),$B$511=1),$AX$546,HLOOKUP(INDIRECT(ADDRESS(2,COLUMN())),OFFSET($BN$2,0,0,ROW()-1,60),ROW()-1,FALSE))</f>
        <v/>
      </c>
      <c r="AY37" t="str">
        <f ca="1">IF(AND(ISNUMBER($AY$546),$B$511=1),$AY$546,HLOOKUP(INDIRECT(ADDRESS(2,COLUMN())),OFFSET($BN$2,0,0,ROW()-1,60),ROW()-1,FALSE))</f>
        <v/>
      </c>
      <c r="AZ37" t="str">
        <f ca="1">IF(AND(ISNUMBER($AZ$546),$B$511=1),$AZ$546,HLOOKUP(INDIRECT(ADDRESS(2,COLUMN())),OFFSET($BN$2,0,0,ROW()-1,60),ROW()-1,FALSE))</f>
        <v/>
      </c>
      <c r="BA37" t="str">
        <f ca="1">IF(AND(ISNUMBER($BA$546),$B$511=1),$BA$546,HLOOKUP(INDIRECT(ADDRESS(2,COLUMN())),OFFSET($BN$2,0,0,ROW()-1,60),ROW()-1,FALSE))</f>
        <v/>
      </c>
      <c r="BB37" t="str">
        <f ca="1">IF(AND(ISNUMBER($BB$546),$B$511=1),$BB$546,HLOOKUP(INDIRECT(ADDRESS(2,COLUMN())),OFFSET($BN$2,0,0,ROW()-1,60),ROW()-1,FALSE))</f>
        <v/>
      </c>
      <c r="BC37" t="str">
        <f ca="1">IF(AND(ISNUMBER($BC$546),$B$511=1),$BC$546,HLOOKUP(INDIRECT(ADDRESS(2,COLUMN())),OFFSET($BN$2,0,0,ROW()-1,60),ROW()-1,FALSE))</f>
        <v/>
      </c>
      <c r="BD37" t="str">
        <f ca="1">IF(AND(ISNUMBER($BD$546),$B$511=1),$BD$546,HLOOKUP(INDIRECT(ADDRESS(2,COLUMN())),OFFSET($BN$2,0,0,ROW()-1,60),ROW()-1,FALSE))</f>
        <v/>
      </c>
      <c r="BE37" t="str">
        <f ca="1">IF(AND(ISNUMBER($BE$546),$B$511=1),$BE$546,HLOOKUP(INDIRECT(ADDRESS(2,COLUMN())),OFFSET($BN$2,0,0,ROW()-1,60),ROW()-1,FALSE))</f>
        <v/>
      </c>
      <c r="BF37" t="str">
        <f ca="1">IF(AND(ISNUMBER($BF$546),$B$511=1),$BF$546,HLOOKUP(INDIRECT(ADDRESS(2,COLUMN())),OFFSET($BN$2,0,0,ROW()-1,60),ROW()-1,FALSE))</f>
        <v/>
      </c>
      <c r="BG37" t="str">
        <f ca="1">IF(AND(ISNUMBER($BG$546),$B$511=1),$BG$546,HLOOKUP(INDIRECT(ADDRESS(2,COLUMN())),OFFSET($BN$2,0,0,ROW()-1,60),ROW()-1,FALSE))</f>
        <v/>
      </c>
      <c r="BH37" t="str">
        <f ca="1">IF(AND(ISNUMBER($BH$546),$B$511=1),$BH$546,HLOOKUP(INDIRECT(ADDRESS(2,COLUMN())),OFFSET($BN$2,0,0,ROW()-1,60),ROW()-1,FALSE))</f>
        <v/>
      </c>
      <c r="BI37" t="str">
        <f ca="1">IF(AND(ISNUMBER($BI$546),$B$511=1),$BI$546,HLOOKUP(INDIRECT(ADDRESS(2,COLUMN())),OFFSET($BN$2,0,0,ROW()-1,60),ROW()-1,FALSE))</f>
        <v/>
      </c>
      <c r="BJ37" t="str">
        <f ca="1">IF(AND(ISNUMBER($BJ$546),$B$511=1),$BJ$546,HLOOKUP(INDIRECT(ADDRESS(2,COLUMN())),OFFSET($BN$2,0,0,ROW()-1,60),ROW()-1,FALSE))</f>
        <v/>
      </c>
      <c r="BK37" t="str">
        <f ca="1">IF(AND(ISNUMBER($BK$546),$B$511=1),$BK$546,HLOOKUP(INDIRECT(ADDRESS(2,COLUMN())),OFFSET($BN$2,0,0,ROW()-1,60),ROW()-1,FALSE))</f>
        <v/>
      </c>
      <c r="BL37" t="str">
        <f ca="1">IF(AND(ISNUMBER($BL$546),$B$511=1),$BL$546,HLOOKUP(INDIRECT(ADDRESS(2,COLUMN())),OFFSET($BN$2,0,0,ROW()-1,60),ROW()-1,FALSE))</f>
        <v/>
      </c>
      <c r="BM37" t="str">
        <f ca="1">IF(AND(ISNUMBER($BM$546),$B$511=1),$BM$546,HLOOKUP(INDIRECT(ADDRESS(2,COLUMN())),OFFSET($BN$2,0,0,ROW()-1,60),ROW()-1,FALSE))</f>
        <v/>
      </c>
      <c r="BN37" t="str">
        <f>""</f>
        <v/>
      </c>
      <c r="BO37">
        <f>-0.304152302</f>
        <v>-0.30415230199999999</v>
      </c>
      <c r="BP37">
        <f>0.067468375</f>
        <v>6.7468374999999997E-2</v>
      </c>
      <c r="BQ37">
        <f>0.228448874</f>
        <v>0.228448874</v>
      </c>
      <c r="BR37">
        <f>0.34702744</f>
        <v>0.34702744000000002</v>
      </c>
      <c r="BS37">
        <f>0.389786649</f>
        <v>0.38978664899999999</v>
      </c>
      <c r="BT37">
        <f>0.31535027</f>
        <v>0.31535026999999999</v>
      </c>
      <c r="BU37">
        <f>0.239341651</f>
        <v>0.23934165099999999</v>
      </c>
      <c r="BV37">
        <f>0.292796851</f>
        <v>0.29279685100000002</v>
      </c>
      <c r="BW37">
        <f>0.314720896</f>
        <v>0.31472089599999997</v>
      </c>
      <c r="BX37">
        <f>0.468811038</f>
        <v>0.46881103800000001</v>
      </c>
      <c r="BY37">
        <f>0.43079857</f>
        <v>0.43079856999999999</v>
      </c>
      <c r="BZ37">
        <f>0.591531506</f>
        <v>0.59153150600000004</v>
      </c>
      <c r="CA37">
        <f>0.484802483</f>
        <v>0.48480248300000001</v>
      </c>
      <c r="CB37">
        <f>0.532659005</f>
        <v>0.53265900499999996</v>
      </c>
      <c r="CC37">
        <f>0.710024386</f>
        <v>0.71002438599999995</v>
      </c>
      <c r="CD37">
        <f>0.733468925</f>
        <v>0.73346892500000005</v>
      </c>
      <c r="CE37">
        <f>0.824411396</f>
        <v>0.82441139600000002</v>
      </c>
      <c r="CF37">
        <f>0.876669518</f>
        <v>0.87666951800000004</v>
      </c>
      <c r="CG37">
        <f>0.890805368</f>
        <v>0.89080536799999999</v>
      </c>
      <c r="CH37">
        <f>0.719252791</f>
        <v>0.71925279099999995</v>
      </c>
      <c r="CI37">
        <f>0.74585149</f>
        <v>0.74585148999999995</v>
      </c>
      <c r="CJ37">
        <f>0.598090983</f>
        <v>0.59809098299999996</v>
      </c>
      <c r="CK37">
        <f>0.528298703</f>
        <v>0.52829870300000004</v>
      </c>
      <c r="CL37">
        <f>0.562763528</f>
        <v>0.56276352799999996</v>
      </c>
      <c r="CM37">
        <f>0.718695569</f>
        <v>0.71869556899999998</v>
      </c>
      <c r="CN37">
        <f>0.826688741</f>
        <v>0.826688741</v>
      </c>
      <c r="CO37">
        <f>0.849923675</f>
        <v>0.84992367499999999</v>
      </c>
      <c r="CP37">
        <f>0.870548268</f>
        <v>0.87054826799999996</v>
      </c>
      <c r="CQ37">
        <f>0.634206768</f>
        <v>0.63420676799999998</v>
      </c>
      <c r="CR37">
        <f>0.590027503</f>
        <v>0.59002750299999995</v>
      </c>
      <c r="CS37">
        <f>0.620571951</f>
        <v>0.62057195099999996</v>
      </c>
      <c r="CT37">
        <f>0.625708443</f>
        <v>0.62570844299999995</v>
      </c>
      <c r="CU37">
        <f>0.57387752</f>
        <v>0.57387752000000003</v>
      </c>
      <c r="CV37">
        <f>0.457766107</f>
        <v>0.45776610699999998</v>
      </c>
      <c r="CW37">
        <f>0.285489147</f>
        <v>0.285489147</v>
      </c>
      <c r="CX37">
        <f>0.103696466</f>
        <v>0.103696466</v>
      </c>
      <c r="CY37">
        <f>0.005443013</f>
        <v>5.443013E-3</v>
      </c>
      <c r="CZ37">
        <f>-0.265730244</f>
        <v>-0.265730244</v>
      </c>
      <c r="DA37">
        <f>-0.385085646</f>
        <v>-0.385085646</v>
      </c>
      <c r="DB37">
        <f>-0.300659292</f>
        <v>-0.30065929200000002</v>
      </c>
      <c r="DC37" t="str">
        <f>""</f>
        <v/>
      </c>
      <c r="DD37" t="str">
        <f>""</f>
        <v/>
      </c>
      <c r="DE37" t="str">
        <f>""</f>
        <v/>
      </c>
      <c r="DF37" t="str">
        <f>""</f>
        <v/>
      </c>
      <c r="DG37" t="str">
        <f>""</f>
        <v/>
      </c>
      <c r="DH37" t="str">
        <f>""</f>
        <v/>
      </c>
      <c r="DI37" t="str">
        <f>""</f>
        <v/>
      </c>
      <c r="DJ37" t="str">
        <f>""</f>
        <v/>
      </c>
      <c r="DK37" t="str">
        <f>""</f>
        <v/>
      </c>
      <c r="DL37" t="str">
        <f>""</f>
        <v/>
      </c>
      <c r="DM37" t="str">
        <f>""</f>
        <v/>
      </c>
      <c r="DN37" t="str">
        <f>""</f>
        <v/>
      </c>
      <c r="DO37" t="str">
        <f>""</f>
        <v/>
      </c>
      <c r="DP37" t="str">
        <f>""</f>
        <v/>
      </c>
      <c r="DQ37" t="str">
        <f>""</f>
        <v/>
      </c>
      <c r="DR37" t="str">
        <f>""</f>
        <v/>
      </c>
      <c r="DS37" t="str">
        <f>""</f>
        <v/>
      </c>
      <c r="DT37" t="str">
        <f>""</f>
        <v/>
      </c>
      <c r="DU37" t="str">
        <f>""</f>
        <v/>
      </c>
    </row>
    <row r="38" spans="1:125" x14ac:dyDescent="0.25">
      <c r="A38" t="str">
        <f>"    Tesla Inc"</f>
        <v xml:space="preserve">    Tesla Inc</v>
      </c>
      <c r="B38" t="str">
        <f>"TSLA US Equity"</f>
        <v>TSLA US Equity</v>
      </c>
      <c r="C38" t="str">
        <f t="shared" si="0"/>
        <v>RR844</v>
      </c>
      <c r="D38" t="str">
        <f t="shared" si="1"/>
        <v>T12M_DIL_EPS_CONT_OPS</v>
      </c>
      <c r="E38" t="str">
        <f t="shared" si="2"/>
        <v>Dynamic</v>
      </c>
      <c r="F38" t="str">
        <f ca="1">IF(AND(ISNUMBER($F$547),$B$511=1),$F$547,HLOOKUP(INDIRECT(ADDRESS(2,COLUMN())),OFFSET($BN$2,0,0,ROW()-1,60),ROW()-1,FALSE))</f>
        <v/>
      </c>
      <c r="G38">
        <f ca="1">IF(AND(ISNUMBER($G$547),$B$511=1),$G$547,HLOOKUP(INDIRECT(ADDRESS(2,COLUMN())),OFFSET($BN$2,0,0,ROW()-1,60),ROW()-1,FALSE))</f>
        <v>-4.9591580000000004</v>
      </c>
      <c r="H38">
        <f ca="1">IF(AND(ISNUMBER($H$547),$B$511=1),$H$547,HLOOKUP(INDIRECT(ADDRESS(2,COLUMN())),OFFSET($BN$2,0,0,ROW()-1,60),ROW()-1,FALSE))</f>
        <v>-9.4321719999999996</v>
      </c>
      <c r="I38">
        <f ca="1">IF(AND(ISNUMBER($I$547),$B$511=1),$I$547,HLOOKUP(INDIRECT(ADDRESS(2,COLUMN())),OFFSET($BN$2,0,0,ROW()-1,60),ROW()-1,FALSE))</f>
        <v>-14.929188999999999</v>
      </c>
      <c r="J38">
        <f ca="1">IF(AND(ISNUMBER($J$547),$B$511=1),$J$547,HLOOKUP(INDIRECT(ADDRESS(2,COLUMN())),OFFSET($BN$2,0,0,ROW()-1,60),ROW()-1,FALSE))</f>
        <v>-13.179978999999999</v>
      </c>
      <c r="K38">
        <f ca="1">IF(AND(ISNUMBER($K$547),$B$511=1),$K$547,HLOOKUP(INDIRECT(ADDRESS(2,COLUMN())),OFFSET($BN$2,0,0,ROW()-1,60),ROW()-1,FALSE))</f>
        <v>-11.032825000000001</v>
      </c>
      <c r="L38">
        <f ca="1">IF(AND(ISNUMBER($L$547),$B$511=1),$L$547,HLOOKUP(INDIRECT(ADDRESS(2,COLUMN())),OFFSET($BN$2,0,0,ROW()-1,60),ROW()-1,FALSE))</f>
        <v>-8.5235269999999996</v>
      </c>
      <c r="M38">
        <f ca="1">IF(AND(ISNUMBER($M$547),$B$511=1),$M$547,HLOOKUP(INDIRECT(ADDRESS(2,COLUMN())),OFFSET($BN$2,0,0,ROW()-1,60),ROW()-1,FALSE))</f>
        <v>-4.8111629999999996</v>
      </c>
      <c r="N38">
        <f ca="1">IF(AND(ISNUMBER($N$547),$B$511=1),$N$547,HLOOKUP(INDIRECT(ADDRESS(2,COLUMN())),OFFSET($BN$2,0,0,ROW()-1,60),ROW()-1,FALSE))</f>
        <v>-4.9824380000000001</v>
      </c>
      <c r="O38">
        <f ca="1">IF(AND(ISNUMBER($O$547),$B$511=1),$O$547,HLOOKUP(INDIRECT(ADDRESS(2,COLUMN())),OFFSET($BN$2,0,0,ROW()-1,60),ROW()-1,FALSE))</f>
        <v>-5.180447</v>
      </c>
      <c r="P38">
        <f ca="1">IF(AND(ISNUMBER($P$547),$B$511=1),$P$547,HLOOKUP(INDIRECT(ADDRESS(2,COLUMN())),OFFSET($BN$2,0,0,ROW()-1,60),ROW()-1,FALSE))</f>
        <v>-6.4615090000000004</v>
      </c>
      <c r="Q38">
        <f ca="1">IF(AND(ISNUMBER($Q$547),$B$511=1),$Q$547,HLOOKUP(INDIRECT(ADDRESS(2,COLUMN())),OFFSET($BN$2,0,0,ROW()-1,60),ROW()-1,FALSE))</f>
        <v>-8.3840690000000002</v>
      </c>
      <c r="R38">
        <f ca="1">IF(AND(ISNUMBER($R$547),$B$511=1),$R$547,HLOOKUP(INDIRECT(ADDRESS(2,COLUMN())),OFFSET($BN$2,0,0,ROW()-1,60),ROW()-1,FALSE))</f>
        <v>-7.6717839999999997</v>
      </c>
      <c r="S38">
        <f ca="1">IF(AND(ISNUMBER($S$547),$B$511=1),$S$547,HLOOKUP(INDIRECT(ADDRESS(2,COLUMN())),OFFSET($BN$2,0,0,ROW()-1,60),ROW()-1,FALSE))</f>
        <v>-6.89</v>
      </c>
      <c r="T38">
        <f ca="1">IF(AND(ISNUMBER($T$547),$B$511=1),$T$547,HLOOKUP(INDIRECT(ADDRESS(2,COLUMN())),OFFSET($BN$2,0,0,ROW()-1,60),ROW()-1,FALSE))</f>
        <v>-5.31</v>
      </c>
      <c r="U38">
        <f ca="1">IF(AND(ISNUMBER($U$547),$B$511=1),$U$547,HLOOKUP(INDIRECT(ADDRESS(2,COLUMN())),OFFSET($BN$2,0,0,ROW()-1,60),ROW()-1,FALSE))</f>
        <v>-4.13</v>
      </c>
      <c r="V38">
        <f ca="1">IF(AND(ISNUMBER($V$547),$B$511=1),$V$547,HLOOKUP(INDIRECT(ADDRESS(2,COLUMN())),OFFSET($BN$2,0,0,ROW()-1,60),ROW()-1,FALSE))</f>
        <v>-3.18</v>
      </c>
      <c r="W38">
        <f ca="1">IF(AND(ISNUMBER($W$547),$B$511=1),$W$547,HLOOKUP(INDIRECT(ADDRESS(2,COLUMN())),OFFSET($BN$2,0,0,ROW()-1,60),ROW()-1,FALSE))</f>
        <v>-2.36</v>
      </c>
      <c r="X38">
        <f ca="1">IF(AND(ISNUMBER($X$547),$B$511=1),$X$547,HLOOKUP(INDIRECT(ADDRESS(2,COLUMN())),OFFSET($BN$2,0,0,ROW()-1,60),ROW()-1,FALSE))</f>
        <v>-1.63</v>
      </c>
      <c r="Y38">
        <f ca="1">IF(AND(ISNUMBER($Y$547),$B$511=1),$Y$547,HLOOKUP(INDIRECT(ADDRESS(2,COLUMN())),OFFSET($BN$2,0,0,ROW()-1,60),ROW()-1,FALSE))</f>
        <v>-1.35</v>
      </c>
      <c r="Z38">
        <f ca="1">IF(AND(ISNUMBER($Z$547),$B$511=1),$Z$547,HLOOKUP(INDIRECT(ADDRESS(2,COLUMN())),OFFSET($BN$2,0,0,ROW()-1,60),ROW()-1,FALSE))</f>
        <v>-0.97136299999999998</v>
      </c>
      <c r="AA38">
        <f ca="1">IF(AND(ISNUMBER($AA$547),$B$511=1),$AA$547,HLOOKUP(INDIRECT(ADDRESS(2,COLUMN())),OFFSET($BN$2,0,0,ROW()-1,60),ROW()-1,FALSE))</f>
        <v>-0.57136299999999995</v>
      </c>
      <c r="AB38">
        <f ca="1">IF(AND(ISNUMBER($AB$547),$B$511=1),$AB$547,HLOOKUP(INDIRECT(ADDRESS(2,COLUMN())),OFFSET($BN$2,0,0,ROW()-1,60),ROW()-1,FALSE))</f>
        <v>-1.231363</v>
      </c>
      <c r="AC38">
        <f ca="1">IF(AND(ISNUMBER($AC$547),$B$511=1),$AC$547,HLOOKUP(INDIRECT(ADDRESS(2,COLUMN())),OFFSET($BN$2,0,0,ROW()-1,60),ROW()-1,FALSE))</f>
        <v>-1.961363</v>
      </c>
      <c r="AD38">
        <f ca="1">IF(AND(ISNUMBER($AD$547),$B$511=1),$AD$547,HLOOKUP(INDIRECT(ADDRESS(2,COLUMN())),OFFSET($BN$2,0,0,ROW()-1,60),ROW()-1,FALSE))</f>
        <v>-2.84</v>
      </c>
      <c r="AE38">
        <f ca="1">IF(AND(ISNUMBER($AE$547),$B$511=1),$AE$547,HLOOKUP(INDIRECT(ADDRESS(2,COLUMN())),OFFSET($BN$2,0,0,ROW()-1,60),ROW()-1,FALSE))</f>
        <v>-3.7</v>
      </c>
      <c r="AF38">
        <f ca="1">IF(AND(ISNUMBER($AF$547),$B$511=1),$AF$547,HLOOKUP(INDIRECT(ADDRESS(2,COLUMN())),OFFSET($BN$2,0,0,ROW()-1,60),ROW()-1,FALSE))</f>
        <v>-3.69</v>
      </c>
      <c r="AG38">
        <f ca="1">IF(AND(ISNUMBER($AG$547),$B$511=1),$AG$547,HLOOKUP(INDIRECT(ADDRESS(2,COLUMN())),OFFSET($BN$2,0,0,ROW()-1,60),ROW()-1,FALSE))</f>
        <v>-3.27</v>
      </c>
      <c r="AH38">
        <f ca="1">IF(AND(ISNUMBER($AH$547),$B$511=1),$AH$547,HLOOKUP(INDIRECT(ADDRESS(2,COLUMN())),OFFSET($BN$2,0,0,ROW()-1,60),ROW()-1,FALSE))</f>
        <v>-2.87</v>
      </c>
      <c r="AI38">
        <f ca="1">IF(AND(ISNUMBER($AI$547),$B$511=1),$AI$547,HLOOKUP(INDIRECT(ADDRESS(2,COLUMN())),OFFSET($BN$2,0,0,ROW()-1,60),ROW()-1,FALSE))</f>
        <v>-2.52</v>
      </c>
      <c r="AJ38">
        <f ca="1">IF(AND(ISNUMBER($AJ$547),$B$511=1),$AJ$547,HLOOKUP(INDIRECT(ADDRESS(2,COLUMN())),OFFSET($BN$2,0,0,ROW()-1,60),ROW()-1,FALSE))</f>
        <v>-2.2799999999999998</v>
      </c>
      <c r="AK38">
        <f ca="1">IF(AND(ISNUMBER($AK$547),$B$511=1),$AK$547,HLOOKUP(INDIRECT(ADDRESS(2,COLUMN())),OFFSET($BN$2,0,0,ROW()-1,60),ROW()-1,FALSE))</f>
        <v>-2.0299999999999998</v>
      </c>
      <c r="AL38">
        <f ca="1">IF(AND(ISNUMBER($AL$547),$B$511=1),$AL$547,HLOOKUP(INDIRECT(ADDRESS(2,COLUMN())),OFFSET($BN$2,0,0,ROW()-1,60),ROW()-1,FALSE))</f>
        <v>-6.47</v>
      </c>
      <c r="AM38">
        <f ca="1">IF(AND(ISNUMBER($AM$547),$B$511=1),$AM$547,HLOOKUP(INDIRECT(ADDRESS(2,COLUMN())),OFFSET($BN$2,0,0,ROW()-1,60),ROW()-1,FALSE))</f>
        <v>-10</v>
      </c>
      <c r="AN38">
        <f ca="1">IF(AND(ISNUMBER($AN$547),$B$511=1),$AN$547,HLOOKUP(INDIRECT(ADDRESS(2,COLUMN())),OFFSET($BN$2,0,0,ROW()-1,60),ROW()-1,FALSE))</f>
        <v>-12.912311000000001</v>
      </c>
      <c r="AO38" t="str">
        <f ca="1">IF(AND(ISNUMBER($AO$547),$B$511=1),$AO$547,HLOOKUP(INDIRECT(ADDRESS(2,COLUMN())),OFFSET($BN$2,0,0,ROW()-1,60),ROW()-1,FALSE))</f>
        <v/>
      </c>
      <c r="AP38" t="str">
        <f ca="1">IF(AND(ISNUMBER($AP$547),$B$511=1),$AP$547,HLOOKUP(INDIRECT(ADDRESS(2,COLUMN())),OFFSET($BN$2,0,0,ROW()-1,60),ROW()-1,FALSE))</f>
        <v/>
      </c>
      <c r="AQ38" t="str">
        <f ca="1">IF(AND(ISNUMBER($AQ$547),$B$511=1),$AQ$547,HLOOKUP(INDIRECT(ADDRESS(2,COLUMN())),OFFSET($BN$2,0,0,ROW()-1,60),ROW()-1,FALSE))</f>
        <v/>
      </c>
      <c r="AR38" t="str">
        <f ca="1">IF(AND(ISNUMBER($AR$547),$B$511=1),$AR$547,HLOOKUP(INDIRECT(ADDRESS(2,COLUMN())),OFFSET($BN$2,0,0,ROW()-1,60),ROW()-1,FALSE))</f>
        <v/>
      </c>
      <c r="AS38" t="str">
        <f ca="1">IF(AND(ISNUMBER($AS$547),$B$511=1),$AS$547,HLOOKUP(INDIRECT(ADDRESS(2,COLUMN())),OFFSET($BN$2,0,0,ROW()-1,60),ROW()-1,FALSE))</f>
        <v/>
      </c>
      <c r="AT38" t="str">
        <f ca="1">IF(AND(ISNUMBER($AT$547),$B$511=1),$AT$547,HLOOKUP(INDIRECT(ADDRESS(2,COLUMN())),OFFSET($BN$2,0,0,ROW()-1,60),ROW()-1,FALSE))</f>
        <v/>
      </c>
      <c r="AU38" t="str">
        <f ca="1">IF(AND(ISNUMBER($AU$547),$B$511=1),$AU$547,HLOOKUP(INDIRECT(ADDRESS(2,COLUMN())),OFFSET($BN$2,0,0,ROW()-1,60),ROW()-1,FALSE))</f>
        <v/>
      </c>
      <c r="AV38" t="str">
        <f ca="1">IF(AND(ISNUMBER($AV$547),$B$511=1),$AV$547,HLOOKUP(INDIRECT(ADDRESS(2,COLUMN())),OFFSET($BN$2,0,0,ROW()-1,60),ROW()-1,FALSE))</f>
        <v/>
      </c>
      <c r="AW38" t="str">
        <f ca="1">IF(AND(ISNUMBER($AW$547),$B$511=1),$AW$547,HLOOKUP(INDIRECT(ADDRESS(2,COLUMN())),OFFSET($BN$2,0,0,ROW()-1,60),ROW()-1,FALSE))</f>
        <v/>
      </c>
      <c r="AX38" t="str">
        <f ca="1">IF(AND(ISNUMBER($AX$547),$B$511=1),$AX$547,HLOOKUP(INDIRECT(ADDRESS(2,COLUMN())),OFFSET($BN$2,0,0,ROW()-1,60),ROW()-1,FALSE))</f>
        <v/>
      </c>
      <c r="AY38" t="str">
        <f ca="1">IF(AND(ISNUMBER($AY$547),$B$511=1),$AY$547,HLOOKUP(INDIRECT(ADDRESS(2,COLUMN())),OFFSET($BN$2,0,0,ROW()-1,60),ROW()-1,FALSE))</f>
        <v/>
      </c>
      <c r="AZ38" t="str">
        <f ca="1">IF(AND(ISNUMBER($AZ$547),$B$511=1),$AZ$547,HLOOKUP(INDIRECT(ADDRESS(2,COLUMN())),OFFSET($BN$2,0,0,ROW()-1,60),ROW()-1,FALSE))</f>
        <v/>
      </c>
      <c r="BA38" t="str">
        <f ca="1">IF(AND(ISNUMBER($BA$547),$B$511=1),$BA$547,HLOOKUP(INDIRECT(ADDRESS(2,COLUMN())),OFFSET($BN$2,0,0,ROW()-1,60),ROW()-1,FALSE))</f>
        <v/>
      </c>
      <c r="BB38" t="str">
        <f ca="1">IF(AND(ISNUMBER($BB$547),$B$511=1),$BB$547,HLOOKUP(INDIRECT(ADDRESS(2,COLUMN())),OFFSET($BN$2,0,0,ROW()-1,60),ROW()-1,FALSE))</f>
        <v/>
      </c>
      <c r="BC38" t="str">
        <f ca="1">IF(AND(ISNUMBER($BC$547),$B$511=1),$BC$547,HLOOKUP(INDIRECT(ADDRESS(2,COLUMN())),OFFSET($BN$2,0,0,ROW()-1,60),ROW()-1,FALSE))</f>
        <v/>
      </c>
      <c r="BD38" t="str">
        <f ca="1">IF(AND(ISNUMBER($BD$547),$B$511=1),$BD$547,HLOOKUP(INDIRECT(ADDRESS(2,COLUMN())),OFFSET($BN$2,0,0,ROW()-1,60),ROW()-1,FALSE))</f>
        <v/>
      </c>
      <c r="BE38" t="str">
        <f ca="1">IF(AND(ISNUMBER($BE$547),$B$511=1),$BE$547,HLOOKUP(INDIRECT(ADDRESS(2,COLUMN())),OFFSET($BN$2,0,0,ROW()-1,60),ROW()-1,FALSE))</f>
        <v/>
      </c>
      <c r="BF38" t="str">
        <f ca="1">IF(AND(ISNUMBER($BF$547),$B$511=1),$BF$547,HLOOKUP(INDIRECT(ADDRESS(2,COLUMN())),OFFSET($BN$2,0,0,ROW()-1,60),ROW()-1,FALSE))</f>
        <v/>
      </c>
      <c r="BG38" t="str">
        <f ca="1">IF(AND(ISNUMBER($BG$547),$B$511=1),$BG$547,HLOOKUP(INDIRECT(ADDRESS(2,COLUMN())),OFFSET($BN$2,0,0,ROW()-1,60),ROW()-1,FALSE))</f>
        <v/>
      </c>
      <c r="BH38" t="str">
        <f ca="1">IF(AND(ISNUMBER($BH$547),$B$511=1),$BH$547,HLOOKUP(INDIRECT(ADDRESS(2,COLUMN())),OFFSET($BN$2,0,0,ROW()-1,60),ROW()-1,FALSE))</f>
        <v/>
      </c>
      <c r="BI38" t="str">
        <f ca="1">IF(AND(ISNUMBER($BI$547),$B$511=1),$BI$547,HLOOKUP(INDIRECT(ADDRESS(2,COLUMN())),OFFSET($BN$2,0,0,ROW()-1,60),ROW()-1,FALSE))</f>
        <v/>
      </c>
      <c r="BJ38" t="str">
        <f ca="1">IF(AND(ISNUMBER($BJ$547),$B$511=1),$BJ$547,HLOOKUP(INDIRECT(ADDRESS(2,COLUMN())),OFFSET($BN$2,0,0,ROW()-1,60),ROW()-1,FALSE))</f>
        <v/>
      </c>
      <c r="BK38" t="str">
        <f ca="1">IF(AND(ISNUMBER($BK$547),$B$511=1),$BK$547,HLOOKUP(INDIRECT(ADDRESS(2,COLUMN())),OFFSET($BN$2,0,0,ROW()-1,60),ROW()-1,FALSE))</f>
        <v/>
      </c>
      <c r="BL38" t="str">
        <f ca="1">IF(AND(ISNUMBER($BL$547),$B$511=1),$BL$547,HLOOKUP(INDIRECT(ADDRESS(2,COLUMN())),OFFSET($BN$2,0,0,ROW()-1,60),ROW()-1,FALSE))</f>
        <v/>
      </c>
      <c r="BM38" t="str">
        <f ca="1">IF(AND(ISNUMBER($BM$547),$B$511=1),$BM$547,HLOOKUP(INDIRECT(ADDRESS(2,COLUMN())),OFFSET($BN$2,0,0,ROW()-1,60),ROW()-1,FALSE))</f>
        <v/>
      </c>
      <c r="BN38" t="str">
        <f>""</f>
        <v/>
      </c>
      <c r="BO38">
        <f>-4.959158</f>
        <v>-4.9591580000000004</v>
      </c>
      <c r="BP38">
        <f>-9.432172</f>
        <v>-9.4321719999999996</v>
      </c>
      <c r="BQ38">
        <f>-14.929189</f>
        <v>-14.929188999999999</v>
      </c>
      <c r="BR38">
        <f>-13.179979</f>
        <v>-13.179978999999999</v>
      </c>
      <c r="BS38">
        <f>-11.032825</f>
        <v>-11.032825000000001</v>
      </c>
      <c r="BT38">
        <f>-8.523527</f>
        <v>-8.5235269999999996</v>
      </c>
      <c r="BU38">
        <f>-4.811163</f>
        <v>-4.8111629999999996</v>
      </c>
      <c r="BV38">
        <f>-4.982438</f>
        <v>-4.9824380000000001</v>
      </c>
      <c r="BW38">
        <f>-5.180447</f>
        <v>-5.180447</v>
      </c>
      <c r="BX38">
        <f>-6.461509</f>
        <v>-6.4615090000000004</v>
      </c>
      <c r="BY38">
        <f>-8.384069</f>
        <v>-8.3840690000000002</v>
      </c>
      <c r="BZ38">
        <f>-7.671784</f>
        <v>-7.6717839999999997</v>
      </c>
      <c r="CA38">
        <f>-6.89</f>
        <v>-6.89</v>
      </c>
      <c r="CB38">
        <f>-5.31</f>
        <v>-5.31</v>
      </c>
      <c r="CC38">
        <f>-4.13</f>
        <v>-4.13</v>
      </c>
      <c r="CD38">
        <f>-3.18</f>
        <v>-3.18</v>
      </c>
      <c r="CE38">
        <f>-2.36</f>
        <v>-2.36</v>
      </c>
      <c r="CF38">
        <f>-1.63</f>
        <v>-1.63</v>
      </c>
      <c r="CG38">
        <f>-1.35</f>
        <v>-1.35</v>
      </c>
      <c r="CH38">
        <f>-0.971363</f>
        <v>-0.97136299999999998</v>
      </c>
      <c r="CI38">
        <f>-0.571363</f>
        <v>-0.57136299999999995</v>
      </c>
      <c r="CJ38">
        <f>-1.231363</f>
        <v>-1.231363</v>
      </c>
      <c r="CK38">
        <f>-1.961363</f>
        <v>-1.961363</v>
      </c>
      <c r="CL38">
        <f>-2.84</f>
        <v>-2.84</v>
      </c>
      <c r="CM38">
        <f>-3.7</f>
        <v>-3.7</v>
      </c>
      <c r="CN38">
        <f>-3.69</f>
        <v>-3.69</v>
      </c>
      <c r="CO38">
        <f>-3.27</f>
        <v>-3.27</v>
      </c>
      <c r="CP38">
        <f>-2.87</f>
        <v>-2.87</v>
      </c>
      <c r="CQ38">
        <f>-2.52</f>
        <v>-2.52</v>
      </c>
      <c r="CR38">
        <f>-2.28</f>
        <v>-2.2799999999999998</v>
      </c>
      <c r="CS38">
        <f>-2.03</f>
        <v>-2.0299999999999998</v>
      </c>
      <c r="CT38">
        <f>-6.47</f>
        <v>-6.47</v>
      </c>
      <c r="CU38">
        <f>-10</f>
        <v>-10</v>
      </c>
      <c r="CV38">
        <f>-12.912311</f>
        <v>-12.912311000000001</v>
      </c>
      <c r="CW38" t="str">
        <f>""</f>
        <v/>
      </c>
      <c r="CX38" t="str">
        <f>""</f>
        <v/>
      </c>
      <c r="CY38" t="str">
        <f>""</f>
        <v/>
      </c>
      <c r="CZ38" t="str">
        <f>""</f>
        <v/>
      </c>
      <c r="DA38" t="str">
        <f>""</f>
        <v/>
      </c>
      <c r="DB38" t="str">
        <f>""</f>
        <v/>
      </c>
      <c r="DC38" t="str">
        <f>""</f>
        <v/>
      </c>
      <c r="DD38" t="str">
        <f>""</f>
        <v/>
      </c>
      <c r="DE38" t="str">
        <f>""</f>
        <v/>
      </c>
      <c r="DF38" t="str">
        <f>""</f>
        <v/>
      </c>
      <c r="DG38" t="str">
        <f>""</f>
        <v/>
      </c>
      <c r="DH38" t="str">
        <f>""</f>
        <v/>
      </c>
      <c r="DI38" t="str">
        <f>""</f>
        <v/>
      </c>
      <c r="DJ38" t="str">
        <f>""</f>
        <v/>
      </c>
      <c r="DK38" t="str">
        <f>""</f>
        <v/>
      </c>
      <c r="DL38" t="str">
        <f>""</f>
        <v/>
      </c>
      <c r="DM38" t="str">
        <f>""</f>
        <v/>
      </c>
      <c r="DN38" t="str">
        <f>""</f>
        <v/>
      </c>
      <c r="DO38" t="str">
        <f>""</f>
        <v/>
      </c>
      <c r="DP38" t="str">
        <f>""</f>
        <v/>
      </c>
      <c r="DQ38" t="str">
        <f>""</f>
        <v/>
      </c>
      <c r="DR38" t="str">
        <f>""</f>
        <v/>
      </c>
      <c r="DS38" t="str">
        <f>""</f>
        <v/>
      </c>
      <c r="DT38" t="str">
        <f>""</f>
        <v/>
      </c>
      <c r="DU38" t="str">
        <f>""</f>
        <v/>
      </c>
    </row>
    <row r="39" spans="1:125" x14ac:dyDescent="0.25">
      <c r="A39" t="str">
        <f>"    Tianjin Faw Xiali Automobile Co Ltd"</f>
        <v xml:space="preserve">    Tianjin Faw Xiali Automobile Co Ltd</v>
      </c>
      <c r="B39" t="str">
        <f>"000927 CH Equity"</f>
        <v>000927 CH Equity</v>
      </c>
      <c r="C39" t="str">
        <f t="shared" si="0"/>
        <v>RR844</v>
      </c>
      <c r="D39" t="str">
        <f t="shared" si="1"/>
        <v>T12M_DIL_EPS_CONT_OPS</v>
      </c>
      <c r="E39" t="str">
        <f t="shared" si="2"/>
        <v>Dynamic</v>
      </c>
      <c r="F39" t="str">
        <f ca="1">IF(AND(ISNUMBER($F$548),$B$511=1),$F$548,HLOOKUP(INDIRECT(ADDRESS(2,COLUMN())),OFFSET($BN$2,0,0,ROW()-1,60),ROW()-1,FALSE))</f>
        <v/>
      </c>
      <c r="G39" t="str">
        <f ca="1">IF(AND(ISNUMBER($G$548),$B$511=1),$G$548,HLOOKUP(INDIRECT(ADDRESS(2,COLUMN())),OFFSET($BN$2,0,0,ROW()-1,60),ROW()-1,FALSE))</f>
        <v/>
      </c>
      <c r="H39">
        <f ca="1">IF(AND(ISNUMBER($H$548),$B$511=1),$H$548,HLOOKUP(INDIRECT(ADDRESS(2,COLUMN())),OFFSET($BN$2,0,0,ROW()-1,60),ROW()-1,FALSE))</f>
        <v>-0.144359972</v>
      </c>
      <c r="I39">
        <f ca="1">IF(AND(ISNUMBER($I$548),$B$511=1),$I$548,HLOOKUP(INDIRECT(ADDRESS(2,COLUMN())),OFFSET($BN$2,0,0,ROW()-1,60),ROW()-1,FALSE))</f>
        <v>-0.153144002</v>
      </c>
      <c r="J39">
        <f ca="1">IF(AND(ISNUMBER($J$548),$B$511=1),$J$548,HLOOKUP(INDIRECT(ADDRESS(2,COLUMN())),OFFSET($BN$2,0,0,ROW()-1,60),ROW()-1,FALSE))</f>
        <v>-0.15077149100000001</v>
      </c>
      <c r="K39">
        <f ca="1">IF(AND(ISNUMBER($K$548),$B$511=1),$K$548,HLOOKUP(INDIRECT(ADDRESS(2,COLUMN())),OFFSET($BN$2,0,0,ROW()-1,60),ROW()-1,FALSE))</f>
        <v>-0.15198788899999999</v>
      </c>
      <c r="L39">
        <f ca="1">IF(AND(ISNUMBER($L$548),$B$511=1),$L$548,HLOOKUP(INDIRECT(ADDRESS(2,COLUMN())),OFFSET($BN$2,0,0,ROW()-1,60),ROW()-1,FALSE))</f>
        <v>-0.174751771</v>
      </c>
      <c r="M39">
        <f ca="1">IF(AND(ISNUMBER($M$548),$B$511=1),$M$548,HLOOKUP(INDIRECT(ADDRESS(2,COLUMN())),OFFSET($BN$2,0,0,ROW()-1,60),ROW()-1,FALSE))</f>
        <v>-0.163635276</v>
      </c>
      <c r="N39">
        <f ca="1">IF(AND(ISNUMBER($N$548),$B$511=1),$N$548,HLOOKUP(INDIRECT(ADDRESS(2,COLUMN())),OFFSET($BN$2,0,0,ROW()-1,60),ROW()-1,FALSE))</f>
        <v>-0.15945799099999999</v>
      </c>
      <c r="O39">
        <f ca="1">IF(AND(ISNUMBER($O$548),$B$511=1),$O$548,HLOOKUP(INDIRECT(ADDRESS(2,COLUMN())),OFFSET($BN$2,0,0,ROW()-1,60),ROW()-1,FALSE))</f>
        <v>-0.15223802</v>
      </c>
      <c r="P39">
        <f ca="1">IF(AND(ISNUMBER($P$548),$B$511=1),$P$548,HLOOKUP(INDIRECT(ADDRESS(2,COLUMN())),OFFSET($BN$2,0,0,ROW()-1,60),ROW()-1,FALSE))</f>
        <v>-6.9173265999999997E-2</v>
      </c>
      <c r="Q39">
        <f ca="1">IF(AND(ISNUMBER($Q$548),$B$511=1),$Q$548,HLOOKUP(INDIRECT(ADDRESS(2,COLUMN())),OFFSET($BN$2,0,0,ROW()-1,60),ROW()-1,FALSE))</f>
        <v>-7.0279438E-2</v>
      </c>
      <c r="R39">
        <f ca="1">IF(AND(ISNUMBER($R$548),$B$511=1),$R$548,HLOOKUP(INDIRECT(ADDRESS(2,COLUMN())),OFFSET($BN$2,0,0,ROW()-1,60),ROW()-1,FALSE))</f>
        <v>-6.3979643000000003E-2</v>
      </c>
      <c r="S39">
        <f ca="1">IF(AND(ISNUMBER($S$548),$B$511=1),$S$548,HLOOKUP(INDIRECT(ADDRESS(2,COLUMN())),OFFSET($BN$2,0,0,ROW()-1,60),ROW()-1,FALSE))</f>
        <v>-7.3454986E-2</v>
      </c>
      <c r="T39">
        <f ca="1">IF(AND(ISNUMBER($T$548),$B$511=1),$T$548,HLOOKUP(INDIRECT(ADDRESS(2,COLUMN())),OFFSET($BN$2,0,0,ROW()-1,60),ROW()-1,FALSE))</f>
        <v>-0.181646746</v>
      </c>
      <c r="U39">
        <f ca="1">IF(AND(ISNUMBER($U$548),$B$511=1),$U$548,HLOOKUP(INDIRECT(ADDRESS(2,COLUMN())),OFFSET($BN$2,0,0,ROW()-1,60),ROW()-1,FALSE))</f>
        <v>-0.17661199399999999</v>
      </c>
      <c r="V39">
        <f ca="1">IF(AND(ISNUMBER($V$548),$B$511=1),$V$548,HLOOKUP(INDIRECT(ADDRESS(2,COLUMN())),OFFSET($BN$2,0,0,ROW()-1,60),ROW()-1,FALSE))</f>
        <v>-0.168174136</v>
      </c>
      <c r="W39">
        <f ca="1">IF(AND(ISNUMBER($W$548),$B$511=1),$W$548,HLOOKUP(INDIRECT(ADDRESS(2,COLUMN())),OFFSET($BN$2,0,0,ROW()-1,60),ROW()-1,FALSE))</f>
        <v>-0.163956304</v>
      </c>
      <c r="X39">
        <f ca="1">IF(AND(ISNUMBER($X$548),$B$511=1),$X$548,HLOOKUP(INDIRECT(ADDRESS(2,COLUMN())),OFFSET($BN$2,0,0,ROW()-1,60),ROW()-1,FALSE))</f>
        <v>-0.104128094</v>
      </c>
      <c r="Y39">
        <f ca="1">IF(AND(ISNUMBER($Y$548),$B$511=1),$Y$548,HLOOKUP(INDIRECT(ADDRESS(2,COLUMN())),OFFSET($BN$2,0,0,ROW()-1,60),ROW()-1,FALSE))</f>
        <v>-8.8556304000000002E-2</v>
      </c>
      <c r="Z39">
        <f ca="1">IF(AND(ISNUMBER($Z$548),$B$511=1),$Z$548,HLOOKUP(INDIRECT(ADDRESS(2,COLUMN())),OFFSET($BN$2,0,0,ROW()-1,60),ROW()-1,FALSE))</f>
        <v>-7.9020198E-2</v>
      </c>
      <c r="AA39">
        <f ca="1">IF(AND(ISNUMBER($AA$548),$B$511=1),$AA$548,HLOOKUP(INDIRECT(ADDRESS(2,COLUMN())),OFFSET($BN$2,0,0,ROW()-1,60),ROW()-1,FALSE))</f>
        <v>-6.3398162999999993E-2</v>
      </c>
      <c r="AB39">
        <f ca="1">IF(AND(ISNUMBER($AB$548),$B$511=1),$AB$548,HLOOKUP(INDIRECT(ADDRESS(2,COLUMN())),OFFSET($BN$2,0,0,ROW()-1,60),ROW()-1,FALSE))</f>
        <v>-3.1834156000000002E-2</v>
      </c>
      <c r="AC39">
        <f ca="1">IF(AND(ISNUMBER($AC$548),$B$511=1),$AC$548,HLOOKUP(INDIRECT(ADDRESS(2,COLUMN())),OFFSET($BN$2,0,0,ROW()-1,60),ROW()-1,FALSE))</f>
        <v>-2.167697E-2</v>
      </c>
      <c r="AD39">
        <f ca="1">IF(AND(ISNUMBER($AD$548),$B$511=1),$AD$548,HLOOKUP(INDIRECT(ADDRESS(2,COLUMN())),OFFSET($BN$2,0,0,ROW()-1,60),ROW()-1,FALSE))</f>
        <v>-7.2459320000000001E-3</v>
      </c>
      <c r="AE39">
        <f ca="1">IF(AND(ISNUMBER($AE$548),$B$511=1),$AE$548,HLOOKUP(INDIRECT(ADDRESS(2,COLUMN())),OFFSET($BN$2,0,0,ROW()-1,60),ROW()-1,FALSE))</f>
        <v>3.8130759999999999E-3</v>
      </c>
      <c r="AF39">
        <f ca="1">IF(AND(ISNUMBER($AF$548),$B$511=1),$AF$548,HLOOKUP(INDIRECT(ADDRESS(2,COLUMN())),OFFSET($BN$2,0,0,ROW()-1,60),ROW()-1,FALSE))</f>
        <v>9.3617119999999995E-3</v>
      </c>
      <c r="AG39">
        <f ca="1">IF(AND(ISNUMBER($AG$548),$B$511=1),$AG$548,HLOOKUP(INDIRECT(ADDRESS(2,COLUMN())),OFFSET($BN$2,0,0,ROW()-1,60),ROW()-1,FALSE))</f>
        <v>1.6260789000000001E-2</v>
      </c>
      <c r="AH39">
        <f ca="1">IF(AND(ISNUMBER($AH$548),$B$511=1),$AH$548,HLOOKUP(INDIRECT(ADDRESS(2,COLUMN())),OFFSET($BN$2,0,0,ROW()-1,60),ROW()-1,FALSE))</f>
        <v>1.1189206E-2</v>
      </c>
      <c r="AI39">
        <f ca="1">IF(AND(ISNUMBER($AI$548),$B$511=1),$AI$548,HLOOKUP(INDIRECT(ADDRESS(2,COLUMN())),OFFSET($BN$2,0,0,ROW()-1,60),ROW()-1,FALSE))</f>
        <v>1.0853531E-2</v>
      </c>
      <c r="AJ39">
        <f ca="1">IF(AND(ISNUMBER($AJ$548),$B$511=1),$AJ$548,HLOOKUP(INDIRECT(ADDRESS(2,COLUMN())),OFFSET($BN$2,0,0,ROW()-1,60),ROW()-1,FALSE))</f>
        <v>1.1559346999999999E-2</v>
      </c>
      <c r="AK39">
        <f ca="1">IF(AND(ISNUMBER($AK$548),$B$511=1),$AK$548,HLOOKUP(INDIRECT(ADDRESS(2,COLUMN())),OFFSET($BN$2,0,0,ROW()-1,60),ROW()-1,FALSE))</f>
        <v>2.4242689000000001E-2</v>
      </c>
      <c r="AL39">
        <f ca="1">IF(AND(ISNUMBER($AL$548),$B$511=1),$AL$548,HLOOKUP(INDIRECT(ADDRESS(2,COLUMN())),OFFSET($BN$2,0,0,ROW()-1,60),ROW()-1,FALSE))</f>
        <v>3.2264292E-2</v>
      </c>
      <c r="AM39">
        <f ca="1">IF(AND(ISNUMBER($AM$548),$B$511=1),$AM$548,HLOOKUP(INDIRECT(ADDRESS(2,COLUMN())),OFFSET($BN$2,0,0,ROW()-1,60),ROW()-1,FALSE))</f>
        <v>4.6816021999999999E-2</v>
      </c>
      <c r="AN39">
        <f ca="1">IF(AND(ISNUMBER($AN$548),$B$511=1),$AN$548,HLOOKUP(INDIRECT(ADDRESS(2,COLUMN())),OFFSET($BN$2,0,0,ROW()-1,60),ROW()-1,FALSE))</f>
        <v>5.8394227E-2</v>
      </c>
      <c r="AO39">
        <f ca="1">IF(AND(ISNUMBER($AO$548),$B$511=1),$AO$548,HLOOKUP(INDIRECT(ADDRESS(2,COLUMN())),OFFSET($BN$2,0,0,ROW()-1,60),ROW()-1,FALSE))</f>
        <v>4.1640924000000003E-2</v>
      </c>
      <c r="AP39">
        <f ca="1">IF(AND(ISNUMBER($AP$548),$B$511=1),$AP$548,HLOOKUP(INDIRECT(ADDRESS(2,COLUMN())),OFFSET($BN$2,0,0,ROW()-1,60),ROW()-1,FALSE))</f>
        <v>4.6525855999999997E-2</v>
      </c>
      <c r="AQ39">
        <f ca="1">IF(AND(ISNUMBER($AQ$548),$B$511=1),$AQ$548,HLOOKUP(INDIRECT(ADDRESS(2,COLUMN())),OFFSET($BN$2,0,0,ROW()-1,60),ROW()-1,FALSE))</f>
        <v>1.9698529999999999E-2</v>
      </c>
      <c r="AR39">
        <f ca="1">IF(AND(ISNUMBER($AR$548),$B$511=1),$AR$548,HLOOKUP(INDIRECT(ADDRESS(2,COLUMN())),OFFSET($BN$2,0,0,ROW()-1,60),ROW()-1,FALSE))</f>
        <v>8.3572900000000001E-4</v>
      </c>
      <c r="AS39" t="str">
        <f ca="1">IF(AND(ISNUMBER($AS$548),$B$511=1),$AS$548,HLOOKUP(INDIRECT(ADDRESS(2,COLUMN())),OFFSET($BN$2,0,0,ROW()-1,60),ROW()-1,FALSE))</f>
        <v/>
      </c>
      <c r="AT39" t="str">
        <f ca="1">IF(AND(ISNUMBER($AT$548),$B$511=1),$AT$548,HLOOKUP(INDIRECT(ADDRESS(2,COLUMN())),OFFSET($BN$2,0,0,ROW()-1,60),ROW()-1,FALSE))</f>
        <v/>
      </c>
      <c r="AU39" t="str">
        <f ca="1">IF(AND(ISNUMBER($AU$548),$B$511=1),$AU$548,HLOOKUP(INDIRECT(ADDRESS(2,COLUMN())),OFFSET($BN$2,0,0,ROW()-1,60),ROW()-1,FALSE))</f>
        <v/>
      </c>
      <c r="AV39" t="str">
        <f ca="1">IF(AND(ISNUMBER($AV$548),$B$511=1),$AV$548,HLOOKUP(INDIRECT(ADDRESS(2,COLUMN())),OFFSET($BN$2,0,0,ROW()-1,60),ROW()-1,FALSE))</f>
        <v/>
      </c>
      <c r="AW39" t="str">
        <f ca="1">IF(AND(ISNUMBER($AW$548),$B$511=1),$AW$548,HLOOKUP(INDIRECT(ADDRESS(2,COLUMN())),OFFSET($BN$2,0,0,ROW()-1,60),ROW()-1,FALSE))</f>
        <v/>
      </c>
      <c r="AX39" t="str">
        <f ca="1">IF(AND(ISNUMBER($AX$548),$B$511=1),$AX$548,HLOOKUP(INDIRECT(ADDRESS(2,COLUMN())),OFFSET($BN$2,0,0,ROW()-1,60),ROW()-1,FALSE))</f>
        <v/>
      </c>
      <c r="AY39" t="str">
        <f ca="1">IF(AND(ISNUMBER($AY$548),$B$511=1),$AY$548,HLOOKUP(INDIRECT(ADDRESS(2,COLUMN())),OFFSET($BN$2,0,0,ROW()-1,60),ROW()-1,FALSE))</f>
        <v/>
      </c>
      <c r="AZ39" t="str">
        <f ca="1">IF(AND(ISNUMBER($AZ$548),$B$511=1),$AZ$548,HLOOKUP(INDIRECT(ADDRESS(2,COLUMN())),OFFSET($BN$2,0,0,ROW()-1,60),ROW()-1,FALSE))</f>
        <v/>
      </c>
      <c r="BA39" t="str">
        <f ca="1">IF(AND(ISNUMBER($BA$548),$B$511=1),$BA$548,HLOOKUP(INDIRECT(ADDRESS(2,COLUMN())),OFFSET($BN$2,0,0,ROW()-1,60),ROW()-1,FALSE))</f>
        <v/>
      </c>
      <c r="BB39" t="str">
        <f ca="1">IF(AND(ISNUMBER($BB$548),$B$511=1),$BB$548,HLOOKUP(INDIRECT(ADDRESS(2,COLUMN())),OFFSET($BN$2,0,0,ROW()-1,60),ROW()-1,FALSE))</f>
        <v/>
      </c>
      <c r="BC39" t="str">
        <f ca="1">IF(AND(ISNUMBER($BC$548),$B$511=1),$BC$548,HLOOKUP(INDIRECT(ADDRESS(2,COLUMN())),OFFSET($BN$2,0,0,ROW()-1,60),ROW()-1,FALSE))</f>
        <v/>
      </c>
      <c r="BD39" t="str">
        <f ca="1">IF(AND(ISNUMBER($BD$548),$B$511=1),$BD$548,HLOOKUP(INDIRECT(ADDRESS(2,COLUMN())),OFFSET($BN$2,0,0,ROW()-1,60),ROW()-1,FALSE))</f>
        <v/>
      </c>
      <c r="BE39" t="str">
        <f ca="1">IF(AND(ISNUMBER($BE$548),$B$511=1),$BE$548,HLOOKUP(INDIRECT(ADDRESS(2,COLUMN())),OFFSET($BN$2,0,0,ROW()-1,60),ROW()-1,FALSE))</f>
        <v/>
      </c>
      <c r="BF39" t="str">
        <f ca="1">IF(AND(ISNUMBER($BF$548),$B$511=1),$BF$548,HLOOKUP(INDIRECT(ADDRESS(2,COLUMN())),OFFSET($BN$2,0,0,ROW()-1,60),ROW()-1,FALSE))</f>
        <v/>
      </c>
      <c r="BG39" t="str">
        <f ca="1">IF(AND(ISNUMBER($BG$548),$B$511=1),$BG$548,HLOOKUP(INDIRECT(ADDRESS(2,COLUMN())),OFFSET($BN$2,0,0,ROW()-1,60),ROW()-1,FALSE))</f>
        <v/>
      </c>
      <c r="BH39" t="str">
        <f ca="1">IF(AND(ISNUMBER($BH$548),$B$511=1),$BH$548,HLOOKUP(INDIRECT(ADDRESS(2,COLUMN())),OFFSET($BN$2,0,0,ROW()-1,60),ROW()-1,FALSE))</f>
        <v/>
      </c>
      <c r="BI39" t="str">
        <f ca="1">IF(AND(ISNUMBER($BI$548),$B$511=1),$BI$548,HLOOKUP(INDIRECT(ADDRESS(2,COLUMN())),OFFSET($BN$2,0,0,ROW()-1,60),ROW()-1,FALSE))</f>
        <v/>
      </c>
      <c r="BJ39" t="str">
        <f ca="1">IF(AND(ISNUMBER($BJ$548),$B$511=1),$BJ$548,HLOOKUP(INDIRECT(ADDRESS(2,COLUMN())),OFFSET($BN$2,0,0,ROW()-1,60),ROW()-1,FALSE))</f>
        <v/>
      </c>
      <c r="BK39" t="str">
        <f ca="1">IF(AND(ISNUMBER($BK$548),$B$511=1),$BK$548,HLOOKUP(INDIRECT(ADDRESS(2,COLUMN())),OFFSET($BN$2,0,0,ROW()-1,60),ROW()-1,FALSE))</f>
        <v/>
      </c>
      <c r="BL39" t="str">
        <f ca="1">IF(AND(ISNUMBER($BL$548),$B$511=1),$BL$548,HLOOKUP(INDIRECT(ADDRESS(2,COLUMN())),OFFSET($BN$2,0,0,ROW()-1,60),ROW()-1,FALSE))</f>
        <v/>
      </c>
      <c r="BM39" t="str">
        <f ca="1">IF(AND(ISNUMBER($BM$548),$B$511=1),$BM$548,HLOOKUP(INDIRECT(ADDRESS(2,COLUMN())),OFFSET($BN$2,0,0,ROW()-1,60),ROW()-1,FALSE))</f>
        <v/>
      </c>
      <c r="BN39" t="str">
        <f>""</f>
        <v/>
      </c>
      <c r="BO39" t="str">
        <f>""</f>
        <v/>
      </c>
      <c r="BP39">
        <f>-0.144359972</f>
        <v>-0.144359972</v>
      </c>
      <c r="BQ39">
        <f>-0.153144002</f>
        <v>-0.153144002</v>
      </c>
      <c r="BR39">
        <f>-0.150771491</f>
        <v>-0.15077149100000001</v>
      </c>
      <c r="BS39">
        <f>-0.151987889</f>
        <v>-0.15198788899999999</v>
      </c>
      <c r="BT39">
        <f>-0.174751771</f>
        <v>-0.174751771</v>
      </c>
      <c r="BU39">
        <f>-0.163635276</f>
        <v>-0.163635276</v>
      </c>
      <c r="BV39">
        <f>-0.159457991</f>
        <v>-0.15945799099999999</v>
      </c>
      <c r="BW39">
        <f>-0.15223802</f>
        <v>-0.15223802</v>
      </c>
      <c r="BX39">
        <f>-0.069173266</f>
        <v>-6.9173265999999997E-2</v>
      </c>
      <c r="BY39">
        <f>-0.070279438</f>
        <v>-7.0279438E-2</v>
      </c>
      <c r="BZ39">
        <f>-0.063979643</f>
        <v>-6.3979643000000003E-2</v>
      </c>
      <c r="CA39">
        <f>-0.073454986</f>
        <v>-7.3454986E-2</v>
      </c>
      <c r="CB39">
        <f>-0.181646746</f>
        <v>-0.181646746</v>
      </c>
      <c r="CC39">
        <f>-0.176611994</f>
        <v>-0.17661199399999999</v>
      </c>
      <c r="CD39">
        <f>-0.168174136</f>
        <v>-0.168174136</v>
      </c>
      <c r="CE39">
        <f>-0.163956304</f>
        <v>-0.163956304</v>
      </c>
      <c r="CF39">
        <f>-0.104128094</f>
        <v>-0.104128094</v>
      </c>
      <c r="CG39">
        <f>-0.088556304</f>
        <v>-8.8556304000000002E-2</v>
      </c>
      <c r="CH39">
        <f>-0.079020198</f>
        <v>-7.9020198E-2</v>
      </c>
      <c r="CI39">
        <f>-0.063398163</f>
        <v>-6.3398162999999993E-2</v>
      </c>
      <c r="CJ39">
        <f>-0.031834156</f>
        <v>-3.1834156000000002E-2</v>
      </c>
      <c r="CK39">
        <f>-0.02167697</f>
        <v>-2.167697E-2</v>
      </c>
      <c r="CL39">
        <f>-0.007245932</f>
        <v>-7.2459320000000001E-3</v>
      </c>
      <c r="CM39">
        <f>0.003813076</f>
        <v>3.8130759999999999E-3</v>
      </c>
      <c r="CN39">
        <f>0.009361712</f>
        <v>9.3617119999999995E-3</v>
      </c>
      <c r="CO39">
        <f>0.016260789</f>
        <v>1.6260789000000001E-2</v>
      </c>
      <c r="CP39">
        <f>0.011189206</f>
        <v>1.1189206E-2</v>
      </c>
      <c r="CQ39">
        <f>0.010853531</f>
        <v>1.0853531E-2</v>
      </c>
      <c r="CR39">
        <f>0.011559347</f>
        <v>1.1559346999999999E-2</v>
      </c>
      <c r="CS39">
        <f>0.024242689</f>
        <v>2.4242689000000001E-2</v>
      </c>
      <c r="CT39">
        <f>0.032264292</f>
        <v>3.2264292E-2</v>
      </c>
      <c r="CU39">
        <f>0.046816022</f>
        <v>4.6816021999999999E-2</v>
      </c>
      <c r="CV39">
        <f>0.058394227</f>
        <v>5.8394227E-2</v>
      </c>
      <c r="CW39">
        <f>0.041640924</f>
        <v>4.1640924000000003E-2</v>
      </c>
      <c r="CX39">
        <f>0.046525856</f>
        <v>4.6525855999999997E-2</v>
      </c>
      <c r="CY39">
        <f>0.01969853</f>
        <v>1.9698529999999999E-2</v>
      </c>
      <c r="CZ39">
        <f>0.000835729</f>
        <v>8.3572900000000001E-4</v>
      </c>
      <c r="DA39" t="str">
        <f>""</f>
        <v/>
      </c>
      <c r="DB39" t="str">
        <f>""</f>
        <v/>
      </c>
      <c r="DC39" t="str">
        <f>""</f>
        <v/>
      </c>
      <c r="DD39" t="str">
        <f>""</f>
        <v/>
      </c>
      <c r="DE39" t="str">
        <f>""</f>
        <v/>
      </c>
      <c r="DF39" t="str">
        <f>""</f>
        <v/>
      </c>
      <c r="DG39" t="str">
        <f>""</f>
        <v/>
      </c>
      <c r="DH39" t="str">
        <f>""</f>
        <v/>
      </c>
      <c r="DI39" t="str">
        <f>""</f>
        <v/>
      </c>
      <c r="DJ39" t="str">
        <f>""</f>
        <v/>
      </c>
      <c r="DK39" t="str">
        <f>""</f>
        <v/>
      </c>
      <c r="DL39" t="str">
        <f>""</f>
        <v/>
      </c>
      <c r="DM39" t="str">
        <f>""</f>
        <v/>
      </c>
      <c r="DN39" t="str">
        <f>""</f>
        <v/>
      </c>
      <c r="DO39" t="str">
        <f>""</f>
        <v/>
      </c>
      <c r="DP39" t="str">
        <f>""</f>
        <v/>
      </c>
      <c r="DQ39" t="str">
        <f>""</f>
        <v/>
      </c>
      <c r="DR39" t="str">
        <f>""</f>
        <v/>
      </c>
      <c r="DS39" t="str">
        <f>""</f>
        <v/>
      </c>
      <c r="DT39" t="str">
        <f>""</f>
        <v/>
      </c>
      <c r="DU39" t="str">
        <f>""</f>
        <v/>
      </c>
    </row>
    <row r="40" spans="1:125" x14ac:dyDescent="0.25">
      <c r="A40" t="str">
        <f>"    Tofas Turk Otomobil Fabrikasi AS"</f>
        <v xml:space="preserve">    Tofas Turk Otomobil Fabrikasi AS</v>
      </c>
      <c r="B40" t="str">
        <f>"TOASOTRY EO Equity"</f>
        <v>TOASOTRY EO Equity</v>
      </c>
      <c r="C40" t="str">
        <f t="shared" si="0"/>
        <v>RR844</v>
      </c>
      <c r="D40" t="str">
        <f t="shared" si="1"/>
        <v>T12M_DIL_EPS_CONT_OPS</v>
      </c>
      <c r="E40" t="str">
        <f t="shared" si="2"/>
        <v>Dynamic</v>
      </c>
      <c r="F40" t="str">
        <f ca="1">IF(AND(ISNUMBER($F$549),$B$511=1),$F$549,HLOOKUP(INDIRECT(ADDRESS(2,COLUMN())),OFFSET($BN$2,0,0,ROW()-1,60),ROW()-1,FALSE))</f>
        <v/>
      </c>
      <c r="G40">
        <f ca="1">IF(AND(ISNUMBER($G$549),$B$511=1),$G$549,HLOOKUP(INDIRECT(ADDRESS(2,COLUMN())),OFFSET($BN$2,0,0,ROW()-1,60),ROW()-1,FALSE))</f>
        <v>0.55589537</v>
      </c>
      <c r="H40">
        <f ca="1">IF(AND(ISNUMBER($H$549),$B$511=1),$H$549,HLOOKUP(INDIRECT(ADDRESS(2,COLUMN())),OFFSET($BN$2,0,0,ROW()-1,60),ROW()-1,FALSE))</f>
        <v>0.664556704</v>
      </c>
      <c r="I40">
        <f ca="1">IF(AND(ISNUMBER($I$549),$B$511=1),$I$549,HLOOKUP(INDIRECT(ADDRESS(2,COLUMN())),OFFSET($BN$2,0,0,ROW()-1,60),ROW()-1,FALSE))</f>
        <v>0.72600911999999995</v>
      </c>
      <c r="J40">
        <f ca="1">IF(AND(ISNUMBER($J$549),$B$511=1),$J$549,HLOOKUP(INDIRECT(ADDRESS(2,COLUMN())),OFFSET($BN$2,0,0,ROW()-1,60),ROW()-1,FALSE))</f>
        <v>0.73104128000000002</v>
      </c>
      <c r="K40">
        <f ca="1">IF(AND(ISNUMBER($K$549),$B$511=1),$K$549,HLOOKUP(INDIRECT(ADDRESS(2,COLUMN())),OFFSET($BN$2,0,0,ROW()-1,60),ROW()-1,FALSE))</f>
        <v>0.70240538500000005</v>
      </c>
      <c r="L40">
        <f ca="1">IF(AND(ISNUMBER($L$549),$B$511=1),$L$549,HLOOKUP(INDIRECT(ADDRESS(2,COLUMN())),OFFSET($BN$2,0,0,ROW()-1,60),ROW()-1,FALSE))</f>
        <v>0.64683123899999995</v>
      </c>
      <c r="M40">
        <f ca="1">IF(AND(ISNUMBER($M$549),$B$511=1),$M$549,HLOOKUP(INDIRECT(ADDRESS(2,COLUMN())),OFFSET($BN$2,0,0,ROW()-1,60),ROW()-1,FALSE))</f>
        <v>0.63131251799999999</v>
      </c>
      <c r="N40">
        <f ca="1">IF(AND(ISNUMBER($N$549),$B$511=1),$N$549,HLOOKUP(INDIRECT(ADDRESS(2,COLUMN())),OFFSET($BN$2,0,0,ROW()-1,60),ROW()-1,FALSE))</f>
        <v>0.62133108699999995</v>
      </c>
      <c r="O40">
        <f ca="1">IF(AND(ISNUMBER($O$549),$B$511=1),$O$549,HLOOKUP(INDIRECT(ADDRESS(2,COLUMN())),OFFSET($BN$2,0,0,ROW()-1,60),ROW()-1,FALSE))</f>
        <v>0.64066605600000004</v>
      </c>
      <c r="P40">
        <f ca="1">IF(AND(ISNUMBER($P$549),$B$511=1),$P$549,HLOOKUP(INDIRECT(ADDRESS(2,COLUMN())),OFFSET($BN$2,0,0,ROW()-1,60),ROW()-1,FALSE))</f>
        <v>0.64519974099999999</v>
      </c>
      <c r="Q40">
        <f ca="1">IF(AND(ISNUMBER($Q$549),$B$511=1),$Q$549,HLOOKUP(INDIRECT(ADDRESS(2,COLUMN())),OFFSET($BN$2,0,0,ROW()-1,60),ROW()-1,FALSE))</f>
        <v>0.62750817400000003</v>
      </c>
      <c r="R40">
        <f ca="1">IF(AND(ISNUMBER($R$549),$B$511=1),$R$549,HLOOKUP(INDIRECT(ADDRESS(2,COLUMN())),OFFSET($BN$2,0,0,ROW()-1,60),ROW()-1,FALSE))</f>
        <v>0.60843995100000003</v>
      </c>
      <c r="S40">
        <f ca="1">IF(AND(ISNUMBER($S$549),$B$511=1),$S$549,HLOOKUP(INDIRECT(ADDRESS(2,COLUMN())),OFFSET($BN$2,0,0,ROW()-1,60),ROW()-1,FALSE))</f>
        <v>0.61120507499999999</v>
      </c>
      <c r="T40">
        <f ca="1">IF(AND(ISNUMBER($T$549),$B$511=1),$T$549,HLOOKUP(INDIRECT(ADDRESS(2,COLUMN())),OFFSET($BN$2,0,0,ROW()-1,60),ROW()-1,FALSE))</f>
        <v>0.58997582699999995</v>
      </c>
      <c r="U40">
        <f ca="1">IF(AND(ISNUMBER($U$549),$B$511=1),$U$549,HLOOKUP(INDIRECT(ADDRESS(2,COLUMN())),OFFSET($BN$2,0,0,ROW()-1,60),ROW()-1,FALSE))</f>
        <v>0.59158146599999994</v>
      </c>
      <c r="V40">
        <f ca="1">IF(AND(ISNUMBER($V$549),$B$511=1),$V$549,HLOOKUP(INDIRECT(ADDRESS(2,COLUMN())),OFFSET($BN$2,0,0,ROW()-1,60),ROW()-1,FALSE))</f>
        <v>0.57332828599999996</v>
      </c>
      <c r="W40">
        <f ca="1">IF(AND(ISNUMBER($W$549),$B$511=1),$W$549,HLOOKUP(INDIRECT(ADDRESS(2,COLUMN())),OFFSET($BN$2,0,0,ROW()-1,60),ROW()-1,FALSE))</f>
        <v>0.52316914599999997</v>
      </c>
      <c r="X40">
        <f ca="1">IF(AND(ISNUMBER($X$549),$B$511=1),$X$549,HLOOKUP(INDIRECT(ADDRESS(2,COLUMN())),OFFSET($BN$2,0,0,ROW()-1,60),ROW()-1,FALSE))</f>
        <v>0.47777496899999999</v>
      </c>
      <c r="Y40">
        <f ca="1">IF(AND(ISNUMBER($Y$549),$B$511=1),$Y$549,HLOOKUP(INDIRECT(ADDRESS(2,COLUMN())),OFFSET($BN$2,0,0,ROW()-1,60),ROW()-1,FALSE))</f>
        <v>0.46941202100000001</v>
      </c>
      <c r="Z40">
        <f ca="1">IF(AND(ISNUMBER($Z$549),$B$511=1),$Z$549,HLOOKUP(INDIRECT(ADDRESS(2,COLUMN())),OFFSET($BN$2,0,0,ROW()-1,60),ROW()-1,FALSE))</f>
        <v>0.46198106</v>
      </c>
      <c r="AA40">
        <f ca="1">IF(AND(ISNUMBER($AA$549),$B$511=1),$AA$549,HLOOKUP(INDIRECT(ADDRESS(2,COLUMN())),OFFSET($BN$2,0,0,ROW()-1,60),ROW()-1,FALSE))</f>
        <v>0.45459787099999999</v>
      </c>
      <c r="AB40">
        <f ca="1">IF(AND(ISNUMBER($AB$549),$B$511=1),$AB$549,HLOOKUP(INDIRECT(ADDRESS(2,COLUMN())),OFFSET($BN$2,0,0,ROW()-1,60),ROW()-1,FALSE))</f>
        <v>0.474654454</v>
      </c>
      <c r="AC40">
        <f ca="1">IF(AND(ISNUMBER($AC$549),$B$511=1),$AC$549,HLOOKUP(INDIRECT(ADDRESS(2,COLUMN())),OFFSET($BN$2,0,0,ROW()-1,60),ROW()-1,FALSE))</f>
        <v>0.47832365999999998</v>
      </c>
      <c r="AD40">
        <f ca="1">IF(AND(ISNUMBER($AD$549),$B$511=1),$AD$549,HLOOKUP(INDIRECT(ADDRESS(2,COLUMN())),OFFSET($BN$2,0,0,ROW()-1,60),ROW()-1,FALSE))</f>
        <v>0.49769359000000002</v>
      </c>
      <c r="AE40">
        <f ca="1">IF(AND(ISNUMBER($AE$549),$B$511=1),$AE$549,HLOOKUP(INDIRECT(ADDRESS(2,COLUMN())),OFFSET($BN$2,0,0,ROW()-1,60),ROW()-1,FALSE))</f>
        <v>0.48780177400000002</v>
      </c>
      <c r="AF40">
        <f ca="1">IF(AND(ISNUMBER($AF$549),$B$511=1),$AF$549,HLOOKUP(INDIRECT(ADDRESS(2,COLUMN())),OFFSET($BN$2,0,0,ROW()-1,60),ROW()-1,FALSE))</f>
        <v>0.51152752700000004</v>
      </c>
      <c r="AG40">
        <f ca="1">IF(AND(ISNUMBER($AG$549),$B$511=1),$AG$549,HLOOKUP(INDIRECT(ADDRESS(2,COLUMN())),OFFSET($BN$2,0,0,ROW()-1,60),ROW()-1,FALSE))</f>
        <v>0.55205169499999995</v>
      </c>
      <c r="AH40">
        <f ca="1">IF(AND(ISNUMBER($AH$549),$B$511=1),$AH$549,HLOOKUP(INDIRECT(ADDRESS(2,COLUMN())),OFFSET($BN$2,0,0,ROW()-1,60),ROW()-1,FALSE))</f>
        <v>0.57783524500000005</v>
      </c>
      <c r="AI40">
        <f ca="1">IF(AND(ISNUMBER($AI$549),$B$511=1),$AI$549,HLOOKUP(INDIRECT(ADDRESS(2,COLUMN())),OFFSET($BN$2,0,0,ROW()-1,60),ROW()-1,FALSE))</f>
        <v>0.57992321000000002</v>
      </c>
      <c r="AJ40">
        <f ca="1">IF(AND(ISNUMBER($AJ$549),$B$511=1),$AJ$549,HLOOKUP(INDIRECT(ADDRESS(2,COLUMN())),OFFSET($BN$2,0,0,ROW()-1,60),ROW()-1,FALSE))</f>
        <v>0.58354650399999997</v>
      </c>
      <c r="AK40">
        <f ca="1">IF(AND(ISNUMBER($AK$549),$B$511=1),$AK$549,HLOOKUP(INDIRECT(ADDRESS(2,COLUMN())),OFFSET($BN$2,0,0,ROW()-1,60),ROW()-1,FALSE))</f>
        <v>0.53129622499999996</v>
      </c>
      <c r="AL40">
        <f ca="1">IF(AND(ISNUMBER($AL$549),$B$511=1),$AL$549,HLOOKUP(INDIRECT(ADDRESS(2,COLUMN())),OFFSET($BN$2,0,0,ROW()-1,60),ROW()-1,FALSE))</f>
        <v>0.45966055500000003</v>
      </c>
      <c r="AM40">
        <f ca="1">IF(AND(ISNUMBER($AM$549),$B$511=1),$AM$549,HLOOKUP(INDIRECT(ADDRESS(2,COLUMN())),OFFSET($BN$2,0,0,ROW()-1,60),ROW()-1,FALSE))</f>
        <v>0.51246967700000001</v>
      </c>
      <c r="AN40">
        <f ca="1">IF(AND(ISNUMBER($AN$549),$B$511=1),$AN$549,HLOOKUP(INDIRECT(ADDRESS(2,COLUMN())),OFFSET($BN$2,0,0,ROW()-1,60),ROW()-1,FALSE))</f>
        <v>0.50666011700000002</v>
      </c>
      <c r="AO40">
        <f ca="1">IF(AND(ISNUMBER($AO$549),$B$511=1),$AO$549,HLOOKUP(INDIRECT(ADDRESS(2,COLUMN())),OFFSET($BN$2,0,0,ROW()-1,60),ROW()-1,FALSE))</f>
        <v>0.575826952</v>
      </c>
      <c r="AP40">
        <f ca="1">IF(AND(ISNUMBER($AP$549),$B$511=1),$AP$549,HLOOKUP(INDIRECT(ADDRESS(2,COLUMN())),OFFSET($BN$2,0,0,ROW()-1,60),ROW()-1,FALSE))</f>
        <v>0.56569220899999995</v>
      </c>
      <c r="AQ40">
        <f ca="1">IF(AND(ISNUMBER($AQ$549),$B$511=1),$AQ$549,HLOOKUP(INDIRECT(ADDRESS(2,COLUMN())),OFFSET($BN$2,0,0,ROW()-1,60),ROW()-1,FALSE))</f>
        <v>0.44298774200000002</v>
      </c>
      <c r="AR40" t="str">
        <f ca="1">IF(AND(ISNUMBER($AR$549),$B$511=1),$AR$549,HLOOKUP(INDIRECT(ADDRESS(2,COLUMN())),OFFSET($BN$2,0,0,ROW()-1,60),ROW()-1,FALSE))</f>
        <v/>
      </c>
      <c r="AS40" t="str">
        <f ca="1">IF(AND(ISNUMBER($AS$549),$B$511=1),$AS$549,HLOOKUP(INDIRECT(ADDRESS(2,COLUMN())),OFFSET($BN$2,0,0,ROW()-1,60),ROW()-1,FALSE))</f>
        <v/>
      </c>
      <c r="AT40" t="str">
        <f ca="1">IF(AND(ISNUMBER($AT$549),$B$511=1),$AT$549,HLOOKUP(INDIRECT(ADDRESS(2,COLUMN())),OFFSET($BN$2,0,0,ROW()-1,60),ROW()-1,FALSE))</f>
        <v/>
      </c>
      <c r="AU40" t="str">
        <f ca="1">IF(AND(ISNUMBER($AU$549),$B$511=1),$AU$549,HLOOKUP(INDIRECT(ADDRESS(2,COLUMN())),OFFSET($BN$2,0,0,ROW()-1,60),ROW()-1,FALSE))</f>
        <v/>
      </c>
      <c r="AV40" t="str">
        <f ca="1">IF(AND(ISNUMBER($AV$549),$B$511=1),$AV$549,HLOOKUP(INDIRECT(ADDRESS(2,COLUMN())),OFFSET($BN$2,0,0,ROW()-1,60),ROW()-1,FALSE))</f>
        <v/>
      </c>
      <c r="AW40" t="str">
        <f ca="1">IF(AND(ISNUMBER($AW$549),$B$511=1),$AW$549,HLOOKUP(INDIRECT(ADDRESS(2,COLUMN())),OFFSET($BN$2,0,0,ROW()-1,60),ROW()-1,FALSE))</f>
        <v/>
      </c>
      <c r="AX40" t="str">
        <f ca="1">IF(AND(ISNUMBER($AX$549),$B$511=1),$AX$549,HLOOKUP(INDIRECT(ADDRESS(2,COLUMN())),OFFSET($BN$2,0,0,ROW()-1,60),ROW()-1,FALSE))</f>
        <v/>
      </c>
      <c r="AY40" t="str">
        <f ca="1">IF(AND(ISNUMBER($AY$549),$B$511=1),$AY$549,HLOOKUP(INDIRECT(ADDRESS(2,COLUMN())),OFFSET($BN$2,0,0,ROW()-1,60),ROW()-1,FALSE))</f>
        <v/>
      </c>
      <c r="AZ40" t="str">
        <f ca="1">IF(AND(ISNUMBER($AZ$549),$B$511=1),$AZ$549,HLOOKUP(INDIRECT(ADDRESS(2,COLUMN())),OFFSET($BN$2,0,0,ROW()-1,60),ROW()-1,FALSE))</f>
        <v/>
      </c>
      <c r="BA40" t="str">
        <f ca="1">IF(AND(ISNUMBER($BA$549),$B$511=1),$BA$549,HLOOKUP(INDIRECT(ADDRESS(2,COLUMN())),OFFSET($BN$2,0,0,ROW()-1,60),ROW()-1,FALSE))</f>
        <v/>
      </c>
      <c r="BB40" t="str">
        <f ca="1">IF(AND(ISNUMBER($BB$549),$B$511=1),$BB$549,HLOOKUP(INDIRECT(ADDRESS(2,COLUMN())),OFFSET($BN$2,0,0,ROW()-1,60),ROW()-1,FALSE))</f>
        <v/>
      </c>
      <c r="BC40" t="str">
        <f ca="1">IF(AND(ISNUMBER($BC$549),$B$511=1),$BC$549,HLOOKUP(INDIRECT(ADDRESS(2,COLUMN())),OFFSET($BN$2,0,0,ROW()-1,60),ROW()-1,FALSE))</f>
        <v/>
      </c>
      <c r="BD40" t="str">
        <f ca="1">IF(AND(ISNUMBER($BD$549),$B$511=1),$BD$549,HLOOKUP(INDIRECT(ADDRESS(2,COLUMN())),OFFSET($BN$2,0,0,ROW()-1,60),ROW()-1,FALSE))</f>
        <v/>
      </c>
      <c r="BE40" t="str">
        <f ca="1">IF(AND(ISNUMBER($BE$549),$B$511=1),$BE$549,HLOOKUP(INDIRECT(ADDRESS(2,COLUMN())),OFFSET($BN$2,0,0,ROW()-1,60),ROW()-1,FALSE))</f>
        <v/>
      </c>
      <c r="BF40" t="str">
        <f ca="1">IF(AND(ISNUMBER($BF$549),$B$511=1),$BF$549,HLOOKUP(INDIRECT(ADDRESS(2,COLUMN())),OFFSET($BN$2,0,0,ROW()-1,60),ROW()-1,FALSE))</f>
        <v/>
      </c>
      <c r="BG40" t="str">
        <f ca="1">IF(AND(ISNUMBER($BG$549),$B$511=1),$BG$549,HLOOKUP(INDIRECT(ADDRESS(2,COLUMN())),OFFSET($BN$2,0,0,ROW()-1,60),ROW()-1,FALSE))</f>
        <v/>
      </c>
      <c r="BH40" t="str">
        <f ca="1">IF(AND(ISNUMBER($BH$549),$B$511=1),$BH$549,HLOOKUP(INDIRECT(ADDRESS(2,COLUMN())),OFFSET($BN$2,0,0,ROW()-1,60),ROW()-1,FALSE))</f>
        <v/>
      </c>
      <c r="BI40" t="str">
        <f ca="1">IF(AND(ISNUMBER($BI$549),$B$511=1),$BI$549,HLOOKUP(INDIRECT(ADDRESS(2,COLUMN())),OFFSET($BN$2,0,0,ROW()-1,60),ROW()-1,FALSE))</f>
        <v/>
      </c>
      <c r="BJ40" t="str">
        <f ca="1">IF(AND(ISNUMBER($BJ$549),$B$511=1),$BJ$549,HLOOKUP(INDIRECT(ADDRESS(2,COLUMN())),OFFSET($BN$2,0,0,ROW()-1,60),ROW()-1,FALSE))</f>
        <v/>
      </c>
      <c r="BK40" t="str">
        <f ca="1">IF(AND(ISNUMBER($BK$549),$B$511=1),$BK$549,HLOOKUP(INDIRECT(ADDRESS(2,COLUMN())),OFFSET($BN$2,0,0,ROW()-1,60),ROW()-1,FALSE))</f>
        <v/>
      </c>
      <c r="BL40" t="str">
        <f ca="1">IF(AND(ISNUMBER($BL$549),$B$511=1),$BL$549,HLOOKUP(INDIRECT(ADDRESS(2,COLUMN())),OFFSET($BN$2,0,0,ROW()-1,60),ROW()-1,FALSE))</f>
        <v/>
      </c>
      <c r="BM40" t="str">
        <f ca="1">IF(AND(ISNUMBER($BM$549),$B$511=1),$BM$549,HLOOKUP(INDIRECT(ADDRESS(2,COLUMN())),OFFSET($BN$2,0,0,ROW()-1,60),ROW()-1,FALSE))</f>
        <v/>
      </c>
      <c r="BN40" t="str">
        <f>""</f>
        <v/>
      </c>
      <c r="BO40">
        <f>0.55589537</f>
        <v>0.55589537</v>
      </c>
      <c r="BP40">
        <f>0.664556704</f>
        <v>0.664556704</v>
      </c>
      <c r="BQ40">
        <f>0.72600912</f>
        <v>0.72600911999999995</v>
      </c>
      <c r="BR40">
        <f>0.73104128</f>
        <v>0.73104128000000002</v>
      </c>
      <c r="BS40">
        <f>0.702405385</f>
        <v>0.70240538500000005</v>
      </c>
      <c r="BT40">
        <f>0.646831239</f>
        <v>0.64683123899999995</v>
      </c>
      <c r="BU40">
        <f>0.631312518</f>
        <v>0.63131251799999999</v>
      </c>
      <c r="BV40">
        <f>0.621331087</f>
        <v>0.62133108699999995</v>
      </c>
      <c r="BW40">
        <f>0.640666056</f>
        <v>0.64066605600000004</v>
      </c>
      <c r="BX40">
        <f>0.645199741</f>
        <v>0.64519974099999999</v>
      </c>
      <c r="BY40">
        <f>0.627508174</f>
        <v>0.62750817400000003</v>
      </c>
      <c r="BZ40">
        <f>0.608439951</f>
        <v>0.60843995100000003</v>
      </c>
      <c r="CA40">
        <f>0.611205075</f>
        <v>0.61120507499999999</v>
      </c>
      <c r="CB40">
        <f>0.589975827</f>
        <v>0.58997582699999995</v>
      </c>
      <c r="CC40">
        <f>0.591581466</f>
        <v>0.59158146599999994</v>
      </c>
      <c r="CD40">
        <f>0.573328286</f>
        <v>0.57332828599999996</v>
      </c>
      <c r="CE40">
        <f>0.523169146</f>
        <v>0.52316914599999997</v>
      </c>
      <c r="CF40">
        <f>0.477774969</f>
        <v>0.47777496899999999</v>
      </c>
      <c r="CG40">
        <f>0.469412021</f>
        <v>0.46941202100000001</v>
      </c>
      <c r="CH40">
        <f>0.46198106</f>
        <v>0.46198106</v>
      </c>
      <c r="CI40">
        <f>0.454597871</f>
        <v>0.45459787099999999</v>
      </c>
      <c r="CJ40">
        <f>0.474654454</f>
        <v>0.474654454</v>
      </c>
      <c r="CK40">
        <f>0.47832366</f>
        <v>0.47832365999999998</v>
      </c>
      <c r="CL40">
        <f>0.49769359</f>
        <v>0.49769359000000002</v>
      </c>
      <c r="CM40">
        <f>0.487801774</f>
        <v>0.48780177400000002</v>
      </c>
      <c r="CN40">
        <f>0.511527527</f>
        <v>0.51152752700000004</v>
      </c>
      <c r="CO40">
        <f>0.552051695</f>
        <v>0.55205169499999995</v>
      </c>
      <c r="CP40">
        <f>0.577835245</f>
        <v>0.57783524500000005</v>
      </c>
      <c r="CQ40">
        <f>0.57992321</f>
        <v>0.57992321000000002</v>
      </c>
      <c r="CR40">
        <f>0.583546504</f>
        <v>0.58354650399999997</v>
      </c>
      <c r="CS40">
        <f>0.531296225</f>
        <v>0.53129622499999996</v>
      </c>
      <c r="CT40">
        <f>0.459660555</f>
        <v>0.45966055500000003</v>
      </c>
      <c r="CU40">
        <f>0.512469677</f>
        <v>0.51246967700000001</v>
      </c>
      <c r="CV40">
        <f>0.506660117</f>
        <v>0.50666011700000002</v>
      </c>
      <c r="CW40">
        <f>0.575826952</f>
        <v>0.575826952</v>
      </c>
      <c r="CX40">
        <f>0.565692209</f>
        <v>0.56569220899999995</v>
      </c>
      <c r="CY40">
        <f>0.442987742</f>
        <v>0.44298774200000002</v>
      </c>
      <c r="CZ40" t="str">
        <f>""</f>
        <v/>
      </c>
      <c r="DA40" t="str">
        <f>""</f>
        <v/>
      </c>
      <c r="DB40" t="str">
        <f>""</f>
        <v/>
      </c>
      <c r="DC40" t="str">
        <f>""</f>
        <v/>
      </c>
      <c r="DD40" t="str">
        <f>""</f>
        <v/>
      </c>
      <c r="DE40" t="str">
        <f>""</f>
        <v/>
      </c>
      <c r="DF40" t="str">
        <f>""</f>
        <v/>
      </c>
      <c r="DG40" t="str">
        <f>""</f>
        <v/>
      </c>
      <c r="DH40" t="str">
        <f>""</f>
        <v/>
      </c>
      <c r="DI40" t="str">
        <f>""</f>
        <v/>
      </c>
      <c r="DJ40" t="str">
        <f>""</f>
        <v/>
      </c>
      <c r="DK40" t="str">
        <f>""</f>
        <v/>
      </c>
      <c r="DL40" t="str">
        <f>""</f>
        <v/>
      </c>
      <c r="DM40" t="str">
        <f>""</f>
        <v/>
      </c>
      <c r="DN40" t="str">
        <f>""</f>
        <v/>
      </c>
      <c r="DO40" t="str">
        <f>""</f>
        <v/>
      </c>
      <c r="DP40" t="str">
        <f>""</f>
        <v/>
      </c>
      <c r="DQ40" t="str">
        <f>""</f>
        <v/>
      </c>
      <c r="DR40" t="str">
        <f>""</f>
        <v/>
      </c>
      <c r="DS40" t="str">
        <f>""</f>
        <v/>
      </c>
      <c r="DT40" t="str">
        <f>""</f>
        <v/>
      </c>
      <c r="DU40" t="str">
        <f>""</f>
        <v/>
      </c>
    </row>
    <row r="41" spans="1:125" x14ac:dyDescent="0.25">
      <c r="A41" t="str">
        <f>"    Toyota Motor Corp"</f>
        <v xml:space="preserve">    Toyota Motor Corp</v>
      </c>
      <c r="B41" t="str">
        <f>"7203 JP Equity"</f>
        <v>7203 JP Equity</v>
      </c>
      <c r="C41" t="str">
        <f t="shared" si="0"/>
        <v>RR844</v>
      </c>
      <c r="D41" t="str">
        <f t="shared" si="1"/>
        <v>T12M_DIL_EPS_CONT_OPS</v>
      </c>
      <c r="E41" t="str">
        <f t="shared" si="2"/>
        <v>Dynamic</v>
      </c>
      <c r="F41" t="str">
        <f ca="1">IF(AND(ISNUMBER($F$550),$B$511=1),$F$550,HLOOKUP(INDIRECT(ADDRESS(2,COLUMN())),OFFSET($BN$2,0,0,ROW()-1,60),ROW()-1,FALSE))</f>
        <v/>
      </c>
      <c r="G41">
        <f ca="1">IF(AND(ISNUMBER($G$550),$B$511=1),$G$550,HLOOKUP(INDIRECT(ADDRESS(2,COLUMN())),OFFSET($BN$2,0,0,ROW()-1,60),ROW()-1,FALSE))</f>
        <v>6.7203090989999996</v>
      </c>
      <c r="H41">
        <f ca="1">IF(AND(ISNUMBER($H$550),$B$511=1),$H$550,HLOOKUP(INDIRECT(ADDRESS(2,COLUMN())),OFFSET($BN$2,0,0,ROW()-1,60),ROW()-1,FALSE))</f>
        <v>7.9303918859999998</v>
      </c>
      <c r="I41">
        <f ca="1">IF(AND(ISNUMBER($I$550),$B$511=1),$I$550,HLOOKUP(INDIRECT(ADDRESS(2,COLUMN())),OFFSET($BN$2,0,0,ROW()-1,60),ROW()-1,FALSE))</f>
        <v>7.7487299649999999</v>
      </c>
      <c r="J41">
        <f ca="1">IF(AND(ISNUMBER($J$550),$B$511=1),$J$550,HLOOKUP(INDIRECT(ADDRESS(2,COLUMN())),OFFSET($BN$2,0,0,ROW()-1,60),ROW()-1,FALSE))</f>
        <v>7.6046867100000002</v>
      </c>
      <c r="K41">
        <f ca="1">IF(AND(ISNUMBER($K$550),$B$511=1),$K$550,HLOOKUP(INDIRECT(ADDRESS(2,COLUMN())),OFFSET($BN$2,0,0,ROW()-1,60),ROW()-1,FALSE))</f>
        <v>7.2516133619999996</v>
      </c>
      <c r="L41">
        <f ca="1">IF(AND(ISNUMBER($L$550),$B$511=1),$L$550,HLOOKUP(INDIRECT(ADDRESS(2,COLUMN())),OFFSET($BN$2,0,0,ROW()-1,60),ROW()-1,FALSE))</f>
        <v>5.906887641</v>
      </c>
      <c r="M41">
        <f ca="1">IF(AND(ISNUMBER($M$550),$B$511=1),$M$550,HLOOKUP(INDIRECT(ADDRESS(2,COLUMN())),OFFSET($BN$2,0,0,ROW()-1,60),ROW()-1,FALSE))</f>
        <v>5.8126065569999996</v>
      </c>
      <c r="N41">
        <f ca="1">IF(AND(ISNUMBER($N$550),$B$511=1),$N$550,HLOOKUP(INDIRECT(ADDRESS(2,COLUMN())),OFFSET($BN$2,0,0,ROW()-1,60),ROW()-1,FALSE))</f>
        <v>5.6292671749999998</v>
      </c>
      <c r="O41">
        <f ca="1">IF(AND(ISNUMBER($O$550),$B$511=1),$O$550,HLOOKUP(INDIRECT(ADDRESS(2,COLUMN())),OFFSET($BN$2,0,0,ROW()-1,60),ROW()-1,FALSE))</f>
        <v>5.6630724929999996</v>
      </c>
      <c r="P41">
        <f ca="1">IF(AND(ISNUMBER($P$550),$B$511=1),$P$550,HLOOKUP(INDIRECT(ADDRESS(2,COLUMN())),OFFSET($BN$2,0,0,ROW()-1,60),ROW()-1,FALSE))</f>
        <v>5.8796009829999996</v>
      </c>
      <c r="Q41">
        <f ca="1">IF(AND(ISNUMBER($Q$550),$B$511=1),$Q$550,HLOOKUP(INDIRECT(ADDRESS(2,COLUMN())),OFFSET($BN$2,0,0,ROW()-1,60),ROW()-1,FALSE))</f>
        <v>6.1841452300000004</v>
      </c>
      <c r="R41">
        <f ca="1">IF(AND(ISNUMBER($R$550),$B$511=1),$R$550,HLOOKUP(INDIRECT(ADDRESS(2,COLUMN())),OFFSET($BN$2,0,0,ROW()-1,60),ROW()-1,FALSE))</f>
        <v>6.2130292420000002</v>
      </c>
      <c r="S41">
        <f ca="1">IF(AND(ISNUMBER($S$550),$B$511=1),$S$550,HLOOKUP(INDIRECT(ADDRESS(2,COLUMN())),OFFSET($BN$2,0,0,ROW()-1,60),ROW()-1,FALSE))</f>
        <v>6.1836821129999997</v>
      </c>
      <c r="T41">
        <f ca="1">IF(AND(ISNUMBER($T$550),$B$511=1),$T$550,HLOOKUP(INDIRECT(ADDRESS(2,COLUMN())),OFFSET($BN$2,0,0,ROW()-1,60),ROW()-1,FALSE))</f>
        <v>6.1995382299999999</v>
      </c>
      <c r="U41">
        <f ca="1">IF(AND(ISNUMBER($U$550),$B$511=1),$U$550,HLOOKUP(INDIRECT(ADDRESS(2,COLUMN())),OFFSET($BN$2,0,0,ROW()-1,60),ROW()-1,FALSE))</f>
        <v>6.2533748290000002</v>
      </c>
      <c r="V41">
        <f ca="1">IF(AND(ISNUMBER($V$550),$B$511=1),$V$550,HLOOKUP(INDIRECT(ADDRESS(2,COLUMN())),OFFSET($BN$2,0,0,ROW()-1,60),ROW()-1,FALSE))</f>
        <v>6.3470213439999998</v>
      </c>
      <c r="W41">
        <f ca="1">IF(AND(ISNUMBER($W$550),$B$511=1),$W$550,HLOOKUP(INDIRECT(ADDRESS(2,COLUMN())),OFFSET($BN$2,0,0,ROW()-1,60),ROW()-1,FALSE))</f>
        <v>6.2757434940000003</v>
      </c>
      <c r="X41">
        <f ca="1">IF(AND(ISNUMBER($X$550),$B$511=1),$X$550,HLOOKUP(INDIRECT(ADDRESS(2,COLUMN())),OFFSET($BN$2,0,0,ROW()-1,60),ROW()-1,FALSE))</f>
        <v>6.2354979640000003</v>
      </c>
      <c r="Y41">
        <f ca="1">IF(AND(ISNUMBER($Y$550),$B$511=1),$Y$550,HLOOKUP(INDIRECT(ADDRESS(2,COLUMN())),OFFSET($BN$2,0,0,ROW()-1,60),ROW()-1,FALSE))</f>
        <v>5.9949856219999997</v>
      </c>
      <c r="Z41">
        <f ca="1">IF(AND(ISNUMBER($Z$550),$B$511=1),$Z$550,HLOOKUP(INDIRECT(ADDRESS(2,COLUMN())),OFFSET($BN$2,0,0,ROW()-1,60),ROW()-1,FALSE))</f>
        <v>5.9723101740000004</v>
      </c>
      <c r="AA41">
        <f ca="1">IF(AND(ISNUMBER($AA$550),$B$511=1),$AA$550,HLOOKUP(INDIRECT(ADDRESS(2,COLUMN())),OFFSET($BN$2,0,0,ROW()-1,60),ROW()-1,FALSE))</f>
        <v>6.0115451889999996</v>
      </c>
      <c r="AB41">
        <f ca="1">IF(AND(ISNUMBER($AB$550),$B$511=1),$AB$550,HLOOKUP(INDIRECT(ADDRESS(2,COLUMN())),OFFSET($BN$2,0,0,ROW()-1,60),ROW()-1,FALSE))</f>
        <v>4.9161002470000001</v>
      </c>
      <c r="AC41">
        <f ca="1">IF(AND(ISNUMBER($AC$550),$B$511=1),$AC$550,HLOOKUP(INDIRECT(ADDRESS(2,COLUMN())),OFFSET($BN$2,0,0,ROW()-1,60),ROW()-1,FALSE))</f>
        <v>4.5662719159999998</v>
      </c>
      <c r="AD41">
        <f ca="1">IF(AND(ISNUMBER($AD$550),$B$511=1),$AD$550,HLOOKUP(INDIRECT(ADDRESS(2,COLUMN())),OFFSET($BN$2,0,0,ROW()-1,60),ROW()-1,FALSE))</f>
        <v>3.7580520700000002</v>
      </c>
      <c r="AE41">
        <f ca="1">IF(AND(ISNUMBER($AE$550),$B$511=1),$AE$550,HLOOKUP(INDIRECT(ADDRESS(2,COLUMN())),OFFSET($BN$2,0,0,ROW()-1,60),ROW()-1,FALSE))</f>
        <v>3.2635267940000001</v>
      </c>
      <c r="AF41">
        <f ca="1">IF(AND(ISNUMBER($AF$550),$B$511=1),$AF$550,HLOOKUP(INDIRECT(ADDRESS(2,COLUMN())),OFFSET($BN$2,0,0,ROW()-1,60),ROW()-1,FALSE))</f>
        <v>3.2305829149999998</v>
      </c>
      <c r="AG41">
        <f ca="1">IF(AND(ISNUMBER($AG$550),$B$511=1),$AG$550,HLOOKUP(INDIRECT(ADDRESS(2,COLUMN())),OFFSET($BN$2,0,0,ROW()-1,60),ROW()-1,FALSE))</f>
        <v>2.5176239570000001</v>
      </c>
      <c r="AH41">
        <f ca="1">IF(AND(ISNUMBER($AH$550),$B$511=1),$AH$550,HLOOKUP(INDIRECT(ADDRESS(2,COLUMN())),OFFSET($BN$2,0,0,ROW()-1,60),ROW()-1,FALSE))</f>
        <v>1.3508765110000001</v>
      </c>
      <c r="AI41">
        <f ca="1">IF(AND(ISNUMBER($AI$550),$B$511=1),$AI$550,HLOOKUP(INDIRECT(ADDRESS(2,COLUMN())),OFFSET($BN$2,0,0,ROW()-1,60),ROW()-1,FALSE))</f>
        <v>0.85175312800000003</v>
      </c>
      <c r="AJ41">
        <f ca="1">IF(AND(ISNUMBER($AJ$550),$B$511=1),$AJ$550,HLOOKUP(INDIRECT(ADDRESS(2,COLUMN())),OFFSET($BN$2,0,0,ROW()-1,60),ROW()-1,FALSE))</f>
        <v>0.89222336800000002</v>
      </c>
      <c r="AK41">
        <f ca="1">IF(AND(ISNUMBER($AK$550),$B$511=1),$AK$550,HLOOKUP(INDIRECT(ADDRESS(2,COLUMN())),OFFSET($BN$2,0,0,ROW()-1,60),ROW()-1,FALSE))</f>
        <v>0.94487346900000002</v>
      </c>
      <c r="AL41">
        <f ca="1">IF(AND(ISNUMBER($AL$550),$B$511=1),$AL$550,HLOOKUP(INDIRECT(ADDRESS(2,COLUMN())),OFFSET($BN$2,0,0,ROW()-1,60),ROW()-1,FALSE))</f>
        <v>1.6215328609999999</v>
      </c>
      <c r="AM41">
        <f ca="1">IF(AND(ISNUMBER($AM$550),$B$511=1),$AM$550,HLOOKUP(INDIRECT(ADDRESS(2,COLUMN())),OFFSET($BN$2,0,0,ROW()-1,60),ROW()-1,FALSE))</f>
        <v>1.905059399</v>
      </c>
      <c r="AN41">
        <f ca="1">IF(AND(ISNUMBER($AN$550),$B$511=1),$AN$550,HLOOKUP(INDIRECT(ADDRESS(2,COLUMN())),OFFSET($BN$2,0,0,ROW()-1,60),ROW()-1,FALSE))</f>
        <v>2.0757951509999999</v>
      </c>
      <c r="AO41">
        <f ca="1">IF(AND(ISNUMBER($AO$550),$B$511=1),$AO$550,HLOOKUP(INDIRECT(ADDRESS(2,COLUMN())),OFFSET($BN$2,0,0,ROW()-1,60),ROW()-1,FALSE))</f>
        <v>1.762230205</v>
      </c>
      <c r="AP41">
        <f ca="1">IF(AND(ISNUMBER($AP$550),$B$511=1),$AP$550,HLOOKUP(INDIRECT(ADDRESS(2,COLUMN())),OFFSET($BN$2,0,0,ROW()-1,60),ROW()-1,FALSE))</f>
        <v>0.821733343</v>
      </c>
      <c r="AQ41">
        <f ca="1">IF(AND(ISNUMBER($AQ$550),$B$511=1),$AQ$550,HLOOKUP(INDIRECT(ADDRESS(2,COLUMN())),OFFSET($BN$2,0,0,ROW()-1,60),ROW()-1,FALSE))</f>
        <v>-1.755955774</v>
      </c>
      <c r="AR41">
        <f ca="1">IF(AND(ISNUMBER($AR$550),$B$511=1),$AR$550,HLOOKUP(INDIRECT(ADDRESS(2,COLUMN())),OFFSET($BN$2,0,0,ROW()-1,60),ROW()-1,FALSE))</f>
        <v>-2.782874482</v>
      </c>
      <c r="AS41">
        <f ca="1">IF(AND(ISNUMBER($AS$550),$B$511=1),$AS$550,HLOOKUP(INDIRECT(ADDRESS(2,COLUMN())),OFFSET($BN$2,0,0,ROW()-1,60),ROW()-1,FALSE))</f>
        <v>-2.28018959</v>
      </c>
      <c r="AT41">
        <f ca="1">IF(AND(ISNUMBER($AT$550),$B$511=1),$AT$550,HLOOKUP(INDIRECT(ADDRESS(2,COLUMN())),OFFSET($BN$2,0,0,ROW()-1,60),ROW()-1,FALSE))</f>
        <v>-0.848756764</v>
      </c>
      <c r="AU41" t="str">
        <f ca="1">IF(AND(ISNUMBER($AU$550),$B$511=1),$AU$550,HLOOKUP(INDIRECT(ADDRESS(2,COLUMN())),OFFSET($BN$2,0,0,ROW()-1,60),ROW()-1,FALSE))</f>
        <v/>
      </c>
      <c r="AV41" t="str">
        <f ca="1">IF(AND(ISNUMBER($AV$550),$B$511=1),$AV$550,HLOOKUP(INDIRECT(ADDRESS(2,COLUMN())),OFFSET($BN$2,0,0,ROW()-1,60),ROW()-1,FALSE))</f>
        <v/>
      </c>
      <c r="AW41" t="str">
        <f ca="1">IF(AND(ISNUMBER($AW$550),$B$511=1),$AW$550,HLOOKUP(INDIRECT(ADDRESS(2,COLUMN())),OFFSET($BN$2,0,0,ROW()-1,60),ROW()-1,FALSE))</f>
        <v/>
      </c>
      <c r="AX41" t="str">
        <f ca="1">IF(AND(ISNUMBER($AX$550),$B$511=1),$AX$550,HLOOKUP(INDIRECT(ADDRESS(2,COLUMN())),OFFSET($BN$2,0,0,ROW()-1,60),ROW()-1,FALSE))</f>
        <v/>
      </c>
      <c r="AY41" t="str">
        <f ca="1">IF(AND(ISNUMBER($AY$550),$B$511=1),$AY$550,HLOOKUP(INDIRECT(ADDRESS(2,COLUMN())),OFFSET($BN$2,0,0,ROW()-1,60),ROW()-1,FALSE))</f>
        <v/>
      </c>
      <c r="AZ41" t="str">
        <f ca="1">IF(AND(ISNUMBER($AZ$550),$B$511=1),$AZ$550,HLOOKUP(INDIRECT(ADDRESS(2,COLUMN())),OFFSET($BN$2,0,0,ROW()-1,60),ROW()-1,FALSE))</f>
        <v/>
      </c>
      <c r="BA41" t="str">
        <f ca="1">IF(AND(ISNUMBER($BA$550),$B$511=1),$BA$550,HLOOKUP(INDIRECT(ADDRESS(2,COLUMN())),OFFSET($BN$2,0,0,ROW()-1,60),ROW()-1,FALSE))</f>
        <v/>
      </c>
      <c r="BB41" t="str">
        <f ca="1">IF(AND(ISNUMBER($BB$550),$B$511=1),$BB$550,HLOOKUP(INDIRECT(ADDRESS(2,COLUMN())),OFFSET($BN$2,0,0,ROW()-1,60),ROW()-1,FALSE))</f>
        <v/>
      </c>
      <c r="BC41" t="str">
        <f ca="1">IF(AND(ISNUMBER($BC$550),$B$511=1),$BC$550,HLOOKUP(INDIRECT(ADDRESS(2,COLUMN())),OFFSET($BN$2,0,0,ROW()-1,60),ROW()-1,FALSE))</f>
        <v/>
      </c>
      <c r="BD41" t="str">
        <f ca="1">IF(AND(ISNUMBER($BD$550),$B$511=1),$BD$550,HLOOKUP(INDIRECT(ADDRESS(2,COLUMN())),OFFSET($BN$2,0,0,ROW()-1,60),ROW()-1,FALSE))</f>
        <v/>
      </c>
      <c r="BE41" t="str">
        <f ca="1">IF(AND(ISNUMBER($BE$550),$B$511=1),$BE$550,HLOOKUP(INDIRECT(ADDRESS(2,COLUMN())),OFFSET($BN$2,0,0,ROW()-1,60),ROW()-1,FALSE))</f>
        <v/>
      </c>
      <c r="BF41" t="str">
        <f ca="1">IF(AND(ISNUMBER($BF$550),$B$511=1),$BF$550,HLOOKUP(INDIRECT(ADDRESS(2,COLUMN())),OFFSET($BN$2,0,0,ROW()-1,60),ROW()-1,FALSE))</f>
        <v/>
      </c>
      <c r="BG41" t="str">
        <f ca="1">IF(AND(ISNUMBER($BG$550),$B$511=1),$BG$550,HLOOKUP(INDIRECT(ADDRESS(2,COLUMN())),OFFSET($BN$2,0,0,ROW()-1,60),ROW()-1,FALSE))</f>
        <v/>
      </c>
      <c r="BH41" t="str">
        <f ca="1">IF(AND(ISNUMBER($BH$550),$B$511=1),$BH$550,HLOOKUP(INDIRECT(ADDRESS(2,COLUMN())),OFFSET($BN$2,0,0,ROW()-1,60),ROW()-1,FALSE))</f>
        <v/>
      </c>
      <c r="BI41" t="str">
        <f ca="1">IF(AND(ISNUMBER($BI$550),$B$511=1),$BI$550,HLOOKUP(INDIRECT(ADDRESS(2,COLUMN())),OFFSET($BN$2,0,0,ROW()-1,60),ROW()-1,FALSE))</f>
        <v/>
      </c>
      <c r="BJ41" t="str">
        <f ca="1">IF(AND(ISNUMBER($BJ$550),$B$511=1),$BJ$550,HLOOKUP(INDIRECT(ADDRESS(2,COLUMN())),OFFSET($BN$2,0,0,ROW()-1,60),ROW()-1,FALSE))</f>
        <v/>
      </c>
      <c r="BK41" t="str">
        <f ca="1">IF(AND(ISNUMBER($BK$550),$B$511=1),$BK$550,HLOOKUP(INDIRECT(ADDRESS(2,COLUMN())),OFFSET($BN$2,0,0,ROW()-1,60),ROW()-1,FALSE))</f>
        <v/>
      </c>
      <c r="BL41" t="str">
        <f ca="1">IF(AND(ISNUMBER($BL$550),$B$511=1),$BL$550,HLOOKUP(INDIRECT(ADDRESS(2,COLUMN())),OFFSET($BN$2,0,0,ROW()-1,60),ROW()-1,FALSE))</f>
        <v/>
      </c>
      <c r="BM41" t="str">
        <f ca="1">IF(AND(ISNUMBER($BM$550),$B$511=1),$BM$550,HLOOKUP(INDIRECT(ADDRESS(2,COLUMN())),OFFSET($BN$2,0,0,ROW()-1,60),ROW()-1,FALSE))</f>
        <v/>
      </c>
      <c r="BN41" t="str">
        <f>""</f>
        <v/>
      </c>
      <c r="BO41">
        <f>6.720309099</f>
        <v>6.7203090989999996</v>
      </c>
      <c r="BP41">
        <f>7.930391886</f>
        <v>7.9303918859999998</v>
      </c>
      <c r="BQ41">
        <f>7.748729965</f>
        <v>7.7487299649999999</v>
      </c>
      <c r="BR41">
        <f>7.60468671</f>
        <v>7.6046867100000002</v>
      </c>
      <c r="BS41">
        <f>7.251613362</f>
        <v>7.2516133619999996</v>
      </c>
      <c r="BT41">
        <f>5.906887641</f>
        <v>5.906887641</v>
      </c>
      <c r="BU41">
        <f>5.812606557</f>
        <v>5.8126065569999996</v>
      </c>
      <c r="BV41">
        <f>5.629267175</f>
        <v>5.6292671749999998</v>
      </c>
      <c r="BW41">
        <f>5.663072493</f>
        <v>5.6630724929999996</v>
      </c>
      <c r="BX41">
        <f>5.879600983</f>
        <v>5.8796009829999996</v>
      </c>
      <c r="BY41">
        <f>6.18414523</f>
        <v>6.1841452300000004</v>
      </c>
      <c r="BZ41">
        <f>6.213029242</f>
        <v>6.2130292420000002</v>
      </c>
      <c r="CA41">
        <f>6.183682113</f>
        <v>6.1836821129999997</v>
      </c>
      <c r="CB41">
        <f>6.19953823</f>
        <v>6.1995382299999999</v>
      </c>
      <c r="CC41">
        <f>6.253374829</f>
        <v>6.2533748290000002</v>
      </c>
      <c r="CD41">
        <f>6.347021344</f>
        <v>6.3470213439999998</v>
      </c>
      <c r="CE41">
        <f>6.275743494</f>
        <v>6.2757434940000003</v>
      </c>
      <c r="CF41">
        <f>6.235497964</f>
        <v>6.2354979640000003</v>
      </c>
      <c r="CG41">
        <f>5.994985622</f>
        <v>5.9949856219999997</v>
      </c>
      <c r="CH41">
        <f>5.972310174</f>
        <v>5.9723101740000004</v>
      </c>
      <c r="CI41">
        <f>6.011545189</f>
        <v>6.0115451889999996</v>
      </c>
      <c r="CJ41">
        <f>4.916100247</f>
        <v>4.9161002470000001</v>
      </c>
      <c r="CK41">
        <f>4.566271916</f>
        <v>4.5662719159999998</v>
      </c>
      <c r="CL41">
        <f>3.75805207</f>
        <v>3.7580520700000002</v>
      </c>
      <c r="CM41">
        <f>3.263526794</f>
        <v>3.2635267940000001</v>
      </c>
      <c r="CN41">
        <f>3.230582915</f>
        <v>3.2305829149999998</v>
      </c>
      <c r="CO41">
        <f>2.517623957</f>
        <v>2.5176239570000001</v>
      </c>
      <c r="CP41">
        <f>1.350876511</f>
        <v>1.3508765110000001</v>
      </c>
      <c r="CQ41">
        <f>0.851753128</f>
        <v>0.85175312800000003</v>
      </c>
      <c r="CR41">
        <f>0.892223368</f>
        <v>0.89222336800000002</v>
      </c>
      <c r="CS41">
        <f>0.944873469</f>
        <v>0.94487346900000002</v>
      </c>
      <c r="CT41">
        <f>1.621532861</f>
        <v>1.6215328609999999</v>
      </c>
      <c r="CU41">
        <f>1.905059399</f>
        <v>1.905059399</v>
      </c>
      <c r="CV41">
        <f>2.075795151</f>
        <v>2.0757951509999999</v>
      </c>
      <c r="CW41">
        <f>1.762230205</f>
        <v>1.762230205</v>
      </c>
      <c r="CX41">
        <f>0.821733343</f>
        <v>0.821733343</v>
      </c>
      <c r="CY41">
        <f>-1.755955774</f>
        <v>-1.755955774</v>
      </c>
      <c r="CZ41">
        <f>-2.782874482</f>
        <v>-2.782874482</v>
      </c>
      <c r="DA41">
        <f>-2.28018959</f>
        <v>-2.28018959</v>
      </c>
      <c r="DB41">
        <f>-0.848756764</f>
        <v>-0.848756764</v>
      </c>
      <c r="DC41" t="str">
        <f>""</f>
        <v/>
      </c>
      <c r="DD41" t="str">
        <f>""</f>
        <v/>
      </c>
      <c r="DE41" t="str">
        <f>""</f>
        <v/>
      </c>
      <c r="DF41" t="str">
        <f>""</f>
        <v/>
      </c>
      <c r="DG41" t="str">
        <f>""</f>
        <v/>
      </c>
      <c r="DH41" t="str">
        <f>""</f>
        <v/>
      </c>
      <c r="DI41" t="str">
        <f>""</f>
        <v/>
      </c>
      <c r="DJ41" t="str">
        <f>""</f>
        <v/>
      </c>
      <c r="DK41" t="str">
        <f>""</f>
        <v/>
      </c>
      <c r="DL41" t="str">
        <f>""</f>
        <v/>
      </c>
      <c r="DM41" t="str">
        <f>""</f>
        <v/>
      </c>
      <c r="DN41" t="str">
        <f>""</f>
        <v/>
      </c>
      <c r="DO41" t="str">
        <f>""</f>
        <v/>
      </c>
      <c r="DP41" t="str">
        <f>""</f>
        <v/>
      </c>
      <c r="DQ41" t="str">
        <f>""</f>
        <v/>
      </c>
      <c r="DR41" t="str">
        <f>""</f>
        <v/>
      </c>
      <c r="DS41" t="str">
        <f>""</f>
        <v/>
      </c>
      <c r="DT41" t="str">
        <f>""</f>
        <v/>
      </c>
      <c r="DU41" t="str">
        <f>""</f>
        <v/>
      </c>
    </row>
    <row r="42" spans="1:125" x14ac:dyDescent="0.25">
      <c r="A42" t="str">
        <f>"    Volkswagen AG"</f>
        <v xml:space="preserve">    Volkswagen AG</v>
      </c>
      <c r="B42" t="str">
        <f>"VOW GR Equity"</f>
        <v>VOW GR Equity</v>
      </c>
      <c r="C42" t="str">
        <f t="shared" si="0"/>
        <v>RR844</v>
      </c>
      <c r="D42" t="str">
        <f t="shared" si="1"/>
        <v>T12M_DIL_EPS_CONT_OPS</v>
      </c>
      <c r="E42" t="str">
        <f t="shared" si="2"/>
        <v>Dynamic</v>
      </c>
      <c r="F42" t="str">
        <f ca="1">IF(AND(ISNUMBER($F$551),$B$511=1),$F$551,HLOOKUP(INDIRECT(ADDRESS(2,COLUMN())),OFFSET($BN$2,0,0,ROW()-1,60),ROW()-1,FALSE))</f>
        <v/>
      </c>
      <c r="G42">
        <f ca="1">IF(AND(ISNUMBER($G$551),$B$511=1),$G$551,HLOOKUP(INDIRECT(ADDRESS(2,COLUMN())),OFFSET($BN$2,0,0,ROW()-1,60),ROW()-1,FALSE))</f>
        <v>33.277003190000002</v>
      </c>
      <c r="H42">
        <f ca="1">IF(AND(ISNUMBER($H$551),$B$511=1),$H$551,HLOOKUP(INDIRECT(ADDRESS(2,COLUMN())),OFFSET($BN$2,0,0,ROW()-1,60),ROW()-1,FALSE))</f>
        <v>37.462809129999997</v>
      </c>
      <c r="I42">
        <f ca="1">IF(AND(ISNUMBER($I$551),$B$511=1),$I$551,HLOOKUP(INDIRECT(ADDRESS(2,COLUMN())),OFFSET($BN$2,0,0,ROW()-1,60),ROW()-1,FALSE))</f>
        <v>36.729470480000003</v>
      </c>
      <c r="J42">
        <f ca="1">IF(AND(ISNUMBER($J$551),$B$511=1),$J$551,HLOOKUP(INDIRECT(ADDRESS(2,COLUMN())),OFFSET($BN$2,0,0,ROW()-1,60),ROW()-1,FALSE))</f>
        <v>33.00301572</v>
      </c>
      <c r="K42">
        <f ca="1">IF(AND(ISNUMBER($K$551),$B$511=1),$K$551,HLOOKUP(INDIRECT(ADDRESS(2,COLUMN())),OFFSET($BN$2,0,0,ROW()-1,60),ROW()-1,FALSE))</f>
        <v>32.080975600000002</v>
      </c>
      <c r="L42">
        <f ca="1">IF(AND(ISNUMBER($L$551),$B$511=1),$L$551,HLOOKUP(INDIRECT(ADDRESS(2,COLUMN())),OFFSET($BN$2,0,0,ROW()-1,60),ROW()-1,FALSE))</f>
        <v>27.89408117</v>
      </c>
      <c r="M42">
        <f ca="1">IF(AND(ISNUMBER($M$551),$B$511=1),$M$551,HLOOKUP(INDIRECT(ADDRESS(2,COLUMN())),OFFSET($BN$2,0,0,ROW()-1,60),ROW()-1,FALSE))</f>
        <v>27.507776360000001</v>
      </c>
      <c r="N42">
        <f ca="1">IF(AND(ISNUMBER($N$551),$B$511=1),$N$551,HLOOKUP(INDIRECT(ADDRESS(2,COLUMN())),OFFSET($BN$2,0,0,ROW()-1,60),ROW()-1,FALSE))</f>
        <v>27.93767193</v>
      </c>
      <c r="O42">
        <f ca="1">IF(AND(ISNUMBER($O$551),$B$511=1),$O$551,HLOOKUP(INDIRECT(ADDRESS(2,COLUMN())),OFFSET($BN$2,0,0,ROW()-1,60),ROW()-1,FALSE))</f>
        <v>25.058298000000001</v>
      </c>
      <c r="P42">
        <f ca="1">IF(AND(ISNUMBER($P$551),$B$511=1),$P$551,HLOOKUP(INDIRECT(ADDRESS(2,COLUMN())),OFFSET($BN$2,0,0,ROW()-1,60),ROW()-1,FALSE))</f>
        <v>23.833879230000001</v>
      </c>
      <c r="Q42">
        <f ca="1">IF(AND(ISNUMBER($Q$551),$B$511=1),$Q$551,HLOOKUP(INDIRECT(ADDRESS(2,COLUMN())),OFFSET($BN$2,0,0,ROW()-1,60),ROW()-1,FALSE))</f>
        <v>23.701764109999999</v>
      </c>
      <c r="R42">
        <f ca="1">IF(AND(ISNUMBER($R$551),$B$511=1),$R$551,HLOOKUP(INDIRECT(ADDRESS(2,COLUMN())),OFFSET($BN$2,0,0,ROW()-1,60),ROW()-1,FALSE))</f>
        <v>22.379103870000002</v>
      </c>
      <c r="S42">
        <f ca="1">IF(AND(ISNUMBER($S$551),$B$511=1),$S$551,HLOOKUP(INDIRECT(ADDRESS(2,COLUMN())),OFFSET($BN$2,0,0,ROW()-1,60),ROW()-1,FALSE))</f>
        <v>24.592627889999999</v>
      </c>
      <c r="T42">
        <f ca="1">IF(AND(ISNUMBER($T$551),$B$511=1),$T$551,HLOOKUP(INDIRECT(ADDRESS(2,COLUMN())),OFFSET($BN$2,0,0,ROW()-1,60),ROW()-1,FALSE))</f>
        <v>25.940223329999998</v>
      </c>
      <c r="U42">
        <f ca="1">IF(AND(ISNUMBER($U$551),$B$511=1),$U$551,HLOOKUP(INDIRECT(ADDRESS(2,COLUMN())),OFFSET($BN$2,0,0,ROW()-1,60),ROW()-1,FALSE))</f>
        <v>27.026646599999999</v>
      </c>
      <c r="V42">
        <f ca="1">IF(AND(ISNUMBER($V$551),$B$511=1),$V$551,HLOOKUP(INDIRECT(ADDRESS(2,COLUMN())),OFFSET($BN$2,0,0,ROW()-1,60),ROW()-1,FALSE))</f>
        <v>29.709940469999999</v>
      </c>
      <c r="W42">
        <f ca="1">IF(AND(ISNUMBER($W$551),$B$511=1),$W$551,HLOOKUP(INDIRECT(ADDRESS(2,COLUMN())),OFFSET($BN$2,0,0,ROW()-1,60),ROW()-1,FALSE))</f>
        <v>29.721705419999999</v>
      </c>
      <c r="X42">
        <f ca="1">IF(AND(ISNUMBER($X$551),$B$511=1),$X$551,HLOOKUP(INDIRECT(ADDRESS(2,COLUMN())),OFFSET($BN$2,0,0,ROW()-1,60),ROW()-1,FALSE))</f>
        <v>31.23967408</v>
      </c>
      <c r="Y42">
        <f ca="1">IF(AND(ISNUMBER($Y$551),$B$511=1),$Y$551,HLOOKUP(INDIRECT(ADDRESS(2,COLUMN())),OFFSET($BN$2,0,0,ROW()-1,60),ROW()-1,FALSE))</f>
        <v>28.454480060000002</v>
      </c>
      <c r="Z42">
        <f ca="1">IF(AND(ISNUMBER($Z$551),$B$511=1),$Z$551,HLOOKUP(INDIRECT(ADDRESS(2,COLUMN())),OFFSET($BN$2,0,0,ROW()-1,60),ROW()-1,FALSE))</f>
        <v>27.296091300000001</v>
      </c>
      <c r="AA42">
        <f ca="1">IF(AND(ISNUMBER($AA$551),$B$511=1),$AA$551,HLOOKUP(INDIRECT(ADDRESS(2,COLUMN())),OFFSET($BN$2,0,0,ROW()-1,60),ROW()-1,FALSE))</f>
        <v>26.109543309999999</v>
      </c>
      <c r="AB42">
        <f ca="1">IF(AND(ISNUMBER($AB$551),$B$511=1),$AB$551,HLOOKUP(INDIRECT(ADDRESS(2,COLUMN())),OFFSET($BN$2,0,0,ROW()-1,60),ROW()-1,FALSE))</f>
        <v>22.92589684</v>
      </c>
      <c r="AC42">
        <f ca="1">IF(AND(ISNUMBER($AC$551),$B$511=1),$AC$551,HLOOKUP(INDIRECT(ADDRESS(2,COLUMN())),OFFSET($BN$2,0,0,ROW()-1,60),ROW()-1,FALSE))</f>
        <v>49.019804950000001</v>
      </c>
      <c r="AD42">
        <f ca="1">IF(AND(ISNUMBER($AD$551),$B$511=1),$AD$551,HLOOKUP(INDIRECT(ADDRESS(2,COLUMN())),OFFSET($BN$2,0,0,ROW()-1,60),ROW()-1,FALSE))</f>
        <v>56.941267949999997</v>
      </c>
      <c r="AE42">
        <f ca="1">IF(AND(ISNUMBER($AE$551),$B$511=1),$AE$551,HLOOKUP(INDIRECT(ADDRESS(2,COLUMN())),OFFSET($BN$2,0,0,ROW()-1,60),ROW()-1,FALSE))</f>
        <v>60.091779209999999</v>
      </c>
      <c r="AF42">
        <f ca="1">IF(AND(ISNUMBER($AF$551),$B$511=1),$AF$551,HLOOKUP(INDIRECT(ADDRESS(2,COLUMN())),OFFSET($BN$2,0,0,ROW()-1,60),ROW()-1,FALSE))</f>
        <v>63.229287300000003</v>
      </c>
      <c r="AG42">
        <f ca="1">IF(AND(ISNUMBER($AG$551),$B$511=1),$AG$551,HLOOKUP(INDIRECT(ADDRESS(2,COLUMN())),OFFSET($BN$2,0,0,ROW()-1,60),ROW()-1,FALSE))</f>
        <v>53.05355771</v>
      </c>
      <c r="AH42">
        <f ca="1">IF(AND(ISNUMBER($AH$551),$B$511=1),$AH$551,HLOOKUP(INDIRECT(ADDRESS(2,COLUMN())),OFFSET($BN$2,0,0,ROW()-1,60),ROW()-1,FALSE))</f>
        <v>51.647731399999998</v>
      </c>
      <c r="AI42">
        <f ca="1">IF(AND(ISNUMBER($AI$551),$B$511=1),$AI$551,HLOOKUP(INDIRECT(ADDRESS(2,COLUMN())),OFFSET($BN$2,0,0,ROW()-1,60),ROW()-1,FALSE))</f>
        <v>47.607299740000002</v>
      </c>
      <c r="AJ42">
        <f ca="1">IF(AND(ISNUMBER($AJ$551),$B$511=1),$AJ$551,HLOOKUP(INDIRECT(ADDRESS(2,COLUMN())),OFFSET($BN$2,0,0,ROW()-1,60),ROW()-1,FALSE))</f>
        <v>51.703579349999998</v>
      </c>
      <c r="AK42">
        <f ca="1">IF(AND(ISNUMBER($AK$551),$B$511=1),$AK$551,HLOOKUP(INDIRECT(ADDRESS(2,COLUMN())),OFFSET($BN$2,0,0,ROW()-1,60),ROW()-1,FALSE))</f>
        <v>36.101826389999999</v>
      </c>
      <c r="AL42">
        <f ca="1">IF(AND(ISNUMBER($AL$551),$B$511=1),$AL$551,HLOOKUP(INDIRECT(ADDRESS(2,COLUMN())),OFFSET($BN$2,0,0,ROW()-1,60),ROW()-1,FALSE))</f>
        <v>25.255439639999999</v>
      </c>
      <c r="AM42">
        <f ca="1">IF(AND(ISNUMBER($AM$551),$B$511=1),$AM$551,HLOOKUP(INDIRECT(ADDRESS(2,COLUMN())),OFFSET($BN$2,0,0,ROW()-1,60),ROW()-1,FALSE))</f>
        <v>22.167185119999999</v>
      </c>
      <c r="AN42">
        <f ca="1">IF(AND(ISNUMBER($AN$551),$B$511=1),$AN$551,HLOOKUP(INDIRECT(ADDRESS(2,COLUMN())),OFFSET($BN$2,0,0,ROW()-1,60),ROW()-1,FALSE))</f>
        <v>13.26693588</v>
      </c>
      <c r="AO42">
        <f ca="1">IF(AND(ISNUMBER($AO$551),$B$511=1),$AO$551,HLOOKUP(INDIRECT(ADDRESS(2,COLUMN())),OFFSET($BN$2,0,0,ROW()-1,60),ROW()-1,FALSE))</f>
        <v>7.9133615099999997</v>
      </c>
      <c r="AP42">
        <f ca="1">IF(AND(ISNUMBER($AP$551),$B$511=1),$AP$551,HLOOKUP(INDIRECT(ADDRESS(2,COLUMN())),OFFSET($BN$2,0,0,ROW()-1,60),ROW()-1,FALSE))</f>
        <v>5.2634297999999999</v>
      </c>
      <c r="AQ42">
        <f ca="1">IF(AND(ISNUMBER($AQ$551),$B$511=1),$AQ$551,HLOOKUP(INDIRECT(ADDRESS(2,COLUMN())),OFFSET($BN$2,0,0,ROW()-1,60),ROW()-1,FALSE))</f>
        <v>4.642465788</v>
      </c>
      <c r="AR42">
        <f ca="1">IF(AND(ISNUMBER($AR$551),$B$511=1),$AR$551,HLOOKUP(INDIRECT(ADDRESS(2,COLUMN())),OFFSET($BN$2,0,0,ROW()-1,60),ROW()-1,FALSE))</f>
        <v>5.6177934660000002</v>
      </c>
      <c r="AS42">
        <f ca="1">IF(AND(ISNUMBER($AS$551),$B$511=1),$AS$551,HLOOKUP(INDIRECT(ADDRESS(2,COLUMN())),OFFSET($BN$2,0,0,ROW()-1,60),ROW()-1,FALSE))</f>
        <v>9.2307776070000003</v>
      </c>
      <c r="AT42">
        <f ca="1">IF(AND(ISNUMBER($AT$551),$B$511=1),$AT$551,HLOOKUP(INDIRECT(ADDRESS(2,COLUMN())),OFFSET($BN$2,0,0,ROW()-1,60),ROW()-1,FALSE))</f>
        <v>14.39011357</v>
      </c>
      <c r="AU42">
        <f ca="1">IF(AND(ISNUMBER($AU$551),$B$511=1),$AU$551,HLOOKUP(INDIRECT(ADDRESS(2,COLUMN())),OFFSET($BN$2,0,0,ROW()-1,60),ROW()-1,FALSE))</f>
        <v>17.31447842</v>
      </c>
      <c r="AV42">
        <f ca="1">IF(AND(ISNUMBER($AV$551),$B$511=1),$AV$551,HLOOKUP(INDIRECT(ADDRESS(2,COLUMN())),OFFSET($BN$2,0,0,ROW()-1,60),ROW()-1,FALSE))</f>
        <v>18.784751180000001</v>
      </c>
      <c r="AW42">
        <f ca="1">IF(AND(ISNUMBER($AW$551),$B$511=1),$AW$551,HLOOKUP(INDIRECT(ADDRESS(2,COLUMN())),OFFSET($BN$2,0,0,ROW()-1,60),ROW()-1,FALSE))</f>
        <v>17.44801343</v>
      </c>
      <c r="AX42">
        <f ca="1">IF(AND(ISNUMBER($AX$551),$B$511=1),$AX$551,HLOOKUP(INDIRECT(ADDRESS(2,COLUMN())),OFFSET($BN$2,0,0,ROW()-1,60),ROW()-1,FALSE))</f>
        <v>15.33512919</v>
      </c>
      <c r="AY42">
        <f ca="1">IF(AND(ISNUMBER($AY$551),$B$511=1),$AY$551,HLOOKUP(INDIRECT(ADDRESS(2,COLUMN())),OFFSET($BN$2,0,0,ROW()-1,60),ROW()-1,FALSE))</f>
        <v>14.201002409999999</v>
      </c>
      <c r="AZ42" t="str">
        <f ca="1">IF(AND(ISNUMBER($AZ$551),$B$511=1),$AZ$551,HLOOKUP(INDIRECT(ADDRESS(2,COLUMN())),OFFSET($BN$2,0,0,ROW()-1,60),ROW()-1,FALSE))</f>
        <v/>
      </c>
      <c r="BA42" t="str">
        <f ca="1">IF(AND(ISNUMBER($BA$551),$B$511=1),$BA$551,HLOOKUP(INDIRECT(ADDRESS(2,COLUMN())),OFFSET($BN$2,0,0,ROW()-1,60),ROW()-1,FALSE))</f>
        <v/>
      </c>
      <c r="BB42" t="str">
        <f ca="1">IF(AND(ISNUMBER($BB$551),$B$511=1),$BB$551,HLOOKUP(INDIRECT(ADDRESS(2,COLUMN())),OFFSET($BN$2,0,0,ROW()-1,60),ROW()-1,FALSE))</f>
        <v/>
      </c>
      <c r="BC42" t="str">
        <f ca="1">IF(AND(ISNUMBER($BC$551),$B$511=1),$BC$551,HLOOKUP(INDIRECT(ADDRESS(2,COLUMN())),OFFSET($BN$2,0,0,ROW()-1,60),ROW()-1,FALSE))</f>
        <v/>
      </c>
      <c r="BD42" t="str">
        <f ca="1">IF(AND(ISNUMBER($BD$551),$B$511=1),$BD$551,HLOOKUP(INDIRECT(ADDRESS(2,COLUMN())),OFFSET($BN$2,0,0,ROW()-1,60),ROW()-1,FALSE))</f>
        <v/>
      </c>
      <c r="BE42" t="str">
        <f ca="1">IF(AND(ISNUMBER($BE$551),$B$511=1),$BE$551,HLOOKUP(INDIRECT(ADDRESS(2,COLUMN())),OFFSET($BN$2,0,0,ROW()-1,60),ROW()-1,FALSE))</f>
        <v/>
      </c>
      <c r="BF42" t="str">
        <f ca="1">IF(AND(ISNUMBER($BF$551),$B$511=1),$BF$551,HLOOKUP(INDIRECT(ADDRESS(2,COLUMN())),OFFSET($BN$2,0,0,ROW()-1,60),ROW()-1,FALSE))</f>
        <v/>
      </c>
      <c r="BG42" t="str">
        <f ca="1">IF(AND(ISNUMBER($BG$551),$B$511=1),$BG$551,HLOOKUP(INDIRECT(ADDRESS(2,COLUMN())),OFFSET($BN$2,0,0,ROW()-1,60),ROW()-1,FALSE))</f>
        <v/>
      </c>
      <c r="BH42" t="str">
        <f ca="1">IF(AND(ISNUMBER($BH$551),$B$511=1),$BH$551,HLOOKUP(INDIRECT(ADDRESS(2,COLUMN())),OFFSET($BN$2,0,0,ROW()-1,60),ROW()-1,FALSE))</f>
        <v/>
      </c>
      <c r="BI42" t="str">
        <f ca="1">IF(AND(ISNUMBER($BI$551),$B$511=1),$BI$551,HLOOKUP(INDIRECT(ADDRESS(2,COLUMN())),OFFSET($BN$2,0,0,ROW()-1,60),ROW()-1,FALSE))</f>
        <v/>
      </c>
      <c r="BJ42" t="str">
        <f ca="1">IF(AND(ISNUMBER($BJ$551),$B$511=1),$BJ$551,HLOOKUP(INDIRECT(ADDRESS(2,COLUMN())),OFFSET($BN$2,0,0,ROW()-1,60),ROW()-1,FALSE))</f>
        <v/>
      </c>
      <c r="BK42" t="str">
        <f ca="1">IF(AND(ISNUMBER($BK$551),$B$511=1),$BK$551,HLOOKUP(INDIRECT(ADDRESS(2,COLUMN())),OFFSET($BN$2,0,0,ROW()-1,60),ROW()-1,FALSE))</f>
        <v/>
      </c>
      <c r="BL42">
        <f ca="1">IF(AND(ISNUMBER($BL$551),$B$511=1),$BL$551,HLOOKUP(INDIRECT(ADDRESS(2,COLUMN())),OFFSET($BN$2,0,0,ROW()-1,60),ROW()-1,FALSE))</f>
        <v>2.3116728979999999</v>
      </c>
      <c r="BM42" t="str">
        <f ca="1">IF(AND(ISNUMBER($BM$551),$B$511=1),$BM$551,HLOOKUP(INDIRECT(ADDRESS(2,COLUMN())),OFFSET($BN$2,0,0,ROW()-1,60),ROW()-1,FALSE))</f>
        <v/>
      </c>
      <c r="BN42" t="str">
        <f>""</f>
        <v/>
      </c>
      <c r="BO42">
        <f>33.27700319</f>
        <v>33.277003190000002</v>
      </c>
      <c r="BP42">
        <f>37.46280913</f>
        <v>37.462809129999997</v>
      </c>
      <c r="BQ42">
        <f>36.72947048</f>
        <v>36.729470480000003</v>
      </c>
      <c r="BR42">
        <f>33.00301572</f>
        <v>33.00301572</v>
      </c>
      <c r="BS42">
        <f>32.0809756</f>
        <v>32.080975600000002</v>
      </c>
      <c r="BT42">
        <f>27.89408117</f>
        <v>27.89408117</v>
      </c>
      <c r="BU42">
        <f>27.50777636</f>
        <v>27.507776360000001</v>
      </c>
      <c r="BV42">
        <f>27.93767193</f>
        <v>27.93767193</v>
      </c>
      <c r="BW42">
        <f>25.058298</f>
        <v>25.058298000000001</v>
      </c>
      <c r="BX42">
        <f>23.83387923</f>
        <v>23.833879230000001</v>
      </c>
      <c r="BY42">
        <f>23.70176411</f>
        <v>23.701764109999999</v>
      </c>
      <c r="BZ42">
        <f>22.37910387</f>
        <v>22.379103870000002</v>
      </c>
      <c r="CA42">
        <f>24.59262789</f>
        <v>24.592627889999999</v>
      </c>
      <c r="CB42">
        <f>25.94022333</f>
        <v>25.940223329999998</v>
      </c>
      <c r="CC42">
        <f>27.0266466</f>
        <v>27.026646599999999</v>
      </c>
      <c r="CD42">
        <f>29.70994047</f>
        <v>29.709940469999999</v>
      </c>
      <c r="CE42">
        <f>29.72170542</f>
        <v>29.721705419999999</v>
      </c>
      <c r="CF42">
        <f>31.23967408</f>
        <v>31.23967408</v>
      </c>
      <c r="CG42">
        <f>28.45448006</f>
        <v>28.454480060000002</v>
      </c>
      <c r="CH42">
        <f>27.2960913</f>
        <v>27.296091300000001</v>
      </c>
      <c r="CI42">
        <f>26.10954331</f>
        <v>26.109543309999999</v>
      </c>
      <c r="CJ42">
        <f>22.92589684</f>
        <v>22.92589684</v>
      </c>
      <c r="CK42">
        <f>49.01980495</f>
        <v>49.019804950000001</v>
      </c>
      <c r="CL42">
        <f>56.94126795</f>
        <v>56.941267949999997</v>
      </c>
      <c r="CM42">
        <f>60.09177921</f>
        <v>60.091779209999999</v>
      </c>
      <c r="CN42">
        <f>63.2292873</f>
        <v>63.229287300000003</v>
      </c>
      <c r="CO42">
        <f>53.05355771</f>
        <v>53.05355771</v>
      </c>
      <c r="CP42">
        <f>51.6477314</f>
        <v>51.647731399999998</v>
      </c>
      <c r="CQ42">
        <f>47.60729974</f>
        <v>47.607299740000002</v>
      </c>
      <c r="CR42">
        <f>51.70357935</f>
        <v>51.703579349999998</v>
      </c>
      <c r="CS42">
        <f>36.10182639</f>
        <v>36.101826389999999</v>
      </c>
      <c r="CT42">
        <f>25.25543964</f>
        <v>25.255439639999999</v>
      </c>
      <c r="CU42">
        <f>22.16718512</f>
        <v>22.167185119999999</v>
      </c>
      <c r="CV42">
        <f>13.26693588</f>
        <v>13.26693588</v>
      </c>
      <c r="CW42">
        <f>7.91336151</f>
        <v>7.9133615099999997</v>
      </c>
      <c r="CX42">
        <f>5.2634298</f>
        <v>5.2634297999999999</v>
      </c>
      <c r="CY42">
        <f>4.642465788</f>
        <v>4.642465788</v>
      </c>
      <c r="CZ42">
        <f>5.617793466</f>
        <v>5.6177934660000002</v>
      </c>
      <c r="DA42">
        <f>9.230777607</f>
        <v>9.2307776070000003</v>
      </c>
      <c r="DB42">
        <f>14.39011357</f>
        <v>14.39011357</v>
      </c>
      <c r="DC42">
        <f>17.31447842</f>
        <v>17.31447842</v>
      </c>
      <c r="DD42">
        <f>18.78475118</f>
        <v>18.784751180000001</v>
      </c>
      <c r="DE42">
        <f>17.44801343</f>
        <v>17.44801343</v>
      </c>
      <c r="DF42">
        <f>15.33512919</f>
        <v>15.33512919</v>
      </c>
      <c r="DG42">
        <f>14.20100241</f>
        <v>14.201002409999999</v>
      </c>
      <c r="DH42" t="str">
        <f>""</f>
        <v/>
      </c>
      <c r="DI42" t="str">
        <f>""</f>
        <v/>
      </c>
      <c r="DJ42" t="str">
        <f>""</f>
        <v/>
      </c>
      <c r="DK42" t="str">
        <f>""</f>
        <v/>
      </c>
      <c r="DL42" t="str">
        <f>""</f>
        <v/>
      </c>
      <c r="DM42" t="str">
        <f>""</f>
        <v/>
      </c>
      <c r="DN42" t="str">
        <f>""</f>
        <v/>
      </c>
      <c r="DO42" t="str">
        <f>""</f>
        <v/>
      </c>
      <c r="DP42" t="str">
        <f>""</f>
        <v/>
      </c>
      <c r="DQ42" t="str">
        <f>""</f>
        <v/>
      </c>
      <c r="DR42" t="str">
        <f>""</f>
        <v/>
      </c>
      <c r="DS42" t="str">
        <f>""</f>
        <v/>
      </c>
      <c r="DT42">
        <f>2.311672898</f>
        <v>2.3116728979999999</v>
      </c>
      <c r="DU42" t="str">
        <f>""</f>
        <v/>
      </c>
    </row>
    <row r="43" spans="1:125" x14ac:dyDescent="0.25">
      <c r="A43" t="str">
        <f>"    Yulon Motor Co Ltd"</f>
        <v xml:space="preserve">    Yulon Motor Co Ltd</v>
      </c>
      <c r="B43" t="str">
        <f>"2201 TT Equity"</f>
        <v>2201 TT Equity</v>
      </c>
      <c r="C43" t="str">
        <f t="shared" si="0"/>
        <v>RR844</v>
      </c>
      <c r="D43" t="str">
        <f t="shared" si="1"/>
        <v>T12M_DIL_EPS_CONT_OPS</v>
      </c>
      <c r="E43" t="str">
        <f t="shared" si="2"/>
        <v>Dynamic</v>
      </c>
      <c r="F43" t="str">
        <f ca="1">IF(AND(ISNUMBER($F$552),$B$511=1),$F$552,HLOOKUP(INDIRECT(ADDRESS(2,COLUMN())),OFFSET($BN$2,0,0,ROW()-1,60),ROW()-1,FALSE))</f>
        <v/>
      </c>
      <c r="G43" t="str">
        <f ca="1">IF(AND(ISNUMBER($G$552),$B$511=1),$G$552,HLOOKUP(INDIRECT(ADDRESS(2,COLUMN())),OFFSET($BN$2,0,0,ROW()-1,60),ROW()-1,FALSE))</f>
        <v/>
      </c>
      <c r="H43">
        <f ca="1">IF(AND(ISNUMBER($H$552),$B$511=1),$H$552,HLOOKUP(INDIRECT(ADDRESS(2,COLUMN())),OFFSET($BN$2,0,0,ROW()-1,60),ROW()-1,FALSE))</f>
        <v>3.3298968999999998E-2</v>
      </c>
      <c r="I43">
        <f ca="1">IF(AND(ISNUMBER($I$552),$B$511=1),$I$552,HLOOKUP(INDIRECT(ADDRESS(2,COLUMN())),OFFSET($BN$2,0,0,ROW()-1,60),ROW()-1,FALSE))</f>
        <v>4.9604433000000003E-2</v>
      </c>
      <c r="J43">
        <f ca="1">IF(AND(ISNUMBER($J$552),$B$511=1),$J$552,HLOOKUP(INDIRECT(ADDRESS(2,COLUMN())),OFFSET($BN$2,0,0,ROW()-1,60),ROW()-1,FALSE))</f>
        <v>5.6149538999999998E-2</v>
      </c>
      <c r="K43">
        <f ca="1">IF(AND(ISNUMBER($K$552),$B$511=1),$K$552,HLOOKUP(INDIRECT(ADDRESS(2,COLUMN())),OFFSET($BN$2,0,0,ROW()-1,60),ROW()-1,FALSE))</f>
        <v>4.3495793999999997E-2</v>
      </c>
      <c r="L43">
        <f ca="1">IF(AND(ISNUMBER($L$552),$B$511=1),$L$552,HLOOKUP(INDIRECT(ADDRESS(2,COLUMN())),OFFSET($BN$2,0,0,ROW()-1,60),ROW()-1,FALSE))</f>
        <v>3.5792155999999999E-2</v>
      </c>
      <c r="M43">
        <f ca="1">IF(AND(ISNUMBER($M$552),$B$511=1),$M$552,HLOOKUP(INDIRECT(ADDRESS(2,COLUMN())),OFFSET($BN$2,0,0,ROW()-1,60),ROW()-1,FALSE))</f>
        <v>2.6294764000000002E-2</v>
      </c>
      <c r="N43">
        <f ca="1">IF(AND(ISNUMBER($N$552),$B$511=1),$N$552,HLOOKUP(INDIRECT(ADDRESS(2,COLUMN())),OFFSET($BN$2,0,0,ROW()-1,60),ROW()-1,FALSE))</f>
        <v>3.2310238999999998E-2</v>
      </c>
      <c r="O43">
        <f ca="1">IF(AND(ISNUMBER($O$552),$B$511=1),$O$552,HLOOKUP(INDIRECT(ADDRESS(2,COLUMN())),OFFSET($BN$2,0,0,ROW()-1,60),ROW()-1,FALSE))</f>
        <v>2.9040408E-2</v>
      </c>
      <c r="P43">
        <f ca="1">IF(AND(ISNUMBER($P$552),$B$511=1),$P$552,HLOOKUP(INDIRECT(ADDRESS(2,COLUMN())),OFFSET($BN$2,0,0,ROW()-1,60),ROW()-1,FALSE))</f>
        <v>7.6983855000000004E-2</v>
      </c>
      <c r="Q43">
        <f ca="1">IF(AND(ISNUMBER($Q$552),$B$511=1),$Q$552,HLOOKUP(INDIRECT(ADDRESS(2,COLUMN())),OFFSET($BN$2,0,0,ROW()-1,60),ROW()-1,FALSE))</f>
        <v>7.5262331000000002E-2</v>
      </c>
      <c r="R43">
        <f ca="1">IF(AND(ISNUMBER($R$552),$B$511=1),$R$552,HLOOKUP(INDIRECT(ADDRESS(2,COLUMN())),OFFSET($BN$2,0,0,ROW()-1,60),ROW()-1,FALSE))</f>
        <v>8.7298011999999994E-2</v>
      </c>
      <c r="S43">
        <f ca="1">IF(AND(ISNUMBER($S$552),$B$511=1),$S$552,HLOOKUP(INDIRECT(ADDRESS(2,COLUMN())),OFFSET($BN$2,0,0,ROW()-1,60),ROW()-1,FALSE))</f>
        <v>0.106958603</v>
      </c>
      <c r="T43">
        <f ca="1">IF(AND(ISNUMBER($T$552),$B$511=1),$T$552,HLOOKUP(INDIRECT(ADDRESS(2,COLUMN())),OFFSET($BN$2,0,0,ROW()-1,60),ROW()-1,FALSE))</f>
        <v>8.2962485000000002E-2</v>
      </c>
      <c r="U43">
        <f ca="1">IF(AND(ISNUMBER($U$552),$B$511=1),$U$552,HLOOKUP(INDIRECT(ADDRESS(2,COLUMN())),OFFSET($BN$2,0,0,ROW()-1,60),ROW()-1,FALSE))</f>
        <v>9.9848325000000002E-2</v>
      </c>
      <c r="V43">
        <f ca="1">IF(AND(ISNUMBER($V$552),$B$511=1),$V$552,HLOOKUP(INDIRECT(ADDRESS(2,COLUMN())),OFFSET($BN$2,0,0,ROW()-1,60),ROW()-1,FALSE))</f>
        <v>8.8419437000000004E-2</v>
      </c>
      <c r="W43">
        <f ca="1">IF(AND(ISNUMBER($W$552),$B$511=1),$W$552,HLOOKUP(INDIRECT(ADDRESS(2,COLUMN())),OFFSET($BN$2,0,0,ROW()-1,60),ROW()-1,FALSE))</f>
        <v>7.4757219E-2</v>
      </c>
      <c r="X43">
        <f ca="1">IF(AND(ISNUMBER($X$552),$B$511=1),$X$552,HLOOKUP(INDIRECT(ADDRESS(2,COLUMN())),OFFSET($BN$2,0,0,ROW()-1,60),ROW()-1,FALSE))</f>
        <v>6.7540076000000004E-2</v>
      </c>
      <c r="Y43">
        <f ca="1">IF(AND(ISNUMBER($Y$552),$B$511=1),$Y$552,HLOOKUP(INDIRECT(ADDRESS(2,COLUMN())),OFFSET($BN$2,0,0,ROW()-1,60),ROW()-1,FALSE))</f>
        <v>5.6045590999999999E-2</v>
      </c>
      <c r="Z43">
        <f ca="1">IF(AND(ISNUMBER($Z$552),$B$511=1),$Z$552,HLOOKUP(INDIRECT(ADDRESS(2,COLUMN())),OFFSET($BN$2,0,0,ROW()-1,60),ROW()-1,FALSE))</f>
        <v>6.2396306999999998E-2</v>
      </c>
      <c r="AA43">
        <f ca="1">IF(AND(ISNUMBER($AA$552),$B$511=1),$AA$552,HLOOKUP(INDIRECT(ADDRESS(2,COLUMN())),OFFSET($BN$2,0,0,ROW()-1,60),ROW()-1,FALSE))</f>
        <v>6.7722725999999997E-2</v>
      </c>
      <c r="AB43">
        <f ca="1">IF(AND(ISNUMBER($AB$552),$B$511=1),$AB$552,HLOOKUP(INDIRECT(ADDRESS(2,COLUMN())),OFFSET($BN$2,0,0,ROW()-1,60),ROW()-1,FALSE))</f>
        <v>7.1496299999999999E-2</v>
      </c>
      <c r="AC43">
        <f ca="1">IF(AND(ISNUMBER($AC$552),$B$511=1),$AC$552,HLOOKUP(INDIRECT(ADDRESS(2,COLUMN())),OFFSET($BN$2,0,0,ROW()-1,60),ROW()-1,FALSE))</f>
        <v>6.8393692000000006E-2</v>
      </c>
      <c r="AD43">
        <f ca="1">IF(AND(ISNUMBER($AD$552),$B$511=1),$AD$552,HLOOKUP(INDIRECT(ADDRESS(2,COLUMN())),OFFSET($BN$2,0,0,ROW()-1,60),ROW()-1,FALSE))</f>
        <v>6.9687940000000004E-2</v>
      </c>
      <c r="AE43">
        <f ca="1">IF(AND(ISNUMBER($AE$552),$B$511=1),$AE$552,HLOOKUP(INDIRECT(ADDRESS(2,COLUMN())),OFFSET($BN$2,0,0,ROW()-1,60),ROW()-1,FALSE))</f>
        <v>7.0468747999999998E-2</v>
      </c>
      <c r="AF43">
        <f ca="1">IF(AND(ISNUMBER($AF$552),$B$511=1),$AF$552,HLOOKUP(INDIRECT(ADDRESS(2,COLUMN())),OFFSET($BN$2,0,0,ROW()-1,60),ROW()-1,FALSE))</f>
        <v>6.9763868000000007E-2</v>
      </c>
      <c r="AG43">
        <f ca="1">IF(AND(ISNUMBER($AG$552),$B$511=1),$AG$552,HLOOKUP(INDIRECT(ADDRESS(2,COLUMN())),OFFSET($BN$2,0,0,ROW()-1,60),ROW()-1,FALSE))</f>
        <v>7.6811830999999997E-2</v>
      </c>
      <c r="AH43">
        <f ca="1">IF(AND(ISNUMBER($AH$552),$B$511=1),$AH$552,HLOOKUP(INDIRECT(ADDRESS(2,COLUMN())),OFFSET($BN$2,0,0,ROW()-1,60),ROW()-1,FALSE))</f>
        <v>7.2512931000000003E-2</v>
      </c>
      <c r="AI43">
        <f ca="1">IF(AND(ISNUMBER($AI$552),$B$511=1),$AI$552,HLOOKUP(INDIRECT(ADDRESS(2,COLUMN())),OFFSET($BN$2,0,0,ROW()-1,60),ROW()-1,FALSE))</f>
        <v>7.6258072999999996E-2</v>
      </c>
      <c r="AJ43">
        <f ca="1">IF(AND(ISNUMBER($AJ$552),$B$511=1),$AJ$552,HLOOKUP(INDIRECT(ADDRESS(2,COLUMN())),OFFSET($BN$2,0,0,ROW()-1,60),ROW()-1,FALSE))</f>
        <v>8.5324637999999994E-2</v>
      </c>
      <c r="AK43">
        <f ca="1">IF(AND(ISNUMBER($AK$552),$B$511=1),$AK$552,HLOOKUP(INDIRECT(ADDRESS(2,COLUMN())),OFFSET($BN$2,0,0,ROW()-1,60),ROW()-1,FALSE))</f>
        <v>8.1628067999999998E-2</v>
      </c>
      <c r="AL43">
        <f ca="1">IF(AND(ISNUMBER($AL$552),$B$511=1),$AL$552,HLOOKUP(INDIRECT(ADDRESS(2,COLUMN())),OFFSET($BN$2,0,0,ROW()-1,60),ROW()-1,FALSE))</f>
        <v>7.8586564999999997E-2</v>
      </c>
      <c r="AM43">
        <f ca="1">IF(AND(ISNUMBER($AM$552),$B$511=1),$AM$552,HLOOKUP(INDIRECT(ADDRESS(2,COLUMN())),OFFSET($BN$2,0,0,ROW()-1,60),ROW()-1,FALSE))</f>
        <v>7.1138837999999996E-2</v>
      </c>
      <c r="AN43">
        <f ca="1">IF(AND(ISNUMBER($AN$552),$B$511=1),$AN$552,HLOOKUP(INDIRECT(ADDRESS(2,COLUMN())),OFFSET($BN$2,0,0,ROW()-1,60),ROW()-1,FALSE))</f>
        <v>5.0956528000000001E-2</v>
      </c>
      <c r="AO43">
        <f ca="1">IF(AND(ISNUMBER($AO$552),$B$511=1),$AO$552,HLOOKUP(INDIRECT(ADDRESS(2,COLUMN())),OFFSET($BN$2,0,0,ROW()-1,60),ROW()-1,FALSE))</f>
        <v>4.7308264000000003E-2</v>
      </c>
      <c r="AP43">
        <f ca="1">IF(AND(ISNUMBER($AP$552),$B$511=1),$AP$552,HLOOKUP(INDIRECT(ADDRESS(2,COLUMN())),OFFSET($BN$2,0,0,ROW()-1,60),ROW()-1,FALSE))</f>
        <v>3.6822891000000003E-2</v>
      </c>
      <c r="AQ43">
        <f ca="1">IF(AND(ISNUMBER($AQ$552),$B$511=1),$AQ$552,HLOOKUP(INDIRECT(ADDRESS(2,COLUMN())),OFFSET($BN$2,0,0,ROW()-1,60),ROW()-1,FALSE))</f>
        <v>2.2258421E-2</v>
      </c>
      <c r="AR43" t="str">
        <f ca="1">IF(AND(ISNUMBER($AR$552),$B$511=1),$AR$552,HLOOKUP(INDIRECT(ADDRESS(2,COLUMN())),OFFSET($BN$2,0,0,ROW()-1,60),ROW()-1,FALSE))</f>
        <v/>
      </c>
      <c r="AS43" t="str">
        <f ca="1">IF(AND(ISNUMBER($AS$552),$B$511=1),$AS$552,HLOOKUP(INDIRECT(ADDRESS(2,COLUMN())),OFFSET($BN$2,0,0,ROW()-1,60),ROW()-1,FALSE))</f>
        <v/>
      </c>
      <c r="AT43" t="str">
        <f ca="1">IF(AND(ISNUMBER($AT$552),$B$511=1),$AT$552,HLOOKUP(INDIRECT(ADDRESS(2,COLUMN())),OFFSET($BN$2,0,0,ROW()-1,60),ROW()-1,FALSE))</f>
        <v/>
      </c>
      <c r="AU43" t="str">
        <f ca="1">IF(AND(ISNUMBER($AU$552),$B$511=1),$AU$552,HLOOKUP(INDIRECT(ADDRESS(2,COLUMN())),OFFSET($BN$2,0,0,ROW()-1,60),ROW()-1,FALSE))</f>
        <v/>
      </c>
      <c r="AV43" t="str">
        <f ca="1">IF(AND(ISNUMBER($AV$552),$B$511=1),$AV$552,HLOOKUP(INDIRECT(ADDRESS(2,COLUMN())),OFFSET($BN$2,0,0,ROW()-1,60),ROW()-1,FALSE))</f>
        <v/>
      </c>
      <c r="AW43" t="str">
        <f ca="1">IF(AND(ISNUMBER($AW$552),$B$511=1),$AW$552,HLOOKUP(INDIRECT(ADDRESS(2,COLUMN())),OFFSET($BN$2,0,0,ROW()-1,60),ROW()-1,FALSE))</f>
        <v/>
      </c>
      <c r="AX43" t="str">
        <f ca="1">IF(AND(ISNUMBER($AX$552),$B$511=1),$AX$552,HLOOKUP(INDIRECT(ADDRESS(2,COLUMN())),OFFSET($BN$2,0,0,ROW()-1,60),ROW()-1,FALSE))</f>
        <v/>
      </c>
      <c r="AY43" t="str">
        <f ca="1">IF(AND(ISNUMBER($AY$552),$B$511=1),$AY$552,HLOOKUP(INDIRECT(ADDRESS(2,COLUMN())),OFFSET($BN$2,0,0,ROW()-1,60),ROW()-1,FALSE))</f>
        <v/>
      </c>
      <c r="AZ43" t="str">
        <f ca="1">IF(AND(ISNUMBER($AZ$552),$B$511=1),$AZ$552,HLOOKUP(INDIRECT(ADDRESS(2,COLUMN())),OFFSET($BN$2,0,0,ROW()-1,60),ROW()-1,FALSE))</f>
        <v/>
      </c>
      <c r="BA43" t="str">
        <f ca="1">IF(AND(ISNUMBER($BA$552),$B$511=1),$BA$552,HLOOKUP(INDIRECT(ADDRESS(2,COLUMN())),OFFSET($BN$2,0,0,ROW()-1,60),ROW()-1,FALSE))</f>
        <v/>
      </c>
      <c r="BB43" t="str">
        <f ca="1">IF(AND(ISNUMBER($BB$552),$B$511=1),$BB$552,HLOOKUP(INDIRECT(ADDRESS(2,COLUMN())),OFFSET($BN$2,0,0,ROW()-1,60),ROW()-1,FALSE))</f>
        <v/>
      </c>
      <c r="BC43" t="str">
        <f ca="1">IF(AND(ISNUMBER($BC$552),$B$511=1),$BC$552,HLOOKUP(INDIRECT(ADDRESS(2,COLUMN())),OFFSET($BN$2,0,0,ROW()-1,60),ROW()-1,FALSE))</f>
        <v/>
      </c>
      <c r="BD43" t="str">
        <f ca="1">IF(AND(ISNUMBER($BD$552),$B$511=1),$BD$552,HLOOKUP(INDIRECT(ADDRESS(2,COLUMN())),OFFSET($BN$2,0,0,ROW()-1,60),ROW()-1,FALSE))</f>
        <v/>
      </c>
      <c r="BE43" t="str">
        <f ca="1">IF(AND(ISNUMBER($BE$552),$B$511=1),$BE$552,HLOOKUP(INDIRECT(ADDRESS(2,COLUMN())),OFFSET($BN$2,0,0,ROW()-1,60),ROW()-1,FALSE))</f>
        <v/>
      </c>
      <c r="BF43" t="str">
        <f ca="1">IF(AND(ISNUMBER($BF$552),$B$511=1),$BF$552,HLOOKUP(INDIRECT(ADDRESS(2,COLUMN())),OFFSET($BN$2,0,0,ROW()-1,60),ROW()-1,FALSE))</f>
        <v/>
      </c>
      <c r="BG43" t="str">
        <f ca="1">IF(AND(ISNUMBER($BG$552),$B$511=1),$BG$552,HLOOKUP(INDIRECT(ADDRESS(2,COLUMN())),OFFSET($BN$2,0,0,ROW()-1,60),ROW()-1,FALSE))</f>
        <v/>
      </c>
      <c r="BH43" t="str">
        <f ca="1">IF(AND(ISNUMBER($BH$552),$B$511=1),$BH$552,HLOOKUP(INDIRECT(ADDRESS(2,COLUMN())),OFFSET($BN$2,0,0,ROW()-1,60),ROW()-1,FALSE))</f>
        <v/>
      </c>
      <c r="BI43" t="str">
        <f ca="1">IF(AND(ISNUMBER($BI$552),$B$511=1),$BI$552,HLOOKUP(INDIRECT(ADDRESS(2,COLUMN())),OFFSET($BN$2,0,0,ROW()-1,60),ROW()-1,FALSE))</f>
        <v/>
      </c>
      <c r="BJ43" t="str">
        <f ca="1">IF(AND(ISNUMBER($BJ$552),$B$511=1),$BJ$552,HLOOKUP(INDIRECT(ADDRESS(2,COLUMN())),OFFSET($BN$2,0,0,ROW()-1,60),ROW()-1,FALSE))</f>
        <v/>
      </c>
      <c r="BK43" t="str">
        <f ca="1">IF(AND(ISNUMBER($BK$552),$B$511=1),$BK$552,HLOOKUP(INDIRECT(ADDRESS(2,COLUMN())),OFFSET($BN$2,0,0,ROW()-1,60),ROW()-1,FALSE))</f>
        <v/>
      </c>
      <c r="BL43" t="str">
        <f ca="1">IF(AND(ISNUMBER($BL$552),$B$511=1),$BL$552,HLOOKUP(INDIRECT(ADDRESS(2,COLUMN())),OFFSET($BN$2,0,0,ROW()-1,60),ROW()-1,FALSE))</f>
        <v/>
      </c>
      <c r="BM43" t="str">
        <f ca="1">IF(AND(ISNUMBER($BM$552),$B$511=1),$BM$552,HLOOKUP(INDIRECT(ADDRESS(2,COLUMN())),OFFSET($BN$2,0,0,ROW()-1,60),ROW()-1,FALSE))</f>
        <v/>
      </c>
      <c r="BN43" t="str">
        <f>""</f>
        <v/>
      </c>
      <c r="BO43" t="str">
        <f>""</f>
        <v/>
      </c>
      <c r="BP43">
        <f>0.033298969</f>
        <v>3.3298968999999998E-2</v>
      </c>
      <c r="BQ43">
        <f>0.049604433</f>
        <v>4.9604433000000003E-2</v>
      </c>
      <c r="BR43">
        <f>0.056149539</f>
        <v>5.6149538999999998E-2</v>
      </c>
      <c r="BS43">
        <f>0.043495794</f>
        <v>4.3495793999999997E-2</v>
      </c>
      <c r="BT43">
        <f>0.035792156</f>
        <v>3.5792155999999999E-2</v>
      </c>
      <c r="BU43">
        <f>0.026294764</f>
        <v>2.6294764000000002E-2</v>
      </c>
      <c r="BV43">
        <f>0.032310239</f>
        <v>3.2310238999999998E-2</v>
      </c>
      <c r="BW43">
        <f>0.029040408</f>
        <v>2.9040408E-2</v>
      </c>
      <c r="BX43">
        <f>0.076983855</f>
        <v>7.6983855000000004E-2</v>
      </c>
      <c r="BY43">
        <f>0.075262331</f>
        <v>7.5262331000000002E-2</v>
      </c>
      <c r="BZ43">
        <f>0.087298012</f>
        <v>8.7298011999999994E-2</v>
      </c>
      <c r="CA43">
        <f>0.106958603</f>
        <v>0.106958603</v>
      </c>
      <c r="CB43">
        <f>0.082962485</f>
        <v>8.2962485000000002E-2</v>
      </c>
      <c r="CC43">
        <f>0.099848325</f>
        <v>9.9848325000000002E-2</v>
      </c>
      <c r="CD43">
        <f>0.088419437</f>
        <v>8.8419437000000004E-2</v>
      </c>
      <c r="CE43">
        <f>0.074757219</f>
        <v>7.4757219E-2</v>
      </c>
      <c r="CF43">
        <f>0.067540076</f>
        <v>6.7540076000000004E-2</v>
      </c>
      <c r="CG43">
        <f>0.056045591</f>
        <v>5.6045590999999999E-2</v>
      </c>
      <c r="CH43">
        <f>0.062396307</f>
        <v>6.2396306999999998E-2</v>
      </c>
      <c r="CI43">
        <f>0.067722726</f>
        <v>6.7722725999999997E-2</v>
      </c>
      <c r="CJ43">
        <f>0.0714963</f>
        <v>7.1496299999999999E-2</v>
      </c>
      <c r="CK43">
        <f>0.068393692</f>
        <v>6.8393692000000006E-2</v>
      </c>
      <c r="CL43">
        <f>0.06968794</f>
        <v>6.9687940000000004E-2</v>
      </c>
      <c r="CM43">
        <f>0.070468748</f>
        <v>7.0468747999999998E-2</v>
      </c>
      <c r="CN43">
        <f>0.069763868</f>
        <v>6.9763868000000007E-2</v>
      </c>
      <c r="CO43">
        <f>0.076811831</f>
        <v>7.6811830999999997E-2</v>
      </c>
      <c r="CP43">
        <f>0.072512931</f>
        <v>7.2512931000000003E-2</v>
      </c>
      <c r="CQ43">
        <f>0.076258073</f>
        <v>7.6258072999999996E-2</v>
      </c>
      <c r="CR43">
        <f>0.085324638</f>
        <v>8.5324637999999994E-2</v>
      </c>
      <c r="CS43">
        <f>0.081628068</f>
        <v>8.1628067999999998E-2</v>
      </c>
      <c r="CT43">
        <f>0.078586565</f>
        <v>7.8586564999999997E-2</v>
      </c>
      <c r="CU43">
        <f>0.071138838</f>
        <v>7.1138837999999996E-2</v>
      </c>
      <c r="CV43">
        <f>0.050956528</f>
        <v>5.0956528000000001E-2</v>
      </c>
      <c r="CW43">
        <f>0.047308264</f>
        <v>4.7308264000000003E-2</v>
      </c>
      <c r="CX43">
        <f>0.036822891</f>
        <v>3.6822891000000003E-2</v>
      </c>
      <c r="CY43">
        <f>0.022258421</f>
        <v>2.2258421E-2</v>
      </c>
      <c r="CZ43" t="str">
        <f>""</f>
        <v/>
      </c>
      <c r="DA43" t="str">
        <f>""</f>
        <v/>
      </c>
      <c r="DB43" t="str">
        <f>""</f>
        <v/>
      </c>
      <c r="DC43" t="str">
        <f>""</f>
        <v/>
      </c>
      <c r="DD43" t="str">
        <f>""</f>
        <v/>
      </c>
      <c r="DE43" t="str">
        <f>""</f>
        <v/>
      </c>
      <c r="DF43" t="str">
        <f>""</f>
        <v/>
      </c>
      <c r="DG43" t="str">
        <f>""</f>
        <v/>
      </c>
      <c r="DH43" t="str">
        <f>""</f>
        <v/>
      </c>
      <c r="DI43" t="str">
        <f>""</f>
        <v/>
      </c>
      <c r="DJ43" t="str">
        <f>""</f>
        <v/>
      </c>
      <c r="DK43" t="str">
        <f>""</f>
        <v/>
      </c>
      <c r="DL43" t="str">
        <f>""</f>
        <v/>
      </c>
      <c r="DM43" t="str">
        <f>""</f>
        <v/>
      </c>
      <c r="DN43" t="str">
        <f>""</f>
        <v/>
      </c>
      <c r="DO43" t="str">
        <f>""</f>
        <v/>
      </c>
      <c r="DP43" t="str">
        <f>""</f>
        <v/>
      </c>
      <c r="DQ43" t="str">
        <f>""</f>
        <v/>
      </c>
      <c r="DR43" t="str">
        <f>""</f>
        <v/>
      </c>
      <c r="DS43" t="str">
        <f>""</f>
        <v/>
      </c>
      <c r="DT43" t="str">
        <f>""</f>
        <v/>
      </c>
      <c r="DU43" t="str">
        <f>""</f>
        <v/>
      </c>
    </row>
    <row r="44" spans="1:125" x14ac:dyDescent="0.25">
      <c r="A44" t="str">
        <f>"EPS FY1"</f>
        <v>EPS FY1</v>
      </c>
      <c r="B44" t="str">
        <f>"BRAUTOCV Index"</f>
        <v>BRAUTOCV Index</v>
      </c>
      <c r="E44" t="str">
        <f>"Average"</f>
        <v>Average</v>
      </c>
      <c r="F44">
        <f ca="1">IF(ISERROR(IF(AVERAGE($F$45:$F$84) = 0, "", AVERAGE($F$45:$F$84))), "", (IF(AVERAGE($F$45:$F$84) = 0, "", AVERAGE($F$45:$F$84))))</f>
        <v>3.8016176470588232</v>
      </c>
      <c r="G44">
        <f ca="1">IF(ISERROR(IF(AVERAGE($G$45:$G$84) = 0, "", AVERAGE($G$45:$G$84))), "", (IF(AVERAGE($G$45:$G$84) = 0, "", AVERAGE($G$45:$G$84))))</f>
        <v>3.9836176470588232</v>
      </c>
      <c r="H44">
        <f ca="1">IF(ISERROR(IF(AVERAGE($H$45:$H$84) = 0, "", AVERAGE($H$45:$H$84))), "", (IF(AVERAGE($H$45:$H$84) = 0, "", AVERAGE($H$45:$H$84))))</f>
        <v>4.2604545454545466</v>
      </c>
      <c r="I44">
        <f ca="1">IF(ISERROR(IF(AVERAGE($I$45:$I$84) = 0, "", AVERAGE($I$45:$I$84))), "", (IF(AVERAGE($I$45:$I$84) = 0, "", AVERAGE($I$45:$I$84))))</f>
        <v>4.4366562499999995</v>
      </c>
      <c r="J44">
        <f ca="1">IF(ISERROR(IF(AVERAGE($J$45:$J$84) = 0, "", AVERAGE($J$45:$J$84))), "", (IF(AVERAGE($J$45:$J$84) = 0, "", AVERAGE($J$45:$J$84))))</f>
        <v>4.5027941176470581</v>
      </c>
      <c r="K44">
        <f ca="1">IF(ISERROR(IF(AVERAGE($K$45:$K$84) = 0, "", AVERAGE($K$45:$K$84))), "", (IF(AVERAGE($K$45:$K$84) = 0, "", AVERAGE($K$45:$K$84))))</f>
        <v>4.3110857142857144</v>
      </c>
      <c r="L44">
        <f ca="1">IF(ISERROR(IF(AVERAGE($L$45:$L$84) = 0, "", AVERAGE($L$45:$L$84))), "", (IF(AVERAGE($L$45:$L$84) = 0, "", AVERAGE($L$45:$L$84))))</f>
        <v>4.3607941176470586</v>
      </c>
      <c r="M44">
        <f ca="1">IF(ISERROR(IF(AVERAGE($M$45:$M$84) = 0, "", AVERAGE($M$45:$M$84))), "", (IF(AVERAGE($M$45:$M$84) = 0, "", AVERAGE($M$45:$M$84))))</f>
        <v>4.1267428571428582</v>
      </c>
      <c r="N44">
        <f ca="1">IF(ISERROR(IF(AVERAGE($N$45:$N$84) = 0, "", AVERAGE($N$45:$N$84))), "", (IF(AVERAGE($N$45:$N$84) = 0, "", AVERAGE($N$45:$N$84))))</f>
        <v>4.2153823529411767</v>
      </c>
      <c r="O44">
        <f ca="1">IF(ISERROR(IF(AVERAGE($O$45:$O$84) = 0, "", AVERAGE($O$45:$O$84))), "", (IF(AVERAGE($O$45:$O$84) = 0, "", AVERAGE($O$45:$O$84))))</f>
        <v>3.9171212121212124</v>
      </c>
      <c r="P44">
        <f ca="1">IF(ISERROR(IF(AVERAGE($P$45:$P$84) = 0, "", AVERAGE($P$45:$P$84))), "", (IF(AVERAGE($P$45:$P$84) = 0, "", AVERAGE($P$45:$P$84))))</f>
        <v>4.6318529411764722</v>
      </c>
      <c r="Q44">
        <f ca="1">IF(ISERROR(IF(AVERAGE($Q$45:$Q$84) = 0, "", AVERAGE($Q$45:$Q$84))), "", (IF(AVERAGE($Q$45:$Q$84) = 0, "", AVERAGE($Q$45:$Q$84))))</f>
        <v>4.2601818181818185</v>
      </c>
      <c r="R44">
        <f ca="1">IF(ISERROR(IF(AVERAGE($R$45:$R$84) = 0, "", AVERAGE($R$45:$R$84))), "", (IF(AVERAGE($R$45:$R$84) = 0, "", AVERAGE($R$45:$R$84))))</f>
        <v>4.4135714285714283</v>
      </c>
      <c r="S44">
        <f ca="1">IF(ISERROR(IF(AVERAGE($S$45:$S$84) = 0, "", AVERAGE($S$45:$S$84))), "", (IF(AVERAGE($S$45:$S$84) = 0, "", AVERAGE($S$45:$S$84))))</f>
        <v>5.188629629629629</v>
      </c>
      <c r="T44">
        <f ca="1">IF(ISERROR(IF(AVERAGE($T$45:$T$84) = 0, "", AVERAGE($T$45:$T$84))), "", (IF(AVERAGE($T$45:$T$84) = 0, "", AVERAGE($T$45:$T$84))))</f>
        <v>5.5994000000000002</v>
      </c>
      <c r="U44">
        <f ca="1">IF(ISERROR(IF(AVERAGE($U$45:$U$84) = 0, "", AVERAGE($U$45:$U$84))), "", (IF(AVERAGE($U$45:$U$84) = 0, "", AVERAGE($U$45:$U$84))))</f>
        <v>6.8249583333333339</v>
      </c>
      <c r="V44">
        <f ca="1">IF(ISERROR(IF(AVERAGE($V$45:$V$84) = 0, "", AVERAGE($V$45:$V$84))), "", (IF(AVERAGE($V$45:$V$84) = 0, "", AVERAGE($V$45:$V$84))))</f>
        <v>5.7404800000000016</v>
      </c>
      <c r="W44">
        <f ca="1">IF(ISERROR(IF(AVERAGE($W$45:$W$84) = 0, "", AVERAGE($W$45:$W$84))), "", (IF(AVERAGE($W$45:$W$84) = 0, "", AVERAGE($W$45:$W$84))))</f>
        <v>3.7476666666666669</v>
      </c>
      <c r="X44">
        <f ca="1">IF(ISERROR(IF(AVERAGE($X$45:$X$84) = 0, "", AVERAGE($X$45:$X$84))), "", (IF(AVERAGE($X$45:$X$84) = 0, "", AVERAGE($X$45:$X$84))))</f>
        <v>6.4125555555555556</v>
      </c>
      <c r="Y44">
        <f ca="1">IF(ISERROR(IF(AVERAGE($Y$45:$Y$84) = 0, "", AVERAGE($Y$45:$Y$84))), "", (IF(AVERAGE($Y$45:$Y$84) = 0, "", AVERAGE($Y$45:$Y$84))))</f>
        <v>5.8658181818181818</v>
      </c>
      <c r="Z44">
        <f ca="1">IF(ISERROR(IF(AVERAGE($Z$45:$Z$84) = 0, "", AVERAGE($Z$45:$Z$84))), "", (IF(AVERAGE($Z$45:$Z$84) = 0, "", AVERAGE($Z$45:$Z$84))))</f>
        <v>8.0387500000000003</v>
      </c>
      <c r="AA44">
        <f ca="1">IF(ISERROR(IF(AVERAGE($AA$45:$AA$84) = 0, "", AVERAGE($AA$45:$AA$84))), "", (IF(AVERAGE($AA$45:$AA$84) = 0, "", AVERAGE($AA$45:$AA$84))))</f>
        <v>10.398666666666665</v>
      </c>
      <c r="AB44">
        <f ca="1">IF(ISERROR(IF(AVERAGE($AB$45:$AB$84) = 0, "", AVERAGE($AB$45:$AB$84))), "", (IF(AVERAGE($AB$45:$AB$84) = 0, "", AVERAGE($AB$45:$AB$84))))</f>
        <v>10.35</v>
      </c>
      <c r="AC44">
        <f ca="1">IF(ISERROR(IF(AVERAGE($AC$45:$AC$84) = 0, "", AVERAGE($AC$45:$AC$84))), "", (IF(AVERAGE($AC$45:$AC$84) = 0, "", AVERAGE($AC$45:$AC$84))))</f>
        <v>7.3250000000000002</v>
      </c>
      <c r="AD44">
        <f ca="1">IF(ISERROR(IF(AVERAGE($AD$45:$AD$84) = 0, "", AVERAGE($AD$45:$AD$84))), "", (IF(AVERAGE($AD$45:$AD$84) = 0, "", AVERAGE($AD$45:$AD$84))))</f>
        <v>7.96</v>
      </c>
      <c r="AE44">
        <f ca="1">IF(ISERROR(IF(AVERAGE($AE$45:$AE$84) = 0, "", AVERAGE($AE$45:$AE$84))), "", (IF(AVERAGE($AE$45:$AE$84) = 0, "", AVERAGE($AE$45:$AE$84))))</f>
        <v>7.9249999999999998</v>
      </c>
      <c r="AF44">
        <f ca="1">IF(ISERROR(IF(AVERAGE($AF$45:$AF$84) = 0, "", AVERAGE($AF$45:$AF$84))), "", (IF(AVERAGE($AF$45:$AF$84) = 0, "", AVERAGE($AF$45:$AF$84))))</f>
        <v>12.19</v>
      </c>
      <c r="AG44">
        <f ca="1">IF(ISERROR(IF(AVERAGE($AG$45:$AG$84) = 0, "", AVERAGE($AG$45:$AG$84))), "", (IF(AVERAGE($AG$45:$AG$84) = 0, "", AVERAGE($AG$45:$AG$84))))</f>
        <v>11.8</v>
      </c>
      <c r="AH44">
        <f ca="1">IF(ISERROR(IF(AVERAGE($AH$45:$AH$84) = 0, "", AVERAGE($AH$45:$AH$84))), "", (IF(AVERAGE($AH$45:$AH$84) = 0, "", AVERAGE($AH$45:$AH$84))))</f>
        <v>5.6539999999999999</v>
      </c>
      <c r="AI44" t="str">
        <f ca="1">IF(ISERROR(IF(AVERAGE($AI$45:$AI$84) = 0, "", AVERAGE($AI$45:$AI$84))), "", (IF(AVERAGE($AI$45:$AI$84) = 0, "", AVERAGE($AI$45:$AI$84))))</f>
        <v/>
      </c>
      <c r="AJ44" t="str">
        <f ca="1">IF(ISERROR(IF(AVERAGE($AJ$45:$AJ$84) = 0, "", AVERAGE($AJ$45:$AJ$84))), "", (IF(AVERAGE($AJ$45:$AJ$84) = 0, "", AVERAGE($AJ$45:$AJ$84))))</f>
        <v/>
      </c>
      <c r="AK44" t="str">
        <f ca="1">IF(ISERROR(IF(AVERAGE($AK$45:$AK$84) = 0, "", AVERAGE($AK$45:$AK$84))), "", (IF(AVERAGE($AK$45:$AK$84) = 0, "", AVERAGE($AK$45:$AK$84))))</f>
        <v/>
      </c>
      <c r="AL44" t="str">
        <f ca="1">IF(ISERROR(IF(AVERAGE($AL$45:$AL$84) = 0, "", AVERAGE($AL$45:$AL$84))), "", (IF(AVERAGE($AL$45:$AL$84) = 0, "", AVERAGE($AL$45:$AL$84))))</f>
        <v/>
      </c>
      <c r="AM44" t="str">
        <f ca="1">IF(ISERROR(IF(AVERAGE($AM$45:$AM$84) = 0, "", AVERAGE($AM$45:$AM$84))), "", (IF(AVERAGE($AM$45:$AM$84) = 0, "", AVERAGE($AM$45:$AM$84))))</f>
        <v/>
      </c>
      <c r="AN44" t="str">
        <f ca="1">IF(ISERROR(IF(AVERAGE($AN$45:$AN$84) = 0, "", AVERAGE($AN$45:$AN$84))), "", (IF(AVERAGE($AN$45:$AN$84) = 0, "", AVERAGE($AN$45:$AN$84))))</f>
        <v/>
      </c>
      <c r="AO44" t="str">
        <f ca="1">IF(ISERROR(IF(AVERAGE($AO$45:$AO$84) = 0, "", AVERAGE($AO$45:$AO$84))), "", (IF(AVERAGE($AO$45:$AO$84) = 0, "", AVERAGE($AO$45:$AO$84))))</f>
        <v/>
      </c>
      <c r="AP44" t="str">
        <f ca="1">IF(ISERROR(IF(AVERAGE($AP$45:$AP$84) = 0, "", AVERAGE($AP$45:$AP$84))), "", (IF(AVERAGE($AP$45:$AP$84) = 0, "", AVERAGE($AP$45:$AP$84))))</f>
        <v/>
      </c>
      <c r="AQ44" t="str">
        <f ca="1">IF(ISERROR(IF(AVERAGE($AQ$45:$AQ$84) = 0, "", AVERAGE($AQ$45:$AQ$84))), "", (IF(AVERAGE($AQ$45:$AQ$84) = 0, "", AVERAGE($AQ$45:$AQ$84))))</f>
        <v/>
      </c>
      <c r="AR44" t="str">
        <f ca="1">IF(ISERROR(IF(AVERAGE($AR$45:$AR$84) = 0, "", AVERAGE($AR$45:$AR$84))), "", (IF(AVERAGE($AR$45:$AR$84) = 0, "", AVERAGE($AR$45:$AR$84))))</f>
        <v/>
      </c>
      <c r="AS44" t="str">
        <f ca="1">IF(ISERROR(IF(AVERAGE($AS$45:$AS$84) = 0, "", AVERAGE($AS$45:$AS$84))), "", (IF(AVERAGE($AS$45:$AS$84) = 0, "", AVERAGE($AS$45:$AS$84))))</f>
        <v/>
      </c>
      <c r="AT44" t="str">
        <f ca="1">IF(ISERROR(IF(AVERAGE($AT$45:$AT$84) = 0, "", AVERAGE($AT$45:$AT$84))), "", (IF(AVERAGE($AT$45:$AT$84) = 0, "", AVERAGE($AT$45:$AT$84))))</f>
        <v/>
      </c>
      <c r="AU44" t="str">
        <f ca="1">IF(ISERROR(IF(AVERAGE($AU$45:$AU$84) = 0, "", AVERAGE($AU$45:$AU$84))), "", (IF(AVERAGE($AU$45:$AU$84) = 0, "", AVERAGE($AU$45:$AU$84))))</f>
        <v/>
      </c>
      <c r="AV44" t="str">
        <f ca="1">IF(ISERROR(IF(AVERAGE($AV$45:$AV$84) = 0, "", AVERAGE($AV$45:$AV$84))), "", (IF(AVERAGE($AV$45:$AV$84) = 0, "", AVERAGE($AV$45:$AV$84))))</f>
        <v/>
      </c>
      <c r="AW44" t="str">
        <f ca="1">IF(ISERROR(IF(AVERAGE($AW$45:$AW$84) = 0, "", AVERAGE($AW$45:$AW$84))), "", (IF(AVERAGE($AW$45:$AW$84) = 0, "", AVERAGE($AW$45:$AW$84))))</f>
        <v/>
      </c>
      <c r="AX44" t="str">
        <f ca="1">IF(ISERROR(IF(AVERAGE($AX$45:$AX$84) = 0, "", AVERAGE($AX$45:$AX$84))), "", (IF(AVERAGE($AX$45:$AX$84) = 0, "", AVERAGE($AX$45:$AX$84))))</f>
        <v/>
      </c>
      <c r="AY44" t="str">
        <f ca="1">IF(ISERROR(IF(AVERAGE($AY$45:$AY$84) = 0, "", AVERAGE($AY$45:$AY$84))), "", (IF(AVERAGE($AY$45:$AY$84) = 0, "", AVERAGE($AY$45:$AY$84))))</f>
        <v/>
      </c>
      <c r="AZ44" t="str">
        <f ca="1">IF(ISERROR(IF(AVERAGE($AZ$45:$AZ$84) = 0, "", AVERAGE($AZ$45:$AZ$84))), "", (IF(AVERAGE($AZ$45:$AZ$84) = 0, "", AVERAGE($AZ$45:$AZ$84))))</f>
        <v/>
      </c>
      <c r="BA44" t="str">
        <f ca="1">IF(ISERROR(IF(AVERAGE($BA$45:$BA$84) = 0, "", AVERAGE($BA$45:$BA$84))), "", (IF(AVERAGE($BA$45:$BA$84) = 0, "", AVERAGE($BA$45:$BA$84))))</f>
        <v/>
      </c>
      <c r="BB44" t="str">
        <f ca="1">IF(ISERROR(IF(AVERAGE($BB$45:$BB$84) = 0, "", AVERAGE($BB$45:$BB$84))), "", (IF(AVERAGE($BB$45:$BB$84) = 0, "", AVERAGE($BB$45:$BB$84))))</f>
        <v/>
      </c>
      <c r="BC44" t="str">
        <f ca="1">IF(ISERROR(IF(AVERAGE($BC$45:$BC$84) = 0, "", AVERAGE($BC$45:$BC$84))), "", (IF(AVERAGE($BC$45:$BC$84) = 0, "", AVERAGE($BC$45:$BC$84))))</f>
        <v/>
      </c>
      <c r="BD44" t="str">
        <f ca="1">IF(ISERROR(IF(AVERAGE($BD$45:$BD$84) = 0, "", AVERAGE($BD$45:$BD$84))), "", (IF(AVERAGE($BD$45:$BD$84) = 0, "", AVERAGE($BD$45:$BD$84))))</f>
        <v/>
      </c>
      <c r="BE44" t="str">
        <f ca="1">IF(ISERROR(IF(AVERAGE($BE$45:$BE$84) = 0, "", AVERAGE($BE$45:$BE$84))), "", (IF(AVERAGE($BE$45:$BE$84) = 0, "", AVERAGE($BE$45:$BE$84))))</f>
        <v/>
      </c>
      <c r="BF44" t="str">
        <f ca="1">IF(ISERROR(IF(AVERAGE($BF$45:$BF$84) = 0, "", AVERAGE($BF$45:$BF$84))), "", (IF(AVERAGE($BF$45:$BF$84) = 0, "", AVERAGE($BF$45:$BF$84))))</f>
        <v/>
      </c>
      <c r="BG44" t="str">
        <f ca="1">IF(ISERROR(IF(AVERAGE($BG$45:$BG$84) = 0, "", AVERAGE($BG$45:$BG$84))), "", (IF(AVERAGE($BG$45:$BG$84) = 0, "", AVERAGE($BG$45:$BG$84))))</f>
        <v/>
      </c>
      <c r="BH44" t="str">
        <f ca="1">IF(ISERROR(IF(AVERAGE($BH$45:$BH$84) = 0, "", AVERAGE($BH$45:$BH$84))), "", (IF(AVERAGE($BH$45:$BH$84) = 0, "", AVERAGE($BH$45:$BH$84))))</f>
        <v/>
      </c>
      <c r="BI44" t="str">
        <f ca="1">IF(ISERROR(IF(AVERAGE($BI$45:$BI$84) = 0, "", AVERAGE($BI$45:$BI$84))), "", (IF(AVERAGE($BI$45:$BI$84) = 0, "", AVERAGE($BI$45:$BI$84))))</f>
        <v/>
      </c>
      <c r="BJ44" t="str">
        <f ca="1">IF(ISERROR(IF(AVERAGE($BJ$45:$BJ$84) = 0, "", AVERAGE($BJ$45:$BJ$84))), "", (IF(AVERAGE($BJ$45:$BJ$84) = 0, "", AVERAGE($BJ$45:$BJ$84))))</f>
        <v/>
      </c>
      <c r="BK44" t="str">
        <f ca="1">IF(ISERROR(IF(AVERAGE($BK$45:$BK$84) = 0, "", AVERAGE($BK$45:$BK$84))), "", (IF(AVERAGE($BK$45:$BK$84) = 0, "", AVERAGE($BK$45:$BK$84))))</f>
        <v/>
      </c>
      <c r="BL44" t="str">
        <f ca="1">IF(ISERROR(IF(AVERAGE($BL$45:$BL$84) = 0, "", AVERAGE($BL$45:$BL$84))), "", (IF(AVERAGE($BL$45:$BL$84) = 0, "", AVERAGE($BL$45:$BL$84))))</f>
        <v/>
      </c>
      <c r="BM44" t="str">
        <f ca="1">IF(ISERROR(IF(AVERAGE($BM$45:$BM$84) = 0, "", AVERAGE($BM$45:$BM$84))), "", (IF(AVERAGE($BM$45:$BM$84) = 0, "", AVERAGE($BM$45:$BM$84))))</f>
        <v/>
      </c>
      <c r="BN44">
        <f>3.801617647</f>
        <v>3.801617647</v>
      </c>
      <c r="BO44">
        <f>3.983617647</f>
        <v>3.983617647</v>
      </c>
      <c r="BP44">
        <f>4.260454545</f>
        <v>4.260454545</v>
      </c>
      <c r="BQ44">
        <f>4.43665625</f>
        <v>4.4366562500000004</v>
      </c>
      <c r="BR44">
        <f>4.502794118</f>
        <v>4.5027941179999997</v>
      </c>
      <c r="BS44">
        <f>4.311085714</f>
        <v>4.3110857139999998</v>
      </c>
      <c r="BT44">
        <f>4.360794118</f>
        <v>4.3607941180000003</v>
      </c>
      <c r="BU44">
        <f>4.126742857</f>
        <v>4.126742857</v>
      </c>
      <c r="BV44">
        <f>4.215382353</f>
        <v>4.2153823529999999</v>
      </c>
      <c r="BW44">
        <f>3.917121212</f>
        <v>3.9171212120000001</v>
      </c>
      <c r="BX44">
        <f>4.631852941</f>
        <v>4.631852941</v>
      </c>
      <c r="BY44">
        <f>4.260181818</f>
        <v>4.2601818180000004</v>
      </c>
      <c r="BZ44">
        <f>4.413571429</f>
        <v>4.4135714290000001</v>
      </c>
      <c r="CA44">
        <f>5.18862963</f>
        <v>5.1886296300000003</v>
      </c>
      <c r="CB44">
        <f>5.5994</f>
        <v>5.5994000000000002</v>
      </c>
      <c r="CC44">
        <f>6.824958333</f>
        <v>6.8249583329999997</v>
      </c>
      <c r="CD44">
        <f>5.74048</f>
        <v>5.7404799999999998</v>
      </c>
      <c r="CE44">
        <f>3.747666667</f>
        <v>3.7476666669999998</v>
      </c>
      <c r="CF44">
        <f>6.412555556</f>
        <v>6.412555556</v>
      </c>
      <c r="CG44">
        <f>5.865818182</f>
        <v>5.8658181819999999</v>
      </c>
      <c r="CH44">
        <f>8.03875</f>
        <v>8.0387500000000003</v>
      </c>
      <c r="CI44">
        <f>10.39866667</f>
        <v>10.398666670000001</v>
      </c>
      <c r="CJ44">
        <f>10.35</f>
        <v>10.35</v>
      </c>
      <c r="CK44">
        <f>7.325</f>
        <v>7.3250000000000002</v>
      </c>
      <c r="CL44">
        <f>7.96</f>
        <v>7.96</v>
      </c>
      <c r="CM44">
        <f>7.925</f>
        <v>7.9249999999999998</v>
      </c>
      <c r="CN44">
        <f>12.19</f>
        <v>12.19</v>
      </c>
      <c r="CO44">
        <f>11.8</f>
        <v>11.8</v>
      </c>
      <c r="CP44">
        <f>5.654</f>
        <v>5.6539999999999999</v>
      </c>
      <c r="CQ44" t="str">
        <f>""</f>
        <v/>
      </c>
      <c r="CR44" t="str">
        <f>""</f>
        <v/>
      </c>
      <c r="CS44" t="str">
        <f>""</f>
        <v/>
      </c>
      <c r="CT44" t="str">
        <f>""</f>
        <v/>
      </c>
      <c r="CU44" t="str">
        <f>""</f>
        <v/>
      </c>
      <c r="CV44" t="str">
        <f>""</f>
        <v/>
      </c>
      <c r="CW44" t="str">
        <f>""</f>
        <v/>
      </c>
      <c r="CX44" t="str">
        <f>""</f>
        <v/>
      </c>
      <c r="CY44" t="str">
        <f>""</f>
        <v/>
      </c>
      <c r="CZ44" t="str">
        <f>""</f>
        <v/>
      </c>
      <c r="DA44" t="str">
        <f>""</f>
        <v/>
      </c>
      <c r="DB44" t="str">
        <f>""</f>
        <v/>
      </c>
      <c r="DC44" t="str">
        <f>""</f>
        <v/>
      </c>
      <c r="DD44" t="str">
        <f>""</f>
        <v/>
      </c>
      <c r="DE44" t="str">
        <f>""</f>
        <v/>
      </c>
      <c r="DF44" t="str">
        <f>""</f>
        <v/>
      </c>
      <c r="DG44" t="str">
        <f>""</f>
        <v/>
      </c>
      <c r="DH44" t="str">
        <f>""</f>
        <v/>
      </c>
      <c r="DI44" t="str">
        <f>""</f>
        <v/>
      </c>
      <c r="DJ44" t="str">
        <f>""</f>
        <v/>
      </c>
      <c r="DK44" t="str">
        <f>""</f>
        <v/>
      </c>
      <c r="DL44" t="str">
        <f>""</f>
        <v/>
      </c>
      <c r="DM44" t="str">
        <f>""</f>
        <v/>
      </c>
      <c r="DN44" t="str">
        <f>""</f>
        <v/>
      </c>
      <c r="DO44" t="str">
        <f>""</f>
        <v/>
      </c>
      <c r="DP44" t="str">
        <f>""</f>
        <v/>
      </c>
      <c r="DQ44" t="str">
        <f>""</f>
        <v/>
      </c>
      <c r="DR44" t="str">
        <f>""</f>
        <v/>
      </c>
      <c r="DS44" t="str">
        <f>""</f>
        <v/>
      </c>
      <c r="DT44" t="str">
        <f>""</f>
        <v/>
      </c>
      <c r="DU44" t="str">
        <f>""</f>
        <v/>
      </c>
    </row>
    <row r="45" spans="1:125" x14ac:dyDescent="0.25">
      <c r="A45" t="str">
        <f>"    AUDI AG"</f>
        <v xml:space="preserve">    AUDI AG</v>
      </c>
      <c r="B45" t="str">
        <f>"NSU GR Equity"</f>
        <v>NSU GR Equity</v>
      </c>
      <c r="C45" t="str">
        <f t="shared" ref="C45:C84" si="3">"EZ019"</f>
        <v>EZ019</v>
      </c>
      <c r="D45" t="str">
        <f t="shared" ref="D45:D84" si="4">"BEST_EEPS_CUR_YR"</f>
        <v>BEST_EEPS_CUR_YR</v>
      </c>
      <c r="E45" t="str">
        <f t="shared" ref="E45:E84" si="5">"Dynamic"</f>
        <v>Dynamic</v>
      </c>
      <c r="F45" t="str">
        <f ca="1">IF(AND(ISNUMBER($F$553),$B$511=1),$F$553,HLOOKUP(INDIRECT(ADDRESS(2,COLUMN())),OFFSET($BN$2,0,0,ROW()-1,60),ROW()-1,FALSE))</f>
        <v/>
      </c>
      <c r="G45" t="str">
        <f ca="1">IF(AND(ISNUMBER($G$553),$B$511=1),$G$553,HLOOKUP(INDIRECT(ADDRESS(2,COLUMN())),OFFSET($BN$2,0,0,ROW()-1,60),ROW()-1,FALSE))</f>
        <v/>
      </c>
      <c r="H45" t="str">
        <f ca="1">IF(AND(ISNUMBER($H$553),$B$511=1),$H$553,HLOOKUP(INDIRECT(ADDRESS(2,COLUMN())),OFFSET($BN$2,0,0,ROW()-1,60),ROW()-1,FALSE))</f>
        <v/>
      </c>
      <c r="I45" t="str">
        <f ca="1">IF(AND(ISNUMBER($I$553),$B$511=1),$I$553,HLOOKUP(INDIRECT(ADDRESS(2,COLUMN())),OFFSET($BN$2,0,0,ROW()-1,60),ROW()-1,FALSE))</f>
        <v/>
      </c>
      <c r="J45" t="str">
        <f ca="1">IF(AND(ISNUMBER($J$553),$B$511=1),$J$553,HLOOKUP(INDIRECT(ADDRESS(2,COLUMN())),OFFSET($BN$2,0,0,ROW()-1,60),ROW()-1,FALSE))</f>
        <v/>
      </c>
      <c r="K45" t="str">
        <f ca="1">IF(AND(ISNUMBER($K$553),$B$511=1),$K$553,HLOOKUP(INDIRECT(ADDRESS(2,COLUMN())),OFFSET($BN$2,0,0,ROW()-1,60),ROW()-1,FALSE))</f>
        <v/>
      </c>
      <c r="L45" t="str">
        <f ca="1">IF(AND(ISNUMBER($L$553),$B$511=1),$L$553,HLOOKUP(INDIRECT(ADDRESS(2,COLUMN())),OFFSET($BN$2,0,0,ROW()-1,60),ROW()-1,FALSE))</f>
        <v/>
      </c>
      <c r="M45" t="str">
        <f ca="1">IF(AND(ISNUMBER($M$553),$B$511=1),$M$553,HLOOKUP(INDIRECT(ADDRESS(2,COLUMN())),OFFSET($BN$2,0,0,ROW()-1,60),ROW()-1,FALSE))</f>
        <v/>
      </c>
      <c r="N45" t="str">
        <f ca="1">IF(AND(ISNUMBER($N$553),$B$511=1),$N$553,HLOOKUP(INDIRECT(ADDRESS(2,COLUMN())),OFFSET($BN$2,0,0,ROW()-1,60),ROW()-1,FALSE))</f>
        <v/>
      </c>
      <c r="O45" t="str">
        <f ca="1">IF(AND(ISNUMBER($O$553),$B$511=1),$O$553,HLOOKUP(INDIRECT(ADDRESS(2,COLUMN())),OFFSET($BN$2,0,0,ROW()-1,60),ROW()-1,FALSE))</f>
        <v/>
      </c>
      <c r="P45" t="str">
        <f ca="1">IF(AND(ISNUMBER($P$553),$B$511=1),$P$553,HLOOKUP(INDIRECT(ADDRESS(2,COLUMN())),OFFSET($BN$2,0,0,ROW()-1,60),ROW()-1,FALSE))</f>
        <v/>
      </c>
      <c r="Q45" t="str">
        <f ca="1">IF(AND(ISNUMBER($Q$553),$B$511=1),$Q$553,HLOOKUP(INDIRECT(ADDRESS(2,COLUMN())),OFFSET($BN$2,0,0,ROW()-1,60),ROW()-1,FALSE))</f>
        <v/>
      </c>
      <c r="R45" t="str">
        <f ca="1">IF(AND(ISNUMBER($R$553),$B$511=1),$R$553,HLOOKUP(INDIRECT(ADDRESS(2,COLUMN())),OFFSET($BN$2,0,0,ROW()-1,60),ROW()-1,FALSE))</f>
        <v/>
      </c>
      <c r="S45" t="str">
        <f ca="1">IF(AND(ISNUMBER($S$553),$B$511=1),$S$553,HLOOKUP(INDIRECT(ADDRESS(2,COLUMN())),OFFSET($BN$2,0,0,ROW()-1,60),ROW()-1,FALSE))</f>
        <v/>
      </c>
      <c r="T45" t="str">
        <f ca="1">IF(AND(ISNUMBER($T$553),$B$511=1),$T$553,HLOOKUP(INDIRECT(ADDRESS(2,COLUMN())),OFFSET($BN$2,0,0,ROW()-1,60),ROW()-1,FALSE))</f>
        <v/>
      </c>
      <c r="U45" t="str">
        <f ca="1">IF(AND(ISNUMBER($U$553),$B$511=1),$U$553,HLOOKUP(INDIRECT(ADDRESS(2,COLUMN())),OFFSET($BN$2,0,0,ROW()-1,60),ROW()-1,FALSE))</f>
        <v/>
      </c>
      <c r="V45" t="str">
        <f ca="1">IF(AND(ISNUMBER($V$553),$B$511=1),$V$553,HLOOKUP(INDIRECT(ADDRESS(2,COLUMN())),OFFSET($BN$2,0,0,ROW()-1,60),ROW()-1,FALSE))</f>
        <v/>
      </c>
      <c r="W45" t="str">
        <f ca="1">IF(AND(ISNUMBER($W$553),$B$511=1),$W$553,HLOOKUP(INDIRECT(ADDRESS(2,COLUMN())),OFFSET($BN$2,0,0,ROW()-1,60),ROW()-1,FALSE))</f>
        <v/>
      </c>
      <c r="X45" t="str">
        <f ca="1">IF(AND(ISNUMBER($X$553),$B$511=1),$X$553,HLOOKUP(INDIRECT(ADDRESS(2,COLUMN())),OFFSET($BN$2,0,0,ROW()-1,60),ROW()-1,FALSE))</f>
        <v/>
      </c>
      <c r="Y45" t="str">
        <f ca="1">IF(AND(ISNUMBER($Y$553),$B$511=1),$Y$553,HLOOKUP(INDIRECT(ADDRESS(2,COLUMN())),OFFSET($BN$2,0,0,ROW()-1,60),ROW()-1,FALSE))</f>
        <v/>
      </c>
      <c r="Z45" t="str">
        <f ca="1">IF(AND(ISNUMBER($Z$553),$B$511=1),$Z$553,HLOOKUP(INDIRECT(ADDRESS(2,COLUMN())),OFFSET($BN$2,0,0,ROW()-1,60),ROW()-1,FALSE))</f>
        <v/>
      </c>
      <c r="AA45" t="str">
        <f ca="1">IF(AND(ISNUMBER($AA$553),$B$511=1),$AA$553,HLOOKUP(INDIRECT(ADDRESS(2,COLUMN())),OFFSET($BN$2,0,0,ROW()-1,60),ROW()-1,FALSE))</f>
        <v/>
      </c>
      <c r="AB45" t="str">
        <f ca="1">IF(AND(ISNUMBER($AB$553),$B$511=1),$AB$553,HLOOKUP(INDIRECT(ADDRESS(2,COLUMN())),OFFSET($BN$2,0,0,ROW()-1,60),ROW()-1,FALSE))</f>
        <v/>
      </c>
      <c r="AC45" t="str">
        <f ca="1">IF(AND(ISNUMBER($AC$553),$B$511=1),$AC$553,HLOOKUP(INDIRECT(ADDRESS(2,COLUMN())),OFFSET($BN$2,0,0,ROW()-1,60),ROW()-1,FALSE))</f>
        <v/>
      </c>
      <c r="AD45" t="str">
        <f ca="1">IF(AND(ISNUMBER($AD$553),$B$511=1),$AD$553,HLOOKUP(INDIRECT(ADDRESS(2,COLUMN())),OFFSET($BN$2,0,0,ROW()-1,60),ROW()-1,FALSE))</f>
        <v/>
      </c>
      <c r="AE45" t="str">
        <f ca="1">IF(AND(ISNUMBER($AE$553),$B$511=1),$AE$553,HLOOKUP(INDIRECT(ADDRESS(2,COLUMN())),OFFSET($BN$2,0,0,ROW()-1,60),ROW()-1,FALSE))</f>
        <v/>
      </c>
      <c r="AF45" t="str">
        <f ca="1">IF(AND(ISNUMBER($AF$553),$B$511=1),$AF$553,HLOOKUP(INDIRECT(ADDRESS(2,COLUMN())),OFFSET($BN$2,0,0,ROW()-1,60),ROW()-1,FALSE))</f>
        <v/>
      </c>
      <c r="AG45" t="str">
        <f ca="1">IF(AND(ISNUMBER($AG$553),$B$511=1),$AG$553,HLOOKUP(INDIRECT(ADDRESS(2,COLUMN())),OFFSET($BN$2,0,0,ROW()-1,60),ROW()-1,FALSE))</f>
        <v/>
      </c>
      <c r="AH45" t="str">
        <f ca="1">IF(AND(ISNUMBER($AH$553),$B$511=1),$AH$553,HLOOKUP(INDIRECT(ADDRESS(2,COLUMN())),OFFSET($BN$2,0,0,ROW()-1,60),ROW()-1,FALSE))</f>
        <v/>
      </c>
      <c r="AI45" t="str">
        <f ca="1">IF(AND(ISNUMBER($AI$553),$B$511=1),$AI$553,HLOOKUP(INDIRECT(ADDRESS(2,COLUMN())),OFFSET($BN$2,0,0,ROW()-1,60),ROW()-1,FALSE))</f>
        <v/>
      </c>
      <c r="AJ45" t="str">
        <f ca="1">IF(AND(ISNUMBER($AJ$553),$B$511=1),$AJ$553,HLOOKUP(INDIRECT(ADDRESS(2,COLUMN())),OFFSET($BN$2,0,0,ROW()-1,60),ROW()-1,FALSE))</f>
        <v/>
      </c>
      <c r="AK45" t="str">
        <f ca="1">IF(AND(ISNUMBER($AK$553),$B$511=1),$AK$553,HLOOKUP(INDIRECT(ADDRESS(2,COLUMN())),OFFSET($BN$2,0,0,ROW()-1,60),ROW()-1,FALSE))</f>
        <v/>
      </c>
      <c r="AL45" t="str">
        <f ca="1">IF(AND(ISNUMBER($AL$553),$B$511=1),$AL$553,HLOOKUP(INDIRECT(ADDRESS(2,COLUMN())),OFFSET($BN$2,0,0,ROW()-1,60),ROW()-1,FALSE))</f>
        <v/>
      </c>
      <c r="AM45" t="str">
        <f ca="1">IF(AND(ISNUMBER($AM$553),$B$511=1),$AM$553,HLOOKUP(INDIRECT(ADDRESS(2,COLUMN())),OFFSET($BN$2,0,0,ROW()-1,60),ROW()-1,FALSE))</f>
        <v/>
      </c>
      <c r="AN45" t="str">
        <f ca="1">IF(AND(ISNUMBER($AN$553),$B$511=1),$AN$553,HLOOKUP(INDIRECT(ADDRESS(2,COLUMN())),OFFSET($BN$2,0,0,ROW()-1,60),ROW()-1,FALSE))</f>
        <v/>
      </c>
      <c r="AO45" t="str">
        <f ca="1">IF(AND(ISNUMBER($AO$553),$B$511=1),$AO$553,HLOOKUP(INDIRECT(ADDRESS(2,COLUMN())),OFFSET($BN$2,0,0,ROW()-1,60),ROW()-1,FALSE))</f>
        <v/>
      </c>
      <c r="AP45" t="str">
        <f ca="1">IF(AND(ISNUMBER($AP$553),$B$511=1),$AP$553,HLOOKUP(INDIRECT(ADDRESS(2,COLUMN())),OFFSET($BN$2,0,0,ROW()-1,60),ROW()-1,FALSE))</f>
        <v/>
      </c>
      <c r="AQ45" t="str">
        <f ca="1">IF(AND(ISNUMBER($AQ$553),$B$511=1),$AQ$553,HLOOKUP(INDIRECT(ADDRESS(2,COLUMN())),OFFSET($BN$2,0,0,ROW()-1,60),ROW()-1,FALSE))</f>
        <v/>
      </c>
      <c r="AR45" t="str">
        <f ca="1">IF(AND(ISNUMBER($AR$553),$B$511=1),$AR$553,HLOOKUP(INDIRECT(ADDRESS(2,COLUMN())),OFFSET($BN$2,0,0,ROW()-1,60),ROW()-1,FALSE))</f>
        <v/>
      </c>
      <c r="AS45" t="str">
        <f ca="1">IF(AND(ISNUMBER($AS$553),$B$511=1),$AS$553,HLOOKUP(INDIRECT(ADDRESS(2,COLUMN())),OFFSET($BN$2,0,0,ROW()-1,60),ROW()-1,FALSE))</f>
        <v/>
      </c>
      <c r="AT45" t="str">
        <f ca="1">IF(AND(ISNUMBER($AT$553),$B$511=1),$AT$553,HLOOKUP(INDIRECT(ADDRESS(2,COLUMN())),OFFSET($BN$2,0,0,ROW()-1,60),ROW()-1,FALSE))</f>
        <v/>
      </c>
      <c r="AU45" t="str">
        <f ca="1">IF(AND(ISNUMBER($AU$553),$B$511=1),$AU$553,HLOOKUP(INDIRECT(ADDRESS(2,COLUMN())),OFFSET($BN$2,0,0,ROW()-1,60),ROW()-1,FALSE))</f>
        <v/>
      </c>
      <c r="AV45" t="str">
        <f ca="1">IF(AND(ISNUMBER($AV$553),$B$511=1),$AV$553,HLOOKUP(INDIRECT(ADDRESS(2,COLUMN())),OFFSET($BN$2,0,0,ROW()-1,60),ROW()-1,FALSE))</f>
        <v/>
      </c>
      <c r="AW45" t="str">
        <f ca="1">IF(AND(ISNUMBER($AW$553),$B$511=1),$AW$553,HLOOKUP(INDIRECT(ADDRESS(2,COLUMN())),OFFSET($BN$2,0,0,ROW()-1,60),ROW()-1,FALSE))</f>
        <v/>
      </c>
      <c r="AX45" t="str">
        <f ca="1">IF(AND(ISNUMBER($AX$553),$B$511=1),$AX$553,HLOOKUP(INDIRECT(ADDRESS(2,COLUMN())),OFFSET($BN$2,0,0,ROW()-1,60),ROW()-1,FALSE))</f>
        <v/>
      </c>
      <c r="AY45" t="str">
        <f ca="1">IF(AND(ISNUMBER($AY$553),$B$511=1),$AY$553,HLOOKUP(INDIRECT(ADDRESS(2,COLUMN())),OFFSET($BN$2,0,0,ROW()-1,60),ROW()-1,FALSE))</f>
        <v/>
      </c>
      <c r="AZ45" t="str">
        <f ca="1">IF(AND(ISNUMBER($AZ$553),$B$511=1),$AZ$553,HLOOKUP(INDIRECT(ADDRESS(2,COLUMN())),OFFSET($BN$2,0,0,ROW()-1,60),ROW()-1,FALSE))</f>
        <v/>
      </c>
      <c r="BA45" t="str">
        <f ca="1">IF(AND(ISNUMBER($BA$553),$B$511=1),$BA$553,HLOOKUP(INDIRECT(ADDRESS(2,COLUMN())),OFFSET($BN$2,0,0,ROW()-1,60),ROW()-1,FALSE))</f>
        <v/>
      </c>
      <c r="BB45" t="str">
        <f ca="1">IF(AND(ISNUMBER($BB$553),$B$511=1),$BB$553,HLOOKUP(INDIRECT(ADDRESS(2,COLUMN())),OFFSET($BN$2,0,0,ROW()-1,60),ROW()-1,FALSE))</f>
        <v/>
      </c>
      <c r="BC45" t="str">
        <f ca="1">IF(AND(ISNUMBER($BC$553),$B$511=1),$BC$553,HLOOKUP(INDIRECT(ADDRESS(2,COLUMN())),OFFSET($BN$2,0,0,ROW()-1,60),ROW()-1,FALSE))</f>
        <v/>
      </c>
      <c r="BD45" t="str">
        <f ca="1">IF(AND(ISNUMBER($BD$553),$B$511=1),$BD$553,HLOOKUP(INDIRECT(ADDRESS(2,COLUMN())),OFFSET($BN$2,0,0,ROW()-1,60),ROW()-1,FALSE))</f>
        <v/>
      </c>
      <c r="BE45" t="str">
        <f ca="1">IF(AND(ISNUMBER($BE$553),$B$511=1),$BE$553,HLOOKUP(INDIRECT(ADDRESS(2,COLUMN())),OFFSET($BN$2,0,0,ROW()-1,60),ROW()-1,FALSE))</f>
        <v/>
      </c>
      <c r="BF45" t="str">
        <f ca="1">IF(AND(ISNUMBER($BF$553),$B$511=1),$BF$553,HLOOKUP(INDIRECT(ADDRESS(2,COLUMN())),OFFSET($BN$2,0,0,ROW()-1,60),ROW()-1,FALSE))</f>
        <v/>
      </c>
      <c r="BG45" t="str">
        <f ca="1">IF(AND(ISNUMBER($BG$553),$B$511=1),$BG$553,HLOOKUP(INDIRECT(ADDRESS(2,COLUMN())),OFFSET($BN$2,0,0,ROW()-1,60),ROW()-1,FALSE))</f>
        <v/>
      </c>
      <c r="BH45" t="str">
        <f ca="1">IF(AND(ISNUMBER($BH$553),$B$511=1),$BH$553,HLOOKUP(INDIRECT(ADDRESS(2,COLUMN())),OFFSET($BN$2,0,0,ROW()-1,60),ROW()-1,FALSE))</f>
        <v/>
      </c>
      <c r="BI45" t="str">
        <f ca="1">IF(AND(ISNUMBER($BI$553),$B$511=1),$BI$553,HLOOKUP(INDIRECT(ADDRESS(2,COLUMN())),OFFSET($BN$2,0,0,ROW()-1,60),ROW()-1,FALSE))</f>
        <v/>
      </c>
      <c r="BJ45" t="str">
        <f ca="1">IF(AND(ISNUMBER($BJ$553),$B$511=1),$BJ$553,HLOOKUP(INDIRECT(ADDRESS(2,COLUMN())),OFFSET($BN$2,0,0,ROW()-1,60),ROW()-1,FALSE))</f>
        <v/>
      </c>
      <c r="BK45" t="str">
        <f ca="1">IF(AND(ISNUMBER($BK$553),$B$511=1),$BK$553,HLOOKUP(INDIRECT(ADDRESS(2,COLUMN())),OFFSET($BN$2,0,0,ROW()-1,60),ROW()-1,FALSE))</f>
        <v/>
      </c>
      <c r="BL45" t="str">
        <f ca="1">IF(AND(ISNUMBER($BL$553),$B$511=1),$BL$553,HLOOKUP(INDIRECT(ADDRESS(2,COLUMN())),OFFSET($BN$2,0,0,ROW()-1,60),ROW()-1,FALSE))</f>
        <v/>
      </c>
      <c r="BM45" t="str">
        <f ca="1">IF(AND(ISNUMBER($BM$553),$B$511=1),$BM$553,HLOOKUP(INDIRECT(ADDRESS(2,COLUMN())),OFFSET($BN$2,0,0,ROW()-1,60),ROW()-1,FALSE))</f>
        <v/>
      </c>
      <c r="BN45" t="str">
        <f>""</f>
        <v/>
      </c>
      <c r="BO45" t="str">
        <f>""</f>
        <v/>
      </c>
      <c r="BP45" t="str">
        <f>""</f>
        <v/>
      </c>
      <c r="BQ45" t="str">
        <f>""</f>
        <v/>
      </c>
      <c r="BR45" t="str">
        <f>""</f>
        <v/>
      </c>
      <c r="BS45" t="str">
        <f>""</f>
        <v/>
      </c>
      <c r="BT45" t="str">
        <f>""</f>
        <v/>
      </c>
      <c r="BU45" t="str">
        <f>""</f>
        <v/>
      </c>
      <c r="BV45" t="str">
        <f>""</f>
        <v/>
      </c>
      <c r="BW45" t="str">
        <f>""</f>
        <v/>
      </c>
      <c r="BX45" t="str">
        <f>""</f>
        <v/>
      </c>
      <c r="BY45" t="str">
        <f>""</f>
        <v/>
      </c>
      <c r="BZ45" t="str">
        <f>""</f>
        <v/>
      </c>
      <c r="CA45" t="str">
        <f>""</f>
        <v/>
      </c>
      <c r="CB45" t="str">
        <f>""</f>
        <v/>
      </c>
      <c r="CC45" t="str">
        <f>""</f>
        <v/>
      </c>
      <c r="CD45" t="str">
        <f>""</f>
        <v/>
      </c>
      <c r="CE45" t="str">
        <f>""</f>
        <v/>
      </c>
      <c r="CF45" t="str">
        <f>""</f>
        <v/>
      </c>
      <c r="CG45" t="str">
        <f>""</f>
        <v/>
      </c>
      <c r="CH45" t="str">
        <f>""</f>
        <v/>
      </c>
      <c r="CI45" t="str">
        <f>""</f>
        <v/>
      </c>
      <c r="CJ45" t="str">
        <f>""</f>
        <v/>
      </c>
      <c r="CK45" t="str">
        <f>""</f>
        <v/>
      </c>
      <c r="CL45" t="str">
        <f>""</f>
        <v/>
      </c>
      <c r="CM45" t="str">
        <f>""</f>
        <v/>
      </c>
      <c r="CN45" t="str">
        <f>""</f>
        <v/>
      </c>
      <c r="CO45" t="str">
        <f>""</f>
        <v/>
      </c>
      <c r="CP45" t="str">
        <f>""</f>
        <v/>
      </c>
      <c r="CQ45" t="str">
        <f>""</f>
        <v/>
      </c>
      <c r="CR45" t="str">
        <f>""</f>
        <v/>
      </c>
      <c r="CS45" t="str">
        <f>""</f>
        <v/>
      </c>
      <c r="CT45" t="str">
        <f>""</f>
        <v/>
      </c>
      <c r="CU45" t="str">
        <f>""</f>
        <v/>
      </c>
      <c r="CV45" t="str">
        <f>""</f>
        <v/>
      </c>
      <c r="CW45" t="str">
        <f>""</f>
        <v/>
      </c>
      <c r="CX45" t="str">
        <f>""</f>
        <v/>
      </c>
      <c r="CY45" t="str">
        <f>""</f>
        <v/>
      </c>
      <c r="CZ45" t="str">
        <f>""</f>
        <v/>
      </c>
      <c r="DA45" t="str">
        <f>""</f>
        <v/>
      </c>
      <c r="DB45" t="str">
        <f>""</f>
        <v/>
      </c>
      <c r="DC45" t="str">
        <f>""</f>
        <v/>
      </c>
      <c r="DD45" t="str">
        <f>""</f>
        <v/>
      </c>
      <c r="DE45" t="str">
        <f>""</f>
        <v/>
      </c>
      <c r="DF45" t="str">
        <f>""</f>
        <v/>
      </c>
      <c r="DG45" t="str">
        <f>""</f>
        <v/>
      </c>
      <c r="DH45" t="str">
        <f>""</f>
        <v/>
      </c>
      <c r="DI45" t="str">
        <f>""</f>
        <v/>
      </c>
      <c r="DJ45" t="str">
        <f>""</f>
        <v/>
      </c>
      <c r="DK45" t="str">
        <f>""</f>
        <v/>
      </c>
      <c r="DL45" t="str">
        <f>""</f>
        <v/>
      </c>
      <c r="DM45" t="str">
        <f>""</f>
        <v/>
      </c>
      <c r="DN45" t="str">
        <f>""</f>
        <v/>
      </c>
      <c r="DO45" t="str">
        <f>""</f>
        <v/>
      </c>
      <c r="DP45" t="str">
        <f>""</f>
        <v/>
      </c>
      <c r="DQ45" t="str">
        <f>""</f>
        <v/>
      </c>
      <c r="DR45" t="str">
        <f>""</f>
        <v/>
      </c>
      <c r="DS45" t="str">
        <f>""</f>
        <v/>
      </c>
      <c r="DT45" t="str">
        <f>""</f>
        <v/>
      </c>
      <c r="DU45" t="str">
        <f>""</f>
        <v/>
      </c>
    </row>
    <row r="46" spans="1:125" x14ac:dyDescent="0.25">
      <c r="A46" t="str">
        <f>"    Avtovaz PJSC"</f>
        <v xml:space="preserve">    Avtovaz PJSC</v>
      </c>
      <c r="B46" t="str">
        <f>"AVAZ RM Equity"</f>
        <v>AVAZ RM Equity</v>
      </c>
      <c r="C46" t="str">
        <f t="shared" si="3"/>
        <v>EZ019</v>
      </c>
      <c r="D46" t="str">
        <f t="shared" si="4"/>
        <v>BEST_EEPS_CUR_YR</v>
      </c>
      <c r="E46" t="str">
        <f t="shared" si="5"/>
        <v>Dynamic</v>
      </c>
      <c r="F46" t="str">
        <f ca="1">IF(AND(ISNUMBER($F$554),$B$511=1),$F$554,HLOOKUP(INDIRECT(ADDRESS(2,COLUMN())),OFFSET($BN$2,0,0,ROW()-1,60),ROW()-1,FALSE))</f>
        <v/>
      </c>
      <c r="G46" t="str">
        <f ca="1">IF(AND(ISNUMBER($G$554),$B$511=1),$G$554,HLOOKUP(INDIRECT(ADDRESS(2,COLUMN())),OFFSET($BN$2,0,0,ROW()-1,60),ROW()-1,FALSE))</f>
        <v/>
      </c>
      <c r="H46" t="str">
        <f ca="1">IF(AND(ISNUMBER($H$554),$B$511=1),$H$554,HLOOKUP(INDIRECT(ADDRESS(2,COLUMN())),OFFSET($BN$2,0,0,ROW()-1,60),ROW()-1,FALSE))</f>
        <v/>
      </c>
      <c r="I46" t="str">
        <f ca="1">IF(AND(ISNUMBER($I$554),$B$511=1),$I$554,HLOOKUP(INDIRECT(ADDRESS(2,COLUMN())),OFFSET($BN$2,0,0,ROW()-1,60),ROW()-1,FALSE))</f>
        <v/>
      </c>
      <c r="J46" t="str">
        <f ca="1">IF(AND(ISNUMBER($J$554),$B$511=1),$J$554,HLOOKUP(INDIRECT(ADDRESS(2,COLUMN())),OFFSET($BN$2,0,0,ROW()-1,60),ROW()-1,FALSE))</f>
        <v/>
      </c>
      <c r="K46" t="str">
        <f ca="1">IF(AND(ISNUMBER($K$554),$B$511=1),$K$554,HLOOKUP(INDIRECT(ADDRESS(2,COLUMN())),OFFSET($BN$2,0,0,ROW()-1,60),ROW()-1,FALSE))</f>
        <v/>
      </c>
      <c r="L46" t="str">
        <f ca="1">IF(AND(ISNUMBER($L$554),$B$511=1),$L$554,HLOOKUP(INDIRECT(ADDRESS(2,COLUMN())),OFFSET($BN$2,0,0,ROW()-1,60),ROW()-1,FALSE))</f>
        <v/>
      </c>
      <c r="M46" t="str">
        <f ca="1">IF(AND(ISNUMBER($M$554),$B$511=1),$M$554,HLOOKUP(INDIRECT(ADDRESS(2,COLUMN())),OFFSET($BN$2,0,0,ROW()-1,60),ROW()-1,FALSE))</f>
        <v/>
      </c>
      <c r="N46" t="str">
        <f ca="1">IF(AND(ISNUMBER($N$554),$B$511=1),$N$554,HLOOKUP(INDIRECT(ADDRESS(2,COLUMN())),OFFSET($BN$2,0,0,ROW()-1,60),ROW()-1,FALSE))</f>
        <v/>
      </c>
      <c r="O46" t="str">
        <f ca="1">IF(AND(ISNUMBER($O$554),$B$511=1),$O$554,HLOOKUP(INDIRECT(ADDRESS(2,COLUMN())),OFFSET($BN$2,0,0,ROW()-1,60),ROW()-1,FALSE))</f>
        <v/>
      </c>
      <c r="P46" t="str">
        <f ca="1">IF(AND(ISNUMBER($P$554),$B$511=1),$P$554,HLOOKUP(INDIRECT(ADDRESS(2,COLUMN())),OFFSET($BN$2,0,0,ROW()-1,60),ROW()-1,FALSE))</f>
        <v/>
      </c>
      <c r="Q46" t="str">
        <f ca="1">IF(AND(ISNUMBER($Q$554),$B$511=1),$Q$554,HLOOKUP(INDIRECT(ADDRESS(2,COLUMN())),OFFSET($BN$2,0,0,ROW()-1,60),ROW()-1,FALSE))</f>
        <v/>
      </c>
      <c r="R46">
        <f ca="1">IF(AND(ISNUMBER($R$554),$B$511=1),$R$554,HLOOKUP(INDIRECT(ADDRESS(2,COLUMN())),OFFSET($BN$2,0,0,ROW()-1,60),ROW()-1,FALSE))</f>
        <v>8.3000000000000004E-2</v>
      </c>
      <c r="S46">
        <f ca="1">IF(AND(ISNUMBER($S$554),$B$511=1),$S$554,HLOOKUP(INDIRECT(ADDRESS(2,COLUMN())),OFFSET($BN$2,0,0,ROW()-1,60),ROW()-1,FALSE))</f>
        <v>8.1000000000000003E-2</v>
      </c>
      <c r="T46" t="str">
        <f ca="1">IF(AND(ISNUMBER($T$554),$B$511=1),$T$554,HLOOKUP(INDIRECT(ADDRESS(2,COLUMN())),OFFSET($BN$2,0,0,ROW()-1,60),ROW()-1,FALSE))</f>
        <v/>
      </c>
      <c r="U46" t="str">
        <f ca="1">IF(AND(ISNUMBER($U$554),$B$511=1),$U$554,HLOOKUP(INDIRECT(ADDRESS(2,COLUMN())),OFFSET($BN$2,0,0,ROW()-1,60),ROW()-1,FALSE))</f>
        <v/>
      </c>
      <c r="V46">
        <f ca="1">IF(AND(ISNUMBER($V$554),$B$511=1),$V$554,HLOOKUP(INDIRECT(ADDRESS(2,COLUMN())),OFFSET($BN$2,0,0,ROW()-1,60),ROW()-1,FALSE))</f>
        <v>0.1</v>
      </c>
      <c r="W46">
        <f ca="1">IF(AND(ISNUMBER($W$554),$B$511=1),$W$554,HLOOKUP(INDIRECT(ADDRESS(2,COLUMN())),OFFSET($BN$2,0,0,ROW()-1,60),ROW()-1,FALSE))</f>
        <v>9.1999999999999998E-2</v>
      </c>
      <c r="X46" t="str">
        <f ca="1">IF(AND(ISNUMBER($X$554),$B$511=1),$X$554,HLOOKUP(INDIRECT(ADDRESS(2,COLUMN())),OFFSET($BN$2,0,0,ROW()-1,60),ROW()-1,FALSE))</f>
        <v/>
      </c>
      <c r="Y46">
        <f ca="1">IF(AND(ISNUMBER($Y$554),$B$511=1),$Y$554,HLOOKUP(INDIRECT(ADDRESS(2,COLUMN())),OFFSET($BN$2,0,0,ROW()-1,60),ROW()-1,FALSE))</f>
        <v>0.16900000000000001</v>
      </c>
      <c r="Z46">
        <f ca="1">IF(AND(ISNUMBER($Z$554),$B$511=1),$Z$554,HLOOKUP(INDIRECT(ADDRESS(2,COLUMN())),OFFSET($BN$2,0,0,ROW()-1,60),ROW()-1,FALSE))</f>
        <v>0.16700000000000001</v>
      </c>
      <c r="AA46" t="str">
        <f ca="1">IF(AND(ISNUMBER($AA$554),$B$511=1),$AA$554,HLOOKUP(INDIRECT(ADDRESS(2,COLUMN())),OFFSET($BN$2,0,0,ROW()-1,60),ROW()-1,FALSE))</f>
        <v/>
      </c>
      <c r="AB46" t="str">
        <f ca="1">IF(AND(ISNUMBER($AB$554),$B$511=1),$AB$554,HLOOKUP(INDIRECT(ADDRESS(2,COLUMN())),OFFSET($BN$2,0,0,ROW()-1,60),ROW()-1,FALSE))</f>
        <v/>
      </c>
      <c r="AC46" t="str">
        <f ca="1">IF(AND(ISNUMBER($AC$554),$B$511=1),$AC$554,HLOOKUP(INDIRECT(ADDRESS(2,COLUMN())),OFFSET($BN$2,0,0,ROW()-1,60),ROW()-1,FALSE))</f>
        <v/>
      </c>
      <c r="AD46" t="str">
        <f ca="1">IF(AND(ISNUMBER($AD$554),$B$511=1),$AD$554,HLOOKUP(INDIRECT(ADDRESS(2,COLUMN())),OFFSET($BN$2,0,0,ROW()-1,60),ROW()-1,FALSE))</f>
        <v/>
      </c>
      <c r="AE46" t="str">
        <f ca="1">IF(AND(ISNUMBER($AE$554),$B$511=1),$AE$554,HLOOKUP(INDIRECT(ADDRESS(2,COLUMN())),OFFSET($BN$2,0,0,ROW()-1,60),ROW()-1,FALSE))</f>
        <v/>
      </c>
      <c r="AF46" t="str">
        <f ca="1">IF(AND(ISNUMBER($AF$554),$B$511=1),$AF$554,HLOOKUP(INDIRECT(ADDRESS(2,COLUMN())),OFFSET($BN$2,0,0,ROW()-1,60),ROW()-1,FALSE))</f>
        <v/>
      </c>
      <c r="AG46" t="str">
        <f ca="1">IF(AND(ISNUMBER($AG$554),$B$511=1),$AG$554,HLOOKUP(INDIRECT(ADDRESS(2,COLUMN())),OFFSET($BN$2,0,0,ROW()-1,60),ROW()-1,FALSE))</f>
        <v/>
      </c>
      <c r="AH46" t="str">
        <f ca="1">IF(AND(ISNUMBER($AH$554),$B$511=1),$AH$554,HLOOKUP(INDIRECT(ADDRESS(2,COLUMN())),OFFSET($BN$2,0,0,ROW()-1,60),ROW()-1,FALSE))</f>
        <v/>
      </c>
      <c r="AI46" t="str">
        <f ca="1">IF(AND(ISNUMBER($AI$554),$B$511=1),$AI$554,HLOOKUP(INDIRECT(ADDRESS(2,COLUMN())),OFFSET($BN$2,0,0,ROW()-1,60),ROW()-1,FALSE))</f>
        <v/>
      </c>
      <c r="AJ46" t="str">
        <f ca="1">IF(AND(ISNUMBER($AJ$554),$B$511=1),$AJ$554,HLOOKUP(INDIRECT(ADDRESS(2,COLUMN())),OFFSET($BN$2,0,0,ROW()-1,60),ROW()-1,FALSE))</f>
        <v/>
      </c>
      <c r="AK46" t="str">
        <f ca="1">IF(AND(ISNUMBER($AK$554),$B$511=1),$AK$554,HLOOKUP(INDIRECT(ADDRESS(2,COLUMN())),OFFSET($BN$2,0,0,ROW()-1,60),ROW()-1,FALSE))</f>
        <v/>
      </c>
      <c r="AL46" t="str">
        <f ca="1">IF(AND(ISNUMBER($AL$554),$B$511=1),$AL$554,HLOOKUP(INDIRECT(ADDRESS(2,COLUMN())),OFFSET($BN$2,0,0,ROW()-1,60),ROW()-1,FALSE))</f>
        <v/>
      </c>
      <c r="AM46" t="str">
        <f ca="1">IF(AND(ISNUMBER($AM$554),$B$511=1),$AM$554,HLOOKUP(INDIRECT(ADDRESS(2,COLUMN())),OFFSET($BN$2,0,0,ROW()-1,60),ROW()-1,FALSE))</f>
        <v/>
      </c>
      <c r="AN46" t="str">
        <f ca="1">IF(AND(ISNUMBER($AN$554),$B$511=1),$AN$554,HLOOKUP(INDIRECT(ADDRESS(2,COLUMN())),OFFSET($BN$2,0,0,ROW()-1,60),ROW()-1,FALSE))</f>
        <v/>
      </c>
      <c r="AO46" t="str">
        <f ca="1">IF(AND(ISNUMBER($AO$554),$B$511=1),$AO$554,HLOOKUP(INDIRECT(ADDRESS(2,COLUMN())),OFFSET($BN$2,0,0,ROW()-1,60),ROW()-1,FALSE))</f>
        <v/>
      </c>
      <c r="AP46" t="str">
        <f ca="1">IF(AND(ISNUMBER($AP$554),$B$511=1),$AP$554,HLOOKUP(INDIRECT(ADDRESS(2,COLUMN())),OFFSET($BN$2,0,0,ROW()-1,60),ROW()-1,FALSE))</f>
        <v/>
      </c>
      <c r="AQ46" t="str">
        <f ca="1">IF(AND(ISNUMBER($AQ$554),$B$511=1),$AQ$554,HLOOKUP(INDIRECT(ADDRESS(2,COLUMN())),OFFSET($BN$2,0,0,ROW()-1,60),ROW()-1,FALSE))</f>
        <v/>
      </c>
      <c r="AR46" t="str">
        <f ca="1">IF(AND(ISNUMBER($AR$554),$B$511=1),$AR$554,HLOOKUP(INDIRECT(ADDRESS(2,COLUMN())),OFFSET($BN$2,0,0,ROW()-1,60),ROW()-1,FALSE))</f>
        <v/>
      </c>
      <c r="AS46" t="str">
        <f ca="1">IF(AND(ISNUMBER($AS$554),$B$511=1),$AS$554,HLOOKUP(INDIRECT(ADDRESS(2,COLUMN())),OFFSET($BN$2,0,0,ROW()-1,60),ROW()-1,FALSE))</f>
        <v/>
      </c>
      <c r="AT46" t="str">
        <f ca="1">IF(AND(ISNUMBER($AT$554),$B$511=1),$AT$554,HLOOKUP(INDIRECT(ADDRESS(2,COLUMN())),OFFSET($BN$2,0,0,ROW()-1,60),ROW()-1,FALSE))</f>
        <v/>
      </c>
      <c r="AU46" t="str">
        <f ca="1">IF(AND(ISNUMBER($AU$554),$B$511=1),$AU$554,HLOOKUP(INDIRECT(ADDRESS(2,COLUMN())),OFFSET($BN$2,0,0,ROW()-1,60),ROW()-1,FALSE))</f>
        <v/>
      </c>
      <c r="AV46" t="str">
        <f ca="1">IF(AND(ISNUMBER($AV$554),$B$511=1),$AV$554,HLOOKUP(INDIRECT(ADDRESS(2,COLUMN())),OFFSET($BN$2,0,0,ROW()-1,60),ROW()-1,FALSE))</f>
        <v/>
      </c>
      <c r="AW46" t="str">
        <f ca="1">IF(AND(ISNUMBER($AW$554),$B$511=1),$AW$554,HLOOKUP(INDIRECT(ADDRESS(2,COLUMN())),OFFSET($BN$2,0,0,ROW()-1,60),ROW()-1,FALSE))</f>
        <v/>
      </c>
      <c r="AX46" t="str">
        <f ca="1">IF(AND(ISNUMBER($AX$554),$B$511=1),$AX$554,HLOOKUP(INDIRECT(ADDRESS(2,COLUMN())),OFFSET($BN$2,0,0,ROW()-1,60),ROW()-1,FALSE))</f>
        <v/>
      </c>
      <c r="AY46" t="str">
        <f ca="1">IF(AND(ISNUMBER($AY$554),$B$511=1),$AY$554,HLOOKUP(INDIRECT(ADDRESS(2,COLUMN())),OFFSET($BN$2,0,0,ROW()-1,60),ROW()-1,FALSE))</f>
        <v/>
      </c>
      <c r="AZ46" t="str">
        <f ca="1">IF(AND(ISNUMBER($AZ$554),$B$511=1),$AZ$554,HLOOKUP(INDIRECT(ADDRESS(2,COLUMN())),OFFSET($BN$2,0,0,ROW()-1,60),ROW()-1,FALSE))</f>
        <v/>
      </c>
      <c r="BA46" t="str">
        <f ca="1">IF(AND(ISNUMBER($BA$554),$B$511=1),$BA$554,HLOOKUP(INDIRECT(ADDRESS(2,COLUMN())),OFFSET($BN$2,0,0,ROW()-1,60),ROW()-1,FALSE))</f>
        <v/>
      </c>
      <c r="BB46" t="str">
        <f ca="1">IF(AND(ISNUMBER($BB$554),$B$511=1),$BB$554,HLOOKUP(INDIRECT(ADDRESS(2,COLUMN())),OFFSET($BN$2,0,0,ROW()-1,60),ROW()-1,FALSE))</f>
        <v/>
      </c>
      <c r="BC46" t="str">
        <f ca="1">IF(AND(ISNUMBER($BC$554),$B$511=1),$BC$554,HLOOKUP(INDIRECT(ADDRESS(2,COLUMN())),OFFSET($BN$2,0,0,ROW()-1,60),ROW()-1,FALSE))</f>
        <v/>
      </c>
      <c r="BD46" t="str">
        <f ca="1">IF(AND(ISNUMBER($BD$554),$B$511=1),$BD$554,HLOOKUP(INDIRECT(ADDRESS(2,COLUMN())),OFFSET($BN$2,0,0,ROW()-1,60),ROW()-1,FALSE))</f>
        <v/>
      </c>
      <c r="BE46" t="str">
        <f ca="1">IF(AND(ISNUMBER($BE$554),$B$511=1),$BE$554,HLOOKUP(INDIRECT(ADDRESS(2,COLUMN())),OFFSET($BN$2,0,0,ROW()-1,60),ROW()-1,FALSE))</f>
        <v/>
      </c>
      <c r="BF46" t="str">
        <f ca="1">IF(AND(ISNUMBER($BF$554),$B$511=1),$BF$554,HLOOKUP(INDIRECT(ADDRESS(2,COLUMN())),OFFSET($BN$2,0,0,ROW()-1,60),ROW()-1,FALSE))</f>
        <v/>
      </c>
      <c r="BG46" t="str">
        <f ca="1">IF(AND(ISNUMBER($BG$554),$B$511=1),$BG$554,HLOOKUP(INDIRECT(ADDRESS(2,COLUMN())),OFFSET($BN$2,0,0,ROW()-1,60),ROW()-1,FALSE))</f>
        <v/>
      </c>
      <c r="BH46" t="str">
        <f ca="1">IF(AND(ISNUMBER($BH$554),$B$511=1),$BH$554,HLOOKUP(INDIRECT(ADDRESS(2,COLUMN())),OFFSET($BN$2,0,0,ROW()-1,60),ROW()-1,FALSE))</f>
        <v/>
      </c>
      <c r="BI46" t="str">
        <f ca="1">IF(AND(ISNUMBER($BI$554),$B$511=1),$BI$554,HLOOKUP(INDIRECT(ADDRESS(2,COLUMN())),OFFSET($BN$2,0,0,ROW()-1,60),ROW()-1,FALSE))</f>
        <v/>
      </c>
      <c r="BJ46" t="str">
        <f ca="1">IF(AND(ISNUMBER($BJ$554),$B$511=1),$BJ$554,HLOOKUP(INDIRECT(ADDRESS(2,COLUMN())),OFFSET($BN$2,0,0,ROW()-1,60),ROW()-1,FALSE))</f>
        <v/>
      </c>
      <c r="BK46" t="str">
        <f ca="1">IF(AND(ISNUMBER($BK$554),$B$511=1),$BK$554,HLOOKUP(INDIRECT(ADDRESS(2,COLUMN())),OFFSET($BN$2,0,0,ROW()-1,60),ROW()-1,FALSE))</f>
        <v/>
      </c>
      <c r="BL46" t="str">
        <f ca="1">IF(AND(ISNUMBER($BL$554),$B$511=1),$BL$554,HLOOKUP(INDIRECT(ADDRESS(2,COLUMN())),OFFSET($BN$2,0,0,ROW()-1,60),ROW()-1,FALSE))</f>
        <v/>
      </c>
      <c r="BM46" t="str">
        <f ca="1">IF(AND(ISNUMBER($BM$554),$B$511=1),$BM$554,HLOOKUP(INDIRECT(ADDRESS(2,COLUMN())),OFFSET($BN$2,0,0,ROW()-1,60),ROW()-1,FALSE))</f>
        <v/>
      </c>
      <c r="BN46" t="str">
        <f>""</f>
        <v/>
      </c>
      <c r="BO46" t="str">
        <f>""</f>
        <v/>
      </c>
      <c r="BP46" t="str">
        <f>""</f>
        <v/>
      </c>
      <c r="BQ46" t="str">
        <f>""</f>
        <v/>
      </c>
      <c r="BR46" t="str">
        <f>""</f>
        <v/>
      </c>
      <c r="BS46" t="str">
        <f>""</f>
        <v/>
      </c>
      <c r="BT46" t="str">
        <f>""</f>
        <v/>
      </c>
      <c r="BU46" t="str">
        <f>""</f>
        <v/>
      </c>
      <c r="BV46" t="str">
        <f>""</f>
        <v/>
      </c>
      <c r="BW46" t="str">
        <f>""</f>
        <v/>
      </c>
      <c r="BX46" t="str">
        <f>""</f>
        <v/>
      </c>
      <c r="BY46" t="str">
        <f>""</f>
        <v/>
      </c>
      <c r="BZ46">
        <f>0.083</f>
        <v>8.3000000000000004E-2</v>
      </c>
      <c r="CA46">
        <f>0.081</f>
        <v>8.1000000000000003E-2</v>
      </c>
      <c r="CB46" t="str">
        <f>""</f>
        <v/>
      </c>
      <c r="CC46" t="str">
        <f>""</f>
        <v/>
      </c>
      <c r="CD46">
        <f>0.1</f>
        <v>0.1</v>
      </c>
      <c r="CE46">
        <f>0.092</f>
        <v>9.1999999999999998E-2</v>
      </c>
      <c r="CF46" t="str">
        <f>""</f>
        <v/>
      </c>
      <c r="CG46">
        <f>0.169</f>
        <v>0.16900000000000001</v>
      </c>
      <c r="CH46">
        <f>0.167</f>
        <v>0.16700000000000001</v>
      </c>
      <c r="CI46" t="str">
        <f>""</f>
        <v/>
      </c>
      <c r="CJ46" t="str">
        <f>""</f>
        <v/>
      </c>
      <c r="CK46" t="str">
        <f>""</f>
        <v/>
      </c>
      <c r="CL46" t="str">
        <f>""</f>
        <v/>
      </c>
      <c r="CM46" t="str">
        <f>""</f>
        <v/>
      </c>
      <c r="CN46" t="str">
        <f>""</f>
        <v/>
      </c>
      <c r="CO46" t="str">
        <f>""</f>
        <v/>
      </c>
      <c r="CP46" t="str">
        <f>""</f>
        <v/>
      </c>
      <c r="CQ46" t="str">
        <f>""</f>
        <v/>
      </c>
      <c r="CR46" t="str">
        <f>""</f>
        <v/>
      </c>
      <c r="CS46" t="str">
        <f>""</f>
        <v/>
      </c>
      <c r="CT46" t="str">
        <f>""</f>
        <v/>
      </c>
      <c r="CU46" t="str">
        <f>""</f>
        <v/>
      </c>
      <c r="CV46" t="str">
        <f>""</f>
        <v/>
      </c>
      <c r="CW46" t="str">
        <f>""</f>
        <v/>
      </c>
      <c r="CX46" t="str">
        <f>""</f>
        <v/>
      </c>
      <c r="CY46" t="str">
        <f>""</f>
        <v/>
      </c>
      <c r="CZ46" t="str">
        <f>""</f>
        <v/>
      </c>
      <c r="DA46" t="str">
        <f>""</f>
        <v/>
      </c>
      <c r="DB46" t="str">
        <f>""</f>
        <v/>
      </c>
      <c r="DC46" t="str">
        <f>""</f>
        <v/>
      </c>
      <c r="DD46" t="str">
        <f>""</f>
        <v/>
      </c>
      <c r="DE46" t="str">
        <f>""</f>
        <v/>
      </c>
      <c r="DF46" t="str">
        <f>""</f>
        <v/>
      </c>
      <c r="DG46" t="str">
        <f>""</f>
        <v/>
      </c>
      <c r="DH46" t="str">
        <f>""</f>
        <v/>
      </c>
      <c r="DI46" t="str">
        <f>""</f>
        <v/>
      </c>
      <c r="DJ46" t="str">
        <f>""</f>
        <v/>
      </c>
      <c r="DK46" t="str">
        <f>""</f>
        <v/>
      </c>
      <c r="DL46" t="str">
        <f>""</f>
        <v/>
      </c>
      <c r="DM46" t="str">
        <f>""</f>
        <v/>
      </c>
      <c r="DN46" t="str">
        <f>""</f>
        <v/>
      </c>
      <c r="DO46" t="str">
        <f>""</f>
        <v/>
      </c>
      <c r="DP46" t="str">
        <f>""</f>
        <v/>
      </c>
      <c r="DQ46" t="str">
        <f>""</f>
        <v/>
      </c>
      <c r="DR46" t="str">
        <f>""</f>
        <v/>
      </c>
      <c r="DS46" t="str">
        <f>""</f>
        <v/>
      </c>
      <c r="DT46" t="str">
        <f>""</f>
        <v/>
      </c>
      <c r="DU46" t="str">
        <f>""</f>
        <v/>
      </c>
    </row>
    <row r="47" spans="1:125" x14ac:dyDescent="0.25">
      <c r="A47" t="str">
        <f>"    Bayerische Motoren Werke AG"</f>
        <v xml:space="preserve">    Bayerische Motoren Werke AG</v>
      </c>
      <c r="B47" t="str">
        <f>"BMW GR Equity"</f>
        <v>BMW GR Equity</v>
      </c>
      <c r="C47" t="str">
        <f t="shared" si="3"/>
        <v>EZ019</v>
      </c>
      <c r="D47" t="str">
        <f t="shared" si="4"/>
        <v>BEST_EEPS_CUR_YR</v>
      </c>
      <c r="E47" t="str">
        <f t="shared" si="5"/>
        <v>Dynamic</v>
      </c>
      <c r="F47">
        <f ca="1">IF(AND(ISNUMBER($F$555),$B$511=1),$F$555,HLOOKUP(INDIRECT(ADDRESS(2,COLUMN())),OFFSET($BN$2,0,0,ROW()-1,60),ROW()-1,FALSE))</f>
        <v>11.976000000000001</v>
      </c>
      <c r="G47">
        <f ca="1">IF(AND(ISNUMBER($G$555),$B$511=1),$G$555,HLOOKUP(INDIRECT(ADDRESS(2,COLUMN())),OFFSET($BN$2,0,0,ROW()-1,60),ROW()-1,FALSE))</f>
        <v>11.96</v>
      </c>
      <c r="H47">
        <f ca="1">IF(AND(ISNUMBER($H$555),$B$511=1),$H$555,HLOOKUP(INDIRECT(ADDRESS(2,COLUMN())),OFFSET($BN$2,0,0,ROW()-1,60),ROW()-1,FALSE))</f>
        <v>12.199</v>
      </c>
      <c r="I47">
        <f ca="1">IF(AND(ISNUMBER($I$555),$B$511=1),$I$555,HLOOKUP(INDIRECT(ADDRESS(2,COLUMN())),OFFSET($BN$2,0,0,ROW()-1,60),ROW()-1,FALSE))</f>
        <v>13.115</v>
      </c>
      <c r="J47">
        <f ca="1">IF(AND(ISNUMBER($J$555),$B$511=1),$J$555,HLOOKUP(INDIRECT(ADDRESS(2,COLUMN())),OFFSET($BN$2,0,0,ROW()-1,60),ROW()-1,FALSE))</f>
        <v>13.724</v>
      </c>
      <c r="K47">
        <f ca="1">IF(AND(ISNUMBER($K$555),$B$511=1),$K$555,HLOOKUP(INDIRECT(ADDRESS(2,COLUMN())),OFFSET($BN$2,0,0,ROW()-1,60),ROW()-1,FALSE))</f>
        <v>13.118</v>
      </c>
      <c r="L47">
        <f ca="1">IF(AND(ISNUMBER($L$555),$B$511=1),$L$555,HLOOKUP(INDIRECT(ADDRESS(2,COLUMN())),OFFSET($BN$2,0,0,ROW()-1,60),ROW()-1,FALSE))</f>
        <v>12.87</v>
      </c>
      <c r="M47">
        <f ca="1">IF(AND(ISNUMBER($M$555),$B$511=1),$M$555,HLOOKUP(INDIRECT(ADDRESS(2,COLUMN())),OFFSET($BN$2,0,0,ROW()-1,60),ROW()-1,FALSE))</f>
        <v>12.08</v>
      </c>
      <c r="N47">
        <f ca="1">IF(AND(ISNUMBER($N$555),$B$511=1),$N$555,HLOOKUP(INDIRECT(ADDRESS(2,COLUMN())),OFFSET($BN$2,0,0,ROW()-1,60),ROW()-1,FALSE))</f>
        <v>11.189</v>
      </c>
      <c r="O47">
        <f ca="1">IF(AND(ISNUMBER($O$555),$B$511=1),$O$555,HLOOKUP(INDIRECT(ADDRESS(2,COLUMN())),OFFSET($BN$2,0,0,ROW()-1,60),ROW()-1,FALSE))</f>
        <v>10.747</v>
      </c>
      <c r="P47">
        <f ca="1">IF(AND(ISNUMBER($P$555),$B$511=1),$P$555,HLOOKUP(INDIRECT(ADDRESS(2,COLUMN())),OFFSET($BN$2,0,0,ROW()-1,60),ROW()-1,FALSE))</f>
        <v>10.92</v>
      </c>
      <c r="Q47">
        <f ca="1">IF(AND(ISNUMBER($Q$555),$B$511=1),$Q$555,HLOOKUP(INDIRECT(ADDRESS(2,COLUMN())),OFFSET($BN$2,0,0,ROW()-1,60),ROW()-1,FALSE))</f>
        <v>10.909000000000001</v>
      </c>
      <c r="R47">
        <f ca="1">IF(AND(ISNUMBER($R$555),$B$511=1),$R$555,HLOOKUP(INDIRECT(ADDRESS(2,COLUMN())),OFFSET($BN$2,0,0,ROW()-1,60),ROW()-1,FALSE))</f>
        <v>11.356</v>
      </c>
      <c r="S47">
        <f ca="1">IF(AND(ISNUMBER($S$555),$B$511=1),$S$555,HLOOKUP(INDIRECT(ADDRESS(2,COLUMN())),OFFSET($BN$2,0,0,ROW()-1,60),ROW()-1,FALSE))</f>
        <v>11.028</v>
      </c>
      <c r="T47">
        <f ca="1">IF(AND(ISNUMBER($T$555),$B$511=1),$T$555,HLOOKUP(INDIRECT(ADDRESS(2,COLUMN())),OFFSET($BN$2,0,0,ROW()-1,60),ROW()-1,FALSE))</f>
        <v>11.266</v>
      </c>
      <c r="U47">
        <f ca="1">IF(AND(ISNUMBER($U$555),$B$511=1),$U$555,HLOOKUP(INDIRECT(ADDRESS(2,COLUMN())),OFFSET($BN$2,0,0,ROW()-1,60),ROW()-1,FALSE))</f>
        <v>12.465</v>
      </c>
      <c r="V47">
        <f ca="1">IF(AND(ISNUMBER($V$555),$B$511=1),$V$555,HLOOKUP(INDIRECT(ADDRESS(2,COLUMN())),OFFSET($BN$2,0,0,ROW()-1,60),ROW()-1,FALSE))</f>
        <v>11.932</v>
      </c>
      <c r="W47">
        <f ca="1">IF(AND(ISNUMBER($W$555),$B$511=1),$W$555,HLOOKUP(INDIRECT(ADDRESS(2,COLUMN())),OFFSET($BN$2,0,0,ROW()-1,60),ROW()-1,FALSE))</f>
        <v>12.919</v>
      </c>
      <c r="X47">
        <f ca="1">IF(AND(ISNUMBER($X$555),$B$511=1),$X$555,HLOOKUP(INDIRECT(ADDRESS(2,COLUMN())),OFFSET($BN$2,0,0,ROW()-1,60),ROW()-1,FALSE))</f>
        <v>14.021000000000001</v>
      </c>
      <c r="Y47">
        <f ca="1">IF(AND(ISNUMBER($Y$555),$B$511=1),$Y$555,HLOOKUP(INDIRECT(ADDRESS(2,COLUMN())),OFFSET($BN$2,0,0,ROW()-1,60),ROW()-1,FALSE))</f>
        <v>14.606</v>
      </c>
      <c r="Z47">
        <f ca="1">IF(AND(ISNUMBER($Z$555),$B$511=1),$Z$555,HLOOKUP(INDIRECT(ADDRESS(2,COLUMN())),OFFSET($BN$2,0,0,ROW()-1,60),ROW()-1,FALSE))</f>
        <v>15.816000000000001</v>
      </c>
      <c r="AA47">
        <f ca="1">IF(AND(ISNUMBER($AA$555),$B$511=1),$AA$555,HLOOKUP(INDIRECT(ADDRESS(2,COLUMN())),OFFSET($BN$2,0,0,ROW()-1,60),ROW()-1,FALSE))</f>
        <v>13.926</v>
      </c>
      <c r="AB47" t="str">
        <f ca="1">IF(AND(ISNUMBER($AB$555),$B$511=1),$AB$555,HLOOKUP(INDIRECT(ADDRESS(2,COLUMN())),OFFSET($BN$2,0,0,ROW()-1,60),ROW()-1,FALSE))</f>
        <v/>
      </c>
      <c r="AC47" t="str">
        <f ca="1">IF(AND(ISNUMBER($AC$555),$B$511=1),$AC$555,HLOOKUP(INDIRECT(ADDRESS(2,COLUMN())),OFFSET($BN$2,0,0,ROW()-1,60),ROW()-1,FALSE))</f>
        <v/>
      </c>
      <c r="AD47" t="str">
        <f ca="1">IF(AND(ISNUMBER($AD$555),$B$511=1),$AD$555,HLOOKUP(INDIRECT(ADDRESS(2,COLUMN())),OFFSET($BN$2,0,0,ROW()-1,60),ROW()-1,FALSE))</f>
        <v/>
      </c>
      <c r="AE47" t="str">
        <f ca="1">IF(AND(ISNUMBER($AE$555),$B$511=1),$AE$555,HLOOKUP(INDIRECT(ADDRESS(2,COLUMN())),OFFSET($BN$2,0,0,ROW()-1,60),ROW()-1,FALSE))</f>
        <v/>
      </c>
      <c r="AF47" t="str">
        <f ca="1">IF(AND(ISNUMBER($AF$555),$B$511=1),$AF$555,HLOOKUP(INDIRECT(ADDRESS(2,COLUMN())),OFFSET($BN$2,0,0,ROW()-1,60),ROW()-1,FALSE))</f>
        <v/>
      </c>
      <c r="AG47" t="str">
        <f ca="1">IF(AND(ISNUMBER($AG$555),$B$511=1),$AG$555,HLOOKUP(INDIRECT(ADDRESS(2,COLUMN())),OFFSET($BN$2,0,0,ROW()-1,60),ROW()-1,FALSE))</f>
        <v/>
      </c>
      <c r="AH47" t="str">
        <f ca="1">IF(AND(ISNUMBER($AH$555),$B$511=1),$AH$555,HLOOKUP(INDIRECT(ADDRESS(2,COLUMN())),OFFSET($BN$2,0,0,ROW()-1,60),ROW()-1,FALSE))</f>
        <v/>
      </c>
      <c r="AI47" t="str">
        <f ca="1">IF(AND(ISNUMBER($AI$555),$B$511=1),$AI$555,HLOOKUP(INDIRECT(ADDRESS(2,COLUMN())),OFFSET($BN$2,0,0,ROW()-1,60),ROW()-1,FALSE))</f>
        <v/>
      </c>
      <c r="AJ47" t="str">
        <f ca="1">IF(AND(ISNUMBER($AJ$555),$B$511=1),$AJ$555,HLOOKUP(INDIRECT(ADDRESS(2,COLUMN())),OFFSET($BN$2,0,0,ROW()-1,60),ROW()-1,FALSE))</f>
        <v/>
      </c>
      <c r="AK47" t="str">
        <f ca="1">IF(AND(ISNUMBER($AK$555),$B$511=1),$AK$555,HLOOKUP(INDIRECT(ADDRESS(2,COLUMN())),OFFSET($BN$2,0,0,ROW()-1,60),ROW()-1,FALSE))</f>
        <v/>
      </c>
      <c r="AL47" t="str">
        <f ca="1">IF(AND(ISNUMBER($AL$555),$B$511=1),$AL$555,HLOOKUP(INDIRECT(ADDRESS(2,COLUMN())),OFFSET($BN$2,0,0,ROW()-1,60),ROW()-1,FALSE))</f>
        <v/>
      </c>
      <c r="AM47" t="str">
        <f ca="1">IF(AND(ISNUMBER($AM$555),$B$511=1),$AM$555,HLOOKUP(INDIRECT(ADDRESS(2,COLUMN())),OFFSET($BN$2,0,0,ROW()-1,60),ROW()-1,FALSE))</f>
        <v/>
      </c>
      <c r="AN47" t="str">
        <f ca="1">IF(AND(ISNUMBER($AN$555),$B$511=1),$AN$555,HLOOKUP(INDIRECT(ADDRESS(2,COLUMN())),OFFSET($BN$2,0,0,ROW()-1,60),ROW()-1,FALSE))</f>
        <v/>
      </c>
      <c r="AO47" t="str">
        <f ca="1">IF(AND(ISNUMBER($AO$555),$B$511=1),$AO$555,HLOOKUP(INDIRECT(ADDRESS(2,COLUMN())),OFFSET($BN$2,0,0,ROW()-1,60),ROW()-1,FALSE))</f>
        <v/>
      </c>
      <c r="AP47" t="str">
        <f ca="1">IF(AND(ISNUMBER($AP$555),$B$511=1),$AP$555,HLOOKUP(INDIRECT(ADDRESS(2,COLUMN())),OFFSET($BN$2,0,0,ROW()-1,60),ROW()-1,FALSE))</f>
        <v/>
      </c>
      <c r="AQ47" t="str">
        <f ca="1">IF(AND(ISNUMBER($AQ$555),$B$511=1),$AQ$555,HLOOKUP(INDIRECT(ADDRESS(2,COLUMN())),OFFSET($BN$2,0,0,ROW()-1,60),ROW()-1,FALSE))</f>
        <v/>
      </c>
      <c r="AR47" t="str">
        <f ca="1">IF(AND(ISNUMBER($AR$555),$B$511=1),$AR$555,HLOOKUP(INDIRECT(ADDRESS(2,COLUMN())),OFFSET($BN$2,0,0,ROW()-1,60),ROW()-1,FALSE))</f>
        <v/>
      </c>
      <c r="AS47" t="str">
        <f ca="1">IF(AND(ISNUMBER($AS$555),$B$511=1),$AS$555,HLOOKUP(INDIRECT(ADDRESS(2,COLUMN())),OFFSET($BN$2,0,0,ROW()-1,60),ROW()-1,FALSE))</f>
        <v/>
      </c>
      <c r="AT47" t="str">
        <f ca="1">IF(AND(ISNUMBER($AT$555),$B$511=1),$AT$555,HLOOKUP(INDIRECT(ADDRESS(2,COLUMN())),OFFSET($BN$2,0,0,ROW()-1,60),ROW()-1,FALSE))</f>
        <v/>
      </c>
      <c r="AU47" t="str">
        <f ca="1">IF(AND(ISNUMBER($AU$555),$B$511=1),$AU$555,HLOOKUP(INDIRECT(ADDRESS(2,COLUMN())),OFFSET($BN$2,0,0,ROW()-1,60),ROW()-1,FALSE))</f>
        <v/>
      </c>
      <c r="AV47" t="str">
        <f ca="1">IF(AND(ISNUMBER($AV$555),$B$511=1),$AV$555,HLOOKUP(INDIRECT(ADDRESS(2,COLUMN())),OFFSET($BN$2,0,0,ROW()-1,60),ROW()-1,FALSE))</f>
        <v/>
      </c>
      <c r="AW47" t="str">
        <f ca="1">IF(AND(ISNUMBER($AW$555),$B$511=1),$AW$555,HLOOKUP(INDIRECT(ADDRESS(2,COLUMN())),OFFSET($BN$2,0,0,ROW()-1,60),ROW()-1,FALSE))</f>
        <v/>
      </c>
      <c r="AX47" t="str">
        <f ca="1">IF(AND(ISNUMBER($AX$555),$B$511=1),$AX$555,HLOOKUP(INDIRECT(ADDRESS(2,COLUMN())),OFFSET($BN$2,0,0,ROW()-1,60),ROW()-1,FALSE))</f>
        <v/>
      </c>
      <c r="AY47" t="str">
        <f ca="1">IF(AND(ISNUMBER($AY$555),$B$511=1),$AY$555,HLOOKUP(INDIRECT(ADDRESS(2,COLUMN())),OFFSET($BN$2,0,0,ROW()-1,60),ROW()-1,FALSE))</f>
        <v/>
      </c>
      <c r="AZ47" t="str">
        <f ca="1">IF(AND(ISNUMBER($AZ$555),$B$511=1),$AZ$555,HLOOKUP(INDIRECT(ADDRESS(2,COLUMN())),OFFSET($BN$2,0,0,ROW()-1,60),ROW()-1,FALSE))</f>
        <v/>
      </c>
      <c r="BA47" t="str">
        <f ca="1">IF(AND(ISNUMBER($BA$555),$B$511=1),$BA$555,HLOOKUP(INDIRECT(ADDRESS(2,COLUMN())),OFFSET($BN$2,0,0,ROW()-1,60),ROW()-1,FALSE))</f>
        <v/>
      </c>
      <c r="BB47" t="str">
        <f ca="1">IF(AND(ISNUMBER($BB$555),$B$511=1),$BB$555,HLOOKUP(INDIRECT(ADDRESS(2,COLUMN())),OFFSET($BN$2,0,0,ROW()-1,60),ROW()-1,FALSE))</f>
        <v/>
      </c>
      <c r="BC47" t="str">
        <f ca="1">IF(AND(ISNUMBER($BC$555),$B$511=1),$BC$555,HLOOKUP(INDIRECT(ADDRESS(2,COLUMN())),OFFSET($BN$2,0,0,ROW()-1,60),ROW()-1,FALSE))</f>
        <v/>
      </c>
      <c r="BD47" t="str">
        <f ca="1">IF(AND(ISNUMBER($BD$555),$B$511=1),$BD$555,HLOOKUP(INDIRECT(ADDRESS(2,COLUMN())),OFFSET($BN$2,0,0,ROW()-1,60),ROW()-1,FALSE))</f>
        <v/>
      </c>
      <c r="BE47" t="str">
        <f ca="1">IF(AND(ISNUMBER($BE$555),$B$511=1),$BE$555,HLOOKUP(INDIRECT(ADDRESS(2,COLUMN())),OFFSET($BN$2,0,0,ROW()-1,60),ROW()-1,FALSE))</f>
        <v/>
      </c>
      <c r="BF47" t="str">
        <f ca="1">IF(AND(ISNUMBER($BF$555),$B$511=1),$BF$555,HLOOKUP(INDIRECT(ADDRESS(2,COLUMN())),OFFSET($BN$2,0,0,ROW()-1,60),ROW()-1,FALSE))</f>
        <v/>
      </c>
      <c r="BG47" t="str">
        <f ca="1">IF(AND(ISNUMBER($BG$555),$B$511=1),$BG$555,HLOOKUP(INDIRECT(ADDRESS(2,COLUMN())),OFFSET($BN$2,0,0,ROW()-1,60),ROW()-1,FALSE))</f>
        <v/>
      </c>
      <c r="BH47" t="str">
        <f ca="1">IF(AND(ISNUMBER($BH$555),$B$511=1),$BH$555,HLOOKUP(INDIRECT(ADDRESS(2,COLUMN())),OFFSET($BN$2,0,0,ROW()-1,60),ROW()-1,FALSE))</f>
        <v/>
      </c>
      <c r="BI47" t="str">
        <f ca="1">IF(AND(ISNUMBER($BI$555),$B$511=1),$BI$555,HLOOKUP(INDIRECT(ADDRESS(2,COLUMN())),OFFSET($BN$2,0,0,ROW()-1,60),ROW()-1,FALSE))</f>
        <v/>
      </c>
      <c r="BJ47" t="str">
        <f ca="1">IF(AND(ISNUMBER($BJ$555),$B$511=1),$BJ$555,HLOOKUP(INDIRECT(ADDRESS(2,COLUMN())),OFFSET($BN$2,0,0,ROW()-1,60),ROW()-1,FALSE))</f>
        <v/>
      </c>
      <c r="BK47" t="str">
        <f ca="1">IF(AND(ISNUMBER($BK$555),$B$511=1),$BK$555,HLOOKUP(INDIRECT(ADDRESS(2,COLUMN())),OFFSET($BN$2,0,0,ROW()-1,60),ROW()-1,FALSE))</f>
        <v/>
      </c>
      <c r="BL47" t="str">
        <f ca="1">IF(AND(ISNUMBER($BL$555),$B$511=1),$BL$555,HLOOKUP(INDIRECT(ADDRESS(2,COLUMN())),OFFSET($BN$2,0,0,ROW()-1,60),ROW()-1,FALSE))</f>
        <v/>
      </c>
      <c r="BM47" t="str">
        <f ca="1">IF(AND(ISNUMBER($BM$555),$B$511=1),$BM$555,HLOOKUP(INDIRECT(ADDRESS(2,COLUMN())),OFFSET($BN$2,0,0,ROW()-1,60),ROW()-1,FALSE))</f>
        <v/>
      </c>
      <c r="BN47">
        <f>11.976</f>
        <v>11.976000000000001</v>
      </c>
      <c r="BO47">
        <f>11.96</f>
        <v>11.96</v>
      </c>
      <c r="BP47">
        <f>12.199</f>
        <v>12.199</v>
      </c>
      <c r="BQ47">
        <f>13.115</f>
        <v>13.115</v>
      </c>
      <c r="BR47">
        <f>13.724</f>
        <v>13.724</v>
      </c>
      <c r="BS47">
        <f>13.118</f>
        <v>13.118</v>
      </c>
      <c r="BT47">
        <f>12.87</f>
        <v>12.87</v>
      </c>
      <c r="BU47">
        <f>12.08</f>
        <v>12.08</v>
      </c>
      <c r="BV47">
        <f>11.189</f>
        <v>11.189</v>
      </c>
      <c r="BW47">
        <f>10.747</f>
        <v>10.747</v>
      </c>
      <c r="BX47">
        <f>10.92</f>
        <v>10.92</v>
      </c>
      <c r="BY47">
        <f>10.909</f>
        <v>10.909000000000001</v>
      </c>
      <c r="BZ47">
        <f>11.356</f>
        <v>11.356</v>
      </c>
      <c r="CA47">
        <f>11.028</f>
        <v>11.028</v>
      </c>
      <c r="CB47">
        <f>11.266</f>
        <v>11.266</v>
      </c>
      <c r="CC47">
        <f>12.465</f>
        <v>12.465</v>
      </c>
      <c r="CD47">
        <f>11.932</f>
        <v>11.932</v>
      </c>
      <c r="CE47">
        <f>12.919</f>
        <v>12.919</v>
      </c>
      <c r="CF47">
        <f>14.021</f>
        <v>14.021000000000001</v>
      </c>
      <c r="CG47">
        <f>14.606</f>
        <v>14.606</v>
      </c>
      <c r="CH47">
        <f>15.816</f>
        <v>15.816000000000001</v>
      </c>
      <c r="CI47">
        <f>13.926</f>
        <v>13.926</v>
      </c>
      <c r="CJ47" t="str">
        <f>""</f>
        <v/>
      </c>
      <c r="CK47" t="str">
        <f>""</f>
        <v/>
      </c>
      <c r="CL47" t="str">
        <f>""</f>
        <v/>
      </c>
      <c r="CM47" t="str">
        <f>""</f>
        <v/>
      </c>
      <c r="CN47" t="str">
        <f>""</f>
        <v/>
      </c>
      <c r="CO47" t="str">
        <f>""</f>
        <v/>
      </c>
      <c r="CP47" t="str">
        <f>""</f>
        <v/>
      </c>
      <c r="CQ47" t="str">
        <f>""</f>
        <v/>
      </c>
      <c r="CR47" t="str">
        <f>""</f>
        <v/>
      </c>
      <c r="CS47" t="str">
        <f>""</f>
        <v/>
      </c>
      <c r="CT47" t="str">
        <f>""</f>
        <v/>
      </c>
      <c r="CU47" t="str">
        <f>""</f>
        <v/>
      </c>
      <c r="CV47" t="str">
        <f>""</f>
        <v/>
      </c>
      <c r="CW47" t="str">
        <f>""</f>
        <v/>
      </c>
      <c r="CX47" t="str">
        <f>""</f>
        <v/>
      </c>
      <c r="CY47" t="str">
        <f>""</f>
        <v/>
      </c>
      <c r="CZ47" t="str">
        <f>""</f>
        <v/>
      </c>
      <c r="DA47" t="str">
        <f>""</f>
        <v/>
      </c>
      <c r="DB47" t="str">
        <f>""</f>
        <v/>
      </c>
      <c r="DC47" t="str">
        <f>""</f>
        <v/>
      </c>
      <c r="DD47" t="str">
        <f>""</f>
        <v/>
      </c>
      <c r="DE47" t="str">
        <f>""</f>
        <v/>
      </c>
      <c r="DF47" t="str">
        <f>""</f>
        <v/>
      </c>
      <c r="DG47" t="str">
        <f>""</f>
        <v/>
      </c>
      <c r="DH47" t="str">
        <f>""</f>
        <v/>
      </c>
      <c r="DI47" t="str">
        <f>""</f>
        <v/>
      </c>
      <c r="DJ47" t="str">
        <f>""</f>
        <v/>
      </c>
      <c r="DK47" t="str">
        <f>""</f>
        <v/>
      </c>
      <c r="DL47" t="str">
        <f>""</f>
        <v/>
      </c>
      <c r="DM47" t="str">
        <f>""</f>
        <v/>
      </c>
      <c r="DN47" t="str">
        <f>""</f>
        <v/>
      </c>
      <c r="DO47" t="str">
        <f>""</f>
        <v/>
      </c>
      <c r="DP47" t="str">
        <f>""</f>
        <v/>
      </c>
      <c r="DQ47" t="str">
        <f>""</f>
        <v/>
      </c>
      <c r="DR47" t="str">
        <f>""</f>
        <v/>
      </c>
      <c r="DS47" t="str">
        <f>""</f>
        <v/>
      </c>
      <c r="DT47" t="str">
        <f>""</f>
        <v/>
      </c>
      <c r="DU47" t="str">
        <f>""</f>
        <v/>
      </c>
    </row>
    <row r="48" spans="1:125" x14ac:dyDescent="0.25">
      <c r="A48" t="str">
        <f>"    Brilliance China Automotive Holdings Ltd"</f>
        <v xml:space="preserve">    Brilliance China Automotive Holdings Ltd</v>
      </c>
      <c r="B48" t="str">
        <f>"1114 HK Equity"</f>
        <v>1114 HK Equity</v>
      </c>
      <c r="C48" t="str">
        <f t="shared" si="3"/>
        <v>EZ019</v>
      </c>
      <c r="D48" t="str">
        <f t="shared" si="4"/>
        <v>BEST_EEPS_CUR_YR</v>
      </c>
      <c r="E48" t="str">
        <f t="shared" si="5"/>
        <v>Dynamic</v>
      </c>
      <c r="F48">
        <f ca="1">IF(AND(ISNUMBER($F$556),$B$511=1),$F$556,HLOOKUP(INDIRECT(ADDRESS(2,COLUMN())),OFFSET($BN$2,0,0,ROW()-1,60),ROW()-1,FALSE))</f>
        <v>0.189</v>
      </c>
      <c r="G48">
        <f ca="1">IF(AND(ISNUMBER($G$556),$B$511=1),$G$556,HLOOKUP(INDIRECT(ADDRESS(2,COLUMN())),OFFSET($BN$2,0,0,ROW()-1,60),ROW()-1,FALSE))</f>
        <v>0.186</v>
      </c>
      <c r="H48">
        <f ca="1">IF(AND(ISNUMBER($H$556),$B$511=1),$H$556,HLOOKUP(INDIRECT(ADDRESS(2,COLUMN())),OFFSET($BN$2,0,0,ROW()-1,60),ROW()-1,FALSE))</f>
        <v>0.19600000000000001</v>
      </c>
      <c r="I48">
        <f ca="1">IF(AND(ISNUMBER($I$556),$B$511=1),$I$556,HLOOKUP(INDIRECT(ADDRESS(2,COLUMN())),OFFSET($BN$2,0,0,ROW()-1,60),ROW()-1,FALSE))</f>
        <v>0.20399999999999999</v>
      </c>
      <c r="J48">
        <f ca="1">IF(AND(ISNUMBER($J$556),$B$511=1),$J$556,HLOOKUP(INDIRECT(ADDRESS(2,COLUMN())),OFFSET($BN$2,0,0,ROW()-1,60),ROW()-1,FALSE))</f>
        <v>0.22500000000000001</v>
      </c>
      <c r="K48">
        <f ca="1">IF(AND(ISNUMBER($K$556),$B$511=1),$K$556,HLOOKUP(INDIRECT(ADDRESS(2,COLUMN())),OFFSET($BN$2,0,0,ROW()-1,60),ROW()-1,FALSE))</f>
        <v>0.23499999999999999</v>
      </c>
      <c r="L48">
        <f ca="1">IF(AND(ISNUMBER($L$556),$B$511=1),$L$556,HLOOKUP(INDIRECT(ADDRESS(2,COLUMN())),OFFSET($BN$2,0,0,ROW()-1,60),ROW()-1,FALSE))</f>
        <v>0.23200000000000001</v>
      </c>
      <c r="M48">
        <f ca="1">IF(AND(ISNUMBER($M$556),$B$511=1),$M$556,HLOOKUP(INDIRECT(ADDRESS(2,COLUMN())),OFFSET($BN$2,0,0,ROW()-1,60),ROW()-1,FALSE))</f>
        <v>0.185</v>
      </c>
      <c r="N48">
        <f ca="1">IF(AND(ISNUMBER($N$556),$B$511=1),$N$556,HLOOKUP(INDIRECT(ADDRESS(2,COLUMN())),OFFSET($BN$2,0,0,ROW()-1,60),ROW()-1,FALSE))</f>
        <v>0.17699999999999999</v>
      </c>
      <c r="O48">
        <f ca="1">IF(AND(ISNUMBER($O$556),$B$511=1),$O$556,HLOOKUP(INDIRECT(ADDRESS(2,COLUMN())),OFFSET($BN$2,0,0,ROW()-1,60),ROW()-1,FALSE))</f>
        <v>0.14899999999999999</v>
      </c>
      <c r="P48">
        <f ca="1">IF(AND(ISNUMBER($P$556),$B$511=1),$P$556,HLOOKUP(INDIRECT(ADDRESS(2,COLUMN())),OFFSET($BN$2,0,0,ROW()-1,60),ROW()-1,FALSE))</f>
        <v>0.154</v>
      </c>
      <c r="Q48">
        <f ca="1">IF(AND(ISNUMBER($Q$556),$B$511=1),$Q$556,HLOOKUP(INDIRECT(ADDRESS(2,COLUMN())),OFFSET($BN$2,0,0,ROW()-1,60),ROW()-1,FALSE))</f>
        <v>0.154</v>
      </c>
      <c r="R48">
        <f ca="1">IF(AND(ISNUMBER($R$556),$B$511=1),$R$556,HLOOKUP(INDIRECT(ADDRESS(2,COLUMN())),OFFSET($BN$2,0,0,ROW()-1,60),ROW()-1,FALSE))</f>
        <v>0.17</v>
      </c>
      <c r="S48">
        <f ca="1">IF(AND(ISNUMBER($S$556),$B$511=1),$S$556,HLOOKUP(INDIRECT(ADDRESS(2,COLUMN())),OFFSET($BN$2,0,0,ROW()-1,60),ROW()-1,FALSE))</f>
        <v>0.23400000000000001</v>
      </c>
      <c r="T48">
        <f ca="1">IF(AND(ISNUMBER($T$556),$B$511=1),$T$556,HLOOKUP(INDIRECT(ADDRESS(2,COLUMN())),OFFSET($BN$2,0,0,ROW()-1,60),ROW()-1,FALSE))</f>
        <v>0.23799999999999999</v>
      </c>
      <c r="U48">
        <f ca="1">IF(AND(ISNUMBER($U$556),$B$511=1),$U$556,HLOOKUP(INDIRECT(ADDRESS(2,COLUMN())),OFFSET($BN$2,0,0,ROW()-1,60),ROW()-1,FALSE))</f>
        <v>0.315</v>
      </c>
      <c r="V48">
        <f ca="1">IF(AND(ISNUMBER($V$556),$B$511=1),$V$556,HLOOKUP(INDIRECT(ADDRESS(2,COLUMN())),OFFSET($BN$2,0,0,ROW()-1,60),ROW()-1,FALSE))</f>
        <v>0.33800000000000002</v>
      </c>
      <c r="W48">
        <f ca="1">IF(AND(ISNUMBER($W$556),$B$511=1),$W$556,HLOOKUP(INDIRECT(ADDRESS(2,COLUMN())),OFFSET($BN$2,0,0,ROW()-1,60),ROW()-1,FALSE))</f>
        <v>0.34699999999999998</v>
      </c>
      <c r="X48" t="str">
        <f ca="1">IF(AND(ISNUMBER($X$556),$B$511=1),$X$556,HLOOKUP(INDIRECT(ADDRESS(2,COLUMN())),OFFSET($BN$2,0,0,ROW()-1,60),ROW()-1,FALSE))</f>
        <v/>
      </c>
      <c r="Y48" t="str">
        <f ca="1">IF(AND(ISNUMBER($Y$556),$B$511=1),$Y$556,HLOOKUP(INDIRECT(ADDRESS(2,COLUMN())),OFFSET($BN$2,0,0,ROW()-1,60),ROW()-1,FALSE))</f>
        <v/>
      </c>
      <c r="Z48" t="str">
        <f ca="1">IF(AND(ISNUMBER($Z$556),$B$511=1),$Z$556,HLOOKUP(INDIRECT(ADDRESS(2,COLUMN())),OFFSET($BN$2,0,0,ROW()-1,60),ROW()-1,FALSE))</f>
        <v/>
      </c>
      <c r="AA48" t="str">
        <f ca="1">IF(AND(ISNUMBER($AA$556),$B$511=1),$AA$556,HLOOKUP(INDIRECT(ADDRESS(2,COLUMN())),OFFSET($BN$2,0,0,ROW()-1,60),ROW()-1,FALSE))</f>
        <v/>
      </c>
      <c r="AB48" t="str">
        <f ca="1">IF(AND(ISNUMBER($AB$556),$B$511=1),$AB$556,HLOOKUP(INDIRECT(ADDRESS(2,COLUMN())),OFFSET($BN$2,0,0,ROW()-1,60),ROW()-1,FALSE))</f>
        <v/>
      </c>
      <c r="AC48" t="str">
        <f ca="1">IF(AND(ISNUMBER($AC$556),$B$511=1),$AC$556,HLOOKUP(INDIRECT(ADDRESS(2,COLUMN())),OFFSET($BN$2,0,0,ROW()-1,60),ROW()-1,FALSE))</f>
        <v/>
      </c>
      <c r="AD48" t="str">
        <f ca="1">IF(AND(ISNUMBER($AD$556),$B$511=1),$AD$556,HLOOKUP(INDIRECT(ADDRESS(2,COLUMN())),OFFSET($BN$2,0,0,ROW()-1,60),ROW()-1,FALSE))</f>
        <v/>
      </c>
      <c r="AE48" t="str">
        <f ca="1">IF(AND(ISNUMBER($AE$556),$B$511=1),$AE$556,HLOOKUP(INDIRECT(ADDRESS(2,COLUMN())),OFFSET($BN$2,0,0,ROW()-1,60),ROW()-1,FALSE))</f>
        <v/>
      </c>
      <c r="AF48" t="str">
        <f ca="1">IF(AND(ISNUMBER($AF$556),$B$511=1),$AF$556,HLOOKUP(INDIRECT(ADDRESS(2,COLUMN())),OFFSET($BN$2,0,0,ROW()-1,60),ROW()-1,FALSE))</f>
        <v/>
      </c>
      <c r="AG48" t="str">
        <f ca="1">IF(AND(ISNUMBER($AG$556),$B$511=1),$AG$556,HLOOKUP(INDIRECT(ADDRESS(2,COLUMN())),OFFSET($BN$2,0,0,ROW()-1,60),ROW()-1,FALSE))</f>
        <v/>
      </c>
      <c r="AH48" t="str">
        <f ca="1">IF(AND(ISNUMBER($AH$556),$B$511=1),$AH$556,HLOOKUP(INDIRECT(ADDRESS(2,COLUMN())),OFFSET($BN$2,0,0,ROW()-1,60),ROW()-1,FALSE))</f>
        <v/>
      </c>
      <c r="AI48" t="str">
        <f ca="1">IF(AND(ISNUMBER($AI$556),$B$511=1),$AI$556,HLOOKUP(INDIRECT(ADDRESS(2,COLUMN())),OFFSET($BN$2,0,0,ROW()-1,60),ROW()-1,FALSE))</f>
        <v/>
      </c>
      <c r="AJ48" t="str">
        <f ca="1">IF(AND(ISNUMBER($AJ$556),$B$511=1),$AJ$556,HLOOKUP(INDIRECT(ADDRESS(2,COLUMN())),OFFSET($BN$2,0,0,ROW()-1,60),ROW()-1,FALSE))</f>
        <v/>
      </c>
      <c r="AK48" t="str">
        <f ca="1">IF(AND(ISNUMBER($AK$556),$B$511=1),$AK$556,HLOOKUP(INDIRECT(ADDRESS(2,COLUMN())),OFFSET($BN$2,0,0,ROW()-1,60),ROW()-1,FALSE))</f>
        <v/>
      </c>
      <c r="AL48" t="str">
        <f ca="1">IF(AND(ISNUMBER($AL$556),$B$511=1),$AL$556,HLOOKUP(INDIRECT(ADDRESS(2,COLUMN())),OFFSET($BN$2,0,0,ROW()-1,60),ROW()-1,FALSE))</f>
        <v/>
      </c>
      <c r="AM48" t="str">
        <f ca="1">IF(AND(ISNUMBER($AM$556),$B$511=1),$AM$556,HLOOKUP(INDIRECT(ADDRESS(2,COLUMN())),OFFSET($BN$2,0,0,ROW()-1,60),ROW()-1,FALSE))</f>
        <v/>
      </c>
      <c r="AN48" t="str">
        <f ca="1">IF(AND(ISNUMBER($AN$556),$B$511=1),$AN$556,HLOOKUP(INDIRECT(ADDRESS(2,COLUMN())),OFFSET($BN$2,0,0,ROW()-1,60),ROW()-1,FALSE))</f>
        <v/>
      </c>
      <c r="AO48" t="str">
        <f ca="1">IF(AND(ISNUMBER($AO$556),$B$511=1),$AO$556,HLOOKUP(INDIRECT(ADDRESS(2,COLUMN())),OFFSET($BN$2,0,0,ROW()-1,60),ROW()-1,FALSE))</f>
        <v/>
      </c>
      <c r="AP48" t="str">
        <f ca="1">IF(AND(ISNUMBER($AP$556),$B$511=1),$AP$556,HLOOKUP(INDIRECT(ADDRESS(2,COLUMN())),OFFSET($BN$2,0,0,ROW()-1,60),ROW()-1,FALSE))</f>
        <v/>
      </c>
      <c r="AQ48" t="str">
        <f ca="1">IF(AND(ISNUMBER($AQ$556),$B$511=1),$AQ$556,HLOOKUP(INDIRECT(ADDRESS(2,COLUMN())),OFFSET($BN$2,0,0,ROW()-1,60),ROW()-1,FALSE))</f>
        <v/>
      </c>
      <c r="AR48" t="str">
        <f ca="1">IF(AND(ISNUMBER($AR$556),$B$511=1),$AR$556,HLOOKUP(INDIRECT(ADDRESS(2,COLUMN())),OFFSET($BN$2,0,0,ROW()-1,60),ROW()-1,FALSE))</f>
        <v/>
      </c>
      <c r="AS48" t="str">
        <f ca="1">IF(AND(ISNUMBER($AS$556),$B$511=1),$AS$556,HLOOKUP(INDIRECT(ADDRESS(2,COLUMN())),OFFSET($BN$2,0,0,ROW()-1,60),ROW()-1,FALSE))</f>
        <v/>
      </c>
      <c r="AT48" t="str">
        <f ca="1">IF(AND(ISNUMBER($AT$556),$B$511=1),$AT$556,HLOOKUP(INDIRECT(ADDRESS(2,COLUMN())),OFFSET($BN$2,0,0,ROW()-1,60),ROW()-1,FALSE))</f>
        <v/>
      </c>
      <c r="AU48" t="str">
        <f ca="1">IF(AND(ISNUMBER($AU$556),$B$511=1),$AU$556,HLOOKUP(INDIRECT(ADDRESS(2,COLUMN())),OFFSET($BN$2,0,0,ROW()-1,60),ROW()-1,FALSE))</f>
        <v/>
      </c>
      <c r="AV48" t="str">
        <f ca="1">IF(AND(ISNUMBER($AV$556),$B$511=1),$AV$556,HLOOKUP(INDIRECT(ADDRESS(2,COLUMN())),OFFSET($BN$2,0,0,ROW()-1,60),ROW()-1,FALSE))</f>
        <v/>
      </c>
      <c r="AW48" t="str">
        <f ca="1">IF(AND(ISNUMBER($AW$556),$B$511=1),$AW$556,HLOOKUP(INDIRECT(ADDRESS(2,COLUMN())),OFFSET($BN$2,0,0,ROW()-1,60),ROW()-1,FALSE))</f>
        <v/>
      </c>
      <c r="AX48" t="str">
        <f ca="1">IF(AND(ISNUMBER($AX$556),$B$511=1),$AX$556,HLOOKUP(INDIRECT(ADDRESS(2,COLUMN())),OFFSET($BN$2,0,0,ROW()-1,60),ROW()-1,FALSE))</f>
        <v/>
      </c>
      <c r="AY48" t="str">
        <f ca="1">IF(AND(ISNUMBER($AY$556),$B$511=1),$AY$556,HLOOKUP(INDIRECT(ADDRESS(2,COLUMN())),OFFSET($BN$2,0,0,ROW()-1,60),ROW()-1,FALSE))</f>
        <v/>
      </c>
      <c r="AZ48" t="str">
        <f ca="1">IF(AND(ISNUMBER($AZ$556),$B$511=1),$AZ$556,HLOOKUP(INDIRECT(ADDRESS(2,COLUMN())),OFFSET($BN$2,0,0,ROW()-1,60),ROW()-1,FALSE))</f>
        <v/>
      </c>
      <c r="BA48" t="str">
        <f ca="1">IF(AND(ISNUMBER($BA$556),$B$511=1),$BA$556,HLOOKUP(INDIRECT(ADDRESS(2,COLUMN())),OFFSET($BN$2,0,0,ROW()-1,60),ROW()-1,FALSE))</f>
        <v/>
      </c>
      <c r="BB48" t="str">
        <f ca="1">IF(AND(ISNUMBER($BB$556),$B$511=1),$BB$556,HLOOKUP(INDIRECT(ADDRESS(2,COLUMN())),OFFSET($BN$2,0,0,ROW()-1,60),ROW()-1,FALSE))</f>
        <v/>
      </c>
      <c r="BC48" t="str">
        <f ca="1">IF(AND(ISNUMBER($BC$556),$B$511=1),$BC$556,HLOOKUP(INDIRECT(ADDRESS(2,COLUMN())),OFFSET($BN$2,0,0,ROW()-1,60),ROW()-1,FALSE))</f>
        <v/>
      </c>
      <c r="BD48" t="str">
        <f ca="1">IF(AND(ISNUMBER($BD$556),$B$511=1),$BD$556,HLOOKUP(INDIRECT(ADDRESS(2,COLUMN())),OFFSET($BN$2,0,0,ROW()-1,60),ROW()-1,FALSE))</f>
        <v/>
      </c>
      <c r="BE48" t="str">
        <f ca="1">IF(AND(ISNUMBER($BE$556),$B$511=1),$BE$556,HLOOKUP(INDIRECT(ADDRESS(2,COLUMN())),OFFSET($BN$2,0,0,ROW()-1,60),ROW()-1,FALSE))</f>
        <v/>
      </c>
      <c r="BF48" t="str">
        <f ca="1">IF(AND(ISNUMBER($BF$556),$B$511=1),$BF$556,HLOOKUP(INDIRECT(ADDRESS(2,COLUMN())),OFFSET($BN$2,0,0,ROW()-1,60),ROW()-1,FALSE))</f>
        <v/>
      </c>
      <c r="BG48" t="str">
        <f ca="1">IF(AND(ISNUMBER($BG$556),$B$511=1),$BG$556,HLOOKUP(INDIRECT(ADDRESS(2,COLUMN())),OFFSET($BN$2,0,0,ROW()-1,60),ROW()-1,FALSE))</f>
        <v/>
      </c>
      <c r="BH48" t="str">
        <f ca="1">IF(AND(ISNUMBER($BH$556),$B$511=1),$BH$556,HLOOKUP(INDIRECT(ADDRESS(2,COLUMN())),OFFSET($BN$2,0,0,ROW()-1,60),ROW()-1,FALSE))</f>
        <v/>
      </c>
      <c r="BI48" t="str">
        <f ca="1">IF(AND(ISNUMBER($BI$556),$B$511=1),$BI$556,HLOOKUP(INDIRECT(ADDRESS(2,COLUMN())),OFFSET($BN$2,0,0,ROW()-1,60),ROW()-1,FALSE))</f>
        <v/>
      </c>
      <c r="BJ48" t="str">
        <f ca="1">IF(AND(ISNUMBER($BJ$556),$B$511=1),$BJ$556,HLOOKUP(INDIRECT(ADDRESS(2,COLUMN())),OFFSET($BN$2,0,0,ROW()-1,60),ROW()-1,FALSE))</f>
        <v/>
      </c>
      <c r="BK48" t="str">
        <f ca="1">IF(AND(ISNUMBER($BK$556),$B$511=1),$BK$556,HLOOKUP(INDIRECT(ADDRESS(2,COLUMN())),OFFSET($BN$2,0,0,ROW()-1,60),ROW()-1,FALSE))</f>
        <v/>
      </c>
      <c r="BL48" t="str">
        <f ca="1">IF(AND(ISNUMBER($BL$556),$B$511=1),$BL$556,HLOOKUP(INDIRECT(ADDRESS(2,COLUMN())),OFFSET($BN$2,0,0,ROW()-1,60),ROW()-1,FALSE))</f>
        <v/>
      </c>
      <c r="BM48" t="str">
        <f ca="1">IF(AND(ISNUMBER($BM$556),$B$511=1),$BM$556,HLOOKUP(INDIRECT(ADDRESS(2,COLUMN())),OFFSET($BN$2,0,0,ROW()-1,60),ROW()-1,FALSE))</f>
        <v/>
      </c>
      <c r="BN48">
        <f>0.189</f>
        <v>0.189</v>
      </c>
      <c r="BO48">
        <f>0.186</f>
        <v>0.186</v>
      </c>
      <c r="BP48">
        <f>0.196</f>
        <v>0.19600000000000001</v>
      </c>
      <c r="BQ48">
        <f>0.204</f>
        <v>0.20399999999999999</v>
      </c>
      <c r="BR48">
        <f>0.225</f>
        <v>0.22500000000000001</v>
      </c>
      <c r="BS48">
        <f>0.235</f>
        <v>0.23499999999999999</v>
      </c>
      <c r="BT48">
        <f>0.232</f>
        <v>0.23200000000000001</v>
      </c>
      <c r="BU48">
        <f>0.185</f>
        <v>0.185</v>
      </c>
      <c r="BV48">
        <f>0.177</f>
        <v>0.17699999999999999</v>
      </c>
      <c r="BW48">
        <f>0.149</f>
        <v>0.14899999999999999</v>
      </c>
      <c r="BX48">
        <f>0.154</f>
        <v>0.154</v>
      </c>
      <c r="BY48">
        <f>0.154</f>
        <v>0.154</v>
      </c>
      <c r="BZ48">
        <f>0.17</f>
        <v>0.17</v>
      </c>
      <c r="CA48">
        <f>0.234</f>
        <v>0.23400000000000001</v>
      </c>
      <c r="CB48">
        <f>0.238</f>
        <v>0.23799999999999999</v>
      </c>
      <c r="CC48">
        <f>0.315</f>
        <v>0.315</v>
      </c>
      <c r="CD48">
        <f>0.338</f>
        <v>0.33800000000000002</v>
      </c>
      <c r="CE48">
        <f>0.347</f>
        <v>0.34699999999999998</v>
      </c>
      <c r="CF48" t="str">
        <f>""</f>
        <v/>
      </c>
      <c r="CG48" t="str">
        <f>""</f>
        <v/>
      </c>
      <c r="CH48" t="str">
        <f>""</f>
        <v/>
      </c>
      <c r="CI48" t="str">
        <f>""</f>
        <v/>
      </c>
      <c r="CJ48" t="str">
        <f>""</f>
        <v/>
      </c>
      <c r="CK48" t="str">
        <f>""</f>
        <v/>
      </c>
      <c r="CL48" t="str">
        <f>""</f>
        <v/>
      </c>
      <c r="CM48" t="str">
        <f>""</f>
        <v/>
      </c>
      <c r="CN48" t="str">
        <f>""</f>
        <v/>
      </c>
      <c r="CO48" t="str">
        <f>""</f>
        <v/>
      </c>
      <c r="CP48" t="str">
        <f>""</f>
        <v/>
      </c>
      <c r="CQ48" t="str">
        <f>""</f>
        <v/>
      </c>
      <c r="CR48" t="str">
        <f>""</f>
        <v/>
      </c>
      <c r="CS48" t="str">
        <f>""</f>
        <v/>
      </c>
      <c r="CT48" t="str">
        <f>""</f>
        <v/>
      </c>
      <c r="CU48" t="str">
        <f>""</f>
        <v/>
      </c>
      <c r="CV48" t="str">
        <f>""</f>
        <v/>
      </c>
      <c r="CW48" t="str">
        <f>""</f>
        <v/>
      </c>
      <c r="CX48" t="str">
        <f>""</f>
        <v/>
      </c>
      <c r="CY48" t="str">
        <f>""</f>
        <v/>
      </c>
      <c r="CZ48" t="str">
        <f>""</f>
        <v/>
      </c>
      <c r="DA48" t="str">
        <f>""</f>
        <v/>
      </c>
      <c r="DB48" t="str">
        <f>""</f>
        <v/>
      </c>
      <c r="DC48" t="str">
        <f>""</f>
        <v/>
      </c>
      <c r="DD48" t="str">
        <f>""</f>
        <v/>
      </c>
      <c r="DE48" t="str">
        <f>""</f>
        <v/>
      </c>
      <c r="DF48" t="str">
        <f>""</f>
        <v/>
      </c>
      <c r="DG48" t="str">
        <f>""</f>
        <v/>
      </c>
      <c r="DH48" t="str">
        <f>""</f>
        <v/>
      </c>
      <c r="DI48" t="str">
        <f>""</f>
        <v/>
      </c>
      <c r="DJ48" t="str">
        <f>""</f>
        <v/>
      </c>
      <c r="DK48" t="str">
        <f>""</f>
        <v/>
      </c>
      <c r="DL48" t="str">
        <f>""</f>
        <v/>
      </c>
      <c r="DM48" t="str">
        <f>""</f>
        <v/>
      </c>
      <c r="DN48" t="str">
        <f>""</f>
        <v/>
      </c>
      <c r="DO48" t="str">
        <f>""</f>
        <v/>
      </c>
      <c r="DP48" t="str">
        <f>""</f>
        <v/>
      </c>
      <c r="DQ48" t="str">
        <f>""</f>
        <v/>
      </c>
      <c r="DR48" t="str">
        <f>""</f>
        <v/>
      </c>
      <c r="DS48" t="str">
        <f>""</f>
        <v/>
      </c>
      <c r="DT48" t="str">
        <f>""</f>
        <v/>
      </c>
      <c r="DU48" t="str">
        <f>""</f>
        <v/>
      </c>
    </row>
    <row r="49" spans="1:125" x14ac:dyDescent="0.25">
      <c r="A49" t="str">
        <f>"    BYD Co Ltd"</f>
        <v xml:space="preserve">    BYD Co Ltd</v>
      </c>
      <c r="B49" t="str">
        <f>"1211 HK Equity"</f>
        <v>1211 HK Equity</v>
      </c>
      <c r="C49" t="str">
        <f t="shared" si="3"/>
        <v>EZ019</v>
      </c>
      <c r="D49" t="str">
        <f t="shared" si="4"/>
        <v>BEST_EEPS_CUR_YR</v>
      </c>
      <c r="E49" t="str">
        <f t="shared" si="5"/>
        <v>Dynamic</v>
      </c>
      <c r="F49">
        <f ca="1">IF(AND(ISNUMBER($F$557),$B$511=1),$F$557,HLOOKUP(INDIRECT(ADDRESS(2,COLUMN())),OFFSET($BN$2,0,0,ROW()-1,60),ROW()-1,FALSE))</f>
        <v>0.16800000000000001</v>
      </c>
      <c r="G49">
        <f ca="1">IF(AND(ISNUMBER($G$557),$B$511=1),$G$557,HLOOKUP(INDIRECT(ADDRESS(2,COLUMN())),OFFSET($BN$2,0,0,ROW()-1,60),ROW()-1,FALSE))</f>
        <v>0.16900000000000001</v>
      </c>
      <c r="H49">
        <f ca="1">IF(AND(ISNUMBER($H$557),$B$511=1),$H$557,HLOOKUP(INDIRECT(ADDRESS(2,COLUMN())),OFFSET($BN$2,0,0,ROW()-1,60),ROW()-1,FALSE))</f>
        <v>0.19600000000000001</v>
      </c>
      <c r="I49">
        <f ca="1">IF(AND(ISNUMBER($I$557),$B$511=1),$I$557,HLOOKUP(INDIRECT(ADDRESS(2,COLUMN())),OFFSET($BN$2,0,0,ROW()-1,60),ROW()-1,FALSE))</f>
        <v>0.24199999999999999</v>
      </c>
      <c r="J49">
        <f ca="1">IF(AND(ISNUMBER($J$557),$B$511=1),$J$557,HLOOKUP(INDIRECT(ADDRESS(2,COLUMN())),OFFSET($BN$2,0,0,ROW()-1,60),ROW()-1,FALSE))</f>
        <v>0.33</v>
      </c>
      <c r="K49">
        <f ca="1">IF(AND(ISNUMBER($K$557),$B$511=1),$K$557,HLOOKUP(INDIRECT(ADDRESS(2,COLUMN())),OFFSET($BN$2,0,0,ROW()-1,60),ROW()-1,FALSE))</f>
        <v>0.372</v>
      </c>
      <c r="L49">
        <f ca="1">IF(AND(ISNUMBER($L$557),$B$511=1),$L$557,HLOOKUP(INDIRECT(ADDRESS(2,COLUMN())),OFFSET($BN$2,0,0,ROW()-1,60),ROW()-1,FALSE))</f>
        <v>0.374</v>
      </c>
      <c r="M49">
        <f ca="1">IF(AND(ISNUMBER($M$557),$B$511=1),$M$557,HLOOKUP(INDIRECT(ADDRESS(2,COLUMN())),OFFSET($BN$2,0,0,ROW()-1,60),ROW()-1,FALSE))</f>
        <v>0.34599999999999997</v>
      </c>
      <c r="N49">
        <f ca="1">IF(AND(ISNUMBER($N$557),$B$511=1),$N$557,HLOOKUP(INDIRECT(ADDRESS(2,COLUMN())),OFFSET($BN$2,0,0,ROW()-1,60),ROW()-1,FALSE))</f>
        <v>0.34499999999999997</v>
      </c>
      <c r="O49">
        <f ca="1">IF(AND(ISNUMBER($O$557),$B$511=1),$O$557,HLOOKUP(INDIRECT(ADDRESS(2,COLUMN())),OFFSET($BN$2,0,0,ROW()-1,60),ROW()-1,FALSE))</f>
        <v>0.38100000000000001</v>
      </c>
      <c r="P49">
        <f ca="1">IF(AND(ISNUMBER($P$557),$B$511=1),$P$557,HLOOKUP(INDIRECT(ADDRESS(2,COLUMN())),OFFSET($BN$2,0,0,ROW()-1,60),ROW()-1,FALSE))</f>
        <v>0.374</v>
      </c>
      <c r="Q49">
        <f ca="1">IF(AND(ISNUMBER($Q$557),$B$511=1),$Q$557,HLOOKUP(INDIRECT(ADDRESS(2,COLUMN())),OFFSET($BN$2,0,0,ROW()-1,60),ROW()-1,FALSE))</f>
        <v>0.317</v>
      </c>
      <c r="R49">
        <f ca="1">IF(AND(ISNUMBER($R$557),$B$511=1),$R$557,HLOOKUP(INDIRECT(ADDRESS(2,COLUMN())),OFFSET($BN$2,0,0,ROW()-1,60),ROW()-1,FALSE))</f>
        <v>0.29199999999999998</v>
      </c>
      <c r="S49" t="str">
        <f ca="1">IF(AND(ISNUMBER($S$557),$B$511=1),$S$557,HLOOKUP(INDIRECT(ADDRESS(2,COLUMN())),OFFSET($BN$2,0,0,ROW()-1,60),ROW()-1,FALSE))</f>
        <v/>
      </c>
      <c r="T49" t="str">
        <f ca="1">IF(AND(ISNUMBER($T$557),$B$511=1),$T$557,HLOOKUP(INDIRECT(ADDRESS(2,COLUMN())),OFFSET($BN$2,0,0,ROW()-1,60),ROW()-1,FALSE))</f>
        <v/>
      </c>
      <c r="U49" t="str">
        <f ca="1">IF(AND(ISNUMBER($U$557),$B$511=1),$U$557,HLOOKUP(INDIRECT(ADDRESS(2,COLUMN())),OFFSET($BN$2,0,0,ROW()-1,60),ROW()-1,FALSE))</f>
        <v/>
      </c>
      <c r="V49" t="str">
        <f ca="1">IF(AND(ISNUMBER($V$557),$B$511=1),$V$557,HLOOKUP(INDIRECT(ADDRESS(2,COLUMN())),OFFSET($BN$2,0,0,ROW()-1,60),ROW()-1,FALSE))</f>
        <v/>
      </c>
      <c r="W49" t="str">
        <f ca="1">IF(AND(ISNUMBER($W$557),$B$511=1),$W$557,HLOOKUP(INDIRECT(ADDRESS(2,COLUMN())),OFFSET($BN$2,0,0,ROW()-1,60),ROW()-1,FALSE))</f>
        <v/>
      </c>
      <c r="X49" t="str">
        <f ca="1">IF(AND(ISNUMBER($X$557),$B$511=1),$X$557,HLOOKUP(INDIRECT(ADDRESS(2,COLUMN())),OFFSET($BN$2,0,0,ROW()-1,60),ROW()-1,FALSE))</f>
        <v/>
      </c>
      <c r="Y49" t="str">
        <f ca="1">IF(AND(ISNUMBER($Y$557),$B$511=1),$Y$557,HLOOKUP(INDIRECT(ADDRESS(2,COLUMN())),OFFSET($BN$2,0,0,ROW()-1,60),ROW()-1,FALSE))</f>
        <v/>
      </c>
      <c r="Z49" t="str">
        <f ca="1">IF(AND(ISNUMBER($Z$557),$B$511=1),$Z$557,HLOOKUP(INDIRECT(ADDRESS(2,COLUMN())),OFFSET($BN$2,0,0,ROW()-1,60),ROW()-1,FALSE))</f>
        <v/>
      </c>
      <c r="AA49" t="str">
        <f ca="1">IF(AND(ISNUMBER($AA$557),$B$511=1),$AA$557,HLOOKUP(INDIRECT(ADDRESS(2,COLUMN())),OFFSET($BN$2,0,0,ROW()-1,60),ROW()-1,FALSE))</f>
        <v/>
      </c>
      <c r="AB49" t="str">
        <f ca="1">IF(AND(ISNUMBER($AB$557),$B$511=1),$AB$557,HLOOKUP(INDIRECT(ADDRESS(2,COLUMN())),OFFSET($BN$2,0,0,ROW()-1,60),ROW()-1,FALSE))</f>
        <v/>
      </c>
      <c r="AC49" t="str">
        <f ca="1">IF(AND(ISNUMBER($AC$557),$B$511=1),$AC$557,HLOOKUP(INDIRECT(ADDRESS(2,COLUMN())),OFFSET($BN$2,0,0,ROW()-1,60),ROW()-1,FALSE))</f>
        <v/>
      </c>
      <c r="AD49" t="str">
        <f ca="1">IF(AND(ISNUMBER($AD$557),$B$511=1),$AD$557,HLOOKUP(INDIRECT(ADDRESS(2,COLUMN())),OFFSET($BN$2,0,0,ROW()-1,60),ROW()-1,FALSE))</f>
        <v/>
      </c>
      <c r="AE49" t="str">
        <f ca="1">IF(AND(ISNUMBER($AE$557),$B$511=1),$AE$557,HLOOKUP(INDIRECT(ADDRESS(2,COLUMN())),OFFSET($BN$2,0,0,ROW()-1,60),ROW()-1,FALSE))</f>
        <v/>
      </c>
      <c r="AF49" t="str">
        <f ca="1">IF(AND(ISNUMBER($AF$557),$B$511=1),$AF$557,HLOOKUP(INDIRECT(ADDRESS(2,COLUMN())),OFFSET($BN$2,0,0,ROW()-1,60),ROW()-1,FALSE))</f>
        <v/>
      </c>
      <c r="AG49" t="str">
        <f ca="1">IF(AND(ISNUMBER($AG$557),$B$511=1),$AG$557,HLOOKUP(INDIRECT(ADDRESS(2,COLUMN())),OFFSET($BN$2,0,0,ROW()-1,60),ROW()-1,FALSE))</f>
        <v/>
      </c>
      <c r="AH49" t="str">
        <f ca="1">IF(AND(ISNUMBER($AH$557),$B$511=1),$AH$557,HLOOKUP(INDIRECT(ADDRESS(2,COLUMN())),OFFSET($BN$2,0,0,ROW()-1,60),ROW()-1,FALSE))</f>
        <v/>
      </c>
      <c r="AI49" t="str">
        <f ca="1">IF(AND(ISNUMBER($AI$557),$B$511=1),$AI$557,HLOOKUP(INDIRECT(ADDRESS(2,COLUMN())),OFFSET($BN$2,0,0,ROW()-1,60),ROW()-1,FALSE))</f>
        <v/>
      </c>
      <c r="AJ49" t="str">
        <f ca="1">IF(AND(ISNUMBER($AJ$557),$B$511=1),$AJ$557,HLOOKUP(INDIRECT(ADDRESS(2,COLUMN())),OFFSET($BN$2,0,0,ROW()-1,60),ROW()-1,FALSE))</f>
        <v/>
      </c>
      <c r="AK49" t="str">
        <f ca="1">IF(AND(ISNUMBER($AK$557),$B$511=1),$AK$557,HLOOKUP(INDIRECT(ADDRESS(2,COLUMN())),OFFSET($BN$2,0,0,ROW()-1,60),ROW()-1,FALSE))</f>
        <v/>
      </c>
      <c r="AL49" t="str">
        <f ca="1">IF(AND(ISNUMBER($AL$557),$B$511=1),$AL$557,HLOOKUP(INDIRECT(ADDRESS(2,COLUMN())),OFFSET($BN$2,0,0,ROW()-1,60),ROW()-1,FALSE))</f>
        <v/>
      </c>
      <c r="AM49" t="str">
        <f ca="1">IF(AND(ISNUMBER($AM$557),$B$511=1),$AM$557,HLOOKUP(INDIRECT(ADDRESS(2,COLUMN())),OFFSET($BN$2,0,0,ROW()-1,60),ROW()-1,FALSE))</f>
        <v/>
      </c>
      <c r="AN49" t="str">
        <f ca="1">IF(AND(ISNUMBER($AN$557),$B$511=1),$AN$557,HLOOKUP(INDIRECT(ADDRESS(2,COLUMN())),OFFSET($BN$2,0,0,ROW()-1,60),ROW()-1,FALSE))</f>
        <v/>
      </c>
      <c r="AO49" t="str">
        <f ca="1">IF(AND(ISNUMBER($AO$557),$B$511=1),$AO$557,HLOOKUP(INDIRECT(ADDRESS(2,COLUMN())),OFFSET($BN$2,0,0,ROW()-1,60),ROW()-1,FALSE))</f>
        <v/>
      </c>
      <c r="AP49" t="str">
        <f ca="1">IF(AND(ISNUMBER($AP$557),$B$511=1),$AP$557,HLOOKUP(INDIRECT(ADDRESS(2,COLUMN())),OFFSET($BN$2,0,0,ROW()-1,60),ROW()-1,FALSE))</f>
        <v/>
      </c>
      <c r="AQ49" t="str">
        <f ca="1">IF(AND(ISNUMBER($AQ$557),$B$511=1),$AQ$557,HLOOKUP(INDIRECT(ADDRESS(2,COLUMN())),OFFSET($BN$2,0,0,ROW()-1,60),ROW()-1,FALSE))</f>
        <v/>
      </c>
      <c r="AR49" t="str">
        <f ca="1">IF(AND(ISNUMBER($AR$557),$B$511=1),$AR$557,HLOOKUP(INDIRECT(ADDRESS(2,COLUMN())),OFFSET($BN$2,0,0,ROW()-1,60),ROW()-1,FALSE))</f>
        <v/>
      </c>
      <c r="AS49" t="str">
        <f ca="1">IF(AND(ISNUMBER($AS$557),$B$511=1),$AS$557,HLOOKUP(INDIRECT(ADDRESS(2,COLUMN())),OFFSET($BN$2,0,0,ROW()-1,60),ROW()-1,FALSE))</f>
        <v/>
      </c>
      <c r="AT49" t="str">
        <f ca="1">IF(AND(ISNUMBER($AT$557),$B$511=1),$AT$557,HLOOKUP(INDIRECT(ADDRESS(2,COLUMN())),OFFSET($BN$2,0,0,ROW()-1,60),ROW()-1,FALSE))</f>
        <v/>
      </c>
      <c r="AU49" t="str">
        <f ca="1">IF(AND(ISNUMBER($AU$557),$B$511=1),$AU$557,HLOOKUP(INDIRECT(ADDRESS(2,COLUMN())),OFFSET($BN$2,0,0,ROW()-1,60),ROW()-1,FALSE))</f>
        <v/>
      </c>
      <c r="AV49" t="str">
        <f ca="1">IF(AND(ISNUMBER($AV$557),$B$511=1),$AV$557,HLOOKUP(INDIRECT(ADDRESS(2,COLUMN())),OFFSET($BN$2,0,0,ROW()-1,60),ROW()-1,FALSE))</f>
        <v/>
      </c>
      <c r="AW49" t="str">
        <f ca="1">IF(AND(ISNUMBER($AW$557),$B$511=1),$AW$557,HLOOKUP(INDIRECT(ADDRESS(2,COLUMN())),OFFSET($BN$2,0,0,ROW()-1,60),ROW()-1,FALSE))</f>
        <v/>
      </c>
      <c r="AX49" t="str">
        <f ca="1">IF(AND(ISNUMBER($AX$557),$B$511=1),$AX$557,HLOOKUP(INDIRECT(ADDRESS(2,COLUMN())),OFFSET($BN$2,0,0,ROW()-1,60),ROW()-1,FALSE))</f>
        <v/>
      </c>
      <c r="AY49" t="str">
        <f ca="1">IF(AND(ISNUMBER($AY$557),$B$511=1),$AY$557,HLOOKUP(INDIRECT(ADDRESS(2,COLUMN())),OFFSET($BN$2,0,0,ROW()-1,60),ROW()-1,FALSE))</f>
        <v/>
      </c>
      <c r="AZ49" t="str">
        <f ca="1">IF(AND(ISNUMBER($AZ$557),$B$511=1),$AZ$557,HLOOKUP(INDIRECT(ADDRESS(2,COLUMN())),OFFSET($BN$2,0,0,ROW()-1,60),ROW()-1,FALSE))</f>
        <v/>
      </c>
      <c r="BA49" t="str">
        <f ca="1">IF(AND(ISNUMBER($BA$557),$B$511=1),$BA$557,HLOOKUP(INDIRECT(ADDRESS(2,COLUMN())),OFFSET($BN$2,0,0,ROW()-1,60),ROW()-1,FALSE))</f>
        <v/>
      </c>
      <c r="BB49" t="str">
        <f ca="1">IF(AND(ISNUMBER($BB$557),$B$511=1),$BB$557,HLOOKUP(INDIRECT(ADDRESS(2,COLUMN())),OFFSET($BN$2,0,0,ROW()-1,60),ROW()-1,FALSE))</f>
        <v/>
      </c>
      <c r="BC49" t="str">
        <f ca="1">IF(AND(ISNUMBER($BC$557),$B$511=1),$BC$557,HLOOKUP(INDIRECT(ADDRESS(2,COLUMN())),OFFSET($BN$2,0,0,ROW()-1,60),ROW()-1,FALSE))</f>
        <v/>
      </c>
      <c r="BD49" t="str">
        <f ca="1">IF(AND(ISNUMBER($BD$557),$B$511=1),$BD$557,HLOOKUP(INDIRECT(ADDRESS(2,COLUMN())),OFFSET($BN$2,0,0,ROW()-1,60),ROW()-1,FALSE))</f>
        <v/>
      </c>
      <c r="BE49" t="str">
        <f ca="1">IF(AND(ISNUMBER($BE$557),$B$511=1),$BE$557,HLOOKUP(INDIRECT(ADDRESS(2,COLUMN())),OFFSET($BN$2,0,0,ROW()-1,60),ROW()-1,FALSE))</f>
        <v/>
      </c>
      <c r="BF49" t="str">
        <f ca="1">IF(AND(ISNUMBER($BF$557),$B$511=1),$BF$557,HLOOKUP(INDIRECT(ADDRESS(2,COLUMN())),OFFSET($BN$2,0,0,ROW()-1,60),ROW()-1,FALSE))</f>
        <v/>
      </c>
      <c r="BG49" t="str">
        <f ca="1">IF(AND(ISNUMBER($BG$557),$B$511=1),$BG$557,HLOOKUP(INDIRECT(ADDRESS(2,COLUMN())),OFFSET($BN$2,0,0,ROW()-1,60),ROW()-1,FALSE))</f>
        <v/>
      </c>
      <c r="BH49" t="str">
        <f ca="1">IF(AND(ISNUMBER($BH$557),$B$511=1),$BH$557,HLOOKUP(INDIRECT(ADDRESS(2,COLUMN())),OFFSET($BN$2,0,0,ROW()-1,60),ROW()-1,FALSE))</f>
        <v/>
      </c>
      <c r="BI49" t="str">
        <f ca="1">IF(AND(ISNUMBER($BI$557),$B$511=1),$BI$557,HLOOKUP(INDIRECT(ADDRESS(2,COLUMN())),OFFSET($BN$2,0,0,ROW()-1,60),ROW()-1,FALSE))</f>
        <v/>
      </c>
      <c r="BJ49" t="str">
        <f ca="1">IF(AND(ISNUMBER($BJ$557),$B$511=1),$BJ$557,HLOOKUP(INDIRECT(ADDRESS(2,COLUMN())),OFFSET($BN$2,0,0,ROW()-1,60),ROW()-1,FALSE))</f>
        <v/>
      </c>
      <c r="BK49" t="str">
        <f ca="1">IF(AND(ISNUMBER($BK$557),$B$511=1),$BK$557,HLOOKUP(INDIRECT(ADDRESS(2,COLUMN())),OFFSET($BN$2,0,0,ROW()-1,60),ROW()-1,FALSE))</f>
        <v/>
      </c>
      <c r="BL49" t="str">
        <f ca="1">IF(AND(ISNUMBER($BL$557),$B$511=1),$BL$557,HLOOKUP(INDIRECT(ADDRESS(2,COLUMN())),OFFSET($BN$2,0,0,ROW()-1,60),ROW()-1,FALSE))</f>
        <v/>
      </c>
      <c r="BM49" t="str">
        <f ca="1">IF(AND(ISNUMBER($BM$557),$B$511=1),$BM$557,HLOOKUP(INDIRECT(ADDRESS(2,COLUMN())),OFFSET($BN$2,0,0,ROW()-1,60),ROW()-1,FALSE))</f>
        <v/>
      </c>
      <c r="BN49">
        <f>0.168</f>
        <v>0.16800000000000001</v>
      </c>
      <c r="BO49">
        <f>0.169</f>
        <v>0.16900000000000001</v>
      </c>
      <c r="BP49">
        <f>0.196</f>
        <v>0.19600000000000001</v>
      </c>
      <c r="BQ49">
        <f>0.242</f>
        <v>0.24199999999999999</v>
      </c>
      <c r="BR49">
        <f>0.33</f>
        <v>0.33</v>
      </c>
      <c r="BS49">
        <f>0.372</f>
        <v>0.372</v>
      </c>
      <c r="BT49">
        <f>0.374</f>
        <v>0.374</v>
      </c>
      <c r="BU49">
        <f>0.346</f>
        <v>0.34599999999999997</v>
      </c>
      <c r="BV49">
        <f>0.345</f>
        <v>0.34499999999999997</v>
      </c>
      <c r="BW49">
        <f>0.381</f>
        <v>0.38100000000000001</v>
      </c>
      <c r="BX49">
        <f>0.374</f>
        <v>0.374</v>
      </c>
      <c r="BY49">
        <f>0.317</f>
        <v>0.317</v>
      </c>
      <c r="BZ49">
        <f>0.292</f>
        <v>0.29199999999999998</v>
      </c>
      <c r="CA49" t="str">
        <f>""</f>
        <v/>
      </c>
      <c r="CB49" t="str">
        <f>""</f>
        <v/>
      </c>
      <c r="CC49" t="str">
        <f>""</f>
        <v/>
      </c>
      <c r="CD49" t="str">
        <f>""</f>
        <v/>
      </c>
      <c r="CE49" t="str">
        <f>""</f>
        <v/>
      </c>
      <c r="CF49" t="str">
        <f>""</f>
        <v/>
      </c>
      <c r="CG49" t="str">
        <f>""</f>
        <v/>
      </c>
      <c r="CH49" t="str">
        <f>""</f>
        <v/>
      </c>
      <c r="CI49" t="str">
        <f>""</f>
        <v/>
      </c>
      <c r="CJ49" t="str">
        <f>""</f>
        <v/>
      </c>
      <c r="CK49" t="str">
        <f>""</f>
        <v/>
      </c>
      <c r="CL49" t="str">
        <f>""</f>
        <v/>
      </c>
      <c r="CM49" t="str">
        <f>""</f>
        <v/>
      </c>
      <c r="CN49" t="str">
        <f>""</f>
        <v/>
      </c>
      <c r="CO49" t="str">
        <f>""</f>
        <v/>
      </c>
      <c r="CP49" t="str">
        <f>""</f>
        <v/>
      </c>
      <c r="CQ49" t="str">
        <f>""</f>
        <v/>
      </c>
      <c r="CR49" t="str">
        <f>""</f>
        <v/>
      </c>
      <c r="CS49" t="str">
        <f>""</f>
        <v/>
      </c>
      <c r="CT49" t="str">
        <f>""</f>
        <v/>
      </c>
      <c r="CU49" t="str">
        <f>""</f>
        <v/>
      </c>
      <c r="CV49" t="str">
        <f>""</f>
        <v/>
      </c>
      <c r="CW49" t="str">
        <f>""</f>
        <v/>
      </c>
      <c r="CX49" t="str">
        <f>""</f>
        <v/>
      </c>
      <c r="CY49" t="str">
        <f>""</f>
        <v/>
      </c>
      <c r="CZ49" t="str">
        <f>""</f>
        <v/>
      </c>
      <c r="DA49" t="str">
        <f>""</f>
        <v/>
      </c>
      <c r="DB49" t="str">
        <f>""</f>
        <v/>
      </c>
      <c r="DC49" t="str">
        <f>""</f>
        <v/>
      </c>
      <c r="DD49" t="str">
        <f>""</f>
        <v/>
      </c>
      <c r="DE49" t="str">
        <f>""</f>
        <v/>
      </c>
      <c r="DF49" t="str">
        <f>""</f>
        <v/>
      </c>
      <c r="DG49" t="str">
        <f>""</f>
        <v/>
      </c>
      <c r="DH49" t="str">
        <f>""</f>
        <v/>
      </c>
      <c r="DI49" t="str">
        <f>""</f>
        <v/>
      </c>
      <c r="DJ49" t="str">
        <f>""</f>
        <v/>
      </c>
      <c r="DK49" t="str">
        <f>""</f>
        <v/>
      </c>
      <c r="DL49" t="str">
        <f>""</f>
        <v/>
      </c>
      <c r="DM49" t="str">
        <f>""</f>
        <v/>
      </c>
      <c r="DN49" t="str">
        <f>""</f>
        <v/>
      </c>
      <c r="DO49" t="str">
        <f>""</f>
        <v/>
      </c>
      <c r="DP49" t="str">
        <f>""</f>
        <v/>
      </c>
      <c r="DQ49" t="str">
        <f>""</f>
        <v/>
      </c>
      <c r="DR49" t="str">
        <f>""</f>
        <v/>
      </c>
      <c r="DS49" t="str">
        <f>""</f>
        <v/>
      </c>
      <c r="DT49" t="str">
        <f>""</f>
        <v/>
      </c>
      <c r="DU49" t="str">
        <f>""</f>
        <v/>
      </c>
    </row>
    <row r="50" spans="1:125" x14ac:dyDescent="0.25">
      <c r="A50" t="str">
        <f>"    Chongqing Changan Automobile Co Ltd"</f>
        <v xml:space="preserve">    Chongqing Changan Automobile Co Ltd</v>
      </c>
      <c r="B50" t="str">
        <f>"200625 CH Equity"</f>
        <v>200625 CH Equity</v>
      </c>
      <c r="C50" t="str">
        <f t="shared" si="3"/>
        <v>EZ019</v>
      </c>
      <c r="D50" t="str">
        <f t="shared" si="4"/>
        <v>BEST_EEPS_CUR_YR</v>
      </c>
      <c r="E50" t="str">
        <f t="shared" si="5"/>
        <v>Dynamic</v>
      </c>
      <c r="F50">
        <f ca="1">IF(AND(ISNUMBER($F$558),$B$511=1),$F$558,HLOOKUP(INDIRECT(ADDRESS(2,COLUMN())),OFFSET($BN$2,0,0,ROW()-1,60),ROW()-1,FALSE))</f>
        <v>5.6000000000000001E-2</v>
      </c>
      <c r="G50">
        <f ca="1">IF(AND(ISNUMBER($G$558),$B$511=1),$G$558,HLOOKUP(INDIRECT(ADDRESS(2,COLUMN())),OFFSET($BN$2,0,0,ROW()-1,60),ROW()-1,FALSE))</f>
        <v>0.08</v>
      </c>
      <c r="H50">
        <f ca="1">IF(AND(ISNUMBER($H$558),$B$511=1),$H$558,HLOOKUP(INDIRECT(ADDRESS(2,COLUMN())),OFFSET($BN$2,0,0,ROW()-1,60),ROW()-1,FALSE))</f>
        <v>0.14399999999999999</v>
      </c>
      <c r="I50">
        <f ca="1">IF(AND(ISNUMBER($I$558),$B$511=1),$I$558,HLOOKUP(INDIRECT(ADDRESS(2,COLUMN())),OFFSET($BN$2,0,0,ROW()-1,60),ROW()-1,FALSE))</f>
        <v>0.23100000000000001</v>
      </c>
      <c r="J50">
        <f ca="1">IF(AND(ISNUMBER($J$558),$B$511=1),$J$558,HLOOKUP(INDIRECT(ADDRESS(2,COLUMN())),OFFSET($BN$2,0,0,ROW()-1,60),ROW()-1,FALSE))</f>
        <v>0.29499999999999998</v>
      </c>
      <c r="K50">
        <f ca="1">IF(AND(ISNUMBER($K$558),$B$511=1),$K$558,HLOOKUP(INDIRECT(ADDRESS(2,COLUMN())),OFFSET($BN$2,0,0,ROW()-1,60),ROW()-1,FALSE))</f>
        <v>0.29599999999999999</v>
      </c>
      <c r="L50">
        <f ca="1">IF(AND(ISNUMBER($L$558),$B$511=1),$L$558,HLOOKUP(INDIRECT(ADDRESS(2,COLUMN())),OFFSET($BN$2,0,0,ROW()-1,60),ROW()-1,FALSE))</f>
        <v>0.317</v>
      </c>
      <c r="M50">
        <f ca="1">IF(AND(ISNUMBER($M$558),$B$511=1),$M$558,HLOOKUP(INDIRECT(ADDRESS(2,COLUMN())),OFFSET($BN$2,0,0,ROW()-1,60),ROW()-1,FALSE))</f>
        <v>0.34499999999999997</v>
      </c>
      <c r="N50">
        <f ca="1">IF(AND(ISNUMBER($N$558),$B$511=1),$N$558,HLOOKUP(INDIRECT(ADDRESS(2,COLUMN())),OFFSET($BN$2,0,0,ROW()-1,60),ROW()-1,FALSE))</f>
        <v>0.35199999999999998</v>
      </c>
      <c r="O50">
        <f ca="1">IF(AND(ISNUMBER($O$558),$B$511=1),$O$558,HLOOKUP(INDIRECT(ADDRESS(2,COLUMN())),OFFSET($BN$2,0,0,ROW()-1,60),ROW()-1,FALSE))</f>
        <v>0.35</v>
      </c>
      <c r="P50">
        <f ca="1">IF(AND(ISNUMBER($P$558),$B$511=1),$P$558,HLOOKUP(INDIRECT(ADDRESS(2,COLUMN())),OFFSET($BN$2,0,0,ROW()-1,60),ROW()-1,FALSE))</f>
        <v>0.39300000000000002</v>
      </c>
      <c r="Q50">
        <f ca="1">IF(AND(ISNUMBER($Q$558),$B$511=1),$Q$558,HLOOKUP(INDIRECT(ADDRESS(2,COLUMN())),OFFSET($BN$2,0,0,ROW()-1,60),ROW()-1,FALSE))</f>
        <v>0.39500000000000002</v>
      </c>
      <c r="R50">
        <f ca="1">IF(AND(ISNUMBER($R$558),$B$511=1),$R$558,HLOOKUP(INDIRECT(ADDRESS(2,COLUMN())),OFFSET($BN$2,0,0,ROW()-1,60),ROW()-1,FALSE))</f>
        <v>0.29099999999999998</v>
      </c>
      <c r="S50">
        <f ca="1">IF(AND(ISNUMBER($S$558),$B$511=1),$S$558,HLOOKUP(INDIRECT(ADDRESS(2,COLUMN())),OFFSET($BN$2,0,0,ROW()-1,60),ROW()-1,FALSE))</f>
        <v>0.313</v>
      </c>
      <c r="T50">
        <f ca="1">IF(AND(ISNUMBER($T$558),$B$511=1),$T$558,HLOOKUP(INDIRECT(ADDRESS(2,COLUMN())),OFFSET($BN$2,0,0,ROW()-1,60),ROW()-1,FALSE))</f>
        <v>0.28999999999999998</v>
      </c>
      <c r="U50">
        <f ca="1">IF(AND(ISNUMBER($U$558),$B$511=1),$U$558,HLOOKUP(INDIRECT(ADDRESS(2,COLUMN())),OFFSET($BN$2,0,0,ROW()-1,60),ROW()-1,FALSE))</f>
        <v>0.505</v>
      </c>
      <c r="V50">
        <f ca="1">IF(AND(ISNUMBER($V$558),$B$511=1),$V$558,HLOOKUP(INDIRECT(ADDRESS(2,COLUMN())),OFFSET($BN$2,0,0,ROW()-1,60),ROW()-1,FALSE))</f>
        <v>0.47899999999999998</v>
      </c>
      <c r="W50" t="str">
        <f ca="1">IF(AND(ISNUMBER($W$558),$B$511=1),$W$558,HLOOKUP(INDIRECT(ADDRESS(2,COLUMN())),OFFSET($BN$2,0,0,ROW()-1,60),ROW()-1,FALSE))</f>
        <v/>
      </c>
      <c r="X50" t="str">
        <f ca="1">IF(AND(ISNUMBER($X$558),$B$511=1),$X$558,HLOOKUP(INDIRECT(ADDRESS(2,COLUMN())),OFFSET($BN$2,0,0,ROW()-1,60),ROW()-1,FALSE))</f>
        <v/>
      </c>
      <c r="Y50" t="str">
        <f ca="1">IF(AND(ISNUMBER($Y$558),$B$511=1),$Y$558,HLOOKUP(INDIRECT(ADDRESS(2,COLUMN())),OFFSET($BN$2,0,0,ROW()-1,60),ROW()-1,FALSE))</f>
        <v/>
      </c>
      <c r="Z50" t="str">
        <f ca="1">IF(AND(ISNUMBER($Z$558),$B$511=1),$Z$558,HLOOKUP(INDIRECT(ADDRESS(2,COLUMN())),OFFSET($BN$2,0,0,ROW()-1,60),ROW()-1,FALSE))</f>
        <v/>
      </c>
      <c r="AA50" t="str">
        <f ca="1">IF(AND(ISNUMBER($AA$558),$B$511=1),$AA$558,HLOOKUP(INDIRECT(ADDRESS(2,COLUMN())),OFFSET($BN$2,0,0,ROW()-1,60),ROW()-1,FALSE))</f>
        <v/>
      </c>
      <c r="AB50" t="str">
        <f ca="1">IF(AND(ISNUMBER($AB$558),$B$511=1),$AB$558,HLOOKUP(INDIRECT(ADDRESS(2,COLUMN())),OFFSET($BN$2,0,0,ROW()-1,60),ROW()-1,FALSE))</f>
        <v/>
      </c>
      <c r="AC50" t="str">
        <f ca="1">IF(AND(ISNUMBER($AC$558),$B$511=1),$AC$558,HLOOKUP(INDIRECT(ADDRESS(2,COLUMN())),OFFSET($BN$2,0,0,ROW()-1,60),ROW()-1,FALSE))</f>
        <v/>
      </c>
      <c r="AD50" t="str">
        <f ca="1">IF(AND(ISNUMBER($AD$558),$B$511=1),$AD$558,HLOOKUP(INDIRECT(ADDRESS(2,COLUMN())),OFFSET($BN$2,0,0,ROW()-1,60),ROW()-1,FALSE))</f>
        <v/>
      </c>
      <c r="AE50" t="str">
        <f ca="1">IF(AND(ISNUMBER($AE$558),$B$511=1),$AE$558,HLOOKUP(INDIRECT(ADDRESS(2,COLUMN())),OFFSET($BN$2,0,0,ROW()-1,60),ROW()-1,FALSE))</f>
        <v/>
      </c>
      <c r="AF50" t="str">
        <f ca="1">IF(AND(ISNUMBER($AF$558),$B$511=1),$AF$558,HLOOKUP(INDIRECT(ADDRESS(2,COLUMN())),OFFSET($BN$2,0,0,ROW()-1,60),ROW()-1,FALSE))</f>
        <v/>
      </c>
      <c r="AG50" t="str">
        <f ca="1">IF(AND(ISNUMBER($AG$558),$B$511=1),$AG$558,HLOOKUP(INDIRECT(ADDRESS(2,COLUMN())),OFFSET($BN$2,0,0,ROW()-1,60),ROW()-1,FALSE))</f>
        <v/>
      </c>
      <c r="AH50" t="str">
        <f ca="1">IF(AND(ISNUMBER($AH$558),$B$511=1),$AH$558,HLOOKUP(INDIRECT(ADDRESS(2,COLUMN())),OFFSET($BN$2,0,0,ROW()-1,60),ROW()-1,FALSE))</f>
        <v/>
      </c>
      <c r="AI50" t="str">
        <f ca="1">IF(AND(ISNUMBER($AI$558),$B$511=1),$AI$558,HLOOKUP(INDIRECT(ADDRESS(2,COLUMN())),OFFSET($BN$2,0,0,ROW()-1,60),ROW()-1,FALSE))</f>
        <v/>
      </c>
      <c r="AJ50" t="str">
        <f ca="1">IF(AND(ISNUMBER($AJ$558),$B$511=1),$AJ$558,HLOOKUP(INDIRECT(ADDRESS(2,COLUMN())),OFFSET($BN$2,0,0,ROW()-1,60),ROW()-1,FALSE))</f>
        <v/>
      </c>
      <c r="AK50" t="str">
        <f ca="1">IF(AND(ISNUMBER($AK$558),$B$511=1),$AK$558,HLOOKUP(INDIRECT(ADDRESS(2,COLUMN())),OFFSET($BN$2,0,0,ROW()-1,60),ROW()-1,FALSE))</f>
        <v/>
      </c>
      <c r="AL50" t="str">
        <f ca="1">IF(AND(ISNUMBER($AL$558),$B$511=1),$AL$558,HLOOKUP(INDIRECT(ADDRESS(2,COLUMN())),OFFSET($BN$2,0,0,ROW()-1,60),ROW()-1,FALSE))</f>
        <v/>
      </c>
      <c r="AM50" t="str">
        <f ca="1">IF(AND(ISNUMBER($AM$558),$B$511=1),$AM$558,HLOOKUP(INDIRECT(ADDRESS(2,COLUMN())),OFFSET($BN$2,0,0,ROW()-1,60),ROW()-1,FALSE))</f>
        <v/>
      </c>
      <c r="AN50" t="str">
        <f ca="1">IF(AND(ISNUMBER($AN$558),$B$511=1),$AN$558,HLOOKUP(INDIRECT(ADDRESS(2,COLUMN())),OFFSET($BN$2,0,0,ROW()-1,60),ROW()-1,FALSE))</f>
        <v/>
      </c>
      <c r="AO50" t="str">
        <f ca="1">IF(AND(ISNUMBER($AO$558),$B$511=1),$AO$558,HLOOKUP(INDIRECT(ADDRESS(2,COLUMN())),OFFSET($BN$2,0,0,ROW()-1,60),ROW()-1,FALSE))</f>
        <v/>
      </c>
      <c r="AP50" t="str">
        <f ca="1">IF(AND(ISNUMBER($AP$558),$B$511=1),$AP$558,HLOOKUP(INDIRECT(ADDRESS(2,COLUMN())),OFFSET($BN$2,0,0,ROW()-1,60),ROW()-1,FALSE))</f>
        <v/>
      </c>
      <c r="AQ50" t="str">
        <f ca="1">IF(AND(ISNUMBER($AQ$558),$B$511=1),$AQ$558,HLOOKUP(INDIRECT(ADDRESS(2,COLUMN())),OFFSET($BN$2,0,0,ROW()-1,60),ROW()-1,FALSE))</f>
        <v/>
      </c>
      <c r="AR50" t="str">
        <f ca="1">IF(AND(ISNUMBER($AR$558),$B$511=1),$AR$558,HLOOKUP(INDIRECT(ADDRESS(2,COLUMN())),OFFSET($BN$2,0,0,ROW()-1,60),ROW()-1,FALSE))</f>
        <v/>
      </c>
      <c r="AS50" t="str">
        <f ca="1">IF(AND(ISNUMBER($AS$558),$B$511=1),$AS$558,HLOOKUP(INDIRECT(ADDRESS(2,COLUMN())),OFFSET($BN$2,0,0,ROW()-1,60),ROW()-1,FALSE))</f>
        <v/>
      </c>
      <c r="AT50" t="str">
        <f ca="1">IF(AND(ISNUMBER($AT$558),$B$511=1),$AT$558,HLOOKUP(INDIRECT(ADDRESS(2,COLUMN())),OFFSET($BN$2,0,0,ROW()-1,60),ROW()-1,FALSE))</f>
        <v/>
      </c>
      <c r="AU50" t="str">
        <f ca="1">IF(AND(ISNUMBER($AU$558),$B$511=1),$AU$558,HLOOKUP(INDIRECT(ADDRESS(2,COLUMN())),OFFSET($BN$2,0,0,ROW()-1,60),ROW()-1,FALSE))</f>
        <v/>
      </c>
      <c r="AV50" t="str">
        <f ca="1">IF(AND(ISNUMBER($AV$558),$B$511=1),$AV$558,HLOOKUP(INDIRECT(ADDRESS(2,COLUMN())),OFFSET($BN$2,0,0,ROW()-1,60),ROW()-1,FALSE))</f>
        <v/>
      </c>
      <c r="AW50" t="str">
        <f ca="1">IF(AND(ISNUMBER($AW$558),$B$511=1),$AW$558,HLOOKUP(INDIRECT(ADDRESS(2,COLUMN())),OFFSET($BN$2,0,0,ROW()-1,60),ROW()-1,FALSE))</f>
        <v/>
      </c>
      <c r="AX50" t="str">
        <f ca="1">IF(AND(ISNUMBER($AX$558),$B$511=1),$AX$558,HLOOKUP(INDIRECT(ADDRESS(2,COLUMN())),OFFSET($BN$2,0,0,ROW()-1,60),ROW()-1,FALSE))</f>
        <v/>
      </c>
      <c r="AY50" t="str">
        <f ca="1">IF(AND(ISNUMBER($AY$558),$B$511=1),$AY$558,HLOOKUP(INDIRECT(ADDRESS(2,COLUMN())),OFFSET($BN$2,0,0,ROW()-1,60),ROW()-1,FALSE))</f>
        <v/>
      </c>
      <c r="AZ50" t="str">
        <f ca="1">IF(AND(ISNUMBER($AZ$558),$B$511=1),$AZ$558,HLOOKUP(INDIRECT(ADDRESS(2,COLUMN())),OFFSET($BN$2,0,0,ROW()-1,60),ROW()-1,FALSE))</f>
        <v/>
      </c>
      <c r="BA50" t="str">
        <f ca="1">IF(AND(ISNUMBER($BA$558),$B$511=1),$BA$558,HLOOKUP(INDIRECT(ADDRESS(2,COLUMN())),OFFSET($BN$2,0,0,ROW()-1,60),ROW()-1,FALSE))</f>
        <v/>
      </c>
      <c r="BB50" t="str">
        <f ca="1">IF(AND(ISNUMBER($BB$558),$B$511=1),$BB$558,HLOOKUP(INDIRECT(ADDRESS(2,COLUMN())),OFFSET($BN$2,0,0,ROW()-1,60),ROW()-1,FALSE))</f>
        <v/>
      </c>
      <c r="BC50" t="str">
        <f ca="1">IF(AND(ISNUMBER($BC$558),$B$511=1),$BC$558,HLOOKUP(INDIRECT(ADDRESS(2,COLUMN())),OFFSET($BN$2,0,0,ROW()-1,60),ROW()-1,FALSE))</f>
        <v/>
      </c>
      <c r="BD50" t="str">
        <f ca="1">IF(AND(ISNUMBER($BD$558),$B$511=1),$BD$558,HLOOKUP(INDIRECT(ADDRESS(2,COLUMN())),OFFSET($BN$2,0,0,ROW()-1,60),ROW()-1,FALSE))</f>
        <v/>
      </c>
      <c r="BE50" t="str">
        <f ca="1">IF(AND(ISNUMBER($BE$558),$B$511=1),$BE$558,HLOOKUP(INDIRECT(ADDRESS(2,COLUMN())),OFFSET($BN$2,0,0,ROW()-1,60),ROW()-1,FALSE))</f>
        <v/>
      </c>
      <c r="BF50" t="str">
        <f ca="1">IF(AND(ISNUMBER($BF$558),$B$511=1),$BF$558,HLOOKUP(INDIRECT(ADDRESS(2,COLUMN())),OFFSET($BN$2,0,0,ROW()-1,60),ROW()-1,FALSE))</f>
        <v/>
      </c>
      <c r="BG50" t="str">
        <f ca="1">IF(AND(ISNUMBER($BG$558),$B$511=1),$BG$558,HLOOKUP(INDIRECT(ADDRESS(2,COLUMN())),OFFSET($BN$2,0,0,ROW()-1,60),ROW()-1,FALSE))</f>
        <v/>
      </c>
      <c r="BH50" t="str">
        <f ca="1">IF(AND(ISNUMBER($BH$558),$B$511=1),$BH$558,HLOOKUP(INDIRECT(ADDRESS(2,COLUMN())),OFFSET($BN$2,0,0,ROW()-1,60),ROW()-1,FALSE))</f>
        <v/>
      </c>
      <c r="BI50" t="str">
        <f ca="1">IF(AND(ISNUMBER($BI$558),$B$511=1),$BI$558,HLOOKUP(INDIRECT(ADDRESS(2,COLUMN())),OFFSET($BN$2,0,0,ROW()-1,60),ROW()-1,FALSE))</f>
        <v/>
      </c>
      <c r="BJ50" t="str">
        <f ca="1">IF(AND(ISNUMBER($BJ$558),$B$511=1),$BJ$558,HLOOKUP(INDIRECT(ADDRESS(2,COLUMN())),OFFSET($BN$2,0,0,ROW()-1,60),ROW()-1,FALSE))</f>
        <v/>
      </c>
      <c r="BK50" t="str">
        <f ca="1">IF(AND(ISNUMBER($BK$558),$B$511=1),$BK$558,HLOOKUP(INDIRECT(ADDRESS(2,COLUMN())),OFFSET($BN$2,0,0,ROW()-1,60),ROW()-1,FALSE))</f>
        <v/>
      </c>
      <c r="BL50" t="str">
        <f ca="1">IF(AND(ISNUMBER($BL$558),$B$511=1),$BL$558,HLOOKUP(INDIRECT(ADDRESS(2,COLUMN())),OFFSET($BN$2,0,0,ROW()-1,60),ROW()-1,FALSE))</f>
        <v/>
      </c>
      <c r="BM50" t="str">
        <f ca="1">IF(AND(ISNUMBER($BM$558),$B$511=1),$BM$558,HLOOKUP(INDIRECT(ADDRESS(2,COLUMN())),OFFSET($BN$2,0,0,ROW()-1,60),ROW()-1,FALSE))</f>
        <v/>
      </c>
      <c r="BN50">
        <f>0.056</f>
        <v>5.6000000000000001E-2</v>
      </c>
      <c r="BO50">
        <f>0.08</f>
        <v>0.08</v>
      </c>
      <c r="BP50">
        <f>0.144</f>
        <v>0.14399999999999999</v>
      </c>
      <c r="BQ50">
        <f>0.231</f>
        <v>0.23100000000000001</v>
      </c>
      <c r="BR50">
        <f>0.295</f>
        <v>0.29499999999999998</v>
      </c>
      <c r="BS50">
        <f>0.296</f>
        <v>0.29599999999999999</v>
      </c>
      <c r="BT50">
        <f>0.317</f>
        <v>0.317</v>
      </c>
      <c r="BU50">
        <f>0.345</f>
        <v>0.34499999999999997</v>
      </c>
      <c r="BV50">
        <f>0.352</f>
        <v>0.35199999999999998</v>
      </c>
      <c r="BW50">
        <f>0.35</f>
        <v>0.35</v>
      </c>
      <c r="BX50">
        <f>0.393</f>
        <v>0.39300000000000002</v>
      </c>
      <c r="BY50">
        <f>0.395</f>
        <v>0.39500000000000002</v>
      </c>
      <c r="BZ50">
        <f>0.291</f>
        <v>0.29099999999999998</v>
      </c>
      <c r="CA50">
        <f>0.313</f>
        <v>0.313</v>
      </c>
      <c r="CB50">
        <f>0.29</f>
        <v>0.28999999999999998</v>
      </c>
      <c r="CC50">
        <f>0.505</f>
        <v>0.505</v>
      </c>
      <c r="CD50">
        <f>0.479</f>
        <v>0.47899999999999998</v>
      </c>
      <c r="CE50" t="str">
        <f>""</f>
        <v/>
      </c>
      <c r="CF50" t="str">
        <f>""</f>
        <v/>
      </c>
      <c r="CG50" t="str">
        <f>""</f>
        <v/>
      </c>
      <c r="CH50" t="str">
        <f>""</f>
        <v/>
      </c>
      <c r="CI50" t="str">
        <f>""</f>
        <v/>
      </c>
      <c r="CJ50" t="str">
        <f>""</f>
        <v/>
      </c>
      <c r="CK50" t="str">
        <f>""</f>
        <v/>
      </c>
      <c r="CL50" t="str">
        <f>""</f>
        <v/>
      </c>
      <c r="CM50" t="str">
        <f>""</f>
        <v/>
      </c>
      <c r="CN50" t="str">
        <f>""</f>
        <v/>
      </c>
      <c r="CO50" t="str">
        <f>""</f>
        <v/>
      </c>
      <c r="CP50" t="str">
        <f>""</f>
        <v/>
      </c>
      <c r="CQ50" t="str">
        <f>""</f>
        <v/>
      </c>
      <c r="CR50" t="str">
        <f>""</f>
        <v/>
      </c>
      <c r="CS50" t="str">
        <f>""</f>
        <v/>
      </c>
      <c r="CT50" t="str">
        <f>""</f>
        <v/>
      </c>
      <c r="CU50" t="str">
        <f>""</f>
        <v/>
      </c>
      <c r="CV50" t="str">
        <f>""</f>
        <v/>
      </c>
      <c r="CW50" t="str">
        <f>""</f>
        <v/>
      </c>
      <c r="CX50" t="str">
        <f>""</f>
        <v/>
      </c>
      <c r="CY50" t="str">
        <f>""</f>
        <v/>
      </c>
      <c r="CZ50" t="str">
        <f>""</f>
        <v/>
      </c>
      <c r="DA50" t="str">
        <f>""</f>
        <v/>
      </c>
      <c r="DB50" t="str">
        <f>""</f>
        <v/>
      </c>
      <c r="DC50" t="str">
        <f>""</f>
        <v/>
      </c>
      <c r="DD50" t="str">
        <f>""</f>
        <v/>
      </c>
      <c r="DE50" t="str">
        <f>""</f>
        <v/>
      </c>
      <c r="DF50" t="str">
        <f>""</f>
        <v/>
      </c>
      <c r="DG50" t="str">
        <f>""</f>
        <v/>
      </c>
      <c r="DH50" t="str">
        <f>""</f>
        <v/>
      </c>
      <c r="DI50" t="str">
        <f>""</f>
        <v/>
      </c>
      <c r="DJ50" t="str">
        <f>""</f>
        <v/>
      </c>
      <c r="DK50" t="str">
        <f>""</f>
        <v/>
      </c>
      <c r="DL50" t="str">
        <f>""</f>
        <v/>
      </c>
      <c r="DM50" t="str">
        <f>""</f>
        <v/>
      </c>
      <c r="DN50" t="str">
        <f>""</f>
        <v/>
      </c>
      <c r="DO50" t="str">
        <f>""</f>
        <v/>
      </c>
      <c r="DP50" t="str">
        <f>""</f>
        <v/>
      </c>
      <c r="DQ50" t="str">
        <f>""</f>
        <v/>
      </c>
      <c r="DR50" t="str">
        <f>""</f>
        <v/>
      </c>
      <c r="DS50" t="str">
        <f>""</f>
        <v/>
      </c>
      <c r="DT50" t="str">
        <f>""</f>
        <v/>
      </c>
      <c r="DU50" t="str">
        <f>""</f>
        <v/>
      </c>
    </row>
    <row r="51" spans="1:125" x14ac:dyDescent="0.25">
      <c r="A51" t="str">
        <f>"    Daihatsu Motor Co Ltd"</f>
        <v xml:space="preserve">    Daihatsu Motor Co Ltd</v>
      </c>
      <c r="B51" t="str">
        <f>"7262 JP Equity"</f>
        <v>7262 JP Equity</v>
      </c>
      <c r="C51" t="str">
        <f t="shared" si="3"/>
        <v>EZ019</v>
      </c>
      <c r="D51" t="str">
        <f t="shared" si="4"/>
        <v>BEST_EEPS_CUR_YR</v>
      </c>
      <c r="E51" t="str">
        <f t="shared" si="5"/>
        <v>Dynamic</v>
      </c>
      <c r="F51" t="str">
        <f ca="1">IF(AND(ISNUMBER($F$559),$B$511=1),$F$559,HLOOKUP(INDIRECT(ADDRESS(2,COLUMN())),OFFSET($BN$2,0,0,ROW()-1,60),ROW()-1,FALSE))</f>
        <v/>
      </c>
      <c r="G51" t="str">
        <f ca="1">IF(AND(ISNUMBER($G$559),$B$511=1),$G$559,HLOOKUP(INDIRECT(ADDRESS(2,COLUMN())),OFFSET($BN$2,0,0,ROW()-1,60),ROW()-1,FALSE))</f>
        <v/>
      </c>
      <c r="H51" t="str">
        <f ca="1">IF(AND(ISNUMBER($H$559),$B$511=1),$H$559,HLOOKUP(INDIRECT(ADDRESS(2,COLUMN())),OFFSET($BN$2,0,0,ROW()-1,60),ROW()-1,FALSE))</f>
        <v/>
      </c>
      <c r="I51" t="str">
        <f ca="1">IF(AND(ISNUMBER($I$559),$B$511=1),$I$559,HLOOKUP(INDIRECT(ADDRESS(2,COLUMN())),OFFSET($BN$2,0,0,ROW()-1,60),ROW()-1,FALSE))</f>
        <v/>
      </c>
      <c r="J51" t="str">
        <f ca="1">IF(AND(ISNUMBER($J$559),$B$511=1),$J$559,HLOOKUP(INDIRECT(ADDRESS(2,COLUMN())),OFFSET($BN$2,0,0,ROW()-1,60),ROW()-1,FALSE))</f>
        <v/>
      </c>
      <c r="K51" t="str">
        <f ca="1">IF(AND(ISNUMBER($K$559),$B$511=1),$K$559,HLOOKUP(INDIRECT(ADDRESS(2,COLUMN())),OFFSET($BN$2,0,0,ROW()-1,60),ROW()-1,FALSE))</f>
        <v/>
      </c>
      <c r="L51" t="str">
        <f ca="1">IF(AND(ISNUMBER($L$559),$B$511=1),$L$559,HLOOKUP(INDIRECT(ADDRESS(2,COLUMN())),OFFSET($BN$2,0,0,ROW()-1,60),ROW()-1,FALSE))</f>
        <v/>
      </c>
      <c r="M51" t="str">
        <f ca="1">IF(AND(ISNUMBER($M$559),$B$511=1),$M$559,HLOOKUP(INDIRECT(ADDRESS(2,COLUMN())),OFFSET($BN$2,0,0,ROW()-1,60),ROW()-1,FALSE))</f>
        <v/>
      </c>
      <c r="N51" t="str">
        <f ca="1">IF(AND(ISNUMBER($N$559),$B$511=1),$N$559,HLOOKUP(INDIRECT(ADDRESS(2,COLUMN())),OFFSET($BN$2,0,0,ROW()-1,60),ROW()-1,FALSE))</f>
        <v/>
      </c>
      <c r="O51" t="str">
        <f ca="1">IF(AND(ISNUMBER($O$559),$B$511=1),$O$559,HLOOKUP(INDIRECT(ADDRESS(2,COLUMN())),OFFSET($BN$2,0,0,ROW()-1,60),ROW()-1,FALSE))</f>
        <v/>
      </c>
      <c r="P51">
        <f ca="1">IF(AND(ISNUMBER($P$559),$B$511=1),$P$559,HLOOKUP(INDIRECT(ADDRESS(2,COLUMN())),OFFSET($BN$2,0,0,ROW()-1,60),ROW()-1,FALSE))</f>
        <v>1.052</v>
      </c>
      <c r="Q51">
        <f ca="1">IF(AND(ISNUMBER($Q$559),$B$511=1),$Q$559,HLOOKUP(INDIRECT(ADDRESS(2,COLUMN())),OFFSET($BN$2,0,0,ROW()-1,60),ROW()-1,FALSE))</f>
        <v>1.1339999999999999</v>
      </c>
      <c r="R51">
        <f ca="1">IF(AND(ISNUMBER($R$559),$B$511=1),$R$559,HLOOKUP(INDIRECT(ADDRESS(2,COLUMN())),OFFSET($BN$2,0,0,ROW()-1,60),ROW()-1,FALSE))</f>
        <v>1.02</v>
      </c>
      <c r="S51">
        <f ca="1">IF(AND(ISNUMBER($S$559),$B$511=1),$S$559,HLOOKUP(INDIRECT(ADDRESS(2,COLUMN())),OFFSET($BN$2,0,0,ROW()-1,60),ROW()-1,FALSE))</f>
        <v>0.96199999999999997</v>
      </c>
      <c r="T51">
        <f ca="1">IF(AND(ISNUMBER($T$559),$B$511=1),$T$559,HLOOKUP(INDIRECT(ADDRESS(2,COLUMN())),OFFSET($BN$2,0,0,ROW()-1,60),ROW()-1,FALSE))</f>
        <v>1.202</v>
      </c>
      <c r="U51">
        <f ca="1">IF(AND(ISNUMBER($U$559),$B$511=1),$U$559,HLOOKUP(INDIRECT(ADDRESS(2,COLUMN())),OFFSET($BN$2,0,0,ROW()-1,60),ROW()-1,FALSE))</f>
        <v>1.278</v>
      </c>
      <c r="V51">
        <f ca="1">IF(AND(ISNUMBER($V$559),$B$511=1),$V$559,HLOOKUP(INDIRECT(ADDRESS(2,COLUMN())),OFFSET($BN$2,0,0,ROW()-1,60),ROW()-1,FALSE))</f>
        <v>1.3</v>
      </c>
      <c r="W51">
        <f ca="1">IF(AND(ISNUMBER($W$559),$B$511=1),$W$559,HLOOKUP(INDIRECT(ADDRESS(2,COLUMN())),OFFSET($BN$2,0,0,ROW()-1,60),ROW()-1,FALSE))</f>
        <v>1.446</v>
      </c>
      <c r="X51">
        <f ca="1">IF(AND(ISNUMBER($X$559),$B$511=1),$X$559,HLOOKUP(INDIRECT(ADDRESS(2,COLUMN())),OFFSET($BN$2,0,0,ROW()-1,60),ROW()-1,FALSE))</f>
        <v>1.899</v>
      </c>
      <c r="Y51">
        <f ca="1">IF(AND(ISNUMBER($Y$559),$B$511=1),$Y$559,HLOOKUP(INDIRECT(ADDRESS(2,COLUMN())),OFFSET($BN$2,0,0,ROW()-1,60),ROW()-1,FALSE))</f>
        <v>1.968</v>
      </c>
      <c r="Z51">
        <f ca="1">IF(AND(ISNUMBER($Z$559),$B$511=1),$Z$559,HLOOKUP(INDIRECT(ADDRESS(2,COLUMN())),OFFSET($BN$2,0,0,ROW()-1,60),ROW()-1,FALSE))</f>
        <v>2.0489999999999999</v>
      </c>
      <c r="AA51">
        <f ca="1">IF(AND(ISNUMBER($AA$559),$B$511=1),$AA$559,HLOOKUP(INDIRECT(ADDRESS(2,COLUMN())),OFFSET($BN$2,0,0,ROW()-1,60),ROW()-1,FALSE))</f>
        <v>2.15</v>
      </c>
      <c r="AB51" t="str">
        <f ca="1">IF(AND(ISNUMBER($AB$559),$B$511=1),$AB$559,HLOOKUP(INDIRECT(ADDRESS(2,COLUMN())),OFFSET($BN$2,0,0,ROW()-1,60),ROW()-1,FALSE))</f>
        <v/>
      </c>
      <c r="AC51" t="str">
        <f ca="1">IF(AND(ISNUMBER($AC$559),$B$511=1),$AC$559,HLOOKUP(INDIRECT(ADDRESS(2,COLUMN())),OFFSET($BN$2,0,0,ROW()-1,60),ROW()-1,FALSE))</f>
        <v/>
      </c>
      <c r="AD51" t="str">
        <f ca="1">IF(AND(ISNUMBER($AD$559),$B$511=1),$AD$559,HLOOKUP(INDIRECT(ADDRESS(2,COLUMN())),OFFSET($BN$2,0,0,ROW()-1,60),ROW()-1,FALSE))</f>
        <v/>
      </c>
      <c r="AE51" t="str">
        <f ca="1">IF(AND(ISNUMBER($AE$559),$B$511=1),$AE$559,HLOOKUP(INDIRECT(ADDRESS(2,COLUMN())),OFFSET($BN$2,0,0,ROW()-1,60),ROW()-1,FALSE))</f>
        <v/>
      </c>
      <c r="AF51" t="str">
        <f ca="1">IF(AND(ISNUMBER($AF$559),$B$511=1),$AF$559,HLOOKUP(INDIRECT(ADDRESS(2,COLUMN())),OFFSET($BN$2,0,0,ROW()-1,60),ROW()-1,FALSE))</f>
        <v/>
      </c>
      <c r="AG51" t="str">
        <f ca="1">IF(AND(ISNUMBER($AG$559),$B$511=1),$AG$559,HLOOKUP(INDIRECT(ADDRESS(2,COLUMN())),OFFSET($BN$2,0,0,ROW()-1,60),ROW()-1,FALSE))</f>
        <v/>
      </c>
      <c r="AH51" t="str">
        <f ca="1">IF(AND(ISNUMBER($AH$559),$B$511=1),$AH$559,HLOOKUP(INDIRECT(ADDRESS(2,COLUMN())),OFFSET($BN$2,0,0,ROW()-1,60),ROW()-1,FALSE))</f>
        <v/>
      </c>
      <c r="AI51" t="str">
        <f ca="1">IF(AND(ISNUMBER($AI$559),$B$511=1),$AI$559,HLOOKUP(INDIRECT(ADDRESS(2,COLUMN())),OFFSET($BN$2,0,0,ROW()-1,60),ROW()-1,FALSE))</f>
        <v/>
      </c>
      <c r="AJ51" t="str">
        <f ca="1">IF(AND(ISNUMBER($AJ$559),$B$511=1),$AJ$559,HLOOKUP(INDIRECT(ADDRESS(2,COLUMN())),OFFSET($BN$2,0,0,ROW()-1,60),ROW()-1,FALSE))</f>
        <v/>
      </c>
      <c r="AK51" t="str">
        <f ca="1">IF(AND(ISNUMBER($AK$559),$B$511=1),$AK$559,HLOOKUP(INDIRECT(ADDRESS(2,COLUMN())),OFFSET($BN$2,0,0,ROW()-1,60),ROW()-1,FALSE))</f>
        <v/>
      </c>
      <c r="AL51" t="str">
        <f ca="1">IF(AND(ISNUMBER($AL$559),$B$511=1),$AL$559,HLOOKUP(INDIRECT(ADDRESS(2,COLUMN())),OFFSET($BN$2,0,0,ROW()-1,60),ROW()-1,FALSE))</f>
        <v/>
      </c>
      <c r="AM51" t="str">
        <f ca="1">IF(AND(ISNUMBER($AM$559),$B$511=1),$AM$559,HLOOKUP(INDIRECT(ADDRESS(2,COLUMN())),OFFSET($BN$2,0,0,ROW()-1,60),ROW()-1,FALSE))</f>
        <v/>
      </c>
      <c r="AN51" t="str">
        <f ca="1">IF(AND(ISNUMBER($AN$559),$B$511=1),$AN$559,HLOOKUP(INDIRECT(ADDRESS(2,COLUMN())),OFFSET($BN$2,0,0,ROW()-1,60),ROW()-1,FALSE))</f>
        <v/>
      </c>
      <c r="AO51" t="str">
        <f ca="1">IF(AND(ISNUMBER($AO$559),$B$511=1),$AO$559,HLOOKUP(INDIRECT(ADDRESS(2,COLUMN())),OFFSET($BN$2,0,0,ROW()-1,60),ROW()-1,FALSE))</f>
        <v/>
      </c>
      <c r="AP51" t="str">
        <f ca="1">IF(AND(ISNUMBER($AP$559),$B$511=1),$AP$559,HLOOKUP(INDIRECT(ADDRESS(2,COLUMN())),OFFSET($BN$2,0,0,ROW()-1,60),ROW()-1,FALSE))</f>
        <v/>
      </c>
      <c r="AQ51" t="str">
        <f ca="1">IF(AND(ISNUMBER($AQ$559),$B$511=1),$AQ$559,HLOOKUP(INDIRECT(ADDRESS(2,COLUMN())),OFFSET($BN$2,0,0,ROW()-1,60),ROW()-1,FALSE))</f>
        <v/>
      </c>
      <c r="AR51" t="str">
        <f ca="1">IF(AND(ISNUMBER($AR$559),$B$511=1),$AR$559,HLOOKUP(INDIRECT(ADDRESS(2,COLUMN())),OFFSET($BN$2,0,0,ROW()-1,60),ROW()-1,FALSE))</f>
        <v/>
      </c>
      <c r="AS51" t="str">
        <f ca="1">IF(AND(ISNUMBER($AS$559),$B$511=1),$AS$559,HLOOKUP(INDIRECT(ADDRESS(2,COLUMN())),OFFSET($BN$2,0,0,ROW()-1,60),ROW()-1,FALSE))</f>
        <v/>
      </c>
      <c r="AT51" t="str">
        <f ca="1">IF(AND(ISNUMBER($AT$559),$B$511=1),$AT$559,HLOOKUP(INDIRECT(ADDRESS(2,COLUMN())),OFFSET($BN$2,0,0,ROW()-1,60),ROW()-1,FALSE))</f>
        <v/>
      </c>
      <c r="AU51" t="str">
        <f ca="1">IF(AND(ISNUMBER($AU$559),$B$511=1),$AU$559,HLOOKUP(INDIRECT(ADDRESS(2,COLUMN())),OFFSET($BN$2,0,0,ROW()-1,60),ROW()-1,FALSE))</f>
        <v/>
      </c>
      <c r="AV51" t="str">
        <f ca="1">IF(AND(ISNUMBER($AV$559),$B$511=1),$AV$559,HLOOKUP(INDIRECT(ADDRESS(2,COLUMN())),OFFSET($BN$2,0,0,ROW()-1,60),ROW()-1,FALSE))</f>
        <v/>
      </c>
      <c r="AW51" t="str">
        <f ca="1">IF(AND(ISNUMBER($AW$559),$B$511=1),$AW$559,HLOOKUP(INDIRECT(ADDRESS(2,COLUMN())),OFFSET($BN$2,0,0,ROW()-1,60),ROW()-1,FALSE))</f>
        <v/>
      </c>
      <c r="AX51" t="str">
        <f ca="1">IF(AND(ISNUMBER($AX$559),$B$511=1),$AX$559,HLOOKUP(INDIRECT(ADDRESS(2,COLUMN())),OFFSET($BN$2,0,0,ROW()-1,60),ROW()-1,FALSE))</f>
        <v/>
      </c>
      <c r="AY51" t="str">
        <f ca="1">IF(AND(ISNUMBER($AY$559),$B$511=1),$AY$559,HLOOKUP(INDIRECT(ADDRESS(2,COLUMN())),OFFSET($BN$2,0,0,ROW()-1,60),ROW()-1,FALSE))</f>
        <v/>
      </c>
      <c r="AZ51" t="str">
        <f ca="1">IF(AND(ISNUMBER($AZ$559),$B$511=1),$AZ$559,HLOOKUP(INDIRECT(ADDRESS(2,COLUMN())),OFFSET($BN$2,0,0,ROW()-1,60),ROW()-1,FALSE))</f>
        <v/>
      </c>
      <c r="BA51" t="str">
        <f ca="1">IF(AND(ISNUMBER($BA$559),$B$511=1),$BA$559,HLOOKUP(INDIRECT(ADDRESS(2,COLUMN())),OFFSET($BN$2,0,0,ROW()-1,60),ROW()-1,FALSE))</f>
        <v/>
      </c>
      <c r="BB51" t="str">
        <f ca="1">IF(AND(ISNUMBER($BB$559),$B$511=1),$BB$559,HLOOKUP(INDIRECT(ADDRESS(2,COLUMN())),OFFSET($BN$2,0,0,ROW()-1,60),ROW()-1,FALSE))</f>
        <v/>
      </c>
      <c r="BC51" t="str">
        <f ca="1">IF(AND(ISNUMBER($BC$559),$B$511=1),$BC$559,HLOOKUP(INDIRECT(ADDRESS(2,COLUMN())),OFFSET($BN$2,0,0,ROW()-1,60),ROW()-1,FALSE))</f>
        <v/>
      </c>
      <c r="BD51" t="str">
        <f ca="1">IF(AND(ISNUMBER($BD$559),$B$511=1),$BD$559,HLOOKUP(INDIRECT(ADDRESS(2,COLUMN())),OFFSET($BN$2,0,0,ROW()-1,60),ROW()-1,FALSE))</f>
        <v/>
      </c>
      <c r="BE51" t="str">
        <f ca="1">IF(AND(ISNUMBER($BE$559),$B$511=1),$BE$559,HLOOKUP(INDIRECT(ADDRESS(2,COLUMN())),OFFSET($BN$2,0,0,ROW()-1,60),ROW()-1,FALSE))</f>
        <v/>
      </c>
      <c r="BF51" t="str">
        <f ca="1">IF(AND(ISNUMBER($BF$559),$B$511=1),$BF$559,HLOOKUP(INDIRECT(ADDRESS(2,COLUMN())),OFFSET($BN$2,0,0,ROW()-1,60),ROW()-1,FALSE))</f>
        <v/>
      </c>
      <c r="BG51" t="str">
        <f ca="1">IF(AND(ISNUMBER($BG$559),$B$511=1),$BG$559,HLOOKUP(INDIRECT(ADDRESS(2,COLUMN())),OFFSET($BN$2,0,0,ROW()-1,60),ROW()-1,FALSE))</f>
        <v/>
      </c>
      <c r="BH51" t="str">
        <f ca="1">IF(AND(ISNUMBER($BH$559),$B$511=1),$BH$559,HLOOKUP(INDIRECT(ADDRESS(2,COLUMN())),OFFSET($BN$2,0,0,ROW()-1,60),ROW()-1,FALSE))</f>
        <v/>
      </c>
      <c r="BI51" t="str">
        <f ca="1">IF(AND(ISNUMBER($BI$559),$B$511=1),$BI$559,HLOOKUP(INDIRECT(ADDRESS(2,COLUMN())),OFFSET($BN$2,0,0,ROW()-1,60),ROW()-1,FALSE))</f>
        <v/>
      </c>
      <c r="BJ51" t="str">
        <f ca="1">IF(AND(ISNUMBER($BJ$559),$B$511=1),$BJ$559,HLOOKUP(INDIRECT(ADDRESS(2,COLUMN())),OFFSET($BN$2,0,0,ROW()-1,60),ROW()-1,FALSE))</f>
        <v/>
      </c>
      <c r="BK51" t="str">
        <f ca="1">IF(AND(ISNUMBER($BK$559),$B$511=1),$BK$559,HLOOKUP(INDIRECT(ADDRESS(2,COLUMN())),OFFSET($BN$2,0,0,ROW()-1,60),ROW()-1,FALSE))</f>
        <v/>
      </c>
      <c r="BL51" t="str">
        <f ca="1">IF(AND(ISNUMBER($BL$559),$B$511=1),$BL$559,HLOOKUP(INDIRECT(ADDRESS(2,COLUMN())),OFFSET($BN$2,0,0,ROW()-1,60),ROW()-1,FALSE))</f>
        <v/>
      </c>
      <c r="BM51" t="str">
        <f ca="1">IF(AND(ISNUMBER($BM$559),$B$511=1),$BM$559,HLOOKUP(INDIRECT(ADDRESS(2,COLUMN())),OFFSET($BN$2,0,0,ROW()-1,60),ROW()-1,FALSE))</f>
        <v/>
      </c>
      <c r="BN51" t="str">
        <f>""</f>
        <v/>
      </c>
      <c r="BO51" t="str">
        <f>""</f>
        <v/>
      </c>
      <c r="BP51" t="str">
        <f>""</f>
        <v/>
      </c>
      <c r="BQ51" t="str">
        <f>""</f>
        <v/>
      </c>
      <c r="BR51" t="str">
        <f>""</f>
        <v/>
      </c>
      <c r="BS51" t="str">
        <f>""</f>
        <v/>
      </c>
      <c r="BT51" t="str">
        <f>""</f>
        <v/>
      </c>
      <c r="BU51" t="str">
        <f>""</f>
        <v/>
      </c>
      <c r="BV51" t="str">
        <f>""</f>
        <v/>
      </c>
      <c r="BW51" t="str">
        <f>""</f>
        <v/>
      </c>
      <c r="BX51">
        <f>1.052</f>
        <v>1.052</v>
      </c>
      <c r="BY51">
        <f>1.134</f>
        <v>1.1339999999999999</v>
      </c>
      <c r="BZ51">
        <f>1.02</f>
        <v>1.02</v>
      </c>
      <c r="CA51">
        <f>0.962</f>
        <v>0.96199999999999997</v>
      </c>
      <c r="CB51">
        <f>1.202</f>
        <v>1.202</v>
      </c>
      <c r="CC51">
        <f>1.278</f>
        <v>1.278</v>
      </c>
      <c r="CD51">
        <f>1.3</f>
        <v>1.3</v>
      </c>
      <c r="CE51">
        <f>1.446</f>
        <v>1.446</v>
      </c>
      <c r="CF51">
        <f>1.899</f>
        <v>1.899</v>
      </c>
      <c r="CG51">
        <f>1.968</f>
        <v>1.968</v>
      </c>
      <c r="CH51">
        <f>2.049</f>
        <v>2.0489999999999999</v>
      </c>
      <c r="CI51">
        <f>2.15</f>
        <v>2.15</v>
      </c>
      <c r="CJ51" t="str">
        <f>""</f>
        <v/>
      </c>
      <c r="CK51" t="str">
        <f>""</f>
        <v/>
      </c>
      <c r="CL51" t="str">
        <f>""</f>
        <v/>
      </c>
      <c r="CM51" t="str">
        <f>""</f>
        <v/>
      </c>
      <c r="CN51" t="str">
        <f>""</f>
        <v/>
      </c>
      <c r="CO51" t="str">
        <f>""</f>
        <v/>
      </c>
      <c r="CP51" t="str">
        <f>""</f>
        <v/>
      </c>
      <c r="CQ51" t="str">
        <f>""</f>
        <v/>
      </c>
      <c r="CR51" t="str">
        <f>""</f>
        <v/>
      </c>
      <c r="CS51" t="str">
        <f>""</f>
        <v/>
      </c>
      <c r="CT51" t="str">
        <f>""</f>
        <v/>
      </c>
      <c r="CU51" t="str">
        <f>""</f>
        <v/>
      </c>
      <c r="CV51" t="str">
        <f>""</f>
        <v/>
      </c>
      <c r="CW51" t="str">
        <f>""</f>
        <v/>
      </c>
      <c r="CX51" t="str">
        <f>""</f>
        <v/>
      </c>
      <c r="CY51" t="str">
        <f>""</f>
        <v/>
      </c>
      <c r="CZ51" t="str">
        <f>""</f>
        <v/>
      </c>
      <c r="DA51" t="str">
        <f>""</f>
        <v/>
      </c>
      <c r="DB51" t="str">
        <f>""</f>
        <v/>
      </c>
      <c r="DC51" t="str">
        <f>""</f>
        <v/>
      </c>
      <c r="DD51" t="str">
        <f>""</f>
        <v/>
      </c>
      <c r="DE51" t="str">
        <f>""</f>
        <v/>
      </c>
      <c r="DF51" t="str">
        <f>""</f>
        <v/>
      </c>
      <c r="DG51" t="str">
        <f>""</f>
        <v/>
      </c>
      <c r="DH51" t="str">
        <f>""</f>
        <v/>
      </c>
      <c r="DI51" t="str">
        <f>""</f>
        <v/>
      </c>
      <c r="DJ51" t="str">
        <f>""</f>
        <v/>
      </c>
      <c r="DK51" t="str">
        <f>""</f>
        <v/>
      </c>
      <c r="DL51" t="str">
        <f>""</f>
        <v/>
      </c>
      <c r="DM51" t="str">
        <f>""</f>
        <v/>
      </c>
      <c r="DN51" t="str">
        <f>""</f>
        <v/>
      </c>
      <c r="DO51" t="str">
        <f>""</f>
        <v/>
      </c>
      <c r="DP51" t="str">
        <f>""</f>
        <v/>
      </c>
      <c r="DQ51" t="str">
        <f>""</f>
        <v/>
      </c>
      <c r="DR51" t="str">
        <f>""</f>
        <v/>
      </c>
      <c r="DS51" t="str">
        <f>""</f>
        <v/>
      </c>
      <c r="DT51" t="str">
        <f>""</f>
        <v/>
      </c>
      <c r="DU51" t="str">
        <f>""</f>
        <v/>
      </c>
    </row>
    <row r="52" spans="1:125" x14ac:dyDescent="0.25">
      <c r="A52" t="str">
        <f>"    Daimler AG"</f>
        <v xml:space="preserve">    Daimler AG</v>
      </c>
      <c r="B52" t="str">
        <f>"DAI GR Equity"</f>
        <v>DAI GR Equity</v>
      </c>
      <c r="C52" t="str">
        <f t="shared" si="3"/>
        <v>EZ019</v>
      </c>
      <c r="D52" t="str">
        <f t="shared" si="4"/>
        <v>BEST_EEPS_CUR_YR</v>
      </c>
      <c r="E52" t="str">
        <f t="shared" si="5"/>
        <v>Dynamic</v>
      </c>
      <c r="F52">
        <f ca="1">IF(AND(ISNUMBER($F$560),$B$511=1),$F$560,HLOOKUP(INDIRECT(ADDRESS(2,COLUMN())),OFFSET($BN$2,0,0,ROW()-1,60),ROW()-1,FALSE))</f>
        <v>8.9060000000000006</v>
      </c>
      <c r="G52">
        <f ca="1">IF(AND(ISNUMBER($G$560),$B$511=1),$G$560,HLOOKUP(INDIRECT(ADDRESS(2,COLUMN())),OFFSET($BN$2,0,0,ROW()-1,60),ROW()-1,FALSE))</f>
        <v>9.5239999999999991</v>
      </c>
      <c r="H52">
        <f ca="1">IF(AND(ISNUMBER($H$560),$B$511=1),$H$560,HLOOKUP(INDIRECT(ADDRESS(2,COLUMN())),OFFSET($BN$2,0,0,ROW()-1,60),ROW()-1,FALSE))</f>
        <v>10.603999999999999</v>
      </c>
      <c r="I52">
        <f ca="1">IF(AND(ISNUMBER($I$560),$B$511=1),$I$560,HLOOKUP(INDIRECT(ADDRESS(2,COLUMN())),OFFSET($BN$2,0,0,ROW()-1,60),ROW()-1,FALSE))</f>
        <v>10.96</v>
      </c>
      <c r="J52">
        <f ca="1">IF(AND(ISNUMBER($J$560),$B$511=1),$J$560,HLOOKUP(INDIRECT(ADDRESS(2,COLUMN())),OFFSET($BN$2,0,0,ROW()-1,60),ROW()-1,FALSE))</f>
        <v>11.888</v>
      </c>
      <c r="K52">
        <f ca="1">IF(AND(ISNUMBER($K$560),$B$511=1),$K$560,HLOOKUP(INDIRECT(ADDRESS(2,COLUMN())),OFFSET($BN$2,0,0,ROW()-1,60),ROW()-1,FALSE))</f>
        <v>10.981</v>
      </c>
      <c r="L52">
        <f ca="1">IF(AND(ISNUMBER($L$560),$B$511=1),$L$560,HLOOKUP(INDIRECT(ADDRESS(2,COLUMN())),OFFSET($BN$2,0,0,ROW()-1,60),ROW()-1,FALSE))</f>
        <v>10.673</v>
      </c>
      <c r="M52">
        <f ca="1">IF(AND(ISNUMBER($M$560),$B$511=1),$M$560,HLOOKUP(INDIRECT(ADDRESS(2,COLUMN())),OFFSET($BN$2,0,0,ROW()-1,60),ROW()-1,FALSE))</f>
        <v>10.057</v>
      </c>
      <c r="N52">
        <f ca="1">IF(AND(ISNUMBER($N$560),$B$511=1),$N$560,HLOOKUP(INDIRECT(ADDRESS(2,COLUMN())),OFFSET($BN$2,0,0,ROW()-1,60),ROW()-1,FALSE))</f>
        <v>9.2910000000000004</v>
      </c>
      <c r="O52">
        <f ca="1">IF(AND(ISNUMBER($O$560),$B$511=1),$O$560,HLOOKUP(INDIRECT(ADDRESS(2,COLUMN())),OFFSET($BN$2,0,0,ROW()-1,60),ROW()-1,FALSE))</f>
        <v>7.3410000000000002</v>
      </c>
      <c r="P52">
        <f ca="1">IF(AND(ISNUMBER($P$560),$B$511=1),$P$560,HLOOKUP(INDIRECT(ADDRESS(2,COLUMN())),OFFSET($BN$2,0,0,ROW()-1,60),ROW()-1,FALSE))</f>
        <v>10.566000000000001</v>
      </c>
      <c r="Q52">
        <f ca="1">IF(AND(ISNUMBER($Q$560),$B$511=1),$Q$560,HLOOKUP(INDIRECT(ADDRESS(2,COLUMN())),OFFSET($BN$2,0,0,ROW()-1,60),ROW()-1,FALSE))</f>
        <v>7.992</v>
      </c>
      <c r="R52">
        <f ca="1">IF(AND(ISNUMBER($R$560),$B$511=1),$R$560,HLOOKUP(INDIRECT(ADDRESS(2,COLUMN())),OFFSET($BN$2,0,0,ROW()-1,60),ROW()-1,FALSE))</f>
        <v>10.31</v>
      </c>
      <c r="S52">
        <f ca="1">IF(AND(ISNUMBER($S$560),$B$511=1),$S$560,HLOOKUP(INDIRECT(ADDRESS(2,COLUMN())),OFFSET($BN$2,0,0,ROW()-1,60),ROW()-1,FALSE))</f>
        <v>10.098000000000001</v>
      </c>
      <c r="T52">
        <f ca="1">IF(AND(ISNUMBER($T$560),$B$511=1),$T$560,HLOOKUP(INDIRECT(ADDRESS(2,COLUMN())),OFFSET($BN$2,0,0,ROW()-1,60),ROW()-1,FALSE))</f>
        <v>9.8819999999999997</v>
      </c>
      <c r="U52">
        <f ca="1">IF(AND(ISNUMBER($U$560),$B$511=1),$U$560,HLOOKUP(INDIRECT(ADDRESS(2,COLUMN())),OFFSET($BN$2,0,0,ROW()-1,60),ROW()-1,FALSE))</f>
        <v>9.375</v>
      </c>
      <c r="V52">
        <f ca="1">IF(AND(ISNUMBER($V$560),$B$511=1),$V$560,HLOOKUP(INDIRECT(ADDRESS(2,COLUMN())),OFFSET($BN$2,0,0,ROW()-1,60),ROW()-1,FALSE))</f>
        <v>9.5250000000000004</v>
      </c>
      <c r="W52" t="str">
        <f ca="1">IF(AND(ISNUMBER($W$560),$B$511=1),$W$560,HLOOKUP(INDIRECT(ADDRESS(2,COLUMN())),OFFSET($BN$2,0,0,ROW()-1,60),ROW()-1,FALSE))</f>
        <v/>
      </c>
      <c r="X52" t="str">
        <f ca="1">IF(AND(ISNUMBER($X$560),$B$511=1),$X$560,HLOOKUP(INDIRECT(ADDRESS(2,COLUMN())),OFFSET($BN$2,0,0,ROW()-1,60),ROW()-1,FALSE))</f>
        <v/>
      </c>
      <c r="Y52" t="str">
        <f ca="1">IF(AND(ISNUMBER($Y$560),$B$511=1),$Y$560,HLOOKUP(INDIRECT(ADDRESS(2,COLUMN())),OFFSET($BN$2,0,0,ROW()-1,60),ROW()-1,FALSE))</f>
        <v/>
      </c>
      <c r="Z52" t="str">
        <f ca="1">IF(AND(ISNUMBER($Z$560),$B$511=1),$Z$560,HLOOKUP(INDIRECT(ADDRESS(2,COLUMN())),OFFSET($BN$2,0,0,ROW()-1,60),ROW()-1,FALSE))</f>
        <v/>
      </c>
      <c r="AA52" t="str">
        <f ca="1">IF(AND(ISNUMBER($AA$560),$B$511=1),$AA$560,HLOOKUP(INDIRECT(ADDRESS(2,COLUMN())),OFFSET($BN$2,0,0,ROW()-1,60),ROW()-1,FALSE))</f>
        <v/>
      </c>
      <c r="AB52" t="str">
        <f ca="1">IF(AND(ISNUMBER($AB$560),$B$511=1),$AB$560,HLOOKUP(INDIRECT(ADDRESS(2,COLUMN())),OFFSET($BN$2,0,0,ROW()-1,60),ROW()-1,FALSE))</f>
        <v/>
      </c>
      <c r="AC52" t="str">
        <f ca="1">IF(AND(ISNUMBER($AC$560),$B$511=1),$AC$560,HLOOKUP(INDIRECT(ADDRESS(2,COLUMN())),OFFSET($BN$2,0,0,ROW()-1,60),ROW()-1,FALSE))</f>
        <v/>
      </c>
      <c r="AD52" t="str">
        <f ca="1">IF(AND(ISNUMBER($AD$560),$B$511=1),$AD$560,HLOOKUP(INDIRECT(ADDRESS(2,COLUMN())),OFFSET($BN$2,0,0,ROW()-1,60),ROW()-1,FALSE))</f>
        <v/>
      </c>
      <c r="AE52" t="str">
        <f ca="1">IF(AND(ISNUMBER($AE$560),$B$511=1),$AE$560,HLOOKUP(INDIRECT(ADDRESS(2,COLUMN())),OFFSET($BN$2,0,0,ROW()-1,60),ROW()-1,FALSE))</f>
        <v/>
      </c>
      <c r="AF52" t="str">
        <f ca="1">IF(AND(ISNUMBER($AF$560),$B$511=1),$AF$560,HLOOKUP(INDIRECT(ADDRESS(2,COLUMN())),OFFSET($BN$2,0,0,ROW()-1,60),ROW()-1,FALSE))</f>
        <v/>
      </c>
      <c r="AG52" t="str">
        <f ca="1">IF(AND(ISNUMBER($AG$560),$B$511=1),$AG$560,HLOOKUP(INDIRECT(ADDRESS(2,COLUMN())),OFFSET($BN$2,0,0,ROW()-1,60),ROW()-1,FALSE))</f>
        <v/>
      </c>
      <c r="AH52" t="str">
        <f ca="1">IF(AND(ISNUMBER($AH$560),$B$511=1),$AH$560,HLOOKUP(INDIRECT(ADDRESS(2,COLUMN())),OFFSET($BN$2,0,0,ROW()-1,60),ROW()-1,FALSE))</f>
        <v/>
      </c>
      <c r="AI52" t="str">
        <f ca="1">IF(AND(ISNUMBER($AI$560),$B$511=1),$AI$560,HLOOKUP(INDIRECT(ADDRESS(2,COLUMN())),OFFSET($BN$2,0,0,ROW()-1,60),ROW()-1,FALSE))</f>
        <v/>
      </c>
      <c r="AJ52" t="str">
        <f ca="1">IF(AND(ISNUMBER($AJ$560),$B$511=1),$AJ$560,HLOOKUP(INDIRECT(ADDRESS(2,COLUMN())),OFFSET($BN$2,0,0,ROW()-1,60),ROW()-1,FALSE))</f>
        <v/>
      </c>
      <c r="AK52" t="str">
        <f ca="1">IF(AND(ISNUMBER($AK$560),$B$511=1),$AK$560,HLOOKUP(INDIRECT(ADDRESS(2,COLUMN())),OFFSET($BN$2,0,0,ROW()-1,60),ROW()-1,FALSE))</f>
        <v/>
      </c>
      <c r="AL52" t="str">
        <f ca="1">IF(AND(ISNUMBER($AL$560),$B$511=1),$AL$560,HLOOKUP(INDIRECT(ADDRESS(2,COLUMN())),OFFSET($BN$2,0,0,ROW()-1,60),ROW()-1,FALSE))</f>
        <v/>
      </c>
      <c r="AM52" t="str">
        <f ca="1">IF(AND(ISNUMBER($AM$560),$B$511=1),$AM$560,HLOOKUP(INDIRECT(ADDRESS(2,COLUMN())),OFFSET($BN$2,0,0,ROW()-1,60),ROW()-1,FALSE))</f>
        <v/>
      </c>
      <c r="AN52" t="str">
        <f ca="1">IF(AND(ISNUMBER($AN$560),$B$511=1),$AN$560,HLOOKUP(INDIRECT(ADDRESS(2,COLUMN())),OFFSET($BN$2,0,0,ROW()-1,60),ROW()-1,FALSE))</f>
        <v/>
      </c>
      <c r="AO52" t="str">
        <f ca="1">IF(AND(ISNUMBER($AO$560),$B$511=1),$AO$560,HLOOKUP(INDIRECT(ADDRESS(2,COLUMN())),OFFSET($BN$2,0,0,ROW()-1,60),ROW()-1,FALSE))</f>
        <v/>
      </c>
      <c r="AP52" t="str">
        <f ca="1">IF(AND(ISNUMBER($AP$560),$B$511=1),$AP$560,HLOOKUP(INDIRECT(ADDRESS(2,COLUMN())),OFFSET($BN$2,0,0,ROW()-1,60),ROW()-1,FALSE))</f>
        <v/>
      </c>
      <c r="AQ52" t="str">
        <f ca="1">IF(AND(ISNUMBER($AQ$560),$B$511=1),$AQ$560,HLOOKUP(INDIRECT(ADDRESS(2,COLUMN())),OFFSET($BN$2,0,0,ROW()-1,60),ROW()-1,FALSE))</f>
        <v/>
      </c>
      <c r="AR52" t="str">
        <f ca="1">IF(AND(ISNUMBER($AR$560),$B$511=1),$AR$560,HLOOKUP(INDIRECT(ADDRESS(2,COLUMN())),OFFSET($BN$2,0,0,ROW()-1,60),ROW()-1,FALSE))</f>
        <v/>
      </c>
      <c r="AS52" t="str">
        <f ca="1">IF(AND(ISNUMBER($AS$560),$B$511=1),$AS$560,HLOOKUP(INDIRECT(ADDRESS(2,COLUMN())),OFFSET($BN$2,0,0,ROW()-1,60),ROW()-1,FALSE))</f>
        <v/>
      </c>
      <c r="AT52" t="str">
        <f ca="1">IF(AND(ISNUMBER($AT$560),$B$511=1),$AT$560,HLOOKUP(INDIRECT(ADDRESS(2,COLUMN())),OFFSET($BN$2,0,0,ROW()-1,60),ROW()-1,FALSE))</f>
        <v/>
      </c>
      <c r="AU52" t="str">
        <f ca="1">IF(AND(ISNUMBER($AU$560),$B$511=1),$AU$560,HLOOKUP(INDIRECT(ADDRESS(2,COLUMN())),OFFSET($BN$2,0,0,ROW()-1,60),ROW()-1,FALSE))</f>
        <v/>
      </c>
      <c r="AV52" t="str">
        <f ca="1">IF(AND(ISNUMBER($AV$560),$B$511=1),$AV$560,HLOOKUP(INDIRECT(ADDRESS(2,COLUMN())),OFFSET($BN$2,0,0,ROW()-1,60),ROW()-1,FALSE))</f>
        <v/>
      </c>
      <c r="AW52" t="str">
        <f ca="1">IF(AND(ISNUMBER($AW$560),$B$511=1),$AW$560,HLOOKUP(INDIRECT(ADDRESS(2,COLUMN())),OFFSET($BN$2,0,0,ROW()-1,60),ROW()-1,FALSE))</f>
        <v/>
      </c>
      <c r="AX52" t="str">
        <f ca="1">IF(AND(ISNUMBER($AX$560),$B$511=1),$AX$560,HLOOKUP(INDIRECT(ADDRESS(2,COLUMN())),OFFSET($BN$2,0,0,ROW()-1,60),ROW()-1,FALSE))</f>
        <v/>
      </c>
      <c r="AY52" t="str">
        <f ca="1">IF(AND(ISNUMBER($AY$560),$B$511=1),$AY$560,HLOOKUP(INDIRECT(ADDRESS(2,COLUMN())),OFFSET($BN$2,0,0,ROW()-1,60),ROW()-1,FALSE))</f>
        <v/>
      </c>
      <c r="AZ52" t="str">
        <f ca="1">IF(AND(ISNUMBER($AZ$560),$B$511=1),$AZ$560,HLOOKUP(INDIRECT(ADDRESS(2,COLUMN())),OFFSET($BN$2,0,0,ROW()-1,60),ROW()-1,FALSE))</f>
        <v/>
      </c>
      <c r="BA52" t="str">
        <f ca="1">IF(AND(ISNUMBER($BA$560),$B$511=1),$BA$560,HLOOKUP(INDIRECT(ADDRESS(2,COLUMN())),OFFSET($BN$2,0,0,ROW()-1,60),ROW()-1,FALSE))</f>
        <v/>
      </c>
      <c r="BB52" t="str">
        <f ca="1">IF(AND(ISNUMBER($BB$560),$B$511=1),$BB$560,HLOOKUP(INDIRECT(ADDRESS(2,COLUMN())),OFFSET($BN$2,0,0,ROW()-1,60),ROW()-1,FALSE))</f>
        <v/>
      </c>
      <c r="BC52" t="str">
        <f ca="1">IF(AND(ISNUMBER($BC$560),$B$511=1),$BC$560,HLOOKUP(INDIRECT(ADDRESS(2,COLUMN())),OFFSET($BN$2,0,0,ROW()-1,60),ROW()-1,FALSE))</f>
        <v/>
      </c>
      <c r="BD52" t="str">
        <f ca="1">IF(AND(ISNUMBER($BD$560),$B$511=1),$BD$560,HLOOKUP(INDIRECT(ADDRESS(2,COLUMN())),OFFSET($BN$2,0,0,ROW()-1,60),ROW()-1,FALSE))</f>
        <v/>
      </c>
      <c r="BE52" t="str">
        <f ca="1">IF(AND(ISNUMBER($BE$560),$B$511=1),$BE$560,HLOOKUP(INDIRECT(ADDRESS(2,COLUMN())),OFFSET($BN$2,0,0,ROW()-1,60),ROW()-1,FALSE))</f>
        <v/>
      </c>
      <c r="BF52" t="str">
        <f ca="1">IF(AND(ISNUMBER($BF$560),$B$511=1),$BF$560,HLOOKUP(INDIRECT(ADDRESS(2,COLUMN())),OFFSET($BN$2,0,0,ROW()-1,60),ROW()-1,FALSE))</f>
        <v/>
      </c>
      <c r="BG52" t="str">
        <f ca="1">IF(AND(ISNUMBER($BG$560),$B$511=1),$BG$560,HLOOKUP(INDIRECT(ADDRESS(2,COLUMN())),OFFSET($BN$2,0,0,ROW()-1,60),ROW()-1,FALSE))</f>
        <v/>
      </c>
      <c r="BH52" t="str">
        <f ca="1">IF(AND(ISNUMBER($BH$560),$B$511=1),$BH$560,HLOOKUP(INDIRECT(ADDRESS(2,COLUMN())),OFFSET($BN$2,0,0,ROW()-1,60),ROW()-1,FALSE))</f>
        <v/>
      </c>
      <c r="BI52" t="str">
        <f ca="1">IF(AND(ISNUMBER($BI$560),$B$511=1),$BI$560,HLOOKUP(INDIRECT(ADDRESS(2,COLUMN())),OFFSET($BN$2,0,0,ROW()-1,60),ROW()-1,FALSE))</f>
        <v/>
      </c>
      <c r="BJ52" t="str">
        <f ca="1">IF(AND(ISNUMBER($BJ$560),$B$511=1),$BJ$560,HLOOKUP(INDIRECT(ADDRESS(2,COLUMN())),OFFSET($BN$2,0,0,ROW()-1,60),ROW()-1,FALSE))</f>
        <v/>
      </c>
      <c r="BK52" t="str">
        <f ca="1">IF(AND(ISNUMBER($BK$560),$B$511=1),$BK$560,HLOOKUP(INDIRECT(ADDRESS(2,COLUMN())),OFFSET($BN$2,0,0,ROW()-1,60),ROW()-1,FALSE))</f>
        <v/>
      </c>
      <c r="BL52" t="str">
        <f ca="1">IF(AND(ISNUMBER($BL$560),$B$511=1),$BL$560,HLOOKUP(INDIRECT(ADDRESS(2,COLUMN())),OFFSET($BN$2,0,0,ROW()-1,60),ROW()-1,FALSE))</f>
        <v/>
      </c>
      <c r="BM52" t="str">
        <f ca="1">IF(AND(ISNUMBER($BM$560),$B$511=1),$BM$560,HLOOKUP(INDIRECT(ADDRESS(2,COLUMN())),OFFSET($BN$2,0,0,ROW()-1,60),ROW()-1,FALSE))</f>
        <v/>
      </c>
      <c r="BN52">
        <f>8.906</f>
        <v>8.9060000000000006</v>
      </c>
      <c r="BO52">
        <f>9.524</f>
        <v>9.5239999999999991</v>
      </c>
      <c r="BP52">
        <f>10.604</f>
        <v>10.603999999999999</v>
      </c>
      <c r="BQ52">
        <f>10.96</f>
        <v>10.96</v>
      </c>
      <c r="BR52">
        <f>11.888</f>
        <v>11.888</v>
      </c>
      <c r="BS52">
        <f>10.981</f>
        <v>10.981</v>
      </c>
      <c r="BT52">
        <f>10.673</f>
        <v>10.673</v>
      </c>
      <c r="BU52">
        <f>10.057</f>
        <v>10.057</v>
      </c>
      <c r="BV52">
        <f>9.291</f>
        <v>9.2910000000000004</v>
      </c>
      <c r="BW52">
        <f>7.341</f>
        <v>7.3410000000000002</v>
      </c>
      <c r="BX52">
        <f>10.566</f>
        <v>10.566000000000001</v>
      </c>
      <c r="BY52">
        <f>7.992</f>
        <v>7.992</v>
      </c>
      <c r="BZ52">
        <f>10.31</f>
        <v>10.31</v>
      </c>
      <c r="CA52">
        <f>10.098</f>
        <v>10.098000000000001</v>
      </c>
      <c r="CB52">
        <f>9.882</f>
        <v>9.8819999999999997</v>
      </c>
      <c r="CC52">
        <f>9.375</f>
        <v>9.375</v>
      </c>
      <c r="CD52">
        <f>9.525</f>
        <v>9.5250000000000004</v>
      </c>
      <c r="CE52" t="str">
        <f>""</f>
        <v/>
      </c>
      <c r="CF52" t="str">
        <f>""</f>
        <v/>
      </c>
      <c r="CG52" t="str">
        <f>""</f>
        <v/>
      </c>
      <c r="CH52" t="str">
        <f>""</f>
        <v/>
      </c>
      <c r="CI52" t="str">
        <f>""</f>
        <v/>
      </c>
      <c r="CJ52" t="str">
        <f>""</f>
        <v/>
      </c>
      <c r="CK52" t="str">
        <f>""</f>
        <v/>
      </c>
      <c r="CL52" t="str">
        <f>""</f>
        <v/>
      </c>
      <c r="CM52" t="str">
        <f>""</f>
        <v/>
      </c>
      <c r="CN52" t="str">
        <f>""</f>
        <v/>
      </c>
      <c r="CO52" t="str">
        <f>""</f>
        <v/>
      </c>
      <c r="CP52" t="str">
        <f>""</f>
        <v/>
      </c>
      <c r="CQ52" t="str">
        <f>""</f>
        <v/>
      </c>
      <c r="CR52" t="str">
        <f>""</f>
        <v/>
      </c>
      <c r="CS52" t="str">
        <f>""</f>
        <v/>
      </c>
      <c r="CT52" t="str">
        <f>""</f>
        <v/>
      </c>
      <c r="CU52" t="str">
        <f>""</f>
        <v/>
      </c>
      <c r="CV52" t="str">
        <f>""</f>
        <v/>
      </c>
      <c r="CW52" t="str">
        <f>""</f>
        <v/>
      </c>
      <c r="CX52" t="str">
        <f>""</f>
        <v/>
      </c>
      <c r="CY52" t="str">
        <f>""</f>
        <v/>
      </c>
      <c r="CZ52" t="str">
        <f>""</f>
        <v/>
      </c>
      <c r="DA52" t="str">
        <f>""</f>
        <v/>
      </c>
      <c r="DB52" t="str">
        <f>""</f>
        <v/>
      </c>
      <c r="DC52" t="str">
        <f>""</f>
        <v/>
      </c>
      <c r="DD52" t="str">
        <f>""</f>
        <v/>
      </c>
      <c r="DE52" t="str">
        <f>""</f>
        <v/>
      </c>
      <c r="DF52" t="str">
        <f>""</f>
        <v/>
      </c>
      <c r="DG52" t="str">
        <f>""</f>
        <v/>
      </c>
      <c r="DH52" t="str">
        <f>""</f>
        <v/>
      </c>
      <c r="DI52" t="str">
        <f>""</f>
        <v/>
      </c>
      <c r="DJ52" t="str">
        <f>""</f>
        <v/>
      </c>
      <c r="DK52" t="str">
        <f>""</f>
        <v/>
      </c>
      <c r="DL52" t="str">
        <f>""</f>
        <v/>
      </c>
      <c r="DM52" t="str">
        <f>""</f>
        <v/>
      </c>
      <c r="DN52" t="str">
        <f>""</f>
        <v/>
      </c>
      <c r="DO52" t="str">
        <f>""</f>
        <v/>
      </c>
      <c r="DP52" t="str">
        <f>""</f>
        <v/>
      </c>
      <c r="DQ52" t="str">
        <f>""</f>
        <v/>
      </c>
      <c r="DR52" t="str">
        <f>""</f>
        <v/>
      </c>
      <c r="DS52" t="str">
        <f>""</f>
        <v/>
      </c>
      <c r="DT52" t="str">
        <f>""</f>
        <v/>
      </c>
      <c r="DU52" t="str">
        <f>""</f>
        <v/>
      </c>
    </row>
    <row r="53" spans="1:125" x14ac:dyDescent="0.25">
      <c r="A53" t="str">
        <f>"    Dongfeng Motor Group Co Ltd"</f>
        <v xml:space="preserve">    Dongfeng Motor Group Co Ltd</v>
      </c>
      <c r="B53" t="str">
        <f>"489 HK Equity"</f>
        <v>489 HK Equity</v>
      </c>
      <c r="C53" t="str">
        <f t="shared" si="3"/>
        <v>EZ019</v>
      </c>
      <c r="D53" t="str">
        <f t="shared" si="4"/>
        <v>BEST_EEPS_CUR_YR</v>
      </c>
      <c r="E53" t="str">
        <f t="shared" si="5"/>
        <v>Dynamic</v>
      </c>
      <c r="F53">
        <f ca="1">IF(AND(ISNUMBER($F$561),$B$511=1),$F$561,HLOOKUP(INDIRECT(ADDRESS(2,COLUMN())),OFFSET($BN$2,0,0,ROW()-1,60),ROW()-1,FALSE))</f>
        <v>0.245</v>
      </c>
      <c r="G53">
        <f ca="1">IF(AND(ISNUMBER($G$561),$B$511=1),$G$561,HLOOKUP(INDIRECT(ADDRESS(2,COLUMN())),OFFSET($BN$2,0,0,ROW()-1,60),ROW()-1,FALSE))</f>
        <v>0.24</v>
      </c>
      <c r="H53">
        <f ca="1">IF(AND(ISNUMBER($H$561),$B$511=1),$H$561,HLOOKUP(INDIRECT(ADDRESS(2,COLUMN())),OFFSET($BN$2,0,0,ROW()-1,60),ROW()-1,FALSE))</f>
        <v>0.245</v>
      </c>
      <c r="I53">
        <f ca="1">IF(AND(ISNUMBER($I$561),$B$511=1),$I$561,HLOOKUP(INDIRECT(ADDRESS(2,COLUMN())),OFFSET($BN$2,0,0,ROW()-1,60),ROW()-1,FALSE))</f>
        <v>0.24399999999999999</v>
      </c>
      <c r="J53">
        <f ca="1">IF(AND(ISNUMBER($J$561),$B$511=1),$J$561,HLOOKUP(INDIRECT(ADDRESS(2,COLUMN())),OFFSET($BN$2,0,0,ROW()-1,60),ROW()-1,FALSE))</f>
        <v>0.255</v>
      </c>
      <c r="K53">
        <f ca="1">IF(AND(ISNUMBER($K$561),$B$511=1),$K$561,HLOOKUP(INDIRECT(ADDRESS(2,COLUMN())),OFFSET($BN$2,0,0,ROW()-1,60),ROW()-1,FALSE))</f>
        <v>0.247</v>
      </c>
      <c r="L53">
        <f ca="1">IF(AND(ISNUMBER($L$561),$B$511=1),$L$561,HLOOKUP(INDIRECT(ADDRESS(2,COLUMN())),OFFSET($BN$2,0,0,ROW()-1,60),ROW()-1,FALSE))</f>
        <v>0.24399999999999999</v>
      </c>
      <c r="M53">
        <f ca="1">IF(AND(ISNUMBER($M$561),$B$511=1),$M$561,HLOOKUP(INDIRECT(ADDRESS(2,COLUMN())),OFFSET($BN$2,0,0,ROW()-1,60),ROW()-1,FALSE))</f>
        <v>0.23100000000000001</v>
      </c>
      <c r="N53">
        <f ca="1">IF(AND(ISNUMBER($N$561),$B$511=1),$N$561,HLOOKUP(INDIRECT(ADDRESS(2,COLUMN())),OFFSET($BN$2,0,0,ROW()-1,60),ROW()-1,FALSE))</f>
        <v>0.22500000000000001</v>
      </c>
      <c r="O53">
        <f ca="1">IF(AND(ISNUMBER($O$561),$B$511=1),$O$561,HLOOKUP(INDIRECT(ADDRESS(2,COLUMN())),OFFSET($BN$2,0,0,ROW()-1,60),ROW()-1,FALSE))</f>
        <v>0.219</v>
      </c>
      <c r="P53">
        <f ca="1">IF(AND(ISNUMBER($P$561),$B$511=1),$P$561,HLOOKUP(INDIRECT(ADDRESS(2,COLUMN())),OFFSET($BN$2,0,0,ROW()-1,60),ROW()-1,FALSE))</f>
        <v>0.23200000000000001</v>
      </c>
      <c r="Q53">
        <f ca="1">IF(AND(ISNUMBER($Q$561),$B$511=1),$Q$561,HLOOKUP(INDIRECT(ADDRESS(2,COLUMN())),OFFSET($BN$2,0,0,ROW()-1,60),ROW()-1,FALSE))</f>
        <v>0.23300000000000001</v>
      </c>
      <c r="R53">
        <f ca="1">IF(AND(ISNUMBER($R$561),$B$511=1),$R$561,HLOOKUP(INDIRECT(ADDRESS(2,COLUMN())),OFFSET($BN$2,0,0,ROW()-1,60),ROW()-1,FALSE))</f>
        <v>0.22500000000000001</v>
      </c>
      <c r="S53">
        <f ca="1">IF(AND(ISNUMBER($S$561),$B$511=1),$S$561,HLOOKUP(INDIRECT(ADDRESS(2,COLUMN())),OFFSET($BN$2,0,0,ROW()-1,60),ROW()-1,FALSE))</f>
        <v>0.184</v>
      </c>
      <c r="T53">
        <f ca="1">IF(AND(ISNUMBER($T$561),$B$511=1),$T$561,HLOOKUP(INDIRECT(ADDRESS(2,COLUMN())),OFFSET($BN$2,0,0,ROW()-1,60),ROW()-1,FALSE))</f>
        <v>0.156</v>
      </c>
      <c r="U53">
        <f ca="1">IF(AND(ISNUMBER($U$561),$B$511=1),$U$561,HLOOKUP(INDIRECT(ADDRESS(2,COLUMN())),OFFSET($BN$2,0,0,ROW()-1,60),ROW()-1,FALSE))</f>
        <v>0.28999999999999998</v>
      </c>
      <c r="V53">
        <f ca="1">IF(AND(ISNUMBER($V$561),$B$511=1),$V$561,HLOOKUP(INDIRECT(ADDRESS(2,COLUMN())),OFFSET($BN$2,0,0,ROW()-1,60),ROW()-1,FALSE))</f>
        <v>0.315</v>
      </c>
      <c r="W53">
        <f ca="1">IF(AND(ISNUMBER($W$561),$B$511=1),$W$561,HLOOKUP(INDIRECT(ADDRESS(2,COLUMN())),OFFSET($BN$2,0,0,ROW()-1,60),ROW()-1,FALSE))</f>
        <v>0.35</v>
      </c>
      <c r="X53" t="str">
        <f ca="1">IF(AND(ISNUMBER($X$561),$B$511=1),$X$561,HLOOKUP(INDIRECT(ADDRESS(2,COLUMN())),OFFSET($BN$2,0,0,ROW()-1,60),ROW()-1,FALSE))</f>
        <v/>
      </c>
      <c r="Y53" t="str">
        <f ca="1">IF(AND(ISNUMBER($Y$561),$B$511=1),$Y$561,HLOOKUP(INDIRECT(ADDRESS(2,COLUMN())),OFFSET($BN$2,0,0,ROW()-1,60),ROW()-1,FALSE))</f>
        <v/>
      </c>
      <c r="Z53" t="str">
        <f ca="1">IF(AND(ISNUMBER($Z$561),$B$511=1),$Z$561,HLOOKUP(INDIRECT(ADDRESS(2,COLUMN())),OFFSET($BN$2,0,0,ROW()-1,60),ROW()-1,FALSE))</f>
        <v/>
      </c>
      <c r="AA53" t="str">
        <f ca="1">IF(AND(ISNUMBER($AA$561),$B$511=1),$AA$561,HLOOKUP(INDIRECT(ADDRESS(2,COLUMN())),OFFSET($BN$2,0,0,ROW()-1,60),ROW()-1,FALSE))</f>
        <v/>
      </c>
      <c r="AB53" t="str">
        <f ca="1">IF(AND(ISNUMBER($AB$561),$B$511=1),$AB$561,HLOOKUP(INDIRECT(ADDRESS(2,COLUMN())),OFFSET($BN$2,0,0,ROW()-1,60),ROW()-1,FALSE))</f>
        <v/>
      </c>
      <c r="AC53" t="str">
        <f ca="1">IF(AND(ISNUMBER($AC$561),$B$511=1),$AC$561,HLOOKUP(INDIRECT(ADDRESS(2,COLUMN())),OFFSET($BN$2,0,0,ROW()-1,60),ROW()-1,FALSE))</f>
        <v/>
      </c>
      <c r="AD53" t="str">
        <f ca="1">IF(AND(ISNUMBER($AD$561),$B$511=1),$AD$561,HLOOKUP(INDIRECT(ADDRESS(2,COLUMN())),OFFSET($BN$2,0,0,ROW()-1,60),ROW()-1,FALSE))</f>
        <v/>
      </c>
      <c r="AE53" t="str">
        <f ca="1">IF(AND(ISNUMBER($AE$561),$B$511=1),$AE$561,HLOOKUP(INDIRECT(ADDRESS(2,COLUMN())),OFFSET($BN$2,0,0,ROW()-1,60),ROW()-1,FALSE))</f>
        <v/>
      </c>
      <c r="AF53" t="str">
        <f ca="1">IF(AND(ISNUMBER($AF$561),$B$511=1),$AF$561,HLOOKUP(INDIRECT(ADDRESS(2,COLUMN())),OFFSET($BN$2,0,0,ROW()-1,60),ROW()-1,FALSE))</f>
        <v/>
      </c>
      <c r="AG53" t="str">
        <f ca="1">IF(AND(ISNUMBER($AG$561),$B$511=1),$AG$561,HLOOKUP(INDIRECT(ADDRESS(2,COLUMN())),OFFSET($BN$2,0,0,ROW()-1,60),ROW()-1,FALSE))</f>
        <v/>
      </c>
      <c r="AH53" t="str">
        <f ca="1">IF(AND(ISNUMBER($AH$561),$B$511=1),$AH$561,HLOOKUP(INDIRECT(ADDRESS(2,COLUMN())),OFFSET($BN$2,0,0,ROW()-1,60),ROW()-1,FALSE))</f>
        <v/>
      </c>
      <c r="AI53" t="str">
        <f ca="1">IF(AND(ISNUMBER($AI$561),$B$511=1),$AI$561,HLOOKUP(INDIRECT(ADDRESS(2,COLUMN())),OFFSET($BN$2,0,0,ROW()-1,60),ROW()-1,FALSE))</f>
        <v/>
      </c>
      <c r="AJ53" t="str">
        <f ca="1">IF(AND(ISNUMBER($AJ$561),$B$511=1),$AJ$561,HLOOKUP(INDIRECT(ADDRESS(2,COLUMN())),OFFSET($BN$2,0,0,ROW()-1,60),ROW()-1,FALSE))</f>
        <v/>
      </c>
      <c r="AK53" t="str">
        <f ca="1">IF(AND(ISNUMBER($AK$561),$B$511=1),$AK$561,HLOOKUP(INDIRECT(ADDRESS(2,COLUMN())),OFFSET($BN$2,0,0,ROW()-1,60),ROW()-1,FALSE))</f>
        <v/>
      </c>
      <c r="AL53" t="str">
        <f ca="1">IF(AND(ISNUMBER($AL$561),$B$511=1),$AL$561,HLOOKUP(INDIRECT(ADDRESS(2,COLUMN())),OFFSET($BN$2,0,0,ROW()-1,60),ROW()-1,FALSE))</f>
        <v/>
      </c>
      <c r="AM53" t="str">
        <f ca="1">IF(AND(ISNUMBER($AM$561),$B$511=1),$AM$561,HLOOKUP(INDIRECT(ADDRESS(2,COLUMN())),OFFSET($BN$2,0,0,ROW()-1,60),ROW()-1,FALSE))</f>
        <v/>
      </c>
      <c r="AN53" t="str">
        <f ca="1">IF(AND(ISNUMBER($AN$561),$B$511=1),$AN$561,HLOOKUP(INDIRECT(ADDRESS(2,COLUMN())),OFFSET($BN$2,0,0,ROW()-1,60),ROW()-1,FALSE))</f>
        <v/>
      </c>
      <c r="AO53" t="str">
        <f ca="1">IF(AND(ISNUMBER($AO$561),$B$511=1),$AO$561,HLOOKUP(INDIRECT(ADDRESS(2,COLUMN())),OFFSET($BN$2,0,0,ROW()-1,60),ROW()-1,FALSE))</f>
        <v/>
      </c>
      <c r="AP53" t="str">
        <f ca="1">IF(AND(ISNUMBER($AP$561),$B$511=1),$AP$561,HLOOKUP(INDIRECT(ADDRESS(2,COLUMN())),OFFSET($BN$2,0,0,ROW()-1,60),ROW()-1,FALSE))</f>
        <v/>
      </c>
      <c r="AQ53" t="str">
        <f ca="1">IF(AND(ISNUMBER($AQ$561),$B$511=1),$AQ$561,HLOOKUP(INDIRECT(ADDRESS(2,COLUMN())),OFFSET($BN$2,0,0,ROW()-1,60),ROW()-1,FALSE))</f>
        <v/>
      </c>
      <c r="AR53" t="str">
        <f ca="1">IF(AND(ISNUMBER($AR$561),$B$511=1),$AR$561,HLOOKUP(INDIRECT(ADDRESS(2,COLUMN())),OFFSET($BN$2,0,0,ROW()-1,60),ROW()-1,FALSE))</f>
        <v/>
      </c>
      <c r="AS53" t="str">
        <f ca="1">IF(AND(ISNUMBER($AS$561),$B$511=1),$AS$561,HLOOKUP(INDIRECT(ADDRESS(2,COLUMN())),OFFSET($BN$2,0,0,ROW()-1,60),ROW()-1,FALSE))</f>
        <v/>
      </c>
      <c r="AT53" t="str">
        <f ca="1">IF(AND(ISNUMBER($AT$561),$B$511=1),$AT$561,HLOOKUP(INDIRECT(ADDRESS(2,COLUMN())),OFFSET($BN$2,0,0,ROW()-1,60),ROW()-1,FALSE))</f>
        <v/>
      </c>
      <c r="AU53" t="str">
        <f ca="1">IF(AND(ISNUMBER($AU$561),$B$511=1),$AU$561,HLOOKUP(INDIRECT(ADDRESS(2,COLUMN())),OFFSET($BN$2,0,0,ROW()-1,60),ROW()-1,FALSE))</f>
        <v/>
      </c>
      <c r="AV53" t="str">
        <f ca="1">IF(AND(ISNUMBER($AV$561),$B$511=1),$AV$561,HLOOKUP(INDIRECT(ADDRESS(2,COLUMN())),OFFSET($BN$2,0,0,ROW()-1,60),ROW()-1,FALSE))</f>
        <v/>
      </c>
      <c r="AW53" t="str">
        <f ca="1">IF(AND(ISNUMBER($AW$561),$B$511=1),$AW$561,HLOOKUP(INDIRECT(ADDRESS(2,COLUMN())),OFFSET($BN$2,0,0,ROW()-1,60),ROW()-1,FALSE))</f>
        <v/>
      </c>
      <c r="AX53" t="str">
        <f ca="1">IF(AND(ISNUMBER($AX$561),$B$511=1),$AX$561,HLOOKUP(INDIRECT(ADDRESS(2,COLUMN())),OFFSET($BN$2,0,0,ROW()-1,60),ROW()-1,FALSE))</f>
        <v/>
      </c>
      <c r="AY53" t="str">
        <f ca="1">IF(AND(ISNUMBER($AY$561),$B$511=1),$AY$561,HLOOKUP(INDIRECT(ADDRESS(2,COLUMN())),OFFSET($BN$2,0,0,ROW()-1,60),ROW()-1,FALSE))</f>
        <v/>
      </c>
      <c r="AZ53" t="str">
        <f ca="1">IF(AND(ISNUMBER($AZ$561),$B$511=1),$AZ$561,HLOOKUP(INDIRECT(ADDRESS(2,COLUMN())),OFFSET($BN$2,0,0,ROW()-1,60),ROW()-1,FALSE))</f>
        <v/>
      </c>
      <c r="BA53" t="str">
        <f ca="1">IF(AND(ISNUMBER($BA$561),$B$511=1),$BA$561,HLOOKUP(INDIRECT(ADDRESS(2,COLUMN())),OFFSET($BN$2,0,0,ROW()-1,60),ROW()-1,FALSE))</f>
        <v/>
      </c>
      <c r="BB53" t="str">
        <f ca="1">IF(AND(ISNUMBER($BB$561),$B$511=1),$BB$561,HLOOKUP(INDIRECT(ADDRESS(2,COLUMN())),OFFSET($BN$2,0,0,ROW()-1,60),ROW()-1,FALSE))</f>
        <v/>
      </c>
      <c r="BC53" t="str">
        <f ca="1">IF(AND(ISNUMBER($BC$561),$B$511=1),$BC$561,HLOOKUP(INDIRECT(ADDRESS(2,COLUMN())),OFFSET($BN$2,0,0,ROW()-1,60),ROW()-1,FALSE))</f>
        <v/>
      </c>
      <c r="BD53" t="str">
        <f ca="1">IF(AND(ISNUMBER($BD$561),$B$511=1),$BD$561,HLOOKUP(INDIRECT(ADDRESS(2,COLUMN())),OFFSET($BN$2,0,0,ROW()-1,60),ROW()-1,FALSE))</f>
        <v/>
      </c>
      <c r="BE53" t="str">
        <f ca="1">IF(AND(ISNUMBER($BE$561),$B$511=1),$BE$561,HLOOKUP(INDIRECT(ADDRESS(2,COLUMN())),OFFSET($BN$2,0,0,ROW()-1,60),ROW()-1,FALSE))</f>
        <v/>
      </c>
      <c r="BF53" t="str">
        <f ca="1">IF(AND(ISNUMBER($BF$561),$B$511=1),$BF$561,HLOOKUP(INDIRECT(ADDRESS(2,COLUMN())),OFFSET($BN$2,0,0,ROW()-1,60),ROW()-1,FALSE))</f>
        <v/>
      </c>
      <c r="BG53" t="str">
        <f ca="1">IF(AND(ISNUMBER($BG$561),$B$511=1),$BG$561,HLOOKUP(INDIRECT(ADDRESS(2,COLUMN())),OFFSET($BN$2,0,0,ROW()-1,60),ROW()-1,FALSE))</f>
        <v/>
      </c>
      <c r="BH53" t="str">
        <f ca="1">IF(AND(ISNUMBER($BH$561),$B$511=1),$BH$561,HLOOKUP(INDIRECT(ADDRESS(2,COLUMN())),OFFSET($BN$2,0,0,ROW()-1,60),ROW()-1,FALSE))</f>
        <v/>
      </c>
      <c r="BI53" t="str">
        <f ca="1">IF(AND(ISNUMBER($BI$561),$B$511=1),$BI$561,HLOOKUP(INDIRECT(ADDRESS(2,COLUMN())),OFFSET($BN$2,0,0,ROW()-1,60),ROW()-1,FALSE))</f>
        <v/>
      </c>
      <c r="BJ53" t="str">
        <f ca="1">IF(AND(ISNUMBER($BJ$561),$B$511=1),$BJ$561,HLOOKUP(INDIRECT(ADDRESS(2,COLUMN())),OFFSET($BN$2,0,0,ROW()-1,60),ROW()-1,FALSE))</f>
        <v/>
      </c>
      <c r="BK53" t="str">
        <f ca="1">IF(AND(ISNUMBER($BK$561),$B$511=1),$BK$561,HLOOKUP(INDIRECT(ADDRESS(2,COLUMN())),OFFSET($BN$2,0,0,ROW()-1,60),ROW()-1,FALSE))</f>
        <v/>
      </c>
      <c r="BL53" t="str">
        <f ca="1">IF(AND(ISNUMBER($BL$561),$B$511=1),$BL$561,HLOOKUP(INDIRECT(ADDRESS(2,COLUMN())),OFFSET($BN$2,0,0,ROW()-1,60),ROW()-1,FALSE))</f>
        <v/>
      </c>
      <c r="BM53" t="str">
        <f ca="1">IF(AND(ISNUMBER($BM$561),$B$511=1),$BM$561,HLOOKUP(INDIRECT(ADDRESS(2,COLUMN())),OFFSET($BN$2,0,0,ROW()-1,60),ROW()-1,FALSE))</f>
        <v/>
      </c>
      <c r="BN53">
        <f>0.245</f>
        <v>0.245</v>
      </c>
      <c r="BO53">
        <f>0.24</f>
        <v>0.24</v>
      </c>
      <c r="BP53">
        <f>0.245</f>
        <v>0.245</v>
      </c>
      <c r="BQ53">
        <f>0.244</f>
        <v>0.24399999999999999</v>
      </c>
      <c r="BR53">
        <f>0.255</f>
        <v>0.255</v>
      </c>
      <c r="BS53">
        <f>0.247</f>
        <v>0.247</v>
      </c>
      <c r="BT53">
        <f>0.244</f>
        <v>0.24399999999999999</v>
      </c>
      <c r="BU53">
        <f>0.231</f>
        <v>0.23100000000000001</v>
      </c>
      <c r="BV53">
        <f>0.225</f>
        <v>0.22500000000000001</v>
      </c>
      <c r="BW53">
        <f>0.219</f>
        <v>0.219</v>
      </c>
      <c r="BX53">
        <f>0.232</f>
        <v>0.23200000000000001</v>
      </c>
      <c r="BY53">
        <f>0.233</f>
        <v>0.23300000000000001</v>
      </c>
      <c r="BZ53">
        <f>0.225</f>
        <v>0.22500000000000001</v>
      </c>
      <c r="CA53">
        <f>0.184</f>
        <v>0.184</v>
      </c>
      <c r="CB53">
        <f>0.156</f>
        <v>0.156</v>
      </c>
      <c r="CC53">
        <f>0.29</f>
        <v>0.28999999999999998</v>
      </c>
      <c r="CD53">
        <f>0.315</f>
        <v>0.315</v>
      </c>
      <c r="CE53">
        <f>0.35</f>
        <v>0.35</v>
      </c>
      <c r="CF53" t="str">
        <f>""</f>
        <v/>
      </c>
      <c r="CG53" t="str">
        <f>""</f>
        <v/>
      </c>
      <c r="CH53" t="str">
        <f>""</f>
        <v/>
      </c>
      <c r="CI53" t="str">
        <f>""</f>
        <v/>
      </c>
      <c r="CJ53" t="str">
        <f>""</f>
        <v/>
      </c>
      <c r="CK53" t="str">
        <f>""</f>
        <v/>
      </c>
      <c r="CL53" t="str">
        <f>""</f>
        <v/>
      </c>
      <c r="CM53" t="str">
        <f>""</f>
        <v/>
      </c>
      <c r="CN53" t="str">
        <f>""</f>
        <v/>
      </c>
      <c r="CO53" t="str">
        <f>""</f>
        <v/>
      </c>
      <c r="CP53" t="str">
        <f>""</f>
        <v/>
      </c>
      <c r="CQ53" t="str">
        <f>""</f>
        <v/>
      </c>
      <c r="CR53" t="str">
        <f>""</f>
        <v/>
      </c>
      <c r="CS53" t="str">
        <f>""</f>
        <v/>
      </c>
      <c r="CT53" t="str">
        <f>""</f>
        <v/>
      </c>
      <c r="CU53" t="str">
        <f>""</f>
        <v/>
      </c>
      <c r="CV53" t="str">
        <f>""</f>
        <v/>
      </c>
      <c r="CW53" t="str">
        <f>""</f>
        <v/>
      </c>
      <c r="CX53" t="str">
        <f>""</f>
        <v/>
      </c>
      <c r="CY53" t="str">
        <f>""</f>
        <v/>
      </c>
      <c r="CZ53" t="str">
        <f>""</f>
        <v/>
      </c>
      <c r="DA53" t="str">
        <f>""</f>
        <v/>
      </c>
      <c r="DB53" t="str">
        <f>""</f>
        <v/>
      </c>
      <c r="DC53" t="str">
        <f>""</f>
        <v/>
      </c>
      <c r="DD53" t="str">
        <f>""</f>
        <v/>
      </c>
      <c r="DE53" t="str">
        <f>""</f>
        <v/>
      </c>
      <c r="DF53" t="str">
        <f>""</f>
        <v/>
      </c>
      <c r="DG53" t="str">
        <f>""</f>
        <v/>
      </c>
      <c r="DH53" t="str">
        <f>""</f>
        <v/>
      </c>
      <c r="DI53" t="str">
        <f>""</f>
        <v/>
      </c>
      <c r="DJ53" t="str">
        <f>""</f>
        <v/>
      </c>
      <c r="DK53" t="str">
        <f>""</f>
        <v/>
      </c>
      <c r="DL53" t="str">
        <f>""</f>
        <v/>
      </c>
      <c r="DM53" t="str">
        <f>""</f>
        <v/>
      </c>
      <c r="DN53" t="str">
        <f>""</f>
        <v/>
      </c>
      <c r="DO53" t="str">
        <f>""</f>
        <v/>
      </c>
      <c r="DP53" t="str">
        <f>""</f>
        <v/>
      </c>
      <c r="DQ53" t="str">
        <f>""</f>
        <v/>
      </c>
      <c r="DR53" t="str">
        <f>""</f>
        <v/>
      </c>
      <c r="DS53" t="str">
        <f>""</f>
        <v/>
      </c>
      <c r="DT53" t="str">
        <f>""</f>
        <v/>
      </c>
      <c r="DU53" t="str">
        <f>""</f>
        <v/>
      </c>
    </row>
    <row r="54" spans="1:125" x14ac:dyDescent="0.25">
      <c r="A54" t="str">
        <f>"    DRB-Hicom Bhd"</f>
        <v xml:space="preserve">    DRB-Hicom Bhd</v>
      </c>
      <c r="B54" t="str">
        <f>"DRB MK Equity"</f>
        <v>DRB MK Equity</v>
      </c>
      <c r="C54" t="str">
        <f t="shared" si="3"/>
        <v>EZ019</v>
      </c>
      <c r="D54" t="str">
        <f t="shared" si="4"/>
        <v>BEST_EEPS_CUR_YR</v>
      </c>
      <c r="E54" t="str">
        <f t="shared" si="5"/>
        <v>Dynamic</v>
      </c>
      <c r="F54">
        <f ca="1">IF(AND(ISNUMBER($F$562),$B$511=1),$F$562,HLOOKUP(INDIRECT(ADDRESS(2,COLUMN())),OFFSET($BN$2,0,0,ROW()-1,60),ROW()-1,FALSE))</f>
        <v>1E-3</v>
      </c>
      <c r="G54">
        <f ca="1">IF(AND(ISNUMBER($G$562),$B$511=1),$G$562,HLOOKUP(INDIRECT(ADDRESS(2,COLUMN())),OFFSET($BN$2,0,0,ROW()-1,60),ROW()-1,FALSE))</f>
        <v>-1E-3</v>
      </c>
      <c r="H54">
        <f ca="1">IF(AND(ISNUMBER($H$562),$B$511=1),$H$562,HLOOKUP(INDIRECT(ADDRESS(2,COLUMN())),OFFSET($BN$2,0,0,ROW()-1,60),ROW()-1,FALSE))</f>
        <v>7.0000000000000001E-3</v>
      </c>
      <c r="I54">
        <f ca="1">IF(AND(ISNUMBER($I$562),$B$511=1),$I$562,HLOOKUP(INDIRECT(ADDRESS(2,COLUMN())),OFFSET($BN$2,0,0,ROW()-1,60),ROW()-1,FALSE))</f>
        <v>1.9E-2</v>
      </c>
      <c r="J54">
        <f ca="1">IF(AND(ISNUMBER($J$562),$B$511=1),$J$562,HLOOKUP(INDIRECT(ADDRESS(2,COLUMN())),OFFSET($BN$2,0,0,ROW()-1,60),ROW()-1,FALSE))</f>
        <v>4.0000000000000001E-3</v>
      </c>
      <c r="K54">
        <f ca="1">IF(AND(ISNUMBER($K$562),$B$511=1),$K$562,HLOOKUP(INDIRECT(ADDRESS(2,COLUMN())),OFFSET($BN$2,0,0,ROW()-1,60),ROW()-1,FALSE))</f>
        <v>3.0000000000000001E-3</v>
      </c>
      <c r="L54">
        <f ca="1">IF(AND(ISNUMBER($L$562),$B$511=1),$L$562,HLOOKUP(INDIRECT(ADDRESS(2,COLUMN())),OFFSET($BN$2,0,0,ROW()-1,60),ROW()-1,FALSE))</f>
        <v>-1E-3</v>
      </c>
      <c r="M54">
        <f ca="1">IF(AND(ISNUMBER($M$562),$B$511=1),$M$562,HLOOKUP(INDIRECT(ADDRESS(2,COLUMN())),OFFSET($BN$2,0,0,ROW()-1,60),ROW()-1,FALSE))</f>
        <v>4.0000000000000001E-3</v>
      </c>
      <c r="N54">
        <f ca="1">IF(AND(ISNUMBER($N$562),$B$511=1),$N$562,HLOOKUP(INDIRECT(ADDRESS(2,COLUMN())),OFFSET($BN$2,0,0,ROW()-1,60),ROW()-1,FALSE))</f>
        <v>-2E-3</v>
      </c>
      <c r="O54">
        <f ca="1">IF(AND(ISNUMBER($O$562),$B$511=1),$O$562,HLOOKUP(INDIRECT(ADDRESS(2,COLUMN())),OFFSET($BN$2,0,0,ROW()-1,60),ROW()-1,FALSE))</f>
        <v>1.2999999999999999E-2</v>
      </c>
      <c r="P54">
        <f ca="1">IF(AND(ISNUMBER($P$562),$B$511=1),$P$562,HLOOKUP(INDIRECT(ADDRESS(2,COLUMN())),OFFSET($BN$2,0,0,ROW()-1,60),ROW()-1,FALSE))</f>
        <v>1.4999999999999999E-2</v>
      </c>
      <c r="Q54">
        <f ca="1">IF(AND(ISNUMBER($Q$562),$B$511=1),$Q$562,HLOOKUP(INDIRECT(ADDRESS(2,COLUMN())),OFFSET($BN$2,0,0,ROW()-1,60),ROW()-1,FALSE))</f>
        <v>1.7999999999999999E-2</v>
      </c>
      <c r="R54" t="str">
        <f ca="1">IF(AND(ISNUMBER($R$562),$B$511=1),$R$562,HLOOKUP(INDIRECT(ADDRESS(2,COLUMN())),OFFSET($BN$2,0,0,ROW()-1,60),ROW()-1,FALSE))</f>
        <v/>
      </c>
      <c r="S54" t="str">
        <f ca="1">IF(AND(ISNUMBER($S$562),$B$511=1),$S$562,HLOOKUP(INDIRECT(ADDRESS(2,COLUMN())),OFFSET($BN$2,0,0,ROW()-1,60),ROW()-1,FALSE))</f>
        <v/>
      </c>
      <c r="T54" t="str">
        <f ca="1">IF(AND(ISNUMBER($T$562),$B$511=1),$T$562,HLOOKUP(INDIRECT(ADDRESS(2,COLUMN())),OFFSET($BN$2,0,0,ROW()-1,60),ROW()-1,FALSE))</f>
        <v/>
      </c>
      <c r="U54" t="str">
        <f ca="1">IF(AND(ISNUMBER($U$562),$B$511=1),$U$562,HLOOKUP(INDIRECT(ADDRESS(2,COLUMN())),OFFSET($BN$2,0,0,ROW()-1,60),ROW()-1,FALSE))</f>
        <v/>
      </c>
      <c r="V54" t="str">
        <f ca="1">IF(AND(ISNUMBER($V$562),$B$511=1),$V$562,HLOOKUP(INDIRECT(ADDRESS(2,COLUMN())),OFFSET($BN$2,0,0,ROW()-1,60),ROW()-1,FALSE))</f>
        <v/>
      </c>
      <c r="W54" t="str">
        <f ca="1">IF(AND(ISNUMBER($W$562),$B$511=1),$W$562,HLOOKUP(INDIRECT(ADDRESS(2,COLUMN())),OFFSET($BN$2,0,0,ROW()-1,60),ROW()-1,FALSE))</f>
        <v/>
      </c>
      <c r="X54" t="str">
        <f ca="1">IF(AND(ISNUMBER($X$562),$B$511=1),$X$562,HLOOKUP(INDIRECT(ADDRESS(2,COLUMN())),OFFSET($BN$2,0,0,ROW()-1,60),ROW()-1,FALSE))</f>
        <v/>
      </c>
      <c r="Y54" t="str">
        <f ca="1">IF(AND(ISNUMBER($Y$562),$B$511=1),$Y$562,HLOOKUP(INDIRECT(ADDRESS(2,COLUMN())),OFFSET($BN$2,0,0,ROW()-1,60),ROW()-1,FALSE))</f>
        <v/>
      </c>
      <c r="Z54" t="str">
        <f ca="1">IF(AND(ISNUMBER($Z$562),$B$511=1),$Z$562,HLOOKUP(INDIRECT(ADDRESS(2,COLUMN())),OFFSET($BN$2,0,0,ROW()-1,60),ROW()-1,FALSE))</f>
        <v/>
      </c>
      <c r="AA54" t="str">
        <f ca="1">IF(AND(ISNUMBER($AA$562),$B$511=1),$AA$562,HLOOKUP(INDIRECT(ADDRESS(2,COLUMN())),OFFSET($BN$2,0,0,ROW()-1,60),ROW()-1,FALSE))</f>
        <v/>
      </c>
      <c r="AB54" t="str">
        <f ca="1">IF(AND(ISNUMBER($AB$562),$B$511=1),$AB$562,HLOOKUP(INDIRECT(ADDRESS(2,COLUMN())),OFFSET($BN$2,0,0,ROW()-1,60),ROW()-1,FALSE))</f>
        <v/>
      </c>
      <c r="AC54" t="str">
        <f ca="1">IF(AND(ISNUMBER($AC$562),$B$511=1),$AC$562,HLOOKUP(INDIRECT(ADDRESS(2,COLUMN())),OFFSET($BN$2,0,0,ROW()-1,60),ROW()-1,FALSE))</f>
        <v/>
      </c>
      <c r="AD54" t="str">
        <f ca="1">IF(AND(ISNUMBER($AD$562),$B$511=1),$AD$562,HLOOKUP(INDIRECT(ADDRESS(2,COLUMN())),OFFSET($BN$2,0,0,ROW()-1,60),ROW()-1,FALSE))</f>
        <v/>
      </c>
      <c r="AE54" t="str">
        <f ca="1">IF(AND(ISNUMBER($AE$562),$B$511=1),$AE$562,HLOOKUP(INDIRECT(ADDRESS(2,COLUMN())),OFFSET($BN$2,0,0,ROW()-1,60),ROW()-1,FALSE))</f>
        <v/>
      </c>
      <c r="AF54" t="str">
        <f ca="1">IF(AND(ISNUMBER($AF$562),$B$511=1),$AF$562,HLOOKUP(INDIRECT(ADDRESS(2,COLUMN())),OFFSET($BN$2,0,0,ROW()-1,60),ROW()-1,FALSE))</f>
        <v/>
      </c>
      <c r="AG54" t="str">
        <f ca="1">IF(AND(ISNUMBER($AG$562),$B$511=1),$AG$562,HLOOKUP(INDIRECT(ADDRESS(2,COLUMN())),OFFSET($BN$2,0,0,ROW()-1,60),ROW()-1,FALSE))</f>
        <v/>
      </c>
      <c r="AH54" t="str">
        <f ca="1">IF(AND(ISNUMBER($AH$562),$B$511=1),$AH$562,HLOOKUP(INDIRECT(ADDRESS(2,COLUMN())),OFFSET($BN$2,0,0,ROW()-1,60),ROW()-1,FALSE))</f>
        <v/>
      </c>
      <c r="AI54" t="str">
        <f ca="1">IF(AND(ISNUMBER($AI$562),$B$511=1),$AI$562,HLOOKUP(INDIRECT(ADDRESS(2,COLUMN())),OFFSET($BN$2,0,0,ROW()-1,60),ROW()-1,FALSE))</f>
        <v/>
      </c>
      <c r="AJ54" t="str">
        <f ca="1">IF(AND(ISNUMBER($AJ$562),$B$511=1),$AJ$562,HLOOKUP(INDIRECT(ADDRESS(2,COLUMN())),OFFSET($BN$2,0,0,ROW()-1,60),ROW()-1,FALSE))</f>
        <v/>
      </c>
      <c r="AK54" t="str">
        <f ca="1">IF(AND(ISNUMBER($AK$562),$B$511=1),$AK$562,HLOOKUP(INDIRECT(ADDRESS(2,COLUMN())),OFFSET($BN$2,0,0,ROW()-1,60),ROW()-1,FALSE))</f>
        <v/>
      </c>
      <c r="AL54" t="str">
        <f ca="1">IF(AND(ISNUMBER($AL$562),$B$511=1),$AL$562,HLOOKUP(INDIRECT(ADDRESS(2,COLUMN())),OFFSET($BN$2,0,0,ROW()-1,60),ROW()-1,FALSE))</f>
        <v/>
      </c>
      <c r="AM54" t="str">
        <f ca="1">IF(AND(ISNUMBER($AM$562),$B$511=1),$AM$562,HLOOKUP(INDIRECT(ADDRESS(2,COLUMN())),OFFSET($BN$2,0,0,ROW()-1,60),ROW()-1,FALSE))</f>
        <v/>
      </c>
      <c r="AN54" t="str">
        <f ca="1">IF(AND(ISNUMBER($AN$562),$B$511=1),$AN$562,HLOOKUP(INDIRECT(ADDRESS(2,COLUMN())),OFFSET($BN$2,0,0,ROW()-1,60),ROW()-1,FALSE))</f>
        <v/>
      </c>
      <c r="AO54" t="str">
        <f ca="1">IF(AND(ISNUMBER($AO$562),$B$511=1),$AO$562,HLOOKUP(INDIRECT(ADDRESS(2,COLUMN())),OFFSET($BN$2,0,0,ROW()-1,60),ROW()-1,FALSE))</f>
        <v/>
      </c>
      <c r="AP54" t="str">
        <f ca="1">IF(AND(ISNUMBER($AP$562),$B$511=1),$AP$562,HLOOKUP(INDIRECT(ADDRESS(2,COLUMN())),OFFSET($BN$2,0,0,ROW()-1,60),ROW()-1,FALSE))</f>
        <v/>
      </c>
      <c r="AQ54" t="str">
        <f ca="1">IF(AND(ISNUMBER($AQ$562),$B$511=1),$AQ$562,HLOOKUP(INDIRECT(ADDRESS(2,COLUMN())),OFFSET($BN$2,0,0,ROW()-1,60),ROW()-1,FALSE))</f>
        <v/>
      </c>
      <c r="AR54" t="str">
        <f ca="1">IF(AND(ISNUMBER($AR$562),$B$511=1),$AR$562,HLOOKUP(INDIRECT(ADDRESS(2,COLUMN())),OFFSET($BN$2,0,0,ROW()-1,60),ROW()-1,FALSE))</f>
        <v/>
      </c>
      <c r="AS54" t="str">
        <f ca="1">IF(AND(ISNUMBER($AS$562),$B$511=1),$AS$562,HLOOKUP(INDIRECT(ADDRESS(2,COLUMN())),OFFSET($BN$2,0,0,ROW()-1,60),ROW()-1,FALSE))</f>
        <v/>
      </c>
      <c r="AT54" t="str">
        <f ca="1">IF(AND(ISNUMBER($AT$562),$B$511=1),$AT$562,HLOOKUP(INDIRECT(ADDRESS(2,COLUMN())),OFFSET($BN$2,0,0,ROW()-1,60),ROW()-1,FALSE))</f>
        <v/>
      </c>
      <c r="AU54" t="str">
        <f ca="1">IF(AND(ISNUMBER($AU$562),$B$511=1),$AU$562,HLOOKUP(INDIRECT(ADDRESS(2,COLUMN())),OFFSET($BN$2,0,0,ROW()-1,60),ROW()-1,FALSE))</f>
        <v/>
      </c>
      <c r="AV54" t="str">
        <f ca="1">IF(AND(ISNUMBER($AV$562),$B$511=1),$AV$562,HLOOKUP(INDIRECT(ADDRESS(2,COLUMN())),OFFSET($BN$2,0,0,ROW()-1,60),ROW()-1,FALSE))</f>
        <v/>
      </c>
      <c r="AW54" t="str">
        <f ca="1">IF(AND(ISNUMBER($AW$562),$B$511=1),$AW$562,HLOOKUP(INDIRECT(ADDRESS(2,COLUMN())),OFFSET($BN$2,0,0,ROW()-1,60),ROW()-1,FALSE))</f>
        <v/>
      </c>
      <c r="AX54" t="str">
        <f ca="1">IF(AND(ISNUMBER($AX$562),$B$511=1),$AX$562,HLOOKUP(INDIRECT(ADDRESS(2,COLUMN())),OFFSET($BN$2,0,0,ROW()-1,60),ROW()-1,FALSE))</f>
        <v/>
      </c>
      <c r="AY54" t="str">
        <f ca="1">IF(AND(ISNUMBER($AY$562),$B$511=1),$AY$562,HLOOKUP(INDIRECT(ADDRESS(2,COLUMN())),OFFSET($BN$2,0,0,ROW()-1,60),ROW()-1,FALSE))</f>
        <v/>
      </c>
      <c r="AZ54" t="str">
        <f ca="1">IF(AND(ISNUMBER($AZ$562),$B$511=1),$AZ$562,HLOOKUP(INDIRECT(ADDRESS(2,COLUMN())),OFFSET($BN$2,0,0,ROW()-1,60),ROW()-1,FALSE))</f>
        <v/>
      </c>
      <c r="BA54" t="str">
        <f ca="1">IF(AND(ISNUMBER($BA$562),$B$511=1),$BA$562,HLOOKUP(INDIRECT(ADDRESS(2,COLUMN())),OFFSET($BN$2,0,0,ROW()-1,60),ROW()-1,FALSE))</f>
        <v/>
      </c>
      <c r="BB54" t="str">
        <f ca="1">IF(AND(ISNUMBER($BB$562),$B$511=1),$BB$562,HLOOKUP(INDIRECT(ADDRESS(2,COLUMN())),OFFSET($BN$2,0,0,ROW()-1,60),ROW()-1,FALSE))</f>
        <v/>
      </c>
      <c r="BC54" t="str">
        <f ca="1">IF(AND(ISNUMBER($BC$562),$B$511=1),$BC$562,HLOOKUP(INDIRECT(ADDRESS(2,COLUMN())),OFFSET($BN$2,0,0,ROW()-1,60),ROW()-1,FALSE))</f>
        <v/>
      </c>
      <c r="BD54" t="str">
        <f ca="1">IF(AND(ISNUMBER($BD$562),$B$511=1),$BD$562,HLOOKUP(INDIRECT(ADDRESS(2,COLUMN())),OFFSET($BN$2,0,0,ROW()-1,60),ROW()-1,FALSE))</f>
        <v/>
      </c>
      <c r="BE54" t="str">
        <f ca="1">IF(AND(ISNUMBER($BE$562),$B$511=1),$BE$562,HLOOKUP(INDIRECT(ADDRESS(2,COLUMN())),OFFSET($BN$2,0,0,ROW()-1,60),ROW()-1,FALSE))</f>
        <v/>
      </c>
      <c r="BF54" t="str">
        <f ca="1">IF(AND(ISNUMBER($BF$562),$B$511=1),$BF$562,HLOOKUP(INDIRECT(ADDRESS(2,COLUMN())),OFFSET($BN$2,0,0,ROW()-1,60),ROW()-1,FALSE))</f>
        <v/>
      </c>
      <c r="BG54" t="str">
        <f ca="1">IF(AND(ISNUMBER($BG$562),$B$511=1),$BG$562,HLOOKUP(INDIRECT(ADDRESS(2,COLUMN())),OFFSET($BN$2,0,0,ROW()-1,60),ROW()-1,FALSE))</f>
        <v/>
      </c>
      <c r="BH54" t="str">
        <f ca="1">IF(AND(ISNUMBER($BH$562),$B$511=1),$BH$562,HLOOKUP(INDIRECT(ADDRESS(2,COLUMN())),OFFSET($BN$2,0,0,ROW()-1,60),ROW()-1,FALSE))</f>
        <v/>
      </c>
      <c r="BI54" t="str">
        <f ca="1">IF(AND(ISNUMBER($BI$562),$B$511=1),$BI$562,HLOOKUP(INDIRECT(ADDRESS(2,COLUMN())),OFFSET($BN$2,0,0,ROW()-1,60),ROW()-1,FALSE))</f>
        <v/>
      </c>
      <c r="BJ54" t="str">
        <f ca="1">IF(AND(ISNUMBER($BJ$562),$B$511=1),$BJ$562,HLOOKUP(INDIRECT(ADDRESS(2,COLUMN())),OFFSET($BN$2,0,0,ROW()-1,60),ROW()-1,FALSE))</f>
        <v/>
      </c>
      <c r="BK54" t="str">
        <f ca="1">IF(AND(ISNUMBER($BK$562),$B$511=1),$BK$562,HLOOKUP(INDIRECT(ADDRESS(2,COLUMN())),OFFSET($BN$2,0,0,ROW()-1,60),ROW()-1,FALSE))</f>
        <v/>
      </c>
      <c r="BL54" t="str">
        <f ca="1">IF(AND(ISNUMBER($BL$562),$B$511=1),$BL$562,HLOOKUP(INDIRECT(ADDRESS(2,COLUMN())),OFFSET($BN$2,0,0,ROW()-1,60),ROW()-1,FALSE))</f>
        <v/>
      </c>
      <c r="BM54" t="str">
        <f ca="1">IF(AND(ISNUMBER($BM$562),$B$511=1),$BM$562,HLOOKUP(INDIRECT(ADDRESS(2,COLUMN())),OFFSET($BN$2,0,0,ROW()-1,60),ROW()-1,FALSE))</f>
        <v/>
      </c>
      <c r="BN54">
        <f>0.001</f>
        <v>1E-3</v>
      </c>
      <c r="BO54">
        <f>-0.001</f>
        <v>-1E-3</v>
      </c>
      <c r="BP54">
        <f>0.007</f>
        <v>7.0000000000000001E-3</v>
      </c>
      <c r="BQ54">
        <f>0.019</f>
        <v>1.9E-2</v>
      </c>
      <c r="BR54">
        <f>0.004</f>
        <v>4.0000000000000001E-3</v>
      </c>
      <c r="BS54">
        <f>0.003</f>
        <v>3.0000000000000001E-3</v>
      </c>
      <c r="BT54">
        <f>-0.001</f>
        <v>-1E-3</v>
      </c>
      <c r="BU54">
        <f>0.004</f>
        <v>4.0000000000000001E-3</v>
      </c>
      <c r="BV54">
        <f>-0.002</f>
        <v>-2E-3</v>
      </c>
      <c r="BW54">
        <f>0.013</f>
        <v>1.2999999999999999E-2</v>
      </c>
      <c r="BX54">
        <f>0.015</f>
        <v>1.4999999999999999E-2</v>
      </c>
      <c r="BY54">
        <f>0.018</f>
        <v>1.7999999999999999E-2</v>
      </c>
      <c r="BZ54" t="str">
        <f>""</f>
        <v/>
      </c>
      <c r="CA54" t="str">
        <f>""</f>
        <v/>
      </c>
      <c r="CB54" t="str">
        <f>""</f>
        <v/>
      </c>
      <c r="CC54" t="str">
        <f>""</f>
        <v/>
      </c>
      <c r="CD54" t="str">
        <f>""</f>
        <v/>
      </c>
      <c r="CE54" t="str">
        <f>""</f>
        <v/>
      </c>
      <c r="CF54" t="str">
        <f>""</f>
        <v/>
      </c>
      <c r="CG54" t="str">
        <f>""</f>
        <v/>
      </c>
      <c r="CH54" t="str">
        <f>""</f>
        <v/>
      </c>
      <c r="CI54" t="str">
        <f>""</f>
        <v/>
      </c>
      <c r="CJ54" t="str">
        <f>""</f>
        <v/>
      </c>
      <c r="CK54" t="str">
        <f>""</f>
        <v/>
      </c>
      <c r="CL54" t="str">
        <f>""</f>
        <v/>
      </c>
      <c r="CM54" t="str">
        <f>""</f>
        <v/>
      </c>
      <c r="CN54" t="str">
        <f>""</f>
        <v/>
      </c>
      <c r="CO54" t="str">
        <f>""</f>
        <v/>
      </c>
      <c r="CP54" t="str">
        <f>""</f>
        <v/>
      </c>
      <c r="CQ54" t="str">
        <f>""</f>
        <v/>
      </c>
      <c r="CR54" t="str">
        <f>""</f>
        <v/>
      </c>
      <c r="CS54" t="str">
        <f>""</f>
        <v/>
      </c>
      <c r="CT54" t="str">
        <f>""</f>
        <v/>
      </c>
      <c r="CU54" t="str">
        <f>""</f>
        <v/>
      </c>
      <c r="CV54" t="str">
        <f>""</f>
        <v/>
      </c>
      <c r="CW54" t="str">
        <f>""</f>
        <v/>
      </c>
      <c r="CX54" t="str">
        <f>""</f>
        <v/>
      </c>
      <c r="CY54" t="str">
        <f>""</f>
        <v/>
      </c>
      <c r="CZ54" t="str">
        <f>""</f>
        <v/>
      </c>
      <c r="DA54" t="str">
        <f>""</f>
        <v/>
      </c>
      <c r="DB54" t="str">
        <f>""</f>
        <v/>
      </c>
      <c r="DC54" t="str">
        <f>""</f>
        <v/>
      </c>
      <c r="DD54" t="str">
        <f>""</f>
        <v/>
      </c>
      <c r="DE54" t="str">
        <f>""</f>
        <v/>
      </c>
      <c r="DF54" t="str">
        <f>""</f>
        <v/>
      </c>
      <c r="DG54" t="str">
        <f>""</f>
        <v/>
      </c>
      <c r="DH54" t="str">
        <f>""</f>
        <v/>
      </c>
      <c r="DI54" t="str">
        <f>""</f>
        <v/>
      </c>
      <c r="DJ54" t="str">
        <f>""</f>
        <v/>
      </c>
      <c r="DK54" t="str">
        <f>""</f>
        <v/>
      </c>
      <c r="DL54" t="str">
        <f>""</f>
        <v/>
      </c>
      <c r="DM54" t="str">
        <f>""</f>
        <v/>
      </c>
      <c r="DN54" t="str">
        <f>""</f>
        <v/>
      </c>
      <c r="DO54" t="str">
        <f>""</f>
        <v/>
      </c>
      <c r="DP54" t="str">
        <f>""</f>
        <v/>
      </c>
      <c r="DQ54" t="str">
        <f>""</f>
        <v/>
      </c>
      <c r="DR54" t="str">
        <f>""</f>
        <v/>
      </c>
      <c r="DS54" t="str">
        <f>""</f>
        <v/>
      </c>
      <c r="DT54" t="str">
        <f>""</f>
        <v/>
      </c>
      <c r="DU54" t="str">
        <f>""</f>
        <v/>
      </c>
    </row>
    <row r="55" spans="1:125" x14ac:dyDescent="0.25">
      <c r="A55" t="str">
        <f>"    FAW CAR Co Ltd"</f>
        <v xml:space="preserve">    FAW CAR Co Ltd</v>
      </c>
      <c r="B55" t="str">
        <f>"000800 CH Equity"</f>
        <v>000800 CH Equity</v>
      </c>
      <c r="C55" t="str">
        <f t="shared" si="3"/>
        <v>EZ019</v>
      </c>
      <c r="D55" t="str">
        <f t="shared" si="4"/>
        <v>BEST_EEPS_CUR_YR</v>
      </c>
      <c r="E55" t="str">
        <f t="shared" si="5"/>
        <v>Dynamic</v>
      </c>
      <c r="F55" t="str">
        <f ca="1">IF(AND(ISNUMBER($F$563),$B$511=1),$F$563,HLOOKUP(INDIRECT(ADDRESS(2,COLUMN())),OFFSET($BN$2,0,0,ROW()-1,60),ROW()-1,FALSE))</f>
        <v/>
      </c>
      <c r="G55" t="str">
        <f ca="1">IF(AND(ISNUMBER($G$563),$B$511=1),$G$563,HLOOKUP(INDIRECT(ADDRESS(2,COLUMN())),OFFSET($BN$2,0,0,ROW()-1,60),ROW()-1,FALSE))</f>
        <v/>
      </c>
      <c r="H55" t="str">
        <f ca="1">IF(AND(ISNUMBER($H$563),$B$511=1),$H$563,HLOOKUP(INDIRECT(ADDRESS(2,COLUMN())),OFFSET($BN$2,0,0,ROW()-1,60),ROW()-1,FALSE))</f>
        <v/>
      </c>
      <c r="I55" t="str">
        <f ca="1">IF(AND(ISNUMBER($I$563),$B$511=1),$I$563,HLOOKUP(INDIRECT(ADDRESS(2,COLUMN())),OFFSET($BN$2,0,0,ROW()-1,60),ROW()-1,FALSE))</f>
        <v/>
      </c>
      <c r="J55" t="str">
        <f ca="1">IF(AND(ISNUMBER($J$563),$B$511=1),$J$563,HLOOKUP(INDIRECT(ADDRESS(2,COLUMN())),OFFSET($BN$2,0,0,ROW()-1,60),ROW()-1,FALSE))</f>
        <v/>
      </c>
      <c r="K55">
        <f ca="1">IF(AND(ISNUMBER($K$563),$B$511=1),$K$563,HLOOKUP(INDIRECT(ADDRESS(2,COLUMN())),OFFSET($BN$2,0,0,ROW()-1,60),ROW()-1,FALSE))</f>
        <v>3.7999999999999999E-2</v>
      </c>
      <c r="L55">
        <f ca="1">IF(AND(ISNUMBER($L$563),$B$511=1),$L$563,HLOOKUP(INDIRECT(ADDRESS(2,COLUMN())),OFFSET($BN$2,0,0,ROW()-1,60),ROW()-1,FALSE))</f>
        <v>3.6999999999999998E-2</v>
      </c>
      <c r="M55">
        <f ca="1">IF(AND(ISNUMBER($M$563),$B$511=1),$M$563,HLOOKUP(INDIRECT(ADDRESS(2,COLUMN())),OFFSET($BN$2,0,0,ROW()-1,60),ROW()-1,FALSE))</f>
        <v>3.5000000000000003E-2</v>
      </c>
      <c r="N55">
        <f ca="1">IF(AND(ISNUMBER($N$563),$B$511=1),$N$563,HLOOKUP(INDIRECT(ADDRESS(2,COLUMN())),OFFSET($BN$2,0,0,ROW()-1,60),ROW()-1,FALSE))</f>
        <v>3.5000000000000003E-2</v>
      </c>
      <c r="O55">
        <f ca="1">IF(AND(ISNUMBER($O$563),$B$511=1),$O$563,HLOOKUP(INDIRECT(ADDRESS(2,COLUMN())),OFFSET($BN$2,0,0,ROW()-1,60),ROW()-1,FALSE))</f>
        <v>4.0000000000000001E-3</v>
      </c>
      <c r="P55">
        <f ca="1">IF(AND(ISNUMBER($P$563),$B$511=1),$P$563,HLOOKUP(INDIRECT(ADDRESS(2,COLUMN())),OFFSET($BN$2,0,0,ROW()-1,60),ROW()-1,FALSE))</f>
        <v>4.0000000000000001E-3</v>
      </c>
      <c r="Q55">
        <f ca="1">IF(AND(ISNUMBER($Q$563),$B$511=1),$Q$563,HLOOKUP(INDIRECT(ADDRESS(2,COLUMN())),OFFSET($BN$2,0,0,ROW()-1,60),ROW()-1,FALSE))</f>
        <v>4.0000000000000001E-3</v>
      </c>
      <c r="R55" t="str">
        <f ca="1">IF(AND(ISNUMBER($R$563),$B$511=1),$R$563,HLOOKUP(INDIRECT(ADDRESS(2,COLUMN())),OFFSET($BN$2,0,0,ROW()-1,60),ROW()-1,FALSE))</f>
        <v/>
      </c>
      <c r="S55" t="str">
        <f ca="1">IF(AND(ISNUMBER($S$563),$B$511=1),$S$563,HLOOKUP(INDIRECT(ADDRESS(2,COLUMN())),OFFSET($BN$2,0,0,ROW()-1,60),ROW()-1,FALSE))</f>
        <v/>
      </c>
      <c r="T55" t="str">
        <f ca="1">IF(AND(ISNUMBER($T$563),$B$511=1),$T$563,HLOOKUP(INDIRECT(ADDRESS(2,COLUMN())),OFFSET($BN$2,0,0,ROW()-1,60),ROW()-1,FALSE))</f>
        <v/>
      </c>
      <c r="U55" t="str">
        <f ca="1">IF(AND(ISNUMBER($U$563),$B$511=1),$U$563,HLOOKUP(INDIRECT(ADDRESS(2,COLUMN())),OFFSET($BN$2,0,0,ROW()-1,60),ROW()-1,FALSE))</f>
        <v/>
      </c>
      <c r="V55" t="str">
        <f ca="1">IF(AND(ISNUMBER($V$563),$B$511=1),$V$563,HLOOKUP(INDIRECT(ADDRESS(2,COLUMN())),OFFSET($BN$2,0,0,ROW()-1,60),ROW()-1,FALSE))</f>
        <v/>
      </c>
      <c r="W55" t="str">
        <f ca="1">IF(AND(ISNUMBER($W$563),$B$511=1),$W$563,HLOOKUP(INDIRECT(ADDRESS(2,COLUMN())),OFFSET($BN$2,0,0,ROW()-1,60),ROW()-1,FALSE))</f>
        <v/>
      </c>
      <c r="X55" t="str">
        <f ca="1">IF(AND(ISNUMBER($X$563),$B$511=1),$X$563,HLOOKUP(INDIRECT(ADDRESS(2,COLUMN())),OFFSET($BN$2,0,0,ROW()-1,60),ROW()-1,FALSE))</f>
        <v/>
      </c>
      <c r="Y55" t="str">
        <f ca="1">IF(AND(ISNUMBER($Y$563),$B$511=1),$Y$563,HLOOKUP(INDIRECT(ADDRESS(2,COLUMN())),OFFSET($BN$2,0,0,ROW()-1,60),ROW()-1,FALSE))</f>
        <v/>
      </c>
      <c r="Z55" t="str">
        <f ca="1">IF(AND(ISNUMBER($Z$563),$B$511=1),$Z$563,HLOOKUP(INDIRECT(ADDRESS(2,COLUMN())),OFFSET($BN$2,0,0,ROW()-1,60),ROW()-1,FALSE))</f>
        <v/>
      </c>
      <c r="AA55" t="str">
        <f ca="1">IF(AND(ISNUMBER($AA$563),$B$511=1),$AA$563,HLOOKUP(INDIRECT(ADDRESS(2,COLUMN())),OFFSET($BN$2,0,0,ROW()-1,60),ROW()-1,FALSE))</f>
        <v/>
      </c>
      <c r="AB55" t="str">
        <f ca="1">IF(AND(ISNUMBER($AB$563),$B$511=1),$AB$563,HLOOKUP(INDIRECT(ADDRESS(2,COLUMN())),OFFSET($BN$2,0,0,ROW()-1,60),ROW()-1,FALSE))</f>
        <v/>
      </c>
      <c r="AC55" t="str">
        <f ca="1">IF(AND(ISNUMBER($AC$563),$B$511=1),$AC$563,HLOOKUP(INDIRECT(ADDRESS(2,COLUMN())),OFFSET($BN$2,0,0,ROW()-1,60),ROW()-1,FALSE))</f>
        <v/>
      </c>
      <c r="AD55" t="str">
        <f ca="1">IF(AND(ISNUMBER($AD$563),$B$511=1),$AD$563,HLOOKUP(INDIRECT(ADDRESS(2,COLUMN())),OFFSET($BN$2,0,0,ROW()-1,60),ROW()-1,FALSE))</f>
        <v/>
      </c>
      <c r="AE55" t="str">
        <f ca="1">IF(AND(ISNUMBER($AE$563),$B$511=1),$AE$563,HLOOKUP(INDIRECT(ADDRESS(2,COLUMN())),OFFSET($BN$2,0,0,ROW()-1,60),ROW()-1,FALSE))</f>
        <v/>
      </c>
      <c r="AF55" t="str">
        <f ca="1">IF(AND(ISNUMBER($AF$563),$B$511=1),$AF$563,HLOOKUP(INDIRECT(ADDRESS(2,COLUMN())),OFFSET($BN$2,0,0,ROW()-1,60),ROW()-1,FALSE))</f>
        <v/>
      </c>
      <c r="AG55" t="str">
        <f ca="1">IF(AND(ISNUMBER($AG$563),$B$511=1),$AG$563,HLOOKUP(INDIRECT(ADDRESS(2,COLUMN())),OFFSET($BN$2,0,0,ROW()-1,60),ROW()-1,FALSE))</f>
        <v/>
      </c>
      <c r="AH55" t="str">
        <f ca="1">IF(AND(ISNUMBER($AH$563),$B$511=1),$AH$563,HLOOKUP(INDIRECT(ADDRESS(2,COLUMN())),OFFSET($BN$2,0,0,ROW()-1,60),ROW()-1,FALSE))</f>
        <v/>
      </c>
      <c r="AI55" t="str">
        <f ca="1">IF(AND(ISNUMBER($AI$563),$B$511=1),$AI$563,HLOOKUP(INDIRECT(ADDRESS(2,COLUMN())),OFFSET($BN$2,0,0,ROW()-1,60),ROW()-1,FALSE))</f>
        <v/>
      </c>
      <c r="AJ55" t="str">
        <f ca="1">IF(AND(ISNUMBER($AJ$563),$B$511=1),$AJ$563,HLOOKUP(INDIRECT(ADDRESS(2,COLUMN())),OFFSET($BN$2,0,0,ROW()-1,60),ROW()-1,FALSE))</f>
        <v/>
      </c>
      <c r="AK55" t="str">
        <f ca="1">IF(AND(ISNUMBER($AK$563),$B$511=1),$AK$563,HLOOKUP(INDIRECT(ADDRESS(2,COLUMN())),OFFSET($BN$2,0,0,ROW()-1,60),ROW()-1,FALSE))</f>
        <v/>
      </c>
      <c r="AL55" t="str">
        <f ca="1">IF(AND(ISNUMBER($AL$563),$B$511=1),$AL$563,HLOOKUP(INDIRECT(ADDRESS(2,COLUMN())),OFFSET($BN$2,0,0,ROW()-1,60),ROW()-1,FALSE))</f>
        <v/>
      </c>
      <c r="AM55" t="str">
        <f ca="1">IF(AND(ISNUMBER($AM$563),$B$511=1),$AM$563,HLOOKUP(INDIRECT(ADDRESS(2,COLUMN())),OFFSET($BN$2,0,0,ROW()-1,60),ROW()-1,FALSE))</f>
        <v/>
      </c>
      <c r="AN55" t="str">
        <f ca="1">IF(AND(ISNUMBER($AN$563),$B$511=1),$AN$563,HLOOKUP(INDIRECT(ADDRESS(2,COLUMN())),OFFSET($BN$2,0,0,ROW()-1,60),ROW()-1,FALSE))</f>
        <v/>
      </c>
      <c r="AO55" t="str">
        <f ca="1">IF(AND(ISNUMBER($AO$563),$B$511=1),$AO$563,HLOOKUP(INDIRECT(ADDRESS(2,COLUMN())),OFFSET($BN$2,0,0,ROW()-1,60),ROW()-1,FALSE))</f>
        <v/>
      </c>
      <c r="AP55" t="str">
        <f ca="1">IF(AND(ISNUMBER($AP$563),$B$511=1),$AP$563,HLOOKUP(INDIRECT(ADDRESS(2,COLUMN())),OFFSET($BN$2,0,0,ROW()-1,60),ROW()-1,FALSE))</f>
        <v/>
      </c>
      <c r="AQ55" t="str">
        <f ca="1">IF(AND(ISNUMBER($AQ$563),$B$511=1),$AQ$563,HLOOKUP(INDIRECT(ADDRESS(2,COLUMN())),OFFSET($BN$2,0,0,ROW()-1,60),ROW()-1,FALSE))</f>
        <v/>
      </c>
      <c r="AR55" t="str">
        <f ca="1">IF(AND(ISNUMBER($AR$563),$B$511=1),$AR$563,HLOOKUP(INDIRECT(ADDRESS(2,COLUMN())),OFFSET($BN$2,0,0,ROW()-1,60),ROW()-1,FALSE))</f>
        <v/>
      </c>
      <c r="AS55" t="str">
        <f ca="1">IF(AND(ISNUMBER($AS$563),$B$511=1),$AS$563,HLOOKUP(INDIRECT(ADDRESS(2,COLUMN())),OFFSET($BN$2,0,0,ROW()-1,60),ROW()-1,FALSE))</f>
        <v/>
      </c>
      <c r="AT55" t="str">
        <f ca="1">IF(AND(ISNUMBER($AT$563),$B$511=1),$AT$563,HLOOKUP(INDIRECT(ADDRESS(2,COLUMN())),OFFSET($BN$2,0,0,ROW()-1,60),ROW()-1,FALSE))</f>
        <v/>
      </c>
      <c r="AU55" t="str">
        <f ca="1">IF(AND(ISNUMBER($AU$563),$B$511=1),$AU$563,HLOOKUP(INDIRECT(ADDRESS(2,COLUMN())),OFFSET($BN$2,0,0,ROW()-1,60),ROW()-1,FALSE))</f>
        <v/>
      </c>
      <c r="AV55" t="str">
        <f ca="1">IF(AND(ISNUMBER($AV$563),$B$511=1),$AV$563,HLOOKUP(INDIRECT(ADDRESS(2,COLUMN())),OFFSET($BN$2,0,0,ROW()-1,60),ROW()-1,FALSE))</f>
        <v/>
      </c>
      <c r="AW55" t="str">
        <f ca="1">IF(AND(ISNUMBER($AW$563),$B$511=1),$AW$563,HLOOKUP(INDIRECT(ADDRESS(2,COLUMN())),OFFSET($BN$2,0,0,ROW()-1,60),ROW()-1,FALSE))</f>
        <v/>
      </c>
      <c r="AX55" t="str">
        <f ca="1">IF(AND(ISNUMBER($AX$563),$B$511=1),$AX$563,HLOOKUP(INDIRECT(ADDRESS(2,COLUMN())),OFFSET($BN$2,0,0,ROW()-1,60),ROW()-1,FALSE))</f>
        <v/>
      </c>
      <c r="AY55" t="str">
        <f ca="1">IF(AND(ISNUMBER($AY$563),$B$511=1),$AY$563,HLOOKUP(INDIRECT(ADDRESS(2,COLUMN())),OFFSET($BN$2,0,0,ROW()-1,60),ROW()-1,FALSE))</f>
        <v/>
      </c>
      <c r="AZ55" t="str">
        <f ca="1">IF(AND(ISNUMBER($AZ$563),$B$511=1),$AZ$563,HLOOKUP(INDIRECT(ADDRESS(2,COLUMN())),OFFSET($BN$2,0,0,ROW()-1,60),ROW()-1,FALSE))</f>
        <v/>
      </c>
      <c r="BA55" t="str">
        <f ca="1">IF(AND(ISNUMBER($BA$563),$B$511=1),$BA$563,HLOOKUP(INDIRECT(ADDRESS(2,COLUMN())),OFFSET($BN$2,0,0,ROW()-1,60),ROW()-1,FALSE))</f>
        <v/>
      </c>
      <c r="BB55" t="str">
        <f ca="1">IF(AND(ISNUMBER($BB$563),$B$511=1),$BB$563,HLOOKUP(INDIRECT(ADDRESS(2,COLUMN())),OFFSET($BN$2,0,0,ROW()-1,60),ROW()-1,FALSE))</f>
        <v/>
      </c>
      <c r="BC55" t="str">
        <f ca="1">IF(AND(ISNUMBER($BC$563),$B$511=1),$BC$563,HLOOKUP(INDIRECT(ADDRESS(2,COLUMN())),OFFSET($BN$2,0,0,ROW()-1,60),ROW()-1,FALSE))</f>
        <v/>
      </c>
      <c r="BD55" t="str">
        <f ca="1">IF(AND(ISNUMBER($BD$563),$B$511=1),$BD$563,HLOOKUP(INDIRECT(ADDRESS(2,COLUMN())),OFFSET($BN$2,0,0,ROW()-1,60),ROW()-1,FALSE))</f>
        <v/>
      </c>
      <c r="BE55" t="str">
        <f ca="1">IF(AND(ISNUMBER($BE$563),$B$511=1),$BE$563,HLOOKUP(INDIRECT(ADDRESS(2,COLUMN())),OFFSET($BN$2,0,0,ROW()-1,60),ROW()-1,FALSE))</f>
        <v/>
      </c>
      <c r="BF55" t="str">
        <f ca="1">IF(AND(ISNUMBER($BF$563),$B$511=1),$BF$563,HLOOKUP(INDIRECT(ADDRESS(2,COLUMN())),OFFSET($BN$2,0,0,ROW()-1,60),ROW()-1,FALSE))</f>
        <v/>
      </c>
      <c r="BG55" t="str">
        <f ca="1">IF(AND(ISNUMBER($BG$563),$B$511=1),$BG$563,HLOOKUP(INDIRECT(ADDRESS(2,COLUMN())),OFFSET($BN$2,0,0,ROW()-1,60),ROW()-1,FALSE))</f>
        <v/>
      </c>
      <c r="BH55" t="str">
        <f ca="1">IF(AND(ISNUMBER($BH$563),$B$511=1),$BH$563,HLOOKUP(INDIRECT(ADDRESS(2,COLUMN())),OFFSET($BN$2,0,0,ROW()-1,60),ROW()-1,FALSE))</f>
        <v/>
      </c>
      <c r="BI55" t="str">
        <f ca="1">IF(AND(ISNUMBER($BI$563),$B$511=1),$BI$563,HLOOKUP(INDIRECT(ADDRESS(2,COLUMN())),OFFSET($BN$2,0,0,ROW()-1,60),ROW()-1,FALSE))</f>
        <v/>
      </c>
      <c r="BJ55" t="str">
        <f ca="1">IF(AND(ISNUMBER($BJ$563),$B$511=1),$BJ$563,HLOOKUP(INDIRECT(ADDRESS(2,COLUMN())),OFFSET($BN$2,0,0,ROW()-1,60),ROW()-1,FALSE))</f>
        <v/>
      </c>
      <c r="BK55" t="str">
        <f ca="1">IF(AND(ISNUMBER($BK$563),$B$511=1),$BK$563,HLOOKUP(INDIRECT(ADDRESS(2,COLUMN())),OFFSET($BN$2,0,0,ROW()-1,60),ROW()-1,FALSE))</f>
        <v/>
      </c>
      <c r="BL55" t="str">
        <f ca="1">IF(AND(ISNUMBER($BL$563),$B$511=1),$BL$563,HLOOKUP(INDIRECT(ADDRESS(2,COLUMN())),OFFSET($BN$2,0,0,ROW()-1,60),ROW()-1,FALSE))</f>
        <v/>
      </c>
      <c r="BM55" t="str">
        <f ca="1">IF(AND(ISNUMBER($BM$563),$B$511=1),$BM$563,HLOOKUP(INDIRECT(ADDRESS(2,COLUMN())),OFFSET($BN$2,0,0,ROW()-1,60),ROW()-1,FALSE))</f>
        <v/>
      </c>
      <c r="BN55" t="str">
        <f>""</f>
        <v/>
      </c>
      <c r="BO55" t="str">
        <f>""</f>
        <v/>
      </c>
      <c r="BP55" t="str">
        <f>""</f>
        <v/>
      </c>
      <c r="BQ55" t="str">
        <f>""</f>
        <v/>
      </c>
      <c r="BR55" t="str">
        <f>""</f>
        <v/>
      </c>
      <c r="BS55">
        <f>0.038</f>
        <v>3.7999999999999999E-2</v>
      </c>
      <c r="BT55">
        <f>0.037</f>
        <v>3.6999999999999998E-2</v>
      </c>
      <c r="BU55">
        <f>0.035</f>
        <v>3.5000000000000003E-2</v>
      </c>
      <c r="BV55">
        <f>0.035</f>
        <v>3.5000000000000003E-2</v>
      </c>
      <c r="BW55">
        <f>0.004</f>
        <v>4.0000000000000001E-3</v>
      </c>
      <c r="BX55">
        <f>0.004</f>
        <v>4.0000000000000001E-3</v>
      </c>
      <c r="BY55">
        <f>0.004</f>
        <v>4.0000000000000001E-3</v>
      </c>
      <c r="BZ55" t="str">
        <f>""</f>
        <v/>
      </c>
      <c r="CA55" t="str">
        <f>""</f>
        <v/>
      </c>
      <c r="CB55" t="str">
        <f>""</f>
        <v/>
      </c>
      <c r="CC55" t="str">
        <f>""</f>
        <v/>
      </c>
      <c r="CD55" t="str">
        <f>""</f>
        <v/>
      </c>
      <c r="CE55" t="str">
        <f>""</f>
        <v/>
      </c>
      <c r="CF55" t="str">
        <f>""</f>
        <v/>
      </c>
      <c r="CG55" t="str">
        <f>""</f>
        <v/>
      </c>
      <c r="CH55" t="str">
        <f>""</f>
        <v/>
      </c>
      <c r="CI55" t="str">
        <f>""</f>
        <v/>
      </c>
      <c r="CJ55" t="str">
        <f>""</f>
        <v/>
      </c>
      <c r="CK55" t="str">
        <f>""</f>
        <v/>
      </c>
      <c r="CL55" t="str">
        <f>""</f>
        <v/>
      </c>
      <c r="CM55" t="str">
        <f>""</f>
        <v/>
      </c>
      <c r="CN55" t="str">
        <f>""</f>
        <v/>
      </c>
      <c r="CO55" t="str">
        <f>""</f>
        <v/>
      </c>
      <c r="CP55" t="str">
        <f>""</f>
        <v/>
      </c>
      <c r="CQ55" t="str">
        <f>""</f>
        <v/>
      </c>
      <c r="CR55" t="str">
        <f>""</f>
        <v/>
      </c>
      <c r="CS55" t="str">
        <f>""</f>
        <v/>
      </c>
      <c r="CT55" t="str">
        <f>""</f>
        <v/>
      </c>
      <c r="CU55" t="str">
        <f>""</f>
        <v/>
      </c>
      <c r="CV55" t="str">
        <f>""</f>
        <v/>
      </c>
      <c r="CW55" t="str">
        <f>""</f>
        <v/>
      </c>
      <c r="CX55" t="str">
        <f>""</f>
        <v/>
      </c>
      <c r="CY55" t="str">
        <f>""</f>
        <v/>
      </c>
      <c r="CZ55" t="str">
        <f>""</f>
        <v/>
      </c>
      <c r="DA55" t="str">
        <f>""</f>
        <v/>
      </c>
      <c r="DB55" t="str">
        <f>""</f>
        <v/>
      </c>
      <c r="DC55" t="str">
        <f>""</f>
        <v/>
      </c>
      <c r="DD55" t="str">
        <f>""</f>
        <v/>
      </c>
      <c r="DE55" t="str">
        <f>""</f>
        <v/>
      </c>
      <c r="DF55" t="str">
        <f>""</f>
        <v/>
      </c>
      <c r="DG55" t="str">
        <f>""</f>
        <v/>
      </c>
      <c r="DH55" t="str">
        <f>""</f>
        <v/>
      </c>
      <c r="DI55" t="str">
        <f>""</f>
        <v/>
      </c>
      <c r="DJ55" t="str">
        <f>""</f>
        <v/>
      </c>
      <c r="DK55" t="str">
        <f>""</f>
        <v/>
      </c>
      <c r="DL55" t="str">
        <f>""</f>
        <v/>
      </c>
      <c r="DM55" t="str">
        <f>""</f>
        <v/>
      </c>
      <c r="DN55" t="str">
        <f>""</f>
        <v/>
      </c>
      <c r="DO55" t="str">
        <f>""</f>
        <v/>
      </c>
      <c r="DP55" t="str">
        <f>""</f>
        <v/>
      </c>
      <c r="DQ55" t="str">
        <f>""</f>
        <v/>
      </c>
      <c r="DR55" t="str">
        <f>""</f>
        <v/>
      </c>
      <c r="DS55" t="str">
        <f>""</f>
        <v/>
      </c>
      <c r="DT55" t="str">
        <f>""</f>
        <v/>
      </c>
      <c r="DU55" t="str">
        <f>""</f>
        <v/>
      </c>
    </row>
    <row r="56" spans="1:125" x14ac:dyDescent="0.25">
      <c r="A56" t="str">
        <f>"    Fiat Chrysler Automobiles NV"</f>
        <v xml:space="preserve">    Fiat Chrysler Automobiles NV</v>
      </c>
      <c r="B56" t="str">
        <f>"FCAU US Equity"</f>
        <v>FCAU US Equity</v>
      </c>
      <c r="C56" t="str">
        <f t="shared" si="3"/>
        <v>EZ019</v>
      </c>
      <c r="D56" t="str">
        <f t="shared" si="4"/>
        <v>BEST_EEPS_CUR_YR</v>
      </c>
      <c r="E56" t="str">
        <f t="shared" si="5"/>
        <v>Dynamic</v>
      </c>
      <c r="F56">
        <f ca="1">IF(AND(ISNUMBER($F$564),$B$511=1),$F$564,HLOOKUP(INDIRECT(ADDRESS(2,COLUMN())),OFFSET($BN$2,0,0,ROW()-1,60),ROW()-1,FALSE))</f>
        <v>3.29</v>
      </c>
      <c r="G56">
        <f ca="1">IF(AND(ISNUMBER($G$564),$B$511=1),$G$564,HLOOKUP(INDIRECT(ADDRESS(2,COLUMN())),OFFSET($BN$2,0,0,ROW()-1,60),ROW()-1,FALSE))</f>
        <v>3.6789999999999998</v>
      </c>
      <c r="H56">
        <f ca="1">IF(AND(ISNUMBER($H$564),$B$511=1),$H$564,HLOOKUP(INDIRECT(ADDRESS(2,COLUMN())),OFFSET($BN$2,0,0,ROW()-1,60),ROW()-1,FALSE))</f>
        <v>3.9380000000000002</v>
      </c>
      <c r="I56">
        <f ca="1">IF(AND(ISNUMBER($I$564),$B$511=1),$I$564,HLOOKUP(INDIRECT(ADDRESS(2,COLUMN())),OFFSET($BN$2,0,0,ROW()-1,60),ROW()-1,FALSE))</f>
        <v>4.0679999999999996</v>
      </c>
      <c r="J56">
        <f ca="1">IF(AND(ISNUMBER($J$564),$B$511=1),$J$564,HLOOKUP(INDIRECT(ADDRESS(2,COLUMN())),OFFSET($BN$2,0,0,ROW()-1,60),ROW()-1,FALSE))</f>
        <v>4.1500000000000004</v>
      </c>
      <c r="K56">
        <f ca="1">IF(AND(ISNUMBER($K$564),$B$511=1),$K$564,HLOOKUP(INDIRECT(ADDRESS(2,COLUMN())),OFFSET($BN$2,0,0,ROW()-1,60),ROW()-1,FALSE))</f>
        <v>3.3010000000000002</v>
      </c>
      <c r="L56">
        <f ca="1">IF(AND(ISNUMBER($L$564),$B$511=1),$L$564,HLOOKUP(INDIRECT(ADDRESS(2,COLUMN())),OFFSET($BN$2,0,0,ROW()-1,60),ROW()-1,FALSE))</f>
        <v>3.1469999999999998</v>
      </c>
      <c r="M56">
        <f ca="1">IF(AND(ISNUMBER($M$564),$B$511=1),$M$564,HLOOKUP(INDIRECT(ADDRESS(2,COLUMN())),OFFSET($BN$2,0,0,ROW()-1,60),ROW()-1,FALSE))</f>
        <v>2.8479999999999999</v>
      </c>
      <c r="N56">
        <f ca="1">IF(AND(ISNUMBER($N$564),$B$511=1),$N$564,HLOOKUP(INDIRECT(ADDRESS(2,COLUMN())),OFFSET($BN$2,0,0,ROW()-1,60),ROW()-1,FALSE))</f>
        <v>2.5880000000000001</v>
      </c>
      <c r="O56">
        <f ca="1">IF(AND(ISNUMBER($O$564),$B$511=1),$O$564,HLOOKUP(INDIRECT(ADDRESS(2,COLUMN())),OFFSET($BN$2,0,0,ROW()-1,60),ROW()-1,FALSE))</f>
        <v>2.5870000000000002</v>
      </c>
      <c r="P56">
        <f ca="1">IF(AND(ISNUMBER($P$564),$B$511=1),$P$564,HLOOKUP(INDIRECT(ADDRESS(2,COLUMN())),OFFSET($BN$2,0,0,ROW()-1,60),ROW()-1,FALSE))</f>
        <v>2.2599999999999998</v>
      </c>
      <c r="Q56">
        <f ca="1">IF(AND(ISNUMBER($Q$564),$B$511=1),$Q$564,HLOOKUP(INDIRECT(ADDRESS(2,COLUMN())),OFFSET($BN$2,0,0,ROW()-1,60),ROW()-1,FALSE))</f>
        <v>0.85799999999999998</v>
      </c>
      <c r="R56">
        <f ca="1">IF(AND(ISNUMBER($R$564),$B$511=1),$R$564,HLOOKUP(INDIRECT(ADDRESS(2,COLUMN())),OFFSET($BN$2,0,0,ROW()-1,60),ROW()-1,FALSE))</f>
        <v>0.41299999999999998</v>
      </c>
      <c r="S56">
        <f ca="1">IF(AND(ISNUMBER($S$564),$B$511=1),$S$564,HLOOKUP(INDIRECT(ADDRESS(2,COLUMN())),OFFSET($BN$2,0,0,ROW()-1,60),ROW()-1,FALSE))</f>
        <v>5.0659999999999998</v>
      </c>
      <c r="T56">
        <f ca="1">IF(AND(ISNUMBER($T$564),$B$511=1),$T$564,HLOOKUP(INDIRECT(ADDRESS(2,COLUMN())),OFFSET($BN$2,0,0,ROW()-1,60),ROW()-1,FALSE))</f>
        <v>5.47</v>
      </c>
      <c r="U56">
        <f ca="1">IF(AND(ISNUMBER($U$564),$B$511=1),$U$564,HLOOKUP(INDIRECT(ADDRESS(2,COLUMN())),OFFSET($BN$2,0,0,ROW()-1,60),ROW()-1,FALSE))</f>
        <v>12.303000000000001</v>
      </c>
      <c r="V56" t="str">
        <f ca="1">IF(AND(ISNUMBER($V$564),$B$511=1),$V$564,HLOOKUP(INDIRECT(ADDRESS(2,COLUMN())),OFFSET($BN$2,0,0,ROW()-1,60),ROW()-1,FALSE))</f>
        <v/>
      </c>
      <c r="W56" t="str">
        <f ca="1">IF(AND(ISNUMBER($W$564),$B$511=1),$W$564,HLOOKUP(INDIRECT(ADDRESS(2,COLUMN())),OFFSET($BN$2,0,0,ROW()-1,60),ROW()-1,FALSE))</f>
        <v/>
      </c>
      <c r="X56" t="str">
        <f ca="1">IF(AND(ISNUMBER($X$564),$B$511=1),$X$564,HLOOKUP(INDIRECT(ADDRESS(2,COLUMN())),OFFSET($BN$2,0,0,ROW()-1,60),ROW()-1,FALSE))</f>
        <v/>
      </c>
      <c r="Y56" t="str">
        <f ca="1">IF(AND(ISNUMBER($Y$564),$B$511=1),$Y$564,HLOOKUP(INDIRECT(ADDRESS(2,COLUMN())),OFFSET($BN$2,0,0,ROW()-1,60),ROW()-1,FALSE))</f>
        <v/>
      </c>
      <c r="Z56" t="str">
        <f ca="1">IF(AND(ISNUMBER($Z$564),$B$511=1),$Z$564,HLOOKUP(INDIRECT(ADDRESS(2,COLUMN())),OFFSET($BN$2,0,0,ROW()-1,60),ROW()-1,FALSE))</f>
        <v/>
      </c>
      <c r="AA56" t="str">
        <f ca="1">IF(AND(ISNUMBER($AA$564),$B$511=1),$AA$564,HLOOKUP(INDIRECT(ADDRESS(2,COLUMN())),OFFSET($BN$2,0,0,ROW()-1,60),ROW()-1,FALSE))</f>
        <v/>
      </c>
      <c r="AB56" t="str">
        <f ca="1">IF(AND(ISNUMBER($AB$564),$B$511=1),$AB$564,HLOOKUP(INDIRECT(ADDRESS(2,COLUMN())),OFFSET($BN$2,0,0,ROW()-1,60),ROW()-1,FALSE))</f>
        <v/>
      </c>
      <c r="AC56" t="str">
        <f ca="1">IF(AND(ISNUMBER($AC$564),$B$511=1),$AC$564,HLOOKUP(INDIRECT(ADDRESS(2,COLUMN())),OFFSET($BN$2,0,0,ROW()-1,60),ROW()-1,FALSE))</f>
        <v/>
      </c>
      <c r="AD56" t="str">
        <f ca="1">IF(AND(ISNUMBER($AD$564),$B$511=1),$AD$564,HLOOKUP(INDIRECT(ADDRESS(2,COLUMN())),OFFSET($BN$2,0,0,ROW()-1,60),ROW()-1,FALSE))</f>
        <v/>
      </c>
      <c r="AE56" t="str">
        <f ca="1">IF(AND(ISNUMBER($AE$564),$B$511=1),$AE$564,HLOOKUP(INDIRECT(ADDRESS(2,COLUMN())),OFFSET($BN$2,0,0,ROW()-1,60),ROW()-1,FALSE))</f>
        <v/>
      </c>
      <c r="AF56" t="str">
        <f ca="1">IF(AND(ISNUMBER($AF$564),$B$511=1),$AF$564,HLOOKUP(INDIRECT(ADDRESS(2,COLUMN())),OFFSET($BN$2,0,0,ROW()-1,60),ROW()-1,FALSE))</f>
        <v/>
      </c>
      <c r="AG56" t="str">
        <f ca="1">IF(AND(ISNUMBER($AG$564),$B$511=1),$AG$564,HLOOKUP(INDIRECT(ADDRESS(2,COLUMN())),OFFSET($BN$2,0,0,ROW()-1,60),ROW()-1,FALSE))</f>
        <v/>
      </c>
      <c r="AH56" t="str">
        <f ca="1">IF(AND(ISNUMBER($AH$564),$B$511=1),$AH$564,HLOOKUP(INDIRECT(ADDRESS(2,COLUMN())),OFFSET($BN$2,0,0,ROW()-1,60),ROW()-1,FALSE))</f>
        <v/>
      </c>
      <c r="AI56" t="str">
        <f ca="1">IF(AND(ISNUMBER($AI$564),$B$511=1),$AI$564,HLOOKUP(INDIRECT(ADDRESS(2,COLUMN())),OFFSET($BN$2,0,0,ROW()-1,60),ROW()-1,FALSE))</f>
        <v/>
      </c>
      <c r="AJ56" t="str">
        <f ca="1">IF(AND(ISNUMBER($AJ$564),$B$511=1),$AJ$564,HLOOKUP(INDIRECT(ADDRESS(2,COLUMN())),OFFSET($BN$2,0,0,ROW()-1,60),ROW()-1,FALSE))</f>
        <v/>
      </c>
      <c r="AK56" t="str">
        <f ca="1">IF(AND(ISNUMBER($AK$564),$B$511=1),$AK$564,HLOOKUP(INDIRECT(ADDRESS(2,COLUMN())),OFFSET($BN$2,0,0,ROW()-1,60),ROW()-1,FALSE))</f>
        <v/>
      </c>
      <c r="AL56" t="str">
        <f ca="1">IF(AND(ISNUMBER($AL$564),$B$511=1),$AL$564,HLOOKUP(INDIRECT(ADDRESS(2,COLUMN())),OFFSET($BN$2,0,0,ROW()-1,60),ROW()-1,FALSE))</f>
        <v/>
      </c>
      <c r="AM56" t="str">
        <f ca="1">IF(AND(ISNUMBER($AM$564),$B$511=1),$AM$564,HLOOKUP(INDIRECT(ADDRESS(2,COLUMN())),OFFSET($BN$2,0,0,ROW()-1,60),ROW()-1,FALSE))</f>
        <v/>
      </c>
      <c r="AN56" t="str">
        <f ca="1">IF(AND(ISNUMBER($AN$564),$B$511=1),$AN$564,HLOOKUP(INDIRECT(ADDRESS(2,COLUMN())),OFFSET($BN$2,0,0,ROW()-1,60),ROW()-1,FALSE))</f>
        <v/>
      </c>
      <c r="AO56" t="str">
        <f ca="1">IF(AND(ISNUMBER($AO$564),$B$511=1),$AO$564,HLOOKUP(INDIRECT(ADDRESS(2,COLUMN())),OFFSET($BN$2,0,0,ROW()-1,60),ROW()-1,FALSE))</f>
        <v/>
      </c>
      <c r="AP56" t="str">
        <f ca="1">IF(AND(ISNUMBER($AP$564),$B$511=1),$AP$564,HLOOKUP(INDIRECT(ADDRESS(2,COLUMN())),OFFSET($BN$2,0,0,ROW()-1,60),ROW()-1,FALSE))</f>
        <v/>
      </c>
      <c r="AQ56" t="str">
        <f ca="1">IF(AND(ISNUMBER($AQ$564),$B$511=1),$AQ$564,HLOOKUP(INDIRECT(ADDRESS(2,COLUMN())),OFFSET($BN$2,0,0,ROW()-1,60),ROW()-1,FALSE))</f>
        <v/>
      </c>
      <c r="AR56" t="str">
        <f ca="1">IF(AND(ISNUMBER($AR$564),$B$511=1),$AR$564,HLOOKUP(INDIRECT(ADDRESS(2,COLUMN())),OFFSET($BN$2,0,0,ROW()-1,60),ROW()-1,FALSE))</f>
        <v/>
      </c>
      <c r="AS56" t="str">
        <f ca="1">IF(AND(ISNUMBER($AS$564),$B$511=1),$AS$564,HLOOKUP(INDIRECT(ADDRESS(2,COLUMN())),OFFSET($BN$2,0,0,ROW()-1,60),ROW()-1,FALSE))</f>
        <v/>
      </c>
      <c r="AT56" t="str">
        <f ca="1">IF(AND(ISNUMBER($AT$564),$B$511=1),$AT$564,HLOOKUP(INDIRECT(ADDRESS(2,COLUMN())),OFFSET($BN$2,0,0,ROW()-1,60),ROW()-1,FALSE))</f>
        <v/>
      </c>
      <c r="AU56" t="str">
        <f ca="1">IF(AND(ISNUMBER($AU$564),$B$511=1),$AU$564,HLOOKUP(INDIRECT(ADDRESS(2,COLUMN())),OFFSET($BN$2,0,0,ROW()-1,60),ROW()-1,FALSE))</f>
        <v/>
      </c>
      <c r="AV56" t="str">
        <f ca="1">IF(AND(ISNUMBER($AV$564),$B$511=1),$AV$564,HLOOKUP(INDIRECT(ADDRESS(2,COLUMN())),OFFSET($BN$2,0,0,ROW()-1,60),ROW()-1,FALSE))</f>
        <v/>
      </c>
      <c r="AW56" t="str">
        <f ca="1">IF(AND(ISNUMBER($AW$564),$B$511=1),$AW$564,HLOOKUP(INDIRECT(ADDRESS(2,COLUMN())),OFFSET($BN$2,0,0,ROW()-1,60),ROW()-1,FALSE))</f>
        <v/>
      </c>
      <c r="AX56" t="str">
        <f ca="1">IF(AND(ISNUMBER($AX$564),$B$511=1),$AX$564,HLOOKUP(INDIRECT(ADDRESS(2,COLUMN())),OFFSET($BN$2,0,0,ROW()-1,60),ROW()-1,FALSE))</f>
        <v/>
      </c>
      <c r="AY56" t="str">
        <f ca="1">IF(AND(ISNUMBER($AY$564),$B$511=1),$AY$564,HLOOKUP(INDIRECT(ADDRESS(2,COLUMN())),OFFSET($BN$2,0,0,ROW()-1,60),ROW()-1,FALSE))</f>
        <v/>
      </c>
      <c r="AZ56" t="str">
        <f ca="1">IF(AND(ISNUMBER($AZ$564),$B$511=1),$AZ$564,HLOOKUP(INDIRECT(ADDRESS(2,COLUMN())),OFFSET($BN$2,0,0,ROW()-1,60),ROW()-1,FALSE))</f>
        <v/>
      </c>
      <c r="BA56" t="str">
        <f ca="1">IF(AND(ISNUMBER($BA$564),$B$511=1),$BA$564,HLOOKUP(INDIRECT(ADDRESS(2,COLUMN())),OFFSET($BN$2,0,0,ROW()-1,60),ROW()-1,FALSE))</f>
        <v/>
      </c>
      <c r="BB56" t="str">
        <f ca="1">IF(AND(ISNUMBER($BB$564),$B$511=1),$BB$564,HLOOKUP(INDIRECT(ADDRESS(2,COLUMN())),OFFSET($BN$2,0,0,ROW()-1,60),ROW()-1,FALSE))</f>
        <v/>
      </c>
      <c r="BC56" t="str">
        <f ca="1">IF(AND(ISNUMBER($BC$564),$B$511=1),$BC$564,HLOOKUP(INDIRECT(ADDRESS(2,COLUMN())),OFFSET($BN$2,0,0,ROW()-1,60),ROW()-1,FALSE))</f>
        <v/>
      </c>
      <c r="BD56" t="str">
        <f ca="1">IF(AND(ISNUMBER($BD$564),$B$511=1),$BD$564,HLOOKUP(INDIRECT(ADDRESS(2,COLUMN())),OFFSET($BN$2,0,0,ROW()-1,60),ROW()-1,FALSE))</f>
        <v/>
      </c>
      <c r="BE56" t="str">
        <f ca="1">IF(AND(ISNUMBER($BE$564),$B$511=1),$BE$564,HLOOKUP(INDIRECT(ADDRESS(2,COLUMN())),OFFSET($BN$2,0,0,ROW()-1,60),ROW()-1,FALSE))</f>
        <v/>
      </c>
      <c r="BF56" t="str">
        <f ca="1">IF(AND(ISNUMBER($BF$564),$B$511=1),$BF$564,HLOOKUP(INDIRECT(ADDRESS(2,COLUMN())),OFFSET($BN$2,0,0,ROW()-1,60),ROW()-1,FALSE))</f>
        <v/>
      </c>
      <c r="BG56" t="str">
        <f ca="1">IF(AND(ISNUMBER($BG$564),$B$511=1),$BG$564,HLOOKUP(INDIRECT(ADDRESS(2,COLUMN())),OFFSET($BN$2,0,0,ROW()-1,60),ROW()-1,FALSE))</f>
        <v/>
      </c>
      <c r="BH56" t="str">
        <f ca="1">IF(AND(ISNUMBER($BH$564),$B$511=1),$BH$564,HLOOKUP(INDIRECT(ADDRESS(2,COLUMN())),OFFSET($BN$2,0,0,ROW()-1,60),ROW()-1,FALSE))</f>
        <v/>
      </c>
      <c r="BI56" t="str">
        <f ca="1">IF(AND(ISNUMBER($BI$564),$B$511=1),$BI$564,HLOOKUP(INDIRECT(ADDRESS(2,COLUMN())),OFFSET($BN$2,0,0,ROW()-1,60),ROW()-1,FALSE))</f>
        <v/>
      </c>
      <c r="BJ56" t="str">
        <f ca="1">IF(AND(ISNUMBER($BJ$564),$B$511=1),$BJ$564,HLOOKUP(INDIRECT(ADDRESS(2,COLUMN())),OFFSET($BN$2,0,0,ROW()-1,60),ROW()-1,FALSE))</f>
        <v/>
      </c>
      <c r="BK56" t="str">
        <f ca="1">IF(AND(ISNUMBER($BK$564),$B$511=1),$BK$564,HLOOKUP(INDIRECT(ADDRESS(2,COLUMN())),OFFSET($BN$2,0,0,ROW()-1,60),ROW()-1,FALSE))</f>
        <v/>
      </c>
      <c r="BL56" t="str">
        <f ca="1">IF(AND(ISNUMBER($BL$564),$B$511=1),$BL$564,HLOOKUP(INDIRECT(ADDRESS(2,COLUMN())),OFFSET($BN$2,0,0,ROW()-1,60),ROW()-1,FALSE))</f>
        <v/>
      </c>
      <c r="BM56" t="str">
        <f ca="1">IF(AND(ISNUMBER($BM$564),$B$511=1),$BM$564,HLOOKUP(INDIRECT(ADDRESS(2,COLUMN())),OFFSET($BN$2,0,0,ROW()-1,60),ROW()-1,FALSE))</f>
        <v/>
      </c>
      <c r="BN56">
        <f>3.29</f>
        <v>3.29</v>
      </c>
      <c r="BO56">
        <f>3.679</f>
        <v>3.6789999999999998</v>
      </c>
      <c r="BP56">
        <f>3.938</f>
        <v>3.9380000000000002</v>
      </c>
      <c r="BQ56">
        <f>4.068</f>
        <v>4.0679999999999996</v>
      </c>
      <c r="BR56">
        <f>4.15</f>
        <v>4.1500000000000004</v>
      </c>
      <c r="BS56">
        <f>3.301</f>
        <v>3.3010000000000002</v>
      </c>
      <c r="BT56">
        <f>3.147</f>
        <v>3.1469999999999998</v>
      </c>
      <c r="BU56">
        <f>2.848</f>
        <v>2.8479999999999999</v>
      </c>
      <c r="BV56">
        <f>2.588</f>
        <v>2.5880000000000001</v>
      </c>
      <c r="BW56">
        <f>2.587</f>
        <v>2.5870000000000002</v>
      </c>
      <c r="BX56">
        <f>2.26</f>
        <v>2.2599999999999998</v>
      </c>
      <c r="BY56">
        <f>0.858</f>
        <v>0.85799999999999998</v>
      </c>
      <c r="BZ56">
        <f>0.413</f>
        <v>0.41299999999999998</v>
      </c>
      <c r="CA56">
        <f>5.066</f>
        <v>5.0659999999999998</v>
      </c>
      <c r="CB56">
        <f>5.47</f>
        <v>5.47</v>
      </c>
      <c r="CC56">
        <f>12.303</f>
        <v>12.303000000000001</v>
      </c>
      <c r="CD56" t="str">
        <f>""</f>
        <v/>
      </c>
      <c r="CE56" t="str">
        <f>""</f>
        <v/>
      </c>
      <c r="CF56" t="str">
        <f>""</f>
        <v/>
      </c>
      <c r="CG56" t="str">
        <f>""</f>
        <v/>
      </c>
      <c r="CH56" t="str">
        <f>""</f>
        <v/>
      </c>
      <c r="CI56" t="str">
        <f>""</f>
        <v/>
      </c>
      <c r="CJ56" t="str">
        <f>""</f>
        <v/>
      </c>
      <c r="CK56" t="str">
        <f>""</f>
        <v/>
      </c>
      <c r="CL56" t="str">
        <f>""</f>
        <v/>
      </c>
      <c r="CM56" t="str">
        <f>""</f>
        <v/>
      </c>
      <c r="CN56" t="str">
        <f>""</f>
        <v/>
      </c>
      <c r="CO56" t="str">
        <f>""</f>
        <v/>
      </c>
      <c r="CP56" t="str">
        <f>""</f>
        <v/>
      </c>
      <c r="CQ56" t="str">
        <f>""</f>
        <v/>
      </c>
      <c r="CR56" t="str">
        <f>""</f>
        <v/>
      </c>
      <c r="CS56" t="str">
        <f>""</f>
        <v/>
      </c>
      <c r="CT56" t="str">
        <f>""</f>
        <v/>
      </c>
      <c r="CU56" t="str">
        <f>""</f>
        <v/>
      </c>
      <c r="CV56" t="str">
        <f>""</f>
        <v/>
      </c>
      <c r="CW56" t="str">
        <f>""</f>
        <v/>
      </c>
      <c r="CX56" t="str">
        <f>""</f>
        <v/>
      </c>
      <c r="CY56" t="str">
        <f>""</f>
        <v/>
      </c>
      <c r="CZ56" t="str">
        <f>""</f>
        <v/>
      </c>
      <c r="DA56" t="str">
        <f>""</f>
        <v/>
      </c>
      <c r="DB56" t="str">
        <f>""</f>
        <v/>
      </c>
      <c r="DC56" t="str">
        <f>""</f>
        <v/>
      </c>
      <c r="DD56" t="str">
        <f>""</f>
        <v/>
      </c>
      <c r="DE56" t="str">
        <f>""</f>
        <v/>
      </c>
      <c r="DF56" t="str">
        <f>""</f>
        <v/>
      </c>
      <c r="DG56" t="str">
        <f>""</f>
        <v/>
      </c>
      <c r="DH56" t="str">
        <f>""</f>
        <v/>
      </c>
      <c r="DI56" t="str">
        <f>""</f>
        <v/>
      </c>
      <c r="DJ56" t="str">
        <f>""</f>
        <v/>
      </c>
      <c r="DK56" t="str">
        <f>""</f>
        <v/>
      </c>
      <c r="DL56" t="str">
        <f>""</f>
        <v/>
      </c>
      <c r="DM56" t="str">
        <f>""</f>
        <v/>
      </c>
      <c r="DN56" t="str">
        <f>""</f>
        <v/>
      </c>
      <c r="DO56" t="str">
        <f>""</f>
        <v/>
      </c>
      <c r="DP56" t="str">
        <f>""</f>
        <v/>
      </c>
      <c r="DQ56" t="str">
        <f>""</f>
        <v/>
      </c>
      <c r="DR56" t="str">
        <f>""</f>
        <v/>
      </c>
      <c r="DS56" t="str">
        <f>""</f>
        <v/>
      </c>
      <c r="DT56" t="str">
        <f>""</f>
        <v/>
      </c>
      <c r="DU56" t="str">
        <f>""</f>
        <v/>
      </c>
    </row>
    <row r="57" spans="1:125" x14ac:dyDescent="0.25">
      <c r="A57" t="str">
        <f>"    Ford Motor Co"</f>
        <v xml:space="preserve">    Ford Motor Co</v>
      </c>
      <c r="B57" t="str">
        <f>"F US Equity"</f>
        <v>F US Equity</v>
      </c>
      <c r="C57" t="str">
        <f t="shared" si="3"/>
        <v>EZ019</v>
      </c>
      <c r="D57" t="str">
        <f t="shared" si="4"/>
        <v>BEST_EEPS_CUR_YR</v>
      </c>
      <c r="E57" t="str">
        <f t="shared" si="5"/>
        <v>Dynamic</v>
      </c>
      <c r="F57">
        <f ca="1">IF(AND(ISNUMBER($F$565),$B$511=1),$F$565,HLOOKUP(INDIRECT(ADDRESS(2,COLUMN())),OFFSET($BN$2,0,0,ROW()-1,60),ROW()-1,FALSE))</f>
        <v>1.1830000000000001</v>
      </c>
      <c r="G57">
        <f ca="1">IF(AND(ISNUMBER($G$565),$B$511=1),$G$565,HLOOKUP(INDIRECT(ADDRESS(2,COLUMN())),OFFSET($BN$2,0,0,ROW()-1,60),ROW()-1,FALSE))</f>
        <v>1.3080000000000001</v>
      </c>
      <c r="H57">
        <f ca="1">IF(AND(ISNUMBER($H$565),$B$511=1),$H$565,HLOOKUP(INDIRECT(ADDRESS(2,COLUMN())),OFFSET($BN$2,0,0,ROW()-1,60),ROW()-1,FALSE))</f>
        <v>1.3879999999999999</v>
      </c>
      <c r="I57">
        <f ca="1">IF(AND(ISNUMBER($I$565),$B$511=1),$I$565,HLOOKUP(INDIRECT(ADDRESS(2,COLUMN())),OFFSET($BN$2,0,0,ROW()-1,60),ROW()-1,FALSE))</f>
        <v>1.528</v>
      </c>
      <c r="J57">
        <f ca="1">IF(AND(ISNUMBER($J$565),$B$511=1),$J$565,HLOOKUP(INDIRECT(ADDRESS(2,COLUMN())),OFFSET($BN$2,0,0,ROW()-1,60),ROW()-1,FALSE))</f>
        <v>1.508</v>
      </c>
      <c r="K57">
        <f ca="1">IF(AND(ISNUMBER($K$565),$B$511=1),$K$565,HLOOKUP(INDIRECT(ADDRESS(2,COLUMN())),OFFSET($BN$2,0,0,ROW()-1,60),ROW()-1,FALSE))</f>
        <v>1.633</v>
      </c>
      <c r="L57">
        <f ca="1">IF(AND(ISNUMBER($L$565),$B$511=1),$L$565,HLOOKUP(INDIRECT(ADDRESS(2,COLUMN())),OFFSET($BN$2,0,0,ROW()-1,60),ROW()-1,FALSE))</f>
        <v>1.5429999999999999</v>
      </c>
      <c r="M57">
        <f ca="1">IF(AND(ISNUMBER($M$565),$B$511=1),$M$565,HLOOKUP(INDIRECT(ADDRESS(2,COLUMN())),OFFSET($BN$2,0,0,ROW()-1,60),ROW()-1,FALSE))</f>
        <v>1.702</v>
      </c>
      <c r="N57">
        <f ca="1">IF(AND(ISNUMBER($N$565),$B$511=1),$N$565,HLOOKUP(INDIRECT(ADDRESS(2,COLUMN())),OFFSET($BN$2,0,0,ROW()-1,60),ROW()-1,FALSE))</f>
        <v>1.7290000000000001</v>
      </c>
      <c r="O57">
        <f ca="1">IF(AND(ISNUMBER($O$565),$B$511=1),$O$565,HLOOKUP(INDIRECT(ADDRESS(2,COLUMN())),OFFSET($BN$2,0,0,ROW()-1,60),ROW()-1,FALSE))</f>
        <v>1.63</v>
      </c>
      <c r="P57">
        <f ca="1">IF(AND(ISNUMBER($P$565),$B$511=1),$P$565,HLOOKUP(INDIRECT(ADDRESS(2,COLUMN())),OFFSET($BN$2,0,0,ROW()-1,60),ROW()-1,FALSE))</f>
        <v>1.87</v>
      </c>
      <c r="Q57" t="str">
        <f ca="1">IF(AND(ISNUMBER($Q$565),$B$511=1),$Q$565,HLOOKUP(INDIRECT(ADDRESS(2,COLUMN())),OFFSET($BN$2,0,0,ROW()-1,60),ROW()-1,FALSE))</f>
        <v/>
      </c>
      <c r="R57" t="str">
        <f ca="1">IF(AND(ISNUMBER($R$565),$B$511=1),$R$565,HLOOKUP(INDIRECT(ADDRESS(2,COLUMN())),OFFSET($BN$2,0,0,ROW()-1,60),ROW()-1,FALSE))</f>
        <v/>
      </c>
      <c r="S57">
        <f ca="1">IF(AND(ISNUMBER($S$565),$B$511=1),$S$565,HLOOKUP(INDIRECT(ADDRESS(2,COLUMN())),OFFSET($BN$2,0,0,ROW()-1,60),ROW()-1,FALSE))</f>
        <v>1.87</v>
      </c>
      <c r="T57" t="str">
        <f ca="1">IF(AND(ISNUMBER($T$565),$B$511=1),$T$565,HLOOKUP(INDIRECT(ADDRESS(2,COLUMN())),OFFSET($BN$2,0,0,ROW()-1,60),ROW()-1,FALSE))</f>
        <v/>
      </c>
      <c r="U57" t="str">
        <f ca="1">IF(AND(ISNUMBER($U$565),$B$511=1),$U$565,HLOOKUP(INDIRECT(ADDRESS(2,COLUMN())),OFFSET($BN$2,0,0,ROW()-1,60),ROW()-1,FALSE))</f>
        <v/>
      </c>
      <c r="V57" t="str">
        <f ca="1">IF(AND(ISNUMBER($V$565),$B$511=1),$V$565,HLOOKUP(INDIRECT(ADDRESS(2,COLUMN())),OFFSET($BN$2,0,0,ROW()-1,60),ROW()-1,FALSE))</f>
        <v/>
      </c>
      <c r="W57" t="str">
        <f ca="1">IF(AND(ISNUMBER($W$565),$B$511=1),$W$565,HLOOKUP(INDIRECT(ADDRESS(2,COLUMN())),OFFSET($BN$2,0,0,ROW()-1,60),ROW()-1,FALSE))</f>
        <v/>
      </c>
      <c r="X57" t="str">
        <f ca="1">IF(AND(ISNUMBER($X$565),$B$511=1),$X$565,HLOOKUP(INDIRECT(ADDRESS(2,COLUMN())),OFFSET($BN$2,0,0,ROW()-1,60),ROW()-1,FALSE))</f>
        <v/>
      </c>
      <c r="Y57" t="str">
        <f ca="1">IF(AND(ISNUMBER($Y$565),$B$511=1),$Y$565,HLOOKUP(INDIRECT(ADDRESS(2,COLUMN())),OFFSET($BN$2,0,0,ROW()-1,60),ROW()-1,FALSE))</f>
        <v/>
      </c>
      <c r="Z57" t="str">
        <f ca="1">IF(AND(ISNUMBER($Z$565),$B$511=1),$Z$565,HLOOKUP(INDIRECT(ADDRESS(2,COLUMN())),OFFSET($BN$2,0,0,ROW()-1,60),ROW()-1,FALSE))</f>
        <v/>
      </c>
      <c r="AA57" t="str">
        <f ca="1">IF(AND(ISNUMBER($AA$565),$B$511=1),$AA$565,HLOOKUP(INDIRECT(ADDRESS(2,COLUMN())),OFFSET($BN$2,0,0,ROW()-1,60),ROW()-1,FALSE))</f>
        <v/>
      </c>
      <c r="AB57" t="str">
        <f ca="1">IF(AND(ISNUMBER($AB$565),$B$511=1),$AB$565,HLOOKUP(INDIRECT(ADDRESS(2,COLUMN())),OFFSET($BN$2,0,0,ROW()-1,60),ROW()-1,FALSE))</f>
        <v/>
      </c>
      <c r="AC57" t="str">
        <f ca="1">IF(AND(ISNUMBER($AC$565),$B$511=1),$AC$565,HLOOKUP(INDIRECT(ADDRESS(2,COLUMN())),OFFSET($BN$2,0,0,ROW()-1,60),ROW()-1,FALSE))</f>
        <v/>
      </c>
      <c r="AD57" t="str">
        <f ca="1">IF(AND(ISNUMBER($AD$565),$B$511=1),$AD$565,HLOOKUP(INDIRECT(ADDRESS(2,COLUMN())),OFFSET($BN$2,0,0,ROW()-1,60),ROW()-1,FALSE))</f>
        <v/>
      </c>
      <c r="AE57" t="str">
        <f ca="1">IF(AND(ISNUMBER($AE$565),$B$511=1),$AE$565,HLOOKUP(INDIRECT(ADDRESS(2,COLUMN())),OFFSET($BN$2,0,0,ROW()-1,60),ROW()-1,FALSE))</f>
        <v/>
      </c>
      <c r="AF57" t="str">
        <f ca="1">IF(AND(ISNUMBER($AF$565),$B$511=1),$AF$565,HLOOKUP(INDIRECT(ADDRESS(2,COLUMN())),OFFSET($BN$2,0,0,ROW()-1,60),ROW()-1,FALSE))</f>
        <v/>
      </c>
      <c r="AG57" t="str">
        <f ca="1">IF(AND(ISNUMBER($AG$565),$B$511=1),$AG$565,HLOOKUP(INDIRECT(ADDRESS(2,COLUMN())),OFFSET($BN$2,0,0,ROW()-1,60),ROW()-1,FALSE))</f>
        <v/>
      </c>
      <c r="AH57" t="str">
        <f ca="1">IF(AND(ISNUMBER($AH$565),$B$511=1),$AH$565,HLOOKUP(INDIRECT(ADDRESS(2,COLUMN())),OFFSET($BN$2,0,0,ROW()-1,60),ROW()-1,FALSE))</f>
        <v/>
      </c>
      <c r="AI57" t="str">
        <f ca="1">IF(AND(ISNUMBER($AI$565),$B$511=1),$AI$565,HLOOKUP(INDIRECT(ADDRESS(2,COLUMN())),OFFSET($BN$2,0,0,ROW()-1,60),ROW()-1,FALSE))</f>
        <v/>
      </c>
      <c r="AJ57" t="str">
        <f ca="1">IF(AND(ISNUMBER($AJ$565),$B$511=1),$AJ$565,HLOOKUP(INDIRECT(ADDRESS(2,COLUMN())),OFFSET($BN$2,0,0,ROW()-1,60),ROW()-1,FALSE))</f>
        <v/>
      </c>
      <c r="AK57" t="str">
        <f ca="1">IF(AND(ISNUMBER($AK$565),$B$511=1),$AK$565,HLOOKUP(INDIRECT(ADDRESS(2,COLUMN())),OFFSET($BN$2,0,0,ROW()-1,60),ROW()-1,FALSE))</f>
        <v/>
      </c>
      <c r="AL57" t="str">
        <f ca="1">IF(AND(ISNUMBER($AL$565),$B$511=1),$AL$565,HLOOKUP(INDIRECT(ADDRESS(2,COLUMN())),OFFSET($BN$2,0,0,ROW()-1,60),ROW()-1,FALSE))</f>
        <v/>
      </c>
      <c r="AM57" t="str">
        <f ca="1">IF(AND(ISNUMBER($AM$565),$B$511=1),$AM$565,HLOOKUP(INDIRECT(ADDRESS(2,COLUMN())),OFFSET($BN$2,0,0,ROW()-1,60),ROW()-1,FALSE))</f>
        <v/>
      </c>
      <c r="AN57" t="str">
        <f ca="1">IF(AND(ISNUMBER($AN$565),$B$511=1),$AN$565,HLOOKUP(INDIRECT(ADDRESS(2,COLUMN())),OFFSET($BN$2,0,0,ROW()-1,60),ROW()-1,FALSE))</f>
        <v/>
      </c>
      <c r="AO57" t="str">
        <f ca="1">IF(AND(ISNUMBER($AO$565),$B$511=1),$AO$565,HLOOKUP(INDIRECT(ADDRESS(2,COLUMN())),OFFSET($BN$2,0,0,ROW()-1,60),ROW()-1,FALSE))</f>
        <v/>
      </c>
      <c r="AP57" t="str">
        <f ca="1">IF(AND(ISNUMBER($AP$565),$B$511=1),$AP$565,HLOOKUP(INDIRECT(ADDRESS(2,COLUMN())),OFFSET($BN$2,0,0,ROW()-1,60),ROW()-1,FALSE))</f>
        <v/>
      </c>
      <c r="AQ57" t="str">
        <f ca="1">IF(AND(ISNUMBER($AQ$565),$B$511=1),$AQ$565,HLOOKUP(INDIRECT(ADDRESS(2,COLUMN())),OFFSET($BN$2,0,0,ROW()-1,60),ROW()-1,FALSE))</f>
        <v/>
      </c>
      <c r="AR57" t="str">
        <f ca="1">IF(AND(ISNUMBER($AR$565),$B$511=1),$AR$565,HLOOKUP(INDIRECT(ADDRESS(2,COLUMN())),OFFSET($BN$2,0,0,ROW()-1,60),ROW()-1,FALSE))</f>
        <v/>
      </c>
      <c r="AS57" t="str">
        <f ca="1">IF(AND(ISNUMBER($AS$565),$B$511=1),$AS$565,HLOOKUP(INDIRECT(ADDRESS(2,COLUMN())),OFFSET($BN$2,0,0,ROW()-1,60),ROW()-1,FALSE))</f>
        <v/>
      </c>
      <c r="AT57" t="str">
        <f ca="1">IF(AND(ISNUMBER($AT$565),$B$511=1),$AT$565,HLOOKUP(INDIRECT(ADDRESS(2,COLUMN())),OFFSET($BN$2,0,0,ROW()-1,60),ROW()-1,FALSE))</f>
        <v/>
      </c>
      <c r="AU57" t="str">
        <f ca="1">IF(AND(ISNUMBER($AU$565),$B$511=1),$AU$565,HLOOKUP(INDIRECT(ADDRESS(2,COLUMN())),OFFSET($BN$2,0,0,ROW()-1,60),ROW()-1,FALSE))</f>
        <v/>
      </c>
      <c r="AV57" t="str">
        <f ca="1">IF(AND(ISNUMBER($AV$565),$B$511=1),$AV$565,HLOOKUP(INDIRECT(ADDRESS(2,COLUMN())),OFFSET($BN$2,0,0,ROW()-1,60),ROW()-1,FALSE))</f>
        <v/>
      </c>
      <c r="AW57" t="str">
        <f ca="1">IF(AND(ISNUMBER($AW$565),$B$511=1),$AW$565,HLOOKUP(INDIRECT(ADDRESS(2,COLUMN())),OFFSET($BN$2,0,0,ROW()-1,60),ROW()-1,FALSE))</f>
        <v/>
      </c>
      <c r="AX57" t="str">
        <f ca="1">IF(AND(ISNUMBER($AX$565),$B$511=1),$AX$565,HLOOKUP(INDIRECT(ADDRESS(2,COLUMN())),OFFSET($BN$2,0,0,ROW()-1,60),ROW()-1,FALSE))</f>
        <v/>
      </c>
      <c r="AY57" t="str">
        <f ca="1">IF(AND(ISNUMBER($AY$565),$B$511=1),$AY$565,HLOOKUP(INDIRECT(ADDRESS(2,COLUMN())),OFFSET($BN$2,0,0,ROW()-1,60),ROW()-1,FALSE))</f>
        <v/>
      </c>
      <c r="AZ57" t="str">
        <f ca="1">IF(AND(ISNUMBER($AZ$565),$B$511=1),$AZ$565,HLOOKUP(INDIRECT(ADDRESS(2,COLUMN())),OFFSET($BN$2,0,0,ROW()-1,60),ROW()-1,FALSE))</f>
        <v/>
      </c>
      <c r="BA57" t="str">
        <f ca="1">IF(AND(ISNUMBER($BA$565),$B$511=1),$BA$565,HLOOKUP(INDIRECT(ADDRESS(2,COLUMN())),OFFSET($BN$2,0,0,ROW()-1,60),ROW()-1,FALSE))</f>
        <v/>
      </c>
      <c r="BB57" t="str">
        <f ca="1">IF(AND(ISNUMBER($BB$565),$B$511=1),$BB$565,HLOOKUP(INDIRECT(ADDRESS(2,COLUMN())),OFFSET($BN$2,0,0,ROW()-1,60),ROW()-1,FALSE))</f>
        <v/>
      </c>
      <c r="BC57" t="str">
        <f ca="1">IF(AND(ISNUMBER($BC$565),$B$511=1),$BC$565,HLOOKUP(INDIRECT(ADDRESS(2,COLUMN())),OFFSET($BN$2,0,0,ROW()-1,60),ROW()-1,FALSE))</f>
        <v/>
      </c>
      <c r="BD57" t="str">
        <f ca="1">IF(AND(ISNUMBER($BD$565),$B$511=1),$BD$565,HLOOKUP(INDIRECT(ADDRESS(2,COLUMN())),OFFSET($BN$2,0,0,ROW()-1,60),ROW()-1,FALSE))</f>
        <v/>
      </c>
      <c r="BE57" t="str">
        <f ca="1">IF(AND(ISNUMBER($BE$565),$B$511=1),$BE$565,HLOOKUP(INDIRECT(ADDRESS(2,COLUMN())),OFFSET($BN$2,0,0,ROW()-1,60),ROW()-1,FALSE))</f>
        <v/>
      </c>
      <c r="BF57" t="str">
        <f ca="1">IF(AND(ISNUMBER($BF$565),$B$511=1),$BF$565,HLOOKUP(INDIRECT(ADDRESS(2,COLUMN())),OFFSET($BN$2,0,0,ROW()-1,60),ROW()-1,FALSE))</f>
        <v/>
      </c>
      <c r="BG57" t="str">
        <f ca="1">IF(AND(ISNUMBER($BG$565),$B$511=1),$BG$565,HLOOKUP(INDIRECT(ADDRESS(2,COLUMN())),OFFSET($BN$2,0,0,ROW()-1,60),ROW()-1,FALSE))</f>
        <v/>
      </c>
      <c r="BH57" t="str">
        <f ca="1">IF(AND(ISNUMBER($BH$565),$B$511=1),$BH$565,HLOOKUP(INDIRECT(ADDRESS(2,COLUMN())),OFFSET($BN$2,0,0,ROW()-1,60),ROW()-1,FALSE))</f>
        <v/>
      </c>
      <c r="BI57" t="str">
        <f ca="1">IF(AND(ISNUMBER($BI$565),$B$511=1),$BI$565,HLOOKUP(INDIRECT(ADDRESS(2,COLUMN())),OFFSET($BN$2,0,0,ROW()-1,60),ROW()-1,FALSE))</f>
        <v/>
      </c>
      <c r="BJ57" t="str">
        <f ca="1">IF(AND(ISNUMBER($BJ$565),$B$511=1),$BJ$565,HLOOKUP(INDIRECT(ADDRESS(2,COLUMN())),OFFSET($BN$2,0,0,ROW()-1,60),ROW()-1,FALSE))</f>
        <v/>
      </c>
      <c r="BK57" t="str">
        <f ca="1">IF(AND(ISNUMBER($BK$565),$B$511=1),$BK$565,HLOOKUP(INDIRECT(ADDRESS(2,COLUMN())),OFFSET($BN$2,0,0,ROW()-1,60),ROW()-1,FALSE))</f>
        <v/>
      </c>
      <c r="BL57" t="str">
        <f ca="1">IF(AND(ISNUMBER($BL$565),$B$511=1),$BL$565,HLOOKUP(INDIRECT(ADDRESS(2,COLUMN())),OFFSET($BN$2,0,0,ROW()-1,60),ROW()-1,FALSE))</f>
        <v/>
      </c>
      <c r="BM57" t="str">
        <f ca="1">IF(AND(ISNUMBER($BM$565),$B$511=1),$BM$565,HLOOKUP(INDIRECT(ADDRESS(2,COLUMN())),OFFSET($BN$2,0,0,ROW()-1,60),ROW()-1,FALSE))</f>
        <v/>
      </c>
      <c r="BN57">
        <f>1.183</f>
        <v>1.1830000000000001</v>
      </c>
      <c r="BO57">
        <f>1.308</f>
        <v>1.3080000000000001</v>
      </c>
      <c r="BP57">
        <f>1.388</f>
        <v>1.3879999999999999</v>
      </c>
      <c r="BQ57">
        <f>1.528</f>
        <v>1.528</v>
      </c>
      <c r="BR57">
        <f>1.508</f>
        <v>1.508</v>
      </c>
      <c r="BS57">
        <f>1.633</f>
        <v>1.633</v>
      </c>
      <c r="BT57">
        <f>1.543</f>
        <v>1.5429999999999999</v>
      </c>
      <c r="BU57">
        <f>1.702</f>
        <v>1.702</v>
      </c>
      <c r="BV57">
        <f>1.729</f>
        <v>1.7290000000000001</v>
      </c>
      <c r="BW57">
        <f>1.63</f>
        <v>1.63</v>
      </c>
      <c r="BX57">
        <f>1.87</f>
        <v>1.87</v>
      </c>
      <c r="BY57" t="str">
        <f>""</f>
        <v/>
      </c>
      <c r="BZ57" t="str">
        <f>""</f>
        <v/>
      </c>
      <c r="CA57">
        <f>1.87</f>
        <v>1.87</v>
      </c>
      <c r="CB57" t="str">
        <f>""</f>
        <v/>
      </c>
      <c r="CC57" t="str">
        <f>""</f>
        <v/>
      </c>
      <c r="CD57" t="str">
        <f>""</f>
        <v/>
      </c>
      <c r="CE57" t="str">
        <f>""</f>
        <v/>
      </c>
      <c r="CF57" t="str">
        <f>""</f>
        <v/>
      </c>
      <c r="CG57" t="str">
        <f>""</f>
        <v/>
      </c>
      <c r="CH57" t="str">
        <f>""</f>
        <v/>
      </c>
      <c r="CI57" t="str">
        <f>""</f>
        <v/>
      </c>
      <c r="CJ57" t="str">
        <f>""</f>
        <v/>
      </c>
      <c r="CK57" t="str">
        <f>""</f>
        <v/>
      </c>
      <c r="CL57" t="str">
        <f>""</f>
        <v/>
      </c>
      <c r="CM57" t="str">
        <f>""</f>
        <v/>
      </c>
      <c r="CN57" t="str">
        <f>""</f>
        <v/>
      </c>
      <c r="CO57" t="str">
        <f>""</f>
        <v/>
      </c>
      <c r="CP57" t="str">
        <f>""</f>
        <v/>
      </c>
      <c r="CQ57" t="str">
        <f>""</f>
        <v/>
      </c>
      <c r="CR57" t="str">
        <f>""</f>
        <v/>
      </c>
      <c r="CS57" t="str">
        <f>""</f>
        <v/>
      </c>
      <c r="CT57" t="str">
        <f>""</f>
        <v/>
      </c>
      <c r="CU57" t="str">
        <f>""</f>
        <v/>
      </c>
      <c r="CV57" t="str">
        <f>""</f>
        <v/>
      </c>
      <c r="CW57" t="str">
        <f>""</f>
        <v/>
      </c>
      <c r="CX57" t="str">
        <f>""</f>
        <v/>
      </c>
      <c r="CY57" t="str">
        <f>""</f>
        <v/>
      </c>
      <c r="CZ57" t="str">
        <f>""</f>
        <v/>
      </c>
      <c r="DA57" t="str">
        <f>""</f>
        <v/>
      </c>
      <c r="DB57" t="str">
        <f>""</f>
        <v/>
      </c>
      <c r="DC57" t="str">
        <f>""</f>
        <v/>
      </c>
      <c r="DD57" t="str">
        <f>""</f>
        <v/>
      </c>
      <c r="DE57" t="str">
        <f>""</f>
        <v/>
      </c>
      <c r="DF57" t="str">
        <f>""</f>
        <v/>
      </c>
      <c r="DG57" t="str">
        <f>""</f>
        <v/>
      </c>
      <c r="DH57" t="str">
        <f>""</f>
        <v/>
      </c>
      <c r="DI57" t="str">
        <f>""</f>
        <v/>
      </c>
      <c r="DJ57" t="str">
        <f>""</f>
        <v/>
      </c>
      <c r="DK57" t="str">
        <f>""</f>
        <v/>
      </c>
      <c r="DL57" t="str">
        <f>""</f>
        <v/>
      </c>
      <c r="DM57" t="str">
        <f>""</f>
        <v/>
      </c>
      <c r="DN57" t="str">
        <f>""</f>
        <v/>
      </c>
      <c r="DO57" t="str">
        <f>""</f>
        <v/>
      </c>
      <c r="DP57" t="str">
        <f>""</f>
        <v/>
      </c>
      <c r="DQ57" t="str">
        <f>""</f>
        <v/>
      </c>
      <c r="DR57" t="str">
        <f>""</f>
        <v/>
      </c>
      <c r="DS57" t="str">
        <f>""</f>
        <v/>
      </c>
      <c r="DT57" t="str">
        <f>""</f>
        <v/>
      </c>
      <c r="DU57" t="str">
        <f>""</f>
        <v/>
      </c>
    </row>
    <row r="58" spans="1:125" x14ac:dyDescent="0.25">
      <c r="A58" t="str">
        <f>"    Ford Otomotiv Sanayi AS"</f>
        <v xml:space="preserve">    Ford Otomotiv Sanayi AS</v>
      </c>
      <c r="B58" t="str">
        <f>"FROTOTRY EO Equity"</f>
        <v>FROTOTRY EO Equity</v>
      </c>
      <c r="C58" t="str">
        <f t="shared" si="3"/>
        <v>EZ019</v>
      </c>
      <c r="D58" t="str">
        <f t="shared" si="4"/>
        <v>BEST_EEPS_CUR_YR</v>
      </c>
      <c r="E58" t="str">
        <f t="shared" si="5"/>
        <v>Dynamic</v>
      </c>
      <c r="F58">
        <f ca="1">IF(AND(ISNUMBER($F$566),$B$511=1),$F$566,HLOOKUP(INDIRECT(ADDRESS(2,COLUMN())),OFFSET($BN$2,0,0,ROW()-1,60),ROW()-1,FALSE))</f>
        <v>1.2230000000000001</v>
      </c>
      <c r="G58">
        <f ca="1">IF(AND(ISNUMBER($G$566),$B$511=1),$G$566,HLOOKUP(INDIRECT(ADDRESS(2,COLUMN())),OFFSET($BN$2,0,0,ROW()-1,60),ROW()-1,FALSE))</f>
        <v>1.2470000000000001</v>
      </c>
      <c r="H58">
        <f ca="1">IF(AND(ISNUMBER($H$566),$B$511=1),$H$566,HLOOKUP(INDIRECT(ADDRESS(2,COLUMN())),OFFSET($BN$2,0,0,ROW()-1,60),ROW()-1,FALSE))</f>
        <v>0.98</v>
      </c>
      <c r="I58">
        <f ca="1">IF(AND(ISNUMBER($I$566),$B$511=1),$I$566,HLOOKUP(INDIRECT(ADDRESS(2,COLUMN())),OFFSET($BN$2,0,0,ROW()-1,60),ROW()-1,FALSE))</f>
        <v>1.1930000000000001</v>
      </c>
      <c r="J58">
        <f ca="1">IF(AND(ISNUMBER($J$566),$B$511=1),$J$566,HLOOKUP(INDIRECT(ADDRESS(2,COLUMN())),OFFSET($BN$2,0,0,ROW()-1,60),ROW()-1,FALSE))</f>
        <v>1.3360000000000001</v>
      </c>
      <c r="K58">
        <f ca="1">IF(AND(ISNUMBER($K$566),$B$511=1),$K$566,HLOOKUP(INDIRECT(ADDRESS(2,COLUMN())),OFFSET($BN$2,0,0,ROW()-1,60),ROW()-1,FALSE))</f>
        <v>1.2470000000000001</v>
      </c>
      <c r="L58">
        <f ca="1">IF(AND(ISNUMBER($L$566),$B$511=1),$L$566,HLOOKUP(INDIRECT(ADDRESS(2,COLUMN())),OFFSET($BN$2,0,0,ROW()-1,60),ROW()-1,FALSE))</f>
        <v>1.226</v>
      </c>
      <c r="M58">
        <f ca="1">IF(AND(ISNUMBER($M$566),$B$511=1),$M$566,HLOOKUP(INDIRECT(ADDRESS(2,COLUMN())),OFFSET($BN$2,0,0,ROW()-1,60),ROW()-1,FALSE))</f>
        <v>1.1679999999999999</v>
      </c>
      <c r="N58">
        <f ca="1">IF(AND(ISNUMBER($N$566),$B$511=1),$N$566,HLOOKUP(INDIRECT(ADDRESS(2,COLUMN())),OFFSET($BN$2,0,0,ROW()-1,60),ROW()-1,FALSE))</f>
        <v>1.1000000000000001</v>
      </c>
      <c r="O58">
        <f ca="1">IF(AND(ISNUMBER($O$566),$B$511=1),$O$566,HLOOKUP(INDIRECT(ADDRESS(2,COLUMN())),OFFSET($BN$2,0,0,ROW()-1,60),ROW()-1,FALSE))</f>
        <v>1.2569999999999999</v>
      </c>
      <c r="P58">
        <f ca="1">IF(AND(ISNUMBER($P$566),$B$511=1),$P$566,HLOOKUP(INDIRECT(ADDRESS(2,COLUMN())),OFFSET($BN$2,0,0,ROW()-1,60),ROW()-1,FALSE))</f>
        <v>1.377</v>
      </c>
      <c r="Q58">
        <f ca="1">IF(AND(ISNUMBER($Q$566),$B$511=1),$Q$566,HLOOKUP(INDIRECT(ADDRESS(2,COLUMN())),OFFSET($BN$2,0,0,ROW()-1,60),ROW()-1,FALSE))</f>
        <v>1.36</v>
      </c>
      <c r="R58">
        <f ca="1">IF(AND(ISNUMBER($R$566),$B$511=1),$R$566,HLOOKUP(INDIRECT(ADDRESS(2,COLUMN())),OFFSET($BN$2,0,0,ROW()-1,60),ROW()-1,FALSE))</f>
        <v>1.306</v>
      </c>
      <c r="S58">
        <f ca="1">IF(AND(ISNUMBER($S$566),$B$511=1),$S$566,HLOOKUP(INDIRECT(ADDRESS(2,COLUMN())),OFFSET($BN$2,0,0,ROW()-1,60),ROW()-1,FALSE))</f>
        <v>1.3260000000000001</v>
      </c>
      <c r="T58" t="str">
        <f ca="1">IF(AND(ISNUMBER($T$566),$B$511=1),$T$566,HLOOKUP(INDIRECT(ADDRESS(2,COLUMN())),OFFSET($BN$2,0,0,ROW()-1,60),ROW()-1,FALSE))</f>
        <v/>
      </c>
      <c r="U58" t="str">
        <f ca="1">IF(AND(ISNUMBER($U$566),$B$511=1),$U$566,HLOOKUP(INDIRECT(ADDRESS(2,COLUMN())),OFFSET($BN$2,0,0,ROW()-1,60),ROW()-1,FALSE))</f>
        <v/>
      </c>
      <c r="V58">
        <f ca="1">IF(AND(ISNUMBER($V$566),$B$511=1),$V$566,HLOOKUP(INDIRECT(ADDRESS(2,COLUMN())),OFFSET($BN$2,0,0,ROW()-1,60),ROW()-1,FALSE))</f>
        <v>1.4570000000000001</v>
      </c>
      <c r="W58" t="str">
        <f ca="1">IF(AND(ISNUMBER($W$566),$B$511=1),$W$566,HLOOKUP(INDIRECT(ADDRESS(2,COLUMN())),OFFSET($BN$2,0,0,ROW()-1,60),ROW()-1,FALSE))</f>
        <v/>
      </c>
      <c r="X58" t="str">
        <f ca="1">IF(AND(ISNUMBER($X$566),$B$511=1),$X$566,HLOOKUP(INDIRECT(ADDRESS(2,COLUMN())),OFFSET($BN$2,0,0,ROW()-1,60),ROW()-1,FALSE))</f>
        <v/>
      </c>
      <c r="Y58" t="str">
        <f ca="1">IF(AND(ISNUMBER($Y$566),$B$511=1),$Y$566,HLOOKUP(INDIRECT(ADDRESS(2,COLUMN())),OFFSET($BN$2,0,0,ROW()-1,60),ROW()-1,FALSE))</f>
        <v/>
      </c>
      <c r="Z58" t="str">
        <f ca="1">IF(AND(ISNUMBER($Z$566),$B$511=1),$Z$566,HLOOKUP(INDIRECT(ADDRESS(2,COLUMN())),OFFSET($BN$2,0,0,ROW()-1,60),ROW()-1,FALSE))</f>
        <v/>
      </c>
      <c r="AA58" t="str">
        <f ca="1">IF(AND(ISNUMBER($AA$566),$B$511=1),$AA$566,HLOOKUP(INDIRECT(ADDRESS(2,COLUMN())),OFFSET($BN$2,0,0,ROW()-1,60),ROW()-1,FALSE))</f>
        <v/>
      </c>
      <c r="AB58" t="str">
        <f ca="1">IF(AND(ISNUMBER($AB$566),$B$511=1),$AB$566,HLOOKUP(INDIRECT(ADDRESS(2,COLUMN())),OFFSET($BN$2,0,0,ROW()-1,60),ROW()-1,FALSE))</f>
        <v/>
      </c>
      <c r="AC58" t="str">
        <f ca="1">IF(AND(ISNUMBER($AC$566),$B$511=1),$AC$566,HLOOKUP(INDIRECT(ADDRESS(2,COLUMN())),OFFSET($BN$2,0,0,ROW()-1,60),ROW()-1,FALSE))</f>
        <v/>
      </c>
      <c r="AD58" t="str">
        <f ca="1">IF(AND(ISNUMBER($AD$566),$B$511=1),$AD$566,HLOOKUP(INDIRECT(ADDRESS(2,COLUMN())),OFFSET($BN$2,0,0,ROW()-1,60),ROW()-1,FALSE))</f>
        <v/>
      </c>
      <c r="AE58" t="str">
        <f ca="1">IF(AND(ISNUMBER($AE$566),$B$511=1),$AE$566,HLOOKUP(INDIRECT(ADDRESS(2,COLUMN())),OFFSET($BN$2,0,0,ROW()-1,60),ROW()-1,FALSE))</f>
        <v/>
      </c>
      <c r="AF58" t="str">
        <f ca="1">IF(AND(ISNUMBER($AF$566),$B$511=1),$AF$566,HLOOKUP(INDIRECT(ADDRESS(2,COLUMN())),OFFSET($BN$2,0,0,ROW()-1,60),ROW()-1,FALSE))</f>
        <v/>
      </c>
      <c r="AG58" t="str">
        <f ca="1">IF(AND(ISNUMBER($AG$566),$B$511=1),$AG$566,HLOOKUP(INDIRECT(ADDRESS(2,COLUMN())),OFFSET($BN$2,0,0,ROW()-1,60),ROW()-1,FALSE))</f>
        <v/>
      </c>
      <c r="AH58" t="str">
        <f ca="1">IF(AND(ISNUMBER($AH$566),$B$511=1),$AH$566,HLOOKUP(INDIRECT(ADDRESS(2,COLUMN())),OFFSET($BN$2,0,0,ROW()-1,60),ROW()-1,FALSE))</f>
        <v/>
      </c>
      <c r="AI58" t="str">
        <f ca="1">IF(AND(ISNUMBER($AI$566),$B$511=1),$AI$566,HLOOKUP(INDIRECT(ADDRESS(2,COLUMN())),OFFSET($BN$2,0,0,ROW()-1,60),ROW()-1,FALSE))</f>
        <v/>
      </c>
      <c r="AJ58" t="str">
        <f ca="1">IF(AND(ISNUMBER($AJ$566),$B$511=1),$AJ$566,HLOOKUP(INDIRECT(ADDRESS(2,COLUMN())),OFFSET($BN$2,0,0,ROW()-1,60),ROW()-1,FALSE))</f>
        <v/>
      </c>
      <c r="AK58" t="str">
        <f ca="1">IF(AND(ISNUMBER($AK$566),$B$511=1),$AK$566,HLOOKUP(INDIRECT(ADDRESS(2,COLUMN())),OFFSET($BN$2,0,0,ROW()-1,60),ROW()-1,FALSE))</f>
        <v/>
      </c>
      <c r="AL58" t="str">
        <f ca="1">IF(AND(ISNUMBER($AL$566),$B$511=1),$AL$566,HLOOKUP(INDIRECT(ADDRESS(2,COLUMN())),OFFSET($BN$2,0,0,ROW()-1,60),ROW()-1,FALSE))</f>
        <v/>
      </c>
      <c r="AM58" t="str">
        <f ca="1">IF(AND(ISNUMBER($AM$566),$B$511=1),$AM$566,HLOOKUP(INDIRECT(ADDRESS(2,COLUMN())),OFFSET($BN$2,0,0,ROW()-1,60),ROW()-1,FALSE))</f>
        <v/>
      </c>
      <c r="AN58" t="str">
        <f ca="1">IF(AND(ISNUMBER($AN$566),$B$511=1),$AN$566,HLOOKUP(INDIRECT(ADDRESS(2,COLUMN())),OFFSET($BN$2,0,0,ROW()-1,60),ROW()-1,FALSE))</f>
        <v/>
      </c>
      <c r="AO58" t="str">
        <f ca="1">IF(AND(ISNUMBER($AO$566),$B$511=1),$AO$566,HLOOKUP(INDIRECT(ADDRESS(2,COLUMN())),OFFSET($BN$2,0,0,ROW()-1,60),ROW()-1,FALSE))</f>
        <v/>
      </c>
      <c r="AP58" t="str">
        <f ca="1">IF(AND(ISNUMBER($AP$566),$B$511=1),$AP$566,HLOOKUP(INDIRECT(ADDRESS(2,COLUMN())),OFFSET($BN$2,0,0,ROW()-1,60),ROW()-1,FALSE))</f>
        <v/>
      </c>
      <c r="AQ58" t="str">
        <f ca="1">IF(AND(ISNUMBER($AQ$566),$B$511=1),$AQ$566,HLOOKUP(INDIRECT(ADDRESS(2,COLUMN())),OFFSET($BN$2,0,0,ROW()-1,60),ROW()-1,FALSE))</f>
        <v/>
      </c>
      <c r="AR58" t="str">
        <f ca="1">IF(AND(ISNUMBER($AR$566),$B$511=1),$AR$566,HLOOKUP(INDIRECT(ADDRESS(2,COLUMN())),OFFSET($BN$2,0,0,ROW()-1,60),ROW()-1,FALSE))</f>
        <v/>
      </c>
      <c r="AS58" t="str">
        <f ca="1">IF(AND(ISNUMBER($AS$566),$B$511=1),$AS$566,HLOOKUP(INDIRECT(ADDRESS(2,COLUMN())),OFFSET($BN$2,0,0,ROW()-1,60),ROW()-1,FALSE))</f>
        <v/>
      </c>
      <c r="AT58" t="str">
        <f ca="1">IF(AND(ISNUMBER($AT$566),$B$511=1),$AT$566,HLOOKUP(INDIRECT(ADDRESS(2,COLUMN())),OFFSET($BN$2,0,0,ROW()-1,60),ROW()-1,FALSE))</f>
        <v/>
      </c>
      <c r="AU58" t="str">
        <f ca="1">IF(AND(ISNUMBER($AU$566),$B$511=1),$AU$566,HLOOKUP(INDIRECT(ADDRESS(2,COLUMN())),OFFSET($BN$2,0,0,ROW()-1,60),ROW()-1,FALSE))</f>
        <v/>
      </c>
      <c r="AV58" t="str">
        <f ca="1">IF(AND(ISNUMBER($AV$566),$B$511=1),$AV$566,HLOOKUP(INDIRECT(ADDRESS(2,COLUMN())),OFFSET($BN$2,0,0,ROW()-1,60),ROW()-1,FALSE))</f>
        <v/>
      </c>
      <c r="AW58" t="str">
        <f ca="1">IF(AND(ISNUMBER($AW$566),$B$511=1),$AW$566,HLOOKUP(INDIRECT(ADDRESS(2,COLUMN())),OFFSET($BN$2,0,0,ROW()-1,60),ROW()-1,FALSE))</f>
        <v/>
      </c>
      <c r="AX58" t="str">
        <f ca="1">IF(AND(ISNUMBER($AX$566),$B$511=1),$AX$566,HLOOKUP(INDIRECT(ADDRESS(2,COLUMN())),OFFSET($BN$2,0,0,ROW()-1,60),ROW()-1,FALSE))</f>
        <v/>
      </c>
      <c r="AY58" t="str">
        <f ca="1">IF(AND(ISNUMBER($AY$566),$B$511=1),$AY$566,HLOOKUP(INDIRECT(ADDRESS(2,COLUMN())),OFFSET($BN$2,0,0,ROW()-1,60),ROW()-1,FALSE))</f>
        <v/>
      </c>
      <c r="AZ58" t="str">
        <f ca="1">IF(AND(ISNUMBER($AZ$566),$B$511=1),$AZ$566,HLOOKUP(INDIRECT(ADDRESS(2,COLUMN())),OFFSET($BN$2,0,0,ROW()-1,60),ROW()-1,FALSE))</f>
        <v/>
      </c>
      <c r="BA58" t="str">
        <f ca="1">IF(AND(ISNUMBER($BA$566),$B$511=1),$BA$566,HLOOKUP(INDIRECT(ADDRESS(2,COLUMN())),OFFSET($BN$2,0,0,ROW()-1,60),ROW()-1,FALSE))</f>
        <v/>
      </c>
      <c r="BB58" t="str">
        <f ca="1">IF(AND(ISNUMBER($BB$566),$B$511=1),$BB$566,HLOOKUP(INDIRECT(ADDRESS(2,COLUMN())),OFFSET($BN$2,0,0,ROW()-1,60),ROW()-1,FALSE))</f>
        <v/>
      </c>
      <c r="BC58" t="str">
        <f ca="1">IF(AND(ISNUMBER($BC$566),$B$511=1),$BC$566,HLOOKUP(INDIRECT(ADDRESS(2,COLUMN())),OFFSET($BN$2,0,0,ROW()-1,60),ROW()-1,FALSE))</f>
        <v/>
      </c>
      <c r="BD58" t="str">
        <f ca="1">IF(AND(ISNUMBER($BD$566),$B$511=1),$BD$566,HLOOKUP(INDIRECT(ADDRESS(2,COLUMN())),OFFSET($BN$2,0,0,ROW()-1,60),ROW()-1,FALSE))</f>
        <v/>
      </c>
      <c r="BE58" t="str">
        <f ca="1">IF(AND(ISNUMBER($BE$566),$B$511=1),$BE$566,HLOOKUP(INDIRECT(ADDRESS(2,COLUMN())),OFFSET($BN$2,0,0,ROW()-1,60),ROW()-1,FALSE))</f>
        <v/>
      </c>
      <c r="BF58" t="str">
        <f ca="1">IF(AND(ISNUMBER($BF$566),$B$511=1),$BF$566,HLOOKUP(INDIRECT(ADDRESS(2,COLUMN())),OFFSET($BN$2,0,0,ROW()-1,60),ROW()-1,FALSE))</f>
        <v/>
      </c>
      <c r="BG58" t="str">
        <f ca="1">IF(AND(ISNUMBER($BG$566),$B$511=1),$BG$566,HLOOKUP(INDIRECT(ADDRESS(2,COLUMN())),OFFSET($BN$2,0,0,ROW()-1,60),ROW()-1,FALSE))</f>
        <v/>
      </c>
      <c r="BH58" t="str">
        <f ca="1">IF(AND(ISNUMBER($BH$566),$B$511=1),$BH$566,HLOOKUP(INDIRECT(ADDRESS(2,COLUMN())),OFFSET($BN$2,0,0,ROW()-1,60),ROW()-1,FALSE))</f>
        <v/>
      </c>
      <c r="BI58" t="str">
        <f ca="1">IF(AND(ISNUMBER($BI$566),$B$511=1),$BI$566,HLOOKUP(INDIRECT(ADDRESS(2,COLUMN())),OFFSET($BN$2,0,0,ROW()-1,60),ROW()-1,FALSE))</f>
        <v/>
      </c>
      <c r="BJ58" t="str">
        <f ca="1">IF(AND(ISNUMBER($BJ$566),$B$511=1),$BJ$566,HLOOKUP(INDIRECT(ADDRESS(2,COLUMN())),OFFSET($BN$2,0,0,ROW()-1,60),ROW()-1,FALSE))</f>
        <v/>
      </c>
      <c r="BK58" t="str">
        <f ca="1">IF(AND(ISNUMBER($BK$566),$B$511=1),$BK$566,HLOOKUP(INDIRECT(ADDRESS(2,COLUMN())),OFFSET($BN$2,0,0,ROW()-1,60),ROW()-1,FALSE))</f>
        <v/>
      </c>
      <c r="BL58" t="str">
        <f ca="1">IF(AND(ISNUMBER($BL$566),$B$511=1),$BL$566,HLOOKUP(INDIRECT(ADDRESS(2,COLUMN())),OFFSET($BN$2,0,0,ROW()-1,60),ROW()-1,FALSE))</f>
        <v/>
      </c>
      <c r="BM58" t="str">
        <f ca="1">IF(AND(ISNUMBER($BM$566),$B$511=1),$BM$566,HLOOKUP(INDIRECT(ADDRESS(2,COLUMN())),OFFSET($BN$2,0,0,ROW()-1,60),ROW()-1,FALSE))</f>
        <v/>
      </c>
      <c r="BN58">
        <f>1.223</f>
        <v>1.2230000000000001</v>
      </c>
      <c r="BO58">
        <f>1.247</f>
        <v>1.2470000000000001</v>
      </c>
      <c r="BP58">
        <f>0.98</f>
        <v>0.98</v>
      </c>
      <c r="BQ58">
        <f>1.193</f>
        <v>1.1930000000000001</v>
      </c>
      <c r="BR58">
        <f>1.336</f>
        <v>1.3360000000000001</v>
      </c>
      <c r="BS58">
        <f>1.247</f>
        <v>1.2470000000000001</v>
      </c>
      <c r="BT58">
        <f>1.226</f>
        <v>1.226</v>
      </c>
      <c r="BU58">
        <f>1.168</f>
        <v>1.1679999999999999</v>
      </c>
      <c r="BV58">
        <f>1.1</f>
        <v>1.1000000000000001</v>
      </c>
      <c r="BW58">
        <f>1.257</f>
        <v>1.2569999999999999</v>
      </c>
      <c r="BX58">
        <f>1.377</f>
        <v>1.377</v>
      </c>
      <c r="BY58">
        <f>1.36</f>
        <v>1.36</v>
      </c>
      <c r="BZ58">
        <f>1.306</f>
        <v>1.306</v>
      </c>
      <c r="CA58">
        <f>1.326</f>
        <v>1.3260000000000001</v>
      </c>
      <c r="CB58" t="str">
        <f>""</f>
        <v/>
      </c>
      <c r="CC58" t="str">
        <f>""</f>
        <v/>
      </c>
      <c r="CD58">
        <f>1.457</f>
        <v>1.4570000000000001</v>
      </c>
      <c r="CE58" t="str">
        <f>""</f>
        <v/>
      </c>
      <c r="CF58" t="str">
        <f>""</f>
        <v/>
      </c>
      <c r="CG58" t="str">
        <f>""</f>
        <v/>
      </c>
      <c r="CH58" t="str">
        <f>""</f>
        <v/>
      </c>
      <c r="CI58" t="str">
        <f>""</f>
        <v/>
      </c>
      <c r="CJ58" t="str">
        <f>""</f>
        <v/>
      </c>
      <c r="CK58" t="str">
        <f>""</f>
        <v/>
      </c>
      <c r="CL58" t="str">
        <f>""</f>
        <v/>
      </c>
      <c r="CM58" t="str">
        <f>""</f>
        <v/>
      </c>
      <c r="CN58" t="str">
        <f>""</f>
        <v/>
      </c>
      <c r="CO58" t="str">
        <f>""</f>
        <v/>
      </c>
      <c r="CP58" t="str">
        <f>""</f>
        <v/>
      </c>
      <c r="CQ58" t="str">
        <f>""</f>
        <v/>
      </c>
      <c r="CR58" t="str">
        <f>""</f>
        <v/>
      </c>
      <c r="CS58" t="str">
        <f>""</f>
        <v/>
      </c>
      <c r="CT58" t="str">
        <f>""</f>
        <v/>
      </c>
      <c r="CU58" t="str">
        <f>""</f>
        <v/>
      </c>
      <c r="CV58" t="str">
        <f>""</f>
        <v/>
      </c>
      <c r="CW58" t="str">
        <f>""</f>
        <v/>
      </c>
      <c r="CX58" t="str">
        <f>""</f>
        <v/>
      </c>
      <c r="CY58" t="str">
        <f>""</f>
        <v/>
      </c>
      <c r="CZ58" t="str">
        <f>""</f>
        <v/>
      </c>
      <c r="DA58" t="str">
        <f>""</f>
        <v/>
      </c>
      <c r="DB58" t="str">
        <f>""</f>
        <v/>
      </c>
      <c r="DC58" t="str">
        <f>""</f>
        <v/>
      </c>
      <c r="DD58" t="str">
        <f>""</f>
        <v/>
      </c>
      <c r="DE58" t="str">
        <f>""</f>
        <v/>
      </c>
      <c r="DF58" t="str">
        <f>""</f>
        <v/>
      </c>
      <c r="DG58" t="str">
        <f>""</f>
        <v/>
      </c>
      <c r="DH58" t="str">
        <f>""</f>
        <v/>
      </c>
      <c r="DI58" t="str">
        <f>""</f>
        <v/>
      </c>
      <c r="DJ58" t="str">
        <f>""</f>
        <v/>
      </c>
      <c r="DK58" t="str">
        <f>""</f>
        <v/>
      </c>
      <c r="DL58" t="str">
        <f>""</f>
        <v/>
      </c>
      <c r="DM58" t="str">
        <f>""</f>
        <v/>
      </c>
      <c r="DN58" t="str">
        <f>""</f>
        <v/>
      </c>
      <c r="DO58" t="str">
        <f>""</f>
        <v/>
      </c>
      <c r="DP58" t="str">
        <f>""</f>
        <v/>
      </c>
      <c r="DQ58" t="str">
        <f>""</f>
        <v/>
      </c>
      <c r="DR58" t="str">
        <f>""</f>
        <v/>
      </c>
      <c r="DS58" t="str">
        <f>""</f>
        <v/>
      </c>
      <c r="DT58" t="str">
        <f>""</f>
        <v/>
      </c>
      <c r="DU58" t="str">
        <f>""</f>
        <v/>
      </c>
    </row>
    <row r="59" spans="1:125" x14ac:dyDescent="0.25">
      <c r="A59" t="str">
        <f>"    GAZ PJSC"</f>
        <v xml:space="preserve">    GAZ PJSC</v>
      </c>
      <c r="B59" t="str">
        <f>"GAZA RM Equity"</f>
        <v>GAZA RM Equity</v>
      </c>
      <c r="C59" t="str">
        <f t="shared" si="3"/>
        <v>EZ019</v>
      </c>
      <c r="D59" t="str">
        <f t="shared" si="4"/>
        <v>BEST_EEPS_CUR_YR</v>
      </c>
      <c r="E59" t="str">
        <f t="shared" si="5"/>
        <v>Dynamic</v>
      </c>
      <c r="F59" t="str">
        <f ca="1">IF(AND(ISNUMBER($F$567),$B$511=1),$F$567,HLOOKUP(INDIRECT(ADDRESS(2,COLUMN())),OFFSET($BN$2,0,0,ROW()-1,60),ROW()-1,FALSE))</f>
        <v/>
      </c>
      <c r="G59" t="str">
        <f ca="1">IF(AND(ISNUMBER($G$567),$B$511=1),$G$567,HLOOKUP(INDIRECT(ADDRESS(2,COLUMN())),OFFSET($BN$2,0,0,ROW()-1,60),ROW()-1,FALSE))</f>
        <v/>
      </c>
      <c r="H59" t="str">
        <f ca="1">IF(AND(ISNUMBER($H$567),$B$511=1),$H$567,HLOOKUP(INDIRECT(ADDRESS(2,COLUMN())),OFFSET($BN$2,0,0,ROW()-1,60),ROW()-1,FALSE))</f>
        <v/>
      </c>
      <c r="I59" t="str">
        <f ca="1">IF(AND(ISNUMBER($I$567),$B$511=1),$I$567,HLOOKUP(INDIRECT(ADDRESS(2,COLUMN())),OFFSET($BN$2,0,0,ROW()-1,60),ROW()-1,FALSE))</f>
        <v/>
      </c>
      <c r="J59" t="str">
        <f ca="1">IF(AND(ISNUMBER($J$567),$B$511=1),$J$567,HLOOKUP(INDIRECT(ADDRESS(2,COLUMN())),OFFSET($BN$2,0,0,ROW()-1,60),ROW()-1,FALSE))</f>
        <v/>
      </c>
      <c r="K59" t="str">
        <f ca="1">IF(AND(ISNUMBER($K$567),$B$511=1),$K$567,HLOOKUP(INDIRECT(ADDRESS(2,COLUMN())),OFFSET($BN$2,0,0,ROW()-1,60),ROW()-1,FALSE))</f>
        <v/>
      </c>
      <c r="L59" t="str">
        <f ca="1">IF(AND(ISNUMBER($L$567),$B$511=1),$L$567,HLOOKUP(INDIRECT(ADDRESS(2,COLUMN())),OFFSET($BN$2,0,0,ROW()-1,60),ROW()-1,FALSE))</f>
        <v/>
      </c>
      <c r="M59" t="str">
        <f ca="1">IF(AND(ISNUMBER($M$567),$B$511=1),$M$567,HLOOKUP(INDIRECT(ADDRESS(2,COLUMN())),OFFSET($BN$2,0,0,ROW()-1,60),ROW()-1,FALSE))</f>
        <v/>
      </c>
      <c r="N59" t="str">
        <f ca="1">IF(AND(ISNUMBER($N$567),$B$511=1),$N$567,HLOOKUP(INDIRECT(ADDRESS(2,COLUMN())),OFFSET($BN$2,0,0,ROW()-1,60),ROW()-1,FALSE))</f>
        <v/>
      </c>
      <c r="O59" t="str">
        <f ca="1">IF(AND(ISNUMBER($O$567),$B$511=1),$O$567,HLOOKUP(INDIRECT(ADDRESS(2,COLUMN())),OFFSET($BN$2,0,0,ROW()-1,60),ROW()-1,FALSE))</f>
        <v/>
      </c>
      <c r="P59" t="str">
        <f ca="1">IF(AND(ISNUMBER($P$567),$B$511=1),$P$567,HLOOKUP(INDIRECT(ADDRESS(2,COLUMN())),OFFSET($BN$2,0,0,ROW()-1,60),ROW()-1,FALSE))</f>
        <v/>
      </c>
      <c r="Q59" t="str">
        <f ca="1">IF(AND(ISNUMBER($Q$567),$B$511=1),$Q$567,HLOOKUP(INDIRECT(ADDRESS(2,COLUMN())),OFFSET($BN$2,0,0,ROW()-1,60),ROW()-1,FALSE))</f>
        <v/>
      </c>
      <c r="R59" t="str">
        <f ca="1">IF(AND(ISNUMBER($R$567),$B$511=1),$R$567,HLOOKUP(INDIRECT(ADDRESS(2,COLUMN())),OFFSET($BN$2,0,0,ROW()-1,60),ROW()-1,FALSE))</f>
        <v/>
      </c>
      <c r="S59" t="str">
        <f ca="1">IF(AND(ISNUMBER($S$567),$B$511=1),$S$567,HLOOKUP(INDIRECT(ADDRESS(2,COLUMN())),OFFSET($BN$2,0,0,ROW()-1,60),ROW()-1,FALSE))</f>
        <v/>
      </c>
      <c r="T59" t="str">
        <f ca="1">IF(AND(ISNUMBER($T$567),$B$511=1),$T$567,HLOOKUP(INDIRECT(ADDRESS(2,COLUMN())),OFFSET($BN$2,0,0,ROW()-1,60),ROW()-1,FALSE))</f>
        <v/>
      </c>
      <c r="U59" t="str">
        <f ca="1">IF(AND(ISNUMBER($U$567),$B$511=1),$U$567,HLOOKUP(INDIRECT(ADDRESS(2,COLUMN())),OFFSET($BN$2,0,0,ROW()-1,60),ROW()-1,FALSE))</f>
        <v/>
      </c>
      <c r="V59" t="str">
        <f ca="1">IF(AND(ISNUMBER($V$567),$B$511=1),$V$567,HLOOKUP(INDIRECT(ADDRESS(2,COLUMN())),OFFSET($BN$2,0,0,ROW()-1,60),ROW()-1,FALSE))</f>
        <v/>
      </c>
      <c r="W59" t="str">
        <f ca="1">IF(AND(ISNUMBER($W$567),$B$511=1),$W$567,HLOOKUP(INDIRECT(ADDRESS(2,COLUMN())),OFFSET($BN$2,0,0,ROW()-1,60),ROW()-1,FALSE))</f>
        <v/>
      </c>
      <c r="X59" t="str">
        <f ca="1">IF(AND(ISNUMBER($X$567),$B$511=1),$X$567,HLOOKUP(INDIRECT(ADDRESS(2,COLUMN())),OFFSET($BN$2,0,0,ROW()-1,60),ROW()-1,FALSE))</f>
        <v/>
      </c>
      <c r="Y59" t="str">
        <f ca="1">IF(AND(ISNUMBER($Y$567),$B$511=1),$Y$567,HLOOKUP(INDIRECT(ADDRESS(2,COLUMN())),OFFSET($BN$2,0,0,ROW()-1,60),ROW()-1,FALSE))</f>
        <v/>
      </c>
      <c r="Z59" t="str">
        <f ca="1">IF(AND(ISNUMBER($Z$567),$B$511=1),$Z$567,HLOOKUP(INDIRECT(ADDRESS(2,COLUMN())),OFFSET($BN$2,0,0,ROW()-1,60),ROW()-1,FALSE))</f>
        <v/>
      </c>
      <c r="AA59" t="str">
        <f ca="1">IF(AND(ISNUMBER($AA$567),$B$511=1),$AA$567,HLOOKUP(INDIRECT(ADDRESS(2,COLUMN())),OFFSET($BN$2,0,0,ROW()-1,60),ROW()-1,FALSE))</f>
        <v/>
      </c>
      <c r="AB59" t="str">
        <f ca="1">IF(AND(ISNUMBER($AB$567),$B$511=1),$AB$567,HLOOKUP(INDIRECT(ADDRESS(2,COLUMN())),OFFSET($BN$2,0,0,ROW()-1,60),ROW()-1,FALSE))</f>
        <v/>
      </c>
      <c r="AC59" t="str">
        <f ca="1">IF(AND(ISNUMBER($AC$567),$B$511=1),$AC$567,HLOOKUP(INDIRECT(ADDRESS(2,COLUMN())),OFFSET($BN$2,0,0,ROW()-1,60),ROW()-1,FALSE))</f>
        <v/>
      </c>
      <c r="AD59" t="str">
        <f ca="1">IF(AND(ISNUMBER($AD$567),$B$511=1),$AD$567,HLOOKUP(INDIRECT(ADDRESS(2,COLUMN())),OFFSET($BN$2,0,0,ROW()-1,60),ROW()-1,FALSE))</f>
        <v/>
      </c>
      <c r="AE59" t="str">
        <f ca="1">IF(AND(ISNUMBER($AE$567),$B$511=1),$AE$567,HLOOKUP(INDIRECT(ADDRESS(2,COLUMN())),OFFSET($BN$2,0,0,ROW()-1,60),ROW()-1,FALSE))</f>
        <v/>
      </c>
      <c r="AF59" t="str">
        <f ca="1">IF(AND(ISNUMBER($AF$567),$B$511=1),$AF$567,HLOOKUP(INDIRECT(ADDRESS(2,COLUMN())),OFFSET($BN$2,0,0,ROW()-1,60),ROW()-1,FALSE))</f>
        <v/>
      </c>
      <c r="AG59" t="str">
        <f ca="1">IF(AND(ISNUMBER($AG$567),$B$511=1),$AG$567,HLOOKUP(INDIRECT(ADDRESS(2,COLUMN())),OFFSET($BN$2,0,0,ROW()-1,60),ROW()-1,FALSE))</f>
        <v/>
      </c>
      <c r="AH59" t="str">
        <f ca="1">IF(AND(ISNUMBER($AH$567),$B$511=1),$AH$567,HLOOKUP(INDIRECT(ADDRESS(2,COLUMN())),OFFSET($BN$2,0,0,ROW()-1,60),ROW()-1,FALSE))</f>
        <v/>
      </c>
      <c r="AI59" t="str">
        <f ca="1">IF(AND(ISNUMBER($AI$567),$B$511=1),$AI$567,HLOOKUP(INDIRECT(ADDRESS(2,COLUMN())),OFFSET($BN$2,0,0,ROW()-1,60),ROW()-1,FALSE))</f>
        <v/>
      </c>
      <c r="AJ59" t="str">
        <f ca="1">IF(AND(ISNUMBER($AJ$567),$B$511=1),$AJ$567,HLOOKUP(INDIRECT(ADDRESS(2,COLUMN())),OFFSET($BN$2,0,0,ROW()-1,60),ROW()-1,FALSE))</f>
        <v/>
      </c>
      <c r="AK59" t="str">
        <f ca="1">IF(AND(ISNUMBER($AK$567),$B$511=1),$AK$567,HLOOKUP(INDIRECT(ADDRESS(2,COLUMN())),OFFSET($BN$2,0,0,ROW()-1,60),ROW()-1,FALSE))</f>
        <v/>
      </c>
      <c r="AL59" t="str">
        <f ca="1">IF(AND(ISNUMBER($AL$567),$B$511=1),$AL$567,HLOOKUP(INDIRECT(ADDRESS(2,COLUMN())),OFFSET($BN$2,0,0,ROW()-1,60),ROW()-1,FALSE))</f>
        <v/>
      </c>
      <c r="AM59" t="str">
        <f ca="1">IF(AND(ISNUMBER($AM$567),$B$511=1),$AM$567,HLOOKUP(INDIRECT(ADDRESS(2,COLUMN())),OFFSET($BN$2,0,0,ROW()-1,60),ROW()-1,FALSE))</f>
        <v/>
      </c>
      <c r="AN59" t="str">
        <f ca="1">IF(AND(ISNUMBER($AN$567),$B$511=1),$AN$567,HLOOKUP(INDIRECT(ADDRESS(2,COLUMN())),OFFSET($BN$2,0,0,ROW()-1,60),ROW()-1,FALSE))</f>
        <v/>
      </c>
      <c r="AO59" t="str">
        <f ca="1">IF(AND(ISNUMBER($AO$567),$B$511=1),$AO$567,HLOOKUP(INDIRECT(ADDRESS(2,COLUMN())),OFFSET($BN$2,0,0,ROW()-1,60),ROW()-1,FALSE))</f>
        <v/>
      </c>
      <c r="AP59" t="str">
        <f ca="1">IF(AND(ISNUMBER($AP$567),$B$511=1),$AP$567,HLOOKUP(INDIRECT(ADDRESS(2,COLUMN())),OFFSET($BN$2,0,0,ROW()-1,60),ROW()-1,FALSE))</f>
        <v/>
      </c>
      <c r="AQ59" t="str">
        <f ca="1">IF(AND(ISNUMBER($AQ$567),$B$511=1),$AQ$567,HLOOKUP(INDIRECT(ADDRESS(2,COLUMN())),OFFSET($BN$2,0,0,ROW()-1,60),ROW()-1,FALSE))</f>
        <v/>
      </c>
      <c r="AR59" t="str">
        <f ca="1">IF(AND(ISNUMBER($AR$567),$B$511=1),$AR$567,HLOOKUP(INDIRECT(ADDRESS(2,COLUMN())),OFFSET($BN$2,0,0,ROW()-1,60),ROW()-1,FALSE))</f>
        <v/>
      </c>
      <c r="AS59" t="str">
        <f ca="1">IF(AND(ISNUMBER($AS$567),$B$511=1),$AS$567,HLOOKUP(INDIRECT(ADDRESS(2,COLUMN())),OFFSET($BN$2,0,0,ROW()-1,60),ROW()-1,FALSE))</f>
        <v/>
      </c>
      <c r="AT59" t="str">
        <f ca="1">IF(AND(ISNUMBER($AT$567),$B$511=1),$AT$567,HLOOKUP(INDIRECT(ADDRESS(2,COLUMN())),OFFSET($BN$2,0,0,ROW()-1,60),ROW()-1,FALSE))</f>
        <v/>
      </c>
      <c r="AU59" t="str">
        <f ca="1">IF(AND(ISNUMBER($AU$567),$B$511=1),$AU$567,HLOOKUP(INDIRECT(ADDRESS(2,COLUMN())),OFFSET($BN$2,0,0,ROW()-1,60),ROW()-1,FALSE))</f>
        <v/>
      </c>
      <c r="AV59" t="str">
        <f ca="1">IF(AND(ISNUMBER($AV$567),$B$511=1),$AV$567,HLOOKUP(INDIRECT(ADDRESS(2,COLUMN())),OFFSET($BN$2,0,0,ROW()-1,60),ROW()-1,FALSE))</f>
        <v/>
      </c>
      <c r="AW59" t="str">
        <f ca="1">IF(AND(ISNUMBER($AW$567),$B$511=1),$AW$567,HLOOKUP(INDIRECT(ADDRESS(2,COLUMN())),OFFSET($BN$2,0,0,ROW()-1,60),ROW()-1,FALSE))</f>
        <v/>
      </c>
      <c r="AX59" t="str">
        <f ca="1">IF(AND(ISNUMBER($AX$567),$B$511=1),$AX$567,HLOOKUP(INDIRECT(ADDRESS(2,COLUMN())),OFFSET($BN$2,0,0,ROW()-1,60),ROW()-1,FALSE))</f>
        <v/>
      </c>
      <c r="AY59" t="str">
        <f ca="1">IF(AND(ISNUMBER($AY$567),$B$511=1),$AY$567,HLOOKUP(INDIRECT(ADDRESS(2,COLUMN())),OFFSET($BN$2,0,0,ROW()-1,60),ROW()-1,FALSE))</f>
        <v/>
      </c>
      <c r="AZ59" t="str">
        <f ca="1">IF(AND(ISNUMBER($AZ$567),$B$511=1),$AZ$567,HLOOKUP(INDIRECT(ADDRESS(2,COLUMN())),OFFSET($BN$2,0,0,ROW()-1,60),ROW()-1,FALSE))</f>
        <v/>
      </c>
      <c r="BA59" t="str">
        <f ca="1">IF(AND(ISNUMBER($BA$567),$B$511=1),$BA$567,HLOOKUP(INDIRECT(ADDRESS(2,COLUMN())),OFFSET($BN$2,0,0,ROW()-1,60),ROW()-1,FALSE))</f>
        <v/>
      </c>
      <c r="BB59" t="str">
        <f ca="1">IF(AND(ISNUMBER($BB$567),$B$511=1),$BB$567,HLOOKUP(INDIRECT(ADDRESS(2,COLUMN())),OFFSET($BN$2,0,0,ROW()-1,60),ROW()-1,FALSE))</f>
        <v/>
      </c>
      <c r="BC59" t="str">
        <f ca="1">IF(AND(ISNUMBER($BC$567),$B$511=1),$BC$567,HLOOKUP(INDIRECT(ADDRESS(2,COLUMN())),OFFSET($BN$2,0,0,ROW()-1,60),ROW()-1,FALSE))</f>
        <v/>
      </c>
      <c r="BD59" t="str">
        <f ca="1">IF(AND(ISNUMBER($BD$567),$B$511=1),$BD$567,HLOOKUP(INDIRECT(ADDRESS(2,COLUMN())),OFFSET($BN$2,0,0,ROW()-1,60),ROW()-1,FALSE))</f>
        <v/>
      </c>
      <c r="BE59" t="str">
        <f ca="1">IF(AND(ISNUMBER($BE$567),$B$511=1),$BE$567,HLOOKUP(INDIRECT(ADDRESS(2,COLUMN())),OFFSET($BN$2,0,0,ROW()-1,60),ROW()-1,FALSE))</f>
        <v/>
      </c>
      <c r="BF59" t="str">
        <f ca="1">IF(AND(ISNUMBER($BF$567),$B$511=1),$BF$567,HLOOKUP(INDIRECT(ADDRESS(2,COLUMN())),OFFSET($BN$2,0,0,ROW()-1,60),ROW()-1,FALSE))</f>
        <v/>
      </c>
      <c r="BG59" t="str">
        <f ca="1">IF(AND(ISNUMBER($BG$567),$B$511=1),$BG$567,HLOOKUP(INDIRECT(ADDRESS(2,COLUMN())),OFFSET($BN$2,0,0,ROW()-1,60),ROW()-1,FALSE))</f>
        <v/>
      </c>
      <c r="BH59" t="str">
        <f ca="1">IF(AND(ISNUMBER($BH$567),$B$511=1),$BH$567,HLOOKUP(INDIRECT(ADDRESS(2,COLUMN())),OFFSET($BN$2,0,0,ROW()-1,60),ROW()-1,FALSE))</f>
        <v/>
      </c>
      <c r="BI59" t="str">
        <f ca="1">IF(AND(ISNUMBER($BI$567),$B$511=1),$BI$567,HLOOKUP(INDIRECT(ADDRESS(2,COLUMN())),OFFSET($BN$2,0,0,ROW()-1,60),ROW()-1,FALSE))</f>
        <v/>
      </c>
      <c r="BJ59" t="str">
        <f ca="1">IF(AND(ISNUMBER($BJ$567),$B$511=1),$BJ$567,HLOOKUP(INDIRECT(ADDRESS(2,COLUMN())),OFFSET($BN$2,0,0,ROW()-1,60),ROW()-1,FALSE))</f>
        <v/>
      </c>
      <c r="BK59" t="str">
        <f ca="1">IF(AND(ISNUMBER($BK$567),$B$511=1),$BK$567,HLOOKUP(INDIRECT(ADDRESS(2,COLUMN())),OFFSET($BN$2,0,0,ROW()-1,60),ROW()-1,FALSE))</f>
        <v/>
      </c>
      <c r="BL59" t="str">
        <f ca="1">IF(AND(ISNUMBER($BL$567),$B$511=1),$BL$567,HLOOKUP(INDIRECT(ADDRESS(2,COLUMN())),OFFSET($BN$2,0,0,ROW()-1,60),ROW()-1,FALSE))</f>
        <v/>
      </c>
      <c r="BM59" t="str">
        <f ca="1">IF(AND(ISNUMBER($BM$567),$B$511=1),$BM$567,HLOOKUP(INDIRECT(ADDRESS(2,COLUMN())),OFFSET($BN$2,0,0,ROW()-1,60),ROW()-1,FALSE))</f>
        <v/>
      </c>
      <c r="BN59" t="str">
        <f>""</f>
        <v/>
      </c>
      <c r="BO59" t="str">
        <f>""</f>
        <v/>
      </c>
      <c r="BP59" t="str">
        <f>""</f>
        <v/>
      </c>
      <c r="BQ59" t="str">
        <f>""</f>
        <v/>
      </c>
      <c r="BR59" t="str">
        <f>""</f>
        <v/>
      </c>
      <c r="BS59" t="str">
        <f>""</f>
        <v/>
      </c>
      <c r="BT59" t="str">
        <f>""</f>
        <v/>
      </c>
      <c r="BU59" t="str">
        <f>""</f>
        <v/>
      </c>
      <c r="BV59" t="str">
        <f>""</f>
        <v/>
      </c>
      <c r="BW59" t="str">
        <f>""</f>
        <v/>
      </c>
      <c r="BX59" t="str">
        <f>""</f>
        <v/>
      </c>
      <c r="BY59" t="str">
        <f>""</f>
        <v/>
      </c>
      <c r="BZ59" t="str">
        <f>""</f>
        <v/>
      </c>
      <c r="CA59" t="str">
        <f>""</f>
        <v/>
      </c>
      <c r="CB59" t="str">
        <f>""</f>
        <v/>
      </c>
      <c r="CC59" t="str">
        <f>""</f>
        <v/>
      </c>
      <c r="CD59" t="str">
        <f>""</f>
        <v/>
      </c>
      <c r="CE59" t="str">
        <f>""</f>
        <v/>
      </c>
      <c r="CF59" t="str">
        <f>""</f>
        <v/>
      </c>
      <c r="CG59" t="str">
        <f>""</f>
        <v/>
      </c>
      <c r="CH59" t="str">
        <f>""</f>
        <v/>
      </c>
      <c r="CI59" t="str">
        <f>""</f>
        <v/>
      </c>
      <c r="CJ59" t="str">
        <f>""</f>
        <v/>
      </c>
      <c r="CK59" t="str">
        <f>""</f>
        <v/>
      </c>
      <c r="CL59" t="str">
        <f>""</f>
        <v/>
      </c>
      <c r="CM59" t="str">
        <f>""</f>
        <v/>
      </c>
      <c r="CN59" t="str">
        <f>""</f>
        <v/>
      </c>
      <c r="CO59" t="str">
        <f>""</f>
        <v/>
      </c>
      <c r="CP59" t="str">
        <f>""</f>
        <v/>
      </c>
      <c r="CQ59" t="str">
        <f>""</f>
        <v/>
      </c>
      <c r="CR59" t="str">
        <f>""</f>
        <v/>
      </c>
      <c r="CS59" t="str">
        <f>""</f>
        <v/>
      </c>
      <c r="CT59" t="str">
        <f>""</f>
        <v/>
      </c>
      <c r="CU59" t="str">
        <f>""</f>
        <v/>
      </c>
      <c r="CV59" t="str">
        <f>""</f>
        <v/>
      </c>
      <c r="CW59" t="str">
        <f>""</f>
        <v/>
      </c>
      <c r="CX59" t="str">
        <f>""</f>
        <v/>
      </c>
      <c r="CY59" t="str">
        <f>""</f>
        <v/>
      </c>
      <c r="CZ59" t="str">
        <f>""</f>
        <v/>
      </c>
      <c r="DA59" t="str">
        <f>""</f>
        <v/>
      </c>
      <c r="DB59" t="str">
        <f>""</f>
        <v/>
      </c>
      <c r="DC59" t="str">
        <f>""</f>
        <v/>
      </c>
      <c r="DD59" t="str">
        <f>""</f>
        <v/>
      </c>
      <c r="DE59" t="str">
        <f>""</f>
        <v/>
      </c>
      <c r="DF59" t="str">
        <f>""</f>
        <v/>
      </c>
      <c r="DG59" t="str">
        <f>""</f>
        <v/>
      </c>
      <c r="DH59" t="str">
        <f>""</f>
        <v/>
      </c>
      <c r="DI59" t="str">
        <f>""</f>
        <v/>
      </c>
      <c r="DJ59" t="str">
        <f>""</f>
        <v/>
      </c>
      <c r="DK59" t="str">
        <f>""</f>
        <v/>
      </c>
      <c r="DL59" t="str">
        <f>""</f>
        <v/>
      </c>
      <c r="DM59" t="str">
        <f>""</f>
        <v/>
      </c>
      <c r="DN59" t="str">
        <f>""</f>
        <v/>
      </c>
      <c r="DO59" t="str">
        <f>""</f>
        <v/>
      </c>
      <c r="DP59" t="str">
        <f>""</f>
        <v/>
      </c>
      <c r="DQ59" t="str">
        <f>""</f>
        <v/>
      </c>
      <c r="DR59" t="str">
        <f>""</f>
        <v/>
      </c>
      <c r="DS59" t="str">
        <f>""</f>
        <v/>
      </c>
      <c r="DT59" t="str">
        <f>""</f>
        <v/>
      </c>
      <c r="DU59" t="str">
        <f>""</f>
        <v/>
      </c>
    </row>
    <row r="60" spans="1:125" x14ac:dyDescent="0.25">
      <c r="A60" t="str">
        <f>"    Geely Automobile Holdings Ltd"</f>
        <v xml:space="preserve">    Geely Automobile Holdings Ltd</v>
      </c>
      <c r="B60" t="str">
        <f>"175 HK Equity"</f>
        <v>175 HK Equity</v>
      </c>
      <c r="C60" t="str">
        <f t="shared" si="3"/>
        <v>EZ019</v>
      </c>
      <c r="D60" t="str">
        <f t="shared" si="4"/>
        <v>BEST_EEPS_CUR_YR</v>
      </c>
      <c r="E60" t="str">
        <f t="shared" si="5"/>
        <v>Dynamic</v>
      </c>
      <c r="F60">
        <f ca="1">IF(AND(ISNUMBER($F$568),$B$511=1),$F$568,HLOOKUP(INDIRECT(ADDRESS(2,COLUMN())),OFFSET($BN$2,0,0,ROW()-1,60),ROW()-1,FALSE))</f>
        <v>0.20699999999999999</v>
      </c>
      <c r="G60">
        <f ca="1">IF(AND(ISNUMBER($G$568),$B$511=1),$G$568,HLOOKUP(INDIRECT(ADDRESS(2,COLUMN())),OFFSET($BN$2,0,0,ROW()-1,60),ROW()-1,FALSE))</f>
        <v>0.218</v>
      </c>
      <c r="H60">
        <f ca="1">IF(AND(ISNUMBER($H$568),$B$511=1),$H$568,HLOOKUP(INDIRECT(ADDRESS(2,COLUMN())),OFFSET($BN$2,0,0,ROW()-1,60),ROW()-1,FALSE))</f>
        <v>0.224</v>
      </c>
      <c r="I60">
        <f ca="1">IF(AND(ISNUMBER($I$568),$B$511=1),$I$568,HLOOKUP(INDIRECT(ADDRESS(2,COLUMN())),OFFSET($BN$2,0,0,ROW()-1,60),ROW()-1,FALSE))</f>
        <v>0.22900000000000001</v>
      </c>
      <c r="J60">
        <f ca="1">IF(AND(ISNUMBER($J$568),$B$511=1),$J$568,HLOOKUP(INDIRECT(ADDRESS(2,COLUMN())),OFFSET($BN$2,0,0,ROW()-1,60),ROW()-1,FALSE))</f>
        <v>0.23899999999999999</v>
      </c>
      <c r="K60">
        <f ca="1">IF(AND(ISNUMBER($K$568),$B$511=1),$K$568,HLOOKUP(INDIRECT(ADDRESS(2,COLUMN())),OFFSET($BN$2,0,0,ROW()-1,60),ROW()-1,FALSE))</f>
        <v>0.22</v>
      </c>
      <c r="L60">
        <f ca="1">IF(AND(ISNUMBER($L$568),$B$511=1),$L$568,HLOOKUP(INDIRECT(ADDRESS(2,COLUMN())),OFFSET($BN$2,0,0,ROW()-1,60),ROW()-1,FALSE))</f>
        <v>0.19900000000000001</v>
      </c>
      <c r="M60">
        <f ca="1">IF(AND(ISNUMBER($M$568),$B$511=1),$M$568,HLOOKUP(INDIRECT(ADDRESS(2,COLUMN())),OFFSET($BN$2,0,0,ROW()-1,60),ROW()-1,FALSE))</f>
        <v>0.16900000000000001</v>
      </c>
      <c r="N60">
        <f ca="1">IF(AND(ISNUMBER($N$568),$B$511=1),$N$568,HLOOKUP(INDIRECT(ADDRESS(2,COLUMN())),OFFSET($BN$2,0,0,ROW()-1,60),ROW()-1,FALSE))</f>
        <v>0.15</v>
      </c>
      <c r="O60">
        <f ca="1">IF(AND(ISNUMBER($O$568),$B$511=1),$O$568,HLOOKUP(INDIRECT(ADDRESS(2,COLUMN())),OFFSET($BN$2,0,0,ROW()-1,60),ROW()-1,FALSE))</f>
        <v>0.123</v>
      </c>
      <c r="P60">
        <f ca="1">IF(AND(ISNUMBER($P$568),$B$511=1),$P$568,HLOOKUP(INDIRECT(ADDRESS(2,COLUMN())),OFFSET($BN$2,0,0,ROW()-1,60),ROW()-1,FALSE))</f>
        <v>0.109</v>
      </c>
      <c r="Q60">
        <f ca="1">IF(AND(ISNUMBER($Q$568),$B$511=1),$Q$568,HLOOKUP(INDIRECT(ADDRESS(2,COLUMN())),OFFSET($BN$2,0,0,ROW()-1,60),ROW()-1,FALSE))</f>
        <v>7.5999999999999998E-2</v>
      </c>
      <c r="R60">
        <f ca="1">IF(AND(ISNUMBER($R$568),$B$511=1),$R$568,HLOOKUP(INDIRECT(ADDRESS(2,COLUMN())),OFFSET($BN$2,0,0,ROW()-1,60),ROW()-1,FALSE))</f>
        <v>7.4999999999999997E-2</v>
      </c>
      <c r="S60" t="str">
        <f ca="1">IF(AND(ISNUMBER($S$568),$B$511=1),$S$568,HLOOKUP(INDIRECT(ADDRESS(2,COLUMN())),OFFSET($BN$2,0,0,ROW()-1,60),ROW()-1,FALSE))</f>
        <v/>
      </c>
      <c r="T60">
        <f ca="1">IF(AND(ISNUMBER($T$568),$B$511=1),$T$568,HLOOKUP(INDIRECT(ADDRESS(2,COLUMN())),OFFSET($BN$2,0,0,ROW()-1,60),ROW()-1,FALSE))</f>
        <v>5.5E-2</v>
      </c>
      <c r="U60">
        <f ca="1">IF(AND(ISNUMBER($U$568),$B$511=1),$U$568,HLOOKUP(INDIRECT(ADDRESS(2,COLUMN())),OFFSET($BN$2,0,0,ROW()-1,60),ROW()-1,FALSE))</f>
        <v>5.6000000000000001E-2</v>
      </c>
      <c r="V60">
        <f ca="1">IF(AND(ISNUMBER($V$568),$B$511=1),$V$568,HLOOKUP(INDIRECT(ADDRESS(2,COLUMN())),OFFSET($BN$2,0,0,ROW()-1,60),ROW()-1,FALSE))</f>
        <v>0.04</v>
      </c>
      <c r="W60">
        <f ca="1">IF(AND(ISNUMBER($W$568),$B$511=1),$W$568,HLOOKUP(INDIRECT(ADDRESS(2,COLUMN())),OFFSET($BN$2,0,0,ROW()-1,60),ROW()-1,FALSE))</f>
        <v>4.1000000000000002E-2</v>
      </c>
      <c r="X60" t="str">
        <f ca="1">IF(AND(ISNUMBER($X$568),$B$511=1),$X$568,HLOOKUP(INDIRECT(ADDRESS(2,COLUMN())),OFFSET($BN$2,0,0,ROW()-1,60),ROW()-1,FALSE))</f>
        <v/>
      </c>
      <c r="Y60" t="str">
        <f ca="1">IF(AND(ISNUMBER($Y$568),$B$511=1),$Y$568,HLOOKUP(INDIRECT(ADDRESS(2,COLUMN())),OFFSET($BN$2,0,0,ROW()-1,60),ROW()-1,FALSE))</f>
        <v/>
      </c>
      <c r="Z60" t="str">
        <f ca="1">IF(AND(ISNUMBER($Z$568),$B$511=1),$Z$568,HLOOKUP(INDIRECT(ADDRESS(2,COLUMN())),OFFSET($BN$2,0,0,ROW()-1,60),ROW()-1,FALSE))</f>
        <v/>
      </c>
      <c r="AA60" t="str">
        <f ca="1">IF(AND(ISNUMBER($AA$568),$B$511=1),$AA$568,HLOOKUP(INDIRECT(ADDRESS(2,COLUMN())),OFFSET($BN$2,0,0,ROW()-1,60),ROW()-1,FALSE))</f>
        <v/>
      </c>
      <c r="AB60" t="str">
        <f ca="1">IF(AND(ISNUMBER($AB$568),$B$511=1),$AB$568,HLOOKUP(INDIRECT(ADDRESS(2,COLUMN())),OFFSET($BN$2,0,0,ROW()-1,60),ROW()-1,FALSE))</f>
        <v/>
      </c>
      <c r="AC60" t="str">
        <f ca="1">IF(AND(ISNUMBER($AC$568),$B$511=1),$AC$568,HLOOKUP(INDIRECT(ADDRESS(2,COLUMN())),OFFSET($BN$2,0,0,ROW()-1,60),ROW()-1,FALSE))</f>
        <v/>
      </c>
      <c r="AD60" t="str">
        <f ca="1">IF(AND(ISNUMBER($AD$568),$B$511=1),$AD$568,HLOOKUP(INDIRECT(ADDRESS(2,COLUMN())),OFFSET($BN$2,0,0,ROW()-1,60),ROW()-1,FALSE))</f>
        <v/>
      </c>
      <c r="AE60" t="str">
        <f ca="1">IF(AND(ISNUMBER($AE$568),$B$511=1),$AE$568,HLOOKUP(INDIRECT(ADDRESS(2,COLUMN())),OFFSET($BN$2,0,0,ROW()-1,60),ROW()-1,FALSE))</f>
        <v/>
      </c>
      <c r="AF60" t="str">
        <f ca="1">IF(AND(ISNUMBER($AF$568),$B$511=1),$AF$568,HLOOKUP(INDIRECT(ADDRESS(2,COLUMN())),OFFSET($BN$2,0,0,ROW()-1,60),ROW()-1,FALSE))</f>
        <v/>
      </c>
      <c r="AG60" t="str">
        <f ca="1">IF(AND(ISNUMBER($AG$568),$B$511=1),$AG$568,HLOOKUP(INDIRECT(ADDRESS(2,COLUMN())),OFFSET($BN$2,0,0,ROW()-1,60),ROW()-1,FALSE))</f>
        <v/>
      </c>
      <c r="AH60" t="str">
        <f ca="1">IF(AND(ISNUMBER($AH$568),$B$511=1),$AH$568,HLOOKUP(INDIRECT(ADDRESS(2,COLUMN())),OFFSET($BN$2,0,0,ROW()-1,60),ROW()-1,FALSE))</f>
        <v/>
      </c>
      <c r="AI60" t="str">
        <f ca="1">IF(AND(ISNUMBER($AI$568),$B$511=1),$AI$568,HLOOKUP(INDIRECT(ADDRESS(2,COLUMN())),OFFSET($BN$2,0,0,ROW()-1,60),ROW()-1,FALSE))</f>
        <v/>
      </c>
      <c r="AJ60" t="str">
        <f ca="1">IF(AND(ISNUMBER($AJ$568),$B$511=1),$AJ$568,HLOOKUP(INDIRECT(ADDRESS(2,COLUMN())),OFFSET($BN$2,0,0,ROW()-1,60),ROW()-1,FALSE))</f>
        <v/>
      </c>
      <c r="AK60" t="str">
        <f ca="1">IF(AND(ISNUMBER($AK$568),$B$511=1),$AK$568,HLOOKUP(INDIRECT(ADDRESS(2,COLUMN())),OFFSET($BN$2,0,0,ROW()-1,60),ROW()-1,FALSE))</f>
        <v/>
      </c>
      <c r="AL60" t="str">
        <f ca="1">IF(AND(ISNUMBER($AL$568),$B$511=1),$AL$568,HLOOKUP(INDIRECT(ADDRESS(2,COLUMN())),OFFSET($BN$2,0,0,ROW()-1,60),ROW()-1,FALSE))</f>
        <v/>
      </c>
      <c r="AM60" t="str">
        <f ca="1">IF(AND(ISNUMBER($AM$568),$B$511=1),$AM$568,HLOOKUP(INDIRECT(ADDRESS(2,COLUMN())),OFFSET($BN$2,0,0,ROW()-1,60),ROW()-1,FALSE))</f>
        <v/>
      </c>
      <c r="AN60" t="str">
        <f ca="1">IF(AND(ISNUMBER($AN$568),$B$511=1),$AN$568,HLOOKUP(INDIRECT(ADDRESS(2,COLUMN())),OFFSET($BN$2,0,0,ROW()-1,60),ROW()-1,FALSE))</f>
        <v/>
      </c>
      <c r="AO60" t="str">
        <f ca="1">IF(AND(ISNUMBER($AO$568),$B$511=1),$AO$568,HLOOKUP(INDIRECT(ADDRESS(2,COLUMN())),OFFSET($BN$2,0,0,ROW()-1,60),ROW()-1,FALSE))</f>
        <v/>
      </c>
      <c r="AP60" t="str">
        <f ca="1">IF(AND(ISNUMBER($AP$568),$B$511=1),$AP$568,HLOOKUP(INDIRECT(ADDRESS(2,COLUMN())),OFFSET($BN$2,0,0,ROW()-1,60),ROW()-1,FALSE))</f>
        <v/>
      </c>
      <c r="AQ60" t="str">
        <f ca="1">IF(AND(ISNUMBER($AQ$568),$B$511=1),$AQ$568,HLOOKUP(INDIRECT(ADDRESS(2,COLUMN())),OFFSET($BN$2,0,0,ROW()-1,60),ROW()-1,FALSE))</f>
        <v/>
      </c>
      <c r="AR60" t="str">
        <f ca="1">IF(AND(ISNUMBER($AR$568),$B$511=1),$AR$568,HLOOKUP(INDIRECT(ADDRESS(2,COLUMN())),OFFSET($BN$2,0,0,ROW()-1,60),ROW()-1,FALSE))</f>
        <v/>
      </c>
      <c r="AS60" t="str">
        <f ca="1">IF(AND(ISNUMBER($AS$568),$B$511=1),$AS$568,HLOOKUP(INDIRECT(ADDRESS(2,COLUMN())),OFFSET($BN$2,0,0,ROW()-1,60),ROW()-1,FALSE))</f>
        <v/>
      </c>
      <c r="AT60" t="str">
        <f ca="1">IF(AND(ISNUMBER($AT$568),$B$511=1),$AT$568,HLOOKUP(INDIRECT(ADDRESS(2,COLUMN())),OFFSET($BN$2,0,0,ROW()-1,60),ROW()-1,FALSE))</f>
        <v/>
      </c>
      <c r="AU60" t="str">
        <f ca="1">IF(AND(ISNUMBER($AU$568),$B$511=1),$AU$568,HLOOKUP(INDIRECT(ADDRESS(2,COLUMN())),OFFSET($BN$2,0,0,ROW()-1,60),ROW()-1,FALSE))</f>
        <v/>
      </c>
      <c r="AV60" t="str">
        <f ca="1">IF(AND(ISNUMBER($AV$568),$B$511=1),$AV$568,HLOOKUP(INDIRECT(ADDRESS(2,COLUMN())),OFFSET($BN$2,0,0,ROW()-1,60),ROW()-1,FALSE))</f>
        <v/>
      </c>
      <c r="AW60" t="str">
        <f ca="1">IF(AND(ISNUMBER($AW$568),$B$511=1),$AW$568,HLOOKUP(INDIRECT(ADDRESS(2,COLUMN())),OFFSET($BN$2,0,0,ROW()-1,60),ROW()-1,FALSE))</f>
        <v/>
      </c>
      <c r="AX60" t="str">
        <f ca="1">IF(AND(ISNUMBER($AX$568),$B$511=1),$AX$568,HLOOKUP(INDIRECT(ADDRESS(2,COLUMN())),OFFSET($BN$2,0,0,ROW()-1,60),ROW()-1,FALSE))</f>
        <v/>
      </c>
      <c r="AY60" t="str">
        <f ca="1">IF(AND(ISNUMBER($AY$568),$B$511=1),$AY$568,HLOOKUP(INDIRECT(ADDRESS(2,COLUMN())),OFFSET($BN$2,0,0,ROW()-1,60),ROW()-1,FALSE))</f>
        <v/>
      </c>
      <c r="AZ60" t="str">
        <f ca="1">IF(AND(ISNUMBER($AZ$568),$B$511=1),$AZ$568,HLOOKUP(INDIRECT(ADDRESS(2,COLUMN())),OFFSET($BN$2,0,0,ROW()-1,60),ROW()-1,FALSE))</f>
        <v/>
      </c>
      <c r="BA60" t="str">
        <f ca="1">IF(AND(ISNUMBER($BA$568),$B$511=1),$BA$568,HLOOKUP(INDIRECT(ADDRESS(2,COLUMN())),OFFSET($BN$2,0,0,ROW()-1,60),ROW()-1,FALSE))</f>
        <v/>
      </c>
      <c r="BB60" t="str">
        <f ca="1">IF(AND(ISNUMBER($BB$568),$B$511=1),$BB$568,HLOOKUP(INDIRECT(ADDRESS(2,COLUMN())),OFFSET($BN$2,0,0,ROW()-1,60),ROW()-1,FALSE))</f>
        <v/>
      </c>
      <c r="BC60" t="str">
        <f ca="1">IF(AND(ISNUMBER($BC$568),$B$511=1),$BC$568,HLOOKUP(INDIRECT(ADDRESS(2,COLUMN())),OFFSET($BN$2,0,0,ROW()-1,60),ROW()-1,FALSE))</f>
        <v/>
      </c>
      <c r="BD60" t="str">
        <f ca="1">IF(AND(ISNUMBER($BD$568),$B$511=1),$BD$568,HLOOKUP(INDIRECT(ADDRESS(2,COLUMN())),OFFSET($BN$2,0,0,ROW()-1,60),ROW()-1,FALSE))</f>
        <v/>
      </c>
      <c r="BE60" t="str">
        <f ca="1">IF(AND(ISNUMBER($BE$568),$B$511=1),$BE$568,HLOOKUP(INDIRECT(ADDRESS(2,COLUMN())),OFFSET($BN$2,0,0,ROW()-1,60),ROW()-1,FALSE))</f>
        <v/>
      </c>
      <c r="BF60" t="str">
        <f ca="1">IF(AND(ISNUMBER($BF$568),$B$511=1),$BF$568,HLOOKUP(INDIRECT(ADDRESS(2,COLUMN())),OFFSET($BN$2,0,0,ROW()-1,60),ROW()-1,FALSE))</f>
        <v/>
      </c>
      <c r="BG60" t="str">
        <f ca="1">IF(AND(ISNUMBER($BG$568),$B$511=1),$BG$568,HLOOKUP(INDIRECT(ADDRESS(2,COLUMN())),OFFSET($BN$2,0,0,ROW()-1,60),ROW()-1,FALSE))</f>
        <v/>
      </c>
      <c r="BH60" t="str">
        <f ca="1">IF(AND(ISNUMBER($BH$568),$B$511=1),$BH$568,HLOOKUP(INDIRECT(ADDRESS(2,COLUMN())),OFFSET($BN$2,0,0,ROW()-1,60),ROW()-1,FALSE))</f>
        <v/>
      </c>
      <c r="BI60" t="str">
        <f ca="1">IF(AND(ISNUMBER($BI$568),$B$511=1),$BI$568,HLOOKUP(INDIRECT(ADDRESS(2,COLUMN())),OFFSET($BN$2,0,0,ROW()-1,60),ROW()-1,FALSE))</f>
        <v/>
      </c>
      <c r="BJ60" t="str">
        <f ca="1">IF(AND(ISNUMBER($BJ$568),$B$511=1),$BJ$568,HLOOKUP(INDIRECT(ADDRESS(2,COLUMN())),OFFSET($BN$2,0,0,ROW()-1,60),ROW()-1,FALSE))</f>
        <v/>
      </c>
      <c r="BK60" t="str">
        <f ca="1">IF(AND(ISNUMBER($BK$568),$B$511=1),$BK$568,HLOOKUP(INDIRECT(ADDRESS(2,COLUMN())),OFFSET($BN$2,0,0,ROW()-1,60),ROW()-1,FALSE))</f>
        <v/>
      </c>
      <c r="BL60" t="str">
        <f ca="1">IF(AND(ISNUMBER($BL$568),$B$511=1),$BL$568,HLOOKUP(INDIRECT(ADDRESS(2,COLUMN())),OFFSET($BN$2,0,0,ROW()-1,60),ROW()-1,FALSE))</f>
        <v/>
      </c>
      <c r="BM60" t="str">
        <f ca="1">IF(AND(ISNUMBER($BM$568),$B$511=1),$BM$568,HLOOKUP(INDIRECT(ADDRESS(2,COLUMN())),OFFSET($BN$2,0,0,ROW()-1,60),ROW()-1,FALSE))</f>
        <v/>
      </c>
      <c r="BN60">
        <f>0.207</f>
        <v>0.20699999999999999</v>
      </c>
      <c r="BO60">
        <f>0.218</f>
        <v>0.218</v>
      </c>
      <c r="BP60">
        <f>0.224</f>
        <v>0.224</v>
      </c>
      <c r="BQ60">
        <f>0.229</f>
        <v>0.22900000000000001</v>
      </c>
      <c r="BR60">
        <f>0.239</f>
        <v>0.23899999999999999</v>
      </c>
      <c r="BS60">
        <f>0.22</f>
        <v>0.22</v>
      </c>
      <c r="BT60">
        <f>0.199</f>
        <v>0.19900000000000001</v>
      </c>
      <c r="BU60">
        <f>0.169</f>
        <v>0.16900000000000001</v>
      </c>
      <c r="BV60">
        <f>0.15</f>
        <v>0.15</v>
      </c>
      <c r="BW60">
        <f>0.123</f>
        <v>0.123</v>
      </c>
      <c r="BX60">
        <f>0.109</f>
        <v>0.109</v>
      </c>
      <c r="BY60">
        <f>0.076</f>
        <v>7.5999999999999998E-2</v>
      </c>
      <c r="BZ60">
        <f>0.075</f>
        <v>7.4999999999999997E-2</v>
      </c>
      <c r="CA60" t="str">
        <f>""</f>
        <v/>
      </c>
      <c r="CB60">
        <f>0.055</f>
        <v>5.5E-2</v>
      </c>
      <c r="CC60">
        <f>0.056</f>
        <v>5.6000000000000001E-2</v>
      </c>
      <c r="CD60">
        <f>0.04</f>
        <v>0.04</v>
      </c>
      <c r="CE60">
        <f>0.041</f>
        <v>4.1000000000000002E-2</v>
      </c>
      <c r="CF60" t="str">
        <f>""</f>
        <v/>
      </c>
      <c r="CG60" t="str">
        <f>""</f>
        <v/>
      </c>
      <c r="CH60" t="str">
        <f>""</f>
        <v/>
      </c>
      <c r="CI60" t="str">
        <f>""</f>
        <v/>
      </c>
      <c r="CJ60" t="str">
        <f>""</f>
        <v/>
      </c>
      <c r="CK60" t="str">
        <f>""</f>
        <v/>
      </c>
      <c r="CL60" t="str">
        <f>""</f>
        <v/>
      </c>
      <c r="CM60" t="str">
        <f>""</f>
        <v/>
      </c>
      <c r="CN60" t="str">
        <f>""</f>
        <v/>
      </c>
      <c r="CO60" t="str">
        <f>""</f>
        <v/>
      </c>
      <c r="CP60" t="str">
        <f>""</f>
        <v/>
      </c>
      <c r="CQ60" t="str">
        <f>""</f>
        <v/>
      </c>
      <c r="CR60" t="str">
        <f>""</f>
        <v/>
      </c>
      <c r="CS60" t="str">
        <f>""</f>
        <v/>
      </c>
      <c r="CT60" t="str">
        <f>""</f>
        <v/>
      </c>
      <c r="CU60" t="str">
        <f>""</f>
        <v/>
      </c>
      <c r="CV60" t="str">
        <f>""</f>
        <v/>
      </c>
      <c r="CW60" t="str">
        <f>""</f>
        <v/>
      </c>
      <c r="CX60" t="str">
        <f>""</f>
        <v/>
      </c>
      <c r="CY60" t="str">
        <f>""</f>
        <v/>
      </c>
      <c r="CZ60" t="str">
        <f>""</f>
        <v/>
      </c>
      <c r="DA60" t="str">
        <f>""</f>
        <v/>
      </c>
      <c r="DB60" t="str">
        <f>""</f>
        <v/>
      </c>
      <c r="DC60" t="str">
        <f>""</f>
        <v/>
      </c>
      <c r="DD60" t="str">
        <f>""</f>
        <v/>
      </c>
      <c r="DE60" t="str">
        <f>""</f>
        <v/>
      </c>
      <c r="DF60" t="str">
        <f>""</f>
        <v/>
      </c>
      <c r="DG60" t="str">
        <f>""</f>
        <v/>
      </c>
      <c r="DH60" t="str">
        <f>""</f>
        <v/>
      </c>
      <c r="DI60" t="str">
        <f>""</f>
        <v/>
      </c>
      <c r="DJ60" t="str">
        <f>""</f>
        <v/>
      </c>
      <c r="DK60" t="str">
        <f>""</f>
        <v/>
      </c>
      <c r="DL60" t="str">
        <f>""</f>
        <v/>
      </c>
      <c r="DM60" t="str">
        <f>""</f>
        <v/>
      </c>
      <c r="DN60" t="str">
        <f>""</f>
        <v/>
      </c>
      <c r="DO60" t="str">
        <f>""</f>
        <v/>
      </c>
      <c r="DP60" t="str">
        <f>""</f>
        <v/>
      </c>
      <c r="DQ60" t="str">
        <f>""</f>
        <v/>
      </c>
      <c r="DR60" t="str">
        <f>""</f>
        <v/>
      </c>
      <c r="DS60" t="str">
        <f>""</f>
        <v/>
      </c>
      <c r="DT60" t="str">
        <f>""</f>
        <v/>
      </c>
      <c r="DU60" t="str">
        <f>""</f>
        <v/>
      </c>
    </row>
    <row r="61" spans="1:125" x14ac:dyDescent="0.25">
      <c r="A61" t="str">
        <f>"    General Motors Co"</f>
        <v xml:space="preserve">    General Motors Co</v>
      </c>
      <c r="B61" t="str">
        <f>"GM US Equity"</f>
        <v>GM US Equity</v>
      </c>
      <c r="C61" t="str">
        <f t="shared" si="3"/>
        <v>EZ019</v>
      </c>
      <c r="D61" t="str">
        <f t="shared" si="4"/>
        <v>BEST_EEPS_CUR_YR</v>
      </c>
      <c r="E61" t="str">
        <f t="shared" si="5"/>
        <v>Dynamic</v>
      </c>
      <c r="F61">
        <f ca="1">IF(AND(ISNUMBER($F$569),$B$511=1),$F$569,HLOOKUP(INDIRECT(ADDRESS(2,COLUMN())),OFFSET($BN$2,0,0,ROW()-1,60),ROW()-1,FALSE))</f>
        <v>6.5540000000000003</v>
      </c>
      <c r="G61">
        <f ca="1">IF(AND(ISNUMBER($G$569),$B$511=1),$G$569,HLOOKUP(INDIRECT(ADDRESS(2,COLUMN())),OFFSET($BN$2,0,0,ROW()-1,60),ROW()-1,FALSE))</f>
        <v>6.0140000000000002</v>
      </c>
      <c r="H61">
        <f ca="1">IF(AND(ISNUMBER($H$569),$B$511=1),$H$569,HLOOKUP(INDIRECT(ADDRESS(2,COLUMN())),OFFSET($BN$2,0,0,ROW()-1,60),ROW()-1,FALSE))</f>
        <v>5.976</v>
      </c>
      <c r="I61">
        <f ca="1">IF(AND(ISNUMBER($I$569),$B$511=1),$I$569,HLOOKUP(INDIRECT(ADDRESS(2,COLUMN())),OFFSET($BN$2,0,0,ROW()-1,60),ROW()-1,FALSE))</f>
        <v>6.44</v>
      </c>
      <c r="J61">
        <f ca="1">IF(AND(ISNUMBER($J$569),$B$511=1),$J$569,HLOOKUP(INDIRECT(ADDRESS(2,COLUMN())),OFFSET($BN$2,0,0,ROW()-1,60),ROW()-1,FALSE))</f>
        <v>6.327</v>
      </c>
      <c r="K61">
        <f ca="1">IF(AND(ISNUMBER($K$569),$B$511=1),$K$569,HLOOKUP(INDIRECT(ADDRESS(2,COLUMN())),OFFSET($BN$2,0,0,ROW()-1,60),ROW()-1,FALSE))</f>
        <v>5.7489999999999997</v>
      </c>
      <c r="L61">
        <f ca="1">IF(AND(ISNUMBER($L$569),$B$511=1),$L$569,HLOOKUP(INDIRECT(ADDRESS(2,COLUMN())),OFFSET($BN$2,0,0,ROW()-1,60),ROW()-1,FALSE))</f>
        <v>5.649</v>
      </c>
      <c r="M61">
        <f ca="1">IF(AND(ISNUMBER($M$569),$B$511=1),$M$569,HLOOKUP(INDIRECT(ADDRESS(2,COLUMN())),OFFSET($BN$2,0,0,ROW()-1,60),ROW()-1,FALSE))</f>
        <v>5.5389999999999997</v>
      </c>
      <c r="N61">
        <f ca="1">IF(AND(ISNUMBER($N$569),$B$511=1),$N$569,HLOOKUP(INDIRECT(ADDRESS(2,COLUMN())),OFFSET($BN$2,0,0,ROW()-1,60),ROW()-1,FALSE))</f>
        <v>5.4210000000000003</v>
      </c>
      <c r="O61">
        <f ca="1">IF(AND(ISNUMBER($O$569),$B$511=1),$O$569,HLOOKUP(INDIRECT(ADDRESS(2,COLUMN())),OFFSET($BN$2,0,0,ROW()-1,60),ROW()-1,FALSE))</f>
        <v>5.21</v>
      </c>
      <c r="P61">
        <f ca="1">IF(AND(ISNUMBER($P$569),$B$511=1),$P$569,HLOOKUP(INDIRECT(ADDRESS(2,COLUMN())),OFFSET($BN$2,0,0,ROW()-1,60),ROW()-1,FALSE))</f>
        <v>5.3170000000000002</v>
      </c>
      <c r="Q61">
        <f ca="1">IF(AND(ISNUMBER($Q$569),$B$511=1),$Q$569,HLOOKUP(INDIRECT(ADDRESS(2,COLUMN())),OFFSET($BN$2,0,0,ROW()-1,60),ROW()-1,FALSE))</f>
        <v>5.42</v>
      </c>
      <c r="R61" t="str">
        <f ca="1">IF(AND(ISNUMBER($R$569),$B$511=1),$R$569,HLOOKUP(INDIRECT(ADDRESS(2,COLUMN())),OFFSET($BN$2,0,0,ROW()-1,60),ROW()-1,FALSE))</f>
        <v/>
      </c>
      <c r="S61">
        <f ca="1">IF(AND(ISNUMBER($S$569),$B$511=1),$S$569,HLOOKUP(INDIRECT(ADDRESS(2,COLUMN())),OFFSET($BN$2,0,0,ROW()-1,60),ROW()-1,FALSE))</f>
        <v>5.27</v>
      </c>
      <c r="T61" t="str">
        <f ca="1">IF(AND(ISNUMBER($T$569),$B$511=1),$T$569,HLOOKUP(INDIRECT(ADDRESS(2,COLUMN())),OFFSET($BN$2,0,0,ROW()-1,60),ROW()-1,FALSE))</f>
        <v/>
      </c>
      <c r="U61" t="str">
        <f ca="1">IF(AND(ISNUMBER($U$569),$B$511=1),$U$569,HLOOKUP(INDIRECT(ADDRESS(2,COLUMN())),OFFSET($BN$2,0,0,ROW()-1,60),ROW()-1,FALSE))</f>
        <v/>
      </c>
      <c r="V61" t="str">
        <f ca="1">IF(AND(ISNUMBER($V$569),$B$511=1),$V$569,HLOOKUP(INDIRECT(ADDRESS(2,COLUMN())),OFFSET($BN$2,0,0,ROW()-1,60),ROW()-1,FALSE))</f>
        <v/>
      </c>
      <c r="W61" t="str">
        <f ca="1">IF(AND(ISNUMBER($W$569),$B$511=1),$W$569,HLOOKUP(INDIRECT(ADDRESS(2,COLUMN())),OFFSET($BN$2,0,0,ROW()-1,60),ROW()-1,FALSE))</f>
        <v/>
      </c>
      <c r="X61" t="str">
        <f ca="1">IF(AND(ISNUMBER($X$569),$B$511=1),$X$569,HLOOKUP(INDIRECT(ADDRESS(2,COLUMN())),OFFSET($BN$2,0,0,ROW()-1,60),ROW()-1,FALSE))</f>
        <v/>
      </c>
      <c r="Y61" t="str">
        <f ca="1">IF(AND(ISNUMBER($Y$569),$B$511=1),$Y$569,HLOOKUP(INDIRECT(ADDRESS(2,COLUMN())),OFFSET($BN$2,0,0,ROW()-1,60),ROW()-1,FALSE))</f>
        <v/>
      </c>
      <c r="Z61" t="str">
        <f ca="1">IF(AND(ISNUMBER($Z$569),$B$511=1),$Z$569,HLOOKUP(INDIRECT(ADDRESS(2,COLUMN())),OFFSET($BN$2,0,0,ROW()-1,60),ROW()-1,FALSE))</f>
        <v/>
      </c>
      <c r="AA61" t="str">
        <f ca="1">IF(AND(ISNUMBER($AA$569),$B$511=1),$AA$569,HLOOKUP(INDIRECT(ADDRESS(2,COLUMN())),OFFSET($BN$2,0,0,ROW()-1,60),ROW()-1,FALSE))</f>
        <v/>
      </c>
      <c r="AB61" t="str">
        <f ca="1">IF(AND(ISNUMBER($AB$569),$B$511=1),$AB$569,HLOOKUP(INDIRECT(ADDRESS(2,COLUMN())),OFFSET($BN$2,0,0,ROW()-1,60),ROW()-1,FALSE))</f>
        <v/>
      </c>
      <c r="AC61" t="str">
        <f ca="1">IF(AND(ISNUMBER($AC$569),$B$511=1),$AC$569,HLOOKUP(INDIRECT(ADDRESS(2,COLUMN())),OFFSET($BN$2,0,0,ROW()-1,60),ROW()-1,FALSE))</f>
        <v/>
      </c>
      <c r="AD61" t="str">
        <f ca="1">IF(AND(ISNUMBER($AD$569),$B$511=1),$AD$569,HLOOKUP(INDIRECT(ADDRESS(2,COLUMN())),OFFSET($BN$2,0,0,ROW()-1,60),ROW()-1,FALSE))</f>
        <v/>
      </c>
      <c r="AE61" t="str">
        <f ca="1">IF(AND(ISNUMBER($AE$569),$B$511=1),$AE$569,HLOOKUP(INDIRECT(ADDRESS(2,COLUMN())),OFFSET($BN$2,0,0,ROW()-1,60),ROW()-1,FALSE))</f>
        <v/>
      </c>
      <c r="AF61" t="str">
        <f ca="1">IF(AND(ISNUMBER($AF$569),$B$511=1),$AF$569,HLOOKUP(INDIRECT(ADDRESS(2,COLUMN())),OFFSET($BN$2,0,0,ROW()-1,60),ROW()-1,FALSE))</f>
        <v/>
      </c>
      <c r="AG61" t="str">
        <f ca="1">IF(AND(ISNUMBER($AG$569),$B$511=1),$AG$569,HLOOKUP(INDIRECT(ADDRESS(2,COLUMN())),OFFSET($BN$2,0,0,ROW()-1,60),ROW()-1,FALSE))</f>
        <v/>
      </c>
      <c r="AH61" t="str">
        <f ca="1">IF(AND(ISNUMBER($AH$569),$B$511=1),$AH$569,HLOOKUP(INDIRECT(ADDRESS(2,COLUMN())),OFFSET($BN$2,0,0,ROW()-1,60),ROW()-1,FALSE))</f>
        <v/>
      </c>
      <c r="AI61" t="str">
        <f ca="1">IF(AND(ISNUMBER($AI$569),$B$511=1),$AI$569,HLOOKUP(INDIRECT(ADDRESS(2,COLUMN())),OFFSET($BN$2,0,0,ROW()-1,60),ROW()-1,FALSE))</f>
        <v/>
      </c>
      <c r="AJ61" t="str">
        <f ca="1">IF(AND(ISNUMBER($AJ$569),$B$511=1),$AJ$569,HLOOKUP(INDIRECT(ADDRESS(2,COLUMN())),OFFSET($BN$2,0,0,ROW()-1,60),ROW()-1,FALSE))</f>
        <v/>
      </c>
      <c r="AK61" t="str">
        <f ca="1">IF(AND(ISNUMBER($AK$569),$B$511=1),$AK$569,HLOOKUP(INDIRECT(ADDRESS(2,COLUMN())),OFFSET($BN$2,0,0,ROW()-1,60),ROW()-1,FALSE))</f>
        <v/>
      </c>
      <c r="AL61" t="str">
        <f ca="1">IF(AND(ISNUMBER($AL$569),$B$511=1),$AL$569,HLOOKUP(INDIRECT(ADDRESS(2,COLUMN())),OFFSET($BN$2,0,0,ROW()-1,60),ROW()-1,FALSE))</f>
        <v/>
      </c>
      <c r="AM61" t="str">
        <f ca="1">IF(AND(ISNUMBER($AM$569),$B$511=1),$AM$569,HLOOKUP(INDIRECT(ADDRESS(2,COLUMN())),OFFSET($BN$2,0,0,ROW()-1,60),ROW()-1,FALSE))</f>
        <v/>
      </c>
      <c r="AN61" t="str">
        <f ca="1">IF(AND(ISNUMBER($AN$569),$B$511=1),$AN$569,HLOOKUP(INDIRECT(ADDRESS(2,COLUMN())),OFFSET($BN$2,0,0,ROW()-1,60),ROW()-1,FALSE))</f>
        <v/>
      </c>
      <c r="AO61" t="str">
        <f ca="1">IF(AND(ISNUMBER($AO$569),$B$511=1),$AO$569,HLOOKUP(INDIRECT(ADDRESS(2,COLUMN())),OFFSET($BN$2,0,0,ROW()-1,60),ROW()-1,FALSE))</f>
        <v/>
      </c>
      <c r="AP61" t="str">
        <f ca="1">IF(AND(ISNUMBER($AP$569),$B$511=1),$AP$569,HLOOKUP(INDIRECT(ADDRESS(2,COLUMN())),OFFSET($BN$2,0,0,ROW()-1,60),ROW()-1,FALSE))</f>
        <v/>
      </c>
      <c r="AQ61" t="str">
        <f ca="1">IF(AND(ISNUMBER($AQ$569),$B$511=1),$AQ$569,HLOOKUP(INDIRECT(ADDRESS(2,COLUMN())),OFFSET($BN$2,0,0,ROW()-1,60),ROW()-1,FALSE))</f>
        <v/>
      </c>
      <c r="AR61" t="str">
        <f ca="1">IF(AND(ISNUMBER($AR$569),$B$511=1),$AR$569,HLOOKUP(INDIRECT(ADDRESS(2,COLUMN())),OFFSET($BN$2,0,0,ROW()-1,60),ROW()-1,FALSE))</f>
        <v/>
      </c>
      <c r="AS61" t="str">
        <f ca="1">IF(AND(ISNUMBER($AS$569),$B$511=1),$AS$569,HLOOKUP(INDIRECT(ADDRESS(2,COLUMN())),OFFSET($BN$2,0,0,ROW()-1,60),ROW()-1,FALSE))</f>
        <v/>
      </c>
      <c r="AT61" t="str">
        <f ca="1">IF(AND(ISNUMBER($AT$569),$B$511=1),$AT$569,HLOOKUP(INDIRECT(ADDRESS(2,COLUMN())),OFFSET($BN$2,0,0,ROW()-1,60),ROW()-1,FALSE))</f>
        <v/>
      </c>
      <c r="AU61" t="str">
        <f ca="1">IF(AND(ISNUMBER($AU$569),$B$511=1),$AU$569,HLOOKUP(INDIRECT(ADDRESS(2,COLUMN())),OFFSET($BN$2,0,0,ROW()-1,60),ROW()-1,FALSE))</f>
        <v/>
      </c>
      <c r="AV61" t="str">
        <f ca="1">IF(AND(ISNUMBER($AV$569),$B$511=1),$AV$569,HLOOKUP(INDIRECT(ADDRESS(2,COLUMN())),OFFSET($BN$2,0,0,ROW()-1,60),ROW()-1,FALSE))</f>
        <v/>
      </c>
      <c r="AW61" t="str">
        <f ca="1">IF(AND(ISNUMBER($AW$569),$B$511=1),$AW$569,HLOOKUP(INDIRECT(ADDRESS(2,COLUMN())),OFFSET($BN$2,0,0,ROW()-1,60),ROW()-1,FALSE))</f>
        <v/>
      </c>
      <c r="AX61" t="str">
        <f ca="1">IF(AND(ISNUMBER($AX$569),$B$511=1),$AX$569,HLOOKUP(INDIRECT(ADDRESS(2,COLUMN())),OFFSET($BN$2,0,0,ROW()-1,60),ROW()-1,FALSE))</f>
        <v/>
      </c>
      <c r="AY61" t="str">
        <f ca="1">IF(AND(ISNUMBER($AY$569),$B$511=1),$AY$569,HLOOKUP(INDIRECT(ADDRESS(2,COLUMN())),OFFSET($BN$2,0,0,ROW()-1,60),ROW()-1,FALSE))</f>
        <v/>
      </c>
      <c r="AZ61" t="str">
        <f ca="1">IF(AND(ISNUMBER($AZ$569),$B$511=1),$AZ$569,HLOOKUP(INDIRECT(ADDRESS(2,COLUMN())),OFFSET($BN$2,0,0,ROW()-1,60),ROW()-1,FALSE))</f>
        <v/>
      </c>
      <c r="BA61" t="str">
        <f ca="1">IF(AND(ISNUMBER($BA$569),$B$511=1),$BA$569,HLOOKUP(INDIRECT(ADDRESS(2,COLUMN())),OFFSET($BN$2,0,0,ROW()-1,60),ROW()-1,FALSE))</f>
        <v/>
      </c>
      <c r="BB61" t="str">
        <f ca="1">IF(AND(ISNUMBER($BB$569),$B$511=1),$BB$569,HLOOKUP(INDIRECT(ADDRESS(2,COLUMN())),OFFSET($BN$2,0,0,ROW()-1,60),ROW()-1,FALSE))</f>
        <v/>
      </c>
      <c r="BC61" t="str">
        <f ca="1">IF(AND(ISNUMBER($BC$569),$B$511=1),$BC$569,HLOOKUP(INDIRECT(ADDRESS(2,COLUMN())),OFFSET($BN$2,0,0,ROW()-1,60),ROW()-1,FALSE))</f>
        <v/>
      </c>
      <c r="BD61" t="str">
        <f ca="1">IF(AND(ISNUMBER($BD$569),$B$511=1),$BD$569,HLOOKUP(INDIRECT(ADDRESS(2,COLUMN())),OFFSET($BN$2,0,0,ROW()-1,60),ROW()-1,FALSE))</f>
        <v/>
      </c>
      <c r="BE61" t="str">
        <f ca="1">IF(AND(ISNUMBER($BE$569),$B$511=1),$BE$569,HLOOKUP(INDIRECT(ADDRESS(2,COLUMN())),OFFSET($BN$2,0,0,ROW()-1,60),ROW()-1,FALSE))</f>
        <v/>
      </c>
      <c r="BF61" t="str">
        <f ca="1">IF(AND(ISNUMBER($BF$569),$B$511=1),$BF$569,HLOOKUP(INDIRECT(ADDRESS(2,COLUMN())),OFFSET($BN$2,0,0,ROW()-1,60),ROW()-1,FALSE))</f>
        <v/>
      </c>
      <c r="BG61" t="str">
        <f ca="1">IF(AND(ISNUMBER($BG$569),$B$511=1),$BG$569,HLOOKUP(INDIRECT(ADDRESS(2,COLUMN())),OFFSET($BN$2,0,0,ROW()-1,60),ROW()-1,FALSE))</f>
        <v/>
      </c>
      <c r="BH61" t="str">
        <f ca="1">IF(AND(ISNUMBER($BH$569),$B$511=1),$BH$569,HLOOKUP(INDIRECT(ADDRESS(2,COLUMN())),OFFSET($BN$2,0,0,ROW()-1,60),ROW()-1,FALSE))</f>
        <v/>
      </c>
      <c r="BI61" t="str">
        <f ca="1">IF(AND(ISNUMBER($BI$569),$B$511=1),$BI$569,HLOOKUP(INDIRECT(ADDRESS(2,COLUMN())),OFFSET($BN$2,0,0,ROW()-1,60),ROW()-1,FALSE))</f>
        <v/>
      </c>
      <c r="BJ61" t="str">
        <f ca="1">IF(AND(ISNUMBER($BJ$569),$B$511=1),$BJ$569,HLOOKUP(INDIRECT(ADDRESS(2,COLUMN())),OFFSET($BN$2,0,0,ROW()-1,60),ROW()-1,FALSE))</f>
        <v/>
      </c>
      <c r="BK61" t="str">
        <f ca="1">IF(AND(ISNUMBER($BK$569),$B$511=1),$BK$569,HLOOKUP(INDIRECT(ADDRESS(2,COLUMN())),OFFSET($BN$2,0,0,ROW()-1,60),ROW()-1,FALSE))</f>
        <v/>
      </c>
      <c r="BL61" t="str">
        <f ca="1">IF(AND(ISNUMBER($BL$569),$B$511=1),$BL$569,HLOOKUP(INDIRECT(ADDRESS(2,COLUMN())),OFFSET($BN$2,0,0,ROW()-1,60),ROW()-1,FALSE))</f>
        <v/>
      </c>
      <c r="BM61" t="str">
        <f ca="1">IF(AND(ISNUMBER($BM$569),$B$511=1),$BM$569,HLOOKUP(INDIRECT(ADDRESS(2,COLUMN())),OFFSET($BN$2,0,0,ROW()-1,60),ROW()-1,FALSE))</f>
        <v/>
      </c>
      <c r="BN61">
        <f>6.554</f>
        <v>6.5540000000000003</v>
      </c>
      <c r="BO61">
        <f>6.014</f>
        <v>6.0140000000000002</v>
      </c>
      <c r="BP61">
        <f>5.976</f>
        <v>5.976</v>
      </c>
      <c r="BQ61">
        <f>6.44</f>
        <v>6.44</v>
      </c>
      <c r="BR61">
        <f>6.327</f>
        <v>6.327</v>
      </c>
      <c r="BS61">
        <f>5.749</f>
        <v>5.7489999999999997</v>
      </c>
      <c r="BT61">
        <f>5.649</f>
        <v>5.649</v>
      </c>
      <c r="BU61">
        <f>5.539</f>
        <v>5.5389999999999997</v>
      </c>
      <c r="BV61">
        <f>5.421</f>
        <v>5.4210000000000003</v>
      </c>
      <c r="BW61">
        <f>5.21</f>
        <v>5.21</v>
      </c>
      <c r="BX61">
        <f>5.317</f>
        <v>5.3170000000000002</v>
      </c>
      <c r="BY61">
        <f>5.42</f>
        <v>5.42</v>
      </c>
      <c r="BZ61" t="str">
        <f>""</f>
        <v/>
      </c>
      <c r="CA61">
        <f>5.27</f>
        <v>5.27</v>
      </c>
      <c r="CB61" t="str">
        <f>""</f>
        <v/>
      </c>
      <c r="CC61" t="str">
        <f>""</f>
        <v/>
      </c>
      <c r="CD61" t="str">
        <f>""</f>
        <v/>
      </c>
      <c r="CE61" t="str">
        <f>""</f>
        <v/>
      </c>
      <c r="CF61" t="str">
        <f>""</f>
        <v/>
      </c>
      <c r="CG61" t="str">
        <f>""</f>
        <v/>
      </c>
      <c r="CH61" t="str">
        <f>""</f>
        <v/>
      </c>
      <c r="CI61" t="str">
        <f>""</f>
        <v/>
      </c>
      <c r="CJ61" t="str">
        <f>""</f>
        <v/>
      </c>
      <c r="CK61" t="str">
        <f>""</f>
        <v/>
      </c>
      <c r="CL61" t="str">
        <f>""</f>
        <v/>
      </c>
      <c r="CM61" t="str">
        <f>""</f>
        <v/>
      </c>
      <c r="CN61" t="str">
        <f>""</f>
        <v/>
      </c>
      <c r="CO61" t="str">
        <f>""</f>
        <v/>
      </c>
      <c r="CP61" t="str">
        <f>""</f>
        <v/>
      </c>
      <c r="CQ61" t="str">
        <f>""</f>
        <v/>
      </c>
      <c r="CR61" t="str">
        <f>""</f>
        <v/>
      </c>
      <c r="CS61" t="str">
        <f>""</f>
        <v/>
      </c>
      <c r="CT61" t="str">
        <f>""</f>
        <v/>
      </c>
      <c r="CU61" t="str">
        <f>""</f>
        <v/>
      </c>
      <c r="CV61" t="str">
        <f>""</f>
        <v/>
      </c>
      <c r="CW61" t="str">
        <f>""</f>
        <v/>
      </c>
      <c r="CX61" t="str">
        <f>""</f>
        <v/>
      </c>
      <c r="CY61" t="str">
        <f>""</f>
        <v/>
      </c>
      <c r="CZ61" t="str">
        <f>""</f>
        <v/>
      </c>
      <c r="DA61" t="str">
        <f>""</f>
        <v/>
      </c>
      <c r="DB61" t="str">
        <f>""</f>
        <v/>
      </c>
      <c r="DC61" t="str">
        <f>""</f>
        <v/>
      </c>
      <c r="DD61" t="str">
        <f>""</f>
        <v/>
      </c>
      <c r="DE61" t="str">
        <f>""</f>
        <v/>
      </c>
      <c r="DF61" t="str">
        <f>""</f>
        <v/>
      </c>
      <c r="DG61" t="str">
        <f>""</f>
        <v/>
      </c>
      <c r="DH61" t="str">
        <f>""</f>
        <v/>
      </c>
      <c r="DI61" t="str">
        <f>""</f>
        <v/>
      </c>
      <c r="DJ61" t="str">
        <f>""</f>
        <v/>
      </c>
      <c r="DK61" t="str">
        <f>""</f>
        <v/>
      </c>
      <c r="DL61" t="str">
        <f>""</f>
        <v/>
      </c>
      <c r="DM61" t="str">
        <f>""</f>
        <v/>
      </c>
      <c r="DN61" t="str">
        <f>""</f>
        <v/>
      </c>
      <c r="DO61" t="str">
        <f>""</f>
        <v/>
      </c>
      <c r="DP61" t="str">
        <f>""</f>
        <v/>
      </c>
      <c r="DQ61" t="str">
        <f>""</f>
        <v/>
      </c>
      <c r="DR61" t="str">
        <f>""</f>
        <v/>
      </c>
      <c r="DS61" t="str">
        <f>""</f>
        <v/>
      </c>
      <c r="DT61" t="str">
        <f>""</f>
        <v/>
      </c>
      <c r="DU61" t="str">
        <f>""</f>
        <v/>
      </c>
    </row>
    <row r="62" spans="1:125" x14ac:dyDescent="0.25">
      <c r="A62" t="str">
        <f>"    Great Wall Motor Co Ltd"</f>
        <v xml:space="preserve">    Great Wall Motor Co Ltd</v>
      </c>
      <c r="B62" t="str">
        <f>"2333 HK Equity"</f>
        <v>2333 HK Equity</v>
      </c>
      <c r="C62" t="str">
        <f t="shared" si="3"/>
        <v>EZ019</v>
      </c>
      <c r="D62" t="str">
        <f t="shared" si="4"/>
        <v>BEST_EEPS_CUR_YR</v>
      </c>
      <c r="E62" t="str">
        <f t="shared" si="5"/>
        <v>Dynamic</v>
      </c>
      <c r="F62">
        <f ca="1">IF(AND(ISNUMBER($F$570),$B$511=1),$F$570,HLOOKUP(INDIRECT(ADDRESS(2,COLUMN())),OFFSET($BN$2,0,0,ROW()-1,60),ROW()-1,FALSE))</f>
        <v>8.6999999999999994E-2</v>
      </c>
      <c r="G62">
        <f ca="1">IF(AND(ISNUMBER($G$570),$B$511=1),$G$570,HLOOKUP(INDIRECT(ADDRESS(2,COLUMN())),OFFSET($BN$2,0,0,ROW()-1,60),ROW()-1,FALSE))</f>
        <v>8.3000000000000004E-2</v>
      </c>
      <c r="H62">
        <f ca="1">IF(AND(ISNUMBER($H$570),$B$511=1),$H$570,HLOOKUP(INDIRECT(ADDRESS(2,COLUMN())),OFFSET($BN$2,0,0,ROW()-1,60),ROW()-1,FALSE))</f>
        <v>0.107</v>
      </c>
      <c r="I62">
        <f ca="1">IF(AND(ISNUMBER($I$570),$B$511=1),$I$570,HLOOKUP(INDIRECT(ADDRESS(2,COLUMN())),OFFSET($BN$2,0,0,ROW()-1,60),ROW()-1,FALSE))</f>
        <v>0.128</v>
      </c>
      <c r="J62">
        <f ca="1">IF(AND(ISNUMBER($J$570),$B$511=1),$J$570,HLOOKUP(INDIRECT(ADDRESS(2,COLUMN())),OFFSET($BN$2,0,0,ROW()-1,60),ROW()-1,FALSE))</f>
        <v>0.13</v>
      </c>
      <c r="K62">
        <f ca="1">IF(AND(ISNUMBER($K$570),$B$511=1),$K$570,HLOOKUP(INDIRECT(ADDRESS(2,COLUMN())),OFFSET($BN$2,0,0,ROW()-1,60),ROW()-1,FALSE))</f>
        <v>0.13700000000000001</v>
      </c>
      <c r="L62">
        <f ca="1">IF(AND(ISNUMBER($L$570),$B$511=1),$L$570,HLOOKUP(INDIRECT(ADDRESS(2,COLUMN())),OFFSET($BN$2,0,0,ROW()-1,60),ROW()-1,FALSE))</f>
        <v>0.151</v>
      </c>
      <c r="M62">
        <f ca="1">IF(AND(ISNUMBER($M$570),$B$511=1),$M$570,HLOOKUP(INDIRECT(ADDRESS(2,COLUMN())),OFFSET($BN$2,0,0,ROW()-1,60),ROW()-1,FALSE))</f>
        <v>0.17</v>
      </c>
      <c r="N62">
        <f ca="1">IF(AND(ISNUMBER($N$570),$B$511=1),$N$570,HLOOKUP(INDIRECT(ADDRESS(2,COLUMN())),OFFSET($BN$2,0,0,ROW()-1,60),ROW()-1,FALSE))</f>
        <v>0.17599999999999999</v>
      </c>
      <c r="O62">
        <f ca="1">IF(AND(ISNUMBER($O$570),$B$511=1),$O$570,HLOOKUP(INDIRECT(ADDRESS(2,COLUMN())),OFFSET($BN$2,0,0,ROW()-1,60),ROW()-1,FALSE))</f>
        <v>0.14699999999999999</v>
      </c>
      <c r="P62">
        <f ca="1">IF(AND(ISNUMBER($P$570),$B$511=1),$P$570,HLOOKUP(INDIRECT(ADDRESS(2,COLUMN())),OFFSET($BN$2,0,0,ROW()-1,60),ROW()-1,FALSE))</f>
        <v>0.14799999999999999</v>
      </c>
      <c r="Q62">
        <f ca="1">IF(AND(ISNUMBER($Q$570),$B$511=1),$Q$570,HLOOKUP(INDIRECT(ADDRESS(2,COLUMN())),OFFSET($BN$2,0,0,ROW()-1,60),ROW()-1,FALSE))</f>
        <v>0.13600000000000001</v>
      </c>
      <c r="R62">
        <f ca="1">IF(AND(ISNUMBER($R$570),$B$511=1),$R$570,HLOOKUP(INDIRECT(ADDRESS(2,COLUMN())),OFFSET($BN$2,0,0,ROW()-1,60),ROW()-1,FALSE))</f>
        <v>0.13300000000000001</v>
      </c>
      <c r="S62">
        <f ca="1">IF(AND(ISNUMBER($S$570),$B$511=1),$S$570,HLOOKUP(INDIRECT(ADDRESS(2,COLUMN())),OFFSET($BN$2,0,0,ROW()-1,60),ROW()-1,FALSE))</f>
        <v>0.107</v>
      </c>
      <c r="T62">
        <f ca="1">IF(AND(ISNUMBER($T$570),$B$511=1),$T$570,HLOOKUP(INDIRECT(ADDRESS(2,COLUMN())),OFFSET($BN$2,0,0,ROW()-1,60),ROW()-1,FALSE))</f>
        <v>0.105</v>
      </c>
      <c r="U62">
        <f ca="1">IF(AND(ISNUMBER($U$570),$B$511=1),$U$570,HLOOKUP(INDIRECT(ADDRESS(2,COLUMN())),OFFSET($BN$2,0,0,ROW()-1,60),ROW()-1,FALSE))</f>
        <v>0.248</v>
      </c>
      <c r="V62">
        <f ca="1">IF(AND(ISNUMBER($V$570),$B$511=1),$V$570,HLOOKUP(INDIRECT(ADDRESS(2,COLUMN())),OFFSET($BN$2,0,0,ROW()-1,60),ROW()-1,FALSE))</f>
        <v>0.21199999999999999</v>
      </c>
      <c r="W62">
        <f ca="1">IF(AND(ISNUMBER($W$570),$B$511=1),$W$570,HLOOKUP(INDIRECT(ADDRESS(2,COLUMN())),OFFSET($BN$2,0,0,ROW()-1,60),ROW()-1,FALSE))</f>
        <v>0.17799999999999999</v>
      </c>
      <c r="X62" t="str">
        <f ca="1">IF(AND(ISNUMBER($X$570),$B$511=1),$X$570,HLOOKUP(INDIRECT(ADDRESS(2,COLUMN())),OFFSET($BN$2,0,0,ROW()-1,60),ROW()-1,FALSE))</f>
        <v/>
      </c>
      <c r="Y62" t="str">
        <f ca="1">IF(AND(ISNUMBER($Y$570),$B$511=1),$Y$570,HLOOKUP(INDIRECT(ADDRESS(2,COLUMN())),OFFSET($BN$2,0,0,ROW()-1,60),ROW()-1,FALSE))</f>
        <v/>
      </c>
      <c r="Z62" t="str">
        <f ca="1">IF(AND(ISNUMBER($Z$570),$B$511=1),$Z$570,HLOOKUP(INDIRECT(ADDRESS(2,COLUMN())),OFFSET($BN$2,0,0,ROW()-1,60),ROW()-1,FALSE))</f>
        <v/>
      </c>
      <c r="AA62" t="str">
        <f ca="1">IF(AND(ISNUMBER($AA$570),$B$511=1),$AA$570,HLOOKUP(INDIRECT(ADDRESS(2,COLUMN())),OFFSET($BN$2,0,0,ROW()-1,60),ROW()-1,FALSE))</f>
        <v/>
      </c>
      <c r="AB62" t="str">
        <f ca="1">IF(AND(ISNUMBER($AB$570),$B$511=1),$AB$570,HLOOKUP(INDIRECT(ADDRESS(2,COLUMN())),OFFSET($BN$2,0,0,ROW()-1,60),ROW()-1,FALSE))</f>
        <v/>
      </c>
      <c r="AC62" t="str">
        <f ca="1">IF(AND(ISNUMBER($AC$570),$B$511=1),$AC$570,HLOOKUP(INDIRECT(ADDRESS(2,COLUMN())),OFFSET($BN$2,0,0,ROW()-1,60),ROW()-1,FALSE))</f>
        <v/>
      </c>
      <c r="AD62" t="str">
        <f ca="1">IF(AND(ISNUMBER($AD$570),$B$511=1),$AD$570,HLOOKUP(INDIRECT(ADDRESS(2,COLUMN())),OFFSET($BN$2,0,0,ROW()-1,60),ROW()-1,FALSE))</f>
        <v/>
      </c>
      <c r="AE62" t="str">
        <f ca="1">IF(AND(ISNUMBER($AE$570),$B$511=1),$AE$570,HLOOKUP(INDIRECT(ADDRESS(2,COLUMN())),OFFSET($BN$2,0,0,ROW()-1,60),ROW()-1,FALSE))</f>
        <v/>
      </c>
      <c r="AF62" t="str">
        <f ca="1">IF(AND(ISNUMBER($AF$570),$B$511=1),$AF$570,HLOOKUP(INDIRECT(ADDRESS(2,COLUMN())),OFFSET($BN$2,0,0,ROW()-1,60),ROW()-1,FALSE))</f>
        <v/>
      </c>
      <c r="AG62" t="str">
        <f ca="1">IF(AND(ISNUMBER($AG$570),$B$511=1),$AG$570,HLOOKUP(INDIRECT(ADDRESS(2,COLUMN())),OFFSET($BN$2,0,0,ROW()-1,60),ROW()-1,FALSE))</f>
        <v/>
      </c>
      <c r="AH62" t="str">
        <f ca="1">IF(AND(ISNUMBER($AH$570),$B$511=1),$AH$570,HLOOKUP(INDIRECT(ADDRESS(2,COLUMN())),OFFSET($BN$2,0,0,ROW()-1,60),ROW()-1,FALSE))</f>
        <v/>
      </c>
      <c r="AI62" t="str">
        <f ca="1">IF(AND(ISNUMBER($AI$570),$B$511=1),$AI$570,HLOOKUP(INDIRECT(ADDRESS(2,COLUMN())),OFFSET($BN$2,0,0,ROW()-1,60),ROW()-1,FALSE))</f>
        <v/>
      </c>
      <c r="AJ62" t="str">
        <f ca="1">IF(AND(ISNUMBER($AJ$570),$B$511=1),$AJ$570,HLOOKUP(INDIRECT(ADDRESS(2,COLUMN())),OFFSET($BN$2,0,0,ROW()-1,60),ROW()-1,FALSE))</f>
        <v/>
      </c>
      <c r="AK62" t="str">
        <f ca="1">IF(AND(ISNUMBER($AK$570),$B$511=1),$AK$570,HLOOKUP(INDIRECT(ADDRESS(2,COLUMN())),OFFSET($BN$2,0,0,ROW()-1,60),ROW()-1,FALSE))</f>
        <v/>
      </c>
      <c r="AL62" t="str">
        <f ca="1">IF(AND(ISNUMBER($AL$570),$B$511=1),$AL$570,HLOOKUP(INDIRECT(ADDRESS(2,COLUMN())),OFFSET($BN$2,0,0,ROW()-1,60),ROW()-1,FALSE))</f>
        <v/>
      </c>
      <c r="AM62" t="str">
        <f ca="1">IF(AND(ISNUMBER($AM$570),$B$511=1),$AM$570,HLOOKUP(INDIRECT(ADDRESS(2,COLUMN())),OFFSET($BN$2,0,0,ROW()-1,60),ROW()-1,FALSE))</f>
        <v/>
      </c>
      <c r="AN62" t="str">
        <f ca="1">IF(AND(ISNUMBER($AN$570),$B$511=1),$AN$570,HLOOKUP(INDIRECT(ADDRESS(2,COLUMN())),OFFSET($BN$2,0,0,ROW()-1,60),ROW()-1,FALSE))</f>
        <v/>
      </c>
      <c r="AO62" t="str">
        <f ca="1">IF(AND(ISNUMBER($AO$570),$B$511=1),$AO$570,HLOOKUP(INDIRECT(ADDRESS(2,COLUMN())),OFFSET($BN$2,0,0,ROW()-1,60),ROW()-1,FALSE))</f>
        <v/>
      </c>
      <c r="AP62" t="str">
        <f ca="1">IF(AND(ISNUMBER($AP$570),$B$511=1),$AP$570,HLOOKUP(INDIRECT(ADDRESS(2,COLUMN())),OFFSET($BN$2,0,0,ROW()-1,60),ROW()-1,FALSE))</f>
        <v/>
      </c>
      <c r="AQ62" t="str">
        <f ca="1">IF(AND(ISNUMBER($AQ$570),$B$511=1),$AQ$570,HLOOKUP(INDIRECT(ADDRESS(2,COLUMN())),OFFSET($BN$2,0,0,ROW()-1,60),ROW()-1,FALSE))</f>
        <v/>
      </c>
      <c r="AR62" t="str">
        <f ca="1">IF(AND(ISNUMBER($AR$570),$B$511=1),$AR$570,HLOOKUP(INDIRECT(ADDRESS(2,COLUMN())),OFFSET($BN$2,0,0,ROW()-1,60),ROW()-1,FALSE))</f>
        <v/>
      </c>
      <c r="AS62" t="str">
        <f ca="1">IF(AND(ISNUMBER($AS$570),$B$511=1),$AS$570,HLOOKUP(INDIRECT(ADDRESS(2,COLUMN())),OFFSET($BN$2,0,0,ROW()-1,60),ROW()-1,FALSE))</f>
        <v/>
      </c>
      <c r="AT62" t="str">
        <f ca="1">IF(AND(ISNUMBER($AT$570),$B$511=1),$AT$570,HLOOKUP(INDIRECT(ADDRESS(2,COLUMN())),OFFSET($BN$2,0,0,ROW()-1,60),ROW()-1,FALSE))</f>
        <v/>
      </c>
      <c r="AU62" t="str">
        <f ca="1">IF(AND(ISNUMBER($AU$570),$B$511=1),$AU$570,HLOOKUP(INDIRECT(ADDRESS(2,COLUMN())),OFFSET($BN$2,0,0,ROW()-1,60),ROW()-1,FALSE))</f>
        <v/>
      </c>
      <c r="AV62" t="str">
        <f ca="1">IF(AND(ISNUMBER($AV$570),$B$511=1),$AV$570,HLOOKUP(INDIRECT(ADDRESS(2,COLUMN())),OFFSET($BN$2,0,0,ROW()-1,60),ROW()-1,FALSE))</f>
        <v/>
      </c>
      <c r="AW62" t="str">
        <f ca="1">IF(AND(ISNUMBER($AW$570),$B$511=1),$AW$570,HLOOKUP(INDIRECT(ADDRESS(2,COLUMN())),OFFSET($BN$2,0,0,ROW()-1,60),ROW()-1,FALSE))</f>
        <v/>
      </c>
      <c r="AX62" t="str">
        <f ca="1">IF(AND(ISNUMBER($AX$570),$B$511=1),$AX$570,HLOOKUP(INDIRECT(ADDRESS(2,COLUMN())),OFFSET($BN$2,0,0,ROW()-1,60),ROW()-1,FALSE))</f>
        <v/>
      </c>
      <c r="AY62" t="str">
        <f ca="1">IF(AND(ISNUMBER($AY$570),$B$511=1),$AY$570,HLOOKUP(INDIRECT(ADDRESS(2,COLUMN())),OFFSET($BN$2,0,0,ROW()-1,60),ROW()-1,FALSE))</f>
        <v/>
      </c>
      <c r="AZ62" t="str">
        <f ca="1">IF(AND(ISNUMBER($AZ$570),$B$511=1),$AZ$570,HLOOKUP(INDIRECT(ADDRESS(2,COLUMN())),OFFSET($BN$2,0,0,ROW()-1,60),ROW()-1,FALSE))</f>
        <v/>
      </c>
      <c r="BA62" t="str">
        <f ca="1">IF(AND(ISNUMBER($BA$570),$B$511=1),$BA$570,HLOOKUP(INDIRECT(ADDRESS(2,COLUMN())),OFFSET($BN$2,0,0,ROW()-1,60),ROW()-1,FALSE))</f>
        <v/>
      </c>
      <c r="BB62" t="str">
        <f ca="1">IF(AND(ISNUMBER($BB$570),$B$511=1),$BB$570,HLOOKUP(INDIRECT(ADDRESS(2,COLUMN())),OFFSET($BN$2,0,0,ROW()-1,60),ROW()-1,FALSE))</f>
        <v/>
      </c>
      <c r="BC62" t="str">
        <f ca="1">IF(AND(ISNUMBER($BC$570),$B$511=1),$BC$570,HLOOKUP(INDIRECT(ADDRESS(2,COLUMN())),OFFSET($BN$2,0,0,ROW()-1,60),ROW()-1,FALSE))</f>
        <v/>
      </c>
      <c r="BD62" t="str">
        <f ca="1">IF(AND(ISNUMBER($BD$570),$B$511=1),$BD$570,HLOOKUP(INDIRECT(ADDRESS(2,COLUMN())),OFFSET($BN$2,0,0,ROW()-1,60),ROW()-1,FALSE))</f>
        <v/>
      </c>
      <c r="BE62" t="str">
        <f ca="1">IF(AND(ISNUMBER($BE$570),$B$511=1),$BE$570,HLOOKUP(INDIRECT(ADDRESS(2,COLUMN())),OFFSET($BN$2,0,0,ROW()-1,60),ROW()-1,FALSE))</f>
        <v/>
      </c>
      <c r="BF62" t="str">
        <f ca="1">IF(AND(ISNUMBER($BF$570),$B$511=1),$BF$570,HLOOKUP(INDIRECT(ADDRESS(2,COLUMN())),OFFSET($BN$2,0,0,ROW()-1,60),ROW()-1,FALSE))</f>
        <v/>
      </c>
      <c r="BG62" t="str">
        <f ca="1">IF(AND(ISNUMBER($BG$570),$B$511=1),$BG$570,HLOOKUP(INDIRECT(ADDRESS(2,COLUMN())),OFFSET($BN$2,0,0,ROW()-1,60),ROW()-1,FALSE))</f>
        <v/>
      </c>
      <c r="BH62" t="str">
        <f ca="1">IF(AND(ISNUMBER($BH$570),$B$511=1),$BH$570,HLOOKUP(INDIRECT(ADDRESS(2,COLUMN())),OFFSET($BN$2,0,0,ROW()-1,60),ROW()-1,FALSE))</f>
        <v/>
      </c>
      <c r="BI62" t="str">
        <f ca="1">IF(AND(ISNUMBER($BI$570),$B$511=1),$BI$570,HLOOKUP(INDIRECT(ADDRESS(2,COLUMN())),OFFSET($BN$2,0,0,ROW()-1,60),ROW()-1,FALSE))</f>
        <v/>
      </c>
      <c r="BJ62" t="str">
        <f ca="1">IF(AND(ISNUMBER($BJ$570),$B$511=1),$BJ$570,HLOOKUP(INDIRECT(ADDRESS(2,COLUMN())),OFFSET($BN$2,0,0,ROW()-1,60),ROW()-1,FALSE))</f>
        <v/>
      </c>
      <c r="BK62" t="str">
        <f ca="1">IF(AND(ISNUMBER($BK$570),$B$511=1),$BK$570,HLOOKUP(INDIRECT(ADDRESS(2,COLUMN())),OFFSET($BN$2,0,0,ROW()-1,60),ROW()-1,FALSE))</f>
        <v/>
      </c>
      <c r="BL62" t="str">
        <f ca="1">IF(AND(ISNUMBER($BL$570),$B$511=1),$BL$570,HLOOKUP(INDIRECT(ADDRESS(2,COLUMN())),OFFSET($BN$2,0,0,ROW()-1,60),ROW()-1,FALSE))</f>
        <v/>
      </c>
      <c r="BM62" t="str">
        <f ca="1">IF(AND(ISNUMBER($BM$570),$B$511=1),$BM$570,HLOOKUP(INDIRECT(ADDRESS(2,COLUMN())),OFFSET($BN$2,0,0,ROW()-1,60),ROW()-1,FALSE))</f>
        <v/>
      </c>
      <c r="BN62">
        <f>0.087</f>
        <v>8.6999999999999994E-2</v>
      </c>
      <c r="BO62">
        <f>0.083</f>
        <v>8.3000000000000004E-2</v>
      </c>
      <c r="BP62">
        <f>0.107</f>
        <v>0.107</v>
      </c>
      <c r="BQ62">
        <f>0.128</f>
        <v>0.128</v>
      </c>
      <c r="BR62">
        <f>0.13</f>
        <v>0.13</v>
      </c>
      <c r="BS62">
        <f>0.137</f>
        <v>0.13700000000000001</v>
      </c>
      <c r="BT62">
        <f>0.151</f>
        <v>0.151</v>
      </c>
      <c r="BU62">
        <f>0.17</f>
        <v>0.17</v>
      </c>
      <c r="BV62">
        <f>0.176</f>
        <v>0.17599999999999999</v>
      </c>
      <c r="BW62">
        <f>0.147</f>
        <v>0.14699999999999999</v>
      </c>
      <c r="BX62">
        <f>0.148</f>
        <v>0.14799999999999999</v>
      </c>
      <c r="BY62">
        <f>0.136</f>
        <v>0.13600000000000001</v>
      </c>
      <c r="BZ62">
        <f>0.133</f>
        <v>0.13300000000000001</v>
      </c>
      <c r="CA62">
        <f>0.107</f>
        <v>0.107</v>
      </c>
      <c r="CB62">
        <f>0.105</f>
        <v>0.105</v>
      </c>
      <c r="CC62">
        <f>0.248</f>
        <v>0.248</v>
      </c>
      <c r="CD62">
        <f>0.212</f>
        <v>0.21199999999999999</v>
      </c>
      <c r="CE62">
        <f>0.178</f>
        <v>0.17799999999999999</v>
      </c>
      <c r="CF62" t="str">
        <f>""</f>
        <v/>
      </c>
      <c r="CG62" t="str">
        <f>""</f>
        <v/>
      </c>
      <c r="CH62" t="str">
        <f>""</f>
        <v/>
      </c>
      <c r="CI62" t="str">
        <f>""</f>
        <v/>
      </c>
      <c r="CJ62" t="str">
        <f>""</f>
        <v/>
      </c>
      <c r="CK62" t="str">
        <f>""</f>
        <v/>
      </c>
      <c r="CL62" t="str">
        <f>""</f>
        <v/>
      </c>
      <c r="CM62" t="str">
        <f>""</f>
        <v/>
      </c>
      <c r="CN62" t="str">
        <f>""</f>
        <v/>
      </c>
      <c r="CO62" t="str">
        <f>""</f>
        <v/>
      </c>
      <c r="CP62" t="str">
        <f>""</f>
        <v/>
      </c>
      <c r="CQ62" t="str">
        <f>""</f>
        <v/>
      </c>
      <c r="CR62" t="str">
        <f>""</f>
        <v/>
      </c>
      <c r="CS62" t="str">
        <f>""</f>
        <v/>
      </c>
      <c r="CT62" t="str">
        <f>""</f>
        <v/>
      </c>
      <c r="CU62" t="str">
        <f>""</f>
        <v/>
      </c>
      <c r="CV62" t="str">
        <f>""</f>
        <v/>
      </c>
      <c r="CW62" t="str">
        <f>""</f>
        <v/>
      </c>
      <c r="CX62" t="str">
        <f>""</f>
        <v/>
      </c>
      <c r="CY62" t="str">
        <f>""</f>
        <v/>
      </c>
      <c r="CZ62" t="str">
        <f>""</f>
        <v/>
      </c>
      <c r="DA62" t="str">
        <f>""</f>
        <v/>
      </c>
      <c r="DB62" t="str">
        <f>""</f>
        <v/>
      </c>
      <c r="DC62" t="str">
        <f>""</f>
        <v/>
      </c>
      <c r="DD62" t="str">
        <f>""</f>
        <v/>
      </c>
      <c r="DE62" t="str">
        <f>""</f>
        <v/>
      </c>
      <c r="DF62" t="str">
        <f>""</f>
        <v/>
      </c>
      <c r="DG62" t="str">
        <f>""</f>
        <v/>
      </c>
      <c r="DH62" t="str">
        <f>""</f>
        <v/>
      </c>
      <c r="DI62" t="str">
        <f>""</f>
        <v/>
      </c>
      <c r="DJ62" t="str">
        <f>""</f>
        <v/>
      </c>
      <c r="DK62" t="str">
        <f>""</f>
        <v/>
      </c>
      <c r="DL62" t="str">
        <f>""</f>
        <v/>
      </c>
      <c r="DM62" t="str">
        <f>""</f>
        <v/>
      </c>
      <c r="DN62" t="str">
        <f>""</f>
        <v/>
      </c>
      <c r="DO62" t="str">
        <f>""</f>
        <v/>
      </c>
      <c r="DP62" t="str">
        <f>""</f>
        <v/>
      </c>
      <c r="DQ62" t="str">
        <f>""</f>
        <v/>
      </c>
      <c r="DR62" t="str">
        <f>""</f>
        <v/>
      </c>
      <c r="DS62" t="str">
        <f>""</f>
        <v/>
      </c>
      <c r="DT62" t="str">
        <f>""</f>
        <v/>
      </c>
      <c r="DU62" t="str">
        <f>""</f>
        <v/>
      </c>
    </row>
    <row r="63" spans="1:125" x14ac:dyDescent="0.25">
      <c r="A63" t="str">
        <f>"    Guangzhou Automobile Group Co Ltd"</f>
        <v xml:space="preserve">    Guangzhou Automobile Group Co Ltd</v>
      </c>
      <c r="B63" t="str">
        <f>"2238 HK Equity"</f>
        <v>2238 HK Equity</v>
      </c>
      <c r="C63" t="str">
        <f t="shared" si="3"/>
        <v>EZ019</v>
      </c>
      <c r="D63" t="str">
        <f t="shared" si="4"/>
        <v>BEST_EEPS_CUR_YR</v>
      </c>
      <c r="E63" t="str">
        <f t="shared" si="5"/>
        <v>Dynamic</v>
      </c>
      <c r="F63">
        <f ca="1">IF(AND(ISNUMBER($F$571),$B$511=1),$F$571,HLOOKUP(INDIRECT(ADDRESS(2,COLUMN())),OFFSET($BN$2,0,0,ROW()-1,60),ROW()-1,FALSE))</f>
        <v>0.17699999999999999</v>
      </c>
      <c r="G63">
        <f ca="1">IF(AND(ISNUMBER($G$571),$B$511=1),$G$571,HLOOKUP(INDIRECT(ADDRESS(2,COLUMN())),OFFSET($BN$2,0,0,ROW()-1,60),ROW()-1,FALSE))</f>
        <v>0.17599999999999999</v>
      </c>
      <c r="H63">
        <f ca="1">IF(AND(ISNUMBER($H$571),$B$511=1),$H$571,HLOOKUP(INDIRECT(ADDRESS(2,COLUMN())),OFFSET($BN$2,0,0,ROW()-1,60),ROW()-1,FALSE))</f>
        <v>0.18099999999999999</v>
      </c>
      <c r="I63">
        <f ca="1">IF(AND(ISNUMBER($I$571),$B$511=1),$I$571,HLOOKUP(INDIRECT(ADDRESS(2,COLUMN())),OFFSET($BN$2,0,0,ROW()-1,60),ROW()-1,FALSE))</f>
        <v>0.20399999999999999</v>
      </c>
      <c r="J63">
        <f ca="1">IF(AND(ISNUMBER($J$571),$B$511=1),$J$571,HLOOKUP(INDIRECT(ADDRESS(2,COLUMN())),OFFSET($BN$2,0,0,ROW()-1,60),ROW()-1,FALSE))</f>
        <v>0.214</v>
      </c>
      <c r="K63">
        <f ca="1">IF(AND(ISNUMBER($K$571),$B$511=1),$K$571,HLOOKUP(INDIRECT(ADDRESS(2,COLUMN())),OFFSET($BN$2,0,0,ROW()-1,60),ROW()-1,FALSE))</f>
        <v>0.21</v>
      </c>
      <c r="L63">
        <f ca="1">IF(AND(ISNUMBER($L$571),$B$511=1),$L$571,HLOOKUP(INDIRECT(ADDRESS(2,COLUMN())),OFFSET($BN$2,0,0,ROW()-1,60),ROW()-1,FALSE))</f>
        <v>0.19400000000000001</v>
      </c>
      <c r="M63">
        <f ca="1">IF(AND(ISNUMBER($M$571),$B$511=1),$M$571,HLOOKUP(INDIRECT(ADDRESS(2,COLUMN())),OFFSET($BN$2,0,0,ROW()-1,60),ROW()-1,FALSE))</f>
        <v>0.16900000000000001</v>
      </c>
      <c r="N63">
        <f ca="1">IF(AND(ISNUMBER($N$571),$B$511=1),$N$571,HLOOKUP(INDIRECT(ADDRESS(2,COLUMN())),OFFSET($BN$2,0,0,ROW()-1,60),ROW()-1,FALSE))</f>
        <v>0.14799999999999999</v>
      </c>
      <c r="O63">
        <f ca="1">IF(AND(ISNUMBER($O$571),$B$511=1),$O$571,HLOOKUP(INDIRECT(ADDRESS(2,COLUMN())),OFFSET($BN$2,0,0,ROW()-1,60),ROW()-1,FALSE))</f>
        <v>0.13900000000000001</v>
      </c>
      <c r="P63">
        <f ca="1">IF(AND(ISNUMBER($P$571),$B$511=1),$P$571,HLOOKUP(INDIRECT(ADDRESS(2,COLUMN())),OFFSET($BN$2,0,0,ROW()-1,60),ROW()-1,FALSE))</f>
        <v>0.14499999999999999</v>
      </c>
      <c r="Q63">
        <f ca="1">IF(AND(ISNUMBER($Q$571),$B$511=1),$Q$571,HLOOKUP(INDIRECT(ADDRESS(2,COLUMN())),OFFSET($BN$2,0,0,ROW()-1,60),ROW()-1,FALSE))</f>
        <v>0.127</v>
      </c>
      <c r="R63">
        <f ca="1">IF(AND(ISNUMBER($R$571),$B$511=1),$R$571,HLOOKUP(INDIRECT(ADDRESS(2,COLUMN())),OFFSET($BN$2,0,0,ROW()-1,60),ROW()-1,FALSE))</f>
        <v>0.104</v>
      </c>
      <c r="S63">
        <f ca="1">IF(AND(ISNUMBER($S$571),$B$511=1),$S$571,HLOOKUP(INDIRECT(ADDRESS(2,COLUMN())),OFFSET($BN$2,0,0,ROW()-1,60),ROW()-1,FALSE))</f>
        <v>6.7000000000000004E-2</v>
      </c>
      <c r="T63">
        <f ca="1">IF(AND(ISNUMBER($T$571),$B$511=1),$T$571,HLOOKUP(INDIRECT(ADDRESS(2,COLUMN())),OFFSET($BN$2,0,0,ROW()-1,60),ROW()-1,FALSE))</f>
        <v>4.1000000000000002E-2</v>
      </c>
      <c r="U63">
        <f ca="1">IF(AND(ISNUMBER($U$571),$B$511=1),$U$571,HLOOKUP(INDIRECT(ADDRESS(2,COLUMN())),OFFSET($BN$2,0,0,ROW()-1,60),ROW()-1,FALSE))</f>
        <v>9.4E-2</v>
      </c>
      <c r="V63">
        <f ca="1">IF(AND(ISNUMBER($V$571),$B$511=1),$V$571,HLOOKUP(INDIRECT(ADDRESS(2,COLUMN())),OFFSET($BN$2,0,0,ROW()-1,60),ROW()-1,FALSE))</f>
        <v>0.109</v>
      </c>
      <c r="W63" t="str">
        <f ca="1">IF(AND(ISNUMBER($W$571),$B$511=1),$W$571,HLOOKUP(INDIRECT(ADDRESS(2,COLUMN())),OFFSET($BN$2,0,0,ROW()-1,60),ROW()-1,FALSE))</f>
        <v/>
      </c>
      <c r="X63" t="str">
        <f ca="1">IF(AND(ISNUMBER($X$571),$B$511=1),$X$571,HLOOKUP(INDIRECT(ADDRESS(2,COLUMN())),OFFSET($BN$2,0,0,ROW()-1,60),ROW()-1,FALSE))</f>
        <v/>
      </c>
      <c r="Y63" t="str">
        <f ca="1">IF(AND(ISNUMBER($Y$571),$B$511=1),$Y$571,HLOOKUP(INDIRECT(ADDRESS(2,COLUMN())),OFFSET($BN$2,0,0,ROW()-1,60),ROW()-1,FALSE))</f>
        <v/>
      </c>
      <c r="Z63" t="str">
        <f ca="1">IF(AND(ISNUMBER($Z$571),$B$511=1),$Z$571,HLOOKUP(INDIRECT(ADDRESS(2,COLUMN())),OFFSET($BN$2,0,0,ROW()-1,60),ROW()-1,FALSE))</f>
        <v/>
      </c>
      <c r="AA63" t="str">
        <f ca="1">IF(AND(ISNUMBER($AA$571),$B$511=1),$AA$571,HLOOKUP(INDIRECT(ADDRESS(2,COLUMN())),OFFSET($BN$2,0,0,ROW()-1,60),ROW()-1,FALSE))</f>
        <v/>
      </c>
      <c r="AB63" t="str">
        <f ca="1">IF(AND(ISNUMBER($AB$571),$B$511=1),$AB$571,HLOOKUP(INDIRECT(ADDRESS(2,COLUMN())),OFFSET($BN$2,0,0,ROW()-1,60),ROW()-1,FALSE))</f>
        <v/>
      </c>
      <c r="AC63" t="str">
        <f ca="1">IF(AND(ISNUMBER($AC$571),$B$511=1),$AC$571,HLOOKUP(INDIRECT(ADDRESS(2,COLUMN())),OFFSET($BN$2,0,0,ROW()-1,60),ROW()-1,FALSE))</f>
        <v/>
      </c>
      <c r="AD63" t="str">
        <f ca="1">IF(AND(ISNUMBER($AD$571),$B$511=1),$AD$571,HLOOKUP(INDIRECT(ADDRESS(2,COLUMN())),OFFSET($BN$2,0,0,ROW()-1,60),ROW()-1,FALSE))</f>
        <v/>
      </c>
      <c r="AE63" t="str">
        <f ca="1">IF(AND(ISNUMBER($AE$571),$B$511=1),$AE$571,HLOOKUP(INDIRECT(ADDRESS(2,COLUMN())),OFFSET($BN$2,0,0,ROW()-1,60),ROW()-1,FALSE))</f>
        <v/>
      </c>
      <c r="AF63" t="str">
        <f ca="1">IF(AND(ISNUMBER($AF$571),$B$511=1),$AF$571,HLOOKUP(INDIRECT(ADDRESS(2,COLUMN())),OFFSET($BN$2,0,0,ROW()-1,60),ROW()-1,FALSE))</f>
        <v/>
      </c>
      <c r="AG63" t="str">
        <f ca="1">IF(AND(ISNUMBER($AG$571),$B$511=1),$AG$571,HLOOKUP(INDIRECT(ADDRESS(2,COLUMN())),OFFSET($BN$2,0,0,ROW()-1,60),ROW()-1,FALSE))</f>
        <v/>
      </c>
      <c r="AH63" t="str">
        <f ca="1">IF(AND(ISNUMBER($AH$571),$B$511=1),$AH$571,HLOOKUP(INDIRECT(ADDRESS(2,COLUMN())),OFFSET($BN$2,0,0,ROW()-1,60),ROW()-1,FALSE))</f>
        <v/>
      </c>
      <c r="AI63" t="str">
        <f ca="1">IF(AND(ISNUMBER($AI$571),$B$511=1),$AI$571,HLOOKUP(INDIRECT(ADDRESS(2,COLUMN())),OFFSET($BN$2,0,0,ROW()-1,60),ROW()-1,FALSE))</f>
        <v/>
      </c>
      <c r="AJ63" t="str">
        <f ca="1">IF(AND(ISNUMBER($AJ$571),$B$511=1),$AJ$571,HLOOKUP(INDIRECT(ADDRESS(2,COLUMN())),OFFSET($BN$2,0,0,ROW()-1,60),ROW()-1,FALSE))</f>
        <v/>
      </c>
      <c r="AK63" t="str">
        <f ca="1">IF(AND(ISNUMBER($AK$571),$B$511=1),$AK$571,HLOOKUP(INDIRECT(ADDRESS(2,COLUMN())),OFFSET($BN$2,0,0,ROW()-1,60),ROW()-1,FALSE))</f>
        <v/>
      </c>
      <c r="AL63" t="str">
        <f ca="1">IF(AND(ISNUMBER($AL$571),$B$511=1),$AL$571,HLOOKUP(INDIRECT(ADDRESS(2,COLUMN())),OFFSET($BN$2,0,0,ROW()-1,60),ROW()-1,FALSE))</f>
        <v/>
      </c>
      <c r="AM63" t="str">
        <f ca="1">IF(AND(ISNUMBER($AM$571),$B$511=1),$AM$571,HLOOKUP(INDIRECT(ADDRESS(2,COLUMN())),OFFSET($BN$2,0,0,ROW()-1,60),ROW()-1,FALSE))</f>
        <v/>
      </c>
      <c r="AN63" t="str">
        <f ca="1">IF(AND(ISNUMBER($AN$571),$B$511=1),$AN$571,HLOOKUP(INDIRECT(ADDRESS(2,COLUMN())),OFFSET($BN$2,0,0,ROW()-1,60),ROW()-1,FALSE))</f>
        <v/>
      </c>
      <c r="AO63" t="str">
        <f ca="1">IF(AND(ISNUMBER($AO$571),$B$511=1),$AO$571,HLOOKUP(INDIRECT(ADDRESS(2,COLUMN())),OFFSET($BN$2,0,0,ROW()-1,60),ROW()-1,FALSE))</f>
        <v/>
      </c>
      <c r="AP63" t="str">
        <f ca="1">IF(AND(ISNUMBER($AP$571),$B$511=1),$AP$571,HLOOKUP(INDIRECT(ADDRESS(2,COLUMN())),OFFSET($BN$2,0,0,ROW()-1,60),ROW()-1,FALSE))</f>
        <v/>
      </c>
      <c r="AQ63" t="str">
        <f ca="1">IF(AND(ISNUMBER($AQ$571),$B$511=1),$AQ$571,HLOOKUP(INDIRECT(ADDRESS(2,COLUMN())),OFFSET($BN$2,0,0,ROW()-1,60),ROW()-1,FALSE))</f>
        <v/>
      </c>
      <c r="AR63" t="str">
        <f ca="1">IF(AND(ISNUMBER($AR$571),$B$511=1),$AR$571,HLOOKUP(INDIRECT(ADDRESS(2,COLUMN())),OFFSET($BN$2,0,0,ROW()-1,60),ROW()-1,FALSE))</f>
        <v/>
      </c>
      <c r="AS63" t="str">
        <f ca="1">IF(AND(ISNUMBER($AS$571),$B$511=1),$AS$571,HLOOKUP(INDIRECT(ADDRESS(2,COLUMN())),OFFSET($BN$2,0,0,ROW()-1,60),ROW()-1,FALSE))</f>
        <v/>
      </c>
      <c r="AT63" t="str">
        <f ca="1">IF(AND(ISNUMBER($AT$571),$B$511=1),$AT$571,HLOOKUP(INDIRECT(ADDRESS(2,COLUMN())),OFFSET($BN$2,0,0,ROW()-1,60),ROW()-1,FALSE))</f>
        <v/>
      </c>
      <c r="AU63" t="str">
        <f ca="1">IF(AND(ISNUMBER($AU$571),$B$511=1),$AU$571,HLOOKUP(INDIRECT(ADDRESS(2,COLUMN())),OFFSET($BN$2,0,0,ROW()-1,60),ROW()-1,FALSE))</f>
        <v/>
      </c>
      <c r="AV63" t="str">
        <f ca="1">IF(AND(ISNUMBER($AV$571),$B$511=1),$AV$571,HLOOKUP(INDIRECT(ADDRESS(2,COLUMN())),OFFSET($BN$2,0,0,ROW()-1,60),ROW()-1,FALSE))</f>
        <v/>
      </c>
      <c r="AW63" t="str">
        <f ca="1">IF(AND(ISNUMBER($AW$571),$B$511=1),$AW$571,HLOOKUP(INDIRECT(ADDRESS(2,COLUMN())),OFFSET($BN$2,0,0,ROW()-1,60),ROW()-1,FALSE))</f>
        <v/>
      </c>
      <c r="AX63" t="str">
        <f ca="1">IF(AND(ISNUMBER($AX$571),$B$511=1),$AX$571,HLOOKUP(INDIRECT(ADDRESS(2,COLUMN())),OFFSET($BN$2,0,0,ROW()-1,60),ROW()-1,FALSE))</f>
        <v/>
      </c>
      <c r="AY63" t="str">
        <f ca="1">IF(AND(ISNUMBER($AY$571),$B$511=1),$AY$571,HLOOKUP(INDIRECT(ADDRESS(2,COLUMN())),OFFSET($BN$2,0,0,ROW()-1,60),ROW()-1,FALSE))</f>
        <v/>
      </c>
      <c r="AZ63" t="str">
        <f ca="1">IF(AND(ISNUMBER($AZ$571),$B$511=1),$AZ$571,HLOOKUP(INDIRECT(ADDRESS(2,COLUMN())),OFFSET($BN$2,0,0,ROW()-1,60),ROW()-1,FALSE))</f>
        <v/>
      </c>
      <c r="BA63" t="str">
        <f ca="1">IF(AND(ISNUMBER($BA$571),$B$511=1),$BA$571,HLOOKUP(INDIRECT(ADDRESS(2,COLUMN())),OFFSET($BN$2,0,0,ROW()-1,60),ROW()-1,FALSE))</f>
        <v/>
      </c>
      <c r="BB63" t="str">
        <f ca="1">IF(AND(ISNUMBER($BB$571),$B$511=1),$BB$571,HLOOKUP(INDIRECT(ADDRESS(2,COLUMN())),OFFSET($BN$2,0,0,ROW()-1,60),ROW()-1,FALSE))</f>
        <v/>
      </c>
      <c r="BC63" t="str">
        <f ca="1">IF(AND(ISNUMBER($BC$571),$B$511=1),$BC$571,HLOOKUP(INDIRECT(ADDRESS(2,COLUMN())),OFFSET($BN$2,0,0,ROW()-1,60),ROW()-1,FALSE))</f>
        <v/>
      </c>
      <c r="BD63" t="str">
        <f ca="1">IF(AND(ISNUMBER($BD$571),$B$511=1),$BD$571,HLOOKUP(INDIRECT(ADDRESS(2,COLUMN())),OFFSET($BN$2,0,0,ROW()-1,60),ROW()-1,FALSE))</f>
        <v/>
      </c>
      <c r="BE63" t="str">
        <f ca="1">IF(AND(ISNUMBER($BE$571),$B$511=1),$BE$571,HLOOKUP(INDIRECT(ADDRESS(2,COLUMN())),OFFSET($BN$2,0,0,ROW()-1,60),ROW()-1,FALSE))</f>
        <v/>
      </c>
      <c r="BF63" t="str">
        <f ca="1">IF(AND(ISNUMBER($BF$571),$B$511=1),$BF$571,HLOOKUP(INDIRECT(ADDRESS(2,COLUMN())),OFFSET($BN$2,0,0,ROW()-1,60),ROW()-1,FALSE))</f>
        <v/>
      </c>
      <c r="BG63" t="str">
        <f ca="1">IF(AND(ISNUMBER($BG$571),$B$511=1),$BG$571,HLOOKUP(INDIRECT(ADDRESS(2,COLUMN())),OFFSET($BN$2,0,0,ROW()-1,60),ROW()-1,FALSE))</f>
        <v/>
      </c>
      <c r="BH63" t="str">
        <f ca="1">IF(AND(ISNUMBER($BH$571),$B$511=1),$BH$571,HLOOKUP(INDIRECT(ADDRESS(2,COLUMN())),OFFSET($BN$2,0,0,ROW()-1,60),ROW()-1,FALSE))</f>
        <v/>
      </c>
      <c r="BI63" t="str">
        <f ca="1">IF(AND(ISNUMBER($BI$571),$B$511=1),$BI$571,HLOOKUP(INDIRECT(ADDRESS(2,COLUMN())),OFFSET($BN$2,0,0,ROW()-1,60),ROW()-1,FALSE))</f>
        <v/>
      </c>
      <c r="BJ63" t="str">
        <f ca="1">IF(AND(ISNUMBER($BJ$571),$B$511=1),$BJ$571,HLOOKUP(INDIRECT(ADDRESS(2,COLUMN())),OFFSET($BN$2,0,0,ROW()-1,60),ROW()-1,FALSE))</f>
        <v/>
      </c>
      <c r="BK63" t="str">
        <f ca="1">IF(AND(ISNUMBER($BK$571),$B$511=1),$BK$571,HLOOKUP(INDIRECT(ADDRESS(2,COLUMN())),OFFSET($BN$2,0,0,ROW()-1,60),ROW()-1,FALSE))</f>
        <v/>
      </c>
      <c r="BL63" t="str">
        <f ca="1">IF(AND(ISNUMBER($BL$571),$B$511=1),$BL$571,HLOOKUP(INDIRECT(ADDRESS(2,COLUMN())),OFFSET($BN$2,0,0,ROW()-1,60),ROW()-1,FALSE))</f>
        <v/>
      </c>
      <c r="BM63" t="str">
        <f ca="1">IF(AND(ISNUMBER($BM$571),$B$511=1),$BM$571,HLOOKUP(INDIRECT(ADDRESS(2,COLUMN())),OFFSET($BN$2,0,0,ROW()-1,60),ROW()-1,FALSE))</f>
        <v/>
      </c>
      <c r="BN63">
        <f>0.177</f>
        <v>0.17699999999999999</v>
      </c>
      <c r="BO63">
        <f>0.176</f>
        <v>0.17599999999999999</v>
      </c>
      <c r="BP63">
        <f>0.181</f>
        <v>0.18099999999999999</v>
      </c>
      <c r="BQ63">
        <f>0.204</f>
        <v>0.20399999999999999</v>
      </c>
      <c r="BR63">
        <f>0.214</f>
        <v>0.214</v>
      </c>
      <c r="BS63">
        <f>0.21</f>
        <v>0.21</v>
      </c>
      <c r="BT63">
        <f>0.194</f>
        <v>0.19400000000000001</v>
      </c>
      <c r="BU63">
        <f>0.169</f>
        <v>0.16900000000000001</v>
      </c>
      <c r="BV63">
        <f>0.148</f>
        <v>0.14799999999999999</v>
      </c>
      <c r="BW63">
        <f>0.139</f>
        <v>0.13900000000000001</v>
      </c>
      <c r="BX63">
        <f>0.145</f>
        <v>0.14499999999999999</v>
      </c>
      <c r="BY63">
        <f>0.127</f>
        <v>0.127</v>
      </c>
      <c r="BZ63">
        <f>0.104</f>
        <v>0.104</v>
      </c>
      <c r="CA63">
        <f>0.067</f>
        <v>6.7000000000000004E-2</v>
      </c>
      <c r="CB63">
        <f>0.041</f>
        <v>4.1000000000000002E-2</v>
      </c>
      <c r="CC63">
        <f>0.094</f>
        <v>9.4E-2</v>
      </c>
      <c r="CD63">
        <f>0.109</f>
        <v>0.109</v>
      </c>
      <c r="CE63" t="str">
        <f>""</f>
        <v/>
      </c>
      <c r="CF63" t="str">
        <f>""</f>
        <v/>
      </c>
      <c r="CG63" t="str">
        <f>""</f>
        <v/>
      </c>
      <c r="CH63" t="str">
        <f>""</f>
        <v/>
      </c>
      <c r="CI63" t="str">
        <f>""</f>
        <v/>
      </c>
      <c r="CJ63" t="str">
        <f>""</f>
        <v/>
      </c>
      <c r="CK63" t="str">
        <f>""</f>
        <v/>
      </c>
      <c r="CL63" t="str">
        <f>""</f>
        <v/>
      </c>
      <c r="CM63" t="str">
        <f>""</f>
        <v/>
      </c>
      <c r="CN63" t="str">
        <f>""</f>
        <v/>
      </c>
      <c r="CO63" t="str">
        <f>""</f>
        <v/>
      </c>
      <c r="CP63" t="str">
        <f>""</f>
        <v/>
      </c>
      <c r="CQ63" t="str">
        <f>""</f>
        <v/>
      </c>
      <c r="CR63" t="str">
        <f>""</f>
        <v/>
      </c>
      <c r="CS63" t="str">
        <f>""</f>
        <v/>
      </c>
      <c r="CT63" t="str">
        <f>""</f>
        <v/>
      </c>
      <c r="CU63" t="str">
        <f>""</f>
        <v/>
      </c>
      <c r="CV63" t="str">
        <f>""</f>
        <v/>
      </c>
      <c r="CW63" t="str">
        <f>""</f>
        <v/>
      </c>
      <c r="CX63" t="str">
        <f>""</f>
        <v/>
      </c>
      <c r="CY63" t="str">
        <f>""</f>
        <v/>
      </c>
      <c r="CZ63" t="str">
        <f>""</f>
        <v/>
      </c>
      <c r="DA63" t="str">
        <f>""</f>
        <v/>
      </c>
      <c r="DB63" t="str">
        <f>""</f>
        <v/>
      </c>
      <c r="DC63" t="str">
        <f>""</f>
        <v/>
      </c>
      <c r="DD63" t="str">
        <f>""</f>
        <v/>
      </c>
      <c r="DE63" t="str">
        <f>""</f>
        <v/>
      </c>
      <c r="DF63" t="str">
        <f>""</f>
        <v/>
      </c>
      <c r="DG63" t="str">
        <f>""</f>
        <v/>
      </c>
      <c r="DH63" t="str">
        <f>""</f>
        <v/>
      </c>
      <c r="DI63" t="str">
        <f>""</f>
        <v/>
      </c>
      <c r="DJ63" t="str">
        <f>""</f>
        <v/>
      </c>
      <c r="DK63" t="str">
        <f>""</f>
        <v/>
      </c>
      <c r="DL63" t="str">
        <f>""</f>
        <v/>
      </c>
      <c r="DM63" t="str">
        <f>""</f>
        <v/>
      </c>
      <c r="DN63" t="str">
        <f>""</f>
        <v/>
      </c>
      <c r="DO63" t="str">
        <f>""</f>
        <v/>
      </c>
      <c r="DP63" t="str">
        <f>""</f>
        <v/>
      </c>
      <c r="DQ63" t="str">
        <f>""</f>
        <v/>
      </c>
      <c r="DR63" t="str">
        <f>""</f>
        <v/>
      </c>
      <c r="DS63" t="str">
        <f>""</f>
        <v/>
      </c>
      <c r="DT63" t="str">
        <f>""</f>
        <v/>
      </c>
      <c r="DU63" t="str">
        <f>""</f>
        <v/>
      </c>
    </row>
    <row r="64" spans="1:125" x14ac:dyDescent="0.25">
      <c r="A64" t="str">
        <f>"    Honda Motor Co Ltd"</f>
        <v xml:space="preserve">    Honda Motor Co Ltd</v>
      </c>
      <c r="B64" t="str">
        <f>"7267 JP Equity"</f>
        <v>7267 JP Equity</v>
      </c>
      <c r="C64" t="str">
        <f t="shared" si="3"/>
        <v>EZ019</v>
      </c>
      <c r="D64" t="str">
        <f t="shared" si="4"/>
        <v>BEST_EEPS_CUR_YR</v>
      </c>
      <c r="E64" t="str">
        <f t="shared" si="5"/>
        <v>Dynamic</v>
      </c>
      <c r="F64">
        <f ca="1">IF(AND(ISNUMBER($F$572),$B$511=1),$F$572,HLOOKUP(INDIRECT(ADDRESS(2,COLUMN())),OFFSET($BN$2,0,0,ROW()-1,60),ROW()-1,FALSE))</f>
        <v>3.7330000000000001</v>
      </c>
      <c r="G64">
        <f ca="1">IF(AND(ISNUMBER($G$572),$B$511=1),$G$572,HLOOKUP(INDIRECT(ADDRESS(2,COLUMN())),OFFSET($BN$2,0,0,ROW()-1,60),ROW()-1,FALSE))</f>
        <v>3.6309999999999998</v>
      </c>
      <c r="H64">
        <f ca="1">IF(AND(ISNUMBER($H$572),$B$511=1),$H$572,HLOOKUP(INDIRECT(ADDRESS(2,COLUMN())),OFFSET($BN$2,0,0,ROW()-1,60),ROW()-1,FALSE))</f>
        <v>3.552</v>
      </c>
      <c r="I64">
        <f ca="1">IF(AND(ISNUMBER($I$572),$B$511=1),$I$572,HLOOKUP(INDIRECT(ADDRESS(2,COLUMN())),OFFSET($BN$2,0,0,ROW()-1,60),ROW()-1,FALSE))</f>
        <v>3.657</v>
      </c>
      <c r="J64">
        <f ca="1">IF(AND(ISNUMBER($J$572),$B$511=1),$J$572,HLOOKUP(INDIRECT(ADDRESS(2,COLUMN())),OFFSET($BN$2,0,0,ROW()-1,60),ROW()-1,FALSE))</f>
        <v>4.0019999999999998</v>
      </c>
      <c r="K64">
        <f ca="1">IF(AND(ISNUMBER($K$572),$B$511=1),$K$572,HLOOKUP(INDIRECT(ADDRESS(2,COLUMN())),OFFSET($BN$2,0,0,ROW()-1,60),ROW()-1,FALSE))</f>
        <v>3.5819999999999999</v>
      </c>
      <c r="L64">
        <f ca="1">IF(AND(ISNUMBER($L$572),$B$511=1),$L$572,HLOOKUP(INDIRECT(ADDRESS(2,COLUMN())),OFFSET($BN$2,0,0,ROW()-1,60),ROW()-1,FALSE))</f>
        <v>3.355</v>
      </c>
      <c r="M64">
        <f ca="1">IF(AND(ISNUMBER($M$572),$B$511=1),$M$572,HLOOKUP(INDIRECT(ADDRESS(2,COLUMN())),OFFSET($BN$2,0,0,ROW()-1,60),ROW()-1,FALSE))</f>
        <v>3.339</v>
      </c>
      <c r="N64">
        <f ca="1">IF(AND(ISNUMBER($N$572),$B$511=1),$N$572,HLOOKUP(INDIRECT(ADDRESS(2,COLUMN())),OFFSET($BN$2,0,0,ROW()-1,60),ROW()-1,FALSE))</f>
        <v>3.33</v>
      </c>
      <c r="O64">
        <f ca="1">IF(AND(ISNUMBER($O$572),$B$511=1),$O$572,HLOOKUP(INDIRECT(ADDRESS(2,COLUMN())),OFFSET($BN$2,0,0,ROW()-1,60),ROW()-1,FALSE))</f>
        <v>2.9790000000000001</v>
      </c>
      <c r="P64">
        <f ca="1">IF(AND(ISNUMBER($P$572),$B$511=1),$P$572,HLOOKUP(INDIRECT(ADDRESS(2,COLUMN())),OFFSET($BN$2,0,0,ROW()-1,60),ROW()-1,FALSE))</f>
        <v>3.2949999999999999</v>
      </c>
      <c r="Q64">
        <f ca="1">IF(AND(ISNUMBER($Q$572),$B$511=1),$Q$572,HLOOKUP(INDIRECT(ADDRESS(2,COLUMN())),OFFSET($BN$2,0,0,ROW()-1,60),ROW()-1,FALSE))</f>
        <v>3.4340000000000002</v>
      </c>
      <c r="R64">
        <f ca="1">IF(AND(ISNUMBER($R$572),$B$511=1),$R$572,HLOOKUP(INDIRECT(ADDRESS(2,COLUMN())),OFFSET($BN$2,0,0,ROW()-1,60),ROW()-1,FALSE))</f>
        <v>3.952</v>
      </c>
      <c r="S64">
        <f ca="1">IF(AND(ISNUMBER($S$572),$B$511=1),$S$572,HLOOKUP(INDIRECT(ADDRESS(2,COLUMN())),OFFSET($BN$2,0,0,ROW()-1,60),ROW()-1,FALSE))</f>
        <v>4.2629999999999999</v>
      </c>
      <c r="T64">
        <f ca="1">IF(AND(ISNUMBER($T$572),$B$511=1),$T$572,HLOOKUP(INDIRECT(ADDRESS(2,COLUMN())),OFFSET($BN$2,0,0,ROW()-1,60),ROW()-1,FALSE))</f>
        <v>3.63</v>
      </c>
      <c r="U64">
        <f ca="1">IF(AND(ISNUMBER($U$572),$B$511=1),$U$572,HLOOKUP(INDIRECT(ADDRESS(2,COLUMN())),OFFSET($BN$2,0,0,ROW()-1,60),ROW()-1,FALSE))</f>
        <v>3.97</v>
      </c>
      <c r="V64">
        <f ca="1">IF(AND(ISNUMBER($V$572),$B$511=1),$V$572,HLOOKUP(INDIRECT(ADDRESS(2,COLUMN())),OFFSET($BN$2,0,0,ROW()-1,60),ROW()-1,FALSE))</f>
        <v>4.0090000000000003</v>
      </c>
      <c r="W64">
        <f ca="1">IF(AND(ISNUMBER($W$572),$B$511=1),$W$572,HLOOKUP(INDIRECT(ADDRESS(2,COLUMN())),OFFSET($BN$2,0,0,ROW()-1,60),ROW()-1,FALSE))</f>
        <v>4.1959999999999997</v>
      </c>
      <c r="X64">
        <f ca="1">IF(AND(ISNUMBER($X$572),$B$511=1),$X$572,HLOOKUP(INDIRECT(ADDRESS(2,COLUMN())),OFFSET($BN$2,0,0,ROW()-1,60),ROW()-1,FALSE))</f>
        <v>4.76</v>
      </c>
      <c r="Y64">
        <f ca="1">IF(AND(ISNUMBER($Y$572),$B$511=1),$Y$572,HLOOKUP(INDIRECT(ADDRESS(2,COLUMN())),OFFSET($BN$2,0,0,ROW()-1,60),ROW()-1,FALSE))</f>
        <v>4.8760000000000003</v>
      </c>
      <c r="Z64" t="str">
        <f ca="1">IF(AND(ISNUMBER($Z$572),$B$511=1),$Z$572,HLOOKUP(INDIRECT(ADDRESS(2,COLUMN())),OFFSET($BN$2,0,0,ROW()-1,60),ROW()-1,FALSE))</f>
        <v/>
      </c>
      <c r="AA64" t="str">
        <f ca="1">IF(AND(ISNUMBER($AA$572),$B$511=1),$AA$572,HLOOKUP(INDIRECT(ADDRESS(2,COLUMN())),OFFSET($BN$2,0,0,ROW()-1,60),ROW()-1,FALSE))</f>
        <v/>
      </c>
      <c r="AB64" t="str">
        <f ca="1">IF(AND(ISNUMBER($AB$572),$B$511=1),$AB$572,HLOOKUP(INDIRECT(ADDRESS(2,COLUMN())),OFFSET($BN$2,0,0,ROW()-1,60),ROW()-1,FALSE))</f>
        <v/>
      </c>
      <c r="AC64" t="str">
        <f ca="1">IF(AND(ISNUMBER($AC$572),$B$511=1),$AC$572,HLOOKUP(INDIRECT(ADDRESS(2,COLUMN())),OFFSET($BN$2,0,0,ROW()-1,60),ROW()-1,FALSE))</f>
        <v/>
      </c>
      <c r="AD64" t="str">
        <f ca="1">IF(AND(ISNUMBER($AD$572),$B$511=1),$AD$572,HLOOKUP(INDIRECT(ADDRESS(2,COLUMN())),OFFSET($BN$2,0,0,ROW()-1,60),ROW()-1,FALSE))</f>
        <v/>
      </c>
      <c r="AE64" t="str">
        <f ca="1">IF(AND(ISNUMBER($AE$572),$B$511=1),$AE$572,HLOOKUP(INDIRECT(ADDRESS(2,COLUMN())),OFFSET($BN$2,0,0,ROW()-1,60),ROW()-1,FALSE))</f>
        <v/>
      </c>
      <c r="AF64" t="str">
        <f ca="1">IF(AND(ISNUMBER($AF$572),$B$511=1),$AF$572,HLOOKUP(INDIRECT(ADDRESS(2,COLUMN())),OFFSET($BN$2,0,0,ROW()-1,60),ROW()-1,FALSE))</f>
        <v/>
      </c>
      <c r="AG64" t="str">
        <f ca="1">IF(AND(ISNUMBER($AG$572),$B$511=1),$AG$572,HLOOKUP(INDIRECT(ADDRESS(2,COLUMN())),OFFSET($BN$2,0,0,ROW()-1,60),ROW()-1,FALSE))</f>
        <v/>
      </c>
      <c r="AH64" t="str">
        <f ca="1">IF(AND(ISNUMBER($AH$572),$B$511=1),$AH$572,HLOOKUP(INDIRECT(ADDRESS(2,COLUMN())),OFFSET($BN$2,0,0,ROW()-1,60),ROW()-1,FALSE))</f>
        <v/>
      </c>
      <c r="AI64" t="str">
        <f ca="1">IF(AND(ISNUMBER($AI$572),$B$511=1),$AI$572,HLOOKUP(INDIRECT(ADDRESS(2,COLUMN())),OFFSET($BN$2,0,0,ROW()-1,60),ROW()-1,FALSE))</f>
        <v/>
      </c>
      <c r="AJ64" t="str">
        <f ca="1">IF(AND(ISNUMBER($AJ$572),$B$511=1),$AJ$572,HLOOKUP(INDIRECT(ADDRESS(2,COLUMN())),OFFSET($BN$2,0,0,ROW()-1,60),ROW()-1,FALSE))</f>
        <v/>
      </c>
      <c r="AK64" t="str">
        <f ca="1">IF(AND(ISNUMBER($AK$572),$B$511=1),$AK$572,HLOOKUP(INDIRECT(ADDRESS(2,COLUMN())),OFFSET($BN$2,0,0,ROW()-1,60),ROW()-1,FALSE))</f>
        <v/>
      </c>
      <c r="AL64" t="str">
        <f ca="1">IF(AND(ISNUMBER($AL$572),$B$511=1),$AL$572,HLOOKUP(INDIRECT(ADDRESS(2,COLUMN())),OFFSET($BN$2,0,0,ROW()-1,60),ROW()-1,FALSE))</f>
        <v/>
      </c>
      <c r="AM64" t="str">
        <f ca="1">IF(AND(ISNUMBER($AM$572),$B$511=1),$AM$572,HLOOKUP(INDIRECT(ADDRESS(2,COLUMN())),OFFSET($BN$2,0,0,ROW()-1,60),ROW()-1,FALSE))</f>
        <v/>
      </c>
      <c r="AN64" t="str">
        <f ca="1">IF(AND(ISNUMBER($AN$572),$B$511=1),$AN$572,HLOOKUP(INDIRECT(ADDRESS(2,COLUMN())),OFFSET($BN$2,0,0,ROW()-1,60),ROW()-1,FALSE))</f>
        <v/>
      </c>
      <c r="AO64" t="str">
        <f ca="1">IF(AND(ISNUMBER($AO$572),$B$511=1),$AO$572,HLOOKUP(INDIRECT(ADDRESS(2,COLUMN())),OFFSET($BN$2,0,0,ROW()-1,60),ROW()-1,FALSE))</f>
        <v/>
      </c>
      <c r="AP64" t="str">
        <f ca="1">IF(AND(ISNUMBER($AP$572),$B$511=1),$AP$572,HLOOKUP(INDIRECT(ADDRESS(2,COLUMN())),OFFSET($BN$2,0,0,ROW()-1,60),ROW()-1,FALSE))</f>
        <v/>
      </c>
      <c r="AQ64" t="str">
        <f ca="1">IF(AND(ISNUMBER($AQ$572),$B$511=1),$AQ$572,HLOOKUP(INDIRECT(ADDRESS(2,COLUMN())),OFFSET($BN$2,0,0,ROW()-1,60),ROW()-1,FALSE))</f>
        <v/>
      </c>
      <c r="AR64" t="str">
        <f ca="1">IF(AND(ISNUMBER($AR$572),$B$511=1),$AR$572,HLOOKUP(INDIRECT(ADDRESS(2,COLUMN())),OFFSET($BN$2,0,0,ROW()-1,60),ROW()-1,FALSE))</f>
        <v/>
      </c>
      <c r="AS64" t="str">
        <f ca="1">IF(AND(ISNUMBER($AS$572),$B$511=1),$AS$572,HLOOKUP(INDIRECT(ADDRESS(2,COLUMN())),OFFSET($BN$2,0,0,ROW()-1,60),ROW()-1,FALSE))</f>
        <v/>
      </c>
      <c r="AT64" t="str">
        <f ca="1">IF(AND(ISNUMBER($AT$572),$B$511=1),$AT$572,HLOOKUP(INDIRECT(ADDRESS(2,COLUMN())),OFFSET($BN$2,0,0,ROW()-1,60),ROW()-1,FALSE))</f>
        <v/>
      </c>
      <c r="AU64" t="str">
        <f ca="1">IF(AND(ISNUMBER($AU$572),$B$511=1),$AU$572,HLOOKUP(INDIRECT(ADDRESS(2,COLUMN())),OFFSET($BN$2,0,0,ROW()-1,60),ROW()-1,FALSE))</f>
        <v/>
      </c>
      <c r="AV64" t="str">
        <f ca="1">IF(AND(ISNUMBER($AV$572),$B$511=1),$AV$572,HLOOKUP(INDIRECT(ADDRESS(2,COLUMN())),OFFSET($BN$2,0,0,ROW()-1,60),ROW()-1,FALSE))</f>
        <v/>
      </c>
      <c r="AW64" t="str">
        <f ca="1">IF(AND(ISNUMBER($AW$572),$B$511=1),$AW$572,HLOOKUP(INDIRECT(ADDRESS(2,COLUMN())),OFFSET($BN$2,0,0,ROW()-1,60),ROW()-1,FALSE))</f>
        <v/>
      </c>
      <c r="AX64" t="str">
        <f ca="1">IF(AND(ISNUMBER($AX$572),$B$511=1),$AX$572,HLOOKUP(INDIRECT(ADDRESS(2,COLUMN())),OFFSET($BN$2,0,0,ROW()-1,60),ROW()-1,FALSE))</f>
        <v/>
      </c>
      <c r="AY64" t="str">
        <f ca="1">IF(AND(ISNUMBER($AY$572),$B$511=1),$AY$572,HLOOKUP(INDIRECT(ADDRESS(2,COLUMN())),OFFSET($BN$2,0,0,ROW()-1,60),ROW()-1,FALSE))</f>
        <v/>
      </c>
      <c r="AZ64" t="str">
        <f ca="1">IF(AND(ISNUMBER($AZ$572),$B$511=1),$AZ$572,HLOOKUP(INDIRECT(ADDRESS(2,COLUMN())),OFFSET($BN$2,0,0,ROW()-1,60),ROW()-1,FALSE))</f>
        <v/>
      </c>
      <c r="BA64" t="str">
        <f ca="1">IF(AND(ISNUMBER($BA$572),$B$511=1),$BA$572,HLOOKUP(INDIRECT(ADDRESS(2,COLUMN())),OFFSET($BN$2,0,0,ROW()-1,60),ROW()-1,FALSE))</f>
        <v/>
      </c>
      <c r="BB64" t="str">
        <f ca="1">IF(AND(ISNUMBER($BB$572),$B$511=1),$BB$572,HLOOKUP(INDIRECT(ADDRESS(2,COLUMN())),OFFSET($BN$2,0,0,ROW()-1,60),ROW()-1,FALSE))</f>
        <v/>
      </c>
      <c r="BC64" t="str">
        <f ca="1">IF(AND(ISNUMBER($BC$572),$B$511=1),$BC$572,HLOOKUP(INDIRECT(ADDRESS(2,COLUMN())),OFFSET($BN$2,0,0,ROW()-1,60),ROW()-1,FALSE))</f>
        <v/>
      </c>
      <c r="BD64" t="str">
        <f ca="1">IF(AND(ISNUMBER($BD$572),$B$511=1),$BD$572,HLOOKUP(INDIRECT(ADDRESS(2,COLUMN())),OFFSET($BN$2,0,0,ROW()-1,60),ROW()-1,FALSE))</f>
        <v/>
      </c>
      <c r="BE64" t="str">
        <f ca="1">IF(AND(ISNUMBER($BE$572),$B$511=1),$BE$572,HLOOKUP(INDIRECT(ADDRESS(2,COLUMN())),OFFSET($BN$2,0,0,ROW()-1,60),ROW()-1,FALSE))</f>
        <v/>
      </c>
      <c r="BF64" t="str">
        <f ca="1">IF(AND(ISNUMBER($BF$572),$B$511=1),$BF$572,HLOOKUP(INDIRECT(ADDRESS(2,COLUMN())),OFFSET($BN$2,0,0,ROW()-1,60),ROW()-1,FALSE))</f>
        <v/>
      </c>
      <c r="BG64" t="str">
        <f ca="1">IF(AND(ISNUMBER($BG$572),$B$511=1),$BG$572,HLOOKUP(INDIRECT(ADDRESS(2,COLUMN())),OFFSET($BN$2,0,0,ROW()-1,60),ROW()-1,FALSE))</f>
        <v/>
      </c>
      <c r="BH64" t="str">
        <f ca="1">IF(AND(ISNUMBER($BH$572),$B$511=1),$BH$572,HLOOKUP(INDIRECT(ADDRESS(2,COLUMN())),OFFSET($BN$2,0,0,ROW()-1,60),ROW()-1,FALSE))</f>
        <v/>
      </c>
      <c r="BI64" t="str">
        <f ca="1">IF(AND(ISNUMBER($BI$572),$B$511=1),$BI$572,HLOOKUP(INDIRECT(ADDRESS(2,COLUMN())),OFFSET($BN$2,0,0,ROW()-1,60),ROW()-1,FALSE))</f>
        <v/>
      </c>
      <c r="BJ64" t="str">
        <f ca="1">IF(AND(ISNUMBER($BJ$572),$B$511=1),$BJ$572,HLOOKUP(INDIRECT(ADDRESS(2,COLUMN())),OFFSET($BN$2,0,0,ROW()-1,60),ROW()-1,FALSE))</f>
        <v/>
      </c>
      <c r="BK64" t="str">
        <f ca="1">IF(AND(ISNUMBER($BK$572),$B$511=1),$BK$572,HLOOKUP(INDIRECT(ADDRESS(2,COLUMN())),OFFSET($BN$2,0,0,ROW()-1,60),ROW()-1,FALSE))</f>
        <v/>
      </c>
      <c r="BL64" t="str">
        <f ca="1">IF(AND(ISNUMBER($BL$572),$B$511=1),$BL$572,HLOOKUP(INDIRECT(ADDRESS(2,COLUMN())),OFFSET($BN$2,0,0,ROW()-1,60),ROW()-1,FALSE))</f>
        <v/>
      </c>
      <c r="BM64" t="str">
        <f ca="1">IF(AND(ISNUMBER($BM$572),$B$511=1),$BM$572,HLOOKUP(INDIRECT(ADDRESS(2,COLUMN())),OFFSET($BN$2,0,0,ROW()-1,60),ROW()-1,FALSE))</f>
        <v/>
      </c>
      <c r="BN64">
        <f>3.733</f>
        <v>3.7330000000000001</v>
      </c>
      <c r="BO64">
        <f>3.631</f>
        <v>3.6309999999999998</v>
      </c>
      <c r="BP64">
        <f>3.552</f>
        <v>3.552</v>
      </c>
      <c r="BQ64">
        <f>3.657</f>
        <v>3.657</v>
      </c>
      <c r="BR64">
        <f>4.002</f>
        <v>4.0019999999999998</v>
      </c>
      <c r="BS64">
        <f>3.582</f>
        <v>3.5819999999999999</v>
      </c>
      <c r="BT64">
        <f>3.355</f>
        <v>3.355</v>
      </c>
      <c r="BU64">
        <f>3.339</f>
        <v>3.339</v>
      </c>
      <c r="BV64">
        <f>3.33</f>
        <v>3.33</v>
      </c>
      <c r="BW64">
        <f>2.979</f>
        <v>2.9790000000000001</v>
      </c>
      <c r="BX64">
        <f>3.295</f>
        <v>3.2949999999999999</v>
      </c>
      <c r="BY64">
        <f>3.434</f>
        <v>3.4340000000000002</v>
      </c>
      <c r="BZ64">
        <f>3.952</f>
        <v>3.952</v>
      </c>
      <c r="CA64">
        <f>4.263</f>
        <v>4.2629999999999999</v>
      </c>
      <c r="CB64">
        <f>3.63</f>
        <v>3.63</v>
      </c>
      <c r="CC64">
        <f>3.97</f>
        <v>3.97</v>
      </c>
      <c r="CD64">
        <f>4.009</f>
        <v>4.0090000000000003</v>
      </c>
      <c r="CE64">
        <f>4.196</f>
        <v>4.1959999999999997</v>
      </c>
      <c r="CF64">
        <f>4.76</f>
        <v>4.76</v>
      </c>
      <c r="CG64">
        <f>4.876</f>
        <v>4.8760000000000003</v>
      </c>
      <c r="CH64" t="str">
        <f>""</f>
        <v/>
      </c>
      <c r="CI64" t="str">
        <f>""</f>
        <v/>
      </c>
      <c r="CJ64" t="str">
        <f>""</f>
        <v/>
      </c>
      <c r="CK64" t="str">
        <f>""</f>
        <v/>
      </c>
      <c r="CL64" t="str">
        <f>""</f>
        <v/>
      </c>
      <c r="CM64" t="str">
        <f>""</f>
        <v/>
      </c>
      <c r="CN64" t="str">
        <f>""</f>
        <v/>
      </c>
      <c r="CO64" t="str">
        <f>""</f>
        <v/>
      </c>
      <c r="CP64" t="str">
        <f>""</f>
        <v/>
      </c>
      <c r="CQ64" t="str">
        <f>""</f>
        <v/>
      </c>
      <c r="CR64" t="str">
        <f>""</f>
        <v/>
      </c>
      <c r="CS64" t="str">
        <f>""</f>
        <v/>
      </c>
      <c r="CT64" t="str">
        <f>""</f>
        <v/>
      </c>
      <c r="CU64" t="str">
        <f>""</f>
        <v/>
      </c>
      <c r="CV64" t="str">
        <f>""</f>
        <v/>
      </c>
      <c r="CW64" t="str">
        <f>""</f>
        <v/>
      </c>
      <c r="CX64" t="str">
        <f>""</f>
        <v/>
      </c>
      <c r="CY64" t="str">
        <f>""</f>
        <v/>
      </c>
      <c r="CZ64" t="str">
        <f>""</f>
        <v/>
      </c>
      <c r="DA64" t="str">
        <f>""</f>
        <v/>
      </c>
      <c r="DB64" t="str">
        <f>""</f>
        <v/>
      </c>
      <c r="DC64" t="str">
        <f>""</f>
        <v/>
      </c>
      <c r="DD64" t="str">
        <f>""</f>
        <v/>
      </c>
      <c r="DE64" t="str">
        <f>""</f>
        <v/>
      </c>
      <c r="DF64" t="str">
        <f>""</f>
        <v/>
      </c>
      <c r="DG64" t="str">
        <f>""</f>
        <v/>
      </c>
      <c r="DH64" t="str">
        <f>""</f>
        <v/>
      </c>
      <c r="DI64" t="str">
        <f>""</f>
        <v/>
      </c>
      <c r="DJ64" t="str">
        <f>""</f>
        <v/>
      </c>
      <c r="DK64" t="str">
        <f>""</f>
        <v/>
      </c>
      <c r="DL64" t="str">
        <f>""</f>
        <v/>
      </c>
      <c r="DM64" t="str">
        <f>""</f>
        <v/>
      </c>
      <c r="DN64" t="str">
        <f>""</f>
        <v/>
      </c>
      <c r="DO64" t="str">
        <f>""</f>
        <v/>
      </c>
      <c r="DP64" t="str">
        <f>""</f>
        <v/>
      </c>
      <c r="DQ64" t="str">
        <f>""</f>
        <v/>
      </c>
      <c r="DR64" t="str">
        <f>""</f>
        <v/>
      </c>
      <c r="DS64" t="str">
        <f>""</f>
        <v/>
      </c>
      <c r="DT64" t="str">
        <f>""</f>
        <v/>
      </c>
      <c r="DU64" t="str">
        <f>""</f>
        <v/>
      </c>
    </row>
    <row r="65" spans="1:125" x14ac:dyDescent="0.25">
      <c r="A65" t="str">
        <f>"    Hyundai Motor Co"</f>
        <v xml:space="preserve">    Hyundai Motor Co</v>
      </c>
      <c r="B65" t="str">
        <f>"005380 KS Equity"</f>
        <v>005380 KS Equity</v>
      </c>
      <c r="C65" t="str">
        <f t="shared" si="3"/>
        <v>EZ019</v>
      </c>
      <c r="D65" t="str">
        <f t="shared" si="4"/>
        <v>BEST_EEPS_CUR_YR</v>
      </c>
      <c r="E65" t="str">
        <f t="shared" si="5"/>
        <v>Dynamic</v>
      </c>
      <c r="F65">
        <f ca="1">IF(AND(ISNUMBER($F$573),$B$511=1),$F$573,HLOOKUP(INDIRECT(ADDRESS(2,COLUMN())),OFFSET($BN$2,0,0,ROW()-1,60),ROW()-1,FALSE))</f>
        <v>12.117000000000001</v>
      </c>
      <c r="G65">
        <f ca="1">IF(AND(ISNUMBER($G$573),$B$511=1),$G$573,HLOOKUP(INDIRECT(ADDRESS(2,COLUMN())),OFFSET($BN$2,0,0,ROW()-1,60),ROW()-1,FALSE))</f>
        <v>13.079000000000001</v>
      </c>
      <c r="H65">
        <f ca="1">IF(AND(ISNUMBER($H$573),$B$511=1),$H$573,HLOOKUP(INDIRECT(ADDRESS(2,COLUMN())),OFFSET($BN$2,0,0,ROW()-1,60),ROW()-1,FALSE))</f>
        <v>15.693</v>
      </c>
      <c r="I65">
        <f ca="1">IF(AND(ISNUMBER($I$573),$B$511=1),$I$573,HLOOKUP(INDIRECT(ADDRESS(2,COLUMN())),OFFSET($BN$2,0,0,ROW()-1,60),ROW()-1,FALSE))</f>
        <v>16.327000000000002</v>
      </c>
      <c r="J65">
        <f ca="1">IF(AND(ISNUMBER($J$573),$B$511=1),$J$573,HLOOKUP(INDIRECT(ADDRESS(2,COLUMN())),OFFSET($BN$2,0,0,ROW()-1,60),ROW()-1,FALSE))</f>
        <v>18.282</v>
      </c>
      <c r="K65">
        <f ca="1">IF(AND(ISNUMBER($K$573),$B$511=1),$K$573,HLOOKUP(INDIRECT(ADDRESS(2,COLUMN())),OFFSET($BN$2,0,0,ROW()-1,60),ROW()-1,FALSE))</f>
        <v>20.742000000000001</v>
      </c>
      <c r="L65">
        <f ca="1">IF(AND(ISNUMBER($L$573),$B$511=1),$L$573,HLOOKUP(INDIRECT(ADDRESS(2,COLUMN())),OFFSET($BN$2,0,0,ROW()-1,60),ROW()-1,FALSE))</f>
        <v>19.327000000000002</v>
      </c>
      <c r="M65">
        <f ca="1">IF(AND(ISNUMBER($M$573),$B$511=1),$M$573,HLOOKUP(INDIRECT(ADDRESS(2,COLUMN())),OFFSET($BN$2,0,0,ROW()-1,60),ROW()-1,FALSE))</f>
        <v>21.677</v>
      </c>
      <c r="N65">
        <f ca="1">IF(AND(ISNUMBER($N$573),$B$511=1),$N$573,HLOOKUP(INDIRECT(ADDRESS(2,COLUMN())),OFFSET($BN$2,0,0,ROW()-1,60),ROW()-1,FALSE))</f>
        <v>21.931000000000001</v>
      </c>
      <c r="O65">
        <f ca="1">IF(AND(ISNUMBER($O$573),$B$511=1),$O$573,HLOOKUP(INDIRECT(ADDRESS(2,COLUMN())),OFFSET($BN$2,0,0,ROW()-1,60),ROW()-1,FALSE))</f>
        <v>22.399000000000001</v>
      </c>
      <c r="P65">
        <f ca="1">IF(AND(ISNUMBER($P$573),$B$511=1),$P$573,HLOOKUP(INDIRECT(ADDRESS(2,COLUMN())),OFFSET($BN$2,0,0,ROW()-1,60),ROW()-1,FALSE))</f>
        <v>24.111999999999998</v>
      </c>
      <c r="Q65">
        <f ca="1">IF(AND(ISNUMBER($Q$573),$B$511=1),$Q$573,HLOOKUP(INDIRECT(ADDRESS(2,COLUMN())),OFFSET($BN$2,0,0,ROW()-1,60),ROW()-1,FALSE))</f>
        <v>23.395</v>
      </c>
      <c r="R65">
        <f ca="1">IF(AND(ISNUMBER($R$573),$B$511=1),$R$573,HLOOKUP(INDIRECT(ADDRESS(2,COLUMN())),OFFSET($BN$2,0,0,ROW()-1,60),ROW()-1,FALSE))</f>
        <v>23.535</v>
      </c>
      <c r="S65">
        <f ca="1">IF(AND(ISNUMBER($S$573),$B$511=1),$S$573,HLOOKUP(INDIRECT(ADDRESS(2,COLUMN())),OFFSET($BN$2,0,0,ROW()-1,60),ROW()-1,FALSE))</f>
        <v>26.966000000000001</v>
      </c>
      <c r="T65">
        <f ca="1">IF(AND(ISNUMBER($T$573),$B$511=1),$T$573,HLOOKUP(INDIRECT(ADDRESS(2,COLUMN())),OFFSET($BN$2,0,0,ROW()-1,60),ROW()-1,FALSE))</f>
        <v>28.061</v>
      </c>
      <c r="U65">
        <f ca="1">IF(AND(ISNUMBER($U$573),$B$511=1),$U$573,HLOOKUP(INDIRECT(ADDRESS(2,COLUMN())),OFFSET($BN$2,0,0,ROW()-1,60),ROW()-1,FALSE))</f>
        <v>32.573999999999998</v>
      </c>
      <c r="V65">
        <f ca="1">IF(AND(ISNUMBER($V$573),$B$511=1),$V$573,HLOOKUP(INDIRECT(ADDRESS(2,COLUMN())),OFFSET($BN$2,0,0,ROW()-1,60),ROW()-1,FALSE))</f>
        <v>33.091000000000001</v>
      </c>
      <c r="W65" t="str">
        <f ca="1">IF(AND(ISNUMBER($W$573),$B$511=1),$W$573,HLOOKUP(INDIRECT(ADDRESS(2,COLUMN())),OFFSET($BN$2,0,0,ROW()-1,60),ROW()-1,FALSE))</f>
        <v/>
      </c>
      <c r="X65" t="str">
        <f ca="1">IF(AND(ISNUMBER($X$573),$B$511=1),$X$573,HLOOKUP(INDIRECT(ADDRESS(2,COLUMN())),OFFSET($BN$2,0,0,ROW()-1,60),ROW()-1,FALSE))</f>
        <v/>
      </c>
      <c r="Y65" t="str">
        <f ca="1">IF(AND(ISNUMBER($Y$573),$B$511=1),$Y$573,HLOOKUP(INDIRECT(ADDRESS(2,COLUMN())),OFFSET($BN$2,0,0,ROW()-1,60),ROW()-1,FALSE))</f>
        <v/>
      </c>
      <c r="Z65" t="str">
        <f ca="1">IF(AND(ISNUMBER($Z$573),$B$511=1),$Z$573,HLOOKUP(INDIRECT(ADDRESS(2,COLUMN())),OFFSET($BN$2,0,0,ROW()-1,60),ROW()-1,FALSE))</f>
        <v/>
      </c>
      <c r="AA65" t="str">
        <f ca="1">IF(AND(ISNUMBER($AA$573),$B$511=1),$AA$573,HLOOKUP(INDIRECT(ADDRESS(2,COLUMN())),OFFSET($BN$2,0,0,ROW()-1,60),ROW()-1,FALSE))</f>
        <v/>
      </c>
      <c r="AB65" t="str">
        <f ca="1">IF(AND(ISNUMBER($AB$573),$B$511=1),$AB$573,HLOOKUP(INDIRECT(ADDRESS(2,COLUMN())),OFFSET($BN$2,0,0,ROW()-1,60),ROW()-1,FALSE))</f>
        <v/>
      </c>
      <c r="AC65" t="str">
        <f ca="1">IF(AND(ISNUMBER($AC$573),$B$511=1),$AC$573,HLOOKUP(INDIRECT(ADDRESS(2,COLUMN())),OFFSET($BN$2,0,0,ROW()-1,60),ROW()-1,FALSE))</f>
        <v/>
      </c>
      <c r="AD65" t="str">
        <f ca="1">IF(AND(ISNUMBER($AD$573),$B$511=1),$AD$573,HLOOKUP(INDIRECT(ADDRESS(2,COLUMN())),OFFSET($BN$2,0,0,ROW()-1,60),ROW()-1,FALSE))</f>
        <v/>
      </c>
      <c r="AE65" t="str">
        <f ca="1">IF(AND(ISNUMBER($AE$573),$B$511=1),$AE$573,HLOOKUP(INDIRECT(ADDRESS(2,COLUMN())),OFFSET($BN$2,0,0,ROW()-1,60),ROW()-1,FALSE))</f>
        <v/>
      </c>
      <c r="AF65" t="str">
        <f ca="1">IF(AND(ISNUMBER($AF$573),$B$511=1),$AF$573,HLOOKUP(INDIRECT(ADDRESS(2,COLUMN())),OFFSET($BN$2,0,0,ROW()-1,60),ROW()-1,FALSE))</f>
        <v/>
      </c>
      <c r="AG65" t="str">
        <f ca="1">IF(AND(ISNUMBER($AG$573),$B$511=1),$AG$573,HLOOKUP(INDIRECT(ADDRESS(2,COLUMN())),OFFSET($BN$2,0,0,ROW()-1,60),ROW()-1,FALSE))</f>
        <v/>
      </c>
      <c r="AH65" t="str">
        <f ca="1">IF(AND(ISNUMBER($AH$573),$B$511=1),$AH$573,HLOOKUP(INDIRECT(ADDRESS(2,COLUMN())),OFFSET($BN$2,0,0,ROW()-1,60),ROW()-1,FALSE))</f>
        <v/>
      </c>
      <c r="AI65" t="str">
        <f ca="1">IF(AND(ISNUMBER($AI$573),$B$511=1),$AI$573,HLOOKUP(INDIRECT(ADDRESS(2,COLUMN())),OFFSET($BN$2,0,0,ROW()-1,60),ROW()-1,FALSE))</f>
        <v/>
      </c>
      <c r="AJ65" t="str">
        <f ca="1">IF(AND(ISNUMBER($AJ$573),$B$511=1),$AJ$573,HLOOKUP(INDIRECT(ADDRESS(2,COLUMN())),OFFSET($BN$2,0,0,ROW()-1,60),ROW()-1,FALSE))</f>
        <v/>
      </c>
      <c r="AK65" t="str">
        <f ca="1">IF(AND(ISNUMBER($AK$573),$B$511=1),$AK$573,HLOOKUP(INDIRECT(ADDRESS(2,COLUMN())),OFFSET($BN$2,0,0,ROW()-1,60),ROW()-1,FALSE))</f>
        <v/>
      </c>
      <c r="AL65" t="str">
        <f ca="1">IF(AND(ISNUMBER($AL$573),$B$511=1),$AL$573,HLOOKUP(INDIRECT(ADDRESS(2,COLUMN())),OFFSET($BN$2,0,0,ROW()-1,60),ROW()-1,FALSE))</f>
        <v/>
      </c>
      <c r="AM65" t="str">
        <f ca="1">IF(AND(ISNUMBER($AM$573),$B$511=1),$AM$573,HLOOKUP(INDIRECT(ADDRESS(2,COLUMN())),OFFSET($BN$2,0,0,ROW()-1,60),ROW()-1,FALSE))</f>
        <v/>
      </c>
      <c r="AN65" t="str">
        <f ca="1">IF(AND(ISNUMBER($AN$573),$B$511=1),$AN$573,HLOOKUP(INDIRECT(ADDRESS(2,COLUMN())),OFFSET($BN$2,0,0,ROW()-1,60),ROW()-1,FALSE))</f>
        <v/>
      </c>
      <c r="AO65" t="str">
        <f ca="1">IF(AND(ISNUMBER($AO$573),$B$511=1),$AO$573,HLOOKUP(INDIRECT(ADDRESS(2,COLUMN())),OFFSET($BN$2,0,0,ROW()-1,60),ROW()-1,FALSE))</f>
        <v/>
      </c>
      <c r="AP65" t="str">
        <f ca="1">IF(AND(ISNUMBER($AP$573),$B$511=1),$AP$573,HLOOKUP(INDIRECT(ADDRESS(2,COLUMN())),OFFSET($BN$2,0,0,ROW()-1,60),ROW()-1,FALSE))</f>
        <v/>
      </c>
      <c r="AQ65" t="str">
        <f ca="1">IF(AND(ISNUMBER($AQ$573),$B$511=1),$AQ$573,HLOOKUP(INDIRECT(ADDRESS(2,COLUMN())),OFFSET($BN$2,0,0,ROW()-1,60),ROW()-1,FALSE))</f>
        <v/>
      </c>
      <c r="AR65" t="str">
        <f ca="1">IF(AND(ISNUMBER($AR$573),$B$511=1),$AR$573,HLOOKUP(INDIRECT(ADDRESS(2,COLUMN())),OFFSET($BN$2,0,0,ROW()-1,60),ROW()-1,FALSE))</f>
        <v/>
      </c>
      <c r="AS65" t="str">
        <f ca="1">IF(AND(ISNUMBER($AS$573),$B$511=1),$AS$573,HLOOKUP(INDIRECT(ADDRESS(2,COLUMN())),OFFSET($BN$2,0,0,ROW()-1,60),ROW()-1,FALSE))</f>
        <v/>
      </c>
      <c r="AT65" t="str">
        <f ca="1">IF(AND(ISNUMBER($AT$573),$B$511=1),$AT$573,HLOOKUP(INDIRECT(ADDRESS(2,COLUMN())),OFFSET($BN$2,0,0,ROW()-1,60),ROW()-1,FALSE))</f>
        <v/>
      </c>
      <c r="AU65" t="str">
        <f ca="1">IF(AND(ISNUMBER($AU$573),$B$511=1),$AU$573,HLOOKUP(INDIRECT(ADDRESS(2,COLUMN())),OFFSET($BN$2,0,0,ROW()-1,60),ROW()-1,FALSE))</f>
        <v/>
      </c>
      <c r="AV65" t="str">
        <f ca="1">IF(AND(ISNUMBER($AV$573),$B$511=1),$AV$573,HLOOKUP(INDIRECT(ADDRESS(2,COLUMN())),OFFSET($BN$2,0,0,ROW()-1,60),ROW()-1,FALSE))</f>
        <v/>
      </c>
      <c r="AW65" t="str">
        <f ca="1">IF(AND(ISNUMBER($AW$573),$B$511=1),$AW$573,HLOOKUP(INDIRECT(ADDRESS(2,COLUMN())),OFFSET($BN$2,0,0,ROW()-1,60),ROW()-1,FALSE))</f>
        <v/>
      </c>
      <c r="AX65" t="str">
        <f ca="1">IF(AND(ISNUMBER($AX$573),$B$511=1),$AX$573,HLOOKUP(INDIRECT(ADDRESS(2,COLUMN())),OFFSET($BN$2,0,0,ROW()-1,60),ROW()-1,FALSE))</f>
        <v/>
      </c>
      <c r="AY65" t="str">
        <f ca="1">IF(AND(ISNUMBER($AY$573),$B$511=1),$AY$573,HLOOKUP(INDIRECT(ADDRESS(2,COLUMN())),OFFSET($BN$2,0,0,ROW()-1,60),ROW()-1,FALSE))</f>
        <v/>
      </c>
      <c r="AZ65" t="str">
        <f ca="1">IF(AND(ISNUMBER($AZ$573),$B$511=1),$AZ$573,HLOOKUP(INDIRECT(ADDRESS(2,COLUMN())),OFFSET($BN$2,0,0,ROW()-1,60),ROW()-1,FALSE))</f>
        <v/>
      </c>
      <c r="BA65" t="str">
        <f ca="1">IF(AND(ISNUMBER($BA$573),$B$511=1),$BA$573,HLOOKUP(INDIRECT(ADDRESS(2,COLUMN())),OFFSET($BN$2,0,0,ROW()-1,60),ROW()-1,FALSE))</f>
        <v/>
      </c>
      <c r="BB65" t="str">
        <f ca="1">IF(AND(ISNUMBER($BB$573),$B$511=1),$BB$573,HLOOKUP(INDIRECT(ADDRESS(2,COLUMN())),OFFSET($BN$2,0,0,ROW()-1,60),ROW()-1,FALSE))</f>
        <v/>
      </c>
      <c r="BC65" t="str">
        <f ca="1">IF(AND(ISNUMBER($BC$573),$B$511=1),$BC$573,HLOOKUP(INDIRECT(ADDRESS(2,COLUMN())),OFFSET($BN$2,0,0,ROW()-1,60),ROW()-1,FALSE))</f>
        <v/>
      </c>
      <c r="BD65" t="str">
        <f ca="1">IF(AND(ISNUMBER($BD$573),$B$511=1),$BD$573,HLOOKUP(INDIRECT(ADDRESS(2,COLUMN())),OFFSET($BN$2,0,0,ROW()-1,60),ROW()-1,FALSE))</f>
        <v/>
      </c>
      <c r="BE65" t="str">
        <f ca="1">IF(AND(ISNUMBER($BE$573),$B$511=1),$BE$573,HLOOKUP(INDIRECT(ADDRESS(2,COLUMN())),OFFSET($BN$2,0,0,ROW()-1,60),ROW()-1,FALSE))</f>
        <v/>
      </c>
      <c r="BF65" t="str">
        <f ca="1">IF(AND(ISNUMBER($BF$573),$B$511=1),$BF$573,HLOOKUP(INDIRECT(ADDRESS(2,COLUMN())),OFFSET($BN$2,0,0,ROW()-1,60),ROW()-1,FALSE))</f>
        <v/>
      </c>
      <c r="BG65" t="str">
        <f ca="1">IF(AND(ISNUMBER($BG$573),$B$511=1),$BG$573,HLOOKUP(INDIRECT(ADDRESS(2,COLUMN())),OFFSET($BN$2,0,0,ROW()-1,60),ROW()-1,FALSE))</f>
        <v/>
      </c>
      <c r="BH65" t="str">
        <f ca="1">IF(AND(ISNUMBER($BH$573),$B$511=1),$BH$573,HLOOKUP(INDIRECT(ADDRESS(2,COLUMN())),OFFSET($BN$2,0,0,ROW()-1,60),ROW()-1,FALSE))</f>
        <v/>
      </c>
      <c r="BI65" t="str">
        <f ca="1">IF(AND(ISNUMBER($BI$573),$B$511=1),$BI$573,HLOOKUP(INDIRECT(ADDRESS(2,COLUMN())),OFFSET($BN$2,0,0,ROW()-1,60),ROW()-1,FALSE))</f>
        <v/>
      </c>
      <c r="BJ65" t="str">
        <f ca="1">IF(AND(ISNUMBER($BJ$573),$B$511=1),$BJ$573,HLOOKUP(INDIRECT(ADDRESS(2,COLUMN())),OFFSET($BN$2,0,0,ROW()-1,60),ROW()-1,FALSE))</f>
        <v/>
      </c>
      <c r="BK65" t="str">
        <f ca="1">IF(AND(ISNUMBER($BK$573),$B$511=1),$BK$573,HLOOKUP(INDIRECT(ADDRESS(2,COLUMN())),OFFSET($BN$2,0,0,ROW()-1,60),ROW()-1,FALSE))</f>
        <v/>
      </c>
      <c r="BL65" t="str">
        <f ca="1">IF(AND(ISNUMBER($BL$573),$B$511=1),$BL$573,HLOOKUP(INDIRECT(ADDRESS(2,COLUMN())),OFFSET($BN$2,0,0,ROW()-1,60),ROW()-1,FALSE))</f>
        <v/>
      </c>
      <c r="BM65" t="str">
        <f ca="1">IF(AND(ISNUMBER($BM$573),$B$511=1),$BM$573,HLOOKUP(INDIRECT(ADDRESS(2,COLUMN())),OFFSET($BN$2,0,0,ROW()-1,60),ROW()-1,FALSE))</f>
        <v/>
      </c>
      <c r="BN65">
        <f>12.117</f>
        <v>12.117000000000001</v>
      </c>
      <c r="BO65">
        <f>13.079</f>
        <v>13.079000000000001</v>
      </c>
      <c r="BP65">
        <f>15.693</f>
        <v>15.693</v>
      </c>
      <c r="BQ65">
        <f>16.327</f>
        <v>16.327000000000002</v>
      </c>
      <c r="BR65">
        <f>18.282</f>
        <v>18.282</v>
      </c>
      <c r="BS65">
        <f>20.742</f>
        <v>20.742000000000001</v>
      </c>
      <c r="BT65">
        <f>19.327</f>
        <v>19.327000000000002</v>
      </c>
      <c r="BU65">
        <f>21.677</f>
        <v>21.677</v>
      </c>
      <c r="BV65">
        <f>21.931</f>
        <v>21.931000000000001</v>
      </c>
      <c r="BW65">
        <f>22.399</f>
        <v>22.399000000000001</v>
      </c>
      <c r="BX65">
        <f>24.112</f>
        <v>24.111999999999998</v>
      </c>
      <c r="BY65">
        <f>23.395</f>
        <v>23.395</v>
      </c>
      <c r="BZ65">
        <f>23.535</f>
        <v>23.535</v>
      </c>
      <c r="CA65">
        <f>26.966</f>
        <v>26.966000000000001</v>
      </c>
      <c r="CB65">
        <f>28.061</f>
        <v>28.061</v>
      </c>
      <c r="CC65">
        <f>32.574</f>
        <v>32.573999999999998</v>
      </c>
      <c r="CD65">
        <f>33.091</f>
        <v>33.091000000000001</v>
      </c>
      <c r="CE65" t="str">
        <f>""</f>
        <v/>
      </c>
      <c r="CF65" t="str">
        <f>""</f>
        <v/>
      </c>
      <c r="CG65" t="str">
        <f>""</f>
        <v/>
      </c>
      <c r="CH65" t="str">
        <f>""</f>
        <v/>
      </c>
      <c r="CI65" t="str">
        <f>""</f>
        <v/>
      </c>
      <c r="CJ65" t="str">
        <f>""</f>
        <v/>
      </c>
      <c r="CK65" t="str">
        <f>""</f>
        <v/>
      </c>
      <c r="CL65" t="str">
        <f>""</f>
        <v/>
      </c>
      <c r="CM65" t="str">
        <f>""</f>
        <v/>
      </c>
      <c r="CN65" t="str">
        <f>""</f>
        <v/>
      </c>
      <c r="CO65" t="str">
        <f>""</f>
        <v/>
      </c>
      <c r="CP65" t="str">
        <f>""</f>
        <v/>
      </c>
      <c r="CQ65" t="str">
        <f>""</f>
        <v/>
      </c>
      <c r="CR65" t="str">
        <f>""</f>
        <v/>
      </c>
      <c r="CS65" t="str">
        <f>""</f>
        <v/>
      </c>
      <c r="CT65" t="str">
        <f>""</f>
        <v/>
      </c>
      <c r="CU65" t="str">
        <f>""</f>
        <v/>
      </c>
      <c r="CV65" t="str">
        <f>""</f>
        <v/>
      </c>
      <c r="CW65" t="str">
        <f>""</f>
        <v/>
      </c>
      <c r="CX65" t="str">
        <f>""</f>
        <v/>
      </c>
      <c r="CY65" t="str">
        <f>""</f>
        <v/>
      </c>
      <c r="CZ65" t="str">
        <f>""</f>
        <v/>
      </c>
      <c r="DA65" t="str">
        <f>""</f>
        <v/>
      </c>
      <c r="DB65" t="str">
        <f>""</f>
        <v/>
      </c>
      <c r="DC65" t="str">
        <f>""</f>
        <v/>
      </c>
      <c r="DD65" t="str">
        <f>""</f>
        <v/>
      </c>
      <c r="DE65" t="str">
        <f>""</f>
        <v/>
      </c>
      <c r="DF65" t="str">
        <f>""</f>
        <v/>
      </c>
      <c r="DG65" t="str">
        <f>""</f>
        <v/>
      </c>
      <c r="DH65" t="str">
        <f>""</f>
        <v/>
      </c>
      <c r="DI65" t="str">
        <f>""</f>
        <v/>
      </c>
      <c r="DJ65" t="str">
        <f>""</f>
        <v/>
      </c>
      <c r="DK65" t="str">
        <f>""</f>
        <v/>
      </c>
      <c r="DL65" t="str">
        <f>""</f>
        <v/>
      </c>
      <c r="DM65" t="str">
        <f>""</f>
        <v/>
      </c>
      <c r="DN65" t="str">
        <f>""</f>
        <v/>
      </c>
      <c r="DO65" t="str">
        <f>""</f>
        <v/>
      </c>
      <c r="DP65" t="str">
        <f>""</f>
        <v/>
      </c>
      <c r="DQ65" t="str">
        <f>""</f>
        <v/>
      </c>
      <c r="DR65" t="str">
        <f>""</f>
        <v/>
      </c>
      <c r="DS65" t="str">
        <f>""</f>
        <v/>
      </c>
      <c r="DT65" t="str">
        <f>""</f>
        <v/>
      </c>
      <c r="DU65" t="str">
        <f>""</f>
        <v/>
      </c>
    </row>
    <row r="66" spans="1:125" x14ac:dyDescent="0.25">
      <c r="A66" t="str">
        <f>"    Kia Motors Corp"</f>
        <v xml:space="preserve">    Kia Motors Corp</v>
      </c>
      <c r="B66" t="str">
        <f>"000270 KS Equity"</f>
        <v>000270 KS Equity</v>
      </c>
      <c r="C66" t="str">
        <f t="shared" si="3"/>
        <v>EZ019</v>
      </c>
      <c r="D66" t="str">
        <f t="shared" si="4"/>
        <v>BEST_EEPS_CUR_YR</v>
      </c>
      <c r="E66" t="str">
        <f t="shared" si="5"/>
        <v>Dynamic</v>
      </c>
      <c r="F66">
        <f ca="1">IF(AND(ISNUMBER($F$574),$B$511=1),$F$574,HLOOKUP(INDIRECT(ADDRESS(2,COLUMN())),OFFSET($BN$2,0,0,ROW()-1,60),ROW()-1,FALSE))</f>
        <v>4.1059999999999999</v>
      </c>
      <c r="G66">
        <f ca="1">IF(AND(ISNUMBER($G$574),$B$511=1),$G$574,HLOOKUP(INDIRECT(ADDRESS(2,COLUMN())),OFFSET($BN$2,0,0,ROW()-1,60),ROW()-1,FALSE))</f>
        <v>4.26</v>
      </c>
      <c r="H66">
        <f ca="1">IF(AND(ISNUMBER($H$574),$B$511=1),$H$574,HLOOKUP(INDIRECT(ADDRESS(2,COLUMN())),OFFSET($BN$2,0,0,ROW()-1,60),ROW()-1,FALSE))</f>
        <v>4.8209999999999997</v>
      </c>
      <c r="I66">
        <f ca="1">IF(AND(ISNUMBER($I$574),$B$511=1),$I$574,HLOOKUP(INDIRECT(ADDRESS(2,COLUMN())),OFFSET($BN$2,0,0,ROW()-1,60),ROW()-1,FALSE))</f>
        <v>4.8730000000000002</v>
      </c>
      <c r="J66">
        <f ca="1">IF(AND(ISNUMBER($J$574),$B$511=1),$J$574,HLOOKUP(INDIRECT(ADDRESS(2,COLUMN())),OFFSET($BN$2,0,0,ROW()-1,60),ROW()-1,FALSE))</f>
        <v>5.2080000000000002</v>
      </c>
      <c r="K66">
        <f ca="1">IF(AND(ISNUMBER($K$574),$B$511=1),$K$574,HLOOKUP(INDIRECT(ADDRESS(2,COLUMN())),OFFSET($BN$2,0,0,ROW()-1,60),ROW()-1,FALSE))</f>
        <v>6.008</v>
      </c>
      <c r="L66">
        <f ca="1">IF(AND(ISNUMBER($L$574),$B$511=1),$L$574,HLOOKUP(INDIRECT(ADDRESS(2,COLUMN())),OFFSET($BN$2,0,0,ROW()-1,60),ROW()-1,FALSE))</f>
        <v>5.8049999999999997</v>
      </c>
      <c r="M66">
        <f ca="1">IF(AND(ISNUMBER($M$574),$B$511=1),$M$574,HLOOKUP(INDIRECT(ADDRESS(2,COLUMN())),OFFSET($BN$2,0,0,ROW()-1,60),ROW()-1,FALSE))</f>
        <v>6.4219999999999997</v>
      </c>
      <c r="N66">
        <f ca="1">IF(AND(ISNUMBER($N$574),$B$511=1),$N$574,HLOOKUP(INDIRECT(ADDRESS(2,COLUMN())),OFFSET($BN$2,0,0,ROW()-1,60),ROW()-1,FALSE))</f>
        <v>7.0339999999999998</v>
      </c>
      <c r="O66">
        <f ca="1">IF(AND(ISNUMBER($O$574),$B$511=1),$O$574,HLOOKUP(INDIRECT(ADDRESS(2,COLUMN())),OFFSET($BN$2,0,0,ROW()-1,60),ROW()-1,FALSE))</f>
        <v>6.9089999999999998</v>
      </c>
      <c r="P66">
        <f ca="1">IF(AND(ISNUMBER($P$574),$B$511=1),$P$574,HLOOKUP(INDIRECT(ADDRESS(2,COLUMN())),OFFSET($BN$2,0,0,ROW()-1,60),ROW()-1,FALSE))</f>
        <v>7.9370000000000003</v>
      </c>
      <c r="Q66">
        <f ca="1">IF(AND(ISNUMBER($Q$574),$B$511=1),$Q$574,HLOOKUP(INDIRECT(ADDRESS(2,COLUMN())),OFFSET($BN$2,0,0,ROW()-1,60),ROW()-1,FALSE))</f>
        <v>5.3609999999999998</v>
      </c>
      <c r="R66">
        <f ca="1">IF(AND(ISNUMBER($R$574),$B$511=1),$R$574,HLOOKUP(INDIRECT(ADDRESS(2,COLUMN())),OFFSET($BN$2,0,0,ROW()-1,60),ROW()-1,FALSE))</f>
        <v>5.9029999999999996</v>
      </c>
      <c r="S66">
        <f ca="1">IF(AND(ISNUMBER($S$574),$B$511=1),$S$574,HLOOKUP(INDIRECT(ADDRESS(2,COLUMN())),OFFSET($BN$2,0,0,ROW()-1,60),ROW()-1,FALSE))</f>
        <v>6.19</v>
      </c>
      <c r="T66">
        <f ca="1">IF(AND(ISNUMBER($T$574),$B$511=1),$T$574,HLOOKUP(INDIRECT(ADDRESS(2,COLUMN())),OFFSET($BN$2,0,0,ROW()-1,60),ROW()-1,FALSE))</f>
        <v>6.1740000000000004</v>
      </c>
      <c r="U66">
        <f ca="1">IF(AND(ISNUMBER($U$574),$B$511=1),$U$574,HLOOKUP(INDIRECT(ADDRESS(2,COLUMN())),OFFSET($BN$2,0,0,ROW()-1,60),ROW()-1,FALSE))</f>
        <v>7.26</v>
      </c>
      <c r="V66">
        <f ca="1">IF(AND(ISNUMBER($V$574),$B$511=1),$V$574,HLOOKUP(INDIRECT(ADDRESS(2,COLUMN())),OFFSET($BN$2,0,0,ROW()-1,60),ROW()-1,FALSE))</f>
        <v>8.1720000000000006</v>
      </c>
      <c r="W66" t="str">
        <f ca="1">IF(AND(ISNUMBER($W$574),$B$511=1),$W$574,HLOOKUP(INDIRECT(ADDRESS(2,COLUMN())),OFFSET($BN$2,0,0,ROW()-1,60),ROW()-1,FALSE))</f>
        <v/>
      </c>
      <c r="X66" t="str">
        <f ca="1">IF(AND(ISNUMBER($X$574),$B$511=1),$X$574,HLOOKUP(INDIRECT(ADDRESS(2,COLUMN())),OFFSET($BN$2,0,0,ROW()-1,60),ROW()-1,FALSE))</f>
        <v/>
      </c>
      <c r="Y66" t="str">
        <f ca="1">IF(AND(ISNUMBER($Y$574),$B$511=1),$Y$574,HLOOKUP(INDIRECT(ADDRESS(2,COLUMN())),OFFSET($BN$2,0,0,ROW()-1,60),ROW()-1,FALSE))</f>
        <v/>
      </c>
      <c r="Z66" t="str">
        <f ca="1">IF(AND(ISNUMBER($Z$574),$B$511=1),$Z$574,HLOOKUP(INDIRECT(ADDRESS(2,COLUMN())),OFFSET($BN$2,0,0,ROW()-1,60),ROW()-1,FALSE))</f>
        <v/>
      </c>
      <c r="AA66" t="str">
        <f ca="1">IF(AND(ISNUMBER($AA$574),$B$511=1),$AA$574,HLOOKUP(INDIRECT(ADDRESS(2,COLUMN())),OFFSET($BN$2,0,0,ROW()-1,60),ROW()-1,FALSE))</f>
        <v/>
      </c>
      <c r="AB66" t="str">
        <f ca="1">IF(AND(ISNUMBER($AB$574),$B$511=1),$AB$574,HLOOKUP(INDIRECT(ADDRESS(2,COLUMN())),OFFSET($BN$2,0,0,ROW()-1,60),ROW()-1,FALSE))</f>
        <v/>
      </c>
      <c r="AC66" t="str">
        <f ca="1">IF(AND(ISNUMBER($AC$574),$B$511=1),$AC$574,HLOOKUP(INDIRECT(ADDRESS(2,COLUMN())),OFFSET($BN$2,0,0,ROW()-1,60),ROW()-1,FALSE))</f>
        <v/>
      </c>
      <c r="AD66" t="str">
        <f ca="1">IF(AND(ISNUMBER($AD$574),$B$511=1),$AD$574,HLOOKUP(INDIRECT(ADDRESS(2,COLUMN())),OFFSET($BN$2,0,0,ROW()-1,60),ROW()-1,FALSE))</f>
        <v/>
      </c>
      <c r="AE66" t="str">
        <f ca="1">IF(AND(ISNUMBER($AE$574),$B$511=1),$AE$574,HLOOKUP(INDIRECT(ADDRESS(2,COLUMN())),OFFSET($BN$2,0,0,ROW()-1,60),ROW()-1,FALSE))</f>
        <v/>
      </c>
      <c r="AF66" t="str">
        <f ca="1">IF(AND(ISNUMBER($AF$574),$B$511=1),$AF$574,HLOOKUP(INDIRECT(ADDRESS(2,COLUMN())),OFFSET($BN$2,0,0,ROW()-1,60),ROW()-1,FALSE))</f>
        <v/>
      </c>
      <c r="AG66" t="str">
        <f ca="1">IF(AND(ISNUMBER($AG$574),$B$511=1),$AG$574,HLOOKUP(INDIRECT(ADDRESS(2,COLUMN())),OFFSET($BN$2,0,0,ROW()-1,60),ROW()-1,FALSE))</f>
        <v/>
      </c>
      <c r="AH66" t="str">
        <f ca="1">IF(AND(ISNUMBER($AH$574),$B$511=1),$AH$574,HLOOKUP(INDIRECT(ADDRESS(2,COLUMN())),OFFSET($BN$2,0,0,ROW()-1,60),ROW()-1,FALSE))</f>
        <v/>
      </c>
      <c r="AI66" t="str">
        <f ca="1">IF(AND(ISNUMBER($AI$574),$B$511=1),$AI$574,HLOOKUP(INDIRECT(ADDRESS(2,COLUMN())),OFFSET($BN$2,0,0,ROW()-1,60),ROW()-1,FALSE))</f>
        <v/>
      </c>
      <c r="AJ66" t="str">
        <f ca="1">IF(AND(ISNUMBER($AJ$574),$B$511=1),$AJ$574,HLOOKUP(INDIRECT(ADDRESS(2,COLUMN())),OFFSET($BN$2,0,0,ROW()-1,60),ROW()-1,FALSE))</f>
        <v/>
      </c>
      <c r="AK66" t="str">
        <f ca="1">IF(AND(ISNUMBER($AK$574),$B$511=1),$AK$574,HLOOKUP(INDIRECT(ADDRESS(2,COLUMN())),OFFSET($BN$2,0,0,ROW()-1,60),ROW()-1,FALSE))</f>
        <v/>
      </c>
      <c r="AL66" t="str">
        <f ca="1">IF(AND(ISNUMBER($AL$574),$B$511=1),$AL$574,HLOOKUP(INDIRECT(ADDRESS(2,COLUMN())),OFFSET($BN$2,0,0,ROW()-1,60),ROW()-1,FALSE))</f>
        <v/>
      </c>
      <c r="AM66" t="str">
        <f ca="1">IF(AND(ISNUMBER($AM$574),$B$511=1),$AM$574,HLOOKUP(INDIRECT(ADDRESS(2,COLUMN())),OFFSET($BN$2,0,0,ROW()-1,60),ROW()-1,FALSE))</f>
        <v/>
      </c>
      <c r="AN66" t="str">
        <f ca="1">IF(AND(ISNUMBER($AN$574),$B$511=1),$AN$574,HLOOKUP(INDIRECT(ADDRESS(2,COLUMN())),OFFSET($BN$2,0,0,ROW()-1,60),ROW()-1,FALSE))</f>
        <v/>
      </c>
      <c r="AO66" t="str">
        <f ca="1">IF(AND(ISNUMBER($AO$574),$B$511=1),$AO$574,HLOOKUP(INDIRECT(ADDRESS(2,COLUMN())),OFFSET($BN$2,0,0,ROW()-1,60),ROW()-1,FALSE))</f>
        <v/>
      </c>
      <c r="AP66" t="str">
        <f ca="1">IF(AND(ISNUMBER($AP$574),$B$511=1),$AP$574,HLOOKUP(INDIRECT(ADDRESS(2,COLUMN())),OFFSET($BN$2,0,0,ROW()-1,60),ROW()-1,FALSE))</f>
        <v/>
      </c>
      <c r="AQ66" t="str">
        <f ca="1">IF(AND(ISNUMBER($AQ$574),$B$511=1),$AQ$574,HLOOKUP(INDIRECT(ADDRESS(2,COLUMN())),OFFSET($BN$2,0,0,ROW()-1,60),ROW()-1,FALSE))</f>
        <v/>
      </c>
      <c r="AR66" t="str">
        <f ca="1">IF(AND(ISNUMBER($AR$574),$B$511=1),$AR$574,HLOOKUP(INDIRECT(ADDRESS(2,COLUMN())),OFFSET($BN$2,0,0,ROW()-1,60),ROW()-1,FALSE))</f>
        <v/>
      </c>
      <c r="AS66" t="str">
        <f ca="1">IF(AND(ISNUMBER($AS$574),$B$511=1),$AS$574,HLOOKUP(INDIRECT(ADDRESS(2,COLUMN())),OFFSET($BN$2,0,0,ROW()-1,60),ROW()-1,FALSE))</f>
        <v/>
      </c>
      <c r="AT66" t="str">
        <f ca="1">IF(AND(ISNUMBER($AT$574),$B$511=1),$AT$574,HLOOKUP(INDIRECT(ADDRESS(2,COLUMN())),OFFSET($BN$2,0,0,ROW()-1,60),ROW()-1,FALSE))</f>
        <v/>
      </c>
      <c r="AU66" t="str">
        <f ca="1">IF(AND(ISNUMBER($AU$574),$B$511=1),$AU$574,HLOOKUP(INDIRECT(ADDRESS(2,COLUMN())),OFFSET($BN$2,0,0,ROW()-1,60),ROW()-1,FALSE))</f>
        <v/>
      </c>
      <c r="AV66" t="str">
        <f ca="1">IF(AND(ISNUMBER($AV$574),$B$511=1),$AV$574,HLOOKUP(INDIRECT(ADDRESS(2,COLUMN())),OFFSET($BN$2,0,0,ROW()-1,60),ROW()-1,FALSE))</f>
        <v/>
      </c>
      <c r="AW66" t="str">
        <f ca="1">IF(AND(ISNUMBER($AW$574),$B$511=1),$AW$574,HLOOKUP(INDIRECT(ADDRESS(2,COLUMN())),OFFSET($BN$2,0,0,ROW()-1,60),ROW()-1,FALSE))</f>
        <v/>
      </c>
      <c r="AX66" t="str">
        <f ca="1">IF(AND(ISNUMBER($AX$574),$B$511=1),$AX$574,HLOOKUP(INDIRECT(ADDRESS(2,COLUMN())),OFFSET($BN$2,0,0,ROW()-1,60),ROW()-1,FALSE))</f>
        <v/>
      </c>
      <c r="AY66" t="str">
        <f ca="1">IF(AND(ISNUMBER($AY$574),$B$511=1),$AY$574,HLOOKUP(INDIRECT(ADDRESS(2,COLUMN())),OFFSET($BN$2,0,0,ROW()-1,60),ROW()-1,FALSE))</f>
        <v/>
      </c>
      <c r="AZ66" t="str">
        <f ca="1">IF(AND(ISNUMBER($AZ$574),$B$511=1),$AZ$574,HLOOKUP(INDIRECT(ADDRESS(2,COLUMN())),OFFSET($BN$2,0,0,ROW()-1,60),ROW()-1,FALSE))</f>
        <v/>
      </c>
      <c r="BA66" t="str">
        <f ca="1">IF(AND(ISNUMBER($BA$574),$B$511=1),$BA$574,HLOOKUP(INDIRECT(ADDRESS(2,COLUMN())),OFFSET($BN$2,0,0,ROW()-1,60),ROW()-1,FALSE))</f>
        <v/>
      </c>
      <c r="BB66" t="str">
        <f ca="1">IF(AND(ISNUMBER($BB$574),$B$511=1),$BB$574,HLOOKUP(INDIRECT(ADDRESS(2,COLUMN())),OFFSET($BN$2,0,0,ROW()-1,60),ROW()-1,FALSE))</f>
        <v/>
      </c>
      <c r="BC66" t="str">
        <f ca="1">IF(AND(ISNUMBER($BC$574),$B$511=1),$BC$574,HLOOKUP(INDIRECT(ADDRESS(2,COLUMN())),OFFSET($BN$2,0,0,ROW()-1,60),ROW()-1,FALSE))</f>
        <v/>
      </c>
      <c r="BD66" t="str">
        <f ca="1">IF(AND(ISNUMBER($BD$574),$B$511=1),$BD$574,HLOOKUP(INDIRECT(ADDRESS(2,COLUMN())),OFFSET($BN$2,0,0,ROW()-1,60),ROW()-1,FALSE))</f>
        <v/>
      </c>
      <c r="BE66" t="str">
        <f ca="1">IF(AND(ISNUMBER($BE$574),$B$511=1),$BE$574,HLOOKUP(INDIRECT(ADDRESS(2,COLUMN())),OFFSET($BN$2,0,0,ROW()-1,60),ROW()-1,FALSE))</f>
        <v/>
      </c>
      <c r="BF66" t="str">
        <f ca="1">IF(AND(ISNUMBER($BF$574),$B$511=1),$BF$574,HLOOKUP(INDIRECT(ADDRESS(2,COLUMN())),OFFSET($BN$2,0,0,ROW()-1,60),ROW()-1,FALSE))</f>
        <v/>
      </c>
      <c r="BG66" t="str">
        <f ca="1">IF(AND(ISNUMBER($BG$574),$B$511=1),$BG$574,HLOOKUP(INDIRECT(ADDRESS(2,COLUMN())),OFFSET($BN$2,0,0,ROW()-1,60),ROW()-1,FALSE))</f>
        <v/>
      </c>
      <c r="BH66" t="str">
        <f ca="1">IF(AND(ISNUMBER($BH$574),$B$511=1),$BH$574,HLOOKUP(INDIRECT(ADDRESS(2,COLUMN())),OFFSET($BN$2,0,0,ROW()-1,60),ROW()-1,FALSE))</f>
        <v/>
      </c>
      <c r="BI66" t="str">
        <f ca="1">IF(AND(ISNUMBER($BI$574),$B$511=1),$BI$574,HLOOKUP(INDIRECT(ADDRESS(2,COLUMN())),OFFSET($BN$2,0,0,ROW()-1,60),ROW()-1,FALSE))</f>
        <v/>
      </c>
      <c r="BJ66" t="str">
        <f ca="1">IF(AND(ISNUMBER($BJ$574),$B$511=1),$BJ$574,HLOOKUP(INDIRECT(ADDRESS(2,COLUMN())),OFFSET($BN$2,0,0,ROW()-1,60),ROW()-1,FALSE))</f>
        <v/>
      </c>
      <c r="BK66" t="str">
        <f ca="1">IF(AND(ISNUMBER($BK$574),$B$511=1),$BK$574,HLOOKUP(INDIRECT(ADDRESS(2,COLUMN())),OFFSET($BN$2,0,0,ROW()-1,60),ROW()-1,FALSE))</f>
        <v/>
      </c>
      <c r="BL66" t="str">
        <f ca="1">IF(AND(ISNUMBER($BL$574),$B$511=1),$BL$574,HLOOKUP(INDIRECT(ADDRESS(2,COLUMN())),OFFSET($BN$2,0,0,ROW()-1,60),ROW()-1,FALSE))</f>
        <v/>
      </c>
      <c r="BM66" t="str">
        <f ca="1">IF(AND(ISNUMBER($BM$574),$B$511=1),$BM$574,HLOOKUP(INDIRECT(ADDRESS(2,COLUMN())),OFFSET($BN$2,0,0,ROW()-1,60),ROW()-1,FALSE))</f>
        <v/>
      </c>
      <c r="BN66">
        <f>4.106</f>
        <v>4.1059999999999999</v>
      </c>
      <c r="BO66">
        <f>4.26</f>
        <v>4.26</v>
      </c>
      <c r="BP66">
        <f>4.821</f>
        <v>4.8209999999999997</v>
      </c>
      <c r="BQ66">
        <f>4.873</f>
        <v>4.8730000000000002</v>
      </c>
      <c r="BR66">
        <f>5.208</f>
        <v>5.2080000000000002</v>
      </c>
      <c r="BS66">
        <f>6.008</f>
        <v>6.008</v>
      </c>
      <c r="BT66">
        <f>5.805</f>
        <v>5.8049999999999997</v>
      </c>
      <c r="BU66">
        <f>6.422</f>
        <v>6.4219999999999997</v>
      </c>
      <c r="BV66">
        <f>7.034</f>
        <v>7.0339999999999998</v>
      </c>
      <c r="BW66">
        <f>6.909</f>
        <v>6.9089999999999998</v>
      </c>
      <c r="BX66">
        <f>7.937</f>
        <v>7.9370000000000003</v>
      </c>
      <c r="BY66">
        <f>5.361</f>
        <v>5.3609999999999998</v>
      </c>
      <c r="BZ66">
        <f>5.903</f>
        <v>5.9029999999999996</v>
      </c>
      <c r="CA66">
        <f>6.19</f>
        <v>6.19</v>
      </c>
      <c r="CB66">
        <f>6.174</f>
        <v>6.1740000000000004</v>
      </c>
      <c r="CC66">
        <f>7.26</f>
        <v>7.26</v>
      </c>
      <c r="CD66">
        <f>8.172</f>
        <v>8.1720000000000006</v>
      </c>
      <c r="CE66" t="str">
        <f>""</f>
        <v/>
      </c>
      <c r="CF66" t="str">
        <f>""</f>
        <v/>
      </c>
      <c r="CG66" t="str">
        <f>""</f>
        <v/>
      </c>
      <c r="CH66" t="str">
        <f>""</f>
        <v/>
      </c>
      <c r="CI66" t="str">
        <f>""</f>
        <v/>
      </c>
      <c r="CJ66" t="str">
        <f>""</f>
        <v/>
      </c>
      <c r="CK66" t="str">
        <f>""</f>
        <v/>
      </c>
      <c r="CL66" t="str">
        <f>""</f>
        <v/>
      </c>
      <c r="CM66" t="str">
        <f>""</f>
        <v/>
      </c>
      <c r="CN66" t="str">
        <f>""</f>
        <v/>
      </c>
      <c r="CO66" t="str">
        <f>""</f>
        <v/>
      </c>
      <c r="CP66" t="str">
        <f>""</f>
        <v/>
      </c>
      <c r="CQ66" t="str">
        <f>""</f>
        <v/>
      </c>
      <c r="CR66" t="str">
        <f>""</f>
        <v/>
      </c>
      <c r="CS66" t="str">
        <f>""</f>
        <v/>
      </c>
      <c r="CT66" t="str">
        <f>""</f>
        <v/>
      </c>
      <c r="CU66" t="str">
        <f>""</f>
        <v/>
      </c>
      <c r="CV66" t="str">
        <f>""</f>
        <v/>
      </c>
      <c r="CW66" t="str">
        <f>""</f>
        <v/>
      </c>
      <c r="CX66" t="str">
        <f>""</f>
        <v/>
      </c>
      <c r="CY66" t="str">
        <f>""</f>
        <v/>
      </c>
      <c r="CZ66" t="str">
        <f>""</f>
        <v/>
      </c>
      <c r="DA66" t="str">
        <f>""</f>
        <v/>
      </c>
      <c r="DB66" t="str">
        <f>""</f>
        <v/>
      </c>
      <c r="DC66" t="str">
        <f>""</f>
        <v/>
      </c>
      <c r="DD66" t="str">
        <f>""</f>
        <v/>
      </c>
      <c r="DE66" t="str">
        <f>""</f>
        <v/>
      </c>
      <c r="DF66" t="str">
        <f>""</f>
        <v/>
      </c>
      <c r="DG66" t="str">
        <f>""</f>
        <v/>
      </c>
      <c r="DH66" t="str">
        <f>""</f>
        <v/>
      </c>
      <c r="DI66" t="str">
        <f>""</f>
        <v/>
      </c>
      <c r="DJ66" t="str">
        <f>""</f>
        <v/>
      </c>
      <c r="DK66" t="str">
        <f>""</f>
        <v/>
      </c>
      <c r="DL66" t="str">
        <f>""</f>
        <v/>
      </c>
      <c r="DM66" t="str">
        <f>""</f>
        <v/>
      </c>
      <c r="DN66" t="str">
        <f>""</f>
        <v/>
      </c>
      <c r="DO66" t="str">
        <f>""</f>
        <v/>
      </c>
      <c r="DP66" t="str">
        <f>""</f>
        <v/>
      </c>
      <c r="DQ66" t="str">
        <f>""</f>
        <v/>
      </c>
      <c r="DR66" t="str">
        <f>""</f>
        <v/>
      </c>
      <c r="DS66" t="str">
        <f>""</f>
        <v/>
      </c>
      <c r="DT66" t="str">
        <f>""</f>
        <v/>
      </c>
      <c r="DU66" t="str">
        <f>""</f>
        <v/>
      </c>
    </row>
    <row r="67" spans="1:125" x14ac:dyDescent="0.25">
      <c r="A67" t="str">
        <f>"    Mazda Motor Corp"</f>
        <v xml:space="preserve">    Mazda Motor Corp</v>
      </c>
      <c r="B67" t="str">
        <f>"7261 JP Equity"</f>
        <v>7261 JP Equity</v>
      </c>
      <c r="C67" t="str">
        <f t="shared" si="3"/>
        <v>EZ019</v>
      </c>
      <c r="D67" t="str">
        <f t="shared" si="4"/>
        <v>BEST_EEPS_CUR_YR</v>
      </c>
      <c r="E67" t="str">
        <f t="shared" si="5"/>
        <v>Dynamic</v>
      </c>
      <c r="F67">
        <f ca="1">IF(AND(ISNUMBER($F$575),$B$511=1),$F$575,HLOOKUP(INDIRECT(ADDRESS(2,COLUMN())),OFFSET($BN$2,0,0,ROW()-1,60),ROW()-1,FALSE))</f>
        <v>0.83899999999999997</v>
      </c>
      <c r="G67">
        <f ca="1">IF(AND(ISNUMBER($G$575),$B$511=1),$G$575,HLOOKUP(INDIRECT(ADDRESS(2,COLUMN())),OFFSET($BN$2,0,0,ROW()-1,60),ROW()-1,FALSE))</f>
        <v>0.83399999999999996</v>
      </c>
      <c r="H67">
        <f ca="1">IF(AND(ISNUMBER($H$575),$B$511=1),$H$575,HLOOKUP(INDIRECT(ADDRESS(2,COLUMN())),OFFSET($BN$2,0,0,ROW()-1,60),ROW()-1,FALSE))</f>
        <v>1.151</v>
      </c>
      <c r="I67">
        <f ca="1">IF(AND(ISNUMBER($I$575),$B$511=1),$I$575,HLOOKUP(INDIRECT(ADDRESS(2,COLUMN())),OFFSET($BN$2,0,0,ROW()-1,60),ROW()-1,FALSE))</f>
        <v>1.3089999999999999</v>
      </c>
      <c r="J67">
        <f ca="1">IF(AND(ISNUMBER($J$575),$B$511=1),$J$575,HLOOKUP(INDIRECT(ADDRESS(2,COLUMN())),OFFSET($BN$2,0,0,ROW()-1,60),ROW()-1,FALSE))</f>
        <v>1.6879999999999999</v>
      </c>
      <c r="K67">
        <f ca="1">IF(AND(ISNUMBER($K$575),$B$511=1),$K$575,HLOOKUP(INDIRECT(ADDRESS(2,COLUMN())),OFFSET($BN$2,0,0,ROW()-1,60),ROW()-1,FALSE))</f>
        <v>1.7450000000000001</v>
      </c>
      <c r="L67">
        <f ca="1">IF(AND(ISNUMBER($L$575),$B$511=1),$L$575,HLOOKUP(INDIRECT(ADDRESS(2,COLUMN())),OFFSET($BN$2,0,0,ROW()-1,60),ROW()-1,FALSE))</f>
        <v>1.954</v>
      </c>
      <c r="M67">
        <f ca="1">IF(AND(ISNUMBER($M$575),$B$511=1),$M$575,HLOOKUP(INDIRECT(ADDRESS(2,COLUMN())),OFFSET($BN$2,0,0,ROW()-1,60),ROW()-1,FALSE))</f>
        <v>1.923</v>
      </c>
      <c r="N67">
        <f ca="1">IF(AND(ISNUMBER($N$575),$B$511=1),$N$575,HLOOKUP(INDIRECT(ADDRESS(2,COLUMN())),OFFSET($BN$2,0,0,ROW()-1,60),ROW()-1,FALSE))</f>
        <v>2.2490000000000001</v>
      </c>
      <c r="O67">
        <f ca="1">IF(AND(ISNUMBER($O$575),$B$511=1),$O$575,HLOOKUP(INDIRECT(ADDRESS(2,COLUMN())),OFFSET($BN$2,0,0,ROW()-1,60),ROW()-1,FALSE))</f>
        <v>2.1480000000000001</v>
      </c>
      <c r="P67">
        <f ca="1">IF(AND(ISNUMBER($P$575),$B$511=1),$P$575,HLOOKUP(INDIRECT(ADDRESS(2,COLUMN())),OFFSET($BN$2,0,0,ROW()-1,60),ROW()-1,FALSE))</f>
        <v>2.4209999999999998</v>
      </c>
      <c r="Q67">
        <f ca="1">IF(AND(ISNUMBER($Q$575),$B$511=1),$Q$575,HLOOKUP(INDIRECT(ADDRESS(2,COLUMN())),OFFSET($BN$2,0,0,ROW()-1,60),ROW()-1,FALSE))</f>
        <v>2.6549999999999998</v>
      </c>
      <c r="R67">
        <f ca="1">IF(AND(ISNUMBER($R$575),$B$511=1),$R$575,HLOOKUP(INDIRECT(ADDRESS(2,COLUMN())),OFFSET($BN$2,0,0,ROW()-1,60),ROW()-1,FALSE))</f>
        <v>2.77</v>
      </c>
      <c r="S67">
        <f ca="1">IF(AND(ISNUMBER($S$575),$B$511=1),$S$575,HLOOKUP(INDIRECT(ADDRESS(2,COLUMN())),OFFSET($BN$2,0,0,ROW()-1,60),ROW()-1,FALSE))</f>
        <v>3.2669999999999999</v>
      </c>
      <c r="T67">
        <f ca="1">IF(AND(ISNUMBER($T$575),$B$511=1),$T$575,HLOOKUP(INDIRECT(ADDRESS(2,COLUMN())),OFFSET($BN$2,0,0,ROW()-1,60),ROW()-1,FALSE))</f>
        <v>2.8650000000000002</v>
      </c>
      <c r="U67">
        <f ca="1">IF(AND(ISNUMBER($U$575),$B$511=1),$U$575,HLOOKUP(INDIRECT(ADDRESS(2,COLUMN())),OFFSET($BN$2,0,0,ROW()-1,60),ROW()-1,FALSE))</f>
        <v>3.03</v>
      </c>
      <c r="V67">
        <f ca="1">IF(AND(ISNUMBER($V$575),$B$511=1),$V$575,HLOOKUP(INDIRECT(ADDRESS(2,COLUMN())),OFFSET($BN$2,0,0,ROW()-1,60),ROW()-1,FALSE))</f>
        <v>2.68</v>
      </c>
      <c r="W67">
        <f ca="1">IF(AND(ISNUMBER($W$575),$B$511=1),$W$575,HLOOKUP(INDIRECT(ADDRESS(2,COLUMN())),OFFSET($BN$2,0,0,ROW()-1,60),ROW()-1,FALSE))</f>
        <v>3.0990000000000002</v>
      </c>
      <c r="X67">
        <f ca="1">IF(AND(ISNUMBER($X$575),$B$511=1),$X$575,HLOOKUP(INDIRECT(ADDRESS(2,COLUMN())),OFFSET($BN$2,0,0,ROW()-1,60),ROW()-1,FALSE))</f>
        <v>3.4729999999999999</v>
      </c>
      <c r="Y67">
        <f ca="1">IF(AND(ISNUMBER($Y$575),$B$511=1),$Y$575,HLOOKUP(INDIRECT(ADDRESS(2,COLUMN())),OFFSET($BN$2,0,0,ROW()-1,60),ROW()-1,FALSE))</f>
        <v>3.2309999999999999</v>
      </c>
      <c r="Z67" t="str">
        <f ca="1">IF(AND(ISNUMBER($Z$575),$B$511=1),$Z$575,HLOOKUP(INDIRECT(ADDRESS(2,COLUMN())),OFFSET($BN$2,0,0,ROW()-1,60),ROW()-1,FALSE))</f>
        <v/>
      </c>
      <c r="AA67" t="str">
        <f ca="1">IF(AND(ISNUMBER($AA$575),$B$511=1),$AA$575,HLOOKUP(INDIRECT(ADDRESS(2,COLUMN())),OFFSET($BN$2,0,0,ROW()-1,60),ROW()-1,FALSE))</f>
        <v/>
      </c>
      <c r="AB67" t="str">
        <f ca="1">IF(AND(ISNUMBER($AB$575),$B$511=1),$AB$575,HLOOKUP(INDIRECT(ADDRESS(2,COLUMN())),OFFSET($BN$2,0,0,ROW()-1,60),ROW()-1,FALSE))</f>
        <v/>
      </c>
      <c r="AC67" t="str">
        <f ca="1">IF(AND(ISNUMBER($AC$575),$B$511=1),$AC$575,HLOOKUP(INDIRECT(ADDRESS(2,COLUMN())),OFFSET($BN$2,0,0,ROW()-1,60),ROW()-1,FALSE))</f>
        <v/>
      </c>
      <c r="AD67" t="str">
        <f ca="1">IF(AND(ISNUMBER($AD$575),$B$511=1),$AD$575,HLOOKUP(INDIRECT(ADDRESS(2,COLUMN())),OFFSET($BN$2,0,0,ROW()-1,60),ROW()-1,FALSE))</f>
        <v/>
      </c>
      <c r="AE67" t="str">
        <f ca="1">IF(AND(ISNUMBER($AE$575),$B$511=1),$AE$575,HLOOKUP(INDIRECT(ADDRESS(2,COLUMN())),OFFSET($BN$2,0,0,ROW()-1,60),ROW()-1,FALSE))</f>
        <v/>
      </c>
      <c r="AF67" t="str">
        <f ca="1">IF(AND(ISNUMBER($AF$575),$B$511=1),$AF$575,HLOOKUP(INDIRECT(ADDRESS(2,COLUMN())),OFFSET($BN$2,0,0,ROW()-1,60),ROW()-1,FALSE))</f>
        <v/>
      </c>
      <c r="AG67" t="str">
        <f ca="1">IF(AND(ISNUMBER($AG$575),$B$511=1),$AG$575,HLOOKUP(INDIRECT(ADDRESS(2,COLUMN())),OFFSET($BN$2,0,0,ROW()-1,60),ROW()-1,FALSE))</f>
        <v/>
      </c>
      <c r="AH67" t="str">
        <f ca="1">IF(AND(ISNUMBER($AH$575),$B$511=1),$AH$575,HLOOKUP(INDIRECT(ADDRESS(2,COLUMN())),OFFSET($BN$2,0,0,ROW()-1,60),ROW()-1,FALSE))</f>
        <v/>
      </c>
      <c r="AI67" t="str">
        <f ca="1">IF(AND(ISNUMBER($AI$575),$B$511=1),$AI$575,HLOOKUP(INDIRECT(ADDRESS(2,COLUMN())),OFFSET($BN$2,0,0,ROW()-1,60),ROW()-1,FALSE))</f>
        <v/>
      </c>
      <c r="AJ67" t="str">
        <f ca="1">IF(AND(ISNUMBER($AJ$575),$B$511=1),$AJ$575,HLOOKUP(INDIRECT(ADDRESS(2,COLUMN())),OFFSET($BN$2,0,0,ROW()-1,60),ROW()-1,FALSE))</f>
        <v/>
      </c>
      <c r="AK67" t="str">
        <f ca="1">IF(AND(ISNUMBER($AK$575),$B$511=1),$AK$575,HLOOKUP(INDIRECT(ADDRESS(2,COLUMN())),OFFSET($BN$2,0,0,ROW()-1,60),ROW()-1,FALSE))</f>
        <v/>
      </c>
      <c r="AL67" t="str">
        <f ca="1">IF(AND(ISNUMBER($AL$575),$B$511=1),$AL$575,HLOOKUP(INDIRECT(ADDRESS(2,COLUMN())),OFFSET($BN$2,0,0,ROW()-1,60),ROW()-1,FALSE))</f>
        <v/>
      </c>
      <c r="AM67" t="str">
        <f ca="1">IF(AND(ISNUMBER($AM$575),$B$511=1),$AM$575,HLOOKUP(INDIRECT(ADDRESS(2,COLUMN())),OFFSET($BN$2,0,0,ROW()-1,60),ROW()-1,FALSE))</f>
        <v/>
      </c>
      <c r="AN67" t="str">
        <f ca="1">IF(AND(ISNUMBER($AN$575),$B$511=1),$AN$575,HLOOKUP(INDIRECT(ADDRESS(2,COLUMN())),OFFSET($BN$2,0,0,ROW()-1,60),ROW()-1,FALSE))</f>
        <v/>
      </c>
      <c r="AO67" t="str">
        <f ca="1">IF(AND(ISNUMBER($AO$575),$B$511=1),$AO$575,HLOOKUP(INDIRECT(ADDRESS(2,COLUMN())),OFFSET($BN$2,0,0,ROW()-1,60),ROW()-1,FALSE))</f>
        <v/>
      </c>
      <c r="AP67" t="str">
        <f ca="1">IF(AND(ISNUMBER($AP$575),$B$511=1),$AP$575,HLOOKUP(INDIRECT(ADDRESS(2,COLUMN())),OFFSET($BN$2,0,0,ROW()-1,60),ROW()-1,FALSE))</f>
        <v/>
      </c>
      <c r="AQ67" t="str">
        <f ca="1">IF(AND(ISNUMBER($AQ$575),$B$511=1),$AQ$575,HLOOKUP(INDIRECT(ADDRESS(2,COLUMN())),OFFSET($BN$2,0,0,ROW()-1,60),ROW()-1,FALSE))</f>
        <v/>
      </c>
      <c r="AR67" t="str">
        <f ca="1">IF(AND(ISNUMBER($AR$575),$B$511=1),$AR$575,HLOOKUP(INDIRECT(ADDRESS(2,COLUMN())),OFFSET($BN$2,0,0,ROW()-1,60),ROW()-1,FALSE))</f>
        <v/>
      </c>
      <c r="AS67" t="str">
        <f ca="1">IF(AND(ISNUMBER($AS$575),$B$511=1),$AS$575,HLOOKUP(INDIRECT(ADDRESS(2,COLUMN())),OFFSET($BN$2,0,0,ROW()-1,60),ROW()-1,FALSE))</f>
        <v/>
      </c>
      <c r="AT67" t="str">
        <f ca="1">IF(AND(ISNUMBER($AT$575),$B$511=1),$AT$575,HLOOKUP(INDIRECT(ADDRESS(2,COLUMN())),OFFSET($BN$2,0,0,ROW()-1,60),ROW()-1,FALSE))</f>
        <v/>
      </c>
      <c r="AU67" t="str">
        <f ca="1">IF(AND(ISNUMBER($AU$575),$B$511=1),$AU$575,HLOOKUP(INDIRECT(ADDRESS(2,COLUMN())),OFFSET($BN$2,0,0,ROW()-1,60),ROW()-1,FALSE))</f>
        <v/>
      </c>
      <c r="AV67" t="str">
        <f ca="1">IF(AND(ISNUMBER($AV$575),$B$511=1),$AV$575,HLOOKUP(INDIRECT(ADDRESS(2,COLUMN())),OFFSET($BN$2,0,0,ROW()-1,60),ROW()-1,FALSE))</f>
        <v/>
      </c>
      <c r="AW67" t="str">
        <f ca="1">IF(AND(ISNUMBER($AW$575),$B$511=1),$AW$575,HLOOKUP(INDIRECT(ADDRESS(2,COLUMN())),OFFSET($BN$2,0,0,ROW()-1,60),ROW()-1,FALSE))</f>
        <v/>
      </c>
      <c r="AX67" t="str">
        <f ca="1">IF(AND(ISNUMBER($AX$575),$B$511=1),$AX$575,HLOOKUP(INDIRECT(ADDRESS(2,COLUMN())),OFFSET($BN$2,0,0,ROW()-1,60),ROW()-1,FALSE))</f>
        <v/>
      </c>
      <c r="AY67" t="str">
        <f ca="1">IF(AND(ISNUMBER($AY$575),$B$511=1),$AY$575,HLOOKUP(INDIRECT(ADDRESS(2,COLUMN())),OFFSET($BN$2,0,0,ROW()-1,60),ROW()-1,FALSE))</f>
        <v/>
      </c>
      <c r="AZ67" t="str">
        <f ca="1">IF(AND(ISNUMBER($AZ$575),$B$511=1),$AZ$575,HLOOKUP(INDIRECT(ADDRESS(2,COLUMN())),OFFSET($BN$2,0,0,ROW()-1,60),ROW()-1,FALSE))</f>
        <v/>
      </c>
      <c r="BA67" t="str">
        <f ca="1">IF(AND(ISNUMBER($BA$575),$B$511=1),$BA$575,HLOOKUP(INDIRECT(ADDRESS(2,COLUMN())),OFFSET($BN$2,0,0,ROW()-1,60),ROW()-1,FALSE))</f>
        <v/>
      </c>
      <c r="BB67" t="str">
        <f ca="1">IF(AND(ISNUMBER($BB$575),$B$511=1),$BB$575,HLOOKUP(INDIRECT(ADDRESS(2,COLUMN())),OFFSET($BN$2,0,0,ROW()-1,60),ROW()-1,FALSE))</f>
        <v/>
      </c>
      <c r="BC67" t="str">
        <f ca="1">IF(AND(ISNUMBER($BC$575),$B$511=1),$BC$575,HLOOKUP(INDIRECT(ADDRESS(2,COLUMN())),OFFSET($BN$2,0,0,ROW()-1,60),ROW()-1,FALSE))</f>
        <v/>
      </c>
      <c r="BD67" t="str">
        <f ca="1">IF(AND(ISNUMBER($BD$575),$B$511=1),$BD$575,HLOOKUP(INDIRECT(ADDRESS(2,COLUMN())),OFFSET($BN$2,0,0,ROW()-1,60),ROW()-1,FALSE))</f>
        <v/>
      </c>
      <c r="BE67" t="str">
        <f ca="1">IF(AND(ISNUMBER($BE$575),$B$511=1),$BE$575,HLOOKUP(INDIRECT(ADDRESS(2,COLUMN())),OFFSET($BN$2,0,0,ROW()-1,60),ROW()-1,FALSE))</f>
        <v/>
      </c>
      <c r="BF67" t="str">
        <f ca="1">IF(AND(ISNUMBER($BF$575),$B$511=1),$BF$575,HLOOKUP(INDIRECT(ADDRESS(2,COLUMN())),OFFSET($BN$2,0,0,ROW()-1,60),ROW()-1,FALSE))</f>
        <v/>
      </c>
      <c r="BG67" t="str">
        <f ca="1">IF(AND(ISNUMBER($BG$575),$B$511=1),$BG$575,HLOOKUP(INDIRECT(ADDRESS(2,COLUMN())),OFFSET($BN$2,0,0,ROW()-1,60),ROW()-1,FALSE))</f>
        <v/>
      </c>
      <c r="BH67" t="str">
        <f ca="1">IF(AND(ISNUMBER($BH$575),$B$511=1),$BH$575,HLOOKUP(INDIRECT(ADDRESS(2,COLUMN())),OFFSET($BN$2,0,0,ROW()-1,60),ROW()-1,FALSE))</f>
        <v/>
      </c>
      <c r="BI67" t="str">
        <f ca="1">IF(AND(ISNUMBER($BI$575),$B$511=1),$BI$575,HLOOKUP(INDIRECT(ADDRESS(2,COLUMN())),OFFSET($BN$2,0,0,ROW()-1,60),ROW()-1,FALSE))</f>
        <v/>
      </c>
      <c r="BJ67" t="str">
        <f ca="1">IF(AND(ISNUMBER($BJ$575),$B$511=1),$BJ$575,HLOOKUP(INDIRECT(ADDRESS(2,COLUMN())),OFFSET($BN$2,0,0,ROW()-1,60),ROW()-1,FALSE))</f>
        <v/>
      </c>
      <c r="BK67" t="str">
        <f ca="1">IF(AND(ISNUMBER($BK$575),$B$511=1),$BK$575,HLOOKUP(INDIRECT(ADDRESS(2,COLUMN())),OFFSET($BN$2,0,0,ROW()-1,60),ROW()-1,FALSE))</f>
        <v/>
      </c>
      <c r="BL67" t="str">
        <f ca="1">IF(AND(ISNUMBER($BL$575),$B$511=1),$BL$575,HLOOKUP(INDIRECT(ADDRESS(2,COLUMN())),OFFSET($BN$2,0,0,ROW()-1,60),ROW()-1,FALSE))</f>
        <v/>
      </c>
      <c r="BM67" t="str">
        <f ca="1">IF(AND(ISNUMBER($BM$575),$B$511=1),$BM$575,HLOOKUP(INDIRECT(ADDRESS(2,COLUMN())),OFFSET($BN$2,0,0,ROW()-1,60),ROW()-1,FALSE))</f>
        <v/>
      </c>
      <c r="BN67">
        <f>0.839</f>
        <v>0.83899999999999997</v>
      </c>
      <c r="BO67">
        <f>0.834</f>
        <v>0.83399999999999996</v>
      </c>
      <c r="BP67">
        <f>1.151</f>
        <v>1.151</v>
      </c>
      <c r="BQ67">
        <f>1.309</f>
        <v>1.3089999999999999</v>
      </c>
      <c r="BR67">
        <f>1.688</f>
        <v>1.6879999999999999</v>
      </c>
      <c r="BS67">
        <f>1.745</f>
        <v>1.7450000000000001</v>
      </c>
      <c r="BT67">
        <f>1.954</f>
        <v>1.954</v>
      </c>
      <c r="BU67">
        <f>1.923</f>
        <v>1.923</v>
      </c>
      <c r="BV67">
        <f>2.249</f>
        <v>2.2490000000000001</v>
      </c>
      <c r="BW67">
        <f>2.148</f>
        <v>2.1480000000000001</v>
      </c>
      <c r="BX67">
        <f>2.421</f>
        <v>2.4209999999999998</v>
      </c>
      <c r="BY67">
        <f>2.655</f>
        <v>2.6549999999999998</v>
      </c>
      <c r="BZ67">
        <f>2.77</f>
        <v>2.77</v>
      </c>
      <c r="CA67">
        <f>3.267</f>
        <v>3.2669999999999999</v>
      </c>
      <c r="CB67">
        <f>2.865</f>
        <v>2.8650000000000002</v>
      </c>
      <c r="CC67">
        <f>3.03</f>
        <v>3.03</v>
      </c>
      <c r="CD67">
        <f>2.68</f>
        <v>2.68</v>
      </c>
      <c r="CE67">
        <f>3.099</f>
        <v>3.0990000000000002</v>
      </c>
      <c r="CF67">
        <f>3.473</f>
        <v>3.4729999999999999</v>
      </c>
      <c r="CG67">
        <f>3.231</f>
        <v>3.2309999999999999</v>
      </c>
      <c r="CH67" t="str">
        <f>""</f>
        <v/>
      </c>
      <c r="CI67" t="str">
        <f>""</f>
        <v/>
      </c>
      <c r="CJ67" t="str">
        <f>""</f>
        <v/>
      </c>
      <c r="CK67" t="str">
        <f>""</f>
        <v/>
      </c>
      <c r="CL67" t="str">
        <f>""</f>
        <v/>
      </c>
      <c r="CM67" t="str">
        <f>""</f>
        <v/>
      </c>
      <c r="CN67" t="str">
        <f>""</f>
        <v/>
      </c>
      <c r="CO67" t="str">
        <f>""</f>
        <v/>
      </c>
      <c r="CP67" t="str">
        <f>""</f>
        <v/>
      </c>
      <c r="CQ67" t="str">
        <f>""</f>
        <v/>
      </c>
      <c r="CR67" t="str">
        <f>""</f>
        <v/>
      </c>
      <c r="CS67" t="str">
        <f>""</f>
        <v/>
      </c>
      <c r="CT67" t="str">
        <f>""</f>
        <v/>
      </c>
      <c r="CU67" t="str">
        <f>""</f>
        <v/>
      </c>
      <c r="CV67" t="str">
        <f>""</f>
        <v/>
      </c>
      <c r="CW67" t="str">
        <f>""</f>
        <v/>
      </c>
      <c r="CX67" t="str">
        <f>""</f>
        <v/>
      </c>
      <c r="CY67" t="str">
        <f>""</f>
        <v/>
      </c>
      <c r="CZ67" t="str">
        <f>""</f>
        <v/>
      </c>
      <c r="DA67" t="str">
        <f>""</f>
        <v/>
      </c>
      <c r="DB67" t="str">
        <f>""</f>
        <v/>
      </c>
      <c r="DC67" t="str">
        <f>""</f>
        <v/>
      </c>
      <c r="DD67" t="str">
        <f>""</f>
        <v/>
      </c>
      <c r="DE67" t="str">
        <f>""</f>
        <v/>
      </c>
      <c r="DF67" t="str">
        <f>""</f>
        <v/>
      </c>
      <c r="DG67" t="str">
        <f>""</f>
        <v/>
      </c>
      <c r="DH67" t="str">
        <f>""</f>
        <v/>
      </c>
      <c r="DI67" t="str">
        <f>""</f>
        <v/>
      </c>
      <c r="DJ67" t="str">
        <f>""</f>
        <v/>
      </c>
      <c r="DK67" t="str">
        <f>""</f>
        <v/>
      </c>
      <c r="DL67" t="str">
        <f>""</f>
        <v/>
      </c>
      <c r="DM67" t="str">
        <f>""</f>
        <v/>
      </c>
      <c r="DN67" t="str">
        <f>""</f>
        <v/>
      </c>
      <c r="DO67" t="str">
        <f>""</f>
        <v/>
      </c>
      <c r="DP67" t="str">
        <f>""</f>
        <v/>
      </c>
      <c r="DQ67" t="str">
        <f>""</f>
        <v/>
      </c>
      <c r="DR67" t="str">
        <f>""</f>
        <v/>
      </c>
      <c r="DS67" t="str">
        <f>""</f>
        <v/>
      </c>
      <c r="DT67" t="str">
        <f>""</f>
        <v/>
      </c>
      <c r="DU67" t="str">
        <f>""</f>
        <v/>
      </c>
    </row>
    <row r="68" spans="1:125" x14ac:dyDescent="0.25">
      <c r="A68" t="str">
        <f>"    Mitsubishi Motors Corp"</f>
        <v xml:space="preserve">    Mitsubishi Motors Corp</v>
      </c>
      <c r="B68" t="str">
        <f>"7211 JP Equity"</f>
        <v>7211 JP Equity</v>
      </c>
      <c r="C68" t="str">
        <f t="shared" si="3"/>
        <v>EZ019</v>
      </c>
      <c r="D68" t="str">
        <f t="shared" si="4"/>
        <v>BEST_EEPS_CUR_YR</v>
      </c>
      <c r="E68" t="str">
        <f t="shared" si="5"/>
        <v>Dynamic</v>
      </c>
      <c r="F68">
        <f ca="1">IF(AND(ISNUMBER($F$576),$B$511=1),$F$576,HLOOKUP(INDIRECT(ADDRESS(2,COLUMN())),OFFSET($BN$2,0,0,ROW()-1,60),ROW()-1,FALSE))</f>
        <v>0.67</v>
      </c>
      <c r="G68">
        <f ca="1">IF(AND(ISNUMBER($G$576),$B$511=1),$G$576,HLOOKUP(INDIRECT(ADDRESS(2,COLUMN())),OFFSET($BN$2,0,0,ROW()-1,60),ROW()-1,FALSE))</f>
        <v>0.67700000000000005</v>
      </c>
      <c r="H68">
        <f ca="1">IF(AND(ISNUMBER($H$576),$B$511=1),$H$576,HLOOKUP(INDIRECT(ADDRESS(2,COLUMN())),OFFSET($BN$2,0,0,ROW()-1,60),ROW()-1,FALSE))</f>
        <v>0.68400000000000005</v>
      </c>
      <c r="I68">
        <f ca="1">IF(AND(ISNUMBER($I$576),$B$511=1),$I$576,HLOOKUP(INDIRECT(ADDRESS(2,COLUMN())),OFFSET($BN$2,0,0,ROW()-1,60),ROW()-1,FALSE))</f>
        <v>0.69</v>
      </c>
      <c r="J68">
        <f ca="1">IF(AND(ISNUMBER($J$576),$B$511=1),$J$576,HLOOKUP(INDIRECT(ADDRESS(2,COLUMN())),OFFSET($BN$2,0,0,ROW()-1,60),ROW()-1,FALSE))</f>
        <v>0.64500000000000002</v>
      </c>
      <c r="K68">
        <f ca="1">IF(AND(ISNUMBER($K$576),$B$511=1),$K$576,HLOOKUP(INDIRECT(ADDRESS(2,COLUMN())),OFFSET($BN$2,0,0,ROW()-1,60),ROW()-1,FALSE))</f>
        <v>0.61599999999999999</v>
      </c>
      <c r="L68">
        <f ca="1">IF(AND(ISNUMBER($L$576),$B$511=1),$L$576,HLOOKUP(INDIRECT(ADDRESS(2,COLUMN())),OFFSET($BN$2,0,0,ROW()-1,60),ROW()-1,FALSE))</f>
        <v>0.59499999999999997</v>
      </c>
      <c r="M68">
        <f ca="1">IF(AND(ISNUMBER($M$576),$B$511=1),$M$576,HLOOKUP(INDIRECT(ADDRESS(2,COLUMN())),OFFSET($BN$2,0,0,ROW()-1,60),ROW()-1,FALSE))</f>
        <v>0.49</v>
      </c>
      <c r="N68">
        <f ca="1">IF(AND(ISNUMBER($N$576),$B$511=1),$N$576,HLOOKUP(INDIRECT(ADDRESS(2,COLUMN())),OFFSET($BN$2,0,0,ROW()-1,60),ROW()-1,FALSE))</f>
        <v>0.54700000000000004</v>
      </c>
      <c r="O68">
        <f ca="1">IF(AND(ISNUMBER($O$576),$B$511=1),$O$576,HLOOKUP(INDIRECT(ADDRESS(2,COLUMN())),OFFSET($BN$2,0,0,ROW()-1,60),ROW()-1,FALSE))</f>
        <v>0.42399999999999999</v>
      </c>
      <c r="P68">
        <f ca="1">IF(AND(ISNUMBER($P$576),$B$511=1),$P$576,HLOOKUP(INDIRECT(ADDRESS(2,COLUMN())),OFFSET($BN$2,0,0,ROW()-1,60),ROW()-1,FALSE))</f>
        <v>0.433</v>
      </c>
      <c r="Q68">
        <f ca="1">IF(AND(ISNUMBER($Q$576),$B$511=1),$Q$576,HLOOKUP(INDIRECT(ADDRESS(2,COLUMN())),OFFSET($BN$2,0,0,ROW()-1,60),ROW()-1,FALSE))</f>
        <v>0.53600000000000003</v>
      </c>
      <c r="R68" t="str">
        <f ca="1">IF(AND(ISNUMBER($R$576),$B$511=1),$R$576,HLOOKUP(INDIRECT(ADDRESS(2,COLUMN())),OFFSET($BN$2,0,0,ROW()-1,60),ROW()-1,FALSE))</f>
        <v/>
      </c>
      <c r="S68" t="str">
        <f ca="1">IF(AND(ISNUMBER($S$576),$B$511=1),$S$576,HLOOKUP(INDIRECT(ADDRESS(2,COLUMN())),OFFSET($BN$2,0,0,ROW()-1,60),ROW()-1,FALSE))</f>
        <v/>
      </c>
      <c r="T68" t="str">
        <f ca="1">IF(AND(ISNUMBER($T$576),$B$511=1),$T$576,HLOOKUP(INDIRECT(ADDRESS(2,COLUMN())),OFFSET($BN$2,0,0,ROW()-1,60),ROW()-1,FALSE))</f>
        <v/>
      </c>
      <c r="U68" t="str">
        <f ca="1">IF(AND(ISNUMBER($U$576),$B$511=1),$U$576,HLOOKUP(INDIRECT(ADDRESS(2,COLUMN())),OFFSET($BN$2,0,0,ROW()-1,60),ROW()-1,FALSE))</f>
        <v/>
      </c>
      <c r="V68" t="str">
        <f ca="1">IF(AND(ISNUMBER($V$576),$B$511=1),$V$576,HLOOKUP(INDIRECT(ADDRESS(2,COLUMN())),OFFSET($BN$2,0,0,ROW()-1,60),ROW()-1,FALSE))</f>
        <v/>
      </c>
      <c r="W68" t="str">
        <f ca="1">IF(AND(ISNUMBER($W$576),$B$511=1),$W$576,HLOOKUP(INDIRECT(ADDRESS(2,COLUMN())),OFFSET($BN$2,0,0,ROW()-1,60),ROW()-1,FALSE))</f>
        <v/>
      </c>
      <c r="X68" t="str">
        <f ca="1">IF(AND(ISNUMBER($X$576),$B$511=1),$X$576,HLOOKUP(INDIRECT(ADDRESS(2,COLUMN())),OFFSET($BN$2,0,0,ROW()-1,60),ROW()-1,FALSE))</f>
        <v/>
      </c>
      <c r="Y68" t="str">
        <f ca="1">IF(AND(ISNUMBER($Y$576),$B$511=1),$Y$576,HLOOKUP(INDIRECT(ADDRESS(2,COLUMN())),OFFSET($BN$2,0,0,ROW()-1,60),ROW()-1,FALSE))</f>
        <v/>
      </c>
      <c r="Z68" t="str">
        <f ca="1">IF(AND(ISNUMBER($Z$576),$B$511=1),$Z$576,HLOOKUP(INDIRECT(ADDRESS(2,COLUMN())),OFFSET($BN$2,0,0,ROW()-1,60),ROW()-1,FALSE))</f>
        <v/>
      </c>
      <c r="AA68" t="str">
        <f ca="1">IF(AND(ISNUMBER($AA$576),$B$511=1),$AA$576,HLOOKUP(INDIRECT(ADDRESS(2,COLUMN())),OFFSET($BN$2,0,0,ROW()-1,60),ROW()-1,FALSE))</f>
        <v/>
      </c>
      <c r="AB68" t="str">
        <f ca="1">IF(AND(ISNUMBER($AB$576),$B$511=1),$AB$576,HLOOKUP(INDIRECT(ADDRESS(2,COLUMN())),OFFSET($BN$2,0,0,ROW()-1,60),ROW()-1,FALSE))</f>
        <v/>
      </c>
      <c r="AC68" t="str">
        <f ca="1">IF(AND(ISNUMBER($AC$576),$B$511=1),$AC$576,HLOOKUP(INDIRECT(ADDRESS(2,COLUMN())),OFFSET($BN$2,0,0,ROW()-1,60),ROW()-1,FALSE))</f>
        <v/>
      </c>
      <c r="AD68" t="str">
        <f ca="1">IF(AND(ISNUMBER($AD$576),$B$511=1),$AD$576,HLOOKUP(INDIRECT(ADDRESS(2,COLUMN())),OFFSET($BN$2,0,0,ROW()-1,60),ROW()-1,FALSE))</f>
        <v/>
      </c>
      <c r="AE68" t="str">
        <f ca="1">IF(AND(ISNUMBER($AE$576),$B$511=1),$AE$576,HLOOKUP(INDIRECT(ADDRESS(2,COLUMN())),OFFSET($BN$2,0,0,ROW()-1,60),ROW()-1,FALSE))</f>
        <v/>
      </c>
      <c r="AF68" t="str">
        <f ca="1">IF(AND(ISNUMBER($AF$576),$B$511=1),$AF$576,HLOOKUP(INDIRECT(ADDRESS(2,COLUMN())),OFFSET($BN$2,0,0,ROW()-1,60),ROW()-1,FALSE))</f>
        <v/>
      </c>
      <c r="AG68" t="str">
        <f ca="1">IF(AND(ISNUMBER($AG$576),$B$511=1),$AG$576,HLOOKUP(INDIRECT(ADDRESS(2,COLUMN())),OFFSET($BN$2,0,0,ROW()-1,60),ROW()-1,FALSE))</f>
        <v/>
      </c>
      <c r="AH68" t="str">
        <f ca="1">IF(AND(ISNUMBER($AH$576),$B$511=1),$AH$576,HLOOKUP(INDIRECT(ADDRESS(2,COLUMN())),OFFSET($BN$2,0,0,ROW()-1,60),ROW()-1,FALSE))</f>
        <v/>
      </c>
      <c r="AI68" t="str">
        <f ca="1">IF(AND(ISNUMBER($AI$576),$B$511=1),$AI$576,HLOOKUP(INDIRECT(ADDRESS(2,COLUMN())),OFFSET($BN$2,0,0,ROW()-1,60),ROW()-1,FALSE))</f>
        <v/>
      </c>
      <c r="AJ68" t="str">
        <f ca="1">IF(AND(ISNUMBER($AJ$576),$B$511=1),$AJ$576,HLOOKUP(INDIRECT(ADDRESS(2,COLUMN())),OFFSET($BN$2,0,0,ROW()-1,60),ROW()-1,FALSE))</f>
        <v/>
      </c>
      <c r="AK68" t="str">
        <f ca="1">IF(AND(ISNUMBER($AK$576),$B$511=1),$AK$576,HLOOKUP(INDIRECT(ADDRESS(2,COLUMN())),OFFSET($BN$2,0,0,ROW()-1,60),ROW()-1,FALSE))</f>
        <v/>
      </c>
      <c r="AL68" t="str">
        <f ca="1">IF(AND(ISNUMBER($AL$576),$B$511=1),$AL$576,HLOOKUP(INDIRECT(ADDRESS(2,COLUMN())),OFFSET($BN$2,0,0,ROW()-1,60),ROW()-1,FALSE))</f>
        <v/>
      </c>
      <c r="AM68" t="str">
        <f ca="1">IF(AND(ISNUMBER($AM$576),$B$511=1),$AM$576,HLOOKUP(INDIRECT(ADDRESS(2,COLUMN())),OFFSET($BN$2,0,0,ROW()-1,60),ROW()-1,FALSE))</f>
        <v/>
      </c>
      <c r="AN68" t="str">
        <f ca="1">IF(AND(ISNUMBER($AN$576),$B$511=1),$AN$576,HLOOKUP(INDIRECT(ADDRESS(2,COLUMN())),OFFSET($BN$2,0,0,ROW()-1,60),ROW()-1,FALSE))</f>
        <v/>
      </c>
      <c r="AO68" t="str">
        <f ca="1">IF(AND(ISNUMBER($AO$576),$B$511=1),$AO$576,HLOOKUP(INDIRECT(ADDRESS(2,COLUMN())),OFFSET($BN$2,0,0,ROW()-1,60),ROW()-1,FALSE))</f>
        <v/>
      </c>
      <c r="AP68" t="str">
        <f ca="1">IF(AND(ISNUMBER($AP$576),$B$511=1),$AP$576,HLOOKUP(INDIRECT(ADDRESS(2,COLUMN())),OFFSET($BN$2,0,0,ROW()-1,60),ROW()-1,FALSE))</f>
        <v/>
      </c>
      <c r="AQ68" t="str">
        <f ca="1">IF(AND(ISNUMBER($AQ$576),$B$511=1),$AQ$576,HLOOKUP(INDIRECT(ADDRESS(2,COLUMN())),OFFSET($BN$2,0,0,ROW()-1,60),ROW()-1,FALSE))</f>
        <v/>
      </c>
      <c r="AR68" t="str">
        <f ca="1">IF(AND(ISNUMBER($AR$576),$B$511=1),$AR$576,HLOOKUP(INDIRECT(ADDRESS(2,COLUMN())),OFFSET($BN$2,0,0,ROW()-1,60),ROW()-1,FALSE))</f>
        <v/>
      </c>
      <c r="AS68" t="str">
        <f ca="1">IF(AND(ISNUMBER($AS$576),$B$511=1),$AS$576,HLOOKUP(INDIRECT(ADDRESS(2,COLUMN())),OFFSET($BN$2,0,0,ROW()-1,60),ROW()-1,FALSE))</f>
        <v/>
      </c>
      <c r="AT68" t="str">
        <f ca="1">IF(AND(ISNUMBER($AT$576),$B$511=1),$AT$576,HLOOKUP(INDIRECT(ADDRESS(2,COLUMN())),OFFSET($BN$2,0,0,ROW()-1,60),ROW()-1,FALSE))</f>
        <v/>
      </c>
      <c r="AU68" t="str">
        <f ca="1">IF(AND(ISNUMBER($AU$576),$B$511=1),$AU$576,HLOOKUP(INDIRECT(ADDRESS(2,COLUMN())),OFFSET($BN$2,0,0,ROW()-1,60),ROW()-1,FALSE))</f>
        <v/>
      </c>
      <c r="AV68" t="str">
        <f ca="1">IF(AND(ISNUMBER($AV$576),$B$511=1),$AV$576,HLOOKUP(INDIRECT(ADDRESS(2,COLUMN())),OFFSET($BN$2,0,0,ROW()-1,60),ROW()-1,FALSE))</f>
        <v/>
      </c>
      <c r="AW68" t="str">
        <f ca="1">IF(AND(ISNUMBER($AW$576),$B$511=1),$AW$576,HLOOKUP(INDIRECT(ADDRESS(2,COLUMN())),OFFSET($BN$2,0,0,ROW()-1,60),ROW()-1,FALSE))</f>
        <v/>
      </c>
      <c r="AX68" t="str">
        <f ca="1">IF(AND(ISNUMBER($AX$576),$B$511=1),$AX$576,HLOOKUP(INDIRECT(ADDRESS(2,COLUMN())),OFFSET($BN$2,0,0,ROW()-1,60),ROW()-1,FALSE))</f>
        <v/>
      </c>
      <c r="AY68" t="str">
        <f ca="1">IF(AND(ISNUMBER($AY$576),$B$511=1),$AY$576,HLOOKUP(INDIRECT(ADDRESS(2,COLUMN())),OFFSET($BN$2,0,0,ROW()-1,60),ROW()-1,FALSE))</f>
        <v/>
      </c>
      <c r="AZ68" t="str">
        <f ca="1">IF(AND(ISNUMBER($AZ$576),$B$511=1),$AZ$576,HLOOKUP(INDIRECT(ADDRESS(2,COLUMN())),OFFSET($BN$2,0,0,ROW()-1,60),ROW()-1,FALSE))</f>
        <v/>
      </c>
      <c r="BA68" t="str">
        <f ca="1">IF(AND(ISNUMBER($BA$576),$B$511=1),$BA$576,HLOOKUP(INDIRECT(ADDRESS(2,COLUMN())),OFFSET($BN$2,0,0,ROW()-1,60),ROW()-1,FALSE))</f>
        <v/>
      </c>
      <c r="BB68" t="str">
        <f ca="1">IF(AND(ISNUMBER($BB$576),$B$511=1),$BB$576,HLOOKUP(INDIRECT(ADDRESS(2,COLUMN())),OFFSET($BN$2,0,0,ROW()-1,60),ROW()-1,FALSE))</f>
        <v/>
      </c>
      <c r="BC68" t="str">
        <f ca="1">IF(AND(ISNUMBER($BC$576),$B$511=1),$BC$576,HLOOKUP(INDIRECT(ADDRESS(2,COLUMN())),OFFSET($BN$2,0,0,ROW()-1,60),ROW()-1,FALSE))</f>
        <v/>
      </c>
      <c r="BD68" t="str">
        <f ca="1">IF(AND(ISNUMBER($BD$576),$B$511=1),$BD$576,HLOOKUP(INDIRECT(ADDRESS(2,COLUMN())),OFFSET($BN$2,0,0,ROW()-1,60),ROW()-1,FALSE))</f>
        <v/>
      </c>
      <c r="BE68" t="str">
        <f ca="1">IF(AND(ISNUMBER($BE$576),$B$511=1),$BE$576,HLOOKUP(INDIRECT(ADDRESS(2,COLUMN())),OFFSET($BN$2,0,0,ROW()-1,60),ROW()-1,FALSE))</f>
        <v/>
      </c>
      <c r="BF68" t="str">
        <f ca="1">IF(AND(ISNUMBER($BF$576),$B$511=1),$BF$576,HLOOKUP(INDIRECT(ADDRESS(2,COLUMN())),OFFSET($BN$2,0,0,ROW()-1,60),ROW()-1,FALSE))</f>
        <v/>
      </c>
      <c r="BG68" t="str">
        <f ca="1">IF(AND(ISNUMBER($BG$576),$B$511=1),$BG$576,HLOOKUP(INDIRECT(ADDRESS(2,COLUMN())),OFFSET($BN$2,0,0,ROW()-1,60),ROW()-1,FALSE))</f>
        <v/>
      </c>
      <c r="BH68" t="str">
        <f ca="1">IF(AND(ISNUMBER($BH$576),$B$511=1),$BH$576,HLOOKUP(INDIRECT(ADDRESS(2,COLUMN())),OFFSET($BN$2,0,0,ROW()-1,60),ROW()-1,FALSE))</f>
        <v/>
      </c>
      <c r="BI68" t="str">
        <f ca="1">IF(AND(ISNUMBER($BI$576),$B$511=1),$BI$576,HLOOKUP(INDIRECT(ADDRESS(2,COLUMN())),OFFSET($BN$2,0,0,ROW()-1,60),ROW()-1,FALSE))</f>
        <v/>
      </c>
      <c r="BJ68" t="str">
        <f ca="1">IF(AND(ISNUMBER($BJ$576),$B$511=1),$BJ$576,HLOOKUP(INDIRECT(ADDRESS(2,COLUMN())),OFFSET($BN$2,0,0,ROW()-1,60),ROW()-1,FALSE))</f>
        <v/>
      </c>
      <c r="BK68" t="str">
        <f ca="1">IF(AND(ISNUMBER($BK$576),$B$511=1),$BK$576,HLOOKUP(INDIRECT(ADDRESS(2,COLUMN())),OFFSET($BN$2,0,0,ROW()-1,60),ROW()-1,FALSE))</f>
        <v/>
      </c>
      <c r="BL68" t="str">
        <f ca="1">IF(AND(ISNUMBER($BL$576),$B$511=1),$BL$576,HLOOKUP(INDIRECT(ADDRESS(2,COLUMN())),OFFSET($BN$2,0,0,ROW()-1,60),ROW()-1,FALSE))</f>
        <v/>
      </c>
      <c r="BM68" t="str">
        <f ca="1">IF(AND(ISNUMBER($BM$576),$B$511=1),$BM$576,HLOOKUP(INDIRECT(ADDRESS(2,COLUMN())),OFFSET($BN$2,0,0,ROW()-1,60),ROW()-1,FALSE))</f>
        <v/>
      </c>
      <c r="BN68">
        <f>0.67</f>
        <v>0.67</v>
      </c>
      <c r="BO68">
        <f>0.677</f>
        <v>0.67700000000000005</v>
      </c>
      <c r="BP68">
        <f>0.684</f>
        <v>0.68400000000000005</v>
      </c>
      <c r="BQ68">
        <f>0.69</f>
        <v>0.69</v>
      </c>
      <c r="BR68">
        <f>0.645</f>
        <v>0.64500000000000002</v>
      </c>
      <c r="BS68">
        <f>0.616</f>
        <v>0.61599999999999999</v>
      </c>
      <c r="BT68">
        <f>0.595</f>
        <v>0.59499999999999997</v>
      </c>
      <c r="BU68">
        <f>0.49</f>
        <v>0.49</v>
      </c>
      <c r="BV68">
        <f>0.547</f>
        <v>0.54700000000000004</v>
      </c>
      <c r="BW68">
        <f>0.424</f>
        <v>0.42399999999999999</v>
      </c>
      <c r="BX68">
        <f>0.433</f>
        <v>0.433</v>
      </c>
      <c r="BY68">
        <f>0.536</f>
        <v>0.53600000000000003</v>
      </c>
      <c r="BZ68" t="str">
        <f>""</f>
        <v/>
      </c>
      <c r="CA68" t="str">
        <f>""</f>
        <v/>
      </c>
      <c r="CB68" t="str">
        <f>""</f>
        <v/>
      </c>
      <c r="CC68" t="str">
        <f>""</f>
        <v/>
      </c>
      <c r="CD68" t="str">
        <f>""</f>
        <v/>
      </c>
      <c r="CE68" t="str">
        <f>""</f>
        <v/>
      </c>
      <c r="CF68" t="str">
        <f>""</f>
        <v/>
      </c>
      <c r="CG68" t="str">
        <f>""</f>
        <v/>
      </c>
      <c r="CH68" t="str">
        <f>""</f>
        <v/>
      </c>
      <c r="CI68" t="str">
        <f>""</f>
        <v/>
      </c>
      <c r="CJ68" t="str">
        <f>""</f>
        <v/>
      </c>
      <c r="CK68" t="str">
        <f>""</f>
        <v/>
      </c>
      <c r="CL68" t="str">
        <f>""</f>
        <v/>
      </c>
      <c r="CM68" t="str">
        <f>""</f>
        <v/>
      </c>
      <c r="CN68" t="str">
        <f>""</f>
        <v/>
      </c>
      <c r="CO68" t="str">
        <f>""</f>
        <v/>
      </c>
      <c r="CP68" t="str">
        <f>""</f>
        <v/>
      </c>
      <c r="CQ68" t="str">
        <f>""</f>
        <v/>
      </c>
      <c r="CR68" t="str">
        <f>""</f>
        <v/>
      </c>
      <c r="CS68" t="str">
        <f>""</f>
        <v/>
      </c>
      <c r="CT68" t="str">
        <f>""</f>
        <v/>
      </c>
      <c r="CU68" t="str">
        <f>""</f>
        <v/>
      </c>
      <c r="CV68" t="str">
        <f>""</f>
        <v/>
      </c>
      <c r="CW68" t="str">
        <f>""</f>
        <v/>
      </c>
      <c r="CX68" t="str">
        <f>""</f>
        <v/>
      </c>
      <c r="CY68" t="str">
        <f>""</f>
        <v/>
      </c>
      <c r="CZ68" t="str">
        <f>""</f>
        <v/>
      </c>
      <c r="DA68" t="str">
        <f>""</f>
        <v/>
      </c>
      <c r="DB68" t="str">
        <f>""</f>
        <v/>
      </c>
      <c r="DC68" t="str">
        <f>""</f>
        <v/>
      </c>
      <c r="DD68" t="str">
        <f>""</f>
        <v/>
      </c>
      <c r="DE68" t="str">
        <f>""</f>
        <v/>
      </c>
      <c r="DF68" t="str">
        <f>""</f>
        <v/>
      </c>
      <c r="DG68" t="str">
        <f>""</f>
        <v/>
      </c>
      <c r="DH68" t="str">
        <f>""</f>
        <v/>
      </c>
      <c r="DI68" t="str">
        <f>""</f>
        <v/>
      </c>
      <c r="DJ68" t="str">
        <f>""</f>
        <v/>
      </c>
      <c r="DK68" t="str">
        <f>""</f>
        <v/>
      </c>
      <c r="DL68" t="str">
        <f>""</f>
        <v/>
      </c>
      <c r="DM68" t="str">
        <f>""</f>
        <v/>
      </c>
      <c r="DN68" t="str">
        <f>""</f>
        <v/>
      </c>
      <c r="DO68" t="str">
        <f>""</f>
        <v/>
      </c>
      <c r="DP68" t="str">
        <f>""</f>
        <v/>
      </c>
      <c r="DQ68" t="str">
        <f>""</f>
        <v/>
      </c>
      <c r="DR68" t="str">
        <f>""</f>
        <v/>
      </c>
      <c r="DS68" t="str">
        <f>""</f>
        <v/>
      </c>
      <c r="DT68" t="str">
        <f>""</f>
        <v/>
      </c>
      <c r="DU68" t="str">
        <f>""</f>
        <v/>
      </c>
    </row>
    <row r="69" spans="1:125" x14ac:dyDescent="0.25">
      <c r="A69" t="str">
        <f>"    Nissan Motor Co Ltd"</f>
        <v xml:space="preserve">    Nissan Motor Co Ltd</v>
      </c>
      <c r="B69" t="str">
        <f>"7201 JP Equity"</f>
        <v>7201 JP Equity</v>
      </c>
      <c r="C69" t="str">
        <f t="shared" si="3"/>
        <v>EZ019</v>
      </c>
      <c r="D69" t="str">
        <f t="shared" si="4"/>
        <v>BEST_EEPS_CUR_YR</v>
      </c>
      <c r="E69" t="str">
        <f t="shared" si="5"/>
        <v>Dynamic</v>
      </c>
      <c r="F69">
        <f ca="1">IF(AND(ISNUMBER($F$577),$B$511=1),$F$577,HLOOKUP(INDIRECT(ADDRESS(2,COLUMN())),OFFSET($BN$2,0,0,ROW()-1,60),ROW()-1,FALSE))</f>
        <v>1.1200000000000001</v>
      </c>
      <c r="G69">
        <f ca="1">IF(AND(ISNUMBER($G$577),$B$511=1),$G$577,HLOOKUP(INDIRECT(ADDRESS(2,COLUMN())),OFFSET($BN$2,0,0,ROW()-1,60),ROW()-1,FALSE))</f>
        <v>1.1879999999999999</v>
      </c>
      <c r="H69">
        <f ca="1">IF(AND(ISNUMBER($H$577),$B$511=1),$H$577,HLOOKUP(INDIRECT(ADDRESS(2,COLUMN())),OFFSET($BN$2,0,0,ROW()-1,60),ROW()-1,FALSE))</f>
        <v>1.2150000000000001</v>
      </c>
      <c r="I69">
        <f ca="1">IF(AND(ISNUMBER($I$577),$B$511=1),$I$577,HLOOKUP(INDIRECT(ADDRESS(2,COLUMN())),OFFSET($BN$2,0,0,ROW()-1,60),ROW()-1,FALSE))</f>
        <v>1.282</v>
      </c>
      <c r="J69">
        <f ca="1">IF(AND(ISNUMBER($J$577),$B$511=1),$J$577,HLOOKUP(INDIRECT(ADDRESS(2,COLUMN())),OFFSET($BN$2,0,0,ROW()-1,60),ROW()-1,FALSE))</f>
        <v>1.395</v>
      </c>
      <c r="K69">
        <f ca="1">IF(AND(ISNUMBER($K$577),$B$511=1),$K$577,HLOOKUP(INDIRECT(ADDRESS(2,COLUMN())),OFFSET($BN$2,0,0,ROW()-1,60),ROW()-1,FALSE))</f>
        <v>1.3979999999999999</v>
      </c>
      <c r="L69">
        <f ca="1">IF(AND(ISNUMBER($L$577),$B$511=1),$L$577,HLOOKUP(INDIRECT(ADDRESS(2,COLUMN())),OFFSET($BN$2,0,0,ROW()-1,60),ROW()-1,FALSE))</f>
        <v>1.421</v>
      </c>
      <c r="M69">
        <f ca="1">IF(AND(ISNUMBER($M$577),$B$511=1),$M$577,HLOOKUP(INDIRECT(ADDRESS(2,COLUMN())),OFFSET($BN$2,0,0,ROW()-1,60),ROW()-1,FALSE))</f>
        <v>1.452</v>
      </c>
      <c r="N69">
        <f ca="1">IF(AND(ISNUMBER($N$577),$B$511=1),$N$577,HLOOKUP(INDIRECT(ADDRESS(2,COLUMN())),OFFSET($BN$2,0,0,ROW()-1,60),ROW()-1,FALSE))</f>
        <v>1.5589999999999999</v>
      </c>
      <c r="O69">
        <f ca="1">IF(AND(ISNUMBER($O$577),$B$511=1),$O$577,HLOOKUP(INDIRECT(ADDRESS(2,COLUMN())),OFFSET($BN$2,0,0,ROW()-1,60),ROW()-1,FALSE))</f>
        <v>1.458</v>
      </c>
      <c r="P69">
        <f ca="1">IF(AND(ISNUMBER($P$577),$B$511=1),$P$577,HLOOKUP(INDIRECT(ADDRESS(2,COLUMN())),OFFSET($BN$2,0,0,ROW()-1,60),ROW()-1,FALSE))</f>
        <v>1.5649999999999999</v>
      </c>
      <c r="Q69">
        <f ca="1">IF(AND(ISNUMBER($Q$577),$B$511=1),$Q$577,HLOOKUP(INDIRECT(ADDRESS(2,COLUMN())),OFFSET($BN$2,0,0,ROW()-1,60),ROW()-1,FALSE))</f>
        <v>1.6479999999999999</v>
      </c>
      <c r="R69">
        <f ca="1">IF(AND(ISNUMBER($R$577),$B$511=1),$R$577,HLOOKUP(INDIRECT(ADDRESS(2,COLUMN())),OFFSET($BN$2,0,0,ROW()-1,60),ROW()-1,FALSE))</f>
        <v>1.6180000000000001</v>
      </c>
      <c r="S69">
        <f ca="1">IF(AND(ISNUMBER($S$577),$B$511=1),$S$577,HLOOKUP(INDIRECT(ADDRESS(2,COLUMN())),OFFSET($BN$2,0,0,ROW()-1,60),ROW()-1,FALSE))</f>
        <v>1.5760000000000001</v>
      </c>
      <c r="T69">
        <f ca="1">IF(AND(ISNUMBER($T$577),$B$511=1),$T$577,HLOOKUP(INDIRECT(ADDRESS(2,COLUMN())),OFFSET($BN$2,0,0,ROW()-1,60),ROW()-1,FALSE))</f>
        <v>1.5740000000000001</v>
      </c>
      <c r="U69">
        <f ca="1">IF(AND(ISNUMBER($U$577),$B$511=1),$U$577,HLOOKUP(INDIRECT(ADDRESS(2,COLUMN())),OFFSET($BN$2,0,0,ROW()-1,60),ROW()-1,FALSE))</f>
        <v>1.571</v>
      </c>
      <c r="V69">
        <f ca="1">IF(AND(ISNUMBER($V$577),$B$511=1),$V$577,HLOOKUP(INDIRECT(ADDRESS(2,COLUMN())),OFFSET($BN$2,0,0,ROW()-1,60),ROW()-1,FALSE))</f>
        <v>1.41</v>
      </c>
      <c r="W69">
        <f ca="1">IF(AND(ISNUMBER($W$577),$B$511=1),$W$577,HLOOKUP(INDIRECT(ADDRESS(2,COLUMN())),OFFSET($BN$2,0,0,ROW()-1,60),ROW()-1,FALSE))</f>
        <v>1.4650000000000001</v>
      </c>
      <c r="X69">
        <f ca="1">IF(AND(ISNUMBER($X$577),$B$511=1),$X$577,HLOOKUP(INDIRECT(ADDRESS(2,COLUMN())),OFFSET($BN$2,0,0,ROW()-1,60),ROW()-1,FALSE))</f>
        <v>1.579</v>
      </c>
      <c r="Y69">
        <f ca="1">IF(AND(ISNUMBER($Y$577),$B$511=1),$Y$577,HLOOKUP(INDIRECT(ADDRESS(2,COLUMN())),OFFSET($BN$2,0,0,ROW()-1,60),ROW()-1,FALSE))</f>
        <v>1.605</v>
      </c>
      <c r="Z69" t="str">
        <f ca="1">IF(AND(ISNUMBER($Z$577),$B$511=1),$Z$577,HLOOKUP(INDIRECT(ADDRESS(2,COLUMN())),OFFSET($BN$2,0,0,ROW()-1,60),ROW()-1,FALSE))</f>
        <v/>
      </c>
      <c r="AA69" t="str">
        <f ca="1">IF(AND(ISNUMBER($AA$577),$B$511=1),$AA$577,HLOOKUP(INDIRECT(ADDRESS(2,COLUMN())),OFFSET($BN$2,0,0,ROW()-1,60),ROW()-1,FALSE))</f>
        <v/>
      </c>
      <c r="AB69" t="str">
        <f ca="1">IF(AND(ISNUMBER($AB$577),$B$511=1),$AB$577,HLOOKUP(INDIRECT(ADDRESS(2,COLUMN())),OFFSET($BN$2,0,0,ROW()-1,60),ROW()-1,FALSE))</f>
        <v/>
      </c>
      <c r="AC69" t="str">
        <f ca="1">IF(AND(ISNUMBER($AC$577),$B$511=1),$AC$577,HLOOKUP(INDIRECT(ADDRESS(2,COLUMN())),OFFSET($BN$2,0,0,ROW()-1,60),ROW()-1,FALSE))</f>
        <v/>
      </c>
      <c r="AD69" t="str">
        <f ca="1">IF(AND(ISNUMBER($AD$577),$B$511=1),$AD$577,HLOOKUP(INDIRECT(ADDRESS(2,COLUMN())),OFFSET($BN$2,0,0,ROW()-1,60),ROW()-1,FALSE))</f>
        <v/>
      </c>
      <c r="AE69" t="str">
        <f ca="1">IF(AND(ISNUMBER($AE$577),$B$511=1),$AE$577,HLOOKUP(INDIRECT(ADDRESS(2,COLUMN())),OFFSET($BN$2,0,0,ROW()-1,60),ROW()-1,FALSE))</f>
        <v/>
      </c>
      <c r="AF69" t="str">
        <f ca="1">IF(AND(ISNUMBER($AF$577),$B$511=1),$AF$577,HLOOKUP(INDIRECT(ADDRESS(2,COLUMN())),OFFSET($BN$2,0,0,ROW()-1,60),ROW()-1,FALSE))</f>
        <v/>
      </c>
      <c r="AG69" t="str">
        <f ca="1">IF(AND(ISNUMBER($AG$577),$B$511=1),$AG$577,HLOOKUP(INDIRECT(ADDRESS(2,COLUMN())),OFFSET($BN$2,0,0,ROW()-1,60),ROW()-1,FALSE))</f>
        <v/>
      </c>
      <c r="AH69" t="str">
        <f ca="1">IF(AND(ISNUMBER($AH$577),$B$511=1),$AH$577,HLOOKUP(INDIRECT(ADDRESS(2,COLUMN())),OFFSET($BN$2,0,0,ROW()-1,60),ROW()-1,FALSE))</f>
        <v/>
      </c>
      <c r="AI69" t="str">
        <f ca="1">IF(AND(ISNUMBER($AI$577),$B$511=1),$AI$577,HLOOKUP(INDIRECT(ADDRESS(2,COLUMN())),OFFSET($BN$2,0,0,ROW()-1,60),ROW()-1,FALSE))</f>
        <v/>
      </c>
      <c r="AJ69" t="str">
        <f ca="1">IF(AND(ISNUMBER($AJ$577),$B$511=1),$AJ$577,HLOOKUP(INDIRECT(ADDRESS(2,COLUMN())),OFFSET($BN$2,0,0,ROW()-1,60),ROW()-1,FALSE))</f>
        <v/>
      </c>
      <c r="AK69" t="str">
        <f ca="1">IF(AND(ISNUMBER($AK$577),$B$511=1),$AK$577,HLOOKUP(INDIRECT(ADDRESS(2,COLUMN())),OFFSET($BN$2,0,0,ROW()-1,60),ROW()-1,FALSE))</f>
        <v/>
      </c>
      <c r="AL69" t="str">
        <f ca="1">IF(AND(ISNUMBER($AL$577),$B$511=1),$AL$577,HLOOKUP(INDIRECT(ADDRESS(2,COLUMN())),OFFSET($BN$2,0,0,ROW()-1,60),ROW()-1,FALSE))</f>
        <v/>
      </c>
      <c r="AM69" t="str">
        <f ca="1">IF(AND(ISNUMBER($AM$577),$B$511=1),$AM$577,HLOOKUP(INDIRECT(ADDRESS(2,COLUMN())),OFFSET($BN$2,0,0,ROW()-1,60),ROW()-1,FALSE))</f>
        <v/>
      </c>
      <c r="AN69" t="str">
        <f ca="1">IF(AND(ISNUMBER($AN$577),$B$511=1),$AN$577,HLOOKUP(INDIRECT(ADDRESS(2,COLUMN())),OFFSET($BN$2,0,0,ROW()-1,60),ROW()-1,FALSE))</f>
        <v/>
      </c>
      <c r="AO69" t="str">
        <f ca="1">IF(AND(ISNUMBER($AO$577),$B$511=1),$AO$577,HLOOKUP(INDIRECT(ADDRESS(2,COLUMN())),OFFSET($BN$2,0,0,ROW()-1,60),ROW()-1,FALSE))</f>
        <v/>
      </c>
      <c r="AP69" t="str">
        <f ca="1">IF(AND(ISNUMBER($AP$577),$B$511=1),$AP$577,HLOOKUP(INDIRECT(ADDRESS(2,COLUMN())),OFFSET($BN$2,0,0,ROW()-1,60),ROW()-1,FALSE))</f>
        <v/>
      </c>
      <c r="AQ69" t="str">
        <f ca="1">IF(AND(ISNUMBER($AQ$577),$B$511=1),$AQ$577,HLOOKUP(INDIRECT(ADDRESS(2,COLUMN())),OFFSET($BN$2,0,0,ROW()-1,60),ROW()-1,FALSE))</f>
        <v/>
      </c>
      <c r="AR69" t="str">
        <f ca="1">IF(AND(ISNUMBER($AR$577),$B$511=1),$AR$577,HLOOKUP(INDIRECT(ADDRESS(2,COLUMN())),OFFSET($BN$2,0,0,ROW()-1,60),ROW()-1,FALSE))</f>
        <v/>
      </c>
      <c r="AS69" t="str">
        <f ca="1">IF(AND(ISNUMBER($AS$577),$B$511=1),$AS$577,HLOOKUP(INDIRECT(ADDRESS(2,COLUMN())),OFFSET($BN$2,0,0,ROW()-1,60),ROW()-1,FALSE))</f>
        <v/>
      </c>
      <c r="AT69" t="str">
        <f ca="1">IF(AND(ISNUMBER($AT$577),$B$511=1),$AT$577,HLOOKUP(INDIRECT(ADDRESS(2,COLUMN())),OFFSET($BN$2,0,0,ROW()-1,60),ROW()-1,FALSE))</f>
        <v/>
      </c>
      <c r="AU69" t="str">
        <f ca="1">IF(AND(ISNUMBER($AU$577),$B$511=1),$AU$577,HLOOKUP(INDIRECT(ADDRESS(2,COLUMN())),OFFSET($BN$2,0,0,ROW()-1,60),ROW()-1,FALSE))</f>
        <v/>
      </c>
      <c r="AV69" t="str">
        <f ca="1">IF(AND(ISNUMBER($AV$577),$B$511=1),$AV$577,HLOOKUP(INDIRECT(ADDRESS(2,COLUMN())),OFFSET($BN$2,0,0,ROW()-1,60),ROW()-1,FALSE))</f>
        <v/>
      </c>
      <c r="AW69" t="str">
        <f ca="1">IF(AND(ISNUMBER($AW$577),$B$511=1),$AW$577,HLOOKUP(INDIRECT(ADDRESS(2,COLUMN())),OFFSET($BN$2,0,0,ROW()-1,60),ROW()-1,FALSE))</f>
        <v/>
      </c>
      <c r="AX69" t="str">
        <f ca="1">IF(AND(ISNUMBER($AX$577),$B$511=1),$AX$577,HLOOKUP(INDIRECT(ADDRESS(2,COLUMN())),OFFSET($BN$2,0,0,ROW()-1,60),ROW()-1,FALSE))</f>
        <v/>
      </c>
      <c r="AY69" t="str">
        <f ca="1">IF(AND(ISNUMBER($AY$577),$B$511=1),$AY$577,HLOOKUP(INDIRECT(ADDRESS(2,COLUMN())),OFFSET($BN$2,0,0,ROW()-1,60),ROW()-1,FALSE))</f>
        <v/>
      </c>
      <c r="AZ69" t="str">
        <f ca="1">IF(AND(ISNUMBER($AZ$577),$B$511=1),$AZ$577,HLOOKUP(INDIRECT(ADDRESS(2,COLUMN())),OFFSET($BN$2,0,0,ROW()-1,60),ROW()-1,FALSE))</f>
        <v/>
      </c>
      <c r="BA69" t="str">
        <f ca="1">IF(AND(ISNUMBER($BA$577),$B$511=1),$BA$577,HLOOKUP(INDIRECT(ADDRESS(2,COLUMN())),OFFSET($BN$2,0,0,ROW()-1,60),ROW()-1,FALSE))</f>
        <v/>
      </c>
      <c r="BB69" t="str">
        <f ca="1">IF(AND(ISNUMBER($BB$577),$B$511=1),$BB$577,HLOOKUP(INDIRECT(ADDRESS(2,COLUMN())),OFFSET($BN$2,0,0,ROW()-1,60),ROW()-1,FALSE))</f>
        <v/>
      </c>
      <c r="BC69" t="str">
        <f ca="1">IF(AND(ISNUMBER($BC$577),$B$511=1),$BC$577,HLOOKUP(INDIRECT(ADDRESS(2,COLUMN())),OFFSET($BN$2,0,0,ROW()-1,60),ROW()-1,FALSE))</f>
        <v/>
      </c>
      <c r="BD69" t="str">
        <f ca="1">IF(AND(ISNUMBER($BD$577),$B$511=1),$BD$577,HLOOKUP(INDIRECT(ADDRESS(2,COLUMN())),OFFSET($BN$2,0,0,ROW()-1,60),ROW()-1,FALSE))</f>
        <v/>
      </c>
      <c r="BE69" t="str">
        <f ca="1">IF(AND(ISNUMBER($BE$577),$B$511=1),$BE$577,HLOOKUP(INDIRECT(ADDRESS(2,COLUMN())),OFFSET($BN$2,0,0,ROW()-1,60),ROW()-1,FALSE))</f>
        <v/>
      </c>
      <c r="BF69" t="str">
        <f ca="1">IF(AND(ISNUMBER($BF$577),$B$511=1),$BF$577,HLOOKUP(INDIRECT(ADDRESS(2,COLUMN())),OFFSET($BN$2,0,0,ROW()-1,60),ROW()-1,FALSE))</f>
        <v/>
      </c>
      <c r="BG69" t="str">
        <f ca="1">IF(AND(ISNUMBER($BG$577),$B$511=1),$BG$577,HLOOKUP(INDIRECT(ADDRESS(2,COLUMN())),OFFSET($BN$2,0,0,ROW()-1,60),ROW()-1,FALSE))</f>
        <v/>
      </c>
      <c r="BH69" t="str">
        <f ca="1">IF(AND(ISNUMBER($BH$577),$B$511=1),$BH$577,HLOOKUP(INDIRECT(ADDRESS(2,COLUMN())),OFFSET($BN$2,0,0,ROW()-1,60),ROW()-1,FALSE))</f>
        <v/>
      </c>
      <c r="BI69" t="str">
        <f ca="1">IF(AND(ISNUMBER($BI$577),$B$511=1),$BI$577,HLOOKUP(INDIRECT(ADDRESS(2,COLUMN())),OFFSET($BN$2,0,0,ROW()-1,60),ROW()-1,FALSE))</f>
        <v/>
      </c>
      <c r="BJ69" t="str">
        <f ca="1">IF(AND(ISNUMBER($BJ$577),$B$511=1),$BJ$577,HLOOKUP(INDIRECT(ADDRESS(2,COLUMN())),OFFSET($BN$2,0,0,ROW()-1,60),ROW()-1,FALSE))</f>
        <v/>
      </c>
      <c r="BK69" t="str">
        <f ca="1">IF(AND(ISNUMBER($BK$577),$B$511=1),$BK$577,HLOOKUP(INDIRECT(ADDRESS(2,COLUMN())),OFFSET($BN$2,0,0,ROW()-1,60),ROW()-1,FALSE))</f>
        <v/>
      </c>
      <c r="BL69" t="str">
        <f ca="1">IF(AND(ISNUMBER($BL$577),$B$511=1),$BL$577,HLOOKUP(INDIRECT(ADDRESS(2,COLUMN())),OFFSET($BN$2,0,0,ROW()-1,60),ROW()-1,FALSE))</f>
        <v/>
      </c>
      <c r="BM69" t="str">
        <f ca="1">IF(AND(ISNUMBER($BM$577),$B$511=1),$BM$577,HLOOKUP(INDIRECT(ADDRESS(2,COLUMN())),OFFSET($BN$2,0,0,ROW()-1,60),ROW()-1,FALSE))</f>
        <v/>
      </c>
      <c r="BN69">
        <f>1.12</f>
        <v>1.1200000000000001</v>
      </c>
      <c r="BO69">
        <f>1.188</f>
        <v>1.1879999999999999</v>
      </c>
      <c r="BP69">
        <f>1.215</f>
        <v>1.2150000000000001</v>
      </c>
      <c r="BQ69">
        <f>1.282</f>
        <v>1.282</v>
      </c>
      <c r="BR69">
        <f>1.395</f>
        <v>1.395</v>
      </c>
      <c r="BS69">
        <f>1.398</f>
        <v>1.3979999999999999</v>
      </c>
      <c r="BT69">
        <f>1.421</f>
        <v>1.421</v>
      </c>
      <c r="BU69">
        <f>1.452</f>
        <v>1.452</v>
      </c>
      <c r="BV69">
        <f>1.559</f>
        <v>1.5589999999999999</v>
      </c>
      <c r="BW69">
        <f>1.458</f>
        <v>1.458</v>
      </c>
      <c r="BX69">
        <f>1.565</f>
        <v>1.5649999999999999</v>
      </c>
      <c r="BY69">
        <f>1.648</f>
        <v>1.6479999999999999</v>
      </c>
      <c r="BZ69">
        <f>1.618</f>
        <v>1.6180000000000001</v>
      </c>
      <c r="CA69">
        <f>1.576</f>
        <v>1.5760000000000001</v>
      </c>
      <c r="CB69">
        <f>1.574</f>
        <v>1.5740000000000001</v>
      </c>
      <c r="CC69">
        <f>1.571</f>
        <v>1.571</v>
      </c>
      <c r="CD69">
        <f>1.41</f>
        <v>1.41</v>
      </c>
      <c r="CE69">
        <f>1.465</f>
        <v>1.4650000000000001</v>
      </c>
      <c r="CF69">
        <f>1.579</f>
        <v>1.579</v>
      </c>
      <c r="CG69">
        <f>1.605</f>
        <v>1.605</v>
      </c>
      <c r="CH69" t="str">
        <f>""</f>
        <v/>
      </c>
      <c r="CI69" t="str">
        <f>""</f>
        <v/>
      </c>
      <c r="CJ69" t="str">
        <f>""</f>
        <v/>
      </c>
      <c r="CK69" t="str">
        <f>""</f>
        <v/>
      </c>
      <c r="CL69" t="str">
        <f>""</f>
        <v/>
      </c>
      <c r="CM69" t="str">
        <f>""</f>
        <v/>
      </c>
      <c r="CN69" t="str">
        <f>""</f>
        <v/>
      </c>
      <c r="CO69" t="str">
        <f>""</f>
        <v/>
      </c>
      <c r="CP69" t="str">
        <f>""</f>
        <v/>
      </c>
      <c r="CQ69" t="str">
        <f>""</f>
        <v/>
      </c>
      <c r="CR69" t="str">
        <f>""</f>
        <v/>
      </c>
      <c r="CS69" t="str">
        <f>""</f>
        <v/>
      </c>
      <c r="CT69" t="str">
        <f>""</f>
        <v/>
      </c>
      <c r="CU69" t="str">
        <f>""</f>
        <v/>
      </c>
      <c r="CV69" t="str">
        <f>""</f>
        <v/>
      </c>
      <c r="CW69" t="str">
        <f>""</f>
        <v/>
      </c>
      <c r="CX69" t="str">
        <f>""</f>
        <v/>
      </c>
      <c r="CY69" t="str">
        <f>""</f>
        <v/>
      </c>
      <c r="CZ69" t="str">
        <f>""</f>
        <v/>
      </c>
      <c r="DA69" t="str">
        <f>""</f>
        <v/>
      </c>
      <c r="DB69" t="str">
        <f>""</f>
        <v/>
      </c>
      <c r="DC69" t="str">
        <f>""</f>
        <v/>
      </c>
      <c r="DD69" t="str">
        <f>""</f>
        <v/>
      </c>
      <c r="DE69" t="str">
        <f>""</f>
        <v/>
      </c>
      <c r="DF69" t="str">
        <f>""</f>
        <v/>
      </c>
      <c r="DG69" t="str">
        <f>""</f>
        <v/>
      </c>
      <c r="DH69" t="str">
        <f>""</f>
        <v/>
      </c>
      <c r="DI69" t="str">
        <f>""</f>
        <v/>
      </c>
      <c r="DJ69" t="str">
        <f>""</f>
        <v/>
      </c>
      <c r="DK69" t="str">
        <f>""</f>
        <v/>
      </c>
      <c r="DL69" t="str">
        <f>""</f>
        <v/>
      </c>
      <c r="DM69" t="str">
        <f>""</f>
        <v/>
      </c>
      <c r="DN69" t="str">
        <f>""</f>
        <v/>
      </c>
      <c r="DO69" t="str">
        <f>""</f>
        <v/>
      </c>
      <c r="DP69" t="str">
        <f>""</f>
        <v/>
      </c>
      <c r="DQ69" t="str">
        <f>""</f>
        <v/>
      </c>
      <c r="DR69" t="str">
        <f>""</f>
        <v/>
      </c>
      <c r="DS69" t="str">
        <f>""</f>
        <v/>
      </c>
      <c r="DT69" t="str">
        <f>""</f>
        <v/>
      </c>
      <c r="DU69" t="str">
        <f>""</f>
        <v/>
      </c>
    </row>
    <row r="70" spans="1:125" x14ac:dyDescent="0.25">
      <c r="A70" t="str">
        <f>"    Peugeot SA"</f>
        <v xml:space="preserve">    Peugeot SA</v>
      </c>
      <c r="B70" t="str">
        <f>"UG FP Equity"</f>
        <v>UG FP Equity</v>
      </c>
      <c r="C70" t="str">
        <f t="shared" si="3"/>
        <v>EZ019</v>
      </c>
      <c r="D70" t="str">
        <f t="shared" si="4"/>
        <v>BEST_EEPS_CUR_YR</v>
      </c>
      <c r="E70" t="str">
        <f t="shared" si="5"/>
        <v>Dynamic</v>
      </c>
      <c r="F70">
        <f ca="1">IF(AND(ISNUMBER($F$578),$B$511=1),$F$578,HLOOKUP(INDIRECT(ADDRESS(2,COLUMN())),OFFSET($BN$2,0,0,ROW()-1,60),ROW()-1,FALSE))</f>
        <v>4.1840000000000002</v>
      </c>
      <c r="G70">
        <f ca="1">IF(AND(ISNUMBER($G$578),$B$511=1),$G$578,HLOOKUP(INDIRECT(ADDRESS(2,COLUMN())),OFFSET($BN$2,0,0,ROW()-1,60),ROW()-1,FALSE))</f>
        <v>4.4219999999999997</v>
      </c>
      <c r="H70">
        <f ca="1">IF(AND(ISNUMBER($H$578),$B$511=1),$H$578,HLOOKUP(INDIRECT(ADDRESS(2,COLUMN())),OFFSET($BN$2,0,0,ROW()-1,60),ROW()-1,FALSE))</f>
        <v>4.6479999999999997</v>
      </c>
      <c r="I70">
        <f ca="1">IF(AND(ISNUMBER($I$578),$B$511=1),$I$578,HLOOKUP(INDIRECT(ADDRESS(2,COLUMN())),OFFSET($BN$2,0,0,ROW()-1,60),ROW()-1,FALSE))</f>
        <v>3.5179999999999998</v>
      </c>
      <c r="J70">
        <f ca="1">IF(AND(ISNUMBER($J$578),$B$511=1),$J$578,HLOOKUP(INDIRECT(ADDRESS(2,COLUMN())),OFFSET($BN$2,0,0,ROW()-1,60),ROW()-1,FALSE))</f>
        <v>3.4870000000000001</v>
      </c>
      <c r="K70">
        <f ca="1">IF(AND(ISNUMBER($K$578),$B$511=1),$K$578,HLOOKUP(INDIRECT(ADDRESS(2,COLUMN())),OFFSET($BN$2,0,0,ROW()-1,60),ROW()-1,FALSE))</f>
        <v>3.0590000000000002</v>
      </c>
      <c r="L70">
        <f ca="1">IF(AND(ISNUMBER($L$578),$B$511=1),$L$578,HLOOKUP(INDIRECT(ADDRESS(2,COLUMN())),OFFSET($BN$2,0,0,ROW()-1,60),ROW()-1,FALSE))</f>
        <v>3.29</v>
      </c>
      <c r="M70">
        <f ca="1">IF(AND(ISNUMBER($M$578),$B$511=1),$M$578,HLOOKUP(INDIRECT(ADDRESS(2,COLUMN())),OFFSET($BN$2,0,0,ROW()-1,60),ROW()-1,FALSE))</f>
        <v>2.9590000000000001</v>
      </c>
      <c r="N70">
        <f ca="1">IF(AND(ISNUMBER($N$578),$B$511=1),$N$578,HLOOKUP(INDIRECT(ADDRESS(2,COLUMN())),OFFSET($BN$2,0,0,ROW()-1,60),ROW()-1,FALSE))</f>
        <v>2.8050000000000002</v>
      </c>
      <c r="O70">
        <f ca="1">IF(AND(ISNUMBER($O$578),$B$511=1),$O$578,HLOOKUP(INDIRECT(ADDRESS(2,COLUMN())),OFFSET($BN$2,0,0,ROW()-1,60),ROW()-1,FALSE))</f>
        <v>2.48</v>
      </c>
      <c r="P70">
        <f ca="1">IF(AND(ISNUMBER($P$578),$B$511=1),$P$578,HLOOKUP(INDIRECT(ADDRESS(2,COLUMN())),OFFSET($BN$2,0,0,ROW()-1,60),ROW()-1,FALSE))</f>
        <v>2.4590000000000001</v>
      </c>
      <c r="Q70">
        <f ca="1">IF(AND(ISNUMBER($Q$578),$B$511=1),$Q$578,HLOOKUP(INDIRECT(ADDRESS(2,COLUMN())),OFFSET($BN$2,0,0,ROW()-1,60),ROW()-1,FALSE))</f>
        <v>2.605</v>
      </c>
      <c r="R70" t="str">
        <f ca="1">IF(AND(ISNUMBER($R$578),$B$511=1),$R$578,HLOOKUP(INDIRECT(ADDRESS(2,COLUMN())),OFFSET($BN$2,0,0,ROW()-1,60),ROW()-1,FALSE))</f>
        <v/>
      </c>
      <c r="S70" t="str">
        <f ca="1">IF(AND(ISNUMBER($S$578),$B$511=1),$S$578,HLOOKUP(INDIRECT(ADDRESS(2,COLUMN())),OFFSET($BN$2,0,0,ROW()-1,60),ROW()-1,FALSE))</f>
        <v/>
      </c>
      <c r="T70">
        <f ca="1">IF(AND(ISNUMBER($T$578),$B$511=1),$T$578,HLOOKUP(INDIRECT(ADDRESS(2,COLUMN())),OFFSET($BN$2,0,0,ROW()-1,60),ROW()-1,FALSE))</f>
        <v>3.0219999999999998</v>
      </c>
      <c r="U70">
        <f ca="1">IF(AND(ISNUMBER($U$578),$B$511=1),$U$578,HLOOKUP(INDIRECT(ADDRESS(2,COLUMN())),OFFSET($BN$2,0,0,ROW()-1,60),ROW()-1,FALSE))</f>
        <v>3.02</v>
      </c>
      <c r="V70" t="str">
        <f ca="1">IF(AND(ISNUMBER($V$578),$B$511=1),$V$578,HLOOKUP(INDIRECT(ADDRESS(2,COLUMN())),OFFSET($BN$2,0,0,ROW()-1,60),ROW()-1,FALSE))</f>
        <v/>
      </c>
      <c r="W70" t="str">
        <f ca="1">IF(AND(ISNUMBER($W$578),$B$511=1),$W$578,HLOOKUP(INDIRECT(ADDRESS(2,COLUMN())),OFFSET($BN$2,0,0,ROW()-1,60),ROW()-1,FALSE))</f>
        <v/>
      </c>
      <c r="X70" t="str">
        <f ca="1">IF(AND(ISNUMBER($X$578),$B$511=1),$X$578,HLOOKUP(INDIRECT(ADDRESS(2,COLUMN())),OFFSET($BN$2,0,0,ROW()-1,60),ROW()-1,FALSE))</f>
        <v/>
      </c>
      <c r="Y70" t="str">
        <f ca="1">IF(AND(ISNUMBER($Y$578),$B$511=1),$Y$578,HLOOKUP(INDIRECT(ADDRESS(2,COLUMN())),OFFSET($BN$2,0,0,ROW()-1,60),ROW()-1,FALSE))</f>
        <v/>
      </c>
      <c r="Z70" t="str">
        <f ca="1">IF(AND(ISNUMBER($Z$578),$B$511=1),$Z$578,HLOOKUP(INDIRECT(ADDRESS(2,COLUMN())),OFFSET($BN$2,0,0,ROW()-1,60),ROW()-1,FALSE))</f>
        <v/>
      </c>
      <c r="AA70" t="str">
        <f ca="1">IF(AND(ISNUMBER($AA$578),$B$511=1),$AA$578,HLOOKUP(INDIRECT(ADDRESS(2,COLUMN())),OFFSET($BN$2,0,0,ROW()-1,60),ROW()-1,FALSE))</f>
        <v/>
      </c>
      <c r="AB70" t="str">
        <f ca="1">IF(AND(ISNUMBER($AB$578),$B$511=1),$AB$578,HLOOKUP(INDIRECT(ADDRESS(2,COLUMN())),OFFSET($BN$2,0,0,ROW()-1,60),ROW()-1,FALSE))</f>
        <v/>
      </c>
      <c r="AC70" t="str">
        <f ca="1">IF(AND(ISNUMBER($AC$578),$B$511=1),$AC$578,HLOOKUP(INDIRECT(ADDRESS(2,COLUMN())),OFFSET($BN$2,0,0,ROW()-1,60),ROW()-1,FALSE))</f>
        <v/>
      </c>
      <c r="AD70" t="str">
        <f ca="1">IF(AND(ISNUMBER($AD$578),$B$511=1),$AD$578,HLOOKUP(INDIRECT(ADDRESS(2,COLUMN())),OFFSET($BN$2,0,0,ROW()-1,60),ROW()-1,FALSE))</f>
        <v/>
      </c>
      <c r="AE70" t="str">
        <f ca="1">IF(AND(ISNUMBER($AE$578),$B$511=1),$AE$578,HLOOKUP(INDIRECT(ADDRESS(2,COLUMN())),OFFSET($BN$2,0,0,ROW()-1,60),ROW()-1,FALSE))</f>
        <v/>
      </c>
      <c r="AF70" t="str">
        <f ca="1">IF(AND(ISNUMBER($AF$578),$B$511=1),$AF$578,HLOOKUP(INDIRECT(ADDRESS(2,COLUMN())),OFFSET($BN$2,0,0,ROW()-1,60),ROW()-1,FALSE))</f>
        <v/>
      </c>
      <c r="AG70" t="str">
        <f ca="1">IF(AND(ISNUMBER($AG$578),$B$511=1),$AG$578,HLOOKUP(INDIRECT(ADDRESS(2,COLUMN())),OFFSET($BN$2,0,0,ROW()-1,60),ROW()-1,FALSE))</f>
        <v/>
      </c>
      <c r="AH70">
        <f ca="1">IF(AND(ISNUMBER($AH$578),$B$511=1),$AH$578,HLOOKUP(INDIRECT(ADDRESS(2,COLUMN())),OFFSET($BN$2,0,0,ROW()-1,60),ROW()-1,FALSE))</f>
        <v>5.6539999999999999</v>
      </c>
      <c r="AI70" t="str">
        <f ca="1">IF(AND(ISNUMBER($AI$578),$B$511=1),$AI$578,HLOOKUP(INDIRECT(ADDRESS(2,COLUMN())),OFFSET($BN$2,0,0,ROW()-1,60),ROW()-1,FALSE))</f>
        <v/>
      </c>
      <c r="AJ70" t="str">
        <f ca="1">IF(AND(ISNUMBER($AJ$578),$B$511=1),$AJ$578,HLOOKUP(INDIRECT(ADDRESS(2,COLUMN())),OFFSET($BN$2,0,0,ROW()-1,60),ROW()-1,FALSE))</f>
        <v/>
      </c>
      <c r="AK70" t="str">
        <f ca="1">IF(AND(ISNUMBER($AK$578),$B$511=1),$AK$578,HLOOKUP(INDIRECT(ADDRESS(2,COLUMN())),OFFSET($BN$2,0,0,ROW()-1,60),ROW()-1,FALSE))</f>
        <v/>
      </c>
      <c r="AL70" t="str">
        <f ca="1">IF(AND(ISNUMBER($AL$578),$B$511=1),$AL$578,HLOOKUP(INDIRECT(ADDRESS(2,COLUMN())),OFFSET($BN$2,0,0,ROW()-1,60),ROW()-1,FALSE))</f>
        <v/>
      </c>
      <c r="AM70" t="str">
        <f ca="1">IF(AND(ISNUMBER($AM$578),$B$511=1),$AM$578,HLOOKUP(INDIRECT(ADDRESS(2,COLUMN())),OFFSET($BN$2,0,0,ROW()-1,60),ROW()-1,FALSE))</f>
        <v/>
      </c>
      <c r="AN70" t="str">
        <f ca="1">IF(AND(ISNUMBER($AN$578),$B$511=1),$AN$578,HLOOKUP(INDIRECT(ADDRESS(2,COLUMN())),OFFSET($BN$2,0,0,ROW()-1,60),ROW()-1,FALSE))</f>
        <v/>
      </c>
      <c r="AO70" t="str">
        <f ca="1">IF(AND(ISNUMBER($AO$578),$B$511=1),$AO$578,HLOOKUP(INDIRECT(ADDRESS(2,COLUMN())),OFFSET($BN$2,0,0,ROW()-1,60),ROW()-1,FALSE))</f>
        <v/>
      </c>
      <c r="AP70" t="str">
        <f ca="1">IF(AND(ISNUMBER($AP$578),$B$511=1),$AP$578,HLOOKUP(INDIRECT(ADDRESS(2,COLUMN())),OFFSET($BN$2,0,0,ROW()-1,60),ROW()-1,FALSE))</f>
        <v/>
      </c>
      <c r="AQ70" t="str">
        <f ca="1">IF(AND(ISNUMBER($AQ$578),$B$511=1),$AQ$578,HLOOKUP(INDIRECT(ADDRESS(2,COLUMN())),OFFSET($BN$2,0,0,ROW()-1,60),ROW()-1,FALSE))</f>
        <v/>
      </c>
      <c r="AR70" t="str">
        <f ca="1">IF(AND(ISNUMBER($AR$578),$B$511=1),$AR$578,HLOOKUP(INDIRECT(ADDRESS(2,COLUMN())),OFFSET($BN$2,0,0,ROW()-1,60),ROW()-1,FALSE))</f>
        <v/>
      </c>
      <c r="AS70" t="str">
        <f ca="1">IF(AND(ISNUMBER($AS$578),$B$511=1),$AS$578,HLOOKUP(INDIRECT(ADDRESS(2,COLUMN())),OFFSET($BN$2,0,0,ROW()-1,60),ROW()-1,FALSE))</f>
        <v/>
      </c>
      <c r="AT70" t="str">
        <f ca="1">IF(AND(ISNUMBER($AT$578),$B$511=1),$AT$578,HLOOKUP(INDIRECT(ADDRESS(2,COLUMN())),OFFSET($BN$2,0,0,ROW()-1,60),ROW()-1,FALSE))</f>
        <v/>
      </c>
      <c r="AU70" t="str">
        <f ca="1">IF(AND(ISNUMBER($AU$578),$B$511=1),$AU$578,HLOOKUP(INDIRECT(ADDRESS(2,COLUMN())),OFFSET($BN$2,0,0,ROW()-1,60),ROW()-1,FALSE))</f>
        <v/>
      </c>
      <c r="AV70" t="str">
        <f ca="1">IF(AND(ISNUMBER($AV$578),$B$511=1),$AV$578,HLOOKUP(INDIRECT(ADDRESS(2,COLUMN())),OFFSET($BN$2,0,0,ROW()-1,60),ROW()-1,FALSE))</f>
        <v/>
      </c>
      <c r="AW70" t="str">
        <f ca="1">IF(AND(ISNUMBER($AW$578),$B$511=1),$AW$578,HLOOKUP(INDIRECT(ADDRESS(2,COLUMN())),OFFSET($BN$2,0,0,ROW()-1,60),ROW()-1,FALSE))</f>
        <v/>
      </c>
      <c r="AX70" t="str">
        <f ca="1">IF(AND(ISNUMBER($AX$578),$B$511=1),$AX$578,HLOOKUP(INDIRECT(ADDRESS(2,COLUMN())),OFFSET($BN$2,0,0,ROW()-1,60),ROW()-1,FALSE))</f>
        <v/>
      </c>
      <c r="AY70" t="str">
        <f ca="1">IF(AND(ISNUMBER($AY$578),$B$511=1),$AY$578,HLOOKUP(INDIRECT(ADDRESS(2,COLUMN())),OFFSET($BN$2,0,0,ROW()-1,60),ROW()-1,FALSE))</f>
        <v/>
      </c>
      <c r="AZ70" t="str">
        <f ca="1">IF(AND(ISNUMBER($AZ$578),$B$511=1),$AZ$578,HLOOKUP(INDIRECT(ADDRESS(2,COLUMN())),OFFSET($BN$2,0,0,ROW()-1,60),ROW()-1,FALSE))</f>
        <v/>
      </c>
      <c r="BA70" t="str">
        <f ca="1">IF(AND(ISNUMBER($BA$578),$B$511=1),$BA$578,HLOOKUP(INDIRECT(ADDRESS(2,COLUMN())),OFFSET($BN$2,0,0,ROW()-1,60),ROW()-1,FALSE))</f>
        <v/>
      </c>
      <c r="BB70" t="str">
        <f ca="1">IF(AND(ISNUMBER($BB$578),$B$511=1),$BB$578,HLOOKUP(INDIRECT(ADDRESS(2,COLUMN())),OFFSET($BN$2,0,0,ROW()-1,60),ROW()-1,FALSE))</f>
        <v/>
      </c>
      <c r="BC70" t="str">
        <f ca="1">IF(AND(ISNUMBER($BC$578),$B$511=1),$BC$578,HLOOKUP(INDIRECT(ADDRESS(2,COLUMN())),OFFSET($BN$2,0,0,ROW()-1,60),ROW()-1,FALSE))</f>
        <v/>
      </c>
      <c r="BD70" t="str">
        <f ca="1">IF(AND(ISNUMBER($BD$578),$B$511=1),$BD$578,HLOOKUP(INDIRECT(ADDRESS(2,COLUMN())),OFFSET($BN$2,0,0,ROW()-1,60),ROW()-1,FALSE))</f>
        <v/>
      </c>
      <c r="BE70" t="str">
        <f ca="1">IF(AND(ISNUMBER($BE$578),$B$511=1),$BE$578,HLOOKUP(INDIRECT(ADDRESS(2,COLUMN())),OFFSET($BN$2,0,0,ROW()-1,60),ROW()-1,FALSE))</f>
        <v/>
      </c>
      <c r="BF70" t="str">
        <f ca="1">IF(AND(ISNUMBER($BF$578),$B$511=1),$BF$578,HLOOKUP(INDIRECT(ADDRESS(2,COLUMN())),OFFSET($BN$2,0,0,ROW()-1,60),ROW()-1,FALSE))</f>
        <v/>
      </c>
      <c r="BG70" t="str">
        <f ca="1">IF(AND(ISNUMBER($BG$578),$B$511=1),$BG$578,HLOOKUP(INDIRECT(ADDRESS(2,COLUMN())),OFFSET($BN$2,0,0,ROW()-1,60),ROW()-1,FALSE))</f>
        <v/>
      </c>
      <c r="BH70" t="str">
        <f ca="1">IF(AND(ISNUMBER($BH$578),$B$511=1),$BH$578,HLOOKUP(INDIRECT(ADDRESS(2,COLUMN())),OFFSET($BN$2,0,0,ROW()-1,60),ROW()-1,FALSE))</f>
        <v/>
      </c>
      <c r="BI70" t="str">
        <f ca="1">IF(AND(ISNUMBER($BI$578),$B$511=1),$BI$578,HLOOKUP(INDIRECT(ADDRESS(2,COLUMN())),OFFSET($BN$2,0,0,ROW()-1,60),ROW()-1,FALSE))</f>
        <v/>
      </c>
      <c r="BJ70" t="str">
        <f ca="1">IF(AND(ISNUMBER($BJ$578),$B$511=1),$BJ$578,HLOOKUP(INDIRECT(ADDRESS(2,COLUMN())),OFFSET($BN$2,0,0,ROW()-1,60),ROW()-1,FALSE))</f>
        <v/>
      </c>
      <c r="BK70" t="str">
        <f ca="1">IF(AND(ISNUMBER($BK$578),$B$511=1),$BK$578,HLOOKUP(INDIRECT(ADDRESS(2,COLUMN())),OFFSET($BN$2,0,0,ROW()-1,60),ROW()-1,FALSE))</f>
        <v/>
      </c>
      <c r="BL70" t="str">
        <f ca="1">IF(AND(ISNUMBER($BL$578),$B$511=1),$BL$578,HLOOKUP(INDIRECT(ADDRESS(2,COLUMN())),OFFSET($BN$2,0,0,ROW()-1,60),ROW()-1,FALSE))</f>
        <v/>
      </c>
      <c r="BM70" t="str">
        <f ca="1">IF(AND(ISNUMBER($BM$578),$B$511=1),$BM$578,HLOOKUP(INDIRECT(ADDRESS(2,COLUMN())),OFFSET($BN$2,0,0,ROW()-1,60),ROW()-1,FALSE))</f>
        <v/>
      </c>
      <c r="BN70">
        <f>4.184</f>
        <v>4.1840000000000002</v>
      </c>
      <c r="BO70">
        <f>4.422</f>
        <v>4.4219999999999997</v>
      </c>
      <c r="BP70">
        <f>4.648</f>
        <v>4.6479999999999997</v>
      </c>
      <c r="BQ70">
        <f>3.518</f>
        <v>3.5179999999999998</v>
      </c>
      <c r="BR70">
        <f>3.487</f>
        <v>3.4870000000000001</v>
      </c>
      <c r="BS70">
        <f>3.059</f>
        <v>3.0590000000000002</v>
      </c>
      <c r="BT70">
        <f>3.29</f>
        <v>3.29</v>
      </c>
      <c r="BU70">
        <f>2.959</f>
        <v>2.9590000000000001</v>
      </c>
      <c r="BV70">
        <f>2.805</f>
        <v>2.8050000000000002</v>
      </c>
      <c r="BW70">
        <f>2.48</f>
        <v>2.48</v>
      </c>
      <c r="BX70">
        <f>2.459</f>
        <v>2.4590000000000001</v>
      </c>
      <c r="BY70">
        <f>2.605</f>
        <v>2.605</v>
      </c>
      <c r="BZ70" t="str">
        <f>""</f>
        <v/>
      </c>
      <c r="CA70" t="str">
        <f>""</f>
        <v/>
      </c>
      <c r="CB70">
        <f>3.022</f>
        <v>3.0219999999999998</v>
      </c>
      <c r="CC70">
        <f>3.02</f>
        <v>3.02</v>
      </c>
      <c r="CD70" t="str">
        <f>""</f>
        <v/>
      </c>
      <c r="CE70" t="str">
        <f>""</f>
        <v/>
      </c>
      <c r="CF70" t="str">
        <f>""</f>
        <v/>
      </c>
      <c r="CG70" t="str">
        <f>""</f>
        <v/>
      </c>
      <c r="CH70" t="str">
        <f>""</f>
        <v/>
      </c>
      <c r="CI70" t="str">
        <f>""</f>
        <v/>
      </c>
      <c r="CJ70" t="str">
        <f>""</f>
        <v/>
      </c>
      <c r="CK70" t="str">
        <f>""</f>
        <v/>
      </c>
      <c r="CL70" t="str">
        <f>""</f>
        <v/>
      </c>
      <c r="CM70" t="str">
        <f>""</f>
        <v/>
      </c>
      <c r="CN70" t="str">
        <f>""</f>
        <v/>
      </c>
      <c r="CO70" t="str">
        <f>""</f>
        <v/>
      </c>
      <c r="CP70">
        <f>5.654</f>
        <v>5.6539999999999999</v>
      </c>
      <c r="CQ70" t="str">
        <f>""</f>
        <v/>
      </c>
      <c r="CR70" t="str">
        <f>""</f>
        <v/>
      </c>
      <c r="CS70" t="str">
        <f>""</f>
        <v/>
      </c>
      <c r="CT70" t="str">
        <f>""</f>
        <v/>
      </c>
      <c r="CU70" t="str">
        <f>""</f>
        <v/>
      </c>
      <c r="CV70" t="str">
        <f>""</f>
        <v/>
      </c>
      <c r="CW70" t="str">
        <f>""</f>
        <v/>
      </c>
      <c r="CX70" t="str">
        <f>""</f>
        <v/>
      </c>
      <c r="CY70" t="str">
        <f>""</f>
        <v/>
      </c>
      <c r="CZ70" t="str">
        <f>""</f>
        <v/>
      </c>
      <c r="DA70" t="str">
        <f>""</f>
        <v/>
      </c>
      <c r="DB70" t="str">
        <f>""</f>
        <v/>
      </c>
      <c r="DC70" t="str">
        <f>""</f>
        <v/>
      </c>
      <c r="DD70" t="str">
        <f>""</f>
        <v/>
      </c>
      <c r="DE70" t="str">
        <f>""</f>
        <v/>
      </c>
      <c r="DF70" t="str">
        <f>""</f>
        <v/>
      </c>
      <c r="DG70" t="str">
        <f>""</f>
        <v/>
      </c>
      <c r="DH70" t="str">
        <f>""</f>
        <v/>
      </c>
      <c r="DI70" t="str">
        <f>""</f>
        <v/>
      </c>
      <c r="DJ70" t="str">
        <f>""</f>
        <v/>
      </c>
      <c r="DK70" t="str">
        <f>""</f>
        <v/>
      </c>
      <c r="DL70" t="str">
        <f>""</f>
        <v/>
      </c>
      <c r="DM70" t="str">
        <f>""</f>
        <v/>
      </c>
      <c r="DN70" t="str">
        <f>""</f>
        <v/>
      </c>
      <c r="DO70" t="str">
        <f>""</f>
        <v/>
      </c>
      <c r="DP70" t="str">
        <f>""</f>
        <v/>
      </c>
      <c r="DQ70" t="str">
        <f>""</f>
        <v/>
      </c>
      <c r="DR70" t="str">
        <f>""</f>
        <v/>
      </c>
      <c r="DS70" t="str">
        <f>""</f>
        <v/>
      </c>
      <c r="DT70" t="str">
        <f>""</f>
        <v/>
      </c>
      <c r="DU70" t="str">
        <f>""</f>
        <v/>
      </c>
    </row>
    <row r="71" spans="1:125" x14ac:dyDescent="0.25">
      <c r="A71" t="str">
        <f>"    Renault SA"</f>
        <v xml:space="preserve">    Renault SA</v>
      </c>
      <c r="B71" t="str">
        <f>"RNO FP Equity"</f>
        <v>RNO FP Equity</v>
      </c>
      <c r="C71" t="str">
        <f t="shared" si="3"/>
        <v>EZ019</v>
      </c>
      <c r="D71" t="str">
        <f t="shared" si="4"/>
        <v>BEST_EEPS_CUR_YR</v>
      </c>
      <c r="E71" t="str">
        <f t="shared" si="5"/>
        <v>Dynamic</v>
      </c>
      <c r="F71">
        <f ca="1">IF(AND(ISNUMBER($F$579),$B$511=1),$F$579,HLOOKUP(INDIRECT(ADDRESS(2,COLUMN())),OFFSET($BN$2,0,0,ROW()-1,60),ROW()-1,FALSE))</f>
        <v>15.492000000000001</v>
      </c>
      <c r="G71">
        <f ca="1">IF(AND(ISNUMBER($G$579),$B$511=1),$G$579,HLOOKUP(INDIRECT(ADDRESS(2,COLUMN())),OFFSET($BN$2,0,0,ROW()-1,60),ROW()-1,FALSE))</f>
        <v>17.271999999999998</v>
      </c>
      <c r="H71">
        <f ca="1">IF(AND(ISNUMBER($H$579),$B$511=1),$H$579,HLOOKUP(INDIRECT(ADDRESS(2,COLUMN())),OFFSET($BN$2,0,0,ROW()-1,60),ROW()-1,FALSE))</f>
        <v>18.466000000000001</v>
      </c>
      <c r="I71">
        <f ca="1">IF(AND(ISNUMBER($I$579),$B$511=1),$I$579,HLOOKUP(INDIRECT(ADDRESS(2,COLUMN())),OFFSET($BN$2,0,0,ROW()-1,60),ROW()-1,FALSE))</f>
        <v>18.734000000000002</v>
      </c>
      <c r="J71">
        <f ca="1">IF(AND(ISNUMBER($J$579),$B$511=1),$J$579,HLOOKUP(INDIRECT(ADDRESS(2,COLUMN())),OFFSET($BN$2,0,0,ROW()-1,60),ROW()-1,FALSE))</f>
        <v>20.335999999999999</v>
      </c>
      <c r="K71">
        <f ca="1">IF(AND(ISNUMBER($K$579),$B$511=1),$K$579,HLOOKUP(INDIRECT(ADDRESS(2,COLUMN())),OFFSET($BN$2,0,0,ROW()-1,60),ROW()-1,FALSE))</f>
        <v>19.047000000000001</v>
      </c>
      <c r="L71">
        <f ca="1">IF(AND(ISNUMBER($L$579),$B$511=1),$L$579,HLOOKUP(INDIRECT(ADDRESS(2,COLUMN())),OFFSET($BN$2,0,0,ROW()-1,60),ROW()-1,FALSE))</f>
        <v>19.013000000000002</v>
      </c>
      <c r="M71">
        <f ca="1">IF(AND(ISNUMBER($M$579),$B$511=1),$M$579,HLOOKUP(INDIRECT(ADDRESS(2,COLUMN())),OFFSET($BN$2,0,0,ROW()-1,60),ROW()-1,FALSE))</f>
        <v>17.547999999999998</v>
      </c>
      <c r="N71">
        <f ca="1">IF(AND(ISNUMBER($N$579),$B$511=1),$N$579,HLOOKUP(INDIRECT(ADDRESS(2,COLUMN())),OFFSET($BN$2,0,0,ROW()-1,60),ROW()-1,FALSE))</f>
        <v>16.93</v>
      </c>
      <c r="O71">
        <f ca="1">IF(AND(ISNUMBER($O$579),$B$511=1),$O$579,HLOOKUP(INDIRECT(ADDRESS(2,COLUMN())),OFFSET($BN$2,0,0,ROW()-1,60),ROW()-1,FALSE))</f>
        <v>14.03</v>
      </c>
      <c r="P71">
        <f ca="1">IF(AND(ISNUMBER($P$579),$B$511=1),$P$579,HLOOKUP(INDIRECT(ADDRESS(2,COLUMN())),OFFSET($BN$2,0,0,ROW()-1,60),ROW()-1,FALSE))</f>
        <v>13.909000000000001</v>
      </c>
      <c r="Q71">
        <f ca="1">IF(AND(ISNUMBER($Q$579),$B$511=1),$Q$579,HLOOKUP(INDIRECT(ADDRESS(2,COLUMN())),OFFSET($BN$2,0,0,ROW()-1,60),ROW()-1,FALSE))</f>
        <v>11.678000000000001</v>
      </c>
      <c r="R71">
        <f ca="1">IF(AND(ISNUMBER($R$579),$B$511=1),$R$579,HLOOKUP(INDIRECT(ADDRESS(2,COLUMN())),OFFSET($BN$2,0,0,ROW()-1,60),ROW()-1,FALSE))</f>
        <v>9.0489999999999995</v>
      </c>
      <c r="S71" t="str">
        <f ca="1">IF(AND(ISNUMBER($S$579),$B$511=1),$S$579,HLOOKUP(INDIRECT(ADDRESS(2,COLUMN())),OFFSET($BN$2,0,0,ROW()-1,60),ROW()-1,FALSE))</f>
        <v/>
      </c>
      <c r="T71">
        <f ca="1">IF(AND(ISNUMBER($T$579),$B$511=1),$T$579,HLOOKUP(INDIRECT(ADDRESS(2,COLUMN())),OFFSET($BN$2,0,0,ROW()-1,60),ROW()-1,FALSE))</f>
        <v>11.179</v>
      </c>
      <c r="U71">
        <f ca="1">IF(AND(ISNUMBER($U$579),$B$511=1),$U$579,HLOOKUP(INDIRECT(ADDRESS(2,COLUMN())),OFFSET($BN$2,0,0,ROW()-1,60),ROW()-1,FALSE))</f>
        <v>12.881</v>
      </c>
      <c r="V71" t="str">
        <f ca="1">IF(AND(ISNUMBER($V$579),$B$511=1),$V$579,HLOOKUP(INDIRECT(ADDRESS(2,COLUMN())),OFFSET($BN$2,0,0,ROW()-1,60),ROW()-1,FALSE))</f>
        <v/>
      </c>
      <c r="W71" t="str">
        <f ca="1">IF(AND(ISNUMBER($W$579),$B$511=1),$W$579,HLOOKUP(INDIRECT(ADDRESS(2,COLUMN())),OFFSET($BN$2,0,0,ROW()-1,60),ROW()-1,FALSE))</f>
        <v/>
      </c>
      <c r="X71" t="str">
        <f ca="1">IF(AND(ISNUMBER($X$579),$B$511=1),$X$579,HLOOKUP(INDIRECT(ADDRESS(2,COLUMN())),OFFSET($BN$2,0,0,ROW()-1,60),ROW()-1,FALSE))</f>
        <v/>
      </c>
      <c r="Y71" t="str">
        <f ca="1">IF(AND(ISNUMBER($Y$579),$B$511=1),$Y$579,HLOOKUP(INDIRECT(ADDRESS(2,COLUMN())),OFFSET($BN$2,0,0,ROW()-1,60),ROW()-1,FALSE))</f>
        <v/>
      </c>
      <c r="Z71" t="str">
        <f ca="1">IF(AND(ISNUMBER($Z$579),$B$511=1),$Z$579,HLOOKUP(INDIRECT(ADDRESS(2,COLUMN())),OFFSET($BN$2,0,0,ROW()-1,60),ROW()-1,FALSE))</f>
        <v/>
      </c>
      <c r="AA71" t="str">
        <f ca="1">IF(AND(ISNUMBER($AA$579),$B$511=1),$AA$579,HLOOKUP(INDIRECT(ADDRESS(2,COLUMN())),OFFSET($BN$2,0,0,ROW()-1,60),ROW()-1,FALSE))</f>
        <v/>
      </c>
      <c r="AB71" t="str">
        <f ca="1">IF(AND(ISNUMBER($AB$579),$B$511=1),$AB$579,HLOOKUP(INDIRECT(ADDRESS(2,COLUMN())),OFFSET($BN$2,0,0,ROW()-1,60),ROW()-1,FALSE))</f>
        <v/>
      </c>
      <c r="AC71" t="str">
        <f ca="1">IF(AND(ISNUMBER($AC$579),$B$511=1),$AC$579,HLOOKUP(INDIRECT(ADDRESS(2,COLUMN())),OFFSET($BN$2,0,0,ROW()-1,60),ROW()-1,FALSE))</f>
        <v/>
      </c>
      <c r="AD71" t="str">
        <f ca="1">IF(AND(ISNUMBER($AD$579),$B$511=1),$AD$579,HLOOKUP(INDIRECT(ADDRESS(2,COLUMN())),OFFSET($BN$2,0,0,ROW()-1,60),ROW()-1,FALSE))</f>
        <v/>
      </c>
      <c r="AE71" t="str">
        <f ca="1">IF(AND(ISNUMBER($AE$579),$B$511=1),$AE$579,HLOOKUP(INDIRECT(ADDRESS(2,COLUMN())),OFFSET($BN$2,0,0,ROW()-1,60),ROW()-1,FALSE))</f>
        <v/>
      </c>
      <c r="AF71" t="str">
        <f ca="1">IF(AND(ISNUMBER($AF$579),$B$511=1),$AF$579,HLOOKUP(INDIRECT(ADDRESS(2,COLUMN())),OFFSET($BN$2,0,0,ROW()-1,60),ROW()-1,FALSE))</f>
        <v/>
      </c>
      <c r="AG71" t="str">
        <f ca="1">IF(AND(ISNUMBER($AG$579),$B$511=1),$AG$579,HLOOKUP(INDIRECT(ADDRESS(2,COLUMN())),OFFSET($BN$2,0,0,ROW()-1,60),ROW()-1,FALSE))</f>
        <v/>
      </c>
      <c r="AH71" t="str">
        <f ca="1">IF(AND(ISNUMBER($AH$579),$B$511=1),$AH$579,HLOOKUP(INDIRECT(ADDRESS(2,COLUMN())),OFFSET($BN$2,0,0,ROW()-1,60),ROW()-1,FALSE))</f>
        <v/>
      </c>
      <c r="AI71" t="str">
        <f ca="1">IF(AND(ISNUMBER($AI$579),$B$511=1),$AI$579,HLOOKUP(INDIRECT(ADDRESS(2,COLUMN())),OFFSET($BN$2,0,0,ROW()-1,60),ROW()-1,FALSE))</f>
        <v/>
      </c>
      <c r="AJ71" t="str">
        <f ca="1">IF(AND(ISNUMBER($AJ$579),$B$511=1),$AJ$579,HLOOKUP(INDIRECT(ADDRESS(2,COLUMN())),OFFSET($BN$2,0,0,ROW()-1,60),ROW()-1,FALSE))</f>
        <v/>
      </c>
      <c r="AK71" t="str">
        <f ca="1">IF(AND(ISNUMBER($AK$579),$B$511=1),$AK$579,HLOOKUP(INDIRECT(ADDRESS(2,COLUMN())),OFFSET($BN$2,0,0,ROW()-1,60),ROW()-1,FALSE))</f>
        <v/>
      </c>
      <c r="AL71" t="str">
        <f ca="1">IF(AND(ISNUMBER($AL$579),$B$511=1),$AL$579,HLOOKUP(INDIRECT(ADDRESS(2,COLUMN())),OFFSET($BN$2,0,0,ROW()-1,60),ROW()-1,FALSE))</f>
        <v/>
      </c>
      <c r="AM71" t="str">
        <f ca="1">IF(AND(ISNUMBER($AM$579),$B$511=1),$AM$579,HLOOKUP(INDIRECT(ADDRESS(2,COLUMN())),OFFSET($BN$2,0,0,ROW()-1,60),ROW()-1,FALSE))</f>
        <v/>
      </c>
      <c r="AN71" t="str">
        <f ca="1">IF(AND(ISNUMBER($AN$579),$B$511=1),$AN$579,HLOOKUP(INDIRECT(ADDRESS(2,COLUMN())),OFFSET($BN$2,0,0,ROW()-1,60),ROW()-1,FALSE))</f>
        <v/>
      </c>
      <c r="AO71" t="str">
        <f ca="1">IF(AND(ISNUMBER($AO$579),$B$511=1),$AO$579,HLOOKUP(INDIRECT(ADDRESS(2,COLUMN())),OFFSET($BN$2,0,0,ROW()-1,60),ROW()-1,FALSE))</f>
        <v/>
      </c>
      <c r="AP71" t="str">
        <f ca="1">IF(AND(ISNUMBER($AP$579),$B$511=1),$AP$579,HLOOKUP(INDIRECT(ADDRESS(2,COLUMN())),OFFSET($BN$2,0,0,ROW()-1,60),ROW()-1,FALSE))</f>
        <v/>
      </c>
      <c r="AQ71" t="str">
        <f ca="1">IF(AND(ISNUMBER($AQ$579),$B$511=1),$AQ$579,HLOOKUP(INDIRECT(ADDRESS(2,COLUMN())),OFFSET($BN$2,0,0,ROW()-1,60),ROW()-1,FALSE))</f>
        <v/>
      </c>
      <c r="AR71" t="str">
        <f ca="1">IF(AND(ISNUMBER($AR$579),$B$511=1),$AR$579,HLOOKUP(INDIRECT(ADDRESS(2,COLUMN())),OFFSET($BN$2,0,0,ROW()-1,60),ROW()-1,FALSE))</f>
        <v/>
      </c>
      <c r="AS71" t="str">
        <f ca="1">IF(AND(ISNUMBER($AS$579),$B$511=1),$AS$579,HLOOKUP(INDIRECT(ADDRESS(2,COLUMN())),OFFSET($BN$2,0,0,ROW()-1,60),ROW()-1,FALSE))</f>
        <v/>
      </c>
      <c r="AT71" t="str">
        <f ca="1">IF(AND(ISNUMBER($AT$579),$B$511=1),$AT$579,HLOOKUP(INDIRECT(ADDRESS(2,COLUMN())),OFFSET($BN$2,0,0,ROW()-1,60),ROW()-1,FALSE))</f>
        <v/>
      </c>
      <c r="AU71" t="str">
        <f ca="1">IF(AND(ISNUMBER($AU$579),$B$511=1),$AU$579,HLOOKUP(INDIRECT(ADDRESS(2,COLUMN())),OFFSET($BN$2,0,0,ROW()-1,60),ROW()-1,FALSE))</f>
        <v/>
      </c>
      <c r="AV71" t="str">
        <f ca="1">IF(AND(ISNUMBER($AV$579),$B$511=1),$AV$579,HLOOKUP(INDIRECT(ADDRESS(2,COLUMN())),OFFSET($BN$2,0,0,ROW()-1,60),ROW()-1,FALSE))</f>
        <v/>
      </c>
      <c r="AW71" t="str">
        <f ca="1">IF(AND(ISNUMBER($AW$579),$B$511=1),$AW$579,HLOOKUP(INDIRECT(ADDRESS(2,COLUMN())),OFFSET($BN$2,0,0,ROW()-1,60),ROW()-1,FALSE))</f>
        <v/>
      </c>
      <c r="AX71" t="str">
        <f ca="1">IF(AND(ISNUMBER($AX$579),$B$511=1),$AX$579,HLOOKUP(INDIRECT(ADDRESS(2,COLUMN())),OFFSET($BN$2,0,0,ROW()-1,60),ROW()-1,FALSE))</f>
        <v/>
      </c>
      <c r="AY71" t="str">
        <f ca="1">IF(AND(ISNUMBER($AY$579),$B$511=1),$AY$579,HLOOKUP(INDIRECT(ADDRESS(2,COLUMN())),OFFSET($BN$2,0,0,ROW()-1,60),ROW()-1,FALSE))</f>
        <v/>
      </c>
      <c r="AZ71" t="str">
        <f ca="1">IF(AND(ISNUMBER($AZ$579),$B$511=1),$AZ$579,HLOOKUP(INDIRECT(ADDRESS(2,COLUMN())),OFFSET($BN$2,0,0,ROW()-1,60),ROW()-1,FALSE))</f>
        <v/>
      </c>
      <c r="BA71" t="str">
        <f ca="1">IF(AND(ISNUMBER($BA$579),$B$511=1),$BA$579,HLOOKUP(INDIRECT(ADDRESS(2,COLUMN())),OFFSET($BN$2,0,0,ROW()-1,60),ROW()-1,FALSE))</f>
        <v/>
      </c>
      <c r="BB71" t="str">
        <f ca="1">IF(AND(ISNUMBER($BB$579),$B$511=1),$BB$579,HLOOKUP(INDIRECT(ADDRESS(2,COLUMN())),OFFSET($BN$2,0,0,ROW()-1,60),ROW()-1,FALSE))</f>
        <v/>
      </c>
      <c r="BC71" t="str">
        <f ca="1">IF(AND(ISNUMBER($BC$579),$B$511=1),$BC$579,HLOOKUP(INDIRECT(ADDRESS(2,COLUMN())),OFFSET($BN$2,0,0,ROW()-1,60),ROW()-1,FALSE))</f>
        <v/>
      </c>
      <c r="BD71" t="str">
        <f ca="1">IF(AND(ISNUMBER($BD$579),$B$511=1),$BD$579,HLOOKUP(INDIRECT(ADDRESS(2,COLUMN())),OFFSET($BN$2,0,0,ROW()-1,60),ROW()-1,FALSE))</f>
        <v/>
      </c>
      <c r="BE71" t="str">
        <f ca="1">IF(AND(ISNUMBER($BE$579),$B$511=1),$BE$579,HLOOKUP(INDIRECT(ADDRESS(2,COLUMN())),OFFSET($BN$2,0,0,ROW()-1,60),ROW()-1,FALSE))</f>
        <v/>
      </c>
      <c r="BF71" t="str">
        <f ca="1">IF(AND(ISNUMBER($BF$579),$B$511=1),$BF$579,HLOOKUP(INDIRECT(ADDRESS(2,COLUMN())),OFFSET($BN$2,0,0,ROW()-1,60),ROW()-1,FALSE))</f>
        <v/>
      </c>
      <c r="BG71" t="str">
        <f ca="1">IF(AND(ISNUMBER($BG$579),$B$511=1),$BG$579,HLOOKUP(INDIRECT(ADDRESS(2,COLUMN())),OFFSET($BN$2,0,0,ROW()-1,60),ROW()-1,FALSE))</f>
        <v/>
      </c>
      <c r="BH71" t="str">
        <f ca="1">IF(AND(ISNUMBER($BH$579),$B$511=1),$BH$579,HLOOKUP(INDIRECT(ADDRESS(2,COLUMN())),OFFSET($BN$2,0,0,ROW()-1,60),ROW()-1,FALSE))</f>
        <v/>
      </c>
      <c r="BI71" t="str">
        <f ca="1">IF(AND(ISNUMBER($BI$579),$B$511=1),$BI$579,HLOOKUP(INDIRECT(ADDRESS(2,COLUMN())),OFFSET($BN$2,0,0,ROW()-1,60),ROW()-1,FALSE))</f>
        <v/>
      </c>
      <c r="BJ71" t="str">
        <f ca="1">IF(AND(ISNUMBER($BJ$579),$B$511=1),$BJ$579,HLOOKUP(INDIRECT(ADDRESS(2,COLUMN())),OFFSET($BN$2,0,0,ROW()-1,60),ROW()-1,FALSE))</f>
        <v/>
      </c>
      <c r="BK71" t="str">
        <f ca="1">IF(AND(ISNUMBER($BK$579),$B$511=1),$BK$579,HLOOKUP(INDIRECT(ADDRESS(2,COLUMN())),OFFSET($BN$2,0,0,ROW()-1,60),ROW()-1,FALSE))</f>
        <v/>
      </c>
      <c r="BL71" t="str">
        <f ca="1">IF(AND(ISNUMBER($BL$579),$B$511=1),$BL$579,HLOOKUP(INDIRECT(ADDRESS(2,COLUMN())),OFFSET($BN$2,0,0,ROW()-1,60),ROW()-1,FALSE))</f>
        <v/>
      </c>
      <c r="BM71" t="str">
        <f ca="1">IF(AND(ISNUMBER($BM$579),$B$511=1),$BM$579,HLOOKUP(INDIRECT(ADDRESS(2,COLUMN())),OFFSET($BN$2,0,0,ROW()-1,60),ROW()-1,FALSE))</f>
        <v/>
      </c>
      <c r="BN71">
        <f>15.492</f>
        <v>15.492000000000001</v>
      </c>
      <c r="BO71">
        <f>17.272</f>
        <v>17.271999999999998</v>
      </c>
      <c r="BP71">
        <f>18.466</f>
        <v>18.466000000000001</v>
      </c>
      <c r="BQ71">
        <f>18.734</f>
        <v>18.734000000000002</v>
      </c>
      <c r="BR71">
        <f>20.336</f>
        <v>20.335999999999999</v>
      </c>
      <c r="BS71">
        <f>19.047</f>
        <v>19.047000000000001</v>
      </c>
      <c r="BT71">
        <f>19.013</f>
        <v>19.013000000000002</v>
      </c>
      <c r="BU71">
        <f>17.548</f>
        <v>17.547999999999998</v>
      </c>
      <c r="BV71">
        <f>16.93</f>
        <v>16.93</v>
      </c>
      <c r="BW71">
        <f>14.03</f>
        <v>14.03</v>
      </c>
      <c r="BX71">
        <f>13.909</f>
        <v>13.909000000000001</v>
      </c>
      <c r="BY71">
        <f>11.678</f>
        <v>11.678000000000001</v>
      </c>
      <c r="BZ71">
        <f>9.049</f>
        <v>9.0489999999999995</v>
      </c>
      <c r="CA71" t="str">
        <f>""</f>
        <v/>
      </c>
      <c r="CB71">
        <f>11.179</f>
        <v>11.179</v>
      </c>
      <c r="CC71">
        <f>12.881</f>
        <v>12.881</v>
      </c>
      <c r="CD71" t="str">
        <f>""</f>
        <v/>
      </c>
      <c r="CE71" t="str">
        <f>""</f>
        <v/>
      </c>
      <c r="CF71" t="str">
        <f>""</f>
        <v/>
      </c>
      <c r="CG71" t="str">
        <f>""</f>
        <v/>
      </c>
      <c r="CH71" t="str">
        <f>""</f>
        <v/>
      </c>
      <c r="CI71" t="str">
        <f>""</f>
        <v/>
      </c>
      <c r="CJ71" t="str">
        <f>""</f>
        <v/>
      </c>
      <c r="CK71" t="str">
        <f>""</f>
        <v/>
      </c>
      <c r="CL71" t="str">
        <f>""</f>
        <v/>
      </c>
      <c r="CM71" t="str">
        <f>""</f>
        <v/>
      </c>
      <c r="CN71" t="str">
        <f>""</f>
        <v/>
      </c>
      <c r="CO71" t="str">
        <f>""</f>
        <v/>
      </c>
      <c r="CP71" t="str">
        <f>""</f>
        <v/>
      </c>
      <c r="CQ71" t="str">
        <f>""</f>
        <v/>
      </c>
      <c r="CR71" t="str">
        <f>""</f>
        <v/>
      </c>
      <c r="CS71" t="str">
        <f>""</f>
        <v/>
      </c>
      <c r="CT71" t="str">
        <f>""</f>
        <v/>
      </c>
      <c r="CU71" t="str">
        <f>""</f>
        <v/>
      </c>
      <c r="CV71" t="str">
        <f>""</f>
        <v/>
      </c>
      <c r="CW71" t="str">
        <f>""</f>
        <v/>
      </c>
      <c r="CX71" t="str">
        <f>""</f>
        <v/>
      </c>
      <c r="CY71" t="str">
        <f>""</f>
        <v/>
      </c>
      <c r="CZ71" t="str">
        <f>""</f>
        <v/>
      </c>
      <c r="DA71" t="str">
        <f>""</f>
        <v/>
      </c>
      <c r="DB71" t="str">
        <f>""</f>
        <v/>
      </c>
      <c r="DC71" t="str">
        <f>""</f>
        <v/>
      </c>
      <c r="DD71" t="str">
        <f>""</f>
        <v/>
      </c>
      <c r="DE71" t="str">
        <f>""</f>
        <v/>
      </c>
      <c r="DF71" t="str">
        <f>""</f>
        <v/>
      </c>
      <c r="DG71" t="str">
        <f>""</f>
        <v/>
      </c>
      <c r="DH71" t="str">
        <f>""</f>
        <v/>
      </c>
      <c r="DI71" t="str">
        <f>""</f>
        <v/>
      </c>
      <c r="DJ71" t="str">
        <f>""</f>
        <v/>
      </c>
      <c r="DK71" t="str">
        <f>""</f>
        <v/>
      </c>
      <c r="DL71" t="str">
        <f>""</f>
        <v/>
      </c>
      <c r="DM71" t="str">
        <f>""</f>
        <v/>
      </c>
      <c r="DN71" t="str">
        <f>""</f>
        <v/>
      </c>
      <c r="DO71" t="str">
        <f>""</f>
        <v/>
      </c>
      <c r="DP71" t="str">
        <f>""</f>
        <v/>
      </c>
      <c r="DQ71" t="str">
        <f>""</f>
        <v/>
      </c>
      <c r="DR71" t="str">
        <f>""</f>
        <v/>
      </c>
      <c r="DS71" t="str">
        <f>""</f>
        <v/>
      </c>
      <c r="DT71" t="str">
        <f>""</f>
        <v/>
      </c>
      <c r="DU71" t="str">
        <f>""</f>
        <v/>
      </c>
    </row>
    <row r="72" spans="1:125" x14ac:dyDescent="0.25">
      <c r="A72" t="str">
        <f>"    SAIC Motor Corp Ltd"</f>
        <v xml:space="preserve">    SAIC Motor Corp Ltd</v>
      </c>
      <c r="B72" t="str">
        <f>"600104 CH Equity"</f>
        <v>600104 CH Equity</v>
      </c>
      <c r="C72" t="str">
        <f t="shared" si="3"/>
        <v>EZ019</v>
      </c>
      <c r="D72" t="str">
        <f t="shared" si="4"/>
        <v>BEST_EEPS_CUR_YR</v>
      </c>
      <c r="E72" t="str">
        <f t="shared" si="5"/>
        <v>Dynamic</v>
      </c>
      <c r="F72">
        <f ca="1">IF(AND(ISNUMBER($F$580),$B$511=1),$F$580,HLOOKUP(INDIRECT(ADDRESS(2,COLUMN())),OFFSET($BN$2,0,0,ROW()-1,60),ROW()-1,FALSE))</f>
        <v>0.46899999999999997</v>
      </c>
      <c r="G72">
        <f ca="1">IF(AND(ISNUMBER($G$580),$B$511=1),$G$580,HLOOKUP(INDIRECT(ADDRESS(2,COLUMN())),OFFSET($BN$2,0,0,ROW()-1,60),ROW()-1,FALSE))</f>
        <v>0.46200000000000002</v>
      </c>
      <c r="H72">
        <f ca="1">IF(AND(ISNUMBER($H$580),$B$511=1),$H$580,HLOOKUP(INDIRECT(ADDRESS(2,COLUMN())),OFFSET($BN$2,0,0,ROW()-1,60),ROW()-1,FALSE))</f>
        <v>0.47299999999999998</v>
      </c>
      <c r="I72">
        <f ca="1">IF(AND(ISNUMBER($I$580),$B$511=1),$I$580,HLOOKUP(INDIRECT(ADDRESS(2,COLUMN())),OFFSET($BN$2,0,0,ROW()-1,60),ROW()-1,FALSE))</f>
        <v>0.48699999999999999</v>
      </c>
      <c r="J72">
        <f ca="1">IF(AND(ISNUMBER($J$580),$B$511=1),$J$580,HLOOKUP(INDIRECT(ADDRESS(2,COLUMN())),OFFSET($BN$2,0,0,ROW()-1,60),ROW()-1,FALSE))</f>
        <v>0.52400000000000002</v>
      </c>
      <c r="K72">
        <f ca="1">IF(AND(ISNUMBER($K$580),$B$511=1),$K$580,HLOOKUP(INDIRECT(ADDRESS(2,COLUMN())),OFFSET($BN$2,0,0,ROW()-1,60),ROW()-1,FALSE))</f>
        <v>0.51500000000000001</v>
      </c>
      <c r="L72">
        <f ca="1">IF(AND(ISNUMBER($L$580),$B$511=1),$L$580,HLOOKUP(INDIRECT(ADDRESS(2,COLUMN())),OFFSET($BN$2,0,0,ROW()-1,60),ROW()-1,FALSE))</f>
        <v>0.51100000000000001</v>
      </c>
      <c r="M72">
        <f ca="1">IF(AND(ISNUMBER($M$580),$B$511=1),$M$580,HLOOKUP(INDIRECT(ADDRESS(2,COLUMN())),OFFSET($BN$2,0,0,ROW()-1,60),ROW()-1,FALSE))</f>
        <v>0.504</v>
      </c>
      <c r="N72">
        <f ca="1">IF(AND(ISNUMBER($N$580),$B$511=1),$N$580,HLOOKUP(INDIRECT(ADDRESS(2,COLUMN())),OFFSET($BN$2,0,0,ROW()-1,60),ROW()-1,FALSE))</f>
        <v>0.49099999999999999</v>
      </c>
      <c r="O72">
        <f ca="1">IF(AND(ISNUMBER($O$580),$B$511=1),$O$580,HLOOKUP(INDIRECT(ADDRESS(2,COLUMN())),OFFSET($BN$2,0,0,ROW()-1,60),ROW()-1,FALSE))</f>
        <v>0.48299999999999998</v>
      </c>
      <c r="P72">
        <f ca="1">IF(AND(ISNUMBER($P$580),$B$511=1),$P$580,HLOOKUP(INDIRECT(ADDRESS(2,COLUMN())),OFFSET($BN$2,0,0,ROW()-1,60),ROW()-1,FALSE))</f>
        <v>0.47699999999999998</v>
      </c>
      <c r="Q72">
        <f ca="1">IF(AND(ISNUMBER($Q$580),$B$511=1),$Q$580,HLOOKUP(INDIRECT(ADDRESS(2,COLUMN())),OFFSET($BN$2,0,0,ROW()-1,60),ROW()-1,FALSE))</f>
        <v>0.47299999999999998</v>
      </c>
      <c r="R72">
        <f ca="1">IF(AND(ISNUMBER($R$580),$B$511=1),$R$580,HLOOKUP(INDIRECT(ADDRESS(2,COLUMN())),OFFSET($BN$2,0,0,ROW()-1,60),ROW()-1,FALSE))</f>
        <v>0.40100000000000002</v>
      </c>
      <c r="S72">
        <f ca="1">IF(AND(ISNUMBER($S$580),$B$511=1),$S$580,HLOOKUP(INDIRECT(ADDRESS(2,COLUMN())),OFFSET($BN$2,0,0,ROW()-1,60),ROW()-1,FALSE))</f>
        <v>0.34200000000000003</v>
      </c>
      <c r="T72">
        <f ca="1">IF(AND(ISNUMBER($T$580),$B$511=1),$T$580,HLOOKUP(INDIRECT(ADDRESS(2,COLUMN())),OFFSET($BN$2,0,0,ROW()-1,60),ROW()-1,FALSE))</f>
        <v>0.29899999999999999</v>
      </c>
      <c r="U72">
        <f ca="1">IF(AND(ISNUMBER($U$580),$B$511=1),$U$580,HLOOKUP(INDIRECT(ADDRESS(2,COLUMN())),OFFSET($BN$2,0,0,ROW()-1,60),ROW()-1,FALSE))</f>
        <v>0.53600000000000003</v>
      </c>
      <c r="V72">
        <f ca="1">IF(AND(ISNUMBER($V$580),$B$511=1),$V$580,HLOOKUP(INDIRECT(ADDRESS(2,COLUMN())),OFFSET($BN$2,0,0,ROW()-1,60),ROW()-1,FALSE))</f>
        <v>0.65800000000000003</v>
      </c>
      <c r="W72">
        <f ca="1">IF(AND(ISNUMBER($W$580),$B$511=1),$W$580,HLOOKUP(INDIRECT(ADDRESS(2,COLUMN())),OFFSET($BN$2,0,0,ROW()-1,60),ROW()-1,FALSE))</f>
        <v>0.60299999999999998</v>
      </c>
      <c r="X72" t="str">
        <f ca="1">IF(AND(ISNUMBER($X$580),$B$511=1),$X$580,HLOOKUP(INDIRECT(ADDRESS(2,COLUMN())),OFFSET($BN$2,0,0,ROW()-1,60),ROW()-1,FALSE))</f>
        <v/>
      </c>
      <c r="Y72" t="str">
        <f ca="1">IF(AND(ISNUMBER($Y$580),$B$511=1),$Y$580,HLOOKUP(INDIRECT(ADDRESS(2,COLUMN())),OFFSET($BN$2,0,0,ROW()-1,60),ROW()-1,FALSE))</f>
        <v/>
      </c>
      <c r="Z72" t="str">
        <f ca="1">IF(AND(ISNUMBER($Z$580),$B$511=1),$Z$580,HLOOKUP(INDIRECT(ADDRESS(2,COLUMN())),OFFSET($BN$2,0,0,ROW()-1,60),ROW()-1,FALSE))</f>
        <v/>
      </c>
      <c r="AA72" t="str">
        <f ca="1">IF(AND(ISNUMBER($AA$580),$B$511=1),$AA$580,HLOOKUP(INDIRECT(ADDRESS(2,COLUMN())),OFFSET($BN$2,0,0,ROW()-1,60),ROW()-1,FALSE))</f>
        <v/>
      </c>
      <c r="AB72" t="str">
        <f ca="1">IF(AND(ISNUMBER($AB$580),$B$511=1),$AB$580,HLOOKUP(INDIRECT(ADDRESS(2,COLUMN())),OFFSET($BN$2,0,0,ROW()-1,60),ROW()-1,FALSE))</f>
        <v/>
      </c>
      <c r="AC72" t="str">
        <f ca="1">IF(AND(ISNUMBER($AC$580),$B$511=1),$AC$580,HLOOKUP(INDIRECT(ADDRESS(2,COLUMN())),OFFSET($BN$2,0,0,ROW()-1,60),ROW()-1,FALSE))</f>
        <v/>
      </c>
      <c r="AD72" t="str">
        <f ca="1">IF(AND(ISNUMBER($AD$580),$B$511=1),$AD$580,HLOOKUP(INDIRECT(ADDRESS(2,COLUMN())),OFFSET($BN$2,0,0,ROW()-1,60),ROW()-1,FALSE))</f>
        <v/>
      </c>
      <c r="AE72" t="str">
        <f ca="1">IF(AND(ISNUMBER($AE$580),$B$511=1),$AE$580,HLOOKUP(INDIRECT(ADDRESS(2,COLUMN())),OFFSET($BN$2,0,0,ROW()-1,60),ROW()-1,FALSE))</f>
        <v/>
      </c>
      <c r="AF72" t="str">
        <f ca="1">IF(AND(ISNUMBER($AF$580),$B$511=1),$AF$580,HLOOKUP(INDIRECT(ADDRESS(2,COLUMN())),OFFSET($BN$2,0,0,ROW()-1,60),ROW()-1,FALSE))</f>
        <v/>
      </c>
      <c r="AG72" t="str">
        <f ca="1">IF(AND(ISNUMBER($AG$580),$B$511=1),$AG$580,HLOOKUP(INDIRECT(ADDRESS(2,COLUMN())),OFFSET($BN$2,0,0,ROW()-1,60),ROW()-1,FALSE))</f>
        <v/>
      </c>
      <c r="AH72" t="str">
        <f ca="1">IF(AND(ISNUMBER($AH$580),$B$511=1),$AH$580,HLOOKUP(INDIRECT(ADDRESS(2,COLUMN())),OFFSET($BN$2,0,0,ROW()-1,60),ROW()-1,FALSE))</f>
        <v/>
      </c>
      <c r="AI72" t="str">
        <f ca="1">IF(AND(ISNUMBER($AI$580),$B$511=1),$AI$580,HLOOKUP(INDIRECT(ADDRESS(2,COLUMN())),OFFSET($BN$2,0,0,ROW()-1,60),ROW()-1,FALSE))</f>
        <v/>
      </c>
      <c r="AJ72" t="str">
        <f ca="1">IF(AND(ISNUMBER($AJ$580),$B$511=1),$AJ$580,HLOOKUP(INDIRECT(ADDRESS(2,COLUMN())),OFFSET($BN$2,0,0,ROW()-1,60),ROW()-1,FALSE))</f>
        <v/>
      </c>
      <c r="AK72" t="str">
        <f ca="1">IF(AND(ISNUMBER($AK$580),$B$511=1),$AK$580,HLOOKUP(INDIRECT(ADDRESS(2,COLUMN())),OFFSET($BN$2,0,0,ROW()-1,60),ROW()-1,FALSE))</f>
        <v/>
      </c>
      <c r="AL72" t="str">
        <f ca="1">IF(AND(ISNUMBER($AL$580),$B$511=1),$AL$580,HLOOKUP(INDIRECT(ADDRESS(2,COLUMN())),OFFSET($BN$2,0,0,ROW()-1,60),ROW()-1,FALSE))</f>
        <v/>
      </c>
      <c r="AM72" t="str">
        <f ca="1">IF(AND(ISNUMBER($AM$580),$B$511=1),$AM$580,HLOOKUP(INDIRECT(ADDRESS(2,COLUMN())),OFFSET($BN$2,0,0,ROW()-1,60),ROW()-1,FALSE))</f>
        <v/>
      </c>
      <c r="AN72" t="str">
        <f ca="1">IF(AND(ISNUMBER($AN$580),$B$511=1),$AN$580,HLOOKUP(INDIRECT(ADDRESS(2,COLUMN())),OFFSET($BN$2,0,0,ROW()-1,60),ROW()-1,FALSE))</f>
        <v/>
      </c>
      <c r="AO72" t="str">
        <f ca="1">IF(AND(ISNUMBER($AO$580),$B$511=1),$AO$580,HLOOKUP(INDIRECT(ADDRESS(2,COLUMN())),OFFSET($BN$2,0,0,ROW()-1,60),ROW()-1,FALSE))</f>
        <v/>
      </c>
      <c r="AP72" t="str">
        <f ca="1">IF(AND(ISNUMBER($AP$580),$B$511=1),$AP$580,HLOOKUP(INDIRECT(ADDRESS(2,COLUMN())),OFFSET($BN$2,0,0,ROW()-1,60),ROW()-1,FALSE))</f>
        <v/>
      </c>
      <c r="AQ72" t="str">
        <f ca="1">IF(AND(ISNUMBER($AQ$580),$B$511=1),$AQ$580,HLOOKUP(INDIRECT(ADDRESS(2,COLUMN())),OFFSET($BN$2,0,0,ROW()-1,60),ROW()-1,FALSE))</f>
        <v/>
      </c>
      <c r="AR72" t="str">
        <f ca="1">IF(AND(ISNUMBER($AR$580),$B$511=1),$AR$580,HLOOKUP(INDIRECT(ADDRESS(2,COLUMN())),OFFSET($BN$2,0,0,ROW()-1,60),ROW()-1,FALSE))</f>
        <v/>
      </c>
      <c r="AS72" t="str">
        <f ca="1">IF(AND(ISNUMBER($AS$580),$B$511=1),$AS$580,HLOOKUP(INDIRECT(ADDRESS(2,COLUMN())),OFFSET($BN$2,0,0,ROW()-1,60),ROW()-1,FALSE))</f>
        <v/>
      </c>
      <c r="AT72" t="str">
        <f ca="1">IF(AND(ISNUMBER($AT$580),$B$511=1),$AT$580,HLOOKUP(INDIRECT(ADDRESS(2,COLUMN())),OFFSET($BN$2,0,0,ROW()-1,60),ROW()-1,FALSE))</f>
        <v/>
      </c>
      <c r="AU72" t="str">
        <f ca="1">IF(AND(ISNUMBER($AU$580),$B$511=1),$AU$580,HLOOKUP(INDIRECT(ADDRESS(2,COLUMN())),OFFSET($BN$2,0,0,ROW()-1,60),ROW()-1,FALSE))</f>
        <v/>
      </c>
      <c r="AV72" t="str">
        <f ca="1">IF(AND(ISNUMBER($AV$580),$B$511=1),$AV$580,HLOOKUP(INDIRECT(ADDRESS(2,COLUMN())),OFFSET($BN$2,0,0,ROW()-1,60),ROW()-1,FALSE))</f>
        <v/>
      </c>
      <c r="AW72" t="str">
        <f ca="1">IF(AND(ISNUMBER($AW$580),$B$511=1),$AW$580,HLOOKUP(INDIRECT(ADDRESS(2,COLUMN())),OFFSET($BN$2,0,0,ROW()-1,60),ROW()-1,FALSE))</f>
        <v/>
      </c>
      <c r="AX72" t="str">
        <f ca="1">IF(AND(ISNUMBER($AX$580),$B$511=1),$AX$580,HLOOKUP(INDIRECT(ADDRESS(2,COLUMN())),OFFSET($BN$2,0,0,ROW()-1,60),ROW()-1,FALSE))</f>
        <v/>
      </c>
      <c r="AY72" t="str">
        <f ca="1">IF(AND(ISNUMBER($AY$580),$B$511=1),$AY$580,HLOOKUP(INDIRECT(ADDRESS(2,COLUMN())),OFFSET($BN$2,0,0,ROW()-1,60),ROW()-1,FALSE))</f>
        <v/>
      </c>
      <c r="AZ72" t="str">
        <f ca="1">IF(AND(ISNUMBER($AZ$580),$B$511=1),$AZ$580,HLOOKUP(INDIRECT(ADDRESS(2,COLUMN())),OFFSET($BN$2,0,0,ROW()-1,60),ROW()-1,FALSE))</f>
        <v/>
      </c>
      <c r="BA72" t="str">
        <f ca="1">IF(AND(ISNUMBER($BA$580),$B$511=1),$BA$580,HLOOKUP(INDIRECT(ADDRESS(2,COLUMN())),OFFSET($BN$2,0,0,ROW()-1,60),ROW()-1,FALSE))</f>
        <v/>
      </c>
      <c r="BB72" t="str">
        <f ca="1">IF(AND(ISNUMBER($BB$580),$B$511=1),$BB$580,HLOOKUP(INDIRECT(ADDRESS(2,COLUMN())),OFFSET($BN$2,0,0,ROW()-1,60),ROW()-1,FALSE))</f>
        <v/>
      </c>
      <c r="BC72" t="str">
        <f ca="1">IF(AND(ISNUMBER($BC$580),$B$511=1),$BC$580,HLOOKUP(INDIRECT(ADDRESS(2,COLUMN())),OFFSET($BN$2,0,0,ROW()-1,60),ROW()-1,FALSE))</f>
        <v/>
      </c>
      <c r="BD72" t="str">
        <f ca="1">IF(AND(ISNUMBER($BD$580),$B$511=1),$BD$580,HLOOKUP(INDIRECT(ADDRESS(2,COLUMN())),OFFSET($BN$2,0,0,ROW()-1,60),ROW()-1,FALSE))</f>
        <v/>
      </c>
      <c r="BE72" t="str">
        <f ca="1">IF(AND(ISNUMBER($BE$580),$B$511=1),$BE$580,HLOOKUP(INDIRECT(ADDRESS(2,COLUMN())),OFFSET($BN$2,0,0,ROW()-1,60),ROW()-1,FALSE))</f>
        <v/>
      </c>
      <c r="BF72" t="str">
        <f ca="1">IF(AND(ISNUMBER($BF$580),$B$511=1),$BF$580,HLOOKUP(INDIRECT(ADDRESS(2,COLUMN())),OFFSET($BN$2,0,0,ROW()-1,60),ROW()-1,FALSE))</f>
        <v/>
      </c>
      <c r="BG72" t="str">
        <f ca="1">IF(AND(ISNUMBER($BG$580),$B$511=1),$BG$580,HLOOKUP(INDIRECT(ADDRESS(2,COLUMN())),OFFSET($BN$2,0,0,ROW()-1,60),ROW()-1,FALSE))</f>
        <v/>
      </c>
      <c r="BH72" t="str">
        <f ca="1">IF(AND(ISNUMBER($BH$580),$B$511=1),$BH$580,HLOOKUP(INDIRECT(ADDRESS(2,COLUMN())),OFFSET($BN$2,0,0,ROW()-1,60),ROW()-1,FALSE))</f>
        <v/>
      </c>
      <c r="BI72" t="str">
        <f ca="1">IF(AND(ISNUMBER($BI$580),$B$511=1),$BI$580,HLOOKUP(INDIRECT(ADDRESS(2,COLUMN())),OFFSET($BN$2,0,0,ROW()-1,60),ROW()-1,FALSE))</f>
        <v/>
      </c>
      <c r="BJ72" t="str">
        <f ca="1">IF(AND(ISNUMBER($BJ$580),$B$511=1),$BJ$580,HLOOKUP(INDIRECT(ADDRESS(2,COLUMN())),OFFSET($BN$2,0,0,ROW()-1,60),ROW()-1,FALSE))</f>
        <v/>
      </c>
      <c r="BK72" t="str">
        <f ca="1">IF(AND(ISNUMBER($BK$580),$B$511=1),$BK$580,HLOOKUP(INDIRECT(ADDRESS(2,COLUMN())),OFFSET($BN$2,0,0,ROW()-1,60),ROW()-1,FALSE))</f>
        <v/>
      </c>
      <c r="BL72" t="str">
        <f ca="1">IF(AND(ISNUMBER($BL$580),$B$511=1),$BL$580,HLOOKUP(INDIRECT(ADDRESS(2,COLUMN())),OFFSET($BN$2,0,0,ROW()-1,60),ROW()-1,FALSE))</f>
        <v/>
      </c>
      <c r="BM72" t="str">
        <f ca="1">IF(AND(ISNUMBER($BM$580),$B$511=1),$BM$580,HLOOKUP(INDIRECT(ADDRESS(2,COLUMN())),OFFSET($BN$2,0,0,ROW()-1,60),ROW()-1,FALSE))</f>
        <v/>
      </c>
      <c r="BN72">
        <f>0.469</f>
        <v>0.46899999999999997</v>
      </c>
      <c r="BO72">
        <f>0.462</f>
        <v>0.46200000000000002</v>
      </c>
      <c r="BP72">
        <f>0.473</f>
        <v>0.47299999999999998</v>
      </c>
      <c r="BQ72">
        <f>0.487</f>
        <v>0.48699999999999999</v>
      </c>
      <c r="BR72">
        <f>0.524</f>
        <v>0.52400000000000002</v>
      </c>
      <c r="BS72">
        <f>0.515</f>
        <v>0.51500000000000001</v>
      </c>
      <c r="BT72">
        <f>0.511</f>
        <v>0.51100000000000001</v>
      </c>
      <c r="BU72">
        <f>0.504</f>
        <v>0.504</v>
      </c>
      <c r="BV72">
        <f>0.491</f>
        <v>0.49099999999999999</v>
      </c>
      <c r="BW72">
        <f>0.483</f>
        <v>0.48299999999999998</v>
      </c>
      <c r="BX72">
        <f>0.477</f>
        <v>0.47699999999999998</v>
      </c>
      <c r="BY72">
        <f>0.473</f>
        <v>0.47299999999999998</v>
      </c>
      <c r="BZ72">
        <f>0.401</f>
        <v>0.40100000000000002</v>
      </c>
      <c r="CA72">
        <f>0.342</f>
        <v>0.34200000000000003</v>
      </c>
      <c r="CB72">
        <f>0.299</f>
        <v>0.29899999999999999</v>
      </c>
      <c r="CC72">
        <f>0.536</f>
        <v>0.53600000000000003</v>
      </c>
      <c r="CD72">
        <f>0.658</f>
        <v>0.65800000000000003</v>
      </c>
      <c r="CE72">
        <f>0.603</f>
        <v>0.60299999999999998</v>
      </c>
      <c r="CF72" t="str">
        <f>""</f>
        <v/>
      </c>
      <c r="CG72" t="str">
        <f>""</f>
        <v/>
      </c>
      <c r="CH72" t="str">
        <f>""</f>
        <v/>
      </c>
      <c r="CI72" t="str">
        <f>""</f>
        <v/>
      </c>
      <c r="CJ72" t="str">
        <f>""</f>
        <v/>
      </c>
      <c r="CK72" t="str">
        <f>""</f>
        <v/>
      </c>
      <c r="CL72" t="str">
        <f>""</f>
        <v/>
      </c>
      <c r="CM72" t="str">
        <f>""</f>
        <v/>
      </c>
      <c r="CN72" t="str">
        <f>""</f>
        <v/>
      </c>
      <c r="CO72" t="str">
        <f>""</f>
        <v/>
      </c>
      <c r="CP72" t="str">
        <f>""</f>
        <v/>
      </c>
      <c r="CQ72" t="str">
        <f>""</f>
        <v/>
      </c>
      <c r="CR72" t="str">
        <f>""</f>
        <v/>
      </c>
      <c r="CS72" t="str">
        <f>""</f>
        <v/>
      </c>
      <c r="CT72" t="str">
        <f>""</f>
        <v/>
      </c>
      <c r="CU72" t="str">
        <f>""</f>
        <v/>
      </c>
      <c r="CV72" t="str">
        <f>""</f>
        <v/>
      </c>
      <c r="CW72" t="str">
        <f>""</f>
        <v/>
      </c>
      <c r="CX72" t="str">
        <f>""</f>
        <v/>
      </c>
      <c r="CY72" t="str">
        <f>""</f>
        <v/>
      </c>
      <c r="CZ72" t="str">
        <f>""</f>
        <v/>
      </c>
      <c r="DA72" t="str">
        <f>""</f>
        <v/>
      </c>
      <c r="DB72" t="str">
        <f>""</f>
        <v/>
      </c>
      <c r="DC72" t="str">
        <f>""</f>
        <v/>
      </c>
      <c r="DD72" t="str">
        <f>""</f>
        <v/>
      </c>
      <c r="DE72" t="str">
        <f>""</f>
        <v/>
      </c>
      <c r="DF72" t="str">
        <f>""</f>
        <v/>
      </c>
      <c r="DG72" t="str">
        <f>""</f>
        <v/>
      </c>
      <c r="DH72" t="str">
        <f>""</f>
        <v/>
      </c>
      <c r="DI72" t="str">
        <f>""</f>
        <v/>
      </c>
      <c r="DJ72" t="str">
        <f>""</f>
        <v/>
      </c>
      <c r="DK72" t="str">
        <f>""</f>
        <v/>
      </c>
      <c r="DL72" t="str">
        <f>""</f>
        <v/>
      </c>
      <c r="DM72" t="str">
        <f>""</f>
        <v/>
      </c>
      <c r="DN72" t="str">
        <f>""</f>
        <v/>
      </c>
      <c r="DO72" t="str">
        <f>""</f>
        <v/>
      </c>
      <c r="DP72" t="str">
        <f>""</f>
        <v/>
      </c>
      <c r="DQ72" t="str">
        <f>""</f>
        <v/>
      </c>
      <c r="DR72" t="str">
        <f>""</f>
        <v/>
      </c>
      <c r="DS72" t="str">
        <f>""</f>
        <v/>
      </c>
      <c r="DT72" t="str">
        <f>""</f>
        <v/>
      </c>
      <c r="DU72" t="str">
        <f>""</f>
        <v/>
      </c>
    </row>
    <row r="73" spans="1:125" x14ac:dyDescent="0.25">
      <c r="A73" t="str">
        <f>"    Sanyang Motor Co Ltd"</f>
        <v xml:space="preserve">    Sanyang Motor Co Ltd</v>
      </c>
      <c r="B73" t="str">
        <f>"2206 TT Equity"</f>
        <v>2206 TT Equity</v>
      </c>
      <c r="C73" t="str">
        <f t="shared" si="3"/>
        <v>EZ019</v>
      </c>
      <c r="D73" t="str">
        <f t="shared" si="4"/>
        <v>BEST_EEPS_CUR_YR</v>
      </c>
      <c r="E73" t="str">
        <f t="shared" si="5"/>
        <v>Dynamic</v>
      </c>
      <c r="F73">
        <f ca="1">IF(AND(ISNUMBER($F$581),$B$511=1),$F$581,HLOOKUP(INDIRECT(ADDRESS(2,COLUMN())),OFFSET($BN$2,0,0,ROW()-1,60),ROW()-1,FALSE))</f>
        <v>6.8000000000000005E-2</v>
      </c>
      <c r="G73">
        <f ca="1">IF(AND(ISNUMBER($G$581),$B$511=1),$G$581,HLOOKUP(INDIRECT(ADDRESS(2,COLUMN())),OFFSET($BN$2,0,0,ROW()-1,60),ROW()-1,FALSE))</f>
        <v>6.8000000000000005E-2</v>
      </c>
      <c r="H73">
        <f ca="1">IF(AND(ISNUMBER($H$581),$B$511=1),$H$581,HLOOKUP(INDIRECT(ADDRESS(2,COLUMN())),OFFSET($BN$2,0,0,ROW()-1,60),ROW()-1,FALSE))</f>
        <v>3.2000000000000001E-2</v>
      </c>
      <c r="I73" t="str">
        <f ca="1">IF(AND(ISNUMBER($I$581),$B$511=1),$I$581,HLOOKUP(INDIRECT(ADDRESS(2,COLUMN())),OFFSET($BN$2,0,0,ROW()-1,60),ROW()-1,FALSE))</f>
        <v/>
      </c>
      <c r="J73" t="str">
        <f ca="1">IF(AND(ISNUMBER($J$581),$B$511=1),$J$581,HLOOKUP(INDIRECT(ADDRESS(2,COLUMN())),OFFSET($BN$2,0,0,ROW()-1,60),ROW()-1,FALSE))</f>
        <v/>
      </c>
      <c r="K73" t="str">
        <f ca="1">IF(AND(ISNUMBER($K$581),$B$511=1),$K$581,HLOOKUP(INDIRECT(ADDRESS(2,COLUMN())),OFFSET($BN$2,0,0,ROW()-1,60),ROW()-1,FALSE))</f>
        <v/>
      </c>
      <c r="L73" t="str">
        <f ca="1">IF(AND(ISNUMBER($L$581),$B$511=1),$L$581,HLOOKUP(INDIRECT(ADDRESS(2,COLUMN())),OFFSET($BN$2,0,0,ROW()-1,60),ROW()-1,FALSE))</f>
        <v/>
      </c>
      <c r="M73" t="str">
        <f ca="1">IF(AND(ISNUMBER($M$581),$B$511=1),$M$581,HLOOKUP(INDIRECT(ADDRESS(2,COLUMN())),OFFSET($BN$2,0,0,ROW()-1,60),ROW()-1,FALSE))</f>
        <v/>
      </c>
      <c r="N73" t="str">
        <f ca="1">IF(AND(ISNUMBER($N$581),$B$511=1),$N$581,HLOOKUP(INDIRECT(ADDRESS(2,COLUMN())),OFFSET($BN$2,0,0,ROW()-1,60),ROW()-1,FALSE))</f>
        <v/>
      </c>
      <c r="O73" t="str">
        <f ca="1">IF(AND(ISNUMBER($O$581),$B$511=1),$O$581,HLOOKUP(INDIRECT(ADDRESS(2,COLUMN())),OFFSET($BN$2,0,0,ROW()-1,60),ROW()-1,FALSE))</f>
        <v/>
      </c>
      <c r="P73" t="str">
        <f ca="1">IF(AND(ISNUMBER($P$581),$B$511=1),$P$581,HLOOKUP(INDIRECT(ADDRESS(2,COLUMN())),OFFSET($BN$2,0,0,ROW()-1,60),ROW()-1,FALSE))</f>
        <v/>
      </c>
      <c r="Q73" t="str">
        <f ca="1">IF(AND(ISNUMBER($Q$581),$B$511=1),$Q$581,HLOOKUP(INDIRECT(ADDRESS(2,COLUMN())),OFFSET($BN$2,0,0,ROW()-1,60),ROW()-1,FALSE))</f>
        <v/>
      </c>
      <c r="R73" t="str">
        <f ca="1">IF(AND(ISNUMBER($R$581),$B$511=1),$R$581,HLOOKUP(INDIRECT(ADDRESS(2,COLUMN())),OFFSET($BN$2,0,0,ROW()-1,60),ROW()-1,FALSE))</f>
        <v/>
      </c>
      <c r="S73" t="str">
        <f ca="1">IF(AND(ISNUMBER($S$581),$B$511=1),$S$581,HLOOKUP(INDIRECT(ADDRESS(2,COLUMN())),OFFSET($BN$2,0,0,ROW()-1,60),ROW()-1,FALSE))</f>
        <v/>
      </c>
      <c r="T73" t="str">
        <f ca="1">IF(AND(ISNUMBER($T$581),$B$511=1),$T$581,HLOOKUP(INDIRECT(ADDRESS(2,COLUMN())),OFFSET($BN$2,0,0,ROW()-1,60),ROW()-1,FALSE))</f>
        <v/>
      </c>
      <c r="U73" t="str">
        <f ca="1">IF(AND(ISNUMBER($U$581),$B$511=1),$U$581,HLOOKUP(INDIRECT(ADDRESS(2,COLUMN())),OFFSET($BN$2,0,0,ROW()-1,60),ROW()-1,FALSE))</f>
        <v/>
      </c>
      <c r="V73" t="str">
        <f ca="1">IF(AND(ISNUMBER($V$581),$B$511=1),$V$581,HLOOKUP(INDIRECT(ADDRESS(2,COLUMN())),OFFSET($BN$2,0,0,ROW()-1,60),ROW()-1,FALSE))</f>
        <v/>
      </c>
      <c r="W73" t="str">
        <f ca="1">IF(AND(ISNUMBER($W$581),$B$511=1),$W$581,HLOOKUP(INDIRECT(ADDRESS(2,COLUMN())),OFFSET($BN$2,0,0,ROW()-1,60),ROW()-1,FALSE))</f>
        <v/>
      </c>
      <c r="X73" t="str">
        <f ca="1">IF(AND(ISNUMBER($X$581),$B$511=1),$X$581,HLOOKUP(INDIRECT(ADDRESS(2,COLUMN())),OFFSET($BN$2,0,0,ROW()-1,60),ROW()-1,FALSE))</f>
        <v/>
      </c>
      <c r="Y73" t="str">
        <f ca="1">IF(AND(ISNUMBER($Y$581),$B$511=1),$Y$581,HLOOKUP(INDIRECT(ADDRESS(2,COLUMN())),OFFSET($BN$2,0,0,ROW()-1,60),ROW()-1,FALSE))</f>
        <v/>
      </c>
      <c r="Z73" t="str">
        <f ca="1">IF(AND(ISNUMBER($Z$581),$B$511=1),$Z$581,HLOOKUP(INDIRECT(ADDRESS(2,COLUMN())),OFFSET($BN$2,0,0,ROW()-1,60),ROW()-1,FALSE))</f>
        <v/>
      </c>
      <c r="AA73" t="str">
        <f ca="1">IF(AND(ISNUMBER($AA$581),$B$511=1),$AA$581,HLOOKUP(INDIRECT(ADDRESS(2,COLUMN())),OFFSET($BN$2,0,0,ROW()-1,60),ROW()-1,FALSE))</f>
        <v/>
      </c>
      <c r="AB73" t="str">
        <f ca="1">IF(AND(ISNUMBER($AB$581),$B$511=1),$AB$581,HLOOKUP(INDIRECT(ADDRESS(2,COLUMN())),OFFSET($BN$2,0,0,ROW()-1,60),ROW()-1,FALSE))</f>
        <v/>
      </c>
      <c r="AC73" t="str">
        <f ca="1">IF(AND(ISNUMBER($AC$581),$B$511=1),$AC$581,HLOOKUP(INDIRECT(ADDRESS(2,COLUMN())),OFFSET($BN$2,0,0,ROW()-1,60),ROW()-1,FALSE))</f>
        <v/>
      </c>
      <c r="AD73" t="str">
        <f ca="1">IF(AND(ISNUMBER($AD$581),$B$511=1),$AD$581,HLOOKUP(INDIRECT(ADDRESS(2,COLUMN())),OFFSET($BN$2,0,0,ROW()-1,60),ROW()-1,FALSE))</f>
        <v/>
      </c>
      <c r="AE73" t="str">
        <f ca="1">IF(AND(ISNUMBER($AE$581),$B$511=1),$AE$581,HLOOKUP(INDIRECT(ADDRESS(2,COLUMN())),OFFSET($BN$2,0,0,ROW()-1,60),ROW()-1,FALSE))</f>
        <v/>
      </c>
      <c r="AF73" t="str">
        <f ca="1">IF(AND(ISNUMBER($AF$581),$B$511=1),$AF$581,HLOOKUP(INDIRECT(ADDRESS(2,COLUMN())),OFFSET($BN$2,0,0,ROW()-1,60),ROW()-1,FALSE))</f>
        <v/>
      </c>
      <c r="AG73" t="str">
        <f ca="1">IF(AND(ISNUMBER($AG$581),$B$511=1),$AG$581,HLOOKUP(INDIRECT(ADDRESS(2,COLUMN())),OFFSET($BN$2,0,0,ROW()-1,60),ROW()-1,FALSE))</f>
        <v/>
      </c>
      <c r="AH73" t="str">
        <f ca="1">IF(AND(ISNUMBER($AH$581),$B$511=1),$AH$581,HLOOKUP(INDIRECT(ADDRESS(2,COLUMN())),OFFSET($BN$2,0,0,ROW()-1,60),ROW()-1,FALSE))</f>
        <v/>
      </c>
      <c r="AI73" t="str">
        <f ca="1">IF(AND(ISNUMBER($AI$581),$B$511=1),$AI$581,HLOOKUP(INDIRECT(ADDRESS(2,COLUMN())),OFFSET($BN$2,0,0,ROW()-1,60),ROW()-1,FALSE))</f>
        <v/>
      </c>
      <c r="AJ73" t="str">
        <f ca="1">IF(AND(ISNUMBER($AJ$581),$B$511=1),$AJ$581,HLOOKUP(INDIRECT(ADDRESS(2,COLUMN())),OFFSET($BN$2,0,0,ROW()-1,60),ROW()-1,FALSE))</f>
        <v/>
      </c>
      <c r="AK73" t="str">
        <f ca="1">IF(AND(ISNUMBER($AK$581),$B$511=1),$AK$581,HLOOKUP(INDIRECT(ADDRESS(2,COLUMN())),OFFSET($BN$2,0,0,ROW()-1,60),ROW()-1,FALSE))</f>
        <v/>
      </c>
      <c r="AL73" t="str">
        <f ca="1">IF(AND(ISNUMBER($AL$581),$B$511=1),$AL$581,HLOOKUP(INDIRECT(ADDRESS(2,COLUMN())),OFFSET($BN$2,0,0,ROW()-1,60),ROW()-1,FALSE))</f>
        <v/>
      </c>
      <c r="AM73" t="str">
        <f ca="1">IF(AND(ISNUMBER($AM$581),$B$511=1),$AM$581,HLOOKUP(INDIRECT(ADDRESS(2,COLUMN())),OFFSET($BN$2,0,0,ROW()-1,60),ROW()-1,FALSE))</f>
        <v/>
      </c>
      <c r="AN73" t="str">
        <f ca="1">IF(AND(ISNUMBER($AN$581),$B$511=1),$AN$581,HLOOKUP(INDIRECT(ADDRESS(2,COLUMN())),OFFSET($BN$2,0,0,ROW()-1,60),ROW()-1,FALSE))</f>
        <v/>
      </c>
      <c r="AO73" t="str">
        <f ca="1">IF(AND(ISNUMBER($AO$581),$B$511=1),$AO$581,HLOOKUP(INDIRECT(ADDRESS(2,COLUMN())),OFFSET($BN$2,0,0,ROW()-1,60),ROW()-1,FALSE))</f>
        <v/>
      </c>
      <c r="AP73" t="str">
        <f ca="1">IF(AND(ISNUMBER($AP$581),$B$511=1),$AP$581,HLOOKUP(INDIRECT(ADDRESS(2,COLUMN())),OFFSET($BN$2,0,0,ROW()-1,60),ROW()-1,FALSE))</f>
        <v/>
      </c>
      <c r="AQ73" t="str">
        <f ca="1">IF(AND(ISNUMBER($AQ$581),$B$511=1),$AQ$581,HLOOKUP(INDIRECT(ADDRESS(2,COLUMN())),OFFSET($BN$2,0,0,ROW()-1,60),ROW()-1,FALSE))</f>
        <v/>
      </c>
      <c r="AR73" t="str">
        <f ca="1">IF(AND(ISNUMBER($AR$581),$B$511=1),$AR$581,HLOOKUP(INDIRECT(ADDRESS(2,COLUMN())),OFFSET($BN$2,0,0,ROW()-1,60),ROW()-1,FALSE))</f>
        <v/>
      </c>
      <c r="AS73" t="str">
        <f ca="1">IF(AND(ISNUMBER($AS$581),$B$511=1),$AS$581,HLOOKUP(INDIRECT(ADDRESS(2,COLUMN())),OFFSET($BN$2,0,0,ROW()-1,60),ROW()-1,FALSE))</f>
        <v/>
      </c>
      <c r="AT73" t="str">
        <f ca="1">IF(AND(ISNUMBER($AT$581),$B$511=1),$AT$581,HLOOKUP(INDIRECT(ADDRESS(2,COLUMN())),OFFSET($BN$2,0,0,ROW()-1,60),ROW()-1,FALSE))</f>
        <v/>
      </c>
      <c r="AU73" t="str">
        <f ca="1">IF(AND(ISNUMBER($AU$581),$B$511=1),$AU$581,HLOOKUP(INDIRECT(ADDRESS(2,COLUMN())),OFFSET($BN$2,0,0,ROW()-1,60),ROW()-1,FALSE))</f>
        <v/>
      </c>
      <c r="AV73" t="str">
        <f ca="1">IF(AND(ISNUMBER($AV$581),$B$511=1),$AV$581,HLOOKUP(INDIRECT(ADDRESS(2,COLUMN())),OFFSET($BN$2,0,0,ROW()-1,60),ROW()-1,FALSE))</f>
        <v/>
      </c>
      <c r="AW73" t="str">
        <f ca="1">IF(AND(ISNUMBER($AW$581),$B$511=1),$AW$581,HLOOKUP(INDIRECT(ADDRESS(2,COLUMN())),OFFSET($BN$2,0,0,ROW()-1,60),ROW()-1,FALSE))</f>
        <v/>
      </c>
      <c r="AX73" t="str">
        <f ca="1">IF(AND(ISNUMBER($AX$581),$B$511=1),$AX$581,HLOOKUP(INDIRECT(ADDRESS(2,COLUMN())),OFFSET($BN$2,0,0,ROW()-1,60),ROW()-1,FALSE))</f>
        <v/>
      </c>
      <c r="AY73" t="str">
        <f ca="1">IF(AND(ISNUMBER($AY$581),$B$511=1),$AY$581,HLOOKUP(INDIRECT(ADDRESS(2,COLUMN())),OFFSET($BN$2,0,0,ROW()-1,60),ROW()-1,FALSE))</f>
        <v/>
      </c>
      <c r="AZ73" t="str">
        <f ca="1">IF(AND(ISNUMBER($AZ$581),$B$511=1),$AZ$581,HLOOKUP(INDIRECT(ADDRESS(2,COLUMN())),OFFSET($BN$2,0,0,ROW()-1,60),ROW()-1,FALSE))</f>
        <v/>
      </c>
      <c r="BA73" t="str">
        <f ca="1">IF(AND(ISNUMBER($BA$581),$B$511=1),$BA$581,HLOOKUP(INDIRECT(ADDRESS(2,COLUMN())),OFFSET($BN$2,0,0,ROW()-1,60),ROW()-1,FALSE))</f>
        <v/>
      </c>
      <c r="BB73" t="str">
        <f ca="1">IF(AND(ISNUMBER($BB$581),$B$511=1),$BB$581,HLOOKUP(INDIRECT(ADDRESS(2,COLUMN())),OFFSET($BN$2,0,0,ROW()-1,60),ROW()-1,FALSE))</f>
        <v/>
      </c>
      <c r="BC73" t="str">
        <f ca="1">IF(AND(ISNUMBER($BC$581),$B$511=1),$BC$581,HLOOKUP(INDIRECT(ADDRESS(2,COLUMN())),OFFSET($BN$2,0,0,ROW()-1,60),ROW()-1,FALSE))</f>
        <v/>
      </c>
      <c r="BD73" t="str">
        <f ca="1">IF(AND(ISNUMBER($BD$581),$B$511=1),$BD$581,HLOOKUP(INDIRECT(ADDRESS(2,COLUMN())),OFFSET($BN$2,0,0,ROW()-1,60),ROW()-1,FALSE))</f>
        <v/>
      </c>
      <c r="BE73" t="str">
        <f ca="1">IF(AND(ISNUMBER($BE$581),$B$511=1),$BE$581,HLOOKUP(INDIRECT(ADDRESS(2,COLUMN())),OFFSET($BN$2,0,0,ROW()-1,60),ROW()-1,FALSE))</f>
        <v/>
      </c>
      <c r="BF73" t="str">
        <f ca="1">IF(AND(ISNUMBER($BF$581),$B$511=1),$BF$581,HLOOKUP(INDIRECT(ADDRESS(2,COLUMN())),OFFSET($BN$2,0,0,ROW()-1,60),ROW()-1,FALSE))</f>
        <v/>
      </c>
      <c r="BG73" t="str">
        <f ca="1">IF(AND(ISNUMBER($BG$581),$B$511=1),$BG$581,HLOOKUP(INDIRECT(ADDRESS(2,COLUMN())),OFFSET($BN$2,0,0,ROW()-1,60),ROW()-1,FALSE))</f>
        <v/>
      </c>
      <c r="BH73" t="str">
        <f ca="1">IF(AND(ISNUMBER($BH$581),$B$511=1),$BH$581,HLOOKUP(INDIRECT(ADDRESS(2,COLUMN())),OFFSET($BN$2,0,0,ROW()-1,60),ROW()-1,FALSE))</f>
        <v/>
      </c>
      <c r="BI73" t="str">
        <f ca="1">IF(AND(ISNUMBER($BI$581),$B$511=1),$BI$581,HLOOKUP(INDIRECT(ADDRESS(2,COLUMN())),OFFSET($BN$2,0,0,ROW()-1,60),ROW()-1,FALSE))</f>
        <v/>
      </c>
      <c r="BJ73" t="str">
        <f ca="1">IF(AND(ISNUMBER($BJ$581),$B$511=1),$BJ$581,HLOOKUP(INDIRECT(ADDRESS(2,COLUMN())),OFFSET($BN$2,0,0,ROW()-1,60),ROW()-1,FALSE))</f>
        <v/>
      </c>
      <c r="BK73" t="str">
        <f ca="1">IF(AND(ISNUMBER($BK$581),$B$511=1),$BK$581,HLOOKUP(INDIRECT(ADDRESS(2,COLUMN())),OFFSET($BN$2,0,0,ROW()-1,60),ROW()-1,FALSE))</f>
        <v/>
      </c>
      <c r="BL73" t="str">
        <f ca="1">IF(AND(ISNUMBER($BL$581),$B$511=1),$BL$581,HLOOKUP(INDIRECT(ADDRESS(2,COLUMN())),OFFSET($BN$2,0,0,ROW()-1,60),ROW()-1,FALSE))</f>
        <v/>
      </c>
      <c r="BM73" t="str">
        <f ca="1">IF(AND(ISNUMBER($BM$581),$B$511=1),$BM$581,HLOOKUP(INDIRECT(ADDRESS(2,COLUMN())),OFFSET($BN$2,0,0,ROW()-1,60),ROW()-1,FALSE))</f>
        <v/>
      </c>
      <c r="BN73">
        <f>0.068</f>
        <v>6.8000000000000005E-2</v>
      </c>
      <c r="BO73">
        <f>0.068</f>
        <v>6.8000000000000005E-2</v>
      </c>
      <c r="BP73">
        <f>0.032</f>
        <v>3.2000000000000001E-2</v>
      </c>
      <c r="BQ73" t="str">
        <f>""</f>
        <v/>
      </c>
      <c r="BR73" t="str">
        <f>""</f>
        <v/>
      </c>
      <c r="BS73" t="str">
        <f>""</f>
        <v/>
      </c>
      <c r="BT73" t="str">
        <f>""</f>
        <v/>
      </c>
      <c r="BU73" t="str">
        <f>""</f>
        <v/>
      </c>
      <c r="BV73" t="str">
        <f>""</f>
        <v/>
      </c>
      <c r="BW73" t="str">
        <f>""</f>
        <v/>
      </c>
      <c r="BX73" t="str">
        <f>""</f>
        <v/>
      </c>
      <c r="BY73" t="str">
        <f>""</f>
        <v/>
      </c>
      <c r="BZ73" t="str">
        <f>""</f>
        <v/>
      </c>
      <c r="CA73" t="str">
        <f>""</f>
        <v/>
      </c>
      <c r="CB73" t="str">
        <f>""</f>
        <v/>
      </c>
      <c r="CC73" t="str">
        <f>""</f>
        <v/>
      </c>
      <c r="CD73" t="str">
        <f>""</f>
        <v/>
      </c>
      <c r="CE73" t="str">
        <f>""</f>
        <v/>
      </c>
      <c r="CF73" t="str">
        <f>""</f>
        <v/>
      </c>
      <c r="CG73" t="str">
        <f>""</f>
        <v/>
      </c>
      <c r="CH73" t="str">
        <f>""</f>
        <v/>
      </c>
      <c r="CI73" t="str">
        <f>""</f>
        <v/>
      </c>
      <c r="CJ73" t="str">
        <f>""</f>
        <v/>
      </c>
      <c r="CK73" t="str">
        <f>""</f>
        <v/>
      </c>
      <c r="CL73" t="str">
        <f>""</f>
        <v/>
      </c>
      <c r="CM73" t="str">
        <f>""</f>
        <v/>
      </c>
      <c r="CN73" t="str">
        <f>""</f>
        <v/>
      </c>
      <c r="CO73" t="str">
        <f>""</f>
        <v/>
      </c>
      <c r="CP73" t="str">
        <f>""</f>
        <v/>
      </c>
      <c r="CQ73" t="str">
        <f>""</f>
        <v/>
      </c>
      <c r="CR73" t="str">
        <f>""</f>
        <v/>
      </c>
      <c r="CS73" t="str">
        <f>""</f>
        <v/>
      </c>
      <c r="CT73" t="str">
        <f>""</f>
        <v/>
      </c>
      <c r="CU73" t="str">
        <f>""</f>
        <v/>
      </c>
      <c r="CV73" t="str">
        <f>""</f>
        <v/>
      </c>
      <c r="CW73" t="str">
        <f>""</f>
        <v/>
      </c>
      <c r="CX73" t="str">
        <f>""</f>
        <v/>
      </c>
      <c r="CY73" t="str">
        <f>""</f>
        <v/>
      </c>
      <c r="CZ73" t="str">
        <f>""</f>
        <v/>
      </c>
      <c r="DA73" t="str">
        <f>""</f>
        <v/>
      </c>
      <c r="DB73" t="str">
        <f>""</f>
        <v/>
      </c>
      <c r="DC73" t="str">
        <f>""</f>
        <v/>
      </c>
      <c r="DD73" t="str">
        <f>""</f>
        <v/>
      </c>
      <c r="DE73" t="str">
        <f>""</f>
        <v/>
      </c>
      <c r="DF73" t="str">
        <f>""</f>
        <v/>
      </c>
      <c r="DG73" t="str">
        <f>""</f>
        <v/>
      </c>
      <c r="DH73" t="str">
        <f>""</f>
        <v/>
      </c>
      <c r="DI73" t="str">
        <f>""</f>
        <v/>
      </c>
      <c r="DJ73" t="str">
        <f>""</f>
        <v/>
      </c>
      <c r="DK73" t="str">
        <f>""</f>
        <v/>
      </c>
      <c r="DL73" t="str">
        <f>""</f>
        <v/>
      </c>
      <c r="DM73" t="str">
        <f>""</f>
        <v/>
      </c>
      <c r="DN73" t="str">
        <f>""</f>
        <v/>
      </c>
      <c r="DO73" t="str">
        <f>""</f>
        <v/>
      </c>
      <c r="DP73" t="str">
        <f>""</f>
        <v/>
      </c>
      <c r="DQ73" t="str">
        <f>""</f>
        <v/>
      </c>
      <c r="DR73" t="str">
        <f>""</f>
        <v/>
      </c>
      <c r="DS73" t="str">
        <f>""</f>
        <v/>
      </c>
      <c r="DT73" t="str">
        <f>""</f>
        <v/>
      </c>
      <c r="DU73" t="str">
        <f>""</f>
        <v/>
      </c>
    </row>
    <row r="74" spans="1:125" x14ac:dyDescent="0.25">
      <c r="A74" t="str">
        <f>"    Sollers PJSC"</f>
        <v xml:space="preserve">    Sollers PJSC</v>
      </c>
      <c r="B74" t="str">
        <f>"SVAV RM Equity"</f>
        <v>SVAV RM Equity</v>
      </c>
      <c r="C74" t="str">
        <f t="shared" si="3"/>
        <v>EZ019</v>
      </c>
      <c r="D74" t="str">
        <f t="shared" si="4"/>
        <v>BEST_EEPS_CUR_YR</v>
      </c>
      <c r="E74" t="str">
        <f t="shared" si="5"/>
        <v>Dynamic</v>
      </c>
      <c r="F74">
        <f ca="1">IF(AND(ISNUMBER($F$582),$B$511=1),$F$582,HLOOKUP(INDIRECT(ADDRESS(2,COLUMN())),OFFSET($BN$2,0,0,ROW()-1,60),ROW()-1,FALSE))</f>
        <v>0.97599999999999998</v>
      </c>
      <c r="G74">
        <f ca="1">IF(AND(ISNUMBER($G$582),$B$511=1),$G$582,HLOOKUP(INDIRECT(ADDRESS(2,COLUMN())),OFFSET($BN$2,0,0,ROW()-1,60),ROW()-1,FALSE))</f>
        <v>0.96499999999999997</v>
      </c>
      <c r="H74">
        <f ca="1">IF(AND(ISNUMBER($H$582),$B$511=1),$H$582,HLOOKUP(INDIRECT(ADDRESS(2,COLUMN())),OFFSET($BN$2,0,0,ROW()-1,60),ROW()-1,FALSE))</f>
        <v>0.92300000000000004</v>
      </c>
      <c r="I74">
        <f ca="1">IF(AND(ISNUMBER($I$582),$B$511=1),$I$582,HLOOKUP(INDIRECT(ADDRESS(2,COLUMN())),OFFSET($BN$2,0,0,ROW()-1,60),ROW()-1,FALSE))</f>
        <v>0.72399999999999998</v>
      </c>
      <c r="J74">
        <f ca="1">IF(AND(ISNUMBER($J$582),$B$511=1),$J$582,HLOOKUP(INDIRECT(ADDRESS(2,COLUMN())),OFFSET($BN$2,0,0,ROW()-1,60),ROW()-1,FALSE))</f>
        <v>2.9940000000000002</v>
      </c>
      <c r="K74">
        <f ca="1">IF(AND(ISNUMBER($K$582),$B$511=1),$K$582,HLOOKUP(INDIRECT(ADDRESS(2,COLUMN())),OFFSET($BN$2,0,0,ROW()-1,60),ROW()-1,FALSE))</f>
        <v>3.0910000000000002</v>
      </c>
      <c r="L74">
        <f ca="1">IF(AND(ISNUMBER($L$582),$B$511=1),$L$582,HLOOKUP(INDIRECT(ADDRESS(2,COLUMN())),OFFSET($BN$2,0,0,ROW()-1,60),ROW()-1,FALSE))</f>
        <v>3.0939999999999999</v>
      </c>
      <c r="M74">
        <f ca="1">IF(AND(ISNUMBER($M$582),$B$511=1),$M$582,HLOOKUP(INDIRECT(ADDRESS(2,COLUMN())),OFFSET($BN$2,0,0,ROW()-1,60),ROW()-1,FALSE))</f>
        <v>3.0630000000000002</v>
      </c>
      <c r="N74">
        <f ca="1">IF(AND(ISNUMBER($N$582),$B$511=1),$N$582,HLOOKUP(INDIRECT(ADDRESS(2,COLUMN())),OFFSET($BN$2,0,0,ROW()-1,60),ROW()-1,FALSE))</f>
        <v>3.1139999999999999</v>
      </c>
      <c r="O74">
        <f ca="1">IF(AND(ISNUMBER($O$582),$B$511=1),$O$582,HLOOKUP(INDIRECT(ADDRESS(2,COLUMN())),OFFSET($BN$2,0,0,ROW()-1,60),ROW()-1,FALSE))</f>
        <v>3.101</v>
      </c>
      <c r="P74">
        <f ca="1">IF(AND(ISNUMBER($P$582),$B$511=1),$P$582,HLOOKUP(INDIRECT(ADDRESS(2,COLUMN())),OFFSET($BN$2,0,0,ROW()-1,60),ROW()-1,FALSE))</f>
        <v>3.012</v>
      </c>
      <c r="Q74">
        <f ca="1">IF(AND(ISNUMBER($Q$582),$B$511=1),$Q$582,HLOOKUP(INDIRECT(ADDRESS(2,COLUMN())),OFFSET($BN$2,0,0,ROW()-1,60),ROW()-1,FALSE))</f>
        <v>3.3180000000000001</v>
      </c>
      <c r="R74">
        <f ca="1">IF(AND(ISNUMBER($R$582),$B$511=1),$R$582,HLOOKUP(INDIRECT(ADDRESS(2,COLUMN())),OFFSET($BN$2,0,0,ROW()-1,60),ROW()-1,FALSE))</f>
        <v>1.9810000000000001</v>
      </c>
      <c r="S74">
        <f ca="1">IF(AND(ISNUMBER($S$582),$B$511=1),$S$582,HLOOKUP(INDIRECT(ADDRESS(2,COLUMN())),OFFSET($BN$2,0,0,ROW()-1,60),ROW()-1,FALSE))</f>
        <v>1.919</v>
      </c>
      <c r="T74">
        <f ca="1">IF(AND(ISNUMBER($T$582),$B$511=1),$T$582,HLOOKUP(INDIRECT(ADDRESS(2,COLUMN())),OFFSET($BN$2,0,0,ROW()-1,60),ROW()-1,FALSE))</f>
        <v>2.1059999999999999</v>
      </c>
      <c r="U74" t="str">
        <f ca="1">IF(AND(ISNUMBER($U$582),$B$511=1),$U$582,HLOOKUP(INDIRECT(ADDRESS(2,COLUMN())),OFFSET($BN$2,0,0,ROW()-1,60),ROW()-1,FALSE))</f>
        <v/>
      </c>
      <c r="V74">
        <f ca="1">IF(AND(ISNUMBER($V$582),$B$511=1),$V$582,HLOOKUP(INDIRECT(ADDRESS(2,COLUMN())),OFFSET($BN$2,0,0,ROW()-1,60),ROW()-1,FALSE))</f>
        <v>4.5359999999999996</v>
      </c>
      <c r="W74" t="str">
        <f ca="1">IF(AND(ISNUMBER($W$582),$B$511=1),$W$582,HLOOKUP(INDIRECT(ADDRESS(2,COLUMN())),OFFSET($BN$2,0,0,ROW()-1,60),ROW()-1,FALSE))</f>
        <v/>
      </c>
      <c r="X74">
        <f ca="1">IF(AND(ISNUMBER($X$582),$B$511=1),$X$582,HLOOKUP(INDIRECT(ADDRESS(2,COLUMN())),OFFSET($BN$2,0,0,ROW()-1,60),ROW()-1,FALSE))</f>
        <v>6.6310000000000002</v>
      </c>
      <c r="Y74">
        <f ca="1">IF(AND(ISNUMBER($Y$582),$B$511=1),$Y$582,HLOOKUP(INDIRECT(ADDRESS(2,COLUMN())),OFFSET($BN$2,0,0,ROW()-1,60),ROW()-1,FALSE))</f>
        <v>7.7359999999999998</v>
      </c>
      <c r="Z74" t="str">
        <f ca="1">IF(AND(ISNUMBER($Z$582),$B$511=1),$Z$582,HLOOKUP(INDIRECT(ADDRESS(2,COLUMN())),OFFSET($BN$2,0,0,ROW()-1,60),ROW()-1,FALSE))</f>
        <v/>
      </c>
      <c r="AA74" t="str">
        <f ca="1">IF(AND(ISNUMBER($AA$582),$B$511=1),$AA$582,HLOOKUP(INDIRECT(ADDRESS(2,COLUMN())),OFFSET($BN$2,0,0,ROW()-1,60),ROW()-1,FALSE))</f>
        <v/>
      </c>
      <c r="AB74" t="str">
        <f ca="1">IF(AND(ISNUMBER($AB$582),$B$511=1),$AB$582,HLOOKUP(INDIRECT(ADDRESS(2,COLUMN())),OFFSET($BN$2,0,0,ROW()-1,60),ROW()-1,FALSE))</f>
        <v/>
      </c>
      <c r="AC74" t="str">
        <f ca="1">IF(AND(ISNUMBER($AC$582),$B$511=1),$AC$582,HLOOKUP(INDIRECT(ADDRESS(2,COLUMN())),OFFSET($BN$2,0,0,ROW()-1,60),ROW()-1,FALSE))</f>
        <v/>
      </c>
      <c r="AD74" t="str">
        <f ca="1">IF(AND(ISNUMBER($AD$582),$B$511=1),$AD$582,HLOOKUP(INDIRECT(ADDRESS(2,COLUMN())),OFFSET($BN$2,0,0,ROW()-1,60),ROW()-1,FALSE))</f>
        <v/>
      </c>
      <c r="AE74" t="str">
        <f ca="1">IF(AND(ISNUMBER($AE$582),$B$511=1),$AE$582,HLOOKUP(INDIRECT(ADDRESS(2,COLUMN())),OFFSET($BN$2,0,0,ROW()-1,60),ROW()-1,FALSE))</f>
        <v/>
      </c>
      <c r="AF74" t="str">
        <f ca="1">IF(AND(ISNUMBER($AF$582),$B$511=1),$AF$582,HLOOKUP(INDIRECT(ADDRESS(2,COLUMN())),OFFSET($BN$2,0,0,ROW()-1,60),ROW()-1,FALSE))</f>
        <v/>
      </c>
      <c r="AG74" t="str">
        <f ca="1">IF(AND(ISNUMBER($AG$582),$B$511=1),$AG$582,HLOOKUP(INDIRECT(ADDRESS(2,COLUMN())),OFFSET($BN$2,0,0,ROW()-1,60),ROW()-1,FALSE))</f>
        <v/>
      </c>
      <c r="AH74" t="str">
        <f ca="1">IF(AND(ISNUMBER($AH$582),$B$511=1),$AH$582,HLOOKUP(INDIRECT(ADDRESS(2,COLUMN())),OFFSET($BN$2,0,0,ROW()-1,60),ROW()-1,FALSE))</f>
        <v/>
      </c>
      <c r="AI74" t="str">
        <f ca="1">IF(AND(ISNUMBER($AI$582),$B$511=1),$AI$582,HLOOKUP(INDIRECT(ADDRESS(2,COLUMN())),OFFSET($BN$2,0,0,ROW()-1,60),ROW()-1,FALSE))</f>
        <v/>
      </c>
      <c r="AJ74" t="str">
        <f ca="1">IF(AND(ISNUMBER($AJ$582),$B$511=1),$AJ$582,HLOOKUP(INDIRECT(ADDRESS(2,COLUMN())),OFFSET($BN$2,0,0,ROW()-1,60),ROW()-1,FALSE))</f>
        <v/>
      </c>
      <c r="AK74" t="str">
        <f ca="1">IF(AND(ISNUMBER($AK$582),$B$511=1),$AK$582,HLOOKUP(INDIRECT(ADDRESS(2,COLUMN())),OFFSET($BN$2,0,0,ROW()-1,60),ROW()-1,FALSE))</f>
        <v/>
      </c>
      <c r="AL74" t="str">
        <f ca="1">IF(AND(ISNUMBER($AL$582),$B$511=1),$AL$582,HLOOKUP(INDIRECT(ADDRESS(2,COLUMN())),OFFSET($BN$2,0,0,ROW()-1,60),ROW()-1,FALSE))</f>
        <v/>
      </c>
      <c r="AM74" t="str">
        <f ca="1">IF(AND(ISNUMBER($AM$582),$B$511=1),$AM$582,HLOOKUP(INDIRECT(ADDRESS(2,COLUMN())),OFFSET($BN$2,0,0,ROW()-1,60),ROW()-1,FALSE))</f>
        <v/>
      </c>
      <c r="AN74" t="str">
        <f ca="1">IF(AND(ISNUMBER($AN$582),$B$511=1),$AN$582,HLOOKUP(INDIRECT(ADDRESS(2,COLUMN())),OFFSET($BN$2,0,0,ROW()-1,60),ROW()-1,FALSE))</f>
        <v/>
      </c>
      <c r="AO74" t="str">
        <f ca="1">IF(AND(ISNUMBER($AO$582),$B$511=1),$AO$582,HLOOKUP(INDIRECT(ADDRESS(2,COLUMN())),OFFSET($BN$2,0,0,ROW()-1,60),ROW()-1,FALSE))</f>
        <v/>
      </c>
      <c r="AP74" t="str">
        <f ca="1">IF(AND(ISNUMBER($AP$582),$B$511=1),$AP$582,HLOOKUP(INDIRECT(ADDRESS(2,COLUMN())),OFFSET($BN$2,0,0,ROW()-1,60),ROW()-1,FALSE))</f>
        <v/>
      </c>
      <c r="AQ74" t="str">
        <f ca="1">IF(AND(ISNUMBER($AQ$582),$B$511=1),$AQ$582,HLOOKUP(INDIRECT(ADDRESS(2,COLUMN())),OFFSET($BN$2,0,0,ROW()-1,60),ROW()-1,FALSE))</f>
        <v/>
      </c>
      <c r="AR74" t="str">
        <f ca="1">IF(AND(ISNUMBER($AR$582),$B$511=1),$AR$582,HLOOKUP(INDIRECT(ADDRESS(2,COLUMN())),OFFSET($BN$2,0,0,ROW()-1,60),ROW()-1,FALSE))</f>
        <v/>
      </c>
      <c r="AS74" t="str">
        <f ca="1">IF(AND(ISNUMBER($AS$582),$B$511=1),$AS$582,HLOOKUP(INDIRECT(ADDRESS(2,COLUMN())),OFFSET($BN$2,0,0,ROW()-1,60),ROW()-1,FALSE))</f>
        <v/>
      </c>
      <c r="AT74" t="str">
        <f ca="1">IF(AND(ISNUMBER($AT$582),$B$511=1),$AT$582,HLOOKUP(INDIRECT(ADDRESS(2,COLUMN())),OFFSET($BN$2,0,0,ROW()-1,60),ROW()-1,FALSE))</f>
        <v/>
      </c>
      <c r="AU74" t="str">
        <f ca="1">IF(AND(ISNUMBER($AU$582),$B$511=1),$AU$582,HLOOKUP(INDIRECT(ADDRESS(2,COLUMN())),OFFSET($BN$2,0,0,ROW()-1,60),ROW()-1,FALSE))</f>
        <v/>
      </c>
      <c r="AV74" t="str">
        <f ca="1">IF(AND(ISNUMBER($AV$582),$B$511=1),$AV$582,HLOOKUP(INDIRECT(ADDRESS(2,COLUMN())),OFFSET($BN$2,0,0,ROW()-1,60),ROW()-1,FALSE))</f>
        <v/>
      </c>
      <c r="AW74" t="str">
        <f ca="1">IF(AND(ISNUMBER($AW$582),$B$511=1),$AW$582,HLOOKUP(INDIRECT(ADDRESS(2,COLUMN())),OFFSET($BN$2,0,0,ROW()-1,60),ROW()-1,FALSE))</f>
        <v/>
      </c>
      <c r="AX74" t="str">
        <f ca="1">IF(AND(ISNUMBER($AX$582),$B$511=1),$AX$582,HLOOKUP(INDIRECT(ADDRESS(2,COLUMN())),OFFSET($BN$2,0,0,ROW()-1,60),ROW()-1,FALSE))</f>
        <v/>
      </c>
      <c r="AY74" t="str">
        <f ca="1">IF(AND(ISNUMBER($AY$582),$B$511=1),$AY$582,HLOOKUP(INDIRECT(ADDRESS(2,COLUMN())),OFFSET($BN$2,0,0,ROW()-1,60),ROW()-1,FALSE))</f>
        <v/>
      </c>
      <c r="AZ74" t="str">
        <f ca="1">IF(AND(ISNUMBER($AZ$582),$B$511=1),$AZ$582,HLOOKUP(INDIRECT(ADDRESS(2,COLUMN())),OFFSET($BN$2,0,0,ROW()-1,60),ROW()-1,FALSE))</f>
        <v/>
      </c>
      <c r="BA74" t="str">
        <f ca="1">IF(AND(ISNUMBER($BA$582),$B$511=1),$BA$582,HLOOKUP(INDIRECT(ADDRESS(2,COLUMN())),OFFSET($BN$2,0,0,ROW()-1,60),ROW()-1,FALSE))</f>
        <v/>
      </c>
      <c r="BB74" t="str">
        <f ca="1">IF(AND(ISNUMBER($BB$582),$B$511=1),$BB$582,HLOOKUP(INDIRECT(ADDRESS(2,COLUMN())),OFFSET($BN$2,0,0,ROW()-1,60),ROW()-1,FALSE))</f>
        <v/>
      </c>
      <c r="BC74" t="str">
        <f ca="1">IF(AND(ISNUMBER($BC$582),$B$511=1),$BC$582,HLOOKUP(INDIRECT(ADDRESS(2,COLUMN())),OFFSET($BN$2,0,0,ROW()-1,60),ROW()-1,FALSE))</f>
        <v/>
      </c>
      <c r="BD74" t="str">
        <f ca="1">IF(AND(ISNUMBER($BD$582),$B$511=1),$BD$582,HLOOKUP(INDIRECT(ADDRESS(2,COLUMN())),OFFSET($BN$2,0,0,ROW()-1,60),ROW()-1,FALSE))</f>
        <v/>
      </c>
      <c r="BE74" t="str">
        <f ca="1">IF(AND(ISNUMBER($BE$582),$B$511=1),$BE$582,HLOOKUP(INDIRECT(ADDRESS(2,COLUMN())),OFFSET($BN$2,0,0,ROW()-1,60),ROW()-1,FALSE))</f>
        <v/>
      </c>
      <c r="BF74" t="str">
        <f ca="1">IF(AND(ISNUMBER($BF$582),$B$511=1),$BF$582,HLOOKUP(INDIRECT(ADDRESS(2,COLUMN())),OFFSET($BN$2,0,0,ROW()-1,60),ROW()-1,FALSE))</f>
        <v/>
      </c>
      <c r="BG74" t="str">
        <f ca="1">IF(AND(ISNUMBER($BG$582),$B$511=1),$BG$582,HLOOKUP(INDIRECT(ADDRESS(2,COLUMN())),OFFSET($BN$2,0,0,ROW()-1,60),ROW()-1,FALSE))</f>
        <v/>
      </c>
      <c r="BH74" t="str">
        <f ca="1">IF(AND(ISNUMBER($BH$582),$B$511=1),$BH$582,HLOOKUP(INDIRECT(ADDRESS(2,COLUMN())),OFFSET($BN$2,0,0,ROW()-1,60),ROW()-1,FALSE))</f>
        <v/>
      </c>
      <c r="BI74" t="str">
        <f ca="1">IF(AND(ISNUMBER($BI$582),$B$511=1),$BI$582,HLOOKUP(INDIRECT(ADDRESS(2,COLUMN())),OFFSET($BN$2,0,0,ROW()-1,60),ROW()-1,FALSE))</f>
        <v/>
      </c>
      <c r="BJ74" t="str">
        <f ca="1">IF(AND(ISNUMBER($BJ$582),$B$511=1),$BJ$582,HLOOKUP(INDIRECT(ADDRESS(2,COLUMN())),OFFSET($BN$2,0,0,ROW()-1,60),ROW()-1,FALSE))</f>
        <v/>
      </c>
      <c r="BK74" t="str">
        <f ca="1">IF(AND(ISNUMBER($BK$582),$B$511=1),$BK$582,HLOOKUP(INDIRECT(ADDRESS(2,COLUMN())),OFFSET($BN$2,0,0,ROW()-1,60),ROW()-1,FALSE))</f>
        <v/>
      </c>
      <c r="BL74" t="str">
        <f ca="1">IF(AND(ISNUMBER($BL$582),$B$511=1),$BL$582,HLOOKUP(INDIRECT(ADDRESS(2,COLUMN())),OFFSET($BN$2,0,0,ROW()-1,60),ROW()-1,FALSE))</f>
        <v/>
      </c>
      <c r="BM74" t="str">
        <f ca="1">IF(AND(ISNUMBER($BM$582),$B$511=1),$BM$582,HLOOKUP(INDIRECT(ADDRESS(2,COLUMN())),OFFSET($BN$2,0,0,ROW()-1,60),ROW()-1,FALSE))</f>
        <v/>
      </c>
      <c r="BN74">
        <f>0.976</f>
        <v>0.97599999999999998</v>
      </c>
      <c r="BO74">
        <f>0.965</f>
        <v>0.96499999999999997</v>
      </c>
      <c r="BP74">
        <f>0.923</f>
        <v>0.92300000000000004</v>
      </c>
      <c r="BQ74">
        <f>0.724</f>
        <v>0.72399999999999998</v>
      </c>
      <c r="BR74">
        <f>2.994</f>
        <v>2.9940000000000002</v>
      </c>
      <c r="BS74">
        <f>3.091</f>
        <v>3.0910000000000002</v>
      </c>
      <c r="BT74">
        <f>3.094</f>
        <v>3.0939999999999999</v>
      </c>
      <c r="BU74">
        <f>3.063</f>
        <v>3.0630000000000002</v>
      </c>
      <c r="BV74">
        <f>3.114</f>
        <v>3.1139999999999999</v>
      </c>
      <c r="BW74">
        <f>3.101</f>
        <v>3.101</v>
      </c>
      <c r="BX74">
        <f>3.012</f>
        <v>3.012</v>
      </c>
      <c r="BY74">
        <f>3.318</f>
        <v>3.3180000000000001</v>
      </c>
      <c r="BZ74">
        <f>1.981</f>
        <v>1.9810000000000001</v>
      </c>
      <c r="CA74">
        <f>1.919</f>
        <v>1.919</v>
      </c>
      <c r="CB74">
        <f>2.106</f>
        <v>2.1059999999999999</v>
      </c>
      <c r="CC74" t="str">
        <f>""</f>
        <v/>
      </c>
      <c r="CD74">
        <f>4.536</f>
        <v>4.5359999999999996</v>
      </c>
      <c r="CE74" t="str">
        <f>""</f>
        <v/>
      </c>
      <c r="CF74">
        <f>6.631</f>
        <v>6.6310000000000002</v>
      </c>
      <c r="CG74">
        <f>7.736</f>
        <v>7.7359999999999998</v>
      </c>
      <c r="CH74" t="str">
        <f>""</f>
        <v/>
      </c>
      <c r="CI74" t="str">
        <f>""</f>
        <v/>
      </c>
      <c r="CJ74" t="str">
        <f>""</f>
        <v/>
      </c>
      <c r="CK74" t="str">
        <f>""</f>
        <v/>
      </c>
      <c r="CL74" t="str">
        <f>""</f>
        <v/>
      </c>
      <c r="CM74" t="str">
        <f>""</f>
        <v/>
      </c>
      <c r="CN74" t="str">
        <f>""</f>
        <v/>
      </c>
      <c r="CO74" t="str">
        <f>""</f>
        <v/>
      </c>
      <c r="CP74" t="str">
        <f>""</f>
        <v/>
      </c>
      <c r="CQ74" t="str">
        <f>""</f>
        <v/>
      </c>
      <c r="CR74" t="str">
        <f>""</f>
        <v/>
      </c>
      <c r="CS74" t="str">
        <f>""</f>
        <v/>
      </c>
      <c r="CT74" t="str">
        <f>""</f>
        <v/>
      </c>
      <c r="CU74" t="str">
        <f>""</f>
        <v/>
      </c>
      <c r="CV74" t="str">
        <f>""</f>
        <v/>
      </c>
      <c r="CW74" t="str">
        <f>""</f>
        <v/>
      </c>
      <c r="CX74" t="str">
        <f>""</f>
        <v/>
      </c>
      <c r="CY74" t="str">
        <f>""</f>
        <v/>
      </c>
      <c r="CZ74" t="str">
        <f>""</f>
        <v/>
      </c>
      <c r="DA74" t="str">
        <f>""</f>
        <v/>
      </c>
      <c r="DB74" t="str">
        <f>""</f>
        <v/>
      </c>
      <c r="DC74" t="str">
        <f>""</f>
        <v/>
      </c>
      <c r="DD74" t="str">
        <f>""</f>
        <v/>
      </c>
      <c r="DE74" t="str">
        <f>""</f>
        <v/>
      </c>
      <c r="DF74" t="str">
        <f>""</f>
        <v/>
      </c>
      <c r="DG74" t="str">
        <f>""</f>
        <v/>
      </c>
      <c r="DH74" t="str">
        <f>""</f>
        <v/>
      </c>
      <c r="DI74" t="str">
        <f>""</f>
        <v/>
      </c>
      <c r="DJ74" t="str">
        <f>""</f>
        <v/>
      </c>
      <c r="DK74" t="str">
        <f>""</f>
        <v/>
      </c>
      <c r="DL74" t="str">
        <f>""</f>
        <v/>
      </c>
      <c r="DM74" t="str">
        <f>""</f>
        <v/>
      </c>
      <c r="DN74" t="str">
        <f>""</f>
        <v/>
      </c>
      <c r="DO74" t="str">
        <f>""</f>
        <v/>
      </c>
      <c r="DP74" t="str">
        <f>""</f>
        <v/>
      </c>
      <c r="DQ74" t="str">
        <f>""</f>
        <v/>
      </c>
      <c r="DR74" t="str">
        <f>""</f>
        <v/>
      </c>
      <c r="DS74" t="str">
        <f>""</f>
        <v/>
      </c>
      <c r="DT74" t="str">
        <f>""</f>
        <v/>
      </c>
      <c r="DU74" t="str">
        <f>""</f>
        <v/>
      </c>
    </row>
    <row r="75" spans="1:125" x14ac:dyDescent="0.25">
      <c r="A75" t="str">
        <f>"    Ssangyong Motor Co"</f>
        <v xml:space="preserve">    Ssangyong Motor Co</v>
      </c>
      <c r="B75" t="str">
        <f>"003620 KS Equity"</f>
        <v>003620 KS Equity</v>
      </c>
      <c r="C75" t="str">
        <f t="shared" si="3"/>
        <v>EZ019</v>
      </c>
      <c r="D75" t="str">
        <f t="shared" si="4"/>
        <v>BEST_EEPS_CUR_YR</v>
      </c>
      <c r="E75" t="str">
        <f t="shared" si="5"/>
        <v>Dynamic</v>
      </c>
      <c r="F75">
        <f ca="1">IF(AND(ISNUMBER($F$583),$B$511=1),$F$583,HLOOKUP(INDIRECT(ADDRESS(2,COLUMN())),OFFSET($BN$2,0,0,ROW()-1,60),ROW()-1,FALSE))</f>
        <v>-1.9E-2</v>
      </c>
      <c r="G75">
        <f ca="1">IF(AND(ISNUMBER($G$583),$B$511=1),$G$583,HLOOKUP(INDIRECT(ADDRESS(2,COLUMN())),OFFSET($BN$2,0,0,ROW()-1,60),ROW()-1,FALSE))</f>
        <v>-0.14599999999999999</v>
      </c>
      <c r="H75" t="str">
        <f ca="1">IF(AND(ISNUMBER($H$583),$B$511=1),$H$583,HLOOKUP(INDIRECT(ADDRESS(2,COLUMN())),OFFSET($BN$2,0,0,ROW()-1,60),ROW()-1,FALSE))</f>
        <v/>
      </c>
      <c r="I75" t="str">
        <f ca="1">IF(AND(ISNUMBER($I$583),$B$511=1),$I$583,HLOOKUP(INDIRECT(ADDRESS(2,COLUMN())),OFFSET($BN$2,0,0,ROW()-1,60),ROW()-1,FALSE))</f>
        <v/>
      </c>
      <c r="J75">
        <f ca="1">IF(AND(ISNUMBER($J$583),$B$511=1),$J$583,HLOOKUP(INDIRECT(ADDRESS(2,COLUMN())),OFFSET($BN$2,0,0,ROW()-1,60),ROW()-1,FALSE))</f>
        <v>0.32500000000000001</v>
      </c>
      <c r="K75">
        <f ca="1">IF(AND(ISNUMBER($K$583),$B$511=1),$K$583,HLOOKUP(INDIRECT(ADDRESS(2,COLUMN())),OFFSET($BN$2,0,0,ROW()-1,60),ROW()-1,FALSE))</f>
        <v>0.31900000000000001</v>
      </c>
      <c r="L75">
        <f ca="1">IF(AND(ISNUMBER($L$583),$B$511=1),$L$583,HLOOKUP(INDIRECT(ADDRESS(2,COLUMN())),OFFSET($BN$2,0,0,ROW()-1,60),ROW()-1,FALSE))</f>
        <v>0.49299999999999999</v>
      </c>
      <c r="M75">
        <f ca="1">IF(AND(ISNUMBER($M$583),$B$511=1),$M$583,HLOOKUP(INDIRECT(ADDRESS(2,COLUMN())),OFFSET($BN$2,0,0,ROW()-1,60),ROW()-1,FALSE))</f>
        <v>0.47099999999999997</v>
      </c>
      <c r="N75">
        <f ca="1">IF(AND(ISNUMBER($N$583),$B$511=1),$N$583,HLOOKUP(INDIRECT(ADDRESS(2,COLUMN())),OFFSET($BN$2,0,0,ROW()-1,60),ROW()-1,FALSE))</f>
        <v>0.39200000000000002</v>
      </c>
      <c r="O75" t="str">
        <f ca="1">IF(AND(ISNUMBER($O$583),$B$511=1),$O$583,HLOOKUP(INDIRECT(ADDRESS(2,COLUMN())),OFFSET($BN$2,0,0,ROW()-1,60),ROW()-1,FALSE))</f>
        <v/>
      </c>
      <c r="P75" t="str">
        <f ca="1">IF(AND(ISNUMBER($P$583),$B$511=1),$P$583,HLOOKUP(INDIRECT(ADDRESS(2,COLUMN())),OFFSET($BN$2,0,0,ROW()-1,60),ROW()-1,FALSE))</f>
        <v/>
      </c>
      <c r="Q75" t="str">
        <f ca="1">IF(AND(ISNUMBER($Q$583),$B$511=1),$Q$583,HLOOKUP(INDIRECT(ADDRESS(2,COLUMN())),OFFSET($BN$2,0,0,ROW()-1,60),ROW()-1,FALSE))</f>
        <v/>
      </c>
      <c r="R75" t="str">
        <f ca="1">IF(AND(ISNUMBER($R$583),$B$511=1),$R$583,HLOOKUP(INDIRECT(ADDRESS(2,COLUMN())),OFFSET($BN$2,0,0,ROW()-1,60),ROW()-1,FALSE))</f>
        <v/>
      </c>
      <c r="S75" t="str">
        <f ca="1">IF(AND(ISNUMBER($S$583),$B$511=1),$S$583,HLOOKUP(INDIRECT(ADDRESS(2,COLUMN())),OFFSET($BN$2,0,0,ROW()-1,60),ROW()-1,FALSE))</f>
        <v/>
      </c>
      <c r="T75" t="str">
        <f ca="1">IF(AND(ISNUMBER($T$583),$B$511=1),$T$583,HLOOKUP(INDIRECT(ADDRESS(2,COLUMN())),OFFSET($BN$2,0,0,ROW()-1,60),ROW()-1,FALSE))</f>
        <v/>
      </c>
      <c r="U75" t="str">
        <f ca="1">IF(AND(ISNUMBER($U$583),$B$511=1),$U$583,HLOOKUP(INDIRECT(ADDRESS(2,COLUMN())),OFFSET($BN$2,0,0,ROW()-1,60),ROW()-1,FALSE))</f>
        <v/>
      </c>
      <c r="V75" t="str">
        <f ca="1">IF(AND(ISNUMBER($V$583),$B$511=1),$V$583,HLOOKUP(INDIRECT(ADDRESS(2,COLUMN())),OFFSET($BN$2,0,0,ROW()-1,60),ROW()-1,FALSE))</f>
        <v/>
      </c>
      <c r="W75" t="str">
        <f ca="1">IF(AND(ISNUMBER($W$583),$B$511=1),$W$583,HLOOKUP(INDIRECT(ADDRESS(2,COLUMN())),OFFSET($BN$2,0,0,ROW()-1,60),ROW()-1,FALSE))</f>
        <v/>
      </c>
      <c r="X75" t="str">
        <f ca="1">IF(AND(ISNUMBER($X$583),$B$511=1),$X$583,HLOOKUP(INDIRECT(ADDRESS(2,COLUMN())),OFFSET($BN$2,0,0,ROW()-1,60),ROW()-1,FALSE))</f>
        <v/>
      </c>
      <c r="Y75" t="str">
        <f ca="1">IF(AND(ISNUMBER($Y$583),$B$511=1),$Y$583,HLOOKUP(INDIRECT(ADDRESS(2,COLUMN())),OFFSET($BN$2,0,0,ROW()-1,60),ROW()-1,FALSE))</f>
        <v/>
      </c>
      <c r="Z75" t="str">
        <f ca="1">IF(AND(ISNUMBER($Z$583),$B$511=1),$Z$583,HLOOKUP(INDIRECT(ADDRESS(2,COLUMN())),OFFSET($BN$2,0,0,ROW()-1,60),ROW()-1,FALSE))</f>
        <v/>
      </c>
      <c r="AA75" t="str">
        <f ca="1">IF(AND(ISNUMBER($AA$583),$B$511=1),$AA$583,HLOOKUP(INDIRECT(ADDRESS(2,COLUMN())),OFFSET($BN$2,0,0,ROW()-1,60),ROW()-1,FALSE))</f>
        <v/>
      </c>
      <c r="AB75" t="str">
        <f ca="1">IF(AND(ISNUMBER($AB$583),$B$511=1),$AB$583,HLOOKUP(INDIRECT(ADDRESS(2,COLUMN())),OFFSET($BN$2,0,0,ROW()-1,60),ROW()-1,FALSE))</f>
        <v/>
      </c>
      <c r="AC75" t="str">
        <f ca="1">IF(AND(ISNUMBER($AC$583),$B$511=1),$AC$583,HLOOKUP(INDIRECT(ADDRESS(2,COLUMN())),OFFSET($BN$2,0,0,ROW()-1,60),ROW()-1,FALSE))</f>
        <v/>
      </c>
      <c r="AD75" t="str">
        <f ca="1">IF(AND(ISNUMBER($AD$583),$B$511=1),$AD$583,HLOOKUP(INDIRECT(ADDRESS(2,COLUMN())),OFFSET($BN$2,0,0,ROW()-1,60),ROW()-1,FALSE))</f>
        <v/>
      </c>
      <c r="AE75" t="str">
        <f ca="1">IF(AND(ISNUMBER($AE$583),$B$511=1),$AE$583,HLOOKUP(INDIRECT(ADDRESS(2,COLUMN())),OFFSET($BN$2,0,0,ROW()-1,60),ROW()-1,FALSE))</f>
        <v/>
      </c>
      <c r="AF75" t="str">
        <f ca="1">IF(AND(ISNUMBER($AF$583),$B$511=1),$AF$583,HLOOKUP(INDIRECT(ADDRESS(2,COLUMN())),OFFSET($BN$2,0,0,ROW()-1,60),ROW()-1,FALSE))</f>
        <v/>
      </c>
      <c r="AG75" t="str">
        <f ca="1">IF(AND(ISNUMBER($AG$583),$B$511=1),$AG$583,HLOOKUP(INDIRECT(ADDRESS(2,COLUMN())),OFFSET($BN$2,0,0,ROW()-1,60),ROW()-1,FALSE))</f>
        <v/>
      </c>
      <c r="AH75" t="str">
        <f ca="1">IF(AND(ISNUMBER($AH$583),$B$511=1),$AH$583,HLOOKUP(INDIRECT(ADDRESS(2,COLUMN())),OFFSET($BN$2,0,0,ROW()-1,60),ROW()-1,FALSE))</f>
        <v/>
      </c>
      <c r="AI75" t="str">
        <f ca="1">IF(AND(ISNUMBER($AI$583),$B$511=1),$AI$583,HLOOKUP(INDIRECT(ADDRESS(2,COLUMN())),OFFSET($BN$2,0,0,ROW()-1,60),ROW()-1,FALSE))</f>
        <v/>
      </c>
      <c r="AJ75" t="str">
        <f ca="1">IF(AND(ISNUMBER($AJ$583),$B$511=1),$AJ$583,HLOOKUP(INDIRECT(ADDRESS(2,COLUMN())),OFFSET($BN$2,0,0,ROW()-1,60),ROW()-1,FALSE))</f>
        <v/>
      </c>
      <c r="AK75" t="str">
        <f ca="1">IF(AND(ISNUMBER($AK$583),$B$511=1),$AK$583,HLOOKUP(INDIRECT(ADDRESS(2,COLUMN())),OFFSET($BN$2,0,0,ROW()-1,60),ROW()-1,FALSE))</f>
        <v/>
      </c>
      <c r="AL75" t="str">
        <f ca="1">IF(AND(ISNUMBER($AL$583),$B$511=1),$AL$583,HLOOKUP(INDIRECT(ADDRESS(2,COLUMN())),OFFSET($BN$2,0,0,ROW()-1,60),ROW()-1,FALSE))</f>
        <v/>
      </c>
      <c r="AM75" t="str">
        <f ca="1">IF(AND(ISNUMBER($AM$583),$B$511=1),$AM$583,HLOOKUP(INDIRECT(ADDRESS(2,COLUMN())),OFFSET($BN$2,0,0,ROW()-1,60),ROW()-1,FALSE))</f>
        <v/>
      </c>
      <c r="AN75" t="str">
        <f ca="1">IF(AND(ISNUMBER($AN$583),$B$511=1),$AN$583,HLOOKUP(INDIRECT(ADDRESS(2,COLUMN())),OFFSET($BN$2,0,0,ROW()-1,60),ROW()-1,FALSE))</f>
        <v/>
      </c>
      <c r="AO75" t="str">
        <f ca="1">IF(AND(ISNUMBER($AO$583),$B$511=1),$AO$583,HLOOKUP(INDIRECT(ADDRESS(2,COLUMN())),OFFSET($BN$2,0,0,ROW()-1,60),ROW()-1,FALSE))</f>
        <v/>
      </c>
      <c r="AP75" t="str">
        <f ca="1">IF(AND(ISNUMBER($AP$583),$B$511=1),$AP$583,HLOOKUP(INDIRECT(ADDRESS(2,COLUMN())),OFFSET($BN$2,0,0,ROW()-1,60),ROW()-1,FALSE))</f>
        <v/>
      </c>
      <c r="AQ75" t="str">
        <f ca="1">IF(AND(ISNUMBER($AQ$583),$B$511=1),$AQ$583,HLOOKUP(INDIRECT(ADDRESS(2,COLUMN())),OFFSET($BN$2,0,0,ROW()-1,60),ROW()-1,FALSE))</f>
        <v/>
      </c>
      <c r="AR75" t="str">
        <f ca="1">IF(AND(ISNUMBER($AR$583),$B$511=1),$AR$583,HLOOKUP(INDIRECT(ADDRESS(2,COLUMN())),OFFSET($BN$2,0,0,ROW()-1,60),ROW()-1,FALSE))</f>
        <v/>
      </c>
      <c r="AS75" t="str">
        <f ca="1">IF(AND(ISNUMBER($AS$583),$B$511=1),$AS$583,HLOOKUP(INDIRECT(ADDRESS(2,COLUMN())),OFFSET($BN$2,0,0,ROW()-1,60),ROW()-1,FALSE))</f>
        <v/>
      </c>
      <c r="AT75" t="str">
        <f ca="1">IF(AND(ISNUMBER($AT$583),$B$511=1),$AT$583,HLOOKUP(INDIRECT(ADDRESS(2,COLUMN())),OFFSET($BN$2,0,0,ROW()-1,60),ROW()-1,FALSE))</f>
        <v/>
      </c>
      <c r="AU75" t="str">
        <f ca="1">IF(AND(ISNUMBER($AU$583),$B$511=1),$AU$583,HLOOKUP(INDIRECT(ADDRESS(2,COLUMN())),OFFSET($BN$2,0,0,ROW()-1,60),ROW()-1,FALSE))</f>
        <v/>
      </c>
      <c r="AV75" t="str">
        <f ca="1">IF(AND(ISNUMBER($AV$583),$B$511=1),$AV$583,HLOOKUP(INDIRECT(ADDRESS(2,COLUMN())),OFFSET($BN$2,0,0,ROW()-1,60),ROW()-1,FALSE))</f>
        <v/>
      </c>
      <c r="AW75" t="str">
        <f ca="1">IF(AND(ISNUMBER($AW$583),$B$511=1),$AW$583,HLOOKUP(INDIRECT(ADDRESS(2,COLUMN())),OFFSET($BN$2,0,0,ROW()-1,60),ROW()-1,FALSE))</f>
        <v/>
      </c>
      <c r="AX75" t="str">
        <f ca="1">IF(AND(ISNUMBER($AX$583),$B$511=1),$AX$583,HLOOKUP(INDIRECT(ADDRESS(2,COLUMN())),OFFSET($BN$2,0,0,ROW()-1,60),ROW()-1,FALSE))</f>
        <v/>
      </c>
      <c r="AY75" t="str">
        <f ca="1">IF(AND(ISNUMBER($AY$583),$B$511=1),$AY$583,HLOOKUP(INDIRECT(ADDRESS(2,COLUMN())),OFFSET($BN$2,0,0,ROW()-1,60),ROW()-1,FALSE))</f>
        <v/>
      </c>
      <c r="AZ75" t="str">
        <f ca="1">IF(AND(ISNUMBER($AZ$583),$B$511=1),$AZ$583,HLOOKUP(INDIRECT(ADDRESS(2,COLUMN())),OFFSET($BN$2,0,0,ROW()-1,60),ROW()-1,FALSE))</f>
        <v/>
      </c>
      <c r="BA75" t="str">
        <f ca="1">IF(AND(ISNUMBER($BA$583),$B$511=1),$BA$583,HLOOKUP(INDIRECT(ADDRESS(2,COLUMN())),OFFSET($BN$2,0,0,ROW()-1,60),ROW()-1,FALSE))</f>
        <v/>
      </c>
      <c r="BB75" t="str">
        <f ca="1">IF(AND(ISNUMBER($BB$583),$B$511=1),$BB$583,HLOOKUP(INDIRECT(ADDRESS(2,COLUMN())),OFFSET($BN$2,0,0,ROW()-1,60),ROW()-1,FALSE))</f>
        <v/>
      </c>
      <c r="BC75" t="str">
        <f ca="1">IF(AND(ISNUMBER($BC$583),$B$511=1),$BC$583,HLOOKUP(INDIRECT(ADDRESS(2,COLUMN())),OFFSET($BN$2,0,0,ROW()-1,60),ROW()-1,FALSE))</f>
        <v/>
      </c>
      <c r="BD75" t="str">
        <f ca="1">IF(AND(ISNUMBER($BD$583),$B$511=1),$BD$583,HLOOKUP(INDIRECT(ADDRESS(2,COLUMN())),OFFSET($BN$2,0,0,ROW()-1,60),ROW()-1,FALSE))</f>
        <v/>
      </c>
      <c r="BE75" t="str">
        <f ca="1">IF(AND(ISNUMBER($BE$583),$B$511=1),$BE$583,HLOOKUP(INDIRECT(ADDRESS(2,COLUMN())),OFFSET($BN$2,0,0,ROW()-1,60),ROW()-1,FALSE))</f>
        <v/>
      </c>
      <c r="BF75" t="str">
        <f ca="1">IF(AND(ISNUMBER($BF$583),$B$511=1),$BF$583,HLOOKUP(INDIRECT(ADDRESS(2,COLUMN())),OFFSET($BN$2,0,0,ROW()-1,60),ROW()-1,FALSE))</f>
        <v/>
      </c>
      <c r="BG75" t="str">
        <f ca="1">IF(AND(ISNUMBER($BG$583),$B$511=1),$BG$583,HLOOKUP(INDIRECT(ADDRESS(2,COLUMN())),OFFSET($BN$2,0,0,ROW()-1,60),ROW()-1,FALSE))</f>
        <v/>
      </c>
      <c r="BH75" t="str">
        <f ca="1">IF(AND(ISNUMBER($BH$583),$B$511=1),$BH$583,HLOOKUP(INDIRECT(ADDRESS(2,COLUMN())),OFFSET($BN$2,0,0,ROW()-1,60),ROW()-1,FALSE))</f>
        <v/>
      </c>
      <c r="BI75" t="str">
        <f ca="1">IF(AND(ISNUMBER($BI$583),$B$511=1),$BI$583,HLOOKUP(INDIRECT(ADDRESS(2,COLUMN())),OFFSET($BN$2,0,0,ROW()-1,60),ROW()-1,FALSE))</f>
        <v/>
      </c>
      <c r="BJ75" t="str">
        <f ca="1">IF(AND(ISNUMBER($BJ$583),$B$511=1),$BJ$583,HLOOKUP(INDIRECT(ADDRESS(2,COLUMN())),OFFSET($BN$2,0,0,ROW()-1,60),ROW()-1,FALSE))</f>
        <v/>
      </c>
      <c r="BK75" t="str">
        <f ca="1">IF(AND(ISNUMBER($BK$583),$B$511=1),$BK$583,HLOOKUP(INDIRECT(ADDRESS(2,COLUMN())),OFFSET($BN$2,0,0,ROW()-1,60),ROW()-1,FALSE))</f>
        <v/>
      </c>
      <c r="BL75" t="str">
        <f ca="1">IF(AND(ISNUMBER($BL$583),$B$511=1),$BL$583,HLOOKUP(INDIRECT(ADDRESS(2,COLUMN())),OFFSET($BN$2,0,0,ROW()-1,60),ROW()-1,FALSE))</f>
        <v/>
      </c>
      <c r="BM75" t="str">
        <f ca="1">IF(AND(ISNUMBER($BM$583),$B$511=1),$BM$583,HLOOKUP(INDIRECT(ADDRESS(2,COLUMN())),OFFSET($BN$2,0,0,ROW()-1,60),ROW()-1,FALSE))</f>
        <v/>
      </c>
      <c r="BN75">
        <f>-0.019</f>
        <v>-1.9E-2</v>
      </c>
      <c r="BO75">
        <f>-0.146</f>
        <v>-0.14599999999999999</v>
      </c>
      <c r="BP75" t="str">
        <f>""</f>
        <v/>
      </c>
      <c r="BQ75" t="str">
        <f>""</f>
        <v/>
      </c>
      <c r="BR75">
        <f>0.325</f>
        <v>0.32500000000000001</v>
      </c>
      <c r="BS75">
        <f>0.319</f>
        <v>0.31900000000000001</v>
      </c>
      <c r="BT75">
        <f>0.493</f>
        <v>0.49299999999999999</v>
      </c>
      <c r="BU75">
        <f>0.471</f>
        <v>0.47099999999999997</v>
      </c>
      <c r="BV75">
        <f>0.392</f>
        <v>0.39200000000000002</v>
      </c>
      <c r="BW75" t="str">
        <f>""</f>
        <v/>
      </c>
      <c r="BX75" t="str">
        <f>""</f>
        <v/>
      </c>
      <c r="BY75" t="str">
        <f>""</f>
        <v/>
      </c>
      <c r="BZ75" t="str">
        <f>""</f>
        <v/>
      </c>
      <c r="CA75" t="str">
        <f>""</f>
        <v/>
      </c>
      <c r="CB75" t="str">
        <f>""</f>
        <v/>
      </c>
      <c r="CC75" t="str">
        <f>""</f>
        <v/>
      </c>
      <c r="CD75" t="str">
        <f>""</f>
        <v/>
      </c>
      <c r="CE75" t="str">
        <f>""</f>
        <v/>
      </c>
      <c r="CF75" t="str">
        <f>""</f>
        <v/>
      </c>
      <c r="CG75" t="str">
        <f>""</f>
        <v/>
      </c>
      <c r="CH75" t="str">
        <f>""</f>
        <v/>
      </c>
      <c r="CI75" t="str">
        <f>""</f>
        <v/>
      </c>
      <c r="CJ75" t="str">
        <f>""</f>
        <v/>
      </c>
      <c r="CK75" t="str">
        <f>""</f>
        <v/>
      </c>
      <c r="CL75" t="str">
        <f>""</f>
        <v/>
      </c>
      <c r="CM75" t="str">
        <f>""</f>
        <v/>
      </c>
      <c r="CN75" t="str">
        <f>""</f>
        <v/>
      </c>
      <c r="CO75" t="str">
        <f>""</f>
        <v/>
      </c>
      <c r="CP75" t="str">
        <f>""</f>
        <v/>
      </c>
      <c r="CQ75" t="str">
        <f>""</f>
        <v/>
      </c>
      <c r="CR75" t="str">
        <f>""</f>
        <v/>
      </c>
      <c r="CS75" t="str">
        <f>""</f>
        <v/>
      </c>
      <c r="CT75" t="str">
        <f>""</f>
        <v/>
      </c>
      <c r="CU75" t="str">
        <f>""</f>
        <v/>
      </c>
      <c r="CV75" t="str">
        <f>""</f>
        <v/>
      </c>
      <c r="CW75" t="str">
        <f>""</f>
        <v/>
      </c>
      <c r="CX75" t="str">
        <f>""</f>
        <v/>
      </c>
      <c r="CY75" t="str">
        <f>""</f>
        <v/>
      </c>
      <c r="CZ75" t="str">
        <f>""</f>
        <v/>
      </c>
      <c r="DA75" t="str">
        <f>""</f>
        <v/>
      </c>
      <c r="DB75" t="str">
        <f>""</f>
        <v/>
      </c>
      <c r="DC75" t="str">
        <f>""</f>
        <v/>
      </c>
      <c r="DD75" t="str">
        <f>""</f>
        <v/>
      </c>
      <c r="DE75" t="str">
        <f>""</f>
        <v/>
      </c>
      <c r="DF75" t="str">
        <f>""</f>
        <v/>
      </c>
      <c r="DG75" t="str">
        <f>""</f>
        <v/>
      </c>
      <c r="DH75" t="str">
        <f>""</f>
        <v/>
      </c>
      <c r="DI75" t="str">
        <f>""</f>
        <v/>
      </c>
      <c r="DJ75" t="str">
        <f>""</f>
        <v/>
      </c>
      <c r="DK75" t="str">
        <f>""</f>
        <v/>
      </c>
      <c r="DL75" t="str">
        <f>""</f>
        <v/>
      </c>
      <c r="DM75" t="str">
        <f>""</f>
        <v/>
      </c>
      <c r="DN75" t="str">
        <f>""</f>
        <v/>
      </c>
      <c r="DO75" t="str">
        <f>""</f>
        <v/>
      </c>
      <c r="DP75" t="str">
        <f>""</f>
        <v/>
      </c>
      <c r="DQ75" t="str">
        <f>""</f>
        <v/>
      </c>
      <c r="DR75" t="str">
        <f>""</f>
        <v/>
      </c>
      <c r="DS75" t="str">
        <f>""</f>
        <v/>
      </c>
      <c r="DT75" t="str">
        <f>""</f>
        <v/>
      </c>
      <c r="DU75" t="str">
        <f>""</f>
        <v/>
      </c>
    </row>
    <row r="76" spans="1:125" x14ac:dyDescent="0.25">
      <c r="A76" t="str">
        <f>"    Subaru Corp"</f>
        <v xml:space="preserve">    Subaru Corp</v>
      </c>
      <c r="B76" t="str">
        <f>"7270 JP Equity"</f>
        <v>7270 JP Equity</v>
      </c>
      <c r="C76" t="str">
        <f t="shared" si="3"/>
        <v>EZ019</v>
      </c>
      <c r="D76" t="str">
        <f t="shared" si="4"/>
        <v>BEST_EEPS_CUR_YR</v>
      </c>
      <c r="E76" t="str">
        <f t="shared" si="5"/>
        <v>Dynamic</v>
      </c>
      <c r="F76">
        <f ca="1">IF(AND(ISNUMBER($F$584),$B$511=1),$F$584,HLOOKUP(INDIRECT(ADDRESS(2,COLUMN())),OFFSET($BN$2,0,0,ROW()-1,60),ROW()-1,FALSE))</f>
        <v>1.8979999999999999</v>
      </c>
      <c r="G76">
        <f ca="1">IF(AND(ISNUMBER($G$584),$B$511=1),$G$584,HLOOKUP(INDIRECT(ADDRESS(2,COLUMN())),OFFSET($BN$2,0,0,ROW()-1,60),ROW()-1,FALSE))</f>
        <v>2.0649999999999999</v>
      </c>
      <c r="H76">
        <f ca="1">IF(AND(ISNUMBER($H$584),$B$511=1),$H$584,HLOOKUP(INDIRECT(ADDRESS(2,COLUMN())),OFFSET($BN$2,0,0,ROW()-1,60),ROW()-1,FALSE))</f>
        <v>3.028</v>
      </c>
      <c r="I76">
        <f ca="1">IF(AND(ISNUMBER($I$584),$B$511=1),$I$584,HLOOKUP(INDIRECT(ADDRESS(2,COLUMN())),OFFSET($BN$2,0,0,ROW()-1,60),ROW()-1,FALSE))</f>
        <v>3.1219999999999999</v>
      </c>
      <c r="J76">
        <f ca="1">IF(AND(ISNUMBER($J$584),$B$511=1),$J$584,HLOOKUP(INDIRECT(ADDRESS(2,COLUMN())),OFFSET($BN$2,0,0,ROW()-1,60),ROW()-1,FALSE))</f>
        <v>3.5960000000000001</v>
      </c>
      <c r="K76">
        <f ca="1">IF(AND(ISNUMBER($K$584),$B$511=1),$K$584,HLOOKUP(INDIRECT(ADDRESS(2,COLUMN())),OFFSET($BN$2,0,0,ROW()-1,60),ROW()-1,FALSE))</f>
        <v>3.6320000000000001</v>
      </c>
      <c r="L76">
        <f ca="1">IF(AND(ISNUMBER($L$584),$B$511=1),$L$584,HLOOKUP(INDIRECT(ADDRESS(2,COLUMN())),OFFSET($BN$2,0,0,ROW()-1,60),ROW()-1,FALSE))</f>
        <v>4.0819999999999999</v>
      </c>
      <c r="M76">
        <f ca="1">IF(AND(ISNUMBER($M$584),$B$511=1),$M$584,HLOOKUP(INDIRECT(ADDRESS(2,COLUMN())),OFFSET($BN$2,0,0,ROW()-1,60),ROW()-1,FALSE))</f>
        <v>3.9670000000000001</v>
      </c>
      <c r="N76">
        <f ca="1">IF(AND(ISNUMBER($N$584),$B$511=1),$N$584,HLOOKUP(INDIRECT(ADDRESS(2,COLUMN())),OFFSET($BN$2,0,0,ROW()-1,60),ROW()-1,FALSE))</f>
        <v>4.867</v>
      </c>
      <c r="O76">
        <f ca="1">IF(AND(ISNUMBER($O$584),$B$511=1),$O$584,HLOOKUP(INDIRECT(ADDRESS(2,COLUMN())),OFFSET($BN$2,0,0,ROW()-1,60),ROW()-1,FALSE))</f>
        <v>4.4029999999999996</v>
      </c>
      <c r="P76">
        <f ca="1">IF(AND(ISNUMBER($P$584),$B$511=1),$P$584,HLOOKUP(INDIRECT(ADDRESS(2,COLUMN())),OFFSET($BN$2,0,0,ROW()-1,60),ROW()-1,FALSE))</f>
        <v>4.5629999999999997</v>
      </c>
      <c r="Q76">
        <f ca="1">IF(AND(ISNUMBER($Q$584),$B$511=1),$Q$584,HLOOKUP(INDIRECT(ADDRESS(2,COLUMN())),OFFSET($BN$2,0,0,ROW()-1,60),ROW()-1,FALSE))</f>
        <v>4.8330000000000002</v>
      </c>
      <c r="R76">
        <f ca="1">IF(AND(ISNUMBER($R$584),$B$511=1),$R$584,HLOOKUP(INDIRECT(ADDRESS(2,COLUMN())),OFFSET($BN$2,0,0,ROW()-1,60),ROW()-1,FALSE))</f>
        <v>4.7149999999999999</v>
      </c>
      <c r="S76">
        <f ca="1">IF(AND(ISNUMBER($S$584),$B$511=1),$S$584,HLOOKUP(INDIRECT(ADDRESS(2,COLUMN())),OFFSET($BN$2,0,0,ROW()-1,60),ROW()-1,FALSE))</f>
        <v>4.74</v>
      </c>
      <c r="T76">
        <f ca="1">IF(AND(ISNUMBER($T$584),$B$511=1),$T$584,HLOOKUP(INDIRECT(ADDRESS(2,COLUMN())),OFFSET($BN$2,0,0,ROW()-1,60),ROW()-1,FALSE))</f>
        <v>4.7009999999999996</v>
      </c>
      <c r="U76">
        <f ca="1">IF(AND(ISNUMBER($U$584),$B$511=1),$U$584,HLOOKUP(INDIRECT(ADDRESS(2,COLUMN())),OFFSET($BN$2,0,0,ROW()-1,60),ROW()-1,FALSE))</f>
        <v>4.835</v>
      </c>
      <c r="V76">
        <f ca="1">IF(AND(ISNUMBER($V$584),$B$511=1),$V$584,HLOOKUP(INDIRECT(ADDRESS(2,COLUMN())),OFFSET($BN$2,0,0,ROW()-1,60),ROW()-1,FALSE))</f>
        <v>4.7030000000000003</v>
      </c>
      <c r="W76">
        <f ca="1">IF(AND(ISNUMBER($W$584),$B$511=1),$W$584,HLOOKUP(INDIRECT(ADDRESS(2,COLUMN())),OFFSET($BN$2,0,0,ROW()-1,60),ROW()-1,FALSE))</f>
        <v>4.8819999999999997</v>
      </c>
      <c r="X76" t="str">
        <f ca="1">IF(AND(ISNUMBER($X$584),$B$511=1),$X$584,HLOOKUP(INDIRECT(ADDRESS(2,COLUMN())),OFFSET($BN$2,0,0,ROW()-1,60),ROW()-1,FALSE))</f>
        <v/>
      </c>
      <c r="Y76">
        <f ca="1">IF(AND(ISNUMBER($Y$584),$B$511=1),$Y$584,HLOOKUP(INDIRECT(ADDRESS(2,COLUMN())),OFFSET($BN$2,0,0,ROW()-1,60),ROW()-1,FALSE))</f>
        <v>4.6269999999999998</v>
      </c>
      <c r="Z76" t="str">
        <f ca="1">IF(AND(ISNUMBER($Z$584),$B$511=1),$Z$584,HLOOKUP(INDIRECT(ADDRESS(2,COLUMN())),OFFSET($BN$2,0,0,ROW()-1,60),ROW()-1,FALSE))</f>
        <v/>
      </c>
      <c r="AA76" t="str">
        <f ca="1">IF(AND(ISNUMBER($AA$584),$B$511=1),$AA$584,HLOOKUP(INDIRECT(ADDRESS(2,COLUMN())),OFFSET($BN$2,0,0,ROW()-1,60),ROW()-1,FALSE))</f>
        <v/>
      </c>
      <c r="AB76" t="str">
        <f ca="1">IF(AND(ISNUMBER($AB$584),$B$511=1),$AB$584,HLOOKUP(INDIRECT(ADDRESS(2,COLUMN())),OFFSET($BN$2,0,0,ROW()-1,60),ROW()-1,FALSE))</f>
        <v/>
      </c>
      <c r="AC76" t="str">
        <f ca="1">IF(AND(ISNUMBER($AC$584),$B$511=1),$AC$584,HLOOKUP(INDIRECT(ADDRESS(2,COLUMN())),OFFSET($BN$2,0,0,ROW()-1,60),ROW()-1,FALSE))</f>
        <v/>
      </c>
      <c r="AD76" t="str">
        <f ca="1">IF(AND(ISNUMBER($AD$584),$B$511=1),$AD$584,HLOOKUP(INDIRECT(ADDRESS(2,COLUMN())),OFFSET($BN$2,0,0,ROW()-1,60),ROW()-1,FALSE))</f>
        <v/>
      </c>
      <c r="AE76" t="str">
        <f ca="1">IF(AND(ISNUMBER($AE$584),$B$511=1),$AE$584,HLOOKUP(INDIRECT(ADDRESS(2,COLUMN())),OFFSET($BN$2,0,0,ROW()-1,60),ROW()-1,FALSE))</f>
        <v/>
      </c>
      <c r="AF76" t="str">
        <f ca="1">IF(AND(ISNUMBER($AF$584),$B$511=1),$AF$584,HLOOKUP(INDIRECT(ADDRESS(2,COLUMN())),OFFSET($BN$2,0,0,ROW()-1,60),ROW()-1,FALSE))</f>
        <v/>
      </c>
      <c r="AG76" t="str">
        <f ca="1">IF(AND(ISNUMBER($AG$584),$B$511=1),$AG$584,HLOOKUP(INDIRECT(ADDRESS(2,COLUMN())),OFFSET($BN$2,0,0,ROW()-1,60),ROW()-1,FALSE))</f>
        <v/>
      </c>
      <c r="AH76" t="str">
        <f ca="1">IF(AND(ISNUMBER($AH$584),$B$511=1),$AH$584,HLOOKUP(INDIRECT(ADDRESS(2,COLUMN())),OFFSET($BN$2,0,0,ROW()-1,60),ROW()-1,FALSE))</f>
        <v/>
      </c>
      <c r="AI76" t="str">
        <f ca="1">IF(AND(ISNUMBER($AI$584),$B$511=1),$AI$584,HLOOKUP(INDIRECT(ADDRESS(2,COLUMN())),OFFSET($BN$2,0,0,ROW()-1,60),ROW()-1,FALSE))</f>
        <v/>
      </c>
      <c r="AJ76" t="str">
        <f ca="1">IF(AND(ISNUMBER($AJ$584),$B$511=1),$AJ$584,HLOOKUP(INDIRECT(ADDRESS(2,COLUMN())),OFFSET($BN$2,0,0,ROW()-1,60),ROW()-1,FALSE))</f>
        <v/>
      </c>
      <c r="AK76" t="str">
        <f ca="1">IF(AND(ISNUMBER($AK$584),$B$511=1),$AK$584,HLOOKUP(INDIRECT(ADDRESS(2,COLUMN())),OFFSET($BN$2,0,0,ROW()-1,60),ROW()-1,FALSE))</f>
        <v/>
      </c>
      <c r="AL76" t="str">
        <f ca="1">IF(AND(ISNUMBER($AL$584),$B$511=1),$AL$584,HLOOKUP(INDIRECT(ADDRESS(2,COLUMN())),OFFSET($BN$2,0,0,ROW()-1,60),ROW()-1,FALSE))</f>
        <v/>
      </c>
      <c r="AM76" t="str">
        <f ca="1">IF(AND(ISNUMBER($AM$584),$B$511=1),$AM$584,HLOOKUP(INDIRECT(ADDRESS(2,COLUMN())),OFFSET($BN$2,0,0,ROW()-1,60),ROW()-1,FALSE))</f>
        <v/>
      </c>
      <c r="AN76" t="str">
        <f ca="1">IF(AND(ISNUMBER($AN$584),$B$511=1),$AN$584,HLOOKUP(INDIRECT(ADDRESS(2,COLUMN())),OFFSET($BN$2,0,0,ROW()-1,60),ROW()-1,FALSE))</f>
        <v/>
      </c>
      <c r="AO76" t="str">
        <f ca="1">IF(AND(ISNUMBER($AO$584),$B$511=1),$AO$584,HLOOKUP(INDIRECT(ADDRESS(2,COLUMN())),OFFSET($BN$2,0,0,ROW()-1,60),ROW()-1,FALSE))</f>
        <v/>
      </c>
      <c r="AP76" t="str">
        <f ca="1">IF(AND(ISNUMBER($AP$584),$B$511=1),$AP$584,HLOOKUP(INDIRECT(ADDRESS(2,COLUMN())),OFFSET($BN$2,0,0,ROW()-1,60),ROW()-1,FALSE))</f>
        <v/>
      </c>
      <c r="AQ76" t="str">
        <f ca="1">IF(AND(ISNUMBER($AQ$584),$B$511=1),$AQ$584,HLOOKUP(INDIRECT(ADDRESS(2,COLUMN())),OFFSET($BN$2,0,0,ROW()-1,60),ROW()-1,FALSE))</f>
        <v/>
      </c>
      <c r="AR76" t="str">
        <f ca="1">IF(AND(ISNUMBER($AR$584),$B$511=1),$AR$584,HLOOKUP(INDIRECT(ADDRESS(2,COLUMN())),OFFSET($BN$2,0,0,ROW()-1,60),ROW()-1,FALSE))</f>
        <v/>
      </c>
      <c r="AS76" t="str">
        <f ca="1">IF(AND(ISNUMBER($AS$584),$B$511=1),$AS$584,HLOOKUP(INDIRECT(ADDRESS(2,COLUMN())),OFFSET($BN$2,0,0,ROW()-1,60),ROW()-1,FALSE))</f>
        <v/>
      </c>
      <c r="AT76" t="str">
        <f ca="1">IF(AND(ISNUMBER($AT$584),$B$511=1),$AT$584,HLOOKUP(INDIRECT(ADDRESS(2,COLUMN())),OFFSET($BN$2,0,0,ROW()-1,60),ROW()-1,FALSE))</f>
        <v/>
      </c>
      <c r="AU76" t="str">
        <f ca="1">IF(AND(ISNUMBER($AU$584),$B$511=1),$AU$584,HLOOKUP(INDIRECT(ADDRESS(2,COLUMN())),OFFSET($BN$2,0,0,ROW()-1,60),ROW()-1,FALSE))</f>
        <v/>
      </c>
      <c r="AV76" t="str">
        <f ca="1">IF(AND(ISNUMBER($AV$584),$B$511=1),$AV$584,HLOOKUP(INDIRECT(ADDRESS(2,COLUMN())),OFFSET($BN$2,0,0,ROW()-1,60),ROW()-1,FALSE))</f>
        <v/>
      </c>
      <c r="AW76" t="str">
        <f ca="1">IF(AND(ISNUMBER($AW$584),$B$511=1),$AW$584,HLOOKUP(INDIRECT(ADDRESS(2,COLUMN())),OFFSET($BN$2,0,0,ROW()-1,60),ROW()-1,FALSE))</f>
        <v/>
      </c>
      <c r="AX76" t="str">
        <f ca="1">IF(AND(ISNUMBER($AX$584),$B$511=1),$AX$584,HLOOKUP(INDIRECT(ADDRESS(2,COLUMN())),OFFSET($BN$2,0,0,ROW()-1,60),ROW()-1,FALSE))</f>
        <v/>
      </c>
      <c r="AY76" t="str">
        <f ca="1">IF(AND(ISNUMBER($AY$584),$B$511=1),$AY$584,HLOOKUP(INDIRECT(ADDRESS(2,COLUMN())),OFFSET($BN$2,0,0,ROW()-1,60),ROW()-1,FALSE))</f>
        <v/>
      </c>
      <c r="AZ76" t="str">
        <f ca="1">IF(AND(ISNUMBER($AZ$584),$B$511=1),$AZ$584,HLOOKUP(INDIRECT(ADDRESS(2,COLUMN())),OFFSET($BN$2,0,0,ROW()-1,60),ROW()-1,FALSE))</f>
        <v/>
      </c>
      <c r="BA76" t="str">
        <f ca="1">IF(AND(ISNUMBER($BA$584),$B$511=1),$BA$584,HLOOKUP(INDIRECT(ADDRESS(2,COLUMN())),OFFSET($BN$2,0,0,ROW()-1,60),ROW()-1,FALSE))</f>
        <v/>
      </c>
      <c r="BB76" t="str">
        <f ca="1">IF(AND(ISNUMBER($BB$584),$B$511=1),$BB$584,HLOOKUP(INDIRECT(ADDRESS(2,COLUMN())),OFFSET($BN$2,0,0,ROW()-1,60),ROW()-1,FALSE))</f>
        <v/>
      </c>
      <c r="BC76" t="str">
        <f ca="1">IF(AND(ISNUMBER($BC$584),$B$511=1),$BC$584,HLOOKUP(INDIRECT(ADDRESS(2,COLUMN())),OFFSET($BN$2,0,0,ROW()-1,60),ROW()-1,FALSE))</f>
        <v/>
      </c>
      <c r="BD76" t="str">
        <f ca="1">IF(AND(ISNUMBER($BD$584),$B$511=1),$BD$584,HLOOKUP(INDIRECT(ADDRESS(2,COLUMN())),OFFSET($BN$2,0,0,ROW()-1,60),ROW()-1,FALSE))</f>
        <v/>
      </c>
      <c r="BE76" t="str">
        <f ca="1">IF(AND(ISNUMBER($BE$584),$B$511=1),$BE$584,HLOOKUP(INDIRECT(ADDRESS(2,COLUMN())),OFFSET($BN$2,0,0,ROW()-1,60),ROW()-1,FALSE))</f>
        <v/>
      </c>
      <c r="BF76" t="str">
        <f ca="1">IF(AND(ISNUMBER($BF$584),$B$511=1),$BF$584,HLOOKUP(INDIRECT(ADDRESS(2,COLUMN())),OFFSET($BN$2,0,0,ROW()-1,60),ROW()-1,FALSE))</f>
        <v/>
      </c>
      <c r="BG76" t="str">
        <f ca="1">IF(AND(ISNUMBER($BG$584),$B$511=1),$BG$584,HLOOKUP(INDIRECT(ADDRESS(2,COLUMN())),OFFSET($BN$2,0,0,ROW()-1,60),ROW()-1,FALSE))</f>
        <v/>
      </c>
      <c r="BH76" t="str">
        <f ca="1">IF(AND(ISNUMBER($BH$584),$B$511=1),$BH$584,HLOOKUP(INDIRECT(ADDRESS(2,COLUMN())),OFFSET($BN$2,0,0,ROW()-1,60),ROW()-1,FALSE))</f>
        <v/>
      </c>
      <c r="BI76" t="str">
        <f ca="1">IF(AND(ISNUMBER($BI$584),$B$511=1),$BI$584,HLOOKUP(INDIRECT(ADDRESS(2,COLUMN())),OFFSET($BN$2,0,0,ROW()-1,60),ROW()-1,FALSE))</f>
        <v/>
      </c>
      <c r="BJ76" t="str">
        <f ca="1">IF(AND(ISNUMBER($BJ$584),$B$511=1),$BJ$584,HLOOKUP(INDIRECT(ADDRESS(2,COLUMN())),OFFSET($BN$2,0,0,ROW()-1,60),ROW()-1,FALSE))</f>
        <v/>
      </c>
      <c r="BK76" t="str">
        <f ca="1">IF(AND(ISNUMBER($BK$584),$B$511=1),$BK$584,HLOOKUP(INDIRECT(ADDRESS(2,COLUMN())),OFFSET($BN$2,0,0,ROW()-1,60),ROW()-1,FALSE))</f>
        <v/>
      </c>
      <c r="BL76" t="str">
        <f ca="1">IF(AND(ISNUMBER($BL$584),$B$511=1),$BL$584,HLOOKUP(INDIRECT(ADDRESS(2,COLUMN())),OFFSET($BN$2,0,0,ROW()-1,60),ROW()-1,FALSE))</f>
        <v/>
      </c>
      <c r="BM76" t="str">
        <f ca="1">IF(AND(ISNUMBER($BM$584),$B$511=1),$BM$584,HLOOKUP(INDIRECT(ADDRESS(2,COLUMN())),OFFSET($BN$2,0,0,ROW()-1,60),ROW()-1,FALSE))</f>
        <v/>
      </c>
      <c r="BN76">
        <f>1.898</f>
        <v>1.8979999999999999</v>
      </c>
      <c r="BO76">
        <f>2.065</f>
        <v>2.0649999999999999</v>
      </c>
      <c r="BP76">
        <f>3.028</f>
        <v>3.028</v>
      </c>
      <c r="BQ76">
        <f>3.122</f>
        <v>3.1219999999999999</v>
      </c>
      <c r="BR76">
        <f>3.596</f>
        <v>3.5960000000000001</v>
      </c>
      <c r="BS76">
        <f>3.632</f>
        <v>3.6320000000000001</v>
      </c>
      <c r="BT76">
        <f>4.082</f>
        <v>4.0819999999999999</v>
      </c>
      <c r="BU76">
        <f>3.967</f>
        <v>3.9670000000000001</v>
      </c>
      <c r="BV76">
        <f>4.867</f>
        <v>4.867</v>
      </c>
      <c r="BW76">
        <f>4.403</f>
        <v>4.4029999999999996</v>
      </c>
      <c r="BX76">
        <f>4.563</f>
        <v>4.5629999999999997</v>
      </c>
      <c r="BY76">
        <f>4.833</f>
        <v>4.8330000000000002</v>
      </c>
      <c r="BZ76">
        <f>4.715</f>
        <v>4.7149999999999999</v>
      </c>
      <c r="CA76">
        <f>4.74</f>
        <v>4.74</v>
      </c>
      <c r="CB76">
        <f>4.701</f>
        <v>4.7009999999999996</v>
      </c>
      <c r="CC76">
        <f>4.835</f>
        <v>4.835</v>
      </c>
      <c r="CD76">
        <f>4.703</f>
        <v>4.7030000000000003</v>
      </c>
      <c r="CE76">
        <f>4.882</f>
        <v>4.8819999999999997</v>
      </c>
      <c r="CF76" t="str">
        <f>""</f>
        <v/>
      </c>
      <c r="CG76">
        <f>4.627</f>
        <v>4.6269999999999998</v>
      </c>
      <c r="CH76" t="str">
        <f>""</f>
        <v/>
      </c>
      <c r="CI76" t="str">
        <f>""</f>
        <v/>
      </c>
      <c r="CJ76" t="str">
        <f>""</f>
        <v/>
      </c>
      <c r="CK76" t="str">
        <f>""</f>
        <v/>
      </c>
      <c r="CL76" t="str">
        <f>""</f>
        <v/>
      </c>
      <c r="CM76" t="str">
        <f>""</f>
        <v/>
      </c>
      <c r="CN76" t="str">
        <f>""</f>
        <v/>
      </c>
      <c r="CO76" t="str">
        <f>""</f>
        <v/>
      </c>
      <c r="CP76" t="str">
        <f>""</f>
        <v/>
      </c>
      <c r="CQ76" t="str">
        <f>""</f>
        <v/>
      </c>
      <c r="CR76" t="str">
        <f>""</f>
        <v/>
      </c>
      <c r="CS76" t="str">
        <f>""</f>
        <v/>
      </c>
      <c r="CT76" t="str">
        <f>""</f>
        <v/>
      </c>
      <c r="CU76" t="str">
        <f>""</f>
        <v/>
      </c>
      <c r="CV76" t="str">
        <f>""</f>
        <v/>
      </c>
      <c r="CW76" t="str">
        <f>""</f>
        <v/>
      </c>
      <c r="CX76" t="str">
        <f>""</f>
        <v/>
      </c>
      <c r="CY76" t="str">
        <f>""</f>
        <v/>
      </c>
      <c r="CZ76" t="str">
        <f>""</f>
        <v/>
      </c>
      <c r="DA76" t="str">
        <f>""</f>
        <v/>
      </c>
      <c r="DB76" t="str">
        <f>""</f>
        <v/>
      </c>
      <c r="DC76" t="str">
        <f>""</f>
        <v/>
      </c>
      <c r="DD76" t="str">
        <f>""</f>
        <v/>
      </c>
      <c r="DE76" t="str">
        <f>""</f>
        <v/>
      </c>
      <c r="DF76" t="str">
        <f>""</f>
        <v/>
      </c>
      <c r="DG76" t="str">
        <f>""</f>
        <v/>
      </c>
      <c r="DH76" t="str">
        <f>""</f>
        <v/>
      </c>
      <c r="DI76" t="str">
        <f>""</f>
        <v/>
      </c>
      <c r="DJ76" t="str">
        <f>""</f>
        <v/>
      </c>
      <c r="DK76" t="str">
        <f>""</f>
        <v/>
      </c>
      <c r="DL76" t="str">
        <f>""</f>
        <v/>
      </c>
      <c r="DM76" t="str">
        <f>""</f>
        <v/>
      </c>
      <c r="DN76" t="str">
        <f>""</f>
        <v/>
      </c>
      <c r="DO76" t="str">
        <f>""</f>
        <v/>
      </c>
      <c r="DP76" t="str">
        <f>""</f>
        <v/>
      </c>
      <c r="DQ76" t="str">
        <f>""</f>
        <v/>
      </c>
      <c r="DR76" t="str">
        <f>""</f>
        <v/>
      </c>
      <c r="DS76" t="str">
        <f>""</f>
        <v/>
      </c>
      <c r="DT76" t="str">
        <f>""</f>
        <v/>
      </c>
      <c r="DU76" t="str">
        <f>""</f>
        <v/>
      </c>
    </row>
    <row r="77" spans="1:125" x14ac:dyDescent="0.25">
      <c r="A77" t="str">
        <f>"    Suzuki Motor Corp"</f>
        <v xml:space="preserve">    Suzuki Motor Corp</v>
      </c>
      <c r="B77" t="str">
        <f>"7269 JP Equity"</f>
        <v>7269 JP Equity</v>
      </c>
      <c r="C77" t="str">
        <f t="shared" si="3"/>
        <v>EZ019</v>
      </c>
      <c r="D77" t="str">
        <f t="shared" si="4"/>
        <v>BEST_EEPS_CUR_YR</v>
      </c>
      <c r="E77" t="str">
        <f t="shared" si="5"/>
        <v>Dynamic</v>
      </c>
      <c r="F77">
        <f ca="1">IF(AND(ISNUMBER($F$585),$B$511=1),$F$585,HLOOKUP(INDIRECT(ADDRESS(2,COLUMN())),OFFSET($BN$2,0,0,ROW()-1,60),ROW()-1,FALSE))</f>
        <v>4.7560000000000002</v>
      </c>
      <c r="G77">
        <f ca="1">IF(AND(ISNUMBER($G$585),$B$511=1),$G$585,HLOOKUP(INDIRECT(ADDRESS(2,COLUMN())),OFFSET($BN$2,0,0,ROW()-1,60),ROW()-1,FALSE))</f>
        <v>4.79</v>
      </c>
      <c r="H77">
        <f ca="1">IF(AND(ISNUMBER($H$585),$B$511=1),$H$585,HLOOKUP(INDIRECT(ADDRESS(2,COLUMN())),OFFSET($BN$2,0,0,ROW()-1,60),ROW()-1,FALSE))</f>
        <v>5.032</v>
      </c>
      <c r="I77">
        <f ca="1">IF(AND(ISNUMBER($I$585),$B$511=1),$I$585,HLOOKUP(INDIRECT(ADDRESS(2,COLUMN())),OFFSET($BN$2,0,0,ROW()-1,60),ROW()-1,FALSE))</f>
        <v>4.6849999999999996</v>
      </c>
      <c r="J77">
        <f ca="1">IF(AND(ISNUMBER($J$585),$B$511=1),$J$585,HLOOKUP(INDIRECT(ADDRESS(2,COLUMN())),OFFSET($BN$2,0,0,ROW()-1,60),ROW()-1,FALSE))</f>
        <v>4.7169999999999996</v>
      </c>
      <c r="K77">
        <f ca="1">IF(AND(ISNUMBER($K$585),$B$511=1),$K$585,HLOOKUP(INDIRECT(ADDRESS(2,COLUMN())),OFFSET($BN$2,0,0,ROW()-1,60),ROW()-1,FALSE))</f>
        <v>4.3129999999999997</v>
      </c>
      <c r="L77">
        <f ca="1">IF(AND(ISNUMBER($L$585),$B$511=1),$L$585,HLOOKUP(INDIRECT(ADDRESS(2,COLUMN())),OFFSET($BN$2,0,0,ROW()-1,60),ROW()-1,FALSE))</f>
        <v>4.1970000000000001</v>
      </c>
      <c r="M77">
        <f ca="1">IF(AND(ISNUMBER($M$585),$B$511=1),$M$585,HLOOKUP(INDIRECT(ADDRESS(2,COLUMN())),OFFSET($BN$2,0,0,ROW()-1,60),ROW()-1,FALSE))</f>
        <v>3.6909999999999998</v>
      </c>
      <c r="N77">
        <f ca="1">IF(AND(ISNUMBER($N$585),$B$511=1),$N$585,HLOOKUP(INDIRECT(ADDRESS(2,COLUMN())),OFFSET($BN$2,0,0,ROW()-1,60),ROW()-1,FALSE))</f>
        <v>3.1080000000000001</v>
      </c>
      <c r="O77">
        <f ca="1">IF(AND(ISNUMBER($O$585),$B$511=1),$O$585,HLOOKUP(INDIRECT(ADDRESS(2,COLUMN())),OFFSET($BN$2,0,0,ROW()-1,60),ROW()-1,FALSE))</f>
        <v>2.7429999999999999</v>
      </c>
      <c r="P77">
        <f ca="1">IF(AND(ISNUMBER($P$585),$B$511=1),$P$585,HLOOKUP(INDIRECT(ADDRESS(2,COLUMN())),OFFSET($BN$2,0,0,ROW()-1,60),ROW()-1,FALSE))</f>
        <v>2.7229999999999999</v>
      </c>
      <c r="Q77">
        <f ca="1">IF(AND(ISNUMBER($Q$585),$B$511=1),$Q$585,HLOOKUP(INDIRECT(ADDRESS(2,COLUMN())),OFFSET($BN$2,0,0,ROW()-1,60),ROW()-1,FALSE))</f>
        <v>2.6160000000000001</v>
      </c>
      <c r="R77">
        <f ca="1">IF(AND(ISNUMBER($R$585),$B$511=1),$R$585,HLOOKUP(INDIRECT(ADDRESS(2,COLUMN())),OFFSET($BN$2,0,0,ROW()-1,60),ROW()-1,FALSE))</f>
        <v>2.5390000000000001</v>
      </c>
      <c r="S77">
        <f ca="1">IF(AND(ISNUMBER($S$585),$B$511=1),$S$585,HLOOKUP(INDIRECT(ADDRESS(2,COLUMN())),OFFSET($BN$2,0,0,ROW()-1,60),ROW()-1,FALSE))</f>
        <v>2.9319999999999999</v>
      </c>
      <c r="T77">
        <f ca="1">IF(AND(ISNUMBER($T$585),$B$511=1),$T$585,HLOOKUP(INDIRECT(ADDRESS(2,COLUMN())),OFFSET($BN$2,0,0,ROW()-1,60),ROW()-1,FALSE))</f>
        <v>2.2989999999999999</v>
      </c>
      <c r="U77">
        <f ca="1">IF(AND(ISNUMBER($U$585),$B$511=1),$U$585,HLOOKUP(INDIRECT(ADDRESS(2,COLUMN())),OFFSET($BN$2,0,0,ROW()-1,60),ROW()-1,FALSE))</f>
        <v>2.2749999999999999</v>
      </c>
      <c r="V77">
        <f ca="1">IF(AND(ISNUMBER($V$585),$B$511=1),$V$585,HLOOKUP(INDIRECT(ADDRESS(2,COLUMN())),OFFSET($BN$2,0,0,ROW()-1,60),ROW()-1,FALSE))</f>
        <v>2.4430000000000001</v>
      </c>
      <c r="W77">
        <f ca="1">IF(AND(ISNUMBER($W$585),$B$511=1),$W$585,HLOOKUP(INDIRECT(ADDRESS(2,COLUMN())),OFFSET($BN$2,0,0,ROW()-1,60),ROW()-1,FALSE))</f>
        <v>2.46</v>
      </c>
      <c r="X77" t="str">
        <f ca="1">IF(AND(ISNUMBER($X$585),$B$511=1),$X$585,HLOOKUP(INDIRECT(ADDRESS(2,COLUMN())),OFFSET($BN$2,0,0,ROW()-1,60),ROW()-1,FALSE))</f>
        <v/>
      </c>
      <c r="Y77">
        <f ca="1">IF(AND(ISNUMBER($Y$585),$B$511=1),$Y$585,HLOOKUP(INDIRECT(ADDRESS(2,COLUMN())),OFFSET($BN$2,0,0,ROW()-1,60),ROW()-1,FALSE))</f>
        <v>2.899</v>
      </c>
      <c r="Z77" t="str">
        <f ca="1">IF(AND(ISNUMBER($Z$585),$B$511=1),$Z$585,HLOOKUP(INDIRECT(ADDRESS(2,COLUMN())),OFFSET($BN$2,0,0,ROW()-1,60),ROW()-1,FALSE))</f>
        <v/>
      </c>
      <c r="AA77" t="str">
        <f ca="1">IF(AND(ISNUMBER($AA$585),$B$511=1),$AA$585,HLOOKUP(INDIRECT(ADDRESS(2,COLUMN())),OFFSET($BN$2,0,0,ROW()-1,60),ROW()-1,FALSE))</f>
        <v/>
      </c>
      <c r="AB77" t="str">
        <f ca="1">IF(AND(ISNUMBER($AB$585),$B$511=1),$AB$585,HLOOKUP(INDIRECT(ADDRESS(2,COLUMN())),OFFSET($BN$2,0,0,ROW()-1,60),ROW()-1,FALSE))</f>
        <v/>
      </c>
      <c r="AC77" t="str">
        <f ca="1">IF(AND(ISNUMBER($AC$585),$B$511=1),$AC$585,HLOOKUP(INDIRECT(ADDRESS(2,COLUMN())),OFFSET($BN$2,0,0,ROW()-1,60),ROW()-1,FALSE))</f>
        <v/>
      </c>
      <c r="AD77" t="str">
        <f ca="1">IF(AND(ISNUMBER($AD$585),$B$511=1),$AD$585,HLOOKUP(INDIRECT(ADDRESS(2,COLUMN())),OFFSET($BN$2,0,0,ROW()-1,60),ROW()-1,FALSE))</f>
        <v/>
      </c>
      <c r="AE77" t="str">
        <f ca="1">IF(AND(ISNUMBER($AE$585),$B$511=1),$AE$585,HLOOKUP(INDIRECT(ADDRESS(2,COLUMN())),OFFSET($BN$2,0,0,ROW()-1,60),ROW()-1,FALSE))</f>
        <v/>
      </c>
      <c r="AF77" t="str">
        <f ca="1">IF(AND(ISNUMBER($AF$585),$B$511=1),$AF$585,HLOOKUP(INDIRECT(ADDRESS(2,COLUMN())),OFFSET($BN$2,0,0,ROW()-1,60),ROW()-1,FALSE))</f>
        <v/>
      </c>
      <c r="AG77" t="str">
        <f ca="1">IF(AND(ISNUMBER($AG$585),$B$511=1),$AG$585,HLOOKUP(INDIRECT(ADDRESS(2,COLUMN())),OFFSET($BN$2,0,0,ROW()-1,60),ROW()-1,FALSE))</f>
        <v/>
      </c>
      <c r="AH77" t="str">
        <f ca="1">IF(AND(ISNUMBER($AH$585),$B$511=1),$AH$585,HLOOKUP(INDIRECT(ADDRESS(2,COLUMN())),OFFSET($BN$2,0,0,ROW()-1,60),ROW()-1,FALSE))</f>
        <v/>
      </c>
      <c r="AI77" t="str">
        <f ca="1">IF(AND(ISNUMBER($AI$585),$B$511=1),$AI$585,HLOOKUP(INDIRECT(ADDRESS(2,COLUMN())),OFFSET($BN$2,0,0,ROW()-1,60),ROW()-1,FALSE))</f>
        <v/>
      </c>
      <c r="AJ77" t="str">
        <f ca="1">IF(AND(ISNUMBER($AJ$585),$B$511=1),$AJ$585,HLOOKUP(INDIRECT(ADDRESS(2,COLUMN())),OFFSET($BN$2,0,0,ROW()-1,60),ROW()-1,FALSE))</f>
        <v/>
      </c>
      <c r="AK77" t="str">
        <f ca="1">IF(AND(ISNUMBER($AK$585),$B$511=1),$AK$585,HLOOKUP(INDIRECT(ADDRESS(2,COLUMN())),OFFSET($BN$2,0,0,ROW()-1,60),ROW()-1,FALSE))</f>
        <v/>
      </c>
      <c r="AL77" t="str">
        <f ca="1">IF(AND(ISNUMBER($AL$585),$B$511=1),$AL$585,HLOOKUP(INDIRECT(ADDRESS(2,COLUMN())),OFFSET($BN$2,0,0,ROW()-1,60),ROW()-1,FALSE))</f>
        <v/>
      </c>
      <c r="AM77" t="str">
        <f ca="1">IF(AND(ISNUMBER($AM$585),$B$511=1),$AM$585,HLOOKUP(INDIRECT(ADDRESS(2,COLUMN())),OFFSET($BN$2,0,0,ROW()-1,60),ROW()-1,FALSE))</f>
        <v/>
      </c>
      <c r="AN77" t="str">
        <f ca="1">IF(AND(ISNUMBER($AN$585),$B$511=1),$AN$585,HLOOKUP(INDIRECT(ADDRESS(2,COLUMN())),OFFSET($BN$2,0,0,ROW()-1,60),ROW()-1,FALSE))</f>
        <v/>
      </c>
      <c r="AO77" t="str">
        <f ca="1">IF(AND(ISNUMBER($AO$585),$B$511=1),$AO$585,HLOOKUP(INDIRECT(ADDRESS(2,COLUMN())),OFFSET($BN$2,0,0,ROW()-1,60),ROW()-1,FALSE))</f>
        <v/>
      </c>
      <c r="AP77" t="str">
        <f ca="1">IF(AND(ISNUMBER($AP$585),$B$511=1),$AP$585,HLOOKUP(INDIRECT(ADDRESS(2,COLUMN())),OFFSET($BN$2,0,0,ROW()-1,60),ROW()-1,FALSE))</f>
        <v/>
      </c>
      <c r="AQ77" t="str">
        <f ca="1">IF(AND(ISNUMBER($AQ$585),$B$511=1),$AQ$585,HLOOKUP(INDIRECT(ADDRESS(2,COLUMN())),OFFSET($BN$2,0,0,ROW()-1,60),ROW()-1,FALSE))</f>
        <v/>
      </c>
      <c r="AR77" t="str">
        <f ca="1">IF(AND(ISNUMBER($AR$585),$B$511=1),$AR$585,HLOOKUP(INDIRECT(ADDRESS(2,COLUMN())),OFFSET($BN$2,0,0,ROW()-1,60),ROW()-1,FALSE))</f>
        <v/>
      </c>
      <c r="AS77" t="str">
        <f ca="1">IF(AND(ISNUMBER($AS$585),$B$511=1),$AS$585,HLOOKUP(INDIRECT(ADDRESS(2,COLUMN())),OFFSET($BN$2,0,0,ROW()-1,60),ROW()-1,FALSE))</f>
        <v/>
      </c>
      <c r="AT77" t="str">
        <f ca="1">IF(AND(ISNUMBER($AT$585),$B$511=1),$AT$585,HLOOKUP(INDIRECT(ADDRESS(2,COLUMN())),OFFSET($BN$2,0,0,ROW()-1,60),ROW()-1,FALSE))</f>
        <v/>
      </c>
      <c r="AU77" t="str">
        <f ca="1">IF(AND(ISNUMBER($AU$585),$B$511=1),$AU$585,HLOOKUP(INDIRECT(ADDRESS(2,COLUMN())),OFFSET($BN$2,0,0,ROW()-1,60),ROW()-1,FALSE))</f>
        <v/>
      </c>
      <c r="AV77" t="str">
        <f ca="1">IF(AND(ISNUMBER($AV$585),$B$511=1),$AV$585,HLOOKUP(INDIRECT(ADDRESS(2,COLUMN())),OFFSET($BN$2,0,0,ROW()-1,60),ROW()-1,FALSE))</f>
        <v/>
      </c>
      <c r="AW77" t="str">
        <f ca="1">IF(AND(ISNUMBER($AW$585),$B$511=1),$AW$585,HLOOKUP(INDIRECT(ADDRESS(2,COLUMN())),OFFSET($BN$2,0,0,ROW()-1,60),ROW()-1,FALSE))</f>
        <v/>
      </c>
      <c r="AX77" t="str">
        <f ca="1">IF(AND(ISNUMBER($AX$585),$B$511=1),$AX$585,HLOOKUP(INDIRECT(ADDRESS(2,COLUMN())),OFFSET($BN$2,0,0,ROW()-1,60),ROW()-1,FALSE))</f>
        <v/>
      </c>
      <c r="AY77" t="str">
        <f ca="1">IF(AND(ISNUMBER($AY$585),$B$511=1),$AY$585,HLOOKUP(INDIRECT(ADDRESS(2,COLUMN())),OFFSET($BN$2,0,0,ROW()-1,60),ROW()-1,FALSE))</f>
        <v/>
      </c>
      <c r="AZ77" t="str">
        <f ca="1">IF(AND(ISNUMBER($AZ$585),$B$511=1),$AZ$585,HLOOKUP(INDIRECT(ADDRESS(2,COLUMN())),OFFSET($BN$2,0,0,ROW()-1,60),ROW()-1,FALSE))</f>
        <v/>
      </c>
      <c r="BA77" t="str">
        <f ca="1">IF(AND(ISNUMBER($BA$585),$B$511=1),$BA$585,HLOOKUP(INDIRECT(ADDRESS(2,COLUMN())),OFFSET($BN$2,0,0,ROW()-1,60),ROW()-1,FALSE))</f>
        <v/>
      </c>
      <c r="BB77" t="str">
        <f ca="1">IF(AND(ISNUMBER($BB$585),$B$511=1),$BB$585,HLOOKUP(INDIRECT(ADDRESS(2,COLUMN())),OFFSET($BN$2,0,0,ROW()-1,60),ROW()-1,FALSE))</f>
        <v/>
      </c>
      <c r="BC77" t="str">
        <f ca="1">IF(AND(ISNUMBER($BC$585),$B$511=1),$BC$585,HLOOKUP(INDIRECT(ADDRESS(2,COLUMN())),OFFSET($BN$2,0,0,ROW()-1,60),ROW()-1,FALSE))</f>
        <v/>
      </c>
      <c r="BD77" t="str">
        <f ca="1">IF(AND(ISNUMBER($BD$585),$B$511=1),$BD$585,HLOOKUP(INDIRECT(ADDRESS(2,COLUMN())),OFFSET($BN$2,0,0,ROW()-1,60),ROW()-1,FALSE))</f>
        <v/>
      </c>
      <c r="BE77" t="str">
        <f ca="1">IF(AND(ISNUMBER($BE$585),$B$511=1),$BE$585,HLOOKUP(INDIRECT(ADDRESS(2,COLUMN())),OFFSET($BN$2,0,0,ROW()-1,60),ROW()-1,FALSE))</f>
        <v/>
      </c>
      <c r="BF77" t="str">
        <f ca="1">IF(AND(ISNUMBER($BF$585),$B$511=1),$BF$585,HLOOKUP(INDIRECT(ADDRESS(2,COLUMN())),OFFSET($BN$2,0,0,ROW()-1,60),ROW()-1,FALSE))</f>
        <v/>
      </c>
      <c r="BG77" t="str">
        <f ca="1">IF(AND(ISNUMBER($BG$585),$B$511=1),$BG$585,HLOOKUP(INDIRECT(ADDRESS(2,COLUMN())),OFFSET($BN$2,0,0,ROW()-1,60),ROW()-1,FALSE))</f>
        <v/>
      </c>
      <c r="BH77" t="str">
        <f ca="1">IF(AND(ISNUMBER($BH$585),$B$511=1),$BH$585,HLOOKUP(INDIRECT(ADDRESS(2,COLUMN())),OFFSET($BN$2,0,0,ROW()-1,60),ROW()-1,FALSE))</f>
        <v/>
      </c>
      <c r="BI77" t="str">
        <f ca="1">IF(AND(ISNUMBER($BI$585),$B$511=1),$BI$585,HLOOKUP(INDIRECT(ADDRESS(2,COLUMN())),OFFSET($BN$2,0,0,ROW()-1,60),ROW()-1,FALSE))</f>
        <v/>
      </c>
      <c r="BJ77" t="str">
        <f ca="1">IF(AND(ISNUMBER($BJ$585),$B$511=1),$BJ$585,HLOOKUP(INDIRECT(ADDRESS(2,COLUMN())),OFFSET($BN$2,0,0,ROW()-1,60),ROW()-1,FALSE))</f>
        <v/>
      </c>
      <c r="BK77" t="str">
        <f ca="1">IF(AND(ISNUMBER($BK$585),$B$511=1),$BK$585,HLOOKUP(INDIRECT(ADDRESS(2,COLUMN())),OFFSET($BN$2,0,0,ROW()-1,60),ROW()-1,FALSE))</f>
        <v/>
      </c>
      <c r="BL77" t="str">
        <f ca="1">IF(AND(ISNUMBER($BL$585),$B$511=1),$BL$585,HLOOKUP(INDIRECT(ADDRESS(2,COLUMN())),OFFSET($BN$2,0,0,ROW()-1,60),ROW()-1,FALSE))</f>
        <v/>
      </c>
      <c r="BM77" t="str">
        <f ca="1">IF(AND(ISNUMBER($BM$585),$B$511=1),$BM$585,HLOOKUP(INDIRECT(ADDRESS(2,COLUMN())),OFFSET($BN$2,0,0,ROW()-1,60),ROW()-1,FALSE))</f>
        <v/>
      </c>
      <c r="BN77">
        <f>4.756</f>
        <v>4.7560000000000002</v>
      </c>
      <c r="BO77">
        <f>4.79</f>
        <v>4.79</v>
      </c>
      <c r="BP77">
        <f>5.032</f>
        <v>5.032</v>
      </c>
      <c r="BQ77">
        <f>4.685</f>
        <v>4.6849999999999996</v>
      </c>
      <c r="BR77">
        <f>4.717</f>
        <v>4.7169999999999996</v>
      </c>
      <c r="BS77">
        <f>4.313</f>
        <v>4.3129999999999997</v>
      </c>
      <c r="BT77">
        <f>4.197</f>
        <v>4.1970000000000001</v>
      </c>
      <c r="BU77">
        <f>3.691</f>
        <v>3.6909999999999998</v>
      </c>
      <c r="BV77">
        <f>3.108</f>
        <v>3.1080000000000001</v>
      </c>
      <c r="BW77">
        <f>2.743</f>
        <v>2.7429999999999999</v>
      </c>
      <c r="BX77">
        <f>2.723</f>
        <v>2.7229999999999999</v>
      </c>
      <c r="BY77">
        <f>2.616</f>
        <v>2.6160000000000001</v>
      </c>
      <c r="BZ77">
        <f>2.539</f>
        <v>2.5390000000000001</v>
      </c>
      <c r="CA77">
        <f>2.932</f>
        <v>2.9319999999999999</v>
      </c>
      <c r="CB77">
        <f>2.299</f>
        <v>2.2989999999999999</v>
      </c>
      <c r="CC77">
        <f>2.275</f>
        <v>2.2749999999999999</v>
      </c>
      <c r="CD77">
        <f>2.443</f>
        <v>2.4430000000000001</v>
      </c>
      <c r="CE77">
        <f>2.46</f>
        <v>2.46</v>
      </c>
      <c r="CF77" t="str">
        <f>""</f>
        <v/>
      </c>
      <c r="CG77">
        <f>2.899</f>
        <v>2.899</v>
      </c>
      <c r="CH77" t="str">
        <f>""</f>
        <v/>
      </c>
      <c r="CI77" t="str">
        <f>""</f>
        <v/>
      </c>
      <c r="CJ77" t="str">
        <f>""</f>
        <v/>
      </c>
      <c r="CK77" t="str">
        <f>""</f>
        <v/>
      </c>
      <c r="CL77" t="str">
        <f>""</f>
        <v/>
      </c>
      <c r="CM77" t="str">
        <f>""</f>
        <v/>
      </c>
      <c r="CN77" t="str">
        <f>""</f>
        <v/>
      </c>
      <c r="CO77" t="str">
        <f>""</f>
        <v/>
      </c>
      <c r="CP77" t="str">
        <f>""</f>
        <v/>
      </c>
      <c r="CQ77" t="str">
        <f>""</f>
        <v/>
      </c>
      <c r="CR77" t="str">
        <f>""</f>
        <v/>
      </c>
      <c r="CS77" t="str">
        <f>""</f>
        <v/>
      </c>
      <c r="CT77" t="str">
        <f>""</f>
        <v/>
      </c>
      <c r="CU77" t="str">
        <f>""</f>
        <v/>
      </c>
      <c r="CV77" t="str">
        <f>""</f>
        <v/>
      </c>
      <c r="CW77" t="str">
        <f>""</f>
        <v/>
      </c>
      <c r="CX77" t="str">
        <f>""</f>
        <v/>
      </c>
      <c r="CY77" t="str">
        <f>""</f>
        <v/>
      </c>
      <c r="CZ77" t="str">
        <f>""</f>
        <v/>
      </c>
      <c r="DA77" t="str">
        <f>""</f>
        <v/>
      </c>
      <c r="DB77" t="str">
        <f>""</f>
        <v/>
      </c>
      <c r="DC77" t="str">
        <f>""</f>
        <v/>
      </c>
      <c r="DD77" t="str">
        <f>""</f>
        <v/>
      </c>
      <c r="DE77" t="str">
        <f>""</f>
        <v/>
      </c>
      <c r="DF77" t="str">
        <f>""</f>
        <v/>
      </c>
      <c r="DG77" t="str">
        <f>""</f>
        <v/>
      </c>
      <c r="DH77" t="str">
        <f>""</f>
        <v/>
      </c>
      <c r="DI77" t="str">
        <f>""</f>
        <v/>
      </c>
      <c r="DJ77" t="str">
        <f>""</f>
        <v/>
      </c>
      <c r="DK77" t="str">
        <f>""</f>
        <v/>
      </c>
      <c r="DL77" t="str">
        <f>""</f>
        <v/>
      </c>
      <c r="DM77" t="str">
        <f>""</f>
        <v/>
      </c>
      <c r="DN77" t="str">
        <f>""</f>
        <v/>
      </c>
      <c r="DO77" t="str">
        <f>""</f>
        <v/>
      </c>
      <c r="DP77" t="str">
        <f>""</f>
        <v/>
      </c>
      <c r="DQ77" t="str">
        <f>""</f>
        <v/>
      </c>
      <c r="DR77" t="str">
        <f>""</f>
        <v/>
      </c>
      <c r="DS77" t="str">
        <f>""</f>
        <v/>
      </c>
      <c r="DT77" t="str">
        <f>""</f>
        <v/>
      </c>
      <c r="DU77" t="str">
        <f>""</f>
        <v/>
      </c>
    </row>
    <row r="78" spans="1:125" x14ac:dyDescent="0.25">
      <c r="A78" t="str">
        <f>"    Tata Motors Ltd"</f>
        <v xml:space="preserve">    Tata Motors Ltd</v>
      </c>
      <c r="B78" t="str">
        <f>"TTMT IN Equity"</f>
        <v>TTMT IN Equity</v>
      </c>
      <c r="C78" t="str">
        <f t="shared" si="3"/>
        <v>EZ019</v>
      </c>
      <c r="D78" t="str">
        <f t="shared" si="4"/>
        <v>BEST_EEPS_CUR_YR</v>
      </c>
      <c r="E78" t="str">
        <f t="shared" si="5"/>
        <v>Dynamic</v>
      </c>
      <c r="F78">
        <f ca="1">IF(AND(ISNUMBER($F$586),$B$511=1),$F$586,HLOOKUP(INDIRECT(ADDRESS(2,COLUMN())),OFFSET($BN$2,0,0,ROW()-1,60),ROW()-1,FALSE))</f>
        <v>-0.02</v>
      </c>
      <c r="G78">
        <f ca="1">IF(AND(ISNUMBER($G$586),$B$511=1),$G$586,HLOOKUP(INDIRECT(ADDRESS(2,COLUMN())),OFFSET($BN$2,0,0,ROW()-1,60),ROW()-1,FALSE))</f>
        <v>0.127</v>
      </c>
      <c r="H78">
        <f ca="1">IF(AND(ISNUMBER($H$586),$B$511=1),$H$586,HLOOKUP(INDIRECT(ADDRESS(2,COLUMN())),OFFSET($BN$2,0,0,ROW()-1,60),ROW()-1,FALSE))</f>
        <v>0.33300000000000002</v>
      </c>
      <c r="I78">
        <f ca="1">IF(AND(ISNUMBER($I$586),$B$511=1),$I$586,HLOOKUP(INDIRECT(ADDRESS(2,COLUMN())),OFFSET($BN$2,0,0,ROW()-1,60),ROW()-1,FALSE))</f>
        <v>0.45500000000000002</v>
      </c>
      <c r="J78">
        <f ca="1">IF(AND(ISNUMBER($J$586),$B$511=1),$J$586,HLOOKUP(INDIRECT(ADDRESS(2,COLUMN())),OFFSET($BN$2,0,0,ROW()-1,60),ROW()-1,FALSE))</f>
        <v>0.61499999999999999</v>
      </c>
      <c r="K78">
        <f ca="1">IF(AND(ISNUMBER($K$586),$B$511=1),$K$586,HLOOKUP(INDIRECT(ADDRESS(2,COLUMN())),OFFSET($BN$2,0,0,ROW()-1,60),ROW()-1,FALSE))</f>
        <v>0.71199999999999997</v>
      </c>
      <c r="L78">
        <f ca="1">IF(AND(ISNUMBER($L$586),$B$511=1),$L$586,HLOOKUP(INDIRECT(ADDRESS(2,COLUMN())),OFFSET($BN$2,0,0,ROW()-1,60),ROW()-1,FALSE))</f>
        <v>0.68899999999999995</v>
      </c>
      <c r="M78">
        <f ca="1">IF(AND(ISNUMBER($M$586),$B$511=1),$M$586,HLOOKUP(INDIRECT(ADDRESS(2,COLUMN())),OFFSET($BN$2,0,0,ROW()-1,60),ROW()-1,FALSE))</f>
        <v>0.80500000000000005</v>
      </c>
      <c r="N78">
        <f ca="1">IF(AND(ISNUMBER($N$586),$B$511=1),$N$586,HLOOKUP(INDIRECT(ADDRESS(2,COLUMN())),OFFSET($BN$2,0,0,ROW()-1,60),ROW()-1,FALSE))</f>
        <v>0.84799999999999998</v>
      </c>
      <c r="O78">
        <f ca="1">IF(AND(ISNUMBER($O$586),$B$511=1),$O$586,HLOOKUP(INDIRECT(ADDRESS(2,COLUMN())),OFFSET($BN$2,0,0,ROW()-1,60),ROW()-1,FALSE))</f>
        <v>0.93799999999999994</v>
      </c>
      <c r="P78">
        <f ca="1">IF(AND(ISNUMBER($P$586),$B$511=1),$P$586,HLOOKUP(INDIRECT(ADDRESS(2,COLUMN())),OFFSET($BN$2,0,0,ROW()-1,60),ROW()-1,FALSE))</f>
        <v>1.0149999999999999</v>
      </c>
      <c r="Q78">
        <f ca="1">IF(AND(ISNUMBER($Q$586),$B$511=1),$Q$586,HLOOKUP(INDIRECT(ADDRESS(2,COLUMN())),OFFSET($BN$2,0,0,ROW()-1,60),ROW()-1,FALSE))</f>
        <v>0.93200000000000005</v>
      </c>
      <c r="R78">
        <f ca="1">IF(AND(ISNUMBER($R$586),$B$511=1),$R$586,HLOOKUP(INDIRECT(ADDRESS(2,COLUMN())),OFFSET($BN$2,0,0,ROW()-1,60),ROW()-1,FALSE))</f>
        <v>0.60399999999999998</v>
      </c>
      <c r="S78">
        <f ca="1">IF(AND(ISNUMBER($S$586),$B$511=1),$S$586,HLOOKUP(INDIRECT(ADDRESS(2,COLUMN())),OFFSET($BN$2,0,0,ROW()-1,60),ROW()-1,FALSE))</f>
        <v>1.389</v>
      </c>
      <c r="T78">
        <f ca="1">IF(AND(ISNUMBER($T$586),$B$511=1),$T$586,HLOOKUP(INDIRECT(ADDRESS(2,COLUMN())),OFFSET($BN$2,0,0,ROW()-1,60),ROW()-1,FALSE))</f>
        <v>1.4</v>
      </c>
      <c r="U78">
        <f ca="1">IF(AND(ISNUMBER($U$586),$B$511=1),$U$586,HLOOKUP(INDIRECT(ADDRESS(2,COLUMN())),OFFSET($BN$2,0,0,ROW()-1,60),ROW()-1,FALSE))</f>
        <v>1.4430000000000001</v>
      </c>
      <c r="V78">
        <f ca="1">IF(AND(ISNUMBER($V$586),$B$511=1),$V$586,HLOOKUP(INDIRECT(ADDRESS(2,COLUMN())),OFFSET($BN$2,0,0,ROW()-1,60),ROW()-1,FALSE))</f>
        <v>1.833</v>
      </c>
      <c r="W78" t="str">
        <f ca="1">IF(AND(ISNUMBER($W$586),$B$511=1),$W$586,HLOOKUP(INDIRECT(ADDRESS(2,COLUMN())),OFFSET($BN$2,0,0,ROW()-1,60),ROW()-1,FALSE))</f>
        <v/>
      </c>
      <c r="X78">
        <f ca="1">IF(AND(ISNUMBER($X$586),$B$511=1),$X$586,HLOOKUP(INDIRECT(ADDRESS(2,COLUMN())),OFFSET($BN$2,0,0,ROW()-1,60),ROW()-1,FALSE))</f>
        <v>1.877</v>
      </c>
      <c r="Y78" t="str">
        <f ca="1">IF(AND(ISNUMBER($Y$586),$B$511=1),$Y$586,HLOOKUP(INDIRECT(ADDRESS(2,COLUMN())),OFFSET($BN$2,0,0,ROW()-1,60),ROW()-1,FALSE))</f>
        <v/>
      </c>
      <c r="Z78" t="str">
        <f ca="1">IF(AND(ISNUMBER($Z$586),$B$511=1),$Z$586,HLOOKUP(INDIRECT(ADDRESS(2,COLUMN())),OFFSET($BN$2,0,0,ROW()-1,60),ROW()-1,FALSE))</f>
        <v/>
      </c>
      <c r="AA78" t="str">
        <f ca="1">IF(AND(ISNUMBER($AA$586),$B$511=1),$AA$586,HLOOKUP(INDIRECT(ADDRESS(2,COLUMN())),OFFSET($BN$2,0,0,ROW()-1,60),ROW()-1,FALSE))</f>
        <v/>
      </c>
      <c r="AB78" t="str">
        <f ca="1">IF(AND(ISNUMBER($AB$586),$B$511=1),$AB$586,HLOOKUP(INDIRECT(ADDRESS(2,COLUMN())),OFFSET($BN$2,0,0,ROW()-1,60),ROW()-1,FALSE))</f>
        <v/>
      </c>
      <c r="AC78" t="str">
        <f ca="1">IF(AND(ISNUMBER($AC$586),$B$511=1),$AC$586,HLOOKUP(INDIRECT(ADDRESS(2,COLUMN())),OFFSET($BN$2,0,0,ROW()-1,60),ROW()-1,FALSE))</f>
        <v/>
      </c>
      <c r="AD78" t="str">
        <f ca="1">IF(AND(ISNUMBER($AD$586),$B$511=1),$AD$586,HLOOKUP(INDIRECT(ADDRESS(2,COLUMN())),OFFSET($BN$2,0,0,ROW()-1,60),ROW()-1,FALSE))</f>
        <v/>
      </c>
      <c r="AE78" t="str">
        <f ca="1">IF(AND(ISNUMBER($AE$586),$B$511=1),$AE$586,HLOOKUP(INDIRECT(ADDRESS(2,COLUMN())),OFFSET($BN$2,0,0,ROW()-1,60),ROW()-1,FALSE))</f>
        <v/>
      </c>
      <c r="AF78" t="str">
        <f ca="1">IF(AND(ISNUMBER($AF$586),$B$511=1),$AF$586,HLOOKUP(INDIRECT(ADDRESS(2,COLUMN())),OFFSET($BN$2,0,0,ROW()-1,60),ROW()-1,FALSE))</f>
        <v/>
      </c>
      <c r="AG78" t="str">
        <f ca="1">IF(AND(ISNUMBER($AG$586),$B$511=1),$AG$586,HLOOKUP(INDIRECT(ADDRESS(2,COLUMN())),OFFSET($BN$2,0,0,ROW()-1,60),ROW()-1,FALSE))</f>
        <v/>
      </c>
      <c r="AH78" t="str">
        <f ca="1">IF(AND(ISNUMBER($AH$586),$B$511=1),$AH$586,HLOOKUP(INDIRECT(ADDRESS(2,COLUMN())),OFFSET($BN$2,0,0,ROW()-1,60),ROW()-1,FALSE))</f>
        <v/>
      </c>
      <c r="AI78" t="str">
        <f ca="1">IF(AND(ISNUMBER($AI$586),$B$511=1),$AI$586,HLOOKUP(INDIRECT(ADDRESS(2,COLUMN())),OFFSET($BN$2,0,0,ROW()-1,60),ROW()-1,FALSE))</f>
        <v/>
      </c>
      <c r="AJ78" t="str">
        <f ca="1">IF(AND(ISNUMBER($AJ$586),$B$511=1),$AJ$586,HLOOKUP(INDIRECT(ADDRESS(2,COLUMN())),OFFSET($BN$2,0,0,ROW()-1,60),ROW()-1,FALSE))</f>
        <v/>
      </c>
      <c r="AK78" t="str">
        <f ca="1">IF(AND(ISNUMBER($AK$586),$B$511=1),$AK$586,HLOOKUP(INDIRECT(ADDRESS(2,COLUMN())),OFFSET($BN$2,0,0,ROW()-1,60),ROW()-1,FALSE))</f>
        <v/>
      </c>
      <c r="AL78" t="str">
        <f ca="1">IF(AND(ISNUMBER($AL$586),$B$511=1),$AL$586,HLOOKUP(INDIRECT(ADDRESS(2,COLUMN())),OFFSET($BN$2,0,0,ROW()-1,60),ROW()-1,FALSE))</f>
        <v/>
      </c>
      <c r="AM78" t="str">
        <f ca="1">IF(AND(ISNUMBER($AM$586),$B$511=1),$AM$586,HLOOKUP(INDIRECT(ADDRESS(2,COLUMN())),OFFSET($BN$2,0,0,ROW()-1,60),ROW()-1,FALSE))</f>
        <v/>
      </c>
      <c r="AN78" t="str">
        <f ca="1">IF(AND(ISNUMBER($AN$586),$B$511=1),$AN$586,HLOOKUP(INDIRECT(ADDRESS(2,COLUMN())),OFFSET($BN$2,0,0,ROW()-1,60),ROW()-1,FALSE))</f>
        <v/>
      </c>
      <c r="AO78" t="str">
        <f ca="1">IF(AND(ISNUMBER($AO$586),$B$511=1),$AO$586,HLOOKUP(INDIRECT(ADDRESS(2,COLUMN())),OFFSET($BN$2,0,0,ROW()-1,60),ROW()-1,FALSE))</f>
        <v/>
      </c>
      <c r="AP78" t="str">
        <f ca="1">IF(AND(ISNUMBER($AP$586),$B$511=1),$AP$586,HLOOKUP(INDIRECT(ADDRESS(2,COLUMN())),OFFSET($BN$2,0,0,ROW()-1,60),ROW()-1,FALSE))</f>
        <v/>
      </c>
      <c r="AQ78" t="str">
        <f ca="1">IF(AND(ISNUMBER($AQ$586),$B$511=1),$AQ$586,HLOOKUP(INDIRECT(ADDRESS(2,COLUMN())),OFFSET($BN$2,0,0,ROW()-1,60),ROW()-1,FALSE))</f>
        <v/>
      </c>
      <c r="AR78" t="str">
        <f ca="1">IF(AND(ISNUMBER($AR$586),$B$511=1),$AR$586,HLOOKUP(INDIRECT(ADDRESS(2,COLUMN())),OFFSET($BN$2,0,0,ROW()-1,60),ROW()-1,FALSE))</f>
        <v/>
      </c>
      <c r="AS78" t="str">
        <f ca="1">IF(AND(ISNUMBER($AS$586),$B$511=1),$AS$586,HLOOKUP(INDIRECT(ADDRESS(2,COLUMN())),OFFSET($BN$2,0,0,ROW()-1,60),ROW()-1,FALSE))</f>
        <v/>
      </c>
      <c r="AT78" t="str">
        <f ca="1">IF(AND(ISNUMBER($AT$586),$B$511=1),$AT$586,HLOOKUP(INDIRECT(ADDRESS(2,COLUMN())),OFFSET($BN$2,0,0,ROW()-1,60),ROW()-1,FALSE))</f>
        <v/>
      </c>
      <c r="AU78" t="str">
        <f ca="1">IF(AND(ISNUMBER($AU$586),$B$511=1),$AU$586,HLOOKUP(INDIRECT(ADDRESS(2,COLUMN())),OFFSET($BN$2,0,0,ROW()-1,60),ROW()-1,FALSE))</f>
        <v/>
      </c>
      <c r="AV78" t="str">
        <f ca="1">IF(AND(ISNUMBER($AV$586),$B$511=1),$AV$586,HLOOKUP(INDIRECT(ADDRESS(2,COLUMN())),OFFSET($BN$2,0,0,ROW()-1,60),ROW()-1,FALSE))</f>
        <v/>
      </c>
      <c r="AW78" t="str">
        <f ca="1">IF(AND(ISNUMBER($AW$586),$B$511=1),$AW$586,HLOOKUP(INDIRECT(ADDRESS(2,COLUMN())),OFFSET($BN$2,0,0,ROW()-1,60),ROW()-1,FALSE))</f>
        <v/>
      </c>
      <c r="AX78" t="str">
        <f ca="1">IF(AND(ISNUMBER($AX$586),$B$511=1),$AX$586,HLOOKUP(INDIRECT(ADDRESS(2,COLUMN())),OFFSET($BN$2,0,0,ROW()-1,60),ROW()-1,FALSE))</f>
        <v/>
      </c>
      <c r="AY78" t="str">
        <f ca="1">IF(AND(ISNUMBER($AY$586),$B$511=1),$AY$586,HLOOKUP(INDIRECT(ADDRESS(2,COLUMN())),OFFSET($BN$2,0,0,ROW()-1,60),ROW()-1,FALSE))</f>
        <v/>
      </c>
      <c r="AZ78" t="str">
        <f ca="1">IF(AND(ISNUMBER($AZ$586),$B$511=1),$AZ$586,HLOOKUP(INDIRECT(ADDRESS(2,COLUMN())),OFFSET($BN$2,0,0,ROW()-1,60),ROW()-1,FALSE))</f>
        <v/>
      </c>
      <c r="BA78" t="str">
        <f ca="1">IF(AND(ISNUMBER($BA$586),$B$511=1),$BA$586,HLOOKUP(INDIRECT(ADDRESS(2,COLUMN())),OFFSET($BN$2,0,0,ROW()-1,60),ROW()-1,FALSE))</f>
        <v/>
      </c>
      <c r="BB78" t="str">
        <f ca="1">IF(AND(ISNUMBER($BB$586),$B$511=1),$BB$586,HLOOKUP(INDIRECT(ADDRESS(2,COLUMN())),OFFSET($BN$2,0,0,ROW()-1,60),ROW()-1,FALSE))</f>
        <v/>
      </c>
      <c r="BC78" t="str">
        <f ca="1">IF(AND(ISNUMBER($BC$586),$B$511=1),$BC$586,HLOOKUP(INDIRECT(ADDRESS(2,COLUMN())),OFFSET($BN$2,0,0,ROW()-1,60),ROW()-1,FALSE))</f>
        <v/>
      </c>
      <c r="BD78" t="str">
        <f ca="1">IF(AND(ISNUMBER($BD$586),$B$511=1),$BD$586,HLOOKUP(INDIRECT(ADDRESS(2,COLUMN())),OFFSET($BN$2,0,0,ROW()-1,60),ROW()-1,FALSE))</f>
        <v/>
      </c>
      <c r="BE78" t="str">
        <f ca="1">IF(AND(ISNUMBER($BE$586),$B$511=1),$BE$586,HLOOKUP(INDIRECT(ADDRESS(2,COLUMN())),OFFSET($BN$2,0,0,ROW()-1,60),ROW()-1,FALSE))</f>
        <v/>
      </c>
      <c r="BF78" t="str">
        <f ca="1">IF(AND(ISNUMBER($BF$586),$B$511=1),$BF$586,HLOOKUP(INDIRECT(ADDRESS(2,COLUMN())),OFFSET($BN$2,0,0,ROW()-1,60),ROW()-1,FALSE))</f>
        <v/>
      </c>
      <c r="BG78" t="str">
        <f ca="1">IF(AND(ISNUMBER($BG$586),$B$511=1),$BG$586,HLOOKUP(INDIRECT(ADDRESS(2,COLUMN())),OFFSET($BN$2,0,0,ROW()-1,60),ROW()-1,FALSE))</f>
        <v/>
      </c>
      <c r="BH78" t="str">
        <f ca="1">IF(AND(ISNUMBER($BH$586),$B$511=1),$BH$586,HLOOKUP(INDIRECT(ADDRESS(2,COLUMN())),OFFSET($BN$2,0,0,ROW()-1,60),ROW()-1,FALSE))</f>
        <v/>
      </c>
      <c r="BI78" t="str">
        <f ca="1">IF(AND(ISNUMBER($BI$586),$B$511=1),$BI$586,HLOOKUP(INDIRECT(ADDRESS(2,COLUMN())),OFFSET($BN$2,0,0,ROW()-1,60),ROW()-1,FALSE))</f>
        <v/>
      </c>
      <c r="BJ78" t="str">
        <f ca="1">IF(AND(ISNUMBER($BJ$586),$B$511=1),$BJ$586,HLOOKUP(INDIRECT(ADDRESS(2,COLUMN())),OFFSET($BN$2,0,0,ROW()-1,60),ROW()-1,FALSE))</f>
        <v/>
      </c>
      <c r="BK78" t="str">
        <f ca="1">IF(AND(ISNUMBER($BK$586),$B$511=1),$BK$586,HLOOKUP(INDIRECT(ADDRESS(2,COLUMN())),OFFSET($BN$2,0,0,ROW()-1,60),ROW()-1,FALSE))</f>
        <v/>
      </c>
      <c r="BL78" t="str">
        <f ca="1">IF(AND(ISNUMBER($BL$586),$B$511=1),$BL$586,HLOOKUP(INDIRECT(ADDRESS(2,COLUMN())),OFFSET($BN$2,0,0,ROW()-1,60),ROW()-1,FALSE))</f>
        <v/>
      </c>
      <c r="BM78" t="str">
        <f ca="1">IF(AND(ISNUMBER($BM$586),$B$511=1),$BM$586,HLOOKUP(INDIRECT(ADDRESS(2,COLUMN())),OFFSET($BN$2,0,0,ROW()-1,60),ROW()-1,FALSE))</f>
        <v/>
      </c>
      <c r="BN78">
        <f>-0.02</f>
        <v>-0.02</v>
      </c>
      <c r="BO78">
        <f>0.127</f>
        <v>0.127</v>
      </c>
      <c r="BP78">
        <f>0.333</f>
        <v>0.33300000000000002</v>
      </c>
      <c r="BQ78">
        <f>0.455</f>
        <v>0.45500000000000002</v>
      </c>
      <c r="BR78">
        <f>0.615</f>
        <v>0.61499999999999999</v>
      </c>
      <c r="BS78">
        <f>0.712</f>
        <v>0.71199999999999997</v>
      </c>
      <c r="BT78">
        <f>0.689</f>
        <v>0.68899999999999995</v>
      </c>
      <c r="BU78">
        <f>0.805</f>
        <v>0.80500000000000005</v>
      </c>
      <c r="BV78">
        <f>0.848</f>
        <v>0.84799999999999998</v>
      </c>
      <c r="BW78">
        <f>0.938</f>
        <v>0.93799999999999994</v>
      </c>
      <c r="BX78">
        <f>1.015</f>
        <v>1.0149999999999999</v>
      </c>
      <c r="BY78">
        <f>0.932</f>
        <v>0.93200000000000005</v>
      </c>
      <c r="BZ78">
        <f>0.604</f>
        <v>0.60399999999999998</v>
      </c>
      <c r="CA78">
        <f>1.389</f>
        <v>1.389</v>
      </c>
      <c r="CB78">
        <f>1.4</f>
        <v>1.4</v>
      </c>
      <c r="CC78">
        <f>1.443</f>
        <v>1.4430000000000001</v>
      </c>
      <c r="CD78">
        <f>1.833</f>
        <v>1.833</v>
      </c>
      <c r="CE78" t="str">
        <f>""</f>
        <v/>
      </c>
      <c r="CF78">
        <f>1.877</f>
        <v>1.877</v>
      </c>
      <c r="CG78" t="str">
        <f>""</f>
        <v/>
      </c>
      <c r="CH78" t="str">
        <f>""</f>
        <v/>
      </c>
      <c r="CI78" t="str">
        <f>""</f>
        <v/>
      </c>
      <c r="CJ78" t="str">
        <f>""</f>
        <v/>
      </c>
      <c r="CK78" t="str">
        <f>""</f>
        <v/>
      </c>
      <c r="CL78" t="str">
        <f>""</f>
        <v/>
      </c>
      <c r="CM78" t="str">
        <f>""</f>
        <v/>
      </c>
      <c r="CN78" t="str">
        <f>""</f>
        <v/>
      </c>
      <c r="CO78" t="str">
        <f>""</f>
        <v/>
      </c>
      <c r="CP78" t="str">
        <f>""</f>
        <v/>
      </c>
      <c r="CQ78" t="str">
        <f>""</f>
        <v/>
      </c>
      <c r="CR78" t="str">
        <f>""</f>
        <v/>
      </c>
      <c r="CS78" t="str">
        <f>""</f>
        <v/>
      </c>
      <c r="CT78" t="str">
        <f>""</f>
        <v/>
      </c>
      <c r="CU78" t="str">
        <f>""</f>
        <v/>
      </c>
      <c r="CV78" t="str">
        <f>""</f>
        <v/>
      </c>
      <c r="CW78" t="str">
        <f>""</f>
        <v/>
      </c>
      <c r="CX78" t="str">
        <f>""</f>
        <v/>
      </c>
      <c r="CY78" t="str">
        <f>""</f>
        <v/>
      </c>
      <c r="CZ78" t="str">
        <f>""</f>
        <v/>
      </c>
      <c r="DA78" t="str">
        <f>""</f>
        <v/>
      </c>
      <c r="DB78" t="str">
        <f>""</f>
        <v/>
      </c>
      <c r="DC78" t="str">
        <f>""</f>
        <v/>
      </c>
      <c r="DD78" t="str">
        <f>""</f>
        <v/>
      </c>
      <c r="DE78" t="str">
        <f>""</f>
        <v/>
      </c>
      <c r="DF78" t="str">
        <f>""</f>
        <v/>
      </c>
      <c r="DG78" t="str">
        <f>""</f>
        <v/>
      </c>
      <c r="DH78" t="str">
        <f>""</f>
        <v/>
      </c>
      <c r="DI78" t="str">
        <f>""</f>
        <v/>
      </c>
      <c r="DJ78" t="str">
        <f>""</f>
        <v/>
      </c>
      <c r="DK78" t="str">
        <f>""</f>
        <v/>
      </c>
      <c r="DL78" t="str">
        <f>""</f>
        <v/>
      </c>
      <c r="DM78" t="str">
        <f>""</f>
        <v/>
      </c>
      <c r="DN78" t="str">
        <f>""</f>
        <v/>
      </c>
      <c r="DO78" t="str">
        <f>""</f>
        <v/>
      </c>
      <c r="DP78" t="str">
        <f>""</f>
        <v/>
      </c>
      <c r="DQ78" t="str">
        <f>""</f>
        <v/>
      </c>
      <c r="DR78" t="str">
        <f>""</f>
        <v/>
      </c>
      <c r="DS78" t="str">
        <f>""</f>
        <v/>
      </c>
      <c r="DT78" t="str">
        <f>""</f>
        <v/>
      </c>
      <c r="DU78" t="str">
        <f>""</f>
        <v/>
      </c>
    </row>
    <row r="79" spans="1:125" x14ac:dyDescent="0.25">
      <c r="A79" t="str">
        <f>"    Tesla Inc"</f>
        <v xml:space="preserve">    Tesla Inc</v>
      </c>
      <c r="B79" t="str">
        <f>"TSLA US Equity"</f>
        <v>TSLA US Equity</v>
      </c>
      <c r="C79" t="str">
        <f t="shared" si="3"/>
        <v>EZ019</v>
      </c>
      <c r="D79" t="str">
        <f t="shared" si="4"/>
        <v>BEST_EEPS_CUR_YR</v>
      </c>
      <c r="E79" t="str">
        <f t="shared" si="5"/>
        <v>Dynamic</v>
      </c>
      <c r="F79">
        <f ca="1">IF(AND(ISNUMBER($F$587),$B$511=1),$F$587,HLOOKUP(INDIRECT(ADDRESS(2,COLUMN())),OFFSET($BN$2,0,0,ROW()-1,60),ROW()-1,FALSE))</f>
        <v>5.6909999999999998</v>
      </c>
      <c r="G79">
        <f ca="1">IF(AND(ISNUMBER($G$587),$B$511=1),$G$587,HLOOKUP(INDIRECT(ADDRESS(2,COLUMN())),OFFSET($BN$2,0,0,ROW()-1,60),ROW()-1,FALSE))</f>
        <v>6.6319999999999997</v>
      </c>
      <c r="H79">
        <f ca="1">IF(AND(ISNUMBER($H$587),$B$511=1),$H$587,HLOOKUP(INDIRECT(ADDRESS(2,COLUMN())),OFFSET($BN$2,0,0,ROW()-1,60),ROW()-1,FALSE))</f>
        <v>3.0840000000000001</v>
      </c>
      <c r="I79">
        <f ca="1">IF(AND(ISNUMBER($I$587),$B$511=1),$I$587,HLOOKUP(INDIRECT(ADDRESS(2,COLUMN())),OFFSET($BN$2,0,0,ROW()-1,60),ROW()-1,FALSE))</f>
        <v>2.1680000000000001</v>
      </c>
      <c r="J79">
        <f ca="1">IF(AND(ISNUMBER($J$587),$B$511=1),$J$587,HLOOKUP(INDIRECT(ADDRESS(2,COLUMN())),OFFSET($BN$2,0,0,ROW()-1,60),ROW()-1,FALSE))</f>
        <v>2.1459999999999999</v>
      </c>
      <c r="K79">
        <f ca="1">IF(AND(ISNUMBER($K$587),$B$511=1),$K$587,HLOOKUP(INDIRECT(ADDRESS(2,COLUMN())),OFFSET($BN$2,0,0,ROW()-1,60),ROW()-1,FALSE))</f>
        <v>4.2889999999999997</v>
      </c>
      <c r="L79">
        <f ca="1">IF(AND(ISNUMBER($L$587),$B$511=1),$L$587,HLOOKUP(INDIRECT(ADDRESS(2,COLUMN())),OFFSET($BN$2,0,0,ROW()-1,60),ROW()-1,FALSE))</f>
        <v>6.4720000000000004</v>
      </c>
      <c r="M79">
        <f ca="1">IF(AND(ISNUMBER($M$587),$B$511=1),$M$587,HLOOKUP(INDIRECT(ADDRESS(2,COLUMN())),OFFSET($BN$2,0,0,ROW()-1,60),ROW()-1,FALSE))</f>
        <v>5.4930000000000003</v>
      </c>
      <c r="N79">
        <f ca="1">IF(AND(ISNUMBER($N$587),$B$511=1),$N$587,HLOOKUP(INDIRECT(ADDRESS(2,COLUMN())),OFFSET($BN$2,0,0,ROW()-1,60),ROW()-1,FALSE))</f>
        <v>7.7530000000000001</v>
      </c>
      <c r="O79">
        <f ca="1">IF(AND(ISNUMBER($O$587),$B$511=1),$O$587,HLOOKUP(INDIRECT(ADDRESS(2,COLUMN())),OFFSET($BN$2,0,0,ROW()-1,60),ROW()-1,FALSE))</f>
        <v>6.1180000000000003</v>
      </c>
      <c r="P79">
        <f ca="1">IF(AND(ISNUMBER($P$587),$B$511=1),$P$587,HLOOKUP(INDIRECT(ADDRESS(2,COLUMN())),OFFSET($BN$2,0,0,ROW()-1,60),ROW()-1,FALSE))</f>
        <v>9.6199999999999992</v>
      </c>
      <c r="Q79">
        <f ca="1">IF(AND(ISNUMBER($Q$587),$B$511=1),$Q$587,HLOOKUP(INDIRECT(ADDRESS(2,COLUMN())),OFFSET($BN$2,0,0,ROW()-1,60),ROW()-1,FALSE))</f>
        <v>11.131</v>
      </c>
      <c r="R79">
        <f ca="1">IF(AND(ISNUMBER($R$587),$B$511=1),$R$587,HLOOKUP(INDIRECT(ADDRESS(2,COLUMN())),OFFSET($BN$2,0,0,ROW()-1,60),ROW()-1,FALSE))</f>
        <v>9.2710000000000008</v>
      </c>
      <c r="S79">
        <f ca="1">IF(AND(ISNUMBER($S$587),$B$511=1),$S$587,HLOOKUP(INDIRECT(ADDRESS(2,COLUMN())),OFFSET($BN$2,0,0,ROW()-1,60),ROW()-1,FALSE))</f>
        <v>11.03</v>
      </c>
      <c r="T79">
        <f ca="1">IF(AND(ISNUMBER($T$587),$B$511=1),$T$587,HLOOKUP(INDIRECT(ADDRESS(2,COLUMN())),OFFSET($BN$2,0,0,ROW()-1,60),ROW()-1,FALSE))</f>
        <v>10.978</v>
      </c>
      <c r="U79">
        <f ca="1">IF(AND(ISNUMBER($U$587),$B$511=1),$U$587,HLOOKUP(INDIRECT(ADDRESS(2,COLUMN())),OFFSET($BN$2,0,0,ROW()-1,60),ROW()-1,FALSE))</f>
        <v>12.66</v>
      </c>
      <c r="V79">
        <f ca="1">IF(AND(ISNUMBER($V$587),$B$511=1),$V$587,HLOOKUP(INDIRECT(ADDRESS(2,COLUMN())),OFFSET($BN$2,0,0,ROW()-1,60),ROW()-1,FALSE))</f>
        <v>13.95</v>
      </c>
      <c r="W79">
        <f ca="1">IF(AND(ISNUMBER($W$587),$B$511=1),$W$587,HLOOKUP(INDIRECT(ADDRESS(2,COLUMN())),OFFSET($BN$2,0,0,ROW()-1,60),ROW()-1,FALSE))</f>
        <v>15.755000000000001</v>
      </c>
      <c r="X79">
        <f ca="1">IF(AND(ISNUMBER($X$587),$B$511=1),$X$587,HLOOKUP(INDIRECT(ADDRESS(2,COLUMN())),OFFSET($BN$2,0,0,ROW()-1,60),ROW()-1,FALSE))</f>
        <v>14.917999999999999</v>
      </c>
      <c r="Y79">
        <f ca="1">IF(AND(ISNUMBER($Y$587),$B$511=1),$Y$587,HLOOKUP(INDIRECT(ADDRESS(2,COLUMN())),OFFSET($BN$2,0,0,ROW()-1,60),ROW()-1,FALSE))</f>
        <v>13.95</v>
      </c>
      <c r="Z79">
        <f ca="1">IF(AND(ISNUMBER($Z$587),$B$511=1),$Z$587,HLOOKUP(INDIRECT(ADDRESS(2,COLUMN())),OFFSET($BN$2,0,0,ROW()-1,60),ROW()-1,FALSE))</f>
        <v>14.122999999999999</v>
      </c>
      <c r="AA79">
        <f ca="1">IF(AND(ISNUMBER($AA$587),$B$511=1),$AA$587,HLOOKUP(INDIRECT(ADDRESS(2,COLUMN())),OFFSET($BN$2,0,0,ROW()-1,60),ROW()-1,FALSE))</f>
        <v>15.12</v>
      </c>
      <c r="AB79">
        <f ca="1">IF(AND(ISNUMBER($AB$587),$B$511=1),$AB$587,HLOOKUP(INDIRECT(ADDRESS(2,COLUMN())),OFFSET($BN$2,0,0,ROW()-1,60),ROW()-1,FALSE))</f>
        <v>10.35</v>
      </c>
      <c r="AC79">
        <f ca="1">IF(AND(ISNUMBER($AC$587),$B$511=1),$AC$587,HLOOKUP(INDIRECT(ADDRESS(2,COLUMN())),OFFSET($BN$2,0,0,ROW()-1,60),ROW()-1,FALSE))</f>
        <v>7.3250000000000002</v>
      </c>
      <c r="AD79">
        <f ca="1">IF(AND(ISNUMBER($AD$587),$B$511=1),$AD$587,HLOOKUP(INDIRECT(ADDRESS(2,COLUMN())),OFFSET($BN$2,0,0,ROW()-1,60),ROW()-1,FALSE))</f>
        <v>7.96</v>
      </c>
      <c r="AE79">
        <f ca="1">IF(AND(ISNUMBER($AE$587),$B$511=1),$AE$587,HLOOKUP(INDIRECT(ADDRESS(2,COLUMN())),OFFSET($BN$2,0,0,ROW()-1,60),ROW()-1,FALSE))</f>
        <v>7.9249999999999998</v>
      </c>
      <c r="AF79">
        <f ca="1">IF(AND(ISNUMBER($AF$587),$B$511=1),$AF$587,HLOOKUP(INDIRECT(ADDRESS(2,COLUMN())),OFFSET($BN$2,0,0,ROW()-1,60),ROW()-1,FALSE))</f>
        <v>12.19</v>
      </c>
      <c r="AG79">
        <f ca="1">IF(AND(ISNUMBER($AG$587),$B$511=1),$AG$587,HLOOKUP(INDIRECT(ADDRESS(2,COLUMN())),OFFSET($BN$2,0,0,ROW()-1,60),ROW()-1,FALSE))</f>
        <v>11.8</v>
      </c>
      <c r="AH79" t="str">
        <f ca="1">IF(AND(ISNUMBER($AH$587),$B$511=1),$AH$587,HLOOKUP(INDIRECT(ADDRESS(2,COLUMN())),OFFSET($BN$2,0,0,ROW()-1,60),ROW()-1,FALSE))</f>
        <v/>
      </c>
      <c r="AI79" t="str">
        <f ca="1">IF(AND(ISNUMBER($AI$587),$B$511=1),$AI$587,HLOOKUP(INDIRECT(ADDRESS(2,COLUMN())),OFFSET($BN$2,0,0,ROW()-1,60),ROW()-1,FALSE))</f>
        <v/>
      </c>
      <c r="AJ79" t="str">
        <f ca="1">IF(AND(ISNUMBER($AJ$587),$B$511=1),$AJ$587,HLOOKUP(INDIRECT(ADDRESS(2,COLUMN())),OFFSET($BN$2,0,0,ROW()-1,60),ROW()-1,FALSE))</f>
        <v/>
      </c>
      <c r="AK79" t="str">
        <f ca="1">IF(AND(ISNUMBER($AK$587),$B$511=1),$AK$587,HLOOKUP(INDIRECT(ADDRESS(2,COLUMN())),OFFSET($BN$2,0,0,ROW()-1,60),ROW()-1,FALSE))</f>
        <v/>
      </c>
      <c r="AL79" t="str">
        <f ca="1">IF(AND(ISNUMBER($AL$587),$B$511=1),$AL$587,HLOOKUP(INDIRECT(ADDRESS(2,COLUMN())),OFFSET($BN$2,0,0,ROW()-1,60),ROW()-1,FALSE))</f>
        <v/>
      </c>
      <c r="AM79" t="str">
        <f ca="1">IF(AND(ISNUMBER($AM$587),$B$511=1),$AM$587,HLOOKUP(INDIRECT(ADDRESS(2,COLUMN())),OFFSET($BN$2,0,0,ROW()-1,60),ROW()-1,FALSE))</f>
        <v/>
      </c>
      <c r="AN79" t="str">
        <f ca="1">IF(AND(ISNUMBER($AN$587),$B$511=1),$AN$587,HLOOKUP(INDIRECT(ADDRESS(2,COLUMN())),OFFSET($BN$2,0,0,ROW()-1,60),ROW()-1,FALSE))</f>
        <v/>
      </c>
      <c r="AO79" t="str">
        <f ca="1">IF(AND(ISNUMBER($AO$587),$B$511=1),$AO$587,HLOOKUP(INDIRECT(ADDRESS(2,COLUMN())),OFFSET($BN$2,0,0,ROW()-1,60),ROW()-1,FALSE))</f>
        <v/>
      </c>
      <c r="AP79" t="str">
        <f ca="1">IF(AND(ISNUMBER($AP$587),$B$511=1),$AP$587,HLOOKUP(INDIRECT(ADDRESS(2,COLUMN())),OFFSET($BN$2,0,0,ROW()-1,60),ROW()-1,FALSE))</f>
        <v/>
      </c>
      <c r="AQ79" t="str">
        <f ca="1">IF(AND(ISNUMBER($AQ$587),$B$511=1),$AQ$587,HLOOKUP(INDIRECT(ADDRESS(2,COLUMN())),OFFSET($BN$2,0,0,ROW()-1,60),ROW()-1,FALSE))</f>
        <v/>
      </c>
      <c r="AR79" t="str">
        <f ca="1">IF(AND(ISNUMBER($AR$587),$B$511=1),$AR$587,HLOOKUP(INDIRECT(ADDRESS(2,COLUMN())),OFFSET($BN$2,0,0,ROW()-1,60),ROW()-1,FALSE))</f>
        <v/>
      </c>
      <c r="AS79" t="str">
        <f ca="1">IF(AND(ISNUMBER($AS$587),$B$511=1),$AS$587,HLOOKUP(INDIRECT(ADDRESS(2,COLUMN())),OFFSET($BN$2,0,0,ROW()-1,60),ROW()-1,FALSE))</f>
        <v/>
      </c>
      <c r="AT79" t="str">
        <f ca="1">IF(AND(ISNUMBER($AT$587),$B$511=1),$AT$587,HLOOKUP(INDIRECT(ADDRESS(2,COLUMN())),OFFSET($BN$2,0,0,ROW()-1,60),ROW()-1,FALSE))</f>
        <v/>
      </c>
      <c r="AU79" t="str">
        <f ca="1">IF(AND(ISNUMBER($AU$587),$B$511=1),$AU$587,HLOOKUP(INDIRECT(ADDRESS(2,COLUMN())),OFFSET($BN$2,0,0,ROW()-1,60),ROW()-1,FALSE))</f>
        <v/>
      </c>
      <c r="AV79" t="str">
        <f ca="1">IF(AND(ISNUMBER($AV$587),$B$511=1),$AV$587,HLOOKUP(INDIRECT(ADDRESS(2,COLUMN())),OFFSET($BN$2,0,0,ROW()-1,60),ROW()-1,FALSE))</f>
        <v/>
      </c>
      <c r="AW79" t="str">
        <f ca="1">IF(AND(ISNUMBER($AW$587),$B$511=1),$AW$587,HLOOKUP(INDIRECT(ADDRESS(2,COLUMN())),OFFSET($BN$2,0,0,ROW()-1,60),ROW()-1,FALSE))</f>
        <v/>
      </c>
      <c r="AX79" t="str">
        <f ca="1">IF(AND(ISNUMBER($AX$587),$B$511=1),$AX$587,HLOOKUP(INDIRECT(ADDRESS(2,COLUMN())),OFFSET($BN$2,0,0,ROW()-1,60),ROW()-1,FALSE))</f>
        <v/>
      </c>
      <c r="AY79" t="str">
        <f ca="1">IF(AND(ISNUMBER($AY$587),$B$511=1),$AY$587,HLOOKUP(INDIRECT(ADDRESS(2,COLUMN())),OFFSET($BN$2,0,0,ROW()-1,60),ROW()-1,FALSE))</f>
        <v/>
      </c>
      <c r="AZ79" t="str">
        <f ca="1">IF(AND(ISNUMBER($AZ$587),$B$511=1),$AZ$587,HLOOKUP(INDIRECT(ADDRESS(2,COLUMN())),OFFSET($BN$2,0,0,ROW()-1,60),ROW()-1,FALSE))</f>
        <v/>
      </c>
      <c r="BA79" t="str">
        <f ca="1">IF(AND(ISNUMBER($BA$587),$B$511=1),$BA$587,HLOOKUP(INDIRECT(ADDRESS(2,COLUMN())),OFFSET($BN$2,0,0,ROW()-1,60),ROW()-1,FALSE))</f>
        <v/>
      </c>
      <c r="BB79" t="str">
        <f ca="1">IF(AND(ISNUMBER($BB$587),$B$511=1),$BB$587,HLOOKUP(INDIRECT(ADDRESS(2,COLUMN())),OFFSET($BN$2,0,0,ROW()-1,60),ROW()-1,FALSE))</f>
        <v/>
      </c>
      <c r="BC79" t="str">
        <f ca="1">IF(AND(ISNUMBER($BC$587),$B$511=1),$BC$587,HLOOKUP(INDIRECT(ADDRESS(2,COLUMN())),OFFSET($BN$2,0,0,ROW()-1,60),ROW()-1,FALSE))</f>
        <v/>
      </c>
      <c r="BD79" t="str">
        <f ca="1">IF(AND(ISNUMBER($BD$587),$B$511=1),$BD$587,HLOOKUP(INDIRECT(ADDRESS(2,COLUMN())),OFFSET($BN$2,0,0,ROW()-1,60),ROW()-1,FALSE))</f>
        <v/>
      </c>
      <c r="BE79" t="str">
        <f ca="1">IF(AND(ISNUMBER($BE$587),$B$511=1),$BE$587,HLOOKUP(INDIRECT(ADDRESS(2,COLUMN())),OFFSET($BN$2,0,0,ROW()-1,60),ROW()-1,FALSE))</f>
        <v/>
      </c>
      <c r="BF79" t="str">
        <f ca="1">IF(AND(ISNUMBER($BF$587),$B$511=1),$BF$587,HLOOKUP(INDIRECT(ADDRESS(2,COLUMN())),OFFSET($BN$2,0,0,ROW()-1,60),ROW()-1,FALSE))</f>
        <v/>
      </c>
      <c r="BG79" t="str">
        <f ca="1">IF(AND(ISNUMBER($BG$587),$B$511=1),$BG$587,HLOOKUP(INDIRECT(ADDRESS(2,COLUMN())),OFFSET($BN$2,0,0,ROW()-1,60),ROW()-1,FALSE))</f>
        <v/>
      </c>
      <c r="BH79" t="str">
        <f ca="1">IF(AND(ISNUMBER($BH$587),$B$511=1),$BH$587,HLOOKUP(INDIRECT(ADDRESS(2,COLUMN())),OFFSET($BN$2,0,0,ROW()-1,60),ROW()-1,FALSE))</f>
        <v/>
      </c>
      <c r="BI79" t="str">
        <f ca="1">IF(AND(ISNUMBER($BI$587),$B$511=1),$BI$587,HLOOKUP(INDIRECT(ADDRESS(2,COLUMN())),OFFSET($BN$2,0,0,ROW()-1,60),ROW()-1,FALSE))</f>
        <v/>
      </c>
      <c r="BJ79" t="str">
        <f ca="1">IF(AND(ISNUMBER($BJ$587),$B$511=1),$BJ$587,HLOOKUP(INDIRECT(ADDRESS(2,COLUMN())),OFFSET($BN$2,0,0,ROW()-1,60),ROW()-1,FALSE))</f>
        <v/>
      </c>
      <c r="BK79" t="str">
        <f ca="1">IF(AND(ISNUMBER($BK$587),$B$511=1),$BK$587,HLOOKUP(INDIRECT(ADDRESS(2,COLUMN())),OFFSET($BN$2,0,0,ROW()-1,60),ROW()-1,FALSE))</f>
        <v/>
      </c>
      <c r="BL79" t="str">
        <f ca="1">IF(AND(ISNUMBER($BL$587),$B$511=1),$BL$587,HLOOKUP(INDIRECT(ADDRESS(2,COLUMN())),OFFSET($BN$2,0,0,ROW()-1,60),ROW()-1,FALSE))</f>
        <v/>
      </c>
      <c r="BM79" t="str">
        <f ca="1">IF(AND(ISNUMBER($BM$587),$B$511=1),$BM$587,HLOOKUP(INDIRECT(ADDRESS(2,COLUMN())),OFFSET($BN$2,0,0,ROW()-1,60),ROW()-1,FALSE))</f>
        <v/>
      </c>
      <c r="BN79">
        <f>5.691</f>
        <v>5.6909999999999998</v>
      </c>
      <c r="BO79">
        <f>6.632</f>
        <v>6.6319999999999997</v>
      </c>
      <c r="BP79">
        <f>3.084</f>
        <v>3.0840000000000001</v>
      </c>
      <c r="BQ79">
        <f>2.168</f>
        <v>2.1680000000000001</v>
      </c>
      <c r="BR79">
        <f>2.146</f>
        <v>2.1459999999999999</v>
      </c>
      <c r="BS79">
        <f>4.289</f>
        <v>4.2889999999999997</v>
      </c>
      <c r="BT79">
        <f>6.472</f>
        <v>6.4720000000000004</v>
      </c>
      <c r="BU79">
        <f>5.493</f>
        <v>5.4930000000000003</v>
      </c>
      <c r="BV79">
        <f>7.753</f>
        <v>7.7530000000000001</v>
      </c>
      <c r="BW79">
        <f>6.118</f>
        <v>6.1180000000000003</v>
      </c>
      <c r="BX79">
        <f>9.62</f>
        <v>9.6199999999999992</v>
      </c>
      <c r="BY79">
        <f>11.131</f>
        <v>11.131</v>
      </c>
      <c r="BZ79">
        <f>9.271</f>
        <v>9.2710000000000008</v>
      </c>
      <c r="CA79">
        <f>11.03</f>
        <v>11.03</v>
      </c>
      <c r="CB79">
        <f>10.978</f>
        <v>10.978</v>
      </c>
      <c r="CC79">
        <f>12.66</f>
        <v>12.66</v>
      </c>
      <c r="CD79">
        <f>13.95</f>
        <v>13.95</v>
      </c>
      <c r="CE79">
        <f>15.755</f>
        <v>15.755000000000001</v>
      </c>
      <c r="CF79">
        <f>14.918</f>
        <v>14.917999999999999</v>
      </c>
      <c r="CG79">
        <f>13.95</f>
        <v>13.95</v>
      </c>
      <c r="CH79">
        <f>14.123</f>
        <v>14.122999999999999</v>
      </c>
      <c r="CI79">
        <f>15.12</f>
        <v>15.12</v>
      </c>
      <c r="CJ79">
        <f>10.35</f>
        <v>10.35</v>
      </c>
      <c r="CK79">
        <f>7.325</f>
        <v>7.3250000000000002</v>
      </c>
      <c r="CL79">
        <f>7.96</f>
        <v>7.96</v>
      </c>
      <c r="CM79">
        <f>7.925</f>
        <v>7.9249999999999998</v>
      </c>
      <c r="CN79">
        <f>12.19</f>
        <v>12.19</v>
      </c>
      <c r="CO79">
        <f>11.8</f>
        <v>11.8</v>
      </c>
      <c r="CP79" t="str">
        <f>""</f>
        <v/>
      </c>
      <c r="CQ79" t="str">
        <f>""</f>
        <v/>
      </c>
      <c r="CR79" t="str">
        <f>""</f>
        <v/>
      </c>
      <c r="CS79" t="str">
        <f>""</f>
        <v/>
      </c>
      <c r="CT79" t="str">
        <f>""</f>
        <v/>
      </c>
      <c r="CU79" t="str">
        <f>""</f>
        <v/>
      </c>
      <c r="CV79" t="str">
        <f>""</f>
        <v/>
      </c>
      <c r="CW79" t="str">
        <f>""</f>
        <v/>
      </c>
      <c r="CX79" t="str">
        <f>""</f>
        <v/>
      </c>
      <c r="CY79" t="str">
        <f>""</f>
        <v/>
      </c>
      <c r="CZ79" t="str">
        <f>""</f>
        <v/>
      </c>
      <c r="DA79" t="str">
        <f>""</f>
        <v/>
      </c>
      <c r="DB79" t="str">
        <f>""</f>
        <v/>
      </c>
      <c r="DC79" t="str">
        <f>""</f>
        <v/>
      </c>
      <c r="DD79" t="str">
        <f>""</f>
        <v/>
      </c>
      <c r="DE79" t="str">
        <f>""</f>
        <v/>
      </c>
      <c r="DF79" t="str">
        <f>""</f>
        <v/>
      </c>
      <c r="DG79" t="str">
        <f>""</f>
        <v/>
      </c>
      <c r="DH79" t="str">
        <f>""</f>
        <v/>
      </c>
      <c r="DI79" t="str">
        <f>""</f>
        <v/>
      </c>
      <c r="DJ79" t="str">
        <f>""</f>
        <v/>
      </c>
      <c r="DK79" t="str">
        <f>""</f>
        <v/>
      </c>
      <c r="DL79" t="str">
        <f>""</f>
        <v/>
      </c>
      <c r="DM79" t="str">
        <f>""</f>
        <v/>
      </c>
      <c r="DN79" t="str">
        <f>""</f>
        <v/>
      </c>
      <c r="DO79" t="str">
        <f>""</f>
        <v/>
      </c>
      <c r="DP79" t="str">
        <f>""</f>
        <v/>
      </c>
      <c r="DQ79" t="str">
        <f>""</f>
        <v/>
      </c>
      <c r="DR79" t="str">
        <f>""</f>
        <v/>
      </c>
      <c r="DS79" t="str">
        <f>""</f>
        <v/>
      </c>
      <c r="DT79" t="str">
        <f>""</f>
        <v/>
      </c>
      <c r="DU79" t="str">
        <f>""</f>
        <v/>
      </c>
    </row>
    <row r="80" spans="1:125" x14ac:dyDescent="0.25">
      <c r="A80" t="str">
        <f>"    Tianjin Faw Xiali Automobile Co Ltd"</f>
        <v xml:space="preserve">    Tianjin Faw Xiali Automobile Co Ltd</v>
      </c>
      <c r="B80" t="str">
        <f>"000927 CH Equity"</f>
        <v>000927 CH Equity</v>
      </c>
      <c r="C80" t="str">
        <f t="shared" si="3"/>
        <v>EZ019</v>
      </c>
      <c r="D80" t="str">
        <f t="shared" si="4"/>
        <v>BEST_EEPS_CUR_YR</v>
      </c>
      <c r="E80" t="str">
        <f t="shared" si="5"/>
        <v>Dynamic</v>
      </c>
      <c r="F80" t="str">
        <f ca="1">IF(AND(ISNUMBER($F$588),$B$511=1),$F$588,HLOOKUP(INDIRECT(ADDRESS(2,COLUMN())),OFFSET($BN$2,0,0,ROW()-1,60),ROW()-1,FALSE))</f>
        <v/>
      </c>
      <c r="G80" t="str">
        <f ca="1">IF(AND(ISNUMBER($G$588),$B$511=1),$G$588,HLOOKUP(INDIRECT(ADDRESS(2,COLUMN())),OFFSET($BN$2,0,0,ROW()-1,60),ROW()-1,FALSE))</f>
        <v/>
      </c>
      <c r="H80" t="str">
        <f ca="1">IF(AND(ISNUMBER($H$588),$B$511=1),$H$588,HLOOKUP(INDIRECT(ADDRESS(2,COLUMN())),OFFSET($BN$2,0,0,ROW()-1,60),ROW()-1,FALSE))</f>
        <v/>
      </c>
      <c r="I80" t="str">
        <f ca="1">IF(AND(ISNUMBER($I$588),$B$511=1),$I$588,HLOOKUP(INDIRECT(ADDRESS(2,COLUMN())),OFFSET($BN$2,0,0,ROW()-1,60),ROW()-1,FALSE))</f>
        <v/>
      </c>
      <c r="J80">
        <f ca="1">IF(AND(ISNUMBER($J$588),$B$511=1),$J$588,HLOOKUP(INDIRECT(ADDRESS(2,COLUMN())),OFFSET($BN$2,0,0,ROW()-1,60),ROW()-1,FALSE))</f>
        <v>-9.5000000000000001E-2</v>
      </c>
      <c r="K80">
        <f ca="1">IF(AND(ISNUMBER($K$588),$B$511=1),$K$588,HLOOKUP(INDIRECT(ADDRESS(2,COLUMN())),OFFSET($BN$2,0,0,ROW()-1,60),ROW()-1,FALSE))</f>
        <v>-9.0999999999999998E-2</v>
      </c>
      <c r="L80">
        <f ca="1">IF(AND(ISNUMBER($L$588),$B$511=1),$L$588,HLOOKUP(INDIRECT(ADDRESS(2,COLUMN())),OFFSET($BN$2,0,0,ROW()-1,60),ROW()-1,FALSE))</f>
        <v>-0.09</v>
      </c>
      <c r="M80">
        <f ca="1">IF(AND(ISNUMBER($M$588),$B$511=1),$M$588,HLOOKUP(INDIRECT(ADDRESS(2,COLUMN())),OFFSET($BN$2,0,0,ROW()-1,60),ROW()-1,FALSE))</f>
        <v>-8.7999999999999995E-2</v>
      </c>
      <c r="N80" t="str">
        <f ca="1">IF(AND(ISNUMBER($N$588),$B$511=1),$N$588,HLOOKUP(INDIRECT(ADDRESS(2,COLUMN())),OFFSET($BN$2,0,0,ROW()-1,60),ROW()-1,FALSE))</f>
        <v/>
      </c>
      <c r="O80" t="str">
        <f ca="1">IF(AND(ISNUMBER($O$588),$B$511=1),$O$588,HLOOKUP(INDIRECT(ADDRESS(2,COLUMN())),OFFSET($BN$2,0,0,ROW()-1,60),ROW()-1,FALSE))</f>
        <v/>
      </c>
      <c r="P80" t="str">
        <f ca="1">IF(AND(ISNUMBER($P$588),$B$511=1),$P$588,HLOOKUP(INDIRECT(ADDRESS(2,COLUMN())),OFFSET($BN$2,0,0,ROW()-1,60),ROW()-1,FALSE))</f>
        <v/>
      </c>
      <c r="Q80" t="str">
        <f ca="1">IF(AND(ISNUMBER($Q$588),$B$511=1),$Q$588,HLOOKUP(INDIRECT(ADDRESS(2,COLUMN())),OFFSET($BN$2,0,0,ROW()-1,60),ROW()-1,FALSE))</f>
        <v/>
      </c>
      <c r="R80" t="str">
        <f ca="1">IF(AND(ISNUMBER($R$588),$B$511=1),$R$588,HLOOKUP(INDIRECT(ADDRESS(2,COLUMN())),OFFSET($BN$2,0,0,ROW()-1,60),ROW()-1,FALSE))</f>
        <v/>
      </c>
      <c r="S80" t="str">
        <f ca="1">IF(AND(ISNUMBER($S$588),$B$511=1),$S$588,HLOOKUP(INDIRECT(ADDRESS(2,COLUMN())),OFFSET($BN$2,0,0,ROW()-1,60),ROW()-1,FALSE))</f>
        <v/>
      </c>
      <c r="T80" t="str">
        <f ca="1">IF(AND(ISNUMBER($T$588),$B$511=1),$T$588,HLOOKUP(INDIRECT(ADDRESS(2,COLUMN())),OFFSET($BN$2,0,0,ROW()-1,60),ROW()-1,FALSE))</f>
        <v/>
      </c>
      <c r="U80" t="str">
        <f ca="1">IF(AND(ISNUMBER($U$588),$B$511=1),$U$588,HLOOKUP(INDIRECT(ADDRESS(2,COLUMN())),OFFSET($BN$2,0,0,ROW()-1,60),ROW()-1,FALSE))</f>
        <v/>
      </c>
      <c r="V80" t="str">
        <f ca="1">IF(AND(ISNUMBER($V$588),$B$511=1),$V$588,HLOOKUP(INDIRECT(ADDRESS(2,COLUMN())),OFFSET($BN$2,0,0,ROW()-1,60),ROW()-1,FALSE))</f>
        <v/>
      </c>
      <c r="W80" t="str">
        <f ca="1">IF(AND(ISNUMBER($W$588),$B$511=1),$W$588,HLOOKUP(INDIRECT(ADDRESS(2,COLUMN())),OFFSET($BN$2,0,0,ROW()-1,60),ROW()-1,FALSE))</f>
        <v/>
      </c>
      <c r="X80" t="str">
        <f ca="1">IF(AND(ISNUMBER($X$588),$B$511=1),$X$588,HLOOKUP(INDIRECT(ADDRESS(2,COLUMN())),OFFSET($BN$2,0,0,ROW()-1,60),ROW()-1,FALSE))</f>
        <v/>
      </c>
      <c r="Y80" t="str">
        <f ca="1">IF(AND(ISNUMBER($Y$588),$B$511=1),$Y$588,HLOOKUP(INDIRECT(ADDRESS(2,COLUMN())),OFFSET($BN$2,0,0,ROW()-1,60),ROW()-1,FALSE))</f>
        <v/>
      </c>
      <c r="Z80" t="str">
        <f ca="1">IF(AND(ISNUMBER($Z$588),$B$511=1),$Z$588,HLOOKUP(INDIRECT(ADDRESS(2,COLUMN())),OFFSET($BN$2,0,0,ROW()-1,60),ROW()-1,FALSE))</f>
        <v/>
      </c>
      <c r="AA80" t="str">
        <f ca="1">IF(AND(ISNUMBER($AA$588),$B$511=1),$AA$588,HLOOKUP(INDIRECT(ADDRESS(2,COLUMN())),OFFSET($BN$2,0,0,ROW()-1,60),ROW()-1,FALSE))</f>
        <v/>
      </c>
      <c r="AB80" t="str">
        <f ca="1">IF(AND(ISNUMBER($AB$588),$B$511=1),$AB$588,HLOOKUP(INDIRECT(ADDRESS(2,COLUMN())),OFFSET($BN$2,0,0,ROW()-1,60),ROW()-1,FALSE))</f>
        <v/>
      </c>
      <c r="AC80" t="str">
        <f ca="1">IF(AND(ISNUMBER($AC$588),$B$511=1),$AC$588,HLOOKUP(INDIRECT(ADDRESS(2,COLUMN())),OFFSET($BN$2,0,0,ROW()-1,60),ROW()-1,FALSE))</f>
        <v/>
      </c>
      <c r="AD80" t="str">
        <f ca="1">IF(AND(ISNUMBER($AD$588),$B$511=1),$AD$588,HLOOKUP(INDIRECT(ADDRESS(2,COLUMN())),OFFSET($BN$2,0,0,ROW()-1,60),ROW()-1,FALSE))</f>
        <v/>
      </c>
      <c r="AE80" t="str">
        <f ca="1">IF(AND(ISNUMBER($AE$588),$B$511=1),$AE$588,HLOOKUP(INDIRECT(ADDRESS(2,COLUMN())),OFFSET($BN$2,0,0,ROW()-1,60),ROW()-1,FALSE))</f>
        <v/>
      </c>
      <c r="AF80" t="str">
        <f ca="1">IF(AND(ISNUMBER($AF$588),$B$511=1),$AF$588,HLOOKUP(INDIRECT(ADDRESS(2,COLUMN())),OFFSET($BN$2,0,0,ROW()-1,60),ROW()-1,FALSE))</f>
        <v/>
      </c>
      <c r="AG80" t="str">
        <f ca="1">IF(AND(ISNUMBER($AG$588),$B$511=1),$AG$588,HLOOKUP(INDIRECT(ADDRESS(2,COLUMN())),OFFSET($BN$2,0,0,ROW()-1,60),ROW()-1,FALSE))</f>
        <v/>
      </c>
      <c r="AH80" t="str">
        <f ca="1">IF(AND(ISNUMBER($AH$588),$B$511=1),$AH$588,HLOOKUP(INDIRECT(ADDRESS(2,COLUMN())),OFFSET($BN$2,0,0,ROW()-1,60),ROW()-1,FALSE))</f>
        <v/>
      </c>
      <c r="AI80" t="str">
        <f ca="1">IF(AND(ISNUMBER($AI$588),$B$511=1),$AI$588,HLOOKUP(INDIRECT(ADDRESS(2,COLUMN())),OFFSET($BN$2,0,0,ROW()-1,60),ROW()-1,FALSE))</f>
        <v/>
      </c>
      <c r="AJ80" t="str">
        <f ca="1">IF(AND(ISNUMBER($AJ$588),$B$511=1),$AJ$588,HLOOKUP(INDIRECT(ADDRESS(2,COLUMN())),OFFSET($BN$2,0,0,ROW()-1,60),ROW()-1,FALSE))</f>
        <v/>
      </c>
      <c r="AK80" t="str">
        <f ca="1">IF(AND(ISNUMBER($AK$588),$B$511=1),$AK$588,HLOOKUP(INDIRECT(ADDRESS(2,COLUMN())),OFFSET($BN$2,0,0,ROW()-1,60),ROW()-1,FALSE))</f>
        <v/>
      </c>
      <c r="AL80" t="str">
        <f ca="1">IF(AND(ISNUMBER($AL$588),$B$511=1),$AL$588,HLOOKUP(INDIRECT(ADDRESS(2,COLUMN())),OFFSET($BN$2,0,0,ROW()-1,60),ROW()-1,FALSE))</f>
        <v/>
      </c>
      <c r="AM80" t="str">
        <f ca="1">IF(AND(ISNUMBER($AM$588),$B$511=1),$AM$588,HLOOKUP(INDIRECT(ADDRESS(2,COLUMN())),OFFSET($BN$2,0,0,ROW()-1,60),ROW()-1,FALSE))</f>
        <v/>
      </c>
      <c r="AN80" t="str">
        <f ca="1">IF(AND(ISNUMBER($AN$588),$B$511=1),$AN$588,HLOOKUP(INDIRECT(ADDRESS(2,COLUMN())),OFFSET($BN$2,0,0,ROW()-1,60),ROW()-1,FALSE))</f>
        <v/>
      </c>
      <c r="AO80" t="str">
        <f ca="1">IF(AND(ISNUMBER($AO$588),$B$511=1),$AO$588,HLOOKUP(INDIRECT(ADDRESS(2,COLUMN())),OFFSET($BN$2,0,0,ROW()-1,60),ROW()-1,FALSE))</f>
        <v/>
      </c>
      <c r="AP80" t="str">
        <f ca="1">IF(AND(ISNUMBER($AP$588),$B$511=1),$AP$588,HLOOKUP(INDIRECT(ADDRESS(2,COLUMN())),OFFSET($BN$2,0,0,ROW()-1,60),ROW()-1,FALSE))</f>
        <v/>
      </c>
      <c r="AQ80" t="str">
        <f ca="1">IF(AND(ISNUMBER($AQ$588),$B$511=1),$AQ$588,HLOOKUP(INDIRECT(ADDRESS(2,COLUMN())),OFFSET($BN$2,0,0,ROW()-1,60),ROW()-1,FALSE))</f>
        <v/>
      </c>
      <c r="AR80" t="str">
        <f ca="1">IF(AND(ISNUMBER($AR$588),$B$511=1),$AR$588,HLOOKUP(INDIRECT(ADDRESS(2,COLUMN())),OFFSET($BN$2,0,0,ROW()-1,60),ROW()-1,FALSE))</f>
        <v/>
      </c>
      <c r="AS80" t="str">
        <f ca="1">IF(AND(ISNUMBER($AS$588),$B$511=1),$AS$588,HLOOKUP(INDIRECT(ADDRESS(2,COLUMN())),OFFSET($BN$2,0,0,ROW()-1,60),ROW()-1,FALSE))</f>
        <v/>
      </c>
      <c r="AT80" t="str">
        <f ca="1">IF(AND(ISNUMBER($AT$588),$B$511=1),$AT$588,HLOOKUP(INDIRECT(ADDRESS(2,COLUMN())),OFFSET($BN$2,0,0,ROW()-1,60),ROW()-1,FALSE))</f>
        <v/>
      </c>
      <c r="AU80" t="str">
        <f ca="1">IF(AND(ISNUMBER($AU$588),$B$511=1),$AU$588,HLOOKUP(INDIRECT(ADDRESS(2,COLUMN())),OFFSET($BN$2,0,0,ROW()-1,60),ROW()-1,FALSE))</f>
        <v/>
      </c>
      <c r="AV80" t="str">
        <f ca="1">IF(AND(ISNUMBER($AV$588),$B$511=1),$AV$588,HLOOKUP(INDIRECT(ADDRESS(2,COLUMN())),OFFSET($BN$2,0,0,ROW()-1,60),ROW()-1,FALSE))</f>
        <v/>
      </c>
      <c r="AW80" t="str">
        <f ca="1">IF(AND(ISNUMBER($AW$588),$B$511=1),$AW$588,HLOOKUP(INDIRECT(ADDRESS(2,COLUMN())),OFFSET($BN$2,0,0,ROW()-1,60),ROW()-1,FALSE))</f>
        <v/>
      </c>
      <c r="AX80" t="str">
        <f ca="1">IF(AND(ISNUMBER($AX$588),$B$511=1),$AX$588,HLOOKUP(INDIRECT(ADDRESS(2,COLUMN())),OFFSET($BN$2,0,0,ROW()-1,60),ROW()-1,FALSE))</f>
        <v/>
      </c>
      <c r="AY80" t="str">
        <f ca="1">IF(AND(ISNUMBER($AY$588),$B$511=1),$AY$588,HLOOKUP(INDIRECT(ADDRESS(2,COLUMN())),OFFSET($BN$2,0,0,ROW()-1,60),ROW()-1,FALSE))</f>
        <v/>
      </c>
      <c r="AZ80" t="str">
        <f ca="1">IF(AND(ISNUMBER($AZ$588),$B$511=1),$AZ$588,HLOOKUP(INDIRECT(ADDRESS(2,COLUMN())),OFFSET($BN$2,0,0,ROW()-1,60),ROW()-1,FALSE))</f>
        <v/>
      </c>
      <c r="BA80" t="str">
        <f ca="1">IF(AND(ISNUMBER($BA$588),$B$511=1),$BA$588,HLOOKUP(INDIRECT(ADDRESS(2,COLUMN())),OFFSET($BN$2,0,0,ROW()-1,60),ROW()-1,FALSE))</f>
        <v/>
      </c>
      <c r="BB80" t="str">
        <f ca="1">IF(AND(ISNUMBER($BB$588),$B$511=1),$BB$588,HLOOKUP(INDIRECT(ADDRESS(2,COLUMN())),OFFSET($BN$2,0,0,ROW()-1,60),ROW()-1,FALSE))</f>
        <v/>
      </c>
      <c r="BC80" t="str">
        <f ca="1">IF(AND(ISNUMBER($BC$588),$B$511=1),$BC$588,HLOOKUP(INDIRECT(ADDRESS(2,COLUMN())),OFFSET($BN$2,0,0,ROW()-1,60),ROW()-1,FALSE))</f>
        <v/>
      </c>
      <c r="BD80" t="str">
        <f ca="1">IF(AND(ISNUMBER($BD$588),$B$511=1),$BD$588,HLOOKUP(INDIRECT(ADDRESS(2,COLUMN())),OFFSET($BN$2,0,0,ROW()-1,60),ROW()-1,FALSE))</f>
        <v/>
      </c>
      <c r="BE80" t="str">
        <f ca="1">IF(AND(ISNUMBER($BE$588),$B$511=1),$BE$588,HLOOKUP(INDIRECT(ADDRESS(2,COLUMN())),OFFSET($BN$2,0,0,ROW()-1,60),ROW()-1,FALSE))</f>
        <v/>
      </c>
      <c r="BF80" t="str">
        <f ca="1">IF(AND(ISNUMBER($BF$588),$B$511=1),$BF$588,HLOOKUP(INDIRECT(ADDRESS(2,COLUMN())),OFFSET($BN$2,0,0,ROW()-1,60),ROW()-1,FALSE))</f>
        <v/>
      </c>
      <c r="BG80" t="str">
        <f ca="1">IF(AND(ISNUMBER($BG$588),$B$511=1),$BG$588,HLOOKUP(INDIRECT(ADDRESS(2,COLUMN())),OFFSET($BN$2,0,0,ROW()-1,60),ROW()-1,FALSE))</f>
        <v/>
      </c>
      <c r="BH80" t="str">
        <f ca="1">IF(AND(ISNUMBER($BH$588),$B$511=1),$BH$588,HLOOKUP(INDIRECT(ADDRESS(2,COLUMN())),OFFSET($BN$2,0,0,ROW()-1,60),ROW()-1,FALSE))</f>
        <v/>
      </c>
      <c r="BI80" t="str">
        <f ca="1">IF(AND(ISNUMBER($BI$588),$B$511=1),$BI$588,HLOOKUP(INDIRECT(ADDRESS(2,COLUMN())),OFFSET($BN$2,0,0,ROW()-1,60),ROW()-1,FALSE))</f>
        <v/>
      </c>
      <c r="BJ80" t="str">
        <f ca="1">IF(AND(ISNUMBER($BJ$588),$B$511=1),$BJ$588,HLOOKUP(INDIRECT(ADDRESS(2,COLUMN())),OFFSET($BN$2,0,0,ROW()-1,60),ROW()-1,FALSE))</f>
        <v/>
      </c>
      <c r="BK80" t="str">
        <f ca="1">IF(AND(ISNUMBER($BK$588),$B$511=1),$BK$588,HLOOKUP(INDIRECT(ADDRESS(2,COLUMN())),OFFSET($BN$2,0,0,ROW()-1,60),ROW()-1,FALSE))</f>
        <v/>
      </c>
      <c r="BL80" t="str">
        <f ca="1">IF(AND(ISNUMBER($BL$588),$B$511=1),$BL$588,HLOOKUP(INDIRECT(ADDRESS(2,COLUMN())),OFFSET($BN$2,0,0,ROW()-1,60),ROW()-1,FALSE))</f>
        <v/>
      </c>
      <c r="BM80" t="str">
        <f ca="1">IF(AND(ISNUMBER($BM$588),$B$511=1),$BM$588,HLOOKUP(INDIRECT(ADDRESS(2,COLUMN())),OFFSET($BN$2,0,0,ROW()-1,60),ROW()-1,FALSE))</f>
        <v/>
      </c>
      <c r="BN80" t="str">
        <f>""</f>
        <v/>
      </c>
      <c r="BO80" t="str">
        <f>""</f>
        <v/>
      </c>
      <c r="BP80" t="str">
        <f>""</f>
        <v/>
      </c>
      <c r="BQ80" t="str">
        <f>""</f>
        <v/>
      </c>
      <c r="BR80">
        <f>-0.095</f>
        <v>-9.5000000000000001E-2</v>
      </c>
      <c r="BS80">
        <f>-0.091</f>
        <v>-9.0999999999999998E-2</v>
      </c>
      <c r="BT80">
        <f>-0.09</f>
        <v>-0.09</v>
      </c>
      <c r="BU80">
        <f>-0.088</f>
        <v>-8.7999999999999995E-2</v>
      </c>
      <c r="BV80" t="str">
        <f>""</f>
        <v/>
      </c>
      <c r="BW80" t="str">
        <f>""</f>
        <v/>
      </c>
      <c r="BX80" t="str">
        <f>""</f>
        <v/>
      </c>
      <c r="BY80" t="str">
        <f>""</f>
        <v/>
      </c>
      <c r="BZ80" t="str">
        <f>""</f>
        <v/>
      </c>
      <c r="CA80" t="str">
        <f>""</f>
        <v/>
      </c>
      <c r="CB80" t="str">
        <f>""</f>
        <v/>
      </c>
      <c r="CC80" t="str">
        <f>""</f>
        <v/>
      </c>
      <c r="CD80" t="str">
        <f>""</f>
        <v/>
      </c>
      <c r="CE80" t="str">
        <f>""</f>
        <v/>
      </c>
      <c r="CF80" t="str">
        <f>""</f>
        <v/>
      </c>
      <c r="CG80" t="str">
        <f>""</f>
        <v/>
      </c>
      <c r="CH80" t="str">
        <f>""</f>
        <v/>
      </c>
      <c r="CI80" t="str">
        <f>""</f>
        <v/>
      </c>
      <c r="CJ80" t="str">
        <f>""</f>
        <v/>
      </c>
      <c r="CK80" t="str">
        <f>""</f>
        <v/>
      </c>
      <c r="CL80" t="str">
        <f>""</f>
        <v/>
      </c>
      <c r="CM80" t="str">
        <f>""</f>
        <v/>
      </c>
      <c r="CN80" t="str">
        <f>""</f>
        <v/>
      </c>
      <c r="CO80" t="str">
        <f>""</f>
        <v/>
      </c>
      <c r="CP80" t="str">
        <f>""</f>
        <v/>
      </c>
      <c r="CQ80" t="str">
        <f>""</f>
        <v/>
      </c>
      <c r="CR80" t="str">
        <f>""</f>
        <v/>
      </c>
      <c r="CS80" t="str">
        <f>""</f>
        <v/>
      </c>
      <c r="CT80" t="str">
        <f>""</f>
        <v/>
      </c>
      <c r="CU80" t="str">
        <f>""</f>
        <v/>
      </c>
      <c r="CV80" t="str">
        <f>""</f>
        <v/>
      </c>
      <c r="CW80" t="str">
        <f>""</f>
        <v/>
      </c>
      <c r="CX80" t="str">
        <f>""</f>
        <v/>
      </c>
      <c r="CY80" t="str">
        <f>""</f>
        <v/>
      </c>
      <c r="CZ80" t="str">
        <f>""</f>
        <v/>
      </c>
      <c r="DA80" t="str">
        <f>""</f>
        <v/>
      </c>
      <c r="DB80" t="str">
        <f>""</f>
        <v/>
      </c>
      <c r="DC80" t="str">
        <f>""</f>
        <v/>
      </c>
      <c r="DD80" t="str">
        <f>""</f>
        <v/>
      </c>
      <c r="DE80" t="str">
        <f>""</f>
        <v/>
      </c>
      <c r="DF80" t="str">
        <f>""</f>
        <v/>
      </c>
      <c r="DG80" t="str">
        <f>""</f>
        <v/>
      </c>
      <c r="DH80" t="str">
        <f>""</f>
        <v/>
      </c>
      <c r="DI80" t="str">
        <f>""</f>
        <v/>
      </c>
      <c r="DJ80" t="str">
        <f>""</f>
        <v/>
      </c>
      <c r="DK80" t="str">
        <f>""</f>
        <v/>
      </c>
      <c r="DL80" t="str">
        <f>""</f>
        <v/>
      </c>
      <c r="DM80" t="str">
        <f>""</f>
        <v/>
      </c>
      <c r="DN80" t="str">
        <f>""</f>
        <v/>
      </c>
      <c r="DO80" t="str">
        <f>""</f>
        <v/>
      </c>
      <c r="DP80" t="str">
        <f>""</f>
        <v/>
      </c>
      <c r="DQ80" t="str">
        <f>""</f>
        <v/>
      </c>
      <c r="DR80" t="str">
        <f>""</f>
        <v/>
      </c>
      <c r="DS80" t="str">
        <f>""</f>
        <v/>
      </c>
      <c r="DT80" t="str">
        <f>""</f>
        <v/>
      </c>
      <c r="DU80" t="str">
        <f>""</f>
        <v/>
      </c>
    </row>
    <row r="81" spans="1:125" x14ac:dyDescent="0.25">
      <c r="A81" t="str">
        <f>"    Tofas Turk Otomobil Fabrikasi AS"</f>
        <v xml:space="preserve">    Tofas Turk Otomobil Fabrikasi AS</v>
      </c>
      <c r="B81" t="str">
        <f>"TOASOTRY EO Equity"</f>
        <v>TOASOTRY EO Equity</v>
      </c>
      <c r="C81" t="str">
        <f t="shared" si="3"/>
        <v>EZ019</v>
      </c>
      <c r="D81" t="str">
        <f t="shared" si="4"/>
        <v>BEST_EEPS_CUR_YR</v>
      </c>
      <c r="E81" t="str">
        <f t="shared" si="5"/>
        <v>Dynamic</v>
      </c>
      <c r="F81">
        <f ca="1">IF(AND(ISNUMBER($F$589),$B$511=1),$F$589,HLOOKUP(INDIRECT(ADDRESS(2,COLUMN())),OFFSET($BN$2,0,0,ROW()-1,60),ROW()-1,FALSE))</f>
        <v>0.58599999999999997</v>
      </c>
      <c r="G81">
        <f ca="1">IF(AND(ISNUMBER($G$589),$B$511=1),$G$589,HLOOKUP(INDIRECT(ADDRESS(2,COLUMN())),OFFSET($BN$2,0,0,ROW()-1,60),ROW()-1,FALSE))</f>
        <v>0.627</v>
      </c>
      <c r="H81">
        <f ca="1">IF(AND(ISNUMBER($H$589),$B$511=1),$H$589,HLOOKUP(INDIRECT(ADDRESS(2,COLUMN())),OFFSET($BN$2,0,0,ROW()-1,60),ROW()-1,FALSE))</f>
        <v>0.48</v>
      </c>
      <c r="I81">
        <f ca="1">IF(AND(ISNUMBER($I$589),$B$511=1),$I$589,HLOOKUP(INDIRECT(ADDRESS(2,COLUMN())),OFFSET($BN$2,0,0,ROW()-1,60),ROW()-1,FALSE))</f>
        <v>0.63</v>
      </c>
      <c r="J81">
        <f ca="1">IF(AND(ISNUMBER($J$589),$B$511=1),$J$589,HLOOKUP(INDIRECT(ADDRESS(2,COLUMN())),OFFSET($BN$2,0,0,ROW()-1,60),ROW()-1,FALSE))</f>
        <v>0.73099999999999998</v>
      </c>
      <c r="K81">
        <f ca="1">IF(AND(ISNUMBER($K$589),$B$511=1),$K$589,HLOOKUP(INDIRECT(ADDRESS(2,COLUMN())),OFFSET($BN$2,0,0,ROW()-1,60),ROW()-1,FALSE))</f>
        <v>0.76400000000000001</v>
      </c>
      <c r="L81">
        <f ca="1">IF(AND(ISNUMBER($L$589),$B$511=1),$L$589,HLOOKUP(INDIRECT(ADDRESS(2,COLUMN())),OFFSET($BN$2,0,0,ROW()-1,60),ROW()-1,FALSE))</f>
        <v>0.79100000000000004</v>
      </c>
      <c r="M81">
        <f ca="1">IF(AND(ISNUMBER($M$589),$B$511=1),$M$589,HLOOKUP(INDIRECT(ADDRESS(2,COLUMN())),OFFSET($BN$2,0,0,ROW()-1,60),ROW()-1,FALSE))</f>
        <v>0.78800000000000003</v>
      </c>
      <c r="N81">
        <f ca="1">IF(AND(ISNUMBER($N$589),$B$511=1),$N$589,HLOOKUP(INDIRECT(ADDRESS(2,COLUMN())),OFFSET($BN$2,0,0,ROW()-1,60),ROW()-1,FALSE))</f>
        <v>0.71099999999999997</v>
      </c>
      <c r="O81">
        <f ca="1">IF(AND(ISNUMBER($O$589),$B$511=1),$O$589,HLOOKUP(INDIRECT(ADDRESS(2,COLUMN())),OFFSET($BN$2,0,0,ROW()-1,60),ROW()-1,FALSE))</f>
        <v>0.77300000000000002</v>
      </c>
      <c r="P81">
        <f ca="1">IF(AND(ISNUMBER($P$589),$B$511=1),$P$589,HLOOKUP(INDIRECT(ADDRESS(2,COLUMN())),OFFSET($BN$2,0,0,ROW()-1,60),ROW()-1,FALSE))</f>
        <v>0.79</v>
      </c>
      <c r="Q81">
        <f ca="1">IF(AND(ISNUMBER($Q$589),$B$511=1),$Q$589,HLOOKUP(INDIRECT(ADDRESS(2,COLUMN())),OFFSET($BN$2,0,0,ROW()-1,60),ROW()-1,FALSE))</f>
        <v>0.79700000000000004</v>
      </c>
      <c r="R81">
        <f ca="1">IF(AND(ISNUMBER($R$589),$B$511=1),$R$589,HLOOKUP(INDIRECT(ADDRESS(2,COLUMN())),OFFSET($BN$2,0,0,ROW()-1,60),ROW()-1,FALSE))</f>
        <v>0.74399999999999999</v>
      </c>
      <c r="S81">
        <f ca="1">IF(AND(ISNUMBER($S$589),$B$511=1),$S$589,HLOOKUP(INDIRECT(ADDRESS(2,COLUMN())),OFFSET($BN$2,0,0,ROW()-1,60),ROW()-1,FALSE))</f>
        <v>0.73399999999999999</v>
      </c>
      <c r="T81" t="str">
        <f ca="1">IF(AND(ISNUMBER($T$589),$B$511=1),$T$589,HLOOKUP(INDIRECT(ADDRESS(2,COLUMN())),OFFSET($BN$2,0,0,ROW()-1,60),ROW()-1,FALSE))</f>
        <v/>
      </c>
      <c r="U81" t="str">
        <f ca="1">IF(AND(ISNUMBER($U$589),$B$511=1),$U$589,HLOOKUP(INDIRECT(ADDRESS(2,COLUMN())),OFFSET($BN$2,0,0,ROW()-1,60),ROW()-1,FALSE))</f>
        <v/>
      </c>
      <c r="V81">
        <f ca="1">IF(AND(ISNUMBER($V$589),$B$511=1),$V$589,HLOOKUP(INDIRECT(ADDRESS(2,COLUMN())),OFFSET($BN$2,0,0,ROW()-1,60),ROW()-1,FALSE))</f>
        <v>0.749</v>
      </c>
      <c r="W81" t="str">
        <f ca="1">IF(AND(ISNUMBER($W$589),$B$511=1),$W$589,HLOOKUP(INDIRECT(ADDRESS(2,COLUMN())),OFFSET($BN$2,0,0,ROW()-1,60),ROW()-1,FALSE))</f>
        <v/>
      </c>
      <c r="X81" t="str">
        <f ca="1">IF(AND(ISNUMBER($X$589),$B$511=1),$X$589,HLOOKUP(INDIRECT(ADDRESS(2,COLUMN())),OFFSET($BN$2,0,0,ROW()-1,60),ROW()-1,FALSE))</f>
        <v/>
      </c>
      <c r="Y81" t="str">
        <f ca="1">IF(AND(ISNUMBER($Y$589),$B$511=1),$Y$589,HLOOKUP(INDIRECT(ADDRESS(2,COLUMN())),OFFSET($BN$2,0,0,ROW()-1,60),ROW()-1,FALSE))</f>
        <v/>
      </c>
      <c r="Z81" t="str">
        <f ca="1">IF(AND(ISNUMBER($Z$589),$B$511=1),$Z$589,HLOOKUP(INDIRECT(ADDRESS(2,COLUMN())),OFFSET($BN$2,0,0,ROW()-1,60),ROW()-1,FALSE))</f>
        <v/>
      </c>
      <c r="AA81" t="str">
        <f ca="1">IF(AND(ISNUMBER($AA$589),$B$511=1),$AA$589,HLOOKUP(INDIRECT(ADDRESS(2,COLUMN())),OFFSET($BN$2,0,0,ROW()-1,60),ROW()-1,FALSE))</f>
        <v/>
      </c>
      <c r="AB81" t="str">
        <f ca="1">IF(AND(ISNUMBER($AB$589),$B$511=1),$AB$589,HLOOKUP(INDIRECT(ADDRESS(2,COLUMN())),OFFSET($BN$2,0,0,ROW()-1,60),ROW()-1,FALSE))</f>
        <v/>
      </c>
      <c r="AC81" t="str">
        <f ca="1">IF(AND(ISNUMBER($AC$589),$B$511=1),$AC$589,HLOOKUP(INDIRECT(ADDRESS(2,COLUMN())),OFFSET($BN$2,0,0,ROW()-1,60),ROW()-1,FALSE))</f>
        <v/>
      </c>
      <c r="AD81" t="str">
        <f ca="1">IF(AND(ISNUMBER($AD$589),$B$511=1),$AD$589,HLOOKUP(INDIRECT(ADDRESS(2,COLUMN())),OFFSET($BN$2,0,0,ROW()-1,60),ROW()-1,FALSE))</f>
        <v/>
      </c>
      <c r="AE81" t="str">
        <f ca="1">IF(AND(ISNUMBER($AE$589),$B$511=1),$AE$589,HLOOKUP(INDIRECT(ADDRESS(2,COLUMN())),OFFSET($BN$2,0,0,ROW()-1,60),ROW()-1,FALSE))</f>
        <v/>
      </c>
      <c r="AF81" t="str">
        <f ca="1">IF(AND(ISNUMBER($AF$589),$B$511=1),$AF$589,HLOOKUP(INDIRECT(ADDRESS(2,COLUMN())),OFFSET($BN$2,0,0,ROW()-1,60),ROW()-1,FALSE))</f>
        <v/>
      </c>
      <c r="AG81" t="str">
        <f ca="1">IF(AND(ISNUMBER($AG$589),$B$511=1),$AG$589,HLOOKUP(INDIRECT(ADDRESS(2,COLUMN())),OFFSET($BN$2,0,0,ROW()-1,60),ROW()-1,FALSE))</f>
        <v/>
      </c>
      <c r="AH81" t="str">
        <f ca="1">IF(AND(ISNUMBER($AH$589),$B$511=1),$AH$589,HLOOKUP(INDIRECT(ADDRESS(2,COLUMN())),OFFSET($BN$2,0,0,ROW()-1,60),ROW()-1,FALSE))</f>
        <v/>
      </c>
      <c r="AI81" t="str">
        <f ca="1">IF(AND(ISNUMBER($AI$589),$B$511=1),$AI$589,HLOOKUP(INDIRECT(ADDRESS(2,COLUMN())),OFFSET($BN$2,0,0,ROW()-1,60),ROW()-1,FALSE))</f>
        <v/>
      </c>
      <c r="AJ81" t="str">
        <f ca="1">IF(AND(ISNUMBER($AJ$589),$B$511=1),$AJ$589,HLOOKUP(INDIRECT(ADDRESS(2,COLUMN())),OFFSET($BN$2,0,0,ROW()-1,60),ROW()-1,FALSE))</f>
        <v/>
      </c>
      <c r="AK81" t="str">
        <f ca="1">IF(AND(ISNUMBER($AK$589),$B$511=1),$AK$589,HLOOKUP(INDIRECT(ADDRESS(2,COLUMN())),OFFSET($BN$2,0,0,ROW()-1,60),ROW()-1,FALSE))</f>
        <v/>
      </c>
      <c r="AL81" t="str">
        <f ca="1">IF(AND(ISNUMBER($AL$589),$B$511=1),$AL$589,HLOOKUP(INDIRECT(ADDRESS(2,COLUMN())),OFFSET($BN$2,0,0,ROW()-1,60),ROW()-1,FALSE))</f>
        <v/>
      </c>
      <c r="AM81" t="str">
        <f ca="1">IF(AND(ISNUMBER($AM$589),$B$511=1),$AM$589,HLOOKUP(INDIRECT(ADDRESS(2,COLUMN())),OFFSET($BN$2,0,0,ROW()-1,60),ROW()-1,FALSE))</f>
        <v/>
      </c>
      <c r="AN81" t="str">
        <f ca="1">IF(AND(ISNUMBER($AN$589),$B$511=1),$AN$589,HLOOKUP(INDIRECT(ADDRESS(2,COLUMN())),OFFSET($BN$2,0,0,ROW()-1,60),ROW()-1,FALSE))</f>
        <v/>
      </c>
      <c r="AO81" t="str">
        <f ca="1">IF(AND(ISNUMBER($AO$589),$B$511=1),$AO$589,HLOOKUP(INDIRECT(ADDRESS(2,COLUMN())),OFFSET($BN$2,0,0,ROW()-1,60),ROW()-1,FALSE))</f>
        <v/>
      </c>
      <c r="AP81" t="str">
        <f ca="1">IF(AND(ISNUMBER($AP$589),$B$511=1),$AP$589,HLOOKUP(INDIRECT(ADDRESS(2,COLUMN())),OFFSET($BN$2,0,0,ROW()-1,60),ROW()-1,FALSE))</f>
        <v/>
      </c>
      <c r="AQ81" t="str">
        <f ca="1">IF(AND(ISNUMBER($AQ$589),$B$511=1),$AQ$589,HLOOKUP(INDIRECT(ADDRESS(2,COLUMN())),OFFSET($BN$2,0,0,ROW()-1,60),ROW()-1,FALSE))</f>
        <v/>
      </c>
      <c r="AR81" t="str">
        <f ca="1">IF(AND(ISNUMBER($AR$589),$B$511=1),$AR$589,HLOOKUP(INDIRECT(ADDRESS(2,COLUMN())),OFFSET($BN$2,0,0,ROW()-1,60),ROW()-1,FALSE))</f>
        <v/>
      </c>
      <c r="AS81" t="str">
        <f ca="1">IF(AND(ISNUMBER($AS$589),$B$511=1),$AS$589,HLOOKUP(INDIRECT(ADDRESS(2,COLUMN())),OFFSET($BN$2,0,0,ROW()-1,60),ROW()-1,FALSE))</f>
        <v/>
      </c>
      <c r="AT81" t="str">
        <f ca="1">IF(AND(ISNUMBER($AT$589),$B$511=1),$AT$589,HLOOKUP(INDIRECT(ADDRESS(2,COLUMN())),OFFSET($BN$2,0,0,ROW()-1,60),ROW()-1,FALSE))</f>
        <v/>
      </c>
      <c r="AU81" t="str">
        <f ca="1">IF(AND(ISNUMBER($AU$589),$B$511=1),$AU$589,HLOOKUP(INDIRECT(ADDRESS(2,COLUMN())),OFFSET($BN$2,0,0,ROW()-1,60),ROW()-1,FALSE))</f>
        <v/>
      </c>
      <c r="AV81" t="str">
        <f ca="1">IF(AND(ISNUMBER($AV$589),$B$511=1),$AV$589,HLOOKUP(INDIRECT(ADDRESS(2,COLUMN())),OFFSET($BN$2,0,0,ROW()-1,60),ROW()-1,FALSE))</f>
        <v/>
      </c>
      <c r="AW81" t="str">
        <f ca="1">IF(AND(ISNUMBER($AW$589),$B$511=1),$AW$589,HLOOKUP(INDIRECT(ADDRESS(2,COLUMN())),OFFSET($BN$2,0,0,ROW()-1,60),ROW()-1,FALSE))</f>
        <v/>
      </c>
      <c r="AX81" t="str">
        <f ca="1">IF(AND(ISNUMBER($AX$589),$B$511=1),$AX$589,HLOOKUP(INDIRECT(ADDRESS(2,COLUMN())),OFFSET($BN$2,0,0,ROW()-1,60),ROW()-1,FALSE))</f>
        <v/>
      </c>
      <c r="AY81" t="str">
        <f ca="1">IF(AND(ISNUMBER($AY$589),$B$511=1),$AY$589,HLOOKUP(INDIRECT(ADDRESS(2,COLUMN())),OFFSET($BN$2,0,0,ROW()-1,60),ROW()-1,FALSE))</f>
        <v/>
      </c>
      <c r="AZ81" t="str">
        <f ca="1">IF(AND(ISNUMBER($AZ$589),$B$511=1),$AZ$589,HLOOKUP(INDIRECT(ADDRESS(2,COLUMN())),OFFSET($BN$2,0,0,ROW()-1,60),ROW()-1,FALSE))</f>
        <v/>
      </c>
      <c r="BA81" t="str">
        <f ca="1">IF(AND(ISNUMBER($BA$589),$B$511=1),$BA$589,HLOOKUP(INDIRECT(ADDRESS(2,COLUMN())),OFFSET($BN$2,0,0,ROW()-1,60),ROW()-1,FALSE))</f>
        <v/>
      </c>
      <c r="BB81" t="str">
        <f ca="1">IF(AND(ISNUMBER($BB$589),$B$511=1),$BB$589,HLOOKUP(INDIRECT(ADDRESS(2,COLUMN())),OFFSET($BN$2,0,0,ROW()-1,60),ROW()-1,FALSE))</f>
        <v/>
      </c>
      <c r="BC81" t="str">
        <f ca="1">IF(AND(ISNUMBER($BC$589),$B$511=1),$BC$589,HLOOKUP(INDIRECT(ADDRESS(2,COLUMN())),OFFSET($BN$2,0,0,ROW()-1,60),ROW()-1,FALSE))</f>
        <v/>
      </c>
      <c r="BD81" t="str">
        <f ca="1">IF(AND(ISNUMBER($BD$589),$B$511=1),$BD$589,HLOOKUP(INDIRECT(ADDRESS(2,COLUMN())),OFFSET($BN$2,0,0,ROW()-1,60),ROW()-1,FALSE))</f>
        <v/>
      </c>
      <c r="BE81" t="str">
        <f ca="1">IF(AND(ISNUMBER($BE$589),$B$511=1),$BE$589,HLOOKUP(INDIRECT(ADDRESS(2,COLUMN())),OFFSET($BN$2,0,0,ROW()-1,60),ROW()-1,FALSE))</f>
        <v/>
      </c>
      <c r="BF81" t="str">
        <f ca="1">IF(AND(ISNUMBER($BF$589),$B$511=1),$BF$589,HLOOKUP(INDIRECT(ADDRESS(2,COLUMN())),OFFSET($BN$2,0,0,ROW()-1,60),ROW()-1,FALSE))</f>
        <v/>
      </c>
      <c r="BG81" t="str">
        <f ca="1">IF(AND(ISNUMBER($BG$589),$B$511=1),$BG$589,HLOOKUP(INDIRECT(ADDRESS(2,COLUMN())),OFFSET($BN$2,0,0,ROW()-1,60),ROW()-1,FALSE))</f>
        <v/>
      </c>
      <c r="BH81" t="str">
        <f ca="1">IF(AND(ISNUMBER($BH$589),$B$511=1),$BH$589,HLOOKUP(INDIRECT(ADDRESS(2,COLUMN())),OFFSET($BN$2,0,0,ROW()-1,60),ROW()-1,FALSE))</f>
        <v/>
      </c>
      <c r="BI81" t="str">
        <f ca="1">IF(AND(ISNUMBER($BI$589),$B$511=1),$BI$589,HLOOKUP(INDIRECT(ADDRESS(2,COLUMN())),OFFSET($BN$2,0,0,ROW()-1,60),ROW()-1,FALSE))</f>
        <v/>
      </c>
      <c r="BJ81" t="str">
        <f ca="1">IF(AND(ISNUMBER($BJ$589),$B$511=1),$BJ$589,HLOOKUP(INDIRECT(ADDRESS(2,COLUMN())),OFFSET($BN$2,0,0,ROW()-1,60),ROW()-1,FALSE))</f>
        <v/>
      </c>
      <c r="BK81" t="str">
        <f ca="1">IF(AND(ISNUMBER($BK$589),$B$511=1),$BK$589,HLOOKUP(INDIRECT(ADDRESS(2,COLUMN())),OFFSET($BN$2,0,0,ROW()-1,60),ROW()-1,FALSE))</f>
        <v/>
      </c>
      <c r="BL81" t="str">
        <f ca="1">IF(AND(ISNUMBER($BL$589),$B$511=1),$BL$589,HLOOKUP(INDIRECT(ADDRESS(2,COLUMN())),OFFSET($BN$2,0,0,ROW()-1,60),ROW()-1,FALSE))</f>
        <v/>
      </c>
      <c r="BM81" t="str">
        <f ca="1">IF(AND(ISNUMBER($BM$589),$B$511=1),$BM$589,HLOOKUP(INDIRECT(ADDRESS(2,COLUMN())),OFFSET($BN$2,0,0,ROW()-1,60),ROW()-1,FALSE))</f>
        <v/>
      </c>
      <c r="BN81">
        <f>0.586</f>
        <v>0.58599999999999997</v>
      </c>
      <c r="BO81">
        <f>0.627</f>
        <v>0.627</v>
      </c>
      <c r="BP81">
        <f>0.48</f>
        <v>0.48</v>
      </c>
      <c r="BQ81">
        <f>0.63</f>
        <v>0.63</v>
      </c>
      <c r="BR81">
        <f>0.731</f>
        <v>0.73099999999999998</v>
      </c>
      <c r="BS81">
        <f>0.764</f>
        <v>0.76400000000000001</v>
      </c>
      <c r="BT81">
        <f>0.791</f>
        <v>0.79100000000000004</v>
      </c>
      <c r="BU81">
        <f>0.788</f>
        <v>0.78800000000000003</v>
      </c>
      <c r="BV81">
        <f>0.711</f>
        <v>0.71099999999999997</v>
      </c>
      <c r="BW81">
        <f>0.773</f>
        <v>0.77300000000000002</v>
      </c>
      <c r="BX81">
        <f>0.79</f>
        <v>0.79</v>
      </c>
      <c r="BY81">
        <f>0.797</f>
        <v>0.79700000000000004</v>
      </c>
      <c r="BZ81">
        <f>0.744</f>
        <v>0.74399999999999999</v>
      </c>
      <c r="CA81">
        <f>0.734</f>
        <v>0.73399999999999999</v>
      </c>
      <c r="CB81" t="str">
        <f>""</f>
        <v/>
      </c>
      <c r="CC81" t="str">
        <f>""</f>
        <v/>
      </c>
      <c r="CD81">
        <f>0.749</f>
        <v>0.749</v>
      </c>
      <c r="CE81" t="str">
        <f>""</f>
        <v/>
      </c>
      <c r="CF81" t="str">
        <f>""</f>
        <v/>
      </c>
      <c r="CG81" t="str">
        <f>""</f>
        <v/>
      </c>
      <c r="CH81" t="str">
        <f>""</f>
        <v/>
      </c>
      <c r="CI81" t="str">
        <f>""</f>
        <v/>
      </c>
      <c r="CJ81" t="str">
        <f>""</f>
        <v/>
      </c>
      <c r="CK81" t="str">
        <f>""</f>
        <v/>
      </c>
      <c r="CL81" t="str">
        <f>""</f>
        <v/>
      </c>
      <c r="CM81" t="str">
        <f>""</f>
        <v/>
      </c>
      <c r="CN81" t="str">
        <f>""</f>
        <v/>
      </c>
      <c r="CO81" t="str">
        <f>""</f>
        <v/>
      </c>
      <c r="CP81" t="str">
        <f>""</f>
        <v/>
      </c>
      <c r="CQ81" t="str">
        <f>""</f>
        <v/>
      </c>
      <c r="CR81" t="str">
        <f>""</f>
        <v/>
      </c>
      <c r="CS81" t="str">
        <f>""</f>
        <v/>
      </c>
      <c r="CT81" t="str">
        <f>""</f>
        <v/>
      </c>
      <c r="CU81" t="str">
        <f>""</f>
        <v/>
      </c>
      <c r="CV81" t="str">
        <f>""</f>
        <v/>
      </c>
      <c r="CW81" t="str">
        <f>""</f>
        <v/>
      </c>
      <c r="CX81" t="str">
        <f>""</f>
        <v/>
      </c>
      <c r="CY81" t="str">
        <f>""</f>
        <v/>
      </c>
      <c r="CZ81" t="str">
        <f>""</f>
        <v/>
      </c>
      <c r="DA81" t="str">
        <f>""</f>
        <v/>
      </c>
      <c r="DB81" t="str">
        <f>""</f>
        <v/>
      </c>
      <c r="DC81" t="str">
        <f>""</f>
        <v/>
      </c>
      <c r="DD81" t="str">
        <f>""</f>
        <v/>
      </c>
      <c r="DE81" t="str">
        <f>""</f>
        <v/>
      </c>
      <c r="DF81" t="str">
        <f>""</f>
        <v/>
      </c>
      <c r="DG81" t="str">
        <f>""</f>
        <v/>
      </c>
      <c r="DH81" t="str">
        <f>""</f>
        <v/>
      </c>
      <c r="DI81" t="str">
        <f>""</f>
        <v/>
      </c>
      <c r="DJ81" t="str">
        <f>""</f>
        <v/>
      </c>
      <c r="DK81" t="str">
        <f>""</f>
        <v/>
      </c>
      <c r="DL81" t="str">
        <f>""</f>
        <v/>
      </c>
      <c r="DM81" t="str">
        <f>""</f>
        <v/>
      </c>
      <c r="DN81" t="str">
        <f>""</f>
        <v/>
      </c>
      <c r="DO81" t="str">
        <f>""</f>
        <v/>
      </c>
      <c r="DP81" t="str">
        <f>""</f>
        <v/>
      </c>
      <c r="DQ81" t="str">
        <f>""</f>
        <v/>
      </c>
      <c r="DR81" t="str">
        <f>""</f>
        <v/>
      </c>
      <c r="DS81" t="str">
        <f>""</f>
        <v/>
      </c>
      <c r="DT81" t="str">
        <f>""</f>
        <v/>
      </c>
      <c r="DU81" t="str">
        <f>""</f>
        <v/>
      </c>
    </row>
    <row r="82" spans="1:125" x14ac:dyDescent="0.25">
      <c r="A82" t="str">
        <f>"    Toyota Motor Corp"</f>
        <v xml:space="preserve">    Toyota Motor Corp</v>
      </c>
      <c r="B82" t="str">
        <f>"7203 JP Equity"</f>
        <v>7203 JP Equity</v>
      </c>
      <c r="C82" t="str">
        <f t="shared" si="3"/>
        <v>EZ019</v>
      </c>
      <c r="D82" t="str">
        <f t="shared" si="4"/>
        <v>BEST_EEPS_CUR_YR</v>
      </c>
      <c r="E82" t="str">
        <f t="shared" si="5"/>
        <v>Dynamic</v>
      </c>
      <c r="F82">
        <f ca="1">IF(AND(ISNUMBER($F$590),$B$511=1),$F$590,HLOOKUP(INDIRECT(ADDRESS(2,COLUMN())),OFFSET($BN$2,0,0,ROW()-1,60),ROW()-1,FALSE))</f>
        <v>6.8680000000000003</v>
      </c>
      <c r="G82">
        <f ca="1">IF(AND(ISNUMBER($G$590),$B$511=1),$G$590,HLOOKUP(INDIRECT(ADDRESS(2,COLUMN())),OFFSET($BN$2,0,0,ROW()-1,60),ROW()-1,FALSE))</f>
        <v>7.2850000000000001</v>
      </c>
      <c r="H82">
        <f ca="1">IF(AND(ISNUMBER($H$590),$B$511=1),$H$590,HLOOKUP(INDIRECT(ADDRESS(2,COLUMN())),OFFSET($BN$2,0,0,ROW()-1,60),ROW()-1,FALSE))</f>
        <v>7.0449999999999999</v>
      </c>
      <c r="I82">
        <f ca="1">IF(AND(ISNUMBER($I$590),$B$511=1),$I$590,HLOOKUP(INDIRECT(ADDRESS(2,COLUMN())),OFFSET($BN$2,0,0,ROW()-1,60),ROW()-1,FALSE))</f>
        <v>7.1280000000000001</v>
      </c>
      <c r="J82">
        <f ca="1">IF(AND(ISNUMBER($J$590),$B$511=1),$J$590,HLOOKUP(INDIRECT(ADDRESS(2,COLUMN())),OFFSET($BN$2,0,0,ROW()-1,60),ROW()-1,FALSE))</f>
        <v>6.8319999999999999</v>
      </c>
      <c r="K82">
        <f ca="1">IF(AND(ISNUMBER($K$590),$B$511=1),$K$590,HLOOKUP(INDIRECT(ADDRESS(2,COLUMN())),OFFSET($BN$2,0,0,ROW()-1,60),ROW()-1,FALSE))</f>
        <v>6.1909999999999998</v>
      </c>
      <c r="L82">
        <f ca="1">IF(AND(ISNUMBER($L$590),$B$511=1),$L$590,HLOOKUP(INDIRECT(ADDRESS(2,COLUMN())),OFFSET($BN$2,0,0,ROW()-1,60),ROW()-1,FALSE))</f>
        <v>5.95</v>
      </c>
      <c r="M82">
        <f ca="1">IF(AND(ISNUMBER($M$590),$B$511=1),$M$590,HLOOKUP(INDIRECT(ADDRESS(2,COLUMN())),OFFSET($BN$2,0,0,ROW()-1,60),ROW()-1,FALSE))</f>
        <v>5.7709999999999999</v>
      </c>
      <c r="N82">
        <f ca="1">IF(AND(ISNUMBER($N$590),$B$511=1),$N$590,HLOOKUP(INDIRECT(ADDRESS(2,COLUMN())),OFFSET($BN$2,0,0,ROW()-1,60),ROW()-1,FALSE))</f>
        <v>6.4329999999999998</v>
      </c>
      <c r="O82">
        <f ca="1">IF(AND(ISNUMBER($O$590),$B$511=1),$O$590,HLOOKUP(INDIRECT(ADDRESS(2,COLUMN())),OFFSET($BN$2,0,0,ROW()-1,60),ROW()-1,FALSE))</f>
        <v>5.8929999999999998</v>
      </c>
      <c r="P82">
        <f ca="1">IF(AND(ISNUMBER($P$590),$B$511=1),$P$590,HLOOKUP(INDIRECT(ADDRESS(2,COLUMN())),OFFSET($BN$2,0,0,ROW()-1,60),ROW()-1,FALSE))</f>
        <v>6.4560000000000004</v>
      </c>
      <c r="Q82">
        <f ca="1">IF(AND(ISNUMBER($Q$590),$B$511=1),$Q$590,HLOOKUP(INDIRECT(ADDRESS(2,COLUMN())),OFFSET($BN$2,0,0,ROW()-1,60),ROW()-1,FALSE))</f>
        <v>6.7949999999999999</v>
      </c>
      <c r="R82">
        <f ca="1">IF(AND(ISNUMBER($R$590),$B$511=1),$R$590,HLOOKUP(INDIRECT(ADDRESS(2,COLUMN())),OFFSET($BN$2,0,0,ROW()-1,60),ROW()-1,FALSE))</f>
        <v>7.5049999999999999</v>
      </c>
      <c r="S82">
        <f ca="1">IF(AND(ISNUMBER($S$590),$B$511=1),$S$590,HLOOKUP(INDIRECT(ADDRESS(2,COLUMN())),OFFSET($BN$2,0,0,ROW()-1,60),ROW()-1,FALSE))</f>
        <v>7.8849999999999998</v>
      </c>
      <c r="T82">
        <f ca="1">IF(AND(ISNUMBER($T$590),$B$511=1),$T$590,HLOOKUP(INDIRECT(ADDRESS(2,COLUMN())),OFFSET($BN$2,0,0,ROW()-1,60),ROW()-1,FALSE))</f>
        <v>8.0280000000000005</v>
      </c>
      <c r="U82">
        <f ca="1">IF(AND(ISNUMBER($U$590),$B$511=1),$U$590,HLOOKUP(INDIRECT(ADDRESS(2,COLUMN())),OFFSET($BN$2,0,0,ROW()-1,60),ROW()-1,FALSE))</f>
        <v>7.843</v>
      </c>
      <c r="V82">
        <f ca="1">IF(AND(ISNUMBER($V$590),$B$511=1),$V$590,HLOOKUP(INDIRECT(ADDRESS(2,COLUMN())),OFFSET($BN$2,0,0,ROW()-1,60),ROW()-1,FALSE))</f>
        <v>8.0820000000000007</v>
      </c>
      <c r="W82">
        <f ca="1">IF(AND(ISNUMBER($W$590),$B$511=1),$W$590,HLOOKUP(INDIRECT(ADDRESS(2,COLUMN())),OFFSET($BN$2,0,0,ROW()-1,60),ROW()-1,FALSE))</f>
        <v>8.3819999999999997</v>
      </c>
      <c r="X82">
        <f ca="1">IF(AND(ISNUMBER($X$590),$B$511=1),$X$590,HLOOKUP(INDIRECT(ADDRESS(2,COLUMN())),OFFSET($BN$2,0,0,ROW()-1,60),ROW()-1,FALSE))</f>
        <v>8.5549999999999997</v>
      </c>
      <c r="Y82">
        <f ca="1">IF(AND(ISNUMBER($Y$590),$B$511=1),$Y$590,HLOOKUP(INDIRECT(ADDRESS(2,COLUMN())),OFFSET($BN$2,0,0,ROW()-1,60),ROW()-1,FALSE))</f>
        <v>8.8569999999999993</v>
      </c>
      <c r="Z82" t="str">
        <f ca="1">IF(AND(ISNUMBER($Z$590),$B$511=1),$Z$590,HLOOKUP(INDIRECT(ADDRESS(2,COLUMN())),OFFSET($BN$2,0,0,ROW()-1,60),ROW()-1,FALSE))</f>
        <v/>
      </c>
      <c r="AA82" t="str">
        <f ca="1">IF(AND(ISNUMBER($AA$590),$B$511=1),$AA$590,HLOOKUP(INDIRECT(ADDRESS(2,COLUMN())),OFFSET($BN$2,0,0,ROW()-1,60),ROW()-1,FALSE))</f>
        <v/>
      </c>
      <c r="AB82" t="str">
        <f ca="1">IF(AND(ISNUMBER($AB$590),$B$511=1),$AB$590,HLOOKUP(INDIRECT(ADDRESS(2,COLUMN())),OFFSET($BN$2,0,0,ROW()-1,60),ROW()-1,FALSE))</f>
        <v/>
      </c>
      <c r="AC82" t="str">
        <f ca="1">IF(AND(ISNUMBER($AC$590),$B$511=1),$AC$590,HLOOKUP(INDIRECT(ADDRESS(2,COLUMN())),OFFSET($BN$2,0,0,ROW()-1,60),ROW()-1,FALSE))</f>
        <v/>
      </c>
      <c r="AD82" t="str">
        <f ca="1">IF(AND(ISNUMBER($AD$590),$B$511=1),$AD$590,HLOOKUP(INDIRECT(ADDRESS(2,COLUMN())),OFFSET($BN$2,0,0,ROW()-1,60),ROW()-1,FALSE))</f>
        <v/>
      </c>
      <c r="AE82" t="str">
        <f ca="1">IF(AND(ISNUMBER($AE$590),$B$511=1),$AE$590,HLOOKUP(INDIRECT(ADDRESS(2,COLUMN())),OFFSET($BN$2,0,0,ROW()-1,60),ROW()-1,FALSE))</f>
        <v/>
      </c>
      <c r="AF82" t="str">
        <f ca="1">IF(AND(ISNUMBER($AF$590),$B$511=1),$AF$590,HLOOKUP(INDIRECT(ADDRESS(2,COLUMN())),OFFSET($BN$2,0,0,ROW()-1,60),ROW()-1,FALSE))</f>
        <v/>
      </c>
      <c r="AG82" t="str">
        <f ca="1">IF(AND(ISNUMBER($AG$590),$B$511=1),$AG$590,HLOOKUP(INDIRECT(ADDRESS(2,COLUMN())),OFFSET($BN$2,0,0,ROW()-1,60),ROW()-1,FALSE))</f>
        <v/>
      </c>
      <c r="AH82" t="str">
        <f ca="1">IF(AND(ISNUMBER($AH$590),$B$511=1),$AH$590,HLOOKUP(INDIRECT(ADDRESS(2,COLUMN())),OFFSET($BN$2,0,0,ROW()-1,60),ROW()-1,FALSE))</f>
        <v/>
      </c>
      <c r="AI82" t="str">
        <f ca="1">IF(AND(ISNUMBER($AI$590),$B$511=1),$AI$590,HLOOKUP(INDIRECT(ADDRESS(2,COLUMN())),OFFSET($BN$2,0,0,ROW()-1,60),ROW()-1,FALSE))</f>
        <v/>
      </c>
      <c r="AJ82" t="str">
        <f ca="1">IF(AND(ISNUMBER($AJ$590),$B$511=1),$AJ$590,HLOOKUP(INDIRECT(ADDRESS(2,COLUMN())),OFFSET($BN$2,0,0,ROW()-1,60),ROW()-1,FALSE))</f>
        <v/>
      </c>
      <c r="AK82" t="str">
        <f ca="1">IF(AND(ISNUMBER($AK$590),$B$511=1),$AK$590,HLOOKUP(INDIRECT(ADDRESS(2,COLUMN())),OFFSET($BN$2,0,0,ROW()-1,60),ROW()-1,FALSE))</f>
        <v/>
      </c>
      <c r="AL82" t="str">
        <f ca="1">IF(AND(ISNUMBER($AL$590),$B$511=1),$AL$590,HLOOKUP(INDIRECT(ADDRESS(2,COLUMN())),OFFSET($BN$2,0,0,ROW()-1,60),ROW()-1,FALSE))</f>
        <v/>
      </c>
      <c r="AM82" t="str">
        <f ca="1">IF(AND(ISNUMBER($AM$590),$B$511=1),$AM$590,HLOOKUP(INDIRECT(ADDRESS(2,COLUMN())),OFFSET($BN$2,0,0,ROW()-1,60),ROW()-1,FALSE))</f>
        <v/>
      </c>
      <c r="AN82" t="str">
        <f ca="1">IF(AND(ISNUMBER($AN$590),$B$511=1),$AN$590,HLOOKUP(INDIRECT(ADDRESS(2,COLUMN())),OFFSET($BN$2,0,0,ROW()-1,60),ROW()-1,FALSE))</f>
        <v/>
      </c>
      <c r="AO82" t="str">
        <f ca="1">IF(AND(ISNUMBER($AO$590),$B$511=1),$AO$590,HLOOKUP(INDIRECT(ADDRESS(2,COLUMN())),OFFSET($BN$2,0,0,ROW()-1,60),ROW()-1,FALSE))</f>
        <v/>
      </c>
      <c r="AP82" t="str">
        <f ca="1">IF(AND(ISNUMBER($AP$590),$B$511=1),$AP$590,HLOOKUP(INDIRECT(ADDRESS(2,COLUMN())),OFFSET($BN$2,0,0,ROW()-1,60),ROW()-1,FALSE))</f>
        <v/>
      </c>
      <c r="AQ82" t="str">
        <f ca="1">IF(AND(ISNUMBER($AQ$590),$B$511=1),$AQ$590,HLOOKUP(INDIRECT(ADDRESS(2,COLUMN())),OFFSET($BN$2,0,0,ROW()-1,60),ROW()-1,FALSE))</f>
        <v/>
      </c>
      <c r="AR82" t="str">
        <f ca="1">IF(AND(ISNUMBER($AR$590),$B$511=1),$AR$590,HLOOKUP(INDIRECT(ADDRESS(2,COLUMN())),OFFSET($BN$2,0,0,ROW()-1,60),ROW()-1,FALSE))</f>
        <v/>
      </c>
      <c r="AS82" t="str">
        <f ca="1">IF(AND(ISNUMBER($AS$590),$B$511=1),$AS$590,HLOOKUP(INDIRECT(ADDRESS(2,COLUMN())),OFFSET($BN$2,0,0,ROW()-1,60),ROW()-1,FALSE))</f>
        <v/>
      </c>
      <c r="AT82" t="str">
        <f ca="1">IF(AND(ISNUMBER($AT$590),$B$511=1),$AT$590,HLOOKUP(INDIRECT(ADDRESS(2,COLUMN())),OFFSET($BN$2,0,0,ROW()-1,60),ROW()-1,FALSE))</f>
        <v/>
      </c>
      <c r="AU82" t="str">
        <f ca="1">IF(AND(ISNUMBER($AU$590),$B$511=1),$AU$590,HLOOKUP(INDIRECT(ADDRESS(2,COLUMN())),OFFSET($BN$2,0,0,ROW()-1,60),ROW()-1,FALSE))</f>
        <v/>
      </c>
      <c r="AV82" t="str">
        <f ca="1">IF(AND(ISNUMBER($AV$590),$B$511=1),$AV$590,HLOOKUP(INDIRECT(ADDRESS(2,COLUMN())),OFFSET($BN$2,0,0,ROW()-1,60),ROW()-1,FALSE))</f>
        <v/>
      </c>
      <c r="AW82" t="str">
        <f ca="1">IF(AND(ISNUMBER($AW$590),$B$511=1),$AW$590,HLOOKUP(INDIRECT(ADDRESS(2,COLUMN())),OFFSET($BN$2,0,0,ROW()-1,60),ROW()-1,FALSE))</f>
        <v/>
      </c>
      <c r="AX82" t="str">
        <f ca="1">IF(AND(ISNUMBER($AX$590),$B$511=1),$AX$590,HLOOKUP(INDIRECT(ADDRESS(2,COLUMN())),OFFSET($BN$2,0,0,ROW()-1,60),ROW()-1,FALSE))</f>
        <v/>
      </c>
      <c r="AY82" t="str">
        <f ca="1">IF(AND(ISNUMBER($AY$590),$B$511=1),$AY$590,HLOOKUP(INDIRECT(ADDRESS(2,COLUMN())),OFFSET($BN$2,0,0,ROW()-1,60),ROW()-1,FALSE))</f>
        <v/>
      </c>
      <c r="AZ82" t="str">
        <f ca="1">IF(AND(ISNUMBER($AZ$590),$B$511=1),$AZ$590,HLOOKUP(INDIRECT(ADDRESS(2,COLUMN())),OFFSET($BN$2,0,0,ROW()-1,60),ROW()-1,FALSE))</f>
        <v/>
      </c>
      <c r="BA82" t="str">
        <f ca="1">IF(AND(ISNUMBER($BA$590),$B$511=1),$BA$590,HLOOKUP(INDIRECT(ADDRESS(2,COLUMN())),OFFSET($BN$2,0,0,ROW()-1,60),ROW()-1,FALSE))</f>
        <v/>
      </c>
      <c r="BB82" t="str">
        <f ca="1">IF(AND(ISNUMBER($BB$590),$B$511=1),$BB$590,HLOOKUP(INDIRECT(ADDRESS(2,COLUMN())),OFFSET($BN$2,0,0,ROW()-1,60),ROW()-1,FALSE))</f>
        <v/>
      </c>
      <c r="BC82" t="str">
        <f ca="1">IF(AND(ISNUMBER($BC$590),$B$511=1),$BC$590,HLOOKUP(INDIRECT(ADDRESS(2,COLUMN())),OFFSET($BN$2,0,0,ROW()-1,60),ROW()-1,FALSE))</f>
        <v/>
      </c>
      <c r="BD82" t="str">
        <f ca="1">IF(AND(ISNUMBER($BD$590),$B$511=1),$BD$590,HLOOKUP(INDIRECT(ADDRESS(2,COLUMN())),OFFSET($BN$2,0,0,ROW()-1,60),ROW()-1,FALSE))</f>
        <v/>
      </c>
      <c r="BE82" t="str">
        <f ca="1">IF(AND(ISNUMBER($BE$590),$B$511=1),$BE$590,HLOOKUP(INDIRECT(ADDRESS(2,COLUMN())),OFFSET($BN$2,0,0,ROW()-1,60),ROW()-1,FALSE))</f>
        <v/>
      </c>
      <c r="BF82" t="str">
        <f ca="1">IF(AND(ISNUMBER($BF$590),$B$511=1),$BF$590,HLOOKUP(INDIRECT(ADDRESS(2,COLUMN())),OFFSET($BN$2,0,0,ROW()-1,60),ROW()-1,FALSE))</f>
        <v/>
      </c>
      <c r="BG82" t="str">
        <f ca="1">IF(AND(ISNUMBER($BG$590),$B$511=1),$BG$590,HLOOKUP(INDIRECT(ADDRESS(2,COLUMN())),OFFSET($BN$2,0,0,ROW()-1,60),ROW()-1,FALSE))</f>
        <v/>
      </c>
      <c r="BH82" t="str">
        <f ca="1">IF(AND(ISNUMBER($BH$590),$B$511=1),$BH$590,HLOOKUP(INDIRECT(ADDRESS(2,COLUMN())),OFFSET($BN$2,0,0,ROW()-1,60),ROW()-1,FALSE))</f>
        <v/>
      </c>
      <c r="BI82" t="str">
        <f ca="1">IF(AND(ISNUMBER($BI$590),$B$511=1),$BI$590,HLOOKUP(INDIRECT(ADDRESS(2,COLUMN())),OFFSET($BN$2,0,0,ROW()-1,60),ROW()-1,FALSE))</f>
        <v/>
      </c>
      <c r="BJ82" t="str">
        <f ca="1">IF(AND(ISNUMBER($BJ$590),$B$511=1),$BJ$590,HLOOKUP(INDIRECT(ADDRESS(2,COLUMN())),OFFSET($BN$2,0,0,ROW()-1,60),ROW()-1,FALSE))</f>
        <v/>
      </c>
      <c r="BK82" t="str">
        <f ca="1">IF(AND(ISNUMBER($BK$590),$B$511=1),$BK$590,HLOOKUP(INDIRECT(ADDRESS(2,COLUMN())),OFFSET($BN$2,0,0,ROW()-1,60),ROW()-1,FALSE))</f>
        <v/>
      </c>
      <c r="BL82" t="str">
        <f ca="1">IF(AND(ISNUMBER($BL$590),$B$511=1),$BL$590,HLOOKUP(INDIRECT(ADDRESS(2,COLUMN())),OFFSET($BN$2,0,0,ROW()-1,60),ROW()-1,FALSE))</f>
        <v/>
      </c>
      <c r="BM82" t="str">
        <f ca="1">IF(AND(ISNUMBER($BM$590),$B$511=1),$BM$590,HLOOKUP(INDIRECT(ADDRESS(2,COLUMN())),OFFSET($BN$2,0,0,ROW()-1,60),ROW()-1,FALSE))</f>
        <v/>
      </c>
      <c r="BN82">
        <f>6.868</f>
        <v>6.8680000000000003</v>
      </c>
      <c r="BO82">
        <f>7.285</f>
        <v>7.2850000000000001</v>
      </c>
      <c r="BP82">
        <f>7.045</f>
        <v>7.0449999999999999</v>
      </c>
      <c r="BQ82">
        <f>7.128</f>
        <v>7.1280000000000001</v>
      </c>
      <c r="BR82">
        <f>6.832</f>
        <v>6.8319999999999999</v>
      </c>
      <c r="BS82">
        <f>6.191</f>
        <v>6.1909999999999998</v>
      </c>
      <c r="BT82">
        <f>5.95</f>
        <v>5.95</v>
      </c>
      <c r="BU82">
        <f>5.771</f>
        <v>5.7709999999999999</v>
      </c>
      <c r="BV82">
        <f>6.433</f>
        <v>6.4329999999999998</v>
      </c>
      <c r="BW82">
        <f>5.893</f>
        <v>5.8929999999999998</v>
      </c>
      <c r="BX82">
        <f>6.456</f>
        <v>6.4560000000000004</v>
      </c>
      <c r="BY82">
        <f>6.795</f>
        <v>6.7949999999999999</v>
      </c>
      <c r="BZ82">
        <f>7.505</f>
        <v>7.5049999999999999</v>
      </c>
      <c r="CA82">
        <f>7.885</f>
        <v>7.8849999999999998</v>
      </c>
      <c r="CB82">
        <f>8.028</f>
        <v>8.0280000000000005</v>
      </c>
      <c r="CC82">
        <f>7.843</f>
        <v>7.843</v>
      </c>
      <c r="CD82">
        <f>8.082</f>
        <v>8.0820000000000007</v>
      </c>
      <c r="CE82">
        <f>8.382</f>
        <v>8.3819999999999997</v>
      </c>
      <c r="CF82">
        <f>8.555</f>
        <v>8.5549999999999997</v>
      </c>
      <c r="CG82">
        <f>8.857</f>
        <v>8.8569999999999993</v>
      </c>
      <c r="CH82" t="str">
        <f>""</f>
        <v/>
      </c>
      <c r="CI82" t="str">
        <f>""</f>
        <v/>
      </c>
      <c r="CJ82" t="str">
        <f>""</f>
        <v/>
      </c>
      <c r="CK82" t="str">
        <f>""</f>
        <v/>
      </c>
      <c r="CL82" t="str">
        <f>""</f>
        <v/>
      </c>
      <c r="CM82" t="str">
        <f>""</f>
        <v/>
      </c>
      <c r="CN82" t="str">
        <f>""</f>
        <v/>
      </c>
      <c r="CO82" t="str">
        <f>""</f>
        <v/>
      </c>
      <c r="CP82" t="str">
        <f>""</f>
        <v/>
      </c>
      <c r="CQ82" t="str">
        <f>""</f>
        <v/>
      </c>
      <c r="CR82" t="str">
        <f>""</f>
        <v/>
      </c>
      <c r="CS82" t="str">
        <f>""</f>
        <v/>
      </c>
      <c r="CT82" t="str">
        <f>""</f>
        <v/>
      </c>
      <c r="CU82" t="str">
        <f>""</f>
        <v/>
      </c>
      <c r="CV82" t="str">
        <f>""</f>
        <v/>
      </c>
      <c r="CW82" t="str">
        <f>""</f>
        <v/>
      </c>
      <c r="CX82" t="str">
        <f>""</f>
        <v/>
      </c>
      <c r="CY82" t="str">
        <f>""</f>
        <v/>
      </c>
      <c r="CZ82" t="str">
        <f>""</f>
        <v/>
      </c>
      <c r="DA82" t="str">
        <f>""</f>
        <v/>
      </c>
      <c r="DB82" t="str">
        <f>""</f>
        <v/>
      </c>
      <c r="DC82" t="str">
        <f>""</f>
        <v/>
      </c>
      <c r="DD82" t="str">
        <f>""</f>
        <v/>
      </c>
      <c r="DE82" t="str">
        <f>""</f>
        <v/>
      </c>
      <c r="DF82" t="str">
        <f>""</f>
        <v/>
      </c>
      <c r="DG82" t="str">
        <f>""</f>
        <v/>
      </c>
      <c r="DH82" t="str">
        <f>""</f>
        <v/>
      </c>
      <c r="DI82" t="str">
        <f>""</f>
        <v/>
      </c>
      <c r="DJ82" t="str">
        <f>""</f>
        <v/>
      </c>
      <c r="DK82" t="str">
        <f>""</f>
        <v/>
      </c>
      <c r="DL82" t="str">
        <f>""</f>
        <v/>
      </c>
      <c r="DM82" t="str">
        <f>""</f>
        <v/>
      </c>
      <c r="DN82" t="str">
        <f>""</f>
        <v/>
      </c>
      <c r="DO82" t="str">
        <f>""</f>
        <v/>
      </c>
      <c r="DP82" t="str">
        <f>""</f>
        <v/>
      </c>
      <c r="DQ82" t="str">
        <f>""</f>
        <v/>
      </c>
      <c r="DR82" t="str">
        <f>""</f>
        <v/>
      </c>
      <c r="DS82" t="str">
        <f>""</f>
        <v/>
      </c>
      <c r="DT82" t="str">
        <f>""</f>
        <v/>
      </c>
      <c r="DU82" t="str">
        <f>""</f>
        <v/>
      </c>
    </row>
    <row r="83" spans="1:125" x14ac:dyDescent="0.25">
      <c r="A83" t="str">
        <f>"    Volkswagen AG"</f>
        <v xml:space="preserve">    Volkswagen AG</v>
      </c>
      <c r="B83" t="str">
        <f>"VOW GR Equity"</f>
        <v>VOW GR Equity</v>
      </c>
      <c r="C83" t="str">
        <f t="shared" si="3"/>
        <v>EZ019</v>
      </c>
      <c r="D83" t="str">
        <f t="shared" si="4"/>
        <v>BEST_EEPS_CUR_YR</v>
      </c>
      <c r="E83" t="str">
        <f t="shared" si="5"/>
        <v>Dynamic</v>
      </c>
      <c r="F83">
        <f ca="1">IF(AND(ISNUMBER($F$591),$B$511=1),$F$591,HLOOKUP(INDIRECT(ADDRESS(2,COLUMN())),OFFSET($BN$2,0,0,ROW()-1,60),ROW()-1,FALSE))</f>
        <v>31.408000000000001</v>
      </c>
      <c r="G83">
        <f ca="1">IF(AND(ISNUMBER($G$591),$B$511=1),$G$591,HLOOKUP(INDIRECT(ADDRESS(2,COLUMN())),OFFSET($BN$2,0,0,ROW()-1,60),ROW()-1,FALSE))</f>
        <v>32.271000000000001</v>
      </c>
      <c r="H83">
        <f ca="1">IF(AND(ISNUMBER($H$591),$B$511=1),$H$591,HLOOKUP(INDIRECT(ADDRESS(2,COLUMN())),OFFSET($BN$2,0,0,ROW()-1,60),ROW()-1,FALSE))</f>
        <v>33.494999999999997</v>
      </c>
      <c r="I83">
        <f ca="1">IF(AND(ISNUMBER($I$591),$B$511=1),$I$591,HLOOKUP(INDIRECT(ADDRESS(2,COLUMN())),OFFSET($BN$2,0,0,ROW()-1,60),ROW()-1,FALSE))</f>
        <v>33.322000000000003</v>
      </c>
      <c r="J83">
        <f ca="1">IF(AND(ISNUMBER($J$591),$B$511=1),$J$591,HLOOKUP(INDIRECT(ADDRESS(2,COLUMN())),OFFSET($BN$2,0,0,ROW()-1,60),ROW()-1,FALSE))</f>
        <v>34.982999999999997</v>
      </c>
      <c r="K83">
        <f ca="1">IF(AND(ISNUMBER($K$591),$B$511=1),$K$591,HLOOKUP(INDIRECT(ADDRESS(2,COLUMN())),OFFSET($BN$2,0,0,ROW()-1,60),ROW()-1,FALSE))</f>
        <v>33.110999999999997</v>
      </c>
      <c r="L83">
        <f ca="1">IF(AND(ISNUMBER($L$591),$B$511=1),$L$591,HLOOKUP(INDIRECT(ADDRESS(2,COLUMN())),OFFSET($BN$2,0,0,ROW()-1,60),ROW()-1,FALSE))</f>
        <v>30.463000000000001</v>
      </c>
      <c r="M83">
        <f ca="1">IF(AND(ISNUMBER($M$591),$B$511=1),$M$591,HLOOKUP(INDIRECT(ADDRESS(2,COLUMN())),OFFSET($BN$2,0,0,ROW()-1,60),ROW()-1,FALSE))</f>
        <v>29.045999999999999</v>
      </c>
      <c r="N83">
        <f ca="1">IF(AND(ISNUMBER($N$591),$B$511=1),$N$591,HLOOKUP(INDIRECT(ADDRESS(2,COLUMN())),OFFSET($BN$2,0,0,ROW()-1,60),ROW()-1,FALSE))</f>
        <v>26.231999999999999</v>
      </c>
      <c r="O83">
        <f ca="1">IF(AND(ISNUMBER($O$591),$B$511=1),$O$591,HLOOKUP(INDIRECT(ADDRESS(2,COLUMN())),OFFSET($BN$2,0,0,ROW()-1,60),ROW()-1,FALSE))</f>
        <v>21.625</v>
      </c>
      <c r="P83">
        <f ca="1">IF(AND(ISNUMBER($P$591),$B$511=1),$P$591,HLOOKUP(INDIRECT(ADDRESS(2,COLUMN())),OFFSET($BN$2,0,0,ROW()-1,60),ROW()-1,FALSE))</f>
        <v>37.697000000000003</v>
      </c>
      <c r="Q83">
        <f ca="1">IF(AND(ISNUMBER($Q$591),$B$511=1),$Q$591,HLOOKUP(INDIRECT(ADDRESS(2,COLUMN())),OFFSET($BN$2,0,0,ROW()-1,60),ROW()-1,FALSE))</f>
        <v>29.184000000000001</v>
      </c>
      <c r="R83">
        <f ca="1">IF(AND(ISNUMBER($R$591),$B$511=1),$R$591,HLOOKUP(INDIRECT(ADDRESS(2,COLUMN())),OFFSET($BN$2,0,0,ROW()-1,60),ROW()-1,FALSE))</f>
        <v>23.215</v>
      </c>
      <c r="S83">
        <f ca="1">IF(AND(ISNUMBER($S$591),$B$511=1),$S$591,HLOOKUP(INDIRECT(ADDRESS(2,COLUMN())),OFFSET($BN$2,0,0,ROW()-1,60),ROW()-1,FALSE))</f>
        <v>30.254000000000001</v>
      </c>
      <c r="T83">
        <f ca="1">IF(AND(ISNUMBER($T$591),$B$511=1),$T$591,HLOOKUP(INDIRECT(ADDRESS(2,COLUMN())),OFFSET($BN$2,0,0,ROW()-1,60),ROW()-1,FALSE))</f>
        <v>24.963999999999999</v>
      </c>
      <c r="U83">
        <f ca="1">IF(AND(ISNUMBER($U$591),$B$511=1),$U$591,HLOOKUP(INDIRECT(ADDRESS(2,COLUMN())),OFFSET($BN$2,0,0,ROW()-1,60),ROW()-1,FALSE))</f>
        <v>32.972000000000001</v>
      </c>
      <c r="V83">
        <f ca="1">IF(AND(ISNUMBER($V$591),$B$511=1),$V$591,HLOOKUP(INDIRECT(ADDRESS(2,COLUMN())),OFFSET($BN$2,0,0,ROW()-1,60),ROW()-1,FALSE))</f>
        <v>31.388999999999999</v>
      </c>
      <c r="W83" t="str">
        <f ca="1">IF(AND(ISNUMBER($W$591),$B$511=1),$W$591,HLOOKUP(INDIRECT(ADDRESS(2,COLUMN())),OFFSET($BN$2,0,0,ROW()-1,60),ROW()-1,FALSE))</f>
        <v/>
      </c>
      <c r="X83" t="str">
        <f ca="1">IF(AND(ISNUMBER($X$591),$B$511=1),$X$591,HLOOKUP(INDIRECT(ADDRESS(2,COLUMN())),OFFSET($BN$2,0,0,ROW()-1,60),ROW()-1,FALSE))</f>
        <v/>
      </c>
      <c r="Y83" t="str">
        <f ca="1">IF(AND(ISNUMBER($Y$591),$B$511=1),$Y$591,HLOOKUP(INDIRECT(ADDRESS(2,COLUMN())),OFFSET($BN$2,0,0,ROW()-1,60),ROW()-1,FALSE))</f>
        <v/>
      </c>
      <c r="Z83" t="str">
        <f ca="1">IF(AND(ISNUMBER($Z$591),$B$511=1),$Z$591,HLOOKUP(INDIRECT(ADDRESS(2,COLUMN())),OFFSET($BN$2,0,0,ROW()-1,60),ROW()-1,FALSE))</f>
        <v/>
      </c>
      <c r="AA83" t="str">
        <f ca="1">IF(AND(ISNUMBER($AA$591),$B$511=1),$AA$591,HLOOKUP(INDIRECT(ADDRESS(2,COLUMN())),OFFSET($BN$2,0,0,ROW()-1,60),ROW()-1,FALSE))</f>
        <v/>
      </c>
      <c r="AB83" t="str">
        <f ca="1">IF(AND(ISNUMBER($AB$591),$B$511=1),$AB$591,HLOOKUP(INDIRECT(ADDRESS(2,COLUMN())),OFFSET($BN$2,0,0,ROW()-1,60),ROW()-1,FALSE))</f>
        <v/>
      </c>
      <c r="AC83" t="str">
        <f ca="1">IF(AND(ISNUMBER($AC$591),$B$511=1),$AC$591,HLOOKUP(INDIRECT(ADDRESS(2,COLUMN())),OFFSET($BN$2,0,0,ROW()-1,60),ROW()-1,FALSE))</f>
        <v/>
      </c>
      <c r="AD83" t="str">
        <f ca="1">IF(AND(ISNUMBER($AD$591),$B$511=1),$AD$591,HLOOKUP(INDIRECT(ADDRESS(2,COLUMN())),OFFSET($BN$2,0,0,ROW()-1,60),ROW()-1,FALSE))</f>
        <v/>
      </c>
      <c r="AE83" t="str">
        <f ca="1">IF(AND(ISNUMBER($AE$591),$B$511=1),$AE$591,HLOOKUP(INDIRECT(ADDRESS(2,COLUMN())),OFFSET($BN$2,0,0,ROW()-1,60),ROW()-1,FALSE))</f>
        <v/>
      </c>
      <c r="AF83" t="str">
        <f ca="1">IF(AND(ISNUMBER($AF$591),$B$511=1),$AF$591,HLOOKUP(INDIRECT(ADDRESS(2,COLUMN())),OFFSET($BN$2,0,0,ROW()-1,60),ROW()-1,FALSE))</f>
        <v/>
      </c>
      <c r="AG83" t="str">
        <f ca="1">IF(AND(ISNUMBER($AG$591),$B$511=1),$AG$591,HLOOKUP(INDIRECT(ADDRESS(2,COLUMN())),OFFSET($BN$2,0,0,ROW()-1,60),ROW()-1,FALSE))</f>
        <v/>
      </c>
      <c r="AH83" t="str">
        <f ca="1">IF(AND(ISNUMBER($AH$591),$B$511=1),$AH$591,HLOOKUP(INDIRECT(ADDRESS(2,COLUMN())),OFFSET($BN$2,0,0,ROW()-1,60),ROW()-1,FALSE))</f>
        <v/>
      </c>
      <c r="AI83" t="str">
        <f ca="1">IF(AND(ISNUMBER($AI$591),$B$511=1),$AI$591,HLOOKUP(INDIRECT(ADDRESS(2,COLUMN())),OFFSET($BN$2,0,0,ROW()-1,60),ROW()-1,FALSE))</f>
        <v/>
      </c>
      <c r="AJ83" t="str">
        <f ca="1">IF(AND(ISNUMBER($AJ$591),$B$511=1),$AJ$591,HLOOKUP(INDIRECT(ADDRESS(2,COLUMN())),OFFSET($BN$2,0,0,ROW()-1,60),ROW()-1,FALSE))</f>
        <v/>
      </c>
      <c r="AK83" t="str">
        <f ca="1">IF(AND(ISNUMBER($AK$591),$B$511=1),$AK$591,HLOOKUP(INDIRECT(ADDRESS(2,COLUMN())),OFFSET($BN$2,0,0,ROW()-1,60),ROW()-1,FALSE))</f>
        <v/>
      </c>
      <c r="AL83" t="str">
        <f ca="1">IF(AND(ISNUMBER($AL$591),$B$511=1),$AL$591,HLOOKUP(INDIRECT(ADDRESS(2,COLUMN())),OFFSET($BN$2,0,0,ROW()-1,60),ROW()-1,FALSE))</f>
        <v/>
      </c>
      <c r="AM83" t="str">
        <f ca="1">IF(AND(ISNUMBER($AM$591),$B$511=1),$AM$591,HLOOKUP(INDIRECT(ADDRESS(2,COLUMN())),OFFSET($BN$2,0,0,ROW()-1,60),ROW()-1,FALSE))</f>
        <v/>
      </c>
      <c r="AN83" t="str">
        <f ca="1">IF(AND(ISNUMBER($AN$591),$B$511=1),$AN$591,HLOOKUP(INDIRECT(ADDRESS(2,COLUMN())),OFFSET($BN$2,0,0,ROW()-1,60),ROW()-1,FALSE))</f>
        <v/>
      </c>
      <c r="AO83" t="str">
        <f ca="1">IF(AND(ISNUMBER($AO$591),$B$511=1),$AO$591,HLOOKUP(INDIRECT(ADDRESS(2,COLUMN())),OFFSET($BN$2,0,0,ROW()-1,60),ROW()-1,FALSE))</f>
        <v/>
      </c>
      <c r="AP83" t="str">
        <f ca="1">IF(AND(ISNUMBER($AP$591),$B$511=1),$AP$591,HLOOKUP(INDIRECT(ADDRESS(2,COLUMN())),OFFSET($BN$2,0,0,ROW()-1,60),ROW()-1,FALSE))</f>
        <v/>
      </c>
      <c r="AQ83" t="str">
        <f ca="1">IF(AND(ISNUMBER($AQ$591),$B$511=1),$AQ$591,HLOOKUP(INDIRECT(ADDRESS(2,COLUMN())),OFFSET($BN$2,0,0,ROW()-1,60),ROW()-1,FALSE))</f>
        <v/>
      </c>
      <c r="AR83" t="str">
        <f ca="1">IF(AND(ISNUMBER($AR$591),$B$511=1),$AR$591,HLOOKUP(INDIRECT(ADDRESS(2,COLUMN())),OFFSET($BN$2,0,0,ROW()-1,60),ROW()-1,FALSE))</f>
        <v/>
      </c>
      <c r="AS83" t="str">
        <f ca="1">IF(AND(ISNUMBER($AS$591),$B$511=1),$AS$591,HLOOKUP(INDIRECT(ADDRESS(2,COLUMN())),OFFSET($BN$2,0,0,ROW()-1,60),ROW()-1,FALSE))</f>
        <v/>
      </c>
      <c r="AT83" t="str">
        <f ca="1">IF(AND(ISNUMBER($AT$591),$B$511=1),$AT$591,HLOOKUP(INDIRECT(ADDRESS(2,COLUMN())),OFFSET($BN$2,0,0,ROW()-1,60),ROW()-1,FALSE))</f>
        <v/>
      </c>
      <c r="AU83" t="str">
        <f ca="1">IF(AND(ISNUMBER($AU$591),$B$511=1),$AU$591,HLOOKUP(INDIRECT(ADDRESS(2,COLUMN())),OFFSET($BN$2,0,0,ROW()-1,60),ROW()-1,FALSE))</f>
        <v/>
      </c>
      <c r="AV83" t="str">
        <f ca="1">IF(AND(ISNUMBER($AV$591),$B$511=1),$AV$591,HLOOKUP(INDIRECT(ADDRESS(2,COLUMN())),OFFSET($BN$2,0,0,ROW()-1,60),ROW()-1,FALSE))</f>
        <v/>
      </c>
      <c r="AW83" t="str">
        <f ca="1">IF(AND(ISNUMBER($AW$591),$B$511=1),$AW$591,HLOOKUP(INDIRECT(ADDRESS(2,COLUMN())),OFFSET($BN$2,0,0,ROW()-1,60),ROW()-1,FALSE))</f>
        <v/>
      </c>
      <c r="AX83" t="str">
        <f ca="1">IF(AND(ISNUMBER($AX$591),$B$511=1),$AX$591,HLOOKUP(INDIRECT(ADDRESS(2,COLUMN())),OFFSET($BN$2,0,0,ROW()-1,60),ROW()-1,FALSE))</f>
        <v/>
      </c>
      <c r="AY83" t="str">
        <f ca="1">IF(AND(ISNUMBER($AY$591),$B$511=1),$AY$591,HLOOKUP(INDIRECT(ADDRESS(2,COLUMN())),OFFSET($BN$2,0,0,ROW()-1,60),ROW()-1,FALSE))</f>
        <v/>
      </c>
      <c r="AZ83" t="str">
        <f ca="1">IF(AND(ISNUMBER($AZ$591),$B$511=1),$AZ$591,HLOOKUP(INDIRECT(ADDRESS(2,COLUMN())),OFFSET($BN$2,0,0,ROW()-1,60),ROW()-1,FALSE))</f>
        <v/>
      </c>
      <c r="BA83" t="str">
        <f ca="1">IF(AND(ISNUMBER($BA$591),$B$511=1),$BA$591,HLOOKUP(INDIRECT(ADDRESS(2,COLUMN())),OFFSET($BN$2,0,0,ROW()-1,60),ROW()-1,FALSE))</f>
        <v/>
      </c>
      <c r="BB83" t="str">
        <f ca="1">IF(AND(ISNUMBER($BB$591),$B$511=1),$BB$591,HLOOKUP(INDIRECT(ADDRESS(2,COLUMN())),OFFSET($BN$2,0,0,ROW()-1,60),ROW()-1,FALSE))</f>
        <v/>
      </c>
      <c r="BC83" t="str">
        <f ca="1">IF(AND(ISNUMBER($BC$591),$B$511=1),$BC$591,HLOOKUP(INDIRECT(ADDRESS(2,COLUMN())),OFFSET($BN$2,0,0,ROW()-1,60),ROW()-1,FALSE))</f>
        <v/>
      </c>
      <c r="BD83" t="str">
        <f ca="1">IF(AND(ISNUMBER($BD$591),$B$511=1),$BD$591,HLOOKUP(INDIRECT(ADDRESS(2,COLUMN())),OFFSET($BN$2,0,0,ROW()-1,60),ROW()-1,FALSE))</f>
        <v/>
      </c>
      <c r="BE83" t="str">
        <f ca="1">IF(AND(ISNUMBER($BE$591),$B$511=1),$BE$591,HLOOKUP(INDIRECT(ADDRESS(2,COLUMN())),OFFSET($BN$2,0,0,ROW()-1,60),ROW()-1,FALSE))</f>
        <v/>
      </c>
      <c r="BF83" t="str">
        <f ca="1">IF(AND(ISNUMBER($BF$591),$B$511=1),$BF$591,HLOOKUP(INDIRECT(ADDRESS(2,COLUMN())),OFFSET($BN$2,0,0,ROW()-1,60),ROW()-1,FALSE))</f>
        <v/>
      </c>
      <c r="BG83" t="str">
        <f ca="1">IF(AND(ISNUMBER($BG$591),$B$511=1),$BG$591,HLOOKUP(INDIRECT(ADDRESS(2,COLUMN())),OFFSET($BN$2,0,0,ROW()-1,60),ROW()-1,FALSE))</f>
        <v/>
      </c>
      <c r="BH83" t="str">
        <f ca="1">IF(AND(ISNUMBER($BH$591),$B$511=1),$BH$591,HLOOKUP(INDIRECT(ADDRESS(2,COLUMN())),OFFSET($BN$2,0,0,ROW()-1,60),ROW()-1,FALSE))</f>
        <v/>
      </c>
      <c r="BI83" t="str">
        <f ca="1">IF(AND(ISNUMBER($BI$591),$B$511=1),$BI$591,HLOOKUP(INDIRECT(ADDRESS(2,COLUMN())),OFFSET($BN$2,0,0,ROW()-1,60),ROW()-1,FALSE))</f>
        <v/>
      </c>
      <c r="BJ83" t="str">
        <f ca="1">IF(AND(ISNUMBER($BJ$591),$B$511=1),$BJ$591,HLOOKUP(INDIRECT(ADDRESS(2,COLUMN())),OFFSET($BN$2,0,0,ROW()-1,60),ROW()-1,FALSE))</f>
        <v/>
      </c>
      <c r="BK83" t="str">
        <f ca="1">IF(AND(ISNUMBER($BK$591),$B$511=1),$BK$591,HLOOKUP(INDIRECT(ADDRESS(2,COLUMN())),OFFSET($BN$2,0,0,ROW()-1,60),ROW()-1,FALSE))</f>
        <v/>
      </c>
      <c r="BL83" t="str">
        <f ca="1">IF(AND(ISNUMBER($BL$591),$B$511=1),$BL$591,HLOOKUP(INDIRECT(ADDRESS(2,COLUMN())),OFFSET($BN$2,0,0,ROW()-1,60),ROW()-1,FALSE))</f>
        <v/>
      </c>
      <c r="BM83" t="str">
        <f ca="1">IF(AND(ISNUMBER($BM$591),$B$511=1),$BM$591,HLOOKUP(INDIRECT(ADDRESS(2,COLUMN())),OFFSET($BN$2,0,0,ROW()-1,60),ROW()-1,FALSE))</f>
        <v/>
      </c>
      <c r="BN83">
        <f>31.408</f>
        <v>31.408000000000001</v>
      </c>
      <c r="BO83">
        <f>32.271</f>
        <v>32.271000000000001</v>
      </c>
      <c r="BP83">
        <f>33.495</f>
        <v>33.494999999999997</v>
      </c>
      <c r="BQ83">
        <f>33.322</f>
        <v>33.322000000000003</v>
      </c>
      <c r="BR83">
        <f>34.983</f>
        <v>34.982999999999997</v>
      </c>
      <c r="BS83">
        <f>33.111</f>
        <v>33.110999999999997</v>
      </c>
      <c r="BT83">
        <f>30.463</f>
        <v>30.463000000000001</v>
      </c>
      <c r="BU83">
        <f>29.046</f>
        <v>29.045999999999999</v>
      </c>
      <c r="BV83">
        <f>26.232</f>
        <v>26.231999999999999</v>
      </c>
      <c r="BW83">
        <f>21.625</f>
        <v>21.625</v>
      </c>
      <c r="BX83">
        <f>37.697</f>
        <v>37.697000000000003</v>
      </c>
      <c r="BY83">
        <f>29.184</f>
        <v>29.184000000000001</v>
      </c>
      <c r="BZ83">
        <f>23.215</f>
        <v>23.215</v>
      </c>
      <c r="CA83">
        <f>30.254</f>
        <v>30.254000000000001</v>
      </c>
      <c r="CB83">
        <f>24.964</f>
        <v>24.963999999999999</v>
      </c>
      <c r="CC83">
        <f>32.972</f>
        <v>32.972000000000001</v>
      </c>
      <c r="CD83">
        <f>31.389</f>
        <v>31.388999999999999</v>
      </c>
      <c r="CE83" t="str">
        <f>""</f>
        <v/>
      </c>
      <c r="CF83" t="str">
        <f>""</f>
        <v/>
      </c>
      <c r="CG83" t="str">
        <f>""</f>
        <v/>
      </c>
      <c r="CH83" t="str">
        <f>""</f>
        <v/>
      </c>
      <c r="CI83" t="str">
        <f>""</f>
        <v/>
      </c>
      <c r="CJ83" t="str">
        <f>""</f>
        <v/>
      </c>
      <c r="CK83" t="str">
        <f>""</f>
        <v/>
      </c>
      <c r="CL83" t="str">
        <f>""</f>
        <v/>
      </c>
      <c r="CM83" t="str">
        <f>""</f>
        <v/>
      </c>
      <c r="CN83" t="str">
        <f>""</f>
        <v/>
      </c>
      <c r="CO83" t="str">
        <f>""</f>
        <v/>
      </c>
      <c r="CP83" t="str">
        <f>""</f>
        <v/>
      </c>
      <c r="CQ83" t="str">
        <f>""</f>
        <v/>
      </c>
      <c r="CR83" t="str">
        <f>""</f>
        <v/>
      </c>
      <c r="CS83" t="str">
        <f>""</f>
        <v/>
      </c>
      <c r="CT83" t="str">
        <f>""</f>
        <v/>
      </c>
      <c r="CU83" t="str">
        <f>""</f>
        <v/>
      </c>
      <c r="CV83" t="str">
        <f>""</f>
        <v/>
      </c>
      <c r="CW83" t="str">
        <f>""</f>
        <v/>
      </c>
      <c r="CX83" t="str">
        <f>""</f>
        <v/>
      </c>
      <c r="CY83" t="str">
        <f>""</f>
        <v/>
      </c>
      <c r="CZ83" t="str">
        <f>""</f>
        <v/>
      </c>
      <c r="DA83" t="str">
        <f>""</f>
        <v/>
      </c>
      <c r="DB83" t="str">
        <f>""</f>
        <v/>
      </c>
      <c r="DC83" t="str">
        <f>""</f>
        <v/>
      </c>
      <c r="DD83" t="str">
        <f>""</f>
        <v/>
      </c>
      <c r="DE83" t="str">
        <f>""</f>
        <v/>
      </c>
      <c r="DF83" t="str">
        <f>""</f>
        <v/>
      </c>
      <c r="DG83" t="str">
        <f>""</f>
        <v/>
      </c>
      <c r="DH83" t="str">
        <f>""</f>
        <v/>
      </c>
      <c r="DI83" t="str">
        <f>""</f>
        <v/>
      </c>
      <c r="DJ83" t="str">
        <f>""</f>
        <v/>
      </c>
      <c r="DK83" t="str">
        <f>""</f>
        <v/>
      </c>
      <c r="DL83" t="str">
        <f>""</f>
        <v/>
      </c>
      <c r="DM83" t="str">
        <f>""</f>
        <v/>
      </c>
      <c r="DN83" t="str">
        <f>""</f>
        <v/>
      </c>
      <c r="DO83" t="str">
        <f>""</f>
        <v/>
      </c>
      <c r="DP83" t="str">
        <f>""</f>
        <v/>
      </c>
      <c r="DQ83" t="str">
        <f>""</f>
        <v/>
      </c>
      <c r="DR83" t="str">
        <f>""</f>
        <v/>
      </c>
      <c r="DS83" t="str">
        <f>""</f>
        <v/>
      </c>
      <c r="DT83" t="str">
        <f>""</f>
        <v/>
      </c>
      <c r="DU83" t="str">
        <f>""</f>
        <v/>
      </c>
    </row>
    <row r="84" spans="1:125" x14ac:dyDescent="0.25">
      <c r="A84" t="str">
        <f>"    Yulon Motor Co Ltd"</f>
        <v xml:space="preserve">    Yulon Motor Co Ltd</v>
      </c>
      <c r="B84" t="str">
        <f>"2201 TT Equity"</f>
        <v>2201 TT Equity</v>
      </c>
      <c r="C84" t="str">
        <f t="shared" si="3"/>
        <v>EZ019</v>
      </c>
      <c r="D84" t="str">
        <f t="shared" si="4"/>
        <v>BEST_EEPS_CUR_YR</v>
      </c>
      <c r="E84" t="str">
        <f t="shared" si="5"/>
        <v>Dynamic</v>
      </c>
      <c r="F84">
        <f ca="1">IF(AND(ISNUMBER($F$592),$B$511=1),$F$592,HLOOKUP(INDIRECT(ADDRESS(2,COLUMN())),OFFSET($BN$2,0,0,ROW()-1,60),ROW()-1,FALSE))</f>
        <v>5.0999999999999997E-2</v>
      </c>
      <c r="G84">
        <f ca="1">IF(AND(ISNUMBER($G$592),$B$511=1),$G$592,HLOOKUP(INDIRECT(ADDRESS(2,COLUMN())),OFFSET($BN$2,0,0,ROW()-1,60),ROW()-1,FALSE))</f>
        <v>5.0999999999999997E-2</v>
      </c>
      <c r="H84">
        <f ca="1">IF(AND(ISNUMBER($H$592),$B$511=1),$H$592,HLOOKUP(INDIRECT(ADDRESS(2,COLUMN())),OFFSET($BN$2,0,0,ROW()-1,60),ROW()-1,FALSE))</f>
        <v>5.5E-2</v>
      </c>
      <c r="I84">
        <f ca="1">IF(AND(ISNUMBER($I$592),$B$511=1),$I$592,HLOOKUP(INDIRECT(ADDRESS(2,COLUMN())),OFFSET($BN$2,0,0,ROW()-1,60),ROW()-1,FALSE))</f>
        <v>5.7000000000000002E-2</v>
      </c>
      <c r="J84">
        <f ca="1">IF(AND(ISNUMBER($J$592),$B$511=1),$J$592,HLOOKUP(INDIRECT(ADDRESS(2,COLUMN())),OFFSET($BN$2,0,0,ROW()-1,60),ROW()-1,FALSE))</f>
        <v>5.8999999999999997E-2</v>
      </c>
      <c r="K84">
        <f ca="1">IF(AND(ISNUMBER($K$592),$B$511=1),$K$592,HLOOKUP(INDIRECT(ADDRESS(2,COLUMN())),OFFSET($BN$2,0,0,ROW()-1,60),ROW()-1,FALSE))</f>
        <v>5.8000000000000003E-2</v>
      </c>
      <c r="L84" t="str">
        <f ca="1">IF(AND(ISNUMBER($L$592),$B$511=1),$L$592,HLOOKUP(INDIRECT(ADDRESS(2,COLUMN())),OFFSET($BN$2,0,0,ROW()-1,60),ROW()-1,FALSE))</f>
        <v/>
      </c>
      <c r="M84">
        <f ca="1">IF(AND(ISNUMBER($M$592),$B$511=1),$M$592,HLOOKUP(INDIRECT(ADDRESS(2,COLUMN())),OFFSET($BN$2,0,0,ROW()-1,60),ROW()-1,FALSE))</f>
        <v>6.7000000000000004E-2</v>
      </c>
      <c r="N84">
        <f ca="1">IF(AND(ISNUMBER($N$592),$B$511=1),$N$592,HLOOKUP(INDIRECT(ADDRESS(2,COLUMN())),OFFSET($BN$2,0,0,ROW()-1,60),ROW()-1,FALSE))</f>
        <v>6.5000000000000002E-2</v>
      </c>
      <c r="O84">
        <f ca="1">IF(AND(ISNUMBER($O$592),$B$511=1),$O$592,HLOOKUP(INDIRECT(ADDRESS(2,COLUMN())),OFFSET($BN$2,0,0,ROW()-1,60),ROW()-1,FALSE))</f>
        <v>6.4000000000000001E-2</v>
      </c>
      <c r="P84">
        <f ca="1">IF(AND(ISNUMBER($P$592),$B$511=1),$P$592,HLOOKUP(INDIRECT(ADDRESS(2,COLUMN())),OFFSET($BN$2,0,0,ROW()-1,60),ROW()-1,FALSE))</f>
        <v>6.3E-2</v>
      </c>
      <c r="Q84">
        <f ca="1">IF(AND(ISNUMBER($Q$592),$B$511=1),$Q$592,HLOOKUP(INDIRECT(ADDRESS(2,COLUMN())),OFFSET($BN$2,0,0,ROW()-1,60),ROW()-1,FALSE))</f>
        <v>6.2E-2</v>
      </c>
      <c r="R84" t="str">
        <f ca="1">IF(AND(ISNUMBER($R$592),$B$511=1),$R$592,HLOOKUP(INDIRECT(ADDRESS(2,COLUMN())),OFFSET($BN$2,0,0,ROW()-1,60),ROW()-1,FALSE))</f>
        <v/>
      </c>
      <c r="S84" t="str">
        <f ca="1">IF(AND(ISNUMBER($S$592),$B$511=1),$S$592,HLOOKUP(INDIRECT(ADDRESS(2,COLUMN())),OFFSET($BN$2,0,0,ROW()-1,60),ROW()-1,FALSE))</f>
        <v/>
      </c>
      <c r="T84" t="str">
        <f ca="1">IF(AND(ISNUMBER($T$592),$B$511=1),$T$592,HLOOKUP(INDIRECT(ADDRESS(2,COLUMN())),OFFSET($BN$2,0,0,ROW()-1,60),ROW()-1,FALSE))</f>
        <v/>
      </c>
      <c r="U84" t="str">
        <f ca="1">IF(AND(ISNUMBER($U$592),$B$511=1),$U$592,HLOOKUP(INDIRECT(ADDRESS(2,COLUMN())),OFFSET($BN$2,0,0,ROW()-1,60),ROW()-1,FALSE))</f>
        <v/>
      </c>
      <c r="V84" t="str">
        <f ca="1">IF(AND(ISNUMBER($V$592),$B$511=1),$V$592,HLOOKUP(INDIRECT(ADDRESS(2,COLUMN())),OFFSET($BN$2,0,0,ROW()-1,60),ROW()-1,FALSE))</f>
        <v/>
      </c>
      <c r="W84" t="str">
        <f ca="1">IF(AND(ISNUMBER($W$592),$B$511=1),$W$592,HLOOKUP(INDIRECT(ADDRESS(2,COLUMN())),OFFSET($BN$2,0,0,ROW()-1,60),ROW()-1,FALSE))</f>
        <v/>
      </c>
      <c r="X84" t="str">
        <f ca="1">IF(AND(ISNUMBER($X$592),$B$511=1),$X$592,HLOOKUP(INDIRECT(ADDRESS(2,COLUMN())),OFFSET($BN$2,0,0,ROW()-1,60),ROW()-1,FALSE))</f>
        <v/>
      </c>
      <c r="Y84" t="str">
        <f ca="1">IF(AND(ISNUMBER($Y$592),$B$511=1),$Y$592,HLOOKUP(INDIRECT(ADDRESS(2,COLUMN())),OFFSET($BN$2,0,0,ROW()-1,60),ROW()-1,FALSE))</f>
        <v/>
      </c>
      <c r="Z84" t="str">
        <f ca="1">IF(AND(ISNUMBER($Z$592),$B$511=1),$Z$592,HLOOKUP(INDIRECT(ADDRESS(2,COLUMN())),OFFSET($BN$2,0,0,ROW()-1,60),ROW()-1,FALSE))</f>
        <v/>
      </c>
      <c r="AA84" t="str">
        <f ca="1">IF(AND(ISNUMBER($AA$592),$B$511=1),$AA$592,HLOOKUP(INDIRECT(ADDRESS(2,COLUMN())),OFFSET($BN$2,0,0,ROW()-1,60),ROW()-1,FALSE))</f>
        <v/>
      </c>
      <c r="AB84" t="str">
        <f ca="1">IF(AND(ISNUMBER($AB$592),$B$511=1),$AB$592,HLOOKUP(INDIRECT(ADDRESS(2,COLUMN())),OFFSET($BN$2,0,0,ROW()-1,60),ROW()-1,FALSE))</f>
        <v/>
      </c>
      <c r="AC84" t="str">
        <f ca="1">IF(AND(ISNUMBER($AC$592),$B$511=1),$AC$592,HLOOKUP(INDIRECT(ADDRESS(2,COLUMN())),OFFSET($BN$2,0,0,ROW()-1,60),ROW()-1,FALSE))</f>
        <v/>
      </c>
      <c r="AD84" t="str">
        <f ca="1">IF(AND(ISNUMBER($AD$592),$B$511=1),$AD$592,HLOOKUP(INDIRECT(ADDRESS(2,COLUMN())),OFFSET($BN$2,0,0,ROW()-1,60),ROW()-1,FALSE))</f>
        <v/>
      </c>
      <c r="AE84" t="str">
        <f ca="1">IF(AND(ISNUMBER($AE$592),$B$511=1),$AE$592,HLOOKUP(INDIRECT(ADDRESS(2,COLUMN())),OFFSET($BN$2,0,0,ROW()-1,60),ROW()-1,FALSE))</f>
        <v/>
      </c>
      <c r="AF84" t="str">
        <f ca="1">IF(AND(ISNUMBER($AF$592),$B$511=1),$AF$592,HLOOKUP(INDIRECT(ADDRESS(2,COLUMN())),OFFSET($BN$2,0,0,ROW()-1,60),ROW()-1,FALSE))</f>
        <v/>
      </c>
      <c r="AG84" t="str">
        <f ca="1">IF(AND(ISNUMBER($AG$592),$B$511=1),$AG$592,HLOOKUP(INDIRECT(ADDRESS(2,COLUMN())),OFFSET($BN$2,0,0,ROW()-1,60),ROW()-1,FALSE))</f>
        <v/>
      </c>
      <c r="AH84" t="str">
        <f ca="1">IF(AND(ISNUMBER($AH$592),$B$511=1),$AH$592,HLOOKUP(INDIRECT(ADDRESS(2,COLUMN())),OFFSET($BN$2,0,0,ROW()-1,60),ROW()-1,FALSE))</f>
        <v/>
      </c>
      <c r="AI84" t="str">
        <f ca="1">IF(AND(ISNUMBER($AI$592),$B$511=1),$AI$592,HLOOKUP(INDIRECT(ADDRESS(2,COLUMN())),OFFSET($BN$2,0,0,ROW()-1,60),ROW()-1,FALSE))</f>
        <v/>
      </c>
      <c r="AJ84" t="str">
        <f ca="1">IF(AND(ISNUMBER($AJ$592),$B$511=1),$AJ$592,HLOOKUP(INDIRECT(ADDRESS(2,COLUMN())),OFFSET($BN$2,0,0,ROW()-1,60),ROW()-1,FALSE))</f>
        <v/>
      </c>
      <c r="AK84" t="str">
        <f ca="1">IF(AND(ISNUMBER($AK$592),$B$511=1),$AK$592,HLOOKUP(INDIRECT(ADDRESS(2,COLUMN())),OFFSET($BN$2,0,0,ROW()-1,60),ROW()-1,FALSE))</f>
        <v/>
      </c>
      <c r="AL84" t="str">
        <f ca="1">IF(AND(ISNUMBER($AL$592),$B$511=1),$AL$592,HLOOKUP(INDIRECT(ADDRESS(2,COLUMN())),OFFSET($BN$2,0,0,ROW()-1,60),ROW()-1,FALSE))</f>
        <v/>
      </c>
      <c r="AM84" t="str">
        <f ca="1">IF(AND(ISNUMBER($AM$592),$B$511=1),$AM$592,HLOOKUP(INDIRECT(ADDRESS(2,COLUMN())),OFFSET($BN$2,0,0,ROW()-1,60),ROW()-1,FALSE))</f>
        <v/>
      </c>
      <c r="AN84" t="str">
        <f ca="1">IF(AND(ISNUMBER($AN$592),$B$511=1),$AN$592,HLOOKUP(INDIRECT(ADDRESS(2,COLUMN())),OFFSET($BN$2,0,0,ROW()-1,60),ROW()-1,FALSE))</f>
        <v/>
      </c>
      <c r="AO84" t="str">
        <f ca="1">IF(AND(ISNUMBER($AO$592),$B$511=1),$AO$592,HLOOKUP(INDIRECT(ADDRESS(2,COLUMN())),OFFSET($BN$2,0,0,ROW()-1,60),ROW()-1,FALSE))</f>
        <v/>
      </c>
      <c r="AP84" t="str">
        <f ca="1">IF(AND(ISNUMBER($AP$592),$B$511=1),$AP$592,HLOOKUP(INDIRECT(ADDRESS(2,COLUMN())),OFFSET($BN$2,0,0,ROW()-1,60),ROW()-1,FALSE))</f>
        <v/>
      </c>
      <c r="AQ84" t="str">
        <f ca="1">IF(AND(ISNUMBER($AQ$592),$B$511=1),$AQ$592,HLOOKUP(INDIRECT(ADDRESS(2,COLUMN())),OFFSET($BN$2,0,0,ROW()-1,60),ROW()-1,FALSE))</f>
        <v/>
      </c>
      <c r="AR84" t="str">
        <f ca="1">IF(AND(ISNUMBER($AR$592),$B$511=1),$AR$592,HLOOKUP(INDIRECT(ADDRESS(2,COLUMN())),OFFSET($BN$2,0,0,ROW()-1,60),ROW()-1,FALSE))</f>
        <v/>
      </c>
      <c r="AS84" t="str">
        <f ca="1">IF(AND(ISNUMBER($AS$592),$B$511=1),$AS$592,HLOOKUP(INDIRECT(ADDRESS(2,COLUMN())),OFFSET($BN$2,0,0,ROW()-1,60),ROW()-1,FALSE))</f>
        <v/>
      </c>
      <c r="AT84" t="str">
        <f ca="1">IF(AND(ISNUMBER($AT$592),$B$511=1),$AT$592,HLOOKUP(INDIRECT(ADDRESS(2,COLUMN())),OFFSET($BN$2,0,0,ROW()-1,60),ROW()-1,FALSE))</f>
        <v/>
      </c>
      <c r="AU84" t="str">
        <f ca="1">IF(AND(ISNUMBER($AU$592),$B$511=1),$AU$592,HLOOKUP(INDIRECT(ADDRESS(2,COLUMN())),OFFSET($BN$2,0,0,ROW()-1,60),ROW()-1,FALSE))</f>
        <v/>
      </c>
      <c r="AV84" t="str">
        <f ca="1">IF(AND(ISNUMBER($AV$592),$B$511=1),$AV$592,HLOOKUP(INDIRECT(ADDRESS(2,COLUMN())),OFFSET($BN$2,0,0,ROW()-1,60),ROW()-1,FALSE))</f>
        <v/>
      </c>
      <c r="AW84" t="str">
        <f ca="1">IF(AND(ISNUMBER($AW$592),$B$511=1),$AW$592,HLOOKUP(INDIRECT(ADDRESS(2,COLUMN())),OFFSET($BN$2,0,0,ROW()-1,60),ROW()-1,FALSE))</f>
        <v/>
      </c>
      <c r="AX84" t="str">
        <f ca="1">IF(AND(ISNUMBER($AX$592),$B$511=1),$AX$592,HLOOKUP(INDIRECT(ADDRESS(2,COLUMN())),OFFSET($BN$2,0,0,ROW()-1,60),ROW()-1,FALSE))</f>
        <v/>
      </c>
      <c r="AY84" t="str">
        <f ca="1">IF(AND(ISNUMBER($AY$592),$B$511=1),$AY$592,HLOOKUP(INDIRECT(ADDRESS(2,COLUMN())),OFFSET($BN$2,0,0,ROW()-1,60),ROW()-1,FALSE))</f>
        <v/>
      </c>
      <c r="AZ84" t="str">
        <f ca="1">IF(AND(ISNUMBER($AZ$592),$B$511=1),$AZ$592,HLOOKUP(INDIRECT(ADDRESS(2,COLUMN())),OFFSET($BN$2,0,0,ROW()-1,60),ROW()-1,FALSE))</f>
        <v/>
      </c>
      <c r="BA84" t="str">
        <f ca="1">IF(AND(ISNUMBER($BA$592),$B$511=1),$BA$592,HLOOKUP(INDIRECT(ADDRESS(2,COLUMN())),OFFSET($BN$2,0,0,ROW()-1,60),ROW()-1,FALSE))</f>
        <v/>
      </c>
      <c r="BB84" t="str">
        <f ca="1">IF(AND(ISNUMBER($BB$592),$B$511=1),$BB$592,HLOOKUP(INDIRECT(ADDRESS(2,COLUMN())),OFFSET($BN$2,0,0,ROW()-1,60),ROW()-1,FALSE))</f>
        <v/>
      </c>
      <c r="BC84" t="str">
        <f ca="1">IF(AND(ISNUMBER($BC$592),$B$511=1),$BC$592,HLOOKUP(INDIRECT(ADDRESS(2,COLUMN())),OFFSET($BN$2,0,0,ROW()-1,60),ROW()-1,FALSE))</f>
        <v/>
      </c>
      <c r="BD84" t="str">
        <f ca="1">IF(AND(ISNUMBER($BD$592),$B$511=1),$BD$592,HLOOKUP(INDIRECT(ADDRESS(2,COLUMN())),OFFSET($BN$2,0,0,ROW()-1,60),ROW()-1,FALSE))</f>
        <v/>
      </c>
      <c r="BE84" t="str">
        <f ca="1">IF(AND(ISNUMBER($BE$592),$B$511=1),$BE$592,HLOOKUP(INDIRECT(ADDRESS(2,COLUMN())),OFFSET($BN$2,0,0,ROW()-1,60),ROW()-1,FALSE))</f>
        <v/>
      </c>
      <c r="BF84" t="str">
        <f ca="1">IF(AND(ISNUMBER($BF$592),$B$511=1),$BF$592,HLOOKUP(INDIRECT(ADDRESS(2,COLUMN())),OFFSET($BN$2,0,0,ROW()-1,60),ROW()-1,FALSE))</f>
        <v/>
      </c>
      <c r="BG84" t="str">
        <f ca="1">IF(AND(ISNUMBER($BG$592),$B$511=1),$BG$592,HLOOKUP(INDIRECT(ADDRESS(2,COLUMN())),OFFSET($BN$2,0,0,ROW()-1,60),ROW()-1,FALSE))</f>
        <v/>
      </c>
      <c r="BH84" t="str">
        <f ca="1">IF(AND(ISNUMBER($BH$592),$B$511=1),$BH$592,HLOOKUP(INDIRECT(ADDRESS(2,COLUMN())),OFFSET($BN$2,0,0,ROW()-1,60),ROW()-1,FALSE))</f>
        <v/>
      </c>
      <c r="BI84" t="str">
        <f ca="1">IF(AND(ISNUMBER($BI$592),$B$511=1),$BI$592,HLOOKUP(INDIRECT(ADDRESS(2,COLUMN())),OFFSET($BN$2,0,0,ROW()-1,60),ROW()-1,FALSE))</f>
        <v/>
      </c>
      <c r="BJ84" t="str">
        <f ca="1">IF(AND(ISNUMBER($BJ$592),$B$511=1),$BJ$592,HLOOKUP(INDIRECT(ADDRESS(2,COLUMN())),OFFSET($BN$2,0,0,ROW()-1,60),ROW()-1,FALSE))</f>
        <v/>
      </c>
      <c r="BK84" t="str">
        <f ca="1">IF(AND(ISNUMBER($BK$592),$B$511=1),$BK$592,HLOOKUP(INDIRECT(ADDRESS(2,COLUMN())),OFFSET($BN$2,0,0,ROW()-1,60),ROW()-1,FALSE))</f>
        <v/>
      </c>
      <c r="BL84" t="str">
        <f ca="1">IF(AND(ISNUMBER($BL$592),$B$511=1),$BL$592,HLOOKUP(INDIRECT(ADDRESS(2,COLUMN())),OFFSET($BN$2,0,0,ROW()-1,60),ROW()-1,FALSE))</f>
        <v/>
      </c>
      <c r="BM84" t="str">
        <f ca="1">IF(AND(ISNUMBER($BM$592),$B$511=1),$BM$592,HLOOKUP(INDIRECT(ADDRESS(2,COLUMN())),OFFSET($BN$2,0,0,ROW()-1,60),ROW()-1,FALSE))</f>
        <v/>
      </c>
      <c r="BN84">
        <f>0.051</f>
        <v>5.0999999999999997E-2</v>
      </c>
      <c r="BO84">
        <f>0.051</f>
        <v>5.0999999999999997E-2</v>
      </c>
      <c r="BP84">
        <f>0.055</f>
        <v>5.5E-2</v>
      </c>
      <c r="BQ84">
        <f>0.057</f>
        <v>5.7000000000000002E-2</v>
      </c>
      <c r="BR84">
        <f>0.059</f>
        <v>5.8999999999999997E-2</v>
      </c>
      <c r="BS84">
        <f>0.058</f>
        <v>5.8000000000000003E-2</v>
      </c>
      <c r="BT84" t="str">
        <f>""</f>
        <v/>
      </c>
      <c r="BU84">
        <f>0.067</f>
        <v>6.7000000000000004E-2</v>
      </c>
      <c r="BV84">
        <f>0.065</f>
        <v>6.5000000000000002E-2</v>
      </c>
      <c r="BW84">
        <f>0.064</f>
        <v>6.4000000000000001E-2</v>
      </c>
      <c r="BX84">
        <f>0.063</f>
        <v>6.3E-2</v>
      </c>
      <c r="BY84">
        <f>0.062</f>
        <v>6.2E-2</v>
      </c>
      <c r="BZ84" t="str">
        <f>""</f>
        <v/>
      </c>
      <c r="CA84" t="str">
        <f>""</f>
        <v/>
      </c>
      <c r="CB84" t="str">
        <f>""</f>
        <v/>
      </c>
      <c r="CC84" t="str">
        <f>""</f>
        <v/>
      </c>
      <c r="CD84" t="str">
        <f>""</f>
        <v/>
      </c>
      <c r="CE84" t="str">
        <f>""</f>
        <v/>
      </c>
      <c r="CF84" t="str">
        <f>""</f>
        <v/>
      </c>
      <c r="CG84" t="str">
        <f>""</f>
        <v/>
      </c>
      <c r="CH84" t="str">
        <f>""</f>
        <v/>
      </c>
      <c r="CI84" t="str">
        <f>""</f>
        <v/>
      </c>
      <c r="CJ84" t="str">
        <f>""</f>
        <v/>
      </c>
      <c r="CK84" t="str">
        <f>""</f>
        <v/>
      </c>
      <c r="CL84" t="str">
        <f>""</f>
        <v/>
      </c>
      <c r="CM84" t="str">
        <f>""</f>
        <v/>
      </c>
      <c r="CN84" t="str">
        <f>""</f>
        <v/>
      </c>
      <c r="CO84" t="str">
        <f>""</f>
        <v/>
      </c>
      <c r="CP84" t="str">
        <f>""</f>
        <v/>
      </c>
      <c r="CQ84" t="str">
        <f>""</f>
        <v/>
      </c>
      <c r="CR84" t="str">
        <f>""</f>
        <v/>
      </c>
      <c r="CS84" t="str">
        <f>""</f>
        <v/>
      </c>
      <c r="CT84" t="str">
        <f>""</f>
        <v/>
      </c>
      <c r="CU84" t="str">
        <f>""</f>
        <v/>
      </c>
      <c r="CV84" t="str">
        <f>""</f>
        <v/>
      </c>
      <c r="CW84" t="str">
        <f>""</f>
        <v/>
      </c>
      <c r="CX84" t="str">
        <f>""</f>
        <v/>
      </c>
      <c r="CY84" t="str">
        <f>""</f>
        <v/>
      </c>
      <c r="CZ84" t="str">
        <f>""</f>
        <v/>
      </c>
      <c r="DA84" t="str">
        <f>""</f>
        <v/>
      </c>
      <c r="DB84" t="str">
        <f>""</f>
        <v/>
      </c>
      <c r="DC84" t="str">
        <f>""</f>
        <v/>
      </c>
      <c r="DD84" t="str">
        <f>""</f>
        <v/>
      </c>
      <c r="DE84" t="str">
        <f>""</f>
        <v/>
      </c>
      <c r="DF84" t="str">
        <f>""</f>
        <v/>
      </c>
      <c r="DG84" t="str">
        <f>""</f>
        <v/>
      </c>
      <c r="DH84" t="str">
        <f>""</f>
        <v/>
      </c>
      <c r="DI84" t="str">
        <f>""</f>
        <v/>
      </c>
      <c r="DJ84" t="str">
        <f>""</f>
        <v/>
      </c>
      <c r="DK84" t="str">
        <f>""</f>
        <v/>
      </c>
      <c r="DL84" t="str">
        <f>""</f>
        <v/>
      </c>
      <c r="DM84" t="str">
        <f>""</f>
        <v/>
      </c>
      <c r="DN84" t="str">
        <f>""</f>
        <v/>
      </c>
      <c r="DO84" t="str">
        <f>""</f>
        <v/>
      </c>
      <c r="DP84" t="str">
        <f>""</f>
        <v/>
      </c>
      <c r="DQ84" t="str">
        <f>""</f>
        <v/>
      </c>
      <c r="DR84" t="str">
        <f>""</f>
        <v/>
      </c>
      <c r="DS84" t="str">
        <f>""</f>
        <v/>
      </c>
      <c r="DT84" t="str">
        <f>""</f>
        <v/>
      </c>
      <c r="DU84" t="str">
        <f>""</f>
        <v/>
      </c>
    </row>
    <row r="85" spans="1:125" x14ac:dyDescent="0.25">
      <c r="A85" t="str">
        <f>"EPS FY2"</f>
        <v>EPS FY2</v>
      </c>
      <c r="B85" t="str">
        <f>"BRAUTOCV Index"</f>
        <v>BRAUTOCV Index</v>
      </c>
      <c r="E85" t="str">
        <f>"Average"</f>
        <v>Average</v>
      </c>
      <c r="F85">
        <f ca="1">IF(ISERROR(IF(AVERAGE($F$86:$F$125) = 0, "", AVERAGE($F$86:$F$125))), "", (IF(AVERAGE($F$86:$F$125) = 0, "", AVERAGE($F$86:$F$125))))</f>
        <v>4.1547352941176481</v>
      </c>
      <c r="G85">
        <f ca="1">IF(ISERROR(IF(AVERAGE($G$86:$G$125) = 0, "", AVERAGE($G$86:$G$125))), "", (IF(AVERAGE($G$86:$G$125) = 0, "", AVERAGE($G$86:$G$125))))</f>
        <v>4.491848484848485</v>
      </c>
      <c r="H85">
        <f ca="1">IF(ISERROR(IF(AVERAGE($H$86:$H$125) = 0, "", AVERAGE($H$86:$H$125))), "", (IF(AVERAGE($H$86:$H$125) = 0, "", AVERAGE($H$86:$H$125))))</f>
        <v>4.8655937500000004</v>
      </c>
      <c r="I85">
        <f ca="1">IF(ISERROR(IF(AVERAGE($I$86:$I$125) = 0, "", AVERAGE($I$86:$I$125))), "", (IF(AVERAGE($I$86:$I$125) = 0, "", AVERAGE($I$86:$I$125))))</f>
        <v>5.0320967741935485</v>
      </c>
      <c r="J85">
        <f ca="1">IF(ISERROR(IF(AVERAGE($J$86:$J$125) = 0, "", AVERAGE($J$86:$J$125))), "", (IF(AVERAGE($J$86:$J$125) = 0, "", AVERAGE($J$86:$J$125))))</f>
        <v>5.2732903225806442</v>
      </c>
      <c r="K85">
        <f ca="1">IF(ISERROR(IF(AVERAGE($K$86:$K$125) = 0, "", AVERAGE($K$86:$K$125))), "", (IF(AVERAGE($K$86:$K$125) = 0, "", AVERAGE($K$86:$K$125))))</f>
        <v>4.8331212121212124</v>
      </c>
      <c r="L85">
        <f ca="1">IF(ISERROR(IF(AVERAGE($L$86:$L$125) = 0, "", AVERAGE($L$86:$L$125))), "", (IF(AVERAGE($L$86:$L$125) = 0, "", AVERAGE($L$86:$L$125))))</f>
        <v>4.9207187500000007</v>
      </c>
      <c r="M85">
        <f ca="1">IF(ISERROR(IF(AVERAGE($M$86:$M$125) = 0, "", AVERAGE($M$86:$M$125))), "", (IF(AVERAGE($M$86:$M$125) = 0, "", AVERAGE($M$86:$M$125))))</f>
        <v>4.7276875</v>
      </c>
      <c r="N85">
        <f ca="1">IF(ISERROR(IF(AVERAGE($N$86:$N$125) = 0, "", AVERAGE($N$86:$N$125))), "", (IF(AVERAGE($N$86:$N$125) = 0, "", AVERAGE($N$86:$N$125))))</f>
        <v>4.8746</v>
      </c>
      <c r="O85">
        <f ca="1">IF(ISERROR(IF(AVERAGE($O$86:$O$125) = 0, "", AVERAGE($O$86:$O$125))), "", (IF(AVERAGE($O$86:$O$125) = 0, "", AVERAGE($O$86:$O$125))))</f>
        <v>5.1435714285714296</v>
      </c>
      <c r="P85">
        <f ca="1">IF(ISERROR(IF(AVERAGE($P$86:$P$125) = 0, "", AVERAGE($P$86:$P$125))), "", (IF(AVERAGE($P$86:$P$125) = 0, "", AVERAGE($P$86:$P$125))))</f>
        <v>7.1275000000000004</v>
      </c>
      <c r="Q85">
        <f ca="1">IF(ISERROR(IF(AVERAGE($Q$86:$Q$125) = 0, "", AVERAGE($Q$86:$Q$125))), "", (IF(AVERAGE($Q$86:$Q$125) = 0, "", AVERAGE($Q$86:$Q$125))))</f>
        <v>7.1483333333333325</v>
      </c>
      <c r="R85">
        <f ca="1">IF(ISERROR(IF(AVERAGE($R$86:$R$125) = 0, "", AVERAGE($R$86:$R$125))), "", (IF(AVERAGE($R$86:$R$125) = 0, "", AVERAGE($R$86:$R$125))))</f>
        <v>6.0977857142857141</v>
      </c>
      <c r="S85">
        <f ca="1">IF(ISERROR(IF(AVERAGE($S$86:$S$125) = 0, "", AVERAGE($S$86:$S$125))), "", (IF(AVERAGE($S$86:$S$125) = 0, "", AVERAGE($S$86:$S$125))))</f>
        <v>4.7107857142857146</v>
      </c>
      <c r="T85">
        <f ca="1">IF(ISERROR(IF(AVERAGE($T$86:$T$125) = 0, "", AVERAGE($T$86:$T$125))), "", (IF(AVERAGE($T$86:$T$125) = 0, "", AVERAGE($T$86:$T$125))))</f>
        <v>5.0218333333333325</v>
      </c>
      <c r="U85">
        <f ca="1">IF(ISERROR(IF(AVERAGE($U$86:$U$125) = 0, "", AVERAGE($U$86:$U$125))), "", (IF(AVERAGE($U$86:$U$125) = 0, "", AVERAGE($U$86:$U$125))))</f>
        <v>5.378400000000001</v>
      </c>
      <c r="V85">
        <f ca="1">IF(ISERROR(IF(AVERAGE($V$86:$V$125) = 0, "", AVERAGE($V$86:$V$125))), "", (IF(AVERAGE($V$86:$V$125) = 0, "", AVERAGE($V$86:$V$125))))</f>
        <v>6.4475999999999996</v>
      </c>
      <c r="W85">
        <f ca="1">IF(ISERROR(IF(AVERAGE($W$86:$W$125) = 0, "", AVERAGE($W$86:$W$125))), "", (IF(AVERAGE($W$86:$W$125) = 0, "", AVERAGE($W$86:$W$125))))</f>
        <v>9.9494999999999987</v>
      </c>
      <c r="X85">
        <f ca="1">IF(ISERROR(IF(AVERAGE($X$86:$X$125) = 0, "", AVERAGE($X$86:$X$125))), "", (IF(AVERAGE($X$86:$X$125) = 0, "", AVERAGE($X$86:$X$125))))</f>
        <v>10.129999999999999</v>
      </c>
      <c r="Y85">
        <f ca="1">IF(ISERROR(IF(AVERAGE($Y$86:$Y$125) = 0, "", AVERAGE($Y$86:$Y$125))), "", (IF(AVERAGE($Y$86:$Y$125) = 0, "", AVERAGE($Y$86:$Y$125))))</f>
        <v>9.2724999999999991</v>
      </c>
      <c r="Z85">
        <f ca="1">IF(ISERROR(IF(AVERAGE($Z$86:$Z$125) = 0, "", AVERAGE($Z$86:$Z$125))), "", (IF(AVERAGE($Z$86:$Z$125) = 0, "", AVERAGE($Z$86:$Z$125))))</f>
        <v>9.3985000000000003</v>
      </c>
      <c r="AA85">
        <f ca="1">IF(ISERROR(IF(AVERAGE($AA$86:$AA$125) = 0, "", AVERAGE($AA$86:$AA$125))), "", (IF(AVERAGE($AA$86:$AA$125) = 0, "", AVERAGE($AA$86:$AA$125))))</f>
        <v>16.88</v>
      </c>
      <c r="AB85">
        <f ca="1">IF(ISERROR(IF(AVERAGE($AB$86:$AB$125) = 0, "", AVERAGE($AB$86:$AB$125))), "", (IF(AVERAGE($AB$86:$AB$125) = 0, "", AVERAGE($AB$86:$AB$125))))</f>
        <v>11.622999999999999</v>
      </c>
      <c r="AC85">
        <f ca="1">IF(ISERROR(IF(AVERAGE($AC$86:$AC$125) = 0, "", AVERAGE($AC$86:$AC$125))), "", (IF(AVERAGE($AC$86:$AC$125) = 0, "", AVERAGE($AC$86:$AC$125))))</f>
        <v>7.98</v>
      </c>
      <c r="AD85">
        <f ca="1">IF(ISERROR(IF(AVERAGE($AD$86:$AD$125) = 0, "", AVERAGE($AD$86:$AD$125))), "", (IF(AVERAGE($AD$86:$AD$125) = 0, "", AVERAGE($AD$86:$AD$125))))</f>
        <v>8.5649999999999995</v>
      </c>
      <c r="AE85">
        <f ca="1">IF(ISERROR(IF(AVERAGE($AE$86:$AE$125) = 0, "", AVERAGE($AE$86:$AE$125))), "", (IF(AVERAGE($AE$86:$AE$125) = 0, "", AVERAGE($AE$86:$AE$125))))</f>
        <v>8.5250000000000004</v>
      </c>
      <c r="AF85">
        <f ca="1">IF(ISERROR(IF(AVERAGE($AF$86:$AF$125) = 0, "", AVERAGE($AF$86:$AF$125))), "", (IF(AVERAGE($AF$86:$AF$125) = 0, "", AVERAGE($AF$86:$AF$125))))</f>
        <v>13.15</v>
      </c>
      <c r="AG85">
        <f ca="1">IF(ISERROR(IF(AVERAGE($AG$86:$AG$125) = 0, "", AVERAGE($AG$86:$AG$125))), "", (IF(AVERAGE($AG$86:$AG$125) = 0, "", AVERAGE($AG$86:$AG$125))))</f>
        <v>12.75</v>
      </c>
      <c r="AH85">
        <f ca="1">IF(ISERROR(IF(AVERAGE($AH$86:$AH$125) = 0, "", AVERAGE($AH$86:$AH$125))), "", (IF(AVERAGE($AH$86:$AH$125) = 0, "", AVERAGE($AH$86:$AH$125))))</f>
        <v>5.681</v>
      </c>
      <c r="AI85" t="str">
        <f ca="1">IF(ISERROR(IF(AVERAGE($AI$86:$AI$125) = 0, "", AVERAGE($AI$86:$AI$125))), "", (IF(AVERAGE($AI$86:$AI$125) = 0, "", AVERAGE($AI$86:$AI$125))))</f>
        <v/>
      </c>
      <c r="AJ85" t="str">
        <f ca="1">IF(ISERROR(IF(AVERAGE($AJ$86:$AJ$125) = 0, "", AVERAGE($AJ$86:$AJ$125))), "", (IF(AVERAGE($AJ$86:$AJ$125) = 0, "", AVERAGE($AJ$86:$AJ$125))))</f>
        <v/>
      </c>
      <c r="AK85" t="str">
        <f ca="1">IF(ISERROR(IF(AVERAGE($AK$86:$AK$125) = 0, "", AVERAGE($AK$86:$AK$125))), "", (IF(AVERAGE($AK$86:$AK$125) = 0, "", AVERAGE($AK$86:$AK$125))))</f>
        <v/>
      </c>
      <c r="AL85" t="str">
        <f ca="1">IF(ISERROR(IF(AVERAGE($AL$86:$AL$125) = 0, "", AVERAGE($AL$86:$AL$125))), "", (IF(AVERAGE($AL$86:$AL$125) = 0, "", AVERAGE($AL$86:$AL$125))))</f>
        <v/>
      </c>
      <c r="AM85" t="str">
        <f ca="1">IF(ISERROR(IF(AVERAGE($AM$86:$AM$125) = 0, "", AVERAGE($AM$86:$AM$125))), "", (IF(AVERAGE($AM$86:$AM$125) = 0, "", AVERAGE($AM$86:$AM$125))))</f>
        <v/>
      </c>
      <c r="AN85" t="str">
        <f ca="1">IF(ISERROR(IF(AVERAGE($AN$86:$AN$125) = 0, "", AVERAGE($AN$86:$AN$125))), "", (IF(AVERAGE($AN$86:$AN$125) = 0, "", AVERAGE($AN$86:$AN$125))))</f>
        <v/>
      </c>
      <c r="AO85" t="str">
        <f ca="1">IF(ISERROR(IF(AVERAGE($AO$86:$AO$125) = 0, "", AVERAGE($AO$86:$AO$125))), "", (IF(AVERAGE($AO$86:$AO$125) = 0, "", AVERAGE($AO$86:$AO$125))))</f>
        <v/>
      </c>
      <c r="AP85" t="str">
        <f ca="1">IF(ISERROR(IF(AVERAGE($AP$86:$AP$125) = 0, "", AVERAGE($AP$86:$AP$125))), "", (IF(AVERAGE($AP$86:$AP$125) = 0, "", AVERAGE($AP$86:$AP$125))))</f>
        <v/>
      </c>
      <c r="AQ85" t="str">
        <f ca="1">IF(ISERROR(IF(AVERAGE($AQ$86:$AQ$125) = 0, "", AVERAGE($AQ$86:$AQ$125))), "", (IF(AVERAGE($AQ$86:$AQ$125) = 0, "", AVERAGE($AQ$86:$AQ$125))))</f>
        <v/>
      </c>
      <c r="AR85" t="str">
        <f ca="1">IF(ISERROR(IF(AVERAGE($AR$86:$AR$125) = 0, "", AVERAGE($AR$86:$AR$125))), "", (IF(AVERAGE($AR$86:$AR$125) = 0, "", AVERAGE($AR$86:$AR$125))))</f>
        <v/>
      </c>
      <c r="AS85" t="str">
        <f ca="1">IF(ISERROR(IF(AVERAGE($AS$86:$AS$125) = 0, "", AVERAGE($AS$86:$AS$125))), "", (IF(AVERAGE($AS$86:$AS$125) = 0, "", AVERAGE($AS$86:$AS$125))))</f>
        <v/>
      </c>
      <c r="AT85" t="str">
        <f ca="1">IF(ISERROR(IF(AVERAGE($AT$86:$AT$125) = 0, "", AVERAGE($AT$86:$AT$125))), "", (IF(AVERAGE($AT$86:$AT$125) = 0, "", AVERAGE($AT$86:$AT$125))))</f>
        <v/>
      </c>
      <c r="AU85" t="str">
        <f ca="1">IF(ISERROR(IF(AVERAGE($AU$86:$AU$125) = 0, "", AVERAGE($AU$86:$AU$125))), "", (IF(AVERAGE($AU$86:$AU$125) = 0, "", AVERAGE($AU$86:$AU$125))))</f>
        <v/>
      </c>
      <c r="AV85" t="str">
        <f ca="1">IF(ISERROR(IF(AVERAGE($AV$86:$AV$125) = 0, "", AVERAGE($AV$86:$AV$125))), "", (IF(AVERAGE($AV$86:$AV$125) = 0, "", AVERAGE($AV$86:$AV$125))))</f>
        <v/>
      </c>
      <c r="AW85" t="str">
        <f ca="1">IF(ISERROR(IF(AVERAGE($AW$86:$AW$125) = 0, "", AVERAGE($AW$86:$AW$125))), "", (IF(AVERAGE($AW$86:$AW$125) = 0, "", AVERAGE($AW$86:$AW$125))))</f>
        <v/>
      </c>
      <c r="AX85" t="str">
        <f ca="1">IF(ISERROR(IF(AVERAGE($AX$86:$AX$125) = 0, "", AVERAGE($AX$86:$AX$125))), "", (IF(AVERAGE($AX$86:$AX$125) = 0, "", AVERAGE($AX$86:$AX$125))))</f>
        <v/>
      </c>
      <c r="AY85" t="str">
        <f ca="1">IF(ISERROR(IF(AVERAGE($AY$86:$AY$125) = 0, "", AVERAGE($AY$86:$AY$125))), "", (IF(AVERAGE($AY$86:$AY$125) = 0, "", AVERAGE($AY$86:$AY$125))))</f>
        <v/>
      </c>
      <c r="AZ85" t="str">
        <f ca="1">IF(ISERROR(IF(AVERAGE($AZ$86:$AZ$125) = 0, "", AVERAGE($AZ$86:$AZ$125))), "", (IF(AVERAGE($AZ$86:$AZ$125) = 0, "", AVERAGE($AZ$86:$AZ$125))))</f>
        <v/>
      </c>
      <c r="BA85" t="str">
        <f ca="1">IF(ISERROR(IF(AVERAGE($BA$86:$BA$125) = 0, "", AVERAGE($BA$86:$BA$125))), "", (IF(AVERAGE($BA$86:$BA$125) = 0, "", AVERAGE($BA$86:$BA$125))))</f>
        <v/>
      </c>
      <c r="BB85" t="str">
        <f ca="1">IF(ISERROR(IF(AVERAGE($BB$86:$BB$125) = 0, "", AVERAGE($BB$86:$BB$125))), "", (IF(AVERAGE($BB$86:$BB$125) = 0, "", AVERAGE($BB$86:$BB$125))))</f>
        <v/>
      </c>
      <c r="BC85" t="str">
        <f ca="1">IF(ISERROR(IF(AVERAGE($BC$86:$BC$125) = 0, "", AVERAGE($BC$86:$BC$125))), "", (IF(AVERAGE($BC$86:$BC$125) = 0, "", AVERAGE($BC$86:$BC$125))))</f>
        <v/>
      </c>
      <c r="BD85" t="str">
        <f ca="1">IF(ISERROR(IF(AVERAGE($BD$86:$BD$125) = 0, "", AVERAGE($BD$86:$BD$125))), "", (IF(AVERAGE($BD$86:$BD$125) = 0, "", AVERAGE($BD$86:$BD$125))))</f>
        <v/>
      </c>
      <c r="BE85" t="str">
        <f ca="1">IF(ISERROR(IF(AVERAGE($BE$86:$BE$125) = 0, "", AVERAGE($BE$86:$BE$125))), "", (IF(AVERAGE($BE$86:$BE$125) = 0, "", AVERAGE($BE$86:$BE$125))))</f>
        <v/>
      </c>
      <c r="BF85" t="str">
        <f ca="1">IF(ISERROR(IF(AVERAGE($BF$86:$BF$125) = 0, "", AVERAGE($BF$86:$BF$125))), "", (IF(AVERAGE($BF$86:$BF$125) = 0, "", AVERAGE($BF$86:$BF$125))))</f>
        <v/>
      </c>
      <c r="BG85" t="str">
        <f ca="1">IF(ISERROR(IF(AVERAGE($BG$86:$BG$125) = 0, "", AVERAGE($BG$86:$BG$125))), "", (IF(AVERAGE($BG$86:$BG$125) = 0, "", AVERAGE($BG$86:$BG$125))))</f>
        <v/>
      </c>
      <c r="BH85" t="str">
        <f ca="1">IF(ISERROR(IF(AVERAGE($BH$86:$BH$125) = 0, "", AVERAGE($BH$86:$BH$125))), "", (IF(AVERAGE($BH$86:$BH$125) = 0, "", AVERAGE($BH$86:$BH$125))))</f>
        <v/>
      </c>
      <c r="BI85" t="str">
        <f ca="1">IF(ISERROR(IF(AVERAGE($BI$86:$BI$125) = 0, "", AVERAGE($BI$86:$BI$125))), "", (IF(AVERAGE($BI$86:$BI$125) = 0, "", AVERAGE($BI$86:$BI$125))))</f>
        <v/>
      </c>
      <c r="BJ85" t="str">
        <f ca="1">IF(ISERROR(IF(AVERAGE($BJ$86:$BJ$125) = 0, "", AVERAGE($BJ$86:$BJ$125))), "", (IF(AVERAGE($BJ$86:$BJ$125) = 0, "", AVERAGE($BJ$86:$BJ$125))))</f>
        <v/>
      </c>
      <c r="BK85" t="str">
        <f ca="1">IF(ISERROR(IF(AVERAGE($BK$86:$BK$125) = 0, "", AVERAGE($BK$86:$BK$125))), "", (IF(AVERAGE($BK$86:$BK$125) = 0, "", AVERAGE($BK$86:$BK$125))))</f>
        <v/>
      </c>
      <c r="BL85" t="str">
        <f ca="1">IF(ISERROR(IF(AVERAGE($BL$86:$BL$125) = 0, "", AVERAGE($BL$86:$BL$125))), "", (IF(AVERAGE($BL$86:$BL$125) = 0, "", AVERAGE($BL$86:$BL$125))))</f>
        <v/>
      </c>
      <c r="BM85" t="str">
        <f ca="1">IF(ISERROR(IF(AVERAGE($BM$86:$BM$125) = 0, "", AVERAGE($BM$86:$BM$125))), "", (IF(AVERAGE($BM$86:$BM$125) = 0, "", AVERAGE($BM$86:$BM$125))))</f>
        <v/>
      </c>
      <c r="BN85">
        <f>4.154735294</f>
        <v>4.154735294</v>
      </c>
      <c r="BO85">
        <f>4.491848485</f>
        <v>4.4918484850000002</v>
      </c>
      <c r="BP85">
        <f>4.86559375</f>
        <v>4.8655937500000004</v>
      </c>
      <c r="BQ85">
        <f>5.032096774</f>
        <v>5.0320967740000002</v>
      </c>
      <c r="BR85">
        <f>5.273290323</f>
        <v>5.2732903230000003</v>
      </c>
      <c r="BS85">
        <f>4.833121212</f>
        <v>4.833121212</v>
      </c>
      <c r="BT85">
        <f>4.92071875</f>
        <v>4.9207187499999998</v>
      </c>
      <c r="BU85">
        <f>4.7276875</f>
        <v>4.7276875</v>
      </c>
      <c r="BV85">
        <f>4.8746</f>
        <v>4.8746</v>
      </c>
      <c r="BW85">
        <f>5.143571429</f>
        <v>5.1435714289999996</v>
      </c>
      <c r="BX85">
        <f>7.1275</f>
        <v>7.1275000000000004</v>
      </c>
      <c r="BY85">
        <f>7.148333333</f>
        <v>7.1483333330000001</v>
      </c>
      <c r="BZ85">
        <f>6.097785714</f>
        <v>6.0977857139999996</v>
      </c>
      <c r="CA85">
        <f>4.710785714</f>
        <v>4.710785714</v>
      </c>
      <c r="CB85">
        <f>5.021833333</f>
        <v>5.021833333</v>
      </c>
      <c r="CC85">
        <f>5.3784</f>
        <v>5.3784000000000001</v>
      </c>
      <c r="CD85">
        <f>6.4476</f>
        <v>6.4476000000000004</v>
      </c>
      <c r="CE85">
        <f>9.9495</f>
        <v>9.9495000000000005</v>
      </c>
      <c r="CF85">
        <f>10.13</f>
        <v>10.130000000000001</v>
      </c>
      <c r="CG85">
        <f>9.2725</f>
        <v>9.2725000000000009</v>
      </c>
      <c r="CH85">
        <f>9.3985</f>
        <v>9.3985000000000003</v>
      </c>
      <c r="CI85">
        <f>16.88</f>
        <v>16.88</v>
      </c>
      <c r="CJ85">
        <f>11.623</f>
        <v>11.622999999999999</v>
      </c>
      <c r="CK85">
        <f>7.98</f>
        <v>7.98</v>
      </c>
      <c r="CL85">
        <f>8.565</f>
        <v>8.5649999999999995</v>
      </c>
      <c r="CM85">
        <f>8.525</f>
        <v>8.5250000000000004</v>
      </c>
      <c r="CN85">
        <f>13.15</f>
        <v>13.15</v>
      </c>
      <c r="CO85">
        <f>12.75</f>
        <v>12.75</v>
      </c>
      <c r="CP85">
        <f>5.681</f>
        <v>5.681</v>
      </c>
      <c r="CQ85" t="str">
        <f>""</f>
        <v/>
      </c>
      <c r="CR85" t="str">
        <f>""</f>
        <v/>
      </c>
      <c r="CS85" t="str">
        <f>""</f>
        <v/>
      </c>
      <c r="CT85" t="str">
        <f>""</f>
        <v/>
      </c>
      <c r="CU85" t="str">
        <f>""</f>
        <v/>
      </c>
      <c r="CV85" t="str">
        <f>""</f>
        <v/>
      </c>
      <c r="CW85" t="str">
        <f>""</f>
        <v/>
      </c>
      <c r="CX85" t="str">
        <f>""</f>
        <v/>
      </c>
      <c r="CY85" t="str">
        <f>""</f>
        <v/>
      </c>
      <c r="CZ85" t="str">
        <f>""</f>
        <v/>
      </c>
      <c r="DA85" t="str">
        <f>""</f>
        <v/>
      </c>
      <c r="DB85" t="str">
        <f>""</f>
        <v/>
      </c>
      <c r="DC85" t="str">
        <f>""</f>
        <v/>
      </c>
      <c r="DD85" t="str">
        <f>""</f>
        <v/>
      </c>
      <c r="DE85" t="str">
        <f>""</f>
        <v/>
      </c>
      <c r="DF85" t="str">
        <f>""</f>
        <v/>
      </c>
      <c r="DG85" t="str">
        <f>""</f>
        <v/>
      </c>
      <c r="DH85" t="str">
        <f>""</f>
        <v/>
      </c>
      <c r="DI85" t="str">
        <f>""</f>
        <v/>
      </c>
      <c r="DJ85" t="str">
        <f>""</f>
        <v/>
      </c>
      <c r="DK85" t="str">
        <f>""</f>
        <v/>
      </c>
      <c r="DL85" t="str">
        <f>""</f>
        <v/>
      </c>
      <c r="DM85" t="str">
        <f>""</f>
        <v/>
      </c>
      <c r="DN85" t="str">
        <f>""</f>
        <v/>
      </c>
      <c r="DO85" t="str">
        <f>""</f>
        <v/>
      </c>
      <c r="DP85" t="str">
        <f>""</f>
        <v/>
      </c>
      <c r="DQ85" t="str">
        <f>""</f>
        <v/>
      </c>
      <c r="DR85" t="str">
        <f>""</f>
        <v/>
      </c>
      <c r="DS85" t="str">
        <f>""</f>
        <v/>
      </c>
      <c r="DT85" t="str">
        <f>""</f>
        <v/>
      </c>
      <c r="DU85" t="str">
        <f>""</f>
        <v/>
      </c>
    </row>
    <row r="86" spans="1:125" x14ac:dyDescent="0.25">
      <c r="A86" t="str">
        <f>"    AUDI AG"</f>
        <v xml:space="preserve">    AUDI AG</v>
      </c>
      <c r="B86" t="str">
        <f>"NSU GR Equity"</f>
        <v>NSU GR Equity</v>
      </c>
      <c r="C86" t="str">
        <f t="shared" ref="C86:C125" si="6">"EZ021"</f>
        <v>EZ021</v>
      </c>
      <c r="D86" t="str">
        <f t="shared" ref="D86:D125" si="7">"BEST_EPS_NXT_YR"</f>
        <v>BEST_EPS_NXT_YR</v>
      </c>
      <c r="E86" t="str">
        <f t="shared" ref="E86:E125" si="8">"Dynamic"</f>
        <v>Dynamic</v>
      </c>
      <c r="F86" t="str">
        <f ca="1">IF(AND(ISNUMBER($F$593),$B$511=1),$F$593,HLOOKUP(INDIRECT(ADDRESS(2,COLUMN())),OFFSET($BN$2,0,0,ROW()-1,60),ROW()-1,FALSE))</f>
        <v/>
      </c>
      <c r="G86" t="str">
        <f ca="1">IF(AND(ISNUMBER($G$593),$B$511=1),$G$593,HLOOKUP(INDIRECT(ADDRESS(2,COLUMN())),OFFSET($BN$2,0,0,ROW()-1,60),ROW()-1,FALSE))</f>
        <v/>
      </c>
      <c r="H86" t="str">
        <f ca="1">IF(AND(ISNUMBER($H$593),$B$511=1),$H$593,HLOOKUP(INDIRECT(ADDRESS(2,COLUMN())),OFFSET($BN$2,0,0,ROW()-1,60),ROW()-1,FALSE))</f>
        <v/>
      </c>
      <c r="I86" t="str">
        <f ca="1">IF(AND(ISNUMBER($I$593),$B$511=1),$I$593,HLOOKUP(INDIRECT(ADDRESS(2,COLUMN())),OFFSET($BN$2,0,0,ROW()-1,60),ROW()-1,FALSE))</f>
        <v/>
      </c>
      <c r="J86" t="str">
        <f ca="1">IF(AND(ISNUMBER($J$593),$B$511=1),$J$593,HLOOKUP(INDIRECT(ADDRESS(2,COLUMN())),OFFSET($BN$2,0,0,ROW()-1,60),ROW()-1,FALSE))</f>
        <v/>
      </c>
      <c r="K86" t="str">
        <f ca="1">IF(AND(ISNUMBER($K$593),$B$511=1),$K$593,HLOOKUP(INDIRECT(ADDRESS(2,COLUMN())),OFFSET($BN$2,0,0,ROW()-1,60),ROW()-1,FALSE))</f>
        <v/>
      </c>
      <c r="L86" t="str">
        <f ca="1">IF(AND(ISNUMBER($L$593),$B$511=1),$L$593,HLOOKUP(INDIRECT(ADDRESS(2,COLUMN())),OFFSET($BN$2,0,0,ROW()-1,60),ROW()-1,FALSE))</f>
        <v/>
      </c>
      <c r="M86" t="str">
        <f ca="1">IF(AND(ISNUMBER($M$593),$B$511=1),$M$593,HLOOKUP(INDIRECT(ADDRESS(2,COLUMN())),OFFSET($BN$2,0,0,ROW()-1,60),ROW()-1,FALSE))</f>
        <v/>
      </c>
      <c r="N86" t="str">
        <f ca="1">IF(AND(ISNUMBER($N$593),$B$511=1),$N$593,HLOOKUP(INDIRECT(ADDRESS(2,COLUMN())),OFFSET($BN$2,0,0,ROW()-1,60),ROW()-1,FALSE))</f>
        <v/>
      </c>
      <c r="O86" t="str">
        <f ca="1">IF(AND(ISNUMBER($O$593),$B$511=1),$O$593,HLOOKUP(INDIRECT(ADDRESS(2,COLUMN())),OFFSET($BN$2,0,0,ROW()-1,60),ROW()-1,FALSE))</f>
        <v/>
      </c>
      <c r="P86" t="str">
        <f ca="1">IF(AND(ISNUMBER($P$593),$B$511=1),$P$593,HLOOKUP(INDIRECT(ADDRESS(2,COLUMN())),OFFSET($BN$2,0,0,ROW()-1,60),ROW()-1,FALSE))</f>
        <v/>
      </c>
      <c r="Q86" t="str">
        <f ca="1">IF(AND(ISNUMBER($Q$593),$B$511=1),$Q$593,HLOOKUP(INDIRECT(ADDRESS(2,COLUMN())),OFFSET($BN$2,0,0,ROW()-1,60),ROW()-1,FALSE))</f>
        <v/>
      </c>
      <c r="R86" t="str">
        <f ca="1">IF(AND(ISNUMBER($R$593),$B$511=1),$R$593,HLOOKUP(INDIRECT(ADDRESS(2,COLUMN())),OFFSET($BN$2,0,0,ROW()-1,60),ROW()-1,FALSE))</f>
        <v/>
      </c>
      <c r="S86" t="str">
        <f ca="1">IF(AND(ISNUMBER($S$593),$B$511=1),$S$593,HLOOKUP(INDIRECT(ADDRESS(2,COLUMN())),OFFSET($BN$2,0,0,ROW()-1,60),ROW()-1,FALSE))</f>
        <v/>
      </c>
      <c r="T86" t="str">
        <f ca="1">IF(AND(ISNUMBER($T$593),$B$511=1),$T$593,HLOOKUP(INDIRECT(ADDRESS(2,COLUMN())),OFFSET($BN$2,0,0,ROW()-1,60),ROW()-1,FALSE))</f>
        <v/>
      </c>
      <c r="U86" t="str">
        <f ca="1">IF(AND(ISNUMBER($U$593),$B$511=1),$U$593,HLOOKUP(INDIRECT(ADDRESS(2,COLUMN())),OFFSET($BN$2,0,0,ROW()-1,60),ROW()-1,FALSE))</f>
        <v/>
      </c>
      <c r="V86" t="str">
        <f ca="1">IF(AND(ISNUMBER($V$593),$B$511=1),$V$593,HLOOKUP(INDIRECT(ADDRESS(2,COLUMN())),OFFSET($BN$2,0,0,ROW()-1,60),ROW()-1,FALSE))</f>
        <v/>
      </c>
      <c r="W86" t="str">
        <f ca="1">IF(AND(ISNUMBER($W$593),$B$511=1),$W$593,HLOOKUP(INDIRECT(ADDRESS(2,COLUMN())),OFFSET($BN$2,0,0,ROW()-1,60),ROW()-1,FALSE))</f>
        <v/>
      </c>
      <c r="X86" t="str">
        <f ca="1">IF(AND(ISNUMBER($X$593),$B$511=1),$X$593,HLOOKUP(INDIRECT(ADDRESS(2,COLUMN())),OFFSET($BN$2,0,0,ROW()-1,60),ROW()-1,FALSE))</f>
        <v/>
      </c>
      <c r="Y86" t="str">
        <f ca="1">IF(AND(ISNUMBER($Y$593),$B$511=1),$Y$593,HLOOKUP(INDIRECT(ADDRESS(2,COLUMN())),OFFSET($BN$2,0,0,ROW()-1,60),ROW()-1,FALSE))</f>
        <v/>
      </c>
      <c r="Z86" t="str">
        <f ca="1">IF(AND(ISNUMBER($Z$593),$B$511=1),$Z$593,HLOOKUP(INDIRECT(ADDRESS(2,COLUMN())),OFFSET($BN$2,0,0,ROW()-1,60),ROW()-1,FALSE))</f>
        <v/>
      </c>
      <c r="AA86" t="str">
        <f ca="1">IF(AND(ISNUMBER($AA$593),$B$511=1),$AA$593,HLOOKUP(INDIRECT(ADDRESS(2,COLUMN())),OFFSET($BN$2,0,0,ROW()-1,60),ROW()-1,FALSE))</f>
        <v/>
      </c>
      <c r="AB86" t="str">
        <f ca="1">IF(AND(ISNUMBER($AB$593),$B$511=1),$AB$593,HLOOKUP(INDIRECT(ADDRESS(2,COLUMN())),OFFSET($BN$2,0,0,ROW()-1,60),ROW()-1,FALSE))</f>
        <v/>
      </c>
      <c r="AC86" t="str">
        <f ca="1">IF(AND(ISNUMBER($AC$593),$B$511=1),$AC$593,HLOOKUP(INDIRECT(ADDRESS(2,COLUMN())),OFFSET($BN$2,0,0,ROW()-1,60),ROW()-1,FALSE))</f>
        <v/>
      </c>
      <c r="AD86" t="str">
        <f ca="1">IF(AND(ISNUMBER($AD$593),$B$511=1),$AD$593,HLOOKUP(INDIRECT(ADDRESS(2,COLUMN())),OFFSET($BN$2,0,0,ROW()-1,60),ROW()-1,FALSE))</f>
        <v/>
      </c>
      <c r="AE86" t="str">
        <f ca="1">IF(AND(ISNUMBER($AE$593),$B$511=1),$AE$593,HLOOKUP(INDIRECT(ADDRESS(2,COLUMN())),OFFSET($BN$2,0,0,ROW()-1,60),ROW()-1,FALSE))</f>
        <v/>
      </c>
      <c r="AF86" t="str">
        <f ca="1">IF(AND(ISNUMBER($AF$593),$B$511=1),$AF$593,HLOOKUP(INDIRECT(ADDRESS(2,COLUMN())),OFFSET($BN$2,0,0,ROW()-1,60),ROW()-1,FALSE))</f>
        <v/>
      </c>
      <c r="AG86" t="str">
        <f ca="1">IF(AND(ISNUMBER($AG$593),$B$511=1),$AG$593,HLOOKUP(INDIRECT(ADDRESS(2,COLUMN())),OFFSET($BN$2,0,0,ROW()-1,60),ROW()-1,FALSE))</f>
        <v/>
      </c>
      <c r="AH86" t="str">
        <f ca="1">IF(AND(ISNUMBER($AH$593),$B$511=1),$AH$593,HLOOKUP(INDIRECT(ADDRESS(2,COLUMN())),OFFSET($BN$2,0,0,ROW()-1,60),ROW()-1,FALSE))</f>
        <v/>
      </c>
      <c r="AI86" t="str">
        <f ca="1">IF(AND(ISNUMBER($AI$593),$B$511=1),$AI$593,HLOOKUP(INDIRECT(ADDRESS(2,COLUMN())),OFFSET($BN$2,0,0,ROW()-1,60),ROW()-1,FALSE))</f>
        <v/>
      </c>
      <c r="AJ86" t="str">
        <f ca="1">IF(AND(ISNUMBER($AJ$593),$B$511=1),$AJ$593,HLOOKUP(INDIRECT(ADDRESS(2,COLUMN())),OFFSET($BN$2,0,0,ROW()-1,60),ROW()-1,FALSE))</f>
        <v/>
      </c>
      <c r="AK86" t="str">
        <f ca="1">IF(AND(ISNUMBER($AK$593),$B$511=1),$AK$593,HLOOKUP(INDIRECT(ADDRESS(2,COLUMN())),OFFSET($BN$2,0,0,ROW()-1,60),ROW()-1,FALSE))</f>
        <v/>
      </c>
      <c r="AL86" t="str">
        <f ca="1">IF(AND(ISNUMBER($AL$593),$B$511=1),$AL$593,HLOOKUP(INDIRECT(ADDRESS(2,COLUMN())),OFFSET($BN$2,0,0,ROW()-1,60),ROW()-1,FALSE))</f>
        <v/>
      </c>
      <c r="AM86" t="str">
        <f ca="1">IF(AND(ISNUMBER($AM$593),$B$511=1),$AM$593,HLOOKUP(INDIRECT(ADDRESS(2,COLUMN())),OFFSET($BN$2,0,0,ROW()-1,60),ROW()-1,FALSE))</f>
        <v/>
      </c>
      <c r="AN86" t="str">
        <f ca="1">IF(AND(ISNUMBER($AN$593),$B$511=1),$AN$593,HLOOKUP(INDIRECT(ADDRESS(2,COLUMN())),OFFSET($BN$2,0,0,ROW()-1,60),ROW()-1,FALSE))</f>
        <v/>
      </c>
      <c r="AO86" t="str">
        <f ca="1">IF(AND(ISNUMBER($AO$593),$B$511=1),$AO$593,HLOOKUP(INDIRECT(ADDRESS(2,COLUMN())),OFFSET($BN$2,0,0,ROW()-1,60),ROW()-1,FALSE))</f>
        <v/>
      </c>
      <c r="AP86" t="str">
        <f ca="1">IF(AND(ISNUMBER($AP$593),$B$511=1),$AP$593,HLOOKUP(INDIRECT(ADDRESS(2,COLUMN())),OFFSET($BN$2,0,0,ROW()-1,60),ROW()-1,FALSE))</f>
        <v/>
      </c>
      <c r="AQ86" t="str">
        <f ca="1">IF(AND(ISNUMBER($AQ$593),$B$511=1),$AQ$593,HLOOKUP(INDIRECT(ADDRESS(2,COLUMN())),OFFSET($BN$2,0,0,ROW()-1,60),ROW()-1,FALSE))</f>
        <v/>
      </c>
      <c r="AR86" t="str">
        <f ca="1">IF(AND(ISNUMBER($AR$593),$B$511=1),$AR$593,HLOOKUP(INDIRECT(ADDRESS(2,COLUMN())),OFFSET($BN$2,0,0,ROW()-1,60),ROW()-1,FALSE))</f>
        <v/>
      </c>
      <c r="AS86" t="str">
        <f ca="1">IF(AND(ISNUMBER($AS$593),$B$511=1),$AS$593,HLOOKUP(INDIRECT(ADDRESS(2,COLUMN())),OFFSET($BN$2,0,0,ROW()-1,60),ROW()-1,FALSE))</f>
        <v/>
      </c>
      <c r="AT86" t="str">
        <f ca="1">IF(AND(ISNUMBER($AT$593),$B$511=1),$AT$593,HLOOKUP(INDIRECT(ADDRESS(2,COLUMN())),OFFSET($BN$2,0,0,ROW()-1,60),ROW()-1,FALSE))</f>
        <v/>
      </c>
      <c r="AU86" t="str">
        <f ca="1">IF(AND(ISNUMBER($AU$593),$B$511=1),$AU$593,HLOOKUP(INDIRECT(ADDRESS(2,COLUMN())),OFFSET($BN$2,0,0,ROW()-1,60),ROW()-1,FALSE))</f>
        <v/>
      </c>
      <c r="AV86" t="str">
        <f ca="1">IF(AND(ISNUMBER($AV$593),$B$511=1),$AV$593,HLOOKUP(INDIRECT(ADDRESS(2,COLUMN())),OFFSET($BN$2,0,0,ROW()-1,60),ROW()-1,FALSE))</f>
        <v/>
      </c>
      <c r="AW86" t="str">
        <f ca="1">IF(AND(ISNUMBER($AW$593),$B$511=1),$AW$593,HLOOKUP(INDIRECT(ADDRESS(2,COLUMN())),OFFSET($BN$2,0,0,ROW()-1,60),ROW()-1,FALSE))</f>
        <v/>
      </c>
      <c r="AX86" t="str">
        <f ca="1">IF(AND(ISNUMBER($AX$593),$B$511=1),$AX$593,HLOOKUP(INDIRECT(ADDRESS(2,COLUMN())),OFFSET($BN$2,0,0,ROW()-1,60),ROW()-1,FALSE))</f>
        <v/>
      </c>
      <c r="AY86" t="str">
        <f ca="1">IF(AND(ISNUMBER($AY$593),$B$511=1),$AY$593,HLOOKUP(INDIRECT(ADDRESS(2,COLUMN())),OFFSET($BN$2,0,0,ROW()-1,60),ROW()-1,FALSE))</f>
        <v/>
      </c>
      <c r="AZ86" t="str">
        <f ca="1">IF(AND(ISNUMBER($AZ$593),$B$511=1),$AZ$593,HLOOKUP(INDIRECT(ADDRESS(2,COLUMN())),OFFSET($BN$2,0,0,ROW()-1,60),ROW()-1,FALSE))</f>
        <v/>
      </c>
      <c r="BA86" t="str">
        <f ca="1">IF(AND(ISNUMBER($BA$593),$B$511=1),$BA$593,HLOOKUP(INDIRECT(ADDRESS(2,COLUMN())),OFFSET($BN$2,0,0,ROW()-1,60),ROW()-1,FALSE))</f>
        <v/>
      </c>
      <c r="BB86" t="str">
        <f ca="1">IF(AND(ISNUMBER($BB$593),$B$511=1),$BB$593,HLOOKUP(INDIRECT(ADDRESS(2,COLUMN())),OFFSET($BN$2,0,0,ROW()-1,60),ROW()-1,FALSE))</f>
        <v/>
      </c>
      <c r="BC86" t="str">
        <f ca="1">IF(AND(ISNUMBER($BC$593),$B$511=1),$BC$593,HLOOKUP(INDIRECT(ADDRESS(2,COLUMN())),OFFSET($BN$2,0,0,ROW()-1,60),ROW()-1,FALSE))</f>
        <v/>
      </c>
      <c r="BD86" t="str">
        <f ca="1">IF(AND(ISNUMBER($BD$593),$B$511=1),$BD$593,HLOOKUP(INDIRECT(ADDRESS(2,COLUMN())),OFFSET($BN$2,0,0,ROW()-1,60),ROW()-1,FALSE))</f>
        <v/>
      </c>
      <c r="BE86" t="str">
        <f ca="1">IF(AND(ISNUMBER($BE$593),$B$511=1),$BE$593,HLOOKUP(INDIRECT(ADDRESS(2,COLUMN())),OFFSET($BN$2,0,0,ROW()-1,60),ROW()-1,FALSE))</f>
        <v/>
      </c>
      <c r="BF86" t="str">
        <f ca="1">IF(AND(ISNUMBER($BF$593),$B$511=1),$BF$593,HLOOKUP(INDIRECT(ADDRESS(2,COLUMN())),OFFSET($BN$2,0,0,ROW()-1,60),ROW()-1,FALSE))</f>
        <v/>
      </c>
      <c r="BG86" t="str">
        <f ca="1">IF(AND(ISNUMBER($BG$593),$B$511=1),$BG$593,HLOOKUP(INDIRECT(ADDRESS(2,COLUMN())),OFFSET($BN$2,0,0,ROW()-1,60),ROW()-1,FALSE))</f>
        <v/>
      </c>
      <c r="BH86" t="str">
        <f ca="1">IF(AND(ISNUMBER($BH$593),$B$511=1),$BH$593,HLOOKUP(INDIRECT(ADDRESS(2,COLUMN())),OFFSET($BN$2,0,0,ROW()-1,60),ROW()-1,FALSE))</f>
        <v/>
      </c>
      <c r="BI86" t="str">
        <f ca="1">IF(AND(ISNUMBER($BI$593),$B$511=1),$BI$593,HLOOKUP(INDIRECT(ADDRESS(2,COLUMN())),OFFSET($BN$2,0,0,ROW()-1,60),ROW()-1,FALSE))</f>
        <v/>
      </c>
      <c r="BJ86" t="str">
        <f ca="1">IF(AND(ISNUMBER($BJ$593),$B$511=1),$BJ$593,HLOOKUP(INDIRECT(ADDRESS(2,COLUMN())),OFFSET($BN$2,0,0,ROW()-1,60),ROW()-1,FALSE))</f>
        <v/>
      </c>
      <c r="BK86" t="str">
        <f ca="1">IF(AND(ISNUMBER($BK$593),$B$511=1),$BK$593,HLOOKUP(INDIRECT(ADDRESS(2,COLUMN())),OFFSET($BN$2,0,0,ROW()-1,60),ROW()-1,FALSE))</f>
        <v/>
      </c>
      <c r="BL86" t="str">
        <f ca="1">IF(AND(ISNUMBER($BL$593),$B$511=1),$BL$593,HLOOKUP(INDIRECT(ADDRESS(2,COLUMN())),OFFSET($BN$2,0,0,ROW()-1,60),ROW()-1,FALSE))</f>
        <v/>
      </c>
      <c r="BM86" t="str">
        <f ca="1">IF(AND(ISNUMBER($BM$593),$B$511=1),$BM$593,HLOOKUP(INDIRECT(ADDRESS(2,COLUMN())),OFFSET($BN$2,0,0,ROW()-1,60),ROW()-1,FALSE))</f>
        <v/>
      </c>
      <c r="BN86" t="str">
        <f>""</f>
        <v/>
      </c>
      <c r="BO86" t="str">
        <f>""</f>
        <v/>
      </c>
      <c r="BP86" t="str">
        <f>""</f>
        <v/>
      </c>
      <c r="BQ86" t="str">
        <f>""</f>
        <v/>
      </c>
      <c r="BR86" t="str">
        <f>""</f>
        <v/>
      </c>
      <c r="BS86" t="str">
        <f>""</f>
        <v/>
      </c>
      <c r="BT86" t="str">
        <f>""</f>
        <v/>
      </c>
      <c r="BU86" t="str">
        <f>""</f>
        <v/>
      </c>
      <c r="BV86" t="str">
        <f>""</f>
        <v/>
      </c>
      <c r="BW86" t="str">
        <f>""</f>
        <v/>
      </c>
      <c r="BX86" t="str">
        <f>""</f>
        <v/>
      </c>
      <c r="BY86" t="str">
        <f>""</f>
        <v/>
      </c>
      <c r="BZ86" t="str">
        <f>""</f>
        <v/>
      </c>
      <c r="CA86" t="str">
        <f>""</f>
        <v/>
      </c>
      <c r="CB86" t="str">
        <f>""</f>
        <v/>
      </c>
      <c r="CC86" t="str">
        <f>""</f>
        <v/>
      </c>
      <c r="CD86" t="str">
        <f>""</f>
        <v/>
      </c>
      <c r="CE86" t="str">
        <f>""</f>
        <v/>
      </c>
      <c r="CF86" t="str">
        <f>""</f>
        <v/>
      </c>
      <c r="CG86" t="str">
        <f>""</f>
        <v/>
      </c>
      <c r="CH86" t="str">
        <f>""</f>
        <v/>
      </c>
      <c r="CI86" t="str">
        <f>""</f>
        <v/>
      </c>
      <c r="CJ86" t="str">
        <f>""</f>
        <v/>
      </c>
      <c r="CK86" t="str">
        <f>""</f>
        <v/>
      </c>
      <c r="CL86" t="str">
        <f>""</f>
        <v/>
      </c>
      <c r="CM86" t="str">
        <f>""</f>
        <v/>
      </c>
      <c r="CN86" t="str">
        <f>""</f>
        <v/>
      </c>
      <c r="CO86" t="str">
        <f>""</f>
        <v/>
      </c>
      <c r="CP86" t="str">
        <f>""</f>
        <v/>
      </c>
      <c r="CQ86" t="str">
        <f>""</f>
        <v/>
      </c>
      <c r="CR86" t="str">
        <f>""</f>
        <v/>
      </c>
      <c r="CS86" t="str">
        <f>""</f>
        <v/>
      </c>
      <c r="CT86" t="str">
        <f>""</f>
        <v/>
      </c>
      <c r="CU86" t="str">
        <f>""</f>
        <v/>
      </c>
      <c r="CV86" t="str">
        <f>""</f>
        <v/>
      </c>
      <c r="CW86" t="str">
        <f>""</f>
        <v/>
      </c>
      <c r="CX86" t="str">
        <f>""</f>
        <v/>
      </c>
      <c r="CY86" t="str">
        <f>""</f>
        <v/>
      </c>
      <c r="CZ86" t="str">
        <f>""</f>
        <v/>
      </c>
      <c r="DA86" t="str">
        <f>""</f>
        <v/>
      </c>
      <c r="DB86" t="str">
        <f>""</f>
        <v/>
      </c>
      <c r="DC86" t="str">
        <f>""</f>
        <v/>
      </c>
      <c r="DD86" t="str">
        <f>""</f>
        <v/>
      </c>
      <c r="DE86" t="str">
        <f>""</f>
        <v/>
      </c>
      <c r="DF86" t="str">
        <f>""</f>
        <v/>
      </c>
      <c r="DG86" t="str">
        <f>""</f>
        <v/>
      </c>
      <c r="DH86" t="str">
        <f>""</f>
        <v/>
      </c>
      <c r="DI86" t="str">
        <f>""</f>
        <v/>
      </c>
      <c r="DJ86" t="str">
        <f>""</f>
        <v/>
      </c>
      <c r="DK86" t="str">
        <f>""</f>
        <v/>
      </c>
      <c r="DL86" t="str">
        <f>""</f>
        <v/>
      </c>
      <c r="DM86" t="str">
        <f>""</f>
        <v/>
      </c>
      <c r="DN86" t="str">
        <f>""</f>
        <v/>
      </c>
      <c r="DO86" t="str">
        <f>""</f>
        <v/>
      </c>
      <c r="DP86" t="str">
        <f>""</f>
        <v/>
      </c>
      <c r="DQ86" t="str">
        <f>""</f>
        <v/>
      </c>
      <c r="DR86" t="str">
        <f>""</f>
        <v/>
      </c>
      <c r="DS86" t="str">
        <f>""</f>
        <v/>
      </c>
      <c r="DT86" t="str">
        <f>""</f>
        <v/>
      </c>
      <c r="DU86" t="str">
        <f>""</f>
        <v/>
      </c>
    </row>
    <row r="87" spans="1:125" x14ac:dyDescent="0.25">
      <c r="A87" t="str">
        <f>"    Avtovaz PJSC"</f>
        <v xml:space="preserve">    Avtovaz PJSC</v>
      </c>
      <c r="B87" t="str">
        <f>"AVAZ RM Equity"</f>
        <v>AVAZ RM Equity</v>
      </c>
      <c r="C87" t="str">
        <f t="shared" si="6"/>
        <v>EZ021</v>
      </c>
      <c r="D87" t="str">
        <f t="shared" si="7"/>
        <v>BEST_EPS_NXT_YR</v>
      </c>
      <c r="E87" t="str">
        <f t="shared" si="8"/>
        <v>Dynamic</v>
      </c>
      <c r="F87" t="str">
        <f ca="1">IF(AND(ISNUMBER($F$594),$B$511=1),$F$594,HLOOKUP(INDIRECT(ADDRESS(2,COLUMN())),OFFSET($BN$2,0,0,ROW()-1,60),ROW()-1,FALSE))</f>
        <v/>
      </c>
      <c r="G87" t="str">
        <f ca="1">IF(AND(ISNUMBER($G$594),$B$511=1),$G$594,HLOOKUP(INDIRECT(ADDRESS(2,COLUMN())),OFFSET($BN$2,0,0,ROW()-1,60),ROW()-1,FALSE))</f>
        <v/>
      </c>
      <c r="H87" t="str">
        <f ca="1">IF(AND(ISNUMBER($H$594),$B$511=1),$H$594,HLOOKUP(INDIRECT(ADDRESS(2,COLUMN())),OFFSET($BN$2,0,0,ROW()-1,60),ROW()-1,FALSE))</f>
        <v/>
      </c>
      <c r="I87" t="str">
        <f ca="1">IF(AND(ISNUMBER($I$594),$B$511=1),$I$594,HLOOKUP(INDIRECT(ADDRESS(2,COLUMN())),OFFSET($BN$2,0,0,ROW()-1,60),ROW()-1,FALSE))</f>
        <v/>
      </c>
      <c r="J87" t="str">
        <f ca="1">IF(AND(ISNUMBER($J$594),$B$511=1),$J$594,HLOOKUP(INDIRECT(ADDRESS(2,COLUMN())),OFFSET($BN$2,0,0,ROW()-1,60),ROW()-1,FALSE))</f>
        <v/>
      </c>
      <c r="K87" t="str">
        <f ca="1">IF(AND(ISNUMBER($K$594),$B$511=1),$K$594,HLOOKUP(INDIRECT(ADDRESS(2,COLUMN())),OFFSET($BN$2,0,0,ROW()-1,60),ROW()-1,FALSE))</f>
        <v/>
      </c>
      <c r="L87" t="str">
        <f ca="1">IF(AND(ISNUMBER($L$594),$B$511=1),$L$594,HLOOKUP(INDIRECT(ADDRESS(2,COLUMN())),OFFSET($BN$2,0,0,ROW()-1,60),ROW()-1,FALSE))</f>
        <v/>
      </c>
      <c r="M87" t="str">
        <f ca="1">IF(AND(ISNUMBER($M$594),$B$511=1),$M$594,HLOOKUP(INDIRECT(ADDRESS(2,COLUMN())),OFFSET($BN$2,0,0,ROW()-1,60),ROW()-1,FALSE))</f>
        <v/>
      </c>
      <c r="N87" t="str">
        <f ca="1">IF(AND(ISNUMBER($N$594),$B$511=1),$N$594,HLOOKUP(INDIRECT(ADDRESS(2,COLUMN())),OFFSET($BN$2,0,0,ROW()-1,60),ROW()-1,FALSE))</f>
        <v/>
      </c>
      <c r="O87" t="str">
        <f ca="1">IF(AND(ISNUMBER($O$594),$B$511=1),$O$594,HLOOKUP(INDIRECT(ADDRESS(2,COLUMN())),OFFSET($BN$2,0,0,ROW()-1,60),ROW()-1,FALSE))</f>
        <v/>
      </c>
      <c r="P87" t="str">
        <f ca="1">IF(AND(ISNUMBER($P$594),$B$511=1),$P$594,HLOOKUP(INDIRECT(ADDRESS(2,COLUMN())),OFFSET($BN$2,0,0,ROW()-1,60),ROW()-1,FALSE))</f>
        <v/>
      </c>
      <c r="Q87" t="str">
        <f ca="1">IF(AND(ISNUMBER($Q$594),$B$511=1),$Q$594,HLOOKUP(INDIRECT(ADDRESS(2,COLUMN())),OFFSET($BN$2,0,0,ROW()-1,60),ROW()-1,FALSE))</f>
        <v/>
      </c>
      <c r="R87">
        <f ca="1">IF(AND(ISNUMBER($R$594),$B$511=1),$R$594,HLOOKUP(INDIRECT(ADDRESS(2,COLUMN())),OFFSET($BN$2,0,0,ROW()-1,60),ROW()-1,FALSE))</f>
        <v>0.11899999999999999</v>
      </c>
      <c r="S87">
        <f ca="1">IF(AND(ISNUMBER($S$594),$B$511=1),$S$594,HLOOKUP(INDIRECT(ADDRESS(2,COLUMN())),OFFSET($BN$2,0,0,ROW()-1,60),ROW()-1,FALSE))</f>
        <v>0.125</v>
      </c>
      <c r="T87" t="str">
        <f ca="1">IF(AND(ISNUMBER($T$594),$B$511=1),$T$594,HLOOKUP(INDIRECT(ADDRESS(2,COLUMN())),OFFSET($BN$2,0,0,ROW()-1,60),ROW()-1,FALSE))</f>
        <v/>
      </c>
      <c r="U87" t="str">
        <f ca="1">IF(AND(ISNUMBER($U$594),$B$511=1),$U$594,HLOOKUP(INDIRECT(ADDRESS(2,COLUMN())),OFFSET($BN$2,0,0,ROW()-1,60),ROW()-1,FALSE))</f>
        <v/>
      </c>
      <c r="V87">
        <f ca="1">IF(AND(ISNUMBER($V$594),$B$511=1),$V$594,HLOOKUP(INDIRECT(ADDRESS(2,COLUMN())),OFFSET($BN$2,0,0,ROW()-1,60),ROW()-1,FALSE))</f>
        <v>0.1</v>
      </c>
      <c r="W87" t="str">
        <f ca="1">IF(AND(ISNUMBER($W$594),$B$511=1),$W$594,HLOOKUP(INDIRECT(ADDRESS(2,COLUMN())),OFFSET($BN$2,0,0,ROW()-1,60),ROW()-1,FALSE))</f>
        <v/>
      </c>
      <c r="X87" t="str">
        <f ca="1">IF(AND(ISNUMBER($X$594),$B$511=1),$X$594,HLOOKUP(INDIRECT(ADDRESS(2,COLUMN())),OFFSET($BN$2,0,0,ROW()-1,60),ROW()-1,FALSE))</f>
        <v/>
      </c>
      <c r="Y87" t="str">
        <f ca="1">IF(AND(ISNUMBER($Y$594),$B$511=1),$Y$594,HLOOKUP(INDIRECT(ADDRESS(2,COLUMN())),OFFSET($BN$2,0,0,ROW()-1,60),ROW()-1,FALSE))</f>
        <v/>
      </c>
      <c r="Z87" t="str">
        <f ca="1">IF(AND(ISNUMBER($Z$594),$B$511=1),$Z$594,HLOOKUP(INDIRECT(ADDRESS(2,COLUMN())),OFFSET($BN$2,0,0,ROW()-1,60),ROW()-1,FALSE))</f>
        <v/>
      </c>
      <c r="AA87" t="str">
        <f ca="1">IF(AND(ISNUMBER($AA$594),$B$511=1),$AA$594,HLOOKUP(INDIRECT(ADDRESS(2,COLUMN())),OFFSET($BN$2,0,0,ROW()-1,60),ROW()-1,FALSE))</f>
        <v/>
      </c>
      <c r="AB87" t="str">
        <f ca="1">IF(AND(ISNUMBER($AB$594),$B$511=1),$AB$594,HLOOKUP(INDIRECT(ADDRESS(2,COLUMN())),OFFSET($BN$2,0,0,ROW()-1,60),ROW()-1,FALSE))</f>
        <v/>
      </c>
      <c r="AC87" t="str">
        <f ca="1">IF(AND(ISNUMBER($AC$594),$B$511=1),$AC$594,HLOOKUP(INDIRECT(ADDRESS(2,COLUMN())),OFFSET($BN$2,0,0,ROW()-1,60),ROW()-1,FALSE))</f>
        <v/>
      </c>
      <c r="AD87" t="str">
        <f ca="1">IF(AND(ISNUMBER($AD$594),$B$511=1),$AD$594,HLOOKUP(INDIRECT(ADDRESS(2,COLUMN())),OFFSET($BN$2,0,0,ROW()-1,60),ROW()-1,FALSE))</f>
        <v/>
      </c>
      <c r="AE87" t="str">
        <f ca="1">IF(AND(ISNUMBER($AE$594),$B$511=1),$AE$594,HLOOKUP(INDIRECT(ADDRESS(2,COLUMN())),OFFSET($BN$2,0,0,ROW()-1,60),ROW()-1,FALSE))</f>
        <v/>
      </c>
      <c r="AF87" t="str">
        <f ca="1">IF(AND(ISNUMBER($AF$594),$B$511=1),$AF$594,HLOOKUP(INDIRECT(ADDRESS(2,COLUMN())),OFFSET($BN$2,0,0,ROW()-1,60),ROW()-1,FALSE))</f>
        <v/>
      </c>
      <c r="AG87" t="str">
        <f ca="1">IF(AND(ISNUMBER($AG$594),$B$511=1),$AG$594,HLOOKUP(INDIRECT(ADDRESS(2,COLUMN())),OFFSET($BN$2,0,0,ROW()-1,60),ROW()-1,FALSE))</f>
        <v/>
      </c>
      <c r="AH87" t="str">
        <f ca="1">IF(AND(ISNUMBER($AH$594),$B$511=1),$AH$594,HLOOKUP(INDIRECT(ADDRESS(2,COLUMN())),OFFSET($BN$2,0,0,ROW()-1,60),ROW()-1,FALSE))</f>
        <v/>
      </c>
      <c r="AI87" t="str">
        <f ca="1">IF(AND(ISNUMBER($AI$594),$B$511=1),$AI$594,HLOOKUP(INDIRECT(ADDRESS(2,COLUMN())),OFFSET($BN$2,0,0,ROW()-1,60),ROW()-1,FALSE))</f>
        <v/>
      </c>
      <c r="AJ87" t="str">
        <f ca="1">IF(AND(ISNUMBER($AJ$594),$B$511=1),$AJ$594,HLOOKUP(INDIRECT(ADDRESS(2,COLUMN())),OFFSET($BN$2,0,0,ROW()-1,60),ROW()-1,FALSE))</f>
        <v/>
      </c>
      <c r="AK87" t="str">
        <f ca="1">IF(AND(ISNUMBER($AK$594),$B$511=1),$AK$594,HLOOKUP(INDIRECT(ADDRESS(2,COLUMN())),OFFSET($BN$2,0,0,ROW()-1,60),ROW()-1,FALSE))</f>
        <v/>
      </c>
      <c r="AL87" t="str">
        <f ca="1">IF(AND(ISNUMBER($AL$594),$B$511=1),$AL$594,HLOOKUP(INDIRECT(ADDRESS(2,COLUMN())),OFFSET($BN$2,0,0,ROW()-1,60),ROW()-1,FALSE))</f>
        <v/>
      </c>
      <c r="AM87" t="str">
        <f ca="1">IF(AND(ISNUMBER($AM$594),$B$511=1),$AM$594,HLOOKUP(INDIRECT(ADDRESS(2,COLUMN())),OFFSET($BN$2,0,0,ROW()-1,60),ROW()-1,FALSE))</f>
        <v/>
      </c>
      <c r="AN87" t="str">
        <f ca="1">IF(AND(ISNUMBER($AN$594),$B$511=1),$AN$594,HLOOKUP(INDIRECT(ADDRESS(2,COLUMN())),OFFSET($BN$2,0,0,ROW()-1,60),ROW()-1,FALSE))</f>
        <v/>
      </c>
      <c r="AO87" t="str">
        <f ca="1">IF(AND(ISNUMBER($AO$594),$B$511=1),$AO$594,HLOOKUP(INDIRECT(ADDRESS(2,COLUMN())),OFFSET($BN$2,0,0,ROW()-1,60),ROW()-1,FALSE))</f>
        <v/>
      </c>
      <c r="AP87" t="str">
        <f ca="1">IF(AND(ISNUMBER($AP$594),$B$511=1),$AP$594,HLOOKUP(INDIRECT(ADDRESS(2,COLUMN())),OFFSET($BN$2,0,0,ROW()-1,60),ROW()-1,FALSE))</f>
        <v/>
      </c>
      <c r="AQ87" t="str">
        <f ca="1">IF(AND(ISNUMBER($AQ$594),$B$511=1),$AQ$594,HLOOKUP(INDIRECT(ADDRESS(2,COLUMN())),OFFSET($BN$2,0,0,ROW()-1,60),ROW()-1,FALSE))</f>
        <v/>
      </c>
      <c r="AR87" t="str">
        <f ca="1">IF(AND(ISNUMBER($AR$594),$B$511=1),$AR$594,HLOOKUP(INDIRECT(ADDRESS(2,COLUMN())),OFFSET($BN$2,0,0,ROW()-1,60),ROW()-1,FALSE))</f>
        <v/>
      </c>
      <c r="AS87" t="str">
        <f ca="1">IF(AND(ISNUMBER($AS$594),$B$511=1),$AS$594,HLOOKUP(INDIRECT(ADDRESS(2,COLUMN())),OFFSET($BN$2,0,0,ROW()-1,60),ROW()-1,FALSE))</f>
        <v/>
      </c>
      <c r="AT87" t="str">
        <f ca="1">IF(AND(ISNUMBER($AT$594),$B$511=1),$AT$594,HLOOKUP(INDIRECT(ADDRESS(2,COLUMN())),OFFSET($BN$2,0,0,ROW()-1,60),ROW()-1,FALSE))</f>
        <v/>
      </c>
      <c r="AU87" t="str">
        <f ca="1">IF(AND(ISNUMBER($AU$594),$B$511=1),$AU$594,HLOOKUP(INDIRECT(ADDRESS(2,COLUMN())),OFFSET($BN$2,0,0,ROW()-1,60),ROW()-1,FALSE))</f>
        <v/>
      </c>
      <c r="AV87" t="str">
        <f ca="1">IF(AND(ISNUMBER($AV$594),$B$511=1),$AV$594,HLOOKUP(INDIRECT(ADDRESS(2,COLUMN())),OFFSET($BN$2,0,0,ROW()-1,60),ROW()-1,FALSE))</f>
        <v/>
      </c>
      <c r="AW87" t="str">
        <f ca="1">IF(AND(ISNUMBER($AW$594),$B$511=1),$AW$594,HLOOKUP(INDIRECT(ADDRESS(2,COLUMN())),OFFSET($BN$2,0,0,ROW()-1,60),ROW()-1,FALSE))</f>
        <v/>
      </c>
      <c r="AX87" t="str">
        <f ca="1">IF(AND(ISNUMBER($AX$594),$B$511=1),$AX$594,HLOOKUP(INDIRECT(ADDRESS(2,COLUMN())),OFFSET($BN$2,0,0,ROW()-1,60),ROW()-1,FALSE))</f>
        <v/>
      </c>
      <c r="AY87" t="str">
        <f ca="1">IF(AND(ISNUMBER($AY$594),$B$511=1),$AY$594,HLOOKUP(INDIRECT(ADDRESS(2,COLUMN())),OFFSET($BN$2,0,0,ROW()-1,60),ROW()-1,FALSE))</f>
        <v/>
      </c>
      <c r="AZ87" t="str">
        <f ca="1">IF(AND(ISNUMBER($AZ$594),$B$511=1),$AZ$594,HLOOKUP(INDIRECT(ADDRESS(2,COLUMN())),OFFSET($BN$2,0,0,ROW()-1,60),ROW()-1,FALSE))</f>
        <v/>
      </c>
      <c r="BA87" t="str">
        <f ca="1">IF(AND(ISNUMBER($BA$594),$B$511=1),$BA$594,HLOOKUP(INDIRECT(ADDRESS(2,COLUMN())),OFFSET($BN$2,0,0,ROW()-1,60),ROW()-1,FALSE))</f>
        <v/>
      </c>
      <c r="BB87" t="str">
        <f ca="1">IF(AND(ISNUMBER($BB$594),$B$511=1),$BB$594,HLOOKUP(INDIRECT(ADDRESS(2,COLUMN())),OFFSET($BN$2,0,0,ROW()-1,60),ROW()-1,FALSE))</f>
        <v/>
      </c>
      <c r="BC87" t="str">
        <f ca="1">IF(AND(ISNUMBER($BC$594),$B$511=1),$BC$594,HLOOKUP(INDIRECT(ADDRESS(2,COLUMN())),OFFSET($BN$2,0,0,ROW()-1,60),ROW()-1,FALSE))</f>
        <v/>
      </c>
      <c r="BD87" t="str">
        <f ca="1">IF(AND(ISNUMBER($BD$594),$B$511=1),$BD$594,HLOOKUP(INDIRECT(ADDRESS(2,COLUMN())),OFFSET($BN$2,0,0,ROW()-1,60),ROW()-1,FALSE))</f>
        <v/>
      </c>
      <c r="BE87" t="str">
        <f ca="1">IF(AND(ISNUMBER($BE$594),$B$511=1),$BE$594,HLOOKUP(INDIRECT(ADDRESS(2,COLUMN())),OFFSET($BN$2,0,0,ROW()-1,60),ROW()-1,FALSE))</f>
        <v/>
      </c>
      <c r="BF87" t="str">
        <f ca="1">IF(AND(ISNUMBER($BF$594),$B$511=1),$BF$594,HLOOKUP(INDIRECT(ADDRESS(2,COLUMN())),OFFSET($BN$2,0,0,ROW()-1,60),ROW()-1,FALSE))</f>
        <v/>
      </c>
      <c r="BG87" t="str">
        <f ca="1">IF(AND(ISNUMBER($BG$594),$B$511=1),$BG$594,HLOOKUP(INDIRECT(ADDRESS(2,COLUMN())),OFFSET($BN$2,0,0,ROW()-1,60),ROW()-1,FALSE))</f>
        <v/>
      </c>
      <c r="BH87" t="str">
        <f ca="1">IF(AND(ISNUMBER($BH$594),$B$511=1),$BH$594,HLOOKUP(INDIRECT(ADDRESS(2,COLUMN())),OFFSET($BN$2,0,0,ROW()-1,60),ROW()-1,FALSE))</f>
        <v/>
      </c>
      <c r="BI87" t="str">
        <f ca="1">IF(AND(ISNUMBER($BI$594),$B$511=1),$BI$594,HLOOKUP(INDIRECT(ADDRESS(2,COLUMN())),OFFSET($BN$2,0,0,ROW()-1,60),ROW()-1,FALSE))</f>
        <v/>
      </c>
      <c r="BJ87" t="str">
        <f ca="1">IF(AND(ISNUMBER($BJ$594),$B$511=1),$BJ$594,HLOOKUP(INDIRECT(ADDRESS(2,COLUMN())),OFFSET($BN$2,0,0,ROW()-1,60),ROW()-1,FALSE))</f>
        <v/>
      </c>
      <c r="BK87" t="str">
        <f ca="1">IF(AND(ISNUMBER($BK$594),$B$511=1),$BK$594,HLOOKUP(INDIRECT(ADDRESS(2,COLUMN())),OFFSET($BN$2,0,0,ROW()-1,60),ROW()-1,FALSE))</f>
        <v/>
      </c>
      <c r="BL87" t="str">
        <f ca="1">IF(AND(ISNUMBER($BL$594),$B$511=1),$BL$594,HLOOKUP(INDIRECT(ADDRESS(2,COLUMN())),OFFSET($BN$2,0,0,ROW()-1,60),ROW()-1,FALSE))</f>
        <v/>
      </c>
      <c r="BM87" t="str">
        <f ca="1">IF(AND(ISNUMBER($BM$594),$B$511=1),$BM$594,HLOOKUP(INDIRECT(ADDRESS(2,COLUMN())),OFFSET($BN$2,0,0,ROW()-1,60),ROW()-1,FALSE))</f>
        <v/>
      </c>
      <c r="BN87" t="str">
        <f>""</f>
        <v/>
      </c>
      <c r="BO87" t="str">
        <f>""</f>
        <v/>
      </c>
      <c r="BP87" t="str">
        <f>""</f>
        <v/>
      </c>
      <c r="BQ87" t="str">
        <f>""</f>
        <v/>
      </c>
      <c r="BR87" t="str">
        <f>""</f>
        <v/>
      </c>
      <c r="BS87" t="str">
        <f>""</f>
        <v/>
      </c>
      <c r="BT87" t="str">
        <f>""</f>
        <v/>
      </c>
      <c r="BU87" t="str">
        <f>""</f>
        <v/>
      </c>
      <c r="BV87" t="str">
        <f>""</f>
        <v/>
      </c>
      <c r="BW87" t="str">
        <f>""</f>
        <v/>
      </c>
      <c r="BX87" t="str">
        <f>""</f>
        <v/>
      </c>
      <c r="BY87" t="str">
        <f>""</f>
        <v/>
      </c>
      <c r="BZ87">
        <f>0.119</f>
        <v>0.11899999999999999</v>
      </c>
      <c r="CA87">
        <f>0.125</f>
        <v>0.125</v>
      </c>
      <c r="CB87" t="str">
        <f>""</f>
        <v/>
      </c>
      <c r="CC87" t="str">
        <f>""</f>
        <v/>
      </c>
      <c r="CD87">
        <f>0.1</f>
        <v>0.1</v>
      </c>
      <c r="CE87" t="str">
        <f>""</f>
        <v/>
      </c>
      <c r="CF87" t="str">
        <f>""</f>
        <v/>
      </c>
      <c r="CG87" t="str">
        <f>""</f>
        <v/>
      </c>
      <c r="CH87" t="str">
        <f>""</f>
        <v/>
      </c>
      <c r="CI87" t="str">
        <f>""</f>
        <v/>
      </c>
      <c r="CJ87" t="str">
        <f>""</f>
        <v/>
      </c>
      <c r="CK87" t="str">
        <f>""</f>
        <v/>
      </c>
      <c r="CL87" t="str">
        <f>""</f>
        <v/>
      </c>
      <c r="CM87" t="str">
        <f>""</f>
        <v/>
      </c>
      <c r="CN87" t="str">
        <f>""</f>
        <v/>
      </c>
      <c r="CO87" t="str">
        <f>""</f>
        <v/>
      </c>
      <c r="CP87" t="str">
        <f>""</f>
        <v/>
      </c>
      <c r="CQ87" t="str">
        <f>""</f>
        <v/>
      </c>
      <c r="CR87" t="str">
        <f>""</f>
        <v/>
      </c>
      <c r="CS87" t="str">
        <f>""</f>
        <v/>
      </c>
      <c r="CT87" t="str">
        <f>""</f>
        <v/>
      </c>
      <c r="CU87" t="str">
        <f>""</f>
        <v/>
      </c>
      <c r="CV87" t="str">
        <f>""</f>
        <v/>
      </c>
      <c r="CW87" t="str">
        <f>""</f>
        <v/>
      </c>
      <c r="CX87" t="str">
        <f>""</f>
        <v/>
      </c>
      <c r="CY87" t="str">
        <f>""</f>
        <v/>
      </c>
      <c r="CZ87" t="str">
        <f>""</f>
        <v/>
      </c>
      <c r="DA87" t="str">
        <f>""</f>
        <v/>
      </c>
      <c r="DB87" t="str">
        <f>""</f>
        <v/>
      </c>
      <c r="DC87" t="str">
        <f>""</f>
        <v/>
      </c>
      <c r="DD87" t="str">
        <f>""</f>
        <v/>
      </c>
      <c r="DE87" t="str">
        <f>""</f>
        <v/>
      </c>
      <c r="DF87" t="str">
        <f>""</f>
        <v/>
      </c>
      <c r="DG87" t="str">
        <f>""</f>
        <v/>
      </c>
      <c r="DH87" t="str">
        <f>""</f>
        <v/>
      </c>
      <c r="DI87" t="str">
        <f>""</f>
        <v/>
      </c>
      <c r="DJ87" t="str">
        <f>""</f>
        <v/>
      </c>
      <c r="DK87" t="str">
        <f>""</f>
        <v/>
      </c>
      <c r="DL87" t="str">
        <f>""</f>
        <v/>
      </c>
      <c r="DM87" t="str">
        <f>""</f>
        <v/>
      </c>
      <c r="DN87" t="str">
        <f>""</f>
        <v/>
      </c>
      <c r="DO87" t="str">
        <f>""</f>
        <v/>
      </c>
      <c r="DP87" t="str">
        <f>""</f>
        <v/>
      </c>
      <c r="DQ87" t="str">
        <f>""</f>
        <v/>
      </c>
      <c r="DR87" t="str">
        <f>""</f>
        <v/>
      </c>
      <c r="DS87" t="str">
        <f>""</f>
        <v/>
      </c>
      <c r="DT87" t="str">
        <f>""</f>
        <v/>
      </c>
      <c r="DU87" t="str">
        <f>""</f>
        <v/>
      </c>
    </row>
    <row r="88" spans="1:125" x14ac:dyDescent="0.25">
      <c r="A88" t="str">
        <f>"    Bayerische Motoren Werke AG"</f>
        <v xml:space="preserve">    Bayerische Motoren Werke AG</v>
      </c>
      <c r="B88" t="str">
        <f>"BMW GR Equity"</f>
        <v>BMW GR Equity</v>
      </c>
      <c r="C88" t="str">
        <f t="shared" si="6"/>
        <v>EZ021</v>
      </c>
      <c r="D88" t="str">
        <f t="shared" si="7"/>
        <v>BEST_EPS_NXT_YR</v>
      </c>
      <c r="E88" t="str">
        <f t="shared" si="8"/>
        <v>Dynamic</v>
      </c>
      <c r="F88">
        <f ca="1">IF(AND(ISNUMBER($F$595),$B$511=1),$F$595,HLOOKUP(INDIRECT(ADDRESS(2,COLUMN())),OFFSET($BN$2,0,0,ROW()-1,60),ROW()-1,FALSE))</f>
        <v>11.869</v>
      </c>
      <c r="G88">
        <f ca="1">IF(AND(ISNUMBER($G$595),$B$511=1),$G$595,HLOOKUP(INDIRECT(ADDRESS(2,COLUMN())),OFFSET($BN$2,0,0,ROW()-1,60),ROW()-1,FALSE))</f>
        <v>12.381</v>
      </c>
      <c r="H88">
        <f ca="1">IF(AND(ISNUMBER($H$595),$B$511=1),$H$595,HLOOKUP(INDIRECT(ADDRESS(2,COLUMN())),OFFSET($BN$2,0,0,ROW()-1,60),ROW()-1,FALSE))</f>
        <v>12.872</v>
      </c>
      <c r="I88">
        <f ca="1">IF(AND(ISNUMBER($I$595),$B$511=1),$I$595,HLOOKUP(INDIRECT(ADDRESS(2,COLUMN())),OFFSET($BN$2,0,0,ROW()-1,60),ROW()-1,FALSE))</f>
        <v>13.664999999999999</v>
      </c>
      <c r="J88">
        <f ca="1">IF(AND(ISNUMBER($J$595),$B$511=1),$J$595,HLOOKUP(INDIRECT(ADDRESS(2,COLUMN())),OFFSET($BN$2,0,0,ROW()-1,60),ROW()-1,FALSE))</f>
        <v>14.632999999999999</v>
      </c>
      <c r="K88">
        <f ca="1">IF(AND(ISNUMBER($K$595),$B$511=1),$K$595,HLOOKUP(INDIRECT(ADDRESS(2,COLUMN())),OFFSET($BN$2,0,0,ROW()-1,60),ROW()-1,FALSE))</f>
        <v>13.6</v>
      </c>
      <c r="L88">
        <f ca="1">IF(AND(ISNUMBER($L$595),$B$511=1),$L$595,HLOOKUP(INDIRECT(ADDRESS(2,COLUMN())),OFFSET($BN$2,0,0,ROW()-1,60),ROW()-1,FALSE))</f>
        <v>13.269</v>
      </c>
      <c r="M88">
        <f ca="1">IF(AND(ISNUMBER($M$595),$B$511=1),$M$595,HLOOKUP(INDIRECT(ADDRESS(2,COLUMN())),OFFSET($BN$2,0,0,ROW()-1,60),ROW()-1,FALSE))</f>
        <v>12.497999999999999</v>
      </c>
      <c r="N88">
        <f ca="1">IF(AND(ISNUMBER($N$595),$B$511=1),$N$595,HLOOKUP(INDIRECT(ADDRESS(2,COLUMN())),OFFSET($BN$2,0,0,ROW()-1,60),ROW()-1,FALSE))</f>
        <v>11.476000000000001</v>
      </c>
      <c r="O88">
        <f ca="1">IF(AND(ISNUMBER($O$595),$B$511=1),$O$595,HLOOKUP(INDIRECT(ADDRESS(2,COLUMN())),OFFSET($BN$2,0,0,ROW()-1,60),ROW()-1,FALSE))</f>
        <v>9.7080000000000002</v>
      </c>
      <c r="P88">
        <f ca="1">IF(AND(ISNUMBER($P$595),$B$511=1),$P$595,HLOOKUP(INDIRECT(ADDRESS(2,COLUMN())),OFFSET($BN$2,0,0,ROW()-1,60),ROW()-1,FALSE))</f>
        <v>11.515000000000001</v>
      </c>
      <c r="Q88">
        <f ca="1">IF(AND(ISNUMBER($Q$595),$B$511=1),$Q$595,HLOOKUP(INDIRECT(ADDRESS(2,COLUMN())),OFFSET($BN$2,0,0,ROW()-1,60),ROW()-1,FALSE))</f>
        <v>9.766</v>
      </c>
      <c r="R88">
        <f ca="1">IF(AND(ISNUMBER($R$595),$B$511=1),$R$595,HLOOKUP(INDIRECT(ADDRESS(2,COLUMN())),OFFSET($BN$2,0,0,ROW()-1,60),ROW()-1,FALSE))</f>
        <v>11.476000000000001</v>
      </c>
      <c r="S88">
        <f ca="1">IF(AND(ISNUMBER($S$595),$B$511=1),$S$595,HLOOKUP(INDIRECT(ADDRESS(2,COLUMN())),OFFSET($BN$2,0,0,ROW()-1,60),ROW()-1,FALSE))</f>
        <v>11.05</v>
      </c>
      <c r="T88">
        <f ca="1">IF(AND(ISNUMBER($T$595),$B$511=1),$T$595,HLOOKUP(INDIRECT(ADDRESS(2,COLUMN())),OFFSET($BN$2,0,0,ROW()-1,60),ROW()-1,FALSE))</f>
        <v>11.757999999999999</v>
      </c>
      <c r="U88">
        <f ca="1">IF(AND(ISNUMBER($U$595),$B$511=1),$U$595,HLOOKUP(INDIRECT(ADDRESS(2,COLUMN())),OFFSET($BN$2,0,0,ROW()-1,60),ROW()-1,FALSE))</f>
        <v>11.766</v>
      </c>
      <c r="V88">
        <f ca="1">IF(AND(ISNUMBER($V$595),$B$511=1),$V$595,HLOOKUP(INDIRECT(ADDRESS(2,COLUMN())),OFFSET($BN$2,0,0,ROW()-1,60),ROW()-1,FALSE))</f>
        <v>10.487</v>
      </c>
      <c r="W88" t="str">
        <f ca="1">IF(AND(ISNUMBER($W$595),$B$511=1),$W$595,HLOOKUP(INDIRECT(ADDRESS(2,COLUMN())),OFFSET($BN$2,0,0,ROW()-1,60),ROW()-1,FALSE))</f>
        <v/>
      </c>
      <c r="X88" t="str">
        <f ca="1">IF(AND(ISNUMBER($X$595),$B$511=1),$X$595,HLOOKUP(INDIRECT(ADDRESS(2,COLUMN())),OFFSET($BN$2,0,0,ROW()-1,60),ROW()-1,FALSE))</f>
        <v/>
      </c>
      <c r="Y88" t="str">
        <f ca="1">IF(AND(ISNUMBER($Y$595),$B$511=1),$Y$595,HLOOKUP(INDIRECT(ADDRESS(2,COLUMN())),OFFSET($BN$2,0,0,ROW()-1,60),ROW()-1,FALSE))</f>
        <v/>
      </c>
      <c r="Z88" t="str">
        <f ca="1">IF(AND(ISNUMBER($Z$595),$B$511=1),$Z$595,HLOOKUP(INDIRECT(ADDRESS(2,COLUMN())),OFFSET($BN$2,0,0,ROW()-1,60),ROW()-1,FALSE))</f>
        <v/>
      </c>
      <c r="AA88" t="str">
        <f ca="1">IF(AND(ISNUMBER($AA$595),$B$511=1),$AA$595,HLOOKUP(INDIRECT(ADDRESS(2,COLUMN())),OFFSET($BN$2,0,0,ROW()-1,60),ROW()-1,FALSE))</f>
        <v/>
      </c>
      <c r="AB88" t="str">
        <f ca="1">IF(AND(ISNUMBER($AB$595),$B$511=1),$AB$595,HLOOKUP(INDIRECT(ADDRESS(2,COLUMN())),OFFSET($BN$2,0,0,ROW()-1,60),ROW()-1,FALSE))</f>
        <v/>
      </c>
      <c r="AC88" t="str">
        <f ca="1">IF(AND(ISNUMBER($AC$595),$B$511=1),$AC$595,HLOOKUP(INDIRECT(ADDRESS(2,COLUMN())),OFFSET($BN$2,0,0,ROW()-1,60),ROW()-1,FALSE))</f>
        <v/>
      </c>
      <c r="AD88" t="str">
        <f ca="1">IF(AND(ISNUMBER($AD$595),$B$511=1),$AD$595,HLOOKUP(INDIRECT(ADDRESS(2,COLUMN())),OFFSET($BN$2,0,0,ROW()-1,60),ROW()-1,FALSE))</f>
        <v/>
      </c>
      <c r="AE88" t="str">
        <f ca="1">IF(AND(ISNUMBER($AE$595),$B$511=1),$AE$595,HLOOKUP(INDIRECT(ADDRESS(2,COLUMN())),OFFSET($BN$2,0,0,ROW()-1,60),ROW()-1,FALSE))</f>
        <v/>
      </c>
      <c r="AF88" t="str">
        <f ca="1">IF(AND(ISNUMBER($AF$595),$B$511=1),$AF$595,HLOOKUP(INDIRECT(ADDRESS(2,COLUMN())),OFFSET($BN$2,0,0,ROW()-1,60),ROW()-1,FALSE))</f>
        <v/>
      </c>
      <c r="AG88" t="str">
        <f ca="1">IF(AND(ISNUMBER($AG$595),$B$511=1),$AG$595,HLOOKUP(INDIRECT(ADDRESS(2,COLUMN())),OFFSET($BN$2,0,0,ROW()-1,60),ROW()-1,FALSE))</f>
        <v/>
      </c>
      <c r="AH88" t="str">
        <f ca="1">IF(AND(ISNUMBER($AH$595),$B$511=1),$AH$595,HLOOKUP(INDIRECT(ADDRESS(2,COLUMN())),OFFSET($BN$2,0,0,ROW()-1,60),ROW()-1,FALSE))</f>
        <v/>
      </c>
      <c r="AI88" t="str">
        <f ca="1">IF(AND(ISNUMBER($AI$595),$B$511=1),$AI$595,HLOOKUP(INDIRECT(ADDRESS(2,COLUMN())),OFFSET($BN$2,0,0,ROW()-1,60),ROW()-1,FALSE))</f>
        <v/>
      </c>
      <c r="AJ88" t="str">
        <f ca="1">IF(AND(ISNUMBER($AJ$595),$B$511=1),$AJ$595,HLOOKUP(INDIRECT(ADDRESS(2,COLUMN())),OFFSET($BN$2,0,0,ROW()-1,60),ROW()-1,FALSE))</f>
        <v/>
      </c>
      <c r="AK88" t="str">
        <f ca="1">IF(AND(ISNUMBER($AK$595),$B$511=1),$AK$595,HLOOKUP(INDIRECT(ADDRESS(2,COLUMN())),OFFSET($BN$2,0,0,ROW()-1,60),ROW()-1,FALSE))</f>
        <v/>
      </c>
      <c r="AL88" t="str">
        <f ca="1">IF(AND(ISNUMBER($AL$595),$B$511=1),$AL$595,HLOOKUP(INDIRECT(ADDRESS(2,COLUMN())),OFFSET($BN$2,0,0,ROW()-1,60),ROW()-1,FALSE))</f>
        <v/>
      </c>
      <c r="AM88" t="str">
        <f ca="1">IF(AND(ISNUMBER($AM$595),$B$511=1),$AM$595,HLOOKUP(INDIRECT(ADDRESS(2,COLUMN())),OFFSET($BN$2,0,0,ROW()-1,60),ROW()-1,FALSE))</f>
        <v/>
      </c>
      <c r="AN88" t="str">
        <f ca="1">IF(AND(ISNUMBER($AN$595),$B$511=1),$AN$595,HLOOKUP(INDIRECT(ADDRESS(2,COLUMN())),OFFSET($BN$2,0,0,ROW()-1,60),ROW()-1,FALSE))</f>
        <v/>
      </c>
      <c r="AO88" t="str">
        <f ca="1">IF(AND(ISNUMBER($AO$595),$B$511=1),$AO$595,HLOOKUP(INDIRECT(ADDRESS(2,COLUMN())),OFFSET($BN$2,0,0,ROW()-1,60),ROW()-1,FALSE))</f>
        <v/>
      </c>
      <c r="AP88" t="str">
        <f ca="1">IF(AND(ISNUMBER($AP$595),$B$511=1),$AP$595,HLOOKUP(INDIRECT(ADDRESS(2,COLUMN())),OFFSET($BN$2,0,0,ROW()-1,60),ROW()-1,FALSE))</f>
        <v/>
      </c>
      <c r="AQ88" t="str">
        <f ca="1">IF(AND(ISNUMBER($AQ$595),$B$511=1),$AQ$595,HLOOKUP(INDIRECT(ADDRESS(2,COLUMN())),OFFSET($BN$2,0,0,ROW()-1,60),ROW()-1,FALSE))</f>
        <v/>
      </c>
      <c r="AR88" t="str">
        <f ca="1">IF(AND(ISNUMBER($AR$595),$B$511=1),$AR$595,HLOOKUP(INDIRECT(ADDRESS(2,COLUMN())),OFFSET($BN$2,0,0,ROW()-1,60),ROW()-1,FALSE))</f>
        <v/>
      </c>
      <c r="AS88" t="str">
        <f ca="1">IF(AND(ISNUMBER($AS$595),$B$511=1),$AS$595,HLOOKUP(INDIRECT(ADDRESS(2,COLUMN())),OFFSET($BN$2,0,0,ROW()-1,60),ROW()-1,FALSE))</f>
        <v/>
      </c>
      <c r="AT88" t="str">
        <f ca="1">IF(AND(ISNUMBER($AT$595),$B$511=1),$AT$595,HLOOKUP(INDIRECT(ADDRESS(2,COLUMN())),OFFSET($BN$2,0,0,ROW()-1,60),ROW()-1,FALSE))</f>
        <v/>
      </c>
      <c r="AU88" t="str">
        <f ca="1">IF(AND(ISNUMBER($AU$595),$B$511=1),$AU$595,HLOOKUP(INDIRECT(ADDRESS(2,COLUMN())),OFFSET($BN$2,0,0,ROW()-1,60),ROW()-1,FALSE))</f>
        <v/>
      </c>
      <c r="AV88" t="str">
        <f ca="1">IF(AND(ISNUMBER($AV$595),$B$511=1),$AV$595,HLOOKUP(INDIRECT(ADDRESS(2,COLUMN())),OFFSET($BN$2,0,0,ROW()-1,60),ROW()-1,FALSE))</f>
        <v/>
      </c>
      <c r="AW88" t="str">
        <f ca="1">IF(AND(ISNUMBER($AW$595),$B$511=1),$AW$595,HLOOKUP(INDIRECT(ADDRESS(2,COLUMN())),OFFSET($BN$2,0,0,ROW()-1,60),ROW()-1,FALSE))</f>
        <v/>
      </c>
      <c r="AX88" t="str">
        <f ca="1">IF(AND(ISNUMBER($AX$595),$B$511=1),$AX$595,HLOOKUP(INDIRECT(ADDRESS(2,COLUMN())),OFFSET($BN$2,0,0,ROW()-1,60),ROW()-1,FALSE))</f>
        <v/>
      </c>
      <c r="AY88" t="str">
        <f ca="1">IF(AND(ISNUMBER($AY$595),$B$511=1),$AY$595,HLOOKUP(INDIRECT(ADDRESS(2,COLUMN())),OFFSET($BN$2,0,0,ROW()-1,60),ROW()-1,FALSE))</f>
        <v/>
      </c>
      <c r="AZ88" t="str">
        <f ca="1">IF(AND(ISNUMBER($AZ$595),$B$511=1),$AZ$595,HLOOKUP(INDIRECT(ADDRESS(2,COLUMN())),OFFSET($BN$2,0,0,ROW()-1,60),ROW()-1,FALSE))</f>
        <v/>
      </c>
      <c r="BA88" t="str">
        <f ca="1">IF(AND(ISNUMBER($BA$595),$B$511=1),$BA$595,HLOOKUP(INDIRECT(ADDRESS(2,COLUMN())),OFFSET($BN$2,0,0,ROW()-1,60),ROW()-1,FALSE))</f>
        <v/>
      </c>
      <c r="BB88" t="str">
        <f ca="1">IF(AND(ISNUMBER($BB$595),$B$511=1),$BB$595,HLOOKUP(INDIRECT(ADDRESS(2,COLUMN())),OFFSET($BN$2,0,0,ROW()-1,60),ROW()-1,FALSE))</f>
        <v/>
      </c>
      <c r="BC88" t="str">
        <f ca="1">IF(AND(ISNUMBER($BC$595),$B$511=1),$BC$595,HLOOKUP(INDIRECT(ADDRESS(2,COLUMN())),OFFSET($BN$2,0,0,ROW()-1,60),ROW()-1,FALSE))</f>
        <v/>
      </c>
      <c r="BD88" t="str">
        <f ca="1">IF(AND(ISNUMBER($BD$595),$B$511=1),$BD$595,HLOOKUP(INDIRECT(ADDRESS(2,COLUMN())),OFFSET($BN$2,0,0,ROW()-1,60),ROW()-1,FALSE))</f>
        <v/>
      </c>
      <c r="BE88" t="str">
        <f ca="1">IF(AND(ISNUMBER($BE$595),$B$511=1),$BE$595,HLOOKUP(INDIRECT(ADDRESS(2,COLUMN())),OFFSET($BN$2,0,0,ROW()-1,60),ROW()-1,FALSE))</f>
        <v/>
      </c>
      <c r="BF88" t="str">
        <f ca="1">IF(AND(ISNUMBER($BF$595),$B$511=1),$BF$595,HLOOKUP(INDIRECT(ADDRESS(2,COLUMN())),OFFSET($BN$2,0,0,ROW()-1,60),ROW()-1,FALSE))</f>
        <v/>
      </c>
      <c r="BG88" t="str">
        <f ca="1">IF(AND(ISNUMBER($BG$595),$B$511=1),$BG$595,HLOOKUP(INDIRECT(ADDRESS(2,COLUMN())),OFFSET($BN$2,0,0,ROW()-1,60),ROW()-1,FALSE))</f>
        <v/>
      </c>
      <c r="BH88" t="str">
        <f ca="1">IF(AND(ISNUMBER($BH$595),$B$511=1),$BH$595,HLOOKUP(INDIRECT(ADDRESS(2,COLUMN())),OFFSET($BN$2,0,0,ROW()-1,60),ROW()-1,FALSE))</f>
        <v/>
      </c>
      <c r="BI88" t="str">
        <f ca="1">IF(AND(ISNUMBER($BI$595),$B$511=1),$BI$595,HLOOKUP(INDIRECT(ADDRESS(2,COLUMN())),OFFSET($BN$2,0,0,ROW()-1,60),ROW()-1,FALSE))</f>
        <v/>
      </c>
      <c r="BJ88" t="str">
        <f ca="1">IF(AND(ISNUMBER($BJ$595),$B$511=1),$BJ$595,HLOOKUP(INDIRECT(ADDRESS(2,COLUMN())),OFFSET($BN$2,0,0,ROW()-1,60),ROW()-1,FALSE))</f>
        <v/>
      </c>
      <c r="BK88" t="str">
        <f ca="1">IF(AND(ISNUMBER($BK$595),$B$511=1),$BK$595,HLOOKUP(INDIRECT(ADDRESS(2,COLUMN())),OFFSET($BN$2,0,0,ROW()-1,60),ROW()-1,FALSE))</f>
        <v/>
      </c>
      <c r="BL88" t="str">
        <f ca="1">IF(AND(ISNUMBER($BL$595),$B$511=1),$BL$595,HLOOKUP(INDIRECT(ADDRESS(2,COLUMN())),OFFSET($BN$2,0,0,ROW()-1,60),ROW()-1,FALSE))</f>
        <v/>
      </c>
      <c r="BM88" t="str">
        <f ca="1">IF(AND(ISNUMBER($BM$595),$B$511=1),$BM$595,HLOOKUP(INDIRECT(ADDRESS(2,COLUMN())),OFFSET($BN$2,0,0,ROW()-1,60),ROW()-1,FALSE))</f>
        <v/>
      </c>
      <c r="BN88">
        <f>11.869</f>
        <v>11.869</v>
      </c>
      <c r="BO88">
        <f>12.381</f>
        <v>12.381</v>
      </c>
      <c r="BP88">
        <f>12.872</f>
        <v>12.872</v>
      </c>
      <c r="BQ88">
        <f>13.665</f>
        <v>13.664999999999999</v>
      </c>
      <c r="BR88">
        <f>14.633</f>
        <v>14.632999999999999</v>
      </c>
      <c r="BS88">
        <f>13.6</f>
        <v>13.6</v>
      </c>
      <c r="BT88">
        <f>13.269</f>
        <v>13.269</v>
      </c>
      <c r="BU88">
        <f>12.498</f>
        <v>12.497999999999999</v>
      </c>
      <c r="BV88">
        <f>11.476</f>
        <v>11.476000000000001</v>
      </c>
      <c r="BW88">
        <f>9.708</f>
        <v>9.7080000000000002</v>
      </c>
      <c r="BX88">
        <f>11.515</f>
        <v>11.515000000000001</v>
      </c>
      <c r="BY88">
        <f>9.766</f>
        <v>9.766</v>
      </c>
      <c r="BZ88">
        <f>11.476</f>
        <v>11.476000000000001</v>
      </c>
      <c r="CA88">
        <f>11.05</f>
        <v>11.05</v>
      </c>
      <c r="CB88">
        <f>11.758</f>
        <v>11.757999999999999</v>
      </c>
      <c r="CC88">
        <f>11.766</f>
        <v>11.766</v>
      </c>
      <c r="CD88">
        <f>10.487</f>
        <v>10.487</v>
      </c>
      <c r="CE88" t="str">
        <f>""</f>
        <v/>
      </c>
      <c r="CF88" t="str">
        <f>""</f>
        <v/>
      </c>
      <c r="CG88" t="str">
        <f>""</f>
        <v/>
      </c>
      <c r="CH88" t="str">
        <f>""</f>
        <v/>
      </c>
      <c r="CI88" t="str">
        <f>""</f>
        <v/>
      </c>
      <c r="CJ88" t="str">
        <f>""</f>
        <v/>
      </c>
      <c r="CK88" t="str">
        <f>""</f>
        <v/>
      </c>
      <c r="CL88" t="str">
        <f>""</f>
        <v/>
      </c>
      <c r="CM88" t="str">
        <f>""</f>
        <v/>
      </c>
      <c r="CN88" t="str">
        <f>""</f>
        <v/>
      </c>
      <c r="CO88" t="str">
        <f>""</f>
        <v/>
      </c>
      <c r="CP88" t="str">
        <f>""</f>
        <v/>
      </c>
      <c r="CQ88" t="str">
        <f>""</f>
        <v/>
      </c>
      <c r="CR88" t="str">
        <f>""</f>
        <v/>
      </c>
      <c r="CS88" t="str">
        <f>""</f>
        <v/>
      </c>
      <c r="CT88" t="str">
        <f>""</f>
        <v/>
      </c>
      <c r="CU88" t="str">
        <f>""</f>
        <v/>
      </c>
      <c r="CV88" t="str">
        <f>""</f>
        <v/>
      </c>
      <c r="CW88" t="str">
        <f>""</f>
        <v/>
      </c>
      <c r="CX88" t="str">
        <f>""</f>
        <v/>
      </c>
      <c r="CY88" t="str">
        <f>""</f>
        <v/>
      </c>
      <c r="CZ88" t="str">
        <f>""</f>
        <v/>
      </c>
      <c r="DA88" t="str">
        <f>""</f>
        <v/>
      </c>
      <c r="DB88" t="str">
        <f>""</f>
        <v/>
      </c>
      <c r="DC88" t="str">
        <f>""</f>
        <v/>
      </c>
      <c r="DD88" t="str">
        <f>""</f>
        <v/>
      </c>
      <c r="DE88" t="str">
        <f>""</f>
        <v/>
      </c>
      <c r="DF88" t="str">
        <f>""</f>
        <v/>
      </c>
      <c r="DG88" t="str">
        <f>""</f>
        <v/>
      </c>
      <c r="DH88" t="str">
        <f>""</f>
        <v/>
      </c>
      <c r="DI88" t="str">
        <f>""</f>
        <v/>
      </c>
      <c r="DJ88" t="str">
        <f>""</f>
        <v/>
      </c>
      <c r="DK88" t="str">
        <f>""</f>
        <v/>
      </c>
      <c r="DL88" t="str">
        <f>""</f>
        <v/>
      </c>
      <c r="DM88" t="str">
        <f>""</f>
        <v/>
      </c>
      <c r="DN88" t="str">
        <f>""</f>
        <v/>
      </c>
      <c r="DO88" t="str">
        <f>""</f>
        <v/>
      </c>
      <c r="DP88" t="str">
        <f>""</f>
        <v/>
      </c>
      <c r="DQ88" t="str">
        <f>""</f>
        <v/>
      </c>
      <c r="DR88" t="str">
        <f>""</f>
        <v/>
      </c>
      <c r="DS88" t="str">
        <f>""</f>
        <v/>
      </c>
      <c r="DT88" t="str">
        <f>""</f>
        <v/>
      </c>
      <c r="DU88" t="str">
        <f>""</f>
        <v/>
      </c>
    </row>
    <row r="89" spans="1:125" x14ac:dyDescent="0.25">
      <c r="A89" t="str">
        <f>"    Brilliance China Automotive Holdings Ltd"</f>
        <v xml:space="preserve">    Brilliance China Automotive Holdings Ltd</v>
      </c>
      <c r="B89" t="str">
        <f>"1114 HK Equity"</f>
        <v>1114 HK Equity</v>
      </c>
      <c r="C89" t="str">
        <f t="shared" si="6"/>
        <v>EZ021</v>
      </c>
      <c r="D89" t="str">
        <f t="shared" si="7"/>
        <v>BEST_EPS_NXT_YR</v>
      </c>
      <c r="E89" t="str">
        <f t="shared" si="8"/>
        <v>Dynamic</v>
      </c>
      <c r="F89">
        <f ca="1">IF(AND(ISNUMBER($F$596),$B$511=1),$F$596,HLOOKUP(INDIRECT(ADDRESS(2,COLUMN())),OFFSET($BN$2,0,0,ROW()-1,60),ROW()-1,FALSE))</f>
        <v>0.221</v>
      </c>
      <c r="G89">
        <f ca="1">IF(AND(ISNUMBER($G$596),$B$511=1),$G$596,HLOOKUP(INDIRECT(ADDRESS(2,COLUMN())),OFFSET($BN$2,0,0,ROW()-1,60),ROW()-1,FALSE))</f>
        <v>0.22</v>
      </c>
      <c r="H89">
        <f ca="1">IF(AND(ISNUMBER($H$596),$B$511=1),$H$596,HLOOKUP(INDIRECT(ADDRESS(2,COLUMN())),OFFSET($BN$2,0,0,ROW()-1,60),ROW()-1,FALSE))</f>
        <v>0.23699999999999999</v>
      </c>
      <c r="I89">
        <f ca="1">IF(AND(ISNUMBER($I$596),$B$511=1),$I$596,HLOOKUP(INDIRECT(ADDRESS(2,COLUMN())),OFFSET($BN$2,0,0,ROW()-1,60),ROW()-1,FALSE))</f>
        <v>0.25800000000000001</v>
      </c>
      <c r="J89">
        <f ca="1">IF(AND(ISNUMBER($J$596),$B$511=1),$J$596,HLOOKUP(INDIRECT(ADDRESS(2,COLUMN())),OFFSET($BN$2,0,0,ROW()-1,60),ROW()-1,FALSE))</f>
        <v>0.28799999999999998</v>
      </c>
      <c r="K89">
        <f ca="1">IF(AND(ISNUMBER($K$596),$B$511=1),$K$596,HLOOKUP(INDIRECT(ADDRESS(2,COLUMN())),OFFSET($BN$2,0,0,ROW()-1,60),ROW()-1,FALSE))</f>
        <v>0.29599999999999999</v>
      </c>
      <c r="L89">
        <f ca="1">IF(AND(ISNUMBER($L$596),$B$511=1),$L$596,HLOOKUP(INDIRECT(ADDRESS(2,COLUMN())),OFFSET($BN$2,0,0,ROW()-1,60),ROW()-1,FALSE))</f>
        <v>0.28899999999999998</v>
      </c>
      <c r="M89">
        <f ca="1">IF(AND(ISNUMBER($M$596),$B$511=1),$M$596,HLOOKUP(INDIRECT(ADDRESS(2,COLUMN())),OFFSET($BN$2,0,0,ROW()-1,60),ROW()-1,FALSE))</f>
        <v>0.22800000000000001</v>
      </c>
      <c r="N89">
        <f ca="1">IF(AND(ISNUMBER($N$596),$B$511=1),$N$596,HLOOKUP(INDIRECT(ADDRESS(2,COLUMN())),OFFSET($BN$2,0,0,ROW()-1,60),ROW()-1,FALSE))</f>
        <v>0.224</v>
      </c>
      <c r="O89">
        <f ca="1">IF(AND(ISNUMBER($O$596),$B$511=1),$O$596,HLOOKUP(INDIRECT(ADDRESS(2,COLUMN())),OFFSET($BN$2,0,0,ROW()-1,60),ROW()-1,FALSE))</f>
        <v>0.19600000000000001</v>
      </c>
      <c r="P89" t="str">
        <f ca="1">IF(AND(ISNUMBER($P$596),$B$511=1),$P$596,HLOOKUP(INDIRECT(ADDRESS(2,COLUMN())),OFFSET($BN$2,0,0,ROW()-1,60),ROW()-1,FALSE))</f>
        <v/>
      </c>
      <c r="Q89" t="str">
        <f ca="1">IF(AND(ISNUMBER($Q$596),$B$511=1),$Q$596,HLOOKUP(INDIRECT(ADDRESS(2,COLUMN())),OFFSET($BN$2,0,0,ROW()-1,60),ROW()-1,FALSE))</f>
        <v/>
      </c>
      <c r="R89" t="str">
        <f ca="1">IF(AND(ISNUMBER($R$596),$B$511=1),$R$596,HLOOKUP(INDIRECT(ADDRESS(2,COLUMN())),OFFSET($BN$2,0,0,ROW()-1,60),ROW()-1,FALSE))</f>
        <v/>
      </c>
      <c r="S89" t="str">
        <f ca="1">IF(AND(ISNUMBER($S$596),$B$511=1),$S$596,HLOOKUP(INDIRECT(ADDRESS(2,COLUMN())),OFFSET($BN$2,0,0,ROW()-1,60),ROW()-1,FALSE))</f>
        <v/>
      </c>
      <c r="T89" t="str">
        <f ca="1">IF(AND(ISNUMBER($T$596),$B$511=1),$T$596,HLOOKUP(INDIRECT(ADDRESS(2,COLUMN())),OFFSET($BN$2,0,0,ROW()-1,60),ROW()-1,FALSE))</f>
        <v/>
      </c>
      <c r="U89" t="str">
        <f ca="1">IF(AND(ISNUMBER($U$596),$B$511=1),$U$596,HLOOKUP(INDIRECT(ADDRESS(2,COLUMN())),OFFSET($BN$2,0,0,ROW()-1,60),ROW()-1,FALSE))</f>
        <v/>
      </c>
      <c r="V89" t="str">
        <f ca="1">IF(AND(ISNUMBER($V$596),$B$511=1),$V$596,HLOOKUP(INDIRECT(ADDRESS(2,COLUMN())),OFFSET($BN$2,0,0,ROW()-1,60),ROW()-1,FALSE))</f>
        <v/>
      </c>
      <c r="W89" t="str">
        <f ca="1">IF(AND(ISNUMBER($W$596),$B$511=1),$W$596,HLOOKUP(INDIRECT(ADDRESS(2,COLUMN())),OFFSET($BN$2,0,0,ROW()-1,60),ROW()-1,FALSE))</f>
        <v/>
      </c>
      <c r="X89" t="str">
        <f ca="1">IF(AND(ISNUMBER($X$596),$B$511=1),$X$596,HLOOKUP(INDIRECT(ADDRESS(2,COLUMN())),OFFSET($BN$2,0,0,ROW()-1,60),ROW()-1,FALSE))</f>
        <v/>
      </c>
      <c r="Y89" t="str">
        <f ca="1">IF(AND(ISNUMBER($Y$596),$B$511=1),$Y$596,HLOOKUP(INDIRECT(ADDRESS(2,COLUMN())),OFFSET($BN$2,0,0,ROW()-1,60),ROW()-1,FALSE))</f>
        <v/>
      </c>
      <c r="Z89" t="str">
        <f ca="1">IF(AND(ISNUMBER($Z$596),$B$511=1),$Z$596,HLOOKUP(INDIRECT(ADDRESS(2,COLUMN())),OFFSET($BN$2,0,0,ROW()-1,60),ROW()-1,FALSE))</f>
        <v/>
      </c>
      <c r="AA89" t="str">
        <f ca="1">IF(AND(ISNUMBER($AA$596),$B$511=1),$AA$596,HLOOKUP(INDIRECT(ADDRESS(2,COLUMN())),OFFSET($BN$2,0,0,ROW()-1,60),ROW()-1,FALSE))</f>
        <v/>
      </c>
      <c r="AB89" t="str">
        <f ca="1">IF(AND(ISNUMBER($AB$596),$B$511=1),$AB$596,HLOOKUP(INDIRECT(ADDRESS(2,COLUMN())),OFFSET($BN$2,0,0,ROW()-1,60),ROW()-1,FALSE))</f>
        <v/>
      </c>
      <c r="AC89" t="str">
        <f ca="1">IF(AND(ISNUMBER($AC$596),$B$511=1),$AC$596,HLOOKUP(INDIRECT(ADDRESS(2,COLUMN())),OFFSET($BN$2,0,0,ROW()-1,60),ROW()-1,FALSE))</f>
        <v/>
      </c>
      <c r="AD89" t="str">
        <f ca="1">IF(AND(ISNUMBER($AD$596),$B$511=1),$AD$596,HLOOKUP(INDIRECT(ADDRESS(2,COLUMN())),OFFSET($BN$2,0,0,ROW()-1,60),ROW()-1,FALSE))</f>
        <v/>
      </c>
      <c r="AE89" t="str">
        <f ca="1">IF(AND(ISNUMBER($AE$596),$B$511=1),$AE$596,HLOOKUP(INDIRECT(ADDRESS(2,COLUMN())),OFFSET($BN$2,0,0,ROW()-1,60),ROW()-1,FALSE))</f>
        <v/>
      </c>
      <c r="AF89" t="str">
        <f ca="1">IF(AND(ISNUMBER($AF$596),$B$511=1),$AF$596,HLOOKUP(INDIRECT(ADDRESS(2,COLUMN())),OFFSET($BN$2,0,0,ROW()-1,60),ROW()-1,FALSE))</f>
        <v/>
      </c>
      <c r="AG89" t="str">
        <f ca="1">IF(AND(ISNUMBER($AG$596),$B$511=1),$AG$596,HLOOKUP(INDIRECT(ADDRESS(2,COLUMN())),OFFSET($BN$2,0,0,ROW()-1,60),ROW()-1,FALSE))</f>
        <v/>
      </c>
      <c r="AH89" t="str">
        <f ca="1">IF(AND(ISNUMBER($AH$596),$B$511=1),$AH$596,HLOOKUP(INDIRECT(ADDRESS(2,COLUMN())),OFFSET($BN$2,0,0,ROW()-1,60),ROW()-1,FALSE))</f>
        <v/>
      </c>
      <c r="AI89" t="str">
        <f ca="1">IF(AND(ISNUMBER($AI$596),$B$511=1),$AI$596,HLOOKUP(INDIRECT(ADDRESS(2,COLUMN())),OFFSET($BN$2,0,0,ROW()-1,60),ROW()-1,FALSE))</f>
        <v/>
      </c>
      <c r="AJ89" t="str">
        <f ca="1">IF(AND(ISNUMBER($AJ$596),$B$511=1),$AJ$596,HLOOKUP(INDIRECT(ADDRESS(2,COLUMN())),OFFSET($BN$2,0,0,ROW()-1,60),ROW()-1,FALSE))</f>
        <v/>
      </c>
      <c r="AK89" t="str">
        <f ca="1">IF(AND(ISNUMBER($AK$596),$B$511=1),$AK$596,HLOOKUP(INDIRECT(ADDRESS(2,COLUMN())),OFFSET($BN$2,0,0,ROW()-1,60),ROW()-1,FALSE))</f>
        <v/>
      </c>
      <c r="AL89" t="str">
        <f ca="1">IF(AND(ISNUMBER($AL$596),$B$511=1),$AL$596,HLOOKUP(INDIRECT(ADDRESS(2,COLUMN())),OFFSET($BN$2,0,0,ROW()-1,60),ROW()-1,FALSE))</f>
        <v/>
      </c>
      <c r="AM89" t="str">
        <f ca="1">IF(AND(ISNUMBER($AM$596),$B$511=1),$AM$596,HLOOKUP(INDIRECT(ADDRESS(2,COLUMN())),OFFSET($BN$2,0,0,ROW()-1,60),ROW()-1,FALSE))</f>
        <v/>
      </c>
      <c r="AN89" t="str">
        <f ca="1">IF(AND(ISNUMBER($AN$596),$B$511=1),$AN$596,HLOOKUP(INDIRECT(ADDRESS(2,COLUMN())),OFFSET($BN$2,0,0,ROW()-1,60),ROW()-1,FALSE))</f>
        <v/>
      </c>
      <c r="AO89" t="str">
        <f ca="1">IF(AND(ISNUMBER($AO$596),$B$511=1),$AO$596,HLOOKUP(INDIRECT(ADDRESS(2,COLUMN())),OFFSET($BN$2,0,0,ROW()-1,60),ROW()-1,FALSE))</f>
        <v/>
      </c>
      <c r="AP89" t="str">
        <f ca="1">IF(AND(ISNUMBER($AP$596),$B$511=1),$AP$596,HLOOKUP(INDIRECT(ADDRESS(2,COLUMN())),OFFSET($BN$2,0,0,ROW()-1,60),ROW()-1,FALSE))</f>
        <v/>
      </c>
      <c r="AQ89" t="str">
        <f ca="1">IF(AND(ISNUMBER($AQ$596),$B$511=1),$AQ$596,HLOOKUP(INDIRECT(ADDRESS(2,COLUMN())),OFFSET($BN$2,0,0,ROW()-1,60),ROW()-1,FALSE))</f>
        <v/>
      </c>
      <c r="AR89" t="str">
        <f ca="1">IF(AND(ISNUMBER($AR$596),$B$511=1),$AR$596,HLOOKUP(INDIRECT(ADDRESS(2,COLUMN())),OFFSET($BN$2,0,0,ROW()-1,60),ROW()-1,FALSE))</f>
        <v/>
      </c>
      <c r="AS89" t="str">
        <f ca="1">IF(AND(ISNUMBER($AS$596),$B$511=1),$AS$596,HLOOKUP(INDIRECT(ADDRESS(2,COLUMN())),OFFSET($BN$2,0,0,ROW()-1,60),ROW()-1,FALSE))</f>
        <v/>
      </c>
      <c r="AT89" t="str">
        <f ca="1">IF(AND(ISNUMBER($AT$596),$B$511=1),$AT$596,HLOOKUP(INDIRECT(ADDRESS(2,COLUMN())),OFFSET($BN$2,0,0,ROW()-1,60),ROW()-1,FALSE))</f>
        <v/>
      </c>
      <c r="AU89" t="str">
        <f ca="1">IF(AND(ISNUMBER($AU$596),$B$511=1),$AU$596,HLOOKUP(INDIRECT(ADDRESS(2,COLUMN())),OFFSET($BN$2,0,0,ROW()-1,60),ROW()-1,FALSE))</f>
        <v/>
      </c>
      <c r="AV89" t="str">
        <f ca="1">IF(AND(ISNUMBER($AV$596),$B$511=1),$AV$596,HLOOKUP(INDIRECT(ADDRESS(2,COLUMN())),OFFSET($BN$2,0,0,ROW()-1,60),ROW()-1,FALSE))</f>
        <v/>
      </c>
      <c r="AW89" t="str">
        <f ca="1">IF(AND(ISNUMBER($AW$596),$B$511=1),$AW$596,HLOOKUP(INDIRECT(ADDRESS(2,COLUMN())),OFFSET($BN$2,0,0,ROW()-1,60),ROW()-1,FALSE))</f>
        <v/>
      </c>
      <c r="AX89" t="str">
        <f ca="1">IF(AND(ISNUMBER($AX$596),$B$511=1),$AX$596,HLOOKUP(INDIRECT(ADDRESS(2,COLUMN())),OFFSET($BN$2,0,0,ROW()-1,60),ROW()-1,FALSE))</f>
        <v/>
      </c>
      <c r="AY89" t="str">
        <f ca="1">IF(AND(ISNUMBER($AY$596),$B$511=1),$AY$596,HLOOKUP(INDIRECT(ADDRESS(2,COLUMN())),OFFSET($BN$2,0,0,ROW()-1,60),ROW()-1,FALSE))</f>
        <v/>
      </c>
      <c r="AZ89" t="str">
        <f ca="1">IF(AND(ISNUMBER($AZ$596),$B$511=1),$AZ$596,HLOOKUP(INDIRECT(ADDRESS(2,COLUMN())),OFFSET($BN$2,0,0,ROW()-1,60),ROW()-1,FALSE))</f>
        <v/>
      </c>
      <c r="BA89" t="str">
        <f ca="1">IF(AND(ISNUMBER($BA$596),$B$511=1),$BA$596,HLOOKUP(INDIRECT(ADDRESS(2,COLUMN())),OFFSET($BN$2,0,0,ROW()-1,60),ROW()-1,FALSE))</f>
        <v/>
      </c>
      <c r="BB89" t="str">
        <f ca="1">IF(AND(ISNUMBER($BB$596),$B$511=1),$BB$596,HLOOKUP(INDIRECT(ADDRESS(2,COLUMN())),OFFSET($BN$2,0,0,ROW()-1,60),ROW()-1,FALSE))</f>
        <v/>
      </c>
      <c r="BC89" t="str">
        <f ca="1">IF(AND(ISNUMBER($BC$596),$B$511=1),$BC$596,HLOOKUP(INDIRECT(ADDRESS(2,COLUMN())),OFFSET($BN$2,0,0,ROW()-1,60),ROW()-1,FALSE))</f>
        <v/>
      </c>
      <c r="BD89" t="str">
        <f ca="1">IF(AND(ISNUMBER($BD$596),$B$511=1),$BD$596,HLOOKUP(INDIRECT(ADDRESS(2,COLUMN())),OFFSET($BN$2,0,0,ROW()-1,60),ROW()-1,FALSE))</f>
        <v/>
      </c>
      <c r="BE89" t="str">
        <f ca="1">IF(AND(ISNUMBER($BE$596),$B$511=1),$BE$596,HLOOKUP(INDIRECT(ADDRESS(2,COLUMN())),OFFSET($BN$2,0,0,ROW()-1,60),ROW()-1,FALSE))</f>
        <v/>
      </c>
      <c r="BF89" t="str">
        <f ca="1">IF(AND(ISNUMBER($BF$596),$B$511=1),$BF$596,HLOOKUP(INDIRECT(ADDRESS(2,COLUMN())),OFFSET($BN$2,0,0,ROW()-1,60),ROW()-1,FALSE))</f>
        <v/>
      </c>
      <c r="BG89" t="str">
        <f ca="1">IF(AND(ISNUMBER($BG$596),$B$511=1),$BG$596,HLOOKUP(INDIRECT(ADDRESS(2,COLUMN())),OFFSET($BN$2,0,0,ROW()-1,60),ROW()-1,FALSE))</f>
        <v/>
      </c>
      <c r="BH89" t="str">
        <f ca="1">IF(AND(ISNUMBER($BH$596),$B$511=1),$BH$596,HLOOKUP(INDIRECT(ADDRESS(2,COLUMN())),OFFSET($BN$2,0,0,ROW()-1,60),ROW()-1,FALSE))</f>
        <v/>
      </c>
      <c r="BI89" t="str">
        <f ca="1">IF(AND(ISNUMBER($BI$596),$B$511=1),$BI$596,HLOOKUP(INDIRECT(ADDRESS(2,COLUMN())),OFFSET($BN$2,0,0,ROW()-1,60),ROW()-1,FALSE))</f>
        <v/>
      </c>
      <c r="BJ89" t="str">
        <f ca="1">IF(AND(ISNUMBER($BJ$596),$B$511=1),$BJ$596,HLOOKUP(INDIRECT(ADDRESS(2,COLUMN())),OFFSET($BN$2,0,0,ROW()-1,60),ROW()-1,FALSE))</f>
        <v/>
      </c>
      <c r="BK89" t="str">
        <f ca="1">IF(AND(ISNUMBER($BK$596),$B$511=1),$BK$596,HLOOKUP(INDIRECT(ADDRESS(2,COLUMN())),OFFSET($BN$2,0,0,ROW()-1,60),ROW()-1,FALSE))</f>
        <v/>
      </c>
      <c r="BL89" t="str">
        <f ca="1">IF(AND(ISNUMBER($BL$596),$B$511=1),$BL$596,HLOOKUP(INDIRECT(ADDRESS(2,COLUMN())),OFFSET($BN$2,0,0,ROW()-1,60),ROW()-1,FALSE))</f>
        <v/>
      </c>
      <c r="BM89" t="str">
        <f ca="1">IF(AND(ISNUMBER($BM$596),$B$511=1),$BM$596,HLOOKUP(INDIRECT(ADDRESS(2,COLUMN())),OFFSET($BN$2,0,0,ROW()-1,60),ROW()-1,FALSE))</f>
        <v/>
      </c>
      <c r="BN89">
        <f>0.221</f>
        <v>0.221</v>
      </c>
      <c r="BO89">
        <f>0.22</f>
        <v>0.22</v>
      </c>
      <c r="BP89">
        <f>0.237</f>
        <v>0.23699999999999999</v>
      </c>
      <c r="BQ89">
        <f>0.258</f>
        <v>0.25800000000000001</v>
      </c>
      <c r="BR89">
        <f>0.288</f>
        <v>0.28799999999999998</v>
      </c>
      <c r="BS89">
        <f>0.296</f>
        <v>0.29599999999999999</v>
      </c>
      <c r="BT89">
        <f>0.289</f>
        <v>0.28899999999999998</v>
      </c>
      <c r="BU89">
        <f>0.228</f>
        <v>0.22800000000000001</v>
      </c>
      <c r="BV89">
        <f>0.224</f>
        <v>0.224</v>
      </c>
      <c r="BW89">
        <f>0.196</f>
        <v>0.19600000000000001</v>
      </c>
      <c r="BX89" t="str">
        <f>""</f>
        <v/>
      </c>
      <c r="BY89" t="str">
        <f>""</f>
        <v/>
      </c>
      <c r="BZ89" t="str">
        <f>""</f>
        <v/>
      </c>
      <c r="CA89" t="str">
        <f>""</f>
        <v/>
      </c>
      <c r="CB89" t="str">
        <f>""</f>
        <v/>
      </c>
      <c r="CC89" t="str">
        <f>""</f>
        <v/>
      </c>
      <c r="CD89" t="str">
        <f>""</f>
        <v/>
      </c>
      <c r="CE89" t="str">
        <f>""</f>
        <v/>
      </c>
      <c r="CF89" t="str">
        <f>""</f>
        <v/>
      </c>
      <c r="CG89" t="str">
        <f>""</f>
        <v/>
      </c>
      <c r="CH89" t="str">
        <f>""</f>
        <v/>
      </c>
      <c r="CI89" t="str">
        <f>""</f>
        <v/>
      </c>
      <c r="CJ89" t="str">
        <f>""</f>
        <v/>
      </c>
      <c r="CK89" t="str">
        <f>""</f>
        <v/>
      </c>
      <c r="CL89" t="str">
        <f>""</f>
        <v/>
      </c>
      <c r="CM89" t="str">
        <f>""</f>
        <v/>
      </c>
      <c r="CN89" t="str">
        <f>""</f>
        <v/>
      </c>
      <c r="CO89" t="str">
        <f>""</f>
        <v/>
      </c>
      <c r="CP89" t="str">
        <f>""</f>
        <v/>
      </c>
      <c r="CQ89" t="str">
        <f>""</f>
        <v/>
      </c>
      <c r="CR89" t="str">
        <f>""</f>
        <v/>
      </c>
      <c r="CS89" t="str">
        <f>""</f>
        <v/>
      </c>
      <c r="CT89" t="str">
        <f>""</f>
        <v/>
      </c>
      <c r="CU89" t="str">
        <f>""</f>
        <v/>
      </c>
      <c r="CV89" t="str">
        <f>""</f>
        <v/>
      </c>
      <c r="CW89" t="str">
        <f>""</f>
        <v/>
      </c>
      <c r="CX89" t="str">
        <f>""</f>
        <v/>
      </c>
      <c r="CY89" t="str">
        <f>""</f>
        <v/>
      </c>
      <c r="CZ89" t="str">
        <f>""</f>
        <v/>
      </c>
      <c r="DA89" t="str">
        <f>""</f>
        <v/>
      </c>
      <c r="DB89" t="str">
        <f>""</f>
        <v/>
      </c>
      <c r="DC89" t="str">
        <f>""</f>
        <v/>
      </c>
      <c r="DD89" t="str">
        <f>""</f>
        <v/>
      </c>
      <c r="DE89" t="str">
        <f>""</f>
        <v/>
      </c>
      <c r="DF89" t="str">
        <f>""</f>
        <v/>
      </c>
      <c r="DG89" t="str">
        <f>""</f>
        <v/>
      </c>
      <c r="DH89" t="str">
        <f>""</f>
        <v/>
      </c>
      <c r="DI89" t="str">
        <f>""</f>
        <v/>
      </c>
      <c r="DJ89" t="str">
        <f>""</f>
        <v/>
      </c>
      <c r="DK89" t="str">
        <f>""</f>
        <v/>
      </c>
      <c r="DL89" t="str">
        <f>""</f>
        <v/>
      </c>
      <c r="DM89" t="str">
        <f>""</f>
        <v/>
      </c>
      <c r="DN89" t="str">
        <f>""</f>
        <v/>
      </c>
      <c r="DO89" t="str">
        <f>""</f>
        <v/>
      </c>
      <c r="DP89" t="str">
        <f>""</f>
        <v/>
      </c>
      <c r="DQ89" t="str">
        <f>""</f>
        <v/>
      </c>
      <c r="DR89" t="str">
        <f>""</f>
        <v/>
      </c>
      <c r="DS89" t="str">
        <f>""</f>
        <v/>
      </c>
      <c r="DT89" t="str">
        <f>""</f>
        <v/>
      </c>
      <c r="DU89" t="str">
        <f>""</f>
        <v/>
      </c>
    </row>
    <row r="90" spans="1:125" x14ac:dyDescent="0.25">
      <c r="A90" t="str">
        <f>"    BYD Co Ltd"</f>
        <v xml:space="preserve">    BYD Co Ltd</v>
      </c>
      <c r="B90" t="str">
        <f>"1211 HK Equity"</f>
        <v>1211 HK Equity</v>
      </c>
      <c r="C90" t="str">
        <f t="shared" si="6"/>
        <v>EZ021</v>
      </c>
      <c r="D90" t="str">
        <f t="shared" si="7"/>
        <v>BEST_EPS_NXT_YR</v>
      </c>
      <c r="E90" t="str">
        <f t="shared" si="8"/>
        <v>Dynamic</v>
      </c>
      <c r="F90">
        <f ca="1">IF(AND(ISNUMBER($F$597),$B$511=1),$F$597,HLOOKUP(INDIRECT(ADDRESS(2,COLUMN())),OFFSET($BN$2,0,0,ROW()-1,60),ROW()-1,FALSE))</f>
        <v>0.22500000000000001</v>
      </c>
      <c r="G90">
        <f ca="1">IF(AND(ISNUMBER($G$597),$B$511=1),$G$597,HLOOKUP(INDIRECT(ADDRESS(2,COLUMN())),OFFSET($BN$2,0,0,ROW()-1,60),ROW()-1,FALSE))</f>
        <v>0.23100000000000001</v>
      </c>
      <c r="H90">
        <f ca="1">IF(AND(ISNUMBER($H$597),$B$511=1),$H$597,HLOOKUP(INDIRECT(ADDRESS(2,COLUMN())),OFFSET($BN$2,0,0,ROW()-1,60),ROW()-1,FALSE))</f>
        <v>0.251</v>
      </c>
      <c r="I90">
        <f ca="1">IF(AND(ISNUMBER($I$597),$B$511=1),$I$597,HLOOKUP(INDIRECT(ADDRESS(2,COLUMN())),OFFSET($BN$2,0,0,ROW()-1,60),ROW()-1,FALSE))</f>
        <v>0.318</v>
      </c>
      <c r="J90">
        <f ca="1">IF(AND(ISNUMBER($J$597),$B$511=1),$J$597,HLOOKUP(INDIRECT(ADDRESS(2,COLUMN())),OFFSET($BN$2,0,0,ROW()-1,60),ROW()-1,FALSE))</f>
        <v>0.41499999999999998</v>
      </c>
      <c r="K90">
        <f ca="1">IF(AND(ISNUMBER($K$597),$B$511=1),$K$597,HLOOKUP(INDIRECT(ADDRESS(2,COLUMN())),OFFSET($BN$2,0,0,ROW()-1,60),ROW()-1,FALSE))</f>
        <v>0.45100000000000001</v>
      </c>
      <c r="L90">
        <f ca="1">IF(AND(ISNUMBER($L$597),$B$511=1),$L$597,HLOOKUP(INDIRECT(ADDRESS(2,COLUMN())),OFFSET($BN$2,0,0,ROW()-1,60),ROW()-1,FALSE))</f>
        <v>0.44800000000000001</v>
      </c>
      <c r="M90">
        <f ca="1">IF(AND(ISNUMBER($M$597),$B$511=1),$M$597,HLOOKUP(INDIRECT(ADDRESS(2,COLUMN())),OFFSET($BN$2,0,0,ROW()-1,60),ROW()-1,FALSE))</f>
        <v>0.39800000000000002</v>
      </c>
      <c r="N90">
        <f ca="1">IF(AND(ISNUMBER($N$597),$B$511=1),$N$597,HLOOKUP(INDIRECT(ADDRESS(2,COLUMN())),OFFSET($BN$2,0,0,ROW()-1,60),ROW()-1,FALSE))</f>
        <v>0.38800000000000001</v>
      </c>
      <c r="O90" t="str">
        <f ca="1">IF(AND(ISNUMBER($O$597),$B$511=1),$O$597,HLOOKUP(INDIRECT(ADDRESS(2,COLUMN())),OFFSET($BN$2,0,0,ROW()-1,60),ROW()-1,FALSE))</f>
        <v/>
      </c>
      <c r="P90" t="str">
        <f ca="1">IF(AND(ISNUMBER($P$597),$B$511=1),$P$597,HLOOKUP(INDIRECT(ADDRESS(2,COLUMN())),OFFSET($BN$2,0,0,ROW()-1,60),ROW()-1,FALSE))</f>
        <v/>
      </c>
      <c r="Q90" t="str">
        <f ca="1">IF(AND(ISNUMBER($Q$597),$B$511=1),$Q$597,HLOOKUP(INDIRECT(ADDRESS(2,COLUMN())),OFFSET($BN$2,0,0,ROW()-1,60),ROW()-1,FALSE))</f>
        <v/>
      </c>
      <c r="R90" t="str">
        <f ca="1">IF(AND(ISNUMBER($R$597),$B$511=1),$R$597,HLOOKUP(INDIRECT(ADDRESS(2,COLUMN())),OFFSET($BN$2,0,0,ROW()-1,60),ROW()-1,FALSE))</f>
        <v/>
      </c>
      <c r="S90" t="str">
        <f ca="1">IF(AND(ISNUMBER($S$597),$B$511=1),$S$597,HLOOKUP(INDIRECT(ADDRESS(2,COLUMN())),OFFSET($BN$2,0,0,ROW()-1,60),ROW()-1,FALSE))</f>
        <v/>
      </c>
      <c r="T90" t="str">
        <f ca="1">IF(AND(ISNUMBER($T$597),$B$511=1),$T$597,HLOOKUP(INDIRECT(ADDRESS(2,COLUMN())),OFFSET($BN$2,0,0,ROW()-1,60),ROW()-1,FALSE))</f>
        <v/>
      </c>
      <c r="U90" t="str">
        <f ca="1">IF(AND(ISNUMBER($U$597),$B$511=1),$U$597,HLOOKUP(INDIRECT(ADDRESS(2,COLUMN())),OFFSET($BN$2,0,0,ROW()-1,60),ROW()-1,FALSE))</f>
        <v/>
      </c>
      <c r="V90" t="str">
        <f ca="1">IF(AND(ISNUMBER($V$597),$B$511=1),$V$597,HLOOKUP(INDIRECT(ADDRESS(2,COLUMN())),OFFSET($BN$2,0,0,ROW()-1,60),ROW()-1,FALSE))</f>
        <v/>
      </c>
      <c r="W90" t="str">
        <f ca="1">IF(AND(ISNUMBER($W$597),$B$511=1),$W$597,HLOOKUP(INDIRECT(ADDRESS(2,COLUMN())),OFFSET($BN$2,0,0,ROW()-1,60),ROW()-1,FALSE))</f>
        <v/>
      </c>
      <c r="X90" t="str">
        <f ca="1">IF(AND(ISNUMBER($X$597),$B$511=1),$X$597,HLOOKUP(INDIRECT(ADDRESS(2,COLUMN())),OFFSET($BN$2,0,0,ROW()-1,60),ROW()-1,FALSE))</f>
        <v/>
      </c>
      <c r="Y90" t="str">
        <f ca="1">IF(AND(ISNUMBER($Y$597),$B$511=1),$Y$597,HLOOKUP(INDIRECT(ADDRESS(2,COLUMN())),OFFSET($BN$2,0,0,ROW()-1,60),ROW()-1,FALSE))</f>
        <v/>
      </c>
      <c r="Z90" t="str">
        <f ca="1">IF(AND(ISNUMBER($Z$597),$B$511=1),$Z$597,HLOOKUP(INDIRECT(ADDRESS(2,COLUMN())),OFFSET($BN$2,0,0,ROW()-1,60),ROW()-1,FALSE))</f>
        <v/>
      </c>
      <c r="AA90" t="str">
        <f ca="1">IF(AND(ISNUMBER($AA$597),$B$511=1),$AA$597,HLOOKUP(INDIRECT(ADDRESS(2,COLUMN())),OFFSET($BN$2,0,0,ROW()-1,60),ROW()-1,FALSE))</f>
        <v/>
      </c>
      <c r="AB90" t="str">
        <f ca="1">IF(AND(ISNUMBER($AB$597),$B$511=1),$AB$597,HLOOKUP(INDIRECT(ADDRESS(2,COLUMN())),OFFSET($BN$2,0,0,ROW()-1,60),ROW()-1,FALSE))</f>
        <v/>
      </c>
      <c r="AC90" t="str">
        <f ca="1">IF(AND(ISNUMBER($AC$597),$B$511=1),$AC$597,HLOOKUP(INDIRECT(ADDRESS(2,COLUMN())),OFFSET($BN$2,0,0,ROW()-1,60),ROW()-1,FALSE))</f>
        <v/>
      </c>
      <c r="AD90" t="str">
        <f ca="1">IF(AND(ISNUMBER($AD$597),$B$511=1),$AD$597,HLOOKUP(INDIRECT(ADDRESS(2,COLUMN())),OFFSET($BN$2,0,0,ROW()-1,60),ROW()-1,FALSE))</f>
        <v/>
      </c>
      <c r="AE90" t="str">
        <f ca="1">IF(AND(ISNUMBER($AE$597),$B$511=1),$AE$597,HLOOKUP(INDIRECT(ADDRESS(2,COLUMN())),OFFSET($BN$2,0,0,ROW()-1,60),ROW()-1,FALSE))</f>
        <v/>
      </c>
      <c r="AF90" t="str">
        <f ca="1">IF(AND(ISNUMBER($AF$597),$B$511=1),$AF$597,HLOOKUP(INDIRECT(ADDRESS(2,COLUMN())),OFFSET($BN$2,0,0,ROW()-1,60),ROW()-1,FALSE))</f>
        <v/>
      </c>
      <c r="AG90" t="str">
        <f ca="1">IF(AND(ISNUMBER($AG$597),$B$511=1),$AG$597,HLOOKUP(INDIRECT(ADDRESS(2,COLUMN())),OFFSET($BN$2,0,0,ROW()-1,60),ROW()-1,FALSE))</f>
        <v/>
      </c>
      <c r="AH90" t="str">
        <f ca="1">IF(AND(ISNUMBER($AH$597),$B$511=1),$AH$597,HLOOKUP(INDIRECT(ADDRESS(2,COLUMN())),OFFSET($BN$2,0,0,ROW()-1,60),ROW()-1,FALSE))</f>
        <v/>
      </c>
      <c r="AI90" t="str">
        <f ca="1">IF(AND(ISNUMBER($AI$597),$B$511=1),$AI$597,HLOOKUP(INDIRECT(ADDRESS(2,COLUMN())),OFFSET($BN$2,0,0,ROW()-1,60),ROW()-1,FALSE))</f>
        <v/>
      </c>
      <c r="AJ90" t="str">
        <f ca="1">IF(AND(ISNUMBER($AJ$597),$B$511=1),$AJ$597,HLOOKUP(INDIRECT(ADDRESS(2,COLUMN())),OFFSET($BN$2,0,0,ROW()-1,60),ROW()-1,FALSE))</f>
        <v/>
      </c>
      <c r="AK90" t="str">
        <f ca="1">IF(AND(ISNUMBER($AK$597),$B$511=1),$AK$597,HLOOKUP(INDIRECT(ADDRESS(2,COLUMN())),OFFSET($BN$2,0,0,ROW()-1,60),ROW()-1,FALSE))</f>
        <v/>
      </c>
      <c r="AL90" t="str">
        <f ca="1">IF(AND(ISNUMBER($AL$597),$B$511=1),$AL$597,HLOOKUP(INDIRECT(ADDRESS(2,COLUMN())),OFFSET($BN$2,0,0,ROW()-1,60),ROW()-1,FALSE))</f>
        <v/>
      </c>
      <c r="AM90" t="str">
        <f ca="1">IF(AND(ISNUMBER($AM$597),$B$511=1),$AM$597,HLOOKUP(INDIRECT(ADDRESS(2,COLUMN())),OFFSET($BN$2,0,0,ROW()-1,60),ROW()-1,FALSE))</f>
        <v/>
      </c>
      <c r="AN90" t="str">
        <f ca="1">IF(AND(ISNUMBER($AN$597),$B$511=1),$AN$597,HLOOKUP(INDIRECT(ADDRESS(2,COLUMN())),OFFSET($BN$2,0,0,ROW()-1,60),ROW()-1,FALSE))</f>
        <v/>
      </c>
      <c r="AO90" t="str">
        <f ca="1">IF(AND(ISNUMBER($AO$597),$B$511=1),$AO$597,HLOOKUP(INDIRECT(ADDRESS(2,COLUMN())),OFFSET($BN$2,0,0,ROW()-1,60),ROW()-1,FALSE))</f>
        <v/>
      </c>
      <c r="AP90" t="str">
        <f ca="1">IF(AND(ISNUMBER($AP$597),$B$511=1),$AP$597,HLOOKUP(INDIRECT(ADDRESS(2,COLUMN())),OFFSET($BN$2,0,0,ROW()-1,60),ROW()-1,FALSE))</f>
        <v/>
      </c>
      <c r="AQ90" t="str">
        <f ca="1">IF(AND(ISNUMBER($AQ$597),$B$511=1),$AQ$597,HLOOKUP(INDIRECT(ADDRESS(2,COLUMN())),OFFSET($BN$2,0,0,ROW()-1,60),ROW()-1,FALSE))</f>
        <v/>
      </c>
      <c r="AR90" t="str">
        <f ca="1">IF(AND(ISNUMBER($AR$597),$B$511=1),$AR$597,HLOOKUP(INDIRECT(ADDRESS(2,COLUMN())),OFFSET($BN$2,0,0,ROW()-1,60),ROW()-1,FALSE))</f>
        <v/>
      </c>
      <c r="AS90" t="str">
        <f ca="1">IF(AND(ISNUMBER($AS$597),$B$511=1),$AS$597,HLOOKUP(INDIRECT(ADDRESS(2,COLUMN())),OFFSET($BN$2,0,0,ROW()-1,60),ROW()-1,FALSE))</f>
        <v/>
      </c>
      <c r="AT90" t="str">
        <f ca="1">IF(AND(ISNUMBER($AT$597),$B$511=1),$AT$597,HLOOKUP(INDIRECT(ADDRESS(2,COLUMN())),OFFSET($BN$2,0,0,ROW()-1,60),ROW()-1,FALSE))</f>
        <v/>
      </c>
      <c r="AU90" t="str">
        <f ca="1">IF(AND(ISNUMBER($AU$597),$B$511=1),$AU$597,HLOOKUP(INDIRECT(ADDRESS(2,COLUMN())),OFFSET($BN$2,0,0,ROW()-1,60),ROW()-1,FALSE))</f>
        <v/>
      </c>
      <c r="AV90" t="str">
        <f ca="1">IF(AND(ISNUMBER($AV$597),$B$511=1),$AV$597,HLOOKUP(INDIRECT(ADDRESS(2,COLUMN())),OFFSET($BN$2,0,0,ROW()-1,60),ROW()-1,FALSE))</f>
        <v/>
      </c>
      <c r="AW90" t="str">
        <f ca="1">IF(AND(ISNUMBER($AW$597),$B$511=1),$AW$597,HLOOKUP(INDIRECT(ADDRESS(2,COLUMN())),OFFSET($BN$2,0,0,ROW()-1,60),ROW()-1,FALSE))</f>
        <v/>
      </c>
      <c r="AX90" t="str">
        <f ca="1">IF(AND(ISNUMBER($AX$597),$B$511=1),$AX$597,HLOOKUP(INDIRECT(ADDRESS(2,COLUMN())),OFFSET($BN$2,0,0,ROW()-1,60),ROW()-1,FALSE))</f>
        <v/>
      </c>
      <c r="AY90" t="str">
        <f ca="1">IF(AND(ISNUMBER($AY$597),$B$511=1),$AY$597,HLOOKUP(INDIRECT(ADDRESS(2,COLUMN())),OFFSET($BN$2,0,0,ROW()-1,60),ROW()-1,FALSE))</f>
        <v/>
      </c>
      <c r="AZ90" t="str">
        <f ca="1">IF(AND(ISNUMBER($AZ$597),$B$511=1),$AZ$597,HLOOKUP(INDIRECT(ADDRESS(2,COLUMN())),OFFSET($BN$2,0,0,ROW()-1,60),ROW()-1,FALSE))</f>
        <v/>
      </c>
      <c r="BA90" t="str">
        <f ca="1">IF(AND(ISNUMBER($BA$597),$B$511=1),$BA$597,HLOOKUP(INDIRECT(ADDRESS(2,COLUMN())),OFFSET($BN$2,0,0,ROW()-1,60),ROW()-1,FALSE))</f>
        <v/>
      </c>
      <c r="BB90" t="str">
        <f ca="1">IF(AND(ISNUMBER($BB$597),$B$511=1),$BB$597,HLOOKUP(INDIRECT(ADDRESS(2,COLUMN())),OFFSET($BN$2,0,0,ROW()-1,60),ROW()-1,FALSE))</f>
        <v/>
      </c>
      <c r="BC90" t="str">
        <f ca="1">IF(AND(ISNUMBER($BC$597),$B$511=1),$BC$597,HLOOKUP(INDIRECT(ADDRESS(2,COLUMN())),OFFSET($BN$2,0,0,ROW()-1,60),ROW()-1,FALSE))</f>
        <v/>
      </c>
      <c r="BD90" t="str">
        <f ca="1">IF(AND(ISNUMBER($BD$597),$B$511=1),$BD$597,HLOOKUP(INDIRECT(ADDRESS(2,COLUMN())),OFFSET($BN$2,0,0,ROW()-1,60),ROW()-1,FALSE))</f>
        <v/>
      </c>
      <c r="BE90" t="str">
        <f ca="1">IF(AND(ISNUMBER($BE$597),$B$511=1),$BE$597,HLOOKUP(INDIRECT(ADDRESS(2,COLUMN())),OFFSET($BN$2,0,0,ROW()-1,60),ROW()-1,FALSE))</f>
        <v/>
      </c>
      <c r="BF90" t="str">
        <f ca="1">IF(AND(ISNUMBER($BF$597),$B$511=1),$BF$597,HLOOKUP(INDIRECT(ADDRESS(2,COLUMN())),OFFSET($BN$2,0,0,ROW()-1,60),ROW()-1,FALSE))</f>
        <v/>
      </c>
      <c r="BG90" t="str">
        <f ca="1">IF(AND(ISNUMBER($BG$597),$B$511=1),$BG$597,HLOOKUP(INDIRECT(ADDRESS(2,COLUMN())),OFFSET($BN$2,0,0,ROW()-1,60),ROW()-1,FALSE))</f>
        <v/>
      </c>
      <c r="BH90" t="str">
        <f ca="1">IF(AND(ISNUMBER($BH$597),$B$511=1),$BH$597,HLOOKUP(INDIRECT(ADDRESS(2,COLUMN())),OFFSET($BN$2,0,0,ROW()-1,60),ROW()-1,FALSE))</f>
        <v/>
      </c>
      <c r="BI90" t="str">
        <f ca="1">IF(AND(ISNUMBER($BI$597),$B$511=1),$BI$597,HLOOKUP(INDIRECT(ADDRESS(2,COLUMN())),OFFSET($BN$2,0,0,ROW()-1,60),ROW()-1,FALSE))</f>
        <v/>
      </c>
      <c r="BJ90" t="str">
        <f ca="1">IF(AND(ISNUMBER($BJ$597),$B$511=1),$BJ$597,HLOOKUP(INDIRECT(ADDRESS(2,COLUMN())),OFFSET($BN$2,0,0,ROW()-1,60),ROW()-1,FALSE))</f>
        <v/>
      </c>
      <c r="BK90" t="str">
        <f ca="1">IF(AND(ISNUMBER($BK$597),$B$511=1),$BK$597,HLOOKUP(INDIRECT(ADDRESS(2,COLUMN())),OFFSET($BN$2,0,0,ROW()-1,60),ROW()-1,FALSE))</f>
        <v/>
      </c>
      <c r="BL90" t="str">
        <f ca="1">IF(AND(ISNUMBER($BL$597),$B$511=1),$BL$597,HLOOKUP(INDIRECT(ADDRESS(2,COLUMN())),OFFSET($BN$2,0,0,ROW()-1,60),ROW()-1,FALSE))</f>
        <v/>
      </c>
      <c r="BM90" t="str">
        <f ca="1">IF(AND(ISNUMBER($BM$597),$B$511=1),$BM$597,HLOOKUP(INDIRECT(ADDRESS(2,COLUMN())),OFFSET($BN$2,0,0,ROW()-1,60),ROW()-1,FALSE))</f>
        <v/>
      </c>
      <c r="BN90">
        <f>0.225</f>
        <v>0.22500000000000001</v>
      </c>
      <c r="BO90">
        <f>0.231</f>
        <v>0.23100000000000001</v>
      </c>
      <c r="BP90">
        <f>0.251</f>
        <v>0.251</v>
      </c>
      <c r="BQ90">
        <f>0.318</f>
        <v>0.318</v>
      </c>
      <c r="BR90">
        <f>0.415</f>
        <v>0.41499999999999998</v>
      </c>
      <c r="BS90">
        <f>0.451</f>
        <v>0.45100000000000001</v>
      </c>
      <c r="BT90">
        <f>0.448</f>
        <v>0.44800000000000001</v>
      </c>
      <c r="BU90">
        <f>0.398</f>
        <v>0.39800000000000002</v>
      </c>
      <c r="BV90">
        <f>0.388</f>
        <v>0.38800000000000001</v>
      </c>
      <c r="BW90" t="str">
        <f>""</f>
        <v/>
      </c>
      <c r="BX90" t="str">
        <f>""</f>
        <v/>
      </c>
      <c r="BY90" t="str">
        <f>""</f>
        <v/>
      </c>
      <c r="BZ90" t="str">
        <f>""</f>
        <v/>
      </c>
      <c r="CA90" t="str">
        <f>""</f>
        <v/>
      </c>
      <c r="CB90" t="str">
        <f>""</f>
        <v/>
      </c>
      <c r="CC90" t="str">
        <f>""</f>
        <v/>
      </c>
      <c r="CD90" t="str">
        <f>""</f>
        <v/>
      </c>
      <c r="CE90" t="str">
        <f>""</f>
        <v/>
      </c>
      <c r="CF90" t="str">
        <f>""</f>
        <v/>
      </c>
      <c r="CG90" t="str">
        <f>""</f>
        <v/>
      </c>
      <c r="CH90" t="str">
        <f>""</f>
        <v/>
      </c>
      <c r="CI90" t="str">
        <f>""</f>
        <v/>
      </c>
      <c r="CJ90" t="str">
        <f>""</f>
        <v/>
      </c>
      <c r="CK90" t="str">
        <f>""</f>
        <v/>
      </c>
      <c r="CL90" t="str">
        <f>""</f>
        <v/>
      </c>
      <c r="CM90" t="str">
        <f>""</f>
        <v/>
      </c>
      <c r="CN90" t="str">
        <f>""</f>
        <v/>
      </c>
      <c r="CO90" t="str">
        <f>""</f>
        <v/>
      </c>
      <c r="CP90" t="str">
        <f>""</f>
        <v/>
      </c>
      <c r="CQ90" t="str">
        <f>""</f>
        <v/>
      </c>
      <c r="CR90" t="str">
        <f>""</f>
        <v/>
      </c>
      <c r="CS90" t="str">
        <f>""</f>
        <v/>
      </c>
      <c r="CT90" t="str">
        <f>""</f>
        <v/>
      </c>
      <c r="CU90" t="str">
        <f>""</f>
        <v/>
      </c>
      <c r="CV90" t="str">
        <f>""</f>
        <v/>
      </c>
      <c r="CW90" t="str">
        <f>""</f>
        <v/>
      </c>
      <c r="CX90" t="str">
        <f>""</f>
        <v/>
      </c>
      <c r="CY90" t="str">
        <f>""</f>
        <v/>
      </c>
      <c r="CZ90" t="str">
        <f>""</f>
        <v/>
      </c>
      <c r="DA90" t="str">
        <f>""</f>
        <v/>
      </c>
      <c r="DB90" t="str">
        <f>""</f>
        <v/>
      </c>
      <c r="DC90" t="str">
        <f>""</f>
        <v/>
      </c>
      <c r="DD90" t="str">
        <f>""</f>
        <v/>
      </c>
      <c r="DE90" t="str">
        <f>""</f>
        <v/>
      </c>
      <c r="DF90" t="str">
        <f>""</f>
        <v/>
      </c>
      <c r="DG90" t="str">
        <f>""</f>
        <v/>
      </c>
      <c r="DH90" t="str">
        <f>""</f>
        <v/>
      </c>
      <c r="DI90" t="str">
        <f>""</f>
        <v/>
      </c>
      <c r="DJ90" t="str">
        <f>""</f>
        <v/>
      </c>
      <c r="DK90" t="str">
        <f>""</f>
        <v/>
      </c>
      <c r="DL90" t="str">
        <f>""</f>
        <v/>
      </c>
      <c r="DM90" t="str">
        <f>""</f>
        <v/>
      </c>
      <c r="DN90" t="str">
        <f>""</f>
        <v/>
      </c>
      <c r="DO90" t="str">
        <f>""</f>
        <v/>
      </c>
      <c r="DP90" t="str">
        <f>""</f>
        <v/>
      </c>
      <c r="DQ90" t="str">
        <f>""</f>
        <v/>
      </c>
      <c r="DR90" t="str">
        <f>""</f>
        <v/>
      </c>
      <c r="DS90" t="str">
        <f>""</f>
        <v/>
      </c>
      <c r="DT90" t="str">
        <f>""</f>
        <v/>
      </c>
      <c r="DU90" t="str">
        <f>""</f>
        <v/>
      </c>
    </row>
    <row r="91" spans="1:125" x14ac:dyDescent="0.25">
      <c r="A91" t="str">
        <f>"    Chongqing Changan Automobile Co Ltd"</f>
        <v xml:space="preserve">    Chongqing Changan Automobile Co Ltd</v>
      </c>
      <c r="B91" t="str">
        <f>"200625 CH Equity"</f>
        <v>200625 CH Equity</v>
      </c>
      <c r="C91" t="str">
        <f t="shared" si="6"/>
        <v>EZ021</v>
      </c>
      <c r="D91" t="str">
        <f t="shared" si="7"/>
        <v>BEST_EPS_NXT_YR</v>
      </c>
      <c r="E91" t="str">
        <f t="shared" si="8"/>
        <v>Dynamic</v>
      </c>
      <c r="F91">
        <f ca="1">IF(AND(ISNUMBER($F$598),$B$511=1),$F$598,HLOOKUP(INDIRECT(ADDRESS(2,COLUMN())),OFFSET($BN$2,0,0,ROW()-1,60),ROW()-1,FALSE))</f>
        <v>8.6999999999999994E-2</v>
      </c>
      <c r="G91">
        <f ca="1">IF(AND(ISNUMBER($G$598),$B$511=1),$G$598,HLOOKUP(INDIRECT(ADDRESS(2,COLUMN())),OFFSET($BN$2,0,0,ROW()-1,60),ROW()-1,FALSE))</f>
        <v>0.108</v>
      </c>
      <c r="H91">
        <f ca="1">IF(AND(ISNUMBER($H$598),$B$511=1),$H$598,HLOOKUP(INDIRECT(ADDRESS(2,COLUMN())),OFFSET($BN$2,0,0,ROW()-1,60),ROW()-1,FALSE))</f>
        <v>0.16600000000000001</v>
      </c>
      <c r="I91">
        <f ca="1">IF(AND(ISNUMBER($I$598),$B$511=1),$I$598,HLOOKUP(INDIRECT(ADDRESS(2,COLUMN())),OFFSET($BN$2,0,0,ROW()-1,60),ROW()-1,FALSE))</f>
        <v>0.23</v>
      </c>
      <c r="J91">
        <f ca="1">IF(AND(ISNUMBER($J$598),$B$511=1),$J$598,HLOOKUP(INDIRECT(ADDRESS(2,COLUMN())),OFFSET($BN$2,0,0,ROW()-1,60),ROW()-1,FALSE))</f>
        <v>0.318</v>
      </c>
      <c r="K91">
        <f ca="1">IF(AND(ISNUMBER($K$598),$B$511=1),$K$598,HLOOKUP(INDIRECT(ADDRESS(2,COLUMN())),OFFSET($BN$2,0,0,ROW()-1,60),ROW()-1,FALSE))</f>
        <v>0.30599999999999999</v>
      </c>
      <c r="L91">
        <f ca="1">IF(AND(ISNUMBER($L$598),$B$511=1),$L$598,HLOOKUP(INDIRECT(ADDRESS(2,COLUMN())),OFFSET($BN$2,0,0,ROW()-1,60),ROW()-1,FALSE))</f>
        <v>0.32600000000000001</v>
      </c>
      <c r="M91">
        <f ca="1">IF(AND(ISNUMBER($M$598),$B$511=1),$M$598,HLOOKUP(INDIRECT(ADDRESS(2,COLUMN())),OFFSET($BN$2,0,0,ROW()-1,60),ROW()-1,FALSE))</f>
        <v>0.35099999999999998</v>
      </c>
      <c r="N91">
        <f ca="1">IF(AND(ISNUMBER($N$598),$B$511=1),$N$598,HLOOKUP(INDIRECT(ADDRESS(2,COLUMN())),OFFSET($BN$2,0,0,ROW()-1,60),ROW()-1,FALSE))</f>
        <v>0.34</v>
      </c>
      <c r="O91">
        <f ca="1">IF(AND(ISNUMBER($O$598),$B$511=1),$O$598,HLOOKUP(INDIRECT(ADDRESS(2,COLUMN())),OFFSET($BN$2,0,0,ROW()-1,60),ROW()-1,FALSE))</f>
        <v>0.34100000000000003</v>
      </c>
      <c r="P91">
        <f ca="1">IF(AND(ISNUMBER($P$598),$B$511=1),$P$598,HLOOKUP(INDIRECT(ADDRESS(2,COLUMN())),OFFSET($BN$2,0,0,ROW()-1,60),ROW()-1,FALSE))</f>
        <v>0.435</v>
      </c>
      <c r="Q91" t="str">
        <f ca="1">IF(AND(ISNUMBER($Q$598),$B$511=1),$Q$598,HLOOKUP(INDIRECT(ADDRESS(2,COLUMN())),OFFSET($BN$2,0,0,ROW()-1,60),ROW()-1,FALSE))</f>
        <v/>
      </c>
      <c r="R91" t="str">
        <f ca="1">IF(AND(ISNUMBER($R$598),$B$511=1),$R$598,HLOOKUP(INDIRECT(ADDRESS(2,COLUMN())),OFFSET($BN$2,0,0,ROW()-1,60),ROW()-1,FALSE))</f>
        <v/>
      </c>
      <c r="S91" t="str">
        <f ca="1">IF(AND(ISNUMBER($S$598),$B$511=1),$S$598,HLOOKUP(INDIRECT(ADDRESS(2,COLUMN())),OFFSET($BN$2,0,0,ROW()-1,60),ROW()-1,FALSE))</f>
        <v/>
      </c>
      <c r="T91" t="str">
        <f ca="1">IF(AND(ISNUMBER($T$598),$B$511=1),$T$598,HLOOKUP(INDIRECT(ADDRESS(2,COLUMN())),OFFSET($BN$2,0,0,ROW()-1,60),ROW()-1,FALSE))</f>
        <v/>
      </c>
      <c r="U91" t="str">
        <f ca="1">IF(AND(ISNUMBER($U$598),$B$511=1),$U$598,HLOOKUP(INDIRECT(ADDRESS(2,COLUMN())),OFFSET($BN$2,0,0,ROW()-1,60),ROW()-1,FALSE))</f>
        <v/>
      </c>
      <c r="V91" t="str">
        <f ca="1">IF(AND(ISNUMBER($V$598),$B$511=1),$V$598,HLOOKUP(INDIRECT(ADDRESS(2,COLUMN())),OFFSET($BN$2,0,0,ROW()-1,60),ROW()-1,FALSE))</f>
        <v/>
      </c>
      <c r="W91" t="str">
        <f ca="1">IF(AND(ISNUMBER($W$598),$B$511=1),$W$598,HLOOKUP(INDIRECT(ADDRESS(2,COLUMN())),OFFSET($BN$2,0,0,ROW()-1,60),ROW()-1,FALSE))</f>
        <v/>
      </c>
      <c r="X91" t="str">
        <f ca="1">IF(AND(ISNUMBER($X$598),$B$511=1),$X$598,HLOOKUP(INDIRECT(ADDRESS(2,COLUMN())),OFFSET($BN$2,0,0,ROW()-1,60),ROW()-1,FALSE))</f>
        <v/>
      </c>
      <c r="Y91" t="str">
        <f ca="1">IF(AND(ISNUMBER($Y$598),$B$511=1),$Y$598,HLOOKUP(INDIRECT(ADDRESS(2,COLUMN())),OFFSET($BN$2,0,0,ROW()-1,60),ROW()-1,FALSE))</f>
        <v/>
      </c>
      <c r="Z91" t="str">
        <f ca="1">IF(AND(ISNUMBER($Z$598),$B$511=1),$Z$598,HLOOKUP(INDIRECT(ADDRESS(2,COLUMN())),OFFSET($BN$2,0,0,ROW()-1,60),ROW()-1,FALSE))</f>
        <v/>
      </c>
      <c r="AA91" t="str">
        <f ca="1">IF(AND(ISNUMBER($AA$598),$B$511=1),$AA$598,HLOOKUP(INDIRECT(ADDRESS(2,COLUMN())),OFFSET($BN$2,0,0,ROW()-1,60),ROW()-1,FALSE))</f>
        <v/>
      </c>
      <c r="AB91" t="str">
        <f ca="1">IF(AND(ISNUMBER($AB$598),$B$511=1),$AB$598,HLOOKUP(INDIRECT(ADDRESS(2,COLUMN())),OFFSET($BN$2,0,0,ROW()-1,60),ROW()-1,FALSE))</f>
        <v/>
      </c>
      <c r="AC91" t="str">
        <f ca="1">IF(AND(ISNUMBER($AC$598),$B$511=1),$AC$598,HLOOKUP(INDIRECT(ADDRESS(2,COLUMN())),OFFSET($BN$2,0,0,ROW()-1,60),ROW()-1,FALSE))</f>
        <v/>
      </c>
      <c r="AD91" t="str">
        <f ca="1">IF(AND(ISNUMBER($AD$598),$B$511=1),$AD$598,HLOOKUP(INDIRECT(ADDRESS(2,COLUMN())),OFFSET($BN$2,0,0,ROW()-1,60),ROW()-1,FALSE))</f>
        <v/>
      </c>
      <c r="AE91" t="str">
        <f ca="1">IF(AND(ISNUMBER($AE$598),$B$511=1),$AE$598,HLOOKUP(INDIRECT(ADDRESS(2,COLUMN())),OFFSET($BN$2,0,0,ROW()-1,60),ROW()-1,FALSE))</f>
        <v/>
      </c>
      <c r="AF91" t="str">
        <f ca="1">IF(AND(ISNUMBER($AF$598),$B$511=1),$AF$598,HLOOKUP(INDIRECT(ADDRESS(2,COLUMN())),OFFSET($BN$2,0,0,ROW()-1,60),ROW()-1,FALSE))</f>
        <v/>
      </c>
      <c r="AG91" t="str">
        <f ca="1">IF(AND(ISNUMBER($AG$598),$B$511=1),$AG$598,HLOOKUP(INDIRECT(ADDRESS(2,COLUMN())),OFFSET($BN$2,0,0,ROW()-1,60),ROW()-1,FALSE))</f>
        <v/>
      </c>
      <c r="AH91" t="str">
        <f ca="1">IF(AND(ISNUMBER($AH$598),$B$511=1),$AH$598,HLOOKUP(INDIRECT(ADDRESS(2,COLUMN())),OFFSET($BN$2,0,0,ROW()-1,60),ROW()-1,FALSE))</f>
        <v/>
      </c>
      <c r="AI91" t="str">
        <f ca="1">IF(AND(ISNUMBER($AI$598),$B$511=1),$AI$598,HLOOKUP(INDIRECT(ADDRESS(2,COLUMN())),OFFSET($BN$2,0,0,ROW()-1,60),ROW()-1,FALSE))</f>
        <v/>
      </c>
      <c r="AJ91" t="str">
        <f ca="1">IF(AND(ISNUMBER($AJ$598),$B$511=1),$AJ$598,HLOOKUP(INDIRECT(ADDRESS(2,COLUMN())),OFFSET($BN$2,0,0,ROW()-1,60),ROW()-1,FALSE))</f>
        <v/>
      </c>
      <c r="AK91" t="str">
        <f ca="1">IF(AND(ISNUMBER($AK$598),$B$511=1),$AK$598,HLOOKUP(INDIRECT(ADDRESS(2,COLUMN())),OFFSET($BN$2,0,0,ROW()-1,60),ROW()-1,FALSE))</f>
        <v/>
      </c>
      <c r="AL91" t="str">
        <f ca="1">IF(AND(ISNUMBER($AL$598),$B$511=1),$AL$598,HLOOKUP(INDIRECT(ADDRESS(2,COLUMN())),OFFSET($BN$2,0,0,ROW()-1,60),ROW()-1,FALSE))</f>
        <v/>
      </c>
      <c r="AM91" t="str">
        <f ca="1">IF(AND(ISNUMBER($AM$598),$B$511=1),$AM$598,HLOOKUP(INDIRECT(ADDRESS(2,COLUMN())),OFFSET($BN$2,0,0,ROW()-1,60),ROW()-1,FALSE))</f>
        <v/>
      </c>
      <c r="AN91" t="str">
        <f ca="1">IF(AND(ISNUMBER($AN$598),$B$511=1),$AN$598,HLOOKUP(INDIRECT(ADDRESS(2,COLUMN())),OFFSET($BN$2,0,0,ROW()-1,60),ROW()-1,FALSE))</f>
        <v/>
      </c>
      <c r="AO91" t="str">
        <f ca="1">IF(AND(ISNUMBER($AO$598),$B$511=1),$AO$598,HLOOKUP(INDIRECT(ADDRESS(2,COLUMN())),OFFSET($BN$2,0,0,ROW()-1,60),ROW()-1,FALSE))</f>
        <v/>
      </c>
      <c r="AP91" t="str">
        <f ca="1">IF(AND(ISNUMBER($AP$598),$B$511=1),$AP$598,HLOOKUP(INDIRECT(ADDRESS(2,COLUMN())),OFFSET($BN$2,0,0,ROW()-1,60),ROW()-1,FALSE))</f>
        <v/>
      </c>
      <c r="AQ91" t="str">
        <f ca="1">IF(AND(ISNUMBER($AQ$598),$B$511=1),$AQ$598,HLOOKUP(INDIRECT(ADDRESS(2,COLUMN())),OFFSET($BN$2,0,0,ROW()-1,60),ROW()-1,FALSE))</f>
        <v/>
      </c>
      <c r="AR91" t="str">
        <f ca="1">IF(AND(ISNUMBER($AR$598),$B$511=1),$AR$598,HLOOKUP(INDIRECT(ADDRESS(2,COLUMN())),OFFSET($BN$2,0,0,ROW()-1,60),ROW()-1,FALSE))</f>
        <v/>
      </c>
      <c r="AS91" t="str">
        <f ca="1">IF(AND(ISNUMBER($AS$598),$B$511=1),$AS$598,HLOOKUP(INDIRECT(ADDRESS(2,COLUMN())),OFFSET($BN$2,0,0,ROW()-1,60),ROW()-1,FALSE))</f>
        <v/>
      </c>
      <c r="AT91" t="str">
        <f ca="1">IF(AND(ISNUMBER($AT$598),$B$511=1),$AT$598,HLOOKUP(INDIRECT(ADDRESS(2,COLUMN())),OFFSET($BN$2,0,0,ROW()-1,60),ROW()-1,FALSE))</f>
        <v/>
      </c>
      <c r="AU91" t="str">
        <f ca="1">IF(AND(ISNUMBER($AU$598),$B$511=1),$AU$598,HLOOKUP(INDIRECT(ADDRESS(2,COLUMN())),OFFSET($BN$2,0,0,ROW()-1,60),ROW()-1,FALSE))</f>
        <v/>
      </c>
      <c r="AV91" t="str">
        <f ca="1">IF(AND(ISNUMBER($AV$598),$B$511=1),$AV$598,HLOOKUP(INDIRECT(ADDRESS(2,COLUMN())),OFFSET($BN$2,0,0,ROW()-1,60),ROW()-1,FALSE))</f>
        <v/>
      </c>
      <c r="AW91" t="str">
        <f ca="1">IF(AND(ISNUMBER($AW$598),$B$511=1),$AW$598,HLOOKUP(INDIRECT(ADDRESS(2,COLUMN())),OFFSET($BN$2,0,0,ROW()-1,60),ROW()-1,FALSE))</f>
        <v/>
      </c>
      <c r="AX91" t="str">
        <f ca="1">IF(AND(ISNUMBER($AX$598),$B$511=1),$AX$598,HLOOKUP(INDIRECT(ADDRESS(2,COLUMN())),OFFSET($BN$2,0,0,ROW()-1,60),ROW()-1,FALSE))</f>
        <v/>
      </c>
      <c r="AY91" t="str">
        <f ca="1">IF(AND(ISNUMBER($AY$598),$B$511=1),$AY$598,HLOOKUP(INDIRECT(ADDRESS(2,COLUMN())),OFFSET($BN$2,0,0,ROW()-1,60),ROW()-1,FALSE))</f>
        <v/>
      </c>
      <c r="AZ91" t="str">
        <f ca="1">IF(AND(ISNUMBER($AZ$598),$B$511=1),$AZ$598,HLOOKUP(INDIRECT(ADDRESS(2,COLUMN())),OFFSET($BN$2,0,0,ROW()-1,60),ROW()-1,FALSE))</f>
        <v/>
      </c>
      <c r="BA91" t="str">
        <f ca="1">IF(AND(ISNUMBER($BA$598),$B$511=1),$BA$598,HLOOKUP(INDIRECT(ADDRESS(2,COLUMN())),OFFSET($BN$2,0,0,ROW()-1,60),ROW()-1,FALSE))</f>
        <v/>
      </c>
      <c r="BB91" t="str">
        <f ca="1">IF(AND(ISNUMBER($BB$598),$B$511=1),$BB$598,HLOOKUP(INDIRECT(ADDRESS(2,COLUMN())),OFFSET($BN$2,0,0,ROW()-1,60),ROW()-1,FALSE))</f>
        <v/>
      </c>
      <c r="BC91" t="str">
        <f ca="1">IF(AND(ISNUMBER($BC$598),$B$511=1),$BC$598,HLOOKUP(INDIRECT(ADDRESS(2,COLUMN())),OFFSET($BN$2,0,0,ROW()-1,60),ROW()-1,FALSE))</f>
        <v/>
      </c>
      <c r="BD91" t="str">
        <f ca="1">IF(AND(ISNUMBER($BD$598),$B$511=1),$BD$598,HLOOKUP(INDIRECT(ADDRESS(2,COLUMN())),OFFSET($BN$2,0,0,ROW()-1,60),ROW()-1,FALSE))</f>
        <v/>
      </c>
      <c r="BE91" t="str">
        <f ca="1">IF(AND(ISNUMBER($BE$598),$B$511=1),$BE$598,HLOOKUP(INDIRECT(ADDRESS(2,COLUMN())),OFFSET($BN$2,0,0,ROW()-1,60),ROW()-1,FALSE))</f>
        <v/>
      </c>
      <c r="BF91" t="str">
        <f ca="1">IF(AND(ISNUMBER($BF$598),$B$511=1),$BF$598,HLOOKUP(INDIRECT(ADDRESS(2,COLUMN())),OFFSET($BN$2,0,0,ROW()-1,60),ROW()-1,FALSE))</f>
        <v/>
      </c>
      <c r="BG91" t="str">
        <f ca="1">IF(AND(ISNUMBER($BG$598),$B$511=1),$BG$598,HLOOKUP(INDIRECT(ADDRESS(2,COLUMN())),OFFSET($BN$2,0,0,ROW()-1,60),ROW()-1,FALSE))</f>
        <v/>
      </c>
      <c r="BH91" t="str">
        <f ca="1">IF(AND(ISNUMBER($BH$598),$B$511=1),$BH$598,HLOOKUP(INDIRECT(ADDRESS(2,COLUMN())),OFFSET($BN$2,0,0,ROW()-1,60),ROW()-1,FALSE))</f>
        <v/>
      </c>
      <c r="BI91" t="str">
        <f ca="1">IF(AND(ISNUMBER($BI$598),$B$511=1),$BI$598,HLOOKUP(INDIRECT(ADDRESS(2,COLUMN())),OFFSET($BN$2,0,0,ROW()-1,60),ROW()-1,FALSE))</f>
        <v/>
      </c>
      <c r="BJ91" t="str">
        <f ca="1">IF(AND(ISNUMBER($BJ$598),$B$511=1),$BJ$598,HLOOKUP(INDIRECT(ADDRESS(2,COLUMN())),OFFSET($BN$2,0,0,ROW()-1,60),ROW()-1,FALSE))</f>
        <v/>
      </c>
      <c r="BK91" t="str">
        <f ca="1">IF(AND(ISNUMBER($BK$598),$B$511=1),$BK$598,HLOOKUP(INDIRECT(ADDRESS(2,COLUMN())),OFFSET($BN$2,0,0,ROW()-1,60),ROW()-1,FALSE))</f>
        <v/>
      </c>
      <c r="BL91" t="str">
        <f ca="1">IF(AND(ISNUMBER($BL$598),$B$511=1),$BL$598,HLOOKUP(INDIRECT(ADDRESS(2,COLUMN())),OFFSET($BN$2,0,0,ROW()-1,60),ROW()-1,FALSE))</f>
        <v/>
      </c>
      <c r="BM91" t="str">
        <f ca="1">IF(AND(ISNUMBER($BM$598),$B$511=1),$BM$598,HLOOKUP(INDIRECT(ADDRESS(2,COLUMN())),OFFSET($BN$2,0,0,ROW()-1,60),ROW()-1,FALSE))</f>
        <v/>
      </c>
      <c r="BN91">
        <f>0.087</f>
        <v>8.6999999999999994E-2</v>
      </c>
      <c r="BO91">
        <f>0.108</f>
        <v>0.108</v>
      </c>
      <c r="BP91">
        <f>0.166</f>
        <v>0.16600000000000001</v>
      </c>
      <c r="BQ91">
        <f>0.23</f>
        <v>0.23</v>
      </c>
      <c r="BR91">
        <f>0.318</f>
        <v>0.318</v>
      </c>
      <c r="BS91">
        <f>0.306</f>
        <v>0.30599999999999999</v>
      </c>
      <c r="BT91">
        <f>0.326</f>
        <v>0.32600000000000001</v>
      </c>
      <c r="BU91">
        <f>0.351</f>
        <v>0.35099999999999998</v>
      </c>
      <c r="BV91">
        <f>0.34</f>
        <v>0.34</v>
      </c>
      <c r="BW91">
        <f>0.341</f>
        <v>0.34100000000000003</v>
      </c>
      <c r="BX91">
        <f>0.435</f>
        <v>0.435</v>
      </c>
      <c r="BY91" t="str">
        <f>""</f>
        <v/>
      </c>
      <c r="BZ91" t="str">
        <f>""</f>
        <v/>
      </c>
      <c r="CA91" t="str">
        <f>""</f>
        <v/>
      </c>
      <c r="CB91" t="str">
        <f>""</f>
        <v/>
      </c>
      <c r="CC91" t="str">
        <f>""</f>
        <v/>
      </c>
      <c r="CD91" t="str">
        <f>""</f>
        <v/>
      </c>
      <c r="CE91" t="str">
        <f>""</f>
        <v/>
      </c>
      <c r="CF91" t="str">
        <f>""</f>
        <v/>
      </c>
      <c r="CG91" t="str">
        <f>""</f>
        <v/>
      </c>
      <c r="CH91" t="str">
        <f>""</f>
        <v/>
      </c>
      <c r="CI91" t="str">
        <f>""</f>
        <v/>
      </c>
      <c r="CJ91" t="str">
        <f>""</f>
        <v/>
      </c>
      <c r="CK91" t="str">
        <f>""</f>
        <v/>
      </c>
      <c r="CL91" t="str">
        <f>""</f>
        <v/>
      </c>
      <c r="CM91" t="str">
        <f>""</f>
        <v/>
      </c>
      <c r="CN91" t="str">
        <f>""</f>
        <v/>
      </c>
      <c r="CO91" t="str">
        <f>""</f>
        <v/>
      </c>
      <c r="CP91" t="str">
        <f>""</f>
        <v/>
      </c>
      <c r="CQ91" t="str">
        <f>""</f>
        <v/>
      </c>
      <c r="CR91" t="str">
        <f>""</f>
        <v/>
      </c>
      <c r="CS91" t="str">
        <f>""</f>
        <v/>
      </c>
      <c r="CT91" t="str">
        <f>""</f>
        <v/>
      </c>
      <c r="CU91" t="str">
        <f>""</f>
        <v/>
      </c>
      <c r="CV91" t="str">
        <f>""</f>
        <v/>
      </c>
      <c r="CW91" t="str">
        <f>""</f>
        <v/>
      </c>
      <c r="CX91" t="str">
        <f>""</f>
        <v/>
      </c>
      <c r="CY91" t="str">
        <f>""</f>
        <v/>
      </c>
      <c r="CZ91" t="str">
        <f>""</f>
        <v/>
      </c>
      <c r="DA91" t="str">
        <f>""</f>
        <v/>
      </c>
      <c r="DB91" t="str">
        <f>""</f>
        <v/>
      </c>
      <c r="DC91" t="str">
        <f>""</f>
        <v/>
      </c>
      <c r="DD91" t="str">
        <f>""</f>
        <v/>
      </c>
      <c r="DE91" t="str">
        <f>""</f>
        <v/>
      </c>
      <c r="DF91" t="str">
        <f>""</f>
        <v/>
      </c>
      <c r="DG91" t="str">
        <f>""</f>
        <v/>
      </c>
      <c r="DH91" t="str">
        <f>""</f>
        <v/>
      </c>
      <c r="DI91" t="str">
        <f>""</f>
        <v/>
      </c>
      <c r="DJ91" t="str">
        <f>""</f>
        <v/>
      </c>
      <c r="DK91" t="str">
        <f>""</f>
        <v/>
      </c>
      <c r="DL91" t="str">
        <f>""</f>
        <v/>
      </c>
      <c r="DM91" t="str">
        <f>""</f>
        <v/>
      </c>
      <c r="DN91" t="str">
        <f>""</f>
        <v/>
      </c>
      <c r="DO91" t="str">
        <f>""</f>
        <v/>
      </c>
      <c r="DP91" t="str">
        <f>""</f>
        <v/>
      </c>
      <c r="DQ91" t="str">
        <f>""</f>
        <v/>
      </c>
      <c r="DR91" t="str">
        <f>""</f>
        <v/>
      </c>
      <c r="DS91" t="str">
        <f>""</f>
        <v/>
      </c>
      <c r="DT91" t="str">
        <f>""</f>
        <v/>
      </c>
      <c r="DU91" t="str">
        <f>""</f>
        <v/>
      </c>
    </row>
    <row r="92" spans="1:125" x14ac:dyDescent="0.25">
      <c r="A92" t="str">
        <f>"    Daihatsu Motor Co Ltd"</f>
        <v xml:space="preserve">    Daihatsu Motor Co Ltd</v>
      </c>
      <c r="B92" t="str">
        <f>"7262 JP Equity"</f>
        <v>7262 JP Equity</v>
      </c>
      <c r="C92" t="str">
        <f t="shared" si="6"/>
        <v>EZ021</v>
      </c>
      <c r="D92" t="str">
        <f t="shared" si="7"/>
        <v>BEST_EPS_NXT_YR</v>
      </c>
      <c r="E92" t="str">
        <f t="shared" si="8"/>
        <v>Dynamic</v>
      </c>
      <c r="F92" t="str">
        <f ca="1">IF(AND(ISNUMBER($F$599),$B$511=1),$F$599,HLOOKUP(INDIRECT(ADDRESS(2,COLUMN())),OFFSET($BN$2,0,0,ROW()-1,60),ROW()-1,FALSE))</f>
        <v/>
      </c>
      <c r="G92" t="str">
        <f ca="1">IF(AND(ISNUMBER($G$599),$B$511=1),$G$599,HLOOKUP(INDIRECT(ADDRESS(2,COLUMN())),OFFSET($BN$2,0,0,ROW()-1,60),ROW()-1,FALSE))</f>
        <v/>
      </c>
      <c r="H92" t="str">
        <f ca="1">IF(AND(ISNUMBER($H$599),$B$511=1),$H$599,HLOOKUP(INDIRECT(ADDRESS(2,COLUMN())),OFFSET($BN$2,0,0,ROW()-1,60),ROW()-1,FALSE))</f>
        <v/>
      </c>
      <c r="I92" t="str">
        <f ca="1">IF(AND(ISNUMBER($I$599),$B$511=1),$I$599,HLOOKUP(INDIRECT(ADDRESS(2,COLUMN())),OFFSET($BN$2,0,0,ROW()-1,60),ROW()-1,FALSE))</f>
        <v/>
      </c>
      <c r="J92" t="str">
        <f ca="1">IF(AND(ISNUMBER($J$599),$B$511=1),$J$599,HLOOKUP(INDIRECT(ADDRESS(2,COLUMN())),OFFSET($BN$2,0,0,ROW()-1,60),ROW()-1,FALSE))</f>
        <v/>
      </c>
      <c r="K92" t="str">
        <f ca="1">IF(AND(ISNUMBER($K$599),$B$511=1),$K$599,HLOOKUP(INDIRECT(ADDRESS(2,COLUMN())),OFFSET($BN$2,0,0,ROW()-1,60),ROW()-1,FALSE))</f>
        <v/>
      </c>
      <c r="L92" t="str">
        <f ca="1">IF(AND(ISNUMBER($L$599),$B$511=1),$L$599,HLOOKUP(INDIRECT(ADDRESS(2,COLUMN())),OFFSET($BN$2,0,0,ROW()-1,60),ROW()-1,FALSE))</f>
        <v/>
      </c>
      <c r="M92" t="str">
        <f ca="1">IF(AND(ISNUMBER($M$599),$B$511=1),$M$599,HLOOKUP(INDIRECT(ADDRESS(2,COLUMN())),OFFSET($BN$2,0,0,ROW()-1,60),ROW()-1,FALSE))</f>
        <v/>
      </c>
      <c r="N92" t="str">
        <f ca="1">IF(AND(ISNUMBER($N$599),$B$511=1),$N$599,HLOOKUP(INDIRECT(ADDRESS(2,COLUMN())),OFFSET($BN$2,0,0,ROW()-1,60),ROW()-1,FALSE))</f>
        <v/>
      </c>
      <c r="O92" t="str">
        <f ca="1">IF(AND(ISNUMBER($O$599),$B$511=1),$O$599,HLOOKUP(INDIRECT(ADDRESS(2,COLUMN())),OFFSET($BN$2,0,0,ROW()-1,60),ROW()-1,FALSE))</f>
        <v/>
      </c>
      <c r="P92">
        <f ca="1">IF(AND(ISNUMBER($P$599),$B$511=1),$P$599,HLOOKUP(INDIRECT(ADDRESS(2,COLUMN())),OFFSET($BN$2,0,0,ROW()-1,60),ROW()-1,FALSE))</f>
        <v>1.165</v>
      </c>
      <c r="Q92">
        <f ca="1">IF(AND(ISNUMBER($Q$599),$B$511=1),$Q$599,HLOOKUP(INDIRECT(ADDRESS(2,COLUMN())),OFFSET($BN$2,0,0,ROW()-1,60),ROW()-1,FALSE))</f>
        <v>1.242</v>
      </c>
      <c r="R92">
        <f ca="1">IF(AND(ISNUMBER($R$599),$B$511=1),$R$599,HLOOKUP(INDIRECT(ADDRESS(2,COLUMN())),OFFSET($BN$2,0,0,ROW()-1,60),ROW()-1,FALSE))</f>
        <v>1.105</v>
      </c>
      <c r="S92">
        <f ca="1">IF(AND(ISNUMBER($S$599),$B$511=1),$S$599,HLOOKUP(INDIRECT(ADDRESS(2,COLUMN())),OFFSET($BN$2,0,0,ROW()-1,60),ROW()-1,FALSE))</f>
        <v>1.0349999999999999</v>
      </c>
      <c r="T92">
        <f ca="1">IF(AND(ISNUMBER($T$599),$B$511=1),$T$599,HLOOKUP(INDIRECT(ADDRESS(2,COLUMN())),OFFSET($BN$2,0,0,ROW()-1,60),ROW()-1,FALSE))</f>
        <v>1.28</v>
      </c>
      <c r="U92">
        <f ca="1">IF(AND(ISNUMBER($U$599),$B$511=1),$U$599,HLOOKUP(INDIRECT(ADDRESS(2,COLUMN())),OFFSET($BN$2,0,0,ROW()-1,60),ROW()-1,FALSE))</f>
        <v>1.333</v>
      </c>
      <c r="V92">
        <f ca="1">IF(AND(ISNUMBER($V$599),$B$511=1),$V$599,HLOOKUP(INDIRECT(ADDRESS(2,COLUMN())),OFFSET($BN$2,0,0,ROW()-1,60),ROW()-1,FALSE))</f>
        <v>1.288</v>
      </c>
      <c r="W92">
        <f ca="1">IF(AND(ISNUMBER($W$599),$B$511=1),$W$599,HLOOKUP(INDIRECT(ADDRESS(2,COLUMN())),OFFSET($BN$2,0,0,ROW()-1,60),ROW()-1,FALSE))</f>
        <v>1.589</v>
      </c>
      <c r="X92">
        <f ca="1">IF(AND(ISNUMBER($X$599),$B$511=1),$X$599,HLOOKUP(INDIRECT(ADDRESS(2,COLUMN())),OFFSET($BN$2,0,0,ROW()-1,60),ROW()-1,FALSE))</f>
        <v>2.38</v>
      </c>
      <c r="Y92">
        <f ca="1">IF(AND(ISNUMBER($Y$599),$B$511=1),$Y$599,HLOOKUP(INDIRECT(ADDRESS(2,COLUMN())),OFFSET($BN$2,0,0,ROW()-1,60),ROW()-1,FALSE))</f>
        <v>2.09</v>
      </c>
      <c r="Z92">
        <f ca="1">IF(AND(ISNUMBER($Z$599),$B$511=1),$Z$599,HLOOKUP(INDIRECT(ADDRESS(2,COLUMN())),OFFSET($BN$2,0,0,ROW()-1,60),ROW()-1,FALSE))</f>
        <v>1.857</v>
      </c>
      <c r="AA92" t="str">
        <f ca="1">IF(AND(ISNUMBER($AA$599),$B$511=1),$AA$599,HLOOKUP(INDIRECT(ADDRESS(2,COLUMN())),OFFSET($BN$2,0,0,ROW()-1,60),ROW()-1,FALSE))</f>
        <v/>
      </c>
      <c r="AB92" t="str">
        <f ca="1">IF(AND(ISNUMBER($AB$599),$B$511=1),$AB$599,HLOOKUP(INDIRECT(ADDRESS(2,COLUMN())),OFFSET($BN$2,0,0,ROW()-1,60),ROW()-1,FALSE))</f>
        <v/>
      </c>
      <c r="AC92" t="str">
        <f ca="1">IF(AND(ISNUMBER($AC$599),$B$511=1),$AC$599,HLOOKUP(INDIRECT(ADDRESS(2,COLUMN())),OFFSET($BN$2,0,0,ROW()-1,60),ROW()-1,FALSE))</f>
        <v/>
      </c>
      <c r="AD92" t="str">
        <f ca="1">IF(AND(ISNUMBER($AD$599),$B$511=1),$AD$599,HLOOKUP(INDIRECT(ADDRESS(2,COLUMN())),OFFSET($BN$2,0,0,ROW()-1,60),ROW()-1,FALSE))</f>
        <v/>
      </c>
      <c r="AE92" t="str">
        <f ca="1">IF(AND(ISNUMBER($AE$599),$B$511=1),$AE$599,HLOOKUP(INDIRECT(ADDRESS(2,COLUMN())),OFFSET($BN$2,0,0,ROW()-1,60),ROW()-1,FALSE))</f>
        <v/>
      </c>
      <c r="AF92" t="str">
        <f ca="1">IF(AND(ISNUMBER($AF$599),$B$511=1),$AF$599,HLOOKUP(INDIRECT(ADDRESS(2,COLUMN())),OFFSET($BN$2,0,0,ROW()-1,60),ROW()-1,FALSE))</f>
        <v/>
      </c>
      <c r="AG92" t="str">
        <f ca="1">IF(AND(ISNUMBER($AG$599),$B$511=1),$AG$599,HLOOKUP(INDIRECT(ADDRESS(2,COLUMN())),OFFSET($BN$2,0,0,ROW()-1,60),ROW()-1,FALSE))</f>
        <v/>
      </c>
      <c r="AH92" t="str">
        <f ca="1">IF(AND(ISNUMBER($AH$599),$B$511=1),$AH$599,HLOOKUP(INDIRECT(ADDRESS(2,COLUMN())),OFFSET($BN$2,0,0,ROW()-1,60),ROW()-1,FALSE))</f>
        <v/>
      </c>
      <c r="AI92" t="str">
        <f ca="1">IF(AND(ISNUMBER($AI$599),$B$511=1),$AI$599,HLOOKUP(INDIRECT(ADDRESS(2,COLUMN())),OFFSET($BN$2,0,0,ROW()-1,60),ROW()-1,FALSE))</f>
        <v/>
      </c>
      <c r="AJ92" t="str">
        <f ca="1">IF(AND(ISNUMBER($AJ$599),$B$511=1),$AJ$599,HLOOKUP(INDIRECT(ADDRESS(2,COLUMN())),OFFSET($BN$2,0,0,ROW()-1,60),ROW()-1,FALSE))</f>
        <v/>
      </c>
      <c r="AK92" t="str">
        <f ca="1">IF(AND(ISNUMBER($AK$599),$B$511=1),$AK$599,HLOOKUP(INDIRECT(ADDRESS(2,COLUMN())),OFFSET($BN$2,0,0,ROW()-1,60),ROW()-1,FALSE))</f>
        <v/>
      </c>
      <c r="AL92" t="str">
        <f ca="1">IF(AND(ISNUMBER($AL$599),$B$511=1),$AL$599,HLOOKUP(INDIRECT(ADDRESS(2,COLUMN())),OFFSET($BN$2,0,0,ROW()-1,60),ROW()-1,FALSE))</f>
        <v/>
      </c>
      <c r="AM92" t="str">
        <f ca="1">IF(AND(ISNUMBER($AM$599),$B$511=1),$AM$599,HLOOKUP(INDIRECT(ADDRESS(2,COLUMN())),OFFSET($BN$2,0,0,ROW()-1,60),ROW()-1,FALSE))</f>
        <v/>
      </c>
      <c r="AN92" t="str">
        <f ca="1">IF(AND(ISNUMBER($AN$599),$B$511=1),$AN$599,HLOOKUP(INDIRECT(ADDRESS(2,COLUMN())),OFFSET($BN$2,0,0,ROW()-1,60),ROW()-1,FALSE))</f>
        <v/>
      </c>
      <c r="AO92" t="str">
        <f ca="1">IF(AND(ISNUMBER($AO$599),$B$511=1),$AO$599,HLOOKUP(INDIRECT(ADDRESS(2,COLUMN())),OFFSET($BN$2,0,0,ROW()-1,60),ROW()-1,FALSE))</f>
        <v/>
      </c>
      <c r="AP92" t="str">
        <f ca="1">IF(AND(ISNUMBER($AP$599),$B$511=1),$AP$599,HLOOKUP(INDIRECT(ADDRESS(2,COLUMN())),OFFSET($BN$2,0,0,ROW()-1,60),ROW()-1,FALSE))</f>
        <v/>
      </c>
      <c r="AQ92" t="str">
        <f ca="1">IF(AND(ISNUMBER($AQ$599),$B$511=1),$AQ$599,HLOOKUP(INDIRECT(ADDRESS(2,COLUMN())),OFFSET($BN$2,0,0,ROW()-1,60),ROW()-1,FALSE))</f>
        <v/>
      </c>
      <c r="AR92" t="str">
        <f ca="1">IF(AND(ISNUMBER($AR$599),$B$511=1),$AR$599,HLOOKUP(INDIRECT(ADDRESS(2,COLUMN())),OFFSET($BN$2,0,0,ROW()-1,60),ROW()-1,FALSE))</f>
        <v/>
      </c>
      <c r="AS92" t="str">
        <f ca="1">IF(AND(ISNUMBER($AS$599),$B$511=1),$AS$599,HLOOKUP(INDIRECT(ADDRESS(2,COLUMN())),OFFSET($BN$2,0,0,ROW()-1,60),ROW()-1,FALSE))</f>
        <v/>
      </c>
      <c r="AT92" t="str">
        <f ca="1">IF(AND(ISNUMBER($AT$599),$B$511=1),$AT$599,HLOOKUP(INDIRECT(ADDRESS(2,COLUMN())),OFFSET($BN$2,0,0,ROW()-1,60),ROW()-1,FALSE))</f>
        <v/>
      </c>
      <c r="AU92" t="str">
        <f ca="1">IF(AND(ISNUMBER($AU$599),$B$511=1),$AU$599,HLOOKUP(INDIRECT(ADDRESS(2,COLUMN())),OFFSET($BN$2,0,0,ROW()-1,60),ROW()-1,FALSE))</f>
        <v/>
      </c>
      <c r="AV92" t="str">
        <f ca="1">IF(AND(ISNUMBER($AV$599),$B$511=1),$AV$599,HLOOKUP(INDIRECT(ADDRESS(2,COLUMN())),OFFSET($BN$2,0,0,ROW()-1,60),ROW()-1,FALSE))</f>
        <v/>
      </c>
      <c r="AW92" t="str">
        <f ca="1">IF(AND(ISNUMBER($AW$599),$B$511=1),$AW$599,HLOOKUP(INDIRECT(ADDRESS(2,COLUMN())),OFFSET($BN$2,0,0,ROW()-1,60),ROW()-1,FALSE))</f>
        <v/>
      </c>
      <c r="AX92" t="str">
        <f ca="1">IF(AND(ISNUMBER($AX$599),$B$511=1),$AX$599,HLOOKUP(INDIRECT(ADDRESS(2,COLUMN())),OFFSET($BN$2,0,0,ROW()-1,60),ROW()-1,FALSE))</f>
        <v/>
      </c>
      <c r="AY92" t="str">
        <f ca="1">IF(AND(ISNUMBER($AY$599),$B$511=1),$AY$599,HLOOKUP(INDIRECT(ADDRESS(2,COLUMN())),OFFSET($BN$2,0,0,ROW()-1,60),ROW()-1,FALSE))</f>
        <v/>
      </c>
      <c r="AZ92" t="str">
        <f ca="1">IF(AND(ISNUMBER($AZ$599),$B$511=1),$AZ$599,HLOOKUP(INDIRECT(ADDRESS(2,COLUMN())),OFFSET($BN$2,0,0,ROW()-1,60),ROW()-1,FALSE))</f>
        <v/>
      </c>
      <c r="BA92" t="str">
        <f ca="1">IF(AND(ISNUMBER($BA$599),$B$511=1),$BA$599,HLOOKUP(INDIRECT(ADDRESS(2,COLUMN())),OFFSET($BN$2,0,0,ROW()-1,60),ROW()-1,FALSE))</f>
        <v/>
      </c>
      <c r="BB92" t="str">
        <f ca="1">IF(AND(ISNUMBER($BB$599),$B$511=1),$BB$599,HLOOKUP(INDIRECT(ADDRESS(2,COLUMN())),OFFSET($BN$2,0,0,ROW()-1,60),ROW()-1,FALSE))</f>
        <v/>
      </c>
      <c r="BC92" t="str">
        <f ca="1">IF(AND(ISNUMBER($BC$599),$B$511=1),$BC$599,HLOOKUP(INDIRECT(ADDRESS(2,COLUMN())),OFFSET($BN$2,0,0,ROW()-1,60),ROW()-1,FALSE))</f>
        <v/>
      </c>
      <c r="BD92" t="str">
        <f ca="1">IF(AND(ISNUMBER($BD$599),$B$511=1),$BD$599,HLOOKUP(INDIRECT(ADDRESS(2,COLUMN())),OFFSET($BN$2,0,0,ROW()-1,60),ROW()-1,FALSE))</f>
        <v/>
      </c>
      <c r="BE92" t="str">
        <f ca="1">IF(AND(ISNUMBER($BE$599),$B$511=1),$BE$599,HLOOKUP(INDIRECT(ADDRESS(2,COLUMN())),OFFSET($BN$2,0,0,ROW()-1,60),ROW()-1,FALSE))</f>
        <v/>
      </c>
      <c r="BF92" t="str">
        <f ca="1">IF(AND(ISNUMBER($BF$599),$B$511=1),$BF$599,HLOOKUP(INDIRECT(ADDRESS(2,COLUMN())),OFFSET($BN$2,0,0,ROW()-1,60),ROW()-1,FALSE))</f>
        <v/>
      </c>
      <c r="BG92" t="str">
        <f ca="1">IF(AND(ISNUMBER($BG$599),$B$511=1),$BG$599,HLOOKUP(INDIRECT(ADDRESS(2,COLUMN())),OFFSET($BN$2,0,0,ROW()-1,60),ROW()-1,FALSE))</f>
        <v/>
      </c>
      <c r="BH92" t="str">
        <f ca="1">IF(AND(ISNUMBER($BH$599),$B$511=1),$BH$599,HLOOKUP(INDIRECT(ADDRESS(2,COLUMN())),OFFSET($BN$2,0,0,ROW()-1,60),ROW()-1,FALSE))</f>
        <v/>
      </c>
      <c r="BI92" t="str">
        <f ca="1">IF(AND(ISNUMBER($BI$599),$B$511=1),$BI$599,HLOOKUP(INDIRECT(ADDRESS(2,COLUMN())),OFFSET($BN$2,0,0,ROW()-1,60),ROW()-1,FALSE))</f>
        <v/>
      </c>
      <c r="BJ92" t="str">
        <f ca="1">IF(AND(ISNUMBER($BJ$599),$B$511=1),$BJ$599,HLOOKUP(INDIRECT(ADDRESS(2,COLUMN())),OFFSET($BN$2,0,0,ROW()-1,60),ROW()-1,FALSE))</f>
        <v/>
      </c>
      <c r="BK92" t="str">
        <f ca="1">IF(AND(ISNUMBER($BK$599),$B$511=1),$BK$599,HLOOKUP(INDIRECT(ADDRESS(2,COLUMN())),OFFSET($BN$2,0,0,ROW()-1,60),ROW()-1,FALSE))</f>
        <v/>
      </c>
      <c r="BL92" t="str">
        <f ca="1">IF(AND(ISNUMBER($BL$599),$B$511=1),$BL$599,HLOOKUP(INDIRECT(ADDRESS(2,COLUMN())),OFFSET($BN$2,0,0,ROW()-1,60),ROW()-1,FALSE))</f>
        <v/>
      </c>
      <c r="BM92" t="str">
        <f ca="1">IF(AND(ISNUMBER($BM$599),$B$511=1),$BM$599,HLOOKUP(INDIRECT(ADDRESS(2,COLUMN())),OFFSET($BN$2,0,0,ROW()-1,60),ROW()-1,FALSE))</f>
        <v/>
      </c>
      <c r="BN92" t="str">
        <f>""</f>
        <v/>
      </c>
      <c r="BO92" t="str">
        <f>""</f>
        <v/>
      </c>
      <c r="BP92" t="str">
        <f>""</f>
        <v/>
      </c>
      <c r="BQ92" t="str">
        <f>""</f>
        <v/>
      </c>
      <c r="BR92" t="str">
        <f>""</f>
        <v/>
      </c>
      <c r="BS92" t="str">
        <f>""</f>
        <v/>
      </c>
      <c r="BT92" t="str">
        <f>""</f>
        <v/>
      </c>
      <c r="BU92" t="str">
        <f>""</f>
        <v/>
      </c>
      <c r="BV92" t="str">
        <f>""</f>
        <v/>
      </c>
      <c r="BW92" t="str">
        <f>""</f>
        <v/>
      </c>
      <c r="BX92">
        <f>1.165</f>
        <v>1.165</v>
      </c>
      <c r="BY92">
        <f>1.242</f>
        <v>1.242</v>
      </c>
      <c r="BZ92">
        <f>1.105</f>
        <v>1.105</v>
      </c>
      <c r="CA92">
        <f>1.035</f>
        <v>1.0349999999999999</v>
      </c>
      <c r="CB92">
        <f>1.28</f>
        <v>1.28</v>
      </c>
      <c r="CC92">
        <f>1.333</f>
        <v>1.333</v>
      </c>
      <c r="CD92">
        <f>1.288</f>
        <v>1.288</v>
      </c>
      <c r="CE92">
        <f>1.589</f>
        <v>1.589</v>
      </c>
      <c r="CF92">
        <f>2.38</f>
        <v>2.38</v>
      </c>
      <c r="CG92">
        <f>2.09</f>
        <v>2.09</v>
      </c>
      <c r="CH92">
        <f>1.857</f>
        <v>1.857</v>
      </c>
      <c r="CI92" t="str">
        <f>""</f>
        <v/>
      </c>
      <c r="CJ92" t="str">
        <f>""</f>
        <v/>
      </c>
      <c r="CK92" t="str">
        <f>""</f>
        <v/>
      </c>
      <c r="CL92" t="str">
        <f>""</f>
        <v/>
      </c>
      <c r="CM92" t="str">
        <f>""</f>
        <v/>
      </c>
      <c r="CN92" t="str">
        <f>""</f>
        <v/>
      </c>
      <c r="CO92" t="str">
        <f>""</f>
        <v/>
      </c>
      <c r="CP92" t="str">
        <f>""</f>
        <v/>
      </c>
      <c r="CQ92" t="str">
        <f>""</f>
        <v/>
      </c>
      <c r="CR92" t="str">
        <f>""</f>
        <v/>
      </c>
      <c r="CS92" t="str">
        <f>""</f>
        <v/>
      </c>
      <c r="CT92" t="str">
        <f>""</f>
        <v/>
      </c>
      <c r="CU92" t="str">
        <f>""</f>
        <v/>
      </c>
      <c r="CV92" t="str">
        <f>""</f>
        <v/>
      </c>
      <c r="CW92" t="str">
        <f>""</f>
        <v/>
      </c>
      <c r="CX92" t="str">
        <f>""</f>
        <v/>
      </c>
      <c r="CY92" t="str">
        <f>""</f>
        <v/>
      </c>
      <c r="CZ92" t="str">
        <f>""</f>
        <v/>
      </c>
      <c r="DA92" t="str">
        <f>""</f>
        <v/>
      </c>
      <c r="DB92" t="str">
        <f>""</f>
        <v/>
      </c>
      <c r="DC92" t="str">
        <f>""</f>
        <v/>
      </c>
      <c r="DD92" t="str">
        <f>""</f>
        <v/>
      </c>
      <c r="DE92" t="str">
        <f>""</f>
        <v/>
      </c>
      <c r="DF92" t="str">
        <f>""</f>
        <v/>
      </c>
      <c r="DG92" t="str">
        <f>""</f>
        <v/>
      </c>
      <c r="DH92" t="str">
        <f>""</f>
        <v/>
      </c>
      <c r="DI92" t="str">
        <f>""</f>
        <v/>
      </c>
      <c r="DJ92" t="str">
        <f>""</f>
        <v/>
      </c>
      <c r="DK92" t="str">
        <f>""</f>
        <v/>
      </c>
      <c r="DL92" t="str">
        <f>""</f>
        <v/>
      </c>
      <c r="DM92" t="str">
        <f>""</f>
        <v/>
      </c>
      <c r="DN92" t="str">
        <f>""</f>
        <v/>
      </c>
      <c r="DO92" t="str">
        <f>""</f>
        <v/>
      </c>
      <c r="DP92" t="str">
        <f>""</f>
        <v/>
      </c>
      <c r="DQ92" t="str">
        <f>""</f>
        <v/>
      </c>
      <c r="DR92" t="str">
        <f>""</f>
        <v/>
      </c>
      <c r="DS92" t="str">
        <f>""</f>
        <v/>
      </c>
      <c r="DT92" t="str">
        <f>""</f>
        <v/>
      </c>
      <c r="DU92" t="str">
        <f>""</f>
        <v/>
      </c>
    </row>
    <row r="93" spans="1:125" x14ac:dyDescent="0.25">
      <c r="A93" t="str">
        <f>"    Daimler AG"</f>
        <v xml:space="preserve">    Daimler AG</v>
      </c>
      <c r="B93" t="str">
        <f>"DAI GR Equity"</f>
        <v>DAI GR Equity</v>
      </c>
      <c r="C93" t="str">
        <f t="shared" si="6"/>
        <v>EZ021</v>
      </c>
      <c r="D93" t="str">
        <f t="shared" si="7"/>
        <v>BEST_EPS_NXT_YR</v>
      </c>
      <c r="E93" t="str">
        <f t="shared" si="8"/>
        <v>Dynamic</v>
      </c>
      <c r="F93">
        <f ca="1">IF(AND(ISNUMBER($F$600),$B$511=1),$F$600,HLOOKUP(INDIRECT(ADDRESS(2,COLUMN())),OFFSET($BN$2,0,0,ROW()-1,60),ROW()-1,FALSE))</f>
        <v>9.0410000000000004</v>
      </c>
      <c r="G93">
        <f ca="1">IF(AND(ISNUMBER($G$600),$B$511=1),$G$600,HLOOKUP(INDIRECT(ADDRESS(2,COLUMN())),OFFSET($BN$2,0,0,ROW()-1,60),ROW()-1,FALSE))</f>
        <v>9.6</v>
      </c>
      <c r="H93">
        <f ca="1">IF(AND(ISNUMBER($H$600),$B$511=1),$H$600,HLOOKUP(INDIRECT(ADDRESS(2,COLUMN())),OFFSET($BN$2,0,0,ROW()-1,60),ROW()-1,FALSE))</f>
        <v>10.862</v>
      </c>
      <c r="I93">
        <f ca="1">IF(AND(ISNUMBER($I$600),$B$511=1),$I$600,HLOOKUP(INDIRECT(ADDRESS(2,COLUMN())),OFFSET($BN$2,0,0,ROW()-1,60),ROW()-1,FALSE))</f>
        <v>11.105</v>
      </c>
      <c r="J93">
        <f ca="1">IF(AND(ISNUMBER($J$600),$B$511=1),$J$600,HLOOKUP(INDIRECT(ADDRESS(2,COLUMN())),OFFSET($BN$2,0,0,ROW()-1,60),ROW()-1,FALSE))</f>
        <v>12.028</v>
      </c>
      <c r="K93">
        <f ca="1">IF(AND(ISNUMBER($K$600),$B$511=1),$K$600,HLOOKUP(INDIRECT(ADDRESS(2,COLUMN())),OFFSET($BN$2,0,0,ROW()-1,60),ROW()-1,FALSE))</f>
        <v>11.172000000000001</v>
      </c>
      <c r="L93">
        <f ca="1">IF(AND(ISNUMBER($L$600),$B$511=1),$L$600,HLOOKUP(INDIRECT(ADDRESS(2,COLUMN())),OFFSET($BN$2,0,0,ROW()-1,60),ROW()-1,FALSE))</f>
        <v>11.368</v>
      </c>
      <c r="M93">
        <f ca="1">IF(AND(ISNUMBER($M$600),$B$511=1),$M$600,HLOOKUP(INDIRECT(ADDRESS(2,COLUMN())),OFFSET($BN$2,0,0,ROW()-1,60),ROW()-1,FALSE))</f>
        <v>10.098000000000001</v>
      </c>
      <c r="N93">
        <f ca="1">IF(AND(ISNUMBER($N$600),$B$511=1),$N$600,HLOOKUP(INDIRECT(ADDRESS(2,COLUMN())),OFFSET($BN$2,0,0,ROW()-1,60),ROW()-1,FALSE))</f>
        <v>7.0620000000000003</v>
      </c>
      <c r="O93">
        <f ca="1">IF(AND(ISNUMBER($O$600),$B$511=1),$O$600,HLOOKUP(INDIRECT(ADDRESS(2,COLUMN())),OFFSET($BN$2,0,0,ROW()-1,60),ROW()-1,FALSE))</f>
        <v>9.7759999999999998</v>
      </c>
      <c r="P93">
        <f ca="1">IF(AND(ISNUMBER($P$600),$B$511=1),$P$600,HLOOKUP(INDIRECT(ADDRESS(2,COLUMN())),OFFSET($BN$2,0,0,ROW()-1,60),ROW()-1,FALSE))</f>
        <v>10.662000000000001</v>
      </c>
      <c r="Q93">
        <f ca="1">IF(AND(ISNUMBER($Q$600),$B$511=1),$Q$600,HLOOKUP(INDIRECT(ADDRESS(2,COLUMN())),OFFSET($BN$2,0,0,ROW()-1,60),ROW()-1,FALSE))</f>
        <v>9.2279999999999998</v>
      </c>
      <c r="R93" t="str">
        <f ca="1">IF(AND(ISNUMBER($R$600),$B$511=1),$R$600,HLOOKUP(INDIRECT(ADDRESS(2,COLUMN())),OFFSET($BN$2,0,0,ROW()-1,60),ROW()-1,FALSE))</f>
        <v/>
      </c>
      <c r="S93" t="str">
        <f ca="1">IF(AND(ISNUMBER($S$600),$B$511=1),$S$600,HLOOKUP(INDIRECT(ADDRESS(2,COLUMN())),OFFSET($BN$2,0,0,ROW()-1,60),ROW()-1,FALSE))</f>
        <v/>
      </c>
      <c r="T93" t="str">
        <f ca="1">IF(AND(ISNUMBER($T$600),$B$511=1),$T$600,HLOOKUP(INDIRECT(ADDRESS(2,COLUMN())),OFFSET($BN$2,0,0,ROW()-1,60),ROW()-1,FALSE))</f>
        <v/>
      </c>
      <c r="U93" t="str">
        <f ca="1">IF(AND(ISNUMBER($U$600),$B$511=1),$U$600,HLOOKUP(INDIRECT(ADDRESS(2,COLUMN())),OFFSET($BN$2,0,0,ROW()-1,60),ROW()-1,FALSE))</f>
        <v/>
      </c>
      <c r="V93" t="str">
        <f ca="1">IF(AND(ISNUMBER($V$600),$B$511=1),$V$600,HLOOKUP(INDIRECT(ADDRESS(2,COLUMN())),OFFSET($BN$2,0,0,ROW()-1,60),ROW()-1,FALSE))</f>
        <v/>
      </c>
      <c r="W93" t="str">
        <f ca="1">IF(AND(ISNUMBER($W$600),$B$511=1),$W$600,HLOOKUP(INDIRECT(ADDRESS(2,COLUMN())),OFFSET($BN$2,0,0,ROW()-1,60),ROW()-1,FALSE))</f>
        <v/>
      </c>
      <c r="X93" t="str">
        <f ca="1">IF(AND(ISNUMBER($X$600),$B$511=1),$X$600,HLOOKUP(INDIRECT(ADDRESS(2,COLUMN())),OFFSET($BN$2,0,0,ROW()-1,60),ROW()-1,FALSE))</f>
        <v/>
      </c>
      <c r="Y93" t="str">
        <f ca="1">IF(AND(ISNUMBER($Y$600),$B$511=1),$Y$600,HLOOKUP(INDIRECT(ADDRESS(2,COLUMN())),OFFSET($BN$2,0,0,ROW()-1,60),ROW()-1,FALSE))</f>
        <v/>
      </c>
      <c r="Z93" t="str">
        <f ca="1">IF(AND(ISNUMBER($Z$600),$B$511=1),$Z$600,HLOOKUP(INDIRECT(ADDRESS(2,COLUMN())),OFFSET($BN$2,0,0,ROW()-1,60),ROW()-1,FALSE))</f>
        <v/>
      </c>
      <c r="AA93" t="str">
        <f ca="1">IF(AND(ISNUMBER($AA$600),$B$511=1),$AA$600,HLOOKUP(INDIRECT(ADDRESS(2,COLUMN())),OFFSET($BN$2,0,0,ROW()-1,60),ROW()-1,FALSE))</f>
        <v/>
      </c>
      <c r="AB93" t="str">
        <f ca="1">IF(AND(ISNUMBER($AB$600),$B$511=1),$AB$600,HLOOKUP(INDIRECT(ADDRESS(2,COLUMN())),OFFSET($BN$2,0,0,ROW()-1,60),ROW()-1,FALSE))</f>
        <v/>
      </c>
      <c r="AC93" t="str">
        <f ca="1">IF(AND(ISNUMBER($AC$600),$B$511=1),$AC$600,HLOOKUP(INDIRECT(ADDRESS(2,COLUMN())),OFFSET($BN$2,0,0,ROW()-1,60),ROW()-1,FALSE))</f>
        <v/>
      </c>
      <c r="AD93" t="str">
        <f ca="1">IF(AND(ISNUMBER($AD$600),$B$511=1),$AD$600,HLOOKUP(INDIRECT(ADDRESS(2,COLUMN())),OFFSET($BN$2,0,0,ROW()-1,60),ROW()-1,FALSE))</f>
        <v/>
      </c>
      <c r="AE93" t="str">
        <f ca="1">IF(AND(ISNUMBER($AE$600),$B$511=1),$AE$600,HLOOKUP(INDIRECT(ADDRESS(2,COLUMN())),OFFSET($BN$2,0,0,ROW()-1,60),ROW()-1,FALSE))</f>
        <v/>
      </c>
      <c r="AF93" t="str">
        <f ca="1">IF(AND(ISNUMBER($AF$600),$B$511=1),$AF$600,HLOOKUP(INDIRECT(ADDRESS(2,COLUMN())),OFFSET($BN$2,0,0,ROW()-1,60),ROW()-1,FALSE))</f>
        <v/>
      </c>
      <c r="AG93" t="str">
        <f ca="1">IF(AND(ISNUMBER($AG$600),$B$511=1),$AG$600,HLOOKUP(INDIRECT(ADDRESS(2,COLUMN())),OFFSET($BN$2,0,0,ROW()-1,60),ROW()-1,FALSE))</f>
        <v/>
      </c>
      <c r="AH93" t="str">
        <f ca="1">IF(AND(ISNUMBER($AH$600),$B$511=1),$AH$600,HLOOKUP(INDIRECT(ADDRESS(2,COLUMN())),OFFSET($BN$2,0,0,ROW()-1,60),ROW()-1,FALSE))</f>
        <v/>
      </c>
      <c r="AI93" t="str">
        <f ca="1">IF(AND(ISNUMBER($AI$600),$B$511=1),$AI$600,HLOOKUP(INDIRECT(ADDRESS(2,COLUMN())),OFFSET($BN$2,0,0,ROW()-1,60),ROW()-1,FALSE))</f>
        <v/>
      </c>
      <c r="AJ93" t="str">
        <f ca="1">IF(AND(ISNUMBER($AJ$600),$B$511=1),$AJ$600,HLOOKUP(INDIRECT(ADDRESS(2,COLUMN())),OFFSET($BN$2,0,0,ROW()-1,60),ROW()-1,FALSE))</f>
        <v/>
      </c>
      <c r="AK93" t="str">
        <f ca="1">IF(AND(ISNUMBER($AK$600),$B$511=1),$AK$600,HLOOKUP(INDIRECT(ADDRESS(2,COLUMN())),OFFSET($BN$2,0,0,ROW()-1,60),ROW()-1,FALSE))</f>
        <v/>
      </c>
      <c r="AL93" t="str">
        <f ca="1">IF(AND(ISNUMBER($AL$600),$B$511=1),$AL$600,HLOOKUP(INDIRECT(ADDRESS(2,COLUMN())),OFFSET($BN$2,0,0,ROW()-1,60),ROW()-1,FALSE))</f>
        <v/>
      </c>
      <c r="AM93" t="str">
        <f ca="1">IF(AND(ISNUMBER($AM$600),$B$511=1),$AM$600,HLOOKUP(INDIRECT(ADDRESS(2,COLUMN())),OFFSET($BN$2,0,0,ROW()-1,60),ROW()-1,FALSE))</f>
        <v/>
      </c>
      <c r="AN93" t="str">
        <f ca="1">IF(AND(ISNUMBER($AN$600),$B$511=1),$AN$600,HLOOKUP(INDIRECT(ADDRESS(2,COLUMN())),OFFSET($BN$2,0,0,ROW()-1,60),ROW()-1,FALSE))</f>
        <v/>
      </c>
      <c r="AO93" t="str">
        <f ca="1">IF(AND(ISNUMBER($AO$600),$B$511=1),$AO$600,HLOOKUP(INDIRECT(ADDRESS(2,COLUMN())),OFFSET($BN$2,0,0,ROW()-1,60),ROW()-1,FALSE))</f>
        <v/>
      </c>
      <c r="AP93" t="str">
        <f ca="1">IF(AND(ISNUMBER($AP$600),$B$511=1),$AP$600,HLOOKUP(INDIRECT(ADDRESS(2,COLUMN())),OFFSET($BN$2,0,0,ROW()-1,60),ROW()-1,FALSE))</f>
        <v/>
      </c>
      <c r="AQ93" t="str">
        <f ca="1">IF(AND(ISNUMBER($AQ$600),$B$511=1),$AQ$600,HLOOKUP(INDIRECT(ADDRESS(2,COLUMN())),OFFSET($BN$2,0,0,ROW()-1,60),ROW()-1,FALSE))</f>
        <v/>
      </c>
      <c r="AR93" t="str">
        <f ca="1">IF(AND(ISNUMBER($AR$600),$B$511=1),$AR$600,HLOOKUP(INDIRECT(ADDRESS(2,COLUMN())),OFFSET($BN$2,0,0,ROW()-1,60),ROW()-1,FALSE))</f>
        <v/>
      </c>
      <c r="AS93" t="str">
        <f ca="1">IF(AND(ISNUMBER($AS$600),$B$511=1),$AS$600,HLOOKUP(INDIRECT(ADDRESS(2,COLUMN())),OFFSET($BN$2,0,0,ROW()-1,60),ROW()-1,FALSE))</f>
        <v/>
      </c>
      <c r="AT93" t="str">
        <f ca="1">IF(AND(ISNUMBER($AT$600),$B$511=1),$AT$600,HLOOKUP(INDIRECT(ADDRESS(2,COLUMN())),OFFSET($BN$2,0,0,ROW()-1,60),ROW()-1,FALSE))</f>
        <v/>
      </c>
      <c r="AU93" t="str">
        <f ca="1">IF(AND(ISNUMBER($AU$600),$B$511=1),$AU$600,HLOOKUP(INDIRECT(ADDRESS(2,COLUMN())),OFFSET($BN$2,0,0,ROW()-1,60),ROW()-1,FALSE))</f>
        <v/>
      </c>
      <c r="AV93" t="str">
        <f ca="1">IF(AND(ISNUMBER($AV$600),$B$511=1),$AV$600,HLOOKUP(INDIRECT(ADDRESS(2,COLUMN())),OFFSET($BN$2,0,0,ROW()-1,60),ROW()-1,FALSE))</f>
        <v/>
      </c>
      <c r="AW93" t="str">
        <f ca="1">IF(AND(ISNUMBER($AW$600),$B$511=1),$AW$600,HLOOKUP(INDIRECT(ADDRESS(2,COLUMN())),OFFSET($BN$2,0,0,ROW()-1,60),ROW()-1,FALSE))</f>
        <v/>
      </c>
      <c r="AX93" t="str">
        <f ca="1">IF(AND(ISNUMBER($AX$600),$B$511=1),$AX$600,HLOOKUP(INDIRECT(ADDRESS(2,COLUMN())),OFFSET($BN$2,0,0,ROW()-1,60),ROW()-1,FALSE))</f>
        <v/>
      </c>
      <c r="AY93" t="str">
        <f ca="1">IF(AND(ISNUMBER($AY$600),$B$511=1),$AY$600,HLOOKUP(INDIRECT(ADDRESS(2,COLUMN())),OFFSET($BN$2,0,0,ROW()-1,60),ROW()-1,FALSE))</f>
        <v/>
      </c>
      <c r="AZ93" t="str">
        <f ca="1">IF(AND(ISNUMBER($AZ$600),$B$511=1),$AZ$600,HLOOKUP(INDIRECT(ADDRESS(2,COLUMN())),OFFSET($BN$2,0,0,ROW()-1,60),ROW()-1,FALSE))</f>
        <v/>
      </c>
      <c r="BA93" t="str">
        <f ca="1">IF(AND(ISNUMBER($BA$600),$B$511=1),$BA$600,HLOOKUP(INDIRECT(ADDRESS(2,COLUMN())),OFFSET($BN$2,0,0,ROW()-1,60),ROW()-1,FALSE))</f>
        <v/>
      </c>
      <c r="BB93" t="str">
        <f ca="1">IF(AND(ISNUMBER($BB$600),$B$511=1),$BB$600,HLOOKUP(INDIRECT(ADDRESS(2,COLUMN())),OFFSET($BN$2,0,0,ROW()-1,60),ROW()-1,FALSE))</f>
        <v/>
      </c>
      <c r="BC93" t="str">
        <f ca="1">IF(AND(ISNUMBER($BC$600),$B$511=1),$BC$600,HLOOKUP(INDIRECT(ADDRESS(2,COLUMN())),OFFSET($BN$2,0,0,ROW()-1,60),ROW()-1,FALSE))</f>
        <v/>
      </c>
      <c r="BD93" t="str">
        <f ca="1">IF(AND(ISNUMBER($BD$600),$B$511=1),$BD$600,HLOOKUP(INDIRECT(ADDRESS(2,COLUMN())),OFFSET($BN$2,0,0,ROW()-1,60),ROW()-1,FALSE))</f>
        <v/>
      </c>
      <c r="BE93" t="str">
        <f ca="1">IF(AND(ISNUMBER($BE$600),$B$511=1),$BE$600,HLOOKUP(INDIRECT(ADDRESS(2,COLUMN())),OFFSET($BN$2,0,0,ROW()-1,60),ROW()-1,FALSE))</f>
        <v/>
      </c>
      <c r="BF93" t="str">
        <f ca="1">IF(AND(ISNUMBER($BF$600),$B$511=1),$BF$600,HLOOKUP(INDIRECT(ADDRESS(2,COLUMN())),OFFSET($BN$2,0,0,ROW()-1,60),ROW()-1,FALSE))</f>
        <v/>
      </c>
      <c r="BG93" t="str">
        <f ca="1">IF(AND(ISNUMBER($BG$600),$B$511=1),$BG$600,HLOOKUP(INDIRECT(ADDRESS(2,COLUMN())),OFFSET($BN$2,0,0,ROW()-1,60),ROW()-1,FALSE))</f>
        <v/>
      </c>
      <c r="BH93" t="str">
        <f ca="1">IF(AND(ISNUMBER($BH$600),$B$511=1),$BH$600,HLOOKUP(INDIRECT(ADDRESS(2,COLUMN())),OFFSET($BN$2,0,0,ROW()-1,60),ROW()-1,FALSE))</f>
        <v/>
      </c>
      <c r="BI93" t="str">
        <f ca="1">IF(AND(ISNUMBER($BI$600),$B$511=1),$BI$600,HLOOKUP(INDIRECT(ADDRESS(2,COLUMN())),OFFSET($BN$2,0,0,ROW()-1,60),ROW()-1,FALSE))</f>
        <v/>
      </c>
      <c r="BJ93" t="str">
        <f ca="1">IF(AND(ISNUMBER($BJ$600),$B$511=1),$BJ$600,HLOOKUP(INDIRECT(ADDRESS(2,COLUMN())),OFFSET($BN$2,0,0,ROW()-1,60),ROW()-1,FALSE))</f>
        <v/>
      </c>
      <c r="BK93" t="str">
        <f ca="1">IF(AND(ISNUMBER($BK$600),$B$511=1),$BK$600,HLOOKUP(INDIRECT(ADDRESS(2,COLUMN())),OFFSET($BN$2,0,0,ROW()-1,60),ROW()-1,FALSE))</f>
        <v/>
      </c>
      <c r="BL93" t="str">
        <f ca="1">IF(AND(ISNUMBER($BL$600),$B$511=1),$BL$600,HLOOKUP(INDIRECT(ADDRESS(2,COLUMN())),OFFSET($BN$2,0,0,ROW()-1,60),ROW()-1,FALSE))</f>
        <v/>
      </c>
      <c r="BM93" t="str">
        <f ca="1">IF(AND(ISNUMBER($BM$600),$B$511=1),$BM$600,HLOOKUP(INDIRECT(ADDRESS(2,COLUMN())),OFFSET($BN$2,0,0,ROW()-1,60),ROW()-1,FALSE))</f>
        <v/>
      </c>
      <c r="BN93">
        <f>9.041</f>
        <v>9.0410000000000004</v>
      </c>
      <c r="BO93">
        <f>9.6</f>
        <v>9.6</v>
      </c>
      <c r="BP93">
        <f>10.862</f>
        <v>10.862</v>
      </c>
      <c r="BQ93">
        <f>11.105</f>
        <v>11.105</v>
      </c>
      <c r="BR93">
        <f>12.028</f>
        <v>12.028</v>
      </c>
      <c r="BS93">
        <f>11.172</f>
        <v>11.172000000000001</v>
      </c>
      <c r="BT93">
        <f>11.368</f>
        <v>11.368</v>
      </c>
      <c r="BU93">
        <f>10.098</f>
        <v>10.098000000000001</v>
      </c>
      <c r="BV93">
        <f>7.062</f>
        <v>7.0620000000000003</v>
      </c>
      <c r="BW93">
        <f>9.776</f>
        <v>9.7759999999999998</v>
      </c>
      <c r="BX93">
        <f>10.662</f>
        <v>10.662000000000001</v>
      </c>
      <c r="BY93">
        <f>9.228</f>
        <v>9.2279999999999998</v>
      </c>
      <c r="BZ93" t="str">
        <f>""</f>
        <v/>
      </c>
      <c r="CA93" t="str">
        <f>""</f>
        <v/>
      </c>
      <c r="CB93" t="str">
        <f>""</f>
        <v/>
      </c>
      <c r="CC93" t="str">
        <f>""</f>
        <v/>
      </c>
      <c r="CD93" t="str">
        <f>""</f>
        <v/>
      </c>
      <c r="CE93" t="str">
        <f>""</f>
        <v/>
      </c>
      <c r="CF93" t="str">
        <f>""</f>
        <v/>
      </c>
      <c r="CG93" t="str">
        <f>""</f>
        <v/>
      </c>
      <c r="CH93" t="str">
        <f>""</f>
        <v/>
      </c>
      <c r="CI93" t="str">
        <f>""</f>
        <v/>
      </c>
      <c r="CJ93" t="str">
        <f>""</f>
        <v/>
      </c>
      <c r="CK93" t="str">
        <f>""</f>
        <v/>
      </c>
      <c r="CL93" t="str">
        <f>""</f>
        <v/>
      </c>
      <c r="CM93" t="str">
        <f>""</f>
        <v/>
      </c>
      <c r="CN93" t="str">
        <f>""</f>
        <v/>
      </c>
      <c r="CO93" t="str">
        <f>""</f>
        <v/>
      </c>
      <c r="CP93" t="str">
        <f>""</f>
        <v/>
      </c>
      <c r="CQ93" t="str">
        <f>""</f>
        <v/>
      </c>
      <c r="CR93" t="str">
        <f>""</f>
        <v/>
      </c>
      <c r="CS93" t="str">
        <f>""</f>
        <v/>
      </c>
      <c r="CT93" t="str">
        <f>""</f>
        <v/>
      </c>
      <c r="CU93" t="str">
        <f>""</f>
        <v/>
      </c>
      <c r="CV93" t="str">
        <f>""</f>
        <v/>
      </c>
      <c r="CW93" t="str">
        <f>""</f>
        <v/>
      </c>
      <c r="CX93" t="str">
        <f>""</f>
        <v/>
      </c>
      <c r="CY93" t="str">
        <f>""</f>
        <v/>
      </c>
      <c r="CZ93" t="str">
        <f>""</f>
        <v/>
      </c>
      <c r="DA93" t="str">
        <f>""</f>
        <v/>
      </c>
      <c r="DB93" t="str">
        <f>""</f>
        <v/>
      </c>
      <c r="DC93" t="str">
        <f>""</f>
        <v/>
      </c>
      <c r="DD93" t="str">
        <f>""</f>
        <v/>
      </c>
      <c r="DE93" t="str">
        <f>""</f>
        <v/>
      </c>
      <c r="DF93" t="str">
        <f>""</f>
        <v/>
      </c>
      <c r="DG93" t="str">
        <f>""</f>
        <v/>
      </c>
      <c r="DH93" t="str">
        <f>""</f>
        <v/>
      </c>
      <c r="DI93" t="str">
        <f>""</f>
        <v/>
      </c>
      <c r="DJ93" t="str">
        <f>""</f>
        <v/>
      </c>
      <c r="DK93" t="str">
        <f>""</f>
        <v/>
      </c>
      <c r="DL93" t="str">
        <f>""</f>
        <v/>
      </c>
      <c r="DM93" t="str">
        <f>""</f>
        <v/>
      </c>
      <c r="DN93" t="str">
        <f>""</f>
        <v/>
      </c>
      <c r="DO93" t="str">
        <f>""</f>
        <v/>
      </c>
      <c r="DP93" t="str">
        <f>""</f>
        <v/>
      </c>
      <c r="DQ93" t="str">
        <f>""</f>
        <v/>
      </c>
      <c r="DR93" t="str">
        <f>""</f>
        <v/>
      </c>
      <c r="DS93" t="str">
        <f>""</f>
        <v/>
      </c>
      <c r="DT93" t="str">
        <f>""</f>
        <v/>
      </c>
      <c r="DU93" t="str">
        <f>""</f>
        <v/>
      </c>
    </row>
    <row r="94" spans="1:125" x14ac:dyDescent="0.25">
      <c r="A94" t="str">
        <f>"    Dongfeng Motor Group Co Ltd"</f>
        <v xml:space="preserve">    Dongfeng Motor Group Co Ltd</v>
      </c>
      <c r="B94" t="str">
        <f>"489 HK Equity"</f>
        <v>489 HK Equity</v>
      </c>
      <c r="C94" t="str">
        <f t="shared" si="6"/>
        <v>EZ021</v>
      </c>
      <c r="D94" t="str">
        <f t="shared" si="7"/>
        <v>BEST_EPS_NXT_YR</v>
      </c>
      <c r="E94" t="str">
        <f t="shared" si="8"/>
        <v>Dynamic</v>
      </c>
      <c r="F94">
        <f ca="1">IF(AND(ISNUMBER($F$601),$B$511=1),$F$601,HLOOKUP(INDIRECT(ADDRESS(2,COLUMN())),OFFSET($BN$2,0,0,ROW()-1,60),ROW()-1,FALSE))</f>
        <v>0.24299999999999999</v>
      </c>
      <c r="G94">
        <f ca="1">IF(AND(ISNUMBER($G$601),$B$511=1),$G$601,HLOOKUP(INDIRECT(ADDRESS(2,COLUMN())),OFFSET($BN$2,0,0,ROW()-1,60),ROW()-1,FALSE))</f>
        <v>0.24099999999999999</v>
      </c>
      <c r="H94">
        <f ca="1">IF(AND(ISNUMBER($H$601),$B$511=1),$H$601,HLOOKUP(INDIRECT(ADDRESS(2,COLUMN())),OFFSET($BN$2,0,0,ROW()-1,60),ROW()-1,FALSE))</f>
        <v>0.248</v>
      </c>
      <c r="I94">
        <f ca="1">IF(AND(ISNUMBER($I$601),$B$511=1),$I$601,HLOOKUP(INDIRECT(ADDRESS(2,COLUMN())),OFFSET($BN$2,0,0,ROW()-1,60),ROW()-1,FALSE))</f>
        <v>0.253</v>
      </c>
      <c r="J94">
        <f ca="1">IF(AND(ISNUMBER($J$601),$B$511=1),$J$601,HLOOKUP(INDIRECT(ADDRESS(2,COLUMN())),OFFSET($BN$2,0,0,ROW()-1,60),ROW()-1,FALSE))</f>
        <v>0.26300000000000001</v>
      </c>
      <c r="K94">
        <f ca="1">IF(AND(ISNUMBER($K$601),$B$511=1),$K$601,HLOOKUP(INDIRECT(ADDRESS(2,COLUMN())),OFFSET($BN$2,0,0,ROW()-1,60),ROW()-1,FALSE))</f>
        <v>0.255</v>
      </c>
      <c r="L94">
        <f ca="1">IF(AND(ISNUMBER($L$601),$B$511=1),$L$601,HLOOKUP(INDIRECT(ADDRESS(2,COLUMN())),OFFSET($BN$2,0,0,ROW()-1,60),ROW()-1,FALSE))</f>
        <v>0.251</v>
      </c>
      <c r="M94">
        <f ca="1">IF(AND(ISNUMBER($M$601),$B$511=1),$M$601,HLOOKUP(INDIRECT(ADDRESS(2,COLUMN())),OFFSET($BN$2,0,0,ROW()-1,60),ROW()-1,FALSE))</f>
        <v>0.24399999999999999</v>
      </c>
      <c r="N94">
        <f ca="1">IF(AND(ISNUMBER($N$601),$B$511=1),$N$601,HLOOKUP(INDIRECT(ADDRESS(2,COLUMN())),OFFSET($BN$2,0,0,ROW()-1,60),ROW()-1,FALSE))</f>
        <v>0.23699999999999999</v>
      </c>
      <c r="O94">
        <f ca="1">IF(AND(ISNUMBER($O$601),$B$511=1),$O$601,HLOOKUP(INDIRECT(ADDRESS(2,COLUMN())),OFFSET($BN$2,0,0,ROW()-1,60),ROW()-1,FALSE))</f>
        <v>0.193</v>
      </c>
      <c r="P94" t="str">
        <f ca="1">IF(AND(ISNUMBER($P$601),$B$511=1),$P$601,HLOOKUP(INDIRECT(ADDRESS(2,COLUMN())),OFFSET($BN$2,0,0,ROW()-1,60),ROW()-1,FALSE))</f>
        <v/>
      </c>
      <c r="Q94" t="str">
        <f ca="1">IF(AND(ISNUMBER($Q$601),$B$511=1),$Q$601,HLOOKUP(INDIRECT(ADDRESS(2,COLUMN())),OFFSET($BN$2,0,0,ROW()-1,60),ROW()-1,FALSE))</f>
        <v/>
      </c>
      <c r="R94" t="str">
        <f ca="1">IF(AND(ISNUMBER($R$601),$B$511=1),$R$601,HLOOKUP(INDIRECT(ADDRESS(2,COLUMN())),OFFSET($BN$2,0,0,ROW()-1,60),ROW()-1,FALSE))</f>
        <v/>
      </c>
      <c r="S94" t="str">
        <f ca="1">IF(AND(ISNUMBER($S$601),$B$511=1),$S$601,HLOOKUP(INDIRECT(ADDRESS(2,COLUMN())),OFFSET($BN$2,0,0,ROW()-1,60),ROW()-1,FALSE))</f>
        <v/>
      </c>
      <c r="T94" t="str">
        <f ca="1">IF(AND(ISNUMBER($T$601),$B$511=1),$T$601,HLOOKUP(INDIRECT(ADDRESS(2,COLUMN())),OFFSET($BN$2,0,0,ROW()-1,60),ROW()-1,FALSE))</f>
        <v/>
      </c>
      <c r="U94" t="str">
        <f ca="1">IF(AND(ISNUMBER($U$601),$B$511=1),$U$601,HLOOKUP(INDIRECT(ADDRESS(2,COLUMN())),OFFSET($BN$2,0,0,ROW()-1,60),ROW()-1,FALSE))</f>
        <v/>
      </c>
      <c r="V94" t="str">
        <f ca="1">IF(AND(ISNUMBER($V$601),$B$511=1),$V$601,HLOOKUP(INDIRECT(ADDRESS(2,COLUMN())),OFFSET($BN$2,0,0,ROW()-1,60),ROW()-1,FALSE))</f>
        <v/>
      </c>
      <c r="W94" t="str">
        <f ca="1">IF(AND(ISNUMBER($W$601),$B$511=1),$W$601,HLOOKUP(INDIRECT(ADDRESS(2,COLUMN())),OFFSET($BN$2,0,0,ROW()-1,60),ROW()-1,FALSE))</f>
        <v/>
      </c>
      <c r="X94" t="str">
        <f ca="1">IF(AND(ISNUMBER($X$601),$B$511=1),$X$601,HLOOKUP(INDIRECT(ADDRESS(2,COLUMN())),OFFSET($BN$2,0,0,ROW()-1,60),ROW()-1,FALSE))</f>
        <v/>
      </c>
      <c r="Y94" t="str">
        <f ca="1">IF(AND(ISNUMBER($Y$601),$B$511=1),$Y$601,HLOOKUP(INDIRECT(ADDRESS(2,COLUMN())),OFFSET($BN$2,0,0,ROW()-1,60),ROW()-1,FALSE))</f>
        <v/>
      </c>
      <c r="Z94" t="str">
        <f ca="1">IF(AND(ISNUMBER($Z$601),$B$511=1),$Z$601,HLOOKUP(INDIRECT(ADDRESS(2,COLUMN())),OFFSET($BN$2,0,0,ROW()-1,60),ROW()-1,FALSE))</f>
        <v/>
      </c>
      <c r="AA94" t="str">
        <f ca="1">IF(AND(ISNUMBER($AA$601),$B$511=1),$AA$601,HLOOKUP(INDIRECT(ADDRESS(2,COLUMN())),OFFSET($BN$2,0,0,ROW()-1,60),ROW()-1,FALSE))</f>
        <v/>
      </c>
      <c r="AB94" t="str">
        <f ca="1">IF(AND(ISNUMBER($AB$601),$B$511=1),$AB$601,HLOOKUP(INDIRECT(ADDRESS(2,COLUMN())),OFFSET($BN$2,0,0,ROW()-1,60),ROW()-1,FALSE))</f>
        <v/>
      </c>
      <c r="AC94" t="str">
        <f ca="1">IF(AND(ISNUMBER($AC$601),$B$511=1),$AC$601,HLOOKUP(INDIRECT(ADDRESS(2,COLUMN())),OFFSET($BN$2,0,0,ROW()-1,60),ROW()-1,FALSE))</f>
        <v/>
      </c>
      <c r="AD94" t="str">
        <f ca="1">IF(AND(ISNUMBER($AD$601),$B$511=1),$AD$601,HLOOKUP(INDIRECT(ADDRESS(2,COLUMN())),OFFSET($BN$2,0,0,ROW()-1,60),ROW()-1,FALSE))</f>
        <v/>
      </c>
      <c r="AE94" t="str">
        <f ca="1">IF(AND(ISNUMBER($AE$601),$B$511=1),$AE$601,HLOOKUP(INDIRECT(ADDRESS(2,COLUMN())),OFFSET($BN$2,0,0,ROW()-1,60),ROW()-1,FALSE))</f>
        <v/>
      </c>
      <c r="AF94" t="str">
        <f ca="1">IF(AND(ISNUMBER($AF$601),$B$511=1),$AF$601,HLOOKUP(INDIRECT(ADDRESS(2,COLUMN())),OFFSET($BN$2,0,0,ROW()-1,60),ROW()-1,FALSE))</f>
        <v/>
      </c>
      <c r="AG94" t="str">
        <f ca="1">IF(AND(ISNUMBER($AG$601),$B$511=1),$AG$601,HLOOKUP(INDIRECT(ADDRESS(2,COLUMN())),OFFSET($BN$2,0,0,ROW()-1,60),ROW()-1,FALSE))</f>
        <v/>
      </c>
      <c r="AH94" t="str">
        <f ca="1">IF(AND(ISNUMBER($AH$601),$B$511=1),$AH$601,HLOOKUP(INDIRECT(ADDRESS(2,COLUMN())),OFFSET($BN$2,0,0,ROW()-1,60),ROW()-1,FALSE))</f>
        <v/>
      </c>
      <c r="AI94" t="str">
        <f ca="1">IF(AND(ISNUMBER($AI$601),$B$511=1),$AI$601,HLOOKUP(INDIRECT(ADDRESS(2,COLUMN())),OFFSET($BN$2,0,0,ROW()-1,60),ROW()-1,FALSE))</f>
        <v/>
      </c>
      <c r="AJ94" t="str">
        <f ca="1">IF(AND(ISNUMBER($AJ$601),$B$511=1),$AJ$601,HLOOKUP(INDIRECT(ADDRESS(2,COLUMN())),OFFSET($BN$2,0,0,ROW()-1,60),ROW()-1,FALSE))</f>
        <v/>
      </c>
      <c r="AK94" t="str">
        <f ca="1">IF(AND(ISNUMBER($AK$601),$B$511=1),$AK$601,HLOOKUP(INDIRECT(ADDRESS(2,COLUMN())),OFFSET($BN$2,0,0,ROW()-1,60),ROW()-1,FALSE))</f>
        <v/>
      </c>
      <c r="AL94" t="str">
        <f ca="1">IF(AND(ISNUMBER($AL$601),$B$511=1),$AL$601,HLOOKUP(INDIRECT(ADDRESS(2,COLUMN())),OFFSET($BN$2,0,0,ROW()-1,60),ROW()-1,FALSE))</f>
        <v/>
      </c>
      <c r="AM94" t="str">
        <f ca="1">IF(AND(ISNUMBER($AM$601),$B$511=1),$AM$601,HLOOKUP(INDIRECT(ADDRESS(2,COLUMN())),OFFSET($BN$2,0,0,ROW()-1,60),ROW()-1,FALSE))</f>
        <v/>
      </c>
      <c r="AN94" t="str">
        <f ca="1">IF(AND(ISNUMBER($AN$601),$B$511=1),$AN$601,HLOOKUP(INDIRECT(ADDRESS(2,COLUMN())),OFFSET($BN$2,0,0,ROW()-1,60),ROW()-1,FALSE))</f>
        <v/>
      </c>
      <c r="AO94" t="str">
        <f ca="1">IF(AND(ISNUMBER($AO$601),$B$511=1),$AO$601,HLOOKUP(INDIRECT(ADDRESS(2,COLUMN())),OFFSET($BN$2,0,0,ROW()-1,60),ROW()-1,FALSE))</f>
        <v/>
      </c>
      <c r="AP94" t="str">
        <f ca="1">IF(AND(ISNUMBER($AP$601),$B$511=1),$AP$601,HLOOKUP(INDIRECT(ADDRESS(2,COLUMN())),OFFSET($BN$2,0,0,ROW()-1,60),ROW()-1,FALSE))</f>
        <v/>
      </c>
      <c r="AQ94" t="str">
        <f ca="1">IF(AND(ISNUMBER($AQ$601),$B$511=1),$AQ$601,HLOOKUP(INDIRECT(ADDRESS(2,COLUMN())),OFFSET($BN$2,0,0,ROW()-1,60),ROW()-1,FALSE))</f>
        <v/>
      </c>
      <c r="AR94" t="str">
        <f ca="1">IF(AND(ISNUMBER($AR$601),$B$511=1),$AR$601,HLOOKUP(INDIRECT(ADDRESS(2,COLUMN())),OFFSET($BN$2,0,0,ROW()-1,60),ROW()-1,FALSE))</f>
        <v/>
      </c>
      <c r="AS94" t="str">
        <f ca="1">IF(AND(ISNUMBER($AS$601),$B$511=1),$AS$601,HLOOKUP(INDIRECT(ADDRESS(2,COLUMN())),OFFSET($BN$2,0,0,ROW()-1,60),ROW()-1,FALSE))</f>
        <v/>
      </c>
      <c r="AT94" t="str">
        <f ca="1">IF(AND(ISNUMBER($AT$601),$B$511=1),$AT$601,HLOOKUP(INDIRECT(ADDRESS(2,COLUMN())),OFFSET($BN$2,0,0,ROW()-1,60),ROW()-1,FALSE))</f>
        <v/>
      </c>
      <c r="AU94" t="str">
        <f ca="1">IF(AND(ISNUMBER($AU$601),$B$511=1),$AU$601,HLOOKUP(INDIRECT(ADDRESS(2,COLUMN())),OFFSET($BN$2,0,0,ROW()-1,60),ROW()-1,FALSE))</f>
        <v/>
      </c>
      <c r="AV94" t="str">
        <f ca="1">IF(AND(ISNUMBER($AV$601),$B$511=1),$AV$601,HLOOKUP(INDIRECT(ADDRESS(2,COLUMN())),OFFSET($BN$2,0,0,ROW()-1,60),ROW()-1,FALSE))</f>
        <v/>
      </c>
      <c r="AW94" t="str">
        <f ca="1">IF(AND(ISNUMBER($AW$601),$B$511=1),$AW$601,HLOOKUP(INDIRECT(ADDRESS(2,COLUMN())),OFFSET($BN$2,0,0,ROW()-1,60),ROW()-1,FALSE))</f>
        <v/>
      </c>
      <c r="AX94" t="str">
        <f ca="1">IF(AND(ISNUMBER($AX$601),$B$511=1),$AX$601,HLOOKUP(INDIRECT(ADDRESS(2,COLUMN())),OFFSET($BN$2,0,0,ROW()-1,60),ROW()-1,FALSE))</f>
        <v/>
      </c>
      <c r="AY94" t="str">
        <f ca="1">IF(AND(ISNUMBER($AY$601),$B$511=1),$AY$601,HLOOKUP(INDIRECT(ADDRESS(2,COLUMN())),OFFSET($BN$2,0,0,ROW()-1,60),ROW()-1,FALSE))</f>
        <v/>
      </c>
      <c r="AZ94" t="str">
        <f ca="1">IF(AND(ISNUMBER($AZ$601),$B$511=1),$AZ$601,HLOOKUP(INDIRECT(ADDRESS(2,COLUMN())),OFFSET($BN$2,0,0,ROW()-1,60),ROW()-1,FALSE))</f>
        <v/>
      </c>
      <c r="BA94" t="str">
        <f ca="1">IF(AND(ISNUMBER($BA$601),$B$511=1),$BA$601,HLOOKUP(INDIRECT(ADDRESS(2,COLUMN())),OFFSET($BN$2,0,0,ROW()-1,60),ROW()-1,FALSE))</f>
        <v/>
      </c>
      <c r="BB94" t="str">
        <f ca="1">IF(AND(ISNUMBER($BB$601),$B$511=1),$BB$601,HLOOKUP(INDIRECT(ADDRESS(2,COLUMN())),OFFSET($BN$2,0,0,ROW()-1,60),ROW()-1,FALSE))</f>
        <v/>
      </c>
      <c r="BC94" t="str">
        <f ca="1">IF(AND(ISNUMBER($BC$601),$B$511=1),$BC$601,HLOOKUP(INDIRECT(ADDRESS(2,COLUMN())),OFFSET($BN$2,0,0,ROW()-1,60),ROW()-1,FALSE))</f>
        <v/>
      </c>
      <c r="BD94" t="str">
        <f ca="1">IF(AND(ISNUMBER($BD$601),$B$511=1),$BD$601,HLOOKUP(INDIRECT(ADDRESS(2,COLUMN())),OFFSET($BN$2,0,0,ROW()-1,60),ROW()-1,FALSE))</f>
        <v/>
      </c>
      <c r="BE94" t="str">
        <f ca="1">IF(AND(ISNUMBER($BE$601),$B$511=1),$BE$601,HLOOKUP(INDIRECT(ADDRESS(2,COLUMN())),OFFSET($BN$2,0,0,ROW()-1,60),ROW()-1,FALSE))</f>
        <v/>
      </c>
      <c r="BF94" t="str">
        <f ca="1">IF(AND(ISNUMBER($BF$601),$B$511=1),$BF$601,HLOOKUP(INDIRECT(ADDRESS(2,COLUMN())),OFFSET($BN$2,0,0,ROW()-1,60),ROW()-1,FALSE))</f>
        <v/>
      </c>
      <c r="BG94" t="str">
        <f ca="1">IF(AND(ISNUMBER($BG$601),$B$511=1),$BG$601,HLOOKUP(INDIRECT(ADDRESS(2,COLUMN())),OFFSET($BN$2,0,0,ROW()-1,60),ROW()-1,FALSE))</f>
        <v/>
      </c>
      <c r="BH94" t="str">
        <f ca="1">IF(AND(ISNUMBER($BH$601),$B$511=1),$BH$601,HLOOKUP(INDIRECT(ADDRESS(2,COLUMN())),OFFSET($BN$2,0,0,ROW()-1,60),ROW()-1,FALSE))</f>
        <v/>
      </c>
      <c r="BI94" t="str">
        <f ca="1">IF(AND(ISNUMBER($BI$601),$B$511=1),$BI$601,HLOOKUP(INDIRECT(ADDRESS(2,COLUMN())),OFFSET($BN$2,0,0,ROW()-1,60),ROW()-1,FALSE))</f>
        <v/>
      </c>
      <c r="BJ94" t="str">
        <f ca="1">IF(AND(ISNUMBER($BJ$601),$B$511=1),$BJ$601,HLOOKUP(INDIRECT(ADDRESS(2,COLUMN())),OFFSET($BN$2,0,0,ROW()-1,60),ROW()-1,FALSE))</f>
        <v/>
      </c>
      <c r="BK94" t="str">
        <f ca="1">IF(AND(ISNUMBER($BK$601),$B$511=1),$BK$601,HLOOKUP(INDIRECT(ADDRESS(2,COLUMN())),OFFSET($BN$2,0,0,ROW()-1,60),ROW()-1,FALSE))</f>
        <v/>
      </c>
      <c r="BL94" t="str">
        <f ca="1">IF(AND(ISNUMBER($BL$601),$B$511=1),$BL$601,HLOOKUP(INDIRECT(ADDRESS(2,COLUMN())),OFFSET($BN$2,0,0,ROW()-1,60),ROW()-1,FALSE))</f>
        <v/>
      </c>
      <c r="BM94" t="str">
        <f ca="1">IF(AND(ISNUMBER($BM$601),$B$511=1),$BM$601,HLOOKUP(INDIRECT(ADDRESS(2,COLUMN())),OFFSET($BN$2,0,0,ROW()-1,60),ROW()-1,FALSE))</f>
        <v/>
      </c>
      <c r="BN94">
        <f>0.243</f>
        <v>0.24299999999999999</v>
      </c>
      <c r="BO94">
        <f>0.241</f>
        <v>0.24099999999999999</v>
      </c>
      <c r="BP94">
        <f>0.248</f>
        <v>0.248</v>
      </c>
      <c r="BQ94">
        <f>0.253</f>
        <v>0.253</v>
      </c>
      <c r="BR94">
        <f>0.263</f>
        <v>0.26300000000000001</v>
      </c>
      <c r="BS94">
        <f>0.255</f>
        <v>0.255</v>
      </c>
      <c r="BT94">
        <f>0.251</f>
        <v>0.251</v>
      </c>
      <c r="BU94">
        <f>0.244</f>
        <v>0.24399999999999999</v>
      </c>
      <c r="BV94">
        <f>0.237</f>
        <v>0.23699999999999999</v>
      </c>
      <c r="BW94">
        <f>0.193</f>
        <v>0.193</v>
      </c>
      <c r="BX94" t="str">
        <f>""</f>
        <v/>
      </c>
      <c r="BY94" t="str">
        <f>""</f>
        <v/>
      </c>
      <c r="BZ94" t="str">
        <f>""</f>
        <v/>
      </c>
      <c r="CA94" t="str">
        <f>""</f>
        <v/>
      </c>
      <c r="CB94" t="str">
        <f>""</f>
        <v/>
      </c>
      <c r="CC94" t="str">
        <f>""</f>
        <v/>
      </c>
      <c r="CD94" t="str">
        <f>""</f>
        <v/>
      </c>
      <c r="CE94" t="str">
        <f>""</f>
        <v/>
      </c>
      <c r="CF94" t="str">
        <f>""</f>
        <v/>
      </c>
      <c r="CG94" t="str">
        <f>""</f>
        <v/>
      </c>
      <c r="CH94" t="str">
        <f>""</f>
        <v/>
      </c>
      <c r="CI94" t="str">
        <f>""</f>
        <v/>
      </c>
      <c r="CJ94" t="str">
        <f>""</f>
        <v/>
      </c>
      <c r="CK94" t="str">
        <f>""</f>
        <v/>
      </c>
      <c r="CL94" t="str">
        <f>""</f>
        <v/>
      </c>
      <c r="CM94" t="str">
        <f>""</f>
        <v/>
      </c>
      <c r="CN94" t="str">
        <f>""</f>
        <v/>
      </c>
      <c r="CO94" t="str">
        <f>""</f>
        <v/>
      </c>
      <c r="CP94" t="str">
        <f>""</f>
        <v/>
      </c>
      <c r="CQ94" t="str">
        <f>""</f>
        <v/>
      </c>
      <c r="CR94" t="str">
        <f>""</f>
        <v/>
      </c>
      <c r="CS94" t="str">
        <f>""</f>
        <v/>
      </c>
      <c r="CT94" t="str">
        <f>""</f>
        <v/>
      </c>
      <c r="CU94" t="str">
        <f>""</f>
        <v/>
      </c>
      <c r="CV94" t="str">
        <f>""</f>
        <v/>
      </c>
      <c r="CW94" t="str">
        <f>""</f>
        <v/>
      </c>
      <c r="CX94" t="str">
        <f>""</f>
        <v/>
      </c>
      <c r="CY94" t="str">
        <f>""</f>
        <v/>
      </c>
      <c r="CZ94" t="str">
        <f>""</f>
        <v/>
      </c>
      <c r="DA94" t="str">
        <f>""</f>
        <v/>
      </c>
      <c r="DB94" t="str">
        <f>""</f>
        <v/>
      </c>
      <c r="DC94" t="str">
        <f>""</f>
        <v/>
      </c>
      <c r="DD94" t="str">
        <f>""</f>
        <v/>
      </c>
      <c r="DE94" t="str">
        <f>""</f>
        <v/>
      </c>
      <c r="DF94" t="str">
        <f>""</f>
        <v/>
      </c>
      <c r="DG94" t="str">
        <f>""</f>
        <v/>
      </c>
      <c r="DH94" t="str">
        <f>""</f>
        <v/>
      </c>
      <c r="DI94" t="str">
        <f>""</f>
        <v/>
      </c>
      <c r="DJ94" t="str">
        <f>""</f>
        <v/>
      </c>
      <c r="DK94" t="str">
        <f>""</f>
        <v/>
      </c>
      <c r="DL94" t="str">
        <f>""</f>
        <v/>
      </c>
      <c r="DM94" t="str">
        <f>""</f>
        <v/>
      </c>
      <c r="DN94" t="str">
        <f>""</f>
        <v/>
      </c>
      <c r="DO94" t="str">
        <f>""</f>
        <v/>
      </c>
      <c r="DP94" t="str">
        <f>""</f>
        <v/>
      </c>
      <c r="DQ94" t="str">
        <f>""</f>
        <v/>
      </c>
      <c r="DR94" t="str">
        <f>""</f>
        <v/>
      </c>
      <c r="DS94" t="str">
        <f>""</f>
        <v/>
      </c>
      <c r="DT94" t="str">
        <f>""</f>
        <v/>
      </c>
      <c r="DU94" t="str">
        <f>""</f>
        <v/>
      </c>
    </row>
    <row r="95" spans="1:125" x14ac:dyDescent="0.25">
      <c r="A95" t="str">
        <f>"    DRB-Hicom Bhd"</f>
        <v xml:space="preserve">    DRB-Hicom Bhd</v>
      </c>
      <c r="B95" t="str">
        <f>"DRB MK Equity"</f>
        <v>DRB MK Equity</v>
      </c>
      <c r="C95" t="str">
        <f t="shared" si="6"/>
        <v>EZ021</v>
      </c>
      <c r="D95" t="str">
        <f t="shared" si="7"/>
        <v>BEST_EPS_NXT_YR</v>
      </c>
      <c r="E95" t="str">
        <f t="shared" si="8"/>
        <v>Dynamic</v>
      </c>
      <c r="F95">
        <f ca="1">IF(AND(ISNUMBER($F$602),$B$511=1),$F$602,HLOOKUP(INDIRECT(ADDRESS(2,COLUMN())),OFFSET($BN$2,0,0,ROW()-1,60),ROW()-1,FALSE))</f>
        <v>1.7999999999999999E-2</v>
      </c>
      <c r="G95">
        <f ca="1">IF(AND(ISNUMBER($G$602),$B$511=1),$G$602,HLOOKUP(INDIRECT(ADDRESS(2,COLUMN())),OFFSET($BN$2,0,0,ROW()-1,60),ROW()-1,FALSE))</f>
        <v>1.7999999999999999E-2</v>
      </c>
      <c r="H95">
        <f ca="1">IF(AND(ISNUMBER($H$602),$B$511=1),$H$602,HLOOKUP(INDIRECT(ADDRESS(2,COLUMN())),OFFSET($BN$2,0,0,ROW()-1,60),ROW()-1,FALSE))</f>
        <v>1.9E-2</v>
      </c>
      <c r="I95">
        <f ca="1">IF(AND(ISNUMBER($I$602),$B$511=1),$I$602,HLOOKUP(INDIRECT(ADDRESS(2,COLUMN())),OFFSET($BN$2,0,0,ROW()-1,60),ROW()-1,FALSE))</f>
        <v>2.4E-2</v>
      </c>
      <c r="J95">
        <f ca="1">IF(AND(ISNUMBER($J$602),$B$511=1),$J$602,HLOOKUP(INDIRECT(ADDRESS(2,COLUMN())),OFFSET($BN$2,0,0,ROW()-1,60),ROW()-1,FALSE))</f>
        <v>1.0999999999999999E-2</v>
      </c>
      <c r="K95">
        <f ca="1">IF(AND(ISNUMBER($K$602),$B$511=1),$K$602,HLOOKUP(INDIRECT(ADDRESS(2,COLUMN())),OFFSET($BN$2,0,0,ROW()-1,60),ROW()-1,FALSE))</f>
        <v>0.01</v>
      </c>
      <c r="L95">
        <f ca="1">IF(AND(ISNUMBER($L$602),$B$511=1),$L$602,HLOOKUP(INDIRECT(ADDRESS(2,COLUMN())),OFFSET($BN$2,0,0,ROW()-1,60),ROW()-1,FALSE))</f>
        <v>1.2999999999999999E-2</v>
      </c>
      <c r="M95">
        <f ca="1">IF(AND(ISNUMBER($M$602),$B$511=1),$M$602,HLOOKUP(INDIRECT(ADDRESS(2,COLUMN())),OFFSET($BN$2,0,0,ROW()-1,60),ROW()-1,FALSE))</f>
        <v>2.5000000000000001E-2</v>
      </c>
      <c r="N95" t="str">
        <f ca="1">IF(AND(ISNUMBER($N$602),$B$511=1),$N$602,HLOOKUP(INDIRECT(ADDRESS(2,COLUMN())),OFFSET($BN$2,0,0,ROW()-1,60),ROW()-1,FALSE))</f>
        <v/>
      </c>
      <c r="O95" t="str">
        <f ca="1">IF(AND(ISNUMBER($O$602),$B$511=1),$O$602,HLOOKUP(INDIRECT(ADDRESS(2,COLUMN())),OFFSET($BN$2,0,0,ROW()-1,60),ROW()-1,FALSE))</f>
        <v/>
      </c>
      <c r="P95" t="str">
        <f ca="1">IF(AND(ISNUMBER($P$602),$B$511=1),$P$602,HLOOKUP(INDIRECT(ADDRESS(2,COLUMN())),OFFSET($BN$2,0,0,ROW()-1,60),ROW()-1,FALSE))</f>
        <v/>
      </c>
      <c r="Q95" t="str">
        <f ca="1">IF(AND(ISNUMBER($Q$602),$B$511=1),$Q$602,HLOOKUP(INDIRECT(ADDRESS(2,COLUMN())),OFFSET($BN$2,0,0,ROW()-1,60),ROW()-1,FALSE))</f>
        <v/>
      </c>
      <c r="R95" t="str">
        <f ca="1">IF(AND(ISNUMBER($R$602),$B$511=1),$R$602,HLOOKUP(INDIRECT(ADDRESS(2,COLUMN())),OFFSET($BN$2,0,0,ROW()-1,60),ROW()-1,FALSE))</f>
        <v/>
      </c>
      <c r="S95" t="str">
        <f ca="1">IF(AND(ISNUMBER($S$602),$B$511=1),$S$602,HLOOKUP(INDIRECT(ADDRESS(2,COLUMN())),OFFSET($BN$2,0,0,ROW()-1,60),ROW()-1,FALSE))</f>
        <v/>
      </c>
      <c r="T95" t="str">
        <f ca="1">IF(AND(ISNUMBER($T$602),$B$511=1),$T$602,HLOOKUP(INDIRECT(ADDRESS(2,COLUMN())),OFFSET($BN$2,0,0,ROW()-1,60),ROW()-1,FALSE))</f>
        <v/>
      </c>
      <c r="U95" t="str">
        <f ca="1">IF(AND(ISNUMBER($U$602),$B$511=1),$U$602,HLOOKUP(INDIRECT(ADDRESS(2,COLUMN())),OFFSET($BN$2,0,0,ROW()-1,60),ROW()-1,FALSE))</f>
        <v/>
      </c>
      <c r="V95" t="str">
        <f ca="1">IF(AND(ISNUMBER($V$602),$B$511=1),$V$602,HLOOKUP(INDIRECT(ADDRESS(2,COLUMN())),OFFSET($BN$2,0,0,ROW()-1,60),ROW()-1,FALSE))</f>
        <v/>
      </c>
      <c r="W95" t="str">
        <f ca="1">IF(AND(ISNUMBER($W$602),$B$511=1),$W$602,HLOOKUP(INDIRECT(ADDRESS(2,COLUMN())),OFFSET($BN$2,0,0,ROW()-1,60),ROW()-1,FALSE))</f>
        <v/>
      </c>
      <c r="X95" t="str">
        <f ca="1">IF(AND(ISNUMBER($X$602),$B$511=1),$X$602,HLOOKUP(INDIRECT(ADDRESS(2,COLUMN())),OFFSET($BN$2,0,0,ROW()-1,60),ROW()-1,FALSE))</f>
        <v/>
      </c>
      <c r="Y95" t="str">
        <f ca="1">IF(AND(ISNUMBER($Y$602),$B$511=1),$Y$602,HLOOKUP(INDIRECT(ADDRESS(2,COLUMN())),OFFSET($BN$2,0,0,ROW()-1,60),ROW()-1,FALSE))</f>
        <v/>
      </c>
      <c r="Z95" t="str">
        <f ca="1">IF(AND(ISNUMBER($Z$602),$B$511=1),$Z$602,HLOOKUP(INDIRECT(ADDRESS(2,COLUMN())),OFFSET($BN$2,0,0,ROW()-1,60),ROW()-1,FALSE))</f>
        <v/>
      </c>
      <c r="AA95" t="str">
        <f ca="1">IF(AND(ISNUMBER($AA$602),$B$511=1),$AA$602,HLOOKUP(INDIRECT(ADDRESS(2,COLUMN())),OFFSET($BN$2,0,0,ROW()-1,60),ROW()-1,FALSE))</f>
        <v/>
      </c>
      <c r="AB95" t="str">
        <f ca="1">IF(AND(ISNUMBER($AB$602),$B$511=1),$AB$602,HLOOKUP(INDIRECT(ADDRESS(2,COLUMN())),OFFSET($BN$2,0,0,ROW()-1,60),ROW()-1,FALSE))</f>
        <v/>
      </c>
      <c r="AC95" t="str">
        <f ca="1">IF(AND(ISNUMBER($AC$602),$B$511=1),$AC$602,HLOOKUP(INDIRECT(ADDRESS(2,COLUMN())),OFFSET($BN$2,0,0,ROW()-1,60),ROW()-1,FALSE))</f>
        <v/>
      </c>
      <c r="AD95" t="str">
        <f ca="1">IF(AND(ISNUMBER($AD$602),$B$511=1),$AD$602,HLOOKUP(INDIRECT(ADDRESS(2,COLUMN())),OFFSET($BN$2,0,0,ROW()-1,60),ROW()-1,FALSE))</f>
        <v/>
      </c>
      <c r="AE95" t="str">
        <f ca="1">IF(AND(ISNUMBER($AE$602),$B$511=1),$AE$602,HLOOKUP(INDIRECT(ADDRESS(2,COLUMN())),OFFSET($BN$2,0,0,ROW()-1,60),ROW()-1,FALSE))</f>
        <v/>
      </c>
      <c r="AF95" t="str">
        <f ca="1">IF(AND(ISNUMBER($AF$602),$B$511=1),$AF$602,HLOOKUP(INDIRECT(ADDRESS(2,COLUMN())),OFFSET($BN$2,0,0,ROW()-1,60),ROW()-1,FALSE))</f>
        <v/>
      </c>
      <c r="AG95" t="str">
        <f ca="1">IF(AND(ISNUMBER($AG$602),$B$511=1),$AG$602,HLOOKUP(INDIRECT(ADDRESS(2,COLUMN())),OFFSET($BN$2,0,0,ROW()-1,60),ROW()-1,FALSE))</f>
        <v/>
      </c>
      <c r="AH95" t="str">
        <f ca="1">IF(AND(ISNUMBER($AH$602),$B$511=1),$AH$602,HLOOKUP(INDIRECT(ADDRESS(2,COLUMN())),OFFSET($BN$2,0,0,ROW()-1,60),ROW()-1,FALSE))</f>
        <v/>
      </c>
      <c r="AI95" t="str">
        <f ca="1">IF(AND(ISNUMBER($AI$602),$B$511=1),$AI$602,HLOOKUP(INDIRECT(ADDRESS(2,COLUMN())),OFFSET($BN$2,0,0,ROW()-1,60),ROW()-1,FALSE))</f>
        <v/>
      </c>
      <c r="AJ95" t="str">
        <f ca="1">IF(AND(ISNUMBER($AJ$602),$B$511=1),$AJ$602,HLOOKUP(INDIRECT(ADDRESS(2,COLUMN())),OFFSET($BN$2,0,0,ROW()-1,60),ROW()-1,FALSE))</f>
        <v/>
      </c>
      <c r="AK95" t="str">
        <f ca="1">IF(AND(ISNUMBER($AK$602),$B$511=1),$AK$602,HLOOKUP(INDIRECT(ADDRESS(2,COLUMN())),OFFSET($BN$2,0,0,ROW()-1,60),ROW()-1,FALSE))</f>
        <v/>
      </c>
      <c r="AL95" t="str">
        <f ca="1">IF(AND(ISNUMBER($AL$602),$B$511=1),$AL$602,HLOOKUP(INDIRECT(ADDRESS(2,COLUMN())),OFFSET($BN$2,0,0,ROW()-1,60),ROW()-1,FALSE))</f>
        <v/>
      </c>
      <c r="AM95" t="str">
        <f ca="1">IF(AND(ISNUMBER($AM$602),$B$511=1),$AM$602,HLOOKUP(INDIRECT(ADDRESS(2,COLUMN())),OFFSET($BN$2,0,0,ROW()-1,60),ROW()-1,FALSE))</f>
        <v/>
      </c>
      <c r="AN95" t="str">
        <f ca="1">IF(AND(ISNUMBER($AN$602),$B$511=1),$AN$602,HLOOKUP(INDIRECT(ADDRESS(2,COLUMN())),OFFSET($BN$2,0,0,ROW()-1,60),ROW()-1,FALSE))</f>
        <v/>
      </c>
      <c r="AO95" t="str">
        <f ca="1">IF(AND(ISNUMBER($AO$602),$B$511=1),$AO$602,HLOOKUP(INDIRECT(ADDRESS(2,COLUMN())),OFFSET($BN$2,0,0,ROW()-1,60),ROW()-1,FALSE))</f>
        <v/>
      </c>
      <c r="AP95" t="str">
        <f ca="1">IF(AND(ISNUMBER($AP$602),$B$511=1),$AP$602,HLOOKUP(INDIRECT(ADDRESS(2,COLUMN())),OFFSET($BN$2,0,0,ROW()-1,60),ROW()-1,FALSE))</f>
        <v/>
      </c>
      <c r="AQ95" t="str">
        <f ca="1">IF(AND(ISNUMBER($AQ$602),$B$511=1),$AQ$602,HLOOKUP(INDIRECT(ADDRESS(2,COLUMN())),OFFSET($BN$2,0,0,ROW()-1,60),ROW()-1,FALSE))</f>
        <v/>
      </c>
      <c r="AR95" t="str">
        <f ca="1">IF(AND(ISNUMBER($AR$602),$B$511=1),$AR$602,HLOOKUP(INDIRECT(ADDRESS(2,COLUMN())),OFFSET($BN$2,0,0,ROW()-1,60),ROW()-1,FALSE))</f>
        <v/>
      </c>
      <c r="AS95" t="str">
        <f ca="1">IF(AND(ISNUMBER($AS$602),$B$511=1),$AS$602,HLOOKUP(INDIRECT(ADDRESS(2,COLUMN())),OFFSET($BN$2,0,0,ROW()-1,60),ROW()-1,FALSE))</f>
        <v/>
      </c>
      <c r="AT95" t="str">
        <f ca="1">IF(AND(ISNUMBER($AT$602),$B$511=1),$AT$602,HLOOKUP(INDIRECT(ADDRESS(2,COLUMN())),OFFSET($BN$2,0,0,ROW()-1,60),ROW()-1,FALSE))</f>
        <v/>
      </c>
      <c r="AU95" t="str">
        <f ca="1">IF(AND(ISNUMBER($AU$602),$B$511=1),$AU$602,HLOOKUP(INDIRECT(ADDRESS(2,COLUMN())),OFFSET($BN$2,0,0,ROW()-1,60),ROW()-1,FALSE))</f>
        <v/>
      </c>
      <c r="AV95" t="str">
        <f ca="1">IF(AND(ISNUMBER($AV$602),$B$511=1),$AV$602,HLOOKUP(INDIRECT(ADDRESS(2,COLUMN())),OFFSET($BN$2,0,0,ROW()-1,60),ROW()-1,FALSE))</f>
        <v/>
      </c>
      <c r="AW95" t="str">
        <f ca="1">IF(AND(ISNUMBER($AW$602),$B$511=1),$AW$602,HLOOKUP(INDIRECT(ADDRESS(2,COLUMN())),OFFSET($BN$2,0,0,ROW()-1,60),ROW()-1,FALSE))</f>
        <v/>
      </c>
      <c r="AX95" t="str">
        <f ca="1">IF(AND(ISNUMBER($AX$602),$B$511=1),$AX$602,HLOOKUP(INDIRECT(ADDRESS(2,COLUMN())),OFFSET($BN$2,0,0,ROW()-1,60),ROW()-1,FALSE))</f>
        <v/>
      </c>
      <c r="AY95" t="str">
        <f ca="1">IF(AND(ISNUMBER($AY$602),$B$511=1),$AY$602,HLOOKUP(INDIRECT(ADDRESS(2,COLUMN())),OFFSET($BN$2,0,0,ROW()-1,60),ROW()-1,FALSE))</f>
        <v/>
      </c>
      <c r="AZ95" t="str">
        <f ca="1">IF(AND(ISNUMBER($AZ$602),$B$511=1),$AZ$602,HLOOKUP(INDIRECT(ADDRESS(2,COLUMN())),OFFSET($BN$2,0,0,ROW()-1,60),ROW()-1,FALSE))</f>
        <v/>
      </c>
      <c r="BA95" t="str">
        <f ca="1">IF(AND(ISNUMBER($BA$602),$B$511=1),$BA$602,HLOOKUP(INDIRECT(ADDRESS(2,COLUMN())),OFFSET($BN$2,0,0,ROW()-1,60),ROW()-1,FALSE))</f>
        <v/>
      </c>
      <c r="BB95" t="str">
        <f ca="1">IF(AND(ISNUMBER($BB$602),$B$511=1),$BB$602,HLOOKUP(INDIRECT(ADDRESS(2,COLUMN())),OFFSET($BN$2,0,0,ROW()-1,60),ROW()-1,FALSE))</f>
        <v/>
      </c>
      <c r="BC95" t="str">
        <f ca="1">IF(AND(ISNUMBER($BC$602),$B$511=1),$BC$602,HLOOKUP(INDIRECT(ADDRESS(2,COLUMN())),OFFSET($BN$2,0,0,ROW()-1,60),ROW()-1,FALSE))</f>
        <v/>
      </c>
      <c r="BD95" t="str">
        <f ca="1">IF(AND(ISNUMBER($BD$602),$B$511=1),$BD$602,HLOOKUP(INDIRECT(ADDRESS(2,COLUMN())),OFFSET($BN$2,0,0,ROW()-1,60),ROW()-1,FALSE))</f>
        <v/>
      </c>
      <c r="BE95" t="str">
        <f ca="1">IF(AND(ISNUMBER($BE$602),$B$511=1),$BE$602,HLOOKUP(INDIRECT(ADDRESS(2,COLUMN())),OFFSET($BN$2,0,0,ROW()-1,60),ROW()-1,FALSE))</f>
        <v/>
      </c>
      <c r="BF95" t="str">
        <f ca="1">IF(AND(ISNUMBER($BF$602),$B$511=1),$BF$602,HLOOKUP(INDIRECT(ADDRESS(2,COLUMN())),OFFSET($BN$2,0,0,ROW()-1,60),ROW()-1,FALSE))</f>
        <v/>
      </c>
      <c r="BG95" t="str">
        <f ca="1">IF(AND(ISNUMBER($BG$602),$B$511=1),$BG$602,HLOOKUP(INDIRECT(ADDRESS(2,COLUMN())),OFFSET($BN$2,0,0,ROW()-1,60),ROW()-1,FALSE))</f>
        <v/>
      </c>
      <c r="BH95" t="str">
        <f ca="1">IF(AND(ISNUMBER($BH$602),$B$511=1),$BH$602,HLOOKUP(INDIRECT(ADDRESS(2,COLUMN())),OFFSET($BN$2,0,0,ROW()-1,60),ROW()-1,FALSE))</f>
        <v/>
      </c>
      <c r="BI95" t="str">
        <f ca="1">IF(AND(ISNUMBER($BI$602),$B$511=1),$BI$602,HLOOKUP(INDIRECT(ADDRESS(2,COLUMN())),OFFSET($BN$2,0,0,ROW()-1,60),ROW()-1,FALSE))</f>
        <v/>
      </c>
      <c r="BJ95" t="str">
        <f ca="1">IF(AND(ISNUMBER($BJ$602),$B$511=1),$BJ$602,HLOOKUP(INDIRECT(ADDRESS(2,COLUMN())),OFFSET($BN$2,0,0,ROW()-1,60),ROW()-1,FALSE))</f>
        <v/>
      </c>
      <c r="BK95" t="str">
        <f ca="1">IF(AND(ISNUMBER($BK$602),$B$511=1),$BK$602,HLOOKUP(INDIRECT(ADDRESS(2,COLUMN())),OFFSET($BN$2,0,0,ROW()-1,60),ROW()-1,FALSE))</f>
        <v/>
      </c>
      <c r="BL95" t="str">
        <f ca="1">IF(AND(ISNUMBER($BL$602),$B$511=1),$BL$602,HLOOKUP(INDIRECT(ADDRESS(2,COLUMN())),OFFSET($BN$2,0,0,ROW()-1,60),ROW()-1,FALSE))</f>
        <v/>
      </c>
      <c r="BM95" t="str">
        <f ca="1">IF(AND(ISNUMBER($BM$602),$B$511=1),$BM$602,HLOOKUP(INDIRECT(ADDRESS(2,COLUMN())),OFFSET($BN$2,0,0,ROW()-1,60),ROW()-1,FALSE))</f>
        <v/>
      </c>
      <c r="BN95">
        <f>0.018</f>
        <v>1.7999999999999999E-2</v>
      </c>
      <c r="BO95">
        <f>0.018</f>
        <v>1.7999999999999999E-2</v>
      </c>
      <c r="BP95">
        <f>0.019</f>
        <v>1.9E-2</v>
      </c>
      <c r="BQ95">
        <f>0.024</f>
        <v>2.4E-2</v>
      </c>
      <c r="BR95">
        <f>0.011</f>
        <v>1.0999999999999999E-2</v>
      </c>
      <c r="BS95">
        <f>0.01</f>
        <v>0.01</v>
      </c>
      <c r="BT95">
        <f>0.013</f>
        <v>1.2999999999999999E-2</v>
      </c>
      <c r="BU95">
        <f>0.025</f>
        <v>2.5000000000000001E-2</v>
      </c>
      <c r="BV95" t="str">
        <f>""</f>
        <v/>
      </c>
      <c r="BW95" t="str">
        <f>""</f>
        <v/>
      </c>
      <c r="BX95" t="str">
        <f>""</f>
        <v/>
      </c>
      <c r="BY95" t="str">
        <f>""</f>
        <v/>
      </c>
      <c r="BZ95" t="str">
        <f>""</f>
        <v/>
      </c>
      <c r="CA95" t="str">
        <f>""</f>
        <v/>
      </c>
      <c r="CB95" t="str">
        <f>""</f>
        <v/>
      </c>
      <c r="CC95" t="str">
        <f>""</f>
        <v/>
      </c>
      <c r="CD95" t="str">
        <f>""</f>
        <v/>
      </c>
      <c r="CE95" t="str">
        <f>""</f>
        <v/>
      </c>
      <c r="CF95" t="str">
        <f>""</f>
        <v/>
      </c>
      <c r="CG95" t="str">
        <f>""</f>
        <v/>
      </c>
      <c r="CH95" t="str">
        <f>""</f>
        <v/>
      </c>
      <c r="CI95" t="str">
        <f>""</f>
        <v/>
      </c>
      <c r="CJ95" t="str">
        <f>""</f>
        <v/>
      </c>
      <c r="CK95" t="str">
        <f>""</f>
        <v/>
      </c>
      <c r="CL95" t="str">
        <f>""</f>
        <v/>
      </c>
      <c r="CM95" t="str">
        <f>""</f>
        <v/>
      </c>
      <c r="CN95" t="str">
        <f>""</f>
        <v/>
      </c>
      <c r="CO95" t="str">
        <f>""</f>
        <v/>
      </c>
      <c r="CP95" t="str">
        <f>""</f>
        <v/>
      </c>
      <c r="CQ95" t="str">
        <f>""</f>
        <v/>
      </c>
      <c r="CR95" t="str">
        <f>""</f>
        <v/>
      </c>
      <c r="CS95" t="str">
        <f>""</f>
        <v/>
      </c>
      <c r="CT95" t="str">
        <f>""</f>
        <v/>
      </c>
      <c r="CU95" t="str">
        <f>""</f>
        <v/>
      </c>
      <c r="CV95" t="str">
        <f>""</f>
        <v/>
      </c>
      <c r="CW95" t="str">
        <f>""</f>
        <v/>
      </c>
      <c r="CX95" t="str">
        <f>""</f>
        <v/>
      </c>
      <c r="CY95" t="str">
        <f>""</f>
        <v/>
      </c>
      <c r="CZ95" t="str">
        <f>""</f>
        <v/>
      </c>
      <c r="DA95" t="str">
        <f>""</f>
        <v/>
      </c>
      <c r="DB95" t="str">
        <f>""</f>
        <v/>
      </c>
      <c r="DC95" t="str">
        <f>""</f>
        <v/>
      </c>
      <c r="DD95" t="str">
        <f>""</f>
        <v/>
      </c>
      <c r="DE95" t="str">
        <f>""</f>
        <v/>
      </c>
      <c r="DF95" t="str">
        <f>""</f>
        <v/>
      </c>
      <c r="DG95" t="str">
        <f>""</f>
        <v/>
      </c>
      <c r="DH95" t="str">
        <f>""</f>
        <v/>
      </c>
      <c r="DI95" t="str">
        <f>""</f>
        <v/>
      </c>
      <c r="DJ95" t="str">
        <f>""</f>
        <v/>
      </c>
      <c r="DK95" t="str">
        <f>""</f>
        <v/>
      </c>
      <c r="DL95" t="str">
        <f>""</f>
        <v/>
      </c>
      <c r="DM95" t="str">
        <f>""</f>
        <v/>
      </c>
      <c r="DN95" t="str">
        <f>""</f>
        <v/>
      </c>
      <c r="DO95" t="str">
        <f>""</f>
        <v/>
      </c>
      <c r="DP95" t="str">
        <f>""</f>
        <v/>
      </c>
      <c r="DQ95" t="str">
        <f>""</f>
        <v/>
      </c>
      <c r="DR95" t="str">
        <f>""</f>
        <v/>
      </c>
      <c r="DS95" t="str">
        <f>""</f>
        <v/>
      </c>
      <c r="DT95" t="str">
        <f>""</f>
        <v/>
      </c>
      <c r="DU95" t="str">
        <f>""</f>
        <v/>
      </c>
    </row>
    <row r="96" spans="1:125" x14ac:dyDescent="0.25">
      <c r="A96" t="str">
        <f>"    FAW CAR Co Ltd"</f>
        <v xml:space="preserve">    FAW CAR Co Ltd</v>
      </c>
      <c r="B96" t="str">
        <f>"000800 CH Equity"</f>
        <v>000800 CH Equity</v>
      </c>
      <c r="C96" t="str">
        <f t="shared" si="6"/>
        <v>EZ021</v>
      </c>
      <c r="D96" t="str">
        <f t="shared" si="7"/>
        <v>BEST_EPS_NXT_YR</v>
      </c>
      <c r="E96" t="str">
        <f t="shared" si="8"/>
        <v>Dynamic</v>
      </c>
      <c r="F96" t="str">
        <f ca="1">IF(AND(ISNUMBER($F$603),$B$511=1),$F$603,HLOOKUP(INDIRECT(ADDRESS(2,COLUMN())),OFFSET($BN$2,0,0,ROW()-1,60),ROW()-1,FALSE))</f>
        <v/>
      </c>
      <c r="G96" t="str">
        <f ca="1">IF(AND(ISNUMBER($G$603),$B$511=1),$G$603,HLOOKUP(INDIRECT(ADDRESS(2,COLUMN())),OFFSET($BN$2,0,0,ROW()-1,60),ROW()-1,FALSE))</f>
        <v/>
      </c>
      <c r="H96" t="str">
        <f ca="1">IF(AND(ISNUMBER($H$603),$B$511=1),$H$603,HLOOKUP(INDIRECT(ADDRESS(2,COLUMN())),OFFSET($BN$2,0,0,ROW()-1,60),ROW()-1,FALSE))</f>
        <v/>
      </c>
      <c r="I96" t="str">
        <f ca="1">IF(AND(ISNUMBER($I$603),$B$511=1),$I$603,HLOOKUP(INDIRECT(ADDRESS(2,COLUMN())),OFFSET($BN$2,0,0,ROW()-1,60),ROW()-1,FALSE))</f>
        <v/>
      </c>
      <c r="J96" t="str">
        <f ca="1">IF(AND(ISNUMBER($J$603),$B$511=1),$J$603,HLOOKUP(INDIRECT(ADDRESS(2,COLUMN())),OFFSET($BN$2,0,0,ROW()-1,60),ROW()-1,FALSE))</f>
        <v/>
      </c>
      <c r="K96">
        <f ca="1">IF(AND(ISNUMBER($K$603),$B$511=1),$K$603,HLOOKUP(INDIRECT(ADDRESS(2,COLUMN())),OFFSET($BN$2,0,0,ROW()-1,60),ROW()-1,FALSE))</f>
        <v>4.2000000000000003E-2</v>
      </c>
      <c r="L96">
        <f ca="1">IF(AND(ISNUMBER($L$603),$B$511=1),$L$603,HLOOKUP(INDIRECT(ADDRESS(2,COLUMN())),OFFSET($BN$2,0,0,ROW()-1,60),ROW()-1,FALSE))</f>
        <v>4.1000000000000002E-2</v>
      </c>
      <c r="M96">
        <f ca="1">IF(AND(ISNUMBER($M$603),$B$511=1),$M$603,HLOOKUP(INDIRECT(ADDRESS(2,COLUMN())),OFFSET($BN$2,0,0,ROW()-1,60),ROW()-1,FALSE))</f>
        <v>3.7999999999999999E-2</v>
      </c>
      <c r="N96" t="str">
        <f ca="1">IF(AND(ISNUMBER($N$603),$B$511=1),$N$603,HLOOKUP(INDIRECT(ADDRESS(2,COLUMN())),OFFSET($BN$2,0,0,ROW()-1,60),ROW()-1,FALSE))</f>
        <v/>
      </c>
      <c r="O96" t="str">
        <f ca="1">IF(AND(ISNUMBER($O$603),$B$511=1),$O$603,HLOOKUP(INDIRECT(ADDRESS(2,COLUMN())),OFFSET($BN$2,0,0,ROW()-1,60),ROW()-1,FALSE))</f>
        <v/>
      </c>
      <c r="P96" t="str">
        <f ca="1">IF(AND(ISNUMBER($P$603),$B$511=1),$P$603,HLOOKUP(INDIRECT(ADDRESS(2,COLUMN())),OFFSET($BN$2,0,0,ROW()-1,60),ROW()-1,FALSE))</f>
        <v/>
      </c>
      <c r="Q96" t="str">
        <f ca="1">IF(AND(ISNUMBER($Q$603),$B$511=1),$Q$603,HLOOKUP(INDIRECT(ADDRESS(2,COLUMN())),OFFSET($BN$2,0,0,ROW()-1,60),ROW()-1,FALSE))</f>
        <v/>
      </c>
      <c r="R96" t="str">
        <f ca="1">IF(AND(ISNUMBER($R$603),$B$511=1),$R$603,HLOOKUP(INDIRECT(ADDRESS(2,COLUMN())),OFFSET($BN$2,0,0,ROW()-1,60),ROW()-1,FALSE))</f>
        <v/>
      </c>
      <c r="S96" t="str">
        <f ca="1">IF(AND(ISNUMBER($S$603),$B$511=1),$S$603,HLOOKUP(INDIRECT(ADDRESS(2,COLUMN())),OFFSET($BN$2,0,0,ROW()-1,60),ROW()-1,FALSE))</f>
        <v/>
      </c>
      <c r="T96" t="str">
        <f ca="1">IF(AND(ISNUMBER($T$603),$B$511=1),$T$603,HLOOKUP(INDIRECT(ADDRESS(2,COLUMN())),OFFSET($BN$2,0,0,ROW()-1,60),ROW()-1,FALSE))</f>
        <v/>
      </c>
      <c r="U96" t="str">
        <f ca="1">IF(AND(ISNUMBER($U$603),$B$511=1),$U$603,HLOOKUP(INDIRECT(ADDRESS(2,COLUMN())),OFFSET($BN$2,0,0,ROW()-1,60),ROW()-1,FALSE))</f>
        <v/>
      </c>
      <c r="V96" t="str">
        <f ca="1">IF(AND(ISNUMBER($V$603),$B$511=1),$V$603,HLOOKUP(INDIRECT(ADDRESS(2,COLUMN())),OFFSET($BN$2,0,0,ROW()-1,60),ROW()-1,FALSE))</f>
        <v/>
      </c>
      <c r="W96" t="str">
        <f ca="1">IF(AND(ISNUMBER($W$603),$B$511=1),$W$603,HLOOKUP(INDIRECT(ADDRESS(2,COLUMN())),OFFSET($BN$2,0,0,ROW()-1,60),ROW()-1,FALSE))</f>
        <v/>
      </c>
      <c r="X96" t="str">
        <f ca="1">IF(AND(ISNUMBER($X$603),$B$511=1),$X$603,HLOOKUP(INDIRECT(ADDRESS(2,COLUMN())),OFFSET($BN$2,0,0,ROW()-1,60),ROW()-1,FALSE))</f>
        <v/>
      </c>
      <c r="Y96" t="str">
        <f ca="1">IF(AND(ISNUMBER($Y$603),$B$511=1),$Y$603,HLOOKUP(INDIRECT(ADDRESS(2,COLUMN())),OFFSET($BN$2,0,0,ROW()-1,60),ROW()-1,FALSE))</f>
        <v/>
      </c>
      <c r="Z96" t="str">
        <f ca="1">IF(AND(ISNUMBER($Z$603),$B$511=1),$Z$603,HLOOKUP(INDIRECT(ADDRESS(2,COLUMN())),OFFSET($BN$2,0,0,ROW()-1,60),ROW()-1,FALSE))</f>
        <v/>
      </c>
      <c r="AA96" t="str">
        <f ca="1">IF(AND(ISNUMBER($AA$603),$B$511=1),$AA$603,HLOOKUP(INDIRECT(ADDRESS(2,COLUMN())),OFFSET($BN$2,0,0,ROW()-1,60),ROW()-1,FALSE))</f>
        <v/>
      </c>
      <c r="AB96" t="str">
        <f ca="1">IF(AND(ISNUMBER($AB$603),$B$511=1),$AB$603,HLOOKUP(INDIRECT(ADDRESS(2,COLUMN())),OFFSET($BN$2,0,0,ROW()-1,60),ROW()-1,FALSE))</f>
        <v/>
      </c>
      <c r="AC96" t="str">
        <f ca="1">IF(AND(ISNUMBER($AC$603),$B$511=1),$AC$603,HLOOKUP(INDIRECT(ADDRESS(2,COLUMN())),OFFSET($BN$2,0,0,ROW()-1,60),ROW()-1,FALSE))</f>
        <v/>
      </c>
      <c r="AD96" t="str">
        <f ca="1">IF(AND(ISNUMBER($AD$603),$B$511=1),$AD$603,HLOOKUP(INDIRECT(ADDRESS(2,COLUMN())),OFFSET($BN$2,0,0,ROW()-1,60),ROW()-1,FALSE))</f>
        <v/>
      </c>
      <c r="AE96" t="str">
        <f ca="1">IF(AND(ISNUMBER($AE$603),$B$511=1),$AE$603,HLOOKUP(INDIRECT(ADDRESS(2,COLUMN())),OFFSET($BN$2,0,0,ROW()-1,60),ROW()-1,FALSE))</f>
        <v/>
      </c>
      <c r="AF96" t="str">
        <f ca="1">IF(AND(ISNUMBER($AF$603),$B$511=1),$AF$603,HLOOKUP(INDIRECT(ADDRESS(2,COLUMN())),OFFSET($BN$2,0,0,ROW()-1,60),ROW()-1,FALSE))</f>
        <v/>
      </c>
      <c r="AG96" t="str">
        <f ca="1">IF(AND(ISNUMBER($AG$603),$B$511=1),$AG$603,HLOOKUP(INDIRECT(ADDRESS(2,COLUMN())),OFFSET($BN$2,0,0,ROW()-1,60),ROW()-1,FALSE))</f>
        <v/>
      </c>
      <c r="AH96" t="str">
        <f ca="1">IF(AND(ISNUMBER($AH$603),$B$511=1),$AH$603,HLOOKUP(INDIRECT(ADDRESS(2,COLUMN())),OFFSET($BN$2,0,0,ROW()-1,60),ROW()-1,FALSE))</f>
        <v/>
      </c>
      <c r="AI96" t="str">
        <f ca="1">IF(AND(ISNUMBER($AI$603),$B$511=1),$AI$603,HLOOKUP(INDIRECT(ADDRESS(2,COLUMN())),OFFSET($BN$2,0,0,ROW()-1,60),ROW()-1,FALSE))</f>
        <v/>
      </c>
      <c r="AJ96" t="str">
        <f ca="1">IF(AND(ISNUMBER($AJ$603),$B$511=1),$AJ$603,HLOOKUP(INDIRECT(ADDRESS(2,COLUMN())),OFFSET($BN$2,0,0,ROW()-1,60),ROW()-1,FALSE))</f>
        <v/>
      </c>
      <c r="AK96" t="str">
        <f ca="1">IF(AND(ISNUMBER($AK$603),$B$511=1),$AK$603,HLOOKUP(INDIRECT(ADDRESS(2,COLUMN())),OFFSET($BN$2,0,0,ROW()-1,60),ROW()-1,FALSE))</f>
        <v/>
      </c>
      <c r="AL96" t="str">
        <f ca="1">IF(AND(ISNUMBER($AL$603),$B$511=1),$AL$603,HLOOKUP(INDIRECT(ADDRESS(2,COLUMN())),OFFSET($BN$2,0,0,ROW()-1,60),ROW()-1,FALSE))</f>
        <v/>
      </c>
      <c r="AM96" t="str">
        <f ca="1">IF(AND(ISNUMBER($AM$603),$B$511=1),$AM$603,HLOOKUP(INDIRECT(ADDRESS(2,COLUMN())),OFFSET($BN$2,0,0,ROW()-1,60),ROW()-1,FALSE))</f>
        <v/>
      </c>
      <c r="AN96" t="str">
        <f ca="1">IF(AND(ISNUMBER($AN$603),$B$511=1),$AN$603,HLOOKUP(INDIRECT(ADDRESS(2,COLUMN())),OFFSET($BN$2,0,0,ROW()-1,60),ROW()-1,FALSE))</f>
        <v/>
      </c>
      <c r="AO96" t="str">
        <f ca="1">IF(AND(ISNUMBER($AO$603),$B$511=1),$AO$603,HLOOKUP(INDIRECT(ADDRESS(2,COLUMN())),OFFSET($BN$2,0,0,ROW()-1,60),ROW()-1,FALSE))</f>
        <v/>
      </c>
      <c r="AP96" t="str">
        <f ca="1">IF(AND(ISNUMBER($AP$603),$B$511=1),$AP$603,HLOOKUP(INDIRECT(ADDRESS(2,COLUMN())),OFFSET($BN$2,0,0,ROW()-1,60),ROW()-1,FALSE))</f>
        <v/>
      </c>
      <c r="AQ96" t="str">
        <f ca="1">IF(AND(ISNUMBER($AQ$603),$B$511=1),$AQ$603,HLOOKUP(INDIRECT(ADDRESS(2,COLUMN())),OFFSET($BN$2,0,0,ROW()-1,60),ROW()-1,FALSE))</f>
        <v/>
      </c>
      <c r="AR96" t="str">
        <f ca="1">IF(AND(ISNUMBER($AR$603),$B$511=1),$AR$603,HLOOKUP(INDIRECT(ADDRESS(2,COLUMN())),OFFSET($BN$2,0,0,ROW()-1,60),ROW()-1,FALSE))</f>
        <v/>
      </c>
      <c r="AS96" t="str">
        <f ca="1">IF(AND(ISNUMBER($AS$603),$B$511=1),$AS$603,HLOOKUP(INDIRECT(ADDRESS(2,COLUMN())),OFFSET($BN$2,0,0,ROW()-1,60),ROW()-1,FALSE))</f>
        <v/>
      </c>
      <c r="AT96" t="str">
        <f ca="1">IF(AND(ISNUMBER($AT$603),$B$511=1),$AT$603,HLOOKUP(INDIRECT(ADDRESS(2,COLUMN())),OFFSET($BN$2,0,0,ROW()-1,60),ROW()-1,FALSE))</f>
        <v/>
      </c>
      <c r="AU96" t="str">
        <f ca="1">IF(AND(ISNUMBER($AU$603),$B$511=1),$AU$603,HLOOKUP(INDIRECT(ADDRESS(2,COLUMN())),OFFSET($BN$2,0,0,ROW()-1,60),ROW()-1,FALSE))</f>
        <v/>
      </c>
      <c r="AV96" t="str">
        <f ca="1">IF(AND(ISNUMBER($AV$603),$B$511=1),$AV$603,HLOOKUP(INDIRECT(ADDRESS(2,COLUMN())),OFFSET($BN$2,0,0,ROW()-1,60),ROW()-1,FALSE))</f>
        <v/>
      </c>
      <c r="AW96" t="str">
        <f ca="1">IF(AND(ISNUMBER($AW$603),$B$511=1),$AW$603,HLOOKUP(INDIRECT(ADDRESS(2,COLUMN())),OFFSET($BN$2,0,0,ROW()-1,60),ROW()-1,FALSE))</f>
        <v/>
      </c>
      <c r="AX96" t="str">
        <f ca="1">IF(AND(ISNUMBER($AX$603),$B$511=1),$AX$603,HLOOKUP(INDIRECT(ADDRESS(2,COLUMN())),OFFSET($BN$2,0,0,ROW()-1,60),ROW()-1,FALSE))</f>
        <v/>
      </c>
      <c r="AY96" t="str">
        <f ca="1">IF(AND(ISNUMBER($AY$603),$B$511=1),$AY$603,HLOOKUP(INDIRECT(ADDRESS(2,COLUMN())),OFFSET($BN$2,0,0,ROW()-1,60),ROW()-1,FALSE))</f>
        <v/>
      </c>
      <c r="AZ96" t="str">
        <f ca="1">IF(AND(ISNUMBER($AZ$603),$B$511=1),$AZ$603,HLOOKUP(INDIRECT(ADDRESS(2,COLUMN())),OFFSET($BN$2,0,0,ROW()-1,60),ROW()-1,FALSE))</f>
        <v/>
      </c>
      <c r="BA96" t="str">
        <f ca="1">IF(AND(ISNUMBER($BA$603),$B$511=1),$BA$603,HLOOKUP(INDIRECT(ADDRESS(2,COLUMN())),OFFSET($BN$2,0,0,ROW()-1,60),ROW()-1,FALSE))</f>
        <v/>
      </c>
      <c r="BB96" t="str">
        <f ca="1">IF(AND(ISNUMBER($BB$603),$B$511=1),$BB$603,HLOOKUP(INDIRECT(ADDRESS(2,COLUMN())),OFFSET($BN$2,0,0,ROW()-1,60),ROW()-1,FALSE))</f>
        <v/>
      </c>
      <c r="BC96" t="str">
        <f ca="1">IF(AND(ISNUMBER($BC$603),$B$511=1),$BC$603,HLOOKUP(INDIRECT(ADDRESS(2,COLUMN())),OFFSET($BN$2,0,0,ROW()-1,60),ROW()-1,FALSE))</f>
        <v/>
      </c>
      <c r="BD96" t="str">
        <f ca="1">IF(AND(ISNUMBER($BD$603),$B$511=1),$BD$603,HLOOKUP(INDIRECT(ADDRESS(2,COLUMN())),OFFSET($BN$2,0,0,ROW()-1,60),ROW()-1,FALSE))</f>
        <v/>
      </c>
      <c r="BE96" t="str">
        <f ca="1">IF(AND(ISNUMBER($BE$603),$B$511=1),$BE$603,HLOOKUP(INDIRECT(ADDRESS(2,COLUMN())),OFFSET($BN$2,0,0,ROW()-1,60),ROW()-1,FALSE))</f>
        <v/>
      </c>
      <c r="BF96" t="str">
        <f ca="1">IF(AND(ISNUMBER($BF$603),$B$511=1),$BF$603,HLOOKUP(INDIRECT(ADDRESS(2,COLUMN())),OFFSET($BN$2,0,0,ROW()-1,60),ROW()-1,FALSE))</f>
        <v/>
      </c>
      <c r="BG96" t="str">
        <f ca="1">IF(AND(ISNUMBER($BG$603),$B$511=1),$BG$603,HLOOKUP(INDIRECT(ADDRESS(2,COLUMN())),OFFSET($BN$2,0,0,ROW()-1,60),ROW()-1,FALSE))</f>
        <v/>
      </c>
      <c r="BH96" t="str">
        <f ca="1">IF(AND(ISNUMBER($BH$603),$B$511=1),$BH$603,HLOOKUP(INDIRECT(ADDRESS(2,COLUMN())),OFFSET($BN$2,0,0,ROW()-1,60),ROW()-1,FALSE))</f>
        <v/>
      </c>
      <c r="BI96" t="str">
        <f ca="1">IF(AND(ISNUMBER($BI$603),$B$511=1),$BI$603,HLOOKUP(INDIRECT(ADDRESS(2,COLUMN())),OFFSET($BN$2,0,0,ROW()-1,60),ROW()-1,FALSE))</f>
        <v/>
      </c>
      <c r="BJ96" t="str">
        <f ca="1">IF(AND(ISNUMBER($BJ$603),$B$511=1),$BJ$603,HLOOKUP(INDIRECT(ADDRESS(2,COLUMN())),OFFSET($BN$2,0,0,ROW()-1,60),ROW()-1,FALSE))</f>
        <v/>
      </c>
      <c r="BK96" t="str">
        <f ca="1">IF(AND(ISNUMBER($BK$603),$B$511=1),$BK$603,HLOOKUP(INDIRECT(ADDRESS(2,COLUMN())),OFFSET($BN$2,0,0,ROW()-1,60),ROW()-1,FALSE))</f>
        <v/>
      </c>
      <c r="BL96" t="str">
        <f ca="1">IF(AND(ISNUMBER($BL$603),$B$511=1),$BL$603,HLOOKUP(INDIRECT(ADDRESS(2,COLUMN())),OFFSET($BN$2,0,0,ROW()-1,60),ROW()-1,FALSE))</f>
        <v/>
      </c>
      <c r="BM96" t="str">
        <f ca="1">IF(AND(ISNUMBER($BM$603),$B$511=1),$BM$603,HLOOKUP(INDIRECT(ADDRESS(2,COLUMN())),OFFSET($BN$2,0,0,ROW()-1,60),ROW()-1,FALSE))</f>
        <v/>
      </c>
      <c r="BN96" t="str">
        <f>""</f>
        <v/>
      </c>
      <c r="BO96" t="str">
        <f>""</f>
        <v/>
      </c>
      <c r="BP96" t="str">
        <f>""</f>
        <v/>
      </c>
      <c r="BQ96" t="str">
        <f>""</f>
        <v/>
      </c>
      <c r="BR96" t="str">
        <f>""</f>
        <v/>
      </c>
      <c r="BS96">
        <f>0.042</f>
        <v>4.2000000000000003E-2</v>
      </c>
      <c r="BT96">
        <f>0.041</f>
        <v>4.1000000000000002E-2</v>
      </c>
      <c r="BU96">
        <f>0.038</f>
        <v>3.7999999999999999E-2</v>
      </c>
      <c r="BV96" t="str">
        <f>""</f>
        <v/>
      </c>
      <c r="BW96" t="str">
        <f>""</f>
        <v/>
      </c>
      <c r="BX96" t="str">
        <f>""</f>
        <v/>
      </c>
      <c r="BY96" t="str">
        <f>""</f>
        <v/>
      </c>
      <c r="BZ96" t="str">
        <f>""</f>
        <v/>
      </c>
      <c r="CA96" t="str">
        <f>""</f>
        <v/>
      </c>
      <c r="CB96" t="str">
        <f>""</f>
        <v/>
      </c>
      <c r="CC96" t="str">
        <f>""</f>
        <v/>
      </c>
      <c r="CD96" t="str">
        <f>""</f>
        <v/>
      </c>
      <c r="CE96" t="str">
        <f>""</f>
        <v/>
      </c>
      <c r="CF96" t="str">
        <f>""</f>
        <v/>
      </c>
      <c r="CG96" t="str">
        <f>""</f>
        <v/>
      </c>
      <c r="CH96" t="str">
        <f>""</f>
        <v/>
      </c>
      <c r="CI96" t="str">
        <f>""</f>
        <v/>
      </c>
      <c r="CJ96" t="str">
        <f>""</f>
        <v/>
      </c>
      <c r="CK96" t="str">
        <f>""</f>
        <v/>
      </c>
      <c r="CL96" t="str">
        <f>""</f>
        <v/>
      </c>
      <c r="CM96" t="str">
        <f>""</f>
        <v/>
      </c>
      <c r="CN96" t="str">
        <f>""</f>
        <v/>
      </c>
      <c r="CO96" t="str">
        <f>""</f>
        <v/>
      </c>
      <c r="CP96" t="str">
        <f>""</f>
        <v/>
      </c>
      <c r="CQ96" t="str">
        <f>""</f>
        <v/>
      </c>
      <c r="CR96" t="str">
        <f>""</f>
        <v/>
      </c>
      <c r="CS96" t="str">
        <f>""</f>
        <v/>
      </c>
      <c r="CT96" t="str">
        <f>""</f>
        <v/>
      </c>
      <c r="CU96" t="str">
        <f>""</f>
        <v/>
      </c>
      <c r="CV96" t="str">
        <f>""</f>
        <v/>
      </c>
      <c r="CW96" t="str">
        <f>""</f>
        <v/>
      </c>
      <c r="CX96" t="str">
        <f>""</f>
        <v/>
      </c>
      <c r="CY96" t="str">
        <f>""</f>
        <v/>
      </c>
      <c r="CZ96" t="str">
        <f>""</f>
        <v/>
      </c>
      <c r="DA96" t="str">
        <f>""</f>
        <v/>
      </c>
      <c r="DB96" t="str">
        <f>""</f>
        <v/>
      </c>
      <c r="DC96" t="str">
        <f>""</f>
        <v/>
      </c>
      <c r="DD96" t="str">
        <f>""</f>
        <v/>
      </c>
      <c r="DE96" t="str">
        <f>""</f>
        <v/>
      </c>
      <c r="DF96" t="str">
        <f>""</f>
        <v/>
      </c>
      <c r="DG96" t="str">
        <f>""</f>
        <v/>
      </c>
      <c r="DH96" t="str">
        <f>""</f>
        <v/>
      </c>
      <c r="DI96" t="str">
        <f>""</f>
        <v/>
      </c>
      <c r="DJ96" t="str">
        <f>""</f>
        <v/>
      </c>
      <c r="DK96" t="str">
        <f>""</f>
        <v/>
      </c>
      <c r="DL96" t="str">
        <f>""</f>
        <v/>
      </c>
      <c r="DM96" t="str">
        <f>""</f>
        <v/>
      </c>
      <c r="DN96" t="str">
        <f>""</f>
        <v/>
      </c>
      <c r="DO96" t="str">
        <f>""</f>
        <v/>
      </c>
      <c r="DP96" t="str">
        <f>""</f>
        <v/>
      </c>
      <c r="DQ96" t="str">
        <f>""</f>
        <v/>
      </c>
      <c r="DR96" t="str">
        <f>""</f>
        <v/>
      </c>
      <c r="DS96" t="str">
        <f>""</f>
        <v/>
      </c>
      <c r="DT96" t="str">
        <f>""</f>
        <v/>
      </c>
      <c r="DU96" t="str">
        <f>""</f>
        <v/>
      </c>
    </row>
    <row r="97" spans="1:125" x14ac:dyDescent="0.25">
      <c r="A97" t="str">
        <f>"    Fiat Chrysler Automobiles NV"</f>
        <v xml:space="preserve">    Fiat Chrysler Automobiles NV</v>
      </c>
      <c r="B97" t="str">
        <f>"FCAU US Equity"</f>
        <v>FCAU US Equity</v>
      </c>
      <c r="C97" t="str">
        <f t="shared" si="6"/>
        <v>EZ021</v>
      </c>
      <c r="D97" t="str">
        <f t="shared" si="7"/>
        <v>BEST_EPS_NXT_YR</v>
      </c>
      <c r="E97" t="str">
        <f t="shared" si="8"/>
        <v>Dynamic</v>
      </c>
      <c r="F97">
        <f ca="1">IF(AND(ISNUMBER($F$604),$B$511=1),$F$604,HLOOKUP(INDIRECT(ADDRESS(2,COLUMN())),OFFSET($BN$2,0,0,ROW()-1,60),ROW()-1,FALSE))</f>
        <v>3.5859999999999999</v>
      </c>
      <c r="G97">
        <f ca="1">IF(AND(ISNUMBER($G$604),$B$511=1),$G$604,HLOOKUP(INDIRECT(ADDRESS(2,COLUMN())),OFFSET($BN$2,0,0,ROW()-1,60),ROW()-1,FALSE))</f>
        <v>4.0140000000000002</v>
      </c>
      <c r="H97">
        <f ca="1">IF(AND(ISNUMBER($H$604),$B$511=1),$H$604,HLOOKUP(INDIRECT(ADDRESS(2,COLUMN())),OFFSET($BN$2,0,0,ROW()-1,60),ROW()-1,FALSE))</f>
        <v>4.3079999999999998</v>
      </c>
      <c r="I97">
        <f ca="1">IF(AND(ISNUMBER($I$604),$B$511=1),$I$604,HLOOKUP(INDIRECT(ADDRESS(2,COLUMN())),OFFSET($BN$2,0,0,ROW()-1,60),ROW()-1,FALSE))</f>
        <v>4.3879999999999999</v>
      </c>
      <c r="J97">
        <f ca="1">IF(AND(ISNUMBER($J$604),$B$511=1),$J$604,HLOOKUP(INDIRECT(ADDRESS(2,COLUMN())),OFFSET($BN$2,0,0,ROW()-1,60),ROW()-1,FALSE))</f>
        <v>4.343</v>
      </c>
      <c r="K97">
        <f ca="1">IF(AND(ISNUMBER($K$604),$B$511=1),$K$604,HLOOKUP(INDIRECT(ADDRESS(2,COLUMN())),OFFSET($BN$2,0,0,ROW()-1,60),ROW()-1,FALSE))</f>
        <v>3.109</v>
      </c>
      <c r="L97">
        <f ca="1">IF(AND(ISNUMBER($L$604),$B$511=1),$L$604,HLOOKUP(INDIRECT(ADDRESS(2,COLUMN())),OFFSET($BN$2,0,0,ROW()-1,60),ROW()-1,FALSE))</f>
        <v>2.7389999999999999</v>
      </c>
      <c r="M97">
        <f ca="1">IF(AND(ISNUMBER($M$604),$B$511=1),$M$604,HLOOKUP(INDIRECT(ADDRESS(2,COLUMN())),OFFSET($BN$2,0,0,ROW()-1,60),ROW()-1,FALSE))</f>
        <v>2.5779999999999998</v>
      </c>
      <c r="N97">
        <f ca="1">IF(AND(ISNUMBER($N$604),$B$511=1),$N$604,HLOOKUP(INDIRECT(ADDRESS(2,COLUMN())),OFFSET($BN$2,0,0,ROW()-1,60),ROW()-1,FALSE))</f>
        <v>2.4319999999999999</v>
      </c>
      <c r="O97">
        <f ca="1">IF(AND(ISNUMBER($O$604),$B$511=1),$O$604,HLOOKUP(INDIRECT(ADDRESS(2,COLUMN())),OFFSET($BN$2,0,0,ROW()-1,60),ROW()-1,FALSE))</f>
        <v>2.589</v>
      </c>
      <c r="P97">
        <f ca="1">IF(AND(ISNUMBER($P$604),$B$511=1),$P$604,HLOOKUP(INDIRECT(ADDRESS(2,COLUMN())),OFFSET($BN$2,0,0,ROW()-1,60),ROW()-1,FALSE))</f>
        <v>2.847</v>
      </c>
      <c r="Q97">
        <f ca="1">IF(AND(ISNUMBER($Q$604),$B$511=1),$Q$604,HLOOKUP(INDIRECT(ADDRESS(2,COLUMN())),OFFSET($BN$2,0,0,ROW()-1,60),ROW()-1,FALSE))</f>
        <v>0.316</v>
      </c>
      <c r="R97">
        <f ca="1">IF(AND(ISNUMBER($R$604),$B$511=1),$R$604,HLOOKUP(INDIRECT(ADDRESS(2,COLUMN())),OFFSET($BN$2,0,0,ROW()-1,60),ROW()-1,FALSE))</f>
        <v>-0.76100000000000001</v>
      </c>
      <c r="S97">
        <f ca="1">IF(AND(ISNUMBER($S$604),$B$511=1),$S$604,HLOOKUP(INDIRECT(ADDRESS(2,COLUMN())),OFFSET($BN$2,0,0,ROW()-1,60),ROW()-1,FALSE))</f>
        <v>0.73199999999999998</v>
      </c>
      <c r="T97">
        <f ca="1">IF(AND(ISNUMBER($T$604),$B$511=1),$T$604,HLOOKUP(INDIRECT(ADDRESS(2,COLUMN())),OFFSET($BN$2,0,0,ROW()-1,60),ROW()-1,FALSE))</f>
        <v>1.637</v>
      </c>
      <c r="U97" t="str">
        <f ca="1">IF(AND(ISNUMBER($U$604),$B$511=1),$U$604,HLOOKUP(INDIRECT(ADDRESS(2,COLUMN())),OFFSET($BN$2,0,0,ROW()-1,60),ROW()-1,FALSE))</f>
        <v/>
      </c>
      <c r="V97" t="str">
        <f ca="1">IF(AND(ISNUMBER($V$604),$B$511=1),$V$604,HLOOKUP(INDIRECT(ADDRESS(2,COLUMN())),OFFSET($BN$2,0,0,ROW()-1,60),ROW()-1,FALSE))</f>
        <v/>
      </c>
      <c r="W97" t="str">
        <f ca="1">IF(AND(ISNUMBER($W$604),$B$511=1),$W$604,HLOOKUP(INDIRECT(ADDRESS(2,COLUMN())),OFFSET($BN$2,0,0,ROW()-1,60),ROW()-1,FALSE))</f>
        <v/>
      </c>
      <c r="X97" t="str">
        <f ca="1">IF(AND(ISNUMBER($X$604),$B$511=1),$X$604,HLOOKUP(INDIRECT(ADDRESS(2,COLUMN())),OFFSET($BN$2,0,0,ROW()-1,60),ROW()-1,FALSE))</f>
        <v/>
      </c>
      <c r="Y97" t="str">
        <f ca="1">IF(AND(ISNUMBER($Y$604),$B$511=1),$Y$604,HLOOKUP(INDIRECT(ADDRESS(2,COLUMN())),OFFSET($BN$2,0,0,ROW()-1,60),ROW()-1,FALSE))</f>
        <v/>
      </c>
      <c r="Z97" t="str">
        <f ca="1">IF(AND(ISNUMBER($Z$604),$B$511=1),$Z$604,HLOOKUP(INDIRECT(ADDRESS(2,COLUMN())),OFFSET($BN$2,0,0,ROW()-1,60),ROW()-1,FALSE))</f>
        <v/>
      </c>
      <c r="AA97" t="str">
        <f ca="1">IF(AND(ISNUMBER($AA$604),$B$511=1),$AA$604,HLOOKUP(INDIRECT(ADDRESS(2,COLUMN())),OFFSET($BN$2,0,0,ROW()-1,60),ROW()-1,FALSE))</f>
        <v/>
      </c>
      <c r="AB97" t="str">
        <f ca="1">IF(AND(ISNUMBER($AB$604),$B$511=1),$AB$604,HLOOKUP(INDIRECT(ADDRESS(2,COLUMN())),OFFSET($BN$2,0,0,ROW()-1,60),ROW()-1,FALSE))</f>
        <v/>
      </c>
      <c r="AC97" t="str">
        <f ca="1">IF(AND(ISNUMBER($AC$604),$B$511=1),$AC$604,HLOOKUP(INDIRECT(ADDRESS(2,COLUMN())),OFFSET($BN$2,0,0,ROW()-1,60),ROW()-1,FALSE))</f>
        <v/>
      </c>
      <c r="AD97" t="str">
        <f ca="1">IF(AND(ISNUMBER($AD$604),$B$511=1),$AD$604,HLOOKUP(INDIRECT(ADDRESS(2,COLUMN())),OFFSET($BN$2,0,0,ROW()-1,60),ROW()-1,FALSE))</f>
        <v/>
      </c>
      <c r="AE97" t="str">
        <f ca="1">IF(AND(ISNUMBER($AE$604),$B$511=1),$AE$604,HLOOKUP(INDIRECT(ADDRESS(2,COLUMN())),OFFSET($BN$2,0,0,ROW()-1,60),ROW()-1,FALSE))</f>
        <v/>
      </c>
      <c r="AF97" t="str">
        <f ca="1">IF(AND(ISNUMBER($AF$604),$B$511=1),$AF$604,HLOOKUP(INDIRECT(ADDRESS(2,COLUMN())),OFFSET($BN$2,0,0,ROW()-1,60),ROW()-1,FALSE))</f>
        <v/>
      </c>
      <c r="AG97" t="str">
        <f ca="1">IF(AND(ISNUMBER($AG$604),$B$511=1),$AG$604,HLOOKUP(INDIRECT(ADDRESS(2,COLUMN())),OFFSET($BN$2,0,0,ROW()-1,60),ROW()-1,FALSE))</f>
        <v/>
      </c>
      <c r="AH97" t="str">
        <f ca="1">IF(AND(ISNUMBER($AH$604),$B$511=1),$AH$604,HLOOKUP(INDIRECT(ADDRESS(2,COLUMN())),OFFSET($BN$2,0,0,ROW()-1,60),ROW()-1,FALSE))</f>
        <v/>
      </c>
      <c r="AI97" t="str">
        <f ca="1">IF(AND(ISNUMBER($AI$604),$B$511=1),$AI$604,HLOOKUP(INDIRECT(ADDRESS(2,COLUMN())),OFFSET($BN$2,0,0,ROW()-1,60),ROW()-1,FALSE))</f>
        <v/>
      </c>
      <c r="AJ97" t="str">
        <f ca="1">IF(AND(ISNUMBER($AJ$604),$B$511=1),$AJ$604,HLOOKUP(INDIRECT(ADDRESS(2,COLUMN())),OFFSET($BN$2,0,0,ROW()-1,60),ROW()-1,FALSE))</f>
        <v/>
      </c>
      <c r="AK97" t="str">
        <f ca="1">IF(AND(ISNUMBER($AK$604),$B$511=1),$AK$604,HLOOKUP(INDIRECT(ADDRESS(2,COLUMN())),OFFSET($BN$2,0,0,ROW()-1,60),ROW()-1,FALSE))</f>
        <v/>
      </c>
      <c r="AL97" t="str">
        <f ca="1">IF(AND(ISNUMBER($AL$604),$B$511=1),$AL$604,HLOOKUP(INDIRECT(ADDRESS(2,COLUMN())),OFFSET($BN$2,0,0,ROW()-1,60),ROW()-1,FALSE))</f>
        <v/>
      </c>
      <c r="AM97" t="str">
        <f ca="1">IF(AND(ISNUMBER($AM$604),$B$511=1),$AM$604,HLOOKUP(INDIRECT(ADDRESS(2,COLUMN())),OFFSET($BN$2,0,0,ROW()-1,60),ROW()-1,FALSE))</f>
        <v/>
      </c>
      <c r="AN97" t="str">
        <f ca="1">IF(AND(ISNUMBER($AN$604),$B$511=1),$AN$604,HLOOKUP(INDIRECT(ADDRESS(2,COLUMN())),OFFSET($BN$2,0,0,ROW()-1,60),ROW()-1,FALSE))</f>
        <v/>
      </c>
      <c r="AO97" t="str">
        <f ca="1">IF(AND(ISNUMBER($AO$604),$B$511=1),$AO$604,HLOOKUP(INDIRECT(ADDRESS(2,COLUMN())),OFFSET($BN$2,0,0,ROW()-1,60),ROW()-1,FALSE))</f>
        <v/>
      </c>
      <c r="AP97" t="str">
        <f ca="1">IF(AND(ISNUMBER($AP$604),$B$511=1),$AP$604,HLOOKUP(INDIRECT(ADDRESS(2,COLUMN())),OFFSET($BN$2,0,0,ROW()-1,60),ROW()-1,FALSE))</f>
        <v/>
      </c>
      <c r="AQ97" t="str">
        <f ca="1">IF(AND(ISNUMBER($AQ$604),$B$511=1),$AQ$604,HLOOKUP(INDIRECT(ADDRESS(2,COLUMN())),OFFSET($BN$2,0,0,ROW()-1,60),ROW()-1,FALSE))</f>
        <v/>
      </c>
      <c r="AR97" t="str">
        <f ca="1">IF(AND(ISNUMBER($AR$604),$B$511=1),$AR$604,HLOOKUP(INDIRECT(ADDRESS(2,COLUMN())),OFFSET($BN$2,0,0,ROW()-1,60),ROW()-1,FALSE))</f>
        <v/>
      </c>
      <c r="AS97" t="str">
        <f ca="1">IF(AND(ISNUMBER($AS$604),$B$511=1),$AS$604,HLOOKUP(INDIRECT(ADDRESS(2,COLUMN())),OFFSET($BN$2,0,0,ROW()-1,60),ROW()-1,FALSE))</f>
        <v/>
      </c>
      <c r="AT97" t="str">
        <f ca="1">IF(AND(ISNUMBER($AT$604),$B$511=1),$AT$604,HLOOKUP(INDIRECT(ADDRESS(2,COLUMN())),OFFSET($BN$2,0,0,ROW()-1,60),ROW()-1,FALSE))</f>
        <v/>
      </c>
      <c r="AU97" t="str">
        <f ca="1">IF(AND(ISNUMBER($AU$604),$B$511=1),$AU$604,HLOOKUP(INDIRECT(ADDRESS(2,COLUMN())),OFFSET($BN$2,0,0,ROW()-1,60),ROW()-1,FALSE))</f>
        <v/>
      </c>
      <c r="AV97" t="str">
        <f ca="1">IF(AND(ISNUMBER($AV$604),$B$511=1),$AV$604,HLOOKUP(INDIRECT(ADDRESS(2,COLUMN())),OFFSET($BN$2,0,0,ROW()-1,60),ROW()-1,FALSE))</f>
        <v/>
      </c>
      <c r="AW97" t="str">
        <f ca="1">IF(AND(ISNUMBER($AW$604),$B$511=1),$AW$604,HLOOKUP(INDIRECT(ADDRESS(2,COLUMN())),OFFSET($BN$2,0,0,ROW()-1,60),ROW()-1,FALSE))</f>
        <v/>
      </c>
      <c r="AX97" t="str">
        <f ca="1">IF(AND(ISNUMBER($AX$604),$B$511=1),$AX$604,HLOOKUP(INDIRECT(ADDRESS(2,COLUMN())),OFFSET($BN$2,0,0,ROW()-1,60),ROW()-1,FALSE))</f>
        <v/>
      </c>
      <c r="AY97" t="str">
        <f ca="1">IF(AND(ISNUMBER($AY$604),$B$511=1),$AY$604,HLOOKUP(INDIRECT(ADDRESS(2,COLUMN())),OFFSET($BN$2,0,0,ROW()-1,60),ROW()-1,FALSE))</f>
        <v/>
      </c>
      <c r="AZ97" t="str">
        <f ca="1">IF(AND(ISNUMBER($AZ$604),$B$511=1),$AZ$604,HLOOKUP(INDIRECT(ADDRESS(2,COLUMN())),OFFSET($BN$2,0,0,ROW()-1,60),ROW()-1,FALSE))</f>
        <v/>
      </c>
      <c r="BA97" t="str">
        <f ca="1">IF(AND(ISNUMBER($BA$604),$B$511=1),$BA$604,HLOOKUP(INDIRECT(ADDRESS(2,COLUMN())),OFFSET($BN$2,0,0,ROW()-1,60),ROW()-1,FALSE))</f>
        <v/>
      </c>
      <c r="BB97" t="str">
        <f ca="1">IF(AND(ISNUMBER($BB$604),$B$511=1),$BB$604,HLOOKUP(INDIRECT(ADDRESS(2,COLUMN())),OFFSET($BN$2,0,0,ROW()-1,60),ROW()-1,FALSE))</f>
        <v/>
      </c>
      <c r="BC97" t="str">
        <f ca="1">IF(AND(ISNUMBER($BC$604),$B$511=1),$BC$604,HLOOKUP(INDIRECT(ADDRESS(2,COLUMN())),OFFSET($BN$2,0,0,ROW()-1,60),ROW()-1,FALSE))</f>
        <v/>
      </c>
      <c r="BD97" t="str">
        <f ca="1">IF(AND(ISNUMBER($BD$604),$B$511=1),$BD$604,HLOOKUP(INDIRECT(ADDRESS(2,COLUMN())),OFFSET($BN$2,0,0,ROW()-1,60),ROW()-1,FALSE))</f>
        <v/>
      </c>
      <c r="BE97" t="str">
        <f ca="1">IF(AND(ISNUMBER($BE$604),$B$511=1),$BE$604,HLOOKUP(INDIRECT(ADDRESS(2,COLUMN())),OFFSET($BN$2,0,0,ROW()-1,60),ROW()-1,FALSE))</f>
        <v/>
      </c>
      <c r="BF97" t="str">
        <f ca="1">IF(AND(ISNUMBER($BF$604),$B$511=1),$BF$604,HLOOKUP(INDIRECT(ADDRESS(2,COLUMN())),OFFSET($BN$2,0,0,ROW()-1,60),ROW()-1,FALSE))</f>
        <v/>
      </c>
      <c r="BG97" t="str">
        <f ca="1">IF(AND(ISNUMBER($BG$604),$B$511=1),$BG$604,HLOOKUP(INDIRECT(ADDRESS(2,COLUMN())),OFFSET($BN$2,0,0,ROW()-1,60),ROW()-1,FALSE))</f>
        <v/>
      </c>
      <c r="BH97" t="str">
        <f ca="1">IF(AND(ISNUMBER($BH$604),$B$511=1),$BH$604,HLOOKUP(INDIRECT(ADDRESS(2,COLUMN())),OFFSET($BN$2,0,0,ROW()-1,60),ROW()-1,FALSE))</f>
        <v/>
      </c>
      <c r="BI97" t="str">
        <f ca="1">IF(AND(ISNUMBER($BI$604),$B$511=1),$BI$604,HLOOKUP(INDIRECT(ADDRESS(2,COLUMN())),OFFSET($BN$2,0,0,ROW()-1,60),ROW()-1,FALSE))</f>
        <v/>
      </c>
      <c r="BJ97" t="str">
        <f ca="1">IF(AND(ISNUMBER($BJ$604),$B$511=1),$BJ$604,HLOOKUP(INDIRECT(ADDRESS(2,COLUMN())),OFFSET($BN$2,0,0,ROW()-1,60),ROW()-1,FALSE))</f>
        <v/>
      </c>
      <c r="BK97" t="str">
        <f ca="1">IF(AND(ISNUMBER($BK$604),$B$511=1),$BK$604,HLOOKUP(INDIRECT(ADDRESS(2,COLUMN())),OFFSET($BN$2,0,0,ROW()-1,60),ROW()-1,FALSE))</f>
        <v/>
      </c>
      <c r="BL97" t="str">
        <f ca="1">IF(AND(ISNUMBER($BL$604),$B$511=1),$BL$604,HLOOKUP(INDIRECT(ADDRESS(2,COLUMN())),OFFSET($BN$2,0,0,ROW()-1,60),ROW()-1,FALSE))</f>
        <v/>
      </c>
      <c r="BM97" t="str">
        <f ca="1">IF(AND(ISNUMBER($BM$604),$B$511=1),$BM$604,HLOOKUP(INDIRECT(ADDRESS(2,COLUMN())),OFFSET($BN$2,0,0,ROW()-1,60),ROW()-1,FALSE))</f>
        <v/>
      </c>
      <c r="BN97">
        <f>3.586</f>
        <v>3.5859999999999999</v>
      </c>
      <c r="BO97">
        <f>4.014</f>
        <v>4.0140000000000002</v>
      </c>
      <c r="BP97">
        <f>4.308</f>
        <v>4.3079999999999998</v>
      </c>
      <c r="BQ97">
        <f>4.388</f>
        <v>4.3879999999999999</v>
      </c>
      <c r="BR97">
        <f>4.343</f>
        <v>4.343</v>
      </c>
      <c r="BS97">
        <f>3.109</f>
        <v>3.109</v>
      </c>
      <c r="BT97">
        <f>2.739</f>
        <v>2.7389999999999999</v>
      </c>
      <c r="BU97">
        <f>2.578</f>
        <v>2.5779999999999998</v>
      </c>
      <c r="BV97">
        <f>2.432</f>
        <v>2.4319999999999999</v>
      </c>
      <c r="BW97">
        <f>2.589</f>
        <v>2.589</v>
      </c>
      <c r="BX97">
        <f>2.847</f>
        <v>2.847</v>
      </c>
      <c r="BY97">
        <f>0.316</f>
        <v>0.316</v>
      </c>
      <c r="BZ97">
        <f>-0.761</f>
        <v>-0.76100000000000001</v>
      </c>
      <c r="CA97">
        <f>0.732</f>
        <v>0.73199999999999998</v>
      </c>
      <c r="CB97">
        <f>1.637</f>
        <v>1.637</v>
      </c>
      <c r="CC97" t="str">
        <f>""</f>
        <v/>
      </c>
      <c r="CD97" t="str">
        <f>""</f>
        <v/>
      </c>
      <c r="CE97" t="str">
        <f>""</f>
        <v/>
      </c>
      <c r="CF97" t="str">
        <f>""</f>
        <v/>
      </c>
      <c r="CG97" t="str">
        <f>""</f>
        <v/>
      </c>
      <c r="CH97" t="str">
        <f>""</f>
        <v/>
      </c>
      <c r="CI97" t="str">
        <f>""</f>
        <v/>
      </c>
      <c r="CJ97" t="str">
        <f>""</f>
        <v/>
      </c>
      <c r="CK97" t="str">
        <f>""</f>
        <v/>
      </c>
      <c r="CL97" t="str">
        <f>""</f>
        <v/>
      </c>
      <c r="CM97" t="str">
        <f>""</f>
        <v/>
      </c>
      <c r="CN97" t="str">
        <f>""</f>
        <v/>
      </c>
      <c r="CO97" t="str">
        <f>""</f>
        <v/>
      </c>
      <c r="CP97" t="str">
        <f>""</f>
        <v/>
      </c>
      <c r="CQ97" t="str">
        <f>""</f>
        <v/>
      </c>
      <c r="CR97" t="str">
        <f>""</f>
        <v/>
      </c>
      <c r="CS97" t="str">
        <f>""</f>
        <v/>
      </c>
      <c r="CT97" t="str">
        <f>""</f>
        <v/>
      </c>
      <c r="CU97" t="str">
        <f>""</f>
        <v/>
      </c>
      <c r="CV97" t="str">
        <f>""</f>
        <v/>
      </c>
      <c r="CW97" t="str">
        <f>""</f>
        <v/>
      </c>
      <c r="CX97" t="str">
        <f>""</f>
        <v/>
      </c>
      <c r="CY97" t="str">
        <f>""</f>
        <v/>
      </c>
      <c r="CZ97" t="str">
        <f>""</f>
        <v/>
      </c>
      <c r="DA97" t="str">
        <f>""</f>
        <v/>
      </c>
      <c r="DB97" t="str">
        <f>""</f>
        <v/>
      </c>
      <c r="DC97" t="str">
        <f>""</f>
        <v/>
      </c>
      <c r="DD97" t="str">
        <f>""</f>
        <v/>
      </c>
      <c r="DE97" t="str">
        <f>""</f>
        <v/>
      </c>
      <c r="DF97" t="str">
        <f>""</f>
        <v/>
      </c>
      <c r="DG97" t="str">
        <f>""</f>
        <v/>
      </c>
      <c r="DH97" t="str">
        <f>""</f>
        <v/>
      </c>
      <c r="DI97" t="str">
        <f>""</f>
        <v/>
      </c>
      <c r="DJ97" t="str">
        <f>""</f>
        <v/>
      </c>
      <c r="DK97" t="str">
        <f>""</f>
        <v/>
      </c>
      <c r="DL97" t="str">
        <f>""</f>
        <v/>
      </c>
      <c r="DM97" t="str">
        <f>""</f>
        <v/>
      </c>
      <c r="DN97" t="str">
        <f>""</f>
        <v/>
      </c>
      <c r="DO97" t="str">
        <f>""</f>
        <v/>
      </c>
      <c r="DP97" t="str">
        <f>""</f>
        <v/>
      </c>
      <c r="DQ97" t="str">
        <f>""</f>
        <v/>
      </c>
      <c r="DR97" t="str">
        <f>""</f>
        <v/>
      </c>
      <c r="DS97" t="str">
        <f>""</f>
        <v/>
      </c>
      <c r="DT97" t="str">
        <f>""</f>
        <v/>
      </c>
      <c r="DU97" t="str">
        <f>""</f>
        <v/>
      </c>
    </row>
    <row r="98" spans="1:125" x14ac:dyDescent="0.25">
      <c r="A98" t="str">
        <f>"    Ford Motor Co"</f>
        <v xml:space="preserve">    Ford Motor Co</v>
      </c>
      <c r="B98" t="str">
        <f>"F US Equity"</f>
        <v>F US Equity</v>
      </c>
      <c r="C98" t="str">
        <f t="shared" si="6"/>
        <v>EZ021</v>
      </c>
      <c r="D98" t="str">
        <f t="shared" si="7"/>
        <v>BEST_EPS_NXT_YR</v>
      </c>
      <c r="E98" t="str">
        <f t="shared" si="8"/>
        <v>Dynamic</v>
      </c>
      <c r="F98">
        <f ca="1">IF(AND(ISNUMBER($F$605),$B$511=1),$F$605,HLOOKUP(INDIRECT(ADDRESS(2,COLUMN())),OFFSET($BN$2,0,0,ROW()-1,60),ROW()-1,FALSE))</f>
        <v>1.32</v>
      </c>
      <c r="G98">
        <f ca="1">IF(AND(ISNUMBER($G$605),$B$511=1),$G$605,HLOOKUP(INDIRECT(ADDRESS(2,COLUMN())),OFFSET($BN$2,0,0,ROW()-1,60),ROW()-1,FALSE))</f>
        <v>1.544</v>
      </c>
      <c r="H98">
        <f ca="1">IF(AND(ISNUMBER($H$605),$B$511=1),$H$605,HLOOKUP(INDIRECT(ADDRESS(2,COLUMN())),OFFSET($BN$2,0,0,ROW()-1,60),ROW()-1,FALSE))</f>
        <v>1.573</v>
      </c>
      <c r="I98">
        <f ca="1">IF(AND(ISNUMBER($I$605),$B$511=1),$I$605,HLOOKUP(INDIRECT(ADDRESS(2,COLUMN())),OFFSET($BN$2,0,0,ROW()-1,60),ROW()-1,FALSE))</f>
        <v>1.665</v>
      </c>
      <c r="J98">
        <f ca="1">IF(AND(ISNUMBER($J$605),$B$511=1),$J$605,HLOOKUP(INDIRECT(ADDRESS(2,COLUMN())),OFFSET($BN$2,0,0,ROW()-1,60),ROW()-1,FALSE))</f>
        <v>1.577</v>
      </c>
      <c r="K98">
        <f ca="1">IF(AND(ISNUMBER($K$605),$B$511=1),$K$605,HLOOKUP(INDIRECT(ADDRESS(2,COLUMN())),OFFSET($BN$2,0,0,ROW()-1,60),ROW()-1,FALSE))</f>
        <v>1.627</v>
      </c>
      <c r="L98">
        <f ca="1">IF(AND(ISNUMBER($L$605),$B$511=1),$L$605,HLOOKUP(INDIRECT(ADDRESS(2,COLUMN())),OFFSET($BN$2,0,0,ROW()-1,60),ROW()-1,FALSE))</f>
        <v>1.643</v>
      </c>
      <c r="M98">
        <f ca="1">IF(AND(ISNUMBER($M$605),$B$511=1),$M$605,HLOOKUP(INDIRECT(ADDRESS(2,COLUMN())),OFFSET($BN$2,0,0,ROW()-1,60),ROW()-1,FALSE))</f>
        <v>1.85</v>
      </c>
      <c r="N98">
        <f ca="1">IF(AND(ISNUMBER($N$605),$B$511=1),$N$605,HLOOKUP(INDIRECT(ADDRESS(2,COLUMN())),OFFSET($BN$2,0,0,ROW()-1,60),ROW()-1,FALSE))</f>
        <v>1.95</v>
      </c>
      <c r="O98">
        <f ca="1">IF(AND(ISNUMBER($O$605),$B$511=1),$O$605,HLOOKUP(INDIRECT(ADDRESS(2,COLUMN())),OFFSET($BN$2,0,0,ROW()-1,60),ROW()-1,FALSE))</f>
        <v>1.91</v>
      </c>
      <c r="P98">
        <f ca="1">IF(AND(ISNUMBER($P$605),$B$511=1),$P$605,HLOOKUP(INDIRECT(ADDRESS(2,COLUMN())),OFFSET($BN$2,0,0,ROW()-1,60),ROW()-1,FALSE))</f>
        <v>2.02</v>
      </c>
      <c r="Q98" t="str">
        <f ca="1">IF(AND(ISNUMBER($Q$605),$B$511=1),$Q$605,HLOOKUP(INDIRECT(ADDRESS(2,COLUMN())),OFFSET($BN$2,0,0,ROW()-1,60),ROW()-1,FALSE))</f>
        <v/>
      </c>
      <c r="R98" t="str">
        <f ca="1">IF(AND(ISNUMBER($R$605),$B$511=1),$R$605,HLOOKUP(INDIRECT(ADDRESS(2,COLUMN())),OFFSET($BN$2,0,0,ROW()-1,60),ROW()-1,FALSE))</f>
        <v/>
      </c>
      <c r="S98" t="str">
        <f ca="1">IF(AND(ISNUMBER($S$605),$B$511=1),$S$605,HLOOKUP(INDIRECT(ADDRESS(2,COLUMN())),OFFSET($BN$2,0,0,ROW()-1,60),ROW()-1,FALSE))</f>
        <v/>
      </c>
      <c r="T98" t="str">
        <f ca="1">IF(AND(ISNUMBER($T$605),$B$511=1),$T$605,HLOOKUP(INDIRECT(ADDRESS(2,COLUMN())),OFFSET($BN$2,0,0,ROW()-1,60),ROW()-1,FALSE))</f>
        <v/>
      </c>
      <c r="U98" t="str">
        <f ca="1">IF(AND(ISNUMBER($U$605),$B$511=1),$U$605,HLOOKUP(INDIRECT(ADDRESS(2,COLUMN())),OFFSET($BN$2,0,0,ROW()-1,60),ROW()-1,FALSE))</f>
        <v/>
      </c>
      <c r="V98" t="str">
        <f ca="1">IF(AND(ISNUMBER($V$605),$B$511=1),$V$605,HLOOKUP(INDIRECT(ADDRESS(2,COLUMN())),OFFSET($BN$2,0,0,ROW()-1,60),ROW()-1,FALSE))</f>
        <v/>
      </c>
      <c r="W98" t="str">
        <f ca="1">IF(AND(ISNUMBER($W$605),$B$511=1),$W$605,HLOOKUP(INDIRECT(ADDRESS(2,COLUMN())),OFFSET($BN$2,0,0,ROW()-1,60),ROW()-1,FALSE))</f>
        <v/>
      </c>
      <c r="X98" t="str">
        <f ca="1">IF(AND(ISNUMBER($X$605),$B$511=1),$X$605,HLOOKUP(INDIRECT(ADDRESS(2,COLUMN())),OFFSET($BN$2,0,0,ROW()-1,60),ROW()-1,FALSE))</f>
        <v/>
      </c>
      <c r="Y98" t="str">
        <f ca="1">IF(AND(ISNUMBER($Y$605),$B$511=1),$Y$605,HLOOKUP(INDIRECT(ADDRESS(2,COLUMN())),OFFSET($BN$2,0,0,ROW()-1,60),ROW()-1,FALSE))</f>
        <v/>
      </c>
      <c r="Z98" t="str">
        <f ca="1">IF(AND(ISNUMBER($Z$605),$B$511=1),$Z$605,HLOOKUP(INDIRECT(ADDRESS(2,COLUMN())),OFFSET($BN$2,0,0,ROW()-1,60),ROW()-1,FALSE))</f>
        <v/>
      </c>
      <c r="AA98" t="str">
        <f ca="1">IF(AND(ISNUMBER($AA$605),$B$511=1),$AA$605,HLOOKUP(INDIRECT(ADDRESS(2,COLUMN())),OFFSET($BN$2,0,0,ROW()-1,60),ROW()-1,FALSE))</f>
        <v/>
      </c>
      <c r="AB98" t="str">
        <f ca="1">IF(AND(ISNUMBER($AB$605),$B$511=1),$AB$605,HLOOKUP(INDIRECT(ADDRESS(2,COLUMN())),OFFSET($BN$2,0,0,ROW()-1,60),ROW()-1,FALSE))</f>
        <v/>
      </c>
      <c r="AC98" t="str">
        <f ca="1">IF(AND(ISNUMBER($AC$605),$B$511=1),$AC$605,HLOOKUP(INDIRECT(ADDRESS(2,COLUMN())),OFFSET($BN$2,0,0,ROW()-1,60),ROW()-1,FALSE))</f>
        <v/>
      </c>
      <c r="AD98" t="str">
        <f ca="1">IF(AND(ISNUMBER($AD$605),$B$511=1),$AD$605,HLOOKUP(INDIRECT(ADDRESS(2,COLUMN())),OFFSET($BN$2,0,0,ROW()-1,60),ROW()-1,FALSE))</f>
        <v/>
      </c>
      <c r="AE98" t="str">
        <f ca="1">IF(AND(ISNUMBER($AE$605),$B$511=1),$AE$605,HLOOKUP(INDIRECT(ADDRESS(2,COLUMN())),OFFSET($BN$2,0,0,ROW()-1,60),ROW()-1,FALSE))</f>
        <v/>
      </c>
      <c r="AF98" t="str">
        <f ca="1">IF(AND(ISNUMBER($AF$605),$B$511=1),$AF$605,HLOOKUP(INDIRECT(ADDRESS(2,COLUMN())),OFFSET($BN$2,0,0,ROW()-1,60),ROW()-1,FALSE))</f>
        <v/>
      </c>
      <c r="AG98" t="str">
        <f ca="1">IF(AND(ISNUMBER($AG$605),$B$511=1),$AG$605,HLOOKUP(INDIRECT(ADDRESS(2,COLUMN())),OFFSET($BN$2,0,0,ROW()-1,60),ROW()-1,FALSE))</f>
        <v/>
      </c>
      <c r="AH98" t="str">
        <f ca="1">IF(AND(ISNUMBER($AH$605),$B$511=1),$AH$605,HLOOKUP(INDIRECT(ADDRESS(2,COLUMN())),OFFSET($BN$2,0,0,ROW()-1,60),ROW()-1,FALSE))</f>
        <v/>
      </c>
      <c r="AI98" t="str">
        <f ca="1">IF(AND(ISNUMBER($AI$605),$B$511=1),$AI$605,HLOOKUP(INDIRECT(ADDRESS(2,COLUMN())),OFFSET($BN$2,0,0,ROW()-1,60),ROW()-1,FALSE))</f>
        <v/>
      </c>
      <c r="AJ98" t="str">
        <f ca="1">IF(AND(ISNUMBER($AJ$605),$B$511=1),$AJ$605,HLOOKUP(INDIRECT(ADDRESS(2,COLUMN())),OFFSET($BN$2,0,0,ROW()-1,60),ROW()-1,FALSE))</f>
        <v/>
      </c>
      <c r="AK98" t="str">
        <f ca="1">IF(AND(ISNUMBER($AK$605),$B$511=1),$AK$605,HLOOKUP(INDIRECT(ADDRESS(2,COLUMN())),OFFSET($BN$2,0,0,ROW()-1,60),ROW()-1,FALSE))</f>
        <v/>
      </c>
      <c r="AL98" t="str">
        <f ca="1">IF(AND(ISNUMBER($AL$605),$B$511=1),$AL$605,HLOOKUP(INDIRECT(ADDRESS(2,COLUMN())),OFFSET($BN$2,0,0,ROW()-1,60),ROW()-1,FALSE))</f>
        <v/>
      </c>
      <c r="AM98" t="str">
        <f ca="1">IF(AND(ISNUMBER($AM$605),$B$511=1),$AM$605,HLOOKUP(INDIRECT(ADDRESS(2,COLUMN())),OFFSET($BN$2,0,0,ROW()-1,60),ROW()-1,FALSE))</f>
        <v/>
      </c>
      <c r="AN98" t="str">
        <f ca="1">IF(AND(ISNUMBER($AN$605),$B$511=1),$AN$605,HLOOKUP(INDIRECT(ADDRESS(2,COLUMN())),OFFSET($BN$2,0,0,ROW()-1,60),ROW()-1,FALSE))</f>
        <v/>
      </c>
      <c r="AO98" t="str">
        <f ca="1">IF(AND(ISNUMBER($AO$605),$B$511=1),$AO$605,HLOOKUP(INDIRECT(ADDRESS(2,COLUMN())),OFFSET($BN$2,0,0,ROW()-1,60),ROW()-1,FALSE))</f>
        <v/>
      </c>
      <c r="AP98" t="str">
        <f ca="1">IF(AND(ISNUMBER($AP$605),$B$511=1),$AP$605,HLOOKUP(INDIRECT(ADDRESS(2,COLUMN())),OFFSET($BN$2,0,0,ROW()-1,60),ROW()-1,FALSE))</f>
        <v/>
      </c>
      <c r="AQ98" t="str">
        <f ca="1">IF(AND(ISNUMBER($AQ$605),$B$511=1),$AQ$605,HLOOKUP(INDIRECT(ADDRESS(2,COLUMN())),OFFSET($BN$2,0,0,ROW()-1,60),ROW()-1,FALSE))</f>
        <v/>
      </c>
      <c r="AR98" t="str">
        <f ca="1">IF(AND(ISNUMBER($AR$605),$B$511=1),$AR$605,HLOOKUP(INDIRECT(ADDRESS(2,COLUMN())),OFFSET($BN$2,0,0,ROW()-1,60),ROW()-1,FALSE))</f>
        <v/>
      </c>
      <c r="AS98" t="str">
        <f ca="1">IF(AND(ISNUMBER($AS$605),$B$511=1),$AS$605,HLOOKUP(INDIRECT(ADDRESS(2,COLUMN())),OFFSET($BN$2,0,0,ROW()-1,60),ROW()-1,FALSE))</f>
        <v/>
      </c>
      <c r="AT98" t="str">
        <f ca="1">IF(AND(ISNUMBER($AT$605),$B$511=1),$AT$605,HLOOKUP(INDIRECT(ADDRESS(2,COLUMN())),OFFSET($BN$2,0,0,ROW()-1,60),ROW()-1,FALSE))</f>
        <v/>
      </c>
      <c r="AU98" t="str">
        <f ca="1">IF(AND(ISNUMBER($AU$605),$B$511=1),$AU$605,HLOOKUP(INDIRECT(ADDRESS(2,COLUMN())),OFFSET($BN$2,0,0,ROW()-1,60),ROW()-1,FALSE))</f>
        <v/>
      </c>
      <c r="AV98" t="str">
        <f ca="1">IF(AND(ISNUMBER($AV$605),$B$511=1),$AV$605,HLOOKUP(INDIRECT(ADDRESS(2,COLUMN())),OFFSET($BN$2,0,0,ROW()-1,60),ROW()-1,FALSE))</f>
        <v/>
      </c>
      <c r="AW98" t="str">
        <f ca="1">IF(AND(ISNUMBER($AW$605),$B$511=1),$AW$605,HLOOKUP(INDIRECT(ADDRESS(2,COLUMN())),OFFSET($BN$2,0,0,ROW()-1,60),ROW()-1,FALSE))</f>
        <v/>
      </c>
      <c r="AX98" t="str">
        <f ca="1">IF(AND(ISNUMBER($AX$605),$B$511=1),$AX$605,HLOOKUP(INDIRECT(ADDRESS(2,COLUMN())),OFFSET($BN$2,0,0,ROW()-1,60),ROW()-1,FALSE))</f>
        <v/>
      </c>
      <c r="AY98" t="str">
        <f ca="1">IF(AND(ISNUMBER($AY$605),$B$511=1),$AY$605,HLOOKUP(INDIRECT(ADDRESS(2,COLUMN())),OFFSET($BN$2,0,0,ROW()-1,60),ROW()-1,FALSE))</f>
        <v/>
      </c>
      <c r="AZ98" t="str">
        <f ca="1">IF(AND(ISNUMBER($AZ$605),$B$511=1),$AZ$605,HLOOKUP(INDIRECT(ADDRESS(2,COLUMN())),OFFSET($BN$2,0,0,ROW()-1,60),ROW()-1,FALSE))</f>
        <v/>
      </c>
      <c r="BA98" t="str">
        <f ca="1">IF(AND(ISNUMBER($BA$605),$B$511=1),$BA$605,HLOOKUP(INDIRECT(ADDRESS(2,COLUMN())),OFFSET($BN$2,0,0,ROW()-1,60),ROW()-1,FALSE))</f>
        <v/>
      </c>
      <c r="BB98" t="str">
        <f ca="1">IF(AND(ISNUMBER($BB$605),$B$511=1),$BB$605,HLOOKUP(INDIRECT(ADDRESS(2,COLUMN())),OFFSET($BN$2,0,0,ROW()-1,60),ROW()-1,FALSE))</f>
        <v/>
      </c>
      <c r="BC98" t="str">
        <f ca="1">IF(AND(ISNUMBER($BC$605),$B$511=1),$BC$605,HLOOKUP(INDIRECT(ADDRESS(2,COLUMN())),OFFSET($BN$2,0,0,ROW()-1,60),ROW()-1,FALSE))</f>
        <v/>
      </c>
      <c r="BD98" t="str">
        <f ca="1">IF(AND(ISNUMBER($BD$605),$B$511=1),$BD$605,HLOOKUP(INDIRECT(ADDRESS(2,COLUMN())),OFFSET($BN$2,0,0,ROW()-1,60),ROW()-1,FALSE))</f>
        <v/>
      </c>
      <c r="BE98" t="str">
        <f ca="1">IF(AND(ISNUMBER($BE$605),$B$511=1),$BE$605,HLOOKUP(INDIRECT(ADDRESS(2,COLUMN())),OFFSET($BN$2,0,0,ROW()-1,60),ROW()-1,FALSE))</f>
        <v/>
      </c>
      <c r="BF98" t="str">
        <f ca="1">IF(AND(ISNUMBER($BF$605),$B$511=1),$BF$605,HLOOKUP(INDIRECT(ADDRESS(2,COLUMN())),OFFSET($BN$2,0,0,ROW()-1,60),ROW()-1,FALSE))</f>
        <v/>
      </c>
      <c r="BG98" t="str">
        <f ca="1">IF(AND(ISNUMBER($BG$605),$B$511=1),$BG$605,HLOOKUP(INDIRECT(ADDRESS(2,COLUMN())),OFFSET($BN$2,0,0,ROW()-1,60),ROW()-1,FALSE))</f>
        <v/>
      </c>
      <c r="BH98" t="str">
        <f ca="1">IF(AND(ISNUMBER($BH$605),$B$511=1),$BH$605,HLOOKUP(INDIRECT(ADDRESS(2,COLUMN())),OFFSET($BN$2,0,0,ROW()-1,60),ROW()-1,FALSE))</f>
        <v/>
      </c>
      <c r="BI98" t="str">
        <f ca="1">IF(AND(ISNUMBER($BI$605),$B$511=1),$BI$605,HLOOKUP(INDIRECT(ADDRESS(2,COLUMN())),OFFSET($BN$2,0,0,ROW()-1,60),ROW()-1,FALSE))</f>
        <v/>
      </c>
      <c r="BJ98" t="str">
        <f ca="1">IF(AND(ISNUMBER($BJ$605),$B$511=1),$BJ$605,HLOOKUP(INDIRECT(ADDRESS(2,COLUMN())),OFFSET($BN$2,0,0,ROW()-1,60),ROW()-1,FALSE))</f>
        <v/>
      </c>
      <c r="BK98" t="str">
        <f ca="1">IF(AND(ISNUMBER($BK$605),$B$511=1),$BK$605,HLOOKUP(INDIRECT(ADDRESS(2,COLUMN())),OFFSET($BN$2,0,0,ROW()-1,60),ROW()-1,FALSE))</f>
        <v/>
      </c>
      <c r="BL98" t="str">
        <f ca="1">IF(AND(ISNUMBER($BL$605),$B$511=1),$BL$605,HLOOKUP(INDIRECT(ADDRESS(2,COLUMN())),OFFSET($BN$2,0,0,ROW()-1,60),ROW()-1,FALSE))</f>
        <v/>
      </c>
      <c r="BM98" t="str">
        <f ca="1">IF(AND(ISNUMBER($BM$605),$B$511=1),$BM$605,HLOOKUP(INDIRECT(ADDRESS(2,COLUMN())),OFFSET($BN$2,0,0,ROW()-1,60),ROW()-1,FALSE))</f>
        <v/>
      </c>
      <c r="BN98">
        <f>1.32</f>
        <v>1.32</v>
      </c>
      <c r="BO98">
        <f>1.544</f>
        <v>1.544</v>
      </c>
      <c r="BP98">
        <f>1.573</f>
        <v>1.573</v>
      </c>
      <c r="BQ98">
        <f>1.665</f>
        <v>1.665</v>
      </c>
      <c r="BR98">
        <f>1.577</f>
        <v>1.577</v>
      </c>
      <c r="BS98">
        <f>1.627</f>
        <v>1.627</v>
      </c>
      <c r="BT98">
        <f>1.643</f>
        <v>1.643</v>
      </c>
      <c r="BU98">
        <f>1.85</f>
        <v>1.85</v>
      </c>
      <c r="BV98">
        <f>1.95</f>
        <v>1.95</v>
      </c>
      <c r="BW98">
        <f>1.91</f>
        <v>1.91</v>
      </c>
      <c r="BX98">
        <f>2.02</f>
        <v>2.02</v>
      </c>
      <c r="BY98" t="str">
        <f>""</f>
        <v/>
      </c>
      <c r="BZ98" t="str">
        <f>""</f>
        <v/>
      </c>
      <c r="CA98" t="str">
        <f>""</f>
        <v/>
      </c>
      <c r="CB98" t="str">
        <f>""</f>
        <v/>
      </c>
      <c r="CC98" t="str">
        <f>""</f>
        <v/>
      </c>
      <c r="CD98" t="str">
        <f>""</f>
        <v/>
      </c>
      <c r="CE98" t="str">
        <f>""</f>
        <v/>
      </c>
      <c r="CF98" t="str">
        <f>""</f>
        <v/>
      </c>
      <c r="CG98" t="str">
        <f>""</f>
        <v/>
      </c>
      <c r="CH98" t="str">
        <f>""</f>
        <v/>
      </c>
      <c r="CI98" t="str">
        <f>""</f>
        <v/>
      </c>
      <c r="CJ98" t="str">
        <f>""</f>
        <v/>
      </c>
      <c r="CK98" t="str">
        <f>""</f>
        <v/>
      </c>
      <c r="CL98" t="str">
        <f>""</f>
        <v/>
      </c>
      <c r="CM98" t="str">
        <f>""</f>
        <v/>
      </c>
      <c r="CN98" t="str">
        <f>""</f>
        <v/>
      </c>
      <c r="CO98" t="str">
        <f>""</f>
        <v/>
      </c>
      <c r="CP98" t="str">
        <f>""</f>
        <v/>
      </c>
      <c r="CQ98" t="str">
        <f>""</f>
        <v/>
      </c>
      <c r="CR98" t="str">
        <f>""</f>
        <v/>
      </c>
      <c r="CS98" t="str">
        <f>""</f>
        <v/>
      </c>
      <c r="CT98" t="str">
        <f>""</f>
        <v/>
      </c>
      <c r="CU98" t="str">
        <f>""</f>
        <v/>
      </c>
      <c r="CV98" t="str">
        <f>""</f>
        <v/>
      </c>
      <c r="CW98" t="str">
        <f>""</f>
        <v/>
      </c>
      <c r="CX98" t="str">
        <f>""</f>
        <v/>
      </c>
      <c r="CY98" t="str">
        <f>""</f>
        <v/>
      </c>
      <c r="CZ98" t="str">
        <f>""</f>
        <v/>
      </c>
      <c r="DA98" t="str">
        <f>""</f>
        <v/>
      </c>
      <c r="DB98" t="str">
        <f>""</f>
        <v/>
      </c>
      <c r="DC98" t="str">
        <f>""</f>
        <v/>
      </c>
      <c r="DD98" t="str">
        <f>""</f>
        <v/>
      </c>
      <c r="DE98" t="str">
        <f>""</f>
        <v/>
      </c>
      <c r="DF98" t="str">
        <f>""</f>
        <v/>
      </c>
      <c r="DG98" t="str">
        <f>""</f>
        <v/>
      </c>
      <c r="DH98" t="str">
        <f>""</f>
        <v/>
      </c>
      <c r="DI98" t="str">
        <f>""</f>
        <v/>
      </c>
      <c r="DJ98" t="str">
        <f>""</f>
        <v/>
      </c>
      <c r="DK98" t="str">
        <f>""</f>
        <v/>
      </c>
      <c r="DL98" t="str">
        <f>""</f>
        <v/>
      </c>
      <c r="DM98" t="str">
        <f>""</f>
        <v/>
      </c>
      <c r="DN98" t="str">
        <f>""</f>
        <v/>
      </c>
      <c r="DO98" t="str">
        <f>""</f>
        <v/>
      </c>
      <c r="DP98" t="str">
        <f>""</f>
        <v/>
      </c>
      <c r="DQ98" t="str">
        <f>""</f>
        <v/>
      </c>
      <c r="DR98" t="str">
        <f>""</f>
        <v/>
      </c>
      <c r="DS98" t="str">
        <f>""</f>
        <v/>
      </c>
      <c r="DT98" t="str">
        <f>""</f>
        <v/>
      </c>
      <c r="DU98" t="str">
        <f>""</f>
        <v/>
      </c>
    </row>
    <row r="99" spans="1:125" x14ac:dyDescent="0.25">
      <c r="A99" t="str">
        <f>"    Ford Otomotiv Sanayi AS"</f>
        <v xml:space="preserve">    Ford Otomotiv Sanayi AS</v>
      </c>
      <c r="B99" t="str">
        <f>"FROTOTRY EO Equity"</f>
        <v>FROTOTRY EO Equity</v>
      </c>
      <c r="C99" t="str">
        <f t="shared" si="6"/>
        <v>EZ021</v>
      </c>
      <c r="D99" t="str">
        <f t="shared" si="7"/>
        <v>BEST_EPS_NXT_YR</v>
      </c>
      <c r="E99" t="str">
        <f t="shared" si="8"/>
        <v>Dynamic</v>
      </c>
      <c r="F99">
        <f ca="1">IF(AND(ISNUMBER($F$606),$B$511=1),$F$606,HLOOKUP(INDIRECT(ADDRESS(2,COLUMN())),OFFSET($BN$2,0,0,ROW()-1,60),ROW()-1,FALSE))</f>
        <v>1.462</v>
      </c>
      <c r="G99">
        <f ca="1">IF(AND(ISNUMBER($G$606),$B$511=1),$G$606,HLOOKUP(INDIRECT(ADDRESS(2,COLUMN())),OFFSET($BN$2,0,0,ROW()-1,60),ROW()-1,FALSE))</f>
        <v>1.5049999999999999</v>
      </c>
      <c r="H99">
        <f ca="1">IF(AND(ISNUMBER($H$606),$B$511=1),$H$606,HLOOKUP(INDIRECT(ADDRESS(2,COLUMN())),OFFSET($BN$2,0,0,ROW()-1,60),ROW()-1,FALSE))</f>
        <v>1.167</v>
      </c>
      <c r="I99">
        <f ca="1">IF(AND(ISNUMBER($I$606),$B$511=1),$I$606,HLOOKUP(INDIRECT(ADDRESS(2,COLUMN())),OFFSET($BN$2,0,0,ROW()-1,60),ROW()-1,FALSE))</f>
        <v>1.357</v>
      </c>
      <c r="J99">
        <f ca="1">IF(AND(ISNUMBER($J$606),$B$511=1),$J$606,HLOOKUP(INDIRECT(ADDRESS(2,COLUMN())),OFFSET($BN$2,0,0,ROW()-1,60),ROW()-1,FALSE))</f>
        <v>1.5169999999999999</v>
      </c>
      <c r="K99">
        <f ca="1">IF(AND(ISNUMBER($K$606),$B$511=1),$K$606,HLOOKUP(INDIRECT(ADDRESS(2,COLUMN())),OFFSET($BN$2,0,0,ROW()-1,60),ROW()-1,FALSE))</f>
        <v>1.3520000000000001</v>
      </c>
      <c r="L99">
        <f ca="1">IF(AND(ISNUMBER($L$606),$B$511=1),$L$606,HLOOKUP(INDIRECT(ADDRESS(2,COLUMN())),OFFSET($BN$2,0,0,ROW()-1,60),ROW()-1,FALSE))</f>
        <v>1.393</v>
      </c>
      <c r="M99">
        <f ca="1">IF(AND(ISNUMBER($M$606),$B$511=1),$M$606,HLOOKUP(INDIRECT(ADDRESS(2,COLUMN())),OFFSET($BN$2,0,0,ROW()-1,60),ROW()-1,FALSE))</f>
        <v>1.339</v>
      </c>
      <c r="N99">
        <f ca="1">IF(AND(ISNUMBER($N$606),$B$511=1),$N$606,HLOOKUP(INDIRECT(ADDRESS(2,COLUMN())),OFFSET($BN$2,0,0,ROW()-1,60),ROW()-1,FALSE))</f>
        <v>1.3120000000000001</v>
      </c>
      <c r="O99">
        <f ca="1">IF(AND(ISNUMBER($O$606),$B$511=1),$O$606,HLOOKUP(INDIRECT(ADDRESS(2,COLUMN())),OFFSET($BN$2,0,0,ROW()-1,60),ROW()-1,FALSE))</f>
        <v>1.399</v>
      </c>
      <c r="P99">
        <f ca="1">IF(AND(ISNUMBER($P$606),$B$511=1),$P$606,HLOOKUP(INDIRECT(ADDRESS(2,COLUMN())),OFFSET($BN$2,0,0,ROW()-1,60),ROW()-1,FALSE))</f>
        <v>1.526</v>
      </c>
      <c r="Q99">
        <f ca="1">IF(AND(ISNUMBER($Q$606),$B$511=1),$Q$606,HLOOKUP(INDIRECT(ADDRESS(2,COLUMN())),OFFSET($BN$2,0,0,ROW()-1,60),ROW()-1,FALSE))</f>
        <v>1.5089999999999999</v>
      </c>
      <c r="R99" t="str">
        <f ca="1">IF(AND(ISNUMBER($R$606),$B$511=1),$R$606,HLOOKUP(INDIRECT(ADDRESS(2,COLUMN())),OFFSET($BN$2,0,0,ROW()-1,60),ROW()-1,FALSE))</f>
        <v/>
      </c>
      <c r="S99" t="str">
        <f ca="1">IF(AND(ISNUMBER($S$606),$B$511=1),$S$606,HLOOKUP(INDIRECT(ADDRESS(2,COLUMN())),OFFSET($BN$2,0,0,ROW()-1,60),ROW()-1,FALSE))</f>
        <v/>
      </c>
      <c r="T99" t="str">
        <f ca="1">IF(AND(ISNUMBER($T$606),$B$511=1),$T$606,HLOOKUP(INDIRECT(ADDRESS(2,COLUMN())),OFFSET($BN$2,0,0,ROW()-1,60),ROW()-1,FALSE))</f>
        <v/>
      </c>
      <c r="U99" t="str">
        <f ca="1">IF(AND(ISNUMBER($U$606),$B$511=1),$U$606,HLOOKUP(INDIRECT(ADDRESS(2,COLUMN())),OFFSET($BN$2,0,0,ROW()-1,60),ROW()-1,FALSE))</f>
        <v/>
      </c>
      <c r="V99" t="str">
        <f ca="1">IF(AND(ISNUMBER($V$606),$B$511=1),$V$606,HLOOKUP(INDIRECT(ADDRESS(2,COLUMN())),OFFSET($BN$2,0,0,ROW()-1,60),ROW()-1,FALSE))</f>
        <v/>
      </c>
      <c r="W99" t="str">
        <f ca="1">IF(AND(ISNUMBER($W$606),$B$511=1),$W$606,HLOOKUP(INDIRECT(ADDRESS(2,COLUMN())),OFFSET($BN$2,0,0,ROW()-1,60),ROW()-1,FALSE))</f>
        <v/>
      </c>
      <c r="X99" t="str">
        <f ca="1">IF(AND(ISNUMBER($X$606),$B$511=1),$X$606,HLOOKUP(INDIRECT(ADDRESS(2,COLUMN())),OFFSET($BN$2,0,0,ROW()-1,60),ROW()-1,FALSE))</f>
        <v/>
      </c>
      <c r="Y99" t="str">
        <f ca="1">IF(AND(ISNUMBER($Y$606),$B$511=1),$Y$606,HLOOKUP(INDIRECT(ADDRESS(2,COLUMN())),OFFSET($BN$2,0,0,ROW()-1,60),ROW()-1,FALSE))</f>
        <v/>
      </c>
      <c r="Z99" t="str">
        <f ca="1">IF(AND(ISNUMBER($Z$606),$B$511=1),$Z$606,HLOOKUP(INDIRECT(ADDRESS(2,COLUMN())),OFFSET($BN$2,0,0,ROW()-1,60),ROW()-1,FALSE))</f>
        <v/>
      </c>
      <c r="AA99" t="str">
        <f ca="1">IF(AND(ISNUMBER($AA$606),$B$511=1),$AA$606,HLOOKUP(INDIRECT(ADDRESS(2,COLUMN())),OFFSET($BN$2,0,0,ROW()-1,60),ROW()-1,FALSE))</f>
        <v/>
      </c>
      <c r="AB99" t="str">
        <f ca="1">IF(AND(ISNUMBER($AB$606),$B$511=1),$AB$606,HLOOKUP(INDIRECT(ADDRESS(2,COLUMN())),OFFSET($BN$2,0,0,ROW()-1,60),ROW()-1,FALSE))</f>
        <v/>
      </c>
      <c r="AC99" t="str">
        <f ca="1">IF(AND(ISNUMBER($AC$606),$B$511=1),$AC$606,HLOOKUP(INDIRECT(ADDRESS(2,COLUMN())),OFFSET($BN$2,0,0,ROW()-1,60),ROW()-1,FALSE))</f>
        <v/>
      </c>
      <c r="AD99" t="str">
        <f ca="1">IF(AND(ISNUMBER($AD$606),$B$511=1),$AD$606,HLOOKUP(INDIRECT(ADDRESS(2,COLUMN())),OFFSET($BN$2,0,0,ROW()-1,60),ROW()-1,FALSE))</f>
        <v/>
      </c>
      <c r="AE99" t="str">
        <f ca="1">IF(AND(ISNUMBER($AE$606),$B$511=1),$AE$606,HLOOKUP(INDIRECT(ADDRESS(2,COLUMN())),OFFSET($BN$2,0,0,ROW()-1,60),ROW()-1,FALSE))</f>
        <v/>
      </c>
      <c r="AF99" t="str">
        <f ca="1">IF(AND(ISNUMBER($AF$606),$B$511=1),$AF$606,HLOOKUP(INDIRECT(ADDRESS(2,COLUMN())),OFFSET($BN$2,0,0,ROW()-1,60),ROW()-1,FALSE))</f>
        <v/>
      </c>
      <c r="AG99" t="str">
        <f ca="1">IF(AND(ISNUMBER($AG$606),$B$511=1),$AG$606,HLOOKUP(INDIRECT(ADDRESS(2,COLUMN())),OFFSET($BN$2,0,0,ROW()-1,60),ROW()-1,FALSE))</f>
        <v/>
      </c>
      <c r="AH99" t="str">
        <f ca="1">IF(AND(ISNUMBER($AH$606),$B$511=1),$AH$606,HLOOKUP(INDIRECT(ADDRESS(2,COLUMN())),OFFSET($BN$2,0,0,ROW()-1,60),ROW()-1,FALSE))</f>
        <v/>
      </c>
      <c r="AI99" t="str">
        <f ca="1">IF(AND(ISNUMBER($AI$606),$B$511=1),$AI$606,HLOOKUP(INDIRECT(ADDRESS(2,COLUMN())),OFFSET($BN$2,0,0,ROW()-1,60),ROW()-1,FALSE))</f>
        <v/>
      </c>
      <c r="AJ99" t="str">
        <f ca="1">IF(AND(ISNUMBER($AJ$606),$B$511=1),$AJ$606,HLOOKUP(INDIRECT(ADDRESS(2,COLUMN())),OFFSET($BN$2,0,0,ROW()-1,60),ROW()-1,FALSE))</f>
        <v/>
      </c>
      <c r="AK99" t="str">
        <f ca="1">IF(AND(ISNUMBER($AK$606),$B$511=1),$AK$606,HLOOKUP(INDIRECT(ADDRESS(2,COLUMN())),OFFSET($BN$2,0,0,ROW()-1,60),ROW()-1,FALSE))</f>
        <v/>
      </c>
      <c r="AL99" t="str">
        <f ca="1">IF(AND(ISNUMBER($AL$606),$B$511=1),$AL$606,HLOOKUP(INDIRECT(ADDRESS(2,COLUMN())),OFFSET($BN$2,0,0,ROW()-1,60),ROW()-1,FALSE))</f>
        <v/>
      </c>
      <c r="AM99" t="str">
        <f ca="1">IF(AND(ISNUMBER($AM$606),$B$511=1),$AM$606,HLOOKUP(INDIRECT(ADDRESS(2,COLUMN())),OFFSET($BN$2,0,0,ROW()-1,60),ROW()-1,FALSE))</f>
        <v/>
      </c>
      <c r="AN99" t="str">
        <f ca="1">IF(AND(ISNUMBER($AN$606),$B$511=1),$AN$606,HLOOKUP(INDIRECT(ADDRESS(2,COLUMN())),OFFSET($BN$2,0,0,ROW()-1,60),ROW()-1,FALSE))</f>
        <v/>
      </c>
      <c r="AO99" t="str">
        <f ca="1">IF(AND(ISNUMBER($AO$606),$B$511=1),$AO$606,HLOOKUP(INDIRECT(ADDRESS(2,COLUMN())),OFFSET($BN$2,0,0,ROW()-1,60),ROW()-1,FALSE))</f>
        <v/>
      </c>
      <c r="AP99" t="str">
        <f ca="1">IF(AND(ISNUMBER($AP$606),$B$511=1),$AP$606,HLOOKUP(INDIRECT(ADDRESS(2,COLUMN())),OFFSET($BN$2,0,0,ROW()-1,60),ROW()-1,FALSE))</f>
        <v/>
      </c>
      <c r="AQ99" t="str">
        <f ca="1">IF(AND(ISNUMBER($AQ$606),$B$511=1),$AQ$606,HLOOKUP(INDIRECT(ADDRESS(2,COLUMN())),OFFSET($BN$2,0,0,ROW()-1,60),ROW()-1,FALSE))</f>
        <v/>
      </c>
      <c r="AR99" t="str">
        <f ca="1">IF(AND(ISNUMBER($AR$606),$B$511=1),$AR$606,HLOOKUP(INDIRECT(ADDRESS(2,COLUMN())),OFFSET($BN$2,0,0,ROW()-1,60),ROW()-1,FALSE))</f>
        <v/>
      </c>
      <c r="AS99" t="str">
        <f ca="1">IF(AND(ISNUMBER($AS$606),$B$511=1),$AS$606,HLOOKUP(INDIRECT(ADDRESS(2,COLUMN())),OFFSET($BN$2,0,0,ROW()-1,60),ROW()-1,FALSE))</f>
        <v/>
      </c>
      <c r="AT99" t="str">
        <f ca="1">IF(AND(ISNUMBER($AT$606),$B$511=1),$AT$606,HLOOKUP(INDIRECT(ADDRESS(2,COLUMN())),OFFSET($BN$2,0,0,ROW()-1,60),ROW()-1,FALSE))</f>
        <v/>
      </c>
      <c r="AU99" t="str">
        <f ca="1">IF(AND(ISNUMBER($AU$606),$B$511=1),$AU$606,HLOOKUP(INDIRECT(ADDRESS(2,COLUMN())),OFFSET($BN$2,0,0,ROW()-1,60),ROW()-1,FALSE))</f>
        <v/>
      </c>
      <c r="AV99" t="str">
        <f ca="1">IF(AND(ISNUMBER($AV$606),$B$511=1),$AV$606,HLOOKUP(INDIRECT(ADDRESS(2,COLUMN())),OFFSET($BN$2,0,0,ROW()-1,60),ROW()-1,FALSE))</f>
        <v/>
      </c>
      <c r="AW99" t="str">
        <f ca="1">IF(AND(ISNUMBER($AW$606),$B$511=1),$AW$606,HLOOKUP(INDIRECT(ADDRESS(2,COLUMN())),OFFSET($BN$2,0,0,ROW()-1,60),ROW()-1,FALSE))</f>
        <v/>
      </c>
      <c r="AX99" t="str">
        <f ca="1">IF(AND(ISNUMBER($AX$606),$B$511=1),$AX$606,HLOOKUP(INDIRECT(ADDRESS(2,COLUMN())),OFFSET($BN$2,0,0,ROW()-1,60),ROW()-1,FALSE))</f>
        <v/>
      </c>
      <c r="AY99" t="str">
        <f ca="1">IF(AND(ISNUMBER($AY$606),$B$511=1),$AY$606,HLOOKUP(INDIRECT(ADDRESS(2,COLUMN())),OFFSET($BN$2,0,0,ROW()-1,60),ROW()-1,FALSE))</f>
        <v/>
      </c>
      <c r="AZ99" t="str">
        <f ca="1">IF(AND(ISNUMBER($AZ$606),$B$511=1),$AZ$606,HLOOKUP(INDIRECT(ADDRESS(2,COLUMN())),OFFSET($BN$2,0,0,ROW()-1,60),ROW()-1,FALSE))</f>
        <v/>
      </c>
      <c r="BA99" t="str">
        <f ca="1">IF(AND(ISNUMBER($BA$606),$B$511=1),$BA$606,HLOOKUP(INDIRECT(ADDRESS(2,COLUMN())),OFFSET($BN$2,0,0,ROW()-1,60),ROW()-1,FALSE))</f>
        <v/>
      </c>
      <c r="BB99" t="str">
        <f ca="1">IF(AND(ISNUMBER($BB$606),$B$511=1),$BB$606,HLOOKUP(INDIRECT(ADDRESS(2,COLUMN())),OFFSET($BN$2,0,0,ROW()-1,60),ROW()-1,FALSE))</f>
        <v/>
      </c>
      <c r="BC99" t="str">
        <f ca="1">IF(AND(ISNUMBER($BC$606),$B$511=1),$BC$606,HLOOKUP(INDIRECT(ADDRESS(2,COLUMN())),OFFSET($BN$2,0,0,ROW()-1,60),ROW()-1,FALSE))</f>
        <v/>
      </c>
      <c r="BD99" t="str">
        <f ca="1">IF(AND(ISNUMBER($BD$606),$B$511=1),$BD$606,HLOOKUP(INDIRECT(ADDRESS(2,COLUMN())),OFFSET($BN$2,0,0,ROW()-1,60),ROW()-1,FALSE))</f>
        <v/>
      </c>
      <c r="BE99" t="str">
        <f ca="1">IF(AND(ISNUMBER($BE$606),$B$511=1),$BE$606,HLOOKUP(INDIRECT(ADDRESS(2,COLUMN())),OFFSET($BN$2,0,0,ROW()-1,60),ROW()-1,FALSE))</f>
        <v/>
      </c>
      <c r="BF99" t="str">
        <f ca="1">IF(AND(ISNUMBER($BF$606),$B$511=1),$BF$606,HLOOKUP(INDIRECT(ADDRESS(2,COLUMN())),OFFSET($BN$2,0,0,ROW()-1,60),ROW()-1,FALSE))</f>
        <v/>
      </c>
      <c r="BG99" t="str">
        <f ca="1">IF(AND(ISNUMBER($BG$606),$B$511=1),$BG$606,HLOOKUP(INDIRECT(ADDRESS(2,COLUMN())),OFFSET($BN$2,0,0,ROW()-1,60),ROW()-1,FALSE))</f>
        <v/>
      </c>
      <c r="BH99" t="str">
        <f ca="1">IF(AND(ISNUMBER($BH$606),$B$511=1),$BH$606,HLOOKUP(INDIRECT(ADDRESS(2,COLUMN())),OFFSET($BN$2,0,0,ROW()-1,60),ROW()-1,FALSE))</f>
        <v/>
      </c>
      <c r="BI99" t="str">
        <f ca="1">IF(AND(ISNUMBER($BI$606),$B$511=1),$BI$606,HLOOKUP(INDIRECT(ADDRESS(2,COLUMN())),OFFSET($BN$2,0,0,ROW()-1,60),ROW()-1,FALSE))</f>
        <v/>
      </c>
      <c r="BJ99" t="str">
        <f ca="1">IF(AND(ISNUMBER($BJ$606),$B$511=1),$BJ$606,HLOOKUP(INDIRECT(ADDRESS(2,COLUMN())),OFFSET($BN$2,0,0,ROW()-1,60),ROW()-1,FALSE))</f>
        <v/>
      </c>
      <c r="BK99" t="str">
        <f ca="1">IF(AND(ISNUMBER($BK$606),$B$511=1),$BK$606,HLOOKUP(INDIRECT(ADDRESS(2,COLUMN())),OFFSET($BN$2,0,0,ROW()-1,60),ROW()-1,FALSE))</f>
        <v/>
      </c>
      <c r="BL99" t="str">
        <f ca="1">IF(AND(ISNUMBER($BL$606),$B$511=1),$BL$606,HLOOKUP(INDIRECT(ADDRESS(2,COLUMN())),OFFSET($BN$2,0,0,ROW()-1,60),ROW()-1,FALSE))</f>
        <v/>
      </c>
      <c r="BM99" t="str">
        <f ca="1">IF(AND(ISNUMBER($BM$606),$B$511=1),$BM$606,HLOOKUP(INDIRECT(ADDRESS(2,COLUMN())),OFFSET($BN$2,0,0,ROW()-1,60),ROW()-1,FALSE))</f>
        <v/>
      </c>
      <c r="BN99">
        <f>1.462</f>
        <v>1.462</v>
      </c>
      <c r="BO99">
        <f>1.505</f>
        <v>1.5049999999999999</v>
      </c>
      <c r="BP99">
        <f>1.167</f>
        <v>1.167</v>
      </c>
      <c r="BQ99">
        <f>1.357</f>
        <v>1.357</v>
      </c>
      <c r="BR99">
        <f>1.517</f>
        <v>1.5169999999999999</v>
      </c>
      <c r="BS99">
        <f>1.352</f>
        <v>1.3520000000000001</v>
      </c>
      <c r="BT99">
        <f>1.393</f>
        <v>1.393</v>
      </c>
      <c r="BU99">
        <f>1.339</f>
        <v>1.339</v>
      </c>
      <c r="BV99">
        <f>1.312</f>
        <v>1.3120000000000001</v>
      </c>
      <c r="BW99">
        <f>1.399</f>
        <v>1.399</v>
      </c>
      <c r="BX99">
        <f>1.526</f>
        <v>1.526</v>
      </c>
      <c r="BY99">
        <f>1.509</f>
        <v>1.5089999999999999</v>
      </c>
      <c r="BZ99" t="str">
        <f>""</f>
        <v/>
      </c>
      <c r="CA99" t="str">
        <f>""</f>
        <v/>
      </c>
      <c r="CB99" t="str">
        <f>""</f>
        <v/>
      </c>
      <c r="CC99" t="str">
        <f>""</f>
        <v/>
      </c>
      <c r="CD99" t="str">
        <f>""</f>
        <v/>
      </c>
      <c r="CE99" t="str">
        <f>""</f>
        <v/>
      </c>
      <c r="CF99" t="str">
        <f>""</f>
        <v/>
      </c>
      <c r="CG99" t="str">
        <f>""</f>
        <v/>
      </c>
      <c r="CH99" t="str">
        <f>""</f>
        <v/>
      </c>
      <c r="CI99" t="str">
        <f>""</f>
        <v/>
      </c>
      <c r="CJ99" t="str">
        <f>""</f>
        <v/>
      </c>
      <c r="CK99" t="str">
        <f>""</f>
        <v/>
      </c>
      <c r="CL99" t="str">
        <f>""</f>
        <v/>
      </c>
      <c r="CM99" t="str">
        <f>""</f>
        <v/>
      </c>
      <c r="CN99" t="str">
        <f>""</f>
        <v/>
      </c>
      <c r="CO99" t="str">
        <f>""</f>
        <v/>
      </c>
      <c r="CP99" t="str">
        <f>""</f>
        <v/>
      </c>
      <c r="CQ99" t="str">
        <f>""</f>
        <v/>
      </c>
      <c r="CR99" t="str">
        <f>""</f>
        <v/>
      </c>
      <c r="CS99" t="str">
        <f>""</f>
        <v/>
      </c>
      <c r="CT99" t="str">
        <f>""</f>
        <v/>
      </c>
      <c r="CU99" t="str">
        <f>""</f>
        <v/>
      </c>
      <c r="CV99" t="str">
        <f>""</f>
        <v/>
      </c>
      <c r="CW99" t="str">
        <f>""</f>
        <v/>
      </c>
      <c r="CX99" t="str">
        <f>""</f>
        <v/>
      </c>
      <c r="CY99" t="str">
        <f>""</f>
        <v/>
      </c>
      <c r="CZ99" t="str">
        <f>""</f>
        <v/>
      </c>
      <c r="DA99" t="str">
        <f>""</f>
        <v/>
      </c>
      <c r="DB99" t="str">
        <f>""</f>
        <v/>
      </c>
      <c r="DC99" t="str">
        <f>""</f>
        <v/>
      </c>
      <c r="DD99" t="str">
        <f>""</f>
        <v/>
      </c>
      <c r="DE99" t="str">
        <f>""</f>
        <v/>
      </c>
      <c r="DF99" t="str">
        <f>""</f>
        <v/>
      </c>
      <c r="DG99" t="str">
        <f>""</f>
        <v/>
      </c>
      <c r="DH99" t="str">
        <f>""</f>
        <v/>
      </c>
      <c r="DI99" t="str">
        <f>""</f>
        <v/>
      </c>
      <c r="DJ99" t="str">
        <f>""</f>
        <v/>
      </c>
      <c r="DK99" t="str">
        <f>""</f>
        <v/>
      </c>
      <c r="DL99" t="str">
        <f>""</f>
        <v/>
      </c>
      <c r="DM99" t="str">
        <f>""</f>
        <v/>
      </c>
      <c r="DN99" t="str">
        <f>""</f>
        <v/>
      </c>
      <c r="DO99" t="str">
        <f>""</f>
        <v/>
      </c>
      <c r="DP99" t="str">
        <f>""</f>
        <v/>
      </c>
      <c r="DQ99" t="str">
        <f>""</f>
        <v/>
      </c>
      <c r="DR99" t="str">
        <f>""</f>
        <v/>
      </c>
      <c r="DS99" t="str">
        <f>""</f>
        <v/>
      </c>
      <c r="DT99" t="str">
        <f>""</f>
        <v/>
      </c>
      <c r="DU99" t="str">
        <f>""</f>
        <v/>
      </c>
    </row>
    <row r="100" spans="1:125" x14ac:dyDescent="0.25">
      <c r="A100" t="str">
        <f>"    GAZ PJSC"</f>
        <v xml:space="preserve">    GAZ PJSC</v>
      </c>
      <c r="B100" t="str">
        <f>"GAZA RM Equity"</f>
        <v>GAZA RM Equity</v>
      </c>
      <c r="C100" t="str">
        <f t="shared" si="6"/>
        <v>EZ021</v>
      </c>
      <c r="D100" t="str">
        <f t="shared" si="7"/>
        <v>BEST_EPS_NXT_YR</v>
      </c>
      <c r="E100" t="str">
        <f t="shared" si="8"/>
        <v>Dynamic</v>
      </c>
      <c r="F100" t="str">
        <f ca="1">IF(AND(ISNUMBER($F$607),$B$511=1),$F$607,HLOOKUP(INDIRECT(ADDRESS(2,COLUMN())),OFFSET($BN$2,0,0,ROW()-1,60),ROW()-1,FALSE))</f>
        <v/>
      </c>
      <c r="G100" t="str">
        <f ca="1">IF(AND(ISNUMBER($G$607),$B$511=1),$G$607,HLOOKUP(INDIRECT(ADDRESS(2,COLUMN())),OFFSET($BN$2,0,0,ROW()-1,60),ROW()-1,FALSE))</f>
        <v/>
      </c>
      <c r="H100" t="str">
        <f ca="1">IF(AND(ISNUMBER($H$607),$B$511=1),$H$607,HLOOKUP(INDIRECT(ADDRESS(2,COLUMN())),OFFSET($BN$2,0,0,ROW()-1,60),ROW()-1,FALSE))</f>
        <v/>
      </c>
      <c r="I100" t="str">
        <f ca="1">IF(AND(ISNUMBER($I$607),$B$511=1),$I$607,HLOOKUP(INDIRECT(ADDRESS(2,COLUMN())),OFFSET($BN$2,0,0,ROW()-1,60),ROW()-1,FALSE))</f>
        <v/>
      </c>
      <c r="J100" t="str">
        <f ca="1">IF(AND(ISNUMBER($J$607),$B$511=1),$J$607,HLOOKUP(INDIRECT(ADDRESS(2,COLUMN())),OFFSET($BN$2,0,0,ROW()-1,60),ROW()-1,FALSE))</f>
        <v/>
      </c>
      <c r="K100" t="str">
        <f ca="1">IF(AND(ISNUMBER($K$607),$B$511=1),$K$607,HLOOKUP(INDIRECT(ADDRESS(2,COLUMN())),OFFSET($BN$2,0,0,ROW()-1,60),ROW()-1,FALSE))</f>
        <v/>
      </c>
      <c r="L100" t="str">
        <f ca="1">IF(AND(ISNUMBER($L$607),$B$511=1),$L$607,HLOOKUP(INDIRECT(ADDRESS(2,COLUMN())),OFFSET($BN$2,0,0,ROW()-1,60),ROW()-1,FALSE))</f>
        <v/>
      </c>
      <c r="M100" t="str">
        <f ca="1">IF(AND(ISNUMBER($M$607),$B$511=1),$M$607,HLOOKUP(INDIRECT(ADDRESS(2,COLUMN())),OFFSET($BN$2,0,0,ROW()-1,60),ROW()-1,FALSE))</f>
        <v/>
      </c>
      <c r="N100" t="str">
        <f ca="1">IF(AND(ISNUMBER($N$607),$B$511=1),$N$607,HLOOKUP(INDIRECT(ADDRESS(2,COLUMN())),OFFSET($BN$2,0,0,ROW()-1,60),ROW()-1,FALSE))</f>
        <v/>
      </c>
      <c r="O100" t="str">
        <f ca="1">IF(AND(ISNUMBER($O$607),$B$511=1),$O$607,HLOOKUP(INDIRECT(ADDRESS(2,COLUMN())),OFFSET($BN$2,0,0,ROW()-1,60),ROW()-1,FALSE))</f>
        <v/>
      </c>
      <c r="P100" t="str">
        <f ca="1">IF(AND(ISNUMBER($P$607),$B$511=1),$P$607,HLOOKUP(INDIRECT(ADDRESS(2,COLUMN())),OFFSET($BN$2,0,0,ROW()-1,60),ROW()-1,FALSE))</f>
        <v/>
      </c>
      <c r="Q100" t="str">
        <f ca="1">IF(AND(ISNUMBER($Q$607),$B$511=1),$Q$607,HLOOKUP(INDIRECT(ADDRESS(2,COLUMN())),OFFSET($BN$2,0,0,ROW()-1,60),ROW()-1,FALSE))</f>
        <v/>
      </c>
      <c r="R100" t="str">
        <f ca="1">IF(AND(ISNUMBER($R$607),$B$511=1),$R$607,HLOOKUP(INDIRECT(ADDRESS(2,COLUMN())),OFFSET($BN$2,0,0,ROW()-1,60),ROW()-1,FALSE))</f>
        <v/>
      </c>
      <c r="S100" t="str">
        <f ca="1">IF(AND(ISNUMBER($S$607),$B$511=1),$S$607,HLOOKUP(INDIRECT(ADDRESS(2,COLUMN())),OFFSET($BN$2,0,0,ROW()-1,60),ROW()-1,FALSE))</f>
        <v/>
      </c>
      <c r="T100" t="str">
        <f ca="1">IF(AND(ISNUMBER($T$607),$B$511=1),$T$607,HLOOKUP(INDIRECT(ADDRESS(2,COLUMN())),OFFSET($BN$2,0,0,ROW()-1,60),ROW()-1,FALSE))</f>
        <v/>
      </c>
      <c r="U100" t="str">
        <f ca="1">IF(AND(ISNUMBER($U$607),$B$511=1),$U$607,HLOOKUP(INDIRECT(ADDRESS(2,COLUMN())),OFFSET($BN$2,0,0,ROW()-1,60),ROW()-1,FALSE))</f>
        <v/>
      </c>
      <c r="V100" t="str">
        <f ca="1">IF(AND(ISNUMBER($V$607),$B$511=1),$V$607,HLOOKUP(INDIRECT(ADDRESS(2,COLUMN())),OFFSET($BN$2,0,0,ROW()-1,60),ROW()-1,FALSE))</f>
        <v/>
      </c>
      <c r="W100" t="str">
        <f ca="1">IF(AND(ISNUMBER($W$607),$B$511=1),$W$607,HLOOKUP(INDIRECT(ADDRESS(2,COLUMN())),OFFSET($BN$2,0,0,ROW()-1,60),ROW()-1,FALSE))</f>
        <v/>
      </c>
      <c r="X100" t="str">
        <f ca="1">IF(AND(ISNUMBER($X$607),$B$511=1),$X$607,HLOOKUP(INDIRECT(ADDRESS(2,COLUMN())),OFFSET($BN$2,0,0,ROW()-1,60),ROW()-1,FALSE))</f>
        <v/>
      </c>
      <c r="Y100" t="str">
        <f ca="1">IF(AND(ISNUMBER($Y$607),$B$511=1),$Y$607,HLOOKUP(INDIRECT(ADDRESS(2,COLUMN())),OFFSET($BN$2,0,0,ROW()-1,60),ROW()-1,FALSE))</f>
        <v/>
      </c>
      <c r="Z100" t="str">
        <f ca="1">IF(AND(ISNUMBER($Z$607),$B$511=1),$Z$607,HLOOKUP(INDIRECT(ADDRESS(2,COLUMN())),OFFSET($BN$2,0,0,ROW()-1,60),ROW()-1,FALSE))</f>
        <v/>
      </c>
      <c r="AA100" t="str">
        <f ca="1">IF(AND(ISNUMBER($AA$607),$B$511=1),$AA$607,HLOOKUP(INDIRECT(ADDRESS(2,COLUMN())),OFFSET($BN$2,0,0,ROW()-1,60),ROW()-1,FALSE))</f>
        <v/>
      </c>
      <c r="AB100" t="str">
        <f ca="1">IF(AND(ISNUMBER($AB$607),$B$511=1),$AB$607,HLOOKUP(INDIRECT(ADDRESS(2,COLUMN())),OFFSET($BN$2,0,0,ROW()-1,60),ROW()-1,FALSE))</f>
        <v/>
      </c>
      <c r="AC100" t="str">
        <f ca="1">IF(AND(ISNUMBER($AC$607),$B$511=1),$AC$607,HLOOKUP(INDIRECT(ADDRESS(2,COLUMN())),OFFSET($BN$2,0,0,ROW()-1,60),ROW()-1,FALSE))</f>
        <v/>
      </c>
      <c r="AD100" t="str">
        <f ca="1">IF(AND(ISNUMBER($AD$607),$B$511=1),$AD$607,HLOOKUP(INDIRECT(ADDRESS(2,COLUMN())),OFFSET($BN$2,0,0,ROW()-1,60),ROW()-1,FALSE))</f>
        <v/>
      </c>
      <c r="AE100" t="str">
        <f ca="1">IF(AND(ISNUMBER($AE$607),$B$511=1),$AE$607,HLOOKUP(INDIRECT(ADDRESS(2,COLUMN())),OFFSET($BN$2,0,0,ROW()-1,60),ROW()-1,FALSE))</f>
        <v/>
      </c>
      <c r="AF100" t="str">
        <f ca="1">IF(AND(ISNUMBER($AF$607),$B$511=1),$AF$607,HLOOKUP(INDIRECT(ADDRESS(2,COLUMN())),OFFSET($BN$2,0,0,ROW()-1,60),ROW()-1,FALSE))</f>
        <v/>
      </c>
      <c r="AG100" t="str">
        <f ca="1">IF(AND(ISNUMBER($AG$607),$B$511=1),$AG$607,HLOOKUP(INDIRECT(ADDRESS(2,COLUMN())),OFFSET($BN$2,0,0,ROW()-1,60),ROW()-1,FALSE))</f>
        <v/>
      </c>
      <c r="AH100" t="str">
        <f ca="1">IF(AND(ISNUMBER($AH$607),$B$511=1),$AH$607,HLOOKUP(INDIRECT(ADDRESS(2,COLUMN())),OFFSET($BN$2,0,0,ROW()-1,60),ROW()-1,FALSE))</f>
        <v/>
      </c>
      <c r="AI100" t="str">
        <f ca="1">IF(AND(ISNUMBER($AI$607),$B$511=1),$AI$607,HLOOKUP(INDIRECT(ADDRESS(2,COLUMN())),OFFSET($BN$2,0,0,ROW()-1,60),ROW()-1,FALSE))</f>
        <v/>
      </c>
      <c r="AJ100" t="str">
        <f ca="1">IF(AND(ISNUMBER($AJ$607),$B$511=1),$AJ$607,HLOOKUP(INDIRECT(ADDRESS(2,COLUMN())),OFFSET($BN$2,0,0,ROW()-1,60),ROW()-1,FALSE))</f>
        <v/>
      </c>
      <c r="AK100" t="str">
        <f ca="1">IF(AND(ISNUMBER($AK$607),$B$511=1),$AK$607,HLOOKUP(INDIRECT(ADDRESS(2,COLUMN())),OFFSET($BN$2,0,0,ROW()-1,60),ROW()-1,FALSE))</f>
        <v/>
      </c>
      <c r="AL100" t="str">
        <f ca="1">IF(AND(ISNUMBER($AL$607),$B$511=1),$AL$607,HLOOKUP(INDIRECT(ADDRESS(2,COLUMN())),OFFSET($BN$2,0,0,ROW()-1,60),ROW()-1,FALSE))</f>
        <v/>
      </c>
      <c r="AM100" t="str">
        <f ca="1">IF(AND(ISNUMBER($AM$607),$B$511=1),$AM$607,HLOOKUP(INDIRECT(ADDRESS(2,COLUMN())),OFFSET($BN$2,0,0,ROW()-1,60),ROW()-1,FALSE))</f>
        <v/>
      </c>
      <c r="AN100" t="str">
        <f ca="1">IF(AND(ISNUMBER($AN$607),$B$511=1),$AN$607,HLOOKUP(INDIRECT(ADDRESS(2,COLUMN())),OFFSET($BN$2,0,0,ROW()-1,60),ROW()-1,FALSE))</f>
        <v/>
      </c>
      <c r="AO100" t="str">
        <f ca="1">IF(AND(ISNUMBER($AO$607),$B$511=1),$AO$607,HLOOKUP(INDIRECT(ADDRESS(2,COLUMN())),OFFSET($BN$2,0,0,ROW()-1,60),ROW()-1,FALSE))</f>
        <v/>
      </c>
      <c r="AP100" t="str">
        <f ca="1">IF(AND(ISNUMBER($AP$607),$B$511=1),$AP$607,HLOOKUP(INDIRECT(ADDRESS(2,COLUMN())),OFFSET($BN$2,0,0,ROW()-1,60),ROW()-1,FALSE))</f>
        <v/>
      </c>
      <c r="AQ100" t="str">
        <f ca="1">IF(AND(ISNUMBER($AQ$607),$B$511=1),$AQ$607,HLOOKUP(INDIRECT(ADDRESS(2,COLUMN())),OFFSET($BN$2,0,0,ROW()-1,60),ROW()-1,FALSE))</f>
        <v/>
      </c>
      <c r="AR100" t="str">
        <f ca="1">IF(AND(ISNUMBER($AR$607),$B$511=1),$AR$607,HLOOKUP(INDIRECT(ADDRESS(2,COLUMN())),OFFSET($BN$2,0,0,ROW()-1,60),ROW()-1,FALSE))</f>
        <v/>
      </c>
      <c r="AS100" t="str">
        <f ca="1">IF(AND(ISNUMBER($AS$607),$B$511=1),$AS$607,HLOOKUP(INDIRECT(ADDRESS(2,COLUMN())),OFFSET($BN$2,0,0,ROW()-1,60),ROW()-1,FALSE))</f>
        <v/>
      </c>
      <c r="AT100" t="str">
        <f ca="1">IF(AND(ISNUMBER($AT$607),$B$511=1),$AT$607,HLOOKUP(INDIRECT(ADDRESS(2,COLUMN())),OFFSET($BN$2,0,0,ROW()-1,60),ROW()-1,FALSE))</f>
        <v/>
      </c>
      <c r="AU100" t="str">
        <f ca="1">IF(AND(ISNUMBER($AU$607),$B$511=1),$AU$607,HLOOKUP(INDIRECT(ADDRESS(2,COLUMN())),OFFSET($BN$2,0,0,ROW()-1,60),ROW()-1,FALSE))</f>
        <v/>
      </c>
      <c r="AV100" t="str">
        <f ca="1">IF(AND(ISNUMBER($AV$607),$B$511=1),$AV$607,HLOOKUP(INDIRECT(ADDRESS(2,COLUMN())),OFFSET($BN$2,0,0,ROW()-1,60),ROW()-1,FALSE))</f>
        <v/>
      </c>
      <c r="AW100" t="str">
        <f ca="1">IF(AND(ISNUMBER($AW$607),$B$511=1),$AW$607,HLOOKUP(INDIRECT(ADDRESS(2,COLUMN())),OFFSET($BN$2,0,0,ROW()-1,60),ROW()-1,FALSE))</f>
        <v/>
      </c>
      <c r="AX100" t="str">
        <f ca="1">IF(AND(ISNUMBER($AX$607),$B$511=1),$AX$607,HLOOKUP(INDIRECT(ADDRESS(2,COLUMN())),OFFSET($BN$2,0,0,ROW()-1,60),ROW()-1,FALSE))</f>
        <v/>
      </c>
      <c r="AY100" t="str">
        <f ca="1">IF(AND(ISNUMBER($AY$607),$B$511=1),$AY$607,HLOOKUP(INDIRECT(ADDRESS(2,COLUMN())),OFFSET($BN$2,0,0,ROW()-1,60),ROW()-1,FALSE))</f>
        <v/>
      </c>
      <c r="AZ100" t="str">
        <f ca="1">IF(AND(ISNUMBER($AZ$607),$B$511=1),$AZ$607,HLOOKUP(INDIRECT(ADDRESS(2,COLUMN())),OFFSET($BN$2,0,0,ROW()-1,60),ROW()-1,FALSE))</f>
        <v/>
      </c>
      <c r="BA100" t="str">
        <f ca="1">IF(AND(ISNUMBER($BA$607),$B$511=1),$BA$607,HLOOKUP(INDIRECT(ADDRESS(2,COLUMN())),OFFSET($BN$2,0,0,ROW()-1,60),ROW()-1,FALSE))</f>
        <v/>
      </c>
      <c r="BB100" t="str">
        <f ca="1">IF(AND(ISNUMBER($BB$607),$B$511=1),$BB$607,HLOOKUP(INDIRECT(ADDRESS(2,COLUMN())),OFFSET($BN$2,0,0,ROW()-1,60),ROW()-1,FALSE))</f>
        <v/>
      </c>
      <c r="BC100" t="str">
        <f ca="1">IF(AND(ISNUMBER($BC$607),$B$511=1),$BC$607,HLOOKUP(INDIRECT(ADDRESS(2,COLUMN())),OFFSET($BN$2,0,0,ROW()-1,60),ROW()-1,FALSE))</f>
        <v/>
      </c>
      <c r="BD100" t="str">
        <f ca="1">IF(AND(ISNUMBER($BD$607),$B$511=1),$BD$607,HLOOKUP(INDIRECT(ADDRESS(2,COLUMN())),OFFSET($BN$2,0,0,ROW()-1,60),ROW()-1,FALSE))</f>
        <v/>
      </c>
      <c r="BE100" t="str">
        <f ca="1">IF(AND(ISNUMBER($BE$607),$B$511=1),$BE$607,HLOOKUP(INDIRECT(ADDRESS(2,COLUMN())),OFFSET($BN$2,0,0,ROW()-1,60),ROW()-1,FALSE))</f>
        <v/>
      </c>
      <c r="BF100" t="str">
        <f ca="1">IF(AND(ISNUMBER($BF$607),$B$511=1),$BF$607,HLOOKUP(INDIRECT(ADDRESS(2,COLUMN())),OFFSET($BN$2,0,0,ROW()-1,60),ROW()-1,FALSE))</f>
        <v/>
      </c>
      <c r="BG100" t="str">
        <f ca="1">IF(AND(ISNUMBER($BG$607),$B$511=1),$BG$607,HLOOKUP(INDIRECT(ADDRESS(2,COLUMN())),OFFSET($BN$2,0,0,ROW()-1,60),ROW()-1,FALSE))</f>
        <v/>
      </c>
      <c r="BH100" t="str">
        <f ca="1">IF(AND(ISNUMBER($BH$607),$B$511=1),$BH$607,HLOOKUP(INDIRECT(ADDRESS(2,COLUMN())),OFFSET($BN$2,0,0,ROW()-1,60),ROW()-1,FALSE))</f>
        <v/>
      </c>
      <c r="BI100" t="str">
        <f ca="1">IF(AND(ISNUMBER($BI$607),$B$511=1),$BI$607,HLOOKUP(INDIRECT(ADDRESS(2,COLUMN())),OFFSET($BN$2,0,0,ROW()-1,60),ROW()-1,FALSE))</f>
        <v/>
      </c>
      <c r="BJ100" t="str">
        <f ca="1">IF(AND(ISNUMBER($BJ$607),$B$511=1),$BJ$607,HLOOKUP(INDIRECT(ADDRESS(2,COLUMN())),OFFSET($BN$2,0,0,ROW()-1,60),ROW()-1,FALSE))</f>
        <v/>
      </c>
      <c r="BK100" t="str">
        <f ca="1">IF(AND(ISNUMBER($BK$607),$B$511=1),$BK$607,HLOOKUP(INDIRECT(ADDRESS(2,COLUMN())),OFFSET($BN$2,0,0,ROW()-1,60),ROW()-1,FALSE))</f>
        <v/>
      </c>
      <c r="BL100" t="str">
        <f ca="1">IF(AND(ISNUMBER($BL$607),$B$511=1),$BL$607,HLOOKUP(INDIRECT(ADDRESS(2,COLUMN())),OFFSET($BN$2,0,0,ROW()-1,60),ROW()-1,FALSE))</f>
        <v/>
      </c>
      <c r="BM100" t="str">
        <f ca="1">IF(AND(ISNUMBER($BM$607),$B$511=1),$BM$607,HLOOKUP(INDIRECT(ADDRESS(2,COLUMN())),OFFSET($BN$2,0,0,ROW()-1,60),ROW()-1,FALSE))</f>
        <v/>
      </c>
      <c r="BN100" t="str">
        <f>""</f>
        <v/>
      </c>
      <c r="BO100" t="str">
        <f>""</f>
        <v/>
      </c>
      <c r="BP100" t="str">
        <f>""</f>
        <v/>
      </c>
      <c r="BQ100" t="str">
        <f>""</f>
        <v/>
      </c>
      <c r="BR100" t="str">
        <f>""</f>
        <v/>
      </c>
      <c r="BS100" t="str">
        <f>""</f>
        <v/>
      </c>
      <c r="BT100" t="str">
        <f>""</f>
        <v/>
      </c>
      <c r="BU100" t="str">
        <f>""</f>
        <v/>
      </c>
      <c r="BV100" t="str">
        <f>""</f>
        <v/>
      </c>
      <c r="BW100" t="str">
        <f>""</f>
        <v/>
      </c>
      <c r="BX100" t="str">
        <f>""</f>
        <v/>
      </c>
      <c r="BY100" t="str">
        <f>""</f>
        <v/>
      </c>
      <c r="BZ100" t="str">
        <f>""</f>
        <v/>
      </c>
      <c r="CA100" t="str">
        <f>""</f>
        <v/>
      </c>
      <c r="CB100" t="str">
        <f>""</f>
        <v/>
      </c>
      <c r="CC100" t="str">
        <f>""</f>
        <v/>
      </c>
      <c r="CD100" t="str">
        <f>""</f>
        <v/>
      </c>
      <c r="CE100" t="str">
        <f>""</f>
        <v/>
      </c>
      <c r="CF100" t="str">
        <f>""</f>
        <v/>
      </c>
      <c r="CG100" t="str">
        <f>""</f>
        <v/>
      </c>
      <c r="CH100" t="str">
        <f>""</f>
        <v/>
      </c>
      <c r="CI100" t="str">
        <f>""</f>
        <v/>
      </c>
      <c r="CJ100" t="str">
        <f>""</f>
        <v/>
      </c>
      <c r="CK100" t="str">
        <f>""</f>
        <v/>
      </c>
      <c r="CL100" t="str">
        <f>""</f>
        <v/>
      </c>
      <c r="CM100" t="str">
        <f>""</f>
        <v/>
      </c>
      <c r="CN100" t="str">
        <f>""</f>
        <v/>
      </c>
      <c r="CO100" t="str">
        <f>""</f>
        <v/>
      </c>
      <c r="CP100" t="str">
        <f>""</f>
        <v/>
      </c>
      <c r="CQ100" t="str">
        <f>""</f>
        <v/>
      </c>
      <c r="CR100" t="str">
        <f>""</f>
        <v/>
      </c>
      <c r="CS100" t="str">
        <f>""</f>
        <v/>
      </c>
      <c r="CT100" t="str">
        <f>""</f>
        <v/>
      </c>
      <c r="CU100" t="str">
        <f>""</f>
        <v/>
      </c>
      <c r="CV100" t="str">
        <f>""</f>
        <v/>
      </c>
      <c r="CW100" t="str">
        <f>""</f>
        <v/>
      </c>
      <c r="CX100" t="str">
        <f>""</f>
        <v/>
      </c>
      <c r="CY100" t="str">
        <f>""</f>
        <v/>
      </c>
      <c r="CZ100" t="str">
        <f>""</f>
        <v/>
      </c>
      <c r="DA100" t="str">
        <f>""</f>
        <v/>
      </c>
      <c r="DB100" t="str">
        <f>""</f>
        <v/>
      </c>
      <c r="DC100" t="str">
        <f>""</f>
        <v/>
      </c>
      <c r="DD100" t="str">
        <f>""</f>
        <v/>
      </c>
      <c r="DE100" t="str">
        <f>""</f>
        <v/>
      </c>
      <c r="DF100" t="str">
        <f>""</f>
        <v/>
      </c>
      <c r="DG100" t="str">
        <f>""</f>
        <v/>
      </c>
      <c r="DH100" t="str">
        <f>""</f>
        <v/>
      </c>
      <c r="DI100" t="str">
        <f>""</f>
        <v/>
      </c>
      <c r="DJ100" t="str">
        <f>""</f>
        <v/>
      </c>
      <c r="DK100" t="str">
        <f>""</f>
        <v/>
      </c>
      <c r="DL100" t="str">
        <f>""</f>
        <v/>
      </c>
      <c r="DM100" t="str">
        <f>""</f>
        <v/>
      </c>
      <c r="DN100" t="str">
        <f>""</f>
        <v/>
      </c>
      <c r="DO100" t="str">
        <f>""</f>
        <v/>
      </c>
      <c r="DP100" t="str">
        <f>""</f>
        <v/>
      </c>
      <c r="DQ100" t="str">
        <f>""</f>
        <v/>
      </c>
      <c r="DR100" t="str">
        <f>""</f>
        <v/>
      </c>
      <c r="DS100" t="str">
        <f>""</f>
        <v/>
      </c>
      <c r="DT100" t="str">
        <f>""</f>
        <v/>
      </c>
      <c r="DU100" t="str">
        <f>""</f>
        <v/>
      </c>
    </row>
    <row r="101" spans="1:125" x14ac:dyDescent="0.25">
      <c r="A101" t="str">
        <f>"    Geely Automobile Holdings Ltd"</f>
        <v xml:space="preserve">    Geely Automobile Holdings Ltd</v>
      </c>
      <c r="B101" t="str">
        <f>"175 HK Equity"</f>
        <v>175 HK Equity</v>
      </c>
      <c r="C101" t="str">
        <f t="shared" si="6"/>
        <v>EZ021</v>
      </c>
      <c r="D101" t="str">
        <f t="shared" si="7"/>
        <v>BEST_EPS_NXT_YR</v>
      </c>
      <c r="E101" t="str">
        <f t="shared" si="8"/>
        <v>Dynamic</v>
      </c>
      <c r="F101">
        <f ca="1">IF(AND(ISNUMBER($F$608),$B$511=1),$F$608,HLOOKUP(INDIRECT(ADDRESS(2,COLUMN())),OFFSET($BN$2,0,0,ROW()-1,60),ROW()-1,FALSE))</f>
        <v>0.218</v>
      </c>
      <c r="G101">
        <f ca="1">IF(AND(ISNUMBER($G$608),$B$511=1),$G$608,HLOOKUP(INDIRECT(ADDRESS(2,COLUMN())),OFFSET($BN$2,0,0,ROW()-1,60),ROW()-1,FALSE))</f>
        <v>0.26500000000000001</v>
      </c>
      <c r="H101">
        <f ca="1">IF(AND(ISNUMBER($H$608),$B$511=1),$H$608,HLOOKUP(INDIRECT(ADDRESS(2,COLUMN())),OFFSET($BN$2,0,0,ROW()-1,60),ROW()-1,FALSE))</f>
        <v>0.27800000000000002</v>
      </c>
      <c r="I101">
        <f ca="1">IF(AND(ISNUMBER($I$608),$B$511=1),$I$608,HLOOKUP(INDIRECT(ADDRESS(2,COLUMN())),OFFSET($BN$2,0,0,ROW()-1,60),ROW()-1,FALSE))</f>
        <v>0.3</v>
      </c>
      <c r="J101">
        <f ca="1">IF(AND(ISNUMBER($J$608),$B$511=1),$J$608,HLOOKUP(INDIRECT(ADDRESS(2,COLUMN())),OFFSET($BN$2,0,0,ROW()-1,60),ROW()-1,FALSE))</f>
        <v>0.31</v>
      </c>
      <c r="K101">
        <f ca="1">IF(AND(ISNUMBER($K$608),$B$511=1),$K$608,HLOOKUP(INDIRECT(ADDRESS(2,COLUMN())),OFFSET($BN$2,0,0,ROW()-1,60),ROW()-1,FALSE))</f>
        <v>0.28799999999999998</v>
      </c>
      <c r="L101">
        <f ca="1">IF(AND(ISNUMBER($L$608),$B$511=1),$L$608,HLOOKUP(INDIRECT(ADDRESS(2,COLUMN())),OFFSET($BN$2,0,0,ROW()-1,60),ROW()-1,FALSE))</f>
        <v>0.245</v>
      </c>
      <c r="M101">
        <f ca="1">IF(AND(ISNUMBER($M$608),$B$511=1),$M$608,HLOOKUP(INDIRECT(ADDRESS(2,COLUMN())),OFFSET($BN$2,0,0,ROW()-1,60),ROW()-1,FALSE))</f>
        <v>0.20499999999999999</v>
      </c>
      <c r="N101">
        <f ca="1">IF(AND(ISNUMBER($N$608),$B$511=1),$N$608,HLOOKUP(INDIRECT(ADDRESS(2,COLUMN())),OFFSET($BN$2,0,0,ROW()-1,60),ROW()-1,FALSE))</f>
        <v>0.186</v>
      </c>
      <c r="O101">
        <f ca="1">IF(AND(ISNUMBER($O$608),$B$511=1),$O$608,HLOOKUP(INDIRECT(ADDRESS(2,COLUMN())),OFFSET($BN$2,0,0,ROW()-1,60),ROW()-1,FALSE))</f>
        <v>6.2E-2</v>
      </c>
      <c r="P101">
        <f ca="1">IF(AND(ISNUMBER($P$608),$B$511=1),$P$608,HLOOKUP(INDIRECT(ADDRESS(2,COLUMN())),OFFSET($BN$2,0,0,ROW()-1,60),ROW()-1,FALSE))</f>
        <v>6.3E-2</v>
      </c>
      <c r="Q101" t="str">
        <f ca="1">IF(AND(ISNUMBER($Q$608),$B$511=1),$Q$608,HLOOKUP(INDIRECT(ADDRESS(2,COLUMN())),OFFSET($BN$2,0,0,ROW()-1,60),ROW()-1,FALSE))</f>
        <v/>
      </c>
      <c r="R101" t="str">
        <f ca="1">IF(AND(ISNUMBER($R$608),$B$511=1),$R$608,HLOOKUP(INDIRECT(ADDRESS(2,COLUMN())),OFFSET($BN$2,0,0,ROW()-1,60),ROW()-1,FALSE))</f>
        <v/>
      </c>
      <c r="S101" t="str">
        <f ca="1">IF(AND(ISNUMBER($S$608),$B$511=1),$S$608,HLOOKUP(INDIRECT(ADDRESS(2,COLUMN())),OFFSET($BN$2,0,0,ROW()-1,60),ROW()-1,FALSE))</f>
        <v/>
      </c>
      <c r="T101" t="str">
        <f ca="1">IF(AND(ISNUMBER($T$608),$B$511=1),$T$608,HLOOKUP(INDIRECT(ADDRESS(2,COLUMN())),OFFSET($BN$2,0,0,ROW()-1,60),ROW()-1,FALSE))</f>
        <v/>
      </c>
      <c r="U101" t="str">
        <f ca="1">IF(AND(ISNUMBER($U$608),$B$511=1),$U$608,HLOOKUP(INDIRECT(ADDRESS(2,COLUMN())),OFFSET($BN$2,0,0,ROW()-1,60),ROW()-1,FALSE))</f>
        <v/>
      </c>
      <c r="V101" t="str">
        <f ca="1">IF(AND(ISNUMBER($V$608),$B$511=1),$V$608,HLOOKUP(INDIRECT(ADDRESS(2,COLUMN())),OFFSET($BN$2,0,0,ROW()-1,60),ROW()-1,FALSE))</f>
        <v/>
      </c>
      <c r="W101" t="str">
        <f ca="1">IF(AND(ISNUMBER($W$608),$B$511=1),$W$608,HLOOKUP(INDIRECT(ADDRESS(2,COLUMN())),OFFSET($BN$2,0,0,ROW()-1,60),ROW()-1,FALSE))</f>
        <v/>
      </c>
      <c r="X101" t="str">
        <f ca="1">IF(AND(ISNUMBER($X$608),$B$511=1),$X$608,HLOOKUP(INDIRECT(ADDRESS(2,COLUMN())),OFFSET($BN$2,0,0,ROW()-1,60),ROW()-1,FALSE))</f>
        <v/>
      </c>
      <c r="Y101" t="str">
        <f ca="1">IF(AND(ISNUMBER($Y$608),$B$511=1),$Y$608,HLOOKUP(INDIRECT(ADDRESS(2,COLUMN())),OFFSET($BN$2,0,0,ROW()-1,60),ROW()-1,FALSE))</f>
        <v/>
      </c>
      <c r="Z101" t="str">
        <f ca="1">IF(AND(ISNUMBER($Z$608),$B$511=1),$Z$608,HLOOKUP(INDIRECT(ADDRESS(2,COLUMN())),OFFSET($BN$2,0,0,ROW()-1,60),ROW()-1,FALSE))</f>
        <v/>
      </c>
      <c r="AA101" t="str">
        <f ca="1">IF(AND(ISNUMBER($AA$608),$B$511=1),$AA$608,HLOOKUP(INDIRECT(ADDRESS(2,COLUMN())),OFFSET($BN$2,0,0,ROW()-1,60),ROW()-1,FALSE))</f>
        <v/>
      </c>
      <c r="AB101" t="str">
        <f ca="1">IF(AND(ISNUMBER($AB$608),$B$511=1),$AB$608,HLOOKUP(INDIRECT(ADDRESS(2,COLUMN())),OFFSET($BN$2,0,0,ROW()-1,60),ROW()-1,FALSE))</f>
        <v/>
      </c>
      <c r="AC101" t="str">
        <f ca="1">IF(AND(ISNUMBER($AC$608),$B$511=1),$AC$608,HLOOKUP(INDIRECT(ADDRESS(2,COLUMN())),OFFSET($BN$2,0,0,ROW()-1,60),ROW()-1,FALSE))</f>
        <v/>
      </c>
      <c r="AD101" t="str">
        <f ca="1">IF(AND(ISNUMBER($AD$608),$B$511=1),$AD$608,HLOOKUP(INDIRECT(ADDRESS(2,COLUMN())),OFFSET($BN$2,0,0,ROW()-1,60),ROW()-1,FALSE))</f>
        <v/>
      </c>
      <c r="AE101" t="str">
        <f ca="1">IF(AND(ISNUMBER($AE$608),$B$511=1),$AE$608,HLOOKUP(INDIRECT(ADDRESS(2,COLUMN())),OFFSET($BN$2,0,0,ROW()-1,60),ROW()-1,FALSE))</f>
        <v/>
      </c>
      <c r="AF101" t="str">
        <f ca="1">IF(AND(ISNUMBER($AF$608),$B$511=1),$AF$608,HLOOKUP(INDIRECT(ADDRESS(2,COLUMN())),OFFSET($BN$2,0,0,ROW()-1,60),ROW()-1,FALSE))</f>
        <v/>
      </c>
      <c r="AG101" t="str">
        <f ca="1">IF(AND(ISNUMBER($AG$608),$B$511=1),$AG$608,HLOOKUP(INDIRECT(ADDRESS(2,COLUMN())),OFFSET($BN$2,0,0,ROW()-1,60),ROW()-1,FALSE))</f>
        <v/>
      </c>
      <c r="AH101" t="str">
        <f ca="1">IF(AND(ISNUMBER($AH$608),$B$511=1),$AH$608,HLOOKUP(INDIRECT(ADDRESS(2,COLUMN())),OFFSET($BN$2,0,0,ROW()-1,60),ROW()-1,FALSE))</f>
        <v/>
      </c>
      <c r="AI101" t="str">
        <f ca="1">IF(AND(ISNUMBER($AI$608),$B$511=1),$AI$608,HLOOKUP(INDIRECT(ADDRESS(2,COLUMN())),OFFSET($BN$2,0,0,ROW()-1,60),ROW()-1,FALSE))</f>
        <v/>
      </c>
      <c r="AJ101" t="str">
        <f ca="1">IF(AND(ISNUMBER($AJ$608),$B$511=1),$AJ$608,HLOOKUP(INDIRECT(ADDRESS(2,COLUMN())),OFFSET($BN$2,0,0,ROW()-1,60),ROW()-1,FALSE))</f>
        <v/>
      </c>
      <c r="AK101" t="str">
        <f ca="1">IF(AND(ISNUMBER($AK$608),$B$511=1),$AK$608,HLOOKUP(INDIRECT(ADDRESS(2,COLUMN())),OFFSET($BN$2,0,0,ROW()-1,60),ROW()-1,FALSE))</f>
        <v/>
      </c>
      <c r="AL101" t="str">
        <f ca="1">IF(AND(ISNUMBER($AL$608),$B$511=1),$AL$608,HLOOKUP(INDIRECT(ADDRESS(2,COLUMN())),OFFSET($BN$2,0,0,ROW()-1,60),ROW()-1,FALSE))</f>
        <v/>
      </c>
      <c r="AM101" t="str">
        <f ca="1">IF(AND(ISNUMBER($AM$608),$B$511=1),$AM$608,HLOOKUP(INDIRECT(ADDRESS(2,COLUMN())),OFFSET($BN$2,0,0,ROW()-1,60),ROW()-1,FALSE))</f>
        <v/>
      </c>
      <c r="AN101" t="str">
        <f ca="1">IF(AND(ISNUMBER($AN$608),$B$511=1),$AN$608,HLOOKUP(INDIRECT(ADDRESS(2,COLUMN())),OFFSET($BN$2,0,0,ROW()-1,60),ROW()-1,FALSE))</f>
        <v/>
      </c>
      <c r="AO101" t="str">
        <f ca="1">IF(AND(ISNUMBER($AO$608),$B$511=1),$AO$608,HLOOKUP(INDIRECT(ADDRESS(2,COLUMN())),OFFSET($BN$2,0,0,ROW()-1,60),ROW()-1,FALSE))</f>
        <v/>
      </c>
      <c r="AP101" t="str">
        <f ca="1">IF(AND(ISNUMBER($AP$608),$B$511=1),$AP$608,HLOOKUP(INDIRECT(ADDRESS(2,COLUMN())),OFFSET($BN$2,0,0,ROW()-1,60),ROW()-1,FALSE))</f>
        <v/>
      </c>
      <c r="AQ101" t="str">
        <f ca="1">IF(AND(ISNUMBER($AQ$608),$B$511=1),$AQ$608,HLOOKUP(INDIRECT(ADDRESS(2,COLUMN())),OFFSET($BN$2,0,0,ROW()-1,60),ROW()-1,FALSE))</f>
        <v/>
      </c>
      <c r="AR101" t="str">
        <f ca="1">IF(AND(ISNUMBER($AR$608),$B$511=1),$AR$608,HLOOKUP(INDIRECT(ADDRESS(2,COLUMN())),OFFSET($BN$2,0,0,ROW()-1,60),ROW()-1,FALSE))</f>
        <v/>
      </c>
      <c r="AS101" t="str">
        <f ca="1">IF(AND(ISNUMBER($AS$608),$B$511=1),$AS$608,HLOOKUP(INDIRECT(ADDRESS(2,COLUMN())),OFFSET($BN$2,0,0,ROW()-1,60),ROW()-1,FALSE))</f>
        <v/>
      </c>
      <c r="AT101" t="str">
        <f ca="1">IF(AND(ISNUMBER($AT$608),$B$511=1),$AT$608,HLOOKUP(INDIRECT(ADDRESS(2,COLUMN())),OFFSET($BN$2,0,0,ROW()-1,60),ROW()-1,FALSE))</f>
        <v/>
      </c>
      <c r="AU101" t="str">
        <f ca="1">IF(AND(ISNUMBER($AU$608),$B$511=1),$AU$608,HLOOKUP(INDIRECT(ADDRESS(2,COLUMN())),OFFSET($BN$2,0,0,ROW()-1,60),ROW()-1,FALSE))</f>
        <v/>
      </c>
      <c r="AV101" t="str">
        <f ca="1">IF(AND(ISNUMBER($AV$608),$B$511=1),$AV$608,HLOOKUP(INDIRECT(ADDRESS(2,COLUMN())),OFFSET($BN$2,0,0,ROW()-1,60),ROW()-1,FALSE))</f>
        <v/>
      </c>
      <c r="AW101" t="str">
        <f ca="1">IF(AND(ISNUMBER($AW$608),$B$511=1),$AW$608,HLOOKUP(INDIRECT(ADDRESS(2,COLUMN())),OFFSET($BN$2,0,0,ROW()-1,60),ROW()-1,FALSE))</f>
        <v/>
      </c>
      <c r="AX101" t="str">
        <f ca="1">IF(AND(ISNUMBER($AX$608),$B$511=1),$AX$608,HLOOKUP(INDIRECT(ADDRESS(2,COLUMN())),OFFSET($BN$2,0,0,ROW()-1,60),ROW()-1,FALSE))</f>
        <v/>
      </c>
      <c r="AY101" t="str">
        <f ca="1">IF(AND(ISNUMBER($AY$608),$B$511=1),$AY$608,HLOOKUP(INDIRECT(ADDRESS(2,COLUMN())),OFFSET($BN$2,0,0,ROW()-1,60),ROW()-1,FALSE))</f>
        <v/>
      </c>
      <c r="AZ101" t="str">
        <f ca="1">IF(AND(ISNUMBER($AZ$608),$B$511=1),$AZ$608,HLOOKUP(INDIRECT(ADDRESS(2,COLUMN())),OFFSET($BN$2,0,0,ROW()-1,60),ROW()-1,FALSE))</f>
        <v/>
      </c>
      <c r="BA101" t="str">
        <f ca="1">IF(AND(ISNUMBER($BA$608),$B$511=1),$BA$608,HLOOKUP(INDIRECT(ADDRESS(2,COLUMN())),OFFSET($BN$2,0,0,ROW()-1,60),ROW()-1,FALSE))</f>
        <v/>
      </c>
      <c r="BB101" t="str">
        <f ca="1">IF(AND(ISNUMBER($BB$608),$B$511=1),$BB$608,HLOOKUP(INDIRECT(ADDRESS(2,COLUMN())),OFFSET($BN$2,0,0,ROW()-1,60),ROW()-1,FALSE))</f>
        <v/>
      </c>
      <c r="BC101" t="str">
        <f ca="1">IF(AND(ISNUMBER($BC$608),$B$511=1),$BC$608,HLOOKUP(INDIRECT(ADDRESS(2,COLUMN())),OFFSET($BN$2,0,0,ROW()-1,60),ROW()-1,FALSE))</f>
        <v/>
      </c>
      <c r="BD101" t="str">
        <f ca="1">IF(AND(ISNUMBER($BD$608),$B$511=1),$BD$608,HLOOKUP(INDIRECT(ADDRESS(2,COLUMN())),OFFSET($BN$2,0,0,ROW()-1,60),ROW()-1,FALSE))</f>
        <v/>
      </c>
      <c r="BE101" t="str">
        <f ca="1">IF(AND(ISNUMBER($BE$608),$B$511=1),$BE$608,HLOOKUP(INDIRECT(ADDRESS(2,COLUMN())),OFFSET($BN$2,0,0,ROW()-1,60),ROW()-1,FALSE))</f>
        <v/>
      </c>
      <c r="BF101" t="str">
        <f ca="1">IF(AND(ISNUMBER($BF$608),$B$511=1),$BF$608,HLOOKUP(INDIRECT(ADDRESS(2,COLUMN())),OFFSET($BN$2,0,0,ROW()-1,60),ROW()-1,FALSE))</f>
        <v/>
      </c>
      <c r="BG101" t="str">
        <f ca="1">IF(AND(ISNUMBER($BG$608),$B$511=1),$BG$608,HLOOKUP(INDIRECT(ADDRESS(2,COLUMN())),OFFSET($BN$2,0,0,ROW()-1,60),ROW()-1,FALSE))</f>
        <v/>
      </c>
      <c r="BH101" t="str">
        <f ca="1">IF(AND(ISNUMBER($BH$608),$B$511=1),$BH$608,HLOOKUP(INDIRECT(ADDRESS(2,COLUMN())),OFFSET($BN$2,0,0,ROW()-1,60),ROW()-1,FALSE))</f>
        <v/>
      </c>
      <c r="BI101" t="str">
        <f ca="1">IF(AND(ISNUMBER($BI$608),$B$511=1),$BI$608,HLOOKUP(INDIRECT(ADDRESS(2,COLUMN())),OFFSET($BN$2,0,0,ROW()-1,60),ROW()-1,FALSE))</f>
        <v/>
      </c>
      <c r="BJ101" t="str">
        <f ca="1">IF(AND(ISNUMBER($BJ$608),$B$511=1),$BJ$608,HLOOKUP(INDIRECT(ADDRESS(2,COLUMN())),OFFSET($BN$2,0,0,ROW()-1,60),ROW()-1,FALSE))</f>
        <v/>
      </c>
      <c r="BK101" t="str">
        <f ca="1">IF(AND(ISNUMBER($BK$608),$B$511=1),$BK$608,HLOOKUP(INDIRECT(ADDRESS(2,COLUMN())),OFFSET($BN$2,0,0,ROW()-1,60),ROW()-1,FALSE))</f>
        <v/>
      </c>
      <c r="BL101" t="str">
        <f ca="1">IF(AND(ISNUMBER($BL$608),$B$511=1),$BL$608,HLOOKUP(INDIRECT(ADDRESS(2,COLUMN())),OFFSET($BN$2,0,0,ROW()-1,60),ROW()-1,FALSE))</f>
        <v/>
      </c>
      <c r="BM101" t="str">
        <f ca="1">IF(AND(ISNUMBER($BM$608),$B$511=1),$BM$608,HLOOKUP(INDIRECT(ADDRESS(2,COLUMN())),OFFSET($BN$2,0,0,ROW()-1,60),ROW()-1,FALSE))</f>
        <v/>
      </c>
      <c r="BN101">
        <f>0.218</f>
        <v>0.218</v>
      </c>
      <c r="BO101">
        <f>0.265</f>
        <v>0.26500000000000001</v>
      </c>
      <c r="BP101">
        <f>0.278</f>
        <v>0.27800000000000002</v>
      </c>
      <c r="BQ101">
        <f>0.3</f>
        <v>0.3</v>
      </c>
      <c r="BR101">
        <f>0.31</f>
        <v>0.31</v>
      </c>
      <c r="BS101">
        <f>0.288</f>
        <v>0.28799999999999998</v>
      </c>
      <c r="BT101">
        <f>0.245</f>
        <v>0.245</v>
      </c>
      <c r="BU101">
        <f>0.205</f>
        <v>0.20499999999999999</v>
      </c>
      <c r="BV101">
        <f>0.186</f>
        <v>0.186</v>
      </c>
      <c r="BW101">
        <f>0.062</f>
        <v>6.2E-2</v>
      </c>
      <c r="BX101">
        <f>0.063</f>
        <v>6.3E-2</v>
      </c>
      <c r="BY101" t="str">
        <f>""</f>
        <v/>
      </c>
      <c r="BZ101" t="str">
        <f>""</f>
        <v/>
      </c>
      <c r="CA101" t="str">
        <f>""</f>
        <v/>
      </c>
      <c r="CB101" t="str">
        <f>""</f>
        <v/>
      </c>
      <c r="CC101" t="str">
        <f>""</f>
        <v/>
      </c>
      <c r="CD101" t="str">
        <f>""</f>
        <v/>
      </c>
      <c r="CE101" t="str">
        <f>""</f>
        <v/>
      </c>
      <c r="CF101" t="str">
        <f>""</f>
        <v/>
      </c>
      <c r="CG101" t="str">
        <f>""</f>
        <v/>
      </c>
      <c r="CH101" t="str">
        <f>""</f>
        <v/>
      </c>
      <c r="CI101" t="str">
        <f>""</f>
        <v/>
      </c>
      <c r="CJ101" t="str">
        <f>""</f>
        <v/>
      </c>
      <c r="CK101" t="str">
        <f>""</f>
        <v/>
      </c>
      <c r="CL101" t="str">
        <f>""</f>
        <v/>
      </c>
      <c r="CM101" t="str">
        <f>""</f>
        <v/>
      </c>
      <c r="CN101" t="str">
        <f>""</f>
        <v/>
      </c>
      <c r="CO101" t="str">
        <f>""</f>
        <v/>
      </c>
      <c r="CP101" t="str">
        <f>""</f>
        <v/>
      </c>
      <c r="CQ101" t="str">
        <f>""</f>
        <v/>
      </c>
      <c r="CR101" t="str">
        <f>""</f>
        <v/>
      </c>
      <c r="CS101" t="str">
        <f>""</f>
        <v/>
      </c>
      <c r="CT101" t="str">
        <f>""</f>
        <v/>
      </c>
      <c r="CU101" t="str">
        <f>""</f>
        <v/>
      </c>
      <c r="CV101" t="str">
        <f>""</f>
        <v/>
      </c>
      <c r="CW101" t="str">
        <f>""</f>
        <v/>
      </c>
      <c r="CX101" t="str">
        <f>""</f>
        <v/>
      </c>
      <c r="CY101" t="str">
        <f>""</f>
        <v/>
      </c>
      <c r="CZ101" t="str">
        <f>""</f>
        <v/>
      </c>
      <c r="DA101" t="str">
        <f>""</f>
        <v/>
      </c>
      <c r="DB101" t="str">
        <f>""</f>
        <v/>
      </c>
      <c r="DC101" t="str">
        <f>""</f>
        <v/>
      </c>
      <c r="DD101" t="str">
        <f>""</f>
        <v/>
      </c>
      <c r="DE101" t="str">
        <f>""</f>
        <v/>
      </c>
      <c r="DF101" t="str">
        <f>""</f>
        <v/>
      </c>
      <c r="DG101" t="str">
        <f>""</f>
        <v/>
      </c>
      <c r="DH101" t="str">
        <f>""</f>
        <v/>
      </c>
      <c r="DI101" t="str">
        <f>""</f>
        <v/>
      </c>
      <c r="DJ101" t="str">
        <f>""</f>
        <v/>
      </c>
      <c r="DK101" t="str">
        <f>""</f>
        <v/>
      </c>
      <c r="DL101" t="str">
        <f>""</f>
        <v/>
      </c>
      <c r="DM101" t="str">
        <f>""</f>
        <v/>
      </c>
      <c r="DN101" t="str">
        <f>""</f>
        <v/>
      </c>
      <c r="DO101" t="str">
        <f>""</f>
        <v/>
      </c>
      <c r="DP101" t="str">
        <f>""</f>
        <v/>
      </c>
      <c r="DQ101" t="str">
        <f>""</f>
        <v/>
      </c>
      <c r="DR101" t="str">
        <f>""</f>
        <v/>
      </c>
      <c r="DS101" t="str">
        <f>""</f>
        <v/>
      </c>
      <c r="DT101" t="str">
        <f>""</f>
        <v/>
      </c>
      <c r="DU101" t="str">
        <f>""</f>
        <v/>
      </c>
    </row>
    <row r="102" spans="1:125" x14ac:dyDescent="0.25">
      <c r="A102" t="str">
        <f>"    General Motors Co"</f>
        <v xml:space="preserve">    General Motors Co</v>
      </c>
      <c r="B102" t="str">
        <f>"GM US Equity"</f>
        <v>GM US Equity</v>
      </c>
      <c r="C102" t="str">
        <f t="shared" si="6"/>
        <v>EZ021</v>
      </c>
      <c r="D102" t="str">
        <f t="shared" si="7"/>
        <v>BEST_EPS_NXT_YR</v>
      </c>
      <c r="E102" t="str">
        <f t="shared" si="8"/>
        <v>Dynamic</v>
      </c>
      <c r="F102">
        <f ca="1">IF(AND(ISNUMBER($F$609),$B$511=1),$F$609,HLOOKUP(INDIRECT(ADDRESS(2,COLUMN())),OFFSET($BN$2,0,0,ROW()-1,60),ROW()-1,FALSE))</f>
        <v>6.32</v>
      </c>
      <c r="G102">
        <f ca="1">IF(AND(ISNUMBER($G$609),$B$511=1),$G$609,HLOOKUP(INDIRECT(ADDRESS(2,COLUMN())),OFFSET($BN$2,0,0,ROW()-1,60),ROW()-1,FALSE))</f>
        <v>5.9249999999999998</v>
      </c>
      <c r="H102">
        <f ca="1">IF(AND(ISNUMBER($H$609),$B$511=1),$H$609,HLOOKUP(INDIRECT(ADDRESS(2,COLUMN())),OFFSET($BN$2,0,0,ROW()-1,60),ROW()-1,FALSE))</f>
        <v>5.702</v>
      </c>
      <c r="I102">
        <f ca="1">IF(AND(ISNUMBER($I$609),$B$511=1),$I$609,HLOOKUP(INDIRECT(ADDRESS(2,COLUMN())),OFFSET($BN$2,0,0,ROW()-1,60),ROW()-1,FALSE))</f>
        <v>6.1779999999999999</v>
      </c>
      <c r="J102">
        <f ca="1">IF(AND(ISNUMBER($J$609),$B$511=1),$J$609,HLOOKUP(INDIRECT(ADDRESS(2,COLUMN())),OFFSET($BN$2,0,0,ROW()-1,60),ROW()-1,FALSE))</f>
        <v>6.0830000000000002</v>
      </c>
      <c r="K102">
        <f ca="1">IF(AND(ISNUMBER($K$609),$B$511=1),$K$609,HLOOKUP(INDIRECT(ADDRESS(2,COLUMN())),OFFSET($BN$2,0,0,ROW()-1,60),ROW()-1,FALSE))</f>
        <v>6.2869999999999999</v>
      </c>
      <c r="L102">
        <f ca="1">IF(AND(ISNUMBER($L$609),$B$511=1),$L$609,HLOOKUP(INDIRECT(ADDRESS(2,COLUMN())),OFFSET($BN$2,0,0,ROW()-1,60),ROW()-1,FALSE))</f>
        <v>5.6180000000000003</v>
      </c>
      <c r="M102">
        <f ca="1">IF(AND(ISNUMBER($M$609),$B$511=1),$M$609,HLOOKUP(INDIRECT(ADDRESS(2,COLUMN())),OFFSET($BN$2,0,0,ROW()-1,60),ROW()-1,FALSE))</f>
        <v>5.75</v>
      </c>
      <c r="N102">
        <f ca="1">IF(AND(ISNUMBER($N$609),$B$511=1),$N$609,HLOOKUP(INDIRECT(ADDRESS(2,COLUMN())),OFFSET($BN$2,0,0,ROW()-1,60),ROW()-1,FALSE))</f>
        <v>6.0350000000000001</v>
      </c>
      <c r="O102">
        <f ca="1">IF(AND(ISNUMBER($O$609),$B$511=1),$O$609,HLOOKUP(INDIRECT(ADDRESS(2,COLUMN())),OFFSET($BN$2,0,0,ROW()-1,60),ROW()-1,FALSE))</f>
        <v>5.4649999999999999</v>
      </c>
      <c r="P102">
        <f ca="1">IF(AND(ISNUMBER($P$609),$B$511=1),$P$609,HLOOKUP(INDIRECT(ADDRESS(2,COLUMN())),OFFSET($BN$2,0,0,ROW()-1,60),ROW()-1,FALSE))</f>
        <v>5.69</v>
      </c>
      <c r="Q102">
        <f ca="1">IF(AND(ISNUMBER($Q$609),$B$511=1),$Q$609,HLOOKUP(INDIRECT(ADDRESS(2,COLUMN())),OFFSET($BN$2,0,0,ROW()-1,60),ROW()-1,FALSE))</f>
        <v>5.85</v>
      </c>
      <c r="R102" t="str">
        <f ca="1">IF(AND(ISNUMBER($R$609),$B$511=1),$R$609,HLOOKUP(INDIRECT(ADDRESS(2,COLUMN())),OFFSET($BN$2,0,0,ROW()-1,60),ROW()-1,FALSE))</f>
        <v/>
      </c>
      <c r="S102">
        <f ca="1">IF(AND(ISNUMBER($S$609),$B$511=1),$S$609,HLOOKUP(INDIRECT(ADDRESS(2,COLUMN())),OFFSET($BN$2,0,0,ROW()-1,60),ROW()-1,FALSE))</f>
        <v>6.31</v>
      </c>
      <c r="T102" t="str">
        <f ca="1">IF(AND(ISNUMBER($T$609),$B$511=1),$T$609,HLOOKUP(INDIRECT(ADDRESS(2,COLUMN())),OFFSET($BN$2,0,0,ROW()-1,60),ROW()-1,FALSE))</f>
        <v/>
      </c>
      <c r="U102" t="str">
        <f ca="1">IF(AND(ISNUMBER($U$609),$B$511=1),$U$609,HLOOKUP(INDIRECT(ADDRESS(2,COLUMN())),OFFSET($BN$2,0,0,ROW()-1,60),ROW()-1,FALSE))</f>
        <v/>
      </c>
      <c r="V102" t="str">
        <f ca="1">IF(AND(ISNUMBER($V$609),$B$511=1),$V$609,HLOOKUP(INDIRECT(ADDRESS(2,COLUMN())),OFFSET($BN$2,0,0,ROW()-1,60),ROW()-1,FALSE))</f>
        <v/>
      </c>
      <c r="W102" t="str">
        <f ca="1">IF(AND(ISNUMBER($W$609),$B$511=1),$W$609,HLOOKUP(INDIRECT(ADDRESS(2,COLUMN())),OFFSET($BN$2,0,0,ROW()-1,60),ROW()-1,FALSE))</f>
        <v/>
      </c>
      <c r="X102" t="str">
        <f ca="1">IF(AND(ISNUMBER($X$609),$B$511=1),$X$609,HLOOKUP(INDIRECT(ADDRESS(2,COLUMN())),OFFSET($BN$2,0,0,ROW()-1,60),ROW()-1,FALSE))</f>
        <v/>
      </c>
      <c r="Y102" t="str">
        <f ca="1">IF(AND(ISNUMBER($Y$609),$B$511=1),$Y$609,HLOOKUP(INDIRECT(ADDRESS(2,COLUMN())),OFFSET($BN$2,0,0,ROW()-1,60),ROW()-1,FALSE))</f>
        <v/>
      </c>
      <c r="Z102" t="str">
        <f ca="1">IF(AND(ISNUMBER($Z$609),$B$511=1),$Z$609,HLOOKUP(INDIRECT(ADDRESS(2,COLUMN())),OFFSET($BN$2,0,0,ROW()-1,60),ROW()-1,FALSE))</f>
        <v/>
      </c>
      <c r="AA102" t="str">
        <f ca="1">IF(AND(ISNUMBER($AA$609),$B$511=1),$AA$609,HLOOKUP(INDIRECT(ADDRESS(2,COLUMN())),OFFSET($BN$2,0,0,ROW()-1,60),ROW()-1,FALSE))</f>
        <v/>
      </c>
      <c r="AB102" t="str">
        <f ca="1">IF(AND(ISNUMBER($AB$609),$B$511=1),$AB$609,HLOOKUP(INDIRECT(ADDRESS(2,COLUMN())),OFFSET($BN$2,0,0,ROW()-1,60),ROW()-1,FALSE))</f>
        <v/>
      </c>
      <c r="AC102" t="str">
        <f ca="1">IF(AND(ISNUMBER($AC$609),$B$511=1),$AC$609,HLOOKUP(INDIRECT(ADDRESS(2,COLUMN())),OFFSET($BN$2,0,0,ROW()-1,60),ROW()-1,FALSE))</f>
        <v/>
      </c>
      <c r="AD102" t="str">
        <f ca="1">IF(AND(ISNUMBER($AD$609),$B$511=1),$AD$609,HLOOKUP(INDIRECT(ADDRESS(2,COLUMN())),OFFSET($BN$2,0,0,ROW()-1,60),ROW()-1,FALSE))</f>
        <v/>
      </c>
      <c r="AE102" t="str">
        <f ca="1">IF(AND(ISNUMBER($AE$609),$B$511=1),$AE$609,HLOOKUP(INDIRECT(ADDRESS(2,COLUMN())),OFFSET($BN$2,0,0,ROW()-1,60),ROW()-1,FALSE))</f>
        <v/>
      </c>
      <c r="AF102" t="str">
        <f ca="1">IF(AND(ISNUMBER($AF$609),$B$511=1),$AF$609,HLOOKUP(INDIRECT(ADDRESS(2,COLUMN())),OFFSET($BN$2,0,0,ROW()-1,60),ROW()-1,FALSE))</f>
        <v/>
      </c>
      <c r="AG102" t="str">
        <f ca="1">IF(AND(ISNUMBER($AG$609),$B$511=1),$AG$609,HLOOKUP(INDIRECT(ADDRESS(2,COLUMN())),OFFSET($BN$2,0,0,ROW()-1,60),ROW()-1,FALSE))</f>
        <v/>
      </c>
      <c r="AH102" t="str">
        <f ca="1">IF(AND(ISNUMBER($AH$609),$B$511=1),$AH$609,HLOOKUP(INDIRECT(ADDRESS(2,COLUMN())),OFFSET($BN$2,0,0,ROW()-1,60),ROW()-1,FALSE))</f>
        <v/>
      </c>
      <c r="AI102" t="str">
        <f ca="1">IF(AND(ISNUMBER($AI$609),$B$511=1),$AI$609,HLOOKUP(INDIRECT(ADDRESS(2,COLUMN())),OFFSET($BN$2,0,0,ROW()-1,60),ROW()-1,FALSE))</f>
        <v/>
      </c>
      <c r="AJ102" t="str">
        <f ca="1">IF(AND(ISNUMBER($AJ$609),$B$511=1),$AJ$609,HLOOKUP(INDIRECT(ADDRESS(2,COLUMN())),OFFSET($BN$2,0,0,ROW()-1,60),ROW()-1,FALSE))</f>
        <v/>
      </c>
      <c r="AK102" t="str">
        <f ca="1">IF(AND(ISNUMBER($AK$609),$B$511=1),$AK$609,HLOOKUP(INDIRECT(ADDRESS(2,COLUMN())),OFFSET($BN$2,0,0,ROW()-1,60),ROW()-1,FALSE))</f>
        <v/>
      </c>
      <c r="AL102" t="str">
        <f ca="1">IF(AND(ISNUMBER($AL$609),$B$511=1),$AL$609,HLOOKUP(INDIRECT(ADDRESS(2,COLUMN())),OFFSET($BN$2,0,0,ROW()-1,60),ROW()-1,FALSE))</f>
        <v/>
      </c>
      <c r="AM102" t="str">
        <f ca="1">IF(AND(ISNUMBER($AM$609),$B$511=1),$AM$609,HLOOKUP(INDIRECT(ADDRESS(2,COLUMN())),OFFSET($BN$2,0,0,ROW()-1,60),ROW()-1,FALSE))</f>
        <v/>
      </c>
      <c r="AN102" t="str">
        <f ca="1">IF(AND(ISNUMBER($AN$609),$B$511=1),$AN$609,HLOOKUP(INDIRECT(ADDRESS(2,COLUMN())),OFFSET($BN$2,0,0,ROW()-1,60),ROW()-1,FALSE))</f>
        <v/>
      </c>
      <c r="AO102" t="str">
        <f ca="1">IF(AND(ISNUMBER($AO$609),$B$511=1),$AO$609,HLOOKUP(INDIRECT(ADDRESS(2,COLUMN())),OFFSET($BN$2,0,0,ROW()-1,60),ROW()-1,FALSE))</f>
        <v/>
      </c>
      <c r="AP102" t="str">
        <f ca="1">IF(AND(ISNUMBER($AP$609),$B$511=1),$AP$609,HLOOKUP(INDIRECT(ADDRESS(2,COLUMN())),OFFSET($BN$2,0,0,ROW()-1,60),ROW()-1,FALSE))</f>
        <v/>
      </c>
      <c r="AQ102" t="str">
        <f ca="1">IF(AND(ISNUMBER($AQ$609),$B$511=1),$AQ$609,HLOOKUP(INDIRECT(ADDRESS(2,COLUMN())),OFFSET($BN$2,0,0,ROW()-1,60),ROW()-1,FALSE))</f>
        <v/>
      </c>
      <c r="AR102" t="str">
        <f ca="1">IF(AND(ISNUMBER($AR$609),$B$511=1),$AR$609,HLOOKUP(INDIRECT(ADDRESS(2,COLUMN())),OFFSET($BN$2,0,0,ROW()-1,60),ROW()-1,FALSE))</f>
        <v/>
      </c>
      <c r="AS102" t="str">
        <f ca="1">IF(AND(ISNUMBER($AS$609),$B$511=1),$AS$609,HLOOKUP(INDIRECT(ADDRESS(2,COLUMN())),OFFSET($BN$2,0,0,ROW()-1,60),ROW()-1,FALSE))</f>
        <v/>
      </c>
      <c r="AT102" t="str">
        <f ca="1">IF(AND(ISNUMBER($AT$609),$B$511=1),$AT$609,HLOOKUP(INDIRECT(ADDRESS(2,COLUMN())),OFFSET($BN$2,0,0,ROW()-1,60),ROW()-1,FALSE))</f>
        <v/>
      </c>
      <c r="AU102" t="str">
        <f ca="1">IF(AND(ISNUMBER($AU$609),$B$511=1),$AU$609,HLOOKUP(INDIRECT(ADDRESS(2,COLUMN())),OFFSET($BN$2,0,0,ROW()-1,60),ROW()-1,FALSE))</f>
        <v/>
      </c>
      <c r="AV102" t="str">
        <f ca="1">IF(AND(ISNUMBER($AV$609),$B$511=1),$AV$609,HLOOKUP(INDIRECT(ADDRESS(2,COLUMN())),OFFSET($BN$2,0,0,ROW()-1,60),ROW()-1,FALSE))</f>
        <v/>
      </c>
      <c r="AW102" t="str">
        <f ca="1">IF(AND(ISNUMBER($AW$609),$B$511=1),$AW$609,HLOOKUP(INDIRECT(ADDRESS(2,COLUMN())),OFFSET($BN$2,0,0,ROW()-1,60),ROW()-1,FALSE))</f>
        <v/>
      </c>
      <c r="AX102" t="str">
        <f ca="1">IF(AND(ISNUMBER($AX$609),$B$511=1),$AX$609,HLOOKUP(INDIRECT(ADDRESS(2,COLUMN())),OFFSET($BN$2,0,0,ROW()-1,60),ROW()-1,FALSE))</f>
        <v/>
      </c>
      <c r="AY102" t="str">
        <f ca="1">IF(AND(ISNUMBER($AY$609),$B$511=1),$AY$609,HLOOKUP(INDIRECT(ADDRESS(2,COLUMN())),OFFSET($BN$2,0,0,ROW()-1,60),ROW()-1,FALSE))</f>
        <v/>
      </c>
      <c r="AZ102" t="str">
        <f ca="1">IF(AND(ISNUMBER($AZ$609),$B$511=1),$AZ$609,HLOOKUP(INDIRECT(ADDRESS(2,COLUMN())),OFFSET($BN$2,0,0,ROW()-1,60),ROW()-1,FALSE))</f>
        <v/>
      </c>
      <c r="BA102" t="str">
        <f ca="1">IF(AND(ISNUMBER($BA$609),$B$511=1),$BA$609,HLOOKUP(INDIRECT(ADDRESS(2,COLUMN())),OFFSET($BN$2,0,0,ROW()-1,60),ROW()-1,FALSE))</f>
        <v/>
      </c>
      <c r="BB102" t="str">
        <f ca="1">IF(AND(ISNUMBER($BB$609),$B$511=1),$BB$609,HLOOKUP(INDIRECT(ADDRESS(2,COLUMN())),OFFSET($BN$2,0,0,ROW()-1,60),ROW()-1,FALSE))</f>
        <v/>
      </c>
      <c r="BC102" t="str">
        <f ca="1">IF(AND(ISNUMBER($BC$609),$B$511=1),$BC$609,HLOOKUP(INDIRECT(ADDRESS(2,COLUMN())),OFFSET($BN$2,0,0,ROW()-1,60),ROW()-1,FALSE))</f>
        <v/>
      </c>
      <c r="BD102" t="str">
        <f ca="1">IF(AND(ISNUMBER($BD$609),$B$511=1),$BD$609,HLOOKUP(INDIRECT(ADDRESS(2,COLUMN())),OFFSET($BN$2,0,0,ROW()-1,60),ROW()-1,FALSE))</f>
        <v/>
      </c>
      <c r="BE102" t="str">
        <f ca="1">IF(AND(ISNUMBER($BE$609),$B$511=1),$BE$609,HLOOKUP(INDIRECT(ADDRESS(2,COLUMN())),OFFSET($BN$2,0,0,ROW()-1,60),ROW()-1,FALSE))</f>
        <v/>
      </c>
      <c r="BF102" t="str">
        <f ca="1">IF(AND(ISNUMBER($BF$609),$B$511=1),$BF$609,HLOOKUP(INDIRECT(ADDRESS(2,COLUMN())),OFFSET($BN$2,0,0,ROW()-1,60),ROW()-1,FALSE))</f>
        <v/>
      </c>
      <c r="BG102" t="str">
        <f ca="1">IF(AND(ISNUMBER($BG$609),$B$511=1),$BG$609,HLOOKUP(INDIRECT(ADDRESS(2,COLUMN())),OFFSET($BN$2,0,0,ROW()-1,60),ROW()-1,FALSE))</f>
        <v/>
      </c>
      <c r="BH102" t="str">
        <f ca="1">IF(AND(ISNUMBER($BH$609),$B$511=1),$BH$609,HLOOKUP(INDIRECT(ADDRESS(2,COLUMN())),OFFSET($BN$2,0,0,ROW()-1,60),ROW()-1,FALSE))</f>
        <v/>
      </c>
      <c r="BI102" t="str">
        <f ca="1">IF(AND(ISNUMBER($BI$609),$B$511=1),$BI$609,HLOOKUP(INDIRECT(ADDRESS(2,COLUMN())),OFFSET($BN$2,0,0,ROW()-1,60),ROW()-1,FALSE))</f>
        <v/>
      </c>
      <c r="BJ102" t="str">
        <f ca="1">IF(AND(ISNUMBER($BJ$609),$B$511=1),$BJ$609,HLOOKUP(INDIRECT(ADDRESS(2,COLUMN())),OFFSET($BN$2,0,0,ROW()-1,60),ROW()-1,FALSE))</f>
        <v/>
      </c>
      <c r="BK102" t="str">
        <f ca="1">IF(AND(ISNUMBER($BK$609),$B$511=1),$BK$609,HLOOKUP(INDIRECT(ADDRESS(2,COLUMN())),OFFSET($BN$2,0,0,ROW()-1,60),ROW()-1,FALSE))</f>
        <v/>
      </c>
      <c r="BL102" t="str">
        <f ca="1">IF(AND(ISNUMBER($BL$609),$B$511=1),$BL$609,HLOOKUP(INDIRECT(ADDRESS(2,COLUMN())),OFFSET($BN$2,0,0,ROW()-1,60),ROW()-1,FALSE))</f>
        <v/>
      </c>
      <c r="BM102" t="str">
        <f ca="1">IF(AND(ISNUMBER($BM$609),$B$511=1),$BM$609,HLOOKUP(INDIRECT(ADDRESS(2,COLUMN())),OFFSET($BN$2,0,0,ROW()-1,60),ROW()-1,FALSE))</f>
        <v/>
      </c>
      <c r="BN102">
        <f>6.32</f>
        <v>6.32</v>
      </c>
      <c r="BO102">
        <f>5.925</f>
        <v>5.9249999999999998</v>
      </c>
      <c r="BP102">
        <f>5.702</f>
        <v>5.702</v>
      </c>
      <c r="BQ102">
        <f>6.178</f>
        <v>6.1779999999999999</v>
      </c>
      <c r="BR102">
        <f>6.083</f>
        <v>6.0830000000000002</v>
      </c>
      <c r="BS102">
        <f>6.287</f>
        <v>6.2869999999999999</v>
      </c>
      <c r="BT102">
        <f>5.618</f>
        <v>5.6180000000000003</v>
      </c>
      <c r="BU102">
        <f>5.75</f>
        <v>5.75</v>
      </c>
      <c r="BV102">
        <f>6.035</f>
        <v>6.0350000000000001</v>
      </c>
      <c r="BW102">
        <f>5.465</f>
        <v>5.4649999999999999</v>
      </c>
      <c r="BX102">
        <f>5.69</f>
        <v>5.69</v>
      </c>
      <c r="BY102">
        <f>5.85</f>
        <v>5.85</v>
      </c>
      <c r="BZ102" t="str">
        <f>""</f>
        <v/>
      </c>
      <c r="CA102">
        <f>6.31</f>
        <v>6.31</v>
      </c>
      <c r="CB102" t="str">
        <f>""</f>
        <v/>
      </c>
      <c r="CC102" t="str">
        <f>""</f>
        <v/>
      </c>
      <c r="CD102" t="str">
        <f>""</f>
        <v/>
      </c>
      <c r="CE102" t="str">
        <f>""</f>
        <v/>
      </c>
      <c r="CF102" t="str">
        <f>""</f>
        <v/>
      </c>
      <c r="CG102" t="str">
        <f>""</f>
        <v/>
      </c>
      <c r="CH102" t="str">
        <f>""</f>
        <v/>
      </c>
      <c r="CI102" t="str">
        <f>""</f>
        <v/>
      </c>
      <c r="CJ102" t="str">
        <f>""</f>
        <v/>
      </c>
      <c r="CK102" t="str">
        <f>""</f>
        <v/>
      </c>
      <c r="CL102" t="str">
        <f>""</f>
        <v/>
      </c>
      <c r="CM102" t="str">
        <f>""</f>
        <v/>
      </c>
      <c r="CN102" t="str">
        <f>""</f>
        <v/>
      </c>
      <c r="CO102" t="str">
        <f>""</f>
        <v/>
      </c>
      <c r="CP102" t="str">
        <f>""</f>
        <v/>
      </c>
      <c r="CQ102" t="str">
        <f>""</f>
        <v/>
      </c>
      <c r="CR102" t="str">
        <f>""</f>
        <v/>
      </c>
      <c r="CS102" t="str">
        <f>""</f>
        <v/>
      </c>
      <c r="CT102" t="str">
        <f>""</f>
        <v/>
      </c>
      <c r="CU102" t="str">
        <f>""</f>
        <v/>
      </c>
      <c r="CV102" t="str">
        <f>""</f>
        <v/>
      </c>
      <c r="CW102" t="str">
        <f>""</f>
        <v/>
      </c>
      <c r="CX102" t="str">
        <f>""</f>
        <v/>
      </c>
      <c r="CY102" t="str">
        <f>""</f>
        <v/>
      </c>
      <c r="CZ102" t="str">
        <f>""</f>
        <v/>
      </c>
      <c r="DA102" t="str">
        <f>""</f>
        <v/>
      </c>
      <c r="DB102" t="str">
        <f>""</f>
        <v/>
      </c>
      <c r="DC102" t="str">
        <f>""</f>
        <v/>
      </c>
      <c r="DD102" t="str">
        <f>""</f>
        <v/>
      </c>
      <c r="DE102" t="str">
        <f>""</f>
        <v/>
      </c>
      <c r="DF102" t="str">
        <f>""</f>
        <v/>
      </c>
      <c r="DG102" t="str">
        <f>""</f>
        <v/>
      </c>
      <c r="DH102" t="str">
        <f>""</f>
        <v/>
      </c>
      <c r="DI102" t="str">
        <f>""</f>
        <v/>
      </c>
      <c r="DJ102" t="str">
        <f>""</f>
        <v/>
      </c>
      <c r="DK102" t="str">
        <f>""</f>
        <v/>
      </c>
      <c r="DL102" t="str">
        <f>""</f>
        <v/>
      </c>
      <c r="DM102" t="str">
        <f>""</f>
        <v/>
      </c>
      <c r="DN102" t="str">
        <f>""</f>
        <v/>
      </c>
      <c r="DO102" t="str">
        <f>""</f>
        <v/>
      </c>
      <c r="DP102" t="str">
        <f>""</f>
        <v/>
      </c>
      <c r="DQ102" t="str">
        <f>""</f>
        <v/>
      </c>
      <c r="DR102" t="str">
        <f>""</f>
        <v/>
      </c>
      <c r="DS102" t="str">
        <f>""</f>
        <v/>
      </c>
      <c r="DT102" t="str">
        <f>""</f>
        <v/>
      </c>
      <c r="DU102" t="str">
        <f>""</f>
        <v/>
      </c>
    </row>
    <row r="103" spans="1:125" x14ac:dyDescent="0.25">
      <c r="A103" t="str">
        <f>"    Great Wall Motor Co Ltd"</f>
        <v xml:space="preserve">    Great Wall Motor Co Ltd</v>
      </c>
      <c r="B103" t="str">
        <f>"2333 HK Equity"</f>
        <v>2333 HK Equity</v>
      </c>
      <c r="C103" t="str">
        <f t="shared" si="6"/>
        <v>EZ021</v>
      </c>
      <c r="D103" t="str">
        <f t="shared" si="7"/>
        <v>BEST_EPS_NXT_YR</v>
      </c>
      <c r="E103" t="str">
        <f t="shared" si="8"/>
        <v>Dynamic</v>
      </c>
      <c r="F103">
        <f ca="1">IF(AND(ISNUMBER($F$610),$B$511=1),$F$610,HLOOKUP(INDIRECT(ADDRESS(2,COLUMN())),OFFSET($BN$2,0,0,ROW()-1,60),ROW()-1,FALSE))</f>
        <v>8.7999999999999995E-2</v>
      </c>
      <c r="G103">
        <f ca="1">IF(AND(ISNUMBER($G$610),$B$511=1),$G$610,HLOOKUP(INDIRECT(ADDRESS(2,COLUMN())),OFFSET($BN$2,0,0,ROW()-1,60),ROW()-1,FALSE))</f>
        <v>8.6999999999999994E-2</v>
      </c>
      <c r="H103">
        <f ca="1">IF(AND(ISNUMBER($H$610),$B$511=1),$H$610,HLOOKUP(INDIRECT(ADDRESS(2,COLUMN())),OFFSET($BN$2,0,0,ROW()-1,60),ROW()-1,FALSE))</f>
        <v>0.11</v>
      </c>
      <c r="I103">
        <f ca="1">IF(AND(ISNUMBER($I$610),$B$511=1),$I$610,HLOOKUP(INDIRECT(ADDRESS(2,COLUMN())),OFFSET($BN$2,0,0,ROW()-1,60),ROW()-1,FALSE))</f>
        <v>0.14599999999999999</v>
      </c>
      <c r="J103">
        <f ca="1">IF(AND(ISNUMBER($J$610),$B$511=1),$J$610,HLOOKUP(INDIRECT(ADDRESS(2,COLUMN())),OFFSET($BN$2,0,0,ROW()-1,60),ROW()-1,FALSE))</f>
        <v>0.15</v>
      </c>
      <c r="K103">
        <f ca="1">IF(AND(ISNUMBER($K$610),$B$511=1),$K$610,HLOOKUP(INDIRECT(ADDRESS(2,COLUMN())),OFFSET($BN$2,0,0,ROW()-1,60),ROW()-1,FALSE))</f>
        <v>0.156</v>
      </c>
      <c r="L103">
        <f ca="1">IF(AND(ISNUMBER($L$610),$B$511=1),$L$610,HLOOKUP(INDIRECT(ADDRESS(2,COLUMN())),OFFSET($BN$2,0,0,ROW()-1,60),ROW()-1,FALSE))</f>
        <v>0.16600000000000001</v>
      </c>
      <c r="M103">
        <f ca="1">IF(AND(ISNUMBER($M$610),$B$511=1),$M$610,HLOOKUP(INDIRECT(ADDRESS(2,COLUMN())),OFFSET($BN$2,0,0,ROW()-1,60),ROW()-1,FALSE))</f>
        <v>0.17799999999999999</v>
      </c>
      <c r="N103">
        <f ca="1">IF(AND(ISNUMBER($N$610),$B$511=1),$N$610,HLOOKUP(INDIRECT(ADDRESS(2,COLUMN())),OFFSET($BN$2,0,0,ROW()-1,60),ROW()-1,FALSE))</f>
        <v>0.18099999999999999</v>
      </c>
      <c r="O103">
        <f ca="1">IF(AND(ISNUMBER($O$610),$B$511=1),$O$610,HLOOKUP(INDIRECT(ADDRESS(2,COLUMN())),OFFSET($BN$2,0,0,ROW()-1,60),ROW()-1,FALSE))</f>
        <v>0.104</v>
      </c>
      <c r="P103" t="str">
        <f ca="1">IF(AND(ISNUMBER($P$610),$B$511=1),$P$610,HLOOKUP(INDIRECT(ADDRESS(2,COLUMN())),OFFSET($BN$2,0,0,ROW()-1,60),ROW()-1,FALSE))</f>
        <v/>
      </c>
      <c r="Q103" t="str">
        <f ca="1">IF(AND(ISNUMBER($Q$610),$B$511=1),$Q$610,HLOOKUP(INDIRECT(ADDRESS(2,COLUMN())),OFFSET($BN$2,0,0,ROW()-1,60),ROW()-1,FALSE))</f>
        <v/>
      </c>
      <c r="R103" t="str">
        <f ca="1">IF(AND(ISNUMBER($R$610),$B$511=1),$R$610,HLOOKUP(INDIRECT(ADDRESS(2,COLUMN())),OFFSET($BN$2,0,0,ROW()-1,60),ROW()-1,FALSE))</f>
        <v/>
      </c>
      <c r="S103" t="str">
        <f ca="1">IF(AND(ISNUMBER($S$610),$B$511=1),$S$610,HLOOKUP(INDIRECT(ADDRESS(2,COLUMN())),OFFSET($BN$2,0,0,ROW()-1,60),ROW()-1,FALSE))</f>
        <v/>
      </c>
      <c r="T103" t="str">
        <f ca="1">IF(AND(ISNUMBER($T$610),$B$511=1),$T$610,HLOOKUP(INDIRECT(ADDRESS(2,COLUMN())),OFFSET($BN$2,0,0,ROW()-1,60),ROW()-1,FALSE))</f>
        <v/>
      </c>
      <c r="U103" t="str">
        <f ca="1">IF(AND(ISNUMBER($U$610),$B$511=1),$U$610,HLOOKUP(INDIRECT(ADDRESS(2,COLUMN())),OFFSET($BN$2,0,0,ROW()-1,60),ROW()-1,FALSE))</f>
        <v/>
      </c>
      <c r="V103" t="str">
        <f ca="1">IF(AND(ISNUMBER($V$610),$B$511=1),$V$610,HLOOKUP(INDIRECT(ADDRESS(2,COLUMN())),OFFSET($BN$2,0,0,ROW()-1,60),ROW()-1,FALSE))</f>
        <v/>
      </c>
      <c r="W103" t="str">
        <f ca="1">IF(AND(ISNUMBER($W$610),$B$511=1),$W$610,HLOOKUP(INDIRECT(ADDRESS(2,COLUMN())),OFFSET($BN$2,0,0,ROW()-1,60),ROW()-1,FALSE))</f>
        <v/>
      </c>
      <c r="X103" t="str">
        <f ca="1">IF(AND(ISNUMBER($X$610),$B$511=1),$X$610,HLOOKUP(INDIRECT(ADDRESS(2,COLUMN())),OFFSET($BN$2,0,0,ROW()-1,60),ROW()-1,FALSE))</f>
        <v/>
      </c>
      <c r="Y103" t="str">
        <f ca="1">IF(AND(ISNUMBER($Y$610),$B$511=1),$Y$610,HLOOKUP(INDIRECT(ADDRESS(2,COLUMN())),OFFSET($BN$2,0,0,ROW()-1,60),ROW()-1,FALSE))</f>
        <v/>
      </c>
      <c r="Z103" t="str">
        <f ca="1">IF(AND(ISNUMBER($Z$610),$B$511=1),$Z$610,HLOOKUP(INDIRECT(ADDRESS(2,COLUMN())),OFFSET($BN$2,0,0,ROW()-1,60),ROW()-1,FALSE))</f>
        <v/>
      </c>
      <c r="AA103" t="str">
        <f ca="1">IF(AND(ISNUMBER($AA$610),$B$511=1),$AA$610,HLOOKUP(INDIRECT(ADDRESS(2,COLUMN())),OFFSET($BN$2,0,0,ROW()-1,60),ROW()-1,FALSE))</f>
        <v/>
      </c>
      <c r="AB103" t="str">
        <f ca="1">IF(AND(ISNUMBER($AB$610),$B$511=1),$AB$610,HLOOKUP(INDIRECT(ADDRESS(2,COLUMN())),OFFSET($BN$2,0,0,ROW()-1,60),ROW()-1,FALSE))</f>
        <v/>
      </c>
      <c r="AC103" t="str">
        <f ca="1">IF(AND(ISNUMBER($AC$610),$B$511=1),$AC$610,HLOOKUP(INDIRECT(ADDRESS(2,COLUMN())),OFFSET($BN$2,0,0,ROW()-1,60),ROW()-1,FALSE))</f>
        <v/>
      </c>
      <c r="AD103" t="str">
        <f ca="1">IF(AND(ISNUMBER($AD$610),$B$511=1),$AD$610,HLOOKUP(INDIRECT(ADDRESS(2,COLUMN())),OFFSET($BN$2,0,0,ROW()-1,60),ROW()-1,FALSE))</f>
        <v/>
      </c>
      <c r="AE103" t="str">
        <f ca="1">IF(AND(ISNUMBER($AE$610),$B$511=1),$AE$610,HLOOKUP(INDIRECT(ADDRESS(2,COLUMN())),OFFSET($BN$2,0,0,ROW()-1,60),ROW()-1,FALSE))</f>
        <v/>
      </c>
      <c r="AF103" t="str">
        <f ca="1">IF(AND(ISNUMBER($AF$610),$B$511=1),$AF$610,HLOOKUP(INDIRECT(ADDRESS(2,COLUMN())),OFFSET($BN$2,0,0,ROW()-1,60),ROW()-1,FALSE))</f>
        <v/>
      </c>
      <c r="AG103" t="str">
        <f ca="1">IF(AND(ISNUMBER($AG$610),$B$511=1),$AG$610,HLOOKUP(INDIRECT(ADDRESS(2,COLUMN())),OFFSET($BN$2,0,0,ROW()-1,60),ROW()-1,FALSE))</f>
        <v/>
      </c>
      <c r="AH103" t="str">
        <f ca="1">IF(AND(ISNUMBER($AH$610),$B$511=1),$AH$610,HLOOKUP(INDIRECT(ADDRESS(2,COLUMN())),OFFSET($BN$2,0,0,ROW()-1,60),ROW()-1,FALSE))</f>
        <v/>
      </c>
      <c r="AI103" t="str">
        <f ca="1">IF(AND(ISNUMBER($AI$610),$B$511=1),$AI$610,HLOOKUP(INDIRECT(ADDRESS(2,COLUMN())),OFFSET($BN$2,0,0,ROW()-1,60),ROW()-1,FALSE))</f>
        <v/>
      </c>
      <c r="AJ103" t="str">
        <f ca="1">IF(AND(ISNUMBER($AJ$610),$B$511=1),$AJ$610,HLOOKUP(INDIRECT(ADDRESS(2,COLUMN())),OFFSET($BN$2,0,0,ROW()-1,60),ROW()-1,FALSE))</f>
        <v/>
      </c>
      <c r="AK103" t="str">
        <f ca="1">IF(AND(ISNUMBER($AK$610),$B$511=1),$AK$610,HLOOKUP(INDIRECT(ADDRESS(2,COLUMN())),OFFSET($BN$2,0,0,ROW()-1,60),ROW()-1,FALSE))</f>
        <v/>
      </c>
      <c r="AL103" t="str">
        <f ca="1">IF(AND(ISNUMBER($AL$610),$B$511=1),$AL$610,HLOOKUP(INDIRECT(ADDRESS(2,COLUMN())),OFFSET($BN$2,0,0,ROW()-1,60),ROW()-1,FALSE))</f>
        <v/>
      </c>
      <c r="AM103" t="str">
        <f ca="1">IF(AND(ISNUMBER($AM$610),$B$511=1),$AM$610,HLOOKUP(INDIRECT(ADDRESS(2,COLUMN())),OFFSET($BN$2,0,0,ROW()-1,60),ROW()-1,FALSE))</f>
        <v/>
      </c>
      <c r="AN103" t="str">
        <f ca="1">IF(AND(ISNUMBER($AN$610),$B$511=1),$AN$610,HLOOKUP(INDIRECT(ADDRESS(2,COLUMN())),OFFSET($BN$2,0,0,ROW()-1,60),ROW()-1,FALSE))</f>
        <v/>
      </c>
      <c r="AO103" t="str">
        <f ca="1">IF(AND(ISNUMBER($AO$610),$B$511=1),$AO$610,HLOOKUP(INDIRECT(ADDRESS(2,COLUMN())),OFFSET($BN$2,0,0,ROW()-1,60),ROW()-1,FALSE))</f>
        <v/>
      </c>
      <c r="AP103" t="str">
        <f ca="1">IF(AND(ISNUMBER($AP$610),$B$511=1),$AP$610,HLOOKUP(INDIRECT(ADDRESS(2,COLUMN())),OFFSET($BN$2,0,0,ROW()-1,60),ROW()-1,FALSE))</f>
        <v/>
      </c>
      <c r="AQ103" t="str">
        <f ca="1">IF(AND(ISNUMBER($AQ$610),$B$511=1),$AQ$610,HLOOKUP(INDIRECT(ADDRESS(2,COLUMN())),OFFSET($BN$2,0,0,ROW()-1,60),ROW()-1,FALSE))</f>
        <v/>
      </c>
      <c r="AR103" t="str">
        <f ca="1">IF(AND(ISNUMBER($AR$610),$B$511=1),$AR$610,HLOOKUP(INDIRECT(ADDRESS(2,COLUMN())),OFFSET($BN$2,0,0,ROW()-1,60),ROW()-1,FALSE))</f>
        <v/>
      </c>
      <c r="AS103" t="str">
        <f ca="1">IF(AND(ISNUMBER($AS$610),$B$511=1),$AS$610,HLOOKUP(INDIRECT(ADDRESS(2,COLUMN())),OFFSET($BN$2,0,0,ROW()-1,60),ROW()-1,FALSE))</f>
        <v/>
      </c>
      <c r="AT103" t="str">
        <f ca="1">IF(AND(ISNUMBER($AT$610),$B$511=1),$AT$610,HLOOKUP(INDIRECT(ADDRESS(2,COLUMN())),OFFSET($BN$2,0,0,ROW()-1,60),ROW()-1,FALSE))</f>
        <v/>
      </c>
      <c r="AU103" t="str">
        <f ca="1">IF(AND(ISNUMBER($AU$610),$B$511=1),$AU$610,HLOOKUP(INDIRECT(ADDRESS(2,COLUMN())),OFFSET($BN$2,0,0,ROW()-1,60),ROW()-1,FALSE))</f>
        <v/>
      </c>
      <c r="AV103" t="str">
        <f ca="1">IF(AND(ISNUMBER($AV$610),$B$511=1),$AV$610,HLOOKUP(INDIRECT(ADDRESS(2,COLUMN())),OFFSET($BN$2,0,0,ROW()-1,60),ROW()-1,FALSE))</f>
        <v/>
      </c>
      <c r="AW103" t="str">
        <f ca="1">IF(AND(ISNUMBER($AW$610),$B$511=1),$AW$610,HLOOKUP(INDIRECT(ADDRESS(2,COLUMN())),OFFSET($BN$2,0,0,ROW()-1,60),ROW()-1,FALSE))</f>
        <v/>
      </c>
      <c r="AX103" t="str">
        <f ca="1">IF(AND(ISNUMBER($AX$610),$B$511=1),$AX$610,HLOOKUP(INDIRECT(ADDRESS(2,COLUMN())),OFFSET($BN$2,0,0,ROW()-1,60),ROW()-1,FALSE))</f>
        <v/>
      </c>
      <c r="AY103" t="str">
        <f ca="1">IF(AND(ISNUMBER($AY$610),$B$511=1),$AY$610,HLOOKUP(INDIRECT(ADDRESS(2,COLUMN())),OFFSET($BN$2,0,0,ROW()-1,60),ROW()-1,FALSE))</f>
        <v/>
      </c>
      <c r="AZ103" t="str">
        <f ca="1">IF(AND(ISNUMBER($AZ$610),$B$511=1),$AZ$610,HLOOKUP(INDIRECT(ADDRESS(2,COLUMN())),OFFSET($BN$2,0,0,ROW()-1,60),ROW()-1,FALSE))</f>
        <v/>
      </c>
      <c r="BA103" t="str">
        <f ca="1">IF(AND(ISNUMBER($BA$610),$B$511=1),$BA$610,HLOOKUP(INDIRECT(ADDRESS(2,COLUMN())),OFFSET($BN$2,0,0,ROW()-1,60),ROW()-1,FALSE))</f>
        <v/>
      </c>
      <c r="BB103" t="str">
        <f ca="1">IF(AND(ISNUMBER($BB$610),$B$511=1),$BB$610,HLOOKUP(INDIRECT(ADDRESS(2,COLUMN())),OFFSET($BN$2,0,0,ROW()-1,60),ROW()-1,FALSE))</f>
        <v/>
      </c>
      <c r="BC103" t="str">
        <f ca="1">IF(AND(ISNUMBER($BC$610),$B$511=1),$BC$610,HLOOKUP(INDIRECT(ADDRESS(2,COLUMN())),OFFSET($BN$2,0,0,ROW()-1,60),ROW()-1,FALSE))</f>
        <v/>
      </c>
      <c r="BD103" t="str">
        <f ca="1">IF(AND(ISNUMBER($BD$610),$B$511=1),$BD$610,HLOOKUP(INDIRECT(ADDRESS(2,COLUMN())),OFFSET($BN$2,0,0,ROW()-1,60),ROW()-1,FALSE))</f>
        <v/>
      </c>
      <c r="BE103" t="str">
        <f ca="1">IF(AND(ISNUMBER($BE$610),$B$511=1),$BE$610,HLOOKUP(INDIRECT(ADDRESS(2,COLUMN())),OFFSET($BN$2,0,0,ROW()-1,60),ROW()-1,FALSE))</f>
        <v/>
      </c>
      <c r="BF103" t="str">
        <f ca="1">IF(AND(ISNUMBER($BF$610),$B$511=1),$BF$610,HLOOKUP(INDIRECT(ADDRESS(2,COLUMN())),OFFSET($BN$2,0,0,ROW()-1,60),ROW()-1,FALSE))</f>
        <v/>
      </c>
      <c r="BG103" t="str">
        <f ca="1">IF(AND(ISNUMBER($BG$610),$B$511=1),$BG$610,HLOOKUP(INDIRECT(ADDRESS(2,COLUMN())),OFFSET($BN$2,0,0,ROW()-1,60),ROW()-1,FALSE))</f>
        <v/>
      </c>
      <c r="BH103" t="str">
        <f ca="1">IF(AND(ISNUMBER($BH$610),$B$511=1),$BH$610,HLOOKUP(INDIRECT(ADDRESS(2,COLUMN())),OFFSET($BN$2,0,0,ROW()-1,60),ROW()-1,FALSE))</f>
        <v/>
      </c>
      <c r="BI103" t="str">
        <f ca="1">IF(AND(ISNUMBER($BI$610),$B$511=1),$BI$610,HLOOKUP(INDIRECT(ADDRESS(2,COLUMN())),OFFSET($BN$2,0,0,ROW()-1,60),ROW()-1,FALSE))</f>
        <v/>
      </c>
      <c r="BJ103" t="str">
        <f ca="1">IF(AND(ISNUMBER($BJ$610),$B$511=1),$BJ$610,HLOOKUP(INDIRECT(ADDRESS(2,COLUMN())),OFFSET($BN$2,0,0,ROW()-1,60),ROW()-1,FALSE))</f>
        <v/>
      </c>
      <c r="BK103" t="str">
        <f ca="1">IF(AND(ISNUMBER($BK$610),$B$511=1),$BK$610,HLOOKUP(INDIRECT(ADDRESS(2,COLUMN())),OFFSET($BN$2,0,0,ROW()-1,60),ROW()-1,FALSE))</f>
        <v/>
      </c>
      <c r="BL103" t="str">
        <f ca="1">IF(AND(ISNUMBER($BL$610),$B$511=1),$BL$610,HLOOKUP(INDIRECT(ADDRESS(2,COLUMN())),OFFSET($BN$2,0,0,ROW()-1,60),ROW()-1,FALSE))</f>
        <v/>
      </c>
      <c r="BM103" t="str">
        <f ca="1">IF(AND(ISNUMBER($BM$610),$B$511=1),$BM$610,HLOOKUP(INDIRECT(ADDRESS(2,COLUMN())),OFFSET($BN$2,0,0,ROW()-1,60),ROW()-1,FALSE))</f>
        <v/>
      </c>
      <c r="BN103">
        <f>0.088</f>
        <v>8.7999999999999995E-2</v>
      </c>
      <c r="BO103">
        <f>0.087</f>
        <v>8.6999999999999994E-2</v>
      </c>
      <c r="BP103">
        <f>0.11</f>
        <v>0.11</v>
      </c>
      <c r="BQ103">
        <f>0.146</f>
        <v>0.14599999999999999</v>
      </c>
      <c r="BR103">
        <f>0.15</f>
        <v>0.15</v>
      </c>
      <c r="BS103">
        <f>0.156</f>
        <v>0.156</v>
      </c>
      <c r="BT103">
        <f>0.166</f>
        <v>0.16600000000000001</v>
      </c>
      <c r="BU103">
        <f>0.178</f>
        <v>0.17799999999999999</v>
      </c>
      <c r="BV103">
        <f>0.181</f>
        <v>0.18099999999999999</v>
      </c>
      <c r="BW103">
        <f>0.104</f>
        <v>0.104</v>
      </c>
      <c r="BX103" t="str">
        <f>""</f>
        <v/>
      </c>
      <c r="BY103" t="str">
        <f>""</f>
        <v/>
      </c>
      <c r="BZ103" t="str">
        <f>""</f>
        <v/>
      </c>
      <c r="CA103" t="str">
        <f>""</f>
        <v/>
      </c>
      <c r="CB103" t="str">
        <f>""</f>
        <v/>
      </c>
      <c r="CC103" t="str">
        <f>""</f>
        <v/>
      </c>
      <c r="CD103" t="str">
        <f>""</f>
        <v/>
      </c>
      <c r="CE103" t="str">
        <f>""</f>
        <v/>
      </c>
      <c r="CF103" t="str">
        <f>""</f>
        <v/>
      </c>
      <c r="CG103" t="str">
        <f>""</f>
        <v/>
      </c>
      <c r="CH103" t="str">
        <f>""</f>
        <v/>
      </c>
      <c r="CI103" t="str">
        <f>""</f>
        <v/>
      </c>
      <c r="CJ103" t="str">
        <f>""</f>
        <v/>
      </c>
      <c r="CK103" t="str">
        <f>""</f>
        <v/>
      </c>
      <c r="CL103" t="str">
        <f>""</f>
        <v/>
      </c>
      <c r="CM103" t="str">
        <f>""</f>
        <v/>
      </c>
      <c r="CN103" t="str">
        <f>""</f>
        <v/>
      </c>
      <c r="CO103" t="str">
        <f>""</f>
        <v/>
      </c>
      <c r="CP103" t="str">
        <f>""</f>
        <v/>
      </c>
      <c r="CQ103" t="str">
        <f>""</f>
        <v/>
      </c>
      <c r="CR103" t="str">
        <f>""</f>
        <v/>
      </c>
      <c r="CS103" t="str">
        <f>""</f>
        <v/>
      </c>
      <c r="CT103" t="str">
        <f>""</f>
        <v/>
      </c>
      <c r="CU103" t="str">
        <f>""</f>
        <v/>
      </c>
      <c r="CV103" t="str">
        <f>""</f>
        <v/>
      </c>
      <c r="CW103" t="str">
        <f>""</f>
        <v/>
      </c>
      <c r="CX103" t="str">
        <f>""</f>
        <v/>
      </c>
      <c r="CY103" t="str">
        <f>""</f>
        <v/>
      </c>
      <c r="CZ103" t="str">
        <f>""</f>
        <v/>
      </c>
      <c r="DA103" t="str">
        <f>""</f>
        <v/>
      </c>
      <c r="DB103" t="str">
        <f>""</f>
        <v/>
      </c>
      <c r="DC103" t="str">
        <f>""</f>
        <v/>
      </c>
      <c r="DD103" t="str">
        <f>""</f>
        <v/>
      </c>
      <c r="DE103" t="str">
        <f>""</f>
        <v/>
      </c>
      <c r="DF103" t="str">
        <f>""</f>
        <v/>
      </c>
      <c r="DG103" t="str">
        <f>""</f>
        <v/>
      </c>
      <c r="DH103" t="str">
        <f>""</f>
        <v/>
      </c>
      <c r="DI103" t="str">
        <f>""</f>
        <v/>
      </c>
      <c r="DJ103" t="str">
        <f>""</f>
        <v/>
      </c>
      <c r="DK103" t="str">
        <f>""</f>
        <v/>
      </c>
      <c r="DL103" t="str">
        <f>""</f>
        <v/>
      </c>
      <c r="DM103" t="str">
        <f>""</f>
        <v/>
      </c>
      <c r="DN103" t="str">
        <f>""</f>
        <v/>
      </c>
      <c r="DO103" t="str">
        <f>""</f>
        <v/>
      </c>
      <c r="DP103" t="str">
        <f>""</f>
        <v/>
      </c>
      <c r="DQ103" t="str">
        <f>""</f>
        <v/>
      </c>
      <c r="DR103" t="str">
        <f>""</f>
        <v/>
      </c>
      <c r="DS103" t="str">
        <f>""</f>
        <v/>
      </c>
      <c r="DT103" t="str">
        <f>""</f>
        <v/>
      </c>
      <c r="DU103" t="str">
        <f>""</f>
        <v/>
      </c>
    </row>
    <row r="104" spans="1:125" x14ac:dyDescent="0.25">
      <c r="A104" t="str">
        <f>"    Guangzhou Automobile Group Co Ltd"</f>
        <v xml:space="preserve">    Guangzhou Automobile Group Co Ltd</v>
      </c>
      <c r="B104" t="str">
        <f>"2238 HK Equity"</f>
        <v>2238 HK Equity</v>
      </c>
      <c r="C104" t="str">
        <f t="shared" si="6"/>
        <v>EZ021</v>
      </c>
      <c r="D104" t="str">
        <f t="shared" si="7"/>
        <v>BEST_EPS_NXT_YR</v>
      </c>
      <c r="E104" t="str">
        <f t="shared" si="8"/>
        <v>Dynamic</v>
      </c>
      <c r="F104">
        <f ca="1">IF(AND(ISNUMBER($F$611),$B$511=1),$F$611,HLOOKUP(INDIRECT(ADDRESS(2,COLUMN())),OFFSET($BN$2,0,0,ROW()-1,60),ROW()-1,FALSE))</f>
        <v>0.19400000000000001</v>
      </c>
      <c r="G104">
        <f ca="1">IF(AND(ISNUMBER($G$611),$B$511=1),$G$611,HLOOKUP(INDIRECT(ADDRESS(2,COLUMN())),OFFSET($BN$2,0,0,ROW()-1,60),ROW()-1,FALSE))</f>
        <v>0.19400000000000001</v>
      </c>
      <c r="H104">
        <f ca="1">IF(AND(ISNUMBER($H$611),$B$511=1),$H$611,HLOOKUP(INDIRECT(ADDRESS(2,COLUMN())),OFFSET($BN$2,0,0,ROW()-1,60),ROW()-1,FALSE))</f>
        <v>0.20100000000000001</v>
      </c>
      <c r="I104">
        <f ca="1">IF(AND(ISNUMBER($I$611),$B$511=1),$I$611,HLOOKUP(INDIRECT(ADDRESS(2,COLUMN())),OFFSET($BN$2,0,0,ROW()-1,60),ROW()-1,FALSE))</f>
        <v>0.22900000000000001</v>
      </c>
      <c r="J104">
        <f ca="1">IF(AND(ISNUMBER($J$611),$B$511=1),$J$611,HLOOKUP(INDIRECT(ADDRESS(2,COLUMN())),OFFSET($BN$2,0,0,ROW()-1,60),ROW()-1,FALSE))</f>
        <v>0.24099999999999999</v>
      </c>
      <c r="K104">
        <f ca="1">IF(AND(ISNUMBER($K$611),$B$511=1),$K$611,HLOOKUP(INDIRECT(ADDRESS(2,COLUMN())),OFFSET($BN$2,0,0,ROW()-1,60),ROW()-1,FALSE))</f>
        <v>0.23300000000000001</v>
      </c>
      <c r="L104">
        <f ca="1">IF(AND(ISNUMBER($L$611),$B$511=1),$L$611,HLOOKUP(INDIRECT(ADDRESS(2,COLUMN())),OFFSET($BN$2,0,0,ROW()-1,60),ROW()-1,FALSE))</f>
        <v>0.20899999999999999</v>
      </c>
      <c r="M104">
        <f ca="1">IF(AND(ISNUMBER($M$611),$B$511=1),$M$611,HLOOKUP(INDIRECT(ADDRESS(2,COLUMN())),OFFSET($BN$2,0,0,ROW()-1,60),ROW()-1,FALSE))</f>
        <v>0.187</v>
      </c>
      <c r="N104">
        <f ca="1">IF(AND(ISNUMBER($N$611),$B$511=1),$N$611,HLOOKUP(INDIRECT(ADDRESS(2,COLUMN())),OFFSET($BN$2,0,0,ROW()-1,60),ROW()-1,FALSE))</f>
        <v>0.156</v>
      </c>
      <c r="O104">
        <f ca="1">IF(AND(ISNUMBER($O$611),$B$511=1),$O$611,HLOOKUP(INDIRECT(ADDRESS(2,COLUMN())),OFFSET($BN$2,0,0,ROW()-1,60),ROW()-1,FALSE))</f>
        <v>0.128</v>
      </c>
      <c r="P104" t="str">
        <f ca="1">IF(AND(ISNUMBER($P$611),$B$511=1),$P$611,HLOOKUP(INDIRECT(ADDRESS(2,COLUMN())),OFFSET($BN$2,0,0,ROW()-1,60),ROW()-1,FALSE))</f>
        <v/>
      </c>
      <c r="Q104" t="str">
        <f ca="1">IF(AND(ISNUMBER($Q$611),$B$511=1),$Q$611,HLOOKUP(INDIRECT(ADDRESS(2,COLUMN())),OFFSET($BN$2,0,0,ROW()-1,60),ROW()-1,FALSE))</f>
        <v/>
      </c>
      <c r="R104" t="str">
        <f ca="1">IF(AND(ISNUMBER($R$611),$B$511=1),$R$611,HLOOKUP(INDIRECT(ADDRESS(2,COLUMN())),OFFSET($BN$2,0,0,ROW()-1,60),ROW()-1,FALSE))</f>
        <v/>
      </c>
      <c r="S104" t="str">
        <f ca="1">IF(AND(ISNUMBER($S$611),$B$511=1),$S$611,HLOOKUP(INDIRECT(ADDRESS(2,COLUMN())),OFFSET($BN$2,0,0,ROW()-1,60),ROW()-1,FALSE))</f>
        <v/>
      </c>
      <c r="T104" t="str">
        <f ca="1">IF(AND(ISNUMBER($T$611),$B$511=1),$T$611,HLOOKUP(INDIRECT(ADDRESS(2,COLUMN())),OFFSET($BN$2,0,0,ROW()-1,60),ROW()-1,FALSE))</f>
        <v/>
      </c>
      <c r="U104" t="str">
        <f ca="1">IF(AND(ISNUMBER($U$611),$B$511=1),$U$611,HLOOKUP(INDIRECT(ADDRESS(2,COLUMN())),OFFSET($BN$2,0,0,ROW()-1,60),ROW()-1,FALSE))</f>
        <v/>
      </c>
      <c r="V104" t="str">
        <f ca="1">IF(AND(ISNUMBER($V$611),$B$511=1),$V$611,HLOOKUP(INDIRECT(ADDRESS(2,COLUMN())),OFFSET($BN$2,0,0,ROW()-1,60),ROW()-1,FALSE))</f>
        <v/>
      </c>
      <c r="W104" t="str">
        <f ca="1">IF(AND(ISNUMBER($W$611),$B$511=1),$W$611,HLOOKUP(INDIRECT(ADDRESS(2,COLUMN())),OFFSET($BN$2,0,0,ROW()-1,60),ROW()-1,FALSE))</f>
        <v/>
      </c>
      <c r="X104" t="str">
        <f ca="1">IF(AND(ISNUMBER($X$611),$B$511=1),$X$611,HLOOKUP(INDIRECT(ADDRESS(2,COLUMN())),OFFSET($BN$2,0,0,ROW()-1,60),ROW()-1,FALSE))</f>
        <v/>
      </c>
      <c r="Y104" t="str">
        <f ca="1">IF(AND(ISNUMBER($Y$611),$B$511=1),$Y$611,HLOOKUP(INDIRECT(ADDRESS(2,COLUMN())),OFFSET($BN$2,0,0,ROW()-1,60),ROW()-1,FALSE))</f>
        <v/>
      </c>
      <c r="Z104" t="str">
        <f ca="1">IF(AND(ISNUMBER($Z$611),$B$511=1),$Z$611,HLOOKUP(INDIRECT(ADDRESS(2,COLUMN())),OFFSET($BN$2,0,0,ROW()-1,60),ROW()-1,FALSE))</f>
        <v/>
      </c>
      <c r="AA104" t="str">
        <f ca="1">IF(AND(ISNUMBER($AA$611),$B$511=1),$AA$611,HLOOKUP(INDIRECT(ADDRESS(2,COLUMN())),OFFSET($BN$2,0,0,ROW()-1,60),ROW()-1,FALSE))</f>
        <v/>
      </c>
      <c r="AB104" t="str">
        <f ca="1">IF(AND(ISNUMBER($AB$611),$B$511=1),$AB$611,HLOOKUP(INDIRECT(ADDRESS(2,COLUMN())),OFFSET($BN$2,0,0,ROW()-1,60),ROW()-1,FALSE))</f>
        <v/>
      </c>
      <c r="AC104" t="str">
        <f ca="1">IF(AND(ISNUMBER($AC$611),$B$511=1),$AC$611,HLOOKUP(INDIRECT(ADDRESS(2,COLUMN())),OFFSET($BN$2,0,0,ROW()-1,60),ROW()-1,FALSE))</f>
        <v/>
      </c>
      <c r="AD104" t="str">
        <f ca="1">IF(AND(ISNUMBER($AD$611),$B$511=1),$AD$611,HLOOKUP(INDIRECT(ADDRESS(2,COLUMN())),OFFSET($BN$2,0,0,ROW()-1,60),ROW()-1,FALSE))</f>
        <v/>
      </c>
      <c r="AE104" t="str">
        <f ca="1">IF(AND(ISNUMBER($AE$611),$B$511=1),$AE$611,HLOOKUP(INDIRECT(ADDRESS(2,COLUMN())),OFFSET($BN$2,0,0,ROW()-1,60),ROW()-1,FALSE))</f>
        <v/>
      </c>
      <c r="AF104" t="str">
        <f ca="1">IF(AND(ISNUMBER($AF$611),$B$511=1),$AF$611,HLOOKUP(INDIRECT(ADDRESS(2,COLUMN())),OFFSET($BN$2,0,0,ROW()-1,60),ROW()-1,FALSE))</f>
        <v/>
      </c>
      <c r="AG104" t="str">
        <f ca="1">IF(AND(ISNUMBER($AG$611),$B$511=1),$AG$611,HLOOKUP(INDIRECT(ADDRESS(2,COLUMN())),OFFSET($BN$2,0,0,ROW()-1,60),ROW()-1,FALSE))</f>
        <v/>
      </c>
      <c r="AH104" t="str">
        <f ca="1">IF(AND(ISNUMBER($AH$611),$B$511=1),$AH$611,HLOOKUP(INDIRECT(ADDRESS(2,COLUMN())),OFFSET($BN$2,0,0,ROW()-1,60),ROW()-1,FALSE))</f>
        <v/>
      </c>
      <c r="AI104" t="str">
        <f ca="1">IF(AND(ISNUMBER($AI$611),$B$511=1),$AI$611,HLOOKUP(INDIRECT(ADDRESS(2,COLUMN())),OFFSET($BN$2,0,0,ROW()-1,60),ROW()-1,FALSE))</f>
        <v/>
      </c>
      <c r="AJ104" t="str">
        <f ca="1">IF(AND(ISNUMBER($AJ$611),$B$511=1),$AJ$611,HLOOKUP(INDIRECT(ADDRESS(2,COLUMN())),OFFSET($BN$2,0,0,ROW()-1,60),ROW()-1,FALSE))</f>
        <v/>
      </c>
      <c r="AK104" t="str">
        <f ca="1">IF(AND(ISNUMBER($AK$611),$B$511=1),$AK$611,HLOOKUP(INDIRECT(ADDRESS(2,COLUMN())),OFFSET($BN$2,0,0,ROW()-1,60),ROW()-1,FALSE))</f>
        <v/>
      </c>
      <c r="AL104" t="str">
        <f ca="1">IF(AND(ISNUMBER($AL$611),$B$511=1),$AL$611,HLOOKUP(INDIRECT(ADDRESS(2,COLUMN())),OFFSET($BN$2,0,0,ROW()-1,60),ROW()-1,FALSE))</f>
        <v/>
      </c>
      <c r="AM104" t="str">
        <f ca="1">IF(AND(ISNUMBER($AM$611),$B$511=1),$AM$611,HLOOKUP(INDIRECT(ADDRESS(2,COLUMN())),OFFSET($BN$2,0,0,ROW()-1,60),ROW()-1,FALSE))</f>
        <v/>
      </c>
      <c r="AN104" t="str">
        <f ca="1">IF(AND(ISNUMBER($AN$611),$B$511=1),$AN$611,HLOOKUP(INDIRECT(ADDRESS(2,COLUMN())),OFFSET($BN$2,0,0,ROW()-1,60),ROW()-1,FALSE))</f>
        <v/>
      </c>
      <c r="AO104" t="str">
        <f ca="1">IF(AND(ISNUMBER($AO$611),$B$511=1),$AO$611,HLOOKUP(INDIRECT(ADDRESS(2,COLUMN())),OFFSET($BN$2,0,0,ROW()-1,60),ROW()-1,FALSE))</f>
        <v/>
      </c>
      <c r="AP104" t="str">
        <f ca="1">IF(AND(ISNUMBER($AP$611),$B$511=1),$AP$611,HLOOKUP(INDIRECT(ADDRESS(2,COLUMN())),OFFSET($BN$2,0,0,ROW()-1,60),ROW()-1,FALSE))</f>
        <v/>
      </c>
      <c r="AQ104" t="str">
        <f ca="1">IF(AND(ISNUMBER($AQ$611),$B$511=1),$AQ$611,HLOOKUP(INDIRECT(ADDRESS(2,COLUMN())),OFFSET($BN$2,0,0,ROW()-1,60),ROW()-1,FALSE))</f>
        <v/>
      </c>
      <c r="AR104" t="str">
        <f ca="1">IF(AND(ISNUMBER($AR$611),$B$511=1),$AR$611,HLOOKUP(INDIRECT(ADDRESS(2,COLUMN())),OFFSET($BN$2,0,0,ROW()-1,60),ROW()-1,FALSE))</f>
        <v/>
      </c>
      <c r="AS104" t="str">
        <f ca="1">IF(AND(ISNUMBER($AS$611),$B$511=1),$AS$611,HLOOKUP(INDIRECT(ADDRESS(2,COLUMN())),OFFSET($BN$2,0,0,ROW()-1,60),ROW()-1,FALSE))</f>
        <v/>
      </c>
      <c r="AT104" t="str">
        <f ca="1">IF(AND(ISNUMBER($AT$611),$B$511=1),$AT$611,HLOOKUP(INDIRECT(ADDRESS(2,COLUMN())),OFFSET($BN$2,0,0,ROW()-1,60),ROW()-1,FALSE))</f>
        <v/>
      </c>
      <c r="AU104" t="str">
        <f ca="1">IF(AND(ISNUMBER($AU$611),$B$511=1),$AU$611,HLOOKUP(INDIRECT(ADDRESS(2,COLUMN())),OFFSET($BN$2,0,0,ROW()-1,60),ROW()-1,FALSE))</f>
        <v/>
      </c>
      <c r="AV104" t="str">
        <f ca="1">IF(AND(ISNUMBER($AV$611),$B$511=1),$AV$611,HLOOKUP(INDIRECT(ADDRESS(2,COLUMN())),OFFSET($BN$2,0,0,ROW()-1,60),ROW()-1,FALSE))</f>
        <v/>
      </c>
      <c r="AW104" t="str">
        <f ca="1">IF(AND(ISNUMBER($AW$611),$B$511=1),$AW$611,HLOOKUP(INDIRECT(ADDRESS(2,COLUMN())),OFFSET($BN$2,0,0,ROW()-1,60),ROW()-1,FALSE))</f>
        <v/>
      </c>
      <c r="AX104" t="str">
        <f ca="1">IF(AND(ISNUMBER($AX$611),$B$511=1),$AX$611,HLOOKUP(INDIRECT(ADDRESS(2,COLUMN())),OFFSET($BN$2,0,0,ROW()-1,60),ROW()-1,FALSE))</f>
        <v/>
      </c>
      <c r="AY104" t="str">
        <f ca="1">IF(AND(ISNUMBER($AY$611),$B$511=1),$AY$611,HLOOKUP(INDIRECT(ADDRESS(2,COLUMN())),OFFSET($BN$2,0,0,ROW()-1,60),ROW()-1,FALSE))</f>
        <v/>
      </c>
      <c r="AZ104" t="str">
        <f ca="1">IF(AND(ISNUMBER($AZ$611),$B$511=1),$AZ$611,HLOOKUP(INDIRECT(ADDRESS(2,COLUMN())),OFFSET($BN$2,0,0,ROW()-1,60),ROW()-1,FALSE))</f>
        <v/>
      </c>
      <c r="BA104" t="str">
        <f ca="1">IF(AND(ISNUMBER($BA$611),$B$511=1),$BA$611,HLOOKUP(INDIRECT(ADDRESS(2,COLUMN())),OFFSET($BN$2,0,0,ROW()-1,60),ROW()-1,FALSE))</f>
        <v/>
      </c>
      <c r="BB104" t="str">
        <f ca="1">IF(AND(ISNUMBER($BB$611),$B$511=1),$BB$611,HLOOKUP(INDIRECT(ADDRESS(2,COLUMN())),OFFSET($BN$2,0,0,ROW()-1,60),ROW()-1,FALSE))</f>
        <v/>
      </c>
      <c r="BC104" t="str">
        <f ca="1">IF(AND(ISNUMBER($BC$611),$B$511=1),$BC$611,HLOOKUP(INDIRECT(ADDRESS(2,COLUMN())),OFFSET($BN$2,0,0,ROW()-1,60),ROW()-1,FALSE))</f>
        <v/>
      </c>
      <c r="BD104" t="str">
        <f ca="1">IF(AND(ISNUMBER($BD$611),$B$511=1),$BD$611,HLOOKUP(INDIRECT(ADDRESS(2,COLUMN())),OFFSET($BN$2,0,0,ROW()-1,60),ROW()-1,FALSE))</f>
        <v/>
      </c>
      <c r="BE104" t="str">
        <f ca="1">IF(AND(ISNUMBER($BE$611),$B$511=1),$BE$611,HLOOKUP(INDIRECT(ADDRESS(2,COLUMN())),OFFSET($BN$2,0,0,ROW()-1,60),ROW()-1,FALSE))</f>
        <v/>
      </c>
      <c r="BF104" t="str">
        <f ca="1">IF(AND(ISNUMBER($BF$611),$B$511=1),$BF$611,HLOOKUP(INDIRECT(ADDRESS(2,COLUMN())),OFFSET($BN$2,0,0,ROW()-1,60),ROW()-1,FALSE))</f>
        <v/>
      </c>
      <c r="BG104" t="str">
        <f ca="1">IF(AND(ISNUMBER($BG$611),$B$511=1),$BG$611,HLOOKUP(INDIRECT(ADDRESS(2,COLUMN())),OFFSET($BN$2,0,0,ROW()-1,60),ROW()-1,FALSE))</f>
        <v/>
      </c>
      <c r="BH104" t="str">
        <f ca="1">IF(AND(ISNUMBER($BH$611),$B$511=1),$BH$611,HLOOKUP(INDIRECT(ADDRESS(2,COLUMN())),OFFSET($BN$2,0,0,ROW()-1,60),ROW()-1,FALSE))</f>
        <v/>
      </c>
      <c r="BI104" t="str">
        <f ca="1">IF(AND(ISNUMBER($BI$611),$B$511=1),$BI$611,HLOOKUP(INDIRECT(ADDRESS(2,COLUMN())),OFFSET($BN$2,0,0,ROW()-1,60),ROW()-1,FALSE))</f>
        <v/>
      </c>
      <c r="BJ104" t="str">
        <f ca="1">IF(AND(ISNUMBER($BJ$611),$B$511=1),$BJ$611,HLOOKUP(INDIRECT(ADDRESS(2,COLUMN())),OFFSET($BN$2,0,0,ROW()-1,60),ROW()-1,FALSE))</f>
        <v/>
      </c>
      <c r="BK104" t="str">
        <f ca="1">IF(AND(ISNUMBER($BK$611),$B$511=1),$BK$611,HLOOKUP(INDIRECT(ADDRESS(2,COLUMN())),OFFSET($BN$2,0,0,ROW()-1,60),ROW()-1,FALSE))</f>
        <v/>
      </c>
      <c r="BL104" t="str">
        <f ca="1">IF(AND(ISNUMBER($BL$611),$B$511=1),$BL$611,HLOOKUP(INDIRECT(ADDRESS(2,COLUMN())),OFFSET($BN$2,0,0,ROW()-1,60),ROW()-1,FALSE))</f>
        <v/>
      </c>
      <c r="BM104" t="str">
        <f ca="1">IF(AND(ISNUMBER($BM$611),$B$511=1),$BM$611,HLOOKUP(INDIRECT(ADDRESS(2,COLUMN())),OFFSET($BN$2,0,0,ROW()-1,60),ROW()-1,FALSE))</f>
        <v/>
      </c>
      <c r="BN104">
        <f>0.194</f>
        <v>0.19400000000000001</v>
      </c>
      <c r="BO104">
        <f>0.194</f>
        <v>0.19400000000000001</v>
      </c>
      <c r="BP104">
        <f>0.201</f>
        <v>0.20100000000000001</v>
      </c>
      <c r="BQ104">
        <f>0.229</f>
        <v>0.22900000000000001</v>
      </c>
      <c r="BR104">
        <f>0.241</f>
        <v>0.24099999999999999</v>
      </c>
      <c r="BS104">
        <f>0.233</f>
        <v>0.23300000000000001</v>
      </c>
      <c r="BT104">
        <f>0.209</f>
        <v>0.20899999999999999</v>
      </c>
      <c r="BU104">
        <f>0.187</f>
        <v>0.187</v>
      </c>
      <c r="BV104">
        <f>0.156</f>
        <v>0.156</v>
      </c>
      <c r="BW104">
        <f>0.128</f>
        <v>0.128</v>
      </c>
      <c r="BX104" t="str">
        <f>""</f>
        <v/>
      </c>
      <c r="BY104" t="str">
        <f>""</f>
        <v/>
      </c>
      <c r="BZ104" t="str">
        <f>""</f>
        <v/>
      </c>
      <c r="CA104" t="str">
        <f>""</f>
        <v/>
      </c>
      <c r="CB104" t="str">
        <f>""</f>
        <v/>
      </c>
      <c r="CC104" t="str">
        <f>""</f>
        <v/>
      </c>
      <c r="CD104" t="str">
        <f>""</f>
        <v/>
      </c>
      <c r="CE104" t="str">
        <f>""</f>
        <v/>
      </c>
      <c r="CF104" t="str">
        <f>""</f>
        <v/>
      </c>
      <c r="CG104" t="str">
        <f>""</f>
        <v/>
      </c>
      <c r="CH104" t="str">
        <f>""</f>
        <v/>
      </c>
      <c r="CI104" t="str">
        <f>""</f>
        <v/>
      </c>
      <c r="CJ104" t="str">
        <f>""</f>
        <v/>
      </c>
      <c r="CK104" t="str">
        <f>""</f>
        <v/>
      </c>
      <c r="CL104" t="str">
        <f>""</f>
        <v/>
      </c>
      <c r="CM104" t="str">
        <f>""</f>
        <v/>
      </c>
      <c r="CN104" t="str">
        <f>""</f>
        <v/>
      </c>
      <c r="CO104" t="str">
        <f>""</f>
        <v/>
      </c>
      <c r="CP104" t="str">
        <f>""</f>
        <v/>
      </c>
      <c r="CQ104" t="str">
        <f>""</f>
        <v/>
      </c>
      <c r="CR104" t="str">
        <f>""</f>
        <v/>
      </c>
      <c r="CS104" t="str">
        <f>""</f>
        <v/>
      </c>
      <c r="CT104" t="str">
        <f>""</f>
        <v/>
      </c>
      <c r="CU104" t="str">
        <f>""</f>
        <v/>
      </c>
      <c r="CV104" t="str">
        <f>""</f>
        <v/>
      </c>
      <c r="CW104" t="str">
        <f>""</f>
        <v/>
      </c>
      <c r="CX104" t="str">
        <f>""</f>
        <v/>
      </c>
      <c r="CY104" t="str">
        <f>""</f>
        <v/>
      </c>
      <c r="CZ104" t="str">
        <f>""</f>
        <v/>
      </c>
      <c r="DA104" t="str">
        <f>""</f>
        <v/>
      </c>
      <c r="DB104" t="str">
        <f>""</f>
        <v/>
      </c>
      <c r="DC104" t="str">
        <f>""</f>
        <v/>
      </c>
      <c r="DD104" t="str">
        <f>""</f>
        <v/>
      </c>
      <c r="DE104" t="str">
        <f>""</f>
        <v/>
      </c>
      <c r="DF104" t="str">
        <f>""</f>
        <v/>
      </c>
      <c r="DG104" t="str">
        <f>""</f>
        <v/>
      </c>
      <c r="DH104" t="str">
        <f>""</f>
        <v/>
      </c>
      <c r="DI104" t="str">
        <f>""</f>
        <v/>
      </c>
      <c r="DJ104" t="str">
        <f>""</f>
        <v/>
      </c>
      <c r="DK104" t="str">
        <f>""</f>
        <v/>
      </c>
      <c r="DL104" t="str">
        <f>""</f>
        <v/>
      </c>
      <c r="DM104" t="str">
        <f>""</f>
        <v/>
      </c>
      <c r="DN104" t="str">
        <f>""</f>
        <v/>
      </c>
      <c r="DO104" t="str">
        <f>""</f>
        <v/>
      </c>
      <c r="DP104" t="str">
        <f>""</f>
        <v/>
      </c>
      <c r="DQ104" t="str">
        <f>""</f>
        <v/>
      </c>
      <c r="DR104" t="str">
        <f>""</f>
        <v/>
      </c>
      <c r="DS104" t="str">
        <f>""</f>
        <v/>
      </c>
      <c r="DT104" t="str">
        <f>""</f>
        <v/>
      </c>
      <c r="DU104" t="str">
        <f>""</f>
        <v/>
      </c>
    </row>
    <row r="105" spans="1:125" x14ac:dyDescent="0.25">
      <c r="A105" t="str">
        <f>"    Honda Motor Co Ltd"</f>
        <v xml:space="preserve">    Honda Motor Co Ltd</v>
      </c>
      <c r="B105" t="str">
        <f>"7267 JP Equity"</f>
        <v>7267 JP Equity</v>
      </c>
      <c r="C105" t="str">
        <f t="shared" si="6"/>
        <v>EZ021</v>
      </c>
      <c r="D105" t="str">
        <f t="shared" si="7"/>
        <v>BEST_EPS_NXT_YR</v>
      </c>
      <c r="E105" t="str">
        <f t="shared" si="8"/>
        <v>Dynamic</v>
      </c>
      <c r="F105">
        <f ca="1">IF(AND(ISNUMBER($F$612),$B$511=1),$F$612,HLOOKUP(INDIRECT(ADDRESS(2,COLUMN())),OFFSET($BN$2,0,0,ROW()-1,60),ROW()-1,FALSE))</f>
        <v>3.8530000000000002</v>
      </c>
      <c r="G105">
        <f ca="1">IF(AND(ISNUMBER($G$612),$B$511=1),$G$612,HLOOKUP(INDIRECT(ADDRESS(2,COLUMN())),OFFSET($BN$2,0,0,ROW()-1,60),ROW()-1,FALSE))</f>
        <v>3.7869999999999999</v>
      </c>
      <c r="H105">
        <f ca="1">IF(AND(ISNUMBER($H$612),$B$511=1),$H$612,HLOOKUP(INDIRECT(ADDRESS(2,COLUMN())),OFFSET($BN$2,0,0,ROW()-1,60),ROW()-1,FALSE))</f>
        <v>3.8109999999999999</v>
      </c>
      <c r="I105">
        <f ca="1">IF(AND(ISNUMBER($I$612),$B$511=1),$I$612,HLOOKUP(INDIRECT(ADDRESS(2,COLUMN())),OFFSET($BN$2,0,0,ROW()-1,60),ROW()-1,FALSE))</f>
        <v>3.9689999999999999</v>
      </c>
      <c r="J105">
        <f ca="1">IF(AND(ISNUMBER($J$612),$B$511=1),$J$612,HLOOKUP(INDIRECT(ADDRESS(2,COLUMN())),OFFSET($BN$2,0,0,ROW()-1,60),ROW()-1,FALSE))</f>
        <v>4.3360000000000003</v>
      </c>
      <c r="K105">
        <f ca="1">IF(AND(ISNUMBER($K$612),$B$511=1),$K$612,HLOOKUP(INDIRECT(ADDRESS(2,COLUMN())),OFFSET($BN$2,0,0,ROW()-1,60),ROW()-1,FALSE))</f>
        <v>3.86</v>
      </c>
      <c r="L105">
        <f ca="1">IF(AND(ISNUMBER($L$612),$B$511=1),$L$612,HLOOKUP(INDIRECT(ADDRESS(2,COLUMN())),OFFSET($BN$2,0,0,ROW()-1,60),ROW()-1,FALSE))</f>
        <v>3.633</v>
      </c>
      <c r="M105">
        <f ca="1">IF(AND(ISNUMBER($M$612),$B$511=1),$M$612,HLOOKUP(INDIRECT(ADDRESS(2,COLUMN())),OFFSET($BN$2,0,0,ROW()-1,60),ROW()-1,FALSE))</f>
        <v>3.665</v>
      </c>
      <c r="N105">
        <f ca="1">IF(AND(ISNUMBER($N$612),$B$511=1),$N$612,HLOOKUP(INDIRECT(ADDRESS(2,COLUMN())),OFFSET($BN$2,0,0,ROW()-1,60),ROW()-1,FALSE))</f>
        <v>4.5439999999999996</v>
      </c>
      <c r="O105">
        <f ca="1">IF(AND(ISNUMBER($O$612),$B$511=1),$O$612,HLOOKUP(INDIRECT(ADDRESS(2,COLUMN())),OFFSET($BN$2,0,0,ROW()-1,60),ROW()-1,FALSE))</f>
        <v>4.1360000000000001</v>
      </c>
      <c r="P105">
        <f ca="1">IF(AND(ISNUMBER($P$612),$B$511=1),$P$612,HLOOKUP(INDIRECT(ADDRESS(2,COLUMN())),OFFSET($BN$2,0,0,ROW()-1,60),ROW()-1,FALSE))</f>
        <v>3.8420000000000001</v>
      </c>
      <c r="Q105">
        <f ca="1">IF(AND(ISNUMBER($Q$612),$B$511=1),$Q$612,HLOOKUP(INDIRECT(ADDRESS(2,COLUMN())),OFFSET($BN$2,0,0,ROW()-1,60),ROW()-1,FALSE))</f>
        <v>4.1779999999999999</v>
      </c>
      <c r="R105">
        <f ca="1">IF(AND(ISNUMBER($R$612),$B$511=1),$R$612,HLOOKUP(INDIRECT(ADDRESS(2,COLUMN())),OFFSET($BN$2,0,0,ROW()-1,60),ROW()-1,FALSE))</f>
        <v>3.605</v>
      </c>
      <c r="S105">
        <f ca="1">IF(AND(ISNUMBER($S$612),$B$511=1),$S$612,HLOOKUP(INDIRECT(ADDRESS(2,COLUMN())),OFFSET($BN$2,0,0,ROW()-1,60),ROW()-1,FALSE))</f>
        <v>3.835</v>
      </c>
      <c r="T105">
        <f ca="1">IF(AND(ISNUMBER($T$612),$B$511=1),$T$612,HLOOKUP(INDIRECT(ADDRESS(2,COLUMN())),OFFSET($BN$2,0,0,ROW()-1,60),ROW()-1,FALSE))</f>
        <v>3.8130000000000002</v>
      </c>
      <c r="U105">
        <f ca="1">IF(AND(ISNUMBER($U$612),$B$511=1),$U$612,HLOOKUP(INDIRECT(ADDRESS(2,COLUMN())),OFFSET($BN$2,0,0,ROW()-1,60),ROW()-1,FALSE))</f>
        <v>3.9809999999999999</v>
      </c>
      <c r="V105" t="str">
        <f ca="1">IF(AND(ISNUMBER($V$612),$B$511=1),$V$612,HLOOKUP(INDIRECT(ADDRESS(2,COLUMN())),OFFSET($BN$2,0,0,ROW()-1,60),ROW()-1,FALSE))</f>
        <v/>
      </c>
      <c r="W105" t="str">
        <f ca="1">IF(AND(ISNUMBER($W$612),$B$511=1),$W$612,HLOOKUP(INDIRECT(ADDRESS(2,COLUMN())),OFFSET($BN$2,0,0,ROW()-1,60),ROW()-1,FALSE))</f>
        <v/>
      </c>
      <c r="X105" t="str">
        <f ca="1">IF(AND(ISNUMBER($X$612),$B$511=1),$X$612,HLOOKUP(INDIRECT(ADDRESS(2,COLUMN())),OFFSET($BN$2,0,0,ROW()-1,60),ROW()-1,FALSE))</f>
        <v/>
      </c>
      <c r="Y105" t="str">
        <f ca="1">IF(AND(ISNUMBER($Y$612),$B$511=1),$Y$612,HLOOKUP(INDIRECT(ADDRESS(2,COLUMN())),OFFSET($BN$2,0,0,ROW()-1,60),ROW()-1,FALSE))</f>
        <v/>
      </c>
      <c r="Z105" t="str">
        <f ca="1">IF(AND(ISNUMBER($Z$612),$B$511=1),$Z$612,HLOOKUP(INDIRECT(ADDRESS(2,COLUMN())),OFFSET($BN$2,0,0,ROW()-1,60),ROW()-1,FALSE))</f>
        <v/>
      </c>
      <c r="AA105" t="str">
        <f ca="1">IF(AND(ISNUMBER($AA$612),$B$511=1),$AA$612,HLOOKUP(INDIRECT(ADDRESS(2,COLUMN())),OFFSET($BN$2,0,0,ROW()-1,60),ROW()-1,FALSE))</f>
        <v/>
      </c>
      <c r="AB105" t="str">
        <f ca="1">IF(AND(ISNUMBER($AB$612),$B$511=1),$AB$612,HLOOKUP(INDIRECT(ADDRESS(2,COLUMN())),OFFSET($BN$2,0,0,ROW()-1,60),ROW()-1,FALSE))</f>
        <v/>
      </c>
      <c r="AC105" t="str">
        <f ca="1">IF(AND(ISNUMBER($AC$612),$B$511=1),$AC$612,HLOOKUP(INDIRECT(ADDRESS(2,COLUMN())),OFFSET($BN$2,0,0,ROW()-1,60),ROW()-1,FALSE))</f>
        <v/>
      </c>
      <c r="AD105" t="str">
        <f ca="1">IF(AND(ISNUMBER($AD$612),$B$511=1),$AD$612,HLOOKUP(INDIRECT(ADDRESS(2,COLUMN())),OFFSET($BN$2,0,0,ROW()-1,60),ROW()-1,FALSE))</f>
        <v/>
      </c>
      <c r="AE105" t="str">
        <f ca="1">IF(AND(ISNUMBER($AE$612),$B$511=1),$AE$612,HLOOKUP(INDIRECT(ADDRESS(2,COLUMN())),OFFSET($BN$2,0,0,ROW()-1,60),ROW()-1,FALSE))</f>
        <v/>
      </c>
      <c r="AF105" t="str">
        <f ca="1">IF(AND(ISNUMBER($AF$612),$B$511=1),$AF$612,HLOOKUP(INDIRECT(ADDRESS(2,COLUMN())),OFFSET($BN$2,0,0,ROW()-1,60),ROW()-1,FALSE))</f>
        <v/>
      </c>
      <c r="AG105" t="str">
        <f ca="1">IF(AND(ISNUMBER($AG$612),$B$511=1),$AG$612,HLOOKUP(INDIRECT(ADDRESS(2,COLUMN())),OFFSET($BN$2,0,0,ROW()-1,60),ROW()-1,FALSE))</f>
        <v/>
      </c>
      <c r="AH105" t="str">
        <f ca="1">IF(AND(ISNUMBER($AH$612),$B$511=1),$AH$612,HLOOKUP(INDIRECT(ADDRESS(2,COLUMN())),OFFSET($BN$2,0,0,ROW()-1,60),ROW()-1,FALSE))</f>
        <v/>
      </c>
      <c r="AI105" t="str">
        <f ca="1">IF(AND(ISNUMBER($AI$612),$B$511=1),$AI$612,HLOOKUP(INDIRECT(ADDRESS(2,COLUMN())),OFFSET($BN$2,0,0,ROW()-1,60),ROW()-1,FALSE))</f>
        <v/>
      </c>
      <c r="AJ105" t="str">
        <f ca="1">IF(AND(ISNUMBER($AJ$612),$B$511=1),$AJ$612,HLOOKUP(INDIRECT(ADDRESS(2,COLUMN())),OFFSET($BN$2,0,0,ROW()-1,60),ROW()-1,FALSE))</f>
        <v/>
      </c>
      <c r="AK105" t="str">
        <f ca="1">IF(AND(ISNUMBER($AK$612),$B$511=1),$AK$612,HLOOKUP(INDIRECT(ADDRESS(2,COLUMN())),OFFSET($BN$2,0,0,ROW()-1,60),ROW()-1,FALSE))</f>
        <v/>
      </c>
      <c r="AL105" t="str">
        <f ca="1">IF(AND(ISNUMBER($AL$612),$B$511=1),$AL$612,HLOOKUP(INDIRECT(ADDRESS(2,COLUMN())),OFFSET($BN$2,0,0,ROW()-1,60),ROW()-1,FALSE))</f>
        <v/>
      </c>
      <c r="AM105" t="str">
        <f ca="1">IF(AND(ISNUMBER($AM$612),$B$511=1),$AM$612,HLOOKUP(INDIRECT(ADDRESS(2,COLUMN())),OFFSET($BN$2,0,0,ROW()-1,60),ROW()-1,FALSE))</f>
        <v/>
      </c>
      <c r="AN105" t="str">
        <f ca="1">IF(AND(ISNUMBER($AN$612),$B$511=1),$AN$612,HLOOKUP(INDIRECT(ADDRESS(2,COLUMN())),OFFSET($BN$2,0,0,ROW()-1,60),ROW()-1,FALSE))</f>
        <v/>
      </c>
      <c r="AO105" t="str">
        <f ca="1">IF(AND(ISNUMBER($AO$612),$B$511=1),$AO$612,HLOOKUP(INDIRECT(ADDRESS(2,COLUMN())),OFFSET($BN$2,0,0,ROW()-1,60),ROW()-1,FALSE))</f>
        <v/>
      </c>
      <c r="AP105" t="str">
        <f ca="1">IF(AND(ISNUMBER($AP$612),$B$511=1),$AP$612,HLOOKUP(INDIRECT(ADDRESS(2,COLUMN())),OFFSET($BN$2,0,0,ROW()-1,60),ROW()-1,FALSE))</f>
        <v/>
      </c>
      <c r="AQ105" t="str">
        <f ca="1">IF(AND(ISNUMBER($AQ$612),$B$511=1),$AQ$612,HLOOKUP(INDIRECT(ADDRESS(2,COLUMN())),OFFSET($BN$2,0,0,ROW()-1,60),ROW()-1,FALSE))</f>
        <v/>
      </c>
      <c r="AR105" t="str">
        <f ca="1">IF(AND(ISNUMBER($AR$612),$B$511=1),$AR$612,HLOOKUP(INDIRECT(ADDRESS(2,COLUMN())),OFFSET($BN$2,0,0,ROW()-1,60),ROW()-1,FALSE))</f>
        <v/>
      </c>
      <c r="AS105" t="str">
        <f ca="1">IF(AND(ISNUMBER($AS$612),$B$511=1),$AS$612,HLOOKUP(INDIRECT(ADDRESS(2,COLUMN())),OFFSET($BN$2,0,0,ROW()-1,60),ROW()-1,FALSE))</f>
        <v/>
      </c>
      <c r="AT105" t="str">
        <f ca="1">IF(AND(ISNUMBER($AT$612),$B$511=1),$AT$612,HLOOKUP(INDIRECT(ADDRESS(2,COLUMN())),OFFSET($BN$2,0,0,ROW()-1,60),ROW()-1,FALSE))</f>
        <v/>
      </c>
      <c r="AU105" t="str">
        <f ca="1">IF(AND(ISNUMBER($AU$612),$B$511=1),$AU$612,HLOOKUP(INDIRECT(ADDRESS(2,COLUMN())),OFFSET($BN$2,0,0,ROW()-1,60),ROW()-1,FALSE))</f>
        <v/>
      </c>
      <c r="AV105" t="str">
        <f ca="1">IF(AND(ISNUMBER($AV$612),$B$511=1),$AV$612,HLOOKUP(INDIRECT(ADDRESS(2,COLUMN())),OFFSET($BN$2,0,0,ROW()-1,60),ROW()-1,FALSE))</f>
        <v/>
      </c>
      <c r="AW105" t="str">
        <f ca="1">IF(AND(ISNUMBER($AW$612),$B$511=1),$AW$612,HLOOKUP(INDIRECT(ADDRESS(2,COLUMN())),OFFSET($BN$2,0,0,ROW()-1,60),ROW()-1,FALSE))</f>
        <v/>
      </c>
      <c r="AX105" t="str">
        <f ca="1">IF(AND(ISNUMBER($AX$612),$B$511=1),$AX$612,HLOOKUP(INDIRECT(ADDRESS(2,COLUMN())),OFFSET($BN$2,0,0,ROW()-1,60),ROW()-1,FALSE))</f>
        <v/>
      </c>
      <c r="AY105" t="str">
        <f ca="1">IF(AND(ISNUMBER($AY$612),$B$511=1),$AY$612,HLOOKUP(INDIRECT(ADDRESS(2,COLUMN())),OFFSET($BN$2,0,0,ROW()-1,60),ROW()-1,FALSE))</f>
        <v/>
      </c>
      <c r="AZ105" t="str">
        <f ca="1">IF(AND(ISNUMBER($AZ$612),$B$511=1),$AZ$612,HLOOKUP(INDIRECT(ADDRESS(2,COLUMN())),OFFSET($BN$2,0,0,ROW()-1,60),ROW()-1,FALSE))</f>
        <v/>
      </c>
      <c r="BA105" t="str">
        <f ca="1">IF(AND(ISNUMBER($BA$612),$B$511=1),$BA$612,HLOOKUP(INDIRECT(ADDRESS(2,COLUMN())),OFFSET($BN$2,0,0,ROW()-1,60),ROW()-1,FALSE))</f>
        <v/>
      </c>
      <c r="BB105" t="str">
        <f ca="1">IF(AND(ISNUMBER($BB$612),$B$511=1),$BB$612,HLOOKUP(INDIRECT(ADDRESS(2,COLUMN())),OFFSET($BN$2,0,0,ROW()-1,60),ROW()-1,FALSE))</f>
        <v/>
      </c>
      <c r="BC105" t="str">
        <f ca="1">IF(AND(ISNUMBER($BC$612),$B$511=1),$BC$612,HLOOKUP(INDIRECT(ADDRESS(2,COLUMN())),OFFSET($BN$2,0,0,ROW()-1,60),ROW()-1,FALSE))</f>
        <v/>
      </c>
      <c r="BD105" t="str">
        <f ca="1">IF(AND(ISNUMBER($BD$612),$B$511=1),$BD$612,HLOOKUP(INDIRECT(ADDRESS(2,COLUMN())),OFFSET($BN$2,0,0,ROW()-1,60),ROW()-1,FALSE))</f>
        <v/>
      </c>
      <c r="BE105" t="str">
        <f ca="1">IF(AND(ISNUMBER($BE$612),$B$511=1),$BE$612,HLOOKUP(INDIRECT(ADDRESS(2,COLUMN())),OFFSET($BN$2,0,0,ROW()-1,60),ROW()-1,FALSE))</f>
        <v/>
      </c>
      <c r="BF105" t="str">
        <f ca="1">IF(AND(ISNUMBER($BF$612),$B$511=1),$BF$612,HLOOKUP(INDIRECT(ADDRESS(2,COLUMN())),OFFSET($BN$2,0,0,ROW()-1,60),ROW()-1,FALSE))</f>
        <v/>
      </c>
      <c r="BG105" t="str">
        <f ca="1">IF(AND(ISNUMBER($BG$612),$B$511=1),$BG$612,HLOOKUP(INDIRECT(ADDRESS(2,COLUMN())),OFFSET($BN$2,0,0,ROW()-1,60),ROW()-1,FALSE))</f>
        <v/>
      </c>
      <c r="BH105" t="str">
        <f ca="1">IF(AND(ISNUMBER($BH$612),$B$511=1),$BH$612,HLOOKUP(INDIRECT(ADDRESS(2,COLUMN())),OFFSET($BN$2,0,0,ROW()-1,60),ROW()-1,FALSE))</f>
        <v/>
      </c>
      <c r="BI105" t="str">
        <f ca="1">IF(AND(ISNUMBER($BI$612),$B$511=1),$BI$612,HLOOKUP(INDIRECT(ADDRESS(2,COLUMN())),OFFSET($BN$2,0,0,ROW()-1,60),ROW()-1,FALSE))</f>
        <v/>
      </c>
      <c r="BJ105" t="str">
        <f ca="1">IF(AND(ISNUMBER($BJ$612),$B$511=1),$BJ$612,HLOOKUP(INDIRECT(ADDRESS(2,COLUMN())),OFFSET($BN$2,0,0,ROW()-1,60),ROW()-1,FALSE))</f>
        <v/>
      </c>
      <c r="BK105" t="str">
        <f ca="1">IF(AND(ISNUMBER($BK$612),$B$511=1),$BK$612,HLOOKUP(INDIRECT(ADDRESS(2,COLUMN())),OFFSET($BN$2,0,0,ROW()-1,60),ROW()-1,FALSE))</f>
        <v/>
      </c>
      <c r="BL105" t="str">
        <f ca="1">IF(AND(ISNUMBER($BL$612),$B$511=1),$BL$612,HLOOKUP(INDIRECT(ADDRESS(2,COLUMN())),OFFSET($BN$2,0,0,ROW()-1,60),ROW()-1,FALSE))</f>
        <v/>
      </c>
      <c r="BM105" t="str">
        <f ca="1">IF(AND(ISNUMBER($BM$612),$B$511=1),$BM$612,HLOOKUP(INDIRECT(ADDRESS(2,COLUMN())),OFFSET($BN$2,0,0,ROW()-1,60),ROW()-1,FALSE))</f>
        <v/>
      </c>
      <c r="BN105">
        <f>3.853</f>
        <v>3.8530000000000002</v>
      </c>
      <c r="BO105">
        <f>3.787</f>
        <v>3.7869999999999999</v>
      </c>
      <c r="BP105">
        <f>3.811</f>
        <v>3.8109999999999999</v>
      </c>
      <c r="BQ105">
        <f>3.969</f>
        <v>3.9689999999999999</v>
      </c>
      <c r="BR105">
        <f>4.336</f>
        <v>4.3360000000000003</v>
      </c>
      <c r="BS105">
        <f>3.86</f>
        <v>3.86</v>
      </c>
      <c r="BT105">
        <f>3.633</f>
        <v>3.633</v>
      </c>
      <c r="BU105">
        <f>3.665</f>
        <v>3.665</v>
      </c>
      <c r="BV105">
        <f>4.544</f>
        <v>4.5439999999999996</v>
      </c>
      <c r="BW105">
        <f>4.136</f>
        <v>4.1360000000000001</v>
      </c>
      <c r="BX105">
        <f>3.842</f>
        <v>3.8420000000000001</v>
      </c>
      <c r="BY105">
        <f>4.178</f>
        <v>4.1779999999999999</v>
      </c>
      <c r="BZ105">
        <f>3.605</f>
        <v>3.605</v>
      </c>
      <c r="CA105">
        <f>3.835</f>
        <v>3.835</v>
      </c>
      <c r="CB105">
        <f>3.813</f>
        <v>3.8130000000000002</v>
      </c>
      <c r="CC105">
        <f>3.981</f>
        <v>3.9809999999999999</v>
      </c>
      <c r="CD105" t="str">
        <f>""</f>
        <v/>
      </c>
      <c r="CE105" t="str">
        <f>""</f>
        <v/>
      </c>
      <c r="CF105" t="str">
        <f>""</f>
        <v/>
      </c>
      <c r="CG105" t="str">
        <f>""</f>
        <v/>
      </c>
      <c r="CH105" t="str">
        <f>""</f>
        <v/>
      </c>
      <c r="CI105" t="str">
        <f>""</f>
        <v/>
      </c>
      <c r="CJ105" t="str">
        <f>""</f>
        <v/>
      </c>
      <c r="CK105" t="str">
        <f>""</f>
        <v/>
      </c>
      <c r="CL105" t="str">
        <f>""</f>
        <v/>
      </c>
      <c r="CM105" t="str">
        <f>""</f>
        <v/>
      </c>
      <c r="CN105" t="str">
        <f>""</f>
        <v/>
      </c>
      <c r="CO105" t="str">
        <f>""</f>
        <v/>
      </c>
      <c r="CP105" t="str">
        <f>""</f>
        <v/>
      </c>
      <c r="CQ105" t="str">
        <f>""</f>
        <v/>
      </c>
      <c r="CR105" t="str">
        <f>""</f>
        <v/>
      </c>
      <c r="CS105" t="str">
        <f>""</f>
        <v/>
      </c>
      <c r="CT105" t="str">
        <f>""</f>
        <v/>
      </c>
      <c r="CU105" t="str">
        <f>""</f>
        <v/>
      </c>
      <c r="CV105" t="str">
        <f>""</f>
        <v/>
      </c>
      <c r="CW105" t="str">
        <f>""</f>
        <v/>
      </c>
      <c r="CX105" t="str">
        <f>""</f>
        <v/>
      </c>
      <c r="CY105" t="str">
        <f>""</f>
        <v/>
      </c>
      <c r="CZ105" t="str">
        <f>""</f>
        <v/>
      </c>
      <c r="DA105" t="str">
        <f>""</f>
        <v/>
      </c>
      <c r="DB105" t="str">
        <f>""</f>
        <v/>
      </c>
      <c r="DC105" t="str">
        <f>""</f>
        <v/>
      </c>
      <c r="DD105" t="str">
        <f>""</f>
        <v/>
      </c>
      <c r="DE105" t="str">
        <f>""</f>
        <v/>
      </c>
      <c r="DF105" t="str">
        <f>""</f>
        <v/>
      </c>
      <c r="DG105" t="str">
        <f>""</f>
        <v/>
      </c>
      <c r="DH105" t="str">
        <f>""</f>
        <v/>
      </c>
      <c r="DI105" t="str">
        <f>""</f>
        <v/>
      </c>
      <c r="DJ105" t="str">
        <f>""</f>
        <v/>
      </c>
      <c r="DK105" t="str">
        <f>""</f>
        <v/>
      </c>
      <c r="DL105" t="str">
        <f>""</f>
        <v/>
      </c>
      <c r="DM105" t="str">
        <f>""</f>
        <v/>
      </c>
      <c r="DN105" t="str">
        <f>""</f>
        <v/>
      </c>
      <c r="DO105" t="str">
        <f>""</f>
        <v/>
      </c>
      <c r="DP105" t="str">
        <f>""</f>
        <v/>
      </c>
      <c r="DQ105" t="str">
        <f>""</f>
        <v/>
      </c>
      <c r="DR105" t="str">
        <f>""</f>
        <v/>
      </c>
      <c r="DS105" t="str">
        <f>""</f>
        <v/>
      </c>
      <c r="DT105" t="str">
        <f>""</f>
        <v/>
      </c>
      <c r="DU105" t="str">
        <f>""</f>
        <v/>
      </c>
    </row>
    <row r="106" spans="1:125" x14ac:dyDescent="0.25">
      <c r="A106" t="str">
        <f>"    Hyundai Motor Co"</f>
        <v xml:space="preserve">    Hyundai Motor Co</v>
      </c>
      <c r="B106" t="str">
        <f>"005380 KS Equity"</f>
        <v>005380 KS Equity</v>
      </c>
      <c r="C106" t="str">
        <f t="shared" si="6"/>
        <v>EZ021</v>
      </c>
      <c r="D106" t="str">
        <f t="shared" si="7"/>
        <v>BEST_EPS_NXT_YR</v>
      </c>
      <c r="E106" t="str">
        <f t="shared" si="8"/>
        <v>Dynamic</v>
      </c>
      <c r="F106">
        <f ca="1">IF(AND(ISNUMBER($F$613),$B$511=1),$F$613,HLOOKUP(INDIRECT(ADDRESS(2,COLUMN())),OFFSET($BN$2,0,0,ROW()-1,60),ROW()-1,FALSE))</f>
        <v>14.144</v>
      </c>
      <c r="G106">
        <f ca="1">IF(AND(ISNUMBER($G$613),$B$511=1),$G$613,HLOOKUP(INDIRECT(ADDRESS(2,COLUMN())),OFFSET($BN$2,0,0,ROW()-1,60),ROW()-1,FALSE))</f>
        <v>14.831</v>
      </c>
      <c r="H106">
        <f ca="1">IF(AND(ISNUMBER($H$613),$B$511=1),$H$613,HLOOKUP(INDIRECT(ADDRESS(2,COLUMN())),OFFSET($BN$2,0,0,ROW()-1,60),ROW()-1,FALSE))</f>
        <v>17.526</v>
      </c>
      <c r="I106">
        <f ca="1">IF(AND(ISNUMBER($I$613),$B$511=1),$I$613,HLOOKUP(INDIRECT(ADDRESS(2,COLUMN())),OFFSET($BN$2,0,0,ROW()-1,60),ROW()-1,FALSE))</f>
        <v>18.196999999999999</v>
      </c>
      <c r="J106">
        <f ca="1">IF(AND(ISNUMBER($J$613),$B$511=1),$J$613,HLOOKUP(INDIRECT(ADDRESS(2,COLUMN())),OFFSET($BN$2,0,0,ROW()-1,60),ROW()-1,FALSE))</f>
        <v>19.905000000000001</v>
      </c>
      <c r="K106">
        <f ca="1">IF(AND(ISNUMBER($K$613),$B$511=1),$K$613,HLOOKUP(INDIRECT(ADDRESS(2,COLUMN())),OFFSET($BN$2,0,0,ROW()-1,60),ROW()-1,FALSE))</f>
        <v>22.244</v>
      </c>
      <c r="L106">
        <f ca="1">IF(AND(ISNUMBER($L$613),$B$511=1),$L$613,HLOOKUP(INDIRECT(ADDRESS(2,COLUMN())),OFFSET($BN$2,0,0,ROW()-1,60),ROW()-1,FALSE))</f>
        <v>22.547999999999998</v>
      </c>
      <c r="M106">
        <f ca="1">IF(AND(ISNUMBER($M$613),$B$511=1),$M$613,HLOOKUP(INDIRECT(ADDRESS(2,COLUMN())),OFFSET($BN$2,0,0,ROW()-1,60),ROW()-1,FALSE))</f>
        <v>23.834</v>
      </c>
      <c r="N106">
        <f ca="1">IF(AND(ISNUMBER($N$613),$B$511=1),$N$613,HLOOKUP(INDIRECT(ADDRESS(2,COLUMN())),OFFSET($BN$2,0,0,ROW()-1,60),ROW()-1,FALSE))</f>
        <v>23.597000000000001</v>
      </c>
      <c r="O106">
        <f ca="1">IF(AND(ISNUMBER($O$613),$B$511=1),$O$613,HLOOKUP(INDIRECT(ADDRESS(2,COLUMN())),OFFSET($BN$2,0,0,ROW()-1,60),ROW()-1,FALSE))</f>
        <v>25.143000000000001</v>
      </c>
      <c r="P106">
        <f ca="1">IF(AND(ISNUMBER($P$613),$B$511=1),$P$613,HLOOKUP(INDIRECT(ADDRESS(2,COLUMN())),OFFSET($BN$2,0,0,ROW()-1,60),ROW()-1,FALSE))</f>
        <v>29.954000000000001</v>
      </c>
      <c r="Q106">
        <f ca="1">IF(AND(ISNUMBER($Q$613),$B$511=1),$Q$613,HLOOKUP(INDIRECT(ADDRESS(2,COLUMN())),OFFSET($BN$2,0,0,ROW()-1,60),ROW()-1,FALSE))</f>
        <v>24.934999999999999</v>
      </c>
      <c r="R106">
        <f ca="1">IF(AND(ISNUMBER($R$613),$B$511=1),$R$613,HLOOKUP(INDIRECT(ADDRESS(2,COLUMN())),OFFSET($BN$2,0,0,ROW()-1,60),ROW()-1,FALSE))</f>
        <v>25.957000000000001</v>
      </c>
      <c r="S106" t="str">
        <f ca="1">IF(AND(ISNUMBER($S$613),$B$511=1),$S$613,HLOOKUP(INDIRECT(ADDRESS(2,COLUMN())),OFFSET($BN$2,0,0,ROW()-1,60),ROW()-1,FALSE))</f>
        <v/>
      </c>
      <c r="T106" t="str">
        <f ca="1">IF(AND(ISNUMBER($T$613),$B$511=1),$T$613,HLOOKUP(INDIRECT(ADDRESS(2,COLUMN())),OFFSET($BN$2,0,0,ROW()-1,60),ROW()-1,FALSE))</f>
        <v/>
      </c>
      <c r="U106" t="str">
        <f ca="1">IF(AND(ISNUMBER($U$613),$B$511=1),$U$613,HLOOKUP(INDIRECT(ADDRESS(2,COLUMN())),OFFSET($BN$2,0,0,ROW()-1,60),ROW()-1,FALSE))</f>
        <v/>
      </c>
      <c r="V106" t="str">
        <f ca="1">IF(AND(ISNUMBER($V$613),$B$511=1),$V$613,HLOOKUP(INDIRECT(ADDRESS(2,COLUMN())),OFFSET($BN$2,0,0,ROW()-1,60),ROW()-1,FALSE))</f>
        <v/>
      </c>
      <c r="W106" t="str">
        <f ca="1">IF(AND(ISNUMBER($W$613),$B$511=1),$W$613,HLOOKUP(INDIRECT(ADDRESS(2,COLUMN())),OFFSET($BN$2,0,0,ROW()-1,60),ROW()-1,FALSE))</f>
        <v/>
      </c>
      <c r="X106" t="str">
        <f ca="1">IF(AND(ISNUMBER($X$613),$B$511=1),$X$613,HLOOKUP(INDIRECT(ADDRESS(2,COLUMN())),OFFSET($BN$2,0,0,ROW()-1,60),ROW()-1,FALSE))</f>
        <v/>
      </c>
      <c r="Y106" t="str">
        <f ca="1">IF(AND(ISNUMBER($Y$613),$B$511=1),$Y$613,HLOOKUP(INDIRECT(ADDRESS(2,COLUMN())),OFFSET($BN$2,0,0,ROW()-1,60),ROW()-1,FALSE))</f>
        <v/>
      </c>
      <c r="Z106" t="str">
        <f ca="1">IF(AND(ISNUMBER($Z$613),$B$511=1),$Z$613,HLOOKUP(INDIRECT(ADDRESS(2,COLUMN())),OFFSET($BN$2,0,0,ROW()-1,60),ROW()-1,FALSE))</f>
        <v/>
      </c>
      <c r="AA106" t="str">
        <f ca="1">IF(AND(ISNUMBER($AA$613),$B$511=1),$AA$613,HLOOKUP(INDIRECT(ADDRESS(2,COLUMN())),OFFSET($BN$2,0,0,ROW()-1,60),ROW()-1,FALSE))</f>
        <v/>
      </c>
      <c r="AB106" t="str">
        <f ca="1">IF(AND(ISNUMBER($AB$613),$B$511=1),$AB$613,HLOOKUP(INDIRECT(ADDRESS(2,COLUMN())),OFFSET($BN$2,0,0,ROW()-1,60),ROW()-1,FALSE))</f>
        <v/>
      </c>
      <c r="AC106" t="str">
        <f ca="1">IF(AND(ISNUMBER($AC$613),$B$511=1),$AC$613,HLOOKUP(INDIRECT(ADDRESS(2,COLUMN())),OFFSET($BN$2,0,0,ROW()-1,60),ROW()-1,FALSE))</f>
        <v/>
      </c>
      <c r="AD106" t="str">
        <f ca="1">IF(AND(ISNUMBER($AD$613),$B$511=1),$AD$613,HLOOKUP(INDIRECT(ADDRESS(2,COLUMN())),OFFSET($BN$2,0,0,ROW()-1,60),ROW()-1,FALSE))</f>
        <v/>
      </c>
      <c r="AE106" t="str">
        <f ca="1">IF(AND(ISNUMBER($AE$613),$B$511=1),$AE$613,HLOOKUP(INDIRECT(ADDRESS(2,COLUMN())),OFFSET($BN$2,0,0,ROW()-1,60),ROW()-1,FALSE))</f>
        <v/>
      </c>
      <c r="AF106" t="str">
        <f ca="1">IF(AND(ISNUMBER($AF$613),$B$511=1),$AF$613,HLOOKUP(INDIRECT(ADDRESS(2,COLUMN())),OFFSET($BN$2,0,0,ROW()-1,60),ROW()-1,FALSE))</f>
        <v/>
      </c>
      <c r="AG106" t="str">
        <f ca="1">IF(AND(ISNUMBER($AG$613),$B$511=1),$AG$613,HLOOKUP(INDIRECT(ADDRESS(2,COLUMN())),OFFSET($BN$2,0,0,ROW()-1,60),ROW()-1,FALSE))</f>
        <v/>
      </c>
      <c r="AH106" t="str">
        <f ca="1">IF(AND(ISNUMBER($AH$613),$B$511=1),$AH$613,HLOOKUP(INDIRECT(ADDRESS(2,COLUMN())),OFFSET($BN$2,0,0,ROW()-1,60),ROW()-1,FALSE))</f>
        <v/>
      </c>
      <c r="AI106" t="str">
        <f ca="1">IF(AND(ISNUMBER($AI$613),$B$511=1),$AI$613,HLOOKUP(INDIRECT(ADDRESS(2,COLUMN())),OFFSET($BN$2,0,0,ROW()-1,60),ROW()-1,FALSE))</f>
        <v/>
      </c>
      <c r="AJ106" t="str">
        <f ca="1">IF(AND(ISNUMBER($AJ$613),$B$511=1),$AJ$613,HLOOKUP(INDIRECT(ADDRESS(2,COLUMN())),OFFSET($BN$2,0,0,ROW()-1,60),ROW()-1,FALSE))</f>
        <v/>
      </c>
      <c r="AK106" t="str">
        <f ca="1">IF(AND(ISNUMBER($AK$613),$B$511=1),$AK$613,HLOOKUP(INDIRECT(ADDRESS(2,COLUMN())),OFFSET($BN$2,0,0,ROW()-1,60),ROW()-1,FALSE))</f>
        <v/>
      </c>
      <c r="AL106" t="str">
        <f ca="1">IF(AND(ISNUMBER($AL$613),$B$511=1),$AL$613,HLOOKUP(INDIRECT(ADDRESS(2,COLUMN())),OFFSET($BN$2,0,0,ROW()-1,60),ROW()-1,FALSE))</f>
        <v/>
      </c>
      <c r="AM106" t="str">
        <f ca="1">IF(AND(ISNUMBER($AM$613),$B$511=1),$AM$613,HLOOKUP(INDIRECT(ADDRESS(2,COLUMN())),OFFSET($BN$2,0,0,ROW()-1,60),ROW()-1,FALSE))</f>
        <v/>
      </c>
      <c r="AN106" t="str">
        <f ca="1">IF(AND(ISNUMBER($AN$613),$B$511=1),$AN$613,HLOOKUP(INDIRECT(ADDRESS(2,COLUMN())),OFFSET($BN$2,0,0,ROW()-1,60),ROW()-1,FALSE))</f>
        <v/>
      </c>
      <c r="AO106" t="str">
        <f ca="1">IF(AND(ISNUMBER($AO$613),$B$511=1),$AO$613,HLOOKUP(INDIRECT(ADDRESS(2,COLUMN())),OFFSET($BN$2,0,0,ROW()-1,60),ROW()-1,FALSE))</f>
        <v/>
      </c>
      <c r="AP106" t="str">
        <f ca="1">IF(AND(ISNUMBER($AP$613),$B$511=1),$AP$613,HLOOKUP(INDIRECT(ADDRESS(2,COLUMN())),OFFSET($BN$2,0,0,ROW()-1,60),ROW()-1,FALSE))</f>
        <v/>
      </c>
      <c r="AQ106" t="str">
        <f ca="1">IF(AND(ISNUMBER($AQ$613),$B$511=1),$AQ$613,HLOOKUP(INDIRECT(ADDRESS(2,COLUMN())),OFFSET($BN$2,0,0,ROW()-1,60),ROW()-1,FALSE))</f>
        <v/>
      </c>
      <c r="AR106" t="str">
        <f ca="1">IF(AND(ISNUMBER($AR$613),$B$511=1),$AR$613,HLOOKUP(INDIRECT(ADDRESS(2,COLUMN())),OFFSET($BN$2,0,0,ROW()-1,60),ROW()-1,FALSE))</f>
        <v/>
      </c>
      <c r="AS106" t="str">
        <f ca="1">IF(AND(ISNUMBER($AS$613),$B$511=1),$AS$613,HLOOKUP(INDIRECT(ADDRESS(2,COLUMN())),OFFSET($BN$2,0,0,ROW()-1,60),ROW()-1,FALSE))</f>
        <v/>
      </c>
      <c r="AT106" t="str">
        <f ca="1">IF(AND(ISNUMBER($AT$613),$B$511=1),$AT$613,HLOOKUP(INDIRECT(ADDRESS(2,COLUMN())),OFFSET($BN$2,0,0,ROW()-1,60),ROW()-1,FALSE))</f>
        <v/>
      </c>
      <c r="AU106" t="str">
        <f ca="1">IF(AND(ISNUMBER($AU$613),$B$511=1),$AU$613,HLOOKUP(INDIRECT(ADDRESS(2,COLUMN())),OFFSET($BN$2,0,0,ROW()-1,60),ROW()-1,FALSE))</f>
        <v/>
      </c>
      <c r="AV106" t="str">
        <f ca="1">IF(AND(ISNUMBER($AV$613),$B$511=1),$AV$613,HLOOKUP(INDIRECT(ADDRESS(2,COLUMN())),OFFSET($BN$2,0,0,ROW()-1,60),ROW()-1,FALSE))</f>
        <v/>
      </c>
      <c r="AW106" t="str">
        <f ca="1">IF(AND(ISNUMBER($AW$613),$B$511=1),$AW$613,HLOOKUP(INDIRECT(ADDRESS(2,COLUMN())),OFFSET($BN$2,0,0,ROW()-1,60),ROW()-1,FALSE))</f>
        <v/>
      </c>
      <c r="AX106" t="str">
        <f ca="1">IF(AND(ISNUMBER($AX$613),$B$511=1),$AX$613,HLOOKUP(INDIRECT(ADDRESS(2,COLUMN())),OFFSET($BN$2,0,0,ROW()-1,60),ROW()-1,FALSE))</f>
        <v/>
      </c>
      <c r="AY106" t="str">
        <f ca="1">IF(AND(ISNUMBER($AY$613),$B$511=1),$AY$613,HLOOKUP(INDIRECT(ADDRESS(2,COLUMN())),OFFSET($BN$2,0,0,ROW()-1,60),ROW()-1,FALSE))</f>
        <v/>
      </c>
      <c r="AZ106" t="str">
        <f ca="1">IF(AND(ISNUMBER($AZ$613),$B$511=1),$AZ$613,HLOOKUP(INDIRECT(ADDRESS(2,COLUMN())),OFFSET($BN$2,0,0,ROW()-1,60),ROW()-1,FALSE))</f>
        <v/>
      </c>
      <c r="BA106" t="str">
        <f ca="1">IF(AND(ISNUMBER($BA$613),$B$511=1),$BA$613,HLOOKUP(INDIRECT(ADDRESS(2,COLUMN())),OFFSET($BN$2,0,0,ROW()-1,60),ROW()-1,FALSE))</f>
        <v/>
      </c>
      <c r="BB106" t="str">
        <f ca="1">IF(AND(ISNUMBER($BB$613),$B$511=1),$BB$613,HLOOKUP(INDIRECT(ADDRESS(2,COLUMN())),OFFSET($BN$2,0,0,ROW()-1,60),ROW()-1,FALSE))</f>
        <v/>
      </c>
      <c r="BC106" t="str">
        <f ca="1">IF(AND(ISNUMBER($BC$613),$B$511=1),$BC$613,HLOOKUP(INDIRECT(ADDRESS(2,COLUMN())),OFFSET($BN$2,0,0,ROW()-1,60),ROW()-1,FALSE))</f>
        <v/>
      </c>
      <c r="BD106" t="str">
        <f ca="1">IF(AND(ISNUMBER($BD$613),$B$511=1),$BD$613,HLOOKUP(INDIRECT(ADDRESS(2,COLUMN())),OFFSET($BN$2,0,0,ROW()-1,60),ROW()-1,FALSE))</f>
        <v/>
      </c>
      <c r="BE106" t="str">
        <f ca="1">IF(AND(ISNUMBER($BE$613),$B$511=1),$BE$613,HLOOKUP(INDIRECT(ADDRESS(2,COLUMN())),OFFSET($BN$2,0,0,ROW()-1,60),ROW()-1,FALSE))</f>
        <v/>
      </c>
      <c r="BF106" t="str">
        <f ca="1">IF(AND(ISNUMBER($BF$613),$B$511=1),$BF$613,HLOOKUP(INDIRECT(ADDRESS(2,COLUMN())),OFFSET($BN$2,0,0,ROW()-1,60),ROW()-1,FALSE))</f>
        <v/>
      </c>
      <c r="BG106" t="str">
        <f ca="1">IF(AND(ISNUMBER($BG$613),$B$511=1),$BG$613,HLOOKUP(INDIRECT(ADDRESS(2,COLUMN())),OFFSET($BN$2,0,0,ROW()-1,60),ROW()-1,FALSE))</f>
        <v/>
      </c>
      <c r="BH106" t="str">
        <f ca="1">IF(AND(ISNUMBER($BH$613),$B$511=1),$BH$613,HLOOKUP(INDIRECT(ADDRESS(2,COLUMN())),OFFSET($BN$2,0,0,ROW()-1,60),ROW()-1,FALSE))</f>
        <v/>
      </c>
      <c r="BI106" t="str">
        <f ca="1">IF(AND(ISNUMBER($BI$613),$B$511=1),$BI$613,HLOOKUP(INDIRECT(ADDRESS(2,COLUMN())),OFFSET($BN$2,0,0,ROW()-1,60),ROW()-1,FALSE))</f>
        <v/>
      </c>
      <c r="BJ106" t="str">
        <f ca="1">IF(AND(ISNUMBER($BJ$613),$B$511=1),$BJ$613,HLOOKUP(INDIRECT(ADDRESS(2,COLUMN())),OFFSET($BN$2,0,0,ROW()-1,60),ROW()-1,FALSE))</f>
        <v/>
      </c>
      <c r="BK106" t="str">
        <f ca="1">IF(AND(ISNUMBER($BK$613),$B$511=1),$BK$613,HLOOKUP(INDIRECT(ADDRESS(2,COLUMN())),OFFSET($BN$2,0,0,ROW()-1,60),ROW()-1,FALSE))</f>
        <v/>
      </c>
      <c r="BL106" t="str">
        <f ca="1">IF(AND(ISNUMBER($BL$613),$B$511=1),$BL$613,HLOOKUP(INDIRECT(ADDRESS(2,COLUMN())),OFFSET($BN$2,0,0,ROW()-1,60),ROW()-1,FALSE))</f>
        <v/>
      </c>
      <c r="BM106" t="str">
        <f ca="1">IF(AND(ISNUMBER($BM$613),$B$511=1),$BM$613,HLOOKUP(INDIRECT(ADDRESS(2,COLUMN())),OFFSET($BN$2,0,0,ROW()-1,60),ROW()-1,FALSE))</f>
        <v/>
      </c>
      <c r="BN106">
        <f>14.144</f>
        <v>14.144</v>
      </c>
      <c r="BO106">
        <f>14.831</f>
        <v>14.831</v>
      </c>
      <c r="BP106">
        <f>17.526</f>
        <v>17.526</v>
      </c>
      <c r="BQ106">
        <f>18.197</f>
        <v>18.196999999999999</v>
      </c>
      <c r="BR106">
        <f>19.905</f>
        <v>19.905000000000001</v>
      </c>
      <c r="BS106">
        <f>22.244</f>
        <v>22.244</v>
      </c>
      <c r="BT106">
        <f>22.548</f>
        <v>22.547999999999998</v>
      </c>
      <c r="BU106">
        <f>23.834</f>
        <v>23.834</v>
      </c>
      <c r="BV106">
        <f>23.597</f>
        <v>23.597000000000001</v>
      </c>
      <c r="BW106">
        <f>25.143</f>
        <v>25.143000000000001</v>
      </c>
      <c r="BX106">
        <f>29.954</f>
        <v>29.954000000000001</v>
      </c>
      <c r="BY106">
        <f>24.935</f>
        <v>24.934999999999999</v>
      </c>
      <c r="BZ106">
        <f>25.957</f>
        <v>25.957000000000001</v>
      </c>
      <c r="CA106" t="str">
        <f>""</f>
        <v/>
      </c>
      <c r="CB106" t="str">
        <f>""</f>
        <v/>
      </c>
      <c r="CC106" t="str">
        <f>""</f>
        <v/>
      </c>
      <c r="CD106" t="str">
        <f>""</f>
        <v/>
      </c>
      <c r="CE106" t="str">
        <f>""</f>
        <v/>
      </c>
      <c r="CF106" t="str">
        <f>""</f>
        <v/>
      </c>
      <c r="CG106" t="str">
        <f>""</f>
        <v/>
      </c>
      <c r="CH106" t="str">
        <f>""</f>
        <v/>
      </c>
      <c r="CI106" t="str">
        <f>""</f>
        <v/>
      </c>
      <c r="CJ106" t="str">
        <f>""</f>
        <v/>
      </c>
      <c r="CK106" t="str">
        <f>""</f>
        <v/>
      </c>
      <c r="CL106" t="str">
        <f>""</f>
        <v/>
      </c>
      <c r="CM106" t="str">
        <f>""</f>
        <v/>
      </c>
      <c r="CN106" t="str">
        <f>""</f>
        <v/>
      </c>
      <c r="CO106" t="str">
        <f>""</f>
        <v/>
      </c>
      <c r="CP106" t="str">
        <f>""</f>
        <v/>
      </c>
      <c r="CQ106" t="str">
        <f>""</f>
        <v/>
      </c>
      <c r="CR106" t="str">
        <f>""</f>
        <v/>
      </c>
      <c r="CS106" t="str">
        <f>""</f>
        <v/>
      </c>
      <c r="CT106" t="str">
        <f>""</f>
        <v/>
      </c>
      <c r="CU106" t="str">
        <f>""</f>
        <v/>
      </c>
      <c r="CV106" t="str">
        <f>""</f>
        <v/>
      </c>
      <c r="CW106" t="str">
        <f>""</f>
        <v/>
      </c>
      <c r="CX106" t="str">
        <f>""</f>
        <v/>
      </c>
      <c r="CY106" t="str">
        <f>""</f>
        <v/>
      </c>
      <c r="CZ106" t="str">
        <f>""</f>
        <v/>
      </c>
      <c r="DA106" t="str">
        <f>""</f>
        <v/>
      </c>
      <c r="DB106" t="str">
        <f>""</f>
        <v/>
      </c>
      <c r="DC106" t="str">
        <f>""</f>
        <v/>
      </c>
      <c r="DD106" t="str">
        <f>""</f>
        <v/>
      </c>
      <c r="DE106" t="str">
        <f>""</f>
        <v/>
      </c>
      <c r="DF106" t="str">
        <f>""</f>
        <v/>
      </c>
      <c r="DG106" t="str">
        <f>""</f>
        <v/>
      </c>
      <c r="DH106" t="str">
        <f>""</f>
        <v/>
      </c>
      <c r="DI106" t="str">
        <f>""</f>
        <v/>
      </c>
      <c r="DJ106" t="str">
        <f>""</f>
        <v/>
      </c>
      <c r="DK106" t="str">
        <f>""</f>
        <v/>
      </c>
      <c r="DL106" t="str">
        <f>""</f>
        <v/>
      </c>
      <c r="DM106" t="str">
        <f>""</f>
        <v/>
      </c>
      <c r="DN106" t="str">
        <f>""</f>
        <v/>
      </c>
      <c r="DO106" t="str">
        <f>""</f>
        <v/>
      </c>
      <c r="DP106" t="str">
        <f>""</f>
        <v/>
      </c>
      <c r="DQ106" t="str">
        <f>""</f>
        <v/>
      </c>
      <c r="DR106" t="str">
        <f>""</f>
        <v/>
      </c>
      <c r="DS106" t="str">
        <f>""</f>
        <v/>
      </c>
      <c r="DT106" t="str">
        <f>""</f>
        <v/>
      </c>
      <c r="DU106" t="str">
        <f>""</f>
        <v/>
      </c>
    </row>
    <row r="107" spans="1:125" x14ac:dyDescent="0.25">
      <c r="A107" t="str">
        <f>"    Kia Motors Corp"</f>
        <v xml:space="preserve">    Kia Motors Corp</v>
      </c>
      <c r="B107" t="str">
        <f>"000270 KS Equity"</f>
        <v>000270 KS Equity</v>
      </c>
      <c r="C107" t="str">
        <f t="shared" si="6"/>
        <v>EZ021</v>
      </c>
      <c r="D107" t="str">
        <f t="shared" si="7"/>
        <v>BEST_EPS_NXT_YR</v>
      </c>
      <c r="E107" t="str">
        <f t="shared" si="8"/>
        <v>Dynamic</v>
      </c>
      <c r="F107">
        <f ca="1">IF(AND(ISNUMBER($F$614),$B$511=1),$F$614,HLOOKUP(INDIRECT(ADDRESS(2,COLUMN())),OFFSET($BN$2,0,0,ROW()-1,60),ROW()-1,FALSE))</f>
        <v>4.5999999999999996</v>
      </c>
      <c r="G107">
        <f ca="1">IF(AND(ISNUMBER($G$614),$B$511=1),$G$614,HLOOKUP(INDIRECT(ADDRESS(2,COLUMN())),OFFSET($BN$2,0,0,ROW()-1,60),ROW()-1,FALSE))</f>
        <v>4.7779999999999996</v>
      </c>
      <c r="H107">
        <f ca="1">IF(AND(ISNUMBER($H$614),$B$511=1),$H$614,HLOOKUP(INDIRECT(ADDRESS(2,COLUMN())),OFFSET($BN$2,0,0,ROW()-1,60),ROW()-1,FALSE))</f>
        <v>5.43</v>
      </c>
      <c r="I107">
        <f ca="1">IF(AND(ISNUMBER($I$614),$B$511=1),$I$614,HLOOKUP(INDIRECT(ADDRESS(2,COLUMN())),OFFSET($BN$2,0,0,ROW()-1,60),ROW()-1,FALSE))</f>
        <v>5.431</v>
      </c>
      <c r="J107">
        <f ca="1">IF(AND(ISNUMBER($J$614),$B$511=1),$J$614,HLOOKUP(INDIRECT(ADDRESS(2,COLUMN())),OFFSET($BN$2,0,0,ROW()-1,60),ROW()-1,FALSE))</f>
        <v>5.5279999999999996</v>
      </c>
      <c r="K107">
        <f ca="1">IF(AND(ISNUMBER($K$614),$B$511=1),$K$614,HLOOKUP(INDIRECT(ADDRESS(2,COLUMN())),OFFSET($BN$2,0,0,ROW()-1,60),ROW()-1,FALSE))</f>
        <v>6.1749999999999998</v>
      </c>
      <c r="L107">
        <f ca="1">IF(AND(ISNUMBER($L$614),$B$511=1),$L$614,HLOOKUP(INDIRECT(ADDRESS(2,COLUMN())),OFFSET($BN$2,0,0,ROW()-1,60),ROW()-1,FALSE))</f>
        <v>6.1909999999999998</v>
      </c>
      <c r="M107">
        <f ca="1">IF(AND(ISNUMBER($M$614),$B$511=1),$M$614,HLOOKUP(INDIRECT(ADDRESS(2,COLUMN())),OFFSET($BN$2,0,0,ROW()-1,60),ROW()-1,FALSE))</f>
        <v>6.202</v>
      </c>
      <c r="N107">
        <f ca="1">IF(AND(ISNUMBER($N$614),$B$511=1),$N$614,HLOOKUP(INDIRECT(ADDRESS(2,COLUMN())),OFFSET($BN$2,0,0,ROW()-1,60),ROW()-1,FALSE))</f>
        <v>6.524</v>
      </c>
      <c r="O107">
        <f ca="1">IF(AND(ISNUMBER($O$614),$B$511=1),$O$614,HLOOKUP(INDIRECT(ADDRESS(2,COLUMN())),OFFSET($BN$2,0,0,ROW()-1,60),ROW()-1,FALSE))</f>
        <v>7.18</v>
      </c>
      <c r="P107">
        <f ca="1">IF(AND(ISNUMBER($P$614),$B$511=1),$P$614,HLOOKUP(INDIRECT(ADDRESS(2,COLUMN())),OFFSET($BN$2,0,0,ROW()-1,60),ROW()-1,FALSE))</f>
        <v>8.6270000000000007</v>
      </c>
      <c r="Q107">
        <f ca="1">IF(AND(ISNUMBER($Q$614),$B$511=1),$Q$614,HLOOKUP(INDIRECT(ADDRESS(2,COLUMN())),OFFSET($BN$2,0,0,ROW()-1,60),ROW()-1,FALSE))</f>
        <v>5.4660000000000002</v>
      </c>
      <c r="R107">
        <f ca="1">IF(AND(ISNUMBER($R$614),$B$511=1),$R$614,HLOOKUP(INDIRECT(ADDRESS(2,COLUMN())),OFFSET($BN$2,0,0,ROW()-1,60),ROW()-1,FALSE))</f>
        <v>6.923</v>
      </c>
      <c r="S107" t="str">
        <f ca="1">IF(AND(ISNUMBER($S$614),$B$511=1),$S$614,HLOOKUP(INDIRECT(ADDRESS(2,COLUMN())),OFFSET($BN$2,0,0,ROW()-1,60),ROW()-1,FALSE))</f>
        <v/>
      </c>
      <c r="T107" t="str">
        <f ca="1">IF(AND(ISNUMBER($T$614),$B$511=1),$T$614,HLOOKUP(INDIRECT(ADDRESS(2,COLUMN())),OFFSET($BN$2,0,0,ROW()-1,60),ROW()-1,FALSE))</f>
        <v/>
      </c>
      <c r="U107" t="str">
        <f ca="1">IF(AND(ISNUMBER($U$614),$B$511=1),$U$614,HLOOKUP(INDIRECT(ADDRESS(2,COLUMN())),OFFSET($BN$2,0,0,ROW()-1,60),ROW()-1,FALSE))</f>
        <v/>
      </c>
      <c r="V107" t="str">
        <f ca="1">IF(AND(ISNUMBER($V$614),$B$511=1),$V$614,HLOOKUP(INDIRECT(ADDRESS(2,COLUMN())),OFFSET($BN$2,0,0,ROW()-1,60),ROW()-1,FALSE))</f>
        <v/>
      </c>
      <c r="W107" t="str">
        <f ca="1">IF(AND(ISNUMBER($W$614),$B$511=1),$W$614,HLOOKUP(INDIRECT(ADDRESS(2,COLUMN())),OFFSET($BN$2,0,0,ROW()-1,60),ROW()-1,FALSE))</f>
        <v/>
      </c>
      <c r="X107" t="str">
        <f ca="1">IF(AND(ISNUMBER($X$614),$B$511=1),$X$614,HLOOKUP(INDIRECT(ADDRESS(2,COLUMN())),OFFSET($BN$2,0,0,ROW()-1,60),ROW()-1,FALSE))</f>
        <v/>
      </c>
      <c r="Y107" t="str">
        <f ca="1">IF(AND(ISNUMBER($Y$614),$B$511=1),$Y$614,HLOOKUP(INDIRECT(ADDRESS(2,COLUMN())),OFFSET($BN$2,0,0,ROW()-1,60),ROW()-1,FALSE))</f>
        <v/>
      </c>
      <c r="Z107" t="str">
        <f ca="1">IF(AND(ISNUMBER($Z$614),$B$511=1),$Z$614,HLOOKUP(INDIRECT(ADDRESS(2,COLUMN())),OFFSET($BN$2,0,0,ROW()-1,60),ROW()-1,FALSE))</f>
        <v/>
      </c>
      <c r="AA107" t="str">
        <f ca="1">IF(AND(ISNUMBER($AA$614),$B$511=1),$AA$614,HLOOKUP(INDIRECT(ADDRESS(2,COLUMN())),OFFSET($BN$2,0,0,ROW()-1,60),ROW()-1,FALSE))</f>
        <v/>
      </c>
      <c r="AB107" t="str">
        <f ca="1">IF(AND(ISNUMBER($AB$614),$B$511=1),$AB$614,HLOOKUP(INDIRECT(ADDRESS(2,COLUMN())),OFFSET($BN$2,0,0,ROW()-1,60),ROW()-1,FALSE))</f>
        <v/>
      </c>
      <c r="AC107" t="str">
        <f ca="1">IF(AND(ISNUMBER($AC$614),$B$511=1),$AC$614,HLOOKUP(INDIRECT(ADDRESS(2,COLUMN())),OFFSET($BN$2,0,0,ROW()-1,60),ROW()-1,FALSE))</f>
        <v/>
      </c>
      <c r="AD107" t="str">
        <f ca="1">IF(AND(ISNUMBER($AD$614),$B$511=1),$AD$614,HLOOKUP(INDIRECT(ADDRESS(2,COLUMN())),OFFSET($BN$2,0,0,ROW()-1,60),ROW()-1,FALSE))</f>
        <v/>
      </c>
      <c r="AE107" t="str">
        <f ca="1">IF(AND(ISNUMBER($AE$614),$B$511=1),$AE$614,HLOOKUP(INDIRECT(ADDRESS(2,COLUMN())),OFFSET($BN$2,0,0,ROW()-1,60),ROW()-1,FALSE))</f>
        <v/>
      </c>
      <c r="AF107" t="str">
        <f ca="1">IF(AND(ISNUMBER($AF$614),$B$511=1),$AF$614,HLOOKUP(INDIRECT(ADDRESS(2,COLUMN())),OFFSET($BN$2,0,0,ROW()-1,60),ROW()-1,FALSE))</f>
        <v/>
      </c>
      <c r="AG107" t="str">
        <f ca="1">IF(AND(ISNUMBER($AG$614),$B$511=1),$AG$614,HLOOKUP(INDIRECT(ADDRESS(2,COLUMN())),OFFSET($BN$2,0,0,ROW()-1,60),ROW()-1,FALSE))</f>
        <v/>
      </c>
      <c r="AH107" t="str">
        <f ca="1">IF(AND(ISNUMBER($AH$614),$B$511=1),$AH$614,HLOOKUP(INDIRECT(ADDRESS(2,COLUMN())),OFFSET($BN$2,0,0,ROW()-1,60),ROW()-1,FALSE))</f>
        <v/>
      </c>
      <c r="AI107" t="str">
        <f ca="1">IF(AND(ISNUMBER($AI$614),$B$511=1),$AI$614,HLOOKUP(INDIRECT(ADDRESS(2,COLUMN())),OFFSET($BN$2,0,0,ROW()-1,60),ROW()-1,FALSE))</f>
        <v/>
      </c>
      <c r="AJ107" t="str">
        <f ca="1">IF(AND(ISNUMBER($AJ$614),$B$511=1),$AJ$614,HLOOKUP(INDIRECT(ADDRESS(2,COLUMN())),OFFSET($BN$2,0,0,ROW()-1,60),ROW()-1,FALSE))</f>
        <v/>
      </c>
      <c r="AK107" t="str">
        <f ca="1">IF(AND(ISNUMBER($AK$614),$B$511=1),$AK$614,HLOOKUP(INDIRECT(ADDRESS(2,COLUMN())),OFFSET($BN$2,0,0,ROW()-1,60),ROW()-1,FALSE))</f>
        <v/>
      </c>
      <c r="AL107" t="str">
        <f ca="1">IF(AND(ISNUMBER($AL$614),$B$511=1),$AL$614,HLOOKUP(INDIRECT(ADDRESS(2,COLUMN())),OFFSET($BN$2,0,0,ROW()-1,60),ROW()-1,FALSE))</f>
        <v/>
      </c>
      <c r="AM107" t="str">
        <f ca="1">IF(AND(ISNUMBER($AM$614),$B$511=1),$AM$614,HLOOKUP(INDIRECT(ADDRESS(2,COLUMN())),OFFSET($BN$2,0,0,ROW()-1,60),ROW()-1,FALSE))</f>
        <v/>
      </c>
      <c r="AN107" t="str">
        <f ca="1">IF(AND(ISNUMBER($AN$614),$B$511=1),$AN$614,HLOOKUP(INDIRECT(ADDRESS(2,COLUMN())),OFFSET($BN$2,0,0,ROW()-1,60),ROW()-1,FALSE))</f>
        <v/>
      </c>
      <c r="AO107" t="str">
        <f ca="1">IF(AND(ISNUMBER($AO$614),$B$511=1),$AO$614,HLOOKUP(INDIRECT(ADDRESS(2,COLUMN())),OFFSET($BN$2,0,0,ROW()-1,60),ROW()-1,FALSE))</f>
        <v/>
      </c>
      <c r="AP107" t="str">
        <f ca="1">IF(AND(ISNUMBER($AP$614),$B$511=1),$AP$614,HLOOKUP(INDIRECT(ADDRESS(2,COLUMN())),OFFSET($BN$2,0,0,ROW()-1,60),ROW()-1,FALSE))</f>
        <v/>
      </c>
      <c r="AQ107" t="str">
        <f ca="1">IF(AND(ISNUMBER($AQ$614),$B$511=1),$AQ$614,HLOOKUP(INDIRECT(ADDRESS(2,COLUMN())),OFFSET($BN$2,0,0,ROW()-1,60),ROW()-1,FALSE))</f>
        <v/>
      </c>
      <c r="AR107" t="str">
        <f ca="1">IF(AND(ISNUMBER($AR$614),$B$511=1),$AR$614,HLOOKUP(INDIRECT(ADDRESS(2,COLUMN())),OFFSET($BN$2,0,0,ROW()-1,60),ROW()-1,FALSE))</f>
        <v/>
      </c>
      <c r="AS107" t="str">
        <f ca="1">IF(AND(ISNUMBER($AS$614),$B$511=1),$AS$614,HLOOKUP(INDIRECT(ADDRESS(2,COLUMN())),OFFSET($BN$2,0,0,ROW()-1,60),ROW()-1,FALSE))</f>
        <v/>
      </c>
      <c r="AT107" t="str">
        <f ca="1">IF(AND(ISNUMBER($AT$614),$B$511=1),$AT$614,HLOOKUP(INDIRECT(ADDRESS(2,COLUMN())),OFFSET($BN$2,0,0,ROW()-1,60),ROW()-1,FALSE))</f>
        <v/>
      </c>
      <c r="AU107" t="str">
        <f ca="1">IF(AND(ISNUMBER($AU$614),$B$511=1),$AU$614,HLOOKUP(INDIRECT(ADDRESS(2,COLUMN())),OFFSET($BN$2,0,0,ROW()-1,60),ROW()-1,FALSE))</f>
        <v/>
      </c>
      <c r="AV107" t="str">
        <f ca="1">IF(AND(ISNUMBER($AV$614),$B$511=1),$AV$614,HLOOKUP(INDIRECT(ADDRESS(2,COLUMN())),OFFSET($BN$2,0,0,ROW()-1,60),ROW()-1,FALSE))</f>
        <v/>
      </c>
      <c r="AW107" t="str">
        <f ca="1">IF(AND(ISNUMBER($AW$614),$B$511=1),$AW$614,HLOOKUP(INDIRECT(ADDRESS(2,COLUMN())),OFFSET($BN$2,0,0,ROW()-1,60),ROW()-1,FALSE))</f>
        <v/>
      </c>
      <c r="AX107" t="str">
        <f ca="1">IF(AND(ISNUMBER($AX$614),$B$511=1),$AX$614,HLOOKUP(INDIRECT(ADDRESS(2,COLUMN())),OFFSET($BN$2,0,0,ROW()-1,60),ROW()-1,FALSE))</f>
        <v/>
      </c>
      <c r="AY107" t="str">
        <f ca="1">IF(AND(ISNUMBER($AY$614),$B$511=1),$AY$614,HLOOKUP(INDIRECT(ADDRESS(2,COLUMN())),OFFSET($BN$2,0,0,ROW()-1,60),ROW()-1,FALSE))</f>
        <v/>
      </c>
      <c r="AZ107" t="str">
        <f ca="1">IF(AND(ISNUMBER($AZ$614),$B$511=1),$AZ$614,HLOOKUP(INDIRECT(ADDRESS(2,COLUMN())),OFFSET($BN$2,0,0,ROW()-1,60),ROW()-1,FALSE))</f>
        <v/>
      </c>
      <c r="BA107" t="str">
        <f ca="1">IF(AND(ISNUMBER($BA$614),$B$511=1),$BA$614,HLOOKUP(INDIRECT(ADDRESS(2,COLUMN())),OFFSET($BN$2,0,0,ROW()-1,60),ROW()-1,FALSE))</f>
        <v/>
      </c>
      <c r="BB107" t="str">
        <f ca="1">IF(AND(ISNUMBER($BB$614),$B$511=1),$BB$614,HLOOKUP(INDIRECT(ADDRESS(2,COLUMN())),OFFSET($BN$2,0,0,ROW()-1,60),ROW()-1,FALSE))</f>
        <v/>
      </c>
      <c r="BC107" t="str">
        <f ca="1">IF(AND(ISNUMBER($BC$614),$B$511=1),$BC$614,HLOOKUP(INDIRECT(ADDRESS(2,COLUMN())),OFFSET($BN$2,0,0,ROW()-1,60),ROW()-1,FALSE))</f>
        <v/>
      </c>
      <c r="BD107" t="str">
        <f ca="1">IF(AND(ISNUMBER($BD$614),$B$511=1),$BD$614,HLOOKUP(INDIRECT(ADDRESS(2,COLUMN())),OFFSET($BN$2,0,0,ROW()-1,60),ROW()-1,FALSE))</f>
        <v/>
      </c>
      <c r="BE107" t="str">
        <f ca="1">IF(AND(ISNUMBER($BE$614),$B$511=1),$BE$614,HLOOKUP(INDIRECT(ADDRESS(2,COLUMN())),OFFSET($BN$2,0,0,ROW()-1,60),ROW()-1,FALSE))</f>
        <v/>
      </c>
      <c r="BF107" t="str">
        <f ca="1">IF(AND(ISNUMBER($BF$614),$B$511=1),$BF$614,HLOOKUP(INDIRECT(ADDRESS(2,COLUMN())),OFFSET($BN$2,0,0,ROW()-1,60),ROW()-1,FALSE))</f>
        <v/>
      </c>
      <c r="BG107" t="str">
        <f ca="1">IF(AND(ISNUMBER($BG$614),$B$511=1),$BG$614,HLOOKUP(INDIRECT(ADDRESS(2,COLUMN())),OFFSET($BN$2,0,0,ROW()-1,60),ROW()-1,FALSE))</f>
        <v/>
      </c>
      <c r="BH107" t="str">
        <f ca="1">IF(AND(ISNUMBER($BH$614),$B$511=1),$BH$614,HLOOKUP(INDIRECT(ADDRESS(2,COLUMN())),OFFSET($BN$2,0,0,ROW()-1,60),ROW()-1,FALSE))</f>
        <v/>
      </c>
      <c r="BI107" t="str">
        <f ca="1">IF(AND(ISNUMBER($BI$614),$B$511=1),$BI$614,HLOOKUP(INDIRECT(ADDRESS(2,COLUMN())),OFFSET($BN$2,0,0,ROW()-1,60),ROW()-1,FALSE))</f>
        <v/>
      </c>
      <c r="BJ107" t="str">
        <f ca="1">IF(AND(ISNUMBER($BJ$614),$B$511=1),$BJ$614,HLOOKUP(INDIRECT(ADDRESS(2,COLUMN())),OFFSET($BN$2,0,0,ROW()-1,60),ROW()-1,FALSE))</f>
        <v/>
      </c>
      <c r="BK107" t="str">
        <f ca="1">IF(AND(ISNUMBER($BK$614),$B$511=1),$BK$614,HLOOKUP(INDIRECT(ADDRESS(2,COLUMN())),OFFSET($BN$2,0,0,ROW()-1,60),ROW()-1,FALSE))</f>
        <v/>
      </c>
      <c r="BL107" t="str">
        <f ca="1">IF(AND(ISNUMBER($BL$614),$B$511=1),$BL$614,HLOOKUP(INDIRECT(ADDRESS(2,COLUMN())),OFFSET($BN$2,0,0,ROW()-1,60),ROW()-1,FALSE))</f>
        <v/>
      </c>
      <c r="BM107" t="str">
        <f ca="1">IF(AND(ISNUMBER($BM$614),$B$511=1),$BM$614,HLOOKUP(INDIRECT(ADDRESS(2,COLUMN())),OFFSET($BN$2,0,0,ROW()-1,60),ROW()-1,FALSE))</f>
        <v/>
      </c>
      <c r="BN107">
        <f>4.6</f>
        <v>4.5999999999999996</v>
      </c>
      <c r="BO107">
        <f>4.778</f>
        <v>4.7779999999999996</v>
      </c>
      <c r="BP107">
        <f>5.43</f>
        <v>5.43</v>
      </c>
      <c r="BQ107">
        <f>5.431</f>
        <v>5.431</v>
      </c>
      <c r="BR107">
        <f>5.528</f>
        <v>5.5279999999999996</v>
      </c>
      <c r="BS107">
        <f>6.175</f>
        <v>6.1749999999999998</v>
      </c>
      <c r="BT107">
        <f>6.191</f>
        <v>6.1909999999999998</v>
      </c>
      <c r="BU107">
        <f>6.202</f>
        <v>6.202</v>
      </c>
      <c r="BV107">
        <f>6.524</f>
        <v>6.524</v>
      </c>
      <c r="BW107">
        <f>7.18</f>
        <v>7.18</v>
      </c>
      <c r="BX107">
        <f>8.627</f>
        <v>8.6270000000000007</v>
      </c>
      <c r="BY107">
        <f>5.466</f>
        <v>5.4660000000000002</v>
      </c>
      <c r="BZ107">
        <f>6.923</f>
        <v>6.923</v>
      </c>
      <c r="CA107" t="str">
        <f>""</f>
        <v/>
      </c>
      <c r="CB107" t="str">
        <f>""</f>
        <v/>
      </c>
      <c r="CC107" t="str">
        <f>""</f>
        <v/>
      </c>
      <c r="CD107" t="str">
        <f>""</f>
        <v/>
      </c>
      <c r="CE107" t="str">
        <f>""</f>
        <v/>
      </c>
      <c r="CF107" t="str">
        <f>""</f>
        <v/>
      </c>
      <c r="CG107" t="str">
        <f>""</f>
        <v/>
      </c>
      <c r="CH107" t="str">
        <f>""</f>
        <v/>
      </c>
      <c r="CI107" t="str">
        <f>""</f>
        <v/>
      </c>
      <c r="CJ107" t="str">
        <f>""</f>
        <v/>
      </c>
      <c r="CK107" t="str">
        <f>""</f>
        <v/>
      </c>
      <c r="CL107" t="str">
        <f>""</f>
        <v/>
      </c>
      <c r="CM107" t="str">
        <f>""</f>
        <v/>
      </c>
      <c r="CN107" t="str">
        <f>""</f>
        <v/>
      </c>
      <c r="CO107" t="str">
        <f>""</f>
        <v/>
      </c>
      <c r="CP107" t="str">
        <f>""</f>
        <v/>
      </c>
      <c r="CQ107" t="str">
        <f>""</f>
        <v/>
      </c>
      <c r="CR107" t="str">
        <f>""</f>
        <v/>
      </c>
      <c r="CS107" t="str">
        <f>""</f>
        <v/>
      </c>
      <c r="CT107" t="str">
        <f>""</f>
        <v/>
      </c>
      <c r="CU107" t="str">
        <f>""</f>
        <v/>
      </c>
      <c r="CV107" t="str">
        <f>""</f>
        <v/>
      </c>
      <c r="CW107" t="str">
        <f>""</f>
        <v/>
      </c>
      <c r="CX107" t="str">
        <f>""</f>
        <v/>
      </c>
      <c r="CY107" t="str">
        <f>""</f>
        <v/>
      </c>
      <c r="CZ107" t="str">
        <f>""</f>
        <v/>
      </c>
      <c r="DA107" t="str">
        <f>""</f>
        <v/>
      </c>
      <c r="DB107" t="str">
        <f>""</f>
        <v/>
      </c>
      <c r="DC107" t="str">
        <f>""</f>
        <v/>
      </c>
      <c r="DD107" t="str">
        <f>""</f>
        <v/>
      </c>
      <c r="DE107" t="str">
        <f>""</f>
        <v/>
      </c>
      <c r="DF107" t="str">
        <f>""</f>
        <v/>
      </c>
      <c r="DG107" t="str">
        <f>""</f>
        <v/>
      </c>
      <c r="DH107" t="str">
        <f>""</f>
        <v/>
      </c>
      <c r="DI107" t="str">
        <f>""</f>
        <v/>
      </c>
      <c r="DJ107" t="str">
        <f>""</f>
        <v/>
      </c>
      <c r="DK107" t="str">
        <f>""</f>
        <v/>
      </c>
      <c r="DL107" t="str">
        <f>""</f>
        <v/>
      </c>
      <c r="DM107" t="str">
        <f>""</f>
        <v/>
      </c>
      <c r="DN107" t="str">
        <f>""</f>
        <v/>
      </c>
      <c r="DO107" t="str">
        <f>""</f>
        <v/>
      </c>
      <c r="DP107" t="str">
        <f>""</f>
        <v/>
      </c>
      <c r="DQ107" t="str">
        <f>""</f>
        <v/>
      </c>
      <c r="DR107" t="str">
        <f>""</f>
        <v/>
      </c>
      <c r="DS107" t="str">
        <f>""</f>
        <v/>
      </c>
      <c r="DT107" t="str">
        <f>""</f>
        <v/>
      </c>
      <c r="DU107" t="str">
        <f>""</f>
        <v/>
      </c>
    </row>
    <row r="108" spans="1:125" x14ac:dyDescent="0.25">
      <c r="A108" t="str">
        <f>"    Mazda Motor Corp"</f>
        <v xml:space="preserve">    Mazda Motor Corp</v>
      </c>
      <c r="B108" t="str">
        <f>"7261 JP Equity"</f>
        <v>7261 JP Equity</v>
      </c>
      <c r="C108" t="str">
        <f t="shared" si="6"/>
        <v>EZ021</v>
      </c>
      <c r="D108" t="str">
        <f t="shared" si="7"/>
        <v>BEST_EPS_NXT_YR</v>
      </c>
      <c r="E108" t="str">
        <f t="shared" si="8"/>
        <v>Dynamic</v>
      </c>
      <c r="F108">
        <f ca="1">IF(AND(ISNUMBER($F$615),$B$511=1),$F$615,HLOOKUP(INDIRECT(ADDRESS(2,COLUMN())),OFFSET($BN$2,0,0,ROW()-1,60),ROW()-1,FALSE))</f>
        <v>1.258</v>
      </c>
      <c r="G108">
        <f ca="1">IF(AND(ISNUMBER($G$615),$B$511=1),$G$615,HLOOKUP(INDIRECT(ADDRESS(2,COLUMN())),OFFSET($BN$2,0,0,ROW()-1,60),ROW()-1,FALSE))</f>
        <v>1.26</v>
      </c>
      <c r="H108">
        <f ca="1">IF(AND(ISNUMBER($H$615),$B$511=1),$H$615,HLOOKUP(INDIRECT(ADDRESS(2,COLUMN())),OFFSET($BN$2,0,0,ROW()-1,60),ROW()-1,FALSE))</f>
        <v>1.4239999999999999</v>
      </c>
      <c r="I108">
        <f ca="1">IF(AND(ISNUMBER($I$615),$B$511=1),$I$615,HLOOKUP(INDIRECT(ADDRESS(2,COLUMN())),OFFSET($BN$2,0,0,ROW()-1,60),ROW()-1,FALSE))</f>
        <v>1.5009999999999999</v>
      </c>
      <c r="J108">
        <f ca="1">IF(AND(ISNUMBER($J$615),$B$511=1),$J$615,HLOOKUP(INDIRECT(ADDRESS(2,COLUMN())),OFFSET($BN$2,0,0,ROW()-1,60),ROW()-1,FALSE))</f>
        <v>1.9</v>
      </c>
      <c r="K108">
        <f ca="1">IF(AND(ISNUMBER($K$615),$B$511=1),$K$615,HLOOKUP(INDIRECT(ADDRESS(2,COLUMN())),OFFSET($BN$2,0,0,ROW()-1,60),ROW()-1,FALSE))</f>
        <v>1.964</v>
      </c>
      <c r="L108">
        <f ca="1">IF(AND(ISNUMBER($L$615),$B$511=1),$L$615,HLOOKUP(INDIRECT(ADDRESS(2,COLUMN())),OFFSET($BN$2,0,0,ROW()-1,60),ROW()-1,FALSE))</f>
        <v>2.1669999999999998</v>
      </c>
      <c r="M108">
        <f ca="1">IF(AND(ISNUMBER($M$615),$B$511=1),$M$615,HLOOKUP(INDIRECT(ADDRESS(2,COLUMN())),OFFSET($BN$2,0,0,ROW()-1,60),ROW()-1,FALSE))</f>
        <v>2.109</v>
      </c>
      <c r="N108">
        <f ca="1">IF(AND(ISNUMBER($N$615),$B$511=1),$N$615,HLOOKUP(INDIRECT(ADDRESS(2,COLUMN())),OFFSET($BN$2,0,0,ROW()-1,60),ROW()-1,FALSE))</f>
        <v>2.669</v>
      </c>
      <c r="O108">
        <f ca="1">IF(AND(ISNUMBER($O$615),$B$511=1),$O$615,HLOOKUP(INDIRECT(ADDRESS(2,COLUMN())),OFFSET($BN$2,0,0,ROW()-1,60),ROW()-1,FALSE))</f>
        <v>2.4609999999999999</v>
      </c>
      <c r="P108">
        <f ca="1">IF(AND(ISNUMBER($P$615),$B$511=1),$P$615,HLOOKUP(INDIRECT(ADDRESS(2,COLUMN())),OFFSET($BN$2,0,0,ROW()-1,60),ROW()-1,FALSE))</f>
        <v>2.6640000000000001</v>
      </c>
      <c r="Q108">
        <f ca="1">IF(AND(ISNUMBER($Q$615),$B$511=1),$Q$615,HLOOKUP(INDIRECT(ADDRESS(2,COLUMN())),OFFSET($BN$2,0,0,ROW()-1,60),ROW()-1,FALSE))</f>
        <v>2.7429999999999999</v>
      </c>
      <c r="R108">
        <f ca="1">IF(AND(ISNUMBER($R$615),$B$511=1),$R$615,HLOOKUP(INDIRECT(ADDRESS(2,COLUMN())),OFFSET($BN$2,0,0,ROW()-1,60),ROW()-1,FALSE))</f>
        <v>2.7280000000000002</v>
      </c>
      <c r="S108">
        <f ca="1">IF(AND(ISNUMBER($S$615),$B$511=1),$S$615,HLOOKUP(INDIRECT(ADDRESS(2,COLUMN())),OFFSET($BN$2,0,0,ROW()-1,60),ROW()-1,FALSE))</f>
        <v>2.9529999999999998</v>
      </c>
      <c r="T108">
        <f ca="1">IF(AND(ISNUMBER($T$615),$B$511=1),$T$615,HLOOKUP(INDIRECT(ADDRESS(2,COLUMN())),OFFSET($BN$2,0,0,ROW()-1,60),ROW()-1,FALSE))</f>
        <v>2.9489999999999998</v>
      </c>
      <c r="U108">
        <f ca="1">IF(AND(ISNUMBER($U$615),$B$511=1),$U$615,HLOOKUP(INDIRECT(ADDRESS(2,COLUMN())),OFFSET($BN$2,0,0,ROW()-1,60),ROW()-1,FALSE))</f>
        <v>2.9249999999999998</v>
      </c>
      <c r="V108" t="str">
        <f ca="1">IF(AND(ISNUMBER($V$615),$B$511=1),$V$615,HLOOKUP(INDIRECT(ADDRESS(2,COLUMN())),OFFSET($BN$2,0,0,ROW()-1,60),ROW()-1,FALSE))</f>
        <v/>
      </c>
      <c r="W108" t="str">
        <f ca="1">IF(AND(ISNUMBER($W$615),$B$511=1),$W$615,HLOOKUP(INDIRECT(ADDRESS(2,COLUMN())),OFFSET($BN$2,0,0,ROW()-1,60),ROW()-1,FALSE))</f>
        <v/>
      </c>
      <c r="X108" t="str">
        <f ca="1">IF(AND(ISNUMBER($X$615),$B$511=1),$X$615,HLOOKUP(INDIRECT(ADDRESS(2,COLUMN())),OFFSET($BN$2,0,0,ROW()-1,60),ROW()-1,FALSE))</f>
        <v/>
      </c>
      <c r="Y108" t="str">
        <f ca="1">IF(AND(ISNUMBER($Y$615),$B$511=1),$Y$615,HLOOKUP(INDIRECT(ADDRESS(2,COLUMN())),OFFSET($BN$2,0,0,ROW()-1,60),ROW()-1,FALSE))</f>
        <v/>
      </c>
      <c r="Z108" t="str">
        <f ca="1">IF(AND(ISNUMBER($Z$615),$B$511=1),$Z$615,HLOOKUP(INDIRECT(ADDRESS(2,COLUMN())),OFFSET($BN$2,0,0,ROW()-1,60),ROW()-1,FALSE))</f>
        <v/>
      </c>
      <c r="AA108" t="str">
        <f ca="1">IF(AND(ISNUMBER($AA$615),$B$511=1),$AA$615,HLOOKUP(INDIRECT(ADDRESS(2,COLUMN())),OFFSET($BN$2,0,0,ROW()-1,60),ROW()-1,FALSE))</f>
        <v/>
      </c>
      <c r="AB108" t="str">
        <f ca="1">IF(AND(ISNUMBER($AB$615),$B$511=1),$AB$615,HLOOKUP(INDIRECT(ADDRESS(2,COLUMN())),OFFSET($BN$2,0,0,ROW()-1,60),ROW()-1,FALSE))</f>
        <v/>
      </c>
      <c r="AC108" t="str">
        <f ca="1">IF(AND(ISNUMBER($AC$615),$B$511=1),$AC$615,HLOOKUP(INDIRECT(ADDRESS(2,COLUMN())),OFFSET($BN$2,0,0,ROW()-1,60),ROW()-1,FALSE))</f>
        <v/>
      </c>
      <c r="AD108" t="str">
        <f ca="1">IF(AND(ISNUMBER($AD$615),$B$511=1),$AD$615,HLOOKUP(INDIRECT(ADDRESS(2,COLUMN())),OFFSET($BN$2,0,0,ROW()-1,60),ROW()-1,FALSE))</f>
        <v/>
      </c>
      <c r="AE108" t="str">
        <f ca="1">IF(AND(ISNUMBER($AE$615),$B$511=1),$AE$615,HLOOKUP(INDIRECT(ADDRESS(2,COLUMN())),OFFSET($BN$2,0,0,ROW()-1,60),ROW()-1,FALSE))</f>
        <v/>
      </c>
      <c r="AF108" t="str">
        <f ca="1">IF(AND(ISNUMBER($AF$615),$B$511=1),$AF$615,HLOOKUP(INDIRECT(ADDRESS(2,COLUMN())),OFFSET($BN$2,0,0,ROW()-1,60),ROW()-1,FALSE))</f>
        <v/>
      </c>
      <c r="AG108" t="str">
        <f ca="1">IF(AND(ISNUMBER($AG$615),$B$511=1),$AG$615,HLOOKUP(INDIRECT(ADDRESS(2,COLUMN())),OFFSET($BN$2,0,0,ROW()-1,60),ROW()-1,FALSE))</f>
        <v/>
      </c>
      <c r="AH108" t="str">
        <f ca="1">IF(AND(ISNUMBER($AH$615),$B$511=1),$AH$615,HLOOKUP(INDIRECT(ADDRESS(2,COLUMN())),OFFSET($BN$2,0,0,ROW()-1,60),ROW()-1,FALSE))</f>
        <v/>
      </c>
      <c r="AI108" t="str">
        <f ca="1">IF(AND(ISNUMBER($AI$615),$B$511=1),$AI$615,HLOOKUP(INDIRECT(ADDRESS(2,COLUMN())),OFFSET($BN$2,0,0,ROW()-1,60),ROW()-1,FALSE))</f>
        <v/>
      </c>
      <c r="AJ108" t="str">
        <f ca="1">IF(AND(ISNUMBER($AJ$615),$B$511=1),$AJ$615,HLOOKUP(INDIRECT(ADDRESS(2,COLUMN())),OFFSET($BN$2,0,0,ROW()-1,60),ROW()-1,FALSE))</f>
        <v/>
      </c>
      <c r="AK108" t="str">
        <f ca="1">IF(AND(ISNUMBER($AK$615),$B$511=1),$AK$615,HLOOKUP(INDIRECT(ADDRESS(2,COLUMN())),OFFSET($BN$2,0,0,ROW()-1,60),ROW()-1,FALSE))</f>
        <v/>
      </c>
      <c r="AL108" t="str">
        <f ca="1">IF(AND(ISNUMBER($AL$615),$B$511=1),$AL$615,HLOOKUP(INDIRECT(ADDRESS(2,COLUMN())),OFFSET($BN$2,0,0,ROW()-1,60),ROW()-1,FALSE))</f>
        <v/>
      </c>
      <c r="AM108" t="str">
        <f ca="1">IF(AND(ISNUMBER($AM$615),$B$511=1),$AM$615,HLOOKUP(INDIRECT(ADDRESS(2,COLUMN())),OFFSET($BN$2,0,0,ROW()-1,60),ROW()-1,FALSE))</f>
        <v/>
      </c>
      <c r="AN108" t="str">
        <f ca="1">IF(AND(ISNUMBER($AN$615),$B$511=1),$AN$615,HLOOKUP(INDIRECT(ADDRESS(2,COLUMN())),OFFSET($BN$2,0,0,ROW()-1,60),ROW()-1,FALSE))</f>
        <v/>
      </c>
      <c r="AO108" t="str">
        <f ca="1">IF(AND(ISNUMBER($AO$615),$B$511=1),$AO$615,HLOOKUP(INDIRECT(ADDRESS(2,COLUMN())),OFFSET($BN$2,0,0,ROW()-1,60),ROW()-1,FALSE))</f>
        <v/>
      </c>
      <c r="AP108" t="str">
        <f ca="1">IF(AND(ISNUMBER($AP$615),$B$511=1),$AP$615,HLOOKUP(INDIRECT(ADDRESS(2,COLUMN())),OFFSET($BN$2,0,0,ROW()-1,60),ROW()-1,FALSE))</f>
        <v/>
      </c>
      <c r="AQ108" t="str">
        <f ca="1">IF(AND(ISNUMBER($AQ$615),$B$511=1),$AQ$615,HLOOKUP(INDIRECT(ADDRESS(2,COLUMN())),OFFSET($BN$2,0,0,ROW()-1,60),ROW()-1,FALSE))</f>
        <v/>
      </c>
      <c r="AR108" t="str">
        <f ca="1">IF(AND(ISNUMBER($AR$615),$B$511=1),$AR$615,HLOOKUP(INDIRECT(ADDRESS(2,COLUMN())),OFFSET($BN$2,0,0,ROW()-1,60),ROW()-1,FALSE))</f>
        <v/>
      </c>
      <c r="AS108" t="str">
        <f ca="1">IF(AND(ISNUMBER($AS$615),$B$511=1),$AS$615,HLOOKUP(INDIRECT(ADDRESS(2,COLUMN())),OFFSET($BN$2,0,0,ROW()-1,60),ROW()-1,FALSE))</f>
        <v/>
      </c>
      <c r="AT108" t="str">
        <f ca="1">IF(AND(ISNUMBER($AT$615),$B$511=1),$AT$615,HLOOKUP(INDIRECT(ADDRESS(2,COLUMN())),OFFSET($BN$2,0,0,ROW()-1,60),ROW()-1,FALSE))</f>
        <v/>
      </c>
      <c r="AU108" t="str">
        <f ca="1">IF(AND(ISNUMBER($AU$615),$B$511=1),$AU$615,HLOOKUP(INDIRECT(ADDRESS(2,COLUMN())),OFFSET($BN$2,0,0,ROW()-1,60),ROW()-1,FALSE))</f>
        <v/>
      </c>
      <c r="AV108" t="str">
        <f ca="1">IF(AND(ISNUMBER($AV$615),$B$511=1),$AV$615,HLOOKUP(INDIRECT(ADDRESS(2,COLUMN())),OFFSET($BN$2,0,0,ROW()-1,60),ROW()-1,FALSE))</f>
        <v/>
      </c>
      <c r="AW108" t="str">
        <f ca="1">IF(AND(ISNUMBER($AW$615),$B$511=1),$AW$615,HLOOKUP(INDIRECT(ADDRESS(2,COLUMN())),OFFSET($BN$2,0,0,ROW()-1,60),ROW()-1,FALSE))</f>
        <v/>
      </c>
      <c r="AX108" t="str">
        <f ca="1">IF(AND(ISNUMBER($AX$615),$B$511=1),$AX$615,HLOOKUP(INDIRECT(ADDRESS(2,COLUMN())),OFFSET($BN$2,0,0,ROW()-1,60),ROW()-1,FALSE))</f>
        <v/>
      </c>
      <c r="AY108" t="str">
        <f ca="1">IF(AND(ISNUMBER($AY$615),$B$511=1),$AY$615,HLOOKUP(INDIRECT(ADDRESS(2,COLUMN())),OFFSET($BN$2,0,0,ROW()-1,60),ROW()-1,FALSE))</f>
        <v/>
      </c>
      <c r="AZ108" t="str">
        <f ca="1">IF(AND(ISNUMBER($AZ$615),$B$511=1),$AZ$615,HLOOKUP(INDIRECT(ADDRESS(2,COLUMN())),OFFSET($BN$2,0,0,ROW()-1,60),ROW()-1,FALSE))</f>
        <v/>
      </c>
      <c r="BA108" t="str">
        <f ca="1">IF(AND(ISNUMBER($BA$615),$B$511=1),$BA$615,HLOOKUP(INDIRECT(ADDRESS(2,COLUMN())),OFFSET($BN$2,0,0,ROW()-1,60),ROW()-1,FALSE))</f>
        <v/>
      </c>
      <c r="BB108" t="str">
        <f ca="1">IF(AND(ISNUMBER($BB$615),$B$511=1),$BB$615,HLOOKUP(INDIRECT(ADDRESS(2,COLUMN())),OFFSET($BN$2,0,0,ROW()-1,60),ROW()-1,FALSE))</f>
        <v/>
      </c>
      <c r="BC108" t="str">
        <f ca="1">IF(AND(ISNUMBER($BC$615),$B$511=1),$BC$615,HLOOKUP(INDIRECT(ADDRESS(2,COLUMN())),OFFSET($BN$2,0,0,ROW()-1,60),ROW()-1,FALSE))</f>
        <v/>
      </c>
      <c r="BD108" t="str">
        <f ca="1">IF(AND(ISNUMBER($BD$615),$B$511=1),$BD$615,HLOOKUP(INDIRECT(ADDRESS(2,COLUMN())),OFFSET($BN$2,0,0,ROW()-1,60),ROW()-1,FALSE))</f>
        <v/>
      </c>
      <c r="BE108" t="str">
        <f ca="1">IF(AND(ISNUMBER($BE$615),$B$511=1),$BE$615,HLOOKUP(INDIRECT(ADDRESS(2,COLUMN())),OFFSET($BN$2,0,0,ROW()-1,60),ROW()-1,FALSE))</f>
        <v/>
      </c>
      <c r="BF108" t="str">
        <f ca="1">IF(AND(ISNUMBER($BF$615),$B$511=1),$BF$615,HLOOKUP(INDIRECT(ADDRESS(2,COLUMN())),OFFSET($BN$2,0,0,ROW()-1,60),ROW()-1,FALSE))</f>
        <v/>
      </c>
      <c r="BG108" t="str">
        <f ca="1">IF(AND(ISNUMBER($BG$615),$B$511=1),$BG$615,HLOOKUP(INDIRECT(ADDRESS(2,COLUMN())),OFFSET($BN$2,0,0,ROW()-1,60),ROW()-1,FALSE))</f>
        <v/>
      </c>
      <c r="BH108" t="str">
        <f ca="1">IF(AND(ISNUMBER($BH$615),$B$511=1),$BH$615,HLOOKUP(INDIRECT(ADDRESS(2,COLUMN())),OFFSET($BN$2,0,0,ROW()-1,60),ROW()-1,FALSE))</f>
        <v/>
      </c>
      <c r="BI108" t="str">
        <f ca="1">IF(AND(ISNUMBER($BI$615),$B$511=1),$BI$615,HLOOKUP(INDIRECT(ADDRESS(2,COLUMN())),OFFSET($BN$2,0,0,ROW()-1,60),ROW()-1,FALSE))</f>
        <v/>
      </c>
      <c r="BJ108" t="str">
        <f ca="1">IF(AND(ISNUMBER($BJ$615),$B$511=1),$BJ$615,HLOOKUP(INDIRECT(ADDRESS(2,COLUMN())),OFFSET($BN$2,0,0,ROW()-1,60),ROW()-1,FALSE))</f>
        <v/>
      </c>
      <c r="BK108" t="str">
        <f ca="1">IF(AND(ISNUMBER($BK$615),$B$511=1),$BK$615,HLOOKUP(INDIRECT(ADDRESS(2,COLUMN())),OFFSET($BN$2,0,0,ROW()-1,60),ROW()-1,FALSE))</f>
        <v/>
      </c>
      <c r="BL108" t="str">
        <f ca="1">IF(AND(ISNUMBER($BL$615),$B$511=1),$BL$615,HLOOKUP(INDIRECT(ADDRESS(2,COLUMN())),OFFSET($BN$2,0,0,ROW()-1,60),ROW()-1,FALSE))</f>
        <v/>
      </c>
      <c r="BM108" t="str">
        <f ca="1">IF(AND(ISNUMBER($BM$615),$B$511=1),$BM$615,HLOOKUP(INDIRECT(ADDRESS(2,COLUMN())),OFFSET($BN$2,0,0,ROW()-1,60),ROW()-1,FALSE))</f>
        <v/>
      </c>
      <c r="BN108">
        <f>1.258</f>
        <v>1.258</v>
      </c>
      <c r="BO108">
        <f>1.26</f>
        <v>1.26</v>
      </c>
      <c r="BP108">
        <f>1.424</f>
        <v>1.4239999999999999</v>
      </c>
      <c r="BQ108">
        <f>1.501</f>
        <v>1.5009999999999999</v>
      </c>
      <c r="BR108">
        <f>1.9</f>
        <v>1.9</v>
      </c>
      <c r="BS108">
        <f>1.964</f>
        <v>1.964</v>
      </c>
      <c r="BT108">
        <f>2.167</f>
        <v>2.1669999999999998</v>
      </c>
      <c r="BU108">
        <f>2.109</f>
        <v>2.109</v>
      </c>
      <c r="BV108">
        <f>2.669</f>
        <v>2.669</v>
      </c>
      <c r="BW108">
        <f>2.461</f>
        <v>2.4609999999999999</v>
      </c>
      <c r="BX108">
        <f>2.664</f>
        <v>2.6640000000000001</v>
      </c>
      <c r="BY108">
        <f>2.743</f>
        <v>2.7429999999999999</v>
      </c>
      <c r="BZ108">
        <f>2.728</f>
        <v>2.7280000000000002</v>
      </c>
      <c r="CA108">
        <f>2.953</f>
        <v>2.9529999999999998</v>
      </c>
      <c r="CB108">
        <f>2.949</f>
        <v>2.9489999999999998</v>
      </c>
      <c r="CC108">
        <f>2.925</f>
        <v>2.9249999999999998</v>
      </c>
      <c r="CD108" t="str">
        <f>""</f>
        <v/>
      </c>
      <c r="CE108" t="str">
        <f>""</f>
        <v/>
      </c>
      <c r="CF108" t="str">
        <f>""</f>
        <v/>
      </c>
      <c r="CG108" t="str">
        <f>""</f>
        <v/>
      </c>
      <c r="CH108" t="str">
        <f>""</f>
        <v/>
      </c>
      <c r="CI108" t="str">
        <f>""</f>
        <v/>
      </c>
      <c r="CJ108" t="str">
        <f>""</f>
        <v/>
      </c>
      <c r="CK108" t="str">
        <f>""</f>
        <v/>
      </c>
      <c r="CL108" t="str">
        <f>""</f>
        <v/>
      </c>
      <c r="CM108" t="str">
        <f>""</f>
        <v/>
      </c>
      <c r="CN108" t="str">
        <f>""</f>
        <v/>
      </c>
      <c r="CO108" t="str">
        <f>""</f>
        <v/>
      </c>
      <c r="CP108" t="str">
        <f>""</f>
        <v/>
      </c>
      <c r="CQ108" t="str">
        <f>""</f>
        <v/>
      </c>
      <c r="CR108" t="str">
        <f>""</f>
        <v/>
      </c>
      <c r="CS108" t="str">
        <f>""</f>
        <v/>
      </c>
      <c r="CT108" t="str">
        <f>""</f>
        <v/>
      </c>
      <c r="CU108" t="str">
        <f>""</f>
        <v/>
      </c>
      <c r="CV108" t="str">
        <f>""</f>
        <v/>
      </c>
      <c r="CW108" t="str">
        <f>""</f>
        <v/>
      </c>
      <c r="CX108" t="str">
        <f>""</f>
        <v/>
      </c>
      <c r="CY108" t="str">
        <f>""</f>
        <v/>
      </c>
      <c r="CZ108" t="str">
        <f>""</f>
        <v/>
      </c>
      <c r="DA108" t="str">
        <f>""</f>
        <v/>
      </c>
      <c r="DB108" t="str">
        <f>""</f>
        <v/>
      </c>
      <c r="DC108" t="str">
        <f>""</f>
        <v/>
      </c>
      <c r="DD108" t="str">
        <f>""</f>
        <v/>
      </c>
      <c r="DE108" t="str">
        <f>""</f>
        <v/>
      </c>
      <c r="DF108" t="str">
        <f>""</f>
        <v/>
      </c>
      <c r="DG108" t="str">
        <f>""</f>
        <v/>
      </c>
      <c r="DH108" t="str">
        <f>""</f>
        <v/>
      </c>
      <c r="DI108" t="str">
        <f>""</f>
        <v/>
      </c>
      <c r="DJ108" t="str">
        <f>""</f>
        <v/>
      </c>
      <c r="DK108" t="str">
        <f>""</f>
        <v/>
      </c>
      <c r="DL108" t="str">
        <f>""</f>
        <v/>
      </c>
      <c r="DM108" t="str">
        <f>""</f>
        <v/>
      </c>
      <c r="DN108" t="str">
        <f>""</f>
        <v/>
      </c>
      <c r="DO108" t="str">
        <f>""</f>
        <v/>
      </c>
      <c r="DP108" t="str">
        <f>""</f>
        <v/>
      </c>
      <c r="DQ108" t="str">
        <f>""</f>
        <v/>
      </c>
      <c r="DR108" t="str">
        <f>""</f>
        <v/>
      </c>
      <c r="DS108" t="str">
        <f>""</f>
        <v/>
      </c>
      <c r="DT108" t="str">
        <f>""</f>
        <v/>
      </c>
      <c r="DU108" t="str">
        <f>""</f>
        <v/>
      </c>
    </row>
    <row r="109" spans="1:125" x14ac:dyDescent="0.25">
      <c r="A109" t="str">
        <f>"    Mitsubishi Motors Corp"</f>
        <v xml:space="preserve">    Mitsubishi Motors Corp</v>
      </c>
      <c r="B109" t="str">
        <f>"7211 JP Equity"</f>
        <v>7211 JP Equity</v>
      </c>
      <c r="C109" t="str">
        <f t="shared" si="6"/>
        <v>EZ021</v>
      </c>
      <c r="D109" t="str">
        <f t="shared" si="7"/>
        <v>BEST_EPS_NXT_YR</v>
      </c>
      <c r="E109" t="str">
        <f t="shared" si="8"/>
        <v>Dynamic</v>
      </c>
      <c r="F109">
        <f ca="1">IF(AND(ISNUMBER($F$616),$B$511=1),$F$616,HLOOKUP(INDIRECT(ADDRESS(2,COLUMN())),OFFSET($BN$2,0,0,ROW()-1,60),ROW()-1,FALSE))</f>
        <v>0.73899999999999999</v>
      </c>
      <c r="G109">
        <f ca="1">IF(AND(ISNUMBER($G$616),$B$511=1),$G$616,HLOOKUP(INDIRECT(ADDRESS(2,COLUMN())),OFFSET($BN$2,0,0,ROW()-1,60),ROW()-1,FALSE))</f>
        <v>0.76</v>
      </c>
      <c r="H109">
        <f ca="1">IF(AND(ISNUMBER($H$616),$B$511=1),$H$616,HLOOKUP(INDIRECT(ADDRESS(2,COLUMN())),OFFSET($BN$2,0,0,ROW()-1,60),ROW()-1,FALSE))</f>
        <v>0.76800000000000002</v>
      </c>
      <c r="I109">
        <f ca="1">IF(AND(ISNUMBER($I$616),$B$511=1),$I$616,HLOOKUP(INDIRECT(ADDRESS(2,COLUMN())),OFFSET($BN$2,0,0,ROW()-1,60),ROW()-1,FALSE))</f>
        <v>0.79</v>
      </c>
      <c r="J109">
        <f ca="1">IF(AND(ISNUMBER($J$616),$B$511=1),$J$616,HLOOKUP(INDIRECT(ADDRESS(2,COLUMN())),OFFSET($BN$2,0,0,ROW()-1,60),ROW()-1,FALSE))</f>
        <v>0.72799999999999998</v>
      </c>
      <c r="K109">
        <f ca="1">IF(AND(ISNUMBER($K$616),$B$511=1),$K$616,HLOOKUP(INDIRECT(ADDRESS(2,COLUMN())),OFFSET($BN$2,0,0,ROW()-1,60),ROW()-1,FALSE))</f>
        <v>0.70899999999999996</v>
      </c>
      <c r="L109">
        <f ca="1">IF(AND(ISNUMBER($L$616),$B$511=1),$L$616,HLOOKUP(INDIRECT(ADDRESS(2,COLUMN())),OFFSET($BN$2,0,0,ROW()-1,60),ROW()-1,FALSE))</f>
        <v>0.66700000000000004</v>
      </c>
      <c r="M109">
        <f ca="1">IF(AND(ISNUMBER($M$616),$B$511=1),$M$616,HLOOKUP(INDIRECT(ADDRESS(2,COLUMN())),OFFSET($BN$2,0,0,ROW()-1,60),ROW()-1,FALSE))</f>
        <v>0.55500000000000005</v>
      </c>
      <c r="N109">
        <f ca="1">IF(AND(ISNUMBER($N$616),$B$511=1),$N$616,HLOOKUP(INDIRECT(ADDRESS(2,COLUMN())),OFFSET($BN$2,0,0,ROW()-1,60),ROW()-1,FALSE))</f>
        <v>1</v>
      </c>
      <c r="O109">
        <f ca="1">IF(AND(ISNUMBER($O$616),$B$511=1),$O$616,HLOOKUP(INDIRECT(ADDRESS(2,COLUMN())),OFFSET($BN$2,0,0,ROW()-1,60),ROW()-1,FALSE))</f>
        <v>0.90100000000000002</v>
      </c>
      <c r="P109">
        <f ca="1">IF(AND(ISNUMBER($P$616),$B$511=1),$P$616,HLOOKUP(INDIRECT(ADDRESS(2,COLUMN())),OFFSET($BN$2,0,0,ROW()-1,60),ROW()-1,FALSE))</f>
        <v>0.89600000000000002</v>
      </c>
      <c r="Q109">
        <f ca="1">IF(AND(ISNUMBER($Q$616),$B$511=1),$Q$616,HLOOKUP(INDIRECT(ADDRESS(2,COLUMN())),OFFSET($BN$2,0,0,ROW()-1,60),ROW()-1,FALSE))</f>
        <v>1.056</v>
      </c>
      <c r="R109" t="str">
        <f ca="1">IF(AND(ISNUMBER($R$616),$B$511=1),$R$616,HLOOKUP(INDIRECT(ADDRESS(2,COLUMN())),OFFSET($BN$2,0,0,ROW()-1,60),ROW()-1,FALSE))</f>
        <v/>
      </c>
      <c r="S109" t="str">
        <f ca="1">IF(AND(ISNUMBER($S$616),$B$511=1),$S$616,HLOOKUP(INDIRECT(ADDRESS(2,COLUMN())),OFFSET($BN$2,0,0,ROW()-1,60),ROW()-1,FALSE))</f>
        <v/>
      </c>
      <c r="T109" t="str">
        <f ca="1">IF(AND(ISNUMBER($T$616),$B$511=1),$T$616,HLOOKUP(INDIRECT(ADDRESS(2,COLUMN())),OFFSET($BN$2,0,0,ROW()-1,60),ROW()-1,FALSE))</f>
        <v/>
      </c>
      <c r="U109" t="str">
        <f ca="1">IF(AND(ISNUMBER($U$616),$B$511=1),$U$616,HLOOKUP(INDIRECT(ADDRESS(2,COLUMN())),OFFSET($BN$2,0,0,ROW()-1,60),ROW()-1,FALSE))</f>
        <v/>
      </c>
      <c r="V109" t="str">
        <f ca="1">IF(AND(ISNUMBER($V$616),$B$511=1),$V$616,HLOOKUP(INDIRECT(ADDRESS(2,COLUMN())),OFFSET($BN$2,0,0,ROW()-1,60),ROW()-1,FALSE))</f>
        <v/>
      </c>
      <c r="W109" t="str">
        <f ca="1">IF(AND(ISNUMBER($W$616),$B$511=1),$W$616,HLOOKUP(INDIRECT(ADDRESS(2,COLUMN())),OFFSET($BN$2,0,0,ROW()-1,60),ROW()-1,FALSE))</f>
        <v/>
      </c>
      <c r="X109" t="str">
        <f ca="1">IF(AND(ISNUMBER($X$616),$B$511=1),$X$616,HLOOKUP(INDIRECT(ADDRESS(2,COLUMN())),OFFSET($BN$2,0,0,ROW()-1,60),ROW()-1,FALSE))</f>
        <v/>
      </c>
      <c r="Y109" t="str">
        <f ca="1">IF(AND(ISNUMBER($Y$616),$B$511=1),$Y$616,HLOOKUP(INDIRECT(ADDRESS(2,COLUMN())),OFFSET($BN$2,0,0,ROW()-1,60),ROW()-1,FALSE))</f>
        <v/>
      </c>
      <c r="Z109" t="str">
        <f ca="1">IF(AND(ISNUMBER($Z$616),$B$511=1),$Z$616,HLOOKUP(INDIRECT(ADDRESS(2,COLUMN())),OFFSET($BN$2,0,0,ROW()-1,60),ROW()-1,FALSE))</f>
        <v/>
      </c>
      <c r="AA109" t="str">
        <f ca="1">IF(AND(ISNUMBER($AA$616),$B$511=1),$AA$616,HLOOKUP(INDIRECT(ADDRESS(2,COLUMN())),OFFSET($BN$2,0,0,ROW()-1,60),ROW()-1,FALSE))</f>
        <v/>
      </c>
      <c r="AB109" t="str">
        <f ca="1">IF(AND(ISNUMBER($AB$616),$B$511=1),$AB$616,HLOOKUP(INDIRECT(ADDRESS(2,COLUMN())),OFFSET($BN$2,0,0,ROW()-1,60),ROW()-1,FALSE))</f>
        <v/>
      </c>
      <c r="AC109" t="str">
        <f ca="1">IF(AND(ISNUMBER($AC$616),$B$511=1),$AC$616,HLOOKUP(INDIRECT(ADDRESS(2,COLUMN())),OFFSET($BN$2,0,0,ROW()-1,60),ROW()-1,FALSE))</f>
        <v/>
      </c>
      <c r="AD109" t="str">
        <f ca="1">IF(AND(ISNUMBER($AD$616),$B$511=1),$AD$616,HLOOKUP(INDIRECT(ADDRESS(2,COLUMN())),OFFSET($BN$2,0,0,ROW()-1,60),ROW()-1,FALSE))</f>
        <v/>
      </c>
      <c r="AE109" t="str">
        <f ca="1">IF(AND(ISNUMBER($AE$616),$B$511=1),$AE$616,HLOOKUP(INDIRECT(ADDRESS(2,COLUMN())),OFFSET($BN$2,0,0,ROW()-1,60),ROW()-1,FALSE))</f>
        <v/>
      </c>
      <c r="AF109" t="str">
        <f ca="1">IF(AND(ISNUMBER($AF$616),$B$511=1),$AF$616,HLOOKUP(INDIRECT(ADDRESS(2,COLUMN())),OFFSET($BN$2,0,0,ROW()-1,60),ROW()-1,FALSE))</f>
        <v/>
      </c>
      <c r="AG109" t="str">
        <f ca="1">IF(AND(ISNUMBER($AG$616),$B$511=1),$AG$616,HLOOKUP(INDIRECT(ADDRESS(2,COLUMN())),OFFSET($BN$2,0,0,ROW()-1,60),ROW()-1,FALSE))</f>
        <v/>
      </c>
      <c r="AH109" t="str">
        <f ca="1">IF(AND(ISNUMBER($AH$616),$B$511=1),$AH$616,HLOOKUP(INDIRECT(ADDRESS(2,COLUMN())),OFFSET($BN$2,0,0,ROW()-1,60),ROW()-1,FALSE))</f>
        <v/>
      </c>
      <c r="AI109" t="str">
        <f ca="1">IF(AND(ISNUMBER($AI$616),$B$511=1),$AI$616,HLOOKUP(INDIRECT(ADDRESS(2,COLUMN())),OFFSET($BN$2,0,0,ROW()-1,60),ROW()-1,FALSE))</f>
        <v/>
      </c>
      <c r="AJ109" t="str">
        <f ca="1">IF(AND(ISNUMBER($AJ$616),$B$511=1),$AJ$616,HLOOKUP(INDIRECT(ADDRESS(2,COLUMN())),OFFSET($BN$2,0,0,ROW()-1,60),ROW()-1,FALSE))</f>
        <v/>
      </c>
      <c r="AK109" t="str">
        <f ca="1">IF(AND(ISNUMBER($AK$616),$B$511=1),$AK$616,HLOOKUP(INDIRECT(ADDRESS(2,COLUMN())),OFFSET($BN$2,0,0,ROW()-1,60),ROW()-1,FALSE))</f>
        <v/>
      </c>
      <c r="AL109" t="str">
        <f ca="1">IF(AND(ISNUMBER($AL$616),$B$511=1),$AL$616,HLOOKUP(INDIRECT(ADDRESS(2,COLUMN())),OFFSET($BN$2,0,0,ROW()-1,60),ROW()-1,FALSE))</f>
        <v/>
      </c>
      <c r="AM109" t="str">
        <f ca="1">IF(AND(ISNUMBER($AM$616),$B$511=1),$AM$616,HLOOKUP(INDIRECT(ADDRESS(2,COLUMN())),OFFSET($BN$2,0,0,ROW()-1,60),ROW()-1,FALSE))</f>
        <v/>
      </c>
      <c r="AN109" t="str">
        <f ca="1">IF(AND(ISNUMBER($AN$616),$B$511=1),$AN$616,HLOOKUP(INDIRECT(ADDRESS(2,COLUMN())),OFFSET($BN$2,0,0,ROW()-1,60),ROW()-1,FALSE))</f>
        <v/>
      </c>
      <c r="AO109" t="str">
        <f ca="1">IF(AND(ISNUMBER($AO$616),$B$511=1),$AO$616,HLOOKUP(INDIRECT(ADDRESS(2,COLUMN())),OFFSET($BN$2,0,0,ROW()-1,60),ROW()-1,FALSE))</f>
        <v/>
      </c>
      <c r="AP109" t="str">
        <f ca="1">IF(AND(ISNUMBER($AP$616),$B$511=1),$AP$616,HLOOKUP(INDIRECT(ADDRESS(2,COLUMN())),OFFSET($BN$2,0,0,ROW()-1,60),ROW()-1,FALSE))</f>
        <v/>
      </c>
      <c r="AQ109" t="str">
        <f ca="1">IF(AND(ISNUMBER($AQ$616),$B$511=1),$AQ$616,HLOOKUP(INDIRECT(ADDRESS(2,COLUMN())),OFFSET($BN$2,0,0,ROW()-1,60),ROW()-1,FALSE))</f>
        <v/>
      </c>
      <c r="AR109" t="str">
        <f ca="1">IF(AND(ISNUMBER($AR$616),$B$511=1),$AR$616,HLOOKUP(INDIRECT(ADDRESS(2,COLUMN())),OFFSET($BN$2,0,0,ROW()-1,60),ROW()-1,FALSE))</f>
        <v/>
      </c>
      <c r="AS109" t="str">
        <f ca="1">IF(AND(ISNUMBER($AS$616),$B$511=1),$AS$616,HLOOKUP(INDIRECT(ADDRESS(2,COLUMN())),OFFSET($BN$2,0,0,ROW()-1,60),ROW()-1,FALSE))</f>
        <v/>
      </c>
      <c r="AT109" t="str">
        <f ca="1">IF(AND(ISNUMBER($AT$616),$B$511=1),$AT$616,HLOOKUP(INDIRECT(ADDRESS(2,COLUMN())),OFFSET($BN$2,0,0,ROW()-1,60),ROW()-1,FALSE))</f>
        <v/>
      </c>
      <c r="AU109" t="str">
        <f ca="1">IF(AND(ISNUMBER($AU$616),$B$511=1),$AU$616,HLOOKUP(INDIRECT(ADDRESS(2,COLUMN())),OFFSET($BN$2,0,0,ROW()-1,60),ROW()-1,FALSE))</f>
        <v/>
      </c>
      <c r="AV109" t="str">
        <f ca="1">IF(AND(ISNUMBER($AV$616),$B$511=1),$AV$616,HLOOKUP(INDIRECT(ADDRESS(2,COLUMN())),OFFSET($BN$2,0,0,ROW()-1,60),ROW()-1,FALSE))</f>
        <v/>
      </c>
      <c r="AW109" t="str">
        <f ca="1">IF(AND(ISNUMBER($AW$616),$B$511=1),$AW$616,HLOOKUP(INDIRECT(ADDRESS(2,COLUMN())),OFFSET($BN$2,0,0,ROW()-1,60),ROW()-1,FALSE))</f>
        <v/>
      </c>
      <c r="AX109" t="str">
        <f ca="1">IF(AND(ISNUMBER($AX$616),$B$511=1),$AX$616,HLOOKUP(INDIRECT(ADDRESS(2,COLUMN())),OFFSET($BN$2,0,0,ROW()-1,60),ROW()-1,FALSE))</f>
        <v/>
      </c>
      <c r="AY109" t="str">
        <f ca="1">IF(AND(ISNUMBER($AY$616),$B$511=1),$AY$616,HLOOKUP(INDIRECT(ADDRESS(2,COLUMN())),OFFSET($BN$2,0,0,ROW()-1,60),ROW()-1,FALSE))</f>
        <v/>
      </c>
      <c r="AZ109" t="str">
        <f ca="1">IF(AND(ISNUMBER($AZ$616),$B$511=1),$AZ$616,HLOOKUP(INDIRECT(ADDRESS(2,COLUMN())),OFFSET($BN$2,0,0,ROW()-1,60),ROW()-1,FALSE))</f>
        <v/>
      </c>
      <c r="BA109" t="str">
        <f ca="1">IF(AND(ISNUMBER($BA$616),$B$511=1),$BA$616,HLOOKUP(INDIRECT(ADDRESS(2,COLUMN())),OFFSET($BN$2,0,0,ROW()-1,60),ROW()-1,FALSE))</f>
        <v/>
      </c>
      <c r="BB109" t="str">
        <f ca="1">IF(AND(ISNUMBER($BB$616),$B$511=1),$BB$616,HLOOKUP(INDIRECT(ADDRESS(2,COLUMN())),OFFSET($BN$2,0,0,ROW()-1,60),ROW()-1,FALSE))</f>
        <v/>
      </c>
      <c r="BC109" t="str">
        <f ca="1">IF(AND(ISNUMBER($BC$616),$B$511=1),$BC$616,HLOOKUP(INDIRECT(ADDRESS(2,COLUMN())),OFFSET($BN$2,0,0,ROW()-1,60),ROW()-1,FALSE))</f>
        <v/>
      </c>
      <c r="BD109" t="str">
        <f ca="1">IF(AND(ISNUMBER($BD$616),$B$511=1),$BD$616,HLOOKUP(INDIRECT(ADDRESS(2,COLUMN())),OFFSET($BN$2,0,0,ROW()-1,60),ROW()-1,FALSE))</f>
        <v/>
      </c>
      <c r="BE109" t="str">
        <f ca="1">IF(AND(ISNUMBER($BE$616),$B$511=1),$BE$616,HLOOKUP(INDIRECT(ADDRESS(2,COLUMN())),OFFSET($BN$2,0,0,ROW()-1,60),ROW()-1,FALSE))</f>
        <v/>
      </c>
      <c r="BF109" t="str">
        <f ca="1">IF(AND(ISNUMBER($BF$616),$B$511=1),$BF$616,HLOOKUP(INDIRECT(ADDRESS(2,COLUMN())),OFFSET($BN$2,0,0,ROW()-1,60),ROW()-1,FALSE))</f>
        <v/>
      </c>
      <c r="BG109" t="str">
        <f ca="1">IF(AND(ISNUMBER($BG$616),$B$511=1),$BG$616,HLOOKUP(INDIRECT(ADDRESS(2,COLUMN())),OFFSET($BN$2,0,0,ROW()-1,60),ROW()-1,FALSE))</f>
        <v/>
      </c>
      <c r="BH109" t="str">
        <f ca="1">IF(AND(ISNUMBER($BH$616),$B$511=1),$BH$616,HLOOKUP(INDIRECT(ADDRESS(2,COLUMN())),OFFSET($BN$2,0,0,ROW()-1,60),ROW()-1,FALSE))</f>
        <v/>
      </c>
      <c r="BI109" t="str">
        <f ca="1">IF(AND(ISNUMBER($BI$616),$B$511=1),$BI$616,HLOOKUP(INDIRECT(ADDRESS(2,COLUMN())),OFFSET($BN$2,0,0,ROW()-1,60),ROW()-1,FALSE))</f>
        <v/>
      </c>
      <c r="BJ109" t="str">
        <f ca="1">IF(AND(ISNUMBER($BJ$616),$B$511=1),$BJ$616,HLOOKUP(INDIRECT(ADDRESS(2,COLUMN())),OFFSET($BN$2,0,0,ROW()-1,60),ROW()-1,FALSE))</f>
        <v/>
      </c>
      <c r="BK109" t="str">
        <f ca="1">IF(AND(ISNUMBER($BK$616),$B$511=1),$BK$616,HLOOKUP(INDIRECT(ADDRESS(2,COLUMN())),OFFSET($BN$2,0,0,ROW()-1,60),ROW()-1,FALSE))</f>
        <v/>
      </c>
      <c r="BL109" t="str">
        <f ca="1">IF(AND(ISNUMBER($BL$616),$B$511=1),$BL$616,HLOOKUP(INDIRECT(ADDRESS(2,COLUMN())),OFFSET($BN$2,0,0,ROW()-1,60),ROW()-1,FALSE))</f>
        <v/>
      </c>
      <c r="BM109" t="str">
        <f ca="1">IF(AND(ISNUMBER($BM$616),$B$511=1),$BM$616,HLOOKUP(INDIRECT(ADDRESS(2,COLUMN())),OFFSET($BN$2,0,0,ROW()-1,60),ROW()-1,FALSE))</f>
        <v/>
      </c>
      <c r="BN109">
        <f>0.739</f>
        <v>0.73899999999999999</v>
      </c>
      <c r="BO109">
        <f>0.76</f>
        <v>0.76</v>
      </c>
      <c r="BP109">
        <f>0.768</f>
        <v>0.76800000000000002</v>
      </c>
      <c r="BQ109">
        <f>0.79</f>
        <v>0.79</v>
      </c>
      <c r="BR109">
        <f>0.728</f>
        <v>0.72799999999999998</v>
      </c>
      <c r="BS109">
        <f>0.709</f>
        <v>0.70899999999999996</v>
      </c>
      <c r="BT109">
        <f>0.667</f>
        <v>0.66700000000000004</v>
      </c>
      <c r="BU109">
        <f>0.555</f>
        <v>0.55500000000000005</v>
      </c>
      <c r="BV109">
        <f>1</f>
        <v>1</v>
      </c>
      <c r="BW109">
        <f>0.901</f>
        <v>0.90100000000000002</v>
      </c>
      <c r="BX109">
        <f>0.896</f>
        <v>0.89600000000000002</v>
      </c>
      <c r="BY109">
        <f>1.056</f>
        <v>1.056</v>
      </c>
      <c r="BZ109" t="str">
        <f>""</f>
        <v/>
      </c>
      <c r="CA109" t="str">
        <f>""</f>
        <v/>
      </c>
      <c r="CB109" t="str">
        <f>""</f>
        <v/>
      </c>
      <c r="CC109" t="str">
        <f>""</f>
        <v/>
      </c>
      <c r="CD109" t="str">
        <f>""</f>
        <v/>
      </c>
      <c r="CE109" t="str">
        <f>""</f>
        <v/>
      </c>
      <c r="CF109" t="str">
        <f>""</f>
        <v/>
      </c>
      <c r="CG109" t="str">
        <f>""</f>
        <v/>
      </c>
      <c r="CH109" t="str">
        <f>""</f>
        <v/>
      </c>
      <c r="CI109" t="str">
        <f>""</f>
        <v/>
      </c>
      <c r="CJ109" t="str">
        <f>""</f>
        <v/>
      </c>
      <c r="CK109" t="str">
        <f>""</f>
        <v/>
      </c>
      <c r="CL109" t="str">
        <f>""</f>
        <v/>
      </c>
      <c r="CM109" t="str">
        <f>""</f>
        <v/>
      </c>
      <c r="CN109" t="str">
        <f>""</f>
        <v/>
      </c>
      <c r="CO109" t="str">
        <f>""</f>
        <v/>
      </c>
      <c r="CP109" t="str">
        <f>""</f>
        <v/>
      </c>
      <c r="CQ109" t="str">
        <f>""</f>
        <v/>
      </c>
      <c r="CR109" t="str">
        <f>""</f>
        <v/>
      </c>
      <c r="CS109" t="str">
        <f>""</f>
        <v/>
      </c>
      <c r="CT109" t="str">
        <f>""</f>
        <v/>
      </c>
      <c r="CU109" t="str">
        <f>""</f>
        <v/>
      </c>
      <c r="CV109" t="str">
        <f>""</f>
        <v/>
      </c>
      <c r="CW109" t="str">
        <f>""</f>
        <v/>
      </c>
      <c r="CX109" t="str">
        <f>""</f>
        <v/>
      </c>
      <c r="CY109" t="str">
        <f>""</f>
        <v/>
      </c>
      <c r="CZ109" t="str">
        <f>""</f>
        <v/>
      </c>
      <c r="DA109" t="str">
        <f>""</f>
        <v/>
      </c>
      <c r="DB109" t="str">
        <f>""</f>
        <v/>
      </c>
      <c r="DC109" t="str">
        <f>""</f>
        <v/>
      </c>
      <c r="DD109" t="str">
        <f>""</f>
        <v/>
      </c>
      <c r="DE109" t="str">
        <f>""</f>
        <v/>
      </c>
      <c r="DF109" t="str">
        <f>""</f>
        <v/>
      </c>
      <c r="DG109" t="str">
        <f>""</f>
        <v/>
      </c>
      <c r="DH109" t="str">
        <f>""</f>
        <v/>
      </c>
      <c r="DI109" t="str">
        <f>""</f>
        <v/>
      </c>
      <c r="DJ109" t="str">
        <f>""</f>
        <v/>
      </c>
      <c r="DK109" t="str">
        <f>""</f>
        <v/>
      </c>
      <c r="DL109" t="str">
        <f>""</f>
        <v/>
      </c>
      <c r="DM109" t="str">
        <f>""</f>
        <v/>
      </c>
      <c r="DN109" t="str">
        <f>""</f>
        <v/>
      </c>
      <c r="DO109" t="str">
        <f>""</f>
        <v/>
      </c>
      <c r="DP109" t="str">
        <f>""</f>
        <v/>
      </c>
      <c r="DQ109" t="str">
        <f>""</f>
        <v/>
      </c>
      <c r="DR109" t="str">
        <f>""</f>
        <v/>
      </c>
      <c r="DS109" t="str">
        <f>""</f>
        <v/>
      </c>
      <c r="DT109" t="str">
        <f>""</f>
        <v/>
      </c>
      <c r="DU109" t="str">
        <f>""</f>
        <v/>
      </c>
    </row>
    <row r="110" spans="1:125" x14ac:dyDescent="0.25">
      <c r="A110" t="str">
        <f>"    Nissan Motor Co Ltd"</f>
        <v xml:space="preserve">    Nissan Motor Co Ltd</v>
      </c>
      <c r="B110" t="str">
        <f>"7201 JP Equity"</f>
        <v>7201 JP Equity</v>
      </c>
      <c r="C110" t="str">
        <f t="shared" si="6"/>
        <v>EZ021</v>
      </c>
      <c r="D110" t="str">
        <f t="shared" si="7"/>
        <v>BEST_EPS_NXT_YR</v>
      </c>
      <c r="E110" t="str">
        <f t="shared" si="8"/>
        <v>Dynamic</v>
      </c>
      <c r="F110">
        <f ca="1">IF(AND(ISNUMBER($F$617),$B$511=1),$F$617,HLOOKUP(INDIRECT(ADDRESS(2,COLUMN())),OFFSET($BN$2,0,0,ROW()-1,60),ROW()-1,FALSE))</f>
        <v>1.2070000000000001</v>
      </c>
      <c r="G110">
        <f ca="1">IF(AND(ISNUMBER($G$617),$B$511=1),$G$617,HLOOKUP(INDIRECT(ADDRESS(2,COLUMN())),OFFSET($BN$2,0,0,ROW()-1,60),ROW()-1,FALSE))</f>
        <v>1.2809999999999999</v>
      </c>
      <c r="H110">
        <f ca="1">IF(AND(ISNUMBER($H$617),$B$511=1),$H$617,HLOOKUP(INDIRECT(ADDRESS(2,COLUMN())),OFFSET($BN$2,0,0,ROW()-1,60),ROW()-1,FALSE))</f>
        <v>1.335</v>
      </c>
      <c r="I110">
        <f ca="1">IF(AND(ISNUMBER($I$617),$B$511=1),$I$617,HLOOKUP(INDIRECT(ADDRESS(2,COLUMN())),OFFSET($BN$2,0,0,ROW()-1,60),ROW()-1,FALSE))</f>
        <v>1.403</v>
      </c>
      <c r="J110">
        <f ca="1">IF(AND(ISNUMBER($J$617),$B$511=1),$J$617,HLOOKUP(INDIRECT(ADDRESS(2,COLUMN())),OFFSET($BN$2,0,0,ROW()-1,60),ROW()-1,FALSE))</f>
        <v>1.52</v>
      </c>
      <c r="K110">
        <f ca="1">IF(AND(ISNUMBER($K$617),$B$511=1),$K$617,HLOOKUP(INDIRECT(ADDRESS(2,COLUMN())),OFFSET($BN$2,0,0,ROW()-1,60),ROW()-1,FALSE))</f>
        <v>1.4910000000000001</v>
      </c>
      <c r="L110">
        <f ca="1">IF(AND(ISNUMBER($L$617),$B$511=1),$L$617,HLOOKUP(INDIRECT(ADDRESS(2,COLUMN())),OFFSET($BN$2,0,0,ROW()-1,60),ROW()-1,FALSE))</f>
        <v>1.516</v>
      </c>
      <c r="M110">
        <f ca="1">IF(AND(ISNUMBER($M$617),$B$511=1),$M$617,HLOOKUP(INDIRECT(ADDRESS(2,COLUMN())),OFFSET($BN$2,0,0,ROW()-1,60),ROW()-1,FALSE))</f>
        <v>1.552</v>
      </c>
      <c r="N110">
        <f ca="1">IF(AND(ISNUMBER($N$617),$B$511=1),$N$617,HLOOKUP(INDIRECT(ADDRESS(2,COLUMN())),OFFSET($BN$2,0,0,ROW()-1,60),ROW()-1,FALSE))</f>
        <v>1.992</v>
      </c>
      <c r="O110">
        <f ca="1">IF(AND(ISNUMBER($O$617),$B$511=1),$O$617,HLOOKUP(INDIRECT(ADDRESS(2,COLUMN())),OFFSET($BN$2,0,0,ROW()-1,60),ROW()-1,FALSE))</f>
        <v>1.9059999999999999</v>
      </c>
      <c r="P110">
        <f ca="1">IF(AND(ISNUMBER($P$617),$B$511=1),$P$617,HLOOKUP(INDIRECT(ADDRESS(2,COLUMN())),OFFSET($BN$2,0,0,ROW()-1,60),ROW()-1,FALSE))</f>
        <v>2.0659999999999998</v>
      </c>
      <c r="Q110">
        <f ca="1">IF(AND(ISNUMBER($Q$617),$B$511=1),$Q$617,HLOOKUP(INDIRECT(ADDRESS(2,COLUMN())),OFFSET($BN$2,0,0,ROW()-1,60),ROW()-1,FALSE))</f>
        <v>1.9419999999999999</v>
      </c>
      <c r="R110">
        <f ca="1">IF(AND(ISNUMBER($R$617),$B$511=1),$R$617,HLOOKUP(INDIRECT(ADDRESS(2,COLUMN())),OFFSET($BN$2,0,0,ROW()-1,60),ROW()-1,FALSE))</f>
        <v>1.3</v>
      </c>
      <c r="S110">
        <f ca="1">IF(AND(ISNUMBER($S$617),$B$511=1),$S$617,HLOOKUP(INDIRECT(ADDRESS(2,COLUMN())),OFFSET($BN$2,0,0,ROW()-1,60),ROW()-1,FALSE))</f>
        <v>1.5129999999999999</v>
      </c>
      <c r="T110">
        <f ca="1">IF(AND(ISNUMBER($T$617),$B$511=1),$T$617,HLOOKUP(INDIRECT(ADDRESS(2,COLUMN())),OFFSET($BN$2,0,0,ROW()-1,60),ROW()-1,FALSE))</f>
        <v>1.395</v>
      </c>
      <c r="U110">
        <f ca="1">IF(AND(ISNUMBER($U$617),$B$511=1),$U$617,HLOOKUP(INDIRECT(ADDRESS(2,COLUMN())),OFFSET($BN$2,0,0,ROW()-1,60),ROW()-1,FALSE))</f>
        <v>1.466</v>
      </c>
      <c r="V110" t="str">
        <f ca="1">IF(AND(ISNUMBER($V$617),$B$511=1),$V$617,HLOOKUP(INDIRECT(ADDRESS(2,COLUMN())),OFFSET($BN$2,0,0,ROW()-1,60),ROW()-1,FALSE))</f>
        <v/>
      </c>
      <c r="W110" t="str">
        <f ca="1">IF(AND(ISNUMBER($W$617),$B$511=1),$W$617,HLOOKUP(INDIRECT(ADDRESS(2,COLUMN())),OFFSET($BN$2,0,0,ROW()-1,60),ROW()-1,FALSE))</f>
        <v/>
      </c>
      <c r="X110" t="str">
        <f ca="1">IF(AND(ISNUMBER($X$617),$B$511=1),$X$617,HLOOKUP(INDIRECT(ADDRESS(2,COLUMN())),OFFSET($BN$2,0,0,ROW()-1,60),ROW()-1,FALSE))</f>
        <v/>
      </c>
      <c r="Y110" t="str">
        <f ca="1">IF(AND(ISNUMBER($Y$617),$B$511=1),$Y$617,HLOOKUP(INDIRECT(ADDRESS(2,COLUMN())),OFFSET($BN$2,0,0,ROW()-1,60),ROW()-1,FALSE))</f>
        <v/>
      </c>
      <c r="Z110" t="str">
        <f ca="1">IF(AND(ISNUMBER($Z$617),$B$511=1),$Z$617,HLOOKUP(INDIRECT(ADDRESS(2,COLUMN())),OFFSET($BN$2,0,0,ROW()-1,60),ROW()-1,FALSE))</f>
        <v/>
      </c>
      <c r="AA110" t="str">
        <f ca="1">IF(AND(ISNUMBER($AA$617),$B$511=1),$AA$617,HLOOKUP(INDIRECT(ADDRESS(2,COLUMN())),OFFSET($BN$2,0,0,ROW()-1,60),ROW()-1,FALSE))</f>
        <v/>
      </c>
      <c r="AB110" t="str">
        <f ca="1">IF(AND(ISNUMBER($AB$617),$B$511=1),$AB$617,HLOOKUP(INDIRECT(ADDRESS(2,COLUMN())),OFFSET($BN$2,0,0,ROW()-1,60),ROW()-1,FALSE))</f>
        <v/>
      </c>
      <c r="AC110" t="str">
        <f ca="1">IF(AND(ISNUMBER($AC$617),$B$511=1),$AC$617,HLOOKUP(INDIRECT(ADDRESS(2,COLUMN())),OFFSET($BN$2,0,0,ROW()-1,60),ROW()-1,FALSE))</f>
        <v/>
      </c>
      <c r="AD110" t="str">
        <f ca="1">IF(AND(ISNUMBER($AD$617),$B$511=1),$AD$617,HLOOKUP(INDIRECT(ADDRESS(2,COLUMN())),OFFSET($BN$2,0,0,ROW()-1,60),ROW()-1,FALSE))</f>
        <v/>
      </c>
      <c r="AE110" t="str">
        <f ca="1">IF(AND(ISNUMBER($AE$617),$B$511=1),$AE$617,HLOOKUP(INDIRECT(ADDRESS(2,COLUMN())),OFFSET($BN$2,0,0,ROW()-1,60),ROW()-1,FALSE))</f>
        <v/>
      </c>
      <c r="AF110" t="str">
        <f ca="1">IF(AND(ISNUMBER($AF$617),$B$511=1),$AF$617,HLOOKUP(INDIRECT(ADDRESS(2,COLUMN())),OFFSET($BN$2,0,0,ROW()-1,60),ROW()-1,FALSE))</f>
        <v/>
      </c>
      <c r="AG110" t="str">
        <f ca="1">IF(AND(ISNUMBER($AG$617),$B$511=1),$AG$617,HLOOKUP(INDIRECT(ADDRESS(2,COLUMN())),OFFSET($BN$2,0,0,ROW()-1,60),ROW()-1,FALSE))</f>
        <v/>
      </c>
      <c r="AH110" t="str">
        <f ca="1">IF(AND(ISNUMBER($AH$617),$B$511=1),$AH$617,HLOOKUP(INDIRECT(ADDRESS(2,COLUMN())),OFFSET($BN$2,0,0,ROW()-1,60),ROW()-1,FALSE))</f>
        <v/>
      </c>
      <c r="AI110" t="str">
        <f ca="1">IF(AND(ISNUMBER($AI$617),$B$511=1),$AI$617,HLOOKUP(INDIRECT(ADDRESS(2,COLUMN())),OFFSET($BN$2,0,0,ROW()-1,60),ROW()-1,FALSE))</f>
        <v/>
      </c>
      <c r="AJ110" t="str">
        <f ca="1">IF(AND(ISNUMBER($AJ$617),$B$511=1),$AJ$617,HLOOKUP(INDIRECT(ADDRESS(2,COLUMN())),OFFSET($BN$2,0,0,ROW()-1,60),ROW()-1,FALSE))</f>
        <v/>
      </c>
      <c r="AK110" t="str">
        <f ca="1">IF(AND(ISNUMBER($AK$617),$B$511=1),$AK$617,HLOOKUP(INDIRECT(ADDRESS(2,COLUMN())),OFFSET($BN$2,0,0,ROW()-1,60),ROW()-1,FALSE))</f>
        <v/>
      </c>
      <c r="AL110" t="str">
        <f ca="1">IF(AND(ISNUMBER($AL$617),$B$511=1),$AL$617,HLOOKUP(INDIRECT(ADDRESS(2,COLUMN())),OFFSET($BN$2,0,0,ROW()-1,60),ROW()-1,FALSE))</f>
        <v/>
      </c>
      <c r="AM110" t="str">
        <f ca="1">IF(AND(ISNUMBER($AM$617),$B$511=1),$AM$617,HLOOKUP(INDIRECT(ADDRESS(2,COLUMN())),OFFSET($BN$2,0,0,ROW()-1,60),ROW()-1,FALSE))</f>
        <v/>
      </c>
      <c r="AN110" t="str">
        <f ca="1">IF(AND(ISNUMBER($AN$617),$B$511=1),$AN$617,HLOOKUP(INDIRECT(ADDRESS(2,COLUMN())),OFFSET($BN$2,0,0,ROW()-1,60),ROW()-1,FALSE))</f>
        <v/>
      </c>
      <c r="AO110" t="str">
        <f ca="1">IF(AND(ISNUMBER($AO$617),$B$511=1),$AO$617,HLOOKUP(INDIRECT(ADDRESS(2,COLUMN())),OFFSET($BN$2,0,0,ROW()-1,60),ROW()-1,FALSE))</f>
        <v/>
      </c>
      <c r="AP110" t="str">
        <f ca="1">IF(AND(ISNUMBER($AP$617),$B$511=1),$AP$617,HLOOKUP(INDIRECT(ADDRESS(2,COLUMN())),OFFSET($BN$2,0,0,ROW()-1,60),ROW()-1,FALSE))</f>
        <v/>
      </c>
      <c r="AQ110" t="str">
        <f ca="1">IF(AND(ISNUMBER($AQ$617),$B$511=1),$AQ$617,HLOOKUP(INDIRECT(ADDRESS(2,COLUMN())),OFFSET($BN$2,0,0,ROW()-1,60),ROW()-1,FALSE))</f>
        <v/>
      </c>
      <c r="AR110" t="str">
        <f ca="1">IF(AND(ISNUMBER($AR$617),$B$511=1),$AR$617,HLOOKUP(INDIRECT(ADDRESS(2,COLUMN())),OFFSET($BN$2,0,0,ROW()-1,60),ROW()-1,FALSE))</f>
        <v/>
      </c>
      <c r="AS110" t="str">
        <f ca="1">IF(AND(ISNUMBER($AS$617),$B$511=1),$AS$617,HLOOKUP(INDIRECT(ADDRESS(2,COLUMN())),OFFSET($BN$2,0,0,ROW()-1,60),ROW()-1,FALSE))</f>
        <v/>
      </c>
      <c r="AT110" t="str">
        <f ca="1">IF(AND(ISNUMBER($AT$617),$B$511=1),$AT$617,HLOOKUP(INDIRECT(ADDRESS(2,COLUMN())),OFFSET($BN$2,0,0,ROW()-1,60),ROW()-1,FALSE))</f>
        <v/>
      </c>
      <c r="AU110" t="str">
        <f ca="1">IF(AND(ISNUMBER($AU$617),$B$511=1),$AU$617,HLOOKUP(INDIRECT(ADDRESS(2,COLUMN())),OFFSET($BN$2,0,0,ROW()-1,60),ROW()-1,FALSE))</f>
        <v/>
      </c>
      <c r="AV110" t="str">
        <f ca="1">IF(AND(ISNUMBER($AV$617),$B$511=1),$AV$617,HLOOKUP(INDIRECT(ADDRESS(2,COLUMN())),OFFSET($BN$2,0,0,ROW()-1,60),ROW()-1,FALSE))</f>
        <v/>
      </c>
      <c r="AW110" t="str">
        <f ca="1">IF(AND(ISNUMBER($AW$617),$B$511=1),$AW$617,HLOOKUP(INDIRECT(ADDRESS(2,COLUMN())),OFFSET($BN$2,0,0,ROW()-1,60),ROW()-1,FALSE))</f>
        <v/>
      </c>
      <c r="AX110" t="str">
        <f ca="1">IF(AND(ISNUMBER($AX$617),$B$511=1),$AX$617,HLOOKUP(INDIRECT(ADDRESS(2,COLUMN())),OFFSET($BN$2,0,0,ROW()-1,60),ROW()-1,FALSE))</f>
        <v/>
      </c>
      <c r="AY110" t="str">
        <f ca="1">IF(AND(ISNUMBER($AY$617),$B$511=1),$AY$617,HLOOKUP(INDIRECT(ADDRESS(2,COLUMN())),OFFSET($BN$2,0,0,ROW()-1,60),ROW()-1,FALSE))</f>
        <v/>
      </c>
      <c r="AZ110" t="str">
        <f ca="1">IF(AND(ISNUMBER($AZ$617),$B$511=1),$AZ$617,HLOOKUP(INDIRECT(ADDRESS(2,COLUMN())),OFFSET($BN$2,0,0,ROW()-1,60),ROW()-1,FALSE))</f>
        <v/>
      </c>
      <c r="BA110" t="str">
        <f ca="1">IF(AND(ISNUMBER($BA$617),$B$511=1),$BA$617,HLOOKUP(INDIRECT(ADDRESS(2,COLUMN())),OFFSET($BN$2,0,0,ROW()-1,60),ROW()-1,FALSE))</f>
        <v/>
      </c>
      <c r="BB110" t="str">
        <f ca="1">IF(AND(ISNUMBER($BB$617),$B$511=1),$BB$617,HLOOKUP(INDIRECT(ADDRESS(2,COLUMN())),OFFSET($BN$2,0,0,ROW()-1,60),ROW()-1,FALSE))</f>
        <v/>
      </c>
      <c r="BC110" t="str">
        <f ca="1">IF(AND(ISNUMBER($BC$617),$B$511=1),$BC$617,HLOOKUP(INDIRECT(ADDRESS(2,COLUMN())),OFFSET($BN$2,0,0,ROW()-1,60),ROW()-1,FALSE))</f>
        <v/>
      </c>
      <c r="BD110" t="str">
        <f ca="1">IF(AND(ISNUMBER($BD$617),$B$511=1),$BD$617,HLOOKUP(INDIRECT(ADDRESS(2,COLUMN())),OFFSET($BN$2,0,0,ROW()-1,60),ROW()-1,FALSE))</f>
        <v/>
      </c>
      <c r="BE110" t="str">
        <f ca="1">IF(AND(ISNUMBER($BE$617),$B$511=1),$BE$617,HLOOKUP(INDIRECT(ADDRESS(2,COLUMN())),OFFSET($BN$2,0,0,ROW()-1,60),ROW()-1,FALSE))</f>
        <v/>
      </c>
      <c r="BF110" t="str">
        <f ca="1">IF(AND(ISNUMBER($BF$617),$B$511=1),$BF$617,HLOOKUP(INDIRECT(ADDRESS(2,COLUMN())),OFFSET($BN$2,0,0,ROW()-1,60),ROW()-1,FALSE))</f>
        <v/>
      </c>
      <c r="BG110" t="str">
        <f ca="1">IF(AND(ISNUMBER($BG$617),$B$511=1),$BG$617,HLOOKUP(INDIRECT(ADDRESS(2,COLUMN())),OFFSET($BN$2,0,0,ROW()-1,60),ROW()-1,FALSE))</f>
        <v/>
      </c>
      <c r="BH110" t="str">
        <f ca="1">IF(AND(ISNUMBER($BH$617),$B$511=1),$BH$617,HLOOKUP(INDIRECT(ADDRESS(2,COLUMN())),OFFSET($BN$2,0,0,ROW()-1,60),ROW()-1,FALSE))</f>
        <v/>
      </c>
      <c r="BI110" t="str">
        <f ca="1">IF(AND(ISNUMBER($BI$617),$B$511=1),$BI$617,HLOOKUP(INDIRECT(ADDRESS(2,COLUMN())),OFFSET($BN$2,0,0,ROW()-1,60),ROW()-1,FALSE))</f>
        <v/>
      </c>
      <c r="BJ110" t="str">
        <f ca="1">IF(AND(ISNUMBER($BJ$617),$B$511=1),$BJ$617,HLOOKUP(INDIRECT(ADDRESS(2,COLUMN())),OFFSET($BN$2,0,0,ROW()-1,60),ROW()-1,FALSE))</f>
        <v/>
      </c>
      <c r="BK110" t="str">
        <f ca="1">IF(AND(ISNUMBER($BK$617),$B$511=1),$BK$617,HLOOKUP(INDIRECT(ADDRESS(2,COLUMN())),OFFSET($BN$2,0,0,ROW()-1,60),ROW()-1,FALSE))</f>
        <v/>
      </c>
      <c r="BL110" t="str">
        <f ca="1">IF(AND(ISNUMBER($BL$617),$B$511=1),$BL$617,HLOOKUP(INDIRECT(ADDRESS(2,COLUMN())),OFFSET($BN$2,0,0,ROW()-1,60),ROW()-1,FALSE))</f>
        <v/>
      </c>
      <c r="BM110" t="str">
        <f ca="1">IF(AND(ISNUMBER($BM$617),$B$511=1),$BM$617,HLOOKUP(INDIRECT(ADDRESS(2,COLUMN())),OFFSET($BN$2,0,0,ROW()-1,60),ROW()-1,FALSE))</f>
        <v/>
      </c>
      <c r="BN110">
        <f>1.207</f>
        <v>1.2070000000000001</v>
      </c>
      <c r="BO110">
        <f>1.281</f>
        <v>1.2809999999999999</v>
      </c>
      <c r="BP110">
        <f>1.335</f>
        <v>1.335</v>
      </c>
      <c r="BQ110">
        <f>1.403</f>
        <v>1.403</v>
      </c>
      <c r="BR110">
        <f>1.52</f>
        <v>1.52</v>
      </c>
      <c r="BS110">
        <f>1.491</f>
        <v>1.4910000000000001</v>
      </c>
      <c r="BT110">
        <f>1.516</f>
        <v>1.516</v>
      </c>
      <c r="BU110">
        <f>1.552</f>
        <v>1.552</v>
      </c>
      <c r="BV110">
        <f>1.992</f>
        <v>1.992</v>
      </c>
      <c r="BW110">
        <f>1.906</f>
        <v>1.9059999999999999</v>
      </c>
      <c r="BX110">
        <f>2.066</f>
        <v>2.0659999999999998</v>
      </c>
      <c r="BY110">
        <f>1.942</f>
        <v>1.9419999999999999</v>
      </c>
      <c r="BZ110">
        <f>1.3</f>
        <v>1.3</v>
      </c>
      <c r="CA110">
        <f>1.513</f>
        <v>1.5129999999999999</v>
      </c>
      <c r="CB110">
        <f>1.395</f>
        <v>1.395</v>
      </c>
      <c r="CC110">
        <f>1.466</f>
        <v>1.466</v>
      </c>
      <c r="CD110" t="str">
        <f>""</f>
        <v/>
      </c>
      <c r="CE110" t="str">
        <f>""</f>
        <v/>
      </c>
      <c r="CF110" t="str">
        <f>""</f>
        <v/>
      </c>
      <c r="CG110" t="str">
        <f>""</f>
        <v/>
      </c>
      <c r="CH110" t="str">
        <f>""</f>
        <v/>
      </c>
      <c r="CI110" t="str">
        <f>""</f>
        <v/>
      </c>
      <c r="CJ110" t="str">
        <f>""</f>
        <v/>
      </c>
      <c r="CK110" t="str">
        <f>""</f>
        <v/>
      </c>
      <c r="CL110" t="str">
        <f>""</f>
        <v/>
      </c>
      <c r="CM110" t="str">
        <f>""</f>
        <v/>
      </c>
      <c r="CN110" t="str">
        <f>""</f>
        <v/>
      </c>
      <c r="CO110" t="str">
        <f>""</f>
        <v/>
      </c>
      <c r="CP110" t="str">
        <f>""</f>
        <v/>
      </c>
      <c r="CQ110" t="str">
        <f>""</f>
        <v/>
      </c>
      <c r="CR110" t="str">
        <f>""</f>
        <v/>
      </c>
      <c r="CS110" t="str">
        <f>""</f>
        <v/>
      </c>
      <c r="CT110" t="str">
        <f>""</f>
        <v/>
      </c>
      <c r="CU110" t="str">
        <f>""</f>
        <v/>
      </c>
      <c r="CV110" t="str">
        <f>""</f>
        <v/>
      </c>
      <c r="CW110" t="str">
        <f>""</f>
        <v/>
      </c>
      <c r="CX110" t="str">
        <f>""</f>
        <v/>
      </c>
      <c r="CY110" t="str">
        <f>""</f>
        <v/>
      </c>
      <c r="CZ110" t="str">
        <f>""</f>
        <v/>
      </c>
      <c r="DA110" t="str">
        <f>""</f>
        <v/>
      </c>
      <c r="DB110" t="str">
        <f>""</f>
        <v/>
      </c>
      <c r="DC110" t="str">
        <f>""</f>
        <v/>
      </c>
      <c r="DD110" t="str">
        <f>""</f>
        <v/>
      </c>
      <c r="DE110" t="str">
        <f>""</f>
        <v/>
      </c>
      <c r="DF110" t="str">
        <f>""</f>
        <v/>
      </c>
      <c r="DG110" t="str">
        <f>""</f>
        <v/>
      </c>
      <c r="DH110" t="str">
        <f>""</f>
        <v/>
      </c>
      <c r="DI110" t="str">
        <f>""</f>
        <v/>
      </c>
      <c r="DJ110" t="str">
        <f>""</f>
        <v/>
      </c>
      <c r="DK110" t="str">
        <f>""</f>
        <v/>
      </c>
      <c r="DL110" t="str">
        <f>""</f>
        <v/>
      </c>
      <c r="DM110" t="str">
        <f>""</f>
        <v/>
      </c>
      <c r="DN110" t="str">
        <f>""</f>
        <v/>
      </c>
      <c r="DO110" t="str">
        <f>""</f>
        <v/>
      </c>
      <c r="DP110" t="str">
        <f>""</f>
        <v/>
      </c>
      <c r="DQ110" t="str">
        <f>""</f>
        <v/>
      </c>
      <c r="DR110" t="str">
        <f>""</f>
        <v/>
      </c>
      <c r="DS110" t="str">
        <f>""</f>
        <v/>
      </c>
      <c r="DT110" t="str">
        <f>""</f>
        <v/>
      </c>
      <c r="DU110" t="str">
        <f>""</f>
        <v/>
      </c>
    </row>
    <row r="111" spans="1:125" x14ac:dyDescent="0.25">
      <c r="A111" t="str">
        <f>"    Peugeot SA"</f>
        <v xml:space="preserve">    Peugeot SA</v>
      </c>
      <c r="B111" t="str">
        <f>"UG FP Equity"</f>
        <v>UG FP Equity</v>
      </c>
      <c r="C111" t="str">
        <f t="shared" si="6"/>
        <v>EZ021</v>
      </c>
      <c r="D111" t="str">
        <f t="shared" si="7"/>
        <v>BEST_EPS_NXT_YR</v>
      </c>
      <c r="E111" t="str">
        <f t="shared" si="8"/>
        <v>Dynamic</v>
      </c>
      <c r="F111">
        <f ca="1">IF(AND(ISNUMBER($F$618),$B$511=1),$F$618,HLOOKUP(INDIRECT(ADDRESS(2,COLUMN())),OFFSET($BN$2,0,0,ROW()-1,60),ROW()-1,FALSE))</f>
        <v>4.4390000000000001</v>
      </c>
      <c r="G111">
        <f ca="1">IF(AND(ISNUMBER($G$618),$B$511=1),$G$618,HLOOKUP(INDIRECT(ADDRESS(2,COLUMN())),OFFSET($BN$2,0,0,ROW()-1,60),ROW()-1,FALSE))</f>
        <v>4.4160000000000004</v>
      </c>
      <c r="H111">
        <f ca="1">IF(AND(ISNUMBER($H$618),$B$511=1),$H$618,HLOOKUP(INDIRECT(ADDRESS(2,COLUMN())),OFFSET($BN$2,0,0,ROW()-1,60),ROW()-1,FALSE))</f>
        <v>4.702</v>
      </c>
      <c r="I111">
        <f ca="1">IF(AND(ISNUMBER($I$618),$B$511=1),$I$618,HLOOKUP(INDIRECT(ADDRESS(2,COLUMN())),OFFSET($BN$2,0,0,ROW()-1,60),ROW()-1,FALSE))</f>
        <v>3.6850000000000001</v>
      </c>
      <c r="J111">
        <f ca="1">IF(AND(ISNUMBER($J$618),$B$511=1),$J$618,HLOOKUP(INDIRECT(ADDRESS(2,COLUMN())),OFFSET($BN$2,0,0,ROW()-1,60),ROW()-1,FALSE))</f>
        <v>3.782</v>
      </c>
      <c r="K111">
        <f ca="1">IF(AND(ISNUMBER($K$618),$B$511=1),$K$618,HLOOKUP(INDIRECT(ADDRESS(2,COLUMN())),OFFSET($BN$2,0,0,ROW()-1,60),ROW()-1,FALSE))</f>
        <v>3.5350000000000001</v>
      </c>
      <c r="L111">
        <f ca="1">IF(AND(ISNUMBER($L$618),$B$511=1),$L$618,HLOOKUP(INDIRECT(ADDRESS(2,COLUMN())),OFFSET($BN$2,0,0,ROW()-1,60),ROW()-1,FALSE))</f>
        <v>3.464</v>
      </c>
      <c r="M111">
        <f ca="1">IF(AND(ISNUMBER($M$618),$B$511=1),$M$618,HLOOKUP(INDIRECT(ADDRESS(2,COLUMN())),OFFSET($BN$2,0,0,ROW()-1,60),ROW()-1,FALSE))</f>
        <v>2.786</v>
      </c>
      <c r="N111">
        <f ca="1">IF(AND(ISNUMBER($N$618),$B$511=1),$N$618,HLOOKUP(INDIRECT(ADDRESS(2,COLUMN())),OFFSET($BN$2,0,0,ROW()-1,60),ROW()-1,FALSE))</f>
        <v>2.669</v>
      </c>
      <c r="O111">
        <f ca="1">IF(AND(ISNUMBER($O$618),$B$511=1),$O$618,HLOOKUP(INDIRECT(ADDRESS(2,COLUMN())),OFFSET($BN$2,0,0,ROW()-1,60),ROW()-1,FALSE))</f>
        <v>3.0739999999999998</v>
      </c>
      <c r="P111">
        <f ca="1">IF(AND(ISNUMBER($P$618),$B$511=1),$P$618,HLOOKUP(INDIRECT(ADDRESS(2,COLUMN())),OFFSET($BN$2,0,0,ROW()-1,60),ROW()-1,FALSE))</f>
        <v>2.581</v>
      </c>
      <c r="Q111">
        <f ca="1">IF(AND(ISNUMBER($Q$618),$B$511=1),$Q$618,HLOOKUP(INDIRECT(ADDRESS(2,COLUMN())),OFFSET($BN$2,0,0,ROW()-1,60),ROW()-1,FALSE))</f>
        <v>2.8260000000000001</v>
      </c>
      <c r="R111" t="str">
        <f ca="1">IF(AND(ISNUMBER($R$618),$B$511=1),$R$618,HLOOKUP(INDIRECT(ADDRESS(2,COLUMN())),OFFSET($BN$2,0,0,ROW()-1,60),ROW()-1,FALSE))</f>
        <v/>
      </c>
      <c r="S111" t="str">
        <f ca="1">IF(AND(ISNUMBER($S$618),$B$511=1),$S$618,HLOOKUP(INDIRECT(ADDRESS(2,COLUMN())),OFFSET($BN$2,0,0,ROW()-1,60),ROW()-1,FALSE))</f>
        <v/>
      </c>
      <c r="T111" t="str">
        <f ca="1">IF(AND(ISNUMBER($T$618),$B$511=1),$T$618,HLOOKUP(INDIRECT(ADDRESS(2,COLUMN())),OFFSET($BN$2,0,0,ROW()-1,60),ROW()-1,FALSE))</f>
        <v/>
      </c>
      <c r="U111" t="str">
        <f ca="1">IF(AND(ISNUMBER($U$618),$B$511=1),$U$618,HLOOKUP(INDIRECT(ADDRESS(2,COLUMN())),OFFSET($BN$2,0,0,ROW()-1,60),ROW()-1,FALSE))</f>
        <v/>
      </c>
      <c r="V111" t="str">
        <f ca="1">IF(AND(ISNUMBER($V$618),$B$511=1),$V$618,HLOOKUP(INDIRECT(ADDRESS(2,COLUMN())),OFFSET($BN$2,0,0,ROW()-1,60),ROW()-1,FALSE))</f>
        <v/>
      </c>
      <c r="W111" t="str">
        <f ca="1">IF(AND(ISNUMBER($W$618),$B$511=1),$W$618,HLOOKUP(INDIRECT(ADDRESS(2,COLUMN())),OFFSET($BN$2,0,0,ROW()-1,60),ROW()-1,FALSE))</f>
        <v/>
      </c>
      <c r="X111" t="str">
        <f ca="1">IF(AND(ISNUMBER($X$618),$B$511=1),$X$618,HLOOKUP(INDIRECT(ADDRESS(2,COLUMN())),OFFSET($BN$2,0,0,ROW()-1,60),ROW()-1,FALSE))</f>
        <v/>
      </c>
      <c r="Y111" t="str">
        <f ca="1">IF(AND(ISNUMBER($Y$618),$B$511=1),$Y$618,HLOOKUP(INDIRECT(ADDRESS(2,COLUMN())),OFFSET($BN$2,0,0,ROW()-1,60),ROW()-1,FALSE))</f>
        <v/>
      </c>
      <c r="Z111" t="str">
        <f ca="1">IF(AND(ISNUMBER($Z$618),$B$511=1),$Z$618,HLOOKUP(INDIRECT(ADDRESS(2,COLUMN())),OFFSET($BN$2,0,0,ROW()-1,60),ROW()-1,FALSE))</f>
        <v/>
      </c>
      <c r="AA111" t="str">
        <f ca="1">IF(AND(ISNUMBER($AA$618),$B$511=1),$AA$618,HLOOKUP(INDIRECT(ADDRESS(2,COLUMN())),OFFSET($BN$2,0,0,ROW()-1,60),ROW()-1,FALSE))</f>
        <v/>
      </c>
      <c r="AB111" t="str">
        <f ca="1">IF(AND(ISNUMBER($AB$618),$B$511=1),$AB$618,HLOOKUP(INDIRECT(ADDRESS(2,COLUMN())),OFFSET($BN$2,0,0,ROW()-1,60),ROW()-1,FALSE))</f>
        <v/>
      </c>
      <c r="AC111" t="str">
        <f ca="1">IF(AND(ISNUMBER($AC$618),$B$511=1),$AC$618,HLOOKUP(INDIRECT(ADDRESS(2,COLUMN())),OFFSET($BN$2,0,0,ROW()-1,60),ROW()-1,FALSE))</f>
        <v/>
      </c>
      <c r="AD111" t="str">
        <f ca="1">IF(AND(ISNUMBER($AD$618),$B$511=1),$AD$618,HLOOKUP(INDIRECT(ADDRESS(2,COLUMN())),OFFSET($BN$2,0,0,ROW()-1,60),ROW()-1,FALSE))</f>
        <v/>
      </c>
      <c r="AE111" t="str">
        <f ca="1">IF(AND(ISNUMBER($AE$618),$B$511=1),$AE$618,HLOOKUP(INDIRECT(ADDRESS(2,COLUMN())),OFFSET($BN$2,0,0,ROW()-1,60),ROW()-1,FALSE))</f>
        <v/>
      </c>
      <c r="AF111" t="str">
        <f ca="1">IF(AND(ISNUMBER($AF$618),$B$511=1),$AF$618,HLOOKUP(INDIRECT(ADDRESS(2,COLUMN())),OFFSET($BN$2,0,0,ROW()-1,60),ROW()-1,FALSE))</f>
        <v/>
      </c>
      <c r="AG111" t="str">
        <f ca="1">IF(AND(ISNUMBER($AG$618),$B$511=1),$AG$618,HLOOKUP(INDIRECT(ADDRESS(2,COLUMN())),OFFSET($BN$2,0,0,ROW()-1,60),ROW()-1,FALSE))</f>
        <v/>
      </c>
      <c r="AH111">
        <f ca="1">IF(AND(ISNUMBER($AH$618),$B$511=1),$AH$618,HLOOKUP(INDIRECT(ADDRESS(2,COLUMN())),OFFSET($BN$2,0,0,ROW()-1,60),ROW()-1,FALSE))</f>
        <v>5.681</v>
      </c>
      <c r="AI111" t="str">
        <f ca="1">IF(AND(ISNUMBER($AI$618),$B$511=1),$AI$618,HLOOKUP(INDIRECT(ADDRESS(2,COLUMN())),OFFSET($BN$2,0,0,ROW()-1,60),ROW()-1,FALSE))</f>
        <v/>
      </c>
      <c r="AJ111" t="str">
        <f ca="1">IF(AND(ISNUMBER($AJ$618),$B$511=1),$AJ$618,HLOOKUP(INDIRECT(ADDRESS(2,COLUMN())),OFFSET($BN$2,0,0,ROW()-1,60),ROW()-1,FALSE))</f>
        <v/>
      </c>
      <c r="AK111" t="str">
        <f ca="1">IF(AND(ISNUMBER($AK$618),$B$511=1),$AK$618,HLOOKUP(INDIRECT(ADDRESS(2,COLUMN())),OFFSET($BN$2,0,0,ROW()-1,60),ROW()-1,FALSE))</f>
        <v/>
      </c>
      <c r="AL111" t="str">
        <f ca="1">IF(AND(ISNUMBER($AL$618),$B$511=1),$AL$618,HLOOKUP(INDIRECT(ADDRESS(2,COLUMN())),OFFSET($BN$2,0,0,ROW()-1,60),ROW()-1,FALSE))</f>
        <v/>
      </c>
      <c r="AM111" t="str">
        <f ca="1">IF(AND(ISNUMBER($AM$618),$B$511=1),$AM$618,HLOOKUP(INDIRECT(ADDRESS(2,COLUMN())),OFFSET($BN$2,0,0,ROW()-1,60),ROW()-1,FALSE))</f>
        <v/>
      </c>
      <c r="AN111" t="str">
        <f ca="1">IF(AND(ISNUMBER($AN$618),$B$511=1),$AN$618,HLOOKUP(INDIRECT(ADDRESS(2,COLUMN())),OFFSET($BN$2,0,0,ROW()-1,60),ROW()-1,FALSE))</f>
        <v/>
      </c>
      <c r="AO111" t="str">
        <f ca="1">IF(AND(ISNUMBER($AO$618),$B$511=1),$AO$618,HLOOKUP(INDIRECT(ADDRESS(2,COLUMN())),OFFSET($BN$2,0,0,ROW()-1,60),ROW()-1,FALSE))</f>
        <v/>
      </c>
      <c r="AP111" t="str">
        <f ca="1">IF(AND(ISNUMBER($AP$618),$B$511=1),$AP$618,HLOOKUP(INDIRECT(ADDRESS(2,COLUMN())),OFFSET($BN$2,0,0,ROW()-1,60),ROW()-1,FALSE))</f>
        <v/>
      </c>
      <c r="AQ111" t="str">
        <f ca="1">IF(AND(ISNUMBER($AQ$618),$B$511=1),$AQ$618,HLOOKUP(INDIRECT(ADDRESS(2,COLUMN())),OFFSET($BN$2,0,0,ROW()-1,60),ROW()-1,FALSE))</f>
        <v/>
      </c>
      <c r="AR111" t="str">
        <f ca="1">IF(AND(ISNUMBER($AR$618),$B$511=1),$AR$618,HLOOKUP(INDIRECT(ADDRESS(2,COLUMN())),OFFSET($BN$2,0,0,ROW()-1,60),ROW()-1,FALSE))</f>
        <v/>
      </c>
      <c r="AS111" t="str">
        <f ca="1">IF(AND(ISNUMBER($AS$618),$B$511=1),$AS$618,HLOOKUP(INDIRECT(ADDRESS(2,COLUMN())),OFFSET($BN$2,0,0,ROW()-1,60),ROW()-1,FALSE))</f>
        <v/>
      </c>
      <c r="AT111" t="str">
        <f ca="1">IF(AND(ISNUMBER($AT$618),$B$511=1),$AT$618,HLOOKUP(INDIRECT(ADDRESS(2,COLUMN())),OFFSET($BN$2,0,0,ROW()-1,60),ROW()-1,FALSE))</f>
        <v/>
      </c>
      <c r="AU111" t="str">
        <f ca="1">IF(AND(ISNUMBER($AU$618),$B$511=1),$AU$618,HLOOKUP(INDIRECT(ADDRESS(2,COLUMN())),OFFSET($BN$2,0,0,ROW()-1,60),ROW()-1,FALSE))</f>
        <v/>
      </c>
      <c r="AV111" t="str">
        <f ca="1">IF(AND(ISNUMBER($AV$618),$B$511=1),$AV$618,HLOOKUP(INDIRECT(ADDRESS(2,COLUMN())),OFFSET($BN$2,0,0,ROW()-1,60),ROW()-1,FALSE))</f>
        <v/>
      </c>
      <c r="AW111" t="str">
        <f ca="1">IF(AND(ISNUMBER($AW$618),$B$511=1),$AW$618,HLOOKUP(INDIRECT(ADDRESS(2,COLUMN())),OFFSET($BN$2,0,0,ROW()-1,60),ROW()-1,FALSE))</f>
        <v/>
      </c>
      <c r="AX111" t="str">
        <f ca="1">IF(AND(ISNUMBER($AX$618),$B$511=1),$AX$618,HLOOKUP(INDIRECT(ADDRESS(2,COLUMN())),OFFSET($BN$2,0,0,ROW()-1,60),ROW()-1,FALSE))</f>
        <v/>
      </c>
      <c r="AY111" t="str">
        <f ca="1">IF(AND(ISNUMBER($AY$618),$B$511=1),$AY$618,HLOOKUP(INDIRECT(ADDRESS(2,COLUMN())),OFFSET($BN$2,0,0,ROW()-1,60),ROW()-1,FALSE))</f>
        <v/>
      </c>
      <c r="AZ111" t="str">
        <f ca="1">IF(AND(ISNUMBER($AZ$618),$B$511=1),$AZ$618,HLOOKUP(INDIRECT(ADDRESS(2,COLUMN())),OFFSET($BN$2,0,0,ROW()-1,60),ROW()-1,FALSE))</f>
        <v/>
      </c>
      <c r="BA111" t="str">
        <f ca="1">IF(AND(ISNUMBER($BA$618),$B$511=1),$BA$618,HLOOKUP(INDIRECT(ADDRESS(2,COLUMN())),OFFSET($BN$2,0,0,ROW()-1,60),ROW()-1,FALSE))</f>
        <v/>
      </c>
      <c r="BB111" t="str">
        <f ca="1">IF(AND(ISNUMBER($BB$618),$B$511=1),$BB$618,HLOOKUP(INDIRECT(ADDRESS(2,COLUMN())),OFFSET($BN$2,0,0,ROW()-1,60),ROW()-1,FALSE))</f>
        <v/>
      </c>
      <c r="BC111" t="str">
        <f ca="1">IF(AND(ISNUMBER($BC$618),$B$511=1),$BC$618,HLOOKUP(INDIRECT(ADDRESS(2,COLUMN())),OFFSET($BN$2,0,0,ROW()-1,60),ROW()-1,FALSE))</f>
        <v/>
      </c>
      <c r="BD111" t="str">
        <f ca="1">IF(AND(ISNUMBER($BD$618),$B$511=1),$BD$618,HLOOKUP(INDIRECT(ADDRESS(2,COLUMN())),OFFSET($BN$2,0,0,ROW()-1,60),ROW()-1,FALSE))</f>
        <v/>
      </c>
      <c r="BE111" t="str">
        <f ca="1">IF(AND(ISNUMBER($BE$618),$B$511=1),$BE$618,HLOOKUP(INDIRECT(ADDRESS(2,COLUMN())),OFFSET($BN$2,0,0,ROW()-1,60),ROW()-1,FALSE))</f>
        <v/>
      </c>
      <c r="BF111" t="str">
        <f ca="1">IF(AND(ISNUMBER($BF$618),$B$511=1),$BF$618,HLOOKUP(INDIRECT(ADDRESS(2,COLUMN())),OFFSET($BN$2,0,0,ROW()-1,60),ROW()-1,FALSE))</f>
        <v/>
      </c>
      <c r="BG111" t="str">
        <f ca="1">IF(AND(ISNUMBER($BG$618),$B$511=1),$BG$618,HLOOKUP(INDIRECT(ADDRESS(2,COLUMN())),OFFSET($BN$2,0,0,ROW()-1,60),ROW()-1,FALSE))</f>
        <v/>
      </c>
      <c r="BH111" t="str">
        <f ca="1">IF(AND(ISNUMBER($BH$618),$B$511=1),$BH$618,HLOOKUP(INDIRECT(ADDRESS(2,COLUMN())),OFFSET($BN$2,0,0,ROW()-1,60),ROW()-1,FALSE))</f>
        <v/>
      </c>
      <c r="BI111" t="str">
        <f ca="1">IF(AND(ISNUMBER($BI$618),$B$511=1),$BI$618,HLOOKUP(INDIRECT(ADDRESS(2,COLUMN())),OFFSET($BN$2,0,0,ROW()-1,60),ROW()-1,FALSE))</f>
        <v/>
      </c>
      <c r="BJ111" t="str">
        <f ca="1">IF(AND(ISNUMBER($BJ$618),$B$511=1),$BJ$618,HLOOKUP(INDIRECT(ADDRESS(2,COLUMN())),OFFSET($BN$2,0,0,ROW()-1,60),ROW()-1,FALSE))</f>
        <v/>
      </c>
      <c r="BK111" t="str">
        <f ca="1">IF(AND(ISNUMBER($BK$618),$B$511=1),$BK$618,HLOOKUP(INDIRECT(ADDRESS(2,COLUMN())),OFFSET($BN$2,0,0,ROW()-1,60),ROW()-1,FALSE))</f>
        <v/>
      </c>
      <c r="BL111" t="str">
        <f ca="1">IF(AND(ISNUMBER($BL$618),$B$511=1),$BL$618,HLOOKUP(INDIRECT(ADDRESS(2,COLUMN())),OFFSET($BN$2,0,0,ROW()-1,60),ROW()-1,FALSE))</f>
        <v/>
      </c>
      <c r="BM111" t="str">
        <f ca="1">IF(AND(ISNUMBER($BM$618),$B$511=1),$BM$618,HLOOKUP(INDIRECT(ADDRESS(2,COLUMN())),OFFSET($BN$2,0,0,ROW()-1,60),ROW()-1,FALSE))</f>
        <v/>
      </c>
      <c r="BN111">
        <f>4.439</f>
        <v>4.4390000000000001</v>
      </c>
      <c r="BO111">
        <f>4.416</f>
        <v>4.4160000000000004</v>
      </c>
      <c r="BP111">
        <f>4.702</f>
        <v>4.702</v>
      </c>
      <c r="BQ111">
        <f>3.685</f>
        <v>3.6850000000000001</v>
      </c>
      <c r="BR111">
        <f>3.782</f>
        <v>3.782</v>
      </c>
      <c r="BS111">
        <f>3.535</f>
        <v>3.5350000000000001</v>
      </c>
      <c r="BT111">
        <f>3.464</f>
        <v>3.464</v>
      </c>
      <c r="BU111">
        <f>2.786</f>
        <v>2.786</v>
      </c>
      <c r="BV111">
        <f>2.669</f>
        <v>2.669</v>
      </c>
      <c r="BW111">
        <f>3.074</f>
        <v>3.0739999999999998</v>
      </c>
      <c r="BX111">
        <f>2.581</f>
        <v>2.581</v>
      </c>
      <c r="BY111">
        <f>2.826</f>
        <v>2.8260000000000001</v>
      </c>
      <c r="BZ111" t="str">
        <f>""</f>
        <v/>
      </c>
      <c r="CA111" t="str">
        <f>""</f>
        <v/>
      </c>
      <c r="CB111" t="str">
        <f>""</f>
        <v/>
      </c>
      <c r="CC111" t="str">
        <f>""</f>
        <v/>
      </c>
      <c r="CD111" t="str">
        <f>""</f>
        <v/>
      </c>
      <c r="CE111" t="str">
        <f>""</f>
        <v/>
      </c>
      <c r="CF111" t="str">
        <f>""</f>
        <v/>
      </c>
      <c r="CG111" t="str">
        <f>""</f>
        <v/>
      </c>
      <c r="CH111" t="str">
        <f>""</f>
        <v/>
      </c>
      <c r="CI111" t="str">
        <f>""</f>
        <v/>
      </c>
      <c r="CJ111" t="str">
        <f>""</f>
        <v/>
      </c>
      <c r="CK111" t="str">
        <f>""</f>
        <v/>
      </c>
      <c r="CL111" t="str">
        <f>""</f>
        <v/>
      </c>
      <c r="CM111" t="str">
        <f>""</f>
        <v/>
      </c>
      <c r="CN111" t="str">
        <f>""</f>
        <v/>
      </c>
      <c r="CO111" t="str">
        <f>""</f>
        <v/>
      </c>
      <c r="CP111">
        <f>5.681</f>
        <v>5.681</v>
      </c>
      <c r="CQ111" t="str">
        <f>""</f>
        <v/>
      </c>
      <c r="CR111" t="str">
        <f>""</f>
        <v/>
      </c>
      <c r="CS111" t="str">
        <f>""</f>
        <v/>
      </c>
      <c r="CT111" t="str">
        <f>""</f>
        <v/>
      </c>
      <c r="CU111" t="str">
        <f>""</f>
        <v/>
      </c>
      <c r="CV111" t="str">
        <f>""</f>
        <v/>
      </c>
      <c r="CW111" t="str">
        <f>""</f>
        <v/>
      </c>
      <c r="CX111" t="str">
        <f>""</f>
        <v/>
      </c>
      <c r="CY111" t="str">
        <f>""</f>
        <v/>
      </c>
      <c r="CZ111" t="str">
        <f>""</f>
        <v/>
      </c>
      <c r="DA111" t="str">
        <f>""</f>
        <v/>
      </c>
      <c r="DB111" t="str">
        <f>""</f>
        <v/>
      </c>
      <c r="DC111" t="str">
        <f>""</f>
        <v/>
      </c>
      <c r="DD111" t="str">
        <f>""</f>
        <v/>
      </c>
      <c r="DE111" t="str">
        <f>""</f>
        <v/>
      </c>
      <c r="DF111" t="str">
        <f>""</f>
        <v/>
      </c>
      <c r="DG111" t="str">
        <f>""</f>
        <v/>
      </c>
      <c r="DH111" t="str">
        <f>""</f>
        <v/>
      </c>
      <c r="DI111" t="str">
        <f>""</f>
        <v/>
      </c>
      <c r="DJ111" t="str">
        <f>""</f>
        <v/>
      </c>
      <c r="DK111" t="str">
        <f>""</f>
        <v/>
      </c>
      <c r="DL111" t="str">
        <f>""</f>
        <v/>
      </c>
      <c r="DM111" t="str">
        <f>""</f>
        <v/>
      </c>
      <c r="DN111" t="str">
        <f>""</f>
        <v/>
      </c>
      <c r="DO111" t="str">
        <f>""</f>
        <v/>
      </c>
      <c r="DP111" t="str">
        <f>""</f>
        <v/>
      </c>
      <c r="DQ111" t="str">
        <f>""</f>
        <v/>
      </c>
      <c r="DR111" t="str">
        <f>""</f>
        <v/>
      </c>
      <c r="DS111" t="str">
        <f>""</f>
        <v/>
      </c>
      <c r="DT111" t="str">
        <f>""</f>
        <v/>
      </c>
      <c r="DU111" t="str">
        <f>""</f>
        <v/>
      </c>
    </row>
    <row r="112" spans="1:125" x14ac:dyDescent="0.25">
      <c r="A112" t="str">
        <f>"    Renault SA"</f>
        <v xml:space="preserve">    Renault SA</v>
      </c>
      <c r="B112" t="str">
        <f>"RNO FP Equity"</f>
        <v>RNO FP Equity</v>
      </c>
      <c r="C112" t="str">
        <f t="shared" si="6"/>
        <v>EZ021</v>
      </c>
      <c r="D112" t="str">
        <f t="shared" si="7"/>
        <v>BEST_EPS_NXT_YR</v>
      </c>
      <c r="E112" t="str">
        <f t="shared" si="8"/>
        <v>Dynamic</v>
      </c>
      <c r="F112">
        <f ca="1">IF(AND(ISNUMBER($F$619),$B$511=1),$F$619,HLOOKUP(INDIRECT(ADDRESS(2,COLUMN())),OFFSET($BN$2,0,0,ROW()-1,60),ROW()-1,FALSE))</f>
        <v>15.885999999999999</v>
      </c>
      <c r="G112">
        <f ca="1">IF(AND(ISNUMBER($G$619),$B$511=1),$G$619,HLOOKUP(INDIRECT(ADDRESS(2,COLUMN())),OFFSET($BN$2,0,0,ROW()-1,60),ROW()-1,FALSE))</f>
        <v>17.913</v>
      </c>
      <c r="H112">
        <f ca="1">IF(AND(ISNUMBER($H$619),$B$511=1),$H$619,HLOOKUP(INDIRECT(ADDRESS(2,COLUMN())),OFFSET($BN$2,0,0,ROW()-1,60),ROW()-1,FALSE))</f>
        <v>19.135000000000002</v>
      </c>
      <c r="I112">
        <f ca="1">IF(AND(ISNUMBER($I$619),$B$511=1),$I$619,HLOOKUP(INDIRECT(ADDRESS(2,COLUMN())),OFFSET($BN$2,0,0,ROW()-1,60),ROW()-1,FALSE))</f>
        <v>19.056999999999999</v>
      </c>
      <c r="J112">
        <f ca="1">IF(AND(ISNUMBER($J$619),$B$511=1),$J$619,HLOOKUP(INDIRECT(ADDRESS(2,COLUMN())),OFFSET($BN$2,0,0,ROW()-1,60),ROW()-1,FALSE))</f>
        <v>20.395</v>
      </c>
      <c r="K112">
        <f ca="1">IF(AND(ISNUMBER($K$619),$B$511=1),$K$619,HLOOKUP(INDIRECT(ADDRESS(2,COLUMN())),OFFSET($BN$2,0,0,ROW()-1,60),ROW()-1,FALSE))</f>
        <v>18.814</v>
      </c>
      <c r="L112">
        <f ca="1">IF(AND(ISNUMBER($L$619),$B$511=1),$L$619,HLOOKUP(INDIRECT(ADDRESS(2,COLUMN())),OFFSET($BN$2,0,0,ROW()-1,60),ROW()-1,FALSE))</f>
        <v>18.497</v>
      </c>
      <c r="M112">
        <f ca="1">IF(AND(ISNUMBER($M$619),$B$511=1),$M$619,HLOOKUP(INDIRECT(ADDRESS(2,COLUMN())),OFFSET($BN$2,0,0,ROW()-1,60),ROW()-1,FALSE))</f>
        <v>17.036000000000001</v>
      </c>
      <c r="N112">
        <f ca="1">IF(AND(ISNUMBER($N$619),$B$511=1),$N$619,HLOOKUP(INDIRECT(ADDRESS(2,COLUMN())),OFFSET($BN$2,0,0,ROW()-1,60),ROW()-1,FALSE))</f>
        <v>17.103000000000002</v>
      </c>
      <c r="O112">
        <f ca="1">IF(AND(ISNUMBER($O$619),$B$511=1),$O$619,HLOOKUP(INDIRECT(ADDRESS(2,COLUMN())),OFFSET($BN$2,0,0,ROW()-1,60),ROW()-1,FALSE))</f>
        <v>13.864000000000001</v>
      </c>
      <c r="P112">
        <f ca="1">IF(AND(ISNUMBER($P$619),$B$511=1),$P$619,HLOOKUP(INDIRECT(ADDRESS(2,COLUMN())),OFFSET($BN$2,0,0,ROW()-1,60),ROW()-1,FALSE))</f>
        <v>13.94</v>
      </c>
      <c r="Q112">
        <f ca="1">IF(AND(ISNUMBER($Q$619),$B$511=1),$Q$619,HLOOKUP(INDIRECT(ADDRESS(2,COLUMN())),OFFSET($BN$2,0,0,ROW()-1,60),ROW()-1,FALSE))</f>
        <v>14.427</v>
      </c>
      <c r="R112" t="str">
        <f ca="1">IF(AND(ISNUMBER($R$619),$B$511=1),$R$619,HLOOKUP(INDIRECT(ADDRESS(2,COLUMN())),OFFSET($BN$2,0,0,ROW()-1,60),ROW()-1,FALSE))</f>
        <v/>
      </c>
      <c r="S112" t="str">
        <f ca="1">IF(AND(ISNUMBER($S$619),$B$511=1),$S$619,HLOOKUP(INDIRECT(ADDRESS(2,COLUMN())),OFFSET($BN$2,0,0,ROW()-1,60),ROW()-1,FALSE))</f>
        <v/>
      </c>
      <c r="T112" t="str">
        <f ca="1">IF(AND(ISNUMBER($T$619),$B$511=1),$T$619,HLOOKUP(INDIRECT(ADDRESS(2,COLUMN())),OFFSET($BN$2,0,0,ROW()-1,60),ROW()-1,FALSE))</f>
        <v/>
      </c>
      <c r="U112" t="str">
        <f ca="1">IF(AND(ISNUMBER($U$619),$B$511=1),$U$619,HLOOKUP(INDIRECT(ADDRESS(2,COLUMN())),OFFSET($BN$2,0,0,ROW()-1,60),ROW()-1,FALSE))</f>
        <v/>
      </c>
      <c r="V112" t="str">
        <f ca="1">IF(AND(ISNUMBER($V$619),$B$511=1),$V$619,HLOOKUP(INDIRECT(ADDRESS(2,COLUMN())),OFFSET($BN$2,0,0,ROW()-1,60),ROW()-1,FALSE))</f>
        <v/>
      </c>
      <c r="W112" t="str">
        <f ca="1">IF(AND(ISNUMBER($W$619),$B$511=1),$W$619,HLOOKUP(INDIRECT(ADDRESS(2,COLUMN())),OFFSET($BN$2,0,0,ROW()-1,60),ROW()-1,FALSE))</f>
        <v/>
      </c>
      <c r="X112" t="str">
        <f ca="1">IF(AND(ISNUMBER($X$619),$B$511=1),$X$619,HLOOKUP(INDIRECT(ADDRESS(2,COLUMN())),OFFSET($BN$2,0,0,ROW()-1,60),ROW()-1,FALSE))</f>
        <v/>
      </c>
      <c r="Y112" t="str">
        <f ca="1">IF(AND(ISNUMBER($Y$619),$B$511=1),$Y$619,HLOOKUP(INDIRECT(ADDRESS(2,COLUMN())),OFFSET($BN$2,0,0,ROW()-1,60),ROW()-1,FALSE))</f>
        <v/>
      </c>
      <c r="Z112" t="str">
        <f ca="1">IF(AND(ISNUMBER($Z$619),$B$511=1),$Z$619,HLOOKUP(INDIRECT(ADDRESS(2,COLUMN())),OFFSET($BN$2,0,0,ROW()-1,60),ROW()-1,FALSE))</f>
        <v/>
      </c>
      <c r="AA112" t="str">
        <f ca="1">IF(AND(ISNUMBER($AA$619),$B$511=1),$AA$619,HLOOKUP(INDIRECT(ADDRESS(2,COLUMN())),OFFSET($BN$2,0,0,ROW()-1,60),ROW()-1,FALSE))</f>
        <v/>
      </c>
      <c r="AB112" t="str">
        <f ca="1">IF(AND(ISNUMBER($AB$619),$B$511=1),$AB$619,HLOOKUP(INDIRECT(ADDRESS(2,COLUMN())),OFFSET($BN$2,0,0,ROW()-1,60),ROW()-1,FALSE))</f>
        <v/>
      </c>
      <c r="AC112" t="str">
        <f ca="1">IF(AND(ISNUMBER($AC$619),$B$511=1),$AC$619,HLOOKUP(INDIRECT(ADDRESS(2,COLUMN())),OFFSET($BN$2,0,0,ROW()-1,60),ROW()-1,FALSE))</f>
        <v/>
      </c>
      <c r="AD112" t="str">
        <f ca="1">IF(AND(ISNUMBER($AD$619),$B$511=1),$AD$619,HLOOKUP(INDIRECT(ADDRESS(2,COLUMN())),OFFSET($BN$2,0,0,ROW()-1,60),ROW()-1,FALSE))</f>
        <v/>
      </c>
      <c r="AE112" t="str">
        <f ca="1">IF(AND(ISNUMBER($AE$619),$B$511=1),$AE$619,HLOOKUP(INDIRECT(ADDRESS(2,COLUMN())),OFFSET($BN$2,0,0,ROW()-1,60),ROW()-1,FALSE))</f>
        <v/>
      </c>
      <c r="AF112" t="str">
        <f ca="1">IF(AND(ISNUMBER($AF$619),$B$511=1),$AF$619,HLOOKUP(INDIRECT(ADDRESS(2,COLUMN())),OFFSET($BN$2,0,0,ROW()-1,60),ROW()-1,FALSE))</f>
        <v/>
      </c>
      <c r="AG112" t="str">
        <f ca="1">IF(AND(ISNUMBER($AG$619),$B$511=1),$AG$619,HLOOKUP(INDIRECT(ADDRESS(2,COLUMN())),OFFSET($BN$2,0,0,ROW()-1,60),ROW()-1,FALSE))</f>
        <v/>
      </c>
      <c r="AH112" t="str">
        <f ca="1">IF(AND(ISNUMBER($AH$619),$B$511=1),$AH$619,HLOOKUP(INDIRECT(ADDRESS(2,COLUMN())),OFFSET($BN$2,0,0,ROW()-1,60),ROW()-1,FALSE))</f>
        <v/>
      </c>
      <c r="AI112" t="str">
        <f ca="1">IF(AND(ISNUMBER($AI$619),$B$511=1),$AI$619,HLOOKUP(INDIRECT(ADDRESS(2,COLUMN())),OFFSET($BN$2,0,0,ROW()-1,60),ROW()-1,FALSE))</f>
        <v/>
      </c>
      <c r="AJ112" t="str">
        <f ca="1">IF(AND(ISNUMBER($AJ$619),$B$511=1),$AJ$619,HLOOKUP(INDIRECT(ADDRESS(2,COLUMN())),OFFSET($BN$2,0,0,ROW()-1,60),ROW()-1,FALSE))</f>
        <v/>
      </c>
      <c r="AK112" t="str">
        <f ca="1">IF(AND(ISNUMBER($AK$619),$B$511=1),$AK$619,HLOOKUP(INDIRECT(ADDRESS(2,COLUMN())),OFFSET($BN$2,0,0,ROW()-1,60),ROW()-1,FALSE))</f>
        <v/>
      </c>
      <c r="AL112" t="str">
        <f ca="1">IF(AND(ISNUMBER($AL$619),$B$511=1),$AL$619,HLOOKUP(INDIRECT(ADDRESS(2,COLUMN())),OFFSET($BN$2,0,0,ROW()-1,60),ROW()-1,FALSE))</f>
        <v/>
      </c>
      <c r="AM112" t="str">
        <f ca="1">IF(AND(ISNUMBER($AM$619),$B$511=1),$AM$619,HLOOKUP(INDIRECT(ADDRESS(2,COLUMN())),OFFSET($BN$2,0,0,ROW()-1,60),ROW()-1,FALSE))</f>
        <v/>
      </c>
      <c r="AN112" t="str">
        <f ca="1">IF(AND(ISNUMBER($AN$619),$B$511=1),$AN$619,HLOOKUP(INDIRECT(ADDRESS(2,COLUMN())),OFFSET($BN$2,0,0,ROW()-1,60),ROW()-1,FALSE))</f>
        <v/>
      </c>
      <c r="AO112" t="str">
        <f ca="1">IF(AND(ISNUMBER($AO$619),$B$511=1),$AO$619,HLOOKUP(INDIRECT(ADDRESS(2,COLUMN())),OFFSET($BN$2,0,0,ROW()-1,60),ROW()-1,FALSE))</f>
        <v/>
      </c>
      <c r="AP112" t="str">
        <f ca="1">IF(AND(ISNUMBER($AP$619),$B$511=1),$AP$619,HLOOKUP(INDIRECT(ADDRESS(2,COLUMN())),OFFSET($BN$2,0,0,ROW()-1,60),ROW()-1,FALSE))</f>
        <v/>
      </c>
      <c r="AQ112" t="str">
        <f ca="1">IF(AND(ISNUMBER($AQ$619),$B$511=1),$AQ$619,HLOOKUP(INDIRECT(ADDRESS(2,COLUMN())),OFFSET($BN$2,0,0,ROW()-1,60),ROW()-1,FALSE))</f>
        <v/>
      </c>
      <c r="AR112" t="str">
        <f ca="1">IF(AND(ISNUMBER($AR$619),$B$511=1),$AR$619,HLOOKUP(INDIRECT(ADDRESS(2,COLUMN())),OFFSET($BN$2,0,0,ROW()-1,60),ROW()-1,FALSE))</f>
        <v/>
      </c>
      <c r="AS112" t="str">
        <f ca="1">IF(AND(ISNUMBER($AS$619),$B$511=1),$AS$619,HLOOKUP(INDIRECT(ADDRESS(2,COLUMN())),OFFSET($BN$2,0,0,ROW()-1,60),ROW()-1,FALSE))</f>
        <v/>
      </c>
      <c r="AT112" t="str">
        <f ca="1">IF(AND(ISNUMBER($AT$619),$B$511=1),$AT$619,HLOOKUP(INDIRECT(ADDRESS(2,COLUMN())),OFFSET($BN$2,0,0,ROW()-1,60),ROW()-1,FALSE))</f>
        <v/>
      </c>
      <c r="AU112" t="str">
        <f ca="1">IF(AND(ISNUMBER($AU$619),$B$511=1),$AU$619,HLOOKUP(INDIRECT(ADDRESS(2,COLUMN())),OFFSET($BN$2,0,0,ROW()-1,60),ROW()-1,FALSE))</f>
        <v/>
      </c>
      <c r="AV112" t="str">
        <f ca="1">IF(AND(ISNUMBER($AV$619),$B$511=1),$AV$619,HLOOKUP(INDIRECT(ADDRESS(2,COLUMN())),OFFSET($BN$2,0,0,ROW()-1,60),ROW()-1,FALSE))</f>
        <v/>
      </c>
      <c r="AW112" t="str">
        <f ca="1">IF(AND(ISNUMBER($AW$619),$B$511=1),$AW$619,HLOOKUP(INDIRECT(ADDRESS(2,COLUMN())),OFFSET($BN$2,0,0,ROW()-1,60),ROW()-1,FALSE))</f>
        <v/>
      </c>
      <c r="AX112" t="str">
        <f ca="1">IF(AND(ISNUMBER($AX$619),$B$511=1),$AX$619,HLOOKUP(INDIRECT(ADDRESS(2,COLUMN())),OFFSET($BN$2,0,0,ROW()-1,60),ROW()-1,FALSE))</f>
        <v/>
      </c>
      <c r="AY112" t="str">
        <f ca="1">IF(AND(ISNUMBER($AY$619),$B$511=1),$AY$619,HLOOKUP(INDIRECT(ADDRESS(2,COLUMN())),OFFSET($BN$2,0,0,ROW()-1,60),ROW()-1,FALSE))</f>
        <v/>
      </c>
      <c r="AZ112" t="str">
        <f ca="1">IF(AND(ISNUMBER($AZ$619),$B$511=1),$AZ$619,HLOOKUP(INDIRECT(ADDRESS(2,COLUMN())),OFFSET($BN$2,0,0,ROW()-1,60),ROW()-1,FALSE))</f>
        <v/>
      </c>
      <c r="BA112" t="str">
        <f ca="1">IF(AND(ISNUMBER($BA$619),$B$511=1),$BA$619,HLOOKUP(INDIRECT(ADDRESS(2,COLUMN())),OFFSET($BN$2,0,0,ROW()-1,60),ROW()-1,FALSE))</f>
        <v/>
      </c>
      <c r="BB112" t="str">
        <f ca="1">IF(AND(ISNUMBER($BB$619),$B$511=1),$BB$619,HLOOKUP(INDIRECT(ADDRESS(2,COLUMN())),OFFSET($BN$2,0,0,ROW()-1,60),ROW()-1,FALSE))</f>
        <v/>
      </c>
      <c r="BC112" t="str">
        <f ca="1">IF(AND(ISNUMBER($BC$619),$B$511=1),$BC$619,HLOOKUP(INDIRECT(ADDRESS(2,COLUMN())),OFFSET($BN$2,0,0,ROW()-1,60),ROW()-1,FALSE))</f>
        <v/>
      </c>
      <c r="BD112" t="str">
        <f ca="1">IF(AND(ISNUMBER($BD$619),$B$511=1),$BD$619,HLOOKUP(INDIRECT(ADDRESS(2,COLUMN())),OFFSET($BN$2,0,0,ROW()-1,60),ROW()-1,FALSE))</f>
        <v/>
      </c>
      <c r="BE112" t="str">
        <f ca="1">IF(AND(ISNUMBER($BE$619),$B$511=1),$BE$619,HLOOKUP(INDIRECT(ADDRESS(2,COLUMN())),OFFSET($BN$2,0,0,ROW()-1,60),ROW()-1,FALSE))</f>
        <v/>
      </c>
      <c r="BF112" t="str">
        <f ca="1">IF(AND(ISNUMBER($BF$619),$B$511=1),$BF$619,HLOOKUP(INDIRECT(ADDRESS(2,COLUMN())),OFFSET($BN$2,0,0,ROW()-1,60),ROW()-1,FALSE))</f>
        <v/>
      </c>
      <c r="BG112" t="str">
        <f ca="1">IF(AND(ISNUMBER($BG$619),$B$511=1),$BG$619,HLOOKUP(INDIRECT(ADDRESS(2,COLUMN())),OFFSET($BN$2,0,0,ROW()-1,60),ROW()-1,FALSE))</f>
        <v/>
      </c>
      <c r="BH112" t="str">
        <f ca="1">IF(AND(ISNUMBER($BH$619),$B$511=1),$BH$619,HLOOKUP(INDIRECT(ADDRESS(2,COLUMN())),OFFSET($BN$2,0,0,ROW()-1,60),ROW()-1,FALSE))</f>
        <v/>
      </c>
      <c r="BI112" t="str">
        <f ca="1">IF(AND(ISNUMBER($BI$619),$B$511=1),$BI$619,HLOOKUP(INDIRECT(ADDRESS(2,COLUMN())),OFFSET($BN$2,0,0,ROW()-1,60),ROW()-1,FALSE))</f>
        <v/>
      </c>
      <c r="BJ112" t="str">
        <f ca="1">IF(AND(ISNUMBER($BJ$619),$B$511=1),$BJ$619,HLOOKUP(INDIRECT(ADDRESS(2,COLUMN())),OFFSET($BN$2,0,0,ROW()-1,60),ROW()-1,FALSE))</f>
        <v/>
      </c>
      <c r="BK112" t="str">
        <f ca="1">IF(AND(ISNUMBER($BK$619),$B$511=1),$BK$619,HLOOKUP(INDIRECT(ADDRESS(2,COLUMN())),OFFSET($BN$2,0,0,ROW()-1,60),ROW()-1,FALSE))</f>
        <v/>
      </c>
      <c r="BL112" t="str">
        <f ca="1">IF(AND(ISNUMBER($BL$619),$B$511=1),$BL$619,HLOOKUP(INDIRECT(ADDRESS(2,COLUMN())),OFFSET($BN$2,0,0,ROW()-1,60),ROW()-1,FALSE))</f>
        <v/>
      </c>
      <c r="BM112" t="str">
        <f ca="1">IF(AND(ISNUMBER($BM$619),$B$511=1),$BM$619,HLOOKUP(INDIRECT(ADDRESS(2,COLUMN())),OFFSET($BN$2,0,0,ROW()-1,60),ROW()-1,FALSE))</f>
        <v/>
      </c>
      <c r="BN112">
        <f>15.886</f>
        <v>15.885999999999999</v>
      </c>
      <c r="BO112">
        <f>17.913</f>
        <v>17.913</v>
      </c>
      <c r="BP112">
        <f>19.135</f>
        <v>19.135000000000002</v>
      </c>
      <c r="BQ112">
        <f>19.057</f>
        <v>19.056999999999999</v>
      </c>
      <c r="BR112">
        <f>20.395</f>
        <v>20.395</v>
      </c>
      <c r="BS112">
        <f>18.814</f>
        <v>18.814</v>
      </c>
      <c r="BT112">
        <f>18.497</f>
        <v>18.497</v>
      </c>
      <c r="BU112">
        <f>17.036</f>
        <v>17.036000000000001</v>
      </c>
      <c r="BV112">
        <f>17.103</f>
        <v>17.103000000000002</v>
      </c>
      <c r="BW112">
        <f>13.864</f>
        <v>13.864000000000001</v>
      </c>
      <c r="BX112">
        <f>13.94</f>
        <v>13.94</v>
      </c>
      <c r="BY112">
        <f>14.427</f>
        <v>14.427</v>
      </c>
      <c r="BZ112" t="str">
        <f>""</f>
        <v/>
      </c>
      <c r="CA112" t="str">
        <f>""</f>
        <v/>
      </c>
      <c r="CB112" t="str">
        <f>""</f>
        <v/>
      </c>
      <c r="CC112" t="str">
        <f>""</f>
        <v/>
      </c>
      <c r="CD112" t="str">
        <f>""</f>
        <v/>
      </c>
      <c r="CE112" t="str">
        <f>""</f>
        <v/>
      </c>
      <c r="CF112" t="str">
        <f>""</f>
        <v/>
      </c>
      <c r="CG112" t="str">
        <f>""</f>
        <v/>
      </c>
      <c r="CH112" t="str">
        <f>""</f>
        <v/>
      </c>
      <c r="CI112" t="str">
        <f>""</f>
        <v/>
      </c>
      <c r="CJ112" t="str">
        <f>""</f>
        <v/>
      </c>
      <c r="CK112" t="str">
        <f>""</f>
        <v/>
      </c>
      <c r="CL112" t="str">
        <f>""</f>
        <v/>
      </c>
      <c r="CM112" t="str">
        <f>""</f>
        <v/>
      </c>
      <c r="CN112" t="str">
        <f>""</f>
        <v/>
      </c>
      <c r="CO112" t="str">
        <f>""</f>
        <v/>
      </c>
      <c r="CP112" t="str">
        <f>""</f>
        <v/>
      </c>
      <c r="CQ112" t="str">
        <f>""</f>
        <v/>
      </c>
      <c r="CR112" t="str">
        <f>""</f>
        <v/>
      </c>
      <c r="CS112" t="str">
        <f>""</f>
        <v/>
      </c>
      <c r="CT112" t="str">
        <f>""</f>
        <v/>
      </c>
      <c r="CU112" t="str">
        <f>""</f>
        <v/>
      </c>
      <c r="CV112" t="str">
        <f>""</f>
        <v/>
      </c>
      <c r="CW112" t="str">
        <f>""</f>
        <v/>
      </c>
      <c r="CX112" t="str">
        <f>""</f>
        <v/>
      </c>
      <c r="CY112" t="str">
        <f>""</f>
        <v/>
      </c>
      <c r="CZ112" t="str">
        <f>""</f>
        <v/>
      </c>
      <c r="DA112" t="str">
        <f>""</f>
        <v/>
      </c>
      <c r="DB112" t="str">
        <f>""</f>
        <v/>
      </c>
      <c r="DC112" t="str">
        <f>""</f>
        <v/>
      </c>
      <c r="DD112" t="str">
        <f>""</f>
        <v/>
      </c>
      <c r="DE112" t="str">
        <f>""</f>
        <v/>
      </c>
      <c r="DF112" t="str">
        <f>""</f>
        <v/>
      </c>
      <c r="DG112" t="str">
        <f>""</f>
        <v/>
      </c>
      <c r="DH112" t="str">
        <f>""</f>
        <v/>
      </c>
      <c r="DI112" t="str">
        <f>""</f>
        <v/>
      </c>
      <c r="DJ112" t="str">
        <f>""</f>
        <v/>
      </c>
      <c r="DK112" t="str">
        <f>""</f>
        <v/>
      </c>
      <c r="DL112" t="str">
        <f>""</f>
        <v/>
      </c>
      <c r="DM112" t="str">
        <f>""</f>
        <v/>
      </c>
      <c r="DN112" t="str">
        <f>""</f>
        <v/>
      </c>
      <c r="DO112" t="str">
        <f>""</f>
        <v/>
      </c>
      <c r="DP112" t="str">
        <f>""</f>
        <v/>
      </c>
      <c r="DQ112" t="str">
        <f>""</f>
        <v/>
      </c>
      <c r="DR112" t="str">
        <f>""</f>
        <v/>
      </c>
      <c r="DS112" t="str">
        <f>""</f>
        <v/>
      </c>
      <c r="DT112" t="str">
        <f>""</f>
        <v/>
      </c>
      <c r="DU112" t="str">
        <f>""</f>
        <v/>
      </c>
    </row>
    <row r="113" spans="1:125" x14ac:dyDescent="0.25">
      <c r="A113" t="str">
        <f>"    SAIC Motor Corp Ltd"</f>
        <v xml:space="preserve">    SAIC Motor Corp Ltd</v>
      </c>
      <c r="B113" t="str">
        <f>"600104 CH Equity"</f>
        <v>600104 CH Equity</v>
      </c>
      <c r="C113" t="str">
        <f t="shared" si="6"/>
        <v>EZ021</v>
      </c>
      <c r="D113" t="str">
        <f t="shared" si="7"/>
        <v>BEST_EPS_NXT_YR</v>
      </c>
      <c r="E113" t="str">
        <f t="shared" si="8"/>
        <v>Dynamic</v>
      </c>
      <c r="F113">
        <f ca="1">IF(AND(ISNUMBER($F$620),$B$511=1),$F$620,HLOOKUP(INDIRECT(ADDRESS(2,COLUMN())),OFFSET($BN$2,0,0,ROW()-1,60),ROW()-1,FALSE))</f>
        <v>0.496</v>
      </c>
      <c r="G113">
        <f ca="1">IF(AND(ISNUMBER($G$620),$B$511=1),$G$620,HLOOKUP(INDIRECT(ADDRESS(2,COLUMN())),OFFSET($BN$2,0,0,ROW()-1,60),ROW()-1,FALSE))</f>
        <v>0.495</v>
      </c>
      <c r="H113">
        <f ca="1">IF(AND(ISNUMBER($H$620),$B$511=1),$H$620,HLOOKUP(INDIRECT(ADDRESS(2,COLUMN())),OFFSET($BN$2,0,0,ROW()-1,60),ROW()-1,FALSE))</f>
        <v>0.51200000000000001</v>
      </c>
      <c r="I113">
        <f ca="1">IF(AND(ISNUMBER($I$620),$B$511=1),$I$620,HLOOKUP(INDIRECT(ADDRESS(2,COLUMN())),OFFSET($BN$2,0,0,ROW()-1,60),ROW()-1,FALSE))</f>
        <v>0.53</v>
      </c>
      <c r="J113">
        <f ca="1">IF(AND(ISNUMBER($J$620),$B$511=1),$J$620,HLOOKUP(INDIRECT(ADDRESS(2,COLUMN())),OFFSET($BN$2,0,0,ROW()-1,60),ROW()-1,FALSE))</f>
        <v>0.56999999999999995</v>
      </c>
      <c r="K113">
        <f ca="1">IF(AND(ISNUMBER($K$620),$B$511=1),$K$620,HLOOKUP(INDIRECT(ADDRESS(2,COLUMN())),OFFSET($BN$2,0,0,ROW()-1,60),ROW()-1,FALSE))</f>
        <v>0.56299999999999994</v>
      </c>
      <c r="L113">
        <f ca="1">IF(AND(ISNUMBER($L$620),$B$511=1),$L$620,HLOOKUP(INDIRECT(ADDRESS(2,COLUMN())),OFFSET($BN$2,0,0,ROW()-1,60),ROW()-1,FALSE))</f>
        <v>0.56200000000000006</v>
      </c>
      <c r="M113">
        <f ca="1">IF(AND(ISNUMBER($M$620),$B$511=1),$M$620,HLOOKUP(INDIRECT(ADDRESS(2,COLUMN())),OFFSET($BN$2,0,0,ROW()-1,60),ROW()-1,FALSE))</f>
        <v>0.54400000000000004</v>
      </c>
      <c r="N113">
        <f ca="1">IF(AND(ISNUMBER($N$620),$B$511=1),$N$620,HLOOKUP(INDIRECT(ADDRESS(2,COLUMN())),OFFSET($BN$2,0,0,ROW()-1,60),ROW()-1,FALSE))</f>
        <v>0.45500000000000002</v>
      </c>
      <c r="O113">
        <f ca="1">IF(AND(ISNUMBER($O$620),$B$511=1),$O$620,HLOOKUP(INDIRECT(ADDRESS(2,COLUMN())),OFFSET($BN$2,0,0,ROW()-1,60),ROW()-1,FALSE))</f>
        <v>0.45500000000000002</v>
      </c>
      <c r="P113" t="str">
        <f ca="1">IF(AND(ISNUMBER($P$620),$B$511=1),$P$620,HLOOKUP(INDIRECT(ADDRESS(2,COLUMN())),OFFSET($BN$2,0,0,ROW()-1,60),ROW()-1,FALSE))</f>
        <v/>
      </c>
      <c r="Q113" t="str">
        <f ca="1">IF(AND(ISNUMBER($Q$620),$B$511=1),$Q$620,HLOOKUP(INDIRECT(ADDRESS(2,COLUMN())),OFFSET($BN$2,0,0,ROW()-1,60),ROW()-1,FALSE))</f>
        <v/>
      </c>
      <c r="R113" t="str">
        <f ca="1">IF(AND(ISNUMBER($R$620),$B$511=1),$R$620,HLOOKUP(INDIRECT(ADDRESS(2,COLUMN())),OFFSET($BN$2,0,0,ROW()-1,60),ROW()-1,FALSE))</f>
        <v/>
      </c>
      <c r="S113" t="str">
        <f ca="1">IF(AND(ISNUMBER($S$620),$B$511=1),$S$620,HLOOKUP(INDIRECT(ADDRESS(2,COLUMN())),OFFSET($BN$2,0,0,ROW()-1,60),ROW()-1,FALSE))</f>
        <v/>
      </c>
      <c r="T113" t="str">
        <f ca="1">IF(AND(ISNUMBER($T$620),$B$511=1),$T$620,HLOOKUP(INDIRECT(ADDRESS(2,COLUMN())),OFFSET($BN$2,0,0,ROW()-1,60),ROW()-1,FALSE))</f>
        <v/>
      </c>
      <c r="U113" t="str">
        <f ca="1">IF(AND(ISNUMBER($U$620),$B$511=1),$U$620,HLOOKUP(INDIRECT(ADDRESS(2,COLUMN())),OFFSET($BN$2,0,0,ROW()-1,60),ROW()-1,FALSE))</f>
        <v/>
      </c>
      <c r="V113" t="str">
        <f ca="1">IF(AND(ISNUMBER($V$620),$B$511=1),$V$620,HLOOKUP(INDIRECT(ADDRESS(2,COLUMN())),OFFSET($BN$2,0,0,ROW()-1,60),ROW()-1,FALSE))</f>
        <v/>
      </c>
      <c r="W113" t="str">
        <f ca="1">IF(AND(ISNUMBER($W$620),$B$511=1),$W$620,HLOOKUP(INDIRECT(ADDRESS(2,COLUMN())),OFFSET($BN$2,0,0,ROW()-1,60),ROW()-1,FALSE))</f>
        <v/>
      </c>
      <c r="X113" t="str">
        <f ca="1">IF(AND(ISNUMBER($X$620),$B$511=1),$X$620,HLOOKUP(INDIRECT(ADDRESS(2,COLUMN())),OFFSET($BN$2,0,0,ROW()-1,60),ROW()-1,FALSE))</f>
        <v/>
      </c>
      <c r="Y113" t="str">
        <f ca="1">IF(AND(ISNUMBER($Y$620),$B$511=1),$Y$620,HLOOKUP(INDIRECT(ADDRESS(2,COLUMN())),OFFSET($BN$2,0,0,ROW()-1,60),ROW()-1,FALSE))</f>
        <v/>
      </c>
      <c r="Z113" t="str">
        <f ca="1">IF(AND(ISNUMBER($Z$620),$B$511=1),$Z$620,HLOOKUP(INDIRECT(ADDRESS(2,COLUMN())),OFFSET($BN$2,0,0,ROW()-1,60),ROW()-1,FALSE))</f>
        <v/>
      </c>
      <c r="AA113" t="str">
        <f ca="1">IF(AND(ISNUMBER($AA$620),$B$511=1),$AA$620,HLOOKUP(INDIRECT(ADDRESS(2,COLUMN())),OFFSET($BN$2,0,0,ROW()-1,60),ROW()-1,FALSE))</f>
        <v/>
      </c>
      <c r="AB113" t="str">
        <f ca="1">IF(AND(ISNUMBER($AB$620),$B$511=1),$AB$620,HLOOKUP(INDIRECT(ADDRESS(2,COLUMN())),OFFSET($BN$2,0,0,ROW()-1,60),ROW()-1,FALSE))</f>
        <v/>
      </c>
      <c r="AC113" t="str">
        <f ca="1">IF(AND(ISNUMBER($AC$620),$B$511=1),$AC$620,HLOOKUP(INDIRECT(ADDRESS(2,COLUMN())),OFFSET($BN$2,0,0,ROW()-1,60),ROW()-1,FALSE))</f>
        <v/>
      </c>
      <c r="AD113" t="str">
        <f ca="1">IF(AND(ISNUMBER($AD$620),$B$511=1),$AD$620,HLOOKUP(INDIRECT(ADDRESS(2,COLUMN())),OFFSET($BN$2,0,0,ROW()-1,60),ROW()-1,FALSE))</f>
        <v/>
      </c>
      <c r="AE113" t="str">
        <f ca="1">IF(AND(ISNUMBER($AE$620),$B$511=1),$AE$620,HLOOKUP(INDIRECT(ADDRESS(2,COLUMN())),OFFSET($BN$2,0,0,ROW()-1,60),ROW()-1,FALSE))</f>
        <v/>
      </c>
      <c r="AF113" t="str">
        <f ca="1">IF(AND(ISNUMBER($AF$620),$B$511=1),$AF$620,HLOOKUP(INDIRECT(ADDRESS(2,COLUMN())),OFFSET($BN$2,0,0,ROW()-1,60),ROW()-1,FALSE))</f>
        <v/>
      </c>
      <c r="AG113" t="str">
        <f ca="1">IF(AND(ISNUMBER($AG$620),$B$511=1),$AG$620,HLOOKUP(INDIRECT(ADDRESS(2,COLUMN())),OFFSET($BN$2,0,0,ROW()-1,60),ROW()-1,FALSE))</f>
        <v/>
      </c>
      <c r="AH113" t="str">
        <f ca="1">IF(AND(ISNUMBER($AH$620),$B$511=1),$AH$620,HLOOKUP(INDIRECT(ADDRESS(2,COLUMN())),OFFSET($BN$2,0,0,ROW()-1,60),ROW()-1,FALSE))</f>
        <v/>
      </c>
      <c r="AI113" t="str">
        <f ca="1">IF(AND(ISNUMBER($AI$620),$B$511=1),$AI$620,HLOOKUP(INDIRECT(ADDRESS(2,COLUMN())),OFFSET($BN$2,0,0,ROW()-1,60),ROW()-1,FALSE))</f>
        <v/>
      </c>
      <c r="AJ113" t="str">
        <f ca="1">IF(AND(ISNUMBER($AJ$620),$B$511=1),$AJ$620,HLOOKUP(INDIRECT(ADDRESS(2,COLUMN())),OFFSET($BN$2,0,0,ROW()-1,60),ROW()-1,FALSE))</f>
        <v/>
      </c>
      <c r="AK113" t="str">
        <f ca="1">IF(AND(ISNUMBER($AK$620),$B$511=1),$AK$620,HLOOKUP(INDIRECT(ADDRESS(2,COLUMN())),OFFSET($BN$2,0,0,ROW()-1,60),ROW()-1,FALSE))</f>
        <v/>
      </c>
      <c r="AL113" t="str">
        <f ca="1">IF(AND(ISNUMBER($AL$620),$B$511=1),$AL$620,HLOOKUP(INDIRECT(ADDRESS(2,COLUMN())),OFFSET($BN$2,0,0,ROW()-1,60),ROW()-1,FALSE))</f>
        <v/>
      </c>
      <c r="AM113" t="str">
        <f ca="1">IF(AND(ISNUMBER($AM$620),$B$511=1),$AM$620,HLOOKUP(INDIRECT(ADDRESS(2,COLUMN())),OFFSET($BN$2,0,0,ROW()-1,60),ROW()-1,FALSE))</f>
        <v/>
      </c>
      <c r="AN113" t="str">
        <f ca="1">IF(AND(ISNUMBER($AN$620),$B$511=1),$AN$620,HLOOKUP(INDIRECT(ADDRESS(2,COLUMN())),OFFSET($BN$2,0,0,ROW()-1,60),ROW()-1,FALSE))</f>
        <v/>
      </c>
      <c r="AO113" t="str">
        <f ca="1">IF(AND(ISNUMBER($AO$620),$B$511=1),$AO$620,HLOOKUP(INDIRECT(ADDRESS(2,COLUMN())),OFFSET($BN$2,0,0,ROW()-1,60),ROW()-1,FALSE))</f>
        <v/>
      </c>
      <c r="AP113" t="str">
        <f ca="1">IF(AND(ISNUMBER($AP$620),$B$511=1),$AP$620,HLOOKUP(INDIRECT(ADDRESS(2,COLUMN())),OFFSET($BN$2,0,0,ROW()-1,60),ROW()-1,FALSE))</f>
        <v/>
      </c>
      <c r="AQ113" t="str">
        <f ca="1">IF(AND(ISNUMBER($AQ$620),$B$511=1),$AQ$620,HLOOKUP(INDIRECT(ADDRESS(2,COLUMN())),OFFSET($BN$2,0,0,ROW()-1,60),ROW()-1,FALSE))</f>
        <v/>
      </c>
      <c r="AR113" t="str">
        <f ca="1">IF(AND(ISNUMBER($AR$620),$B$511=1),$AR$620,HLOOKUP(INDIRECT(ADDRESS(2,COLUMN())),OFFSET($BN$2,0,0,ROW()-1,60),ROW()-1,FALSE))</f>
        <v/>
      </c>
      <c r="AS113" t="str">
        <f ca="1">IF(AND(ISNUMBER($AS$620),$B$511=1),$AS$620,HLOOKUP(INDIRECT(ADDRESS(2,COLUMN())),OFFSET($BN$2,0,0,ROW()-1,60),ROW()-1,FALSE))</f>
        <v/>
      </c>
      <c r="AT113" t="str">
        <f ca="1">IF(AND(ISNUMBER($AT$620),$B$511=1),$AT$620,HLOOKUP(INDIRECT(ADDRESS(2,COLUMN())),OFFSET($BN$2,0,0,ROW()-1,60),ROW()-1,FALSE))</f>
        <v/>
      </c>
      <c r="AU113" t="str">
        <f ca="1">IF(AND(ISNUMBER($AU$620),$B$511=1),$AU$620,HLOOKUP(INDIRECT(ADDRESS(2,COLUMN())),OFFSET($BN$2,0,0,ROW()-1,60),ROW()-1,FALSE))</f>
        <v/>
      </c>
      <c r="AV113" t="str">
        <f ca="1">IF(AND(ISNUMBER($AV$620),$B$511=1),$AV$620,HLOOKUP(INDIRECT(ADDRESS(2,COLUMN())),OFFSET($BN$2,0,0,ROW()-1,60),ROW()-1,FALSE))</f>
        <v/>
      </c>
      <c r="AW113" t="str">
        <f ca="1">IF(AND(ISNUMBER($AW$620),$B$511=1),$AW$620,HLOOKUP(INDIRECT(ADDRESS(2,COLUMN())),OFFSET($BN$2,0,0,ROW()-1,60),ROW()-1,FALSE))</f>
        <v/>
      </c>
      <c r="AX113" t="str">
        <f ca="1">IF(AND(ISNUMBER($AX$620),$B$511=1),$AX$620,HLOOKUP(INDIRECT(ADDRESS(2,COLUMN())),OFFSET($BN$2,0,0,ROW()-1,60),ROW()-1,FALSE))</f>
        <v/>
      </c>
      <c r="AY113" t="str">
        <f ca="1">IF(AND(ISNUMBER($AY$620),$B$511=1),$AY$620,HLOOKUP(INDIRECT(ADDRESS(2,COLUMN())),OFFSET($BN$2,0,0,ROW()-1,60),ROW()-1,FALSE))</f>
        <v/>
      </c>
      <c r="AZ113" t="str">
        <f ca="1">IF(AND(ISNUMBER($AZ$620),$B$511=1),$AZ$620,HLOOKUP(INDIRECT(ADDRESS(2,COLUMN())),OFFSET($BN$2,0,0,ROW()-1,60),ROW()-1,FALSE))</f>
        <v/>
      </c>
      <c r="BA113" t="str">
        <f ca="1">IF(AND(ISNUMBER($BA$620),$B$511=1),$BA$620,HLOOKUP(INDIRECT(ADDRESS(2,COLUMN())),OFFSET($BN$2,0,0,ROW()-1,60),ROW()-1,FALSE))</f>
        <v/>
      </c>
      <c r="BB113" t="str">
        <f ca="1">IF(AND(ISNUMBER($BB$620),$B$511=1),$BB$620,HLOOKUP(INDIRECT(ADDRESS(2,COLUMN())),OFFSET($BN$2,0,0,ROW()-1,60),ROW()-1,FALSE))</f>
        <v/>
      </c>
      <c r="BC113" t="str">
        <f ca="1">IF(AND(ISNUMBER($BC$620),$B$511=1),$BC$620,HLOOKUP(INDIRECT(ADDRESS(2,COLUMN())),OFFSET($BN$2,0,0,ROW()-1,60),ROW()-1,FALSE))</f>
        <v/>
      </c>
      <c r="BD113" t="str">
        <f ca="1">IF(AND(ISNUMBER($BD$620),$B$511=1),$BD$620,HLOOKUP(INDIRECT(ADDRESS(2,COLUMN())),OFFSET($BN$2,0,0,ROW()-1,60),ROW()-1,FALSE))</f>
        <v/>
      </c>
      <c r="BE113" t="str">
        <f ca="1">IF(AND(ISNUMBER($BE$620),$B$511=1),$BE$620,HLOOKUP(INDIRECT(ADDRESS(2,COLUMN())),OFFSET($BN$2,0,0,ROW()-1,60),ROW()-1,FALSE))</f>
        <v/>
      </c>
      <c r="BF113" t="str">
        <f ca="1">IF(AND(ISNUMBER($BF$620),$B$511=1),$BF$620,HLOOKUP(INDIRECT(ADDRESS(2,COLUMN())),OFFSET($BN$2,0,0,ROW()-1,60),ROW()-1,FALSE))</f>
        <v/>
      </c>
      <c r="BG113" t="str">
        <f ca="1">IF(AND(ISNUMBER($BG$620),$B$511=1),$BG$620,HLOOKUP(INDIRECT(ADDRESS(2,COLUMN())),OFFSET($BN$2,0,0,ROW()-1,60),ROW()-1,FALSE))</f>
        <v/>
      </c>
      <c r="BH113" t="str">
        <f ca="1">IF(AND(ISNUMBER($BH$620),$B$511=1),$BH$620,HLOOKUP(INDIRECT(ADDRESS(2,COLUMN())),OFFSET($BN$2,0,0,ROW()-1,60),ROW()-1,FALSE))</f>
        <v/>
      </c>
      <c r="BI113" t="str">
        <f ca="1">IF(AND(ISNUMBER($BI$620),$B$511=1),$BI$620,HLOOKUP(INDIRECT(ADDRESS(2,COLUMN())),OFFSET($BN$2,0,0,ROW()-1,60),ROW()-1,FALSE))</f>
        <v/>
      </c>
      <c r="BJ113" t="str">
        <f ca="1">IF(AND(ISNUMBER($BJ$620),$B$511=1),$BJ$620,HLOOKUP(INDIRECT(ADDRESS(2,COLUMN())),OFFSET($BN$2,0,0,ROW()-1,60),ROW()-1,FALSE))</f>
        <v/>
      </c>
      <c r="BK113" t="str">
        <f ca="1">IF(AND(ISNUMBER($BK$620),$B$511=1),$BK$620,HLOOKUP(INDIRECT(ADDRESS(2,COLUMN())),OFFSET($BN$2,0,0,ROW()-1,60),ROW()-1,FALSE))</f>
        <v/>
      </c>
      <c r="BL113" t="str">
        <f ca="1">IF(AND(ISNUMBER($BL$620),$B$511=1),$BL$620,HLOOKUP(INDIRECT(ADDRESS(2,COLUMN())),OFFSET($BN$2,0,0,ROW()-1,60),ROW()-1,FALSE))</f>
        <v/>
      </c>
      <c r="BM113" t="str">
        <f ca="1">IF(AND(ISNUMBER($BM$620),$B$511=1),$BM$620,HLOOKUP(INDIRECT(ADDRESS(2,COLUMN())),OFFSET($BN$2,0,0,ROW()-1,60),ROW()-1,FALSE))</f>
        <v/>
      </c>
      <c r="BN113">
        <f>0.496</f>
        <v>0.496</v>
      </c>
      <c r="BO113">
        <f>0.495</f>
        <v>0.495</v>
      </c>
      <c r="BP113">
        <f>0.512</f>
        <v>0.51200000000000001</v>
      </c>
      <c r="BQ113">
        <f>0.53</f>
        <v>0.53</v>
      </c>
      <c r="BR113">
        <f>0.57</f>
        <v>0.56999999999999995</v>
      </c>
      <c r="BS113">
        <f>0.563</f>
        <v>0.56299999999999994</v>
      </c>
      <c r="BT113">
        <f>0.562</f>
        <v>0.56200000000000006</v>
      </c>
      <c r="BU113">
        <f>0.544</f>
        <v>0.54400000000000004</v>
      </c>
      <c r="BV113">
        <f>0.455</f>
        <v>0.45500000000000002</v>
      </c>
      <c r="BW113">
        <f>0.455</f>
        <v>0.45500000000000002</v>
      </c>
      <c r="BX113" t="str">
        <f>""</f>
        <v/>
      </c>
      <c r="BY113" t="str">
        <f>""</f>
        <v/>
      </c>
      <c r="BZ113" t="str">
        <f>""</f>
        <v/>
      </c>
      <c r="CA113" t="str">
        <f>""</f>
        <v/>
      </c>
      <c r="CB113" t="str">
        <f>""</f>
        <v/>
      </c>
      <c r="CC113" t="str">
        <f>""</f>
        <v/>
      </c>
      <c r="CD113" t="str">
        <f>""</f>
        <v/>
      </c>
      <c r="CE113" t="str">
        <f>""</f>
        <v/>
      </c>
      <c r="CF113" t="str">
        <f>""</f>
        <v/>
      </c>
      <c r="CG113" t="str">
        <f>""</f>
        <v/>
      </c>
      <c r="CH113" t="str">
        <f>""</f>
        <v/>
      </c>
      <c r="CI113" t="str">
        <f>""</f>
        <v/>
      </c>
      <c r="CJ113" t="str">
        <f>""</f>
        <v/>
      </c>
      <c r="CK113" t="str">
        <f>""</f>
        <v/>
      </c>
      <c r="CL113" t="str">
        <f>""</f>
        <v/>
      </c>
      <c r="CM113" t="str">
        <f>""</f>
        <v/>
      </c>
      <c r="CN113" t="str">
        <f>""</f>
        <v/>
      </c>
      <c r="CO113" t="str">
        <f>""</f>
        <v/>
      </c>
      <c r="CP113" t="str">
        <f>""</f>
        <v/>
      </c>
      <c r="CQ113" t="str">
        <f>""</f>
        <v/>
      </c>
      <c r="CR113" t="str">
        <f>""</f>
        <v/>
      </c>
      <c r="CS113" t="str">
        <f>""</f>
        <v/>
      </c>
      <c r="CT113" t="str">
        <f>""</f>
        <v/>
      </c>
      <c r="CU113" t="str">
        <f>""</f>
        <v/>
      </c>
      <c r="CV113" t="str">
        <f>""</f>
        <v/>
      </c>
      <c r="CW113" t="str">
        <f>""</f>
        <v/>
      </c>
      <c r="CX113" t="str">
        <f>""</f>
        <v/>
      </c>
      <c r="CY113" t="str">
        <f>""</f>
        <v/>
      </c>
      <c r="CZ113" t="str">
        <f>""</f>
        <v/>
      </c>
      <c r="DA113" t="str">
        <f>""</f>
        <v/>
      </c>
      <c r="DB113" t="str">
        <f>""</f>
        <v/>
      </c>
      <c r="DC113" t="str">
        <f>""</f>
        <v/>
      </c>
      <c r="DD113" t="str">
        <f>""</f>
        <v/>
      </c>
      <c r="DE113" t="str">
        <f>""</f>
        <v/>
      </c>
      <c r="DF113" t="str">
        <f>""</f>
        <v/>
      </c>
      <c r="DG113" t="str">
        <f>""</f>
        <v/>
      </c>
      <c r="DH113" t="str">
        <f>""</f>
        <v/>
      </c>
      <c r="DI113" t="str">
        <f>""</f>
        <v/>
      </c>
      <c r="DJ113" t="str">
        <f>""</f>
        <v/>
      </c>
      <c r="DK113" t="str">
        <f>""</f>
        <v/>
      </c>
      <c r="DL113" t="str">
        <f>""</f>
        <v/>
      </c>
      <c r="DM113" t="str">
        <f>""</f>
        <v/>
      </c>
      <c r="DN113" t="str">
        <f>""</f>
        <v/>
      </c>
      <c r="DO113" t="str">
        <f>""</f>
        <v/>
      </c>
      <c r="DP113" t="str">
        <f>""</f>
        <v/>
      </c>
      <c r="DQ113" t="str">
        <f>""</f>
        <v/>
      </c>
      <c r="DR113" t="str">
        <f>""</f>
        <v/>
      </c>
      <c r="DS113" t="str">
        <f>""</f>
        <v/>
      </c>
      <c r="DT113" t="str">
        <f>""</f>
        <v/>
      </c>
      <c r="DU113" t="str">
        <f>""</f>
        <v/>
      </c>
    </row>
    <row r="114" spans="1:125" x14ac:dyDescent="0.25">
      <c r="A114" t="str">
        <f>"    Sanyang Motor Co Ltd"</f>
        <v xml:space="preserve">    Sanyang Motor Co Ltd</v>
      </c>
      <c r="B114" t="str">
        <f>"2206 TT Equity"</f>
        <v>2206 TT Equity</v>
      </c>
      <c r="C114" t="str">
        <f t="shared" si="6"/>
        <v>EZ021</v>
      </c>
      <c r="D114" t="str">
        <f t="shared" si="7"/>
        <v>BEST_EPS_NXT_YR</v>
      </c>
      <c r="E114" t="str">
        <f t="shared" si="8"/>
        <v>Dynamic</v>
      </c>
      <c r="F114">
        <f ca="1">IF(AND(ISNUMBER($F$621),$B$511=1),$F$621,HLOOKUP(INDIRECT(ADDRESS(2,COLUMN())),OFFSET($BN$2,0,0,ROW()-1,60),ROW()-1,FALSE))</f>
        <v>2.5999999999999999E-2</v>
      </c>
      <c r="G114">
        <f ca="1">IF(AND(ISNUMBER($G$621),$B$511=1),$G$621,HLOOKUP(INDIRECT(ADDRESS(2,COLUMN())),OFFSET($BN$2,0,0,ROW()-1,60),ROW()-1,FALSE))</f>
        <v>2.5999999999999999E-2</v>
      </c>
      <c r="H114" t="str">
        <f ca="1">IF(AND(ISNUMBER($H$621),$B$511=1),$H$621,HLOOKUP(INDIRECT(ADDRESS(2,COLUMN())),OFFSET($BN$2,0,0,ROW()-1,60),ROW()-1,FALSE))</f>
        <v/>
      </c>
      <c r="I114" t="str">
        <f ca="1">IF(AND(ISNUMBER($I$621),$B$511=1),$I$621,HLOOKUP(INDIRECT(ADDRESS(2,COLUMN())),OFFSET($BN$2,0,0,ROW()-1,60),ROW()-1,FALSE))</f>
        <v/>
      </c>
      <c r="J114" t="str">
        <f ca="1">IF(AND(ISNUMBER($J$621),$B$511=1),$J$621,HLOOKUP(INDIRECT(ADDRESS(2,COLUMN())),OFFSET($BN$2,0,0,ROW()-1,60),ROW()-1,FALSE))</f>
        <v/>
      </c>
      <c r="K114" t="str">
        <f ca="1">IF(AND(ISNUMBER($K$621),$B$511=1),$K$621,HLOOKUP(INDIRECT(ADDRESS(2,COLUMN())),OFFSET($BN$2,0,0,ROW()-1,60),ROW()-1,FALSE))</f>
        <v/>
      </c>
      <c r="L114" t="str">
        <f ca="1">IF(AND(ISNUMBER($L$621),$B$511=1),$L$621,HLOOKUP(INDIRECT(ADDRESS(2,COLUMN())),OFFSET($BN$2,0,0,ROW()-1,60),ROW()-1,FALSE))</f>
        <v/>
      </c>
      <c r="M114" t="str">
        <f ca="1">IF(AND(ISNUMBER($M$621),$B$511=1),$M$621,HLOOKUP(INDIRECT(ADDRESS(2,COLUMN())),OFFSET($BN$2,0,0,ROW()-1,60),ROW()-1,FALSE))</f>
        <v/>
      </c>
      <c r="N114" t="str">
        <f ca="1">IF(AND(ISNUMBER($N$621),$B$511=1),$N$621,HLOOKUP(INDIRECT(ADDRESS(2,COLUMN())),OFFSET($BN$2,0,0,ROW()-1,60),ROW()-1,FALSE))</f>
        <v/>
      </c>
      <c r="O114" t="str">
        <f ca="1">IF(AND(ISNUMBER($O$621),$B$511=1),$O$621,HLOOKUP(INDIRECT(ADDRESS(2,COLUMN())),OFFSET($BN$2,0,0,ROW()-1,60),ROW()-1,FALSE))</f>
        <v/>
      </c>
      <c r="P114" t="str">
        <f ca="1">IF(AND(ISNUMBER($P$621),$B$511=1),$P$621,HLOOKUP(INDIRECT(ADDRESS(2,COLUMN())),OFFSET($BN$2,0,0,ROW()-1,60),ROW()-1,FALSE))</f>
        <v/>
      </c>
      <c r="Q114" t="str">
        <f ca="1">IF(AND(ISNUMBER($Q$621),$B$511=1),$Q$621,HLOOKUP(INDIRECT(ADDRESS(2,COLUMN())),OFFSET($BN$2,0,0,ROW()-1,60),ROW()-1,FALSE))</f>
        <v/>
      </c>
      <c r="R114" t="str">
        <f ca="1">IF(AND(ISNUMBER($R$621),$B$511=1),$R$621,HLOOKUP(INDIRECT(ADDRESS(2,COLUMN())),OFFSET($BN$2,0,0,ROW()-1,60),ROW()-1,FALSE))</f>
        <v/>
      </c>
      <c r="S114" t="str">
        <f ca="1">IF(AND(ISNUMBER($S$621),$B$511=1),$S$621,HLOOKUP(INDIRECT(ADDRESS(2,COLUMN())),OFFSET($BN$2,0,0,ROW()-1,60),ROW()-1,FALSE))</f>
        <v/>
      </c>
      <c r="T114" t="str">
        <f ca="1">IF(AND(ISNUMBER($T$621),$B$511=1),$T$621,HLOOKUP(INDIRECT(ADDRESS(2,COLUMN())),OFFSET($BN$2,0,0,ROW()-1,60),ROW()-1,FALSE))</f>
        <v/>
      </c>
      <c r="U114" t="str">
        <f ca="1">IF(AND(ISNUMBER($U$621),$B$511=1),$U$621,HLOOKUP(INDIRECT(ADDRESS(2,COLUMN())),OFFSET($BN$2,0,0,ROW()-1,60),ROW()-1,FALSE))</f>
        <v/>
      </c>
      <c r="V114" t="str">
        <f ca="1">IF(AND(ISNUMBER($V$621),$B$511=1),$V$621,HLOOKUP(INDIRECT(ADDRESS(2,COLUMN())),OFFSET($BN$2,0,0,ROW()-1,60),ROW()-1,FALSE))</f>
        <v/>
      </c>
      <c r="W114" t="str">
        <f ca="1">IF(AND(ISNUMBER($W$621),$B$511=1),$W$621,HLOOKUP(INDIRECT(ADDRESS(2,COLUMN())),OFFSET($BN$2,0,0,ROW()-1,60),ROW()-1,FALSE))</f>
        <v/>
      </c>
      <c r="X114" t="str">
        <f ca="1">IF(AND(ISNUMBER($X$621),$B$511=1),$X$621,HLOOKUP(INDIRECT(ADDRESS(2,COLUMN())),OFFSET($BN$2,0,0,ROW()-1,60),ROW()-1,FALSE))</f>
        <v/>
      </c>
      <c r="Y114" t="str">
        <f ca="1">IF(AND(ISNUMBER($Y$621),$B$511=1),$Y$621,HLOOKUP(INDIRECT(ADDRESS(2,COLUMN())),OFFSET($BN$2,0,0,ROW()-1,60),ROW()-1,FALSE))</f>
        <v/>
      </c>
      <c r="Z114" t="str">
        <f ca="1">IF(AND(ISNUMBER($Z$621),$B$511=1),$Z$621,HLOOKUP(INDIRECT(ADDRESS(2,COLUMN())),OFFSET($BN$2,0,0,ROW()-1,60),ROW()-1,FALSE))</f>
        <v/>
      </c>
      <c r="AA114" t="str">
        <f ca="1">IF(AND(ISNUMBER($AA$621),$B$511=1),$AA$621,HLOOKUP(INDIRECT(ADDRESS(2,COLUMN())),OFFSET($BN$2,0,0,ROW()-1,60),ROW()-1,FALSE))</f>
        <v/>
      </c>
      <c r="AB114" t="str">
        <f ca="1">IF(AND(ISNUMBER($AB$621),$B$511=1),$AB$621,HLOOKUP(INDIRECT(ADDRESS(2,COLUMN())),OFFSET($BN$2,0,0,ROW()-1,60),ROW()-1,FALSE))</f>
        <v/>
      </c>
      <c r="AC114" t="str">
        <f ca="1">IF(AND(ISNUMBER($AC$621),$B$511=1),$AC$621,HLOOKUP(INDIRECT(ADDRESS(2,COLUMN())),OFFSET($BN$2,0,0,ROW()-1,60),ROW()-1,FALSE))</f>
        <v/>
      </c>
      <c r="AD114" t="str">
        <f ca="1">IF(AND(ISNUMBER($AD$621),$B$511=1),$AD$621,HLOOKUP(INDIRECT(ADDRESS(2,COLUMN())),OFFSET($BN$2,0,0,ROW()-1,60),ROW()-1,FALSE))</f>
        <v/>
      </c>
      <c r="AE114" t="str">
        <f ca="1">IF(AND(ISNUMBER($AE$621),$B$511=1),$AE$621,HLOOKUP(INDIRECT(ADDRESS(2,COLUMN())),OFFSET($BN$2,0,0,ROW()-1,60),ROW()-1,FALSE))</f>
        <v/>
      </c>
      <c r="AF114" t="str">
        <f ca="1">IF(AND(ISNUMBER($AF$621),$B$511=1),$AF$621,HLOOKUP(INDIRECT(ADDRESS(2,COLUMN())),OFFSET($BN$2,0,0,ROW()-1,60),ROW()-1,FALSE))</f>
        <v/>
      </c>
      <c r="AG114" t="str">
        <f ca="1">IF(AND(ISNUMBER($AG$621),$B$511=1),$AG$621,HLOOKUP(INDIRECT(ADDRESS(2,COLUMN())),OFFSET($BN$2,0,0,ROW()-1,60),ROW()-1,FALSE))</f>
        <v/>
      </c>
      <c r="AH114" t="str">
        <f ca="1">IF(AND(ISNUMBER($AH$621),$B$511=1),$AH$621,HLOOKUP(INDIRECT(ADDRESS(2,COLUMN())),OFFSET($BN$2,0,0,ROW()-1,60),ROW()-1,FALSE))</f>
        <v/>
      </c>
      <c r="AI114" t="str">
        <f ca="1">IF(AND(ISNUMBER($AI$621),$B$511=1),$AI$621,HLOOKUP(INDIRECT(ADDRESS(2,COLUMN())),OFFSET($BN$2,0,0,ROW()-1,60),ROW()-1,FALSE))</f>
        <v/>
      </c>
      <c r="AJ114" t="str">
        <f ca="1">IF(AND(ISNUMBER($AJ$621),$B$511=1),$AJ$621,HLOOKUP(INDIRECT(ADDRESS(2,COLUMN())),OFFSET($BN$2,0,0,ROW()-1,60),ROW()-1,FALSE))</f>
        <v/>
      </c>
      <c r="AK114" t="str">
        <f ca="1">IF(AND(ISNUMBER($AK$621),$B$511=1),$AK$621,HLOOKUP(INDIRECT(ADDRESS(2,COLUMN())),OFFSET($BN$2,0,0,ROW()-1,60),ROW()-1,FALSE))</f>
        <v/>
      </c>
      <c r="AL114" t="str">
        <f ca="1">IF(AND(ISNUMBER($AL$621),$B$511=1),$AL$621,HLOOKUP(INDIRECT(ADDRESS(2,COLUMN())),OFFSET($BN$2,0,0,ROW()-1,60),ROW()-1,FALSE))</f>
        <v/>
      </c>
      <c r="AM114" t="str">
        <f ca="1">IF(AND(ISNUMBER($AM$621),$B$511=1),$AM$621,HLOOKUP(INDIRECT(ADDRESS(2,COLUMN())),OFFSET($BN$2,0,0,ROW()-1,60),ROW()-1,FALSE))</f>
        <v/>
      </c>
      <c r="AN114" t="str">
        <f ca="1">IF(AND(ISNUMBER($AN$621),$B$511=1),$AN$621,HLOOKUP(INDIRECT(ADDRESS(2,COLUMN())),OFFSET($BN$2,0,0,ROW()-1,60),ROW()-1,FALSE))</f>
        <v/>
      </c>
      <c r="AO114" t="str">
        <f ca="1">IF(AND(ISNUMBER($AO$621),$B$511=1),$AO$621,HLOOKUP(INDIRECT(ADDRESS(2,COLUMN())),OFFSET($BN$2,0,0,ROW()-1,60),ROW()-1,FALSE))</f>
        <v/>
      </c>
      <c r="AP114" t="str">
        <f ca="1">IF(AND(ISNUMBER($AP$621),$B$511=1),$AP$621,HLOOKUP(INDIRECT(ADDRESS(2,COLUMN())),OFFSET($BN$2,0,0,ROW()-1,60),ROW()-1,FALSE))</f>
        <v/>
      </c>
      <c r="AQ114" t="str">
        <f ca="1">IF(AND(ISNUMBER($AQ$621),$B$511=1),$AQ$621,HLOOKUP(INDIRECT(ADDRESS(2,COLUMN())),OFFSET($BN$2,0,0,ROW()-1,60),ROW()-1,FALSE))</f>
        <v/>
      </c>
      <c r="AR114" t="str">
        <f ca="1">IF(AND(ISNUMBER($AR$621),$B$511=1),$AR$621,HLOOKUP(INDIRECT(ADDRESS(2,COLUMN())),OFFSET($BN$2,0,0,ROW()-1,60),ROW()-1,FALSE))</f>
        <v/>
      </c>
      <c r="AS114" t="str">
        <f ca="1">IF(AND(ISNUMBER($AS$621),$B$511=1),$AS$621,HLOOKUP(INDIRECT(ADDRESS(2,COLUMN())),OFFSET($BN$2,0,0,ROW()-1,60),ROW()-1,FALSE))</f>
        <v/>
      </c>
      <c r="AT114" t="str">
        <f ca="1">IF(AND(ISNUMBER($AT$621),$B$511=1),$AT$621,HLOOKUP(INDIRECT(ADDRESS(2,COLUMN())),OFFSET($BN$2,0,0,ROW()-1,60),ROW()-1,FALSE))</f>
        <v/>
      </c>
      <c r="AU114" t="str">
        <f ca="1">IF(AND(ISNUMBER($AU$621),$B$511=1),$AU$621,HLOOKUP(INDIRECT(ADDRESS(2,COLUMN())),OFFSET($BN$2,0,0,ROW()-1,60),ROW()-1,FALSE))</f>
        <v/>
      </c>
      <c r="AV114" t="str">
        <f ca="1">IF(AND(ISNUMBER($AV$621),$B$511=1),$AV$621,HLOOKUP(INDIRECT(ADDRESS(2,COLUMN())),OFFSET($BN$2,0,0,ROW()-1,60),ROW()-1,FALSE))</f>
        <v/>
      </c>
      <c r="AW114" t="str">
        <f ca="1">IF(AND(ISNUMBER($AW$621),$B$511=1),$AW$621,HLOOKUP(INDIRECT(ADDRESS(2,COLUMN())),OFFSET($BN$2,0,0,ROW()-1,60),ROW()-1,FALSE))</f>
        <v/>
      </c>
      <c r="AX114" t="str">
        <f ca="1">IF(AND(ISNUMBER($AX$621),$B$511=1),$AX$621,HLOOKUP(INDIRECT(ADDRESS(2,COLUMN())),OFFSET($BN$2,0,0,ROW()-1,60),ROW()-1,FALSE))</f>
        <v/>
      </c>
      <c r="AY114" t="str">
        <f ca="1">IF(AND(ISNUMBER($AY$621),$B$511=1),$AY$621,HLOOKUP(INDIRECT(ADDRESS(2,COLUMN())),OFFSET($BN$2,0,0,ROW()-1,60),ROW()-1,FALSE))</f>
        <v/>
      </c>
      <c r="AZ114" t="str">
        <f ca="1">IF(AND(ISNUMBER($AZ$621),$B$511=1),$AZ$621,HLOOKUP(INDIRECT(ADDRESS(2,COLUMN())),OFFSET($BN$2,0,0,ROW()-1,60),ROW()-1,FALSE))</f>
        <v/>
      </c>
      <c r="BA114" t="str">
        <f ca="1">IF(AND(ISNUMBER($BA$621),$B$511=1),$BA$621,HLOOKUP(INDIRECT(ADDRESS(2,COLUMN())),OFFSET($BN$2,0,0,ROW()-1,60),ROW()-1,FALSE))</f>
        <v/>
      </c>
      <c r="BB114" t="str">
        <f ca="1">IF(AND(ISNUMBER($BB$621),$B$511=1),$BB$621,HLOOKUP(INDIRECT(ADDRESS(2,COLUMN())),OFFSET($BN$2,0,0,ROW()-1,60),ROW()-1,FALSE))</f>
        <v/>
      </c>
      <c r="BC114" t="str">
        <f ca="1">IF(AND(ISNUMBER($BC$621),$B$511=1),$BC$621,HLOOKUP(INDIRECT(ADDRESS(2,COLUMN())),OFFSET($BN$2,0,0,ROW()-1,60),ROW()-1,FALSE))</f>
        <v/>
      </c>
      <c r="BD114" t="str">
        <f ca="1">IF(AND(ISNUMBER($BD$621),$B$511=1),$BD$621,HLOOKUP(INDIRECT(ADDRESS(2,COLUMN())),OFFSET($BN$2,0,0,ROW()-1,60),ROW()-1,FALSE))</f>
        <v/>
      </c>
      <c r="BE114" t="str">
        <f ca="1">IF(AND(ISNUMBER($BE$621),$B$511=1),$BE$621,HLOOKUP(INDIRECT(ADDRESS(2,COLUMN())),OFFSET($BN$2,0,0,ROW()-1,60),ROW()-1,FALSE))</f>
        <v/>
      </c>
      <c r="BF114" t="str">
        <f ca="1">IF(AND(ISNUMBER($BF$621),$B$511=1),$BF$621,HLOOKUP(INDIRECT(ADDRESS(2,COLUMN())),OFFSET($BN$2,0,0,ROW()-1,60),ROW()-1,FALSE))</f>
        <v/>
      </c>
      <c r="BG114" t="str">
        <f ca="1">IF(AND(ISNUMBER($BG$621),$B$511=1),$BG$621,HLOOKUP(INDIRECT(ADDRESS(2,COLUMN())),OFFSET($BN$2,0,0,ROW()-1,60),ROW()-1,FALSE))</f>
        <v/>
      </c>
      <c r="BH114" t="str">
        <f ca="1">IF(AND(ISNUMBER($BH$621),$B$511=1),$BH$621,HLOOKUP(INDIRECT(ADDRESS(2,COLUMN())),OFFSET($BN$2,0,0,ROW()-1,60),ROW()-1,FALSE))</f>
        <v/>
      </c>
      <c r="BI114" t="str">
        <f ca="1">IF(AND(ISNUMBER($BI$621),$B$511=1),$BI$621,HLOOKUP(INDIRECT(ADDRESS(2,COLUMN())),OFFSET($BN$2,0,0,ROW()-1,60),ROW()-1,FALSE))</f>
        <v/>
      </c>
      <c r="BJ114" t="str">
        <f ca="1">IF(AND(ISNUMBER($BJ$621),$B$511=1),$BJ$621,HLOOKUP(INDIRECT(ADDRESS(2,COLUMN())),OFFSET($BN$2,0,0,ROW()-1,60),ROW()-1,FALSE))</f>
        <v/>
      </c>
      <c r="BK114" t="str">
        <f ca="1">IF(AND(ISNUMBER($BK$621),$B$511=1),$BK$621,HLOOKUP(INDIRECT(ADDRESS(2,COLUMN())),OFFSET($BN$2,0,0,ROW()-1,60),ROW()-1,FALSE))</f>
        <v/>
      </c>
      <c r="BL114" t="str">
        <f ca="1">IF(AND(ISNUMBER($BL$621),$B$511=1),$BL$621,HLOOKUP(INDIRECT(ADDRESS(2,COLUMN())),OFFSET($BN$2,0,0,ROW()-1,60),ROW()-1,FALSE))</f>
        <v/>
      </c>
      <c r="BM114" t="str">
        <f ca="1">IF(AND(ISNUMBER($BM$621),$B$511=1),$BM$621,HLOOKUP(INDIRECT(ADDRESS(2,COLUMN())),OFFSET($BN$2,0,0,ROW()-1,60),ROW()-1,FALSE))</f>
        <v/>
      </c>
      <c r="BN114">
        <f>0.026</f>
        <v>2.5999999999999999E-2</v>
      </c>
      <c r="BO114">
        <f>0.026</f>
        <v>2.5999999999999999E-2</v>
      </c>
      <c r="BP114" t="str">
        <f>""</f>
        <v/>
      </c>
      <c r="BQ114" t="str">
        <f>""</f>
        <v/>
      </c>
      <c r="BR114" t="str">
        <f>""</f>
        <v/>
      </c>
      <c r="BS114" t="str">
        <f>""</f>
        <v/>
      </c>
      <c r="BT114" t="str">
        <f>""</f>
        <v/>
      </c>
      <c r="BU114" t="str">
        <f>""</f>
        <v/>
      </c>
      <c r="BV114" t="str">
        <f>""</f>
        <v/>
      </c>
      <c r="BW114" t="str">
        <f>""</f>
        <v/>
      </c>
      <c r="BX114" t="str">
        <f>""</f>
        <v/>
      </c>
      <c r="BY114" t="str">
        <f>""</f>
        <v/>
      </c>
      <c r="BZ114" t="str">
        <f>""</f>
        <v/>
      </c>
      <c r="CA114" t="str">
        <f>""</f>
        <v/>
      </c>
      <c r="CB114" t="str">
        <f>""</f>
        <v/>
      </c>
      <c r="CC114" t="str">
        <f>""</f>
        <v/>
      </c>
      <c r="CD114" t="str">
        <f>""</f>
        <v/>
      </c>
      <c r="CE114" t="str">
        <f>""</f>
        <v/>
      </c>
      <c r="CF114" t="str">
        <f>""</f>
        <v/>
      </c>
      <c r="CG114" t="str">
        <f>""</f>
        <v/>
      </c>
      <c r="CH114" t="str">
        <f>""</f>
        <v/>
      </c>
      <c r="CI114" t="str">
        <f>""</f>
        <v/>
      </c>
      <c r="CJ114" t="str">
        <f>""</f>
        <v/>
      </c>
      <c r="CK114" t="str">
        <f>""</f>
        <v/>
      </c>
      <c r="CL114" t="str">
        <f>""</f>
        <v/>
      </c>
      <c r="CM114" t="str">
        <f>""</f>
        <v/>
      </c>
      <c r="CN114" t="str">
        <f>""</f>
        <v/>
      </c>
      <c r="CO114" t="str">
        <f>""</f>
        <v/>
      </c>
      <c r="CP114" t="str">
        <f>""</f>
        <v/>
      </c>
      <c r="CQ114" t="str">
        <f>""</f>
        <v/>
      </c>
      <c r="CR114" t="str">
        <f>""</f>
        <v/>
      </c>
      <c r="CS114" t="str">
        <f>""</f>
        <v/>
      </c>
      <c r="CT114" t="str">
        <f>""</f>
        <v/>
      </c>
      <c r="CU114" t="str">
        <f>""</f>
        <v/>
      </c>
      <c r="CV114" t="str">
        <f>""</f>
        <v/>
      </c>
      <c r="CW114" t="str">
        <f>""</f>
        <v/>
      </c>
      <c r="CX114" t="str">
        <f>""</f>
        <v/>
      </c>
      <c r="CY114" t="str">
        <f>""</f>
        <v/>
      </c>
      <c r="CZ114" t="str">
        <f>""</f>
        <v/>
      </c>
      <c r="DA114" t="str">
        <f>""</f>
        <v/>
      </c>
      <c r="DB114" t="str">
        <f>""</f>
        <v/>
      </c>
      <c r="DC114" t="str">
        <f>""</f>
        <v/>
      </c>
      <c r="DD114" t="str">
        <f>""</f>
        <v/>
      </c>
      <c r="DE114" t="str">
        <f>""</f>
        <v/>
      </c>
      <c r="DF114" t="str">
        <f>""</f>
        <v/>
      </c>
      <c r="DG114" t="str">
        <f>""</f>
        <v/>
      </c>
      <c r="DH114" t="str">
        <f>""</f>
        <v/>
      </c>
      <c r="DI114" t="str">
        <f>""</f>
        <v/>
      </c>
      <c r="DJ114" t="str">
        <f>""</f>
        <v/>
      </c>
      <c r="DK114" t="str">
        <f>""</f>
        <v/>
      </c>
      <c r="DL114" t="str">
        <f>""</f>
        <v/>
      </c>
      <c r="DM114" t="str">
        <f>""</f>
        <v/>
      </c>
      <c r="DN114" t="str">
        <f>""</f>
        <v/>
      </c>
      <c r="DO114" t="str">
        <f>""</f>
        <v/>
      </c>
      <c r="DP114" t="str">
        <f>""</f>
        <v/>
      </c>
      <c r="DQ114" t="str">
        <f>""</f>
        <v/>
      </c>
      <c r="DR114" t="str">
        <f>""</f>
        <v/>
      </c>
      <c r="DS114" t="str">
        <f>""</f>
        <v/>
      </c>
      <c r="DT114" t="str">
        <f>""</f>
        <v/>
      </c>
      <c r="DU114" t="str">
        <f>""</f>
        <v/>
      </c>
    </row>
    <row r="115" spans="1:125" x14ac:dyDescent="0.25">
      <c r="A115" t="str">
        <f>"    Sollers PJSC"</f>
        <v xml:space="preserve">    Sollers PJSC</v>
      </c>
      <c r="B115" t="str">
        <f>"SVAV RM Equity"</f>
        <v>SVAV RM Equity</v>
      </c>
      <c r="C115" t="str">
        <f t="shared" si="6"/>
        <v>EZ021</v>
      </c>
      <c r="D115" t="str">
        <f t="shared" si="7"/>
        <v>BEST_EPS_NXT_YR</v>
      </c>
      <c r="E115" t="str">
        <f t="shared" si="8"/>
        <v>Dynamic</v>
      </c>
      <c r="F115">
        <f ca="1">IF(AND(ISNUMBER($F$622),$B$511=1),$F$622,HLOOKUP(INDIRECT(ADDRESS(2,COLUMN())),OFFSET($BN$2,0,0,ROW()-1,60),ROW()-1,FALSE))</f>
        <v>0.47199999999999998</v>
      </c>
      <c r="G115">
        <f ca="1">IF(AND(ISNUMBER($G$622),$B$511=1),$G$622,HLOOKUP(INDIRECT(ADDRESS(2,COLUMN())),OFFSET($BN$2,0,0,ROW()-1,60),ROW()-1,FALSE))</f>
        <v>0.46700000000000003</v>
      </c>
      <c r="H115">
        <f ca="1">IF(AND(ISNUMBER($H$622),$B$511=1),$H$622,HLOOKUP(INDIRECT(ADDRESS(2,COLUMN())),OFFSET($BN$2,0,0,ROW()-1,60),ROW()-1,FALSE))</f>
        <v>0.44600000000000001</v>
      </c>
      <c r="I115">
        <f ca="1">IF(AND(ISNUMBER($I$622),$B$511=1),$I$622,HLOOKUP(INDIRECT(ADDRESS(2,COLUMN())),OFFSET($BN$2,0,0,ROW()-1,60),ROW()-1,FALSE))</f>
        <v>0.78100000000000003</v>
      </c>
      <c r="J115">
        <f ca="1">IF(AND(ISNUMBER($J$622),$B$511=1),$J$622,HLOOKUP(INDIRECT(ADDRESS(2,COLUMN())),OFFSET($BN$2,0,0,ROW()-1,60),ROW()-1,FALSE))</f>
        <v>1.3380000000000001</v>
      </c>
      <c r="K115">
        <f ca="1">IF(AND(ISNUMBER($K$622),$B$511=1),$K$622,HLOOKUP(INDIRECT(ADDRESS(2,COLUMN())),OFFSET($BN$2,0,0,ROW()-1,60),ROW()-1,FALSE))</f>
        <v>1.706</v>
      </c>
      <c r="L115">
        <f ca="1">IF(AND(ISNUMBER($L$622),$B$511=1),$L$622,HLOOKUP(INDIRECT(ADDRESS(2,COLUMN())),OFFSET($BN$2,0,0,ROW()-1,60),ROW()-1,FALSE))</f>
        <v>1.7769999999999999</v>
      </c>
      <c r="M115">
        <f ca="1">IF(AND(ISNUMBER($M$622),$B$511=1),$M$622,HLOOKUP(INDIRECT(ADDRESS(2,COLUMN())),OFFSET($BN$2,0,0,ROW()-1,60),ROW()-1,FALSE))</f>
        <v>1.754</v>
      </c>
      <c r="N115">
        <f ca="1">IF(AND(ISNUMBER($N$622),$B$511=1),$N$622,HLOOKUP(INDIRECT(ADDRESS(2,COLUMN())),OFFSET($BN$2,0,0,ROW()-1,60),ROW()-1,FALSE))</f>
        <v>1.8129999999999999</v>
      </c>
      <c r="O115">
        <f ca="1">IF(AND(ISNUMBER($O$622),$B$511=1),$O$622,HLOOKUP(INDIRECT(ADDRESS(2,COLUMN())),OFFSET($BN$2,0,0,ROW()-1,60),ROW()-1,FALSE))</f>
        <v>1.635</v>
      </c>
      <c r="P115">
        <f ca="1">IF(AND(ISNUMBER($P$622),$B$511=1),$P$622,HLOOKUP(INDIRECT(ADDRESS(2,COLUMN())),OFFSET($BN$2,0,0,ROW()-1,60),ROW()-1,FALSE))</f>
        <v>1.607</v>
      </c>
      <c r="Q115">
        <f ca="1">IF(AND(ISNUMBER($Q$622),$B$511=1),$Q$622,HLOOKUP(INDIRECT(ADDRESS(2,COLUMN())),OFFSET($BN$2,0,0,ROW()-1,60),ROW()-1,FALSE))</f>
        <v>2.5760000000000001</v>
      </c>
      <c r="R115">
        <f ca="1">IF(AND(ISNUMBER($R$622),$B$511=1),$R$622,HLOOKUP(INDIRECT(ADDRESS(2,COLUMN())),OFFSET($BN$2,0,0,ROW()-1,60),ROW()-1,FALSE))</f>
        <v>2.419</v>
      </c>
      <c r="S115">
        <f ca="1">IF(AND(ISNUMBER($S$622),$B$511=1),$S$622,HLOOKUP(INDIRECT(ADDRESS(2,COLUMN())),OFFSET($BN$2,0,0,ROW()-1,60),ROW()-1,FALSE))</f>
        <v>2.5379999999999998</v>
      </c>
      <c r="T115">
        <f ca="1">IF(AND(ISNUMBER($T$622),$B$511=1),$T$622,HLOOKUP(INDIRECT(ADDRESS(2,COLUMN())),OFFSET($BN$2,0,0,ROW()-1,60),ROW()-1,FALSE))</f>
        <v>2.573</v>
      </c>
      <c r="U115" t="str">
        <f ca="1">IF(AND(ISNUMBER($U$622),$B$511=1),$U$622,HLOOKUP(INDIRECT(ADDRESS(2,COLUMN())),OFFSET($BN$2,0,0,ROW()-1,60),ROW()-1,FALSE))</f>
        <v/>
      </c>
      <c r="V115">
        <f ca="1">IF(AND(ISNUMBER($V$622),$B$511=1),$V$622,HLOOKUP(INDIRECT(ADDRESS(2,COLUMN())),OFFSET($BN$2,0,0,ROW()-1,60),ROW()-1,FALSE))</f>
        <v>4.5359999999999996</v>
      </c>
      <c r="W115" t="str">
        <f ca="1">IF(AND(ISNUMBER($W$622),$B$511=1),$W$622,HLOOKUP(INDIRECT(ADDRESS(2,COLUMN())),OFFSET($BN$2,0,0,ROW()-1,60),ROW()-1,FALSE))</f>
        <v/>
      </c>
      <c r="X115" t="str">
        <f ca="1">IF(AND(ISNUMBER($X$622),$B$511=1),$X$622,HLOOKUP(INDIRECT(ADDRESS(2,COLUMN())),OFFSET($BN$2,0,0,ROW()-1,60),ROW()-1,FALSE))</f>
        <v/>
      </c>
      <c r="Y115" t="str">
        <f ca="1">IF(AND(ISNUMBER($Y$622),$B$511=1),$Y$622,HLOOKUP(INDIRECT(ADDRESS(2,COLUMN())),OFFSET($BN$2,0,0,ROW()-1,60),ROW()-1,FALSE))</f>
        <v/>
      </c>
      <c r="Z115" t="str">
        <f ca="1">IF(AND(ISNUMBER($Z$622),$B$511=1),$Z$622,HLOOKUP(INDIRECT(ADDRESS(2,COLUMN())),OFFSET($BN$2,0,0,ROW()-1,60),ROW()-1,FALSE))</f>
        <v/>
      </c>
      <c r="AA115" t="str">
        <f ca="1">IF(AND(ISNUMBER($AA$622),$B$511=1),$AA$622,HLOOKUP(INDIRECT(ADDRESS(2,COLUMN())),OFFSET($BN$2,0,0,ROW()-1,60),ROW()-1,FALSE))</f>
        <v/>
      </c>
      <c r="AB115" t="str">
        <f ca="1">IF(AND(ISNUMBER($AB$622),$B$511=1),$AB$622,HLOOKUP(INDIRECT(ADDRESS(2,COLUMN())),OFFSET($BN$2,0,0,ROW()-1,60),ROW()-1,FALSE))</f>
        <v/>
      </c>
      <c r="AC115" t="str">
        <f ca="1">IF(AND(ISNUMBER($AC$622),$B$511=1),$AC$622,HLOOKUP(INDIRECT(ADDRESS(2,COLUMN())),OFFSET($BN$2,0,0,ROW()-1,60),ROW()-1,FALSE))</f>
        <v/>
      </c>
      <c r="AD115" t="str">
        <f ca="1">IF(AND(ISNUMBER($AD$622),$B$511=1),$AD$622,HLOOKUP(INDIRECT(ADDRESS(2,COLUMN())),OFFSET($BN$2,0,0,ROW()-1,60),ROW()-1,FALSE))</f>
        <v/>
      </c>
      <c r="AE115" t="str">
        <f ca="1">IF(AND(ISNUMBER($AE$622),$B$511=1),$AE$622,HLOOKUP(INDIRECT(ADDRESS(2,COLUMN())),OFFSET($BN$2,0,0,ROW()-1,60),ROW()-1,FALSE))</f>
        <v/>
      </c>
      <c r="AF115" t="str">
        <f ca="1">IF(AND(ISNUMBER($AF$622),$B$511=1),$AF$622,HLOOKUP(INDIRECT(ADDRESS(2,COLUMN())),OFFSET($BN$2,0,0,ROW()-1,60),ROW()-1,FALSE))</f>
        <v/>
      </c>
      <c r="AG115" t="str">
        <f ca="1">IF(AND(ISNUMBER($AG$622),$B$511=1),$AG$622,HLOOKUP(INDIRECT(ADDRESS(2,COLUMN())),OFFSET($BN$2,0,0,ROW()-1,60),ROW()-1,FALSE))</f>
        <v/>
      </c>
      <c r="AH115" t="str">
        <f ca="1">IF(AND(ISNUMBER($AH$622),$B$511=1),$AH$622,HLOOKUP(INDIRECT(ADDRESS(2,COLUMN())),OFFSET($BN$2,0,0,ROW()-1,60),ROW()-1,FALSE))</f>
        <v/>
      </c>
      <c r="AI115" t="str">
        <f ca="1">IF(AND(ISNUMBER($AI$622),$B$511=1),$AI$622,HLOOKUP(INDIRECT(ADDRESS(2,COLUMN())),OFFSET($BN$2,0,0,ROW()-1,60),ROW()-1,FALSE))</f>
        <v/>
      </c>
      <c r="AJ115" t="str">
        <f ca="1">IF(AND(ISNUMBER($AJ$622),$B$511=1),$AJ$622,HLOOKUP(INDIRECT(ADDRESS(2,COLUMN())),OFFSET($BN$2,0,0,ROW()-1,60),ROW()-1,FALSE))</f>
        <v/>
      </c>
      <c r="AK115" t="str">
        <f ca="1">IF(AND(ISNUMBER($AK$622),$B$511=1),$AK$622,HLOOKUP(INDIRECT(ADDRESS(2,COLUMN())),OFFSET($BN$2,0,0,ROW()-1,60),ROW()-1,FALSE))</f>
        <v/>
      </c>
      <c r="AL115" t="str">
        <f ca="1">IF(AND(ISNUMBER($AL$622),$B$511=1),$AL$622,HLOOKUP(INDIRECT(ADDRESS(2,COLUMN())),OFFSET($BN$2,0,0,ROW()-1,60),ROW()-1,FALSE))</f>
        <v/>
      </c>
      <c r="AM115" t="str">
        <f ca="1">IF(AND(ISNUMBER($AM$622),$B$511=1),$AM$622,HLOOKUP(INDIRECT(ADDRESS(2,COLUMN())),OFFSET($BN$2,0,0,ROW()-1,60),ROW()-1,FALSE))</f>
        <v/>
      </c>
      <c r="AN115" t="str">
        <f ca="1">IF(AND(ISNUMBER($AN$622),$B$511=1),$AN$622,HLOOKUP(INDIRECT(ADDRESS(2,COLUMN())),OFFSET($BN$2,0,0,ROW()-1,60),ROW()-1,FALSE))</f>
        <v/>
      </c>
      <c r="AO115" t="str">
        <f ca="1">IF(AND(ISNUMBER($AO$622),$B$511=1),$AO$622,HLOOKUP(INDIRECT(ADDRESS(2,COLUMN())),OFFSET($BN$2,0,0,ROW()-1,60),ROW()-1,FALSE))</f>
        <v/>
      </c>
      <c r="AP115" t="str">
        <f ca="1">IF(AND(ISNUMBER($AP$622),$B$511=1),$AP$622,HLOOKUP(INDIRECT(ADDRESS(2,COLUMN())),OFFSET($BN$2,0,0,ROW()-1,60),ROW()-1,FALSE))</f>
        <v/>
      </c>
      <c r="AQ115" t="str">
        <f ca="1">IF(AND(ISNUMBER($AQ$622),$B$511=1),$AQ$622,HLOOKUP(INDIRECT(ADDRESS(2,COLUMN())),OFFSET($BN$2,0,0,ROW()-1,60),ROW()-1,FALSE))</f>
        <v/>
      </c>
      <c r="AR115" t="str">
        <f ca="1">IF(AND(ISNUMBER($AR$622),$B$511=1),$AR$622,HLOOKUP(INDIRECT(ADDRESS(2,COLUMN())),OFFSET($BN$2,0,0,ROW()-1,60),ROW()-1,FALSE))</f>
        <v/>
      </c>
      <c r="AS115" t="str">
        <f ca="1">IF(AND(ISNUMBER($AS$622),$B$511=1),$AS$622,HLOOKUP(INDIRECT(ADDRESS(2,COLUMN())),OFFSET($BN$2,0,0,ROW()-1,60),ROW()-1,FALSE))</f>
        <v/>
      </c>
      <c r="AT115" t="str">
        <f ca="1">IF(AND(ISNUMBER($AT$622),$B$511=1),$AT$622,HLOOKUP(INDIRECT(ADDRESS(2,COLUMN())),OFFSET($BN$2,0,0,ROW()-1,60),ROW()-1,FALSE))</f>
        <v/>
      </c>
      <c r="AU115" t="str">
        <f ca="1">IF(AND(ISNUMBER($AU$622),$B$511=1),$AU$622,HLOOKUP(INDIRECT(ADDRESS(2,COLUMN())),OFFSET($BN$2,0,0,ROW()-1,60),ROW()-1,FALSE))</f>
        <v/>
      </c>
      <c r="AV115" t="str">
        <f ca="1">IF(AND(ISNUMBER($AV$622),$B$511=1),$AV$622,HLOOKUP(INDIRECT(ADDRESS(2,COLUMN())),OFFSET($BN$2,0,0,ROW()-1,60),ROW()-1,FALSE))</f>
        <v/>
      </c>
      <c r="AW115" t="str">
        <f ca="1">IF(AND(ISNUMBER($AW$622),$B$511=1),$AW$622,HLOOKUP(INDIRECT(ADDRESS(2,COLUMN())),OFFSET($BN$2,0,0,ROW()-1,60),ROW()-1,FALSE))</f>
        <v/>
      </c>
      <c r="AX115" t="str">
        <f ca="1">IF(AND(ISNUMBER($AX$622),$B$511=1),$AX$622,HLOOKUP(INDIRECT(ADDRESS(2,COLUMN())),OFFSET($BN$2,0,0,ROW()-1,60),ROW()-1,FALSE))</f>
        <v/>
      </c>
      <c r="AY115" t="str">
        <f ca="1">IF(AND(ISNUMBER($AY$622),$B$511=1),$AY$622,HLOOKUP(INDIRECT(ADDRESS(2,COLUMN())),OFFSET($BN$2,0,0,ROW()-1,60),ROW()-1,FALSE))</f>
        <v/>
      </c>
      <c r="AZ115" t="str">
        <f ca="1">IF(AND(ISNUMBER($AZ$622),$B$511=1),$AZ$622,HLOOKUP(INDIRECT(ADDRESS(2,COLUMN())),OFFSET($BN$2,0,0,ROW()-1,60),ROW()-1,FALSE))</f>
        <v/>
      </c>
      <c r="BA115" t="str">
        <f ca="1">IF(AND(ISNUMBER($BA$622),$B$511=1),$BA$622,HLOOKUP(INDIRECT(ADDRESS(2,COLUMN())),OFFSET($BN$2,0,0,ROW()-1,60),ROW()-1,FALSE))</f>
        <v/>
      </c>
      <c r="BB115" t="str">
        <f ca="1">IF(AND(ISNUMBER($BB$622),$B$511=1),$BB$622,HLOOKUP(INDIRECT(ADDRESS(2,COLUMN())),OFFSET($BN$2,0,0,ROW()-1,60),ROW()-1,FALSE))</f>
        <v/>
      </c>
      <c r="BC115" t="str">
        <f ca="1">IF(AND(ISNUMBER($BC$622),$B$511=1),$BC$622,HLOOKUP(INDIRECT(ADDRESS(2,COLUMN())),OFFSET($BN$2,0,0,ROW()-1,60),ROW()-1,FALSE))</f>
        <v/>
      </c>
      <c r="BD115" t="str">
        <f ca="1">IF(AND(ISNUMBER($BD$622),$B$511=1),$BD$622,HLOOKUP(INDIRECT(ADDRESS(2,COLUMN())),OFFSET($BN$2,0,0,ROW()-1,60),ROW()-1,FALSE))</f>
        <v/>
      </c>
      <c r="BE115" t="str">
        <f ca="1">IF(AND(ISNUMBER($BE$622),$B$511=1),$BE$622,HLOOKUP(INDIRECT(ADDRESS(2,COLUMN())),OFFSET($BN$2,0,0,ROW()-1,60),ROW()-1,FALSE))</f>
        <v/>
      </c>
      <c r="BF115" t="str">
        <f ca="1">IF(AND(ISNUMBER($BF$622),$B$511=1),$BF$622,HLOOKUP(INDIRECT(ADDRESS(2,COLUMN())),OFFSET($BN$2,0,0,ROW()-1,60),ROW()-1,FALSE))</f>
        <v/>
      </c>
      <c r="BG115" t="str">
        <f ca="1">IF(AND(ISNUMBER($BG$622),$B$511=1),$BG$622,HLOOKUP(INDIRECT(ADDRESS(2,COLUMN())),OFFSET($BN$2,0,0,ROW()-1,60),ROW()-1,FALSE))</f>
        <v/>
      </c>
      <c r="BH115" t="str">
        <f ca="1">IF(AND(ISNUMBER($BH$622),$B$511=1),$BH$622,HLOOKUP(INDIRECT(ADDRESS(2,COLUMN())),OFFSET($BN$2,0,0,ROW()-1,60),ROW()-1,FALSE))</f>
        <v/>
      </c>
      <c r="BI115" t="str">
        <f ca="1">IF(AND(ISNUMBER($BI$622),$B$511=1),$BI$622,HLOOKUP(INDIRECT(ADDRESS(2,COLUMN())),OFFSET($BN$2,0,0,ROW()-1,60),ROW()-1,FALSE))</f>
        <v/>
      </c>
      <c r="BJ115" t="str">
        <f ca="1">IF(AND(ISNUMBER($BJ$622),$B$511=1),$BJ$622,HLOOKUP(INDIRECT(ADDRESS(2,COLUMN())),OFFSET($BN$2,0,0,ROW()-1,60),ROW()-1,FALSE))</f>
        <v/>
      </c>
      <c r="BK115" t="str">
        <f ca="1">IF(AND(ISNUMBER($BK$622),$B$511=1),$BK$622,HLOOKUP(INDIRECT(ADDRESS(2,COLUMN())),OFFSET($BN$2,0,0,ROW()-1,60),ROW()-1,FALSE))</f>
        <v/>
      </c>
      <c r="BL115" t="str">
        <f ca="1">IF(AND(ISNUMBER($BL$622),$B$511=1),$BL$622,HLOOKUP(INDIRECT(ADDRESS(2,COLUMN())),OFFSET($BN$2,0,0,ROW()-1,60),ROW()-1,FALSE))</f>
        <v/>
      </c>
      <c r="BM115" t="str">
        <f ca="1">IF(AND(ISNUMBER($BM$622),$B$511=1),$BM$622,HLOOKUP(INDIRECT(ADDRESS(2,COLUMN())),OFFSET($BN$2,0,0,ROW()-1,60),ROW()-1,FALSE))</f>
        <v/>
      </c>
      <c r="BN115">
        <f>0.472</f>
        <v>0.47199999999999998</v>
      </c>
      <c r="BO115">
        <f>0.467</f>
        <v>0.46700000000000003</v>
      </c>
      <c r="BP115">
        <f>0.446</f>
        <v>0.44600000000000001</v>
      </c>
      <c r="BQ115">
        <f>0.781</f>
        <v>0.78100000000000003</v>
      </c>
      <c r="BR115">
        <f>1.338</f>
        <v>1.3380000000000001</v>
      </c>
      <c r="BS115">
        <f>1.706</f>
        <v>1.706</v>
      </c>
      <c r="BT115">
        <f>1.777</f>
        <v>1.7769999999999999</v>
      </c>
      <c r="BU115">
        <f>1.754</f>
        <v>1.754</v>
      </c>
      <c r="BV115">
        <f>1.813</f>
        <v>1.8129999999999999</v>
      </c>
      <c r="BW115">
        <f>1.635</f>
        <v>1.635</v>
      </c>
      <c r="BX115">
        <f>1.607</f>
        <v>1.607</v>
      </c>
      <c r="BY115">
        <f>2.576</f>
        <v>2.5760000000000001</v>
      </c>
      <c r="BZ115">
        <f>2.419</f>
        <v>2.419</v>
      </c>
      <c r="CA115">
        <f>2.538</f>
        <v>2.5379999999999998</v>
      </c>
      <c r="CB115">
        <f>2.573</f>
        <v>2.573</v>
      </c>
      <c r="CC115" t="str">
        <f>""</f>
        <v/>
      </c>
      <c r="CD115">
        <f>4.536</f>
        <v>4.5359999999999996</v>
      </c>
      <c r="CE115" t="str">
        <f>""</f>
        <v/>
      </c>
      <c r="CF115" t="str">
        <f>""</f>
        <v/>
      </c>
      <c r="CG115" t="str">
        <f>""</f>
        <v/>
      </c>
      <c r="CH115" t="str">
        <f>""</f>
        <v/>
      </c>
      <c r="CI115" t="str">
        <f>""</f>
        <v/>
      </c>
      <c r="CJ115" t="str">
        <f>""</f>
        <v/>
      </c>
      <c r="CK115" t="str">
        <f>""</f>
        <v/>
      </c>
      <c r="CL115" t="str">
        <f>""</f>
        <v/>
      </c>
      <c r="CM115" t="str">
        <f>""</f>
        <v/>
      </c>
      <c r="CN115" t="str">
        <f>""</f>
        <v/>
      </c>
      <c r="CO115" t="str">
        <f>""</f>
        <v/>
      </c>
      <c r="CP115" t="str">
        <f>""</f>
        <v/>
      </c>
      <c r="CQ115" t="str">
        <f>""</f>
        <v/>
      </c>
      <c r="CR115" t="str">
        <f>""</f>
        <v/>
      </c>
      <c r="CS115" t="str">
        <f>""</f>
        <v/>
      </c>
      <c r="CT115" t="str">
        <f>""</f>
        <v/>
      </c>
      <c r="CU115" t="str">
        <f>""</f>
        <v/>
      </c>
      <c r="CV115" t="str">
        <f>""</f>
        <v/>
      </c>
      <c r="CW115" t="str">
        <f>""</f>
        <v/>
      </c>
      <c r="CX115" t="str">
        <f>""</f>
        <v/>
      </c>
      <c r="CY115" t="str">
        <f>""</f>
        <v/>
      </c>
      <c r="CZ115" t="str">
        <f>""</f>
        <v/>
      </c>
      <c r="DA115" t="str">
        <f>""</f>
        <v/>
      </c>
      <c r="DB115" t="str">
        <f>""</f>
        <v/>
      </c>
      <c r="DC115" t="str">
        <f>""</f>
        <v/>
      </c>
      <c r="DD115" t="str">
        <f>""</f>
        <v/>
      </c>
      <c r="DE115" t="str">
        <f>""</f>
        <v/>
      </c>
      <c r="DF115" t="str">
        <f>""</f>
        <v/>
      </c>
      <c r="DG115" t="str">
        <f>""</f>
        <v/>
      </c>
      <c r="DH115" t="str">
        <f>""</f>
        <v/>
      </c>
      <c r="DI115" t="str">
        <f>""</f>
        <v/>
      </c>
      <c r="DJ115" t="str">
        <f>""</f>
        <v/>
      </c>
      <c r="DK115" t="str">
        <f>""</f>
        <v/>
      </c>
      <c r="DL115" t="str">
        <f>""</f>
        <v/>
      </c>
      <c r="DM115" t="str">
        <f>""</f>
        <v/>
      </c>
      <c r="DN115" t="str">
        <f>""</f>
        <v/>
      </c>
      <c r="DO115" t="str">
        <f>""</f>
        <v/>
      </c>
      <c r="DP115" t="str">
        <f>""</f>
        <v/>
      </c>
      <c r="DQ115" t="str">
        <f>""</f>
        <v/>
      </c>
      <c r="DR115" t="str">
        <f>""</f>
        <v/>
      </c>
      <c r="DS115" t="str">
        <f>""</f>
        <v/>
      </c>
      <c r="DT115" t="str">
        <f>""</f>
        <v/>
      </c>
      <c r="DU115" t="str">
        <f>""</f>
        <v/>
      </c>
    </row>
    <row r="116" spans="1:125" x14ac:dyDescent="0.25">
      <c r="A116" t="str">
        <f>"    Ssangyong Motor Co"</f>
        <v xml:space="preserve">    Ssangyong Motor Co</v>
      </c>
      <c r="B116" t="str">
        <f>"003620 KS Equity"</f>
        <v>003620 KS Equity</v>
      </c>
      <c r="C116" t="str">
        <f t="shared" si="6"/>
        <v>EZ021</v>
      </c>
      <c r="D116" t="str">
        <f t="shared" si="7"/>
        <v>BEST_EPS_NXT_YR</v>
      </c>
      <c r="E116" t="str">
        <f t="shared" si="8"/>
        <v>Dynamic</v>
      </c>
      <c r="F116">
        <f ca="1">IF(AND(ISNUMBER($F$623),$B$511=1),$F$623,HLOOKUP(INDIRECT(ADDRESS(2,COLUMN())),OFFSET($BN$2,0,0,ROW()-1,60),ROW()-1,FALSE))</f>
        <v>0.379</v>
      </c>
      <c r="G116" t="str">
        <f ca="1">IF(AND(ISNUMBER($G$623),$B$511=1),$G$623,HLOOKUP(INDIRECT(ADDRESS(2,COLUMN())),OFFSET($BN$2,0,0,ROW()-1,60),ROW()-1,FALSE))</f>
        <v/>
      </c>
      <c r="H116" t="str">
        <f ca="1">IF(AND(ISNUMBER($H$623),$B$511=1),$H$623,HLOOKUP(INDIRECT(ADDRESS(2,COLUMN())),OFFSET($BN$2,0,0,ROW()-1,60),ROW()-1,FALSE))</f>
        <v/>
      </c>
      <c r="I116" t="str">
        <f ca="1">IF(AND(ISNUMBER($I$623),$B$511=1),$I$623,HLOOKUP(INDIRECT(ADDRESS(2,COLUMN())),OFFSET($BN$2,0,0,ROW()-1,60),ROW()-1,FALSE))</f>
        <v/>
      </c>
      <c r="J116" t="str">
        <f ca="1">IF(AND(ISNUMBER($J$623),$B$511=1),$J$623,HLOOKUP(INDIRECT(ADDRESS(2,COLUMN())),OFFSET($BN$2,0,0,ROW()-1,60),ROW()-1,FALSE))</f>
        <v/>
      </c>
      <c r="K116">
        <f ca="1">IF(AND(ISNUMBER($K$623),$B$511=1),$K$623,HLOOKUP(INDIRECT(ADDRESS(2,COLUMN())),OFFSET($BN$2,0,0,ROW()-1,60),ROW()-1,FALSE))</f>
        <v>0.57699999999999996</v>
      </c>
      <c r="L116" t="str">
        <f ca="1">IF(AND(ISNUMBER($L$623),$B$511=1),$L$623,HLOOKUP(INDIRECT(ADDRESS(2,COLUMN())),OFFSET($BN$2,0,0,ROW()-1,60),ROW()-1,FALSE))</f>
        <v/>
      </c>
      <c r="M116" t="str">
        <f ca="1">IF(AND(ISNUMBER($M$623),$B$511=1),$M$623,HLOOKUP(INDIRECT(ADDRESS(2,COLUMN())),OFFSET($BN$2,0,0,ROW()-1,60),ROW()-1,FALSE))</f>
        <v/>
      </c>
      <c r="N116" t="str">
        <f ca="1">IF(AND(ISNUMBER($N$623),$B$511=1),$N$623,HLOOKUP(INDIRECT(ADDRESS(2,COLUMN())),OFFSET($BN$2,0,0,ROW()-1,60),ROW()-1,FALSE))</f>
        <v/>
      </c>
      <c r="O116" t="str">
        <f ca="1">IF(AND(ISNUMBER($O$623),$B$511=1),$O$623,HLOOKUP(INDIRECT(ADDRESS(2,COLUMN())),OFFSET($BN$2,0,0,ROW()-1,60),ROW()-1,FALSE))</f>
        <v/>
      </c>
      <c r="P116" t="str">
        <f ca="1">IF(AND(ISNUMBER($P$623),$B$511=1),$P$623,HLOOKUP(INDIRECT(ADDRESS(2,COLUMN())),OFFSET($BN$2,0,0,ROW()-1,60),ROW()-1,FALSE))</f>
        <v/>
      </c>
      <c r="Q116" t="str">
        <f ca="1">IF(AND(ISNUMBER($Q$623),$B$511=1),$Q$623,HLOOKUP(INDIRECT(ADDRESS(2,COLUMN())),OFFSET($BN$2,0,0,ROW()-1,60),ROW()-1,FALSE))</f>
        <v/>
      </c>
      <c r="R116" t="str">
        <f ca="1">IF(AND(ISNUMBER($R$623),$B$511=1),$R$623,HLOOKUP(INDIRECT(ADDRESS(2,COLUMN())),OFFSET($BN$2,0,0,ROW()-1,60),ROW()-1,FALSE))</f>
        <v/>
      </c>
      <c r="S116" t="str">
        <f ca="1">IF(AND(ISNUMBER($S$623),$B$511=1),$S$623,HLOOKUP(INDIRECT(ADDRESS(2,COLUMN())),OFFSET($BN$2,0,0,ROW()-1,60),ROW()-1,FALSE))</f>
        <v/>
      </c>
      <c r="T116" t="str">
        <f ca="1">IF(AND(ISNUMBER($T$623),$B$511=1),$T$623,HLOOKUP(INDIRECT(ADDRESS(2,COLUMN())),OFFSET($BN$2,0,0,ROW()-1,60),ROW()-1,FALSE))</f>
        <v/>
      </c>
      <c r="U116" t="str">
        <f ca="1">IF(AND(ISNUMBER($U$623),$B$511=1),$U$623,HLOOKUP(INDIRECT(ADDRESS(2,COLUMN())),OFFSET($BN$2,0,0,ROW()-1,60),ROW()-1,FALSE))</f>
        <v/>
      </c>
      <c r="V116" t="str">
        <f ca="1">IF(AND(ISNUMBER($V$623),$B$511=1),$V$623,HLOOKUP(INDIRECT(ADDRESS(2,COLUMN())),OFFSET($BN$2,0,0,ROW()-1,60),ROW()-1,FALSE))</f>
        <v/>
      </c>
      <c r="W116" t="str">
        <f ca="1">IF(AND(ISNUMBER($W$623),$B$511=1),$W$623,HLOOKUP(INDIRECT(ADDRESS(2,COLUMN())),OFFSET($BN$2,0,0,ROW()-1,60),ROW()-1,FALSE))</f>
        <v/>
      </c>
      <c r="X116" t="str">
        <f ca="1">IF(AND(ISNUMBER($X$623),$B$511=1),$X$623,HLOOKUP(INDIRECT(ADDRESS(2,COLUMN())),OFFSET($BN$2,0,0,ROW()-1,60),ROW()-1,FALSE))</f>
        <v/>
      </c>
      <c r="Y116" t="str">
        <f ca="1">IF(AND(ISNUMBER($Y$623),$B$511=1),$Y$623,HLOOKUP(INDIRECT(ADDRESS(2,COLUMN())),OFFSET($BN$2,0,0,ROW()-1,60),ROW()-1,FALSE))</f>
        <v/>
      </c>
      <c r="Z116" t="str">
        <f ca="1">IF(AND(ISNUMBER($Z$623),$B$511=1),$Z$623,HLOOKUP(INDIRECT(ADDRESS(2,COLUMN())),OFFSET($BN$2,0,0,ROW()-1,60),ROW()-1,FALSE))</f>
        <v/>
      </c>
      <c r="AA116" t="str">
        <f ca="1">IF(AND(ISNUMBER($AA$623),$B$511=1),$AA$623,HLOOKUP(INDIRECT(ADDRESS(2,COLUMN())),OFFSET($BN$2,0,0,ROW()-1,60),ROW()-1,FALSE))</f>
        <v/>
      </c>
      <c r="AB116" t="str">
        <f ca="1">IF(AND(ISNUMBER($AB$623),$B$511=1),$AB$623,HLOOKUP(INDIRECT(ADDRESS(2,COLUMN())),OFFSET($BN$2,0,0,ROW()-1,60),ROW()-1,FALSE))</f>
        <v/>
      </c>
      <c r="AC116" t="str">
        <f ca="1">IF(AND(ISNUMBER($AC$623),$B$511=1),$AC$623,HLOOKUP(INDIRECT(ADDRESS(2,COLUMN())),OFFSET($BN$2,0,0,ROW()-1,60),ROW()-1,FALSE))</f>
        <v/>
      </c>
      <c r="AD116" t="str">
        <f ca="1">IF(AND(ISNUMBER($AD$623),$B$511=1),$AD$623,HLOOKUP(INDIRECT(ADDRESS(2,COLUMN())),OFFSET($BN$2,0,0,ROW()-1,60),ROW()-1,FALSE))</f>
        <v/>
      </c>
      <c r="AE116" t="str">
        <f ca="1">IF(AND(ISNUMBER($AE$623),$B$511=1),$AE$623,HLOOKUP(INDIRECT(ADDRESS(2,COLUMN())),OFFSET($BN$2,0,0,ROW()-1,60),ROW()-1,FALSE))</f>
        <v/>
      </c>
      <c r="AF116" t="str">
        <f ca="1">IF(AND(ISNUMBER($AF$623),$B$511=1),$AF$623,HLOOKUP(INDIRECT(ADDRESS(2,COLUMN())),OFFSET($BN$2,0,0,ROW()-1,60),ROW()-1,FALSE))</f>
        <v/>
      </c>
      <c r="AG116" t="str">
        <f ca="1">IF(AND(ISNUMBER($AG$623),$B$511=1),$AG$623,HLOOKUP(INDIRECT(ADDRESS(2,COLUMN())),OFFSET($BN$2,0,0,ROW()-1,60),ROW()-1,FALSE))</f>
        <v/>
      </c>
      <c r="AH116" t="str">
        <f ca="1">IF(AND(ISNUMBER($AH$623),$B$511=1),$AH$623,HLOOKUP(INDIRECT(ADDRESS(2,COLUMN())),OFFSET($BN$2,0,0,ROW()-1,60),ROW()-1,FALSE))</f>
        <v/>
      </c>
      <c r="AI116" t="str">
        <f ca="1">IF(AND(ISNUMBER($AI$623),$B$511=1),$AI$623,HLOOKUP(INDIRECT(ADDRESS(2,COLUMN())),OFFSET($BN$2,0,0,ROW()-1,60),ROW()-1,FALSE))</f>
        <v/>
      </c>
      <c r="AJ116" t="str">
        <f ca="1">IF(AND(ISNUMBER($AJ$623),$B$511=1),$AJ$623,HLOOKUP(INDIRECT(ADDRESS(2,COLUMN())),OFFSET($BN$2,0,0,ROW()-1,60),ROW()-1,FALSE))</f>
        <v/>
      </c>
      <c r="AK116" t="str">
        <f ca="1">IF(AND(ISNUMBER($AK$623),$B$511=1),$AK$623,HLOOKUP(INDIRECT(ADDRESS(2,COLUMN())),OFFSET($BN$2,0,0,ROW()-1,60),ROW()-1,FALSE))</f>
        <v/>
      </c>
      <c r="AL116" t="str">
        <f ca="1">IF(AND(ISNUMBER($AL$623),$B$511=1),$AL$623,HLOOKUP(INDIRECT(ADDRESS(2,COLUMN())),OFFSET($BN$2,0,0,ROW()-1,60),ROW()-1,FALSE))</f>
        <v/>
      </c>
      <c r="AM116" t="str">
        <f ca="1">IF(AND(ISNUMBER($AM$623),$B$511=1),$AM$623,HLOOKUP(INDIRECT(ADDRESS(2,COLUMN())),OFFSET($BN$2,0,0,ROW()-1,60),ROW()-1,FALSE))</f>
        <v/>
      </c>
      <c r="AN116" t="str">
        <f ca="1">IF(AND(ISNUMBER($AN$623),$B$511=1),$AN$623,HLOOKUP(INDIRECT(ADDRESS(2,COLUMN())),OFFSET($BN$2,0,0,ROW()-1,60),ROW()-1,FALSE))</f>
        <v/>
      </c>
      <c r="AO116" t="str">
        <f ca="1">IF(AND(ISNUMBER($AO$623),$B$511=1),$AO$623,HLOOKUP(INDIRECT(ADDRESS(2,COLUMN())),OFFSET($BN$2,0,0,ROW()-1,60),ROW()-1,FALSE))</f>
        <v/>
      </c>
      <c r="AP116" t="str">
        <f ca="1">IF(AND(ISNUMBER($AP$623),$B$511=1),$AP$623,HLOOKUP(INDIRECT(ADDRESS(2,COLUMN())),OFFSET($BN$2,0,0,ROW()-1,60),ROW()-1,FALSE))</f>
        <v/>
      </c>
      <c r="AQ116" t="str">
        <f ca="1">IF(AND(ISNUMBER($AQ$623),$B$511=1),$AQ$623,HLOOKUP(INDIRECT(ADDRESS(2,COLUMN())),OFFSET($BN$2,0,0,ROW()-1,60),ROW()-1,FALSE))</f>
        <v/>
      </c>
      <c r="AR116" t="str">
        <f ca="1">IF(AND(ISNUMBER($AR$623),$B$511=1),$AR$623,HLOOKUP(INDIRECT(ADDRESS(2,COLUMN())),OFFSET($BN$2,0,0,ROW()-1,60),ROW()-1,FALSE))</f>
        <v/>
      </c>
      <c r="AS116" t="str">
        <f ca="1">IF(AND(ISNUMBER($AS$623),$B$511=1),$AS$623,HLOOKUP(INDIRECT(ADDRESS(2,COLUMN())),OFFSET($BN$2,0,0,ROW()-1,60),ROW()-1,FALSE))</f>
        <v/>
      </c>
      <c r="AT116" t="str">
        <f ca="1">IF(AND(ISNUMBER($AT$623),$B$511=1),$AT$623,HLOOKUP(INDIRECT(ADDRESS(2,COLUMN())),OFFSET($BN$2,0,0,ROW()-1,60),ROW()-1,FALSE))</f>
        <v/>
      </c>
      <c r="AU116" t="str">
        <f ca="1">IF(AND(ISNUMBER($AU$623),$B$511=1),$AU$623,HLOOKUP(INDIRECT(ADDRESS(2,COLUMN())),OFFSET($BN$2,0,0,ROW()-1,60),ROW()-1,FALSE))</f>
        <v/>
      </c>
      <c r="AV116" t="str">
        <f ca="1">IF(AND(ISNUMBER($AV$623),$B$511=1),$AV$623,HLOOKUP(INDIRECT(ADDRESS(2,COLUMN())),OFFSET($BN$2,0,0,ROW()-1,60),ROW()-1,FALSE))</f>
        <v/>
      </c>
      <c r="AW116" t="str">
        <f ca="1">IF(AND(ISNUMBER($AW$623),$B$511=1),$AW$623,HLOOKUP(INDIRECT(ADDRESS(2,COLUMN())),OFFSET($BN$2,0,0,ROW()-1,60),ROW()-1,FALSE))</f>
        <v/>
      </c>
      <c r="AX116" t="str">
        <f ca="1">IF(AND(ISNUMBER($AX$623),$B$511=1),$AX$623,HLOOKUP(INDIRECT(ADDRESS(2,COLUMN())),OFFSET($BN$2,0,0,ROW()-1,60),ROW()-1,FALSE))</f>
        <v/>
      </c>
      <c r="AY116" t="str">
        <f ca="1">IF(AND(ISNUMBER($AY$623),$B$511=1),$AY$623,HLOOKUP(INDIRECT(ADDRESS(2,COLUMN())),OFFSET($BN$2,0,0,ROW()-1,60),ROW()-1,FALSE))</f>
        <v/>
      </c>
      <c r="AZ116" t="str">
        <f ca="1">IF(AND(ISNUMBER($AZ$623),$B$511=1),$AZ$623,HLOOKUP(INDIRECT(ADDRESS(2,COLUMN())),OFFSET($BN$2,0,0,ROW()-1,60),ROW()-1,FALSE))</f>
        <v/>
      </c>
      <c r="BA116" t="str">
        <f ca="1">IF(AND(ISNUMBER($BA$623),$B$511=1),$BA$623,HLOOKUP(INDIRECT(ADDRESS(2,COLUMN())),OFFSET($BN$2,0,0,ROW()-1,60),ROW()-1,FALSE))</f>
        <v/>
      </c>
      <c r="BB116" t="str">
        <f ca="1">IF(AND(ISNUMBER($BB$623),$B$511=1),$BB$623,HLOOKUP(INDIRECT(ADDRESS(2,COLUMN())),OFFSET($BN$2,0,0,ROW()-1,60),ROW()-1,FALSE))</f>
        <v/>
      </c>
      <c r="BC116" t="str">
        <f ca="1">IF(AND(ISNUMBER($BC$623),$B$511=1),$BC$623,HLOOKUP(INDIRECT(ADDRESS(2,COLUMN())),OFFSET($BN$2,0,0,ROW()-1,60),ROW()-1,FALSE))</f>
        <v/>
      </c>
      <c r="BD116" t="str">
        <f ca="1">IF(AND(ISNUMBER($BD$623),$B$511=1),$BD$623,HLOOKUP(INDIRECT(ADDRESS(2,COLUMN())),OFFSET($BN$2,0,0,ROW()-1,60),ROW()-1,FALSE))</f>
        <v/>
      </c>
      <c r="BE116" t="str">
        <f ca="1">IF(AND(ISNUMBER($BE$623),$B$511=1),$BE$623,HLOOKUP(INDIRECT(ADDRESS(2,COLUMN())),OFFSET($BN$2,0,0,ROW()-1,60),ROW()-1,FALSE))</f>
        <v/>
      </c>
      <c r="BF116" t="str">
        <f ca="1">IF(AND(ISNUMBER($BF$623),$B$511=1),$BF$623,HLOOKUP(INDIRECT(ADDRESS(2,COLUMN())),OFFSET($BN$2,0,0,ROW()-1,60),ROW()-1,FALSE))</f>
        <v/>
      </c>
      <c r="BG116" t="str">
        <f ca="1">IF(AND(ISNUMBER($BG$623),$B$511=1),$BG$623,HLOOKUP(INDIRECT(ADDRESS(2,COLUMN())),OFFSET($BN$2,0,0,ROW()-1,60),ROW()-1,FALSE))</f>
        <v/>
      </c>
      <c r="BH116" t="str">
        <f ca="1">IF(AND(ISNUMBER($BH$623),$B$511=1),$BH$623,HLOOKUP(INDIRECT(ADDRESS(2,COLUMN())),OFFSET($BN$2,0,0,ROW()-1,60),ROW()-1,FALSE))</f>
        <v/>
      </c>
      <c r="BI116" t="str">
        <f ca="1">IF(AND(ISNUMBER($BI$623),$B$511=1),$BI$623,HLOOKUP(INDIRECT(ADDRESS(2,COLUMN())),OFFSET($BN$2,0,0,ROW()-1,60),ROW()-1,FALSE))</f>
        <v/>
      </c>
      <c r="BJ116" t="str">
        <f ca="1">IF(AND(ISNUMBER($BJ$623),$B$511=1),$BJ$623,HLOOKUP(INDIRECT(ADDRESS(2,COLUMN())),OFFSET($BN$2,0,0,ROW()-1,60),ROW()-1,FALSE))</f>
        <v/>
      </c>
      <c r="BK116" t="str">
        <f ca="1">IF(AND(ISNUMBER($BK$623),$B$511=1),$BK$623,HLOOKUP(INDIRECT(ADDRESS(2,COLUMN())),OFFSET($BN$2,0,0,ROW()-1,60),ROW()-1,FALSE))</f>
        <v/>
      </c>
      <c r="BL116" t="str">
        <f ca="1">IF(AND(ISNUMBER($BL$623),$B$511=1),$BL$623,HLOOKUP(INDIRECT(ADDRESS(2,COLUMN())),OFFSET($BN$2,0,0,ROW()-1,60),ROW()-1,FALSE))</f>
        <v/>
      </c>
      <c r="BM116" t="str">
        <f ca="1">IF(AND(ISNUMBER($BM$623),$B$511=1),$BM$623,HLOOKUP(INDIRECT(ADDRESS(2,COLUMN())),OFFSET($BN$2,0,0,ROW()-1,60),ROW()-1,FALSE))</f>
        <v/>
      </c>
      <c r="BN116">
        <f>0.379</f>
        <v>0.379</v>
      </c>
      <c r="BO116" t="str">
        <f>""</f>
        <v/>
      </c>
      <c r="BP116" t="str">
        <f>""</f>
        <v/>
      </c>
      <c r="BQ116" t="str">
        <f>""</f>
        <v/>
      </c>
      <c r="BR116" t="str">
        <f>""</f>
        <v/>
      </c>
      <c r="BS116">
        <f>0.577</f>
        <v>0.57699999999999996</v>
      </c>
      <c r="BT116" t="str">
        <f>""</f>
        <v/>
      </c>
      <c r="BU116" t="str">
        <f>""</f>
        <v/>
      </c>
      <c r="BV116" t="str">
        <f>""</f>
        <v/>
      </c>
      <c r="BW116" t="str">
        <f>""</f>
        <v/>
      </c>
      <c r="BX116" t="str">
        <f>""</f>
        <v/>
      </c>
      <c r="BY116" t="str">
        <f>""</f>
        <v/>
      </c>
      <c r="BZ116" t="str">
        <f>""</f>
        <v/>
      </c>
      <c r="CA116" t="str">
        <f>""</f>
        <v/>
      </c>
      <c r="CB116" t="str">
        <f>""</f>
        <v/>
      </c>
      <c r="CC116" t="str">
        <f>""</f>
        <v/>
      </c>
      <c r="CD116" t="str">
        <f>""</f>
        <v/>
      </c>
      <c r="CE116" t="str">
        <f>""</f>
        <v/>
      </c>
      <c r="CF116" t="str">
        <f>""</f>
        <v/>
      </c>
      <c r="CG116" t="str">
        <f>""</f>
        <v/>
      </c>
      <c r="CH116" t="str">
        <f>""</f>
        <v/>
      </c>
      <c r="CI116" t="str">
        <f>""</f>
        <v/>
      </c>
      <c r="CJ116" t="str">
        <f>""</f>
        <v/>
      </c>
      <c r="CK116" t="str">
        <f>""</f>
        <v/>
      </c>
      <c r="CL116" t="str">
        <f>""</f>
        <v/>
      </c>
      <c r="CM116" t="str">
        <f>""</f>
        <v/>
      </c>
      <c r="CN116" t="str">
        <f>""</f>
        <v/>
      </c>
      <c r="CO116" t="str">
        <f>""</f>
        <v/>
      </c>
      <c r="CP116" t="str">
        <f>""</f>
        <v/>
      </c>
      <c r="CQ116" t="str">
        <f>""</f>
        <v/>
      </c>
      <c r="CR116" t="str">
        <f>""</f>
        <v/>
      </c>
      <c r="CS116" t="str">
        <f>""</f>
        <v/>
      </c>
      <c r="CT116" t="str">
        <f>""</f>
        <v/>
      </c>
      <c r="CU116" t="str">
        <f>""</f>
        <v/>
      </c>
      <c r="CV116" t="str">
        <f>""</f>
        <v/>
      </c>
      <c r="CW116" t="str">
        <f>""</f>
        <v/>
      </c>
      <c r="CX116" t="str">
        <f>""</f>
        <v/>
      </c>
      <c r="CY116" t="str">
        <f>""</f>
        <v/>
      </c>
      <c r="CZ116" t="str">
        <f>""</f>
        <v/>
      </c>
      <c r="DA116" t="str">
        <f>""</f>
        <v/>
      </c>
      <c r="DB116" t="str">
        <f>""</f>
        <v/>
      </c>
      <c r="DC116" t="str">
        <f>""</f>
        <v/>
      </c>
      <c r="DD116" t="str">
        <f>""</f>
        <v/>
      </c>
      <c r="DE116" t="str">
        <f>""</f>
        <v/>
      </c>
      <c r="DF116" t="str">
        <f>""</f>
        <v/>
      </c>
      <c r="DG116" t="str">
        <f>""</f>
        <v/>
      </c>
      <c r="DH116" t="str">
        <f>""</f>
        <v/>
      </c>
      <c r="DI116" t="str">
        <f>""</f>
        <v/>
      </c>
      <c r="DJ116" t="str">
        <f>""</f>
        <v/>
      </c>
      <c r="DK116" t="str">
        <f>""</f>
        <v/>
      </c>
      <c r="DL116" t="str">
        <f>""</f>
        <v/>
      </c>
      <c r="DM116" t="str">
        <f>""</f>
        <v/>
      </c>
      <c r="DN116" t="str">
        <f>""</f>
        <v/>
      </c>
      <c r="DO116" t="str">
        <f>""</f>
        <v/>
      </c>
      <c r="DP116" t="str">
        <f>""</f>
        <v/>
      </c>
      <c r="DQ116" t="str">
        <f>""</f>
        <v/>
      </c>
      <c r="DR116" t="str">
        <f>""</f>
        <v/>
      </c>
      <c r="DS116" t="str">
        <f>""</f>
        <v/>
      </c>
      <c r="DT116" t="str">
        <f>""</f>
        <v/>
      </c>
      <c r="DU116" t="str">
        <f>""</f>
        <v/>
      </c>
    </row>
    <row r="117" spans="1:125" x14ac:dyDescent="0.25">
      <c r="A117" t="str">
        <f>"    Subaru Corp"</f>
        <v xml:space="preserve">    Subaru Corp</v>
      </c>
      <c r="B117" t="str">
        <f>"7270 JP Equity"</f>
        <v>7270 JP Equity</v>
      </c>
      <c r="C117" t="str">
        <f t="shared" si="6"/>
        <v>EZ021</v>
      </c>
      <c r="D117" t="str">
        <f t="shared" si="7"/>
        <v>BEST_EPS_NXT_YR</v>
      </c>
      <c r="E117" t="str">
        <f t="shared" si="8"/>
        <v>Dynamic</v>
      </c>
      <c r="F117">
        <f ca="1">IF(AND(ISNUMBER($F$624),$B$511=1),$F$624,HLOOKUP(INDIRECT(ADDRESS(2,COLUMN())),OFFSET($BN$2,0,0,ROW()-1,60),ROW()-1,FALSE))</f>
        <v>2.87</v>
      </c>
      <c r="G117">
        <f ca="1">IF(AND(ISNUMBER($G$624),$B$511=1),$G$624,HLOOKUP(INDIRECT(ADDRESS(2,COLUMN())),OFFSET($BN$2,0,0,ROW()-1,60),ROW()-1,FALSE))</f>
        <v>3.0219999999999998</v>
      </c>
      <c r="H117">
        <f ca="1">IF(AND(ISNUMBER($H$624),$B$511=1),$H$624,HLOOKUP(INDIRECT(ADDRESS(2,COLUMN())),OFFSET($BN$2,0,0,ROW()-1,60),ROW()-1,FALSE))</f>
        <v>3.4089999999999998</v>
      </c>
      <c r="I117">
        <f ca="1">IF(AND(ISNUMBER($I$624),$B$511=1),$I$624,HLOOKUP(INDIRECT(ADDRESS(2,COLUMN())),OFFSET($BN$2,0,0,ROW()-1,60),ROW()-1,FALSE))</f>
        <v>3.4969999999999999</v>
      </c>
      <c r="J117">
        <f ca="1">IF(AND(ISNUMBER($J$624),$B$511=1),$J$624,HLOOKUP(INDIRECT(ADDRESS(2,COLUMN())),OFFSET($BN$2,0,0,ROW()-1,60),ROW()-1,FALSE))</f>
        <v>3.8639999999999999</v>
      </c>
      <c r="K117">
        <f ca="1">IF(AND(ISNUMBER($K$624),$B$511=1),$K$624,HLOOKUP(INDIRECT(ADDRESS(2,COLUMN())),OFFSET($BN$2,0,0,ROW()-1,60),ROW()-1,FALSE))</f>
        <v>3.8279999999999998</v>
      </c>
      <c r="L117">
        <f ca="1">IF(AND(ISNUMBER($L$624),$B$511=1),$L$624,HLOOKUP(INDIRECT(ADDRESS(2,COLUMN())),OFFSET($BN$2,0,0,ROW()-1,60),ROW()-1,FALSE))</f>
        <v>4.2919999999999998</v>
      </c>
      <c r="M117">
        <f ca="1">IF(AND(ISNUMBER($M$624),$B$511=1),$M$624,HLOOKUP(INDIRECT(ADDRESS(2,COLUMN())),OFFSET($BN$2,0,0,ROW()-1,60),ROW()-1,FALSE))</f>
        <v>4.2519999999999998</v>
      </c>
      <c r="N117">
        <f ca="1">IF(AND(ISNUMBER($N$624),$B$511=1),$N$624,HLOOKUP(INDIRECT(ADDRESS(2,COLUMN())),OFFSET($BN$2,0,0,ROW()-1,60),ROW()-1,FALSE))</f>
        <v>5.891</v>
      </c>
      <c r="O117">
        <f ca="1">IF(AND(ISNUMBER($O$624),$B$511=1),$O$624,HLOOKUP(INDIRECT(ADDRESS(2,COLUMN())),OFFSET($BN$2,0,0,ROW()-1,60),ROW()-1,FALSE))</f>
        <v>4.8410000000000002</v>
      </c>
      <c r="P117">
        <f ca="1">IF(AND(ISNUMBER($P$624),$B$511=1),$P$624,HLOOKUP(INDIRECT(ADDRESS(2,COLUMN())),OFFSET($BN$2,0,0,ROW()-1,60),ROW()-1,FALSE))</f>
        <v>5.125</v>
      </c>
      <c r="Q117">
        <f ca="1">IF(AND(ISNUMBER($Q$624),$B$511=1),$Q$624,HLOOKUP(INDIRECT(ADDRESS(2,COLUMN())),OFFSET($BN$2,0,0,ROW()-1,60),ROW()-1,FALSE))</f>
        <v>5.08</v>
      </c>
      <c r="R117">
        <f ca="1">IF(AND(ISNUMBER($R$624),$B$511=1),$R$624,HLOOKUP(INDIRECT(ADDRESS(2,COLUMN())),OFFSET($BN$2,0,0,ROW()-1,60),ROW()-1,FALSE))</f>
        <v>5.0250000000000004</v>
      </c>
      <c r="S117">
        <f ca="1">IF(AND(ISNUMBER($S$624),$B$511=1),$S$624,HLOOKUP(INDIRECT(ADDRESS(2,COLUMN())),OFFSET($BN$2,0,0,ROW()-1,60),ROW()-1,FALSE))</f>
        <v>4.9329999999999998</v>
      </c>
      <c r="T117">
        <f ca="1">IF(AND(ISNUMBER($T$624),$B$511=1),$T$624,HLOOKUP(INDIRECT(ADDRESS(2,COLUMN())),OFFSET($BN$2,0,0,ROW()-1,60),ROW()-1,FALSE))</f>
        <v>4.8940000000000001</v>
      </c>
      <c r="U117">
        <f ca="1">IF(AND(ISNUMBER($U$624),$B$511=1),$U$624,HLOOKUP(INDIRECT(ADDRESS(2,COLUMN())),OFFSET($BN$2,0,0,ROW()-1,60),ROW()-1,FALSE))</f>
        <v>5.0220000000000002</v>
      </c>
      <c r="V117" t="str">
        <f ca="1">IF(AND(ISNUMBER($V$624),$B$511=1),$V$624,HLOOKUP(INDIRECT(ADDRESS(2,COLUMN())),OFFSET($BN$2,0,0,ROW()-1,60),ROW()-1,FALSE))</f>
        <v/>
      </c>
      <c r="W117" t="str">
        <f ca="1">IF(AND(ISNUMBER($W$624),$B$511=1),$W$624,HLOOKUP(INDIRECT(ADDRESS(2,COLUMN())),OFFSET($BN$2,0,0,ROW()-1,60),ROW()-1,FALSE))</f>
        <v/>
      </c>
      <c r="X117" t="str">
        <f ca="1">IF(AND(ISNUMBER($X$624),$B$511=1),$X$624,HLOOKUP(INDIRECT(ADDRESS(2,COLUMN())),OFFSET($BN$2,0,0,ROW()-1,60),ROW()-1,FALSE))</f>
        <v/>
      </c>
      <c r="Y117" t="str">
        <f ca="1">IF(AND(ISNUMBER($Y$624),$B$511=1),$Y$624,HLOOKUP(INDIRECT(ADDRESS(2,COLUMN())),OFFSET($BN$2,0,0,ROW()-1,60),ROW()-1,FALSE))</f>
        <v/>
      </c>
      <c r="Z117" t="str">
        <f ca="1">IF(AND(ISNUMBER($Z$624),$B$511=1),$Z$624,HLOOKUP(INDIRECT(ADDRESS(2,COLUMN())),OFFSET($BN$2,0,0,ROW()-1,60),ROW()-1,FALSE))</f>
        <v/>
      </c>
      <c r="AA117" t="str">
        <f ca="1">IF(AND(ISNUMBER($AA$624),$B$511=1),$AA$624,HLOOKUP(INDIRECT(ADDRESS(2,COLUMN())),OFFSET($BN$2,0,0,ROW()-1,60),ROW()-1,FALSE))</f>
        <v/>
      </c>
      <c r="AB117" t="str">
        <f ca="1">IF(AND(ISNUMBER($AB$624),$B$511=1),$AB$624,HLOOKUP(INDIRECT(ADDRESS(2,COLUMN())),OFFSET($BN$2,0,0,ROW()-1,60),ROW()-1,FALSE))</f>
        <v/>
      </c>
      <c r="AC117" t="str">
        <f ca="1">IF(AND(ISNUMBER($AC$624),$B$511=1),$AC$624,HLOOKUP(INDIRECT(ADDRESS(2,COLUMN())),OFFSET($BN$2,0,0,ROW()-1,60),ROW()-1,FALSE))</f>
        <v/>
      </c>
      <c r="AD117" t="str">
        <f ca="1">IF(AND(ISNUMBER($AD$624),$B$511=1),$AD$624,HLOOKUP(INDIRECT(ADDRESS(2,COLUMN())),OFFSET($BN$2,0,0,ROW()-1,60),ROW()-1,FALSE))</f>
        <v/>
      </c>
      <c r="AE117" t="str">
        <f ca="1">IF(AND(ISNUMBER($AE$624),$B$511=1),$AE$624,HLOOKUP(INDIRECT(ADDRESS(2,COLUMN())),OFFSET($BN$2,0,0,ROW()-1,60),ROW()-1,FALSE))</f>
        <v/>
      </c>
      <c r="AF117" t="str">
        <f ca="1">IF(AND(ISNUMBER($AF$624),$B$511=1),$AF$624,HLOOKUP(INDIRECT(ADDRESS(2,COLUMN())),OFFSET($BN$2,0,0,ROW()-1,60),ROW()-1,FALSE))</f>
        <v/>
      </c>
      <c r="AG117" t="str">
        <f ca="1">IF(AND(ISNUMBER($AG$624),$B$511=1),$AG$624,HLOOKUP(INDIRECT(ADDRESS(2,COLUMN())),OFFSET($BN$2,0,0,ROW()-1,60),ROW()-1,FALSE))</f>
        <v/>
      </c>
      <c r="AH117" t="str">
        <f ca="1">IF(AND(ISNUMBER($AH$624),$B$511=1),$AH$624,HLOOKUP(INDIRECT(ADDRESS(2,COLUMN())),OFFSET($BN$2,0,0,ROW()-1,60),ROW()-1,FALSE))</f>
        <v/>
      </c>
      <c r="AI117" t="str">
        <f ca="1">IF(AND(ISNUMBER($AI$624),$B$511=1),$AI$624,HLOOKUP(INDIRECT(ADDRESS(2,COLUMN())),OFFSET($BN$2,0,0,ROW()-1,60),ROW()-1,FALSE))</f>
        <v/>
      </c>
      <c r="AJ117" t="str">
        <f ca="1">IF(AND(ISNUMBER($AJ$624),$B$511=1),$AJ$624,HLOOKUP(INDIRECT(ADDRESS(2,COLUMN())),OFFSET($BN$2,0,0,ROW()-1,60),ROW()-1,FALSE))</f>
        <v/>
      </c>
      <c r="AK117" t="str">
        <f ca="1">IF(AND(ISNUMBER($AK$624),$B$511=1),$AK$624,HLOOKUP(INDIRECT(ADDRESS(2,COLUMN())),OFFSET($BN$2,0,0,ROW()-1,60),ROW()-1,FALSE))</f>
        <v/>
      </c>
      <c r="AL117" t="str">
        <f ca="1">IF(AND(ISNUMBER($AL$624),$B$511=1),$AL$624,HLOOKUP(INDIRECT(ADDRESS(2,COLUMN())),OFFSET($BN$2,0,0,ROW()-1,60),ROW()-1,FALSE))</f>
        <v/>
      </c>
      <c r="AM117" t="str">
        <f ca="1">IF(AND(ISNUMBER($AM$624),$B$511=1),$AM$624,HLOOKUP(INDIRECT(ADDRESS(2,COLUMN())),OFFSET($BN$2,0,0,ROW()-1,60),ROW()-1,FALSE))</f>
        <v/>
      </c>
      <c r="AN117" t="str">
        <f ca="1">IF(AND(ISNUMBER($AN$624),$B$511=1),$AN$624,HLOOKUP(INDIRECT(ADDRESS(2,COLUMN())),OFFSET($BN$2,0,0,ROW()-1,60),ROW()-1,FALSE))</f>
        <v/>
      </c>
      <c r="AO117" t="str">
        <f ca="1">IF(AND(ISNUMBER($AO$624),$B$511=1),$AO$624,HLOOKUP(INDIRECT(ADDRESS(2,COLUMN())),OFFSET($BN$2,0,0,ROW()-1,60),ROW()-1,FALSE))</f>
        <v/>
      </c>
      <c r="AP117" t="str">
        <f ca="1">IF(AND(ISNUMBER($AP$624),$B$511=1),$AP$624,HLOOKUP(INDIRECT(ADDRESS(2,COLUMN())),OFFSET($BN$2,0,0,ROW()-1,60),ROW()-1,FALSE))</f>
        <v/>
      </c>
      <c r="AQ117" t="str">
        <f ca="1">IF(AND(ISNUMBER($AQ$624),$B$511=1),$AQ$624,HLOOKUP(INDIRECT(ADDRESS(2,COLUMN())),OFFSET($BN$2,0,0,ROW()-1,60),ROW()-1,FALSE))</f>
        <v/>
      </c>
      <c r="AR117" t="str">
        <f ca="1">IF(AND(ISNUMBER($AR$624),$B$511=1),$AR$624,HLOOKUP(INDIRECT(ADDRESS(2,COLUMN())),OFFSET($BN$2,0,0,ROW()-1,60),ROW()-1,FALSE))</f>
        <v/>
      </c>
      <c r="AS117" t="str">
        <f ca="1">IF(AND(ISNUMBER($AS$624),$B$511=1),$AS$624,HLOOKUP(INDIRECT(ADDRESS(2,COLUMN())),OFFSET($BN$2,0,0,ROW()-1,60),ROW()-1,FALSE))</f>
        <v/>
      </c>
      <c r="AT117" t="str">
        <f ca="1">IF(AND(ISNUMBER($AT$624),$B$511=1),$AT$624,HLOOKUP(INDIRECT(ADDRESS(2,COLUMN())),OFFSET($BN$2,0,0,ROW()-1,60),ROW()-1,FALSE))</f>
        <v/>
      </c>
      <c r="AU117" t="str">
        <f ca="1">IF(AND(ISNUMBER($AU$624),$B$511=1),$AU$624,HLOOKUP(INDIRECT(ADDRESS(2,COLUMN())),OFFSET($BN$2,0,0,ROW()-1,60),ROW()-1,FALSE))</f>
        <v/>
      </c>
      <c r="AV117" t="str">
        <f ca="1">IF(AND(ISNUMBER($AV$624),$B$511=1),$AV$624,HLOOKUP(INDIRECT(ADDRESS(2,COLUMN())),OFFSET($BN$2,0,0,ROW()-1,60),ROW()-1,FALSE))</f>
        <v/>
      </c>
      <c r="AW117" t="str">
        <f ca="1">IF(AND(ISNUMBER($AW$624),$B$511=1),$AW$624,HLOOKUP(INDIRECT(ADDRESS(2,COLUMN())),OFFSET($BN$2,0,0,ROW()-1,60),ROW()-1,FALSE))</f>
        <v/>
      </c>
      <c r="AX117" t="str">
        <f ca="1">IF(AND(ISNUMBER($AX$624),$B$511=1),$AX$624,HLOOKUP(INDIRECT(ADDRESS(2,COLUMN())),OFFSET($BN$2,0,0,ROW()-1,60),ROW()-1,FALSE))</f>
        <v/>
      </c>
      <c r="AY117" t="str">
        <f ca="1">IF(AND(ISNUMBER($AY$624),$B$511=1),$AY$624,HLOOKUP(INDIRECT(ADDRESS(2,COLUMN())),OFFSET($BN$2,0,0,ROW()-1,60),ROW()-1,FALSE))</f>
        <v/>
      </c>
      <c r="AZ117" t="str">
        <f ca="1">IF(AND(ISNUMBER($AZ$624),$B$511=1),$AZ$624,HLOOKUP(INDIRECT(ADDRESS(2,COLUMN())),OFFSET($BN$2,0,0,ROW()-1,60),ROW()-1,FALSE))</f>
        <v/>
      </c>
      <c r="BA117" t="str">
        <f ca="1">IF(AND(ISNUMBER($BA$624),$B$511=1),$BA$624,HLOOKUP(INDIRECT(ADDRESS(2,COLUMN())),OFFSET($BN$2,0,0,ROW()-1,60),ROW()-1,FALSE))</f>
        <v/>
      </c>
      <c r="BB117" t="str">
        <f ca="1">IF(AND(ISNUMBER($BB$624),$B$511=1),$BB$624,HLOOKUP(INDIRECT(ADDRESS(2,COLUMN())),OFFSET($BN$2,0,0,ROW()-1,60),ROW()-1,FALSE))</f>
        <v/>
      </c>
      <c r="BC117" t="str">
        <f ca="1">IF(AND(ISNUMBER($BC$624),$B$511=1),$BC$624,HLOOKUP(INDIRECT(ADDRESS(2,COLUMN())),OFFSET($BN$2,0,0,ROW()-1,60),ROW()-1,FALSE))</f>
        <v/>
      </c>
      <c r="BD117" t="str">
        <f ca="1">IF(AND(ISNUMBER($BD$624),$B$511=1),$BD$624,HLOOKUP(INDIRECT(ADDRESS(2,COLUMN())),OFFSET($BN$2,0,0,ROW()-1,60),ROW()-1,FALSE))</f>
        <v/>
      </c>
      <c r="BE117" t="str">
        <f ca="1">IF(AND(ISNUMBER($BE$624),$B$511=1),$BE$624,HLOOKUP(INDIRECT(ADDRESS(2,COLUMN())),OFFSET($BN$2,0,0,ROW()-1,60),ROW()-1,FALSE))</f>
        <v/>
      </c>
      <c r="BF117" t="str">
        <f ca="1">IF(AND(ISNUMBER($BF$624),$B$511=1),$BF$624,HLOOKUP(INDIRECT(ADDRESS(2,COLUMN())),OFFSET($BN$2,0,0,ROW()-1,60),ROW()-1,FALSE))</f>
        <v/>
      </c>
      <c r="BG117" t="str">
        <f ca="1">IF(AND(ISNUMBER($BG$624),$B$511=1),$BG$624,HLOOKUP(INDIRECT(ADDRESS(2,COLUMN())),OFFSET($BN$2,0,0,ROW()-1,60),ROW()-1,FALSE))</f>
        <v/>
      </c>
      <c r="BH117" t="str">
        <f ca="1">IF(AND(ISNUMBER($BH$624),$B$511=1),$BH$624,HLOOKUP(INDIRECT(ADDRESS(2,COLUMN())),OFFSET($BN$2,0,0,ROW()-1,60),ROW()-1,FALSE))</f>
        <v/>
      </c>
      <c r="BI117" t="str">
        <f ca="1">IF(AND(ISNUMBER($BI$624),$B$511=1),$BI$624,HLOOKUP(INDIRECT(ADDRESS(2,COLUMN())),OFFSET($BN$2,0,0,ROW()-1,60),ROW()-1,FALSE))</f>
        <v/>
      </c>
      <c r="BJ117" t="str">
        <f ca="1">IF(AND(ISNUMBER($BJ$624),$B$511=1),$BJ$624,HLOOKUP(INDIRECT(ADDRESS(2,COLUMN())),OFFSET($BN$2,0,0,ROW()-1,60),ROW()-1,FALSE))</f>
        <v/>
      </c>
      <c r="BK117" t="str">
        <f ca="1">IF(AND(ISNUMBER($BK$624),$B$511=1),$BK$624,HLOOKUP(INDIRECT(ADDRESS(2,COLUMN())),OFFSET($BN$2,0,0,ROW()-1,60),ROW()-1,FALSE))</f>
        <v/>
      </c>
      <c r="BL117" t="str">
        <f ca="1">IF(AND(ISNUMBER($BL$624),$B$511=1),$BL$624,HLOOKUP(INDIRECT(ADDRESS(2,COLUMN())),OFFSET($BN$2,0,0,ROW()-1,60),ROW()-1,FALSE))</f>
        <v/>
      </c>
      <c r="BM117" t="str">
        <f ca="1">IF(AND(ISNUMBER($BM$624),$B$511=1),$BM$624,HLOOKUP(INDIRECT(ADDRESS(2,COLUMN())),OFFSET($BN$2,0,0,ROW()-1,60),ROW()-1,FALSE))</f>
        <v/>
      </c>
      <c r="BN117">
        <f>2.87</f>
        <v>2.87</v>
      </c>
      <c r="BO117">
        <f>3.022</f>
        <v>3.0219999999999998</v>
      </c>
      <c r="BP117">
        <f>3.409</f>
        <v>3.4089999999999998</v>
      </c>
      <c r="BQ117">
        <f>3.497</f>
        <v>3.4969999999999999</v>
      </c>
      <c r="BR117">
        <f>3.864</f>
        <v>3.8639999999999999</v>
      </c>
      <c r="BS117">
        <f>3.828</f>
        <v>3.8279999999999998</v>
      </c>
      <c r="BT117">
        <f>4.292</f>
        <v>4.2919999999999998</v>
      </c>
      <c r="BU117">
        <f>4.252</f>
        <v>4.2519999999999998</v>
      </c>
      <c r="BV117">
        <f>5.891</f>
        <v>5.891</v>
      </c>
      <c r="BW117">
        <f>4.841</f>
        <v>4.8410000000000002</v>
      </c>
      <c r="BX117">
        <f>5.125</f>
        <v>5.125</v>
      </c>
      <c r="BY117">
        <f>5.08</f>
        <v>5.08</v>
      </c>
      <c r="BZ117">
        <f>5.025</f>
        <v>5.0250000000000004</v>
      </c>
      <c r="CA117">
        <f>4.933</f>
        <v>4.9329999999999998</v>
      </c>
      <c r="CB117">
        <f>4.894</f>
        <v>4.8940000000000001</v>
      </c>
      <c r="CC117">
        <f>5.022</f>
        <v>5.0220000000000002</v>
      </c>
      <c r="CD117" t="str">
        <f>""</f>
        <v/>
      </c>
      <c r="CE117" t="str">
        <f>""</f>
        <v/>
      </c>
      <c r="CF117" t="str">
        <f>""</f>
        <v/>
      </c>
      <c r="CG117" t="str">
        <f>""</f>
        <v/>
      </c>
      <c r="CH117" t="str">
        <f>""</f>
        <v/>
      </c>
      <c r="CI117" t="str">
        <f>""</f>
        <v/>
      </c>
      <c r="CJ117" t="str">
        <f>""</f>
        <v/>
      </c>
      <c r="CK117" t="str">
        <f>""</f>
        <v/>
      </c>
      <c r="CL117" t="str">
        <f>""</f>
        <v/>
      </c>
      <c r="CM117" t="str">
        <f>""</f>
        <v/>
      </c>
      <c r="CN117" t="str">
        <f>""</f>
        <v/>
      </c>
      <c r="CO117" t="str">
        <f>""</f>
        <v/>
      </c>
      <c r="CP117" t="str">
        <f>""</f>
        <v/>
      </c>
      <c r="CQ117" t="str">
        <f>""</f>
        <v/>
      </c>
      <c r="CR117" t="str">
        <f>""</f>
        <v/>
      </c>
      <c r="CS117" t="str">
        <f>""</f>
        <v/>
      </c>
      <c r="CT117" t="str">
        <f>""</f>
        <v/>
      </c>
      <c r="CU117" t="str">
        <f>""</f>
        <v/>
      </c>
      <c r="CV117" t="str">
        <f>""</f>
        <v/>
      </c>
      <c r="CW117" t="str">
        <f>""</f>
        <v/>
      </c>
      <c r="CX117" t="str">
        <f>""</f>
        <v/>
      </c>
      <c r="CY117" t="str">
        <f>""</f>
        <v/>
      </c>
      <c r="CZ117" t="str">
        <f>""</f>
        <v/>
      </c>
      <c r="DA117" t="str">
        <f>""</f>
        <v/>
      </c>
      <c r="DB117" t="str">
        <f>""</f>
        <v/>
      </c>
      <c r="DC117" t="str">
        <f>""</f>
        <v/>
      </c>
      <c r="DD117" t="str">
        <f>""</f>
        <v/>
      </c>
      <c r="DE117" t="str">
        <f>""</f>
        <v/>
      </c>
      <c r="DF117" t="str">
        <f>""</f>
        <v/>
      </c>
      <c r="DG117" t="str">
        <f>""</f>
        <v/>
      </c>
      <c r="DH117" t="str">
        <f>""</f>
        <v/>
      </c>
      <c r="DI117" t="str">
        <f>""</f>
        <v/>
      </c>
      <c r="DJ117" t="str">
        <f>""</f>
        <v/>
      </c>
      <c r="DK117" t="str">
        <f>""</f>
        <v/>
      </c>
      <c r="DL117" t="str">
        <f>""</f>
        <v/>
      </c>
      <c r="DM117" t="str">
        <f>""</f>
        <v/>
      </c>
      <c r="DN117" t="str">
        <f>""</f>
        <v/>
      </c>
      <c r="DO117" t="str">
        <f>""</f>
        <v/>
      </c>
      <c r="DP117" t="str">
        <f>""</f>
        <v/>
      </c>
      <c r="DQ117" t="str">
        <f>""</f>
        <v/>
      </c>
      <c r="DR117" t="str">
        <f>""</f>
        <v/>
      </c>
      <c r="DS117" t="str">
        <f>""</f>
        <v/>
      </c>
      <c r="DT117" t="str">
        <f>""</f>
        <v/>
      </c>
      <c r="DU117" t="str">
        <f>""</f>
        <v/>
      </c>
    </row>
    <row r="118" spans="1:125" x14ac:dyDescent="0.25">
      <c r="A118" t="str">
        <f>"    Suzuki Motor Corp"</f>
        <v xml:space="preserve">    Suzuki Motor Corp</v>
      </c>
      <c r="B118" t="str">
        <f>"7269 JP Equity"</f>
        <v>7269 JP Equity</v>
      </c>
      <c r="C118" t="str">
        <f t="shared" si="6"/>
        <v>EZ021</v>
      </c>
      <c r="D118" t="str">
        <f t="shared" si="7"/>
        <v>BEST_EPS_NXT_YR</v>
      </c>
      <c r="E118" t="str">
        <f t="shared" si="8"/>
        <v>Dynamic</v>
      </c>
      <c r="F118">
        <f ca="1">IF(AND(ISNUMBER($F$625),$B$511=1),$F$625,HLOOKUP(INDIRECT(ADDRESS(2,COLUMN())),OFFSET($BN$2,0,0,ROW()-1,60),ROW()-1,FALSE))</f>
        <v>4.8719999999999999</v>
      </c>
      <c r="G118">
        <f ca="1">IF(AND(ISNUMBER($G$625),$B$511=1),$G$625,HLOOKUP(INDIRECT(ADDRESS(2,COLUMN())),OFFSET($BN$2,0,0,ROW()-1,60),ROW()-1,FALSE))</f>
        <v>4.8979999999999997</v>
      </c>
      <c r="H118">
        <f ca="1">IF(AND(ISNUMBER($H$625),$B$511=1),$H$625,HLOOKUP(INDIRECT(ADDRESS(2,COLUMN())),OFFSET($BN$2,0,0,ROW()-1,60),ROW()-1,FALSE))</f>
        <v>5.28</v>
      </c>
      <c r="I118">
        <f ca="1">IF(AND(ISNUMBER($I$625),$B$511=1),$I$625,HLOOKUP(INDIRECT(ADDRESS(2,COLUMN())),OFFSET($BN$2,0,0,ROW()-1,60),ROW()-1,FALSE))</f>
        <v>5.0060000000000002</v>
      </c>
      <c r="J118">
        <f ca="1">IF(AND(ISNUMBER($J$625),$B$511=1),$J$625,HLOOKUP(INDIRECT(ADDRESS(2,COLUMN())),OFFSET($BN$2,0,0,ROW()-1,60),ROW()-1,FALSE))</f>
        <v>4.9550000000000001</v>
      </c>
      <c r="K118">
        <f ca="1">IF(AND(ISNUMBER($K$625),$B$511=1),$K$625,HLOOKUP(INDIRECT(ADDRESS(2,COLUMN())),OFFSET($BN$2,0,0,ROW()-1,60),ROW()-1,FALSE))</f>
        <v>4.5910000000000002</v>
      </c>
      <c r="L118">
        <f ca="1">IF(AND(ISNUMBER($L$625),$B$511=1),$L$625,HLOOKUP(INDIRECT(ADDRESS(2,COLUMN())),OFFSET($BN$2,0,0,ROW()-1,60),ROW()-1,FALSE))</f>
        <v>4.47</v>
      </c>
      <c r="M118">
        <f ca="1">IF(AND(ISNUMBER($M$625),$B$511=1),$M$625,HLOOKUP(INDIRECT(ADDRESS(2,COLUMN())),OFFSET($BN$2,0,0,ROW()-1,60),ROW()-1,FALSE))</f>
        <v>4.0549999999999997</v>
      </c>
      <c r="N118">
        <f ca="1">IF(AND(ISNUMBER($N$625),$B$511=1),$N$625,HLOOKUP(INDIRECT(ADDRESS(2,COLUMN())),OFFSET($BN$2,0,0,ROW()-1,60),ROW()-1,FALSE))</f>
        <v>3.444</v>
      </c>
      <c r="O118">
        <f ca="1">IF(AND(ISNUMBER($O$625),$B$511=1),$O$625,HLOOKUP(INDIRECT(ADDRESS(2,COLUMN())),OFFSET($BN$2,0,0,ROW()-1,60),ROW()-1,FALSE))</f>
        <v>3.43</v>
      </c>
      <c r="P118">
        <f ca="1">IF(AND(ISNUMBER($P$625),$B$511=1),$P$625,HLOOKUP(INDIRECT(ADDRESS(2,COLUMN())),OFFSET($BN$2,0,0,ROW()-1,60),ROW()-1,FALSE))</f>
        <v>2.7669999999999999</v>
      </c>
      <c r="Q118">
        <f ca="1">IF(AND(ISNUMBER($Q$625),$B$511=1),$Q$625,HLOOKUP(INDIRECT(ADDRESS(2,COLUMN())),OFFSET($BN$2,0,0,ROW()-1,60),ROW()-1,FALSE))</f>
        <v>2.5009999999999999</v>
      </c>
      <c r="R118">
        <f ca="1">IF(AND(ISNUMBER($R$625),$B$511=1),$R$625,HLOOKUP(INDIRECT(ADDRESS(2,COLUMN())),OFFSET($BN$2,0,0,ROW()-1,60),ROW()-1,FALSE))</f>
        <v>2.3450000000000002</v>
      </c>
      <c r="S118">
        <f ca="1">IF(AND(ISNUMBER($S$625),$B$511=1),$S$625,HLOOKUP(INDIRECT(ADDRESS(2,COLUMN())),OFFSET($BN$2,0,0,ROW()-1,60),ROW()-1,FALSE))</f>
        <v>2.9889999999999999</v>
      </c>
      <c r="T118">
        <f ca="1">IF(AND(ISNUMBER($T$625),$B$511=1),$T$625,HLOOKUP(INDIRECT(ADDRESS(2,COLUMN())),OFFSET($BN$2,0,0,ROW()-1,60),ROW()-1,FALSE))</f>
        <v>2.4830000000000001</v>
      </c>
      <c r="U118">
        <f ca="1">IF(AND(ISNUMBER($U$625),$B$511=1),$U$625,HLOOKUP(INDIRECT(ADDRESS(2,COLUMN())),OFFSET($BN$2,0,0,ROW()-1,60),ROW()-1,FALSE))</f>
        <v>2.3180000000000001</v>
      </c>
      <c r="V118" t="str">
        <f ca="1">IF(AND(ISNUMBER($V$625),$B$511=1),$V$625,HLOOKUP(INDIRECT(ADDRESS(2,COLUMN())),OFFSET($BN$2,0,0,ROW()-1,60),ROW()-1,FALSE))</f>
        <v/>
      </c>
      <c r="W118" t="str">
        <f ca="1">IF(AND(ISNUMBER($W$625),$B$511=1),$W$625,HLOOKUP(INDIRECT(ADDRESS(2,COLUMN())),OFFSET($BN$2,0,0,ROW()-1,60),ROW()-1,FALSE))</f>
        <v/>
      </c>
      <c r="X118" t="str">
        <f ca="1">IF(AND(ISNUMBER($X$625),$B$511=1),$X$625,HLOOKUP(INDIRECT(ADDRESS(2,COLUMN())),OFFSET($BN$2,0,0,ROW()-1,60),ROW()-1,FALSE))</f>
        <v/>
      </c>
      <c r="Y118" t="str">
        <f ca="1">IF(AND(ISNUMBER($Y$625),$B$511=1),$Y$625,HLOOKUP(INDIRECT(ADDRESS(2,COLUMN())),OFFSET($BN$2,0,0,ROW()-1,60),ROW()-1,FALSE))</f>
        <v/>
      </c>
      <c r="Z118" t="str">
        <f ca="1">IF(AND(ISNUMBER($Z$625),$B$511=1),$Z$625,HLOOKUP(INDIRECT(ADDRESS(2,COLUMN())),OFFSET($BN$2,0,0,ROW()-1,60),ROW()-1,FALSE))</f>
        <v/>
      </c>
      <c r="AA118" t="str">
        <f ca="1">IF(AND(ISNUMBER($AA$625),$B$511=1),$AA$625,HLOOKUP(INDIRECT(ADDRESS(2,COLUMN())),OFFSET($BN$2,0,0,ROW()-1,60),ROW()-1,FALSE))</f>
        <v/>
      </c>
      <c r="AB118" t="str">
        <f ca="1">IF(AND(ISNUMBER($AB$625),$B$511=1),$AB$625,HLOOKUP(INDIRECT(ADDRESS(2,COLUMN())),OFFSET($BN$2,0,0,ROW()-1,60),ROW()-1,FALSE))</f>
        <v/>
      </c>
      <c r="AC118" t="str">
        <f ca="1">IF(AND(ISNUMBER($AC$625),$B$511=1),$AC$625,HLOOKUP(INDIRECT(ADDRESS(2,COLUMN())),OFFSET($BN$2,0,0,ROW()-1,60),ROW()-1,FALSE))</f>
        <v/>
      </c>
      <c r="AD118" t="str">
        <f ca="1">IF(AND(ISNUMBER($AD$625),$B$511=1),$AD$625,HLOOKUP(INDIRECT(ADDRESS(2,COLUMN())),OFFSET($BN$2,0,0,ROW()-1,60),ROW()-1,FALSE))</f>
        <v/>
      </c>
      <c r="AE118" t="str">
        <f ca="1">IF(AND(ISNUMBER($AE$625),$B$511=1),$AE$625,HLOOKUP(INDIRECT(ADDRESS(2,COLUMN())),OFFSET($BN$2,0,0,ROW()-1,60),ROW()-1,FALSE))</f>
        <v/>
      </c>
      <c r="AF118" t="str">
        <f ca="1">IF(AND(ISNUMBER($AF$625),$B$511=1),$AF$625,HLOOKUP(INDIRECT(ADDRESS(2,COLUMN())),OFFSET($BN$2,0,0,ROW()-1,60),ROW()-1,FALSE))</f>
        <v/>
      </c>
      <c r="AG118" t="str">
        <f ca="1">IF(AND(ISNUMBER($AG$625),$B$511=1),$AG$625,HLOOKUP(INDIRECT(ADDRESS(2,COLUMN())),OFFSET($BN$2,0,0,ROW()-1,60),ROW()-1,FALSE))</f>
        <v/>
      </c>
      <c r="AH118" t="str">
        <f ca="1">IF(AND(ISNUMBER($AH$625),$B$511=1),$AH$625,HLOOKUP(INDIRECT(ADDRESS(2,COLUMN())),OFFSET($BN$2,0,0,ROW()-1,60),ROW()-1,FALSE))</f>
        <v/>
      </c>
      <c r="AI118" t="str">
        <f ca="1">IF(AND(ISNUMBER($AI$625),$B$511=1),$AI$625,HLOOKUP(INDIRECT(ADDRESS(2,COLUMN())),OFFSET($BN$2,0,0,ROW()-1,60),ROW()-1,FALSE))</f>
        <v/>
      </c>
      <c r="AJ118" t="str">
        <f ca="1">IF(AND(ISNUMBER($AJ$625),$B$511=1),$AJ$625,HLOOKUP(INDIRECT(ADDRESS(2,COLUMN())),OFFSET($BN$2,0,0,ROW()-1,60),ROW()-1,FALSE))</f>
        <v/>
      </c>
      <c r="AK118" t="str">
        <f ca="1">IF(AND(ISNUMBER($AK$625),$B$511=1),$AK$625,HLOOKUP(INDIRECT(ADDRESS(2,COLUMN())),OFFSET($BN$2,0,0,ROW()-1,60),ROW()-1,FALSE))</f>
        <v/>
      </c>
      <c r="AL118" t="str">
        <f ca="1">IF(AND(ISNUMBER($AL$625),$B$511=1),$AL$625,HLOOKUP(INDIRECT(ADDRESS(2,COLUMN())),OFFSET($BN$2,0,0,ROW()-1,60),ROW()-1,FALSE))</f>
        <v/>
      </c>
      <c r="AM118" t="str">
        <f ca="1">IF(AND(ISNUMBER($AM$625),$B$511=1),$AM$625,HLOOKUP(INDIRECT(ADDRESS(2,COLUMN())),OFFSET($BN$2,0,0,ROW()-1,60),ROW()-1,FALSE))</f>
        <v/>
      </c>
      <c r="AN118" t="str">
        <f ca="1">IF(AND(ISNUMBER($AN$625),$B$511=1),$AN$625,HLOOKUP(INDIRECT(ADDRESS(2,COLUMN())),OFFSET($BN$2,0,0,ROW()-1,60),ROW()-1,FALSE))</f>
        <v/>
      </c>
      <c r="AO118" t="str">
        <f ca="1">IF(AND(ISNUMBER($AO$625),$B$511=1),$AO$625,HLOOKUP(INDIRECT(ADDRESS(2,COLUMN())),OFFSET($BN$2,0,0,ROW()-1,60),ROW()-1,FALSE))</f>
        <v/>
      </c>
      <c r="AP118" t="str">
        <f ca="1">IF(AND(ISNUMBER($AP$625),$B$511=1),$AP$625,HLOOKUP(INDIRECT(ADDRESS(2,COLUMN())),OFFSET($BN$2,0,0,ROW()-1,60),ROW()-1,FALSE))</f>
        <v/>
      </c>
      <c r="AQ118" t="str">
        <f ca="1">IF(AND(ISNUMBER($AQ$625),$B$511=1),$AQ$625,HLOOKUP(INDIRECT(ADDRESS(2,COLUMN())),OFFSET($BN$2,0,0,ROW()-1,60),ROW()-1,FALSE))</f>
        <v/>
      </c>
      <c r="AR118" t="str">
        <f ca="1">IF(AND(ISNUMBER($AR$625),$B$511=1),$AR$625,HLOOKUP(INDIRECT(ADDRESS(2,COLUMN())),OFFSET($BN$2,0,0,ROW()-1,60),ROW()-1,FALSE))</f>
        <v/>
      </c>
      <c r="AS118" t="str">
        <f ca="1">IF(AND(ISNUMBER($AS$625),$B$511=1),$AS$625,HLOOKUP(INDIRECT(ADDRESS(2,COLUMN())),OFFSET($BN$2,0,0,ROW()-1,60),ROW()-1,FALSE))</f>
        <v/>
      </c>
      <c r="AT118" t="str">
        <f ca="1">IF(AND(ISNUMBER($AT$625),$B$511=1),$AT$625,HLOOKUP(INDIRECT(ADDRESS(2,COLUMN())),OFFSET($BN$2,0,0,ROW()-1,60),ROW()-1,FALSE))</f>
        <v/>
      </c>
      <c r="AU118" t="str">
        <f ca="1">IF(AND(ISNUMBER($AU$625),$B$511=1),$AU$625,HLOOKUP(INDIRECT(ADDRESS(2,COLUMN())),OFFSET($BN$2,0,0,ROW()-1,60),ROW()-1,FALSE))</f>
        <v/>
      </c>
      <c r="AV118" t="str">
        <f ca="1">IF(AND(ISNUMBER($AV$625),$B$511=1),$AV$625,HLOOKUP(INDIRECT(ADDRESS(2,COLUMN())),OFFSET($BN$2,0,0,ROW()-1,60),ROW()-1,FALSE))</f>
        <v/>
      </c>
      <c r="AW118" t="str">
        <f ca="1">IF(AND(ISNUMBER($AW$625),$B$511=1),$AW$625,HLOOKUP(INDIRECT(ADDRESS(2,COLUMN())),OFFSET($BN$2,0,0,ROW()-1,60),ROW()-1,FALSE))</f>
        <v/>
      </c>
      <c r="AX118" t="str">
        <f ca="1">IF(AND(ISNUMBER($AX$625),$B$511=1),$AX$625,HLOOKUP(INDIRECT(ADDRESS(2,COLUMN())),OFFSET($BN$2,0,0,ROW()-1,60),ROW()-1,FALSE))</f>
        <v/>
      </c>
      <c r="AY118" t="str">
        <f ca="1">IF(AND(ISNUMBER($AY$625),$B$511=1),$AY$625,HLOOKUP(INDIRECT(ADDRESS(2,COLUMN())),OFFSET($BN$2,0,0,ROW()-1,60),ROW()-1,FALSE))</f>
        <v/>
      </c>
      <c r="AZ118" t="str">
        <f ca="1">IF(AND(ISNUMBER($AZ$625),$B$511=1),$AZ$625,HLOOKUP(INDIRECT(ADDRESS(2,COLUMN())),OFFSET($BN$2,0,0,ROW()-1,60),ROW()-1,FALSE))</f>
        <v/>
      </c>
      <c r="BA118" t="str">
        <f ca="1">IF(AND(ISNUMBER($BA$625),$B$511=1),$BA$625,HLOOKUP(INDIRECT(ADDRESS(2,COLUMN())),OFFSET($BN$2,0,0,ROW()-1,60),ROW()-1,FALSE))</f>
        <v/>
      </c>
      <c r="BB118" t="str">
        <f ca="1">IF(AND(ISNUMBER($BB$625),$B$511=1),$BB$625,HLOOKUP(INDIRECT(ADDRESS(2,COLUMN())),OFFSET($BN$2,0,0,ROW()-1,60),ROW()-1,FALSE))</f>
        <v/>
      </c>
      <c r="BC118" t="str">
        <f ca="1">IF(AND(ISNUMBER($BC$625),$B$511=1),$BC$625,HLOOKUP(INDIRECT(ADDRESS(2,COLUMN())),OFFSET($BN$2,0,0,ROW()-1,60),ROW()-1,FALSE))</f>
        <v/>
      </c>
      <c r="BD118" t="str">
        <f ca="1">IF(AND(ISNUMBER($BD$625),$B$511=1),$BD$625,HLOOKUP(INDIRECT(ADDRESS(2,COLUMN())),OFFSET($BN$2,0,0,ROW()-1,60),ROW()-1,FALSE))</f>
        <v/>
      </c>
      <c r="BE118" t="str">
        <f ca="1">IF(AND(ISNUMBER($BE$625),$B$511=1),$BE$625,HLOOKUP(INDIRECT(ADDRESS(2,COLUMN())),OFFSET($BN$2,0,0,ROW()-1,60),ROW()-1,FALSE))</f>
        <v/>
      </c>
      <c r="BF118" t="str">
        <f ca="1">IF(AND(ISNUMBER($BF$625),$B$511=1),$BF$625,HLOOKUP(INDIRECT(ADDRESS(2,COLUMN())),OFFSET($BN$2,0,0,ROW()-1,60),ROW()-1,FALSE))</f>
        <v/>
      </c>
      <c r="BG118" t="str">
        <f ca="1">IF(AND(ISNUMBER($BG$625),$B$511=1),$BG$625,HLOOKUP(INDIRECT(ADDRESS(2,COLUMN())),OFFSET($BN$2,0,0,ROW()-1,60),ROW()-1,FALSE))</f>
        <v/>
      </c>
      <c r="BH118" t="str">
        <f ca="1">IF(AND(ISNUMBER($BH$625),$B$511=1),$BH$625,HLOOKUP(INDIRECT(ADDRESS(2,COLUMN())),OFFSET($BN$2,0,0,ROW()-1,60),ROW()-1,FALSE))</f>
        <v/>
      </c>
      <c r="BI118" t="str">
        <f ca="1">IF(AND(ISNUMBER($BI$625),$B$511=1),$BI$625,HLOOKUP(INDIRECT(ADDRESS(2,COLUMN())),OFFSET($BN$2,0,0,ROW()-1,60),ROW()-1,FALSE))</f>
        <v/>
      </c>
      <c r="BJ118" t="str">
        <f ca="1">IF(AND(ISNUMBER($BJ$625),$B$511=1),$BJ$625,HLOOKUP(INDIRECT(ADDRESS(2,COLUMN())),OFFSET($BN$2,0,0,ROW()-1,60),ROW()-1,FALSE))</f>
        <v/>
      </c>
      <c r="BK118" t="str">
        <f ca="1">IF(AND(ISNUMBER($BK$625),$B$511=1),$BK$625,HLOOKUP(INDIRECT(ADDRESS(2,COLUMN())),OFFSET($BN$2,0,0,ROW()-1,60),ROW()-1,FALSE))</f>
        <v/>
      </c>
      <c r="BL118" t="str">
        <f ca="1">IF(AND(ISNUMBER($BL$625),$B$511=1),$BL$625,HLOOKUP(INDIRECT(ADDRESS(2,COLUMN())),OFFSET($BN$2,0,0,ROW()-1,60),ROW()-1,FALSE))</f>
        <v/>
      </c>
      <c r="BM118" t="str">
        <f ca="1">IF(AND(ISNUMBER($BM$625),$B$511=1),$BM$625,HLOOKUP(INDIRECT(ADDRESS(2,COLUMN())),OFFSET($BN$2,0,0,ROW()-1,60),ROW()-1,FALSE))</f>
        <v/>
      </c>
      <c r="BN118">
        <f>4.872</f>
        <v>4.8719999999999999</v>
      </c>
      <c r="BO118">
        <f>4.898</f>
        <v>4.8979999999999997</v>
      </c>
      <c r="BP118">
        <f>5.28</f>
        <v>5.28</v>
      </c>
      <c r="BQ118">
        <f>5.006</f>
        <v>5.0060000000000002</v>
      </c>
      <c r="BR118">
        <f>4.955</f>
        <v>4.9550000000000001</v>
      </c>
      <c r="BS118">
        <f>4.591</f>
        <v>4.5910000000000002</v>
      </c>
      <c r="BT118">
        <f>4.47</f>
        <v>4.47</v>
      </c>
      <c r="BU118">
        <f>4.055</f>
        <v>4.0549999999999997</v>
      </c>
      <c r="BV118">
        <f>3.444</f>
        <v>3.444</v>
      </c>
      <c r="BW118">
        <f>3.43</f>
        <v>3.43</v>
      </c>
      <c r="BX118">
        <f>2.767</f>
        <v>2.7669999999999999</v>
      </c>
      <c r="BY118">
        <f>2.501</f>
        <v>2.5009999999999999</v>
      </c>
      <c r="BZ118">
        <f>2.345</f>
        <v>2.3450000000000002</v>
      </c>
      <c r="CA118">
        <f>2.989</f>
        <v>2.9889999999999999</v>
      </c>
      <c r="CB118">
        <f>2.483</f>
        <v>2.4830000000000001</v>
      </c>
      <c r="CC118">
        <f>2.318</f>
        <v>2.3180000000000001</v>
      </c>
      <c r="CD118" t="str">
        <f>""</f>
        <v/>
      </c>
      <c r="CE118" t="str">
        <f>""</f>
        <v/>
      </c>
      <c r="CF118" t="str">
        <f>""</f>
        <v/>
      </c>
      <c r="CG118" t="str">
        <f>""</f>
        <v/>
      </c>
      <c r="CH118" t="str">
        <f>""</f>
        <v/>
      </c>
      <c r="CI118" t="str">
        <f>""</f>
        <v/>
      </c>
      <c r="CJ118" t="str">
        <f>""</f>
        <v/>
      </c>
      <c r="CK118" t="str">
        <f>""</f>
        <v/>
      </c>
      <c r="CL118" t="str">
        <f>""</f>
        <v/>
      </c>
      <c r="CM118" t="str">
        <f>""</f>
        <v/>
      </c>
      <c r="CN118" t="str">
        <f>""</f>
        <v/>
      </c>
      <c r="CO118" t="str">
        <f>""</f>
        <v/>
      </c>
      <c r="CP118" t="str">
        <f>""</f>
        <v/>
      </c>
      <c r="CQ118" t="str">
        <f>""</f>
        <v/>
      </c>
      <c r="CR118" t="str">
        <f>""</f>
        <v/>
      </c>
      <c r="CS118" t="str">
        <f>""</f>
        <v/>
      </c>
      <c r="CT118" t="str">
        <f>""</f>
        <v/>
      </c>
      <c r="CU118" t="str">
        <f>""</f>
        <v/>
      </c>
      <c r="CV118" t="str">
        <f>""</f>
        <v/>
      </c>
      <c r="CW118" t="str">
        <f>""</f>
        <v/>
      </c>
      <c r="CX118" t="str">
        <f>""</f>
        <v/>
      </c>
      <c r="CY118" t="str">
        <f>""</f>
        <v/>
      </c>
      <c r="CZ118" t="str">
        <f>""</f>
        <v/>
      </c>
      <c r="DA118" t="str">
        <f>""</f>
        <v/>
      </c>
      <c r="DB118" t="str">
        <f>""</f>
        <v/>
      </c>
      <c r="DC118" t="str">
        <f>""</f>
        <v/>
      </c>
      <c r="DD118" t="str">
        <f>""</f>
        <v/>
      </c>
      <c r="DE118" t="str">
        <f>""</f>
        <v/>
      </c>
      <c r="DF118" t="str">
        <f>""</f>
        <v/>
      </c>
      <c r="DG118" t="str">
        <f>""</f>
        <v/>
      </c>
      <c r="DH118" t="str">
        <f>""</f>
        <v/>
      </c>
      <c r="DI118" t="str">
        <f>""</f>
        <v/>
      </c>
      <c r="DJ118" t="str">
        <f>""</f>
        <v/>
      </c>
      <c r="DK118" t="str">
        <f>""</f>
        <v/>
      </c>
      <c r="DL118" t="str">
        <f>""</f>
        <v/>
      </c>
      <c r="DM118" t="str">
        <f>""</f>
        <v/>
      </c>
      <c r="DN118" t="str">
        <f>""</f>
        <v/>
      </c>
      <c r="DO118" t="str">
        <f>""</f>
        <v/>
      </c>
      <c r="DP118" t="str">
        <f>""</f>
        <v/>
      </c>
      <c r="DQ118" t="str">
        <f>""</f>
        <v/>
      </c>
      <c r="DR118" t="str">
        <f>""</f>
        <v/>
      </c>
      <c r="DS118" t="str">
        <f>""</f>
        <v/>
      </c>
      <c r="DT118" t="str">
        <f>""</f>
        <v/>
      </c>
      <c r="DU118" t="str">
        <f>""</f>
        <v/>
      </c>
    </row>
    <row r="119" spans="1:125" x14ac:dyDescent="0.25">
      <c r="A119" t="str">
        <f>"    Tata Motors Ltd"</f>
        <v xml:space="preserve">    Tata Motors Ltd</v>
      </c>
      <c r="B119" t="str">
        <f>"TTMT IN Equity"</f>
        <v>TTMT IN Equity</v>
      </c>
      <c r="C119" t="str">
        <f t="shared" si="6"/>
        <v>EZ021</v>
      </c>
      <c r="D119" t="str">
        <f t="shared" si="7"/>
        <v>BEST_EPS_NXT_YR</v>
      </c>
      <c r="E119" t="str">
        <f t="shared" si="8"/>
        <v>Dynamic</v>
      </c>
      <c r="F119">
        <f ca="1">IF(AND(ISNUMBER($F$626),$B$511=1),$F$626,HLOOKUP(INDIRECT(ADDRESS(2,COLUMN())),OFFSET($BN$2,0,0,ROW()-1,60),ROW()-1,FALSE))</f>
        <v>0.248</v>
      </c>
      <c r="G119">
        <f ca="1">IF(AND(ISNUMBER($G$626),$B$511=1),$G$626,HLOOKUP(INDIRECT(ADDRESS(2,COLUMN())),OFFSET($BN$2,0,0,ROW()-1,60),ROW()-1,FALSE))</f>
        <v>0.33</v>
      </c>
      <c r="H119">
        <f ca="1">IF(AND(ISNUMBER($H$626),$B$511=1),$H$626,HLOOKUP(INDIRECT(ADDRESS(2,COLUMN())),OFFSET($BN$2,0,0,ROW()-1,60),ROW()-1,FALSE))</f>
        <v>0.47</v>
      </c>
      <c r="I119">
        <f ca="1">IF(AND(ISNUMBER($I$626),$B$511=1),$I$626,HLOOKUP(INDIRECT(ADDRESS(2,COLUMN())),OFFSET($BN$2,0,0,ROW()-1,60),ROW()-1,FALSE))</f>
        <v>0.57599999999999996</v>
      </c>
      <c r="J119">
        <f ca="1">IF(AND(ISNUMBER($J$626),$B$511=1),$J$626,HLOOKUP(INDIRECT(ADDRESS(2,COLUMN())),OFFSET($BN$2,0,0,ROW()-1,60),ROW()-1,FALSE))</f>
        <v>0.75800000000000001</v>
      </c>
      <c r="K119">
        <f ca="1">IF(AND(ISNUMBER($K$626),$B$511=1),$K$626,HLOOKUP(INDIRECT(ADDRESS(2,COLUMN())),OFFSET($BN$2,0,0,ROW()-1,60),ROW()-1,FALSE))</f>
        <v>0.82199999999999995</v>
      </c>
      <c r="L119">
        <f ca="1">IF(AND(ISNUMBER($L$626),$B$511=1),$L$626,HLOOKUP(INDIRECT(ADDRESS(2,COLUMN())),OFFSET($BN$2,0,0,ROW()-1,60),ROW()-1,FALSE))</f>
        <v>0.76400000000000001</v>
      </c>
      <c r="M119">
        <f ca="1">IF(AND(ISNUMBER($M$626),$B$511=1),$M$626,HLOOKUP(INDIRECT(ADDRESS(2,COLUMN())),OFFSET($BN$2,0,0,ROW()-1,60),ROW()-1,FALSE))</f>
        <v>0.96699999999999997</v>
      </c>
      <c r="N119">
        <f ca="1">IF(AND(ISNUMBER($N$626),$B$511=1),$N$626,HLOOKUP(INDIRECT(ADDRESS(2,COLUMN())),OFFSET($BN$2,0,0,ROW()-1,60),ROW()-1,FALSE))</f>
        <v>0.90800000000000003</v>
      </c>
      <c r="O119" t="str">
        <f ca="1">IF(AND(ISNUMBER($O$626),$B$511=1),$O$626,HLOOKUP(INDIRECT(ADDRESS(2,COLUMN())),OFFSET($BN$2,0,0,ROW()-1,60),ROW()-1,FALSE))</f>
        <v/>
      </c>
      <c r="P119" t="str">
        <f ca="1">IF(AND(ISNUMBER($P$626),$B$511=1),$P$626,HLOOKUP(INDIRECT(ADDRESS(2,COLUMN())),OFFSET($BN$2,0,0,ROW()-1,60),ROW()-1,FALSE))</f>
        <v/>
      </c>
      <c r="Q119" t="str">
        <f ca="1">IF(AND(ISNUMBER($Q$626),$B$511=1),$Q$626,HLOOKUP(INDIRECT(ADDRESS(2,COLUMN())),OFFSET($BN$2,0,0,ROW()-1,60),ROW()-1,FALSE))</f>
        <v/>
      </c>
      <c r="R119" t="str">
        <f ca="1">IF(AND(ISNUMBER($R$626),$B$511=1),$R$626,HLOOKUP(INDIRECT(ADDRESS(2,COLUMN())),OFFSET($BN$2,0,0,ROW()-1,60),ROW()-1,FALSE))</f>
        <v/>
      </c>
      <c r="S119">
        <f ca="1">IF(AND(ISNUMBER($S$626),$B$511=1),$S$626,HLOOKUP(INDIRECT(ADDRESS(2,COLUMN())),OFFSET($BN$2,0,0,ROW()-1,60),ROW()-1,FALSE))</f>
        <v>1.5169999999999999</v>
      </c>
      <c r="T119">
        <f ca="1">IF(AND(ISNUMBER($T$626),$B$511=1),$T$626,HLOOKUP(INDIRECT(ADDRESS(2,COLUMN())),OFFSET($BN$2,0,0,ROW()-1,60),ROW()-1,FALSE))</f>
        <v>1.726</v>
      </c>
      <c r="U119">
        <f ca="1">IF(AND(ISNUMBER($U$626),$B$511=1),$U$626,HLOOKUP(INDIRECT(ADDRESS(2,COLUMN())),OFFSET($BN$2,0,0,ROW()-1,60),ROW()-1,FALSE))</f>
        <v>1.7150000000000001</v>
      </c>
      <c r="V119" t="str">
        <f ca="1">IF(AND(ISNUMBER($V$626),$B$511=1),$V$626,HLOOKUP(INDIRECT(ADDRESS(2,COLUMN())),OFFSET($BN$2,0,0,ROW()-1,60),ROW()-1,FALSE))</f>
        <v/>
      </c>
      <c r="W119" t="str">
        <f ca="1">IF(AND(ISNUMBER($W$626),$B$511=1),$W$626,HLOOKUP(INDIRECT(ADDRESS(2,COLUMN())),OFFSET($BN$2,0,0,ROW()-1,60),ROW()-1,FALSE))</f>
        <v/>
      </c>
      <c r="X119" t="str">
        <f ca="1">IF(AND(ISNUMBER($X$626),$B$511=1),$X$626,HLOOKUP(INDIRECT(ADDRESS(2,COLUMN())),OFFSET($BN$2,0,0,ROW()-1,60),ROW()-1,FALSE))</f>
        <v/>
      </c>
      <c r="Y119" t="str">
        <f ca="1">IF(AND(ISNUMBER($Y$626),$B$511=1),$Y$626,HLOOKUP(INDIRECT(ADDRESS(2,COLUMN())),OFFSET($BN$2,0,0,ROW()-1,60),ROW()-1,FALSE))</f>
        <v/>
      </c>
      <c r="Z119" t="str">
        <f ca="1">IF(AND(ISNUMBER($Z$626),$B$511=1),$Z$626,HLOOKUP(INDIRECT(ADDRESS(2,COLUMN())),OFFSET($BN$2,0,0,ROW()-1,60),ROW()-1,FALSE))</f>
        <v/>
      </c>
      <c r="AA119" t="str">
        <f ca="1">IF(AND(ISNUMBER($AA$626),$B$511=1),$AA$626,HLOOKUP(INDIRECT(ADDRESS(2,COLUMN())),OFFSET($BN$2,0,0,ROW()-1,60),ROW()-1,FALSE))</f>
        <v/>
      </c>
      <c r="AB119" t="str">
        <f ca="1">IF(AND(ISNUMBER($AB$626),$B$511=1),$AB$626,HLOOKUP(INDIRECT(ADDRESS(2,COLUMN())),OFFSET($BN$2,0,0,ROW()-1,60),ROW()-1,FALSE))</f>
        <v/>
      </c>
      <c r="AC119" t="str">
        <f ca="1">IF(AND(ISNUMBER($AC$626),$B$511=1),$AC$626,HLOOKUP(INDIRECT(ADDRESS(2,COLUMN())),OFFSET($BN$2,0,0,ROW()-1,60),ROW()-1,FALSE))</f>
        <v/>
      </c>
      <c r="AD119" t="str">
        <f ca="1">IF(AND(ISNUMBER($AD$626),$B$511=1),$AD$626,HLOOKUP(INDIRECT(ADDRESS(2,COLUMN())),OFFSET($BN$2,0,0,ROW()-1,60),ROW()-1,FALSE))</f>
        <v/>
      </c>
      <c r="AE119" t="str">
        <f ca="1">IF(AND(ISNUMBER($AE$626),$B$511=1),$AE$626,HLOOKUP(INDIRECT(ADDRESS(2,COLUMN())),OFFSET($BN$2,0,0,ROW()-1,60),ROW()-1,FALSE))</f>
        <v/>
      </c>
      <c r="AF119" t="str">
        <f ca="1">IF(AND(ISNUMBER($AF$626),$B$511=1),$AF$626,HLOOKUP(INDIRECT(ADDRESS(2,COLUMN())),OFFSET($BN$2,0,0,ROW()-1,60),ROW()-1,FALSE))</f>
        <v/>
      </c>
      <c r="AG119" t="str">
        <f ca="1">IF(AND(ISNUMBER($AG$626),$B$511=1),$AG$626,HLOOKUP(INDIRECT(ADDRESS(2,COLUMN())),OFFSET($BN$2,0,0,ROW()-1,60),ROW()-1,FALSE))</f>
        <v/>
      </c>
      <c r="AH119" t="str">
        <f ca="1">IF(AND(ISNUMBER($AH$626),$B$511=1),$AH$626,HLOOKUP(INDIRECT(ADDRESS(2,COLUMN())),OFFSET($BN$2,0,0,ROW()-1,60),ROW()-1,FALSE))</f>
        <v/>
      </c>
      <c r="AI119" t="str">
        <f ca="1">IF(AND(ISNUMBER($AI$626),$B$511=1),$AI$626,HLOOKUP(INDIRECT(ADDRESS(2,COLUMN())),OFFSET($BN$2,0,0,ROW()-1,60),ROW()-1,FALSE))</f>
        <v/>
      </c>
      <c r="AJ119" t="str">
        <f ca="1">IF(AND(ISNUMBER($AJ$626),$B$511=1),$AJ$626,HLOOKUP(INDIRECT(ADDRESS(2,COLUMN())),OFFSET($BN$2,0,0,ROW()-1,60),ROW()-1,FALSE))</f>
        <v/>
      </c>
      <c r="AK119" t="str">
        <f ca="1">IF(AND(ISNUMBER($AK$626),$B$511=1),$AK$626,HLOOKUP(INDIRECT(ADDRESS(2,COLUMN())),OFFSET($BN$2,0,0,ROW()-1,60),ROW()-1,FALSE))</f>
        <v/>
      </c>
      <c r="AL119" t="str">
        <f ca="1">IF(AND(ISNUMBER($AL$626),$B$511=1),$AL$626,HLOOKUP(INDIRECT(ADDRESS(2,COLUMN())),OFFSET($BN$2,0,0,ROW()-1,60),ROW()-1,FALSE))</f>
        <v/>
      </c>
      <c r="AM119" t="str">
        <f ca="1">IF(AND(ISNUMBER($AM$626),$B$511=1),$AM$626,HLOOKUP(INDIRECT(ADDRESS(2,COLUMN())),OFFSET($BN$2,0,0,ROW()-1,60),ROW()-1,FALSE))</f>
        <v/>
      </c>
      <c r="AN119" t="str">
        <f ca="1">IF(AND(ISNUMBER($AN$626),$B$511=1),$AN$626,HLOOKUP(INDIRECT(ADDRESS(2,COLUMN())),OFFSET($BN$2,0,0,ROW()-1,60),ROW()-1,FALSE))</f>
        <v/>
      </c>
      <c r="AO119" t="str">
        <f ca="1">IF(AND(ISNUMBER($AO$626),$B$511=1),$AO$626,HLOOKUP(INDIRECT(ADDRESS(2,COLUMN())),OFFSET($BN$2,0,0,ROW()-1,60),ROW()-1,FALSE))</f>
        <v/>
      </c>
      <c r="AP119" t="str">
        <f ca="1">IF(AND(ISNUMBER($AP$626),$B$511=1),$AP$626,HLOOKUP(INDIRECT(ADDRESS(2,COLUMN())),OFFSET($BN$2,0,0,ROW()-1,60),ROW()-1,FALSE))</f>
        <v/>
      </c>
      <c r="AQ119" t="str">
        <f ca="1">IF(AND(ISNUMBER($AQ$626),$B$511=1),$AQ$626,HLOOKUP(INDIRECT(ADDRESS(2,COLUMN())),OFFSET($BN$2,0,0,ROW()-1,60),ROW()-1,FALSE))</f>
        <v/>
      </c>
      <c r="AR119" t="str">
        <f ca="1">IF(AND(ISNUMBER($AR$626),$B$511=1),$AR$626,HLOOKUP(INDIRECT(ADDRESS(2,COLUMN())),OFFSET($BN$2,0,0,ROW()-1,60),ROW()-1,FALSE))</f>
        <v/>
      </c>
      <c r="AS119" t="str">
        <f ca="1">IF(AND(ISNUMBER($AS$626),$B$511=1),$AS$626,HLOOKUP(INDIRECT(ADDRESS(2,COLUMN())),OFFSET($BN$2,0,0,ROW()-1,60),ROW()-1,FALSE))</f>
        <v/>
      </c>
      <c r="AT119" t="str">
        <f ca="1">IF(AND(ISNUMBER($AT$626),$B$511=1),$AT$626,HLOOKUP(INDIRECT(ADDRESS(2,COLUMN())),OFFSET($BN$2,0,0,ROW()-1,60),ROW()-1,FALSE))</f>
        <v/>
      </c>
      <c r="AU119" t="str">
        <f ca="1">IF(AND(ISNUMBER($AU$626),$B$511=1),$AU$626,HLOOKUP(INDIRECT(ADDRESS(2,COLUMN())),OFFSET($BN$2,0,0,ROW()-1,60),ROW()-1,FALSE))</f>
        <v/>
      </c>
      <c r="AV119" t="str">
        <f ca="1">IF(AND(ISNUMBER($AV$626),$B$511=1),$AV$626,HLOOKUP(INDIRECT(ADDRESS(2,COLUMN())),OFFSET($BN$2,0,0,ROW()-1,60),ROW()-1,FALSE))</f>
        <v/>
      </c>
      <c r="AW119" t="str">
        <f ca="1">IF(AND(ISNUMBER($AW$626),$B$511=1),$AW$626,HLOOKUP(INDIRECT(ADDRESS(2,COLUMN())),OFFSET($BN$2,0,0,ROW()-1,60),ROW()-1,FALSE))</f>
        <v/>
      </c>
      <c r="AX119" t="str">
        <f ca="1">IF(AND(ISNUMBER($AX$626),$B$511=1),$AX$626,HLOOKUP(INDIRECT(ADDRESS(2,COLUMN())),OFFSET($BN$2,0,0,ROW()-1,60),ROW()-1,FALSE))</f>
        <v/>
      </c>
      <c r="AY119" t="str">
        <f ca="1">IF(AND(ISNUMBER($AY$626),$B$511=1),$AY$626,HLOOKUP(INDIRECT(ADDRESS(2,COLUMN())),OFFSET($BN$2,0,0,ROW()-1,60),ROW()-1,FALSE))</f>
        <v/>
      </c>
      <c r="AZ119" t="str">
        <f ca="1">IF(AND(ISNUMBER($AZ$626),$B$511=1),$AZ$626,HLOOKUP(INDIRECT(ADDRESS(2,COLUMN())),OFFSET($BN$2,0,0,ROW()-1,60),ROW()-1,FALSE))</f>
        <v/>
      </c>
      <c r="BA119" t="str">
        <f ca="1">IF(AND(ISNUMBER($BA$626),$B$511=1),$BA$626,HLOOKUP(INDIRECT(ADDRESS(2,COLUMN())),OFFSET($BN$2,0,0,ROW()-1,60),ROW()-1,FALSE))</f>
        <v/>
      </c>
      <c r="BB119" t="str">
        <f ca="1">IF(AND(ISNUMBER($BB$626),$B$511=1),$BB$626,HLOOKUP(INDIRECT(ADDRESS(2,COLUMN())),OFFSET($BN$2,0,0,ROW()-1,60),ROW()-1,FALSE))</f>
        <v/>
      </c>
      <c r="BC119" t="str">
        <f ca="1">IF(AND(ISNUMBER($BC$626),$B$511=1),$BC$626,HLOOKUP(INDIRECT(ADDRESS(2,COLUMN())),OFFSET($BN$2,0,0,ROW()-1,60),ROW()-1,FALSE))</f>
        <v/>
      </c>
      <c r="BD119" t="str">
        <f ca="1">IF(AND(ISNUMBER($BD$626),$B$511=1),$BD$626,HLOOKUP(INDIRECT(ADDRESS(2,COLUMN())),OFFSET($BN$2,0,0,ROW()-1,60),ROW()-1,FALSE))</f>
        <v/>
      </c>
      <c r="BE119" t="str">
        <f ca="1">IF(AND(ISNUMBER($BE$626),$B$511=1),$BE$626,HLOOKUP(INDIRECT(ADDRESS(2,COLUMN())),OFFSET($BN$2,0,0,ROW()-1,60),ROW()-1,FALSE))</f>
        <v/>
      </c>
      <c r="BF119" t="str">
        <f ca="1">IF(AND(ISNUMBER($BF$626),$B$511=1),$BF$626,HLOOKUP(INDIRECT(ADDRESS(2,COLUMN())),OFFSET($BN$2,0,0,ROW()-1,60),ROW()-1,FALSE))</f>
        <v/>
      </c>
      <c r="BG119" t="str">
        <f ca="1">IF(AND(ISNUMBER($BG$626),$B$511=1),$BG$626,HLOOKUP(INDIRECT(ADDRESS(2,COLUMN())),OFFSET($BN$2,0,0,ROW()-1,60),ROW()-1,FALSE))</f>
        <v/>
      </c>
      <c r="BH119" t="str">
        <f ca="1">IF(AND(ISNUMBER($BH$626),$B$511=1),$BH$626,HLOOKUP(INDIRECT(ADDRESS(2,COLUMN())),OFFSET($BN$2,0,0,ROW()-1,60),ROW()-1,FALSE))</f>
        <v/>
      </c>
      <c r="BI119" t="str">
        <f ca="1">IF(AND(ISNUMBER($BI$626),$B$511=1),$BI$626,HLOOKUP(INDIRECT(ADDRESS(2,COLUMN())),OFFSET($BN$2,0,0,ROW()-1,60),ROW()-1,FALSE))</f>
        <v/>
      </c>
      <c r="BJ119" t="str">
        <f ca="1">IF(AND(ISNUMBER($BJ$626),$B$511=1),$BJ$626,HLOOKUP(INDIRECT(ADDRESS(2,COLUMN())),OFFSET($BN$2,0,0,ROW()-1,60),ROW()-1,FALSE))</f>
        <v/>
      </c>
      <c r="BK119" t="str">
        <f ca="1">IF(AND(ISNUMBER($BK$626),$B$511=1),$BK$626,HLOOKUP(INDIRECT(ADDRESS(2,COLUMN())),OFFSET($BN$2,0,0,ROW()-1,60),ROW()-1,FALSE))</f>
        <v/>
      </c>
      <c r="BL119" t="str">
        <f ca="1">IF(AND(ISNUMBER($BL$626),$B$511=1),$BL$626,HLOOKUP(INDIRECT(ADDRESS(2,COLUMN())),OFFSET($BN$2,0,0,ROW()-1,60),ROW()-1,FALSE))</f>
        <v/>
      </c>
      <c r="BM119" t="str">
        <f ca="1">IF(AND(ISNUMBER($BM$626),$B$511=1),$BM$626,HLOOKUP(INDIRECT(ADDRESS(2,COLUMN())),OFFSET($BN$2,0,0,ROW()-1,60),ROW()-1,FALSE))</f>
        <v/>
      </c>
      <c r="BN119">
        <f>0.248</f>
        <v>0.248</v>
      </c>
      <c r="BO119">
        <f>0.33</f>
        <v>0.33</v>
      </c>
      <c r="BP119">
        <f>0.47</f>
        <v>0.47</v>
      </c>
      <c r="BQ119">
        <f>0.576</f>
        <v>0.57599999999999996</v>
      </c>
      <c r="BR119">
        <f>0.758</f>
        <v>0.75800000000000001</v>
      </c>
      <c r="BS119">
        <f>0.822</f>
        <v>0.82199999999999995</v>
      </c>
      <c r="BT119">
        <f>0.764</f>
        <v>0.76400000000000001</v>
      </c>
      <c r="BU119">
        <f>0.967</f>
        <v>0.96699999999999997</v>
      </c>
      <c r="BV119">
        <f>0.908</f>
        <v>0.90800000000000003</v>
      </c>
      <c r="BW119" t="str">
        <f>""</f>
        <v/>
      </c>
      <c r="BX119" t="str">
        <f>""</f>
        <v/>
      </c>
      <c r="BY119" t="str">
        <f>""</f>
        <v/>
      </c>
      <c r="BZ119" t="str">
        <f>""</f>
        <v/>
      </c>
      <c r="CA119">
        <f>1.517</f>
        <v>1.5169999999999999</v>
      </c>
      <c r="CB119">
        <f>1.726</f>
        <v>1.726</v>
      </c>
      <c r="CC119">
        <f>1.715</f>
        <v>1.7150000000000001</v>
      </c>
      <c r="CD119" t="str">
        <f>""</f>
        <v/>
      </c>
      <c r="CE119" t="str">
        <f>""</f>
        <v/>
      </c>
      <c r="CF119" t="str">
        <f>""</f>
        <v/>
      </c>
      <c r="CG119" t="str">
        <f>""</f>
        <v/>
      </c>
      <c r="CH119" t="str">
        <f>""</f>
        <v/>
      </c>
      <c r="CI119" t="str">
        <f>""</f>
        <v/>
      </c>
      <c r="CJ119" t="str">
        <f>""</f>
        <v/>
      </c>
      <c r="CK119" t="str">
        <f>""</f>
        <v/>
      </c>
      <c r="CL119" t="str">
        <f>""</f>
        <v/>
      </c>
      <c r="CM119" t="str">
        <f>""</f>
        <v/>
      </c>
      <c r="CN119" t="str">
        <f>""</f>
        <v/>
      </c>
      <c r="CO119" t="str">
        <f>""</f>
        <v/>
      </c>
      <c r="CP119" t="str">
        <f>""</f>
        <v/>
      </c>
      <c r="CQ119" t="str">
        <f>""</f>
        <v/>
      </c>
      <c r="CR119" t="str">
        <f>""</f>
        <v/>
      </c>
      <c r="CS119" t="str">
        <f>""</f>
        <v/>
      </c>
      <c r="CT119" t="str">
        <f>""</f>
        <v/>
      </c>
      <c r="CU119" t="str">
        <f>""</f>
        <v/>
      </c>
      <c r="CV119" t="str">
        <f>""</f>
        <v/>
      </c>
      <c r="CW119" t="str">
        <f>""</f>
        <v/>
      </c>
      <c r="CX119" t="str">
        <f>""</f>
        <v/>
      </c>
      <c r="CY119" t="str">
        <f>""</f>
        <v/>
      </c>
      <c r="CZ119" t="str">
        <f>""</f>
        <v/>
      </c>
      <c r="DA119" t="str">
        <f>""</f>
        <v/>
      </c>
      <c r="DB119" t="str">
        <f>""</f>
        <v/>
      </c>
      <c r="DC119" t="str">
        <f>""</f>
        <v/>
      </c>
      <c r="DD119" t="str">
        <f>""</f>
        <v/>
      </c>
      <c r="DE119" t="str">
        <f>""</f>
        <v/>
      </c>
      <c r="DF119" t="str">
        <f>""</f>
        <v/>
      </c>
      <c r="DG119" t="str">
        <f>""</f>
        <v/>
      </c>
      <c r="DH119" t="str">
        <f>""</f>
        <v/>
      </c>
      <c r="DI119" t="str">
        <f>""</f>
        <v/>
      </c>
      <c r="DJ119" t="str">
        <f>""</f>
        <v/>
      </c>
      <c r="DK119" t="str">
        <f>""</f>
        <v/>
      </c>
      <c r="DL119" t="str">
        <f>""</f>
        <v/>
      </c>
      <c r="DM119" t="str">
        <f>""</f>
        <v/>
      </c>
      <c r="DN119" t="str">
        <f>""</f>
        <v/>
      </c>
      <c r="DO119" t="str">
        <f>""</f>
        <v/>
      </c>
      <c r="DP119" t="str">
        <f>""</f>
        <v/>
      </c>
      <c r="DQ119" t="str">
        <f>""</f>
        <v/>
      </c>
      <c r="DR119" t="str">
        <f>""</f>
        <v/>
      </c>
      <c r="DS119" t="str">
        <f>""</f>
        <v/>
      </c>
      <c r="DT119" t="str">
        <f>""</f>
        <v/>
      </c>
      <c r="DU119" t="str">
        <f>""</f>
        <v/>
      </c>
    </row>
    <row r="120" spans="1:125" x14ac:dyDescent="0.25">
      <c r="A120" t="str">
        <f>"    Tesla Inc"</f>
        <v xml:space="preserve">    Tesla Inc</v>
      </c>
      <c r="B120" t="str">
        <f>"TSLA US Equity"</f>
        <v>TSLA US Equity</v>
      </c>
      <c r="C120" t="str">
        <f t="shared" si="6"/>
        <v>EZ021</v>
      </c>
      <c r="D120" t="str">
        <f t="shared" si="7"/>
        <v>BEST_EPS_NXT_YR</v>
      </c>
      <c r="E120" t="str">
        <f t="shared" si="8"/>
        <v>Dynamic</v>
      </c>
      <c r="F120">
        <f ca="1">IF(AND(ISNUMBER($F$627),$B$511=1),$F$627,HLOOKUP(INDIRECT(ADDRESS(2,COLUMN())),OFFSET($BN$2,0,0,ROW()-1,60),ROW()-1,FALSE))</f>
        <v>9.9090000000000007</v>
      </c>
      <c r="G120">
        <f ca="1">IF(AND(ISNUMBER($G$627),$B$511=1),$G$627,HLOOKUP(INDIRECT(ADDRESS(2,COLUMN())),OFFSET($BN$2,0,0,ROW()-1,60),ROW()-1,FALSE))</f>
        <v>11.417999999999999</v>
      </c>
      <c r="H120">
        <f ca="1">IF(AND(ISNUMBER($H$627),$B$511=1),$H$627,HLOOKUP(INDIRECT(ADDRESS(2,COLUMN())),OFFSET($BN$2,0,0,ROW()-1,60),ROW()-1,FALSE))</f>
        <v>9.5719999999999992</v>
      </c>
      <c r="I120">
        <f ca="1">IF(AND(ISNUMBER($I$627),$B$511=1),$I$627,HLOOKUP(INDIRECT(ADDRESS(2,COLUMN())),OFFSET($BN$2,0,0,ROW()-1,60),ROW()-1,FALSE))</f>
        <v>8.8859999999999992</v>
      </c>
      <c r="J120">
        <f ca="1">IF(AND(ISNUMBER($J$627),$B$511=1),$J$627,HLOOKUP(INDIRECT(ADDRESS(2,COLUMN())),OFFSET($BN$2,0,0,ROW()-1,60),ROW()-1,FALSE))</f>
        <v>8.891</v>
      </c>
      <c r="K120">
        <f ca="1">IF(AND(ISNUMBER($K$627),$B$511=1),$K$627,HLOOKUP(INDIRECT(ADDRESS(2,COLUMN())),OFFSET($BN$2,0,0,ROW()-1,60),ROW()-1,FALSE))</f>
        <v>11.195</v>
      </c>
      <c r="L120">
        <f ca="1">IF(AND(ISNUMBER($L$627),$B$511=1),$L$627,HLOOKUP(INDIRECT(ADDRESS(2,COLUMN())),OFFSET($BN$2,0,0,ROW()-1,60),ROW()-1,FALSE))</f>
        <v>13.946999999999999</v>
      </c>
      <c r="M120">
        <f ca="1">IF(AND(ISNUMBER($M$627),$B$511=1),$M$627,HLOOKUP(INDIRECT(ADDRESS(2,COLUMN())),OFFSET($BN$2,0,0,ROW()-1,60),ROW()-1,FALSE))</f>
        <v>12.282999999999999</v>
      </c>
      <c r="N120">
        <f ca="1">IF(AND(ISNUMBER($N$627),$B$511=1),$N$627,HLOOKUP(INDIRECT(ADDRESS(2,COLUMN())),OFFSET($BN$2,0,0,ROW()-1,60),ROW()-1,FALSE))</f>
        <v>11.776999999999999</v>
      </c>
      <c r="O120">
        <f ca="1">IF(AND(ISNUMBER($O$627),$B$511=1),$O$627,HLOOKUP(INDIRECT(ADDRESS(2,COLUMN())),OFFSET($BN$2,0,0,ROW()-1,60),ROW()-1,FALSE))</f>
        <v>10.042999999999999</v>
      </c>
      <c r="P120">
        <f ca="1">IF(AND(ISNUMBER($P$627),$B$511=1),$P$627,HLOOKUP(INDIRECT(ADDRESS(2,COLUMN())),OFFSET($BN$2,0,0,ROW()-1,60),ROW()-1,FALSE))</f>
        <v>15.023999999999999</v>
      </c>
      <c r="Q120">
        <f ca="1">IF(AND(ISNUMBER($Q$627),$B$511=1),$Q$627,HLOOKUP(INDIRECT(ADDRESS(2,COLUMN())),OFFSET($BN$2,0,0,ROW()-1,60),ROW()-1,FALSE))</f>
        <v>16.071999999999999</v>
      </c>
      <c r="R120">
        <f ca="1">IF(AND(ISNUMBER($R$627),$B$511=1),$R$627,HLOOKUP(INDIRECT(ADDRESS(2,COLUMN())),OFFSET($BN$2,0,0,ROW()-1,60),ROW()-1,FALSE))</f>
        <v>14.718999999999999</v>
      </c>
      <c r="S120">
        <f ca="1">IF(AND(ISNUMBER($S$627),$B$511=1),$S$627,HLOOKUP(INDIRECT(ADDRESS(2,COLUMN())),OFFSET($BN$2,0,0,ROW()-1,60),ROW()-1,FALSE))</f>
        <v>17.562999999999999</v>
      </c>
      <c r="T120">
        <f ca="1">IF(AND(ISNUMBER($T$627),$B$511=1),$T$627,HLOOKUP(INDIRECT(ADDRESS(2,COLUMN())),OFFSET($BN$2,0,0,ROW()-1,60),ROW()-1,FALSE))</f>
        <v>16.937000000000001</v>
      </c>
      <c r="U120">
        <f ca="1">IF(AND(ISNUMBER($U$627),$B$511=1),$U$627,HLOOKUP(INDIRECT(ADDRESS(2,COLUMN())),OFFSET($BN$2,0,0,ROW()-1,60),ROW()-1,FALSE))</f>
        <v>14.425000000000001</v>
      </c>
      <c r="V120">
        <f ca="1">IF(AND(ISNUMBER($V$627),$B$511=1),$V$627,HLOOKUP(INDIRECT(ADDRESS(2,COLUMN())),OFFSET($BN$2,0,0,ROW()-1,60),ROW()-1,FALSE))</f>
        <v>15.827</v>
      </c>
      <c r="W120">
        <f ca="1">IF(AND(ISNUMBER($W$627),$B$511=1),$W$627,HLOOKUP(INDIRECT(ADDRESS(2,COLUMN())),OFFSET($BN$2,0,0,ROW()-1,60),ROW()-1,FALSE))</f>
        <v>18.309999999999999</v>
      </c>
      <c r="X120">
        <f ca="1">IF(AND(ISNUMBER($X$627),$B$511=1),$X$627,HLOOKUP(INDIRECT(ADDRESS(2,COLUMN())),OFFSET($BN$2,0,0,ROW()-1,60),ROW()-1,FALSE))</f>
        <v>17.88</v>
      </c>
      <c r="Y120">
        <f ca="1">IF(AND(ISNUMBER($Y$627),$B$511=1),$Y$627,HLOOKUP(INDIRECT(ADDRESS(2,COLUMN())),OFFSET($BN$2,0,0,ROW()-1,60),ROW()-1,FALSE))</f>
        <v>16.454999999999998</v>
      </c>
      <c r="Z120">
        <f ca="1">IF(AND(ISNUMBER($Z$627),$B$511=1),$Z$627,HLOOKUP(INDIRECT(ADDRESS(2,COLUMN())),OFFSET($BN$2,0,0,ROW()-1,60),ROW()-1,FALSE))</f>
        <v>16.940000000000001</v>
      </c>
      <c r="AA120">
        <f ca="1">IF(AND(ISNUMBER($AA$627),$B$511=1),$AA$627,HLOOKUP(INDIRECT(ADDRESS(2,COLUMN())),OFFSET($BN$2,0,0,ROW()-1,60),ROW()-1,FALSE))</f>
        <v>16.88</v>
      </c>
      <c r="AB120">
        <f ca="1">IF(AND(ISNUMBER($AB$627),$B$511=1),$AB$627,HLOOKUP(INDIRECT(ADDRESS(2,COLUMN())),OFFSET($BN$2,0,0,ROW()-1,60),ROW()-1,FALSE))</f>
        <v>11.622999999999999</v>
      </c>
      <c r="AC120">
        <f ca="1">IF(AND(ISNUMBER($AC$627),$B$511=1),$AC$627,HLOOKUP(INDIRECT(ADDRESS(2,COLUMN())),OFFSET($BN$2,0,0,ROW()-1,60),ROW()-1,FALSE))</f>
        <v>7.98</v>
      </c>
      <c r="AD120">
        <f ca="1">IF(AND(ISNUMBER($AD$627),$B$511=1),$AD$627,HLOOKUP(INDIRECT(ADDRESS(2,COLUMN())),OFFSET($BN$2,0,0,ROW()-1,60),ROW()-1,FALSE))</f>
        <v>8.5649999999999995</v>
      </c>
      <c r="AE120">
        <f ca="1">IF(AND(ISNUMBER($AE$627),$B$511=1),$AE$627,HLOOKUP(INDIRECT(ADDRESS(2,COLUMN())),OFFSET($BN$2,0,0,ROW()-1,60),ROW()-1,FALSE))</f>
        <v>8.5250000000000004</v>
      </c>
      <c r="AF120">
        <f ca="1">IF(AND(ISNUMBER($AF$627),$B$511=1),$AF$627,HLOOKUP(INDIRECT(ADDRESS(2,COLUMN())),OFFSET($BN$2,0,0,ROW()-1,60),ROW()-1,FALSE))</f>
        <v>13.15</v>
      </c>
      <c r="AG120">
        <f ca="1">IF(AND(ISNUMBER($AG$627),$B$511=1),$AG$627,HLOOKUP(INDIRECT(ADDRESS(2,COLUMN())),OFFSET($BN$2,0,0,ROW()-1,60),ROW()-1,FALSE))</f>
        <v>12.75</v>
      </c>
      <c r="AH120" t="str">
        <f ca="1">IF(AND(ISNUMBER($AH$627),$B$511=1),$AH$627,HLOOKUP(INDIRECT(ADDRESS(2,COLUMN())),OFFSET($BN$2,0,0,ROW()-1,60),ROW()-1,FALSE))</f>
        <v/>
      </c>
      <c r="AI120" t="str">
        <f ca="1">IF(AND(ISNUMBER($AI$627),$B$511=1),$AI$627,HLOOKUP(INDIRECT(ADDRESS(2,COLUMN())),OFFSET($BN$2,0,0,ROW()-1,60),ROW()-1,FALSE))</f>
        <v/>
      </c>
      <c r="AJ120" t="str">
        <f ca="1">IF(AND(ISNUMBER($AJ$627),$B$511=1),$AJ$627,HLOOKUP(INDIRECT(ADDRESS(2,COLUMN())),OFFSET($BN$2,0,0,ROW()-1,60),ROW()-1,FALSE))</f>
        <v/>
      </c>
      <c r="AK120" t="str">
        <f ca="1">IF(AND(ISNUMBER($AK$627),$B$511=1),$AK$627,HLOOKUP(INDIRECT(ADDRESS(2,COLUMN())),OFFSET($BN$2,0,0,ROW()-1,60),ROW()-1,FALSE))</f>
        <v/>
      </c>
      <c r="AL120" t="str">
        <f ca="1">IF(AND(ISNUMBER($AL$627),$B$511=1),$AL$627,HLOOKUP(INDIRECT(ADDRESS(2,COLUMN())),OFFSET($BN$2,0,0,ROW()-1,60),ROW()-1,FALSE))</f>
        <v/>
      </c>
      <c r="AM120" t="str">
        <f ca="1">IF(AND(ISNUMBER($AM$627),$B$511=1),$AM$627,HLOOKUP(INDIRECT(ADDRESS(2,COLUMN())),OFFSET($BN$2,0,0,ROW()-1,60),ROW()-1,FALSE))</f>
        <v/>
      </c>
      <c r="AN120" t="str">
        <f ca="1">IF(AND(ISNUMBER($AN$627),$B$511=1),$AN$627,HLOOKUP(INDIRECT(ADDRESS(2,COLUMN())),OFFSET($BN$2,0,0,ROW()-1,60),ROW()-1,FALSE))</f>
        <v/>
      </c>
      <c r="AO120" t="str">
        <f ca="1">IF(AND(ISNUMBER($AO$627),$B$511=1),$AO$627,HLOOKUP(INDIRECT(ADDRESS(2,COLUMN())),OFFSET($BN$2,0,0,ROW()-1,60),ROW()-1,FALSE))</f>
        <v/>
      </c>
      <c r="AP120" t="str">
        <f ca="1">IF(AND(ISNUMBER($AP$627),$B$511=1),$AP$627,HLOOKUP(INDIRECT(ADDRESS(2,COLUMN())),OFFSET($BN$2,0,0,ROW()-1,60),ROW()-1,FALSE))</f>
        <v/>
      </c>
      <c r="AQ120" t="str">
        <f ca="1">IF(AND(ISNUMBER($AQ$627),$B$511=1),$AQ$627,HLOOKUP(INDIRECT(ADDRESS(2,COLUMN())),OFFSET($BN$2,0,0,ROW()-1,60),ROW()-1,FALSE))</f>
        <v/>
      </c>
      <c r="AR120" t="str">
        <f ca="1">IF(AND(ISNUMBER($AR$627),$B$511=1),$AR$627,HLOOKUP(INDIRECT(ADDRESS(2,COLUMN())),OFFSET($BN$2,0,0,ROW()-1,60),ROW()-1,FALSE))</f>
        <v/>
      </c>
      <c r="AS120" t="str">
        <f ca="1">IF(AND(ISNUMBER($AS$627),$B$511=1),$AS$627,HLOOKUP(INDIRECT(ADDRESS(2,COLUMN())),OFFSET($BN$2,0,0,ROW()-1,60),ROW()-1,FALSE))</f>
        <v/>
      </c>
      <c r="AT120" t="str">
        <f ca="1">IF(AND(ISNUMBER($AT$627),$B$511=1),$AT$627,HLOOKUP(INDIRECT(ADDRESS(2,COLUMN())),OFFSET($BN$2,0,0,ROW()-1,60),ROW()-1,FALSE))</f>
        <v/>
      </c>
      <c r="AU120" t="str">
        <f ca="1">IF(AND(ISNUMBER($AU$627),$B$511=1),$AU$627,HLOOKUP(INDIRECT(ADDRESS(2,COLUMN())),OFFSET($BN$2,0,0,ROW()-1,60),ROW()-1,FALSE))</f>
        <v/>
      </c>
      <c r="AV120" t="str">
        <f ca="1">IF(AND(ISNUMBER($AV$627),$B$511=1),$AV$627,HLOOKUP(INDIRECT(ADDRESS(2,COLUMN())),OFFSET($BN$2,0,0,ROW()-1,60),ROW()-1,FALSE))</f>
        <v/>
      </c>
      <c r="AW120" t="str">
        <f ca="1">IF(AND(ISNUMBER($AW$627),$B$511=1),$AW$627,HLOOKUP(INDIRECT(ADDRESS(2,COLUMN())),OFFSET($BN$2,0,0,ROW()-1,60),ROW()-1,FALSE))</f>
        <v/>
      </c>
      <c r="AX120" t="str">
        <f ca="1">IF(AND(ISNUMBER($AX$627),$B$511=1),$AX$627,HLOOKUP(INDIRECT(ADDRESS(2,COLUMN())),OFFSET($BN$2,0,0,ROW()-1,60),ROW()-1,FALSE))</f>
        <v/>
      </c>
      <c r="AY120" t="str">
        <f ca="1">IF(AND(ISNUMBER($AY$627),$B$511=1),$AY$627,HLOOKUP(INDIRECT(ADDRESS(2,COLUMN())),OFFSET($BN$2,0,0,ROW()-1,60),ROW()-1,FALSE))</f>
        <v/>
      </c>
      <c r="AZ120" t="str">
        <f ca="1">IF(AND(ISNUMBER($AZ$627),$B$511=1),$AZ$627,HLOOKUP(INDIRECT(ADDRESS(2,COLUMN())),OFFSET($BN$2,0,0,ROW()-1,60),ROW()-1,FALSE))</f>
        <v/>
      </c>
      <c r="BA120" t="str">
        <f ca="1">IF(AND(ISNUMBER($BA$627),$B$511=1),$BA$627,HLOOKUP(INDIRECT(ADDRESS(2,COLUMN())),OFFSET($BN$2,0,0,ROW()-1,60),ROW()-1,FALSE))</f>
        <v/>
      </c>
      <c r="BB120" t="str">
        <f ca="1">IF(AND(ISNUMBER($BB$627),$B$511=1),$BB$627,HLOOKUP(INDIRECT(ADDRESS(2,COLUMN())),OFFSET($BN$2,0,0,ROW()-1,60),ROW()-1,FALSE))</f>
        <v/>
      </c>
      <c r="BC120" t="str">
        <f ca="1">IF(AND(ISNUMBER($BC$627),$B$511=1),$BC$627,HLOOKUP(INDIRECT(ADDRESS(2,COLUMN())),OFFSET($BN$2,0,0,ROW()-1,60),ROW()-1,FALSE))</f>
        <v/>
      </c>
      <c r="BD120" t="str">
        <f ca="1">IF(AND(ISNUMBER($BD$627),$B$511=1),$BD$627,HLOOKUP(INDIRECT(ADDRESS(2,COLUMN())),OFFSET($BN$2,0,0,ROW()-1,60),ROW()-1,FALSE))</f>
        <v/>
      </c>
      <c r="BE120" t="str">
        <f ca="1">IF(AND(ISNUMBER($BE$627),$B$511=1),$BE$627,HLOOKUP(INDIRECT(ADDRESS(2,COLUMN())),OFFSET($BN$2,0,0,ROW()-1,60),ROW()-1,FALSE))</f>
        <v/>
      </c>
      <c r="BF120" t="str">
        <f ca="1">IF(AND(ISNUMBER($BF$627),$B$511=1),$BF$627,HLOOKUP(INDIRECT(ADDRESS(2,COLUMN())),OFFSET($BN$2,0,0,ROW()-1,60),ROW()-1,FALSE))</f>
        <v/>
      </c>
      <c r="BG120" t="str">
        <f ca="1">IF(AND(ISNUMBER($BG$627),$B$511=1),$BG$627,HLOOKUP(INDIRECT(ADDRESS(2,COLUMN())),OFFSET($BN$2,0,0,ROW()-1,60),ROW()-1,FALSE))</f>
        <v/>
      </c>
      <c r="BH120" t="str">
        <f ca="1">IF(AND(ISNUMBER($BH$627),$B$511=1),$BH$627,HLOOKUP(INDIRECT(ADDRESS(2,COLUMN())),OFFSET($BN$2,0,0,ROW()-1,60),ROW()-1,FALSE))</f>
        <v/>
      </c>
      <c r="BI120" t="str">
        <f ca="1">IF(AND(ISNUMBER($BI$627),$B$511=1),$BI$627,HLOOKUP(INDIRECT(ADDRESS(2,COLUMN())),OFFSET($BN$2,0,0,ROW()-1,60),ROW()-1,FALSE))</f>
        <v/>
      </c>
      <c r="BJ120" t="str">
        <f ca="1">IF(AND(ISNUMBER($BJ$627),$B$511=1),$BJ$627,HLOOKUP(INDIRECT(ADDRESS(2,COLUMN())),OFFSET($BN$2,0,0,ROW()-1,60),ROW()-1,FALSE))</f>
        <v/>
      </c>
      <c r="BK120" t="str">
        <f ca="1">IF(AND(ISNUMBER($BK$627),$B$511=1),$BK$627,HLOOKUP(INDIRECT(ADDRESS(2,COLUMN())),OFFSET($BN$2,0,0,ROW()-1,60),ROW()-1,FALSE))</f>
        <v/>
      </c>
      <c r="BL120" t="str">
        <f ca="1">IF(AND(ISNUMBER($BL$627),$B$511=1),$BL$627,HLOOKUP(INDIRECT(ADDRESS(2,COLUMN())),OFFSET($BN$2,0,0,ROW()-1,60),ROW()-1,FALSE))</f>
        <v/>
      </c>
      <c r="BM120" t="str">
        <f ca="1">IF(AND(ISNUMBER($BM$627),$B$511=1),$BM$627,HLOOKUP(INDIRECT(ADDRESS(2,COLUMN())),OFFSET($BN$2,0,0,ROW()-1,60),ROW()-1,FALSE))</f>
        <v/>
      </c>
      <c r="BN120">
        <f>9.909</f>
        <v>9.9090000000000007</v>
      </c>
      <c r="BO120">
        <f>11.418</f>
        <v>11.417999999999999</v>
      </c>
      <c r="BP120">
        <f>9.572</f>
        <v>9.5719999999999992</v>
      </c>
      <c r="BQ120">
        <f>8.886</f>
        <v>8.8859999999999992</v>
      </c>
      <c r="BR120">
        <f>8.891</f>
        <v>8.891</v>
      </c>
      <c r="BS120">
        <f>11.195</f>
        <v>11.195</v>
      </c>
      <c r="BT120">
        <f>13.947</f>
        <v>13.946999999999999</v>
      </c>
      <c r="BU120">
        <f>12.283</f>
        <v>12.282999999999999</v>
      </c>
      <c r="BV120">
        <f>11.777</f>
        <v>11.776999999999999</v>
      </c>
      <c r="BW120">
        <f>10.043</f>
        <v>10.042999999999999</v>
      </c>
      <c r="BX120">
        <f>15.024</f>
        <v>15.023999999999999</v>
      </c>
      <c r="BY120">
        <f>16.072</f>
        <v>16.071999999999999</v>
      </c>
      <c r="BZ120">
        <f>14.719</f>
        <v>14.718999999999999</v>
      </c>
      <c r="CA120">
        <f>17.563</f>
        <v>17.562999999999999</v>
      </c>
      <c r="CB120">
        <f>16.937</f>
        <v>16.937000000000001</v>
      </c>
      <c r="CC120">
        <f>14.425</f>
        <v>14.425000000000001</v>
      </c>
      <c r="CD120">
        <f>15.827</f>
        <v>15.827</v>
      </c>
      <c r="CE120">
        <f>18.31</f>
        <v>18.309999999999999</v>
      </c>
      <c r="CF120">
        <f>17.88</f>
        <v>17.88</v>
      </c>
      <c r="CG120">
        <f>16.455</f>
        <v>16.454999999999998</v>
      </c>
      <c r="CH120">
        <f>16.94</f>
        <v>16.940000000000001</v>
      </c>
      <c r="CI120">
        <f>16.88</f>
        <v>16.88</v>
      </c>
      <c r="CJ120">
        <f>11.623</f>
        <v>11.622999999999999</v>
      </c>
      <c r="CK120">
        <f>7.98</f>
        <v>7.98</v>
      </c>
      <c r="CL120">
        <f>8.565</f>
        <v>8.5649999999999995</v>
      </c>
      <c r="CM120">
        <f>8.525</f>
        <v>8.5250000000000004</v>
      </c>
      <c r="CN120">
        <f>13.15</f>
        <v>13.15</v>
      </c>
      <c r="CO120">
        <f>12.75</f>
        <v>12.75</v>
      </c>
      <c r="CP120" t="str">
        <f>""</f>
        <v/>
      </c>
      <c r="CQ120" t="str">
        <f>""</f>
        <v/>
      </c>
      <c r="CR120" t="str">
        <f>""</f>
        <v/>
      </c>
      <c r="CS120" t="str">
        <f>""</f>
        <v/>
      </c>
      <c r="CT120" t="str">
        <f>""</f>
        <v/>
      </c>
      <c r="CU120" t="str">
        <f>""</f>
        <v/>
      </c>
      <c r="CV120" t="str">
        <f>""</f>
        <v/>
      </c>
      <c r="CW120" t="str">
        <f>""</f>
        <v/>
      </c>
      <c r="CX120" t="str">
        <f>""</f>
        <v/>
      </c>
      <c r="CY120" t="str">
        <f>""</f>
        <v/>
      </c>
      <c r="CZ120" t="str">
        <f>""</f>
        <v/>
      </c>
      <c r="DA120" t="str">
        <f>""</f>
        <v/>
      </c>
      <c r="DB120" t="str">
        <f>""</f>
        <v/>
      </c>
      <c r="DC120" t="str">
        <f>""</f>
        <v/>
      </c>
      <c r="DD120" t="str">
        <f>""</f>
        <v/>
      </c>
      <c r="DE120" t="str">
        <f>""</f>
        <v/>
      </c>
      <c r="DF120" t="str">
        <f>""</f>
        <v/>
      </c>
      <c r="DG120" t="str">
        <f>""</f>
        <v/>
      </c>
      <c r="DH120" t="str">
        <f>""</f>
        <v/>
      </c>
      <c r="DI120" t="str">
        <f>""</f>
        <v/>
      </c>
      <c r="DJ120" t="str">
        <f>""</f>
        <v/>
      </c>
      <c r="DK120" t="str">
        <f>""</f>
        <v/>
      </c>
      <c r="DL120" t="str">
        <f>""</f>
        <v/>
      </c>
      <c r="DM120" t="str">
        <f>""</f>
        <v/>
      </c>
      <c r="DN120" t="str">
        <f>""</f>
        <v/>
      </c>
      <c r="DO120" t="str">
        <f>""</f>
        <v/>
      </c>
      <c r="DP120" t="str">
        <f>""</f>
        <v/>
      </c>
      <c r="DQ120" t="str">
        <f>""</f>
        <v/>
      </c>
      <c r="DR120" t="str">
        <f>""</f>
        <v/>
      </c>
      <c r="DS120" t="str">
        <f>""</f>
        <v/>
      </c>
      <c r="DT120" t="str">
        <f>""</f>
        <v/>
      </c>
      <c r="DU120" t="str">
        <f>""</f>
        <v/>
      </c>
    </row>
    <row r="121" spans="1:125" x14ac:dyDescent="0.25">
      <c r="A121" t="str">
        <f>"    Tianjin Faw Xiali Automobile Co Ltd"</f>
        <v xml:space="preserve">    Tianjin Faw Xiali Automobile Co Ltd</v>
      </c>
      <c r="B121" t="str">
        <f>"000927 CH Equity"</f>
        <v>000927 CH Equity</v>
      </c>
      <c r="C121" t="str">
        <f t="shared" si="6"/>
        <v>EZ021</v>
      </c>
      <c r="D121" t="str">
        <f t="shared" si="7"/>
        <v>BEST_EPS_NXT_YR</v>
      </c>
      <c r="E121" t="str">
        <f t="shared" si="8"/>
        <v>Dynamic</v>
      </c>
      <c r="F121" t="str">
        <f ca="1">IF(AND(ISNUMBER($F$628),$B$511=1),$F$628,HLOOKUP(INDIRECT(ADDRESS(2,COLUMN())),OFFSET($BN$2,0,0,ROW()-1,60),ROW()-1,FALSE))</f>
        <v/>
      </c>
      <c r="G121" t="str">
        <f ca="1">IF(AND(ISNUMBER($G$628),$B$511=1),$G$628,HLOOKUP(INDIRECT(ADDRESS(2,COLUMN())),OFFSET($BN$2,0,0,ROW()-1,60),ROW()-1,FALSE))</f>
        <v/>
      </c>
      <c r="H121" t="str">
        <f ca="1">IF(AND(ISNUMBER($H$628),$B$511=1),$H$628,HLOOKUP(INDIRECT(ADDRESS(2,COLUMN())),OFFSET($BN$2,0,0,ROW()-1,60),ROW()-1,FALSE))</f>
        <v/>
      </c>
      <c r="I121" t="str">
        <f ca="1">IF(AND(ISNUMBER($I$628),$B$511=1),$I$628,HLOOKUP(INDIRECT(ADDRESS(2,COLUMN())),OFFSET($BN$2,0,0,ROW()-1,60),ROW()-1,FALSE))</f>
        <v/>
      </c>
      <c r="J121" t="str">
        <f ca="1">IF(AND(ISNUMBER($J$628),$B$511=1),$J$628,HLOOKUP(INDIRECT(ADDRESS(2,COLUMN())),OFFSET($BN$2,0,0,ROW()-1,60),ROW()-1,FALSE))</f>
        <v/>
      </c>
      <c r="K121" t="str">
        <f ca="1">IF(AND(ISNUMBER($K$628),$B$511=1),$K$628,HLOOKUP(INDIRECT(ADDRESS(2,COLUMN())),OFFSET($BN$2,0,0,ROW()-1,60),ROW()-1,FALSE))</f>
        <v/>
      </c>
      <c r="L121" t="str">
        <f ca="1">IF(AND(ISNUMBER($L$628),$B$511=1),$L$628,HLOOKUP(INDIRECT(ADDRESS(2,COLUMN())),OFFSET($BN$2,0,0,ROW()-1,60),ROW()-1,FALSE))</f>
        <v/>
      </c>
      <c r="M121" t="str">
        <f ca="1">IF(AND(ISNUMBER($M$628),$B$511=1),$M$628,HLOOKUP(INDIRECT(ADDRESS(2,COLUMN())),OFFSET($BN$2,0,0,ROW()-1,60),ROW()-1,FALSE))</f>
        <v/>
      </c>
      <c r="N121" t="str">
        <f ca="1">IF(AND(ISNUMBER($N$628),$B$511=1),$N$628,HLOOKUP(INDIRECT(ADDRESS(2,COLUMN())),OFFSET($BN$2,0,0,ROW()-1,60),ROW()-1,FALSE))</f>
        <v/>
      </c>
      <c r="O121" t="str">
        <f ca="1">IF(AND(ISNUMBER($O$628),$B$511=1),$O$628,HLOOKUP(INDIRECT(ADDRESS(2,COLUMN())),OFFSET($BN$2,0,0,ROW()-1,60),ROW()-1,FALSE))</f>
        <v/>
      </c>
      <c r="P121" t="str">
        <f ca="1">IF(AND(ISNUMBER($P$628),$B$511=1),$P$628,HLOOKUP(INDIRECT(ADDRESS(2,COLUMN())),OFFSET($BN$2,0,0,ROW()-1,60),ROW()-1,FALSE))</f>
        <v/>
      </c>
      <c r="Q121" t="str">
        <f ca="1">IF(AND(ISNUMBER($Q$628),$B$511=1),$Q$628,HLOOKUP(INDIRECT(ADDRESS(2,COLUMN())),OFFSET($BN$2,0,0,ROW()-1,60),ROW()-1,FALSE))</f>
        <v/>
      </c>
      <c r="R121" t="str">
        <f ca="1">IF(AND(ISNUMBER($R$628),$B$511=1),$R$628,HLOOKUP(INDIRECT(ADDRESS(2,COLUMN())),OFFSET($BN$2,0,0,ROW()-1,60),ROW()-1,FALSE))</f>
        <v/>
      </c>
      <c r="S121" t="str">
        <f ca="1">IF(AND(ISNUMBER($S$628),$B$511=1),$S$628,HLOOKUP(INDIRECT(ADDRESS(2,COLUMN())),OFFSET($BN$2,0,0,ROW()-1,60),ROW()-1,FALSE))</f>
        <v/>
      </c>
      <c r="T121" t="str">
        <f ca="1">IF(AND(ISNUMBER($T$628),$B$511=1),$T$628,HLOOKUP(INDIRECT(ADDRESS(2,COLUMN())),OFFSET($BN$2,0,0,ROW()-1,60),ROW()-1,FALSE))</f>
        <v/>
      </c>
      <c r="U121" t="str">
        <f ca="1">IF(AND(ISNUMBER($U$628),$B$511=1),$U$628,HLOOKUP(INDIRECT(ADDRESS(2,COLUMN())),OFFSET($BN$2,0,0,ROW()-1,60),ROW()-1,FALSE))</f>
        <v/>
      </c>
      <c r="V121" t="str">
        <f ca="1">IF(AND(ISNUMBER($V$628),$B$511=1),$V$628,HLOOKUP(INDIRECT(ADDRESS(2,COLUMN())),OFFSET($BN$2,0,0,ROW()-1,60),ROW()-1,FALSE))</f>
        <v/>
      </c>
      <c r="W121" t="str">
        <f ca="1">IF(AND(ISNUMBER($W$628),$B$511=1),$W$628,HLOOKUP(INDIRECT(ADDRESS(2,COLUMN())),OFFSET($BN$2,0,0,ROW()-1,60),ROW()-1,FALSE))</f>
        <v/>
      </c>
      <c r="X121" t="str">
        <f ca="1">IF(AND(ISNUMBER($X$628),$B$511=1),$X$628,HLOOKUP(INDIRECT(ADDRESS(2,COLUMN())),OFFSET($BN$2,0,0,ROW()-1,60),ROW()-1,FALSE))</f>
        <v/>
      </c>
      <c r="Y121" t="str">
        <f ca="1">IF(AND(ISNUMBER($Y$628),$B$511=1),$Y$628,HLOOKUP(INDIRECT(ADDRESS(2,COLUMN())),OFFSET($BN$2,0,0,ROW()-1,60),ROW()-1,FALSE))</f>
        <v/>
      </c>
      <c r="Z121" t="str">
        <f ca="1">IF(AND(ISNUMBER($Z$628),$B$511=1),$Z$628,HLOOKUP(INDIRECT(ADDRESS(2,COLUMN())),OFFSET($BN$2,0,0,ROW()-1,60),ROW()-1,FALSE))</f>
        <v/>
      </c>
      <c r="AA121" t="str">
        <f ca="1">IF(AND(ISNUMBER($AA$628),$B$511=1),$AA$628,HLOOKUP(INDIRECT(ADDRESS(2,COLUMN())),OFFSET($BN$2,0,0,ROW()-1,60),ROW()-1,FALSE))</f>
        <v/>
      </c>
      <c r="AB121" t="str">
        <f ca="1">IF(AND(ISNUMBER($AB$628),$B$511=1),$AB$628,HLOOKUP(INDIRECT(ADDRESS(2,COLUMN())),OFFSET($BN$2,0,0,ROW()-1,60),ROW()-1,FALSE))</f>
        <v/>
      </c>
      <c r="AC121" t="str">
        <f ca="1">IF(AND(ISNUMBER($AC$628),$B$511=1),$AC$628,HLOOKUP(INDIRECT(ADDRESS(2,COLUMN())),OFFSET($BN$2,0,0,ROW()-1,60),ROW()-1,FALSE))</f>
        <v/>
      </c>
      <c r="AD121" t="str">
        <f ca="1">IF(AND(ISNUMBER($AD$628),$B$511=1),$AD$628,HLOOKUP(INDIRECT(ADDRESS(2,COLUMN())),OFFSET($BN$2,0,0,ROW()-1,60),ROW()-1,FALSE))</f>
        <v/>
      </c>
      <c r="AE121" t="str">
        <f ca="1">IF(AND(ISNUMBER($AE$628),$B$511=1),$AE$628,HLOOKUP(INDIRECT(ADDRESS(2,COLUMN())),OFFSET($BN$2,0,0,ROW()-1,60),ROW()-1,FALSE))</f>
        <v/>
      </c>
      <c r="AF121" t="str">
        <f ca="1">IF(AND(ISNUMBER($AF$628),$B$511=1),$AF$628,HLOOKUP(INDIRECT(ADDRESS(2,COLUMN())),OFFSET($BN$2,0,0,ROW()-1,60),ROW()-1,FALSE))</f>
        <v/>
      </c>
      <c r="AG121" t="str">
        <f ca="1">IF(AND(ISNUMBER($AG$628),$B$511=1),$AG$628,HLOOKUP(INDIRECT(ADDRESS(2,COLUMN())),OFFSET($BN$2,0,0,ROW()-1,60),ROW()-1,FALSE))</f>
        <v/>
      </c>
      <c r="AH121" t="str">
        <f ca="1">IF(AND(ISNUMBER($AH$628),$B$511=1),$AH$628,HLOOKUP(INDIRECT(ADDRESS(2,COLUMN())),OFFSET($BN$2,0,0,ROW()-1,60),ROW()-1,FALSE))</f>
        <v/>
      </c>
      <c r="AI121" t="str">
        <f ca="1">IF(AND(ISNUMBER($AI$628),$B$511=1),$AI$628,HLOOKUP(INDIRECT(ADDRESS(2,COLUMN())),OFFSET($BN$2,0,0,ROW()-1,60),ROW()-1,FALSE))</f>
        <v/>
      </c>
      <c r="AJ121" t="str">
        <f ca="1">IF(AND(ISNUMBER($AJ$628),$B$511=1),$AJ$628,HLOOKUP(INDIRECT(ADDRESS(2,COLUMN())),OFFSET($BN$2,0,0,ROW()-1,60),ROW()-1,FALSE))</f>
        <v/>
      </c>
      <c r="AK121" t="str">
        <f ca="1">IF(AND(ISNUMBER($AK$628),$B$511=1),$AK$628,HLOOKUP(INDIRECT(ADDRESS(2,COLUMN())),OFFSET($BN$2,0,0,ROW()-1,60),ROW()-1,FALSE))</f>
        <v/>
      </c>
      <c r="AL121" t="str">
        <f ca="1">IF(AND(ISNUMBER($AL$628),$B$511=1),$AL$628,HLOOKUP(INDIRECT(ADDRESS(2,COLUMN())),OFFSET($BN$2,0,0,ROW()-1,60),ROW()-1,FALSE))</f>
        <v/>
      </c>
      <c r="AM121" t="str">
        <f ca="1">IF(AND(ISNUMBER($AM$628),$B$511=1),$AM$628,HLOOKUP(INDIRECT(ADDRESS(2,COLUMN())),OFFSET($BN$2,0,0,ROW()-1,60),ROW()-1,FALSE))</f>
        <v/>
      </c>
      <c r="AN121" t="str">
        <f ca="1">IF(AND(ISNUMBER($AN$628),$B$511=1),$AN$628,HLOOKUP(INDIRECT(ADDRESS(2,COLUMN())),OFFSET($BN$2,0,0,ROW()-1,60),ROW()-1,FALSE))</f>
        <v/>
      </c>
      <c r="AO121" t="str">
        <f ca="1">IF(AND(ISNUMBER($AO$628),$B$511=1),$AO$628,HLOOKUP(INDIRECT(ADDRESS(2,COLUMN())),OFFSET($BN$2,0,0,ROW()-1,60),ROW()-1,FALSE))</f>
        <v/>
      </c>
      <c r="AP121" t="str">
        <f ca="1">IF(AND(ISNUMBER($AP$628),$B$511=1),$AP$628,HLOOKUP(INDIRECT(ADDRESS(2,COLUMN())),OFFSET($BN$2,0,0,ROW()-1,60),ROW()-1,FALSE))</f>
        <v/>
      </c>
      <c r="AQ121" t="str">
        <f ca="1">IF(AND(ISNUMBER($AQ$628),$B$511=1),$AQ$628,HLOOKUP(INDIRECT(ADDRESS(2,COLUMN())),OFFSET($BN$2,0,0,ROW()-1,60),ROW()-1,FALSE))</f>
        <v/>
      </c>
      <c r="AR121" t="str">
        <f ca="1">IF(AND(ISNUMBER($AR$628),$B$511=1),$AR$628,HLOOKUP(INDIRECT(ADDRESS(2,COLUMN())),OFFSET($BN$2,0,0,ROW()-1,60),ROW()-1,FALSE))</f>
        <v/>
      </c>
      <c r="AS121" t="str">
        <f ca="1">IF(AND(ISNUMBER($AS$628),$B$511=1),$AS$628,HLOOKUP(INDIRECT(ADDRESS(2,COLUMN())),OFFSET($BN$2,0,0,ROW()-1,60),ROW()-1,FALSE))</f>
        <v/>
      </c>
      <c r="AT121" t="str">
        <f ca="1">IF(AND(ISNUMBER($AT$628),$B$511=1),$AT$628,HLOOKUP(INDIRECT(ADDRESS(2,COLUMN())),OFFSET($BN$2,0,0,ROW()-1,60),ROW()-1,FALSE))</f>
        <v/>
      </c>
      <c r="AU121" t="str">
        <f ca="1">IF(AND(ISNUMBER($AU$628),$B$511=1),$AU$628,HLOOKUP(INDIRECT(ADDRESS(2,COLUMN())),OFFSET($BN$2,0,0,ROW()-1,60),ROW()-1,FALSE))</f>
        <v/>
      </c>
      <c r="AV121" t="str">
        <f ca="1">IF(AND(ISNUMBER($AV$628),$B$511=1),$AV$628,HLOOKUP(INDIRECT(ADDRESS(2,COLUMN())),OFFSET($BN$2,0,0,ROW()-1,60),ROW()-1,FALSE))</f>
        <v/>
      </c>
      <c r="AW121" t="str">
        <f ca="1">IF(AND(ISNUMBER($AW$628),$B$511=1),$AW$628,HLOOKUP(INDIRECT(ADDRESS(2,COLUMN())),OFFSET($BN$2,0,0,ROW()-1,60),ROW()-1,FALSE))</f>
        <v/>
      </c>
      <c r="AX121" t="str">
        <f ca="1">IF(AND(ISNUMBER($AX$628),$B$511=1),$AX$628,HLOOKUP(INDIRECT(ADDRESS(2,COLUMN())),OFFSET($BN$2,0,0,ROW()-1,60),ROW()-1,FALSE))</f>
        <v/>
      </c>
      <c r="AY121" t="str">
        <f ca="1">IF(AND(ISNUMBER($AY$628),$B$511=1),$AY$628,HLOOKUP(INDIRECT(ADDRESS(2,COLUMN())),OFFSET($BN$2,0,0,ROW()-1,60),ROW()-1,FALSE))</f>
        <v/>
      </c>
      <c r="AZ121" t="str">
        <f ca="1">IF(AND(ISNUMBER($AZ$628),$B$511=1),$AZ$628,HLOOKUP(INDIRECT(ADDRESS(2,COLUMN())),OFFSET($BN$2,0,0,ROW()-1,60),ROW()-1,FALSE))</f>
        <v/>
      </c>
      <c r="BA121" t="str">
        <f ca="1">IF(AND(ISNUMBER($BA$628),$B$511=1),$BA$628,HLOOKUP(INDIRECT(ADDRESS(2,COLUMN())),OFFSET($BN$2,0,0,ROW()-1,60),ROW()-1,FALSE))</f>
        <v/>
      </c>
      <c r="BB121" t="str">
        <f ca="1">IF(AND(ISNUMBER($BB$628),$B$511=1),$BB$628,HLOOKUP(INDIRECT(ADDRESS(2,COLUMN())),OFFSET($BN$2,0,0,ROW()-1,60),ROW()-1,FALSE))</f>
        <v/>
      </c>
      <c r="BC121" t="str">
        <f ca="1">IF(AND(ISNUMBER($BC$628),$B$511=1),$BC$628,HLOOKUP(INDIRECT(ADDRESS(2,COLUMN())),OFFSET($BN$2,0,0,ROW()-1,60),ROW()-1,FALSE))</f>
        <v/>
      </c>
      <c r="BD121" t="str">
        <f ca="1">IF(AND(ISNUMBER($BD$628),$B$511=1),$BD$628,HLOOKUP(INDIRECT(ADDRESS(2,COLUMN())),OFFSET($BN$2,0,0,ROW()-1,60),ROW()-1,FALSE))</f>
        <v/>
      </c>
      <c r="BE121" t="str">
        <f ca="1">IF(AND(ISNUMBER($BE$628),$B$511=1),$BE$628,HLOOKUP(INDIRECT(ADDRESS(2,COLUMN())),OFFSET($BN$2,0,0,ROW()-1,60),ROW()-1,FALSE))</f>
        <v/>
      </c>
      <c r="BF121" t="str">
        <f ca="1">IF(AND(ISNUMBER($BF$628),$B$511=1),$BF$628,HLOOKUP(INDIRECT(ADDRESS(2,COLUMN())),OFFSET($BN$2,0,0,ROW()-1,60),ROW()-1,FALSE))</f>
        <v/>
      </c>
      <c r="BG121" t="str">
        <f ca="1">IF(AND(ISNUMBER($BG$628),$B$511=1),$BG$628,HLOOKUP(INDIRECT(ADDRESS(2,COLUMN())),OFFSET($BN$2,0,0,ROW()-1,60),ROW()-1,FALSE))</f>
        <v/>
      </c>
      <c r="BH121" t="str">
        <f ca="1">IF(AND(ISNUMBER($BH$628),$B$511=1),$BH$628,HLOOKUP(INDIRECT(ADDRESS(2,COLUMN())),OFFSET($BN$2,0,0,ROW()-1,60),ROW()-1,FALSE))</f>
        <v/>
      </c>
      <c r="BI121" t="str">
        <f ca="1">IF(AND(ISNUMBER($BI$628),$B$511=1),$BI$628,HLOOKUP(INDIRECT(ADDRESS(2,COLUMN())),OFFSET($BN$2,0,0,ROW()-1,60),ROW()-1,FALSE))</f>
        <v/>
      </c>
      <c r="BJ121" t="str">
        <f ca="1">IF(AND(ISNUMBER($BJ$628),$B$511=1),$BJ$628,HLOOKUP(INDIRECT(ADDRESS(2,COLUMN())),OFFSET($BN$2,0,0,ROW()-1,60),ROW()-1,FALSE))</f>
        <v/>
      </c>
      <c r="BK121" t="str">
        <f ca="1">IF(AND(ISNUMBER($BK$628),$B$511=1),$BK$628,HLOOKUP(INDIRECT(ADDRESS(2,COLUMN())),OFFSET($BN$2,0,0,ROW()-1,60),ROW()-1,FALSE))</f>
        <v/>
      </c>
      <c r="BL121" t="str">
        <f ca="1">IF(AND(ISNUMBER($BL$628),$B$511=1),$BL$628,HLOOKUP(INDIRECT(ADDRESS(2,COLUMN())),OFFSET($BN$2,0,0,ROW()-1,60),ROW()-1,FALSE))</f>
        <v/>
      </c>
      <c r="BM121" t="str">
        <f ca="1">IF(AND(ISNUMBER($BM$628),$B$511=1),$BM$628,HLOOKUP(INDIRECT(ADDRESS(2,COLUMN())),OFFSET($BN$2,0,0,ROW()-1,60),ROW()-1,FALSE))</f>
        <v/>
      </c>
      <c r="BN121" t="str">
        <f>""</f>
        <v/>
      </c>
      <c r="BO121" t="str">
        <f>""</f>
        <v/>
      </c>
      <c r="BP121" t="str">
        <f>""</f>
        <v/>
      </c>
      <c r="BQ121" t="str">
        <f>""</f>
        <v/>
      </c>
      <c r="BR121" t="str">
        <f>""</f>
        <v/>
      </c>
      <c r="BS121" t="str">
        <f>""</f>
        <v/>
      </c>
      <c r="BT121" t="str">
        <f>""</f>
        <v/>
      </c>
      <c r="BU121" t="str">
        <f>""</f>
        <v/>
      </c>
      <c r="BV121" t="str">
        <f>""</f>
        <v/>
      </c>
      <c r="BW121" t="str">
        <f>""</f>
        <v/>
      </c>
      <c r="BX121" t="str">
        <f>""</f>
        <v/>
      </c>
      <c r="BY121" t="str">
        <f>""</f>
        <v/>
      </c>
      <c r="BZ121" t="str">
        <f>""</f>
        <v/>
      </c>
      <c r="CA121" t="str">
        <f>""</f>
        <v/>
      </c>
      <c r="CB121" t="str">
        <f>""</f>
        <v/>
      </c>
      <c r="CC121" t="str">
        <f>""</f>
        <v/>
      </c>
      <c r="CD121" t="str">
        <f>""</f>
        <v/>
      </c>
      <c r="CE121" t="str">
        <f>""</f>
        <v/>
      </c>
      <c r="CF121" t="str">
        <f>""</f>
        <v/>
      </c>
      <c r="CG121" t="str">
        <f>""</f>
        <v/>
      </c>
      <c r="CH121" t="str">
        <f>""</f>
        <v/>
      </c>
      <c r="CI121" t="str">
        <f>""</f>
        <v/>
      </c>
      <c r="CJ121" t="str">
        <f>""</f>
        <v/>
      </c>
      <c r="CK121" t="str">
        <f>""</f>
        <v/>
      </c>
      <c r="CL121" t="str">
        <f>""</f>
        <v/>
      </c>
      <c r="CM121" t="str">
        <f>""</f>
        <v/>
      </c>
      <c r="CN121" t="str">
        <f>""</f>
        <v/>
      </c>
      <c r="CO121" t="str">
        <f>""</f>
        <v/>
      </c>
      <c r="CP121" t="str">
        <f>""</f>
        <v/>
      </c>
      <c r="CQ121" t="str">
        <f>""</f>
        <v/>
      </c>
      <c r="CR121" t="str">
        <f>""</f>
        <v/>
      </c>
      <c r="CS121" t="str">
        <f>""</f>
        <v/>
      </c>
      <c r="CT121" t="str">
        <f>""</f>
        <v/>
      </c>
      <c r="CU121" t="str">
        <f>""</f>
        <v/>
      </c>
      <c r="CV121" t="str">
        <f>""</f>
        <v/>
      </c>
      <c r="CW121" t="str">
        <f>""</f>
        <v/>
      </c>
      <c r="CX121" t="str">
        <f>""</f>
        <v/>
      </c>
      <c r="CY121" t="str">
        <f>""</f>
        <v/>
      </c>
      <c r="CZ121" t="str">
        <f>""</f>
        <v/>
      </c>
      <c r="DA121" t="str">
        <f>""</f>
        <v/>
      </c>
      <c r="DB121" t="str">
        <f>""</f>
        <v/>
      </c>
      <c r="DC121" t="str">
        <f>""</f>
        <v/>
      </c>
      <c r="DD121" t="str">
        <f>""</f>
        <v/>
      </c>
      <c r="DE121" t="str">
        <f>""</f>
        <v/>
      </c>
      <c r="DF121" t="str">
        <f>""</f>
        <v/>
      </c>
      <c r="DG121" t="str">
        <f>""</f>
        <v/>
      </c>
      <c r="DH121" t="str">
        <f>""</f>
        <v/>
      </c>
      <c r="DI121" t="str">
        <f>""</f>
        <v/>
      </c>
      <c r="DJ121" t="str">
        <f>""</f>
        <v/>
      </c>
      <c r="DK121" t="str">
        <f>""</f>
        <v/>
      </c>
      <c r="DL121" t="str">
        <f>""</f>
        <v/>
      </c>
      <c r="DM121" t="str">
        <f>""</f>
        <v/>
      </c>
      <c r="DN121" t="str">
        <f>""</f>
        <v/>
      </c>
      <c r="DO121" t="str">
        <f>""</f>
        <v/>
      </c>
      <c r="DP121" t="str">
        <f>""</f>
        <v/>
      </c>
      <c r="DQ121" t="str">
        <f>""</f>
        <v/>
      </c>
      <c r="DR121" t="str">
        <f>""</f>
        <v/>
      </c>
      <c r="DS121" t="str">
        <f>""</f>
        <v/>
      </c>
      <c r="DT121" t="str">
        <f>""</f>
        <v/>
      </c>
      <c r="DU121" t="str">
        <f>""</f>
        <v/>
      </c>
    </row>
    <row r="122" spans="1:125" x14ac:dyDescent="0.25">
      <c r="A122" t="str">
        <f>"    Tofas Turk Otomobil Fabrikasi AS"</f>
        <v xml:space="preserve">    Tofas Turk Otomobil Fabrikasi AS</v>
      </c>
      <c r="B122" t="str">
        <f>"TOASOTRY EO Equity"</f>
        <v>TOASOTRY EO Equity</v>
      </c>
      <c r="C122" t="str">
        <f t="shared" si="6"/>
        <v>EZ021</v>
      </c>
      <c r="D122" t="str">
        <f t="shared" si="7"/>
        <v>BEST_EPS_NXT_YR</v>
      </c>
      <c r="E122" t="str">
        <f t="shared" si="8"/>
        <v>Dynamic</v>
      </c>
      <c r="F122">
        <f ca="1">IF(AND(ISNUMBER($F$629),$B$511=1),$F$629,HLOOKUP(INDIRECT(ADDRESS(2,COLUMN())),OFFSET($BN$2,0,0,ROW()-1,60),ROW()-1,FALSE))</f>
        <v>0.68300000000000005</v>
      </c>
      <c r="G122">
        <f ca="1">IF(AND(ISNUMBER($G$629),$B$511=1),$G$629,HLOOKUP(INDIRECT(ADDRESS(2,COLUMN())),OFFSET($BN$2,0,0,ROW()-1,60),ROW()-1,FALSE))</f>
        <v>0.72299999999999998</v>
      </c>
      <c r="H122">
        <f ca="1">IF(AND(ISNUMBER($H$629),$B$511=1),$H$629,HLOOKUP(INDIRECT(ADDRESS(2,COLUMN())),OFFSET($BN$2,0,0,ROW()-1,60),ROW()-1,FALSE))</f>
        <v>0.55800000000000005</v>
      </c>
      <c r="I122">
        <f ca="1">IF(AND(ISNUMBER($I$629),$B$511=1),$I$629,HLOOKUP(INDIRECT(ADDRESS(2,COLUMN())),OFFSET($BN$2,0,0,ROW()-1,60),ROW()-1,FALSE))</f>
        <v>0.73099999999999998</v>
      </c>
      <c r="J122">
        <f ca="1">IF(AND(ISNUMBER($J$629),$B$511=1),$J$629,HLOOKUP(INDIRECT(ADDRESS(2,COLUMN())),OFFSET($BN$2,0,0,ROW()-1,60),ROW()-1,FALSE))</f>
        <v>0.84299999999999997</v>
      </c>
      <c r="K122">
        <f ca="1">IF(AND(ISNUMBER($K$629),$B$511=1),$K$629,HLOOKUP(INDIRECT(ADDRESS(2,COLUMN())),OFFSET($BN$2,0,0,ROW()-1,60),ROW()-1,FALSE))</f>
        <v>0.89400000000000002</v>
      </c>
      <c r="L122">
        <f ca="1">IF(AND(ISNUMBER($L$629),$B$511=1),$L$629,HLOOKUP(INDIRECT(ADDRESS(2,COLUMN())),OFFSET($BN$2,0,0,ROW()-1,60),ROW()-1,FALSE))</f>
        <v>0.93600000000000005</v>
      </c>
      <c r="M122">
        <f ca="1">IF(AND(ISNUMBER($M$629),$B$511=1),$M$629,HLOOKUP(INDIRECT(ADDRESS(2,COLUMN())),OFFSET($BN$2,0,0,ROW()-1,60),ROW()-1,FALSE))</f>
        <v>0.95899999999999996</v>
      </c>
      <c r="N122">
        <f ca="1">IF(AND(ISNUMBER($N$629),$B$511=1),$N$629,HLOOKUP(INDIRECT(ADDRESS(2,COLUMN())),OFFSET($BN$2,0,0,ROW()-1,60),ROW()-1,FALSE))</f>
        <v>0.81399999999999995</v>
      </c>
      <c r="O122">
        <f ca="1">IF(AND(ISNUMBER($O$629),$B$511=1),$O$629,HLOOKUP(INDIRECT(ADDRESS(2,COLUMN())),OFFSET($BN$2,0,0,ROW()-1,60),ROW()-1,FALSE))</f>
        <v>0.79400000000000004</v>
      </c>
      <c r="P122">
        <f ca="1">IF(AND(ISNUMBER($P$629),$B$511=1),$P$629,HLOOKUP(INDIRECT(ADDRESS(2,COLUMN())),OFFSET($BN$2,0,0,ROW()-1,60),ROW()-1,FALSE))</f>
        <v>0.83399999999999996</v>
      </c>
      <c r="Q122">
        <f ca="1">IF(AND(ISNUMBER($Q$629),$B$511=1),$Q$629,HLOOKUP(INDIRECT(ADDRESS(2,COLUMN())),OFFSET($BN$2,0,0,ROW()-1,60),ROW()-1,FALSE))</f>
        <v>0.85099999999999998</v>
      </c>
      <c r="R122" t="str">
        <f ca="1">IF(AND(ISNUMBER($R$629),$B$511=1),$R$629,HLOOKUP(INDIRECT(ADDRESS(2,COLUMN())),OFFSET($BN$2,0,0,ROW()-1,60),ROW()-1,FALSE))</f>
        <v/>
      </c>
      <c r="S122" t="str">
        <f ca="1">IF(AND(ISNUMBER($S$629),$B$511=1),$S$629,HLOOKUP(INDIRECT(ADDRESS(2,COLUMN())),OFFSET($BN$2,0,0,ROW()-1,60),ROW()-1,FALSE))</f>
        <v/>
      </c>
      <c r="T122" t="str">
        <f ca="1">IF(AND(ISNUMBER($T$629),$B$511=1),$T$629,HLOOKUP(INDIRECT(ADDRESS(2,COLUMN())),OFFSET($BN$2,0,0,ROW()-1,60),ROW()-1,FALSE))</f>
        <v/>
      </c>
      <c r="U122" t="str">
        <f ca="1">IF(AND(ISNUMBER($U$629),$B$511=1),$U$629,HLOOKUP(INDIRECT(ADDRESS(2,COLUMN())),OFFSET($BN$2,0,0,ROW()-1,60),ROW()-1,FALSE))</f>
        <v/>
      </c>
      <c r="V122" t="str">
        <f ca="1">IF(AND(ISNUMBER($V$629),$B$511=1),$V$629,HLOOKUP(INDIRECT(ADDRESS(2,COLUMN())),OFFSET($BN$2,0,0,ROW()-1,60),ROW()-1,FALSE))</f>
        <v/>
      </c>
      <c r="W122" t="str">
        <f ca="1">IF(AND(ISNUMBER($W$629),$B$511=1),$W$629,HLOOKUP(INDIRECT(ADDRESS(2,COLUMN())),OFFSET($BN$2,0,0,ROW()-1,60),ROW()-1,FALSE))</f>
        <v/>
      </c>
      <c r="X122" t="str">
        <f ca="1">IF(AND(ISNUMBER($X$629),$B$511=1),$X$629,HLOOKUP(INDIRECT(ADDRESS(2,COLUMN())),OFFSET($BN$2,0,0,ROW()-1,60),ROW()-1,FALSE))</f>
        <v/>
      </c>
      <c r="Y122" t="str">
        <f ca="1">IF(AND(ISNUMBER($Y$629),$B$511=1),$Y$629,HLOOKUP(INDIRECT(ADDRESS(2,COLUMN())),OFFSET($BN$2,0,0,ROW()-1,60),ROW()-1,FALSE))</f>
        <v/>
      </c>
      <c r="Z122" t="str">
        <f ca="1">IF(AND(ISNUMBER($Z$629),$B$511=1),$Z$629,HLOOKUP(INDIRECT(ADDRESS(2,COLUMN())),OFFSET($BN$2,0,0,ROW()-1,60),ROW()-1,FALSE))</f>
        <v/>
      </c>
      <c r="AA122" t="str">
        <f ca="1">IF(AND(ISNUMBER($AA$629),$B$511=1),$AA$629,HLOOKUP(INDIRECT(ADDRESS(2,COLUMN())),OFFSET($BN$2,0,0,ROW()-1,60),ROW()-1,FALSE))</f>
        <v/>
      </c>
      <c r="AB122" t="str">
        <f ca="1">IF(AND(ISNUMBER($AB$629),$B$511=1),$AB$629,HLOOKUP(INDIRECT(ADDRESS(2,COLUMN())),OFFSET($BN$2,0,0,ROW()-1,60),ROW()-1,FALSE))</f>
        <v/>
      </c>
      <c r="AC122" t="str">
        <f ca="1">IF(AND(ISNUMBER($AC$629),$B$511=1),$AC$629,HLOOKUP(INDIRECT(ADDRESS(2,COLUMN())),OFFSET($BN$2,0,0,ROW()-1,60),ROW()-1,FALSE))</f>
        <v/>
      </c>
      <c r="AD122" t="str">
        <f ca="1">IF(AND(ISNUMBER($AD$629),$B$511=1),$AD$629,HLOOKUP(INDIRECT(ADDRESS(2,COLUMN())),OFFSET($BN$2,0,0,ROW()-1,60),ROW()-1,FALSE))</f>
        <v/>
      </c>
      <c r="AE122" t="str">
        <f ca="1">IF(AND(ISNUMBER($AE$629),$B$511=1),$AE$629,HLOOKUP(INDIRECT(ADDRESS(2,COLUMN())),OFFSET($BN$2,0,0,ROW()-1,60),ROW()-1,FALSE))</f>
        <v/>
      </c>
      <c r="AF122" t="str">
        <f ca="1">IF(AND(ISNUMBER($AF$629),$B$511=1),$AF$629,HLOOKUP(INDIRECT(ADDRESS(2,COLUMN())),OFFSET($BN$2,0,0,ROW()-1,60),ROW()-1,FALSE))</f>
        <v/>
      </c>
      <c r="AG122" t="str">
        <f ca="1">IF(AND(ISNUMBER($AG$629),$B$511=1),$AG$629,HLOOKUP(INDIRECT(ADDRESS(2,COLUMN())),OFFSET($BN$2,0,0,ROW()-1,60),ROW()-1,FALSE))</f>
        <v/>
      </c>
      <c r="AH122" t="str">
        <f ca="1">IF(AND(ISNUMBER($AH$629),$B$511=1),$AH$629,HLOOKUP(INDIRECT(ADDRESS(2,COLUMN())),OFFSET($BN$2,0,0,ROW()-1,60),ROW()-1,FALSE))</f>
        <v/>
      </c>
      <c r="AI122" t="str">
        <f ca="1">IF(AND(ISNUMBER($AI$629),$B$511=1),$AI$629,HLOOKUP(INDIRECT(ADDRESS(2,COLUMN())),OFFSET($BN$2,0,0,ROW()-1,60),ROW()-1,FALSE))</f>
        <v/>
      </c>
      <c r="AJ122" t="str">
        <f ca="1">IF(AND(ISNUMBER($AJ$629),$B$511=1),$AJ$629,HLOOKUP(INDIRECT(ADDRESS(2,COLUMN())),OFFSET($BN$2,0,0,ROW()-1,60),ROW()-1,FALSE))</f>
        <v/>
      </c>
      <c r="AK122" t="str">
        <f ca="1">IF(AND(ISNUMBER($AK$629),$B$511=1),$AK$629,HLOOKUP(INDIRECT(ADDRESS(2,COLUMN())),OFFSET($BN$2,0,0,ROW()-1,60),ROW()-1,FALSE))</f>
        <v/>
      </c>
      <c r="AL122" t="str">
        <f ca="1">IF(AND(ISNUMBER($AL$629),$B$511=1),$AL$629,HLOOKUP(INDIRECT(ADDRESS(2,COLUMN())),OFFSET($BN$2,0,0,ROW()-1,60),ROW()-1,FALSE))</f>
        <v/>
      </c>
      <c r="AM122" t="str">
        <f ca="1">IF(AND(ISNUMBER($AM$629),$B$511=1),$AM$629,HLOOKUP(INDIRECT(ADDRESS(2,COLUMN())),OFFSET($BN$2,0,0,ROW()-1,60),ROW()-1,FALSE))</f>
        <v/>
      </c>
      <c r="AN122" t="str">
        <f ca="1">IF(AND(ISNUMBER($AN$629),$B$511=1),$AN$629,HLOOKUP(INDIRECT(ADDRESS(2,COLUMN())),OFFSET($BN$2,0,0,ROW()-1,60),ROW()-1,FALSE))</f>
        <v/>
      </c>
      <c r="AO122" t="str">
        <f ca="1">IF(AND(ISNUMBER($AO$629),$B$511=1),$AO$629,HLOOKUP(INDIRECT(ADDRESS(2,COLUMN())),OFFSET($BN$2,0,0,ROW()-1,60),ROW()-1,FALSE))</f>
        <v/>
      </c>
      <c r="AP122" t="str">
        <f ca="1">IF(AND(ISNUMBER($AP$629),$B$511=1),$AP$629,HLOOKUP(INDIRECT(ADDRESS(2,COLUMN())),OFFSET($BN$2,0,0,ROW()-1,60),ROW()-1,FALSE))</f>
        <v/>
      </c>
      <c r="AQ122" t="str">
        <f ca="1">IF(AND(ISNUMBER($AQ$629),$B$511=1),$AQ$629,HLOOKUP(INDIRECT(ADDRESS(2,COLUMN())),OFFSET($BN$2,0,0,ROW()-1,60),ROW()-1,FALSE))</f>
        <v/>
      </c>
      <c r="AR122" t="str">
        <f ca="1">IF(AND(ISNUMBER($AR$629),$B$511=1),$AR$629,HLOOKUP(INDIRECT(ADDRESS(2,COLUMN())),OFFSET($BN$2,0,0,ROW()-1,60),ROW()-1,FALSE))</f>
        <v/>
      </c>
      <c r="AS122" t="str">
        <f ca="1">IF(AND(ISNUMBER($AS$629),$B$511=1),$AS$629,HLOOKUP(INDIRECT(ADDRESS(2,COLUMN())),OFFSET($BN$2,0,0,ROW()-1,60),ROW()-1,FALSE))</f>
        <v/>
      </c>
      <c r="AT122" t="str">
        <f ca="1">IF(AND(ISNUMBER($AT$629),$B$511=1),$AT$629,HLOOKUP(INDIRECT(ADDRESS(2,COLUMN())),OFFSET($BN$2,0,0,ROW()-1,60),ROW()-1,FALSE))</f>
        <v/>
      </c>
      <c r="AU122" t="str">
        <f ca="1">IF(AND(ISNUMBER($AU$629),$B$511=1),$AU$629,HLOOKUP(INDIRECT(ADDRESS(2,COLUMN())),OFFSET($BN$2,0,0,ROW()-1,60),ROW()-1,FALSE))</f>
        <v/>
      </c>
      <c r="AV122" t="str">
        <f ca="1">IF(AND(ISNUMBER($AV$629),$B$511=1),$AV$629,HLOOKUP(INDIRECT(ADDRESS(2,COLUMN())),OFFSET($BN$2,0,0,ROW()-1,60),ROW()-1,FALSE))</f>
        <v/>
      </c>
      <c r="AW122" t="str">
        <f ca="1">IF(AND(ISNUMBER($AW$629),$B$511=1),$AW$629,HLOOKUP(INDIRECT(ADDRESS(2,COLUMN())),OFFSET($BN$2,0,0,ROW()-1,60),ROW()-1,FALSE))</f>
        <v/>
      </c>
      <c r="AX122" t="str">
        <f ca="1">IF(AND(ISNUMBER($AX$629),$B$511=1),$AX$629,HLOOKUP(INDIRECT(ADDRESS(2,COLUMN())),OFFSET($BN$2,0,0,ROW()-1,60),ROW()-1,FALSE))</f>
        <v/>
      </c>
      <c r="AY122" t="str">
        <f ca="1">IF(AND(ISNUMBER($AY$629),$B$511=1),$AY$629,HLOOKUP(INDIRECT(ADDRESS(2,COLUMN())),OFFSET($BN$2,0,0,ROW()-1,60),ROW()-1,FALSE))</f>
        <v/>
      </c>
      <c r="AZ122" t="str">
        <f ca="1">IF(AND(ISNUMBER($AZ$629),$B$511=1),$AZ$629,HLOOKUP(INDIRECT(ADDRESS(2,COLUMN())),OFFSET($BN$2,0,0,ROW()-1,60),ROW()-1,FALSE))</f>
        <v/>
      </c>
      <c r="BA122" t="str">
        <f ca="1">IF(AND(ISNUMBER($BA$629),$B$511=1),$BA$629,HLOOKUP(INDIRECT(ADDRESS(2,COLUMN())),OFFSET($BN$2,0,0,ROW()-1,60),ROW()-1,FALSE))</f>
        <v/>
      </c>
      <c r="BB122" t="str">
        <f ca="1">IF(AND(ISNUMBER($BB$629),$B$511=1),$BB$629,HLOOKUP(INDIRECT(ADDRESS(2,COLUMN())),OFFSET($BN$2,0,0,ROW()-1,60),ROW()-1,FALSE))</f>
        <v/>
      </c>
      <c r="BC122" t="str">
        <f ca="1">IF(AND(ISNUMBER($BC$629),$B$511=1),$BC$629,HLOOKUP(INDIRECT(ADDRESS(2,COLUMN())),OFFSET($BN$2,0,0,ROW()-1,60),ROW()-1,FALSE))</f>
        <v/>
      </c>
      <c r="BD122" t="str">
        <f ca="1">IF(AND(ISNUMBER($BD$629),$B$511=1),$BD$629,HLOOKUP(INDIRECT(ADDRESS(2,COLUMN())),OFFSET($BN$2,0,0,ROW()-1,60),ROW()-1,FALSE))</f>
        <v/>
      </c>
      <c r="BE122" t="str">
        <f ca="1">IF(AND(ISNUMBER($BE$629),$B$511=1),$BE$629,HLOOKUP(INDIRECT(ADDRESS(2,COLUMN())),OFFSET($BN$2,0,0,ROW()-1,60),ROW()-1,FALSE))</f>
        <v/>
      </c>
      <c r="BF122" t="str">
        <f ca="1">IF(AND(ISNUMBER($BF$629),$B$511=1),$BF$629,HLOOKUP(INDIRECT(ADDRESS(2,COLUMN())),OFFSET($BN$2,0,0,ROW()-1,60),ROW()-1,FALSE))</f>
        <v/>
      </c>
      <c r="BG122" t="str">
        <f ca="1">IF(AND(ISNUMBER($BG$629),$B$511=1),$BG$629,HLOOKUP(INDIRECT(ADDRESS(2,COLUMN())),OFFSET($BN$2,0,0,ROW()-1,60),ROW()-1,FALSE))</f>
        <v/>
      </c>
      <c r="BH122" t="str">
        <f ca="1">IF(AND(ISNUMBER($BH$629),$B$511=1),$BH$629,HLOOKUP(INDIRECT(ADDRESS(2,COLUMN())),OFFSET($BN$2,0,0,ROW()-1,60),ROW()-1,FALSE))</f>
        <v/>
      </c>
      <c r="BI122" t="str">
        <f ca="1">IF(AND(ISNUMBER($BI$629),$B$511=1),$BI$629,HLOOKUP(INDIRECT(ADDRESS(2,COLUMN())),OFFSET($BN$2,0,0,ROW()-1,60),ROW()-1,FALSE))</f>
        <v/>
      </c>
      <c r="BJ122" t="str">
        <f ca="1">IF(AND(ISNUMBER($BJ$629),$B$511=1),$BJ$629,HLOOKUP(INDIRECT(ADDRESS(2,COLUMN())),OFFSET($BN$2,0,0,ROW()-1,60),ROW()-1,FALSE))</f>
        <v/>
      </c>
      <c r="BK122" t="str">
        <f ca="1">IF(AND(ISNUMBER($BK$629),$B$511=1),$BK$629,HLOOKUP(INDIRECT(ADDRESS(2,COLUMN())),OFFSET($BN$2,0,0,ROW()-1,60),ROW()-1,FALSE))</f>
        <v/>
      </c>
      <c r="BL122" t="str">
        <f ca="1">IF(AND(ISNUMBER($BL$629),$B$511=1),$BL$629,HLOOKUP(INDIRECT(ADDRESS(2,COLUMN())),OFFSET($BN$2,0,0,ROW()-1,60),ROW()-1,FALSE))</f>
        <v/>
      </c>
      <c r="BM122" t="str">
        <f ca="1">IF(AND(ISNUMBER($BM$629),$B$511=1),$BM$629,HLOOKUP(INDIRECT(ADDRESS(2,COLUMN())),OFFSET($BN$2,0,0,ROW()-1,60),ROW()-1,FALSE))</f>
        <v/>
      </c>
      <c r="BN122">
        <f>0.683</f>
        <v>0.68300000000000005</v>
      </c>
      <c r="BO122">
        <f>0.723</f>
        <v>0.72299999999999998</v>
      </c>
      <c r="BP122">
        <f>0.558</f>
        <v>0.55800000000000005</v>
      </c>
      <c r="BQ122">
        <f>0.731</f>
        <v>0.73099999999999998</v>
      </c>
      <c r="BR122">
        <f>0.843</f>
        <v>0.84299999999999997</v>
      </c>
      <c r="BS122">
        <f>0.894</f>
        <v>0.89400000000000002</v>
      </c>
      <c r="BT122">
        <f>0.936</f>
        <v>0.93600000000000005</v>
      </c>
      <c r="BU122">
        <f>0.959</f>
        <v>0.95899999999999996</v>
      </c>
      <c r="BV122">
        <f>0.814</f>
        <v>0.81399999999999995</v>
      </c>
      <c r="BW122">
        <f>0.794</f>
        <v>0.79400000000000004</v>
      </c>
      <c r="BX122">
        <f>0.834</f>
        <v>0.83399999999999996</v>
      </c>
      <c r="BY122">
        <f>0.851</f>
        <v>0.85099999999999998</v>
      </c>
      <c r="BZ122" t="str">
        <f>""</f>
        <v/>
      </c>
      <c r="CA122" t="str">
        <f>""</f>
        <v/>
      </c>
      <c r="CB122" t="str">
        <f>""</f>
        <v/>
      </c>
      <c r="CC122" t="str">
        <f>""</f>
        <v/>
      </c>
      <c r="CD122" t="str">
        <f>""</f>
        <v/>
      </c>
      <c r="CE122" t="str">
        <f>""</f>
        <v/>
      </c>
      <c r="CF122" t="str">
        <f>""</f>
        <v/>
      </c>
      <c r="CG122" t="str">
        <f>""</f>
        <v/>
      </c>
      <c r="CH122" t="str">
        <f>""</f>
        <v/>
      </c>
      <c r="CI122" t="str">
        <f>""</f>
        <v/>
      </c>
      <c r="CJ122" t="str">
        <f>""</f>
        <v/>
      </c>
      <c r="CK122" t="str">
        <f>""</f>
        <v/>
      </c>
      <c r="CL122" t="str">
        <f>""</f>
        <v/>
      </c>
      <c r="CM122" t="str">
        <f>""</f>
        <v/>
      </c>
      <c r="CN122" t="str">
        <f>""</f>
        <v/>
      </c>
      <c r="CO122" t="str">
        <f>""</f>
        <v/>
      </c>
      <c r="CP122" t="str">
        <f>""</f>
        <v/>
      </c>
      <c r="CQ122" t="str">
        <f>""</f>
        <v/>
      </c>
      <c r="CR122" t="str">
        <f>""</f>
        <v/>
      </c>
      <c r="CS122" t="str">
        <f>""</f>
        <v/>
      </c>
      <c r="CT122" t="str">
        <f>""</f>
        <v/>
      </c>
      <c r="CU122" t="str">
        <f>""</f>
        <v/>
      </c>
      <c r="CV122" t="str">
        <f>""</f>
        <v/>
      </c>
      <c r="CW122" t="str">
        <f>""</f>
        <v/>
      </c>
      <c r="CX122" t="str">
        <f>""</f>
        <v/>
      </c>
      <c r="CY122" t="str">
        <f>""</f>
        <v/>
      </c>
      <c r="CZ122" t="str">
        <f>""</f>
        <v/>
      </c>
      <c r="DA122" t="str">
        <f>""</f>
        <v/>
      </c>
      <c r="DB122" t="str">
        <f>""</f>
        <v/>
      </c>
      <c r="DC122" t="str">
        <f>""</f>
        <v/>
      </c>
      <c r="DD122" t="str">
        <f>""</f>
        <v/>
      </c>
      <c r="DE122" t="str">
        <f>""</f>
        <v/>
      </c>
      <c r="DF122" t="str">
        <f>""</f>
        <v/>
      </c>
      <c r="DG122" t="str">
        <f>""</f>
        <v/>
      </c>
      <c r="DH122" t="str">
        <f>""</f>
        <v/>
      </c>
      <c r="DI122" t="str">
        <f>""</f>
        <v/>
      </c>
      <c r="DJ122" t="str">
        <f>""</f>
        <v/>
      </c>
      <c r="DK122" t="str">
        <f>""</f>
        <v/>
      </c>
      <c r="DL122" t="str">
        <f>""</f>
        <v/>
      </c>
      <c r="DM122" t="str">
        <f>""</f>
        <v/>
      </c>
      <c r="DN122" t="str">
        <f>""</f>
        <v/>
      </c>
      <c r="DO122" t="str">
        <f>""</f>
        <v/>
      </c>
      <c r="DP122" t="str">
        <f>""</f>
        <v/>
      </c>
      <c r="DQ122" t="str">
        <f>""</f>
        <v/>
      </c>
      <c r="DR122" t="str">
        <f>""</f>
        <v/>
      </c>
      <c r="DS122" t="str">
        <f>""</f>
        <v/>
      </c>
      <c r="DT122" t="str">
        <f>""</f>
        <v/>
      </c>
      <c r="DU122" t="str">
        <f>""</f>
        <v/>
      </c>
    </row>
    <row r="123" spans="1:125" x14ac:dyDescent="0.25">
      <c r="A123" t="str">
        <f>"    Toyota Motor Corp"</f>
        <v xml:space="preserve">    Toyota Motor Corp</v>
      </c>
      <c r="B123" t="str">
        <f>"7203 JP Equity"</f>
        <v>7203 JP Equity</v>
      </c>
      <c r="C123" t="str">
        <f t="shared" si="6"/>
        <v>EZ021</v>
      </c>
      <c r="D123" t="str">
        <f t="shared" si="7"/>
        <v>BEST_EPS_NXT_YR</v>
      </c>
      <c r="E123" t="str">
        <f t="shared" si="8"/>
        <v>Dynamic</v>
      </c>
      <c r="F123">
        <f ca="1">IF(AND(ISNUMBER($F$630),$B$511=1),$F$630,HLOOKUP(INDIRECT(ADDRESS(2,COLUMN())),OFFSET($BN$2,0,0,ROW()-1,60),ROW()-1,FALSE))</f>
        <v>7.7060000000000004</v>
      </c>
      <c r="G123">
        <f ca="1">IF(AND(ISNUMBER($G$630),$B$511=1),$G$630,HLOOKUP(INDIRECT(ADDRESS(2,COLUMN())),OFFSET($BN$2,0,0,ROW()-1,60),ROW()-1,FALSE))</f>
        <v>7.6340000000000003</v>
      </c>
      <c r="H123">
        <f ca="1">IF(AND(ISNUMBER($H$630),$B$511=1),$H$630,HLOOKUP(INDIRECT(ADDRESS(2,COLUMN())),OFFSET($BN$2,0,0,ROW()-1,60),ROW()-1,FALSE))</f>
        <v>7.5119999999999996</v>
      </c>
      <c r="I123">
        <f ca="1">IF(AND(ISNUMBER($I$630),$B$511=1),$I$630,HLOOKUP(INDIRECT(ADDRESS(2,COLUMN())),OFFSET($BN$2,0,0,ROW()-1,60),ROW()-1,FALSE))</f>
        <v>7.63</v>
      </c>
      <c r="J123">
        <f ca="1">IF(AND(ISNUMBER($J$630),$B$511=1),$J$630,HLOOKUP(INDIRECT(ADDRESS(2,COLUMN())),OFFSET($BN$2,0,0,ROW()-1,60),ROW()-1,FALSE))</f>
        <v>7.3170000000000002</v>
      </c>
      <c r="K123">
        <f ca="1">IF(AND(ISNUMBER($K$630),$B$511=1),$K$630,HLOOKUP(INDIRECT(ADDRESS(2,COLUMN())),OFFSET($BN$2,0,0,ROW()-1,60),ROW()-1,FALSE))</f>
        <v>6.6479999999999997</v>
      </c>
      <c r="L123">
        <f ca="1">IF(AND(ISNUMBER($L$630),$B$511=1),$L$630,HLOOKUP(INDIRECT(ADDRESS(2,COLUMN())),OFFSET($BN$2,0,0,ROW()-1,60),ROW()-1,FALSE))</f>
        <v>6.3760000000000003</v>
      </c>
      <c r="M123">
        <f ca="1">IF(AND(ISNUMBER($M$630),$B$511=1),$M$630,HLOOKUP(INDIRECT(ADDRESS(2,COLUMN())),OFFSET($BN$2,0,0,ROW()-1,60),ROW()-1,FALSE))</f>
        <v>6.1340000000000003</v>
      </c>
      <c r="N123">
        <f ca="1">IF(AND(ISNUMBER($N$630),$B$511=1),$N$630,HLOOKUP(INDIRECT(ADDRESS(2,COLUMN())),OFFSET($BN$2,0,0,ROW()-1,60),ROW()-1,FALSE))</f>
        <v>7.4470000000000001</v>
      </c>
      <c r="O123">
        <f ca="1">IF(AND(ISNUMBER($O$630),$B$511=1),$O$630,HLOOKUP(INDIRECT(ADDRESS(2,COLUMN())),OFFSET($BN$2,0,0,ROW()-1,60),ROW()-1,FALSE))</f>
        <v>6.9029999999999996</v>
      </c>
      <c r="P123">
        <f ca="1">IF(AND(ISNUMBER($P$630),$B$511=1),$P$630,HLOOKUP(INDIRECT(ADDRESS(2,COLUMN())),OFFSET($BN$2,0,0,ROW()-1,60),ROW()-1,FALSE))</f>
        <v>6.9269999999999996</v>
      </c>
      <c r="Q123">
        <f ca="1">IF(AND(ISNUMBER($Q$630),$B$511=1),$Q$630,HLOOKUP(INDIRECT(ADDRESS(2,COLUMN())),OFFSET($BN$2,0,0,ROW()-1,60),ROW()-1,FALSE))</f>
        <v>7.1079999999999997</v>
      </c>
      <c r="R123">
        <f ca="1">IF(AND(ISNUMBER($R$630),$B$511=1),$R$630,HLOOKUP(INDIRECT(ADDRESS(2,COLUMN())),OFFSET($BN$2,0,0,ROW()-1,60),ROW()-1,FALSE))</f>
        <v>8.4090000000000007</v>
      </c>
      <c r="S123">
        <f ca="1">IF(AND(ISNUMBER($S$630),$B$511=1),$S$630,HLOOKUP(INDIRECT(ADDRESS(2,COLUMN())),OFFSET($BN$2,0,0,ROW()-1,60),ROW()-1,FALSE))</f>
        <v>8.8580000000000005</v>
      </c>
      <c r="T123">
        <f ca="1">IF(AND(ISNUMBER($T$630),$B$511=1),$T$630,HLOOKUP(INDIRECT(ADDRESS(2,COLUMN())),OFFSET($BN$2,0,0,ROW()-1,60),ROW()-1,FALSE))</f>
        <v>8.8170000000000002</v>
      </c>
      <c r="U123">
        <f ca="1">IF(AND(ISNUMBER($U$630),$B$511=1),$U$630,HLOOKUP(INDIRECT(ADDRESS(2,COLUMN())),OFFSET($BN$2,0,0,ROW()-1,60),ROW()-1,FALSE))</f>
        <v>8.8330000000000002</v>
      </c>
      <c r="V123" t="str">
        <f ca="1">IF(AND(ISNUMBER($V$630),$B$511=1),$V$630,HLOOKUP(INDIRECT(ADDRESS(2,COLUMN())),OFFSET($BN$2,0,0,ROW()-1,60),ROW()-1,FALSE))</f>
        <v/>
      </c>
      <c r="W123" t="str">
        <f ca="1">IF(AND(ISNUMBER($W$630),$B$511=1),$W$630,HLOOKUP(INDIRECT(ADDRESS(2,COLUMN())),OFFSET($BN$2,0,0,ROW()-1,60),ROW()-1,FALSE))</f>
        <v/>
      </c>
      <c r="X123" t="str">
        <f ca="1">IF(AND(ISNUMBER($X$630),$B$511=1),$X$630,HLOOKUP(INDIRECT(ADDRESS(2,COLUMN())),OFFSET($BN$2,0,0,ROW()-1,60),ROW()-1,FALSE))</f>
        <v/>
      </c>
      <c r="Y123" t="str">
        <f ca="1">IF(AND(ISNUMBER($Y$630),$B$511=1),$Y$630,HLOOKUP(INDIRECT(ADDRESS(2,COLUMN())),OFFSET($BN$2,0,0,ROW()-1,60),ROW()-1,FALSE))</f>
        <v/>
      </c>
      <c r="Z123" t="str">
        <f ca="1">IF(AND(ISNUMBER($Z$630),$B$511=1),$Z$630,HLOOKUP(INDIRECT(ADDRESS(2,COLUMN())),OFFSET($BN$2,0,0,ROW()-1,60),ROW()-1,FALSE))</f>
        <v/>
      </c>
      <c r="AA123" t="str">
        <f ca="1">IF(AND(ISNUMBER($AA$630),$B$511=1),$AA$630,HLOOKUP(INDIRECT(ADDRESS(2,COLUMN())),OFFSET($BN$2,0,0,ROW()-1,60),ROW()-1,FALSE))</f>
        <v/>
      </c>
      <c r="AB123" t="str">
        <f ca="1">IF(AND(ISNUMBER($AB$630),$B$511=1),$AB$630,HLOOKUP(INDIRECT(ADDRESS(2,COLUMN())),OFFSET($BN$2,0,0,ROW()-1,60),ROW()-1,FALSE))</f>
        <v/>
      </c>
      <c r="AC123" t="str">
        <f ca="1">IF(AND(ISNUMBER($AC$630),$B$511=1),$AC$630,HLOOKUP(INDIRECT(ADDRESS(2,COLUMN())),OFFSET($BN$2,0,0,ROW()-1,60),ROW()-1,FALSE))</f>
        <v/>
      </c>
      <c r="AD123" t="str">
        <f ca="1">IF(AND(ISNUMBER($AD$630),$B$511=1),$AD$630,HLOOKUP(INDIRECT(ADDRESS(2,COLUMN())),OFFSET($BN$2,0,0,ROW()-1,60),ROW()-1,FALSE))</f>
        <v/>
      </c>
      <c r="AE123" t="str">
        <f ca="1">IF(AND(ISNUMBER($AE$630),$B$511=1),$AE$630,HLOOKUP(INDIRECT(ADDRESS(2,COLUMN())),OFFSET($BN$2,0,0,ROW()-1,60),ROW()-1,FALSE))</f>
        <v/>
      </c>
      <c r="AF123" t="str">
        <f ca="1">IF(AND(ISNUMBER($AF$630),$B$511=1),$AF$630,HLOOKUP(INDIRECT(ADDRESS(2,COLUMN())),OFFSET($BN$2,0,0,ROW()-1,60),ROW()-1,FALSE))</f>
        <v/>
      </c>
      <c r="AG123" t="str">
        <f ca="1">IF(AND(ISNUMBER($AG$630),$B$511=1),$AG$630,HLOOKUP(INDIRECT(ADDRESS(2,COLUMN())),OFFSET($BN$2,0,0,ROW()-1,60),ROW()-1,FALSE))</f>
        <v/>
      </c>
      <c r="AH123" t="str">
        <f ca="1">IF(AND(ISNUMBER($AH$630),$B$511=1),$AH$630,HLOOKUP(INDIRECT(ADDRESS(2,COLUMN())),OFFSET($BN$2,0,0,ROW()-1,60),ROW()-1,FALSE))</f>
        <v/>
      </c>
      <c r="AI123" t="str">
        <f ca="1">IF(AND(ISNUMBER($AI$630),$B$511=1),$AI$630,HLOOKUP(INDIRECT(ADDRESS(2,COLUMN())),OFFSET($BN$2,0,0,ROW()-1,60),ROW()-1,FALSE))</f>
        <v/>
      </c>
      <c r="AJ123" t="str">
        <f ca="1">IF(AND(ISNUMBER($AJ$630),$B$511=1),$AJ$630,HLOOKUP(INDIRECT(ADDRESS(2,COLUMN())),OFFSET($BN$2,0,0,ROW()-1,60),ROW()-1,FALSE))</f>
        <v/>
      </c>
      <c r="AK123" t="str">
        <f ca="1">IF(AND(ISNUMBER($AK$630),$B$511=1),$AK$630,HLOOKUP(INDIRECT(ADDRESS(2,COLUMN())),OFFSET($BN$2,0,0,ROW()-1,60),ROW()-1,FALSE))</f>
        <v/>
      </c>
      <c r="AL123" t="str">
        <f ca="1">IF(AND(ISNUMBER($AL$630),$B$511=1),$AL$630,HLOOKUP(INDIRECT(ADDRESS(2,COLUMN())),OFFSET($BN$2,0,0,ROW()-1,60),ROW()-1,FALSE))</f>
        <v/>
      </c>
      <c r="AM123" t="str">
        <f ca="1">IF(AND(ISNUMBER($AM$630),$B$511=1),$AM$630,HLOOKUP(INDIRECT(ADDRESS(2,COLUMN())),OFFSET($BN$2,0,0,ROW()-1,60),ROW()-1,FALSE))</f>
        <v/>
      </c>
      <c r="AN123" t="str">
        <f ca="1">IF(AND(ISNUMBER($AN$630),$B$511=1),$AN$630,HLOOKUP(INDIRECT(ADDRESS(2,COLUMN())),OFFSET($BN$2,0,0,ROW()-1,60),ROW()-1,FALSE))</f>
        <v/>
      </c>
      <c r="AO123" t="str">
        <f ca="1">IF(AND(ISNUMBER($AO$630),$B$511=1),$AO$630,HLOOKUP(INDIRECT(ADDRESS(2,COLUMN())),OFFSET($BN$2,0,0,ROW()-1,60),ROW()-1,FALSE))</f>
        <v/>
      </c>
      <c r="AP123" t="str">
        <f ca="1">IF(AND(ISNUMBER($AP$630),$B$511=1),$AP$630,HLOOKUP(INDIRECT(ADDRESS(2,COLUMN())),OFFSET($BN$2,0,0,ROW()-1,60),ROW()-1,FALSE))</f>
        <v/>
      </c>
      <c r="AQ123" t="str">
        <f ca="1">IF(AND(ISNUMBER($AQ$630),$B$511=1),$AQ$630,HLOOKUP(INDIRECT(ADDRESS(2,COLUMN())),OFFSET($BN$2,0,0,ROW()-1,60),ROW()-1,FALSE))</f>
        <v/>
      </c>
      <c r="AR123" t="str">
        <f ca="1">IF(AND(ISNUMBER($AR$630),$B$511=1),$AR$630,HLOOKUP(INDIRECT(ADDRESS(2,COLUMN())),OFFSET($BN$2,0,0,ROW()-1,60),ROW()-1,FALSE))</f>
        <v/>
      </c>
      <c r="AS123" t="str">
        <f ca="1">IF(AND(ISNUMBER($AS$630),$B$511=1),$AS$630,HLOOKUP(INDIRECT(ADDRESS(2,COLUMN())),OFFSET($BN$2,0,0,ROW()-1,60),ROW()-1,FALSE))</f>
        <v/>
      </c>
      <c r="AT123" t="str">
        <f ca="1">IF(AND(ISNUMBER($AT$630),$B$511=1),$AT$630,HLOOKUP(INDIRECT(ADDRESS(2,COLUMN())),OFFSET($BN$2,0,0,ROW()-1,60),ROW()-1,FALSE))</f>
        <v/>
      </c>
      <c r="AU123" t="str">
        <f ca="1">IF(AND(ISNUMBER($AU$630),$B$511=1),$AU$630,HLOOKUP(INDIRECT(ADDRESS(2,COLUMN())),OFFSET($BN$2,0,0,ROW()-1,60),ROW()-1,FALSE))</f>
        <v/>
      </c>
      <c r="AV123" t="str">
        <f ca="1">IF(AND(ISNUMBER($AV$630),$B$511=1),$AV$630,HLOOKUP(INDIRECT(ADDRESS(2,COLUMN())),OFFSET($BN$2,0,0,ROW()-1,60),ROW()-1,FALSE))</f>
        <v/>
      </c>
      <c r="AW123" t="str">
        <f ca="1">IF(AND(ISNUMBER($AW$630),$B$511=1),$AW$630,HLOOKUP(INDIRECT(ADDRESS(2,COLUMN())),OFFSET($BN$2,0,0,ROW()-1,60),ROW()-1,FALSE))</f>
        <v/>
      </c>
      <c r="AX123" t="str">
        <f ca="1">IF(AND(ISNUMBER($AX$630),$B$511=1),$AX$630,HLOOKUP(INDIRECT(ADDRESS(2,COLUMN())),OFFSET($BN$2,0,0,ROW()-1,60),ROW()-1,FALSE))</f>
        <v/>
      </c>
      <c r="AY123" t="str">
        <f ca="1">IF(AND(ISNUMBER($AY$630),$B$511=1),$AY$630,HLOOKUP(INDIRECT(ADDRESS(2,COLUMN())),OFFSET($BN$2,0,0,ROW()-1,60),ROW()-1,FALSE))</f>
        <v/>
      </c>
      <c r="AZ123" t="str">
        <f ca="1">IF(AND(ISNUMBER($AZ$630),$B$511=1),$AZ$630,HLOOKUP(INDIRECT(ADDRESS(2,COLUMN())),OFFSET($BN$2,0,0,ROW()-1,60),ROW()-1,FALSE))</f>
        <v/>
      </c>
      <c r="BA123" t="str">
        <f ca="1">IF(AND(ISNUMBER($BA$630),$B$511=1),$BA$630,HLOOKUP(INDIRECT(ADDRESS(2,COLUMN())),OFFSET($BN$2,0,0,ROW()-1,60),ROW()-1,FALSE))</f>
        <v/>
      </c>
      <c r="BB123" t="str">
        <f ca="1">IF(AND(ISNUMBER($BB$630),$B$511=1),$BB$630,HLOOKUP(INDIRECT(ADDRESS(2,COLUMN())),OFFSET($BN$2,0,0,ROW()-1,60),ROW()-1,FALSE))</f>
        <v/>
      </c>
      <c r="BC123" t="str">
        <f ca="1">IF(AND(ISNUMBER($BC$630),$B$511=1),$BC$630,HLOOKUP(INDIRECT(ADDRESS(2,COLUMN())),OFFSET($BN$2,0,0,ROW()-1,60),ROW()-1,FALSE))</f>
        <v/>
      </c>
      <c r="BD123" t="str">
        <f ca="1">IF(AND(ISNUMBER($BD$630),$B$511=1),$BD$630,HLOOKUP(INDIRECT(ADDRESS(2,COLUMN())),OFFSET($BN$2,0,0,ROW()-1,60),ROW()-1,FALSE))</f>
        <v/>
      </c>
      <c r="BE123" t="str">
        <f ca="1">IF(AND(ISNUMBER($BE$630),$B$511=1),$BE$630,HLOOKUP(INDIRECT(ADDRESS(2,COLUMN())),OFFSET($BN$2,0,0,ROW()-1,60),ROW()-1,FALSE))</f>
        <v/>
      </c>
      <c r="BF123" t="str">
        <f ca="1">IF(AND(ISNUMBER($BF$630),$B$511=1),$BF$630,HLOOKUP(INDIRECT(ADDRESS(2,COLUMN())),OFFSET($BN$2,0,0,ROW()-1,60),ROW()-1,FALSE))</f>
        <v/>
      </c>
      <c r="BG123" t="str">
        <f ca="1">IF(AND(ISNUMBER($BG$630),$B$511=1),$BG$630,HLOOKUP(INDIRECT(ADDRESS(2,COLUMN())),OFFSET($BN$2,0,0,ROW()-1,60),ROW()-1,FALSE))</f>
        <v/>
      </c>
      <c r="BH123" t="str">
        <f ca="1">IF(AND(ISNUMBER($BH$630),$B$511=1),$BH$630,HLOOKUP(INDIRECT(ADDRESS(2,COLUMN())),OFFSET($BN$2,0,0,ROW()-1,60),ROW()-1,FALSE))</f>
        <v/>
      </c>
      <c r="BI123" t="str">
        <f ca="1">IF(AND(ISNUMBER($BI$630),$B$511=1),$BI$630,HLOOKUP(INDIRECT(ADDRESS(2,COLUMN())),OFFSET($BN$2,0,0,ROW()-1,60),ROW()-1,FALSE))</f>
        <v/>
      </c>
      <c r="BJ123" t="str">
        <f ca="1">IF(AND(ISNUMBER($BJ$630),$B$511=1),$BJ$630,HLOOKUP(INDIRECT(ADDRESS(2,COLUMN())),OFFSET($BN$2,0,0,ROW()-1,60),ROW()-1,FALSE))</f>
        <v/>
      </c>
      <c r="BK123" t="str">
        <f ca="1">IF(AND(ISNUMBER($BK$630),$B$511=1),$BK$630,HLOOKUP(INDIRECT(ADDRESS(2,COLUMN())),OFFSET($BN$2,0,0,ROW()-1,60),ROW()-1,FALSE))</f>
        <v/>
      </c>
      <c r="BL123" t="str">
        <f ca="1">IF(AND(ISNUMBER($BL$630),$B$511=1),$BL$630,HLOOKUP(INDIRECT(ADDRESS(2,COLUMN())),OFFSET($BN$2,0,0,ROW()-1,60),ROW()-1,FALSE))</f>
        <v/>
      </c>
      <c r="BM123" t="str">
        <f ca="1">IF(AND(ISNUMBER($BM$630),$B$511=1),$BM$630,HLOOKUP(INDIRECT(ADDRESS(2,COLUMN())),OFFSET($BN$2,0,0,ROW()-1,60),ROW()-1,FALSE))</f>
        <v/>
      </c>
      <c r="BN123">
        <f>7.706</f>
        <v>7.7060000000000004</v>
      </c>
      <c r="BO123">
        <f>7.634</f>
        <v>7.6340000000000003</v>
      </c>
      <c r="BP123">
        <f>7.512</f>
        <v>7.5119999999999996</v>
      </c>
      <c r="BQ123">
        <f>7.63</f>
        <v>7.63</v>
      </c>
      <c r="BR123">
        <f>7.317</f>
        <v>7.3170000000000002</v>
      </c>
      <c r="BS123">
        <f>6.648</f>
        <v>6.6479999999999997</v>
      </c>
      <c r="BT123">
        <f>6.376</f>
        <v>6.3760000000000003</v>
      </c>
      <c r="BU123">
        <f>6.134</f>
        <v>6.1340000000000003</v>
      </c>
      <c r="BV123">
        <f>7.447</f>
        <v>7.4470000000000001</v>
      </c>
      <c r="BW123">
        <f>6.903</f>
        <v>6.9029999999999996</v>
      </c>
      <c r="BX123">
        <f>6.927</f>
        <v>6.9269999999999996</v>
      </c>
      <c r="BY123">
        <f>7.108</f>
        <v>7.1079999999999997</v>
      </c>
      <c r="BZ123">
        <f>8.409</f>
        <v>8.4090000000000007</v>
      </c>
      <c r="CA123">
        <f>8.858</f>
        <v>8.8580000000000005</v>
      </c>
      <c r="CB123">
        <f>8.817</f>
        <v>8.8170000000000002</v>
      </c>
      <c r="CC123">
        <f>8.833</f>
        <v>8.8330000000000002</v>
      </c>
      <c r="CD123" t="str">
        <f>""</f>
        <v/>
      </c>
      <c r="CE123" t="str">
        <f>""</f>
        <v/>
      </c>
      <c r="CF123" t="str">
        <f>""</f>
        <v/>
      </c>
      <c r="CG123" t="str">
        <f>""</f>
        <v/>
      </c>
      <c r="CH123" t="str">
        <f>""</f>
        <v/>
      </c>
      <c r="CI123" t="str">
        <f>""</f>
        <v/>
      </c>
      <c r="CJ123" t="str">
        <f>""</f>
        <v/>
      </c>
      <c r="CK123" t="str">
        <f>""</f>
        <v/>
      </c>
      <c r="CL123" t="str">
        <f>""</f>
        <v/>
      </c>
      <c r="CM123" t="str">
        <f>""</f>
        <v/>
      </c>
      <c r="CN123" t="str">
        <f>""</f>
        <v/>
      </c>
      <c r="CO123" t="str">
        <f>""</f>
        <v/>
      </c>
      <c r="CP123" t="str">
        <f>""</f>
        <v/>
      </c>
      <c r="CQ123" t="str">
        <f>""</f>
        <v/>
      </c>
      <c r="CR123" t="str">
        <f>""</f>
        <v/>
      </c>
      <c r="CS123" t="str">
        <f>""</f>
        <v/>
      </c>
      <c r="CT123" t="str">
        <f>""</f>
        <v/>
      </c>
      <c r="CU123" t="str">
        <f>""</f>
        <v/>
      </c>
      <c r="CV123" t="str">
        <f>""</f>
        <v/>
      </c>
      <c r="CW123" t="str">
        <f>""</f>
        <v/>
      </c>
      <c r="CX123" t="str">
        <f>""</f>
        <v/>
      </c>
      <c r="CY123" t="str">
        <f>""</f>
        <v/>
      </c>
      <c r="CZ123" t="str">
        <f>""</f>
        <v/>
      </c>
      <c r="DA123" t="str">
        <f>""</f>
        <v/>
      </c>
      <c r="DB123" t="str">
        <f>""</f>
        <v/>
      </c>
      <c r="DC123" t="str">
        <f>""</f>
        <v/>
      </c>
      <c r="DD123" t="str">
        <f>""</f>
        <v/>
      </c>
      <c r="DE123" t="str">
        <f>""</f>
        <v/>
      </c>
      <c r="DF123" t="str">
        <f>""</f>
        <v/>
      </c>
      <c r="DG123" t="str">
        <f>""</f>
        <v/>
      </c>
      <c r="DH123" t="str">
        <f>""</f>
        <v/>
      </c>
      <c r="DI123" t="str">
        <f>""</f>
        <v/>
      </c>
      <c r="DJ123" t="str">
        <f>""</f>
        <v/>
      </c>
      <c r="DK123" t="str">
        <f>""</f>
        <v/>
      </c>
      <c r="DL123" t="str">
        <f>""</f>
        <v/>
      </c>
      <c r="DM123" t="str">
        <f>""</f>
        <v/>
      </c>
      <c r="DN123" t="str">
        <f>""</f>
        <v/>
      </c>
      <c r="DO123" t="str">
        <f>""</f>
        <v/>
      </c>
      <c r="DP123" t="str">
        <f>""</f>
        <v/>
      </c>
      <c r="DQ123" t="str">
        <f>""</f>
        <v/>
      </c>
      <c r="DR123" t="str">
        <f>""</f>
        <v/>
      </c>
      <c r="DS123" t="str">
        <f>""</f>
        <v/>
      </c>
      <c r="DT123" t="str">
        <f>""</f>
        <v/>
      </c>
      <c r="DU123" t="str">
        <f>""</f>
        <v/>
      </c>
    </row>
    <row r="124" spans="1:125" x14ac:dyDescent="0.25">
      <c r="A124" t="str">
        <f>"    Volkswagen AG"</f>
        <v xml:space="preserve">    Volkswagen AG</v>
      </c>
      <c r="B124" t="str">
        <f>"VOW GR Equity"</f>
        <v>VOW GR Equity</v>
      </c>
      <c r="C124" t="str">
        <f t="shared" si="6"/>
        <v>EZ021</v>
      </c>
      <c r="D124" t="str">
        <f t="shared" si="7"/>
        <v>BEST_EPS_NXT_YR</v>
      </c>
      <c r="E124" t="str">
        <f t="shared" si="8"/>
        <v>Dynamic</v>
      </c>
      <c r="F124">
        <f ca="1">IF(AND(ISNUMBER($F$631),$B$511=1),$F$631,HLOOKUP(INDIRECT(ADDRESS(2,COLUMN())),OFFSET($BN$2,0,0,ROW()-1,60),ROW()-1,FALSE))</f>
        <v>32.533999999999999</v>
      </c>
      <c r="G124">
        <f ca="1">IF(AND(ISNUMBER($G$631),$B$511=1),$G$631,HLOOKUP(INDIRECT(ADDRESS(2,COLUMN())),OFFSET($BN$2,0,0,ROW()-1,60),ROW()-1,FALSE))</f>
        <v>33.811</v>
      </c>
      <c r="H124">
        <f ca="1">IF(AND(ISNUMBER($H$631),$B$511=1),$H$631,HLOOKUP(INDIRECT(ADDRESS(2,COLUMN())),OFFSET($BN$2,0,0,ROW()-1,60),ROW()-1,FALSE))</f>
        <v>35.770000000000003</v>
      </c>
      <c r="I124">
        <f ca="1">IF(AND(ISNUMBER($I$631),$B$511=1),$I$631,HLOOKUP(INDIRECT(ADDRESS(2,COLUMN())),OFFSET($BN$2,0,0,ROW()-1,60),ROW()-1,FALSE))</f>
        <v>34.209000000000003</v>
      </c>
      <c r="J124">
        <f ca="1">IF(AND(ISNUMBER($J$631),$B$511=1),$J$631,HLOOKUP(INDIRECT(ADDRESS(2,COLUMN())),OFFSET($BN$2,0,0,ROW()-1,60),ROW()-1,FALSE))</f>
        <v>34.664999999999999</v>
      </c>
      <c r="K124">
        <f ca="1">IF(AND(ISNUMBER($K$631),$B$511=1),$K$631,HLOOKUP(INDIRECT(ADDRESS(2,COLUMN())),OFFSET($BN$2,0,0,ROW()-1,60),ROW()-1,FALSE))</f>
        <v>30.693000000000001</v>
      </c>
      <c r="L124">
        <f ca="1">IF(AND(ISNUMBER($L$631),$B$511=1),$L$631,HLOOKUP(INDIRECT(ADDRESS(2,COLUMN())),OFFSET($BN$2,0,0,ROW()-1,60),ROW()-1,FALSE))</f>
        <v>27.638000000000002</v>
      </c>
      <c r="M124">
        <f ca="1">IF(AND(ISNUMBER($M$631),$B$511=1),$M$631,HLOOKUP(INDIRECT(ADDRESS(2,COLUMN())),OFFSET($BN$2,0,0,ROW()-1,60),ROW()-1,FALSE))</f>
        <v>26.632000000000001</v>
      </c>
      <c r="N124">
        <f ca="1">IF(AND(ISNUMBER($N$631),$B$511=1),$N$631,HLOOKUP(INDIRECT(ADDRESS(2,COLUMN())),OFFSET($BN$2,0,0,ROW()-1,60),ROW()-1,FALSE))</f>
        <v>21.611999999999998</v>
      </c>
      <c r="O124">
        <f ca="1">IF(AND(ISNUMBER($O$631),$B$511=1),$O$631,HLOOKUP(INDIRECT(ADDRESS(2,COLUMN())),OFFSET($BN$2,0,0,ROW()-1,60),ROW()-1,FALSE))</f>
        <v>25.382999999999999</v>
      </c>
      <c r="P124">
        <f ca="1">IF(AND(ISNUMBER($P$631),$B$511=1),$P$631,HLOOKUP(INDIRECT(ADDRESS(2,COLUMN())),OFFSET($BN$2,0,0,ROW()-1,60),ROW()-1,FALSE))</f>
        <v>38.283000000000001</v>
      </c>
      <c r="Q124">
        <f ca="1">IF(AND(ISNUMBER($Q$631),$B$511=1),$Q$631,HLOOKUP(INDIRECT(ADDRESS(2,COLUMN())),OFFSET($BN$2,0,0,ROW()-1,60),ROW()-1,FALSE))</f>
        <v>30.443000000000001</v>
      </c>
      <c r="R124" t="str">
        <f ca="1">IF(AND(ISNUMBER($R$631),$B$511=1),$R$631,HLOOKUP(INDIRECT(ADDRESS(2,COLUMN())),OFFSET($BN$2,0,0,ROW()-1,60),ROW()-1,FALSE))</f>
        <v/>
      </c>
      <c r="S124" t="str">
        <f ca="1">IF(AND(ISNUMBER($S$631),$B$511=1),$S$631,HLOOKUP(INDIRECT(ADDRESS(2,COLUMN())),OFFSET($BN$2,0,0,ROW()-1,60),ROW()-1,FALSE))</f>
        <v/>
      </c>
      <c r="T124" t="str">
        <f ca="1">IF(AND(ISNUMBER($T$631),$B$511=1),$T$631,HLOOKUP(INDIRECT(ADDRESS(2,COLUMN())),OFFSET($BN$2,0,0,ROW()-1,60),ROW()-1,FALSE))</f>
        <v/>
      </c>
      <c r="U124" t="str">
        <f ca="1">IF(AND(ISNUMBER($U$631),$B$511=1),$U$631,HLOOKUP(INDIRECT(ADDRESS(2,COLUMN())),OFFSET($BN$2,0,0,ROW()-1,60),ROW()-1,FALSE))</f>
        <v/>
      </c>
      <c r="V124" t="str">
        <f ca="1">IF(AND(ISNUMBER($V$631),$B$511=1),$V$631,HLOOKUP(INDIRECT(ADDRESS(2,COLUMN())),OFFSET($BN$2,0,0,ROW()-1,60),ROW()-1,FALSE))</f>
        <v/>
      </c>
      <c r="W124" t="str">
        <f ca="1">IF(AND(ISNUMBER($W$631),$B$511=1),$W$631,HLOOKUP(INDIRECT(ADDRESS(2,COLUMN())),OFFSET($BN$2,0,0,ROW()-1,60),ROW()-1,FALSE))</f>
        <v/>
      </c>
      <c r="X124" t="str">
        <f ca="1">IF(AND(ISNUMBER($X$631),$B$511=1),$X$631,HLOOKUP(INDIRECT(ADDRESS(2,COLUMN())),OFFSET($BN$2,0,0,ROW()-1,60),ROW()-1,FALSE))</f>
        <v/>
      </c>
      <c r="Y124" t="str">
        <f ca="1">IF(AND(ISNUMBER($Y$631),$B$511=1),$Y$631,HLOOKUP(INDIRECT(ADDRESS(2,COLUMN())),OFFSET($BN$2,0,0,ROW()-1,60),ROW()-1,FALSE))</f>
        <v/>
      </c>
      <c r="Z124" t="str">
        <f ca="1">IF(AND(ISNUMBER($Z$631),$B$511=1),$Z$631,HLOOKUP(INDIRECT(ADDRESS(2,COLUMN())),OFFSET($BN$2,0,0,ROW()-1,60),ROW()-1,FALSE))</f>
        <v/>
      </c>
      <c r="AA124" t="str">
        <f ca="1">IF(AND(ISNUMBER($AA$631),$B$511=1),$AA$631,HLOOKUP(INDIRECT(ADDRESS(2,COLUMN())),OFFSET($BN$2,0,0,ROW()-1,60),ROW()-1,FALSE))</f>
        <v/>
      </c>
      <c r="AB124" t="str">
        <f ca="1">IF(AND(ISNUMBER($AB$631),$B$511=1),$AB$631,HLOOKUP(INDIRECT(ADDRESS(2,COLUMN())),OFFSET($BN$2,0,0,ROW()-1,60),ROW()-1,FALSE))</f>
        <v/>
      </c>
      <c r="AC124" t="str">
        <f ca="1">IF(AND(ISNUMBER($AC$631),$B$511=1),$AC$631,HLOOKUP(INDIRECT(ADDRESS(2,COLUMN())),OFFSET($BN$2,0,0,ROW()-1,60),ROW()-1,FALSE))</f>
        <v/>
      </c>
      <c r="AD124" t="str">
        <f ca="1">IF(AND(ISNUMBER($AD$631),$B$511=1),$AD$631,HLOOKUP(INDIRECT(ADDRESS(2,COLUMN())),OFFSET($BN$2,0,0,ROW()-1,60),ROW()-1,FALSE))</f>
        <v/>
      </c>
      <c r="AE124" t="str">
        <f ca="1">IF(AND(ISNUMBER($AE$631),$B$511=1),$AE$631,HLOOKUP(INDIRECT(ADDRESS(2,COLUMN())),OFFSET($BN$2,0,0,ROW()-1,60),ROW()-1,FALSE))</f>
        <v/>
      </c>
      <c r="AF124" t="str">
        <f ca="1">IF(AND(ISNUMBER($AF$631),$B$511=1),$AF$631,HLOOKUP(INDIRECT(ADDRESS(2,COLUMN())),OFFSET($BN$2,0,0,ROW()-1,60),ROW()-1,FALSE))</f>
        <v/>
      </c>
      <c r="AG124" t="str">
        <f ca="1">IF(AND(ISNUMBER($AG$631),$B$511=1),$AG$631,HLOOKUP(INDIRECT(ADDRESS(2,COLUMN())),OFFSET($BN$2,0,0,ROW()-1,60),ROW()-1,FALSE))</f>
        <v/>
      </c>
      <c r="AH124" t="str">
        <f ca="1">IF(AND(ISNUMBER($AH$631),$B$511=1),$AH$631,HLOOKUP(INDIRECT(ADDRESS(2,COLUMN())),OFFSET($BN$2,0,0,ROW()-1,60),ROW()-1,FALSE))</f>
        <v/>
      </c>
      <c r="AI124" t="str">
        <f ca="1">IF(AND(ISNUMBER($AI$631),$B$511=1),$AI$631,HLOOKUP(INDIRECT(ADDRESS(2,COLUMN())),OFFSET($BN$2,0,0,ROW()-1,60),ROW()-1,FALSE))</f>
        <v/>
      </c>
      <c r="AJ124" t="str">
        <f ca="1">IF(AND(ISNUMBER($AJ$631),$B$511=1),$AJ$631,HLOOKUP(INDIRECT(ADDRESS(2,COLUMN())),OFFSET($BN$2,0,0,ROW()-1,60),ROW()-1,FALSE))</f>
        <v/>
      </c>
      <c r="AK124" t="str">
        <f ca="1">IF(AND(ISNUMBER($AK$631),$B$511=1),$AK$631,HLOOKUP(INDIRECT(ADDRESS(2,COLUMN())),OFFSET($BN$2,0,0,ROW()-1,60),ROW()-1,FALSE))</f>
        <v/>
      </c>
      <c r="AL124" t="str">
        <f ca="1">IF(AND(ISNUMBER($AL$631),$B$511=1),$AL$631,HLOOKUP(INDIRECT(ADDRESS(2,COLUMN())),OFFSET($BN$2,0,0,ROW()-1,60),ROW()-1,FALSE))</f>
        <v/>
      </c>
      <c r="AM124" t="str">
        <f ca="1">IF(AND(ISNUMBER($AM$631),$B$511=1),$AM$631,HLOOKUP(INDIRECT(ADDRESS(2,COLUMN())),OFFSET($BN$2,0,0,ROW()-1,60),ROW()-1,FALSE))</f>
        <v/>
      </c>
      <c r="AN124" t="str">
        <f ca="1">IF(AND(ISNUMBER($AN$631),$B$511=1),$AN$631,HLOOKUP(INDIRECT(ADDRESS(2,COLUMN())),OFFSET($BN$2,0,0,ROW()-1,60),ROW()-1,FALSE))</f>
        <v/>
      </c>
      <c r="AO124" t="str">
        <f ca="1">IF(AND(ISNUMBER($AO$631),$B$511=1),$AO$631,HLOOKUP(INDIRECT(ADDRESS(2,COLUMN())),OFFSET($BN$2,0,0,ROW()-1,60),ROW()-1,FALSE))</f>
        <v/>
      </c>
      <c r="AP124" t="str">
        <f ca="1">IF(AND(ISNUMBER($AP$631),$B$511=1),$AP$631,HLOOKUP(INDIRECT(ADDRESS(2,COLUMN())),OFFSET($BN$2,0,0,ROW()-1,60),ROW()-1,FALSE))</f>
        <v/>
      </c>
      <c r="AQ124" t="str">
        <f ca="1">IF(AND(ISNUMBER($AQ$631),$B$511=1),$AQ$631,HLOOKUP(INDIRECT(ADDRESS(2,COLUMN())),OFFSET($BN$2,0,0,ROW()-1,60),ROW()-1,FALSE))</f>
        <v/>
      </c>
      <c r="AR124" t="str">
        <f ca="1">IF(AND(ISNUMBER($AR$631),$B$511=1),$AR$631,HLOOKUP(INDIRECT(ADDRESS(2,COLUMN())),OFFSET($BN$2,0,0,ROW()-1,60),ROW()-1,FALSE))</f>
        <v/>
      </c>
      <c r="AS124" t="str">
        <f ca="1">IF(AND(ISNUMBER($AS$631),$B$511=1),$AS$631,HLOOKUP(INDIRECT(ADDRESS(2,COLUMN())),OFFSET($BN$2,0,0,ROW()-1,60),ROW()-1,FALSE))</f>
        <v/>
      </c>
      <c r="AT124" t="str">
        <f ca="1">IF(AND(ISNUMBER($AT$631),$B$511=1),$AT$631,HLOOKUP(INDIRECT(ADDRESS(2,COLUMN())),OFFSET($BN$2,0,0,ROW()-1,60),ROW()-1,FALSE))</f>
        <v/>
      </c>
      <c r="AU124" t="str">
        <f ca="1">IF(AND(ISNUMBER($AU$631),$B$511=1),$AU$631,HLOOKUP(INDIRECT(ADDRESS(2,COLUMN())),OFFSET($BN$2,0,0,ROW()-1,60),ROW()-1,FALSE))</f>
        <v/>
      </c>
      <c r="AV124" t="str">
        <f ca="1">IF(AND(ISNUMBER($AV$631),$B$511=1),$AV$631,HLOOKUP(INDIRECT(ADDRESS(2,COLUMN())),OFFSET($BN$2,0,0,ROW()-1,60),ROW()-1,FALSE))</f>
        <v/>
      </c>
      <c r="AW124" t="str">
        <f ca="1">IF(AND(ISNUMBER($AW$631),$B$511=1),$AW$631,HLOOKUP(INDIRECT(ADDRESS(2,COLUMN())),OFFSET($BN$2,0,0,ROW()-1,60),ROW()-1,FALSE))</f>
        <v/>
      </c>
      <c r="AX124" t="str">
        <f ca="1">IF(AND(ISNUMBER($AX$631),$B$511=1),$AX$631,HLOOKUP(INDIRECT(ADDRESS(2,COLUMN())),OFFSET($BN$2,0,0,ROW()-1,60),ROW()-1,FALSE))</f>
        <v/>
      </c>
      <c r="AY124" t="str">
        <f ca="1">IF(AND(ISNUMBER($AY$631),$B$511=1),$AY$631,HLOOKUP(INDIRECT(ADDRESS(2,COLUMN())),OFFSET($BN$2,0,0,ROW()-1,60),ROW()-1,FALSE))</f>
        <v/>
      </c>
      <c r="AZ124" t="str">
        <f ca="1">IF(AND(ISNUMBER($AZ$631),$B$511=1),$AZ$631,HLOOKUP(INDIRECT(ADDRESS(2,COLUMN())),OFFSET($BN$2,0,0,ROW()-1,60),ROW()-1,FALSE))</f>
        <v/>
      </c>
      <c r="BA124" t="str">
        <f ca="1">IF(AND(ISNUMBER($BA$631),$B$511=1),$BA$631,HLOOKUP(INDIRECT(ADDRESS(2,COLUMN())),OFFSET($BN$2,0,0,ROW()-1,60),ROW()-1,FALSE))</f>
        <v/>
      </c>
      <c r="BB124" t="str">
        <f ca="1">IF(AND(ISNUMBER($BB$631),$B$511=1),$BB$631,HLOOKUP(INDIRECT(ADDRESS(2,COLUMN())),OFFSET($BN$2,0,0,ROW()-1,60),ROW()-1,FALSE))</f>
        <v/>
      </c>
      <c r="BC124" t="str">
        <f ca="1">IF(AND(ISNUMBER($BC$631),$B$511=1),$BC$631,HLOOKUP(INDIRECT(ADDRESS(2,COLUMN())),OFFSET($BN$2,0,0,ROW()-1,60),ROW()-1,FALSE))</f>
        <v/>
      </c>
      <c r="BD124" t="str">
        <f ca="1">IF(AND(ISNUMBER($BD$631),$B$511=1),$BD$631,HLOOKUP(INDIRECT(ADDRESS(2,COLUMN())),OFFSET($BN$2,0,0,ROW()-1,60),ROW()-1,FALSE))</f>
        <v/>
      </c>
      <c r="BE124" t="str">
        <f ca="1">IF(AND(ISNUMBER($BE$631),$B$511=1),$BE$631,HLOOKUP(INDIRECT(ADDRESS(2,COLUMN())),OFFSET($BN$2,0,0,ROW()-1,60),ROW()-1,FALSE))</f>
        <v/>
      </c>
      <c r="BF124" t="str">
        <f ca="1">IF(AND(ISNUMBER($BF$631),$B$511=1),$BF$631,HLOOKUP(INDIRECT(ADDRESS(2,COLUMN())),OFFSET($BN$2,0,0,ROW()-1,60),ROW()-1,FALSE))</f>
        <v/>
      </c>
      <c r="BG124" t="str">
        <f ca="1">IF(AND(ISNUMBER($BG$631),$B$511=1),$BG$631,HLOOKUP(INDIRECT(ADDRESS(2,COLUMN())),OFFSET($BN$2,0,0,ROW()-1,60),ROW()-1,FALSE))</f>
        <v/>
      </c>
      <c r="BH124" t="str">
        <f ca="1">IF(AND(ISNUMBER($BH$631),$B$511=1),$BH$631,HLOOKUP(INDIRECT(ADDRESS(2,COLUMN())),OFFSET($BN$2,0,0,ROW()-1,60),ROW()-1,FALSE))</f>
        <v/>
      </c>
      <c r="BI124" t="str">
        <f ca="1">IF(AND(ISNUMBER($BI$631),$B$511=1),$BI$631,HLOOKUP(INDIRECT(ADDRESS(2,COLUMN())),OFFSET($BN$2,0,0,ROW()-1,60),ROW()-1,FALSE))</f>
        <v/>
      </c>
      <c r="BJ124" t="str">
        <f ca="1">IF(AND(ISNUMBER($BJ$631),$B$511=1),$BJ$631,HLOOKUP(INDIRECT(ADDRESS(2,COLUMN())),OFFSET($BN$2,0,0,ROW()-1,60),ROW()-1,FALSE))</f>
        <v/>
      </c>
      <c r="BK124" t="str">
        <f ca="1">IF(AND(ISNUMBER($BK$631),$B$511=1),$BK$631,HLOOKUP(INDIRECT(ADDRESS(2,COLUMN())),OFFSET($BN$2,0,0,ROW()-1,60),ROW()-1,FALSE))</f>
        <v/>
      </c>
      <c r="BL124" t="str">
        <f ca="1">IF(AND(ISNUMBER($BL$631),$B$511=1),$BL$631,HLOOKUP(INDIRECT(ADDRESS(2,COLUMN())),OFFSET($BN$2,0,0,ROW()-1,60),ROW()-1,FALSE))</f>
        <v/>
      </c>
      <c r="BM124" t="str">
        <f ca="1">IF(AND(ISNUMBER($BM$631),$B$511=1),$BM$631,HLOOKUP(INDIRECT(ADDRESS(2,COLUMN())),OFFSET($BN$2,0,0,ROW()-1,60),ROW()-1,FALSE))</f>
        <v/>
      </c>
      <c r="BN124">
        <f>32.534</f>
        <v>32.533999999999999</v>
      </c>
      <c r="BO124">
        <f>33.811</f>
        <v>33.811</v>
      </c>
      <c r="BP124">
        <f>35.77</f>
        <v>35.770000000000003</v>
      </c>
      <c r="BQ124">
        <f>34.209</f>
        <v>34.209000000000003</v>
      </c>
      <c r="BR124">
        <f>34.665</f>
        <v>34.664999999999999</v>
      </c>
      <c r="BS124">
        <f>30.693</f>
        <v>30.693000000000001</v>
      </c>
      <c r="BT124">
        <f>27.638</f>
        <v>27.638000000000002</v>
      </c>
      <c r="BU124">
        <f>26.632</f>
        <v>26.632000000000001</v>
      </c>
      <c r="BV124">
        <f>21.612</f>
        <v>21.611999999999998</v>
      </c>
      <c r="BW124">
        <f>25.383</f>
        <v>25.382999999999999</v>
      </c>
      <c r="BX124">
        <f>38.283</f>
        <v>38.283000000000001</v>
      </c>
      <c r="BY124">
        <f>30.443</f>
        <v>30.443000000000001</v>
      </c>
      <c r="BZ124" t="str">
        <f>""</f>
        <v/>
      </c>
      <c r="CA124" t="str">
        <f>""</f>
        <v/>
      </c>
      <c r="CB124" t="str">
        <f>""</f>
        <v/>
      </c>
      <c r="CC124" t="str">
        <f>""</f>
        <v/>
      </c>
      <c r="CD124" t="str">
        <f>""</f>
        <v/>
      </c>
      <c r="CE124" t="str">
        <f>""</f>
        <v/>
      </c>
      <c r="CF124" t="str">
        <f>""</f>
        <v/>
      </c>
      <c r="CG124" t="str">
        <f>""</f>
        <v/>
      </c>
      <c r="CH124" t="str">
        <f>""</f>
        <v/>
      </c>
      <c r="CI124" t="str">
        <f>""</f>
        <v/>
      </c>
      <c r="CJ124" t="str">
        <f>""</f>
        <v/>
      </c>
      <c r="CK124" t="str">
        <f>""</f>
        <v/>
      </c>
      <c r="CL124" t="str">
        <f>""</f>
        <v/>
      </c>
      <c r="CM124" t="str">
        <f>""</f>
        <v/>
      </c>
      <c r="CN124" t="str">
        <f>""</f>
        <v/>
      </c>
      <c r="CO124" t="str">
        <f>""</f>
        <v/>
      </c>
      <c r="CP124" t="str">
        <f>""</f>
        <v/>
      </c>
      <c r="CQ124" t="str">
        <f>""</f>
        <v/>
      </c>
      <c r="CR124" t="str">
        <f>""</f>
        <v/>
      </c>
      <c r="CS124" t="str">
        <f>""</f>
        <v/>
      </c>
      <c r="CT124" t="str">
        <f>""</f>
        <v/>
      </c>
      <c r="CU124" t="str">
        <f>""</f>
        <v/>
      </c>
      <c r="CV124" t="str">
        <f>""</f>
        <v/>
      </c>
      <c r="CW124" t="str">
        <f>""</f>
        <v/>
      </c>
      <c r="CX124" t="str">
        <f>""</f>
        <v/>
      </c>
      <c r="CY124" t="str">
        <f>""</f>
        <v/>
      </c>
      <c r="CZ124" t="str">
        <f>""</f>
        <v/>
      </c>
      <c r="DA124" t="str">
        <f>""</f>
        <v/>
      </c>
      <c r="DB124" t="str">
        <f>""</f>
        <v/>
      </c>
      <c r="DC124" t="str">
        <f>""</f>
        <v/>
      </c>
      <c r="DD124" t="str">
        <f>""</f>
        <v/>
      </c>
      <c r="DE124" t="str">
        <f>""</f>
        <v/>
      </c>
      <c r="DF124" t="str">
        <f>""</f>
        <v/>
      </c>
      <c r="DG124" t="str">
        <f>""</f>
        <v/>
      </c>
      <c r="DH124" t="str">
        <f>""</f>
        <v/>
      </c>
      <c r="DI124" t="str">
        <f>""</f>
        <v/>
      </c>
      <c r="DJ124" t="str">
        <f>""</f>
        <v/>
      </c>
      <c r="DK124" t="str">
        <f>""</f>
        <v/>
      </c>
      <c r="DL124" t="str">
        <f>""</f>
        <v/>
      </c>
      <c r="DM124" t="str">
        <f>""</f>
        <v/>
      </c>
      <c r="DN124" t="str">
        <f>""</f>
        <v/>
      </c>
      <c r="DO124" t="str">
        <f>""</f>
        <v/>
      </c>
      <c r="DP124" t="str">
        <f>""</f>
        <v/>
      </c>
      <c r="DQ124" t="str">
        <f>""</f>
        <v/>
      </c>
      <c r="DR124" t="str">
        <f>""</f>
        <v/>
      </c>
      <c r="DS124" t="str">
        <f>""</f>
        <v/>
      </c>
      <c r="DT124" t="str">
        <f>""</f>
        <v/>
      </c>
      <c r="DU124" t="str">
        <f>""</f>
        <v/>
      </c>
    </row>
    <row r="125" spans="1:125" x14ac:dyDescent="0.25">
      <c r="A125" t="str">
        <f>"    Yulon Motor Co Ltd"</f>
        <v xml:space="preserve">    Yulon Motor Co Ltd</v>
      </c>
      <c r="B125" t="str">
        <f>"2201 TT Equity"</f>
        <v>2201 TT Equity</v>
      </c>
      <c r="C125" t="str">
        <f t="shared" si="6"/>
        <v>EZ021</v>
      </c>
      <c r="D125" t="str">
        <f t="shared" si="7"/>
        <v>BEST_EPS_NXT_YR</v>
      </c>
      <c r="E125" t="str">
        <f t="shared" si="8"/>
        <v>Dynamic</v>
      </c>
      <c r="F125">
        <f ca="1">IF(AND(ISNUMBER($F$632),$B$511=1),$F$632,HLOOKUP(INDIRECT(ADDRESS(2,COLUMN())),OFFSET($BN$2,0,0,ROW()-1,60),ROW()-1,FALSE))</f>
        <v>4.8000000000000001E-2</v>
      </c>
      <c r="G125">
        <f ca="1">IF(AND(ISNUMBER($G$632),$B$511=1),$G$632,HLOOKUP(INDIRECT(ADDRESS(2,COLUMN())),OFFSET($BN$2,0,0,ROW()-1,60),ROW()-1,FALSE))</f>
        <v>4.8000000000000001E-2</v>
      </c>
      <c r="H125">
        <f ca="1">IF(AND(ISNUMBER($H$632),$B$511=1),$H$632,HLOOKUP(INDIRECT(ADDRESS(2,COLUMN())),OFFSET($BN$2,0,0,ROW()-1,60),ROW()-1,FALSE))</f>
        <v>4.4999999999999998E-2</v>
      </c>
      <c r="I125" t="str">
        <f ca="1">IF(AND(ISNUMBER($I$632),$B$511=1),$I$632,HLOOKUP(INDIRECT(ADDRESS(2,COLUMN())),OFFSET($BN$2,0,0,ROW()-1,60),ROW()-1,FALSE))</f>
        <v/>
      </c>
      <c r="J125" t="str">
        <f ca="1">IF(AND(ISNUMBER($J$632),$B$511=1),$J$632,HLOOKUP(INDIRECT(ADDRESS(2,COLUMN())),OFFSET($BN$2,0,0,ROW()-1,60),ROW()-1,FALSE))</f>
        <v/>
      </c>
      <c r="K125" t="str">
        <f ca="1">IF(AND(ISNUMBER($K$632),$B$511=1),$K$632,HLOOKUP(INDIRECT(ADDRESS(2,COLUMN())),OFFSET($BN$2,0,0,ROW()-1,60),ROW()-1,FALSE))</f>
        <v/>
      </c>
      <c r="L125" t="str">
        <f ca="1">IF(AND(ISNUMBER($L$632),$B$511=1),$L$632,HLOOKUP(INDIRECT(ADDRESS(2,COLUMN())),OFFSET($BN$2,0,0,ROW()-1,60),ROW()-1,FALSE))</f>
        <v/>
      </c>
      <c r="M125" t="str">
        <f ca="1">IF(AND(ISNUMBER($M$632),$B$511=1),$M$632,HLOOKUP(INDIRECT(ADDRESS(2,COLUMN())),OFFSET($BN$2,0,0,ROW()-1,60),ROW()-1,FALSE))</f>
        <v/>
      </c>
      <c r="N125" t="str">
        <f ca="1">IF(AND(ISNUMBER($N$632),$B$511=1),$N$632,HLOOKUP(INDIRECT(ADDRESS(2,COLUMN())),OFFSET($BN$2,0,0,ROW()-1,60),ROW()-1,FALSE))</f>
        <v/>
      </c>
      <c r="O125" t="str">
        <f ca="1">IF(AND(ISNUMBER($O$632),$B$511=1),$O$632,HLOOKUP(INDIRECT(ADDRESS(2,COLUMN())),OFFSET($BN$2,0,0,ROW()-1,60),ROW()-1,FALSE))</f>
        <v/>
      </c>
      <c r="P125" t="str">
        <f ca="1">IF(AND(ISNUMBER($P$632),$B$511=1),$P$632,HLOOKUP(INDIRECT(ADDRESS(2,COLUMN())),OFFSET($BN$2,0,0,ROW()-1,60),ROW()-1,FALSE))</f>
        <v/>
      </c>
      <c r="Q125" t="str">
        <f ca="1">IF(AND(ISNUMBER($Q$632),$B$511=1),$Q$632,HLOOKUP(INDIRECT(ADDRESS(2,COLUMN())),OFFSET($BN$2,0,0,ROW()-1,60),ROW()-1,FALSE))</f>
        <v/>
      </c>
      <c r="R125" t="str">
        <f ca="1">IF(AND(ISNUMBER($R$632),$B$511=1),$R$632,HLOOKUP(INDIRECT(ADDRESS(2,COLUMN())),OFFSET($BN$2,0,0,ROW()-1,60),ROW()-1,FALSE))</f>
        <v/>
      </c>
      <c r="S125" t="str">
        <f ca="1">IF(AND(ISNUMBER($S$632),$B$511=1),$S$632,HLOOKUP(INDIRECT(ADDRESS(2,COLUMN())),OFFSET($BN$2,0,0,ROW()-1,60),ROW()-1,FALSE))</f>
        <v/>
      </c>
      <c r="T125" t="str">
        <f ca="1">IF(AND(ISNUMBER($T$632),$B$511=1),$T$632,HLOOKUP(INDIRECT(ADDRESS(2,COLUMN())),OFFSET($BN$2,0,0,ROW()-1,60),ROW()-1,FALSE))</f>
        <v/>
      </c>
      <c r="U125" t="str">
        <f ca="1">IF(AND(ISNUMBER($U$632),$B$511=1),$U$632,HLOOKUP(INDIRECT(ADDRESS(2,COLUMN())),OFFSET($BN$2,0,0,ROW()-1,60),ROW()-1,FALSE))</f>
        <v/>
      </c>
      <c r="V125" t="str">
        <f ca="1">IF(AND(ISNUMBER($V$632),$B$511=1),$V$632,HLOOKUP(INDIRECT(ADDRESS(2,COLUMN())),OFFSET($BN$2,0,0,ROW()-1,60),ROW()-1,FALSE))</f>
        <v/>
      </c>
      <c r="W125" t="str">
        <f ca="1">IF(AND(ISNUMBER($W$632),$B$511=1),$W$632,HLOOKUP(INDIRECT(ADDRESS(2,COLUMN())),OFFSET($BN$2,0,0,ROW()-1,60),ROW()-1,FALSE))</f>
        <v/>
      </c>
      <c r="X125" t="str">
        <f ca="1">IF(AND(ISNUMBER($X$632),$B$511=1),$X$632,HLOOKUP(INDIRECT(ADDRESS(2,COLUMN())),OFFSET($BN$2,0,0,ROW()-1,60),ROW()-1,FALSE))</f>
        <v/>
      </c>
      <c r="Y125" t="str">
        <f ca="1">IF(AND(ISNUMBER($Y$632),$B$511=1),$Y$632,HLOOKUP(INDIRECT(ADDRESS(2,COLUMN())),OFFSET($BN$2,0,0,ROW()-1,60),ROW()-1,FALSE))</f>
        <v/>
      </c>
      <c r="Z125" t="str">
        <f ca="1">IF(AND(ISNUMBER($Z$632),$B$511=1),$Z$632,HLOOKUP(INDIRECT(ADDRESS(2,COLUMN())),OFFSET($BN$2,0,0,ROW()-1,60),ROW()-1,FALSE))</f>
        <v/>
      </c>
      <c r="AA125" t="str">
        <f ca="1">IF(AND(ISNUMBER($AA$632),$B$511=1),$AA$632,HLOOKUP(INDIRECT(ADDRESS(2,COLUMN())),OFFSET($BN$2,0,0,ROW()-1,60),ROW()-1,FALSE))</f>
        <v/>
      </c>
      <c r="AB125" t="str">
        <f ca="1">IF(AND(ISNUMBER($AB$632),$B$511=1),$AB$632,HLOOKUP(INDIRECT(ADDRESS(2,COLUMN())),OFFSET($BN$2,0,0,ROW()-1,60),ROW()-1,FALSE))</f>
        <v/>
      </c>
      <c r="AC125" t="str">
        <f ca="1">IF(AND(ISNUMBER($AC$632),$B$511=1),$AC$632,HLOOKUP(INDIRECT(ADDRESS(2,COLUMN())),OFFSET($BN$2,0,0,ROW()-1,60),ROW()-1,FALSE))</f>
        <v/>
      </c>
      <c r="AD125" t="str">
        <f ca="1">IF(AND(ISNUMBER($AD$632),$B$511=1),$AD$632,HLOOKUP(INDIRECT(ADDRESS(2,COLUMN())),OFFSET($BN$2,0,0,ROW()-1,60),ROW()-1,FALSE))</f>
        <v/>
      </c>
      <c r="AE125" t="str">
        <f ca="1">IF(AND(ISNUMBER($AE$632),$B$511=1),$AE$632,HLOOKUP(INDIRECT(ADDRESS(2,COLUMN())),OFFSET($BN$2,0,0,ROW()-1,60),ROW()-1,FALSE))</f>
        <v/>
      </c>
      <c r="AF125" t="str">
        <f ca="1">IF(AND(ISNUMBER($AF$632),$B$511=1),$AF$632,HLOOKUP(INDIRECT(ADDRESS(2,COLUMN())),OFFSET($BN$2,0,0,ROW()-1,60),ROW()-1,FALSE))</f>
        <v/>
      </c>
      <c r="AG125" t="str">
        <f ca="1">IF(AND(ISNUMBER($AG$632),$B$511=1),$AG$632,HLOOKUP(INDIRECT(ADDRESS(2,COLUMN())),OFFSET($BN$2,0,0,ROW()-1,60),ROW()-1,FALSE))</f>
        <v/>
      </c>
      <c r="AH125" t="str">
        <f ca="1">IF(AND(ISNUMBER($AH$632),$B$511=1),$AH$632,HLOOKUP(INDIRECT(ADDRESS(2,COLUMN())),OFFSET($BN$2,0,0,ROW()-1,60),ROW()-1,FALSE))</f>
        <v/>
      </c>
      <c r="AI125" t="str">
        <f ca="1">IF(AND(ISNUMBER($AI$632),$B$511=1),$AI$632,HLOOKUP(INDIRECT(ADDRESS(2,COLUMN())),OFFSET($BN$2,0,0,ROW()-1,60),ROW()-1,FALSE))</f>
        <v/>
      </c>
      <c r="AJ125" t="str">
        <f ca="1">IF(AND(ISNUMBER($AJ$632),$B$511=1),$AJ$632,HLOOKUP(INDIRECT(ADDRESS(2,COLUMN())),OFFSET($BN$2,0,0,ROW()-1,60),ROW()-1,FALSE))</f>
        <v/>
      </c>
      <c r="AK125" t="str">
        <f ca="1">IF(AND(ISNUMBER($AK$632),$B$511=1),$AK$632,HLOOKUP(INDIRECT(ADDRESS(2,COLUMN())),OFFSET($BN$2,0,0,ROW()-1,60),ROW()-1,FALSE))</f>
        <v/>
      </c>
      <c r="AL125" t="str">
        <f ca="1">IF(AND(ISNUMBER($AL$632),$B$511=1),$AL$632,HLOOKUP(INDIRECT(ADDRESS(2,COLUMN())),OFFSET($BN$2,0,0,ROW()-1,60),ROW()-1,FALSE))</f>
        <v/>
      </c>
      <c r="AM125" t="str">
        <f ca="1">IF(AND(ISNUMBER($AM$632),$B$511=1),$AM$632,HLOOKUP(INDIRECT(ADDRESS(2,COLUMN())),OFFSET($BN$2,0,0,ROW()-1,60),ROW()-1,FALSE))</f>
        <v/>
      </c>
      <c r="AN125" t="str">
        <f ca="1">IF(AND(ISNUMBER($AN$632),$B$511=1),$AN$632,HLOOKUP(INDIRECT(ADDRESS(2,COLUMN())),OFFSET($BN$2,0,0,ROW()-1,60),ROW()-1,FALSE))</f>
        <v/>
      </c>
      <c r="AO125" t="str">
        <f ca="1">IF(AND(ISNUMBER($AO$632),$B$511=1),$AO$632,HLOOKUP(INDIRECT(ADDRESS(2,COLUMN())),OFFSET($BN$2,0,0,ROW()-1,60),ROW()-1,FALSE))</f>
        <v/>
      </c>
      <c r="AP125" t="str">
        <f ca="1">IF(AND(ISNUMBER($AP$632),$B$511=1),$AP$632,HLOOKUP(INDIRECT(ADDRESS(2,COLUMN())),OFFSET($BN$2,0,0,ROW()-1,60),ROW()-1,FALSE))</f>
        <v/>
      </c>
      <c r="AQ125" t="str">
        <f ca="1">IF(AND(ISNUMBER($AQ$632),$B$511=1),$AQ$632,HLOOKUP(INDIRECT(ADDRESS(2,COLUMN())),OFFSET($BN$2,0,0,ROW()-1,60),ROW()-1,FALSE))</f>
        <v/>
      </c>
      <c r="AR125" t="str">
        <f ca="1">IF(AND(ISNUMBER($AR$632),$B$511=1),$AR$632,HLOOKUP(INDIRECT(ADDRESS(2,COLUMN())),OFFSET($BN$2,0,0,ROW()-1,60),ROW()-1,FALSE))</f>
        <v/>
      </c>
      <c r="AS125" t="str">
        <f ca="1">IF(AND(ISNUMBER($AS$632),$B$511=1),$AS$632,HLOOKUP(INDIRECT(ADDRESS(2,COLUMN())),OFFSET($BN$2,0,0,ROW()-1,60),ROW()-1,FALSE))</f>
        <v/>
      </c>
      <c r="AT125" t="str">
        <f ca="1">IF(AND(ISNUMBER($AT$632),$B$511=1),$AT$632,HLOOKUP(INDIRECT(ADDRESS(2,COLUMN())),OFFSET($BN$2,0,0,ROW()-1,60),ROW()-1,FALSE))</f>
        <v/>
      </c>
      <c r="AU125" t="str">
        <f ca="1">IF(AND(ISNUMBER($AU$632),$B$511=1),$AU$632,HLOOKUP(INDIRECT(ADDRESS(2,COLUMN())),OFFSET($BN$2,0,0,ROW()-1,60),ROW()-1,FALSE))</f>
        <v/>
      </c>
      <c r="AV125" t="str">
        <f ca="1">IF(AND(ISNUMBER($AV$632),$B$511=1),$AV$632,HLOOKUP(INDIRECT(ADDRESS(2,COLUMN())),OFFSET($BN$2,0,0,ROW()-1,60),ROW()-1,FALSE))</f>
        <v/>
      </c>
      <c r="AW125" t="str">
        <f ca="1">IF(AND(ISNUMBER($AW$632),$B$511=1),$AW$632,HLOOKUP(INDIRECT(ADDRESS(2,COLUMN())),OFFSET($BN$2,0,0,ROW()-1,60),ROW()-1,FALSE))</f>
        <v/>
      </c>
      <c r="AX125" t="str">
        <f ca="1">IF(AND(ISNUMBER($AX$632),$B$511=1),$AX$632,HLOOKUP(INDIRECT(ADDRESS(2,COLUMN())),OFFSET($BN$2,0,0,ROW()-1,60),ROW()-1,FALSE))</f>
        <v/>
      </c>
      <c r="AY125" t="str">
        <f ca="1">IF(AND(ISNUMBER($AY$632),$B$511=1),$AY$632,HLOOKUP(INDIRECT(ADDRESS(2,COLUMN())),OFFSET($BN$2,0,0,ROW()-1,60),ROW()-1,FALSE))</f>
        <v/>
      </c>
      <c r="AZ125" t="str">
        <f ca="1">IF(AND(ISNUMBER($AZ$632),$B$511=1),$AZ$632,HLOOKUP(INDIRECT(ADDRESS(2,COLUMN())),OFFSET($BN$2,0,0,ROW()-1,60),ROW()-1,FALSE))</f>
        <v/>
      </c>
      <c r="BA125" t="str">
        <f ca="1">IF(AND(ISNUMBER($BA$632),$B$511=1),$BA$632,HLOOKUP(INDIRECT(ADDRESS(2,COLUMN())),OFFSET($BN$2,0,0,ROW()-1,60),ROW()-1,FALSE))</f>
        <v/>
      </c>
      <c r="BB125" t="str">
        <f ca="1">IF(AND(ISNUMBER($BB$632),$B$511=1),$BB$632,HLOOKUP(INDIRECT(ADDRESS(2,COLUMN())),OFFSET($BN$2,0,0,ROW()-1,60),ROW()-1,FALSE))</f>
        <v/>
      </c>
      <c r="BC125" t="str">
        <f ca="1">IF(AND(ISNUMBER($BC$632),$B$511=1),$BC$632,HLOOKUP(INDIRECT(ADDRESS(2,COLUMN())),OFFSET($BN$2,0,0,ROW()-1,60),ROW()-1,FALSE))</f>
        <v/>
      </c>
      <c r="BD125" t="str">
        <f ca="1">IF(AND(ISNUMBER($BD$632),$B$511=1),$BD$632,HLOOKUP(INDIRECT(ADDRESS(2,COLUMN())),OFFSET($BN$2,0,0,ROW()-1,60),ROW()-1,FALSE))</f>
        <v/>
      </c>
      <c r="BE125" t="str">
        <f ca="1">IF(AND(ISNUMBER($BE$632),$B$511=1),$BE$632,HLOOKUP(INDIRECT(ADDRESS(2,COLUMN())),OFFSET($BN$2,0,0,ROW()-1,60),ROW()-1,FALSE))</f>
        <v/>
      </c>
      <c r="BF125" t="str">
        <f ca="1">IF(AND(ISNUMBER($BF$632),$B$511=1),$BF$632,HLOOKUP(INDIRECT(ADDRESS(2,COLUMN())),OFFSET($BN$2,0,0,ROW()-1,60),ROW()-1,FALSE))</f>
        <v/>
      </c>
      <c r="BG125" t="str">
        <f ca="1">IF(AND(ISNUMBER($BG$632),$B$511=1),$BG$632,HLOOKUP(INDIRECT(ADDRESS(2,COLUMN())),OFFSET($BN$2,0,0,ROW()-1,60),ROW()-1,FALSE))</f>
        <v/>
      </c>
      <c r="BH125" t="str">
        <f ca="1">IF(AND(ISNUMBER($BH$632),$B$511=1),$BH$632,HLOOKUP(INDIRECT(ADDRESS(2,COLUMN())),OFFSET($BN$2,0,0,ROW()-1,60),ROW()-1,FALSE))</f>
        <v/>
      </c>
      <c r="BI125" t="str">
        <f ca="1">IF(AND(ISNUMBER($BI$632),$B$511=1),$BI$632,HLOOKUP(INDIRECT(ADDRESS(2,COLUMN())),OFFSET($BN$2,0,0,ROW()-1,60),ROW()-1,FALSE))</f>
        <v/>
      </c>
      <c r="BJ125" t="str">
        <f ca="1">IF(AND(ISNUMBER($BJ$632),$B$511=1),$BJ$632,HLOOKUP(INDIRECT(ADDRESS(2,COLUMN())),OFFSET($BN$2,0,0,ROW()-1,60),ROW()-1,FALSE))</f>
        <v/>
      </c>
      <c r="BK125" t="str">
        <f ca="1">IF(AND(ISNUMBER($BK$632),$B$511=1),$BK$632,HLOOKUP(INDIRECT(ADDRESS(2,COLUMN())),OFFSET($BN$2,0,0,ROW()-1,60),ROW()-1,FALSE))</f>
        <v/>
      </c>
      <c r="BL125" t="str">
        <f ca="1">IF(AND(ISNUMBER($BL$632),$B$511=1),$BL$632,HLOOKUP(INDIRECT(ADDRESS(2,COLUMN())),OFFSET($BN$2,0,0,ROW()-1,60),ROW()-1,FALSE))</f>
        <v/>
      </c>
      <c r="BM125" t="str">
        <f ca="1">IF(AND(ISNUMBER($BM$632),$B$511=1),$BM$632,HLOOKUP(INDIRECT(ADDRESS(2,COLUMN())),OFFSET($BN$2,0,0,ROW()-1,60),ROW()-1,FALSE))</f>
        <v/>
      </c>
      <c r="BN125">
        <f>0.048</f>
        <v>4.8000000000000001E-2</v>
      </c>
      <c r="BO125">
        <f>0.048</f>
        <v>4.8000000000000001E-2</v>
      </c>
      <c r="BP125">
        <f>0.045</f>
        <v>4.4999999999999998E-2</v>
      </c>
      <c r="BQ125" t="str">
        <f>""</f>
        <v/>
      </c>
      <c r="BR125" t="str">
        <f>""</f>
        <v/>
      </c>
      <c r="BS125" t="str">
        <f>""</f>
        <v/>
      </c>
      <c r="BT125" t="str">
        <f>""</f>
        <v/>
      </c>
      <c r="BU125" t="str">
        <f>""</f>
        <v/>
      </c>
      <c r="BV125" t="str">
        <f>""</f>
        <v/>
      </c>
      <c r="BW125" t="str">
        <f>""</f>
        <v/>
      </c>
      <c r="BX125" t="str">
        <f>""</f>
        <v/>
      </c>
      <c r="BY125" t="str">
        <f>""</f>
        <v/>
      </c>
      <c r="BZ125" t="str">
        <f>""</f>
        <v/>
      </c>
      <c r="CA125" t="str">
        <f>""</f>
        <v/>
      </c>
      <c r="CB125" t="str">
        <f>""</f>
        <v/>
      </c>
      <c r="CC125" t="str">
        <f>""</f>
        <v/>
      </c>
      <c r="CD125" t="str">
        <f>""</f>
        <v/>
      </c>
      <c r="CE125" t="str">
        <f>""</f>
        <v/>
      </c>
      <c r="CF125" t="str">
        <f>""</f>
        <v/>
      </c>
      <c r="CG125" t="str">
        <f>""</f>
        <v/>
      </c>
      <c r="CH125" t="str">
        <f>""</f>
        <v/>
      </c>
      <c r="CI125" t="str">
        <f>""</f>
        <v/>
      </c>
      <c r="CJ125" t="str">
        <f>""</f>
        <v/>
      </c>
      <c r="CK125" t="str">
        <f>""</f>
        <v/>
      </c>
      <c r="CL125" t="str">
        <f>""</f>
        <v/>
      </c>
      <c r="CM125" t="str">
        <f>""</f>
        <v/>
      </c>
      <c r="CN125" t="str">
        <f>""</f>
        <v/>
      </c>
      <c r="CO125" t="str">
        <f>""</f>
        <v/>
      </c>
      <c r="CP125" t="str">
        <f>""</f>
        <v/>
      </c>
      <c r="CQ125" t="str">
        <f>""</f>
        <v/>
      </c>
      <c r="CR125" t="str">
        <f>""</f>
        <v/>
      </c>
      <c r="CS125" t="str">
        <f>""</f>
        <v/>
      </c>
      <c r="CT125" t="str">
        <f>""</f>
        <v/>
      </c>
      <c r="CU125" t="str">
        <f>""</f>
        <v/>
      </c>
      <c r="CV125" t="str">
        <f>""</f>
        <v/>
      </c>
      <c r="CW125" t="str">
        <f>""</f>
        <v/>
      </c>
      <c r="CX125" t="str">
        <f>""</f>
        <v/>
      </c>
      <c r="CY125" t="str">
        <f>""</f>
        <v/>
      </c>
      <c r="CZ125" t="str">
        <f>""</f>
        <v/>
      </c>
      <c r="DA125" t="str">
        <f>""</f>
        <v/>
      </c>
      <c r="DB125" t="str">
        <f>""</f>
        <v/>
      </c>
      <c r="DC125" t="str">
        <f>""</f>
        <v/>
      </c>
      <c r="DD125" t="str">
        <f>""</f>
        <v/>
      </c>
      <c r="DE125" t="str">
        <f>""</f>
        <v/>
      </c>
      <c r="DF125" t="str">
        <f>""</f>
        <v/>
      </c>
      <c r="DG125" t="str">
        <f>""</f>
        <v/>
      </c>
      <c r="DH125" t="str">
        <f>""</f>
        <v/>
      </c>
      <c r="DI125" t="str">
        <f>""</f>
        <v/>
      </c>
      <c r="DJ125" t="str">
        <f>""</f>
        <v/>
      </c>
      <c r="DK125" t="str">
        <f>""</f>
        <v/>
      </c>
      <c r="DL125" t="str">
        <f>""</f>
        <v/>
      </c>
      <c r="DM125" t="str">
        <f>""</f>
        <v/>
      </c>
      <c r="DN125" t="str">
        <f>""</f>
        <v/>
      </c>
      <c r="DO125" t="str">
        <f>""</f>
        <v/>
      </c>
      <c r="DP125" t="str">
        <f>""</f>
        <v/>
      </c>
      <c r="DQ125" t="str">
        <f>""</f>
        <v/>
      </c>
      <c r="DR125" t="str">
        <f>""</f>
        <v/>
      </c>
      <c r="DS125" t="str">
        <f>""</f>
        <v/>
      </c>
      <c r="DT125" t="str">
        <f>""</f>
        <v/>
      </c>
      <c r="DU125" t="str">
        <f>""</f>
        <v/>
      </c>
    </row>
    <row r="126" spans="1:125" x14ac:dyDescent="0.25">
      <c r="A126" t="str">
        <f>"T12M EBITDA"</f>
        <v>T12M EBITDA</v>
      </c>
      <c r="B126" t="str">
        <f>""</f>
        <v/>
      </c>
      <c r="E126" t="str">
        <f>"Average"</f>
        <v>Average</v>
      </c>
      <c r="F126" t="str">
        <f ca="1">IF(ISERROR(IF(AVERAGE($F$127:$F$166) = 0, "", AVERAGE($F$127:$F$166))), "", (IF(AVERAGE($F$127:$F$166) = 0, "", AVERAGE($F$127:$F$166))))</f>
        <v/>
      </c>
      <c r="G126">
        <f ca="1">IF(ISERROR(IF(AVERAGE($G$127:$G$166) = 0, "", AVERAGE($G$127:$G$166))), "", (IF(AVERAGE($G$127:$G$166) = 0, "", AVERAGE($G$127:$G$166))))</f>
        <v>9712.3306586400013</v>
      </c>
      <c r="H126">
        <f ca="1">IF(ISERROR(IF(AVERAGE($H$127:$H$166) = 0, "", AVERAGE($H$127:$H$166))), "", (IF(AVERAGE($H$127:$H$166) = 0, "", AVERAGE($H$127:$H$166))))</f>
        <v>9675.5681025313042</v>
      </c>
      <c r="I126">
        <f ca="1">IF(ISERROR(IF(AVERAGE($I$127:$I$166) = 0, "", AVERAGE($I$127:$I$166))), "", (IF(AVERAGE($I$127:$I$166) = 0, "", AVERAGE($I$127:$I$166))))</f>
        <v>9718.4431874921738</v>
      </c>
      <c r="J126">
        <f ca="1">IF(ISERROR(IF(AVERAGE($J$127:$J$166) = 0, "", AVERAGE($J$127:$J$166))), "", (IF(AVERAGE($J$127:$J$166) = 0, "", AVERAGE($J$127:$J$166))))</f>
        <v>9799.8899021065208</v>
      </c>
      <c r="K126">
        <f ca="1">IF(ISERROR(IF(AVERAGE($K$127:$K$166) = 0, "", AVERAGE($K$127:$K$166))), "", (IF(AVERAGE($K$127:$K$166) = 0, "", AVERAGE($K$127:$K$166))))</f>
        <v>9622.1265138756535</v>
      </c>
      <c r="L126">
        <f ca="1">IF(ISERROR(IF(AVERAGE($L$127:$L$166) = 0, "", AVERAGE($L$127:$L$166))), "", (IF(AVERAGE($L$127:$L$166) = 0, "", AVERAGE($L$127:$L$166))))</f>
        <v>9088.2635013299969</v>
      </c>
      <c r="M126">
        <f ca="1">IF(ISERROR(IF(AVERAGE($M$127:$M$166) = 0, "", AVERAGE($M$127:$M$166))), "", (IF(AVERAGE($M$127:$M$166) = 0, "", AVERAGE($M$127:$M$166))))</f>
        <v>9217.7183030769556</v>
      </c>
      <c r="N126">
        <f ca="1">IF(ISERROR(IF(AVERAGE($N$127:$N$166) = 0, "", AVERAGE($N$127:$N$166))), "", (IF(AVERAGE($N$127:$N$166) = 0, "", AVERAGE($N$127:$N$166))))</f>
        <v>9052.6747697156516</v>
      </c>
      <c r="O126">
        <f ca="1">IF(ISERROR(IF(AVERAGE($O$127:$O$166) = 0, "", AVERAGE($O$127:$O$166))), "", (IF(AVERAGE($O$127:$O$166) = 0, "", AVERAGE($O$127:$O$166))))</f>
        <v>8874.3368174969564</v>
      </c>
      <c r="P126">
        <f ca="1">IF(ISERROR(IF(AVERAGE($P$127:$P$166) = 0, "", AVERAGE($P$127:$P$166))), "", (IF(AVERAGE($P$127:$P$166) = 0, "", AVERAGE($P$127:$P$166))))</f>
        <v>8574.3298703930432</v>
      </c>
      <c r="Q126">
        <f ca="1">IF(ISERROR(IF(AVERAGE($Q$127:$Q$166) = 0, "", AVERAGE($Q$127:$Q$166))), "", (IF(AVERAGE($Q$127:$Q$166) = 0, "", AVERAGE($Q$127:$Q$166))))</f>
        <v>8228.0099798687843</v>
      </c>
      <c r="R126">
        <f ca="1">IF(ISERROR(IF(AVERAGE($R$127:$R$166) = 0, "", AVERAGE($R$127:$R$166))), "", (IF(AVERAGE($R$127:$R$166) = 0, "", AVERAGE($R$127:$R$166))))</f>
        <v>7902.181725079583</v>
      </c>
      <c r="S126">
        <f ca="1">IF(ISERROR(IF(AVERAGE($S$127:$S$166) = 0, "", AVERAGE($S$127:$S$166))), "", (IF(AVERAGE($S$127:$S$166) = 0, "", AVERAGE($S$127:$S$166))))</f>
        <v>7847.0184245250011</v>
      </c>
      <c r="T126">
        <f ca="1">IF(ISERROR(IF(AVERAGE($T$127:$T$166) = 0, "", AVERAGE($T$127:$T$166))), "", (IF(AVERAGE($T$127:$T$166) = 0, "", AVERAGE($T$127:$T$166))))</f>
        <v>8205.8626395370829</v>
      </c>
      <c r="U126">
        <f ca="1">IF(ISERROR(IF(AVERAGE($U$127:$U$166) = 0, "", AVERAGE($U$127:$U$166))), "", (IF(AVERAGE($U$127:$U$166) = 0, "", AVERAGE($U$127:$U$166))))</f>
        <v>8566.4917785737089</v>
      </c>
      <c r="V126">
        <f ca="1">IF(ISERROR(IF(AVERAGE($V$127:$V$166) = 0, "", AVERAGE($V$127:$V$166))), "", (IF(AVERAGE($V$127:$V$166) = 0, "", AVERAGE($V$127:$V$166))))</f>
        <v>8597.0748810240821</v>
      </c>
      <c r="W126">
        <f ca="1">IF(ISERROR(IF(AVERAGE($W$127:$W$166) = 0, "", AVERAGE($W$127:$W$166))), "", (IF(AVERAGE($W$127:$W$166) = 0, "", AVERAGE($W$127:$W$166))))</f>
        <v>8567.8413617777896</v>
      </c>
      <c r="X126">
        <f ca="1">IF(ISERROR(IF(AVERAGE($X$127:$X$166) = 0, "", AVERAGE($X$127:$X$166))), "", (IF(AVERAGE($X$127:$X$166) = 0, "", AVERAGE($X$127:$X$166))))</f>
        <v>8667.4100902418249</v>
      </c>
      <c r="Y126">
        <f ca="1">IF(ISERROR(IF(AVERAGE($Y$127:$Y$166) = 0, "", AVERAGE($Y$127:$Y$166))), "", (IF(AVERAGE($Y$127:$Y$166) = 0, "", AVERAGE($Y$127:$Y$166))))</f>
        <v>8604.5964426354767</v>
      </c>
      <c r="Z126">
        <f ca="1">IF(ISERROR(IF(AVERAGE($Z$127:$Z$166) = 0, "", AVERAGE($Z$127:$Z$166))), "", (IF(AVERAGE($Z$127:$Z$166) = 0, "", AVERAGE($Z$127:$Z$166))))</f>
        <v>8448.5774277695218</v>
      </c>
      <c r="AA126">
        <f ca="1">IF(ISERROR(IF(AVERAGE($AA$127:$AA$166) = 0, "", AVERAGE($AA$127:$AA$166))), "", (IF(AVERAGE($AA$127:$AA$166) = 0, "", AVERAGE($AA$127:$AA$166))))</f>
        <v>8432.4604883056509</v>
      </c>
      <c r="AB126">
        <f ca="1">IF(ISERROR(IF(AVERAGE($AB$127:$AB$166) = 0, "", AVERAGE($AB$127:$AB$166))), "", (IF(AVERAGE($AB$127:$AB$166) = 0, "", AVERAGE($AB$127:$AB$166))))</f>
        <v>6361.8879968686961</v>
      </c>
      <c r="AC126">
        <f ca="1">IF(ISERROR(IF(AVERAGE($AC$127:$AC$166) = 0, "", AVERAGE($AC$127:$AC$166))), "", (IF(AVERAGE($AC$127:$AC$166) = 0, "", AVERAGE($AC$127:$AC$166))))</f>
        <v>6070.951240943913</v>
      </c>
      <c r="AD126">
        <f ca="1">IF(ISERROR(IF(AVERAGE($AD$127:$AD$166) = 0, "", AVERAGE($AD$127:$AD$166))), "", (IF(AVERAGE($AD$127:$AD$166) = 0, "", AVERAGE($AD$127:$AD$166))))</f>
        <v>5974.83682937913</v>
      </c>
      <c r="AE126">
        <f ca="1">IF(ISERROR(IF(AVERAGE($AE$127:$AE$166) = 0, "", AVERAGE($AE$127:$AE$166))), "", (IF(AVERAGE($AE$127:$AE$166) = 0, "", AVERAGE($AE$127:$AE$166))))</f>
        <v>5862.6619758534771</v>
      </c>
      <c r="AF126">
        <f ca="1">IF(ISERROR(IF(AVERAGE($AF$127:$AF$166) = 0, "", AVERAGE($AF$127:$AF$166))), "", (IF(AVERAGE($AF$127:$AF$166) = 0, "", AVERAGE($AF$127:$AF$166))))</f>
        <v>7789.6870512740898</v>
      </c>
      <c r="AG126">
        <f ca="1">IF(ISERROR(IF(AVERAGE($AG$127:$AG$166) = 0, "", AVERAGE($AG$127:$AG$166))), "", (IF(AVERAGE($AG$127:$AG$166) = 0, "", AVERAGE($AG$127:$AG$166))))</f>
        <v>7678.8279091499999</v>
      </c>
      <c r="AH126">
        <f ca="1">IF(ISERROR(IF(AVERAGE($AH$127:$AH$166) = 0, "", AVERAGE($AH$127:$AH$166))), "", (IF(AVERAGE($AH$127:$AH$166) = 0, "", AVERAGE($AH$127:$AH$166))))</f>
        <v>7395.2921988509097</v>
      </c>
      <c r="AI126">
        <f ca="1">IF(ISERROR(IF(AVERAGE($AI$127:$AI$166) = 0, "", AVERAGE($AI$127:$AI$166))), "", (IF(AVERAGE($AI$127:$AI$166) = 0, "", AVERAGE($AI$127:$AI$166))))</f>
        <v>6780.6655426282605</v>
      </c>
      <c r="AJ126">
        <f ca="1">IF(ISERROR(IF(AVERAGE($AJ$127:$AJ$166) = 0, "", AVERAGE($AJ$127:$AJ$166))), "", (IF(AVERAGE($AJ$127:$AJ$166) = 0, "", AVERAGE($AJ$127:$AJ$166))))</f>
        <v>6704.4381126786948</v>
      </c>
      <c r="AK126">
        <f ca="1">IF(ISERROR(IF(AVERAGE($AK$127:$AK$166) = 0, "", AVERAGE($AK$127:$AK$166))), "", (IF(AVERAGE($AK$127:$AK$166) = 0, "", AVERAGE($AK$127:$AK$166))))</f>
        <v>6703.3403902856517</v>
      </c>
      <c r="AL126">
        <f ca="1">IF(ISERROR(IF(AVERAGE($AL$127:$AL$166) = 0, "", AVERAGE($AL$127:$AL$166))), "", (IF(AVERAGE($AL$127:$AL$166) = 0, "", AVERAGE($AL$127:$AL$166))))</f>
        <v>6790.1707019534788</v>
      </c>
      <c r="AM126">
        <f ca="1">IF(ISERROR(IF(AVERAGE($AM$127:$AM$166) = 0, "", AVERAGE($AM$127:$AM$166))), "", (IF(AVERAGE($AM$127:$AM$166) = 0, "", AVERAGE($AM$127:$AM$166))))</f>
        <v>6603.7612101452178</v>
      </c>
      <c r="AN126">
        <f ca="1">IF(ISERROR(IF(AVERAGE($AN$127:$AN$166) = 0, "", AVERAGE($AN$127:$AN$166))), "", (IF(AVERAGE($AN$127:$AN$166) = 0, "", AVERAGE($AN$127:$AN$166))))</f>
        <v>6795.1398986419981</v>
      </c>
      <c r="AO126">
        <f ca="1">IF(ISERROR(IF(AVERAGE($AO$127:$AO$166) = 0, "", AVERAGE($AO$127:$AO$166))), "", (IF(AVERAGE($AO$127:$AO$166) = 0, "", AVERAGE($AO$127:$AO$166))))</f>
        <v>6451.1262339405266</v>
      </c>
      <c r="AP126">
        <f ca="1">IF(ISERROR(IF(AVERAGE($AP$127:$AP$166) = 0, "", AVERAGE($AP$127:$AP$166))), "", (IF(AVERAGE($AP$127:$AP$166) = 0, "", AVERAGE($AP$127:$AP$166))))</f>
        <v>4822.7476568573693</v>
      </c>
      <c r="AQ126">
        <f ca="1">IF(ISERROR(IF(AVERAGE($AQ$127:$AQ$166) = 0, "", AVERAGE($AQ$127:$AQ$166))), "", (IF(AVERAGE($AQ$127:$AQ$166) = 0, "", AVERAGE($AQ$127:$AQ$166))))</f>
        <v>3050.588069671579</v>
      </c>
      <c r="AR126">
        <f ca="1">IF(ISERROR(IF(AVERAGE($AR$127:$AR$166) = 0, "", AVERAGE($AR$127:$AR$166))), "", (IF(AVERAGE($AR$127:$AR$166) = 0, "", AVERAGE($AR$127:$AR$166))))</f>
        <v>2863.9188817244444</v>
      </c>
      <c r="AS126">
        <f ca="1">IF(ISERROR(IF(AVERAGE($AS$127:$AS$166) = 0, "", AVERAGE($AS$127:$AS$166))), "", (IF(AVERAGE($AS$127:$AS$166) = 0, "", AVERAGE($AS$127:$AS$166))))</f>
        <v>3482.9625611864444</v>
      </c>
      <c r="AT126">
        <f ca="1">IF(ISERROR(IF(AVERAGE($AT$127:$AT$166) = 0, "", AVERAGE($AT$127:$AT$166))), "", (IF(AVERAGE($AT$127:$AT$166) = 0, "", AVERAGE($AT$127:$AT$166))))</f>
        <v>4347.2640703449997</v>
      </c>
      <c r="AU126">
        <f ca="1">IF(ISERROR(IF(AVERAGE($AU$127:$AU$166) = 0, "", AVERAGE($AU$127:$AU$166))), "", (IF(AVERAGE($AU$127:$AU$166) = 0, "", AVERAGE($AU$127:$AU$166))))</f>
        <v>6069.5849731376911</v>
      </c>
      <c r="AV126">
        <f ca="1">IF(ISERROR(IF(AVERAGE($AV$127:$AV$166) = 0, "", AVERAGE($AV$127:$AV$166))), "", (IF(AVERAGE($AV$127:$AV$166) = 0, "", AVERAGE($AV$127:$AV$166))))</f>
        <v>8398.618534563635</v>
      </c>
      <c r="AW126">
        <f ca="1">IF(ISERROR(IF(AVERAGE($AW$127:$AW$166) = 0, "", AVERAGE($AW$127:$AW$166))), "", (IF(AVERAGE($AW$127:$AW$166) = 0, "", AVERAGE($AW$127:$AW$166))))</f>
        <v>8178.3826851545455</v>
      </c>
      <c r="AX126">
        <f ca="1">IF(ISERROR(IF(AVERAGE($AX$127:$AX$166) = 0, "", AVERAGE($AX$127:$AX$166))), "", (IF(AVERAGE($AX$127:$AX$166) = 0, "", AVERAGE($AX$127:$AX$166))))</f>
        <v>8577.4623713454566</v>
      </c>
      <c r="AY126">
        <f ca="1">IF(ISERROR(IF(AVERAGE($AY$127:$AY$166) = 0, "", AVERAGE($AY$127:$AY$166))), "", (IF(AVERAGE($AY$127:$AY$166) = 0, "", AVERAGE($AY$127:$AY$166))))</f>
        <v>8477.6339994090922</v>
      </c>
      <c r="AZ126">
        <f ca="1">IF(ISERROR(IF(AVERAGE($AZ$127:$AZ$166) = 0, "", AVERAGE($AZ$127:$AZ$166))), "", (IF(AVERAGE($AZ$127:$AZ$166) = 0, "", AVERAGE($AZ$127:$AZ$166))))</f>
        <v>7191.5487408416666</v>
      </c>
      <c r="BA126">
        <f ca="1">IF(ISERROR(IF(AVERAGE($BA$127:$BA$166) = 0, "", AVERAGE($BA$127:$BA$166))), "", (IF(AVERAGE($BA$127:$BA$166) = 0, "", AVERAGE($BA$127:$BA$166))))</f>
        <v>6453.4413046299996</v>
      </c>
      <c r="BB126">
        <f ca="1">IF(ISERROR(IF(AVERAGE($BB$127:$BB$166) = 0, "", AVERAGE($BB$127:$BB$166))), "", (IF(AVERAGE($BB$127:$BB$166) = 0, "", AVERAGE($BB$127:$BB$166))))</f>
        <v>6165.3540935166675</v>
      </c>
      <c r="BC126">
        <f ca="1">IF(ISERROR(IF(AVERAGE($BC$127:$BC$166) = 0, "", AVERAGE($BC$127:$BC$166))), "", (IF(AVERAGE($BC$127:$BC$166) = 0, "", AVERAGE($BC$127:$BC$166))))</f>
        <v>5634.6435742350004</v>
      </c>
      <c r="BD126">
        <f ca="1">IF(ISERROR(IF(AVERAGE($BD$127:$BD$166) = 0, "", AVERAGE($BD$127:$BD$166))), "", (IF(AVERAGE($BD$127:$BD$166) = 0, "", AVERAGE($BD$127:$BD$166))))</f>
        <v>5572.0219416241671</v>
      </c>
      <c r="BE126">
        <f ca="1">IF(ISERROR(IF(AVERAGE($BE$127:$BE$166) = 0, "", AVERAGE($BE$127:$BE$166))), "", (IF(AVERAGE($BE$127:$BE$166) = 0, "", AVERAGE($BE$127:$BE$166))))</f>
        <v>5922.9691406391676</v>
      </c>
      <c r="BF126">
        <f ca="1">IF(ISERROR(IF(AVERAGE($BF$127:$BF$166) = 0, "", AVERAGE($BF$127:$BF$166))), "", (IF(AVERAGE($BF$127:$BF$166) = 0, "", AVERAGE($BF$127:$BF$166))))</f>
        <v>5926.7733076325012</v>
      </c>
      <c r="BG126">
        <f ca="1">IF(ISERROR(IF(AVERAGE($BG$127:$BG$166) = 0, "", AVERAGE($BG$127:$BG$166))), "", (IF(AVERAGE($BG$127:$BG$166) = 0, "", AVERAGE($BG$127:$BG$166))))</f>
        <v>5152.794963737857</v>
      </c>
      <c r="BH126">
        <f ca="1">IF(ISERROR(IF(AVERAGE($BH$127:$BH$166) = 0, "", AVERAGE($BH$127:$BH$166))), "", (IF(AVERAGE($BH$127:$BH$166) = 0, "", AVERAGE($BH$127:$BH$166))))</f>
        <v>6043.761950791667</v>
      </c>
      <c r="BI126">
        <f ca="1">IF(ISERROR(IF(AVERAGE($BI$127:$BI$166) = 0, "", AVERAGE($BI$127:$BI$166))), "", (IF(AVERAGE($BI$127:$BI$166) = 0, "", AVERAGE($BI$127:$BI$166))))</f>
        <v>7153.7393891327265</v>
      </c>
      <c r="BJ126">
        <f ca="1">IF(ISERROR(IF(AVERAGE($BJ$127:$BJ$166) = 0, "", AVERAGE($BJ$127:$BJ$166))), "", (IF(AVERAGE($BJ$127:$BJ$166) = 0, "", AVERAGE($BJ$127:$BJ$166))))</f>
        <v>7089.6783782327266</v>
      </c>
      <c r="BK126">
        <f ca="1">IF(ISERROR(IF(AVERAGE($BK$127:$BK$166) = 0, "", AVERAGE($BK$127:$BK$166))), "", (IF(AVERAGE($BK$127:$BK$166) = 0, "", AVERAGE($BK$127:$BK$166))))</f>
        <v>7852.7898026477778</v>
      </c>
      <c r="BL126">
        <f ca="1">IF(ISERROR(IF(AVERAGE($BL$127:$BL$166) = 0, "", AVERAGE($BL$127:$BL$166))), "", (IF(AVERAGE($BL$127:$BL$166) = 0, "", AVERAGE($BL$127:$BL$166))))</f>
        <v>7828.1500404388889</v>
      </c>
      <c r="BM126">
        <f ca="1">IF(ISERROR(IF(AVERAGE($BM$127:$BM$166) = 0, "", AVERAGE($BM$127:$BM$166))), "", (IF(AVERAGE($BM$127:$BM$166) = 0, "", AVERAGE($BM$127:$BM$166))))</f>
        <v>7692.5250803977788</v>
      </c>
      <c r="BN126" t="str">
        <f>""</f>
        <v/>
      </c>
      <c r="BO126">
        <f>9712.330659</f>
        <v>9712.3306589999993</v>
      </c>
      <c r="BP126">
        <f>9675.568103</f>
        <v>9675.5681029999996</v>
      </c>
      <c r="BQ126">
        <f>9718.443187</f>
        <v>9718.4431870000008</v>
      </c>
      <c r="BR126">
        <f>9799.889902</f>
        <v>9799.8899020000008</v>
      </c>
      <c r="BS126">
        <f>9622.126514</f>
        <v>9622.1265139999996</v>
      </c>
      <c r="BT126">
        <f>9088.263501</f>
        <v>9088.2635009999995</v>
      </c>
      <c r="BU126">
        <f>9217.718303</f>
        <v>9217.7183029999997</v>
      </c>
      <c r="BV126">
        <f>9052.674769</f>
        <v>9052.6747689999993</v>
      </c>
      <c r="BW126">
        <f>8874.336817</f>
        <v>8874.3368169999994</v>
      </c>
      <c r="BX126">
        <f>8574.32987</f>
        <v>8574.3298699999996</v>
      </c>
      <c r="BY126">
        <f>8228.00998</f>
        <v>8228.0099800000007</v>
      </c>
      <c r="BZ126">
        <f>7902.181725</f>
        <v>7902.1817250000004</v>
      </c>
      <c r="CA126">
        <f>7847.018425</f>
        <v>7847.0184250000002</v>
      </c>
      <c r="CB126">
        <f>8205.862639</f>
        <v>8205.8626390000009</v>
      </c>
      <c r="CC126">
        <f>8566.491778</f>
        <v>8566.4917779999996</v>
      </c>
      <c r="CD126">
        <f>8597.074881</f>
        <v>8597.0748810000005</v>
      </c>
      <c r="CE126">
        <f>8567.841361</f>
        <v>8567.8413610000007</v>
      </c>
      <c r="CF126">
        <f>8667.41009</f>
        <v>8667.4100899999994</v>
      </c>
      <c r="CG126">
        <f>8604.596442</f>
        <v>8604.596442</v>
      </c>
      <c r="CH126">
        <f>8448.577427</f>
        <v>8448.5774270000002</v>
      </c>
      <c r="CI126">
        <f>8432.460488</f>
        <v>8432.4604880000006</v>
      </c>
      <c r="CJ126">
        <f>6361.887996</f>
        <v>6361.8879960000004</v>
      </c>
      <c r="CK126">
        <f>6070.951241</f>
        <v>6070.9512409999998</v>
      </c>
      <c r="CL126">
        <f>5974.83683</f>
        <v>5974.8368300000002</v>
      </c>
      <c r="CM126">
        <f>5862.661976</f>
        <v>5862.6619760000003</v>
      </c>
      <c r="CN126">
        <f>7789.687051</f>
        <v>7789.6870509999999</v>
      </c>
      <c r="CO126">
        <f>7678.827909</f>
        <v>7678.8279089999996</v>
      </c>
      <c r="CP126">
        <f>7395.292198</f>
        <v>7395.2921980000001</v>
      </c>
      <c r="CQ126">
        <f>6780.665543</f>
        <v>6780.6655430000001</v>
      </c>
      <c r="CR126">
        <f>6704.438113</f>
        <v>6704.4381130000002</v>
      </c>
      <c r="CS126">
        <f>6703.34039</f>
        <v>6703.3403900000003</v>
      </c>
      <c r="CT126">
        <f>6790.170702</f>
        <v>6790.1707020000003</v>
      </c>
      <c r="CU126">
        <f>6603.761211</f>
        <v>6603.761211</v>
      </c>
      <c r="CV126">
        <f>6795.139898</f>
        <v>6795.1398980000004</v>
      </c>
      <c r="CW126">
        <f>6451.126234</f>
        <v>6451.1262340000003</v>
      </c>
      <c r="CX126">
        <f>4822.747657</f>
        <v>4822.7476569999999</v>
      </c>
      <c r="CY126">
        <f>3050.58807</f>
        <v>3050.5880699999998</v>
      </c>
      <c r="CZ126">
        <f>2863.918882</f>
        <v>2863.9188819999999</v>
      </c>
      <c r="DA126">
        <f>3482.962561</f>
        <v>3482.9625609999998</v>
      </c>
      <c r="DB126">
        <f>4347.26407</f>
        <v>4347.2640700000002</v>
      </c>
      <c r="DC126">
        <f>6069.584974</f>
        <v>6069.5849740000003</v>
      </c>
      <c r="DD126">
        <f>8398.618534</f>
        <v>8398.6185339999993</v>
      </c>
      <c r="DE126">
        <f>8178.382685</f>
        <v>8178.3826849999996</v>
      </c>
      <c r="DF126">
        <f>8577.462371</f>
        <v>8577.4623709999996</v>
      </c>
      <c r="DG126">
        <f>8477.633999</f>
        <v>8477.6339989999997</v>
      </c>
      <c r="DH126">
        <f>7191.548741</f>
        <v>7191.5487409999996</v>
      </c>
      <c r="DI126">
        <f>6453.441305</f>
        <v>6453.4413050000003</v>
      </c>
      <c r="DJ126">
        <f>6165.354093</f>
        <v>6165.3540929999999</v>
      </c>
      <c r="DK126">
        <f>5634.643575</f>
        <v>5634.6435750000001</v>
      </c>
      <c r="DL126">
        <f>5572.021942</f>
        <v>5572.0219420000003</v>
      </c>
      <c r="DM126">
        <f>5922.969141</f>
        <v>5922.9691409999996</v>
      </c>
      <c r="DN126">
        <f>5926.773307</f>
        <v>5926.7733070000004</v>
      </c>
      <c r="DO126">
        <f>5152.794964</f>
        <v>5152.7949639999997</v>
      </c>
      <c r="DP126">
        <f>6043.761951</f>
        <v>6043.7619510000004</v>
      </c>
      <c r="DQ126">
        <f>7153.739389</f>
        <v>7153.7393890000003</v>
      </c>
      <c r="DR126">
        <f>7089.678377</f>
        <v>7089.6783770000002</v>
      </c>
      <c r="DS126">
        <f>7852.789803</f>
        <v>7852.7898029999997</v>
      </c>
      <c r="DT126">
        <f>7828.150041</f>
        <v>7828.1500409999999</v>
      </c>
      <c r="DU126">
        <f>7692.525081</f>
        <v>7692.5250809999998</v>
      </c>
    </row>
    <row r="127" spans="1:125" x14ac:dyDescent="0.25">
      <c r="A127" t="str">
        <f>"    AUDI AG"</f>
        <v xml:space="preserve">    AUDI AG</v>
      </c>
      <c r="B127" t="str">
        <f>"NSU GR Equity"</f>
        <v>NSU GR Equity</v>
      </c>
      <c r="C127" t="str">
        <f t="shared" ref="C127:C166" si="9">"RR841"</f>
        <v>RR841</v>
      </c>
      <c r="D127" t="str">
        <f t="shared" ref="D127:D166" si="10">"TRAIL_12M_EBITDA"</f>
        <v>TRAIL_12M_EBITDA</v>
      </c>
      <c r="E127" t="str">
        <f t="shared" ref="E127:E166" si="11">"Dynamic"</f>
        <v>Dynamic</v>
      </c>
      <c r="F127" t="str">
        <f ca="1">IF(AND(ISNUMBER($F$633),$B$511=1),$F$633,HLOOKUP(INDIRECT(ADDRESS(2,COLUMN())),OFFSET($BN$2,0,0,ROW()-1,60),ROW()-1,FALSE))</f>
        <v/>
      </c>
      <c r="G127" t="str">
        <f ca="1">IF(AND(ISNUMBER($G$633),$B$511=1),$G$633,HLOOKUP(INDIRECT(ADDRESS(2,COLUMN())),OFFSET($BN$2,0,0,ROW()-1,60),ROW()-1,FALSE))</f>
        <v/>
      </c>
      <c r="H127" t="str">
        <f ca="1">IF(AND(ISNUMBER($H$633),$B$511=1),$H$633,HLOOKUP(INDIRECT(ADDRESS(2,COLUMN())),OFFSET($BN$2,0,0,ROW()-1,60),ROW()-1,FALSE))</f>
        <v/>
      </c>
      <c r="I127" t="str">
        <f ca="1">IF(AND(ISNUMBER($I$633),$B$511=1),$I$633,HLOOKUP(INDIRECT(ADDRESS(2,COLUMN())),OFFSET($BN$2,0,0,ROW()-1,60),ROW()-1,FALSE))</f>
        <v/>
      </c>
      <c r="J127" t="str">
        <f ca="1">IF(AND(ISNUMBER($J$633),$B$511=1),$J$633,HLOOKUP(INDIRECT(ADDRESS(2,COLUMN())),OFFSET($BN$2,0,0,ROW()-1,60),ROW()-1,FALSE))</f>
        <v/>
      </c>
      <c r="K127" t="str">
        <f ca="1">IF(AND(ISNUMBER($K$633),$B$511=1),$K$633,HLOOKUP(INDIRECT(ADDRESS(2,COLUMN())),OFFSET($BN$2,0,0,ROW()-1,60),ROW()-1,FALSE))</f>
        <v/>
      </c>
      <c r="L127" t="str">
        <f ca="1">IF(AND(ISNUMBER($L$633),$B$511=1),$L$633,HLOOKUP(INDIRECT(ADDRESS(2,COLUMN())),OFFSET($BN$2,0,0,ROW()-1,60),ROW()-1,FALSE))</f>
        <v/>
      </c>
      <c r="M127" t="str">
        <f ca="1">IF(AND(ISNUMBER($M$633),$B$511=1),$M$633,HLOOKUP(INDIRECT(ADDRESS(2,COLUMN())),OFFSET($BN$2,0,0,ROW()-1,60),ROW()-1,FALSE))</f>
        <v/>
      </c>
      <c r="N127" t="str">
        <f ca="1">IF(AND(ISNUMBER($N$633),$B$511=1),$N$633,HLOOKUP(INDIRECT(ADDRESS(2,COLUMN())),OFFSET($BN$2,0,0,ROW()-1,60),ROW()-1,FALSE))</f>
        <v/>
      </c>
      <c r="O127" t="str">
        <f ca="1">IF(AND(ISNUMBER($O$633),$B$511=1),$O$633,HLOOKUP(INDIRECT(ADDRESS(2,COLUMN())),OFFSET($BN$2,0,0,ROW()-1,60),ROW()-1,FALSE))</f>
        <v/>
      </c>
      <c r="P127" t="str">
        <f ca="1">IF(AND(ISNUMBER($P$633),$B$511=1),$P$633,HLOOKUP(INDIRECT(ADDRESS(2,COLUMN())),OFFSET($BN$2,0,0,ROW()-1,60),ROW()-1,FALSE))</f>
        <v/>
      </c>
      <c r="Q127" t="str">
        <f ca="1">IF(AND(ISNUMBER($Q$633),$B$511=1),$Q$633,HLOOKUP(INDIRECT(ADDRESS(2,COLUMN())),OFFSET($BN$2,0,0,ROW()-1,60),ROW()-1,FALSE))</f>
        <v/>
      </c>
      <c r="R127" t="str">
        <f ca="1">IF(AND(ISNUMBER($R$633),$B$511=1),$R$633,HLOOKUP(INDIRECT(ADDRESS(2,COLUMN())),OFFSET($BN$2,0,0,ROW()-1,60),ROW()-1,FALSE))</f>
        <v/>
      </c>
      <c r="S127" t="str">
        <f ca="1">IF(AND(ISNUMBER($S$633),$B$511=1),$S$633,HLOOKUP(INDIRECT(ADDRESS(2,COLUMN())),OFFSET($BN$2,0,0,ROW()-1,60),ROW()-1,FALSE))</f>
        <v/>
      </c>
      <c r="T127" t="str">
        <f ca="1">IF(AND(ISNUMBER($T$633),$B$511=1),$T$633,HLOOKUP(INDIRECT(ADDRESS(2,COLUMN())),OFFSET($BN$2,0,0,ROW()-1,60),ROW()-1,FALSE))</f>
        <v/>
      </c>
      <c r="U127" t="str">
        <f ca="1">IF(AND(ISNUMBER($U$633),$B$511=1),$U$633,HLOOKUP(INDIRECT(ADDRESS(2,COLUMN())),OFFSET($BN$2,0,0,ROW()-1,60),ROW()-1,FALSE))</f>
        <v/>
      </c>
      <c r="V127" t="str">
        <f ca="1">IF(AND(ISNUMBER($V$633),$B$511=1),$V$633,HLOOKUP(INDIRECT(ADDRESS(2,COLUMN())),OFFSET($BN$2,0,0,ROW()-1,60),ROW()-1,FALSE))</f>
        <v/>
      </c>
      <c r="W127" t="str">
        <f ca="1">IF(AND(ISNUMBER($W$633),$B$511=1),$W$633,HLOOKUP(INDIRECT(ADDRESS(2,COLUMN())),OFFSET($BN$2,0,0,ROW()-1,60),ROW()-1,FALSE))</f>
        <v/>
      </c>
      <c r="X127" t="str">
        <f ca="1">IF(AND(ISNUMBER($X$633),$B$511=1),$X$633,HLOOKUP(INDIRECT(ADDRESS(2,COLUMN())),OFFSET($BN$2,0,0,ROW()-1,60),ROW()-1,FALSE))</f>
        <v/>
      </c>
      <c r="Y127" t="str">
        <f ca="1">IF(AND(ISNUMBER($Y$633),$B$511=1),$Y$633,HLOOKUP(INDIRECT(ADDRESS(2,COLUMN())),OFFSET($BN$2,0,0,ROW()-1,60),ROW()-1,FALSE))</f>
        <v/>
      </c>
      <c r="Z127" t="str">
        <f ca="1">IF(AND(ISNUMBER($Z$633),$B$511=1),$Z$633,HLOOKUP(INDIRECT(ADDRESS(2,COLUMN())),OFFSET($BN$2,0,0,ROW()-1,60),ROW()-1,FALSE))</f>
        <v/>
      </c>
      <c r="AA127" t="str">
        <f ca="1">IF(AND(ISNUMBER($AA$633),$B$511=1),$AA$633,HLOOKUP(INDIRECT(ADDRESS(2,COLUMN())),OFFSET($BN$2,0,0,ROW()-1,60),ROW()-1,FALSE))</f>
        <v/>
      </c>
      <c r="AB127" t="str">
        <f ca="1">IF(AND(ISNUMBER($AB$633),$B$511=1),$AB$633,HLOOKUP(INDIRECT(ADDRESS(2,COLUMN())),OFFSET($BN$2,0,0,ROW()-1,60),ROW()-1,FALSE))</f>
        <v/>
      </c>
      <c r="AC127" t="str">
        <f ca="1">IF(AND(ISNUMBER($AC$633),$B$511=1),$AC$633,HLOOKUP(INDIRECT(ADDRESS(2,COLUMN())),OFFSET($BN$2,0,0,ROW()-1,60),ROW()-1,FALSE))</f>
        <v/>
      </c>
      <c r="AD127" t="str">
        <f ca="1">IF(AND(ISNUMBER($AD$633),$B$511=1),$AD$633,HLOOKUP(INDIRECT(ADDRESS(2,COLUMN())),OFFSET($BN$2,0,0,ROW()-1,60),ROW()-1,FALSE))</f>
        <v/>
      </c>
      <c r="AE127" t="str">
        <f ca="1">IF(AND(ISNUMBER($AE$633),$B$511=1),$AE$633,HLOOKUP(INDIRECT(ADDRESS(2,COLUMN())),OFFSET($BN$2,0,0,ROW()-1,60),ROW()-1,FALSE))</f>
        <v/>
      </c>
      <c r="AF127" t="str">
        <f ca="1">IF(AND(ISNUMBER($AF$633),$B$511=1),$AF$633,HLOOKUP(INDIRECT(ADDRESS(2,COLUMN())),OFFSET($BN$2,0,0,ROW()-1,60),ROW()-1,FALSE))</f>
        <v/>
      </c>
      <c r="AG127" t="str">
        <f ca="1">IF(AND(ISNUMBER($AG$633),$B$511=1),$AG$633,HLOOKUP(INDIRECT(ADDRESS(2,COLUMN())),OFFSET($BN$2,0,0,ROW()-1,60),ROW()-1,FALSE))</f>
        <v/>
      </c>
      <c r="AH127" t="str">
        <f ca="1">IF(AND(ISNUMBER($AH$633),$B$511=1),$AH$633,HLOOKUP(INDIRECT(ADDRESS(2,COLUMN())),OFFSET($BN$2,0,0,ROW()-1,60),ROW()-1,FALSE))</f>
        <v/>
      </c>
      <c r="AI127" t="str">
        <f ca="1">IF(AND(ISNUMBER($AI$633),$B$511=1),$AI$633,HLOOKUP(INDIRECT(ADDRESS(2,COLUMN())),OFFSET($BN$2,0,0,ROW()-1,60),ROW()-1,FALSE))</f>
        <v/>
      </c>
      <c r="AJ127" t="str">
        <f ca="1">IF(AND(ISNUMBER($AJ$633),$B$511=1),$AJ$633,HLOOKUP(INDIRECT(ADDRESS(2,COLUMN())),OFFSET($BN$2,0,0,ROW()-1,60),ROW()-1,FALSE))</f>
        <v/>
      </c>
      <c r="AK127" t="str">
        <f ca="1">IF(AND(ISNUMBER($AK$633),$B$511=1),$AK$633,HLOOKUP(INDIRECT(ADDRESS(2,COLUMN())),OFFSET($BN$2,0,0,ROW()-1,60),ROW()-1,FALSE))</f>
        <v/>
      </c>
      <c r="AL127" t="str">
        <f ca="1">IF(AND(ISNUMBER($AL$633),$B$511=1),$AL$633,HLOOKUP(INDIRECT(ADDRESS(2,COLUMN())),OFFSET($BN$2,0,0,ROW()-1,60),ROW()-1,FALSE))</f>
        <v/>
      </c>
      <c r="AM127" t="str">
        <f ca="1">IF(AND(ISNUMBER($AM$633),$B$511=1),$AM$633,HLOOKUP(INDIRECT(ADDRESS(2,COLUMN())),OFFSET($BN$2,0,0,ROW()-1,60),ROW()-1,FALSE))</f>
        <v/>
      </c>
      <c r="AN127" t="str">
        <f ca="1">IF(AND(ISNUMBER($AN$633),$B$511=1),$AN$633,HLOOKUP(INDIRECT(ADDRESS(2,COLUMN())),OFFSET($BN$2,0,0,ROW()-1,60),ROW()-1,FALSE))</f>
        <v/>
      </c>
      <c r="AO127" t="str">
        <f ca="1">IF(AND(ISNUMBER($AO$633),$B$511=1),$AO$633,HLOOKUP(INDIRECT(ADDRESS(2,COLUMN())),OFFSET($BN$2,0,0,ROW()-1,60),ROW()-1,FALSE))</f>
        <v/>
      </c>
      <c r="AP127" t="str">
        <f ca="1">IF(AND(ISNUMBER($AP$633),$B$511=1),$AP$633,HLOOKUP(INDIRECT(ADDRESS(2,COLUMN())),OFFSET($BN$2,0,0,ROW()-1,60),ROW()-1,FALSE))</f>
        <v/>
      </c>
      <c r="AQ127" t="str">
        <f ca="1">IF(AND(ISNUMBER($AQ$633),$B$511=1),$AQ$633,HLOOKUP(INDIRECT(ADDRESS(2,COLUMN())),OFFSET($BN$2,0,0,ROW()-1,60),ROW()-1,FALSE))</f>
        <v/>
      </c>
      <c r="AR127" t="str">
        <f ca="1">IF(AND(ISNUMBER($AR$633),$B$511=1),$AR$633,HLOOKUP(INDIRECT(ADDRESS(2,COLUMN())),OFFSET($BN$2,0,0,ROW()-1,60),ROW()-1,FALSE))</f>
        <v/>
      </c>
      <c r="AS127" t="str">
        <f ca="1">IF(AND(ISNUMBER($AS$633),$B$511=1),$AS$633,HLOOKUP(INDIRECT(ADDRESS(2,COLUMN())),OFFSET($BN$2,0,0,ROW()-1,60),ROW()-1,FALSE))</f>
        <v/>
      </c>
      <c r="AT127" t="str">
        <f ca="1">IF(AND(ISNUMBER($AT$633),$B$511=1),$AT$633,HLOOKUP(INDIRECT(ADDRESS(2,COLUMN())),OFFSET($BN$2,0,0,ROW()-1,60),ROW()-1,FALSE))</f>
        <v/>
      </c>
      <c r="AU127" t="str">
        <f ca="1">IF(AND(ISNUMBER($AU$633),$B$511=1),$AU$633,HLOOKUP(INDIRECT(ADDRESS(2,COLUMN())),OFFSET($BN$2,0,0,ROW()-1,60),ROW()-1,FALSE))</f>
        <v/>
      </c>
      <c r="AV127" t="str">
        <f ca="1">IF(AND(ISNUMBER($AV$633),$B$511=1),$AV$633,HLOOKUP(INDIRECT(ADDRESS(2,COLUMN())),OFFSET($BN$2,0,0,ROW()-1,60),ROW()-1,FALSE))</f>
        <v/>
      </c>
      <c r="AW127" t="str">
        <f ca="1">IF(AND(ISNUMBER($AW$633),$B$511=1),$AW$633,HLOOKUP(INDIRECT(ADDRESS(2,COLUMN())),OFFSET($BN$2,0,0,ROW()-1,60),ROW()-1,FALSE))</f>
        <v/>
      </c>
      <c r="AX127" t="str">
        <f ca="1">IF(AND(ISNUMBER($AX$633),$B$511=1),$AX$633,HLOOKUP(INDIRECT(ADDRESS(2,COLUMN())),OFFSET($BN$2,0,0,ROW()-1,60),ROW()-1,FALSE))</f>
        <v/>
      </c>
      <c r="AY127" t="str">
        <f ca="1">IF(AND(ISNUMBER($AY$633),$B$511=1),$AY$633,HLOOKUP(INDIRECT(ADDRESS(2,COLUMN())),OFFSET($BN$2,0,0,ROW()-1,60),ROW()-1,FALSE))</f>
        <v/>
      </c>
      <c r="AZ127" t="str">
        <f ca="1">IF(AND(ISNUMBER($AZ$633),$B$511=1),$AZ$633,HLOOKUP(INDIRECT(ADDRESS(2,COLUMN())),OFFSET($BN$2,0,0,ROW()-1,60),ROW()-1,FALSE))</f>
        <v/>
      </c>
      <c r="BA127" t="str">
        <f ca="1">IF(AND(ISNUMBER($BA$633),$B$511=1),$BA$633,HLOOKUP(INDIRECT(ADDRESS(2,COLUMN())),OFFSET($BN$2,0,0,ROW()-1,60),ROW()-1,FALSE))</f>
        <v/>
      </c>
      <c r="BB127" t="str">
        <f ca="1">IF(AND(ISNUMBER($BB$633),$B$511=1),$BB$633,HLOOKUP(INDIRECT(ADDRESS(2,COLUMN())),OFFSET($BN$2,0,0,ROW()-1,60),ROW()-1,FALSE))</f>
        <v/>
      </c>
      <c r="BC127" t="str">
        <f ca="1">IF(AND(ISNUMBER($BC$633),$B$511=1),$BC$633,HLOOKUP(INDIRECT(ADDRESS(2,COLUMN())),OFFSET($BN$2,0,0,ROW()-1,60),ROW()-1,FALSE))</f>
        <v/>
      </c>
      <c r="BD127" t="str">
        <f ca="1">IF(AND(ISNUMBER($BD$633),$B$511=1),$BD$633,HLOOKUP(INDIRECT(ADDRESS(2,COLUMN())),OFFSET($BN$2,0,0,ROW()-1,60),ROW()-1,FALSE))</f>
        <v/>
      </c>
      <c r="BE127" t="str">
        <f ca="1">IF(AND(ISNUMBER($BE$633),$B$511=1),$BE$633,HLOOKUP(INDIRECT(ADDRESS(2,COLUMN())),OFFSET($BN$2,0,0,ROW()-1,60),ROW()-1,FALSE))</f>
        <v/>
      </c>
      <c r="BF127" t="str">
        <f ca="1">IF(AND(ISNUMBER($BF$633),$B$511=1),$BF$633,HLOOKUP(INDIRECT(ADDRESS(2,COLUMN())),OFFSET($BN$2,0,0,ROW()-1,60),ROW()-1,FALSE))</f>
        <v/>
      </c>
      <c r="BG127" t="str">
        <f ca="1">IF(AND(ISNUMBER($BG$633),$B$511=1),$BG$633,HLOOKUP(INDIRECT(ADDRESS(2,COLUMN())),OFFSET($BN$2,0,0,ROW()-1,60),ROW()-1,FALSE))</f>
        <v/>
      </c>
      <c r="BH127" t="str">
        <f ca="1">IF(AND(ISNUMBER($BH$633),$B$511=1),$BH$633,HLOOKUP(INDIRECT(ADDRESS(2,COLUMN())),OFFSET($BN$2,0,0,ROW()-1,60),ROW()-1,FALSE))</f>
        <v/>
      </c>
      <c r="BI127" t="str">
        <f ca="1">IF(AND(ISNUMBER($BI$633),$B$511=1),$BI$633,HLOOKUP(INDIRECT(ADDRESS(2,COLUMN())),OFFSET($BN$2,0,0,ROW()-1,60),ROW()-1,FALSE))</f>
        <v/>
      </c>
      <c r="BJ127" t="str">
        <f ca="1">IF(AND(ISNUMBER($BJ$633),$B$511=1),$BJ$633,HLOOKUP(INDIRECT(ADDRESS(2,COLUMN())),OFFSET($BN$2,0,0,ROW()-1,60),ROW()-1,FALSE))</f>
        <v/>
      </c>
      <c r="BK127" t="str">
        <f ca="1">IF(AND(ISNUMBER($BK$633),$B$511=1),$BK$633,HLOOKUP(INDIRECT(ADDRESS(2,COLUMN())),OFFSET($BN$2,0,0,ROW()-1,60),ROW()-1,FALSE))</f>
        <v/>
      </c>
      <c r="BL127" t="str">
        <f ca="1">IF(AND(ISNUMBER($BL$633),$B$511=1),$BL$633,HLOOKUP(INDIRECT(ADDRESS(2,COLUMN())),OFFSET($BN$2,0,0,ROW()-1,60),ROW()-1,FALSE))</f>
        <v/>
      </c>
      <c r="BM127" t="str">
        <f ca="1">IF(AND(ISNUMBER($BM$633),$B$511=1),$BM$633,HLOOKUP(INDIRECT(ADDRESS(2,COLUMN())),OFFSET($BN$2,0,0,ROW()-1,60),ROW()-1,FALSE))</f>
        <v/>
      </c>
      <c r="BN127" t="str">
        <f>""</f>
        <v/>
      </c>
      <c r="BO127" t="str">
        <f>""</f>
        <v/>
      </c>
      <c r="BP127" t="str">
        <f>""</f>
        <v/>
      </c>
      <c r="BQ127" t="str">
        <f>""</f>
        <v/>
      </c>
      <c r="BR127" t="str">
        <f>""</f>
        <v/>
      </c>
      <c r="BS127" t="str">
        <f>""</f>
        <v/>
      </c>
      <c r="BT127" t="str">
        <f>""</f>
        <v/>
      </c>
      <c r="BU127" t="str">
        <f>""</f>
        <v/>
      </c>
      <c r="BV127" t="str">
        <f>""</f>
        <v/>
      </c>
      <c r="BW127" t="str">
        <f>""</f>
        <v/>
      </c>
      <c r="BX127" t="str">
        <f>""</f>
        <v/>
      </c>
      <c r="BY127" t="str">
        <f>""</f>
        <v/>
      </c>
      <c r="BZ127" t="str">
        <f>""</f>
        <v/>
      </c>
      <c r="CA127" t="str">
        <f>""</f>
        <v/>
      </c>
      <c r="CB127" t="str">
        <f>""</f>
        <v/>
      </c>
      <c r="CC127" t="str">
        <f>""</f>
        <v/>
      </c>
      <c r="CD127" t="str">
        <f>""</f>
        <v/>
      </c>
      <c r="CE127" t="str">
        <f>""</f>
        <v/>
      </c>
      <c r="CF127" t="str">
        <f>""</f>
        <v/>
      </c>
      <c r="CG127" t="str">
        <f>""</f>
        <v/>
      </c>
      <c r="CH127" t="str">
        <f>""</f>
        <v/>
      </c>
      <c r="CI127" t="str">
        <f>""</f>
        <v/>
      </c>
      <c r="CJ127" t="str">
        <f>""</f>
        <v/>
      </c>
      <c r="CK127" t="str">
        <f>""</f>
        <v/>
      </c>
      <c r="CL127" t="str">
        <f>""</f>
        <v/>
      </c>
      <c r="CM127" t="str">
        <f>""</f>
        <v/>
      </c>
      <c r="CN127" t="str">
        <f>""</f>
        <v/>
      </c>
      <c r="CO127" t="str">
        <f>""</f>
        <v/>
      </c>
      <c r="CP127" t="str">
        <f>""</f>
        <v/>
      </c>
      <c r="CQ127" t="str">
        <f>""</f>
        <v/>
      </c>
      <c r="CR127" t="str">
        <f>""</f>
        <v/>
      </c>
      <c r="CS127" t="str">
        <f>""</f>
        <v/>
      </c>
      <c r="CT127" t="str">
        <f>""</f>
        <v/>
      </c>
      <c r="CU127" t="str">
        <f>""</f>
        <v/>
      </c>
      <c r="CV127" t="str">
        <f>""</f>
        <v/>
      </c>
      <c r="CW127" t="str">
        <f>""</f>
        <v/>
      </c>
      <c r="CX127" t="str">
        <f>""</f>
        <v/>
      </c>
      <c r="CY127" t="str">
        <f>""</f>
        <v/>
      </c>
      <c r="CZ127" t="str">
        <f>""</f>
        <v/>
      </c>
      <c r="DA127" t="str">
        <f>""</f>
        <v/>
      </c>
      <c r="DB127" t="str">
        <f>""</f>
        <v/>
      </c>
      <c r="DC127" t="str">
        <f>""</f>
        <v/>
      </c>
      <c r="DD127" t="str">
        <f>""</f>
        <v/>
      </c>
      <c r="DE127" t="str">
        <f>""</f>
        <v/>
      </c>
      <c r="DF127" t="str">
        <f>""</f>
        <v/>
      </c>
      <c r="DG127" t="str">
        <f>""</f>
        <v/>
      </c>
      <c r="DH127" t="str">
        <f>""</f>
        <v/>
      </c>
      <c r="DI127" t="str">
        <f>""</f>
        <v/>
      </c>
      <c r="DJ127" t="str">
        <f>""</f>
        <v/>
      </c>
      <c r="DK127" t="str">
        <f>""</f>
        <v/>
      </c>
      <c r="DL127" t="str">
        <f>""</f>
        <v/>
      </c>
      <c r="DM127" t="str">
        <f>""</f>
        <v/>
      </c>
      <c r="DN127" t="str">
        <f>""</f>
        <v/>
      </c>
      <c r="DO127" t="str">
        <f>""</f>
        <v/>
      </c>
      <c r="DP127" t="str">
        <f>""</f>
        <v/>
      </c>
      <c r="DQ127" t="str">
        <f>""</f>
        <v/>
      </c>
      <c r="DR127" t="str">
        <f>""</f>
        <v/>
      </c>
      <c r="DS127" t="str">
        <f>""</f>
        <v/>
      </c>
      <c r="DT127" t="str">
        <f>""</f>
        <v/>
      </c>
      <c r="DU127" t="str">
        <f>""</f>
        <v/>
      </c>
    </row>
    <row r="128" spans="1:125" x14ac:dyDescent="0.25">
      <c r="A128" t="str">
        <f>"    Avtovaz PJSC"</f>
        <v xml:space="preserve">    Avtovaz PJSC</v>
      </c>
      <c r="B128" t="str">
        <f>"AVAZ RM Equity"</f>
        <v>AVAZ RM Equity</v>
      </c>
      <c r="C128" t="str">
        <f t="shared" si="9"/>
        <v>RR841</v>
      </c>
      <c r="D128" t="str">
        <f t="shared" si="10"/>
        <v>TRAIL_12M_EBITDA</v>
      </c>
      <c r="E128" t="str">
        <f t="shared" si="11"/>
        <v>Dynamic</v>
      </c>
      <c r="F128" t="str">
        <f ca="1">IF(AND(ISNUMBER($F$634),$B$511=1),$F$634,HLOOKUP(INDIRECT(ADDRESS(2,COLUMN())),OFFSET($BN$2,0,0,ROW()-1,60),ROW()-1,FALSE))</f>
        <v/>
      </c>
      <c r="G128" t="str">
        <f ca="1">IF(AND(ISNUMBER($G$634),$B$511=1),$G$634,HLOOKUP(INDIRECT(ADDRESS(2,COLUMN())),OFFSET($BN$2,0,0,ROW()-1,60),ROW()-1,FALSE))</f>
        <v/>
      </c>
      <c r="H128" t="str">
        <f ca="1">IF(AND(ISNUMBER($H$634),$B$511=1),$H$634,HLOOKUP(INDIRECT(ADDRESS(2,COLUMN())),OFFSET($BN$2,0,0,ROW()-1,60),ROW()-1,FALSE))</f>
        <v/>
      </c>
      <c r="I128" t="str">
        <f ca="1">IF(AND(ISNUMBER($I$634),$B$511=1),$I$634,HLOOKUP(INDIRECT(ADDRESS(2,COLUMN())),OFFSET($BN$2,0,0,ROW()-1,60),ROW()-1,FALSE))</f>
        <v/>
      </c>
      <c r="J128" t="str">
        <f ca="1">IF(AND(ISNUMBER($J$634),$B$511=1),$J$634,HLOOKUP(INDIRECT(ADDRESS(2,COLUMN())),OFFSET($BN$2,0,0,ROW()-1,60),ROW()-1,FALSE))</f>
        <v/>
      </c>
      <c r="K128" t="str">
        <f ca="1">IF(AND(ISNUMBER($K$634),$B$511=1),$K$634,HLOOKUP(INDIRECT(ADDRESS(2,COLUMN())),OFFSET($BN$2,0,0,ROW()-1,60),ROW()-1,FALSE))</f>
        <v/>
      </c>
      <c r="L128" t="str">
        <f ca="1">IF(AND(ISNUMBER($L$634),$B$511=1),$L$634,HLOOKUP(INDIRECT(ADDRESS(2,COLUMN())),OFFSET($BN$2,0,0,ROW()-1,60),ROW()-1,FALSE))</f>
        <v/>
      </c>
      <c r="M128" t="str">
        <f ca="1">IF(AND(ISNUMBER($M$634),$B$511=1),$M$634,HLOOKUP(INDIRECT(ADDRESS(2,COLUMN())),OFFSET($BN$2,0,0,ROW()-1,60),ROW()-1,FALSE))</f>
        <v/>
      </c>
      <c r="N128" t="str">
        <f ca="1">IF(AND(ISNUMBER($N$634),$B$511=1),$N$634,HLOOKUP(INDIRECT(ADDRESS(2,COLUMN())),OFFSET($BN$2,0,0,ROW()-1,60),ROW()-1,FALSE))</f>
        <v/>
      </c>
      <c r="O128" t="str">
        <f ca="1">IF(AND(ISNUMBER($O$634),$B$511=1),$O$634,HLOOKUP(INDIRECT(ADDRESS(2,COLUMN())),OFFSET($BN$2,0,0,ROW()-1,60),ROW()-1,FALSE))</f>
        <v/>
      </c>
      <c r="P128" t="str">
        <f ca="1">IF(AND(ISNUMBER($P$634),$B$511=1),$P$634,HLOOKUP(INDIRECT(ADDRESS(2,COLUMN())),OFFSET($BN$2,0,0,ROW()-1,60),ROW()-1,FALSE))</f>
        <v/>
      </c>
      <c r="Q128" t="str">
        <f ca="1">IF(AND(ISNUMBER($Q$634),$B$511=1),$Q$634,HLOOKUP(INDIRECT(ADDRESS(2,COLUMN())),OFFSET($BN$2,0,0,ROW()-1,60),ROW()-1,FALSE))</f>
        <v/>
      </c>
      <c r="R128" t="str">
        <f ca="1">IF(AND(ISNUMBER($R$634),$B$511=1),$R$634,HLOOKUP(INDIRECT(ADDRESS(2,COLUMN())),OFFSET($BN$2,0,0,ROW()-1,60),ROW()-1,FALSE))</f>
        <v/>
      </c>
      <c r="S128" t="str">
        <f ca="1">IF(AND(ISNUMBER($S$634),$B$511=1),$S$634,HLOOKUP(INDIRECT(ADDRESS(2,COLUMN())),OFFSET($BN$2,0,0,ROW()-1,60),ROW()-1,FALSE))</f>
        <v/>
      </c>
      <c r="T128" t="str">
        <f ca="1">IF(AND(ISNUMBER($T$634),$B$511=1),$T$634,HLOOKUP(INDIRECT(ADDRESS(2,COLUMN())),OFFSET($BN$2,0,0,ROW()-1,60),ROW()-1,FALSE))</f>
        <v/>
      </c>
      <c r="U128" t="str">
        <f ca="1">IF(AND(ISNUMBER($U$634),$B$511=1),$U$634,HLOOKUP(INDIRECT(ADDRESS(2,COLUMN())),OFFSET($BN$2,0,0,ROW()-1,60),ROW()-1,FALSE))</f>
        <v/>
      </c>
      <c r="V128" t="str">
        <f ca="1">IF(AND(ISNUMBER($V$634),$B$511=1),$V$634,HLOOKUP(INDIRECT(ADDRESS(2,COLUMN())),OFFSET($BN$2,0,0,ROW()-1,60),ROW()-1,FALSE))</f>
        <v/>
      </c>
      <c r="W128" t="str">
        <f ca="1">IF(AND(ISNUMBER($W$634),$B$511=1),$W$634,HLOOKUP(INDIRECT(ADDRESS(2,COLUMN())),OFFSET($BN$2,0,0,ROW()-1,60),ROW()-1,FALSE))</f>
        <v/>
      </c>
      <c r="X128" t="str">
        <f ca="1">IF(AND(ISNUMBER($X$634),$B$511=1),$X$634,HLOOKUP(INDIRECT(ADDRESS(2,COLUMN())),OFFSET($BN$2,0,0,ROW()-1,60),ROW()-1,FALSE))</f>
        <v/>
      </c>
      <c r="Y128" t="str">
        <f ca="1">IF(AND(ISNUMBER($Y$634),$B$511=1),$Y$634,HLOOKUP(INDIRECT(ADDRESS(2,COLUMN())),OFFSET($BN$2,0,0,ROW()-1,60),ROW()-1,FALSE))</f>
        <v/>
      </c>
      <c r="Z128" t="str">
        <f ca="1">IF(AND(ISNUMBER($Z$634),$B$511=1),$Z$634,HLOOKUP(INDIRECT(ADDRESS(2,COLUMN())),OFFSET($BN$2,0,0,ROW()-1,60),ROW()-1,FALSE))</f>
        <v/>
      </c>
      <c r="AA128" t="str">
        <f ca="1">IF(AND(ISNUMBER($AA$634),$B$511=1),$AA$634,HLOOKUP(INDIRECT(ADDRESS(2,COLUMN())),OFFSET($BN$2,0,0,ROW()-1,60),ROW()-1,FALSE))</f>
        <v/>
      </c>
      <c r="AB128" t="str">
        <f ca="1">IF(AND(ISNUMBER($AB$634),$B$511=1),$AB$634,HLOOKUP(INDIRECT(ADDRESS(2,COLUMN())),OFFSET($BN$2,0,0,ROW()-1,60),ROW()-1,FALSE))</f>
        <v/>
      </c>
      <c r="AC128" t="str">
        <f ca="1">IF(AND(ISNUMBER($AC$634),$B$511=1),$AC$634,HLOOKUP(INDIRECT(ADDRESS(2,COLUMN())),OFFSET($BN$2,0,0,ROW()-1,60),ROW()-1,FALSE))</f>
        <v/>
      </c>
      <c r="AD128" t="str">
        <f ca="1">IF(AND(ISNUMBER($AD$634),$B$511=1),$AD$634,HLOOKUP(INDIRECT(ADDRESS(2,COLUMN())),OFFSET($BN$2,0,0,ROW()-1,60),ROW()-1,FALSE))</f>
        <v/>
      </c>
      <c r="AE128" t="str">
        <f ca="1">IF(AND(ISNUMBER($AE$634),$B$511=1),$AE$634,HLOOKUP(INDIRECT(ADDRESS(2,COLUMN())),OFFSET($BN$2,0,0,ROW()-1,60),ROW()-1,FALSE))</f>
        <v/>
      </c>
      <c r="AF128" t="str">
        <f ca="1">IF(AND(ISNUMBER($AF$634),$B$511=1),$AF$634,HLOOKUP(INDIRECT(ADDRESS(2,COLUMN())),OFFSET($BN$2,0,0,ROW()-1,60),ROW()-1,FALSE))</f>
        <v/>
      </c>
      <c r="AG128" t="str">
        <f ca="1">IF(AND(ISNUMBER($AG$634),$B$511=1),$AG$634,HLOOKUP(INDIRECT(ADDRESS(2,COLUMN())),OFFSET($BN$2,0,0,ROW()-1,60),ROW()-1,FALSE))</f>
        <v/>
      </c>
      <c r="AH128" t="str">
        <f ca="1">IF(AND(ISNUMBER($AH$634),$B$511=1),$AH$634,HLOOKUP(INDIRECT(ADDRESS(2,COLUMN())),OFFSET($BN$2,0,0,ROW()-1,60),ROW()-1,FALSE))</f>
        <v/>
      </c>
      <c r="AI128" t="str">
        <f ca="1">IF(AND(ISNUMBER($AI$634),$B$511=1),$AI$634,HLOOKUP(INDIRECT(ADDRESS(2,COLUMN())),OFFSET($BN$2,0,0,ROW()-1,60),ROW()-1,FALSE))</f>
        <v/>
      </c>
      <c r="AJ128" t="str">
        <f ca="1">IF(AND(ISNUMBER($AJ$634),$B$511=1),$AJ$634,HLOOKUP(INDIRECT(ADDRESS(2,COLUMN())),OFFSET($BN$2,0,0,ROW()-1,60),ROW()-1,FALSE))</f>
        <v/>
      </c>
      <c r="AK128" t="str">
        <f ca="1">IF(AND(ISNUMBER($AK$634),$B$511=1),$AK$634,HLOOKUP(INDIRECT(ADDRESS(2,COLUMN())),OFFSET($BN$2,0,0,ROW()-1,60),ROW()-1,FALSE))</f>
        <v/>
      </c>
      <c r="AL128" t="str">
        <f ca="1">IF(AND(ISNUMBER($AL$634),$B$511=1),$AL$634,HLOOKUP(INDIRECT(ADDRESS(2,COLUMN())),OFFSET($BN$2,0,0,ROW()-1,60),ROW()-1,FALSE))</f>
        <v/>
      </c>
      <c r="AM128" t="str">
        <f ca="1">IF(AND(ISNUMBER($AM$634),$B$511=1),$AM$634,HLOOKUP(INDIRECT(ADDRESS(2,COLUMN())),OFFSET($BN$2,0,0,ROW()-1,60),ROW()-1,FALSE))</f>
        <v/>
      </c>
      <c r="AN128" t="str">
        <f ca="1">IF(AND(ISNUMBER($AN$634),$B$511=1),$AN$634,HLOOKUP(INDIRECT(ADDRESS(2,COLUMN())),OFFSET($BN$2,0,0,ROW()-1,60),ROW()-1,FALSE))</f>
        <v/>
      </c>
      <c r="AO128" t="str">
        <f ca="1">IF(AND(ISNUMBER($AO$634),$B$511=1),$AO$634,HLOOKUP(INDIRECT(ADDRESS(2,COLUMN())),OFFSET($BN$2,0,0,ROW()-1,60),ROW()-1,FALSE))</f>
        <v/>
      </c>
      <c r="AP128" t="str">
        <f ca="1">IF(AND(ISNUMBER($AP$634),$B$511=1),$AP$634,HLOOKUP(INDIRECT(ADDRESS(2,COLUMN())),OFFSET($BN$2,0,0,ROW()-1,60),ROW()-1,FALSE))</f>
        <v/>
      </c>
      <c r="AQ128" t="str">
        <f ca="1">IF(AND(ISNUMBER($AQ$634),$B$511=1),$AQ$634,HLOOKUP(INDIRECT(ADDRESS(2,COLUMN())),OFFSET($BN$2,0,0,ROW()-1,60),ROW()-1,FALSE))</f>
        <v/>
      </c>
      <c r="AR128" t="str">
        <f ca="1">IF(AND(ISNUMBER($AR$634),$B$511=1),$AR$634,HLOOKUP(INDIRECT(ADDRESS(2,COLUMN())),OFFSET($BN$2,0,0,ROW()-1,60),ROW()-1,FALSE))</f>
        <v/>
      </c>
      <c r="AS128" t="str">
        <f ca="1">IF(AND(ISNUMBER($AS$634),$B$511=1),$AS$634,HLOOKUP(INDIRECT(ADDRESS(2,COLUMN())),OFFSET($BN$2,0,0,ROW()-1,60),ROW()-1,FALSE))</f>
        <v/>
      </c>
      <c r="AT128" t="str">
        <f ca="1">IF(AND(ISNUMBER($AT$634),$B$511=1),$AT$634,HLOOKUP(INDIRECT(ADDRESS(2,COLUMN())),OFFSET($BN$2,0,0,ROW()-1,60),ROW()-1,FALSE))</f>
        <v/>
      </c>
      <c r="AU128" t="str">
        <f ca="1">IF(AND(ISNUMBER($AU$634),$B$511=1),$AU$634,HLOOKUP(INDIRECT(ADDRESS(2,COLUMN())),OFFSET($BN$2,0,0,ROW()-1,60),ROW()-1,FALSE))</f>
        <v/>
      </c>
      <c r="AV128" t="str">
        <f ca="1">IF(AND(ISNUMBER($AV$634),$B$511=1),$AV$634,HLOOKUP(INDIRECT(ADDRESS(2,COLUMN())),OFFSET($BN$2,0,0,ROW()-1,60),ROW()-1,FALSE))</f>
        <v/>
      </c>
      <c r="AW128" t="str">
        <f ca="1">IF(AND(ISNUMBER($AW$634),$B$511=1),$AW$634,HLOOKUP(INDIRECT(ADDRESS(2,COLUMN())),OFFSET($BN$2,0,0,ROW()-1,60),ROW()-1,FALSE))</f>
        <v/>
      </c>
      <c r="AX128" t="str">
        <f ca="1">IF(AND(ISNUMBER($AX$634),$B$511=1),$AX$634,HLOOKUP(INDIRECT(ADDRESS(2,COLUMN())),OFFSET($BN$2,0,0,ROW()-1,60),ROW()-1,FALSE))</f>
        <v/>
      </c>
      <c r="AY128" t="str">
        <f ca="1">IF(AND(ISNUMBER($AY$634),$B$511=1),$AY$634,HLOOKUP(INDIRECT(ADDRESS(2,COLUMN())),OFFSET($BN$2,0,0,ROW()-1,60),ROW()-1,FALSE))</f>
        <v/>
      </c>
      <c r="AZ128" t="str">
        <f ca="1">IF(AND(ISNUMBER($AZ$634),$B$511=1),$AZ$634,HLOOKUP(INDIRECT(ADDRESS(2,COLUMN())),OFFSET($BN$2,0,0,ROW()-1,60),ROW()-1,FALSE))</f>
        <v/>
      </c>
      <c r="BA128" t="str">
        <f ca="1">IF(AND(ISNUMBER($BA$634),$B$511=1),$BA$634,HLOOKUP(INDIRECT(ADDRESS(2,COLUMN())),OFFSET($BN$2,0,0,ROW()-1,60),ROW()-1,FALSE))</f>
        <v/>
      </c>
      <c r="BB128" t="str">
        <f ca="1">IF(AND(ISNUMBER($BB$634),$B$511=1),$BB$634,HLOOKUP(INDIRECT(ADDRESS(2,COLUMN())),OFFSET($BN$2,0,0,ROW()-1,60),ROW()-1,FALSE))</f>
        <v/>
      </c>
      <c r="BC128" t="str">
        <f ca="1">IF(AND(ISNUMBER($BC$634),$B$511=1),$BC$634,HLOOKUP(INDIRECT(ADDRESS(2,COLUMN())),OFFSET($BN$2,0,0,ROW()-1,60),ROW()-1,FALSE))</f>
        <v/>
      </c>
      <c r="BD128" t="str">
        <f ca="1">IF(AND(ISNUMBER($BD$634),$B$511=1),$BD$634,HLOOKUP(INDIRECT(ADDRESS(2,COLUMN())),OFFSET($BN$2,0,0,ROW()-1,60),ROW()-1,FALSE))</f>
        <v/>
      </c>
      <c r="BE128" t="str">
        <f ca="1">IF(AND(ISNUMBER($BE$634),$B$511=1),$BE$634,HLOOKUP(INDIRECT(ADDRESS(2,COLUMN())),OFFSET($BN$2,0,0,ROW()-1,60),ROW()-1,FALSE))</f>
        <v/>
      </c>
      <c r="BF128" t="str">
        <f ca="1">IF(AND(ISNUMBER($BF$634),$B$511=1),$BF$634,HLOOKUP(INDIRECT(ADDRESS(2,COLUMN())),OFFSET($BN$2,0,0,ROW()-1,60),ROW()-1,FALSE))</f>
        <v/>
      </c>
      <c r="BG128" t="str">
        <f ca="1">IF(AND(ISNUMBER($BG$634),$B$511=1),$BG$634,HLOOKUP(INDIRECT(ADDRESS(2,COLUMN())),OFFSET($BN$2,0,0,ROW()-1,60),ROW()-1,FALSE))</f>
        <v/>
      </c>
      <c r="BH128" t="str">
        <f ca="1">IF(AND(ISNUMBER($BH$634),$B$511=1),$BH$634,HLOOKUP(INDIRECT(ADDRESS(2,COLUMN())),OFFSET($BN$2,0,0,ROW()-1,60),ROW()-1,FALSE))</f>
        <v/>
      </c>
      <c r="BI128" t="str">
        <f ca="1">IF(AND(ISNUMBER($BI$634),$B$511=1),$BI$634,HLOOKUP(INDIRECT(ADDRESS(2,COLUMN())),OFFSET($BN$2,0,0,ROW()-1,60),ROW()-1,FALSE))</f>
        <v/>
      </c>
      <c r="BJ128" t="str">
        <f ca="1">IF(AND(ISNUMBER($BJ$634),$B$511=1),$BJ$634,HLOOKUP(INDIRECT(ADDRESS(2,COLUMN())),OFFSET($BN$2,0,0,ROW()-1,60),ROW()-1,FALSE))</f>
        <v/>
      </c>
      <c r="BK128" t="str">
        <f ca="1">IF(AND(ISNUMBER($BK$634),$B$511=1),$BK$634,HLOOKUP(INDIRECT(ADDRESS(2,COLUMN())),OFFSET($BN$2,0,0,ROW()-1,60),ROW()-1,FALSE))</f>
        <v/>
      </c>
      <c r="BL128" t="str">
        <f ca="1">IF(AND(ISNUMBER($BL$634),$B$511=1),$BL$634,HLOOKUP(INDIRECT(ADDRESS(2,COLUMN())),OFFSET($BN$2,0,0,ROW()-1,60),ROW()-1,FALSE))</f>
        <v/>
      </c>
      <c r="BM128" t="str">
        <f ca="1">IF(AND(ISNUMBER($BM$634),$B$511=1),$BM$634,HLOOKUP(INDIRECT(ADDRESS(2,COLUMN())),OFFSET($BN$2,0,0,ROW()-1,60),ROW()-1,FALSE))</f>
        <v/>
      </c>
      <c r="BN128" t="str">
        <f>""</f>
        <v/>
      </c>
      <c r="BO128" t="str">
        <f>""</f>
        <v/>
      </c>
      <c r="BP128" t="str">
        <f>""</f>
        <v/>
      </c>
      <c r="BQ128" t="str">
        <f>""</f>
        <v/>
      </c>
      <c r="BR128" t="str">
        <f>""</f>
        <v/>
      </c>
      <c r="BS128" t="str">
        <f>""</f>
        <v/>
      </c>
      <c r="BT128" t="str">
        <f>""</f>
        <v/>
      </c>
      <c r="BU128" t="str">
        <f>""</f>
        <v/>
      </c>
      <c r="BV128" t="str">
        <f>""</f>
        <v/>
      </c>
      <c r="BW128" t="str">
        <f>""</f>
        <v/>
      </c>
      <c r="BX128" t="str">
        <f>""</f>
        <v/>
      </c>
      <c r="BY128" t="str">
        <f>""</f>
        <v/>
      </c>
      <c r="BZ128" t="str">
        <f>""</f>
        <v/>
      </c>
      <c r="CA128" t="str">
        <f>""</f>
        <v/>
      </c>
      <c r="CB128" t="str">
        <f>""</f>
        <v/>
      </c>
      <c r="CC128" t="str">
        <f>""</f>
        <v/>
      </c>
      <c r="CD128" t="str">
        <f>""</f>
        <v/>
      </c>
      <c r="CE128" t="str">
        <f>""</f>
        <v/>
      </c>
      <c r="CF128" t="str">
        <f>""</f>
        <v/>
      </c>
      <c r="CG128" t="str">
        <f>""</f>
        <v/>
      </c>
      <c r="CH128" t="str">
        <f>""</f>
        <v/>
      </c>
      <c r="CI128" t="str">
        <f>""</f>
        <v/>
      </c>
      <c r="CJ128" t="str">
        <f>""</f>
        <v/>
      </c>
      <c r="CK128" t="str">
        <f>""</f>
        <v/>
      </c>
      <c r="CL128" t="str">
        <f>""</f>
        <v/>
      </c>
      <c r="CM128" t="str">
        <f>""</f>
        <v/>
      </c>
      <c r="CN128" t="str">
        <f>""</f>
        <v/>
      </c>
      <c r="CO128" t="str">
        <f>""</f>
        <v/>
      </c>
      <c r="CP128" t="str">
        <f>""</f>
        <v/>
      </c>
      <c r="CQ128" t="str">
        <f>""</f>
        <v/>
      </c>
      <c r="CR128" t="str">
        <f>""</f>
        <v/>
      </c>
      <c r="CS128" t="str">
        <f>""</f>
        <v/>
      </c>
      <c r="CT128" t="str">
        <f>""</f>
        <v/>
      </c>
      <c r="CU128" t="str">
        <f>""</f>
        <v/>
      </c>
      <c r="CV128" t="str">
        <f>""</f>
        <v/>
      </c>
      <c r="CW128" t="str">
        <f>""</f>
        <v/>
      </c>
      <c r="CX128" t="str">
        <f>""</f>
        <v/>
      </c>
      <c r="CY128" t="str">
        <f>""</f>
        <v/>
      </c>
      <c r="CZ128" t="str">
        <f>""</f>
        <v/>
      </c>
      <c r="DA128" t="str">
        <f>""</f>
        <v/>
      </c>
      <c r="DB128" t="str">
        <f>""</f>
        <v/>
      </c>
      <c r="DC128" t="str">
        <f>""</f>
        <v/>
      </c>
      <c r="DD128" t="str">
        <f>""</f>
        <v/>
      </c>
      <c r="DE128" t="str">
        <f>""</f>
        <v/>
      </c>
      <c r="DF128" t="str">
        <f>""</f>
        <v/>
      </c>
      <c r="DG128" t="str">
        <f>""</f>
        <v/>
      </c>
      <c r="DH128" t="str">
        <f>""</f>
        <v/>
      </c>
      <c r="DI128" t="str">
        <f>""</f>
        <v/>
      </c>
      <c r="DJ128" t="str">
        <f>""</f>
        <v/>
      </c>
      <c r="DK128" t="str">
        <f>""</f>
        <v/>
      </c>
      <c r="DL128" t="str">
        <f>""</f>
        <v/>
      </c>
      <c r="DM128" t="str">
        <f>""</f>
        <v/>
      </c>
      <c r="DN128" t="str">
        <f>""</f>
        <v/>
      </c>
      <c r="DO128" t="str">
        <f>""</f>
        <v/>
      </c>
      <c r="DP128" t="str">
        <f>""</f>
        <v/>
      </c>
      <c r="DQ128" t="str">
        <f>""</f>
        <v/>
      </c>
      <c r="DR128" t="str">
        <f>""</f>
        <v/>
      </c>
      <c r="DS128" t="str">
        <f>""</f>
        <v/>
      </c>
      <c r="DT128" t="str">
        <f>""</f>
        <v/>
      </c>
      <c r="DU128" t="str">
        <f>""</f>
        <v/>
      </c>
    </row>
    <row r="129" spans="1:125" x14ac:dyDescent="0.25">
      <c r="A129" t="str">
        <f>"    Bayerische Motoren Werke AG"</f>
        <v xml:space="preserve">    Bayerische Motoren Werke AG</v>
      </c>
      <c r="B129" t="str">
        <f>"BMW GR Equity"</f>
        <v>BMW GR Equity</v>
      </c>
      <c r="C129" t="str">
        <f t="shared" si="9"/>
        <v>RR841</v>
      </c>
      <c r="D129" t="str">
        <f t="shared" si="10"/>
        <v>TRAIL_12M_EBITDA</v>
      </c>
      <c r="E129" t="str">
        <f t="shared" si="11"/>
        <v>Dynamic</v>
      </c>
      <c r="F129" t="str">
        <f ca="1">IF(AND(ISNUMBER($F$635),$B$511=1),$F$635,HLOOKUP(INDIRECT(ADDRESS(2,COLUMN())),OFFSET($BN$2,0,0,ROW()-1,60),ROW()-1,FALSE))</f>
        <v/>
      </c>
      <c r="G129" t="str">
        <f ca="1">IF(AND(ISNUMBER($G$635),$B$511=1),$G$635,HLOOKUP(INDIRECT(ADDRESS(2,COLUMN())),OFFSET($BN$2,0,0,ROW()-1,60),ROW()-1,FALSE))</f>
        <v/>
      </c>
      <c r="H129">
        <f ca="1">IF(AND(ISNUMBER($H$635),$B$511=1),$H$635,HLOOKUP(INDIRECT(ADDRESS(2,COLUMN())),OFFSET($BN$2,0,0,ROW()-1,60),ROW()-1,FALSE))</f>
        <v>21951.728490000001</v>
      </c>
      <c r="I129">
        <f ca="1">IF(AND(ISNUMBER($I$635),$B$511=1),$I$635,HLOOKUP(INDIRECT(ADDRESS(2,COLUMN())),OFFSET($BN$2,0,0,ROW()-1,60),ROW()-1,FALSE))</f>
        <v>22192.285</v>
      </c>
      <c r="J129">
        <f ca="1">IF(AND(ISNUMBER($J$635),$B$511=1),$J$635,HLOOKUP(INDIRECT(ADDRESS(2,COLUMN())),OFFSET($BN$2,0,0,ROW()-1,60),ROW()-1,FALSE))</f>
        <v>21927.752769999999</v>
      </c>
      <c r="K129">
        <f ca="1">IF(AND(ISNUMBER($K$635),$B$511=1),$K$635,HLOOKUP(INDIRECT(ADDRESS(2,COLUMN())),OFFSET($BN$2,0,0,ROW()-1,60),ROW()-1,FALSE))</f>
        <v>21079.469519999999</v>
      </c>
      <c r="L129">
        <f ca="1">IF(AND(ISNUMBER($L$635),$B$511=1),$L$635,HLOOKUP(INDIRECT(ADDRESS(2,COLUMN())),OFFSET($BN$2,0,0,ROW()-1,60),ROW()-1,FALSE))</f>
        <v>19638.57646</v>
      </c>
      <c r="M129">
        <f ca="1">IF(AND(ISNUMBER($M$635),$B$511=1),$M$635,HLOOKUP(INDIRECT(ADDRESS(2,COLUMN())),OFFSET($BN$2,0,0,ROW()-1,60),ROW()-1,FALSE))</f>
        <v>19413.143980000001</v>
      </c>
      <c r="N129">
        <f ca="1">IF(AND(ISNUMBER($N$635),$B$511=1),$N$635,HLOOKUP(INDIRECT(ADDRESS(2,COLUMN())),OFFSET($BN$2,0,0,ROW()-1,60),ROW()-1,FALSE))</f>
        <v>19393.687989999999</v>
      </c>
      <c r="O129">
        <f ca="1">IF(AND(ISNUMBER($O$635),$B$511=1),$O$635,HLOOKUP(INDIRECT(ADDRESS(2,COLUMN())),OFFSET($BN$2,0,0,ROW()-1,60),ROW()-1,FALSE))</f>
        <v>19565.410540000001</v>
      </c>
      <c r="P129">
        <f ca="1">IF(AND(ISNUMBER($P$635),$B$511=1),$P$635,HLOOKUP(INDIRECT(ADDRESS(2,COLUMN())),OFFSET($BN$2,0,0,ROW()-1,60),ROW()-1,FALSE))</f>
        <v>19410.003830000001</v>
      </c>
      <c r="Q129">
        <f ca="1">IF(AND(ISNUMBER($Q$635),$B$511=1),$Q$635,HLOOKUP(INDIRECT(ADDRESS(2,COLUMN())),OFFSET($BN$2,0,0,ROW()-1,60),ROW()-1,FALSE))</f>
        <v>20458.10786</v>
      </c>
      <c r="R129">
        <f ca="1">IF(AND(ISNUMBER($R$635),$B$511=1),$R$635,HLOOKUP(INDIRECT(ADDRESS(2,COLUMN())),OFFSET($BN$2,0,0,ROW()-1,60),ROW()-1,FALSE))</f>
        <v>19950.05517</v>
      </c>
      <c r="S129">
        <f ca="1">IF(AND(ISNUMBER($S$635),$B$511=1),$S$635,HLOOKUP(INDIRECT(ADDRESS(2,COLUMN())),OFFSET($BN$2,0,0,ROW()-1,60),ROW()-1,FALSE))</f>
        <v>19761.341250000001</v>
      </c>
      <c r="T129">
        <f ca="1">IF(AND(ISNUMBER($T$635),$B$511=1),$T$635,HLOOKUP(INDIRECT(ADDRESS(2,COLUMN())),OFFSET($BN$2,0,0,ROW()-1,60),ROW()-1,FALSE))</f>
        <v>20688.202399999998</v>
      </c>
      <c r="U129">
        <f ca="1">IF(AND(ISNUMBER($U$635),$B$511=1),$U$635,HLOOKUP(INDIRECT(ADDRESS(2,COLUMN())),OFFSET($BN$2,0,0,ROW()-1,60),ROW()-1,FALSE))</f>
        <v>21005.322489999999</v>
      </c>
      <c r="V129">
        <f ca="1">IF(AND(ISNUMBER($V$635),$B$511=1),$V$635,HLOOKUP(INDIRECT(ADDRESS(2,COLUMN())),OFFSET($BN$2,0,0,ROW()-1,60),ROW()-1,FALSE))</f>
        <v>22157.406200000001</v>
      </c>
      <c r="W129">
        <f ca="1">IF(AND(ISNUMBER($W$635),$B$511=1),$W$635,HLOOKUP(INDIRECT(ADDRESS(2,COLUMN())),OFFSET($BN$2,0,0,ROW()-1,60),ROW()-1,FALSE))</f>
        <v>22404.913089999998</v>
      </c>
      <c r="X129">
        <f ca="1">IF(AND(ISNUMBER($X$635),$B$511=1),$X$635,HLOOKUP(INDIRECT(ADDRESS(2,COLUMN())),OFFSET($BN$2,0,0,ROW()-1,60),ROW()-1,FALSE))</f>
        <v>22238.685529999999</v>
      </c>
      <c r="Y129">
        <f ca="1">IF(AND(ISNUMBER($Y$635),$B$511=1),$Y$635,HLOOKUP(INDIRECT(ADDRESS(2,COLUMN())),OFFSET($BN$2,0,0,ROW()-1,60),ROW()-1,FALSE))</f>
        <v>20180.458259999999</v>
      </c>
      <c r="Z129">
        <f ca="1">IF(AND(ISNUMBER($Z$635),$B$511=1),$Z$635,HLOOKUP(INDIRECT(ADDRESS(2,COLUMN())),OFFSET($BN$2,0,0,ROW()-1,60),ROW()-1,FALSE))</f>
        <v>19193.50734</v>
      </c>
      <c r="AA129">
        <f ca="1">IF(AND(ISNUMBER($AA$635),$B$511=1),$AA$635,HLOOKUP(INDIRECT(ADDRESS(2,COLUMN())),OFFSET($BN$2,0,0,ROW()-1,60),ROW()-1,FALSE))</f>
        <v>19928.656490000001</v>
      </c>
      <c r="AB129">
        <f ca="1">IF(AND(ISNUMBER($AB$635),$B$511=1),$AB$635,HLOOKUP(INDIRECT(ADDRESS(2,COLUMN())),OFFSET($BN$2,0,0,ROW()-1,60),ROW()-1,FALSE))</f>
        <v>19939.041310000001</v>
      </c>
      <c r="AC129">
        <f ca="1">IF(AND(ISNUMBER($AC$635),$B$511=1),$AC$635,HLOOKUP(INDIRECT(ADDRESS(2,COLUMN())),OFFSET($BN$2,0,0,ROW()-1,60),ROW()-1,FALSE))</f>
        <v>20710.197090000001</v>
      </c>
      <c r="AD129">
        <f ca="1">IF(AND(ISNUMBER($AD$635),$B$511=1),$AD$635,HLOOKUP(INDIRECT(ADDRESS(2,COLUMN())),OFFSET($BN$2,0,0,ROW()-1,60),ROW()-1,FALSE))</f>
        <v>21795.20102</v>
      </c>
      <c r="AE129">
        <f ca="1">IF(AND(ISNUMBER($AE$635),$B$511=1),$AE$635,HLOOKUP(INDIRECT(ADDRESS(2,COLUMN())),OFFSET($BN$2,0,0,ROW()-1,60),ROW()-1,FALSE))</f>
        <v>20870.973689999999</v>
      </c>
      <c r="AF129">
        <f ca="1">IF(AND(ISNUMBER($AF$635),$B$511=1),$AF$635,HLOOKUP(INDIRECT(ADDRESS(2,COLUMN())),OFFSET($BN$2,0,0,ROW()-1,60),ROW()-1,FALSE))</f>
        <v>21322.344730000001</v>
      </c>
      <c r="AG129">
        <f ca="1">IF(AND(ISNUMBER($AG$635),$B$511=1),$AG$635,HLOOKUP(INDIRECT(ADDRESS(2,COLUMN())),OFFSET($BN$2,0,0,ROW()-1,60),ROW()-1,FALSE))</f>
        <v>21882.493999999999</v>
      </c>
      <c r="AH129">
        <f ca="1">IF(AND(ISNUMBER($AH$635),$B$511=1),$AH$635,HLOOKUP(INDIRECT(ADDRESS(2,COLUMN())),OFFSET($BN$2,0,0,ROW()-1,60),ROW()-1,FALSE))</f>
        <v>21810.65956</v>
      </c>
      <c r="AI129">
        <f ca="1">IF(AND(ISNUMBER($AI$635),$B$511=1),$AI$635,HLOOKUP(INDIRECT(ADDRESS(2,COLUMN())),OFFSET($BN$2,0,0,ROW()-1,60),ROW()-1,FALSE))</f>
        <v>21504.258570000002</v>
      </c>
      <c r="AJ129">
        <f ca="1">IF(AND(ISNUMBER($AJ$635),$B$511=1),$AJ$635,HLOOKUP(INDIRECT(ADDRESS(2,COLUMN())),OFFSET($BN$2,0,0,ROW()-1,60),ROW()-1,FALSE))</f>
        <v>19625.796269999999</v>
      </c>
      <c r="AK129">
        <f ca="1">IF(AND(ISNUMBER($AK$635),$B$511=1),$AK$635,HLOOKUP(INDIRECT(ADDRESS(2,COLUMN())),OFFSET($BN$2,0,0,ROW()-1,60),ROW()-1,FALSE))</f>
        <v>19429.219130000001</v>
      </c>
      <c r="AL129">
        <f ca="1">IF(AND(ISNUMBER($AL$635),$B$511=1),$AL$635,HLOOKUP(INDIRECT(ADDRESS(2,COLUMN())),OFFSET($BN$2,0,0,ROW()-1,60),ROW()-1,FALSE))</f>
        <v>18315.506979999998</v>
      </c>
      <c r="AM129">
        <f ca="1">IF(AND(ISNUMBER($AM$635),$B$511=1),$AM$635,HLOOKUP(INDIRECT(ADDRESS(2,COLUMN())),OFFSET($BN$2,0,0,ROW()-1,60),ROW()-1,FALSE))</f>
        <v>17139.8158</v>
      </c>
      <c r="AN129">
        <f ca="1">IF(AND(ISNUMBER($AN$635),$B$511=1),$AN$635,HLOOKUP(INDIRECT(ADDRESS(2,COLUMN())),OFFSET($BN$2,0,0,ROW()-1,60),ROW()-1,FALSE))</f>
        <v>17642.517980000001</v>
      </c>
      <c r="AO129">
        <f ca="1">IF(AND(ISNUMBER($AO$635),$B$511=1),$AO$635,HLOOKUP(INDIRECT(ADDRESS(2,COLUMN())),OFFSET($BN$2,0,0,ROW()-1,60),ROW()-1,FALSE))</f>
        <v>15691.487940000001</v>
      </c>
      <c r="AP129">
        <f ca="1">IF(AND(ISNUMBER($AP$635),$B$511=1),$AP$635,HLOOKUP(INDIRECT(ADDRESS(2,COLUMN())),OFFSET($BN$2,0,0,ROW()-1,60),ROW()-1,FALSE))</f>
        <v>13883.1898</v>
      </c>
      <c r="AQ129">
        <f ca="1">IF(AND(ISNUMBER($AQ$635),$B$511=1),$AQ$635,HLOOKUP(INDIRECT(ADDRESS(2,COLUMN())),OFFSET($BN$2,0,0,ROW()-1,60),ROW()-1,FALSE))</f>
        <v>13100.73266</v>
      </c>
      <c r="AR129">
        <f ca="1">IF(AND(ISNUMBER($AR$635),$B$511=1),$AR$635,HLOOKUP(INDIRECT(ADDRESS(2,COLUMN())),OFFSET($BN$2,0,0,ROW()-1,60),ROW()-1,FALSE))</f>
        <v>12734.66322</v>
      </c>
      <c r="AS129">
        <f ca="1">IF(AND(ISNUMBER($AS$635),$B$511=1),$AS$635,HLOOKUP(INDIRECT(ADDRESS(2,COLUMN())),OFFSET($BN$2,0,0,ROW()-1,60),ROW()-1,FALSE))</f>
        <v>17878.24179</v>
      </c>
      <c r="AT129">
        <f ca="1">IF(AND(ISNUMBER($AT$635),$B$511=1),$AT$635,HLOOKUP(INDIRECT(ADDRESS(2,COLUMN())),OFFSET($BN$2,0,0,ROW()-1,60),ROW()-1,FALSE))</f>
        <v>19473.62961</v>
      </c>
      <c r="AU129">
        <f ca="1">IF(AND(ISNUMBER($AU$635),$B$511=1),$AU$635,HLOOKUP(INDIRECT(ADDRESS(2,COLUMN())),OFFSET($BN$2,0,0,ROW()-1,60),ROW()-1,FALSE))</f>
        <v>21249.939279999999</v>
      </c>
      <c r="AV129">
        <f ca="1">IF(AND(ISNUMBER($AV$635),$B$511=1),$AV$635,HLOOKUP(INDIRECT(ADDRESS(2,COLUMN())),OFFSET($BN$2,0,0,ROW()-1,60),ROW()-1,FALSE))</f>
        <v>22623.397939999999</v>
      </c>
      <c r="AW129">
        <f ca="1">IF(AND(ISNUMBER($AW$635),$B$511=1),$AW$635,HLOOKUP(INDIRECT(ADDRESS(2,COLUMN())),OFFSET($BN$2,0,0,ROW()-1,60),ROW()-1,FALSE))</f>
        <v>18392.55587</v>
      </c>
      <c r="AX129">
        <f ca="1">IF(AND(ISNUMBER($AX$635),$B$511=1),$AX$635,HLOOKUP(INDIRECT(ADDRESS(2,COLUMN())),OFFSET($BN$2,0,0,ROW()-1,60),ROW()-1,FALSE))</f>
        <v>17636.046439999998</v>
      </c>
      <c r="AY129">
        <f ca="1">IF(AND(ISNUMBER($AY$635),$B$511=1),$AY$635,HLOOKUP(INDIRECT(ADDRESS(2,COLUMN())),OFFSET($BN$2,0,0,ROW()-1,60),ROW()-1,FALSE))</f>
        <v>16993.78789</v>
      </c>
      <c r="AZ129">
        <f ca="1">IF(AND(ISNUMBER($AZ$635),$B$511=1),$AZ$635,HLOOKUP(INDIRECT(ADDRESS(2,COLUMN())),OFFSET($BN$2,0,0,ROW()-1,60),ROW()-1,FALSE))</f>
        <v>15825.59081</v>
      </c>
      <c r="BA129">
        <f ca="1">IF(AND(ISNUMBER($BA$635),$B$511=1),$BA$635,HLOOKUP(INDIRECT(ADDRESS(2,COLUMN())),OFFSET($BN$2,0,0,ROW()-1,60),ROW()-1,FALSE))</f>
        <v>15056.38553</v>
      </c>
      <c r="BB129">
        <f ca="1">IF(AND(ISNUMBER($BB$635),$B$511=1),$BB$635,HLOOKUP(INDIRECT(ADDRESS(2,COLUMN())),OFFSET($BN$2,0,0,ROW()-1,60),ROW()-1,FALSE))</f>
        <v>14598.930840000001</v>
      </c>
      <c r="BC129">
        <f ca="1">IF(AND(ISNUMBER($BC$635),$B$511=1),$BC$635,HLOOKUP(INDIRECT(ADDRESS(2,COLUMN())),OFFSET($BN$2,0,0,ROW()-1,60),ROW()-1,FALSE))</f>
        <v>13908.219419999999</v>
      </c>
      <c r="BD129">
        <f ca="1">IF(AND(ISNUMBER($BD$635),$B$511=1),$BD$635,HLOOKUP(INDIRECT(ADDRESS(2,COLUMN())),OFFSET($BN$2,0,0,ROW()-1,60),ROW()-1,FALSE))</f>
        <v>13587.76807</v>
      </c>
      <c r="BE129">
        <f ca="1">IF(AND(ISNUMBER($BE$635),$B$511=1),$BE$635,HLOOKUP(INDIRECT(ADDRESS(2,COLUMN())),OFFSET($BN$2,0,0,ROW()-1,60),ROW()-1,FALSE))</f>
        <v>13141.096369999999</v>
      </c>
      <c r="BF129">
        <f ca="1">IF(AND(ISNUMBER($BF$635),$B$511=1),$BF$635,HLOOKUP(INDIRECT(ADDRESS(2,COLUMN())),OFFSET($BN$2,0,0,ROW()-1,60),ROW()-1,FALSE))</f>
        <v>12784.84124</v>
      </c>
      <c r="BG129">
        <f ca="1">IF(AND(ISNUMBER($BG$635),$B$511=1),$BG$635,HLOOKUP(INDIRECT(ADDRESS(2,COLUMN())),OFFSET($BN$2,0,0,ROW()-1,60),ROW()-1,FALSE))</f>
        <v>12836.59096</v>
      </c>
      <c r="BH129">
        <f ca="1">IF(AND(ISNUMBER($BH$635),$B$511=1),$BH$635,HLOOKUP(INDIRECT(ADDRESS(2,COLUMN())),OFFSET($BN$2,0,0,ROW()-1,60),ROW()-1,FALSE))</f>
        <v>12736.212680000001</v>
      </c>
      <c r="BI129">
        <f ca="1">IF(AND(ISNUMBER($BI$635),$B$511=1),$BI$635,HLOOKUP(INDIRECT(ADDRESS(2,COLUMN())),OFFSET($BN$2,0,0,ROW()-1,60),ROW()-1,FALSE))</f>
        <v>12443.539580000001</v>
      </c>
      <c r="BJ129">
        <f ca="1">IF(AND(ISNUMBER($BJ$635),$B$511=1),$BJ$635,HLOOKUP(INDIRECT(ADDRESS(2,COLUMN())),OFFSET($BN$2,0,0,ROW()-1,60),ROW()-1,FALSE))</f>
        <v>12055.72292</v>
      </c>
      <c r="BK129">
        <f ca="1">IF(AND(ISNUMBER($BK$635),$B$511=1),$BK$635,HLOOKUP(INDIRECT(ADDRESS(2,COLUMN())),OFFSET($BN$2,0,0,ROW()-1,60),ROW()-1,FALSE))</f>
        <v>11552.554700000001</v>
      </c>
      <c r="BL129">
        <f ca="1">IF(AND(ISNUMBER($BL$635),$B$511=1),$BL$635,HLOOKUP(INDIRECT(ADDRESS(2,COLUMN())),OFFSET($BN$2,0,0,ROW()-1,60),ROW()-1,FALSE))</f>
        <v>10869.714739999999</v>
      </c>
      <c r="BM129">
        <f ca="1">IF(AND(ISNUMBER($BM$635),$B$511=1),$BM$635,HLOOKUP(INDIRECT(ADDRESS(2,COLUMN())),OFFSET($BN$2,0,0,ROW()-1,60),ROW()-1,FALSE))</f>
        <v>10303.970880000001</v>
      </c>
      <c r="BN129" t="str">
        <f>""</f>
        <v/>
      </c>
      <c r="BO129" t="str">
        <f>""</f>
        <v/>
      </c>
      <c r="BP129">
        <f>21951.72849</f>
        <v>21951.728490000001</v>
      </c>
      <c r="BQ129">
        <f>22192.285</f>
        <v>22192.285</v>
      </c>
      <c r="BR129">
        <f>21927.75277</f>
        <v>21927.752769999999</v>
      </c>
      <c r="BS129">
        <f>21079.46952</f>
        <v>21079.469519999999</v>
      </c>
      <c r="BT129">
        <f>19638.57646</f>
        <v>19638.57646</v>
      </c>
      <c r="BU129">
        <f>19413.14398</f>
        <v>19413.143980000001</v>
      </c>
      <c r="BV129">
        <f>19393.68799</f>
        <v>19393.687989999999</v>
      </c>
      <c r="BW129">
        <f>19565.41054</f>
        <v>19565.410540000001</v>
      </c>
      <c r="BX129">
        <f>19410.00383</f>
        <v>19410.003830000001</v>
      </c>
      <c r="BY129">
        <f>20458.10786</f>
        <v>20458.10786</v>
      </c>
      <c r="BZ129">
        <f>19950.05517</f>
        <v>19950.05517</v>
      </c>
      <c r="CA129">
        <f>19761.34125</f>
        <v>19761.341250000001</v>
      </c>
      <c r="CB129">
        <f>20688.2024</f>
        <v>20688.202399999998</v>
      </c>
      <c r="CC129">
        <f>21005.32249</f>
        <v>21005.322489999999</v>
      </c>
      <c r="CD129">
        <f>22157.4062</f>
        <v>22157.406200000001</v>
      </c>
      <c r="CE129">
        <f>22404.91309</f>
        <v>22404.913089999998</v>
      </c>
      <c r="CF129">
        <f>22238.68553</f>
        <v>22238.685529999999</v>
      </c>
      <c r="CG129">
        <f>20180.45826</f>
        <v>20180.458259999999</v>
      </c>
      <c r="CH129">
        <f>19193.50734</f>
        <v>19193.50734</v>
      </c>
      <c r="CI129">
        <f>19928.65649</f>
        <v>19928.656490000001</v>
      </c>
      <c r="CJ129">
        <f>19939.04131</f>
        <v>19939.041310000001</v>
      </c>
      <c r="CK129">
        <f>20710.19709</f>
        <v>20710.197090000001</v>
      </c>
      <c r="CL129">
        <f>21795.20102</f>
        <v>21795.20102</v>
      </c>
      <c r="CM129">
        <f>20870.97369</f>
        <v>20870.973689999999</v>
      </c>
      <c r="CN129">
        <f>21322.34473</f>
        <v>21322.344730000001</v>
      </c>
      <c r="CO129">
        <f>21882.494</f>
        <v>21882.493999999999</v>
      </c>
      <c r="CP129">
        <f>21810.65956</f>
        <v>21810.65956</v>
      </c>
      <c r="CQ129">
        <f>21504.25857</f>
        <v>21504.258570000002</v>
      </c>
      <c r="CR129">
        <f>19625.79627</f>
        <v>19625.796269999999</v>
      </c>
      <c r="CS129">
        <f>19429.21913</f>
        <v>19429.219130000001</v>
      </c>
      <c r="CT129">
        <f>18315.50698</f>
        <v>18315.506979999998</v>
      </c>
      <c r="CU129">
        <f>17139.8158</f>
        <v>17139.8158</v>
      </c>
      <c r="CV129">
        <f>17642.51798</f>
        <v>17642.517980000001</v>
      </c>
      <c r="CW129">
        <f>15691.48794</f>
        <v>15691.487940000001</v>
      </c>
      <c r="CX129">
        <f>13883.1898</f>
        <v>13883.1898</v>
      </c>
      <c r="CY129">
        <f>13100.73266</f>
        <v>13100.73266</v>
      </c>
      <c r="CZ129">
        <f>12734.66322</f>
        <v>12734.66322</v>
      </c>
      <c r="DA129">
        <f>17878.24179</f>
        <v>17878.24179</v>
      </c>
      <c r="DB129">
        <f>19473.62961</f>
        <v>19473.62961</v>
      </c>
      <c r="DC129">
        <f>21249.93928</f>
        <v>21249.939279999999</v>
      </c>
      <c r="DD129">
        <f>22623.39794</f>
        <v>22623.397939999999</v>
      </c>
      <c r="DE129">
        <f>18392.55587</f>
        <v>18392.55587</v>
      </c>
      <c r="DF129">
        <f>17636.04644</f>
        <v>17636.046439999998</v>
      </c>
      <c r="DG129">
        <f>16993.78789</f>
        <v>16993.78789</v>
      </c>
      <c r="DH129">
        <f>15825.59081</f>
        <v>15825.59081</v>
      </c>
      <c r="DI129">
        <f>15056.38553</f>
        <v>15056.38553</v>
      </c>
      <c r="DJ129">
        <f>14598.93084</f>
        <v>14598.930840000001</v>
      </c>
      <c r="DK129">
        <f>13908.21942</f>
        <v>13908.219419999999</v>
      </c>
      <c r="DL129">
        <f>13587.76807</f>
        <v>13587.76807</v>
      </c>
      <c r="DM129">
        <f>13141.09637</f>
        <v>13141.096369999999</v>
      </c>
      <c r="DN129">
        <f>12784.84124</f>
        <v>12784.84124</v>
      </c>
      <c r="DO129">
        <f>12836.59096</f>
        <v>12836.59096</v>
      </c>
      <c r="DP129">
        <f>12736.21268</f>
        <v>12736.212680000001</v>
      </c>
      <c r="DQ129">
        <f>12443.53958</f>
        <v>12443.539580000001</v>
      </c>
      <c r="DR129">
        <f>12055.72292</f>
        <v>12055.72292</v>
      </c>
      <c r="DS129">
        <f>11552.5547</f>
        <v>11552.554700000001</v>
      </c>
      <c r="DT129">
        <f>10869.71474</f>
        <v>10869.714739999999</v>
      </c>
      <c r="DU129">
        <f>10303.97088</f>
        <v>10303.970880000001</v>
      </c>
    </row>
    <row r="130" spans="1:125" x14ac:dyDescent="0.25">
      <c r="A130" t="str">
        <f>"    Brilliance China Automotive Holdings Ltd"</f>
        <v xml:space="preserve">    Brilliance China Automotive Holdings Ltd</v>
      </c>
      <c r="B130" t="str">
        <f>"1114 HK Equity"</f>
        <v>1114 HK Equity</v>
      </c>
      <c r="C130" t="str">
        <f t="shared" si="9"/>
        <v>RR841</v>
      </c>
      <c r="D130" t="str">
        <f t="shared" si="10"/>
        <v>TRAIL_12M_EBITDA</v>
      </c>
      <c r="E130" t="str">
        <f t="shared" si="11"/>
        <v>Dynamic</v>
      </c>
      <c r="F130" t="str">
        <f ca="1">IF(AND(ISNUMBER($F$636),$B$511=1),$F$636,HLOOKUP(INDIRECT(ADDRESS(2,COLUMN())),OFFSET($BN$2,0,0,ROW()-1,60),ROW()-1,FALSE))</f>
        <v/>
      </c>
      <c r="G130" t="str">
        <f ca="1">IF(AND(ISNUMBER($G$636),$B$511=1),$G$636,HLOOKUP(INDIRECT(ADDRESS(2,COLUMN())),OFFSET($BN$2,0,0,ROW()-1,60),ROW()-1,FALSE))</f>
        <v/>
      </c>
      <c r="H130" t="str">
        <f ca="1">IF(AND(ISNUMBER($H$636),$B$511=1),$H$636,HLOOKUP(INDIRECT(ADDRESS(2,COLUMN())),OFFSET($BN$2,0,0,ROW()-1,60),ROW()-1,FALSE))</f>
        <v/>
      </c>
      <c r="I130" t="str">
        <f ca="1">IF(AND(ISNUMBER($I$636),$B$511=1),$I$636,HLOOKUP(INDIRECT(ADDRESS(2,COLUMN())),OFFSET($BN$2,0,0,ROW()-1,60),ROW()-1,FALSE))</f>
        <v/>
      </c>
      <c r="J130" t="str">
        <f ca="1">IF(AND(ISNUMBER($J$636),$B$511=1),$J$636,HLOOKUP(INDIRECT(ADDRESS(2,COLUMN())),OFFSET($BN$2,0,0,ROW()-1,60),ROW()-1,FALSE))</f>
        <v/>
      </c>
      <c r="K130" t="str">
        <f ca="1">IF(AND(ISNUMBER($K$636),$B$511=1),$K$636,HLOOKUP(INDIRECT(ADDRESS(2,COLUMN())),OFFSET($BN$2,0,0,ROW()-1,60),ROW()-1,FALSE))</f>
        <v/>
      </c>
      <c r="L130" t="str">
        <f ca="1">IF(AND(ISNUMBER($L$636),$B$511=1),$L$636,HLOOKUP(INDIRECT(ADDRESS(2,COLUMN())),OFFSET($BN$2,0,0,ROW()-1,60),ROW()-1,FALSE))</f>
        <v/>
      </c>
      <c r="M130" t="str">
        <f ca="1">IF(AND(ISNUMBER($M$636),$B$511=1),$M$636,HLOOKUP(INDIRECT(ADDRESS(2,COLUMN())),OFFSET($BN$2,0,0,ROW()-1,60),ROW()-1,FALSE))</f>
        <v/>
      </c>
      <c r="N130" t="str">
        <f ca="1">IF(AND(ISNUMBER($N$636),$B$511=1),$N$636,HLOOKUP(INDIRECT(ADDRESS(2,COLUMN())),OFFSET($BN$2,0,0,ROW()-1,60),ROW()-1,FALSE))</f>
        <v/>
      </c>
      <c r="O130" t="str">
        <f ca="1">IF(AND(ISNUMBER($O$636),$B$511=1),$O$636,HLOOKUP(INDIRECT(ADDRESS(2,COLUMN())),OFFSET($BN$2,0,0,ROW()-1,60),ROW()-1,FALSE))</f>
        <v/>
      </c>
      <c r="P130" t="str">
        <f ca="1">IF(AND(ISNUMBER($P$636),$B$511=1),$P$636,HLOOKUP(INDIRECT(ADDRESS(2,COLUMN())),OFFSET($BN$2,0,0,ROW()-1,60),ROW()-1,FALSE))</f>
        <v/>
      </c>
      <c r="Q130" t="str">
        <f ca="1">IF(AND(ISNUMBER($Q$636),$B$511=1),$Q$636,HLOOKUP(INDIRECT(ADDRESS(2,COLUMN())),OFFSET($BN$2,0,0,ROW()-1,60),ROW()-1,FALSE))</f>
        <v/>
      </c>
      <c r="R130" t="str">
        <f ca="1">IF(AND(ISNUMBER($R$636),$B$511=1),$R$636,HLOOKUP(INDIRECT(ADDRESS(2,COLUMN())),OFFSET($BN$2,0,0,ROW()-1,60),ROW()-1,FALSE))</f>
        <v/>
      </c>
      <c r="S130" t="str">
        <f ca="1">IF(AND(ISNUMBER($S$636),$B$511=1),$S$636,HLOOKUP(INDIRECT(ADDRESS(2,COLUMN())),OFFSET($BN$2,0,0,ROW()-1,60),ROW()-1,FALSE))</f>
        <v/>
      </c>
      <c r="T130" t="str">
        <f ca="1">IF(AND(ISNUMBER($T$636),$B$511=1),$T$636,HLOOKUP(INDIRECT(ADDRESS(2,COLUMN())),OFFSET($BN$2,0,0,ROW()-1,60),ROW()-1,FALSE))</f>
        <v/>
      </c>
      <c r="U130" t="str">
        <f ca="1">IF(AND(ISNUMBER($U$636),$B$511=1),$U$636,HLOOKUP(INDIRECT(ADDRESS(2,COLUMN())),OFFSET($BN$2,0,0,ROW()-1,60),ROW()-1,FALSE))</f>
        <v/>
      </c>
      <c r="V130" t="str">
        <f ca="1">IF(AND(ISNUMBER($V$636),$B$511=1),$V$636,HLOOKUP(INDIRECT(ADDRESS(2,COLUMN())),OFFSET($BN$2,0,0,ROW()-1,60),ROW()-1,FALSE))</f>
        <v/>
      </c>
      <c r="W130" t="str">
        <f ca="1">IF(AND(ISNUMBER($W$636),$B$511=1),$W$636,HLOOKUP(INDIRECT(ADDRESS(2,COLUMN())),OFFSET($BN$2,0,0,ROW()-1,60),ROW()-1,FALSE))</f>
        <v/>
      </c>
      <c r="X130" t="str">
        <f ca="1">IF(AND(ISNUMBER($X$636),$B$511=1),$X$636,HLOOKUP(INDIRECT(ADDRESS(2,COLUMN())),OFFSET($BN$2,0,0,ROW()-1,60),ROW()-1,FALSE))</f>
        <v/>
      </c>
      <c r="Y130" t="str">
        <f ca="1">IF(AND(ISNUMBER($Y$636),$B$511=1),$Y$636,HLOOKUP(INDIRECT(ADDRESS(2,COLUMN())),OFFSET($BN$2,0,0,ROW()-1,60),ROW()-1,FALSE))</f>
        <v/>
      </c>
      <c r="Z130" t="str">
        <f ca="1">IF(AND(ISNUMBER($Z$636),$B$511=1),$Z$636,HLOOKUP(INDIRECT(ADDRESS(2,COLUMN())),OFFSET($BN$2,0,0,ROW()-1,60),ROW()-1,FALSE))</f>
        <v/>
      </c>
      <c r="AA130" t="str">
        <f ca="1">IF(AND(ISNUMBER($AA$636),$B$511=1),$AA$636,HLOOKUP(INDIRECT(ADDRESS(2,COLUMN())),OFFSET($BN$2,0,0,ROW()-1,60),ROW()-1,FALSE))</f>
        <v/>
      </c>
      <c r="AB130" t="str">
        <f ca="1">IF(AND(ISNUMBER($AB$636),$B$511=1),$AB$636,HLOOKUP(INDIRECT(ADDRESS(2,COLUMN())),OFFSET($BN$2,0,0,ROW()-1,60),ROW()-1,FALSE))</f>
        <v/>
      </c>
      <c r="AC130" t="str">
        <f ca="1">IF(AND(ISNUMBER($AC$636),$B$511=1),$AC$636,HLOOKUP(INDIRECT(ADDRESS(2,COLUMN())),OFFSET($BN$2,0,0,ROW()-1,60),ROW()-1,FALSE))</f>
        <v/>
      </c>
      <c r="AD130" t="str">
        <f ca="1">IF(AND(ISNUMBER($AD$636),$B$511=1),$AD$636,HLOOKUP(INDIRECT(ADDRESS(2,COLUMN())),OFFSET($BN$2,0,0,ROW()-1,60),ROW()-1,FALSE))</f>
        <v/>
      </c>
      <c r="AE130" t="str">
        <f ca="1">IF(AND(ISNUMBER($AE$636),$B$511=1),$AE$636,HLOOKUP(INDIRECT(ADDRESS(2,COLUMN())),OFFSET($BN$2,0,0,ROW()-1,60),ROW()-1,FALSE))</f>
        <v/>
      </c>
      <c r="AF130" t="str">
        <f ca="1">IF(AND(ISNUMBER($AF$636),$B$511=1),$AF$636,HLOOKUP(INDIRECT(ADDRESS(2,COLUMN())),OFFSET($BN$2,0,0,ROW()-1,60),ROW()-1,FALSE))</f>
        <v/>
      </c>
      <c r="AG130" t="str">
        <f ca="1">IF(AND(ISNUMBER($AG$636),$B$511=1),$AG$636,HLOOKUP(INDIRECT(ADDRESS(2,COLUMN())),OFFSET($BN$2,0,0,ROW()-1,60),ROW()-1,FALSE))</f>
        <v/>
      </c>
      <c r="AH130" t="str">
        <f ca="1">IF(AND(ISNUMBER($AH$636),$B$511=1),$AH$636,HLOOKUP(INDIRECT(ADDRESS(2,COLUMN())),OFFSET($BN$2,0,0,ROW()-1,60),ROW()-1,FALSE))</f>
        <v/>
      </c>
      <c r="AI130" t="str">
        <f ca="1">IF(AND(ISNUMBER($AI$636),$B$511=1),$AI$636,HLOOKUP(INDIRECT(ADDRESS(2,COLUMN())),OFFSET($BN$2,0,0,ROW()-1,60),ROW()-1,FALSE))</f>
        <v/>
      </c>
      <c r="AJ130" t="str">
        <f ca="1">IF(AND(ISNUMBER($AJ$636),$B$511=1),$AJ$636,HLOOKUP(INDIRECT(ADDRESS(2,COLUMN())),OFFSET($BN$2,0,0,ROW()-1,60),ROW()-1,FALSE))</f>
        <v/>
      </c>
      <c r="AK130" t="str">
        <f ca="1">IF(AND(ISNUMBER($AK$636),$B$511=1),$AK$636,HLOOKUP(INDIRECT(ADDRESS(2,COLUMN())),OFFSET($BN$2,0,0,ROW()-1,60),ROW()-1,FALSE))</f>
        <v/>
      </c>
      <c r="AL130" t="str">
        <f ca="1">IF(AND(ISNUMBER($AL$636),$B$511=1),$AL$636,HLOOKUP(INDIRECT(ADDRESS(2,COLUMN())),OFFSET($BN$2,0,0,ROW()-1,60),ROW()-1,FALSE))</f>
        <v/>
      </c>
      <c r="AM130" t="str">
        <f ca="1">IF(AND(ISNUMBER($AM$636),$B$511=1),$AM$636,HLOOKUP(INDIRECT(ADDRESS(2,COLUMN())),OFFSET($BN$2,0,0,ROW()-1,60),ROW()-1,FALSE))</f>
        <v/>
      </c>
      <c r="AN130" t="str">
        <f ca="1">IF(AND(ISNUMBER($AN$636),$B$511=1),$AN$636,HLOOKUP(INDIRECT(ADDRESS(2,COLUMN())),OFFSET($BN$2,0,0,ROW()-1,60),ROW()-1,FALSE))</f>
        <v/>
      </c>
      <c r="AO130" t="str">
        <f ca="1">IF(AND(ISNUMBER($AO$636),$B$511=1),$AO$636,HLOOKUP(INDIRECT(ADDRESS(2,COLUMN())),OFFSET($BN$2,0,0,ROW()-1,60),ROW()-1,FALSE))</f>
        <v/>
      </c>
      <c r="AP130" t="str">
        <f ca="1">IF(AND(ISNUMBER($AP$636),$B$511=1),$AP$636,HLOOKUP(INDIRECT(ADDRESS(2,COLUMN())),OFFSET($BN$2,0,0,ROW()-1,60),ROW()-1,FALSE))</f>
        <v/>
      </c>
      <c r="AQ130" t="str">
        <f ca="1">IF(AND(ISNUMBER($AQ$636),$B$511=1),$AQ$636,HLOOKUP(INDIRECT(ADDRESS(2,COLUMN())),OFFSET($BN$2,0,0,ROW()-1,60),ROW()-1,FALSE))</f>
        <v/>
      </c>
      <c r="AR130" t="str">
        <f ca="1">IF(AND(ISNUMBER($AR$636),$B$511=1),$AR$636,HLOOKUP(INDIRECT(ADDRESS(2,COLUMN())),OFFSET($BN$2,0,0,ROW()-1,60),ROW()-1,FALSE))</f>
        <v/>
      </c>
      <c r="AS130" t="str">
        <f ca="1">IF(AND(ISNUMBER($AS$636),$B$511=1),$AS$636,HLOOKUP(INDIRECT(ADDRESS(2,COLUMN())),OFFSET($BN$2,0,0,ROW()-1,60),ROW()-1,FALSE))</f>
        <v/>
      </c>
      <c r="AT130" t="str">
        <f ca="1">IF(AND(ISNUMBER($AT$636),$B$511=1),$AT$636,HLOOKUP(INDIRECT(ADDRESS(2,COLUMN())),OFFSET($BN$2,0,0,ROW()-1,60),ROW()-1,FALSE))</f>
        <v/>
      </c>
      <c r="AU130" t="str">
        <f ca="1">IF(AND(ISNUMBER($AU$636),$B$511=1),$AU$636,HLOOKUP(INDIRECT(ADDRESS(2,COLUMN())),OFFSET($BN$2,0,0,ROW()-1,60),ROW()-1,FALSE))</f>
        <v/>
      </c>
      <c r="AV130" t="str">
        <f ca="1">IF(AND(ISNUMBER($AV$636),$B$511=1),$AV$636,HLOOKUP(INDIRECT(ADDRESS(2,COLUMN())),OFFSET($BN$2,0,0,ROW()-1,60),ROW()-1,FALSE))</f>
        <v/>
      </c>
      <c r="AW130" t="str">
        <f ca="1">IF(AND(ISNUMBER($AW$636),$B$511=1),$AW$636,HLOOKUP(INDIRECT(ADDRESS(2,COLUMN())),OFFSET($BN$2,0,0,ROW()-1,60),ROW()-1,FALSE))</f>
        <v/>
      </c>
      <c r="AX130" t="str">
        <f ca="1">IF(AND(ISNUMBER($AX$636),$B$511=1),$AX$636,HLOOKUP(INDIRECT(ADDRESS(2,COLUMN())),OFFSET($BN$2,0,0,ROW()-1,60),ROW()-1,FALSE))</f>
        <v/>
      </c>
      <c r="AY130" t="str">
        <f ca="1">IF(AND(ISNUMBER($AY$636),$B$511=1),$AY$636,HLOOKUP(INDIRECT(ADDRESS(2,COLUMN())),OFFSET($BN$2,0,0,ROW()-1,60),ROW()-1,FALSE))</f>
        <v/>
      </c>
      <c r="AZ130" t="str">
        <f ca="1">IF(AND(ISNUMBER($AZ$636),$B$511=1),$AZ$636,HLOOKUP(INDIRECT(ADDRESS(2,COLUMN())),OFFSET($BN$2,0,0,ROW()-1,60),ROW()-1,FALSE))</f>
        <v/>
      </c>
      <c r="BA130" t="str">
        <f ca="1">IF(AND(ISNUMBER($BA$636),$B$511=1),$BA$636,HLOOKUP(INDIRECT(ADDRESS(2,COLUMN())),OFFSET($BN$2,0,0,ROW()-1,60),ROW()-1,FALSE))</f>
        <v/>
      </c>
      <c r="BB130" t="str">
        <f ca="1">IF(AND(ISNUMBER($BB$636),$B$511=1),$BB$636,HLOOKUP(INDIRECT(ADDRESS(2,COLUMN())),OFFSET($BN$2,0,0,ROW()-1,60),ROW()-1,FALSE))</f>
        <v/>
      </c>
      <c r="BC130" t="str">
        <f ca="1">IF(AND(ISNUMBER($BC$636),$B$511=1),$BC$636,HLOOKUP(INDIRECT(ADDRESS(2,COLUMN())),OFFSET($BN$2,0,0,ROW()-1,60),ROW()-1,FALSE))</f>
        <v/>
      </c>
      <c r="BD130" t="str">
        <f ca="1">IF(AND(ISNUMBER($BD$636),$B$511=1),$BD$636,HLOOKUP(INDIRECT(ADDRESS(2,COLUMN())),OFFSET($BN$2,0,0,ROW()-1,60),ROW()-1,FALSE))</f>
        <v/>
      </c>
      <c r="BE130" t="str">
        <f ca="1">IF(AND(ISNUMBER($BE$636),$B$511=1),$BE$636,HLOOKUP(INDIRECT(ADDRESS(2,COLUMN())),OFFSET($BN$2,0,0,ROW()-1,60),ROW()-1,FALSE))</f>
        <v/>
      </c>
      <c r="BF130" t="str">
        <f ca="1">IF(AND(ISNUMBER($BF$636),$B$511=1),$BF$636,HLOOKUP(INDIRECT(ADDRESS(2,COLUMN())),OFFSET($BN$2,0,0,ROW()-1,60),ROW()-1,FALSE))</f>
        <v/>
      </c>
      <c r="BG130" t="str">
        <f ca="1">IF(AND(ISNUMBER($BG$636),$B$511=1),$BG$636,HLOOKUP(INDIRECT(ADDRESS(2,COLUMN())),OFFSET($BN$2,0,0,ROW()-1,60),ROW()-1,FALSE))</f>
        <v/>
      </c>
      <c r="BH130" t="str">
        <f ca="1">IF(AND(ISNUMBER($BH$636),$B$511=1),$BH$636,HLOOKUP(INDIRECT(ADDRESS(2,COLUMN())),OFFSET($BN$2,0,0,ROW()-1,60),ROW()-1,FALSE))</f>
        <v/>
      </c>
      <c r="BI130" t="str">
        <f ca="1">IF(AND(ISNUMBER($BI$636),$B$511=1),$BI$636,HLOOKUP(INDIRECT(ADDRESS(2,COLUMN())),OFFSET($BN$2,0,0,ROW()-1,60),ROW()-1,FALSE))</f>
        <v/>
      </c>
      <c r="BJ130" t="str">
        <f ca="1">IF(AND(ISNUMBER($BJ$636),$B$511=1),$BJ$636,HLOOKUP(INDIRECT(ADDRESS(2,COLUMN())),OFFSET($BN$2,0,0,ROW()-1,60),ROW()-1,FALSE))</f>
        <v/>
      </c>
      <c r="BK130" t="str">
        <f ca="1">IF(AND(ISNUMBER($BK$636),$B$511=1),$BK$636,HLOOKUP(INDIRECT(ADDRESS(2,COLUMN())),OFFSET($BN$2,0,0,ROW()-1,60),ROW()-1,FALSE))</f>
        <v/>
      </c>
      <c r="BL130" t="str">
        <f ca="1">IF(AND(ISNUMBER($BL$636),$B$511=1),$BL$636,HLOOKUP(INDIRECT(ADDRESS(2,COLUMN())),OFFSET($BN$2,0,0,ROW()-1,60),ROW()-1,FALSE))</f>
        <v/>
      </c>
      <c r="BM130" t="str">
        <f ca="1">IF(AND(ISNUMBER($BM$636),$B$511=1),$BM$636,HLOOKUP(INDIRECT(ADDRESS(2,COLUMN())),OFFSET($BN$2,0,0,ROW()-1,60),ROW()-1,FALSE))</f>
        <v/>
      </c>
      <c r="BN130" t="str">
        <f>""</f>
        <v/>
      </c>
      <c r="BO130" t="str">
        <f>""</f>
        <v/>
      </c>
      <c r="BP130" t="str">
        <f>""</f>
        <v/>
      </c>
      <c r="BQ130" t="str">
        <f>""</f>
        <v/>
      </c>
      <c r="BR130" t="str">
        <f>""</f>
        <v/>
      </c>
      <c r="BS130" t="str">
        <f>""</f>
        <v/>
      </c>
      <c r="BT130" t="str">
        <f>""</f>
        <v/>
      </c>
      <c r="BU130" t="str">
        <f>""</f>
        <v/>
      </c>
      <c r="BV130" t="str">
        <f>""</f>
        <v/>
      </c>
      <c r="BW130" t="str">
        <f>""</f>
        <v/>
      </c>
      <c r="BX130" t="str">
        <f>""</f>
        <v/>
      </c>
      <c r="BY130" t="str">
        <f>""</f>
        <v/>
      </c>
      <c r="BZ130" t="str">
        <f>""</f>
        <v/>
      </c>
      <c r="CA130" t="str">
        <f>""</f>
        <v/>
      </c>
      <c r="CB130" t="str">
        <f>""</f>
        <v/>
      </c>
      <c r="CC130" t="str">
        <f>""</f>
        <v/>
      </c>
      <c r="CD130" t="str">
        <f>""</f>
        <v/>
      </c>
      <c r="CE130" t="str">
        <f>""</f>
        <v/>
      </c>
      <c r="CF130" t="str">
        <f>""</f>
        <v/>
      </c>
      <c r="CG130" t="str">
        <f>""</f>
        <v/>
      </c>
      <c r="CH130" t="str">
        <f>""</f>
        <v/>
      </c>
      <c r="CI130" t="str">
        <f>""</f>
        <v/>
      </c>
      <c r="CJ130" t="str">
        <f>""</f>
        <v/>
      </c>
      <c r="CK130" t="str">
        <f>""</f>
        <v/>
      </c>
      <c r="CL130" t="str">
        <f>""</f>
        <v/>
      </c>
      <c r="CM130" t="str">
        <f>""</f>
        <v/>
      </c>
      <c r="CN130" t="str">
        <f>""</f>
        <v/>
      </c>
      <c r="CO130" t="str">
        <f>""</f>
        <v/>
      </c>
      <c r="CP130" t="str">
        <f>""</f>
        <v/>
      </c>
      <c r="CQ130" t="str">
        <f>""</f>
        <v/>
      </c>
      <c r="CR130" t="str">
        <f>""</f>
        <v/>
      </c>
      <c r="CS130" t="str">
        <f>""</f>
        <v/>
      </c>
      <c r="CT130" t="str">
        <f>""</f>
        <v/>
      </c>
      <c r="CU130" t="str">
        <f>""</f>
        <v/>
      </c>
      <c r="CV130" t="str">
        <f>""</f>
        <v/>
      </c>
      <c r="CW130" t="str">
        <f>""</f>
        <v/>
      </c>
      <c r="CX130" t="str">
        <f>""</f>
        <v/>
      </c>
      <c r="CY130" t="str">
        <f>""</f>
        <v/>
      </c>
      <c r="CZ130" t="str">
        <f>""</f>
        <v/>
      </c>
      <c r="DA130" t="str">
        <f>""</f>
        <v/>
      </c>
      <c r="DB130" t="str">
        <f>""</f>
        <v/>
      </c>
      <c r="DC130" t="str">
        <f>""</f>
        <v/>
      </c>
      <c r="DD130" t="str">
        <f>""</f>
        <v/>
      </c>
      <c r="DE130" t="str">
        <f>""</f>
        <v/>
      </c>
      <c r="DF130" t="str">
        <f>""</f>
        <v/>
      </c>
      <c r="DG130" t="str">
        <f>""</f>
        <v/>
      </c>
      <c r="DH130" t="str">
        <f>""</f>
        <v/>
      </c>
      <c r="DI130" t="str">
        <f>""</f>
        <v/>
      </c>
      <c r="DJ130" t="str">
        <f>""</f>
        <v/>
      </c>
      <c r="DK130" t="str">
        <f>""</f>
        <v/>
      </c>
      <c r="DL130" t="str">
        <f>""</f>
        <v/>
      </c>
      <c r="DM130" t="str">
        <f>""</f>
        <v/>
      </c>
      <c r="DN130" t="str">
        <f>""</f>
        <v/>
      </c>
      <c r="DO130" t="str">
        <f>""</f>
        <v/>
      </c>
      <c r="DP130" t="str">
        <f>""</f>
        <v/>
      </c>
      <c r="DQ130" t="str">
        <f>""</f>
        <v/>
      </c>
      <c r="DR130" t="str">
        <f>""</f>
        <v/>
      </c>
      <c r="DS130" t="str">
        <f>""</f>
        <v/>
      </c>
      <c r="DT130" t="str">
        <f>""</f>
        <v/>
      </c>
      <c r="DU130" t="str">
        <f>""</f>
        <v/>
      </c>
    </row>
    <row r="131" spans="1:125" x14ac:dyDescent="0.25">
      <c r="A131" t="str">
        <f>"    BYD Co Ltd"</f>
        <v xml:space="preserve">    BYD Co Ltd</v>
      </c>
      <c r="B131" t="str">
        <f>"1211 HK Equity"</f>
        <v>1211 HK Equity</v>
      </c>
      <c r="C131" t="str">
        <f t="shared" si="9"/>
        <v>RR841</v>
      </c>
      <c r="D131" t="str">
        <f t="shared" si="10"/>
        <v>TRAIL_12M_EBITDA</v>
      </c>
      <c r="E131" t="str">
        <f t="shared" si="11"/>
        <v>Dynamic</v>
      </c>
      <c r="F131" t="str">
        <f ca="1">IF(AND(ISNUMBER($F$637),$B$511=1),$F$637,HLOOKUP(INDIRECT(ADDRESS(2,COLUMN())),OFFSET($BN$2,0,0,ROW()-1,60),ROW()-1,FALSE))</f>
        <v/>
      </c>
      <c r="G131" t="str">
        <f ca="1">IF(AND(ISNUMBER($G$637),$B$511=1),$G$637,HLOOKUP(INDIRECT(ADDRESS(2,COLUMN())),OFFSET($BN$2,0,0,ROW()-1,60),ROW()-1,FALSE))</f>
        <v/>
      </c>
      <c r="H131" t="str">
        <f ca="1">IF(AND(ISNUMBER($H$637),$B$511=1),$H$637,HLOOKUP(INDIRECT(ADDRESS(2,COLUMN())),OFFSET($BN$2,0,0,ROW()-1,60),ROW()-1,FALSE))</f>
        <v/>
      </c>
      <c r="I131" t="str">
        <f ca="1">IF(AND(ISNUMBER($I$637),$B$511=1),$I$637,HLOOKUP(INDIRECT(ADDRESS(2,COLUMN())),OFFSET($BN$2,0,0,ROW()-1,60),ROW()-1,FALSE))</f>
        <v/>
      </c>
      <c r="J131" t="str">
        <f ca="1">IF(AND(ISNUMBER($J$637),$B$511=1),$J$637,HLOOKUP(INDIRECT(ADDRESS(2,COLUMN())),OFFSET($BN$2,0,0,ROW()-1,60),ROW()-1,FALSE))</f>
        <v/>
      </c>
      <c r="K131" t="str">
        <f ca="1">IF(AND(ISNUMBER($K$637),$B$511=1),$K$637,HLOOKUP(INDIRECT(ADDRESS(2,COLUMN())),OFFSET($BN$2,0,0,ROW()-1,60),ROW()-1,FALSE))</f>
        <v/>
      </c>
      <c r="L131" t="str">
        <f ca="1">IF(AND(ISNUMBER($L$637),$B$511=1),$L$637,HLOOKUP(INDIRECT(ADDRESS(2,COLUMN())),OFFSET($BN$2,0,0,ROW()-1,60),ROW()-1,FALSE))</f>
        <v/>
      </c>
      <c r="M131" t="str">
        <f ca="1">IF(AND(ISNUMBER($M$637),$B$511=1),$M$637,HLOOKUP(INDIRECT(ADDRESS(2,COLUMN())),OFFSET($BN$2,0,0,ROW()-1,60),ROW()-1,FALSE))</f>
        <v/>
      </c>
      <c r="N131" t="str">
        <f ca="1">IF(AND(ISNUMBER($N$637),$B$511=1),$N$637,HLOOKUP(INDIRECT(ADDRESS(2,COLUMN())),OFFSET($BN$2,0,0,ROW()-1,60),ROW()-1,FALSE))</f>
        <v/>
      </c>
      <c r="O131" t="str">
        <f ca="1">IF(AND(ISNUMBER($O$637),$B$511=1),$O$637,HLOOKUP(INDIRECT(ADDRESS(2,COLUMN())),OFFSET($BN$2,0,0,ROW()-1,60),ROW()-1,FALSE))</f>
        <v/>
      </c>
      <c r="P131" t="str">
        <f ca="1">IF(AND(ISNUMBER($P$637),$B$511=1),$P$637,HLOOKUP(INDIRECT(ADDRESS(2,COLUMN())),OFFSET($BN$2,0,0,ROW()-1,60),ROW()-1,FALSE))</f>
        <v/>
      </c>
      <c r="Q131" t="str">
        <f ca="1">IF(AND(ISNUMBER($Q$637),$B$511=1),$Q$637,HLOOKUP(INDIRECT(ADDRESS(2,COLUMN())),OFFSET($BN$2,0,0,ROW()-1,60),ROW()-1,FALSE))</f>
        <v/>
      </c>
      <c r="R131" t="str">
        <f ca="1">IF(AND(ISNUMBER($R$637),$B$511=1),$R$637,HLOOKUP(INDIRECT(ADDRESS(2,COLUMN())),OFFSET($BN$2,0,0,ROW()-1,60),ROW()-1,FALSE))</f>
        <v/>
      </c>
      <c r="S131" t="str">
        <f ca="1">IF(AND(ISNUMBER($S$637),$B$511=1),$S$637,HLOOKUP(INDIRECT(ADDRESS(2,COLUMN())),OFFSET($BN$2,0,0,ROW()-1,60),ROW()-1,FALSE))</f>
        <v/>
      </c>
      <c r="T131" t="str">
        <f ca="1">IF(AND(ISNUMBER($T$637),$B$511=1),$T$637,HLOOKUP(INDIRECT(ADDRESS(2,COLUMN())),OFFSET($BN$2,0,0,ROW()-1,60),ROW()-1,FALSE))</f>
        <v/>
      </c>
      <c r="U131" t="str">
        <f ca="1">IF(AND(ISNUMBER($U$637),$B$511=1),$U$637,HLOOKUP(INDIRECT(ADDRESS(2,COLUMN())),OFFSET($BN$2,0,0,ROW()-1,60),ROW()-1,FALSE))</f>
        <v/>
      </c>
      <c r="V131" t="str">
        <f ca="1">IF(AND(ISNUMBER($V$637),$B$511=1),$V$637,HLOOKUP(INDIRECT(ADDRESS(2,COLUMN())),OFFSET($BN$2,0,0,ROW()-1,60),ROW()-1,FALSE))</f>
        <v/>
      </c>
      <c r="W131" t="str">
        <f ca="1">IF(AND(ISNUMBER($W$637),$B$511=1),$W$637,HLOOKUP(INDIRECT(ADDRESS(2,COLUMN())),OFFSET($BN$2,0,0,ROW()-1,60),ROW()-1,FALSE))</f>
        <v/>
      </c>
      <c r="X131" t="str">
        <f ca="1">IF(AND(ISNUMBER($X$637),$B$511=1),$X$637,HLOOKUP(INDIRECT(ADDRESS(2,COLUMN())),OFFSET($BN$2,0,0,ROW()-1,60),ROW()-1,FALSE))</f>
        <v/>
      </c>
      <c r="Y131" t="str">
        <f ca="1">IF(AND(ISNUMBER($Y$637),$B$511=1),$Y$637,HLOOKUP(INDIRECT(ADDRESS(2,COLUMN())),OFFSET($BN$2,0,0,ROW()-1,60),ROW()-1,FALSE))</f>
        <v/>
      </c>
      <c r="Z131" t="str">
        <f ca="1">IF(AND(ISNUMBER($Z$637),$B$511=1),$Z$637,HLOOKUP(INDIRECT(ADDRESS(2,COLUMN())),OFFSET($BN$2,0,0,ROW()-1,60),ROW()-1,FALSE))</f>
        <v/>
      </c>
      <c r="AA131" t="str">
        <f ca="1">IF(AND(ISNUMBER($AA$637),$B$511=1),$AA$637,HLOOKUP(INDIRECT(ADDRESS(2,COLUMN())),OFFSET($BN$2,0,0,ROW()-1,60),ROW()-1,FALSE))</f>
        <v/>
      </c>
      <c r="AB131" t="str">
        <f ca="1">IF(AND(ISNUMBER($AB$637),$B$511=1),$AB$637,HLOOKUP(INDIRECT(ADDRESS(2,COLUMN())),OFFSET($BN$2,0,0,ROW()-1,60),ROW()-1,FALSE))</f>
        <v/>
      </c>
      <c r="AC131" t="str">
        <f ca="1">IF(AND(ISNUMBER($AC$637),$B$511=1),$AC$637,HLOOKUP(INDIRECT(ADDRESS(2,COLUMN())),OFFSET($BN$2,0,0,ROW()-1,60),ROW()-1,FALSE))</f>
        <v/>
      </c>
      <c r="AD131" t="str">
        <f ca="1">IF(AND(ISNUMBER($AD$637),$B$511=1),$AD$637,HLOOKUP(INDIRECT(ADDRESS(2,COLUMN())),OFFSET($BN$2,0,0,ROW()-1,60),ROW()-1,FALSE))</f>
        <v/>
      </c>
      <c r="AE131" t="str">
        <f ca="1">IF(AND(ISNUMBER($AE$637),$B$511=1),$AE$637,HLOOKUP(INDIRECT(ADDRESS(2,COLUMN())),OFFSET($BN$2,0,0,ROW()-1,60),ROW()-1,FALSE))</f>
        <v/>
      </c>
      <c r="AF131" t="str">
        <f ca="1">IF(AND(ISNUMBER($AF$637),$B$511=1),$AF$637,HLOOKUP(INDIRECT(ADDRESS(2,COLUMN())),OFFSET($BN$2,0,0,ROW()-1,60),ROW()-1,FALSE))</f>
        <v/>
      </c>
      <c r="AG131" t="str">
        <f ca="1">IF(AND(ISNUMBER($AG$637),$B$511=1),$AG$637,HLOOKUP(INDIRECT(ADDRESS(2,COLUMN())),OFFSET($BN$2,0,0,ROW()-1,60),ROW()-1,FALSE))</f>
        <v/>
      </c>
      <c r="AH131" t="str">
        <f ca="1">IF(AND(ISNUMBER($AH$637),$B$511=1),$AH$637,HLOOKUP(INDIRECT(ADDRESS(2,COLUMN())),OFFSET($BN$2,0,0,ROW()-1,60),ROW()-1,FALSE))</f>
        <v/>
      </c>
      <c r="AI131" t="str">
        <f ca="1">IF(AND(ISNUMBER($AI$637),$B$511=1),$AI$637,HLOOKUP(INDIRECT(ADDRESS(2,COLUMN())),OFFSET($BN$2,0,0,ROW()-1,60),ROW()-1,FALSE))</f>
        <v/>
      </c>
      <c r="AJ131" t="str">
        <f ca="1">IF(AND(ISNUMBER($AJ$637),$B$511=1),$AJ$637,HLOOKUP(INDIRECT(ADDRESS(2,COLUMN())),OFFSET($BN$2,0,0,ROW()-1,60),ROW()-1,FALSE))</f>
        <v/>
      </c>
      <c r="AK131" t="str">
        <f ca="1">IF(AND(ISNUMBER($AK$637),$B$511=1),$AK$637,HLOOKUP(INDIRECT(ADDRESS(2,COLUMN())),OFFSET($BN$2,0,0,ROW()-1,60),ROW()-1,FALSE))</f>
        <v/>
      </c>
      <c r="AL131" t="str">
        <f ca="1">IF(AND(ISNUMBER($AL$637),$B$511=1),$AL$637,HLOOKUP(INDIRECT(ADDRESS(2,COLUMN())),OFFSET($BN$2,0,0,ROW()-1,60),ROW()-1,FALSE))</f>
        <v/>
      </c>
      <c r="AM131" t="str">
        <f ca="1">IF(AND(ISNUMBER($AM$637),$B$511=1),$AM$637,HLOOKUP(INDIRECT(ADDRESS(2,COLUMN())),OFFSET($BN$2,0,0,ROW()-1,60),ROW()-1,FALSE))</f>
        <v/>
      </c>
      <c r="AN131" t="str">
        <f ca="1">IF(AND(ISNUMBER($AN$637),$B$511=1),$AN$637,HLOOKUP(INDIRECT(ADDRESS(2,COLUMN())),OFFSET($BN$2,0,0,ROW()-1,60),ROW()-1,FALSE))</f>
        <v/>
      </c>
      <c r="AO131" t="str">
        <f ca="1">IF(AND(ISNUMBER($AO$637),$B$511=1),$AO$637,HLOOKUP(INDIRECT(ADDRESS(2,COLUMN())),OFFSET($BN$2,0,0,ROW()-1,60),ROW()-1,FALSE))</f>
        <v/>
      </c>
      <c r="AP131" t="str">
        <f ca="1">IF(AND(ISNUMBER($AP$637),$B$511=1),$AP$637,HLOOKUP(INDIRECT(ADDRESS(2,COLUMN())),OFFSET($BN$2,0,0,ROW()-1,60),ROW()-1,FALSE))</f>
        <v/>
      </c>
      <c r="AQ131" t="str">
        <f ca="1">IF(AND(ISNUMBER($AQ$637),$B$511=1),$AQ$637,HLOOKUP(INDIRECT(ADDRESS(2,COLUMN())),OFFSET($BN$2,0,0,ROW()-1,60),ROW()-1,FALSE))</f>
        <v/>
      </c>
      <c r="AR131" t="str">
        <f ca="1">IF(AND(ISNUMBER($AR$637),$B$511=1),$AR$637,HLOOKUP(INDIRECT(ADDRESS(2,COLUMN())),OFFSET($BN$2,0,0,ROW()-1,60),ROW()-1,FALSE))</f>
        <v/>
      </c>
      <c r="AS131" t="str">
        <f ca="1">IF(AND(ISNUMBER($AS$637),$B$511=1),$AS$637,HLOOKUP(INDIRECT(ADDRESS(2,COLUMN())),OFFSET($BN$2,0,0,ROW()-1,60),ROW()-1,FALSE))</f>
        <v/>
      </c>
      <c r="AT131" t="str">
        <f ca="1">IF(AND(ISNUMBER($AT$637),$B$511=1),$AT$637,HLOOKUP(INDIRECT(ADDRESS(2,COLUMN())),OFFSET($BN$2,0,0,ROW()-1,60),ROW()-1,FALSE))</f>
        <v/>
      </c>
      <c r="AU131" t="str">
        <f ca="1">IF(AND(ISNUMBER($AU$637),$B$511=1),$AU$637,HLOOKUP(INDIRECT(ADDRESS(2,COLUMN())),OFFSET($BN$2,0,0,ROW()-1,60),ROW()-1,FALSE))</f>
        <v/>
      </c>
      <c r="AV131" t="str">
        <f ca="1">IF(AND(ISNUMBER($AV$637),$B$511=1),$AV$637,HLOOKUP(INDIRECT(ADDRESS(2,COLUMN())),OFFSET($BN$2,0,0,ROW()-1,60),ROW()-1,FALSE))</f>
        <v/>
      </c>
      <c r="AW131" t="str">
        <f ca="1">IF(AND(ISNUMBER($AW$637),$B$511=1),$AW$637,HLOOKUP(INDIRECT(ADDRESS(2,COLUMN())),OFFSET($BN$2,0,0,ROW()-1,60),ROW()-1,FALSE))</f>
        <v/>
      </c>
      <c r="AX131" t="str">
        <f ca="1">IF(AND(ISNUMBER($AX$637),$B$511=1),$AX$637,HLOOKUP(INDIRECT(ADDRESS(2,COLUMN())),OFFSET($BN$2,0,0,ROW()-1,60),ROW()-1,FALSE))</f>
        <v/>
      </c>
      <c r="AY131" t="str">
        <f ca="1">IF(AND(ISNUMBER($AY$637),$B$511=1),$AY$637,HLOOKUP(INDIRECT(ADDRESS(2,COLUMN())),OFFSET($BN$2,0,0,ROW()-1,60),ROW()-1,FALSE))</f>
        <v/>
      </c>
      <c r="AZ131" t="str">
        <f ca="1">IF(AND(ISNUMBER($AZ$637),$B$511=1),$AZ$637,HLOOKUP(INDIRECT(ADDRESS(2,COLUMN())),OFFSET($BN$2,0,0,ROW()-1,60),ROW()-1,FALSE))</f>
        <v/>
      </c>
      <c r="BA131" t="str">
        <f ca="1">IF(AND(ISNUMBER($BA$637),$B$511=1),$BA$637,HLOOKUP(INDIRECT(ADDRESS(2,COLUMN())),OFFSET($BN$2,0,0,ROW()-1,60),ROW()-1,FALSE))</f>
        <v/>
      </c>
      <c r="BB131" t="str">
        <f ca="1">IF(AND(ISNUMBER($BB$637),$B$511=1),$BB$637,HLOOKUP(INDIRECT(ADDRESS(2,COLUMN())),OFFSET($BN$2,0,0,ROW()-1,60),ROW()-1,FALSE))</f>
        <v/>
      </c>
      <c r="BC131" t="str">
        <f ca="1">IF(AND(ISNUMBER($BC$637),$B$511=1),$BC$637,HLOOKUP(INDIRECT(ADDRESS(2,COLUMN())),OFFSET($BN$2,0,0,ROW()-1,60),ROW()-1,FALSE))</f>
        <v/>
      </c>
      <c r="BD131" t="str">
        <f ca="1">IF(AND(ISNUMBER($BD$637),$B$511=1),$BD$637,HLOOKUP(INDIRECT(ADDRESS(2,COLUMN())),OFFSET($BN$2,0,0,ROW()-1,60),ROW()-1,FALSE))</f>
        <v/>
      </c>
      <c r="BE131" t="str">
        <f ca="1">IF(AND(ISNUMBER($BE$637),$B$511=1),$BE$637,HLOOKUP(INDIRECT(ADDRESS(2,COLUMN())),OFFSET($BN$2,0,0,ROW()-1,60),ROW()-1,FALSE))</f>
        <v/>
      </c>
      <c r="BF131" t="str">
        <f ca="1">IF(AND(ISNUMBER($BF$637),$B$511=1),$BF$637,HLOOKUP(INDIRECT(ADDRESS(2,COLUMN())),OFFSET($BN$2,0,0,ROW()-1,60),ROW()-1,FALSE))</f>
        <v/>
      </c>
      <c r="BG131" t="str">
        <f ca="1">IF(AND(ISNUMBER($BG$637),$B$511=1),$BG$637,HLOOKUP(INDIRECT(ADDRESS(2,COLUMN())),OFFSET($BN$2,0,0,ROW()-1,60),ROW()-1,FALSE))</f>
        <v/>
      </c>
      <c r="BH131" t="str">
        <f ca="1">IF(AND(ISNUMBER($BH$637),$B$511=1),$BH$637,HLOOKUP(INDIRECT(ADDRESS(2,COLUMN())),OFFSET($BN$2,0,0,ROW()-1,60),ROW()-1,FALSE))</f>
        <v/>
      </c>
      <c r="BI131" t="str">
        <f ca="1">IF(AND(ISNUMBER($BI$637),$B$511=1),$BI$637,HLOOKUP(INDIRECT(ADDRESS(2,COLUMN())),OFFSET($BN$2,0,0,ROW()-1,60),ROW()-1,FALSE))</f>
        <v/>
      </c>
      <c r="BJ131" t="str">
        <f ca="1">IF(AND(ISNUMBER($BJ$637),$B$511=1),$BJ$637,HLOOKUP(INDIRECT(ADDRESS(2,COLUMN())),OFFSET($BN$2,0,0,ROW()-1,60),ROW()-1,FALSE))</f>
        <v/>
      </c>
      <c r="BK131" t="str">
        <f ca="1">IF(AND(ISNUMBER($BK$637),$B$511=1),$BK$637,HLOOKUP(INDIRECT(ADDRESS(2,COLUMN())),OFFSET($BN$2,0,0,ROW()-1,60),ROW()-1,FALSE))</f>
        <v/>
      </c>
      <c r="BL131" t="str">
        <f ca="1">IF(AND(ISNUMBER($BL$637),$B$511=1),$BL$637,HLOOKUP(INDIRECT(ADDRESS(2,COLUMN())),OFFSET($BN$2,0,0,ROW()-1,60),ROW()-1,FALSE))</f>
        <v/>
      </c>
      <c r="BM131" t="str">
        <f ca="1">IF(AND(ISNUMBER($BM$637),$B$511=1),$BM$637,HLOOKUP(INDIRECT(ADDRESS(2,COLUMN())),OFFSET($BN$2,0,0,ROW()-1,60),ROW()-1,FALSE))</f>
        <v/>
      </c>
      <c r="BN131" t="str">
        <f>""</f>
        <v/>
      </c>
      <c r="BO131" t="str">
        <f>""</f>
        <v/>
      </c>
      <c r="BP131" t="str">
        <f>""</f>
        <v/>
      </c>
      <c r="BQ131" t="str">
        <f>""</f>
        <v/>
      </c>
      <c r="BR131" t="str">
        <f>""</f>
        <v/>
      </c>
      <c r="BS131" t="str">
        <f>""</f>
        <v/>
      </c>
      <c r="BT131" t="str">
        <f>""</f>
        <v/>
      </c>
      <c r="BU131" t="str">
        <f>""</f>
        <v/>
      </c>
      <c r="BV131" t="str">
        <f>""</f>
        <v/>
      </c>
      <c r="BW131" t="str">
        <f>""</f>
        <v/>
      </c>
      <c r="BX131" t="str">
        <f>""</f>
        <v/>
      </c>
      <c r="BY131" t="str">
        <f>""</f>
        <v/>
      </c>
      <c r="BZ131" t="str">
        <f>""</f>
        <v/>
      </c>
      <c r="CA131" t="str">
        <f>""</f>
        <v/>
      </c>
      <c r="CB131" t="str">
        <f>""</f>
        <v/>
      </c>
      <c r="CC131" t="str">
        <f>""</f>
        <v/>
      </c>
      <c r="CD131" t="str">
        <f>""</f>
        <v/>
      </c>
      <c r="CE131" t="str">
        <f>""</f>
        <v/>
      </c>
      <c r="CF131" t="str">
        <f>""</f>
        <v/>
      </c>
      <c r="CG131" t="str">
        <f>""</f>
        <v/>
      </c>
      <c r="CH131" t="str">
        <f>""</f>
        <v/>
      </c>
      <c r="CI131" t="str">
        <f>""</f>
        <v/>
      </c>
      <c r="CJ131" t="str">
        <f>""</f>
        <v/>
      </c>
      <c r="CK131" t="str">
        <f>""</f>
        <v/>
      </c>
      <c r="CL131" t="str">
        <f>""</f>
        <v/>
      </c>
      <c r="CM131" t="str">
        <f>""</f>
        <v/>
      </c>
      <c r="CN131" t="str">
        <f>""</f>
        <v/>
      </c>
      <c r="CO131" t="str">
        <f>""</f>
        <v/>
      </c>
      <c r="CP131" t="str">
        <f>""</f>
        <v/>
      </c>
      <c r="CQ131" t="str">
        <f>""</f>
        <v/>
      </c>
      <c r="CR131" t="str">
        <f>""</f>
        <v/>
      </c>
      <c r="CS131" t="str">
        <f>""</f>
        <v/>
      </c>
      <c r="CT131" t="str">
        <f>""</f>
        <v/>
      </c>
      <c r="CU131" t="str">
        <f>""</f>
        <v/>
      </c>
      <c r="CV131" t="str">
        <f>""</f>
        <v/>
      </c>
      <c r="CW131" t="str">
        <f>""</f>
        <v/>
      </c>
      <c r="CX131" t="str">
        <f>""</f>
        <v/>
      </c>
      <c r="CY131" t="str">
        <f>""</f>
        <v/>
      </c>
      <c r="CZ131" t="str">
        <f>""</f>
        <v/>
      </c>
      <c r="DA131" t="str">
        <f>""</f>
        <v/>
      </c>
      <c r="DB131" t="str">
        <f>""</f>
        <v/>
      </c>
      <c r="DC131" t="str">
        <f>""</f>
        <v/>
      </c>
      <c r="DD131" t="str">
        <f>""</f>
        <v/>
      </c>
      <c r="DE131" t="str">
        <f>""</f>
        <v/>
      </c>
      <c r="DF131" t="str">
        <f>""</f>
        <v/>
      </c>
      <c r="DG131" t="str">
        <f>""</f>
        <v/>
      </c>
      <c r="DH131" t="str">
        <f>""</f>
        <v/>
      </c>
      <c r="DI131" t="str">
        <f>""</f>
        <v/>
      </c>
      <c r="DJ131" t="str">
        <f>""</f>
        <v/>
      </c>
      <c r="DK131" t="str">
        <f>""</f>
        <v/>
      </c>
      <c r="DL131" t="str">
        <f>""</f>
        <v/>
      </c>
      <c r="DM131" t="str">
        <f>""</f>
        <v/>
      </c>
      <c r="DN131" t="str">
        <f>""</f>
        <v/>
      </c>
      <c r="DO131" t="str">
        <f>""</f>
        <v/>
      </c>
      <c r="DP131" t="str">
        <f>""</f>
        <v/>
      </c>
      <c r="DQ131" t="str">
        <f>""</f>
        <v/>
      </c>
      <c r="DR131" t="str">
        <f>""</f>
        <v/>
      </c>
      <c r="DS131" t="str">
        <f>""</f>
        <v/>
      </c>
      <c r="DT131" t="str">
        <f>""</f>
        <v/>
      </c>
      <c r="DU131" t="str">
        <f>""</f>
        <v/>
      </c>
    </row>
    <row r="132" spans="1:125" x14ac:dyDescent="0.25">
      <c r="A132" t="str">
        <f>"    Chongqing Changan Automobile Co Ltd"</f>
        <v xml:space="preserve">    Chongqing Changan Automobile Co Ltd</v>
      </c>
      <c r="B132" t="str">
        <f>"200625 CH Equity"</f>
        <v>200625 CH Equity</v>
      </c>
      <c r="C132" t="str">
        <f t="shared" si="9"/>
        <v>RR841</v>
      </c>
      <c r="D132" t="str">
        <f t="shared" si="10"/>
        <v>TRAIL_12M_EBITDA</v>
      </c>
      <c r="E132" t="str">
        <f t="shared" si="11"/>
        <v>Dynamic</v>
      </c>
      <c r="F132" t="str">
        <f ca="1">IF(AND(ISNUMBER($F$638),$B$511=1),$F$638,HLOOKUP(INDIRECT(ADDRESS(2,COLUMN())),OFFSET($BN$2,0,0,ROW()-1,60),ROW()-1,FALSE))</f>
        <v/>
      </c>
      <c r="G132" t="str">
        <f ca="1">IF(AND(ISNUMBER($G$638),$B$511=1),$G$638,HLOOKUP(INDIRECT(ADDRESS(2,COLUMN())),OFFSET($BN$2,0,0,ROW()-1,60),ROW()-1,FALSE))</f>
        <v/>
      </c>
      <c r="H132" t="str">
        <f ca="1">IF(AND(ISNUMBER($H$638),$B$511=1),$H$638,HLOOKUP(INDIRECT(ADDRESS(2,COLUMN())),OFFSET($BN$2,0,0,ROW()-1,60),ROW()-1,FALSE))</f>
        <v/>
      </c>
      <c r="I132" t="str">
        <f ca="1">IF(AND(ISNUMBER($I$638),$B$511=1),$I$638,HLOOKUP(INDIRECT(ADDRESS(2,COLUMN())),OFFSET($BN$2,0,0,ROW()-1,60),ROW()-1,FALSE))</f>
        <v/>
      </c>
      <c r="J132" t="str">
        <f ca="1">IF(AND(ISNUMBER($J$638),$B$511=1),$J$638,HLOOKUP(INDIRECT(ADDRESS(2,COLUMN())),OFFSET($BN$2,0,0,ROW()-1,60),ROW()-1,FALSE))</f>
        <v/>
      </c>
      <c r="K132" t="str">
        <f ca="1">IF(AND(ISNUMBER($K$638),$B$511=1),$K$638,HLOOKUP(INDIRECT(ADDRESS(2,COLUMN())),OFFSET($BN$2,0,0,ROW()-1,60),ROW()-1,FALSE))</f>
        <v/>
      </c>
      <c r="L132" t="str">
        <f ca="1">IF(AND(ISNUMBER($L$638),$B$511=1),$L$638,HLOOKUP(INDIRECT(ADDRESS(2,COLUMN())),OFFSET($BN$2,0,0,ROW()-1,60),ROW()-1,FALSE))</f>
        <v/>
      </c>
      <c r="M132" t="str">
        <f ca="1">IF(AND(ISNUMBER($M$638),$B$511=1),$M$638,HLOOKUP(INDIRECT(ADDRESS(2,COLUMN())),OFFSET($BN$2,0,0,ROW()-1,60),ROW()-1,FALSE))</f>
        <v/>
      </c>
      <c r="N132" t="str">
        <f ca="1">IF(AND(ISNUMBER($N$638),$B$511=1),$N$638,HLOOKUP(INDIRECT(ADDRESS(2,COLUMN())),OFFSET($BN$2,0,0,ROW()-1,60),ROW()-1,FALSE))</f>
        <v/>
      </c>
      <c r="O132" t="str">
        <f ca="1">IF(AND(ISNUMBER($O$638),$B$511=1),$O$638,HLOOKUP(INDIRECT(ADDRESS(2,COLUMN())),OFFSET($BN$2,0,0,ROW()-1,60),ROW()-1,FALSE))</f>
        <v/>
      </c>
      <c r="P132" t="str">
        <f ca="1">IF(AND(ISNUMBER($P$638),$B$511=1),$P$638,HLOOKUP(INDIRECT(ADDRESS(2,COLUMN())),OFFSET($BN$2,0,0,ROW()-1,60),ROW()-1,FALSE))</f>
        <v/>
      </c>
      <c r="Q132" t="str">
        <f ca="1">IF(AND(ISNUMBER($Q$638),$B$511=1),$Q$638,HLOOKUP(INDIRECT(ADDRESS(2,COLUMN())),OFFSET($BN$2,0,0,ROW()-1,60),ROW()-1,FALSE))</f>
        <v/>
      </c>
      <c r="R132" t="str">
        <f ca="1">IF(AND(ISNUMBER($R$638),$B$511=1),$R$638,HLOOKUP(INDIRECT(ADDRESS(2,COLUMN())),OFFSET($BN$2,0,0,ROW()-1,60),ROW()-1,FALSE))</f>
        <v/>
      </c>
      <c r="S132" t="str">
        <f ca="1">IF(AND(ISNUMBER($S$638),$B$511=1),$S$638,HLOOKUP(INDIRECT(ADDRESS(2,COLUMN())),OFFSET($BN$2,0,0,ROW()-1,60),ROW()-1,FALSE))</f>
        <v/>
      </c>
      <c r="T132" t="str">
        <f ca="1">IF(AND(ISNUMBER($T$638),$B$511=1),$T$638,HLOOKUP(INDIRECT(ADDRESS(2,COLUMN())),OFFSET($BN$2,0,0,ROW()-1,60),ROW()-1,FALSE))</f>
        <v/>
      </c>
      <c r="U132" t="str">
        <f ca="1">IF(AND(ISNUMBER($U$638),$B$511=1),$U$638,HLOOKUP(INDIRECT(ADDRESS(2,COLUMN())),OFFSET($BN$2,0,0,ROW()-1,60),ROW()-1,FALSE))</f>
        <v/>
      </c>
      <c r="V132" t="str">
        <f ca="1">IF(AND(ISNUMBER($V$638),$B$511=1),$V$638,HLOOKUP(INDIRECT(ADDRESS(2,COLUMN())),OFFSET($BN$2,0,0,ROW()-1,60),ROW()-1,FALSE))</f>
        <v/>
      </c>
      <c r="W132" t="str">
        <f ca="1">IF(AND(ISNUMBER($W$638),$B$511=1),$W$638,HLOOKUP(INDIRECT(ADDRESS(2,COLUMN())),OFFSET($BN$2,0,0,ROW()-1,60),ROW()-1,FALSE))</f>
        <v/>
      </c>
      <c r="X132" t="str">
        <f ca="1">IF(AND(ISNUMBER($X$638),$B$511=1),$X$638,HLOOKUP(INDIRECT(ADDRESS(2,COLUMN())),OFFSET($BN$2,0,0,ROW()-1,60),ROW()-1,FALSE))</f>
        <v/>
      </c>
      <c r="Y132" t="str">
        <f ca="1">IF(AND(ISNUMBER($Y$638),$B$511=1),$Y$638,HLOOKUP(INDIRECT(ADDRESS(2,COLUMN())),OFFSET($BN$2,0,0,ROW()-1,60),ROW()-1,FALSE))</f>
        <v/>
      </c>
      <c r="Z132" t="str">
        <f ca="1">IF(AND(ISNUMBER($Z$638),$B$511=1),$Z$638,HLOOKUP(INDIRECT(ADDRESS(2,COLUMN())),OFFSET($BN$2,0,0,ROW()-1,60),ROW()-1,FALSE))</f>
        <v/>
      </c>
      <c r="AA132" t="str">
        <f ca="1">IF(AND(ISNUMBER($AA$638),$B$511=1),$AA$638,HLOOKUP(INDIRECT(ADDRESS(2,COLUMN())),OFFSET($BN$2,0,0,ROW()-1,60),ROW()-1,FALSE))</f>
        <v/>
      </c>
      <c r="AB132" t="str">
        <f ca="1">IF(AND(ISNUMBER($AB$638),$B$511=1),$AB$638,HLOOKUP(INDIRECT(ADDRESS(2,COLUMN())),OFFSET($BN$2,0,0,ROW()-1,60),ROW()-1,FALSE))</f>
        <v/>
      </c>
      <c r="AC132" t="str">
        <f ca="1">IF(AND(ISNUMBER($AC$638),$B$511=1),$AC$638,HLOOKUP(INDIRECT(ADDRESS(2,COLUMN())),OFFSET($BN$2,0,0,ROW()-1,60),ROW()-1,FALSE))</f>
        <v/>
      </c>
      <c r="AD132" t="str">
        <f ca="1">IF(AND(ISNUMBER($AD$638),$B$511=1),$AD$638,HLOOKUP(INDIRECT(ADDRESS(2,COLUMN())),OFFSET($BN$2,0,0,ROW()-1,60),ROW()-1,FALSE))</f>
        <v/>
      </c>
      <c r="AE132" t="str">
        <f ca="1">IF(AND(ISNUMBER($AE$638),$B$511=1),$AE$638,HLOOKUP(INDIRECT(ADDRESS(2,COLUMN())),OFFSET($BN$2,0,0,ROW()-1,60),ROW()-1,FALSE))</f>
        <v/>
      </c>
      <c r="AF132" t="str">
        <f ca="1">IF(AND(ISNUMBER($AF$638),$B$511=1),$AF$638,HLOOKUP(INDIRECT(ADDRESS(2,COLUMN())),OFFSET($BN$2,0,0,ROW()-1,60),ROW()-1,FALSE))</f>
        <v/>
      </c>
      <c r="AG132" t="str">
        <f ca="1">IF(AND(ISNUMBER($AG$638),$B$511=1),$AG$638,HLOOKUP(INDIRECT(ADDRESS(2,COLUMN())),OFFSET($BN$2,0,0,ROW()-1,60),ROW()-1,FALSE))</f>
        <v/>
      </c>
      <c r="AH132" t="str">
        <f ca="1">IF(AND(ISNUMBER($AH$638),$B$511=1),$AH$638,HLOOKUP(INDIRECT(ADDRESS(2,COLUMN())),OFFSET($BN$2,0,0,ROW()-1,60),ROW()-1,FALSE))</f>
        <v/>
      </c>
      <c r="AI132" t="str">
        <f ca="1">IF(AND(ISNUMBER($AI$638),$B$511=1),$AI$638,HLOOKUP(INDIRECT(ADDRESS(2,COLUMN())),OFFSET($BN$2,0,0,ROW()-1,60),ROW()-1,FALSE))</f>
        <v/>
      </c>
      <c r="AJ132" t="str">
        <f ca="1">IF(AND(ISNUMBER($AJ$638),$B$511=1),$AJ$638,HLOOKUP(INDIRECT(ADDRESS(2,COLUMN())),OFFSET($BN$2,0,0,ROW()-1,60),ROW()-1,FALSE))</f>
        <v/>
      </c>
      <c r="AK132" t="str">
        <f ca="1">IF(AND(ISNUMBER($AK$638),$B$511=1),$AK$638,HLOOKUP(INDIRECT(ADDRESS(2,COLUMN())),OFFSET($BN$2,0,0,ROW()-1,60),ROW()-1,FALSE))</f>
        <v/>
      </c>
      <c r="AL132" t="str">
        <f ca="1">IF(AND(ISNUMBER($AL$638),$B$511=1),$AL$638,HLOOKUP(INDIRECT(ADDRESS(2,COLUMN())),OFFSET($BN$2,0,0,ROW()-1,60),ROW()-1,FALSE))</f>
        <v/>
      </c>
      <c r="AM132" t="str">
        <f ca="1">IF(AND(ISNUMBER($AM$638),$B$511=1),$AM$638,HLOOKUP(INDIRECT(ADDRESS(2,COLUMN())),OFFSET($BN$2,0,0,ROW()-1,60),ROW()-1,FALSE))</f>
        <v/>
      </c>
      <c r="AN132" t="str">
        <f ca="1">IF(AND(ISNUMBER($AN$638),$B$511=1),$AN$638,HLOOKUP(INDIRECT(ADDRESS(2,COLUMN())),OFFSET($BN$2,0,0,ROW()-1,60),ROW()-1,FALSE))</f>
        <v/>
      </c>
      <c r="AO132" t="str">
        <f ca="1">IF(AND(ISNUMBER($AO$638),$B$511=1),$AO$638,HLOOKUP(INDIRECT(ADDRESS(2,COLUMN())),OFFSET($BN$2,0,0,ROW()-1,60),ROW()-1,FALSE))</f>
        <v/>
      </c>
      <c r="AP132" t="str">
        <f ca="1">IF(AND(ISNUMBER($AP$638),$B$511=1),$AP$638,HLOOKUP(INDIRECT(ADDRESS(2,COLUMN())),OFFSET($BN$2,0,0,ROW()-1,60),ROW()-1,FALSE))</f>
        <v/>
      </c>
      <c r="AQ132" t="str">
        <f ca="1">IF(AND(ISNUMBER($AQ$638),$B$511=1),$AQ$638,HLOOKUP(INDIRECT(ADDRESS(2,COLUMN())),OFFSET($BN$2,0,0,ROW()-1,60),ROW()-1,FALSE))</f>
        <v/>
      </c>
      <c r="AR132" t="str">
        <f ca="1">IF(AND(ISNUMBER($AR$638),$B$511=1),$AR$638,HLOOKUP(INDIRECT(ADDRESS(2,COLUMN())),OFFSET($BN$2,0,0,ROW()-1,60),ROW()-1,FALSE))</f>
        <v/>
      </c>
      <c r="AS132" t="str">
        <f ca="1">IF(AND(ISNUMBER($AS$638),$B$511=1),$AS$638,HLOOKUP(INDIRECT(ADDRESS(2,COLUMN())),OFFSET($BN$2,0,0,ROW()-1,60),ROW()-1,FALSE))</f>
        <v/>
      </c>
      <c r="AT132" t="str">
        <f ca="1">IF(AND(ISNUMBER($AT$638),$B$511=1),$AT$638,HLOOKUP(INDIRECT(ADDRESS(2,COLUMN())),OFFSET($BN$2,0,0,ROW()-1,60),ROW()-1,FALSE))</f>
        <v/>
      </c>
      <c r="AU132" t="str">
        <f ca="1">IF(AND(ISNUMBER($AU$638),$B$511=1),$AU$638,HLOOKUP(INDIRECT(ADDRESS(2,COLUMN())),OFFSET($BN$2,0,0,ROW()-1,60),ROW()-1,FALSE))</f>
        <v/>
      </c>
      <c r="AV132" t="str">
        <f ca="1">IF(AND(ISNUMBER($AV$638),$B$511=1),$AV$638,HLOOKUP(INDIRECT(ADDRESS(2,COLUMN())),OFFSET($BN$2,0,0,ROW()-1,60),ROW()-1,FALSE))</f>
        <v/>
      </c>
      <c r="AW132" t="str">
        <f ca="1">IF(AND(ISNUMBER($AW$638),$B$511=1),$AW$638,HLOOKUP(INDIRECT(ADDRESS(2,COLUMN())),OFFSET($BN$2,0,0,ROW()-1,60),ROW()-1,FALSE))</f>
        <v/>
      </c>
      <c r="AX132" t="str">
        <f ca="1">IF(AND(ISNUMBER($AX$638),$B$511=1),$AX$638,HLOOKUP(INDIRECT(ADDRESS(2,COLUMN())),OFFSET($BN$2,0,0,ROW()-1,60),ROW()-1,FALSE))</f>
        <v/>
      </c>
      <c r="AY132" t="str">
        <f ca="1">IF(AND(ISNUMBER($AY$638),$B$511=1),$AY$638,HLOOKUP(INDIRECT(ADDRESS(2,COLUMN())),OFFSET($BN$2,0,0,ROW()-1,60),ROW()-1,FALSE))</f>
        <v/>
      </c>
      <c r="AZ132" t="str">
        <f ca="1">IF(AND(ISNUMBER($AZ$638),$B$511=1),$AZ$638,HLOOKUP(INDIRECT(ADDRESS(2,COLUMN())),OFFSET($BN$2,0,0,ROW()-1,60),ROW()-1,FALSE))</f>
        <v/>
      </c>
      <c r="BA132" t="str">
        <f ca="1">IF(AND(ISNUMBER($BA$638),$B$511=1),$BA$638,HLOOKUP(INDIRECT(ADDRESS(2,COLUMN())),OFFSET($BN$2,0,0,ROW()-1,60),ROW()-1,FALSE))</f>
        <v/>
      </c>
      <c r="BB132" t="str">
        <f ca="1">IF(AND(ISNUMBER($BB$638),$B$511=1),$BB$638,HLOOKUP(INDIRECT(ADDRESS(2,COLUMN())),OFFSET($BN$2,0,0,ROW()-1,60),ROW()-1,FALSE))</f>
        <v/>
      </c>
      <c r="BC132">
        <f ca="1">IF(AND(ISNUMBER($BC$638),$B$511=1),$BC$638,HLOOKUP(INDIRECT(ADDRESS(2,COLUMN())),OFFSET($BN$2,0,0,ROW()-1,60),ROW()-1,FALSE))</f>
        <v>191.16887639999999</v>
      </c>
      <c r="BD132">
        <f ca="1">IF(AND(ISNUMBER($BD$638),$B$511=1),$BD$638,HLOOKUP(INDIRECT(ADDRESS(2,COLUMN())),OFFSET($BN$2,0,0,ROW()-1,60),ROW()-1,FALSE))</f>
        <v>161.0917469</v>
      </c>
      <c r="BE132">
        <f ca="1">IF(AND(ISNUMBER($BE$638),$B$511=1),$BE$638,HLOOKUP(INDIRECT(ADDRESS(2,COLUMN())),OFFSET($BN$2,0,0,ROW()-1,60),ROW()-1,FALSE))</f>
        <v>129.28120480000001</v>
      </c>
      <c r="BF132">
        <f ca="1">IF(AND(ISNUMBER($BF$638),$B$511=1),$BF$638,HLOOKUP(INDIRECT(ADDRESS(2,COLUMN())),OFFSET($BN$2,0,0,ROW()-1,60),ROW()-1,FALSE))</f>
        <v>103.9708679</v>
      </c>
      <c r="BG132">
        <f ca="1">IF(AND(ISNUMBER($BG$638),$B$511=1),$BG$638,HLOOKUP(INDIRECT(ADDRESS(2,COLUMN())),OFFSET($BN$2,0,0,ROW()-1,60),ROW()-1,FALSE))</f>
        <v>98.869495040000004</v>
      </c>
      <c r="BH132">
        <f ca="1">IF(AND(ISNUMBER($BH$638),$B$511=1),$BH$638,HLOOKUP(INDIRECT(ADDRESS(2,COLUMN())),OFFSET($BN$2,0,0,ROW()-1,60),ROW()-1,FALSE))</f>
        <v>113.8000091</v>
      </c>
      <c r="BI132" t="str">
        <f ca="1">IF(AND(ISNUMBER($BI$638),$B$511=1),$BI$638,HLOOKUP(INDIRECT(ADDRESS(2,COLUMN())),OFFSET($BN$2,0,0,ROW()-1,60),ROW()-1,FALSE))</f>
        <v/>
      </c>
      <c r="BJ132" t="str">
        <f ca="1">IF(AND(ISNUMBER($BJ$638),$B$511=1),$BJ$638,HLOOKUP(INDIRECT(ADDRESS(2,COLUMN())),OFFSET($BN$2,0,0,ROW()-1,60),ROW()-1,FALSE))</f>
        <v/>
      </c>
      <c r="BK132" t="str">
        <f ca="1">IF(AND(ISNUMBER($BK$638),$B$511=1),$BK$638,HLOOKUP(INDIRECT(ADDRESS(2,COLUMN())),OFFSET($BN$2,0,0,ROW()-1,60),ROW()-1,FALSE))</f>
        <v/>
      </c>
      <c r="BL132" t="str">
        <f ca="1">IF(AND(ISNUMBER($BL$638),$B$511=1),$BL$638,HLOOKUP(INDIRECT(ADDRESS(2,COLUMN())),OFFSET($BN$2,0,0,ROW()-1,60),ROW()-1,FALSE))</f>
        <v/>
      </c>
      <c r="BM132" t="str">
        <f ca="1">IF(AND(ISNUMBER($BM$638),$B$511=1),$BM$638,HLOOKUP(INDIRECT(ADDRESS(2,COLUMN())),OFFSET($BN$2,0,0,ROW()-1,60),ROW()-1,FALSE))</f>
        <v/>
      </c>
      <c r="BN132" t="str">
        <f>""</f>
        <v/>
      </c>
      <c r="BO132" t="str">
        <f>""</f>
        <v/>
      </c>
      <c r="BP132" t="str">
        <f>""</f>
        <v/>
      </c>
      <c r="BQ132" t="str">
        <f>""</f>
        <v/>
      </c>
      <c r="BR132" t="str">
        <f>""</f>
        <v/>
      </c>
      <c r="BS132" t="str">
        <f>""</f>
        <v/>
      </c>
      <c r="BT132" t="str">
        <f>""</f>
        <v/>
      </c>
      <c r="BU132" t="str">
        <f>""</f>
        <v/>
      </c>
      <c r="BV132" t="str">
        <f>""</f>
        <v/>
      </c>
      <c r="BW132" t="str">
        <f>""</f>
        <v/>
      </c>
      <c r="BX132" t="str">
        <f>""</f>
        <v/>
      </c>
      <c r="BY132" t="str">
        <f>""</f>
        <v/>
      </c>
      <c r="BZ132" t="str">
        <f>""</f>
        <v/>
      </c>
      <c r="CA132" t="str">
        <f>""</f>
        <v/>
      </c>
      <c r="CB132" t="str">
        <f>""</f>
        <v/>
      </c>
      <c r="CC132" t="str">
        <f>""</f>
        <v/>
      </c>
      <c r="CD132" t="str">
        <f>""</f>
        <v/>
      </c>
      <c r="CE132" t="str">
        <f>""</f>
        <v/>
      </c>
      <c r="CF132" t="str">
        <f>""</f>
        <v/>
      </c>
      <c r="CG132" t="str">
        <f>""</f>
        <v/>
      </c>
      <c r="CH132" t="str">
        <f>""</f>
        <v/>
      </c>
      <c r="CI132" t="str">
        <f>""</f>
        <v/>
      </c>
      <c r="CJ132" t="str">
        <f>""</f>
        <v/>
      </c>
      <c r="CK132" t="str">
        <f>""</f>
        <v/>
      </c>
      <c r="CL132" t="str">
        <f>""</f>
        <v/>
      </c>
      <c r="CM132" t="str">
        <f>""</f>
        <v/>
      </c>
      <c r="CN132" t="str">
        <f>""</f>
        <v/>
      </c>
      <c r="CO132" t="str">
        <f>""</f>
        <v/>
      </c>
      <c r="CP132" t="str">
        <f>""</f>
        <v/>
      </c>
      <c r="CQ132" t="str">
        <f>""</f>
        <v/>
      </c>
      <c r="CR132" t="str">
        <f>""</f>
        <v/>
      </c>
      <c r="CS132" t="str">
        <f>""</f>
        <v/>
      </c>
      <c r="CT132" t="str">
        <f>""</f>
        <v/>
      </c>
      <c r="CU132" t="str">
        <f>""</f>
        <v/>
      </c>
      <c r="CV132" t="str">
        <f>""</f>
        <v/>
      </c>
      <c r="CW132" t="str">
        <f>""</f>
        <v/>
      </c>
      <c r="CX132" t="str">
        <f>""</f>
        <v/>
      </c>
      <c r="CY132" t="str">
        <f>""</f>
        <v/>
      </c>
      <c r="CZ132" t="str">
        <f>""</f>
        <v/>
      </c>
      <c r="DA132" t="str">
        <f>""</f>
        <v/>
      </c>
      <c r="DB132" t="str">
        <f>""</f>
        <v/>
      </c>
      <c r="DC132" t="str">
        <f>""</f>
        <v/>
      </c>
      <c r="DD132" t="str">
        <f>""</f>
        <v/>
      </c>
      <c r="DE132" t="str">
        <f>""</f>
        <v/>
      </c>
      <c r="DF132" t="str">
        <f>""</f>
        <v/>
      </c>
      <c r="DG132" t="str">
        <f>""</f>
        <v/>
      </c>
      <c r="DH132" t="str">
        <f>""</f>
        <v/>
      </c>
      <c r="DI132" t="str">
        <f>""</f>
        <v/>
      </c>
      <c r="DJ132" t="str">
        <f>""</f>
        <v/>
      </c>
      <c r="DK132">
        <f>191.1688764</f>
        <v>191.16887639999999</v>
      </c>
      <c r="DL132">
        <f>161.0917469</f>
        <v>161.0917469</v>
      </c>
      <c r="DM132">
        <f>129.2812048</f>
        <v>129.28120480000001</v>
      </c>
      <c r="DN132">
        <f>103.9708679</f>
        <v>103.9708679</v>
      </c>
      <c r="DO132">
        <f>98.86949504</f>
        <v>98.869495040000004</v>
      </c>
      <c r="DP132">
        <f>113.8000091</f>
        <v>113.8000091</v>
      </c>
      <c r="DQ132" t="str">
        <f>""</f>
        <v/>
      </c>
      <c r="DR132" t="str">
        <f>""</f>
        <v/>
      </c>
      <c r="DS132" t="str">
        <f>""</f>
        <v/>
      </c>
      <c r="DT132" t="str">
        <f>""</f>
        <v/>
      </c>
      <c r="DU132" t="str">
        <f>""</f>
        <v/>
      </c>
    </row>
    <row r="133" spans="1:125" x14ac:dyDescent="0.25">
      <c r="A133" t="str">
        <f>"    Daihatsu Motor Co Ltd"</f>
        <v xml:space="preserve">    Daihatsu Motor Co Ltd</v>
      </c>
      <c r="B133" t="str">
        <f>"7262 JP Equity"</f>
        <v>7262 JP Equity</v>
      </c>
      <c r="C133" t="str">
        <f t="shared" si="9"/>
        <v>RR841</v>
      </c>
      <c r="D133" t="str">
        <f t="shared" si="10"/>
        <v>TRAIL_12M_EBITDA</v>
      </c>
      <c r="E133" t="str">
        <f t="shared" si="11"/>
        <v>Dynamic</v>
      </c>
      <c r="F133" t="str">
        <f ca="1">IF(AND(ISNUMBER($F$639),$B$511=1),$F$639,HLOOKUP(INDIRECT(ADDRESS(2,COLUMN())),OFFSET($BN$2,0,0,ROW()-1,60),ROW()-1,FALSE))</f>
        <v/>
      </c>
      <c r="G133" t="str">
        <f ca="1">IF(AND(ISNUMBER($G$639),$B$511=1),$G$639,HLOOKUP(INDIRECT(ADDRESS(2,COLUMN())),OFFSET($BN$2,0,0,ROW()-1,60),ROW()-1,FALSE))</f>
        <v/>
      </c>
      <c r="H133" t="str">
        <f ca="1">IF(AND(ISNUMBER($H$639),$B$511=1),$H$639,HLOOKUP(INDIRECT(ADDRESS(2,COLUMN())),OFFSET($BN$2,0,0,ROW()-1,60),ROW()-1,FALSE))</f>
        <v/>
      </c>
      <c r="I133" t="str">
        <f ca="1">IF(AND(ISNUMBER($I$639),$B$511=1),$I$639,HLOOKUP(INDIRECT(ADDRESS(2,COLUMN())),OFFSET($BN$2,0,0,ROW()-1,60),ROW()-1,FALSE))</f>
        <v/>
      </c>
      <c r="J133" t="str">
        <f ca="1">IF(AND(ISNUMBER($J$639),$B$511=1),$J$639,HLOOKUP(INDIRECT(ADDRESS(2,COLUMN())),OFFSET($BN$2,0,0,ROW()-1,60),ROW()-1,FALSE))</f>
        <v/>
      </c>
      <c r="K133" t="str">
        <f ca="1">IF(AND(ISNUMBER($K$639),$B$511=1),$K$639,HLOOKUP(INDIRECT(ADDRESS(2,COLUMN())),OFFSET($BN$2,0,0,ROW()-1,60),ROW()-1,FALSE))</f>
        <v/>
      </c>
      <c r="L133" t="str">
        <f ca="1">IF(AND(ISNUMBER($L$639),$B$511=1),$L$639,HLOOKUP(INDIRECT(ADDRESS(2,COLUMN())),OFFSET($BN$2,0,0,ROW()-1,60),ROW()-1,FALSE))</f>
        <v/>
      </c>
      <c r="M133" t="str">
        <f ca="1">IF(AND(ISNUMBER($M$639),$B$511=1),$M$639,HLOOKUP(INDIRECT(ADDRESS(2,COLUMN())),OFFSET($BN$2,0,0,ROW()-1,60),ROW()-1,FALSE))</f>
        <v/>
      </c>
      <c r="N133" t="str">
        <f ca="1">IF(AND(ISNUMBER($N$639),$B$511=1),$N$639,HLOOKUP(INDIRECT(ADDRESS(2,COLUMN())),OFFSET($BN$2,0,0,ROW()-1,60),ROW()-1,FALSE))</f>
        <v/>
      </c>
      <c r="O133" t="str">
        <f ca="1">IF(AND(ISNUMBER($O$639),$B$511=1),$O$639,HLOOKUP(INDIRECT(ADDRESS(2,COLUMN())),OFFSET($BN$2,0,0,ROW()-1,60),ROW()-1,FALSE))</f>
        <v/>
      </c>
      <c r="P133" t="str">
        <f ca="1">IF(AND(ISNUMBER($P$639),$B$511=1),$P$639,HLOOKUP(INDIRECT(ADDRESS(2,COLUMN())),OFFSET($BN$2,0,0,ROW()-1,60),ROW()-1,FALSE))</f>
        <v/>
      </c>
      <c r="Q133" t="str">
        <f ca="1">IF(AND(ISNUMBER($Q$639),$B$511=1),$Q$639,HLOOKUP(INDIRECT(ADDRESS(2,COLUMN())),OFFSET($BN$2,0,0,ROW()-1,60),ROW()-1,FALSE))</f>
        <v/>
      </c>
      <c r="R133">
        <f ca="1">IF(AND(ISNUMBER($R$639),$B$511=1),$R$639,HLOOKUP(INDIRECT(ADDRESS(2,COLUMN())),OFFSET($BN$2,0,0,ROW()-1,60),ROW()-1,FALSE))</f>
        <v>1374.691317</v>
      </c>
      <c r="S133">
        <f ca="1">IF(AND(ISNUMBER($S$639),$B$511=1),$S$639,HLOOKUP(INDIRECT(ADDRESS(2,COLUMN())),OFFSET($BN$2,0,0,ROW()-1,60),ROW()-1,FALSE))</f>
        <v>1559.844932</v>
      </c>
      <c r="T133">
        <f ca="1">IF(AND(ISNUMBER($T$639),$B$511=1),$T$639,HLOOKUP(INDIRECT(ADDRESS(2,COLUMN())),OFFSET($BN$2,0,0,ROW()-1,60),ROW()-1,FALSE))</f>
        <v>1582.625311</v>
      </c>
      <c r="U133">
        <f ca="1">IF(AND(ISNUMBER($U$639),$B$511=1),$U$639,HLOOKUP(INDIRECT(ADDRESS(2,COLUMN())),OFFSET($BN$2,0,0,ROW()-1,60),ROW()-1,FALSE))</f>
        <v>1618.4814389999999</v>
      </c>
      <c r="V133">
        <f ca="1">IF(AND(ISNUMBER($V$639),$B$511=1),$V$639,HLOOKUP(INDIRECT(ADDRESS(2,COLUMN())),OFFSET($BN$2,0,0,ROW()-1,60),ROW()-1,FALSE))</f>
        <v>1750.1574840000001</v>
      </c>
      <c r="W133">
        <f ca="1">IF(AND(ISNUMBER($W$639),$B$511=1),$W$639,HLOOKUP(INDIRECT(ADDRESS(2,COLUMN())),OFFSET($BN$2,0,0,ROW()-1,60),ROW()-1,FALSE))</f>
        <v>1688.941313</v>
      </c>
      <c r="X133">
        <f ca="1">IF(AND(ISNUMBER($X$639),$B$511=1),$X$639,HLOOKUP(INDIRECT(ADDRESS(2,COLUMN())),OFFSET($BN$2,0,0,ROW()-1,60),ROW()-1,FALSE))</f>
        <v>1798.6933489999999</v>
      </c>
      <c r="Y133">
        <f ca="1">IF(AND(ISNUMBER($Y$639),$B$511=1),$Y$639,HLOOKUP(INDIRECT(ADDRESS(2,COLUMN())),OFFSET($BN$2,0,0,ROW()-1,60),ROW()-1,FALSE))</f>
        <v>1948.6116460000001</v>
      </c>
      <c r="Z133">
        <f ca="1">IF(AND(ISNUMBER($Z$639),$B$511=1),$Z$639,HLOOKUP(INDIRECT(ADDRESS(2,COLUMN())),OFFSET($BN$2,0,0,ROW()-1,60),ROW()-1,FALSE))</f>
        <v>2131.7662999999998</v>
      </c>
      <c r="AA133">
        <f ca="1">IF(AND(ISNUMBER($AA$639),$B$511=1),$AA$639,HLOOKUP(INDIRECT(ADDRESS(2,COLUMN())),OFFSET($BN$2,0,0,ROW()-1,60),ROW()-1,FALSE))</f>
        <v>2070.1696609999999</v>
      </c>
      <c r="AB133">
        <f ca="1">IF(AND(ISNUMBER($AB$639),$B$511=1),$AB$639,HLOOKUP(INDIRECT(ADDRESS(2,COLUMN())),OFFSET($BN$2,0,0,ROW()-1,60),ROW()-1,FALSE))</f>
        <v>2111.0042050000002</v>
      </c>
      <c r="AC133">
        <f ca="1">IF(AND(ISNUMBER($AC$639),$B$511=1),$AC$639,HLOOKUP(INDIRECT(ADDRESS(2,COLUMN())),OFFSET($BN$2,0,0,ROW()-1,60),ROW()-1,FALSE))</f>
        <v>2318.7576560000002</v>
      </c>
      <c r="AD133">
        <f ca="1">IF(AND(ISNUMBER($AD$639),$B$511=1),$AD$639,HLOOKUP(INDIRECT(ADDRESS(2,COLUMN())),OFFSET($BN$2,0,0,ROW()-1,60),ROW()-1,FALSE))</f>
        <v>2371.6516799999999</v>
      </c>
      <c r="AE133">
        <f ca="1">IF(AND(ISNUMBER($AE$639),$B$511=1),$AE$639,HLOOKUP(INDIRECT(ADDRESS(2,COLUMN())),OFFSET($BN$2,0,0,ROW()-1,60),ROW()-1,FALSE))</f>
        <v>2545.233385</v>
      </c>
      <c r="AF133">
        <f ca="1">IF(AND(ISNUMBER($AF$639),$B$511=1),$AF$639,HLOOKUP(INDIRECT(ADDRESS(2,COLUMN())),OFFSET($BN$2,0,0,ROW()-1,60),ROW()-1,FALSE))</f>
        <v>2698.7972770000001</v>
      </c>
      <c r="AG133">
        <f ca="1">IF(AND(ISNUMBER($AG$639),$B$511=1),$AG$639,HLOOKUP(INDIRECT(ADDRESS(2,COLUMN())),OFFSET($BN$2,0,0,ROW()-1,60),ROW()-1,FALSE))</f>
        <v>2595.0494079999999</v>
      </c>
      <c r="AH133">
        <f ca="1">IF(AND(ISNUMBER($AH$639),$B$511=1),$AH$639,HLOOKUP(INDIRECT(ADDRESS(2,COLUMN())),OFFSET($BN$2,0,0,ROW()-1,60),ROW()-1,FALSE))</f>
        <v>2324.9592600000001</v>
      </c>
      <c r="AI133">
        <f ca="1">IF(AND(ISNUMBER($AI$639),$B$511=1),$AI$639,HLOOKUP(INDIRECT(ADDRESS(2,COLUMN())),OFFSET($BN$2,0,0,ROW()-1,60),ROW()-1,FALSE))</f>
        <v>2127.538939</v>
      </c>
      <c r="AJ133">
        <f ca="1">IF(AND(ISNUMBER($AJ$639),$B$511=1),$AJ$639,HLOOKUP(INDIRECT(ADDRESS(2,COLUMN())),OFFSET($BN$2,0,0,ROW()-1,60),ROW()-1,FALSE))</f>
        <v>1981.7032369999999</v>
      </c>
      <c r="AK133">
        <f ca="1">IF(AND(ISNUMBER($AK$639),$B$511=1),$AK$639,HLOOKUP(INDIRECT(ADDRESS(2,COLUMN())),OFFSET($BN$2,0,0,ROW()-1,60),ROW()-1,FALSE))</f>
        <v>1864.2953090000001</v>
      </c>
      <c r="AL133">
        <f ca="1">IF(AND(ISNUMBER($AL$639),$B$511=1),$AL$639,HLOOKUP(INDIRECT(ADDRESS(2,COLUMN())),OFFSET($BN$2,0,0,ROW()-1,60),ROW()-1,FALSE))</f>
        <v>2024.2120480000001</v>
      </c>
      <c r="AM133">
        <f ca="1">IF(AND(ISNUMBER($AM$639),$B$511=1),$AM$639,HLOOKUP(INDIRECT(ADDRESS(2,COLUMN())),OFFSET($BN$2,0,0,ROW()-1,60),ROW()-1,FALSE))</f>
        <v>1826.676819</v>
      </c>
      <c r="AN133">
        <f ca="1">IF(AND(ISNUMBER($AN$639),$B$511=1),$AN$639,HLOOKUP(INDIRECT(ADDRESS(2,COLUMN())),OFFSET($BN$2,0,0,ROW()-1,60),ROW()-1,FALSE))</f>
        <v>1761.885012</v>
      </c>
      <c r="AO133">
        <f ca="1">IF(AND(ISNUMBER($AO$639),$B$511=1),$AO$639,HLOOKUP(INDIRECT(ADDRESS(2,COLUMN())),OFFSET($BN$2,0,0,ROW()-1,60),ROW()-1,FALSE))</f>
        <v>1606.7671889999999</v>
      </c>
      <c r="AP133">
        <f ca="1">IF(AND(ISNUMBER($AP$639),$B$511=1),$AP$639,HLOOKUP(INDIRECT(ADDRESS(2,COLUMN())),OFFSET($BN$2,0,0,ROW()-1,60),ROW()-1,FALSE))</f>
        <v>1284.759712</v>
      </c>
      <c r="AQ133">
        <f ca="1">IF(AND(ISNUMBER($AQ$639),$B$511=1),$AQ$639,HLOOKUP(INDIRECT(ADDRESS(2,COLUMN())),OFFSET($BN$2,0,0,ROW()-1,60),ROW()-1,FALSE))</f>
        <v>1197.238028</v>
      </c>
      <c r="AR133">
        <f ca="1">IF(AND(ISNUMBER($AR$639),$B$511=1),$AR$639,HLOOKUP(INDIRECT(ADDRESS(2,COLUMN())),OFFSET($BN$2,0,0,ROW()-1,60),ROW()-1,FALSE))</f>
        <v>1130.3219469999999</v>
      </c>
      <c r="AS133">
        <f ca="1">IF(AND(ISNUMBER($AS$639),$B$511=1),$AS$639,HLOOKUP(INDIRECT(ADDRESS(2,COLUMN())),OFFSET($BN$2,0,0,ROW()-1,60),ROW()-1,FALSE))</f>
        <v>1147.06078</v>
      </c>
      <c r="AT133">
        <f ca="1">IF(AND(ISNUMBER($AT$639),$B$511=1),$AT$639,HLOOKUP(INDIRECT(ADDRESS(2,COLUMN())),OFFSET($BN$2,0,0,ROW()-1,60),ROW()-1,FALSE))</f>
        <v>1279.121007</v>
      </c>
      <c r="AU133">
        <f ca="1">IF(AND(ISNUMBER($AU$639),$B$511=1),$AU$639,HLOOKUP(INDIRECT(ADDRESS(2,COLUMN())),OFFSET($BN$2,0,0,ROW()-1,60),ROW()-1,FALSE))</f>
        <v>1426.339232</v>
      </c>
      <c r="AV133">
        <f ca="1">IF(AND(ISNUMBER($AV$639),$B$511=1),$AV$639,HLOOKUP(INDIRECT(ADDRESS(2,COLUMN())),OFFSET($BN$2,0,0,ROW()-1,60),ROW()-1,FALSE))</f>
        <v>1419.007529</v>
      </c>
      <c r="AW133">
        <f ca="1">IF(AND(ISNUMBER($AW$639),$B$511=1),$AW$639,HLOOKUP(INDIRECT(ADDRESS(2,COLUMN())),OFFSET($BN$2,0,0,ROW()-1,60),ROW()-1,FALSE))</f>
        <v>1369.3333720000001</v>
      </c>
      <c r="AX133">
        <f ca="1">IF(AND(ISNUMBER($AX$639),$B$511=1),$AX$639,HLOOKUP(INDIRECT(ADDRESS(2,COLUMN())),OFFSET($BN$2,0,0,ROW()-1,60),ROW()-1,FALSE))</f>
        <v>1274.6152950000001</v>
      </c>
      <c r="AY133">
        <f ca="1">IF(AND(ISNUMBER($AY$639),$B$511=1),$AY$639,HLOOKUP(INDIRECT(ADDRESS(2,COLUMN())),OFFSET($BN$2,0,0,ROW()-1,60),ROW()-1,FALSE))</f>
        <v>1194.7873750000001</v>
      </c>
      <c r="AZ133">
        <f ca="1">IF(AND(ISNUMBER($AZ$639),$B$511=1),$AZ$639,HLOOKUP(INDIRECT(ADDRESS(2,COLUMN())),OFFSET($BN$2,0,0,ROW()-1,60),ROW()-1,FALSE))</f>
        <v>1140.857557</v>
      </c>
      <c r="BA133">
        <f ca="1">IF(AND(ISNUMBER($BA$639),$B$511=1),$BA$639,HLOOKUP(INDIRECT(ADDRESS(2,COLUMN())),OFFSET($BN$2,0,0,ROW()-1,60),ROW()-1,FALSE))</f>
        <v>1131.924166</v>
      </c>
      <c r="BB133">
        <f ca="1">IF(AND(ISNUMBER($BB$639),$B$511=1),$BB$639,HLOOKUP(INDIRECT(ADDRESS(2,COLUMN())),OFFSET($BN$2,0,0,ROW()-1,60),ROW()-1,FALSE))</f>
        <v>1101.5522470000001</v>
      </c>
      <c r="BC133">
        <f ca="1">IF(AND(ISNUMBER($BC$639),$B$511=1),$BC$639,HLOOKUP(INDIRECT(ADDRESS(2,COLUMN())),OFFSET($BN$2,0,0,ROW()-1,60),ROW()-1,FALSE))</f>
        <v>1092.0038629999999</v>
      </c>
      <c r="BD133">
        <f ca="1">IF(AND(ISNUMBER($BD$639),$B$511=1),$BD$639,HLOOKUP(INDIRECT(ADDRESS(2,COLUMN())),OFFSET($BN$2,0,0,ROW()-1,60),ROW()-1,FALSE))</f>
        <v>1027.0281669999999</v>
      </c>
      <c r="BE133">
        <f ca="1">IF(AND(ISNUMBER($BE$639),$B$511=1),$BE$639,HLOOKUP(INDIRECT(ADDRESS(2,COLUMN())),OFFSET($BN$2,0,0,ROW()-1,60),ROW()-1,FALSE))</f>
        <v>997.11655210000004</v>
      </c>
      <c r="BF133">
        <f ca="1">IF(AND(ISNUMBER($BF$639),$B$511=1),$BF$639,HLOOKUP(INDIRECT(ADDRESS(2,COLUMN())),OFFSET($BN$2,0,0,ROW()-1,60),ROW()-1,FALSE))</f>
        <v>967.69798560000004</v>
      </c>
      <c r="BG133">
        <f ca="1">IF(AND(ISNUMBER($BG$639),$B$511=1),$BG$639,HLOOKUP(INDIRECT(ADDRESS(2,COLUMN())),OFFSET($BN$2,0,0,ROW()-1,60),ROW()-1,FALSE))</f>
        <v>905.78196539999999</v>
      </c>
      <c r="BH133">
        <f ca="1">IF(AND(ISNUMBER($BH$639),$B$511=1),$BH$639,HLOOKUP(INDIRECT(ADDRESS(2,COLUMN())),OFFSET($BN$2,0,0,ROW()-1,60),ROW()-1,FALSE))</f>
        <v>900.62691400000006</v>
      </c>
      <c r="BI133">
        <f ca="1">IF(AND(ISNUMBER($BI$639),$B$511=1),$BI$639,HLOOKUP(INDIRECT(ADDRESS(2,COLUMN())),OFFSET($BN$2,0,0,ROW()-1,60),ROW()-1,FALSE))</f>
        <v>885.39588960000003</v>
      </c>
      <c r="BJ133">
        <f ca="1">IF(AND(ISNUMBER($BJ$639),$B$511=1),$BJ$639,HLOOKUP(INDIRECT(ADDRESS(2,COLUMN())),OFFSET($BN$2,0,0,ROW()-1,60),ROW()-1,FALSE))</f>
        <v>852.99655929999994</v>
      </c>
      <c r="BK133" t="str">
        <f ca="1">IF(AND(ISNUMBER($BK$639),$B$511=1),$BK$639,HLOOKUP(INDIRECT(ADDRESS(2,COLUMN())),OFFSET($BN$2,0,0,ROW()-1,60),ROW()-1,FALSE))</f>
        <v/>
      </c>
      <c r="BL133" t="str">
        <f ca="1">IF(AND(ISNUMBER($BL$639),$B$511=1),$BL$639,HLOOKUP(INDIRECT(ADDRESS(2,COLUMN())),OFFSET($BN$2,0,0,ROW()-1,60),ROW()-1,FALSE))</f>
        <v/>
      </c>
      <c r="BM133" t="str">
        <f ca="1">IF(AND(ISNUMBER($BM$639),$B$511=1),$BM$639,HLOOKUP(INDIRECT(ADDRESS(2,COLUMN())),OFFSET($BN$2,0,0,ROW()-1,60),ROW()-1,FALSE))</f>
        <v/>
      </c>
      <c r="BN133" t="str">
        <f>""</f>
        <v/>
      </c>
      <c r="BO133" t="str">
        <f>""</f>
        <v/>
      </c>
      <c r="BP133" t="str">
        <f>""</f>
        <v/>
      </c>
      <c r="BQ133" t="str">
        <f>""</f>
        <v/>
      </c>
      <c r="BR133" t="str">
        <f>""</f>
        <v/>
      </c>
      <c r="BS133" t="str">
        <f>""</f>
        <v/>
      </c>
      <c r="BT133" t="str">
        <f>""</f>
        <v/>
      </c>
      <c r="BU133" t="str">
        <f>""</f>
        <v/>
      </c>
      <c r="BV133" t="str">
        <f>""</f>
        <v/>
      </c>
      <c r="BW133" t="str">
        <f>""</f>
        <v/>
      </c>
      <c r="BX133" t="str">
        <f>""</f>
        <v/>
      </c>
      <c r="BY133" t="str">
        <f>""</f>
        <v/>
      </c>
      <c r="BZ133">
        <f>1374.691317</f>
        <v>1374.691317</v>
      </c>
      <c r="CA133">
        <f>1559.844932</f>
        <v>1559.844932</v>
      </c>
      <c r="CB133">
        <f>1582.625311</f>
        <v>1582.625311</v>
      </c>
      <c r="CC133">
        <f>1618.481439</f>
        <v>1618.4814389999999</v>
      </c>
      <c r="CD133">
        <f>1750.157484</f>
        <v>1750.1574840000001</v>
      </c>
      <c r="CE133">
        <f>1688.941313</f>
        <v>1688.941313</v>
      </c>
      <c r="CF133">
        <f>1798.693349</f>
        <v>1798.6933489999999</v>
      </c>
      <c r="CG133">
        <f>1948.611646</f>
        <v>1948.6116460000001</v>
      </c>
      <c r="CH133">
        <f>2131.7663</f>
        <v>2131.7662999999998</v>
      </c>
      <c r="CI133">
        <f>2070.169661</f>
        <v>2070.1696609999999</v>
      </c>
      <c r="CJ133">
        <f>2111.004205</f>
        <v>2111.0042050000002</v>
      </c>
      <c r="CK133">
        <f>2318.757656</f>
        <v>2318.7576560000002</v>
      </c>
      <c r="CL133">
        <f>2371.65168</f>
        <v>2371.6516799999999</v>
      </c>
      <c r="CM133">
        <f>2545.233385</f>
        <v>2545.233385</v>
      </c>
      <c r="CN133">
        <f>2698.797277</f>
        <v>2698.7972770000001</v>
      </c>
      <c r="CO133">
        <f>2595.049408</f>
        <v>2595.0494079999999</v>
      </c>
      <c r="CP133">
        <f>2324.95926</f>
        <v>2324.9592600000001</v>
      </c>
      <c r="CQ133">
        <f>2127.538939</f>
        <v>2127.538939</v>
      </c>
      <c r="CR133">
        <f>1981.703237</f>
        <v>1981.7032369999999</v>
      </c>
      <c r="CS133">
        <f>1864.295309</f>
        <v>1864.2953090000001</v>
      </c>
      <c r="CT133">
        <f>2024.212048</f>
        <v>2024.2120480000001</v>
      </c>
      <c r="CU133">
        <f>1826.676819</f>
        <v>1826.676819</v>
      </c>
      <c r="CV133">
        <f>1761.885012</f>
        <v>1761.885012</v>
      </c>
      <c r="CW133">
        <f>1606.767189</f>
        <v>1606.7671889999999</v>
      </c>
      <c r="CX133">
        <f>1284.759712</f>
        <v>1284.759712</v>
      </c>
      <c r="CY133">
        <f>1197.238028</f>
        <v>1197.238028</v>
      </c>
      <c r="CZ133">
        <f>1130.321947</f>
        <v>1130.3219469999999</v>
      </c>
      <c r="DA133">
        <f>1147.06078</f>
        <v>1147.06078</v>
      </c>
      <c r="DB133">
        <f>1279.121007</f>
        <v>1279.121007</v>
      </c>
      <c r="DC133">
        <f>1426.339232</f>
        <v>1426.339232</v>
      </c>
      <c r="DD133">
        <f>1419.007529</f>
        <v>1419.007529</v>
      </c>
      <c r="DE133">
        <f>1369.333372</f>
        <v>1369.3333720000001</v>
      </c>
      <c r="DF133">
        <f>1274.615295</f>
        <v>1274.6152950000001</v>
      </c>
      <c r="DG133">
        <f>1194.787375</f>
        <v>1194.7873750000001</v>
      </c>
      <c r="DH133">
        <f>1140.857557</f>
        <v>1140.857557</v>
      </c>
      <c r="DI133">
        <f>1131.924166</f>
        <v>1131.924166</v>
      </c>
      <c r="DJ133">
        <f>1101.552247</f>
        <v>1101.5522470000001</v>
      </c>
      <c r="DK133">
        <f>1092.003863</f>
        <v>1092.0038629999999</v>
      </c>
      <c r="DL133">
        <f>1027.028167</f>
        <v>1027.0281669999999</v>
      </c>
      <c r="DM133">
        <f>997.1165521</f>
        <v>997.11655210000004</v>
      </c>
      <c r="DN133">
        <f>967.6979856</f>
        <v>967.69798560000004</v>
      </c>
      <c r="DO133">
        <f>905.7819654</f>
        <v>905.78196539999999</v>
      </c>
      <c r="DP133">
        <f>900.626914</f>
        <v>900.62691400000006</v>
      </c>
      <c r="DQ133">
        <f>885.3958896</f>
        <v>885.39588960000003</v>
      </c>
      <c r="DR133">
        <f>852.9965593</f>
        <v>852.99655929999994</v>
      </c>
      <c r="DS133" t="str">
        <f>""</f>
        <v/>
      </c>
      <c r="DT133" t="str">
        <f>""</f>
        <v/>
      </c>
      <c r="DU133" t="str">
        <f>""</f>
        <v/>
      </c>
    </row>
    <row r="134" spans="1:125" x14ac:dyDescent="0.25">
      <c r="A134" t="str">
        <f>"    Daimler AG"</f>
        <v xml:space="preserve">    Daimler AG</v>
      </c>
      <c r="B134" t="str">
        <f>"DAI GR Equity"</f>
        <v>DAI GR Equity</v>
      </c>
      <c r="C134" t="str">
        <f t="shared" si="9"/>
        <v>RR841</v>
      </c>
      <c r="D134" t="str">
        <f t="shared" si="10"/>
        <v>TRAIL_12M_EBITDA</v>
      </c>
      <c r="E134" t="str">
        <f t="shared" si="11"/>
        <v>Dynamic</v>
      </c>
      <c r="F134" t="str">
        <f ca="1">IF(AND(ISNUMBER($F$640),$B$511=1),$F$640,HLOOKUP(INDIRECT(ADDRESS(2,COLUMN())),OFFSET($BN$2,0,0,ROW()-1,60),ROW()-1,FALSE))</f>
        <v/>
      </c>
      <c r="G134">
        <f ca="1">IF(AND(ISNUMBER($G$640),$B$511=1),$G$640,HLOOKUP(INDIRECT(ADDRESS(2,COLUMN())),OFFSET($BN$2,0,0,ROW()-1,60),ROW()-1,FALSE))</f>
        <v>19572.410820000001</v>
      </c>
      <c r="H134">
        <f ca="1">IF(AND(ISNUMBER($H$640),$B$511=1),$H$640,HLOOKUP(INDIRECT(ADDRESS(2,COLUMN())),OFFSET($BN$2,0,0,ROW()-1,60),ROW()-1,FALSE))</f>
        <v>20036.309229999999</v>
      </c>
      <c r="I134">
        <f ca="1">IF(AND(ISNUMBER($I$640),$B$511=1),$I$640,HLOOKUP(INDIRECT(ADDRESS(2,COLUMN())),OFFSET($BN$2,0,0,ROW()-1,60),ROW()-1,FALSE))</f>
        <v>21426.08726</v>
      </c>
      <c r="J134">
        <f ca="1">IF(AND(ISNUMBER($J$640),$B$511=1),$J$640,HLOOKUP(INDIRECT(ADDRESS(2,COLUMN())),OFFSET($BN$2,0,0,ROW()-1,60),ROW()-1,FALSE))</f>
        <v>21801.320800000001</v>
      </c>
      <c r="K134">
        <f ca="1">IF(AND(ISNUMBER($K$640),$B$511=1),$K$640,HLOOKUP(INDIRECT(ADDRESS(2,COLUMN())),OFFSET($BN$2,0,0,ROW()-1,60),ROW()-1,FALSE))</f>
        <v>21166.458060000001</v>
      </c>
      <c r="L134">
        <f ca="1">IF(AND(ISNUMBER($L$640),$B$511=1),$L$640,HLOOKUP(INDIRECT(ADDRESS(2,COLUMN())),OFFSET($BN$2,0,0,ROW()-1,60),ROW()-1,FALSE))</f>
        <v>20439.542249999999</v>
      </c>
      <c r="M134">
        <f ca="1">IF(AND(ISNUMBER($M$640),$B$511=1),$M$640,HLOOKUP(INDIRECT(ADDRESS(2,COLUMN())),OFFSET($BN$2,0,0,ROW()-1,60),ROW()-1,FALSE))</f>
        <v>20996.110519999998</v>
      </c>
      <c r="N134">
        <f ca="1">IF(AND(ISNUMBER($N$640),$B$511=1),$N$640,HLOOKUP(INDIRECT(ADDRESS(2,COLUMN())),OFFSET($BN$2,0,0,ROW()-1,60),ROW()-1,FALSE))</f>
        <v>20092.668369999999</v>
      </c>
      <c r="O134">
        <f ca="1">IF(AND(ISNUMBER($O$640),$B$511=1),$O$640,HLOOKUP(INDIRECT(ADDRESS(2,COLUMN())),OFFSET($BN$2,0,0,ROW()-1,60),ROW()-1,FALSE))</f>
        <v>19483.505219999999</v>
      </c>
      <c r="P134">
        <f ca="1">IF(AND(ISNUMBER($P$640),$B$511=1),$P$640,HLOOKUP(INDIRECT(ADDRESS(2,COLUMN())),OFFSET($BN$2,0,0,ROW()-1,60),ROW()-1,FALSE))</f>
        <v>19232.23619</v>
      </c>
      <c r="Q134">
        <f ca="1">IF(AND(ISNUMBER($Q$640),$B$511=1),$Q$640,HLOOKUP(INDIRECT(ADDRESS(2,COLUMN())),OFFSET($BN$2,0,0,ROW()-1,60),ROW()-1,FALSE))</f>
        <v>18608.875169999999</v>
      </c>
      <c r="R134">
        <f ca="1">IF(AND(ISNUMBER($R$640),$B$511=1),$R$640,HLOOKUP(INDIRECT(ADDRESS(2,COLUMN())),OFFSET($BN$2,0,0,ROW()-1,60),ROW()-1,FALSE))</f>
        <v>19458.6201</v>
      </c>
      <c r="S134">
        <f ca="1">IF(AND(ISNUMBER($S$640),$B$511=1),$S$640,HLOOKUP(INDIRECT(ADDRESS(2,COLUMN())),OFFSET($BN$2,0,0,ROW()-1,60),ROW()-1,FALSE))</f>
        <v>20127.641459999999</v>
      </c>
      <c r="T134">
        <f ca="1">IF(AND(ISNUMBER($T$640),$B$511=1),$T$640,HLOOKUP(INDIRECT(ADDRESS(2,COLUMN())),OFFSET($BN$2,0,0,ROW()-1,60),ROW()-1,FALSE))</f>
        <v>19929.971969999999</v>
      </c>
      <c r="U134">
        <f ca="1">IF(AND(ISNUMBER($U$640),$B$511=1),$U$640,HLOOKUP(INDIRECT(ADDRESS(2,COLUMN())),OFFSET($BN$2,0,0,ROW()-1,60),ROW()-1,FALSE))</f>
        <v>19818.180179999999</v>
      </c>
      <c r="V134">
        <f ca="1">IF(AND(ISNUMBER($V$640),$B$511=1),$V$640,HLOOKUP(INDIRECT(ADDRESS(2,COLUMN())),OFFSET($BN$2,0,0,ROW()-1,60),ROW()-1,FALSE))</f>
        <v>19446.248049999998</v>
      </c>
      <c r="W134">
        <f ca="1">IF(AND(ISNUMBER($W$640),$B$511=1),$W$640,HLOOKUP(INDIRECT(ADDRESS(2,COLUMN())),OFFSET($BN$2,0,0,ROW()-1,60),ROW()-1,FALSE))</f>
        <v>19120.896189999999</v>
      </c>
      <c r="X134">
        <f ca="1">IF(AND(ISNUMBER($X$640),$B$511=1),$X$640,HLOOKUP(INDIRECT(ADDRESS(2,COLUMN())),OFFSET($BN$2,0,0,ROW()-1,60),ROW()-1,FALSE))</f>
        <v>19766.212680000001</v>
      </c>
      <c r="Y134">
        <f ca="1">IF(AND(ISNUMBER($Y$640),$B$511=1),$Y$640,HLOOKUP(INDIRECT(ADDRESS(2,COLUMN())),OFFSET($BN$2,0,0,ROW()-1,60),ROW()-1,FALSE))</f>
        <v>18899.590069999998</v>
      </c>
      <c r="Z134">
        <f ca="1">IF(AND(ISNUMBER($Z$640),$B$511=1),$Z$640,HLOOKUP(INDIRECT(ADDRESS(2,COLUMN())),OFFSET($BN$2,0,0,ROW()-1,60),ROW()-1,FALSE))</f>
        <v>18045.945540000001</v>
      </c>
      <c r="AA134">
        <f ca="1">IF(AND(ISNUMBER($AA$640),$B$511=1),$AA$640,HLOOKUP(INDIRECT(ADDRESS(2,COLUMN())),OFFSET($BN$2,0,0,ROW()-1,60),ROW()-1,FALSE))</f>
        <v>16182.818230000001</v>
      </c>
      <c r="AB134">
        <f ca="1">IF(AND(ISNUMBER($AB$640),$B$511=1),$AB$640,HLOOKUP(INDIRECT(ADDRESS(2,COLUMN())),OFFSET($BN$2,0,0,ROW()-1,60),ROW()-1,FALSE))</f>
        <v>14743.028969999999</v>
      </c>
      <c r="AC134">
        <f ca="1">IF(AND(ISNUMBER($AC$640),$B$511=1),$AC$640,HLOOKUP(INDIRECT(ADDRESS(2,COLUMN())),OFFSET($BN$2,0,0,ROW()-1,60),ROW()-1,FALSE))</f>
        <v>14090.54074</v>
      </c>
      <c r="AD134">
        <f ca="1">IF(AND(ISNUMBER($AD$640),$B$511=1),$AD$640,HLOOKUP(INDIRECT(ADDRESS(2,COLUMN())),OFFSET($BN$2,0,0,ROW()-1,60),ROW()-1,FALSE))</f>
        <v>14227.476549999999</v>
      </c>
      <c r="AE134">
        <f ca="1">IF(AND(ISNUMBER($AE$640),$B$511=1),$AE$640,HLOOKUP(INDIRECT(ADDRESS(2,COLUMN())),OFFSET($BN$2,0,0,ROW()-1,60),ROW()-1,FALSE))</f>
        <v>15624.619640000001</v>
      </c>
      <c r="AF134">
        <f ca="1">IF(AND(ISNUMBER($AF$640),$B$511=1),$AF$640,HLOOKUP(INDIRECT(ADDRESS(2,COLUMN())),OFFSET($BN$2,0,0,ROW()-1,60),ROW()-1,FALSE))</f>
        <v>16117.371220000001</v>
      </c>
      <c r="AG134">
        <f ca="1">IF(AND(ISNUMBER($AG$640),$B$511=1),$AG$640,HLOOKUP(INDIRECT(ADDRESS(2,COLUMN())),OFFSET($BN$2,0,0,ROW()-1,60),ROW()-1,FALSE))</f>
        <v>16558.494729999999</v>
      </c>
      <c r="AH134">
        <f ca="1">IF(AND(ISNUMBER($AH$640),$B$511=1),$AH$640,HLOOKUP(INDIRECT(ADDRESS(2,COLUMN())),OFFSET($BN$2,0,0,ROW()-1,60),ROW()-1,FALSE))</f>
        <v>17297.776689999999</v>
      </c>
      <c r="AI134">
        <f ca="1">IF(AND(ISNUMBER($AI$640),$B$511=1),$AI$640,HLOOKUP(INDIRECT(ADDRESS(2,COLUMN())),OFFSET($BN$2,0,0,ROW()-1,60),ROW()-1,FALSE))</f>
        <v>17077.812180000001</v>
      </c>
      <c r="AJ134">
        <f ca="1">IF(AND(ISNUMBER($AJ$640),$B$511=1),$AJ$640,HLOOKUP(INDIRECT(ADDRESS(2,COLUMN())),OFFSET($BN$2,0,0,ROW()-1,60),ROW()-1,FALSE))</f>
        <v>16360.64176</v>
      </c>
      <c r="AK134">
        <f ca="1">IF(AND(ISNUMBER($AK$640),$B$511=1),$AK$640,HLOOKUP(INDIRECT(ADDRESS(2,COLUMN())),OFFSET($BN$2,0,0,ROW()-1,60),ROW()-1,FALSE))</f>
        <v>16472.539509999999</v>
      </c>
      <c r="AL134">
        <f ca="1">IF(AND(ISNUMBER($AL$640),$B$511=1),$AL$640,HLOOKUP(INDIRECT(ADDRESS(2,COLUMN())),OFFSET($BN$2,0,0,ROW()-1,60),ROW()-1,FALSE))</f>
        <v>15150.90912</v>
      </c>
      <c r="AM134">
        <f ca="1">IF(AND(ISNUMBER($AM$640),$B$511=1),$AM$640,HLOOKUP(INDIRECT(ADDRESS(2,COLUMN())),OFFSET($BN$2,0,0,ROW()-1,60),ROW()-1,FALSE))</f>
        <v>14112.4892</v>
      </c>
      <c r="AN134">
        <f ca="1">IF(AND(ISNUMBER($AN$640),$B$511=1),$AN$640,HLOOKUP(INDIRECT(ADDRESS(2,COLUMN())),OFFSET($BN$2,0,0,ROW()-1,60),ROW()-1,FALSE))</f>
        <v>13228.15785</v>
      </c>
      <c r="AO134">
        <f ca="1">IF(AND(ISNUMBER($AO$640),$B$511=1),$AO$640,HLOOKUP(INDIRECT(ADDRESS(2,COLUMN())),OFFSET($BN$2,0,0,ROW()-1,60),ROW()-1,FALSE))</f>
        <v>10985.57216</v>
      </c>
      <c r="AP134">
        <f ca="1">IF(AND(ISNUMBER($AP$640),$B$511=1),$AP$640,HLOOKUP(INDIRECT(ADDRESS(2,COLUMN())),OFFSET($BN$2,0,0,ROW()-1,60),ROW()-1,FALSE))</f>
        <v>7758.7520969999996</v>
      </c>
      <c r="AQ134">
        <f ca="1">IF(AND(ISNUMBER($AQ$640),$B$511=1),$AQ$640,HLOOKUP(INDIRECT(ADDRESS(2,COLUMN())),OFFSET($BN$2,0,0,ROW()-1,60),ROW()-1,FALSE))</f>
        <v>4211.1987909999998</v>
      </c>
      <c r="AR134">
        <f ca="1">IF(AND(ISNUMBER($AR$640),$B$511=1),$AR$640,HLOOKUP(INDIRECT(ADDRESS(2,COLUMN())),OFFSET($BN$2,0,0,ROW()-1,60),ROW()-1,FALSE))</f>
        <v>3642.3467479999999</v>
      </c>
      <c r="AS134">
        <f ca="1">IF(AND(ISNUMBER($AS$640),$B$511=1),$AS$640,HLOOKUP(INDIRECT(ADDRESS(2,COLUMN())),OFFSET($BN$2,0,0,ROW()-1,60),ROW()-1,FALSE))</f>
        <v>5381.1900850000002</v>
      </c>
      <c r="AT134">
        <f ca="1">IF(AND(ISNUMBER($AT$640),$B$511=1),$AT$640,HLOOKUP(INDIRECT(ADDRESS(2,COLUMN())),OFFSET($BN$2,0,0,ROW()-1,60),ROW()-1,FALSE))</f>
        <v>10295.42035</v>
      </c>
      <c r="AU134">
        <f ca="1">IF(AND(ISNUMBER($AU$640),$B$511=1),$AU$640,HLOOKUP(INDIRECT(ADDRESS(2,COLUMN())),OFFSET($BN$2,0,0,ROW()-1,60),ROW()-1,FALSE))</f>
        <v>16809.32416</v>
      </c>
      <c r="AV134">
        <f ca="1">IF(AND(ISNUMBER($AV$640),$B$511=1),$AV$640,HLOOKUP(INDIRECT(ADDRESS(2,COLUMN())),OFFSET($BN$2,0,0,ROW()-1,60),ROW()-1,FALSE))</f>
        <v>22268.66258</v>
      </c>
      <c r="AW134">
        <f ca="1">IF(AND(ISNUMBER($AW$640),$B$511=1),$AW$640,HLOOKUP(INDIRECT(ADDRESS(2,COLUMN())),OFFSET($BN$2,0,0,ROW()-1,60),ROW()-1,FALSE))</f>
        <v>22708.620729999999</v>
      </c>
      <c r="AX134">
        <f ca="1">IF(AND(ISNUMBER($AX$640),$B$511=1),$AX$640,HLOOKUP(INDIRECT(ADDRESS(2,COLUMN())),OFFSET($BN$2,0,0,ROW()-1,60),ROW()-1,FALSE))</f>
        <v>22729.801660000001</v>
      </c>
      <c r="AY134">
        <f ca="1">IF(AND(ISNUMBER($AY$640),$B$511=1),$AY$640,HLOOKUP(INDIRECT(ADDRESS(2,COLUMN())),OFFSET($BN$2,0,0,ROW()-1,60),ROW()-1,FALSE))</f>
        <v>23357.034110000001</v>
      </c>
      <c r="AZ134">
        <f ca="1">IF(AND(ISNUMBER($AZ$640),$B$511=1),$AZ$640,HLOOKUP(INDIRECT(ADDRESS(2,COLUMN())),OFFSET($BN$2,0,0,ROW()-1,60),ROW()-1,FALSE))</f>
        <v>21165.114000000001</v>
      </c>
      <c r="BA134">
        <f ca="1">IF(AND(ISNUMBER($BA$640),$B$511=1),$BA$640,HLOOKUP(INDIRECT(ADDRESS(2,COLUMN())),OFFSET($BN$2,0,0,ROW()-1,60),ROW()-1,FALSE))</f>
        <v>22862.723150000002</v>
      </c>
      <c r="BB134">
        <f ca="1">IF(AND(ISNUMBER($BB$640),$B$511=1),$BB$640,HLOOKUP(INDIRECT(ADDRESS(2,COLUMN())),OFFSET($BN$2,0,0,ROW()-1,60),ROW()-1,FALSE))</f>
        <v>22940.443719999999</v>
      </c>
      <c r="BC134">
        <f ca="1">IF(AND(ISNUMBER($BC$640),$B$511=1),$BC$640,HLOOKUP(INDIRECT(ADDRESS(2,COLUMN())),OFFSET($BN$2,0,0,ROW()-1,60),ROW()-1,FALSE))</f>
        <v>21946.5923</v>
      </c>
      <c r="BD134">
        <f ca="1">IF(AND(ISNUMBER($BD$640),$B$511=1),$BD$640,HLOOKUP(INDIRECT(ADDRESS(2,COLUMN())),OFFSET($BN$2,0,0,ROW()-1,60),ROW()-1,FALSE))</f>
        <v>19924.29451</v>
      </c>
      <c r="BE134">
        <f ca="1">IF(AND(ISNUMBER($BE$640),$B$511=1),$BE$640,HLOOKUP(INDIRECT(ADDRESS(2,COLUMN())),OFFSET($BN$2,0,0,ROW()-1,60),ROW()-1,FALSE))</f>
        <v>19728.688770000001</v>
      </c>
      <c r="BF134">
        <f ca="1">IF(AND(ISNUMBER($BF$640),$B$511=1),$BF$640,HLOOKUP(INDIRECT(ADDRESS(2,COLUMN())),OFFSET($BN$2,0,0,ROW()-1,60),ROW()-1,FALSE))</f>
        <v>20309.63351</v>
      </c>
      <c r="BG134">
        <f ca="1">IF(AND(ISNUMBER($BG$640),$B$511=1),$BG$640,HLOOKUP(INDIRECT(ADDRESS(2,COLUMN())),OFFSET($BN$2,0,0,ROW()-1,60),ROW()-1,FALSE))</f>
        <v>19529.236369999999</v>
      </c>
      <c r="BH134">
        <f ca="1">IF(AND(ISNUMBER($BH$640),$B$511=1),$BH$640,HLOOKUP(INDIRECT(ADDRESS(2,COLUMN())),OFFSET($BN$2,0,0,ROW()-1,60),ROW()-1,FALSE))</f>
        <v>21794.62934</v>
      </c>
      <c r="BI134">
        <f ca="1">IF(AND(ISNUMBER($BI$640),$B$511=1),$BI$640,HLOOKUP(INDIRECT(ADDRESS(2,COLUMN())),OFFSET($BN$2,0,0,ROW()-1,60),ROW()-1,FALSE))</f>
        <v>26996.843830000002</v>
      </c>
      <c r="BJ134">
        <f ca="1">IF(AND(ISNUMBER($BJ$640),$B$511=1),$BJ$640,HLOOKUP(INDIRECT(ADDRESS(2,COLUMN())),OFFSET($BN$2,0,0,ROW()-1,60),ROW()-1,FALSE))</f>
        <v>26069.32042</v>
      </c>
      <c r="BK134">
        <f ca="1">IF(AND(ISNUMBER($BK$640),$B$511=1),$BK$640,HLOOKUP(INDIRECT(ADDRESS(2,COLUMN())),OFFSET($BN$2,0,0,ROW()-1,60),ROW()-1,FALSE))</f>
        <v>26485.646949999998</v>
      </c>
      <c r="BL134">
        <f ca="1">IF(AND(ISNUMBER($BL$640),$B$511=1),$BL$640,HLOOKUP(INDIRECT(ADDRESS(2,COLUMN())),OFFSET($BN$2,0,0,ROW()-1,60),ROW()-1,FALSE))</f>
        <v>26922.904159999998</v>
      </c>
      <c r="BM134">
        <f ca="1">IF(AND(ISNUMBER($BM$640),$B$511=1),$BM$640,HLOOKUP(INDIRECT(ADDRESS(2,COLUMN())),OFFSET($BN$2,0,0,ROW()-1,60),ROW()-1,FALSE))</f>
        <v>26924.433410000001</v>
      </c>
      <c r="BN134" t="str">
        <f>""</f>
        <v/>
      </c>
      <c r="BO134">
        <f>19572.41082</f>
        <v>19572.410820000001</v>
      </c>
      <c r="BP134">
        <f>20036.30923</f>
        <v>20036.309229999999</v>
      </c>
      <c r="BQ134">
        <f>21426.08726</f>
        <v>21426.08726</v>
      </c>
      <c r="BR134">
        <f>21801.3208</f>
        <v>21801.320800000001</v>
      </c>
      <c r="BS134">
        <f>21166.45806</f>
        <v>21166.458060000001</v>
      </c>
      <c r="BT134">
        <f>20439.54225</f>
        <v>20439.542249999999</v>
      </c>
      <c r="BU134">
        <f>20996.11052</f>
        <v>20996.110519999998</v>
      </c>
      <c r="BV134">
        <f>20092.66837</f>
        <v>20092.668369999999</v>
      </c>
      <c r="BW134">
        <f>19483.50522</f>
        <v>19483.505219999999</v>
      </c>
      <c r="BX134">
        <f>19232.23619</f>
        <v>19232.23619</v>
      </c>
      <c r="BY134">
        <f>18608.87517</f>
        <v>18608.875169999999</v>
      </c>
      <c r="BZ134">
        <f>19458.6201</f>
        <v>19458.6201</v>
      </c>
      <c r="CA134">
        <f>20127.64146</f>
        <v>20127.641459999999</v>
      </c>
      <c r="CB134">
        <f>19929.97197</f>
        <v>19929.971969999999</v>
      </c>
      <c r="CC134">
        <f>19818.18018</f>
        <v>19818.180179999999</v>
      </c>
      <c r="CD134">
        <f>19446.24805</f>
        <v>19446.248049999998</v>
      </c>
      <c r="CE134">
        <f>19120.8961899999</f>
        <v>19120.896189999999</v>
      </c>
      <c r="CF134">
        <f>19766.21268</f>
        <v>19766.212680000001</v>
      </c>
      <c r="CG134">
        <f>18899.59007</f>
        <v>18899.590069999998</v>
      </c>
      <c r="CH134">
        <f>18045.94554</f>
        <v>18045.945540000001</v>
      </c>
      <c r="CI134">
        <f>16182.81823</f>
        <v>16182.818230000001</v>
      </c>
      <c r="CJ134">
        <f>14743.02897</f>
        <v>14743.028969999999</v>
      </c>
      <c r="CK134">
        <f>14090.54074</f>
        <v>14090.54074</v>
      </c>
      <c r="CL134">
        <f>14227.47655</f>
        <v>14227.476549999999</v>
      </c>
      <c r="CM134">
        <f>15624.61964</f>
        <v>15624.619640000001</v>
      </c>
      <c r="CN134">
        <f>16117.37122</f>
        <v>16117.371220000001</v>
      </c>
      <c r="CO134">
        <f>16558.49473</f>
        <v>16558.494729999999</v>
      </c>
      <c r="CP134">
        <f>17297.77669</f>
        <v>17297.776689999999</v>
      </c>
      <c r="CQ134">
        <f>17077.81218</f>
        <v>17077.812180000001</v>
      </c>
      <c r="CR134">
        <f>16360.64176</f>
        <v>16360.64176</v>
      </c>
      <c r="CS134">
        <f>16472.53951</f>
        <v>16472.539509999999</v>
      </c>
      <c r="CT134">
        <f>15150.90912</f>
        <v>15150.90912</v>
      </c>
      <c r="CU134">
        <f>14112.4892</f>
        <v>14112.4892</v>
      </c>
      <c r="CV134">
        <f>13228.15785</f>
        <v>13228.15785</v>
      </c>
      <c r="CW134">
        <f>10985.57216</f>
        <v>10985.57216</v>
      </c>
      <c r="CX134">
        <f>7758.752097</f>
        <v>7758.7520969999996</v>
      </c>
      <c r="CY134">
        <f>4211.198791</f>
        <v>4211.1987909999998</v>
      </c>
      <c r="CZ134">
        <f>3642.346748</f>
        <v>3642.3467479999999</v>
      </c>
      <c r="DA134">
        <f>5381.190085</f>
        <v>5381.1900850000002</v>
      </c>
      <c r="DB134">
        <f>10295.42035</f>
        <v>10295.42035</v>
      </c>
      <c r="DC134">
        <f>16809.32416</f>
        <v>16809.32416</v>
      </c>
      <c r="DD134">
        <f>22268.66258</f>
        <v>22268.66258</v>
      </c>
      <c r="DE134">
        <f>22708.62073</f>
        <v>22708.620729999999</v>
      </c>
      <c r="DF134">
        <f>22729.80166</f>
        <v>22729.801660000001</v>
      </c>
      <c r="DG134">
        <f>23357.03411</f>
        <v>23357.034110000001</v>
      </c>
      <c r="DH134">
        <f>21165.114</f>
        <v>21165.114000000001</v>
      </c>
      <c r="DI134">
        <f>22862.72315</f>
        <v>22862.723150000002</v>
      </c>
      <c r="DJ134">
        <f>22940.44372</f>
        <v>22940.443719999999</v>
      </c>
      <c r="DK134">
        <f>21946.5923</f>
        <v>21946.5923</v>
      </c>
      <c r="DL134">
        <f>19924.29451</f>
        <v>19924.29451</v>
      </c>
      <c r="DM134">
        <f>19728.68877</f>
        <v>19728.688770000001</v>
      </c>
      <c r="DN134">
        <f>20309.63351</f>
        <v>20309.63351</v>
      </c>
      <c r="DO134">
        <f>19529.23637</f>
        <v>19529.236369999999</v>
      </c>
      <c r="DP134">
        <f>21794.62934</f>
        <v>21794.62934</v>
      </c>
      <c r="DQ134">
        <f>26996.84383</f>
        <v>26996.843830000002</v>
      </c>
      <c r="DR134">
        <f>26069.32042</f>
        <v>26069.32042</v>
      </c>
      <c r="DS134">
        <f>26485.64695</f>
        <v>26485.646949999998</v>
      </c>
      <c r="DT134">
        <f>26922.90416</f>
        <v>26922.904159999998</v>
      </c>
      <c r="DU134">
        <f>26924.43341</f>
        <v>26924.433410000001</v>
      </c>
    </row>
    <row r="135" spans="1:125" x14ac:dyDescent="0.25">
      <c r="A135" t="str">
        <f>"    Dongfeng Motor Group Co Ltd"</f>
        <v xml:space="preserve">    Dongfeng Motor Group Co Ltd</v>
      </c>
      <c r="B135" t="str">
        <f>"489 HK Equity"</f>
        <v>489 HK Equity</v>
      </c>
      <c r="C135" t="str">
        <f t="shared" si="9"/>
        <v>RR841</v>
      </c>
      <c r="D135" t="str">
        <f t="shared" si="10"/>
        <v>TRAIL_12M_EBITDA</v>
      </c>
      <c r="E135" t="str">
        <f t="shared" si="11"/>
        <v>Dynamic</v>
      </c>
      <c r="F135" t="str">
        <f ca="1">IF(AND(ISNUMBER($F$641),$B$511=1),$F$641,HLOOKUP(INDIRECT(ADDRESS(2,COLUMN())),OFFSET($BN$2,0,0,ROW()-1,60),ROW()-1,FALSE))</f>
        <v/>
      </c>
      <c r="G135" t="str">
        <f ca="1">IF(AND(ISNUMBER($G$641),$B$511=1),$G$641,HLOOKUP(INDIRECT(ADDRESS(2,COLUMN())),OFFSET($BN$2,0,0,ROW()-1,60),ROW()-1,FALSE))</f>
        <v/>
      </c>
      <c r="H135" t="str">
        <f ca="1">IF(AND(ISNUMBER($H$641),$B$511=1),$H$641,HLOOKUP(INDIRECT(ADDRESS(2,COLUMN())),OFFSET($BN$2,0,0,ROW()-1,60),ROW()-1,FALSE))</f>
        <v/>
      </c>
      <c r="I135" t="str">
        <f ca="1">IF(AND(ISNUMBER($I$641),$B$511=1),$I$641,HLOOKUP(INDIRECT(ADDRESS(2,COLUMN())),OFFSET($BN$2,0,0,ROW()-1,60),ROW()-1,FALSE))</f>
        <v/>
      </c>
      <c r="J135" t="str">
        <f ca="1">IF(AND(ISNUMBER($J$641),$B$511=1),$J$641,HLOOKUP(INDIRECT(ADDRESS(2,COLUMN())),OFFSET($BN$2,0,0,ROW()-1,60),ROW()-1,FALSE))</f>
        <v/>
      </c>
      <c r="K135" t="str">
        <f ca="1">IF(AND(ISNUMBER($K$641),$B$511=1),$K$641,HLOOKUP(INDIRECT(ADDRESS(2,COLUMN())),OFFSET($BN$2,0,0,ROW()-1,60),ROW()-1,FALSE))</f>
        <v/>
      </c>
      <c r="L135" t="str">
        <f ca="1">IF(AND(ISNUMBER($L$641),$B$511=1),$L$641,HLOOKUP(INDIRECT(ADDRESS(2,COLUMN())),OFFSET($BN$2,0,0,ROW()-1,60),ROW()-1,FALSE))</f>
        <v/>
      </c>
      <c r="M135" t="str">
        <f ca="1">IF(AND(ISNUMBER($M$641),$B$511=1),$M$641,HLOOKUP(INDIRECT(ADDRESS(2,COLUMN())),OFFSET($BN$2,0,0,ROW()-1,60),ROW()-1,FALSE))</f>
        <v/>
      </c>
      <c r="N135" t="str">
        <f ca="1">IF(AND(ISNUMBER($N$641),$B$511=1),$N$641,HLOOKUP(INDIRECT(ADDRESS(2,COLUMN())),OFFSET($BN$2,0,0,ROW()-1,60),ROW()-1,FALSE))</f>
        <v/>
      </c>
      <c r="O135" t="str">
        <f ca="1">IF(AND(ISNUMBER($O$641),$B$511=1),$O$641,HLOOKUP(INDIRECT(ADDRESS(2,COLUMN())),OFFSET($BN$2,0,0,ROW()-1,60),ROW()-1,FALSE))</f>
        <v/>
      </c>
      <c r="P135" t="str">
        <f ca="1">IF(AND(ISNUMBER($P$641),$B$511=1),$P$641,HLOOKUP(INDIRECT(ADDRESS(2,COLUMN())),OFFSET($BN$2,0,0,ROW()-1,60),ROW()-1,FALSE))</f>
        <v/>
      </c>
      <c r="Q135" t="str">
        <f ca="1">IF(AND(ISNUMBER($Q$641),$B$511=1),$Q$641,HLOOKUP(INDIRECT(ADDRESS(2,COLUMN())),OFFSET($BN$2,0,0,ROW()-1,60),ROW()-1,FALSE))</f>
        <v/>
      </c>
      <c r="R135" t="str">
        <f ca="1">IF(AND(ISNUMBER($R$641),$B$511=1),$R$641,HLOOKUP(INDIRECT(ADDRESS(2,COLUMN())),OFFSET($BN$2,0,0,ROW()-1,60),ROW()-1,FALSE))</f>
        <v/>
      </c>
      <c r="S135" t="str">
        <f ca="1">IF(AND(ISNUMBER($S$641),$B$511=1),$S$641,HLOOKUP(INDIRECT(ADDRESS(2,COLUMN())),OFFSET($BN$2,0,0,ROW()-1,60),ROW()-1,FALSE))</f>
        <v/>
      </c>
      <c r="T135" t="str">
        <f ca="1">IF(AND(ISNUMBER($T$641),$B$511=1),$T$641,HLOOKUP(INDIRECT(ADDRESS(2,COLUMN())),OFFSET($BN$2,0,0,ROW()-1,60),ROW()-1,FALSE))</f>
        <v/>
      </c>
      <c r="U135" t="str">
        <f ca="1">IF(AND(ISNUMBER($U$641),$B$511=1),$U$641,HLOOKUP(INDIRECT(ADDRESS(2,COLUMN())),OFFSET($BN$2,0,0,ROW()-1,60),ROW()-1,FALSE))</f>
        <v/>
      </c>
      <c r="V135" t="str">
        <f ca="1">IF(AND(ISNUMBER($V$641),$B$511=1),$V$641,HLOOKUP(INDIRECT(ADDRESS(2,COLUMN())),OFFSET($BN$2,0,0,ROW()-1,60),ROW()-1,FALSE))</f>
        <v/>
      </c>
      <c r="W135" t="str">
        <f ca="1">IF(AND(ISNUMBER($W$641),$B$511=1),$W$641,HLOOKUP(INDIRECT(ADDRESS(2,COLUMN())),OFFSET($BN$2,0,0,ROW()-1,60),ROW()-1,FALSE))</f>
        <v/>
      </c>
      <c r="X135" t="str">
        <f ca="1">IF(AND(ISNUMBER($X$641),$B$511=1),$X$641,HLOOKUP(INDIRECT(ADDRESS(2,COLUMN())),OFFSET($BN$2,0,0,ROW()-1,60),ROW()-1,FALSE))</f>
        <v/>
      </c>
      <c r="Y135" t="str">
        <f ca="1">IF(AND(ISNUMBER($Y$641),$B$511=1),$Y$641,HLOOKUP(INDIRECT(ADDRESS(2,COLUMN())),OFFSET($BN$2,0,0,ROW()-1,60),ROW()-1,FALSE))</f>
        <v/>
      </c>
      <c r="Z135" t="str">
        <f ca="1">IF(AND(ISNUMBER($Z$641),$B$511=1),$Z$641,HLOOKUP(INDIRECT(ADDRESS(2,COLUMN())),OFFSET($BN$2,0,0,ROW()-1,60),ROW()-1,FALSE))</f>
        <v/>
      </c>
      <c r="AA135" t="str">
        <f ca="1">IF(AND(ISNUMBER($AA$641),$B$511=1),$AA$641,HLOOKUP(INDIRECT(ADDRESS(2,COLUMN())),OFFSET($BN$2,0,0,ROW()-1,60),ROW()-1,FALSE))</f>
        <v/>
      </c>
      <c r="AB135" t="str">
        <f ca="1">IF(AND(ISNUMBER($AB$641),$B$511=1),$AB$641,HLOOKUP(INDIRECT(ADDRESS(2,COLUMN())),OFFSET($BN$2,0,0,ROW()-1,60),ROW()-1,FALSE))</f>
        <v/>
      </c>
      <c r="AC135" t="str">
        <f ca="1">IF(AND(ISNUMBER($AC$641),$B$511=1),$AC$641,HLOOKUP(INDIRECT(ADDRESS(2,COLUMN())),OFFSET($BN$2,0,0,ROW()-1,60),ROW()-1,FALSE))</f>
        <v/>
      </c>
      <c r="AD135" t="str">
        <f ca="1">IF(AND(ISNUMBER($AD$641),$B$511=1),$AD$641,HLOOKUP(INDIRECT(ADDRESS(2,COLUMN())),OFFSET($BN$2,0,0,ROW()-1,60),ROW()-1,FALSE))</f>
        <v/>
      </c>
      <c r="AE135" t="str">
        <f ca="1">IF(AND(ISNUMBER($AE$641),$B$511=1),$AE$641,HLOOKUP(INDIRECT(ADDRESS(2,COLUMN())),OFFSET($BN$2,0,0,ROW()-1,60),ROW()-1,FALSE))</f>
        <v/>
      </c>
      <c r="AF135" t="str">
        <f ca="1">IF(AND(ISNUMBER($AF$641),$B$511=1),$AF$641,HLOOKUP(INDIRECT(ADDRESS(2,COLUMN())),OFFSET($BN$2,0,0,ROW()-1,60),ROW()-1,FALSE))</f>
        <v/>
      </c>
      <c r="AG135" t="str">
        <f ca="1">IF(AND(ISNUMBER($AG$641),$B$511=1),$AG$641,HLOOKUP(INDIRECT(ADDRESS(2,COLUMN())),OFFSET($BN$2,0,0,ROW()-1,60),ROW()-1,FALSE))</f>
        <v/>
      </c>
      <c r="AH135" t="str">
        <f ca="1">IF(AND(ISNUMBER($AH$641),$B$511=1),$AH$641,HLOOKUP(INDIRECT(ADDRESS(2,COLUMN())),OFFSET($BN$2,0,0,ROW()-1,60),ROW()-1,FALSE))</f>
        <v/>
      </c>
      <c r="AI135" t="str">
        <f ca="1">IF(AND(ISNUMBER($AI$641),$B$511=1),$AI$641,HLOOKUP(INDIRECT(ADDRESS(2,COLUMN())),OFFSET($BN$2,0,0,ROW()-1,60),ROW()-1,FALSE))</f>
        <v/>
      </c>
      <c r="AJ135" t="str">
        <f ca="1">IF(AND(ISNUMBER($AJ$641),$B$511=1),$AJ$641,HLOOKUP(INDIRECT(ADDRESS(2,COLUMN())),OFFSET($BN$2,0,0,ROW()-1,60),ROW()-1,FALSE))</f>
        <v/>
      </c>
      <c r="AK135" t="str">
        <f ca="1">IF(AND(ISNUMBER($AK$641),$B$511=1),$AK$641,HLOOKUP(INDIRECT(ADDRESS(2,COLUMN())),OFFSET($BN$2,0,0,ROW()-1,60),ROW()-1,FALSE))</f>
        <v/>
      </c>
      <c r="AL135" t="str">
        <f ca="1">IF(AND(ISNUMBER($AL$641),$B$511=1),$AL$641,HLOOKUP(INDIRECT(ADDRESS(2,COLUMN())),OFFSET($BN$2,0,0,ROW()-1,60),ROW()-1,FALSE))</f>
        <v/>
      </c>
      <c r="AM135" t="str">
        <f ca="1">IF(AND(ISNUMBER($AM$641),$B$511=1),$AM$641,HLOOKUP(INDIRECT(ADDRESS(2,COLUMN())),OFFSET($BN$2,0,0,ROW()-1,60),ROW()-1,FALSE))</f>
        <v/>
      </c>
      <c r="AN135" t="str">
        <f ca="1">IF(AND(ISNUMBER($AN$641),$B$511=1),$AN$641,HLOOKUP(INDIRECT(ADDRESS(2,COLUMN())),OFFSET($BN$2,0,0,ROW()-1,60),ROW()-1,FALSE))</f>
        <v/>
      </c>
      <c r="AO135" t="str">
        <f ca="1">IF(AND(ISNUMBER($AO$641),$B$511=1),$AO$641,HLOOKUP(INDIRECT(ADDRESS(2,COLUMN())),OFFSET($BN$2,0,0,ROW()-1,60),ROW()-1,FALSE))</f>
        <v/>
      </c>
      <c r="AP135" t="str">
        <f ca="1">IF(AND(ISNUMBER($AP$641),$B$511=1),$AP$641,HLOOKUP(INDIRECT(ADDRESS(2,COLUMN())),OFFSET($BN$2,0,0,ROW()-1,60),ROW()-1,FALSE))</f>
        <v/>
      </c>
      <c r="AQ135" t="str">
        <f ca="1">IF(AND(ISNUMBER($AQ$641),$B$511=1),$AQ$641,HLOOKUP(INDIRECT(ADDRESS(2,COLUMN())),OFFSET($BN$2,0,0,ROW()-1,60),ROW()-1,FALSE))</f>
        <v/>
      </c>
      <c r="AR135" t="str">
        <f ca="1">IF(AND(ISNUMBER($AR$641),$B$511=1),$AR$641,HLOOKUP(INDIRECT(ADDRESS(2,COLUMN())),OFFSET($BN$2,0,0,ROW()-1,60),ROW()-1,FALSE))</f>
        <v/>
      </c>
      <c r="AS135" t="str">
        <f ca="1">IF(AND(ISNUMBER($AS$641),$B$511=1),$AS$641,HLOOKUP(INDIRECT(ADDRESS(2,COLUMN())),OFFSET($BN$2,0,0,ROW()-1,60),ROW()-1,FALSE))</f>
        <v/>
      </c>
      <c r="AT135" t="str">
        <f ca="1">IF(AND(ISNUMBER($AT$641),$B$511=1),$AT$641,HLOOKUP(INDIRECT(ADDRESS(2,COLUMN())),OFFSET($BN$2,0,0,ROW()-1,60),ROW()-1,FALSE))</f>
        <v/>
      </c>
      <c r="AU135" t="str">
        <f ca="1">IF(AND(ISNUMBER($AU$641),$B$511=1),$AU$641,HLOOKUP(INDIRECT(ADDRESS(2,COLUMN())),OFFSET($BN$2,0,0,ROW()-1,60),ROW()-1,FALSE))</f>
        <v/>
      </c>
      <c r="AV135" t="str">
        <f ca="1">IF(AND(ISNUMBER($AV$641),$B$511=1),$AV$641,HLOOKUP(INDIRECT(ADDRESS(2,COLUMN())),OFFSET($BN$2,0,0,ROW()-1,60),ROW()-1,FALSE))</f>
        <v/>
      </c>
      <c r="AW135" t="str">
        <f ca="1">IF(AND(ISNUMBER($AW$641),$B$511=1),$AW$641,HLOOKUP(INDIRECT(ADDRESS(2,COLUMN())),OFFSET($BN$2,0,0,ROW()-1,60),ROW()-1,FALSE))</f>
        <v/>
      </c>
      <c r="AX135" t="str">
        <f ca="1">IF(AND(ISNUMBER($AX$641),$B$511=1),$AX$641,HLOOKUP(INDIRECT(ADDRESS(2,COLUMN())),OFFSET($BN$2,0,0,ROW()-1,60),ROW()-1,FALSE))</f>
        <v/>
      </c>
      <c r="AY135" t="str">
        <f ca="1">IF(AND(ISNUMBER($AY$641),$B$511=1),$AY$641,HLOOKUP(INDIRECT(ADDRESS(2,COLUMN())),OFFSET($BN$2,0,0,ROW()-1,60),ROW()-1,FALSE))</f>
        <v/>
      </c>
      <c r="AZ135" t="str">
        <f ca="1">IF(AND(ISNUMBER($AZ$641),$B$511=1),$AZ$641,HLOOKUP(INDIRECT(ADDRESS(2,COLUMN())),OFFSET($BN$2,0,0,ROW()-1,60),ROW()-1,FALSE))</f>
        <v/>
      </c>
      <c r="BA135" t="str">
        <f ca="1">IF(AND(ISNUMBER($BA$641),$B$511=1),$BA$641,HLOOKUP(INDIRECT(ADDRESS(2,COLUMN())),OFFSET($BN$2,0,0,ROW()-1,60),ROW()-1,FALSE))</f>
        <v/>
      </c>
      <c r="BB135" t="str">
        <f ca="1">IF(AND(ISNUMBER($BB$641),$B$511=1),$BB$641,HLOOKUP(INDIRECT(ADDRESS(2,COLUMN())),OFFSET($BN$2,0,0,ROW()-1,60),ROW()-1,FALSE))</f>
        <v/>
      </c>
      <c r="BC135" t="str">
        <f ca="1">IF(AND(ISNUMBER($BC$641),$B$511=1),$BC$641,HLOOKUP(INDIRECT(ADDRESS(2,COLUMN())),OFFSET($BN$2,0,0,ROW()-1,60),ROW()-1,FALSE))</f>
        <v/>
      </c>
      <c r="BD135" t="str">
        <f ca="1">IF(AND(ISNUMBER($BD$641),$B$511=1),$BD$641,HLOOKUP(INDIRECT(ADDRESS(2,COLUMN())),OFFSET($BN$2,0,0,ROW()-1,60),ROW()-1,FALSE))</f>
        <v/>
      </c>
      <c r="BE135" t="str">
        <f ca="1">IF(AND(ISNUMBER($BE$641),$B$511=1),$BE$641,HLOOKUP(INDIRECT(ADDRESS(2,COLUMN())),OFFSET($BN$2,0,0,ROW()-1,60),ROW()-1,FALSE))</f>
        <v/>
      </c>
      <c r="BF135" t="str">
        <f ca="1">IF(AND(ISNUMBER($BF$641),$B$511=1),$BF$641,HLOOKUP(INDIRECT(ADDRESS(2,COLUMN())),OFFSET($BN$2,0,0,ROW()-1,60),ROW()-1,FALSE))</f>
        <v/>
      </c>
      <c r="BG135" t="str">
        <f ca="1">IF(AND(ISNUMBER($BG$641),$B$511=1),$BG$641,HLOOKUP(INDIRECT(ADDRESS(2,COLUMN())),OFFSET($BN$2,0,0,ROW()-1,60),ROW()-1,FALSE))</f>
        <v/>
      </c>
      <c r="BH135" t="str">
        <f ca="1">IF(AND(ISNUMBER($BH$641),$B$511=1),$BH$641,HLOOKUP(INDIRECT(ADDRESS(2,COLUMN())),OFFSET($BN$2,0,0,ROW()-1,60),ROW()-1,FALSE))</f>
        <v/>
      </c>
      <c r="BI135" t="str">
        <f ca="1">IF(AND(ISNUMBER($BI$641),$B$511=1),$BI$641,HLOOKUP(INDIRECT(ADDRESS(2,COLUMN())),OFFSET($BN$2,0,0,ROW()-1,60),ROW()-1,FALSE))</f>
        <v/>
      </c>
      <c r="BJ135" t="str">
        <f ca="1">IF(AND(ISNUMBER($BJ$641),$B$511=1),$BJ$641,HLOOKUP(INDIRECT(ADDRESS(2,COLUMN())),OFFSET($BN$2,0,0,ROW()-1,60),ROW()-1,FALSE))</f>
        <v/>
      </c>
      <c r="BK135" t="str">
        <f ca="1">IF(AND(ISNUMBER($BK$641),$B$511=1),$BK$641,HLOOKUP(INDIRECT(ADDRESS(2,COLUMN())),OFFSET($BN$2,0,0,ROW()-1,60),ROW()-1,FALSE))</f>
        <v/>
      </c>
      <c r="BL135" t="str">
        <f ca="1">IF(AND(ISNUMBER($BL$641),$B$511=1),$BL$641,HLOOKUP(INDIRECT(ADDRESS(2,COLUMN())),OFFSET($BN$2,0,0,ROW()-1,60),ROW()-1,FALSE))</f>
        <v/>
      </c>
      <c r="BM135" t="str">
        <f ca="1">IF(AND(ISNUMBER($BM$641),$B$511=1),$BM$641,HLOOKUP(INDIRECT(ADDRESS(2,COLUMN())),OFFSET($BN$2,0,0,ROW()-1,60),ROW()-1,FALSE))</f>
        <v/>
      </c>
      <c r="BN135" t="str">
        <f>""</f>
        <v/>
      </c>
      <c r="BO135" t="str">
        <f>""</f>
        <v/>
      </c>
      <c r="BP135" t="str">
        <f>""</f>
        <v/>
      </c>
      <c r="BQ135" t="str">
        <f>""</f>
        <v/>
      </c>
      <c r="BR135" t="str">
        <f>""</f>
        <v/>
      </c>
      <c r="BS135" t="str">
        <f>""</f>
        <v/>
      </c>
      <c r="BT135" t="str">
        <f>""</f>
        <v/>
      </c>
      <c r="BU135" t="str">
        <f>""</f>
        <v/>
      </c>
      <c r="BV135" t="str">
        <f>""</f>
        <v/>
      </c>
      <c r="BW135" t="str">
        <f>""</f>
        <v/>
      </c>
      <c r="BX135" t="str">
        <f>""</f>
        <v/>
      </c>
      <c r="BY135" t="str">
        <f>""</f>
        <v/>
      </c>
      <c r="BZ135" t="str">
        <f>""</f>
        <v/>
      </c>
      <c r="CA135" t="str">
        <f>""</f>
        <v/>
      </c>
      <c r="CB135" t="str">
        <f>""</f>
        <v/>
      </c>
      <c r="CC135" t="str">
        <f>""</f>
        <v/>
      </c>
      <c r="CD135" t="str">
        <f>""</f>
        <v/>
      </c>
      <c r="CE135" t="str">
        <f>""</f>
        <v/>
      </c>
      <c r="CF135" t="str">
        <f>""</f>
        <v/>
      </c>
      <c r="CG135" t="str">
        <f>""</f>
        <v/>
      </c>
      <c r="CH135" t="str">
        <f>""</f>
        <v/>
      </c>
      <c r="CI135" t="str">
        <f>""</f>
        <v/>
      </c>
      <c r="CJ135" t="str">
        <f>""</f>
        <v/>
      </c>
      <c r="CK135" t="str">
        <f>""</f>
        <v/>
      </c>
      <c r="CL135" t="str">
        <f>""</f>
        <v/>
      </c>
      <c r="CM135" t="str">
        <f>""</f>
        <v/>
      </c>
      <c r="CN135" t="str">
        <f>""</f>
        <v/>
      </c>
      <c r="CO135" t="str">
        <f>""</f>
        <v/>
      </c>
      <c r="CP135" t="str">
        <f>""</f>
        <v/>
      </c>
      <c r="CQ135" t="str">
        <f>""</f>
        <v/>
      </c>
      <c r="CR135" t="str">
        <f>""</f>
        <v/>
      </c>
      <c r="CS135" t="str">
        <f>""</f>
        <v/>
      </c>
      <c r="CT135" t="str">
        <f>""</f>
        <v/>
      </c>
      <c r="CU135" t="str">
        <f>""</f>
        <v/>
      </c>
      <c r="CV135" t="str">
        <f>""</f>
        <v/>
      </c>
      <c r="CW135" t="str">
        <f>""</f>
        <v/>
      </c>
      <c r="CX135" t="str">
        <f>""</f>
        <v/>
      </c>
      <c r="CY135" t="str">
        <f>""</f>
        <v/>
      </c>
      <c r="CZ135" t="str">
        <f>""</f>
        <v/>
      </c>
      <c r="DA135" t="str">
        <f>""</f>
        <v/>
      </c>
      <c r="DB135" t="str">
        <f>""</f>
        <v/>
      </c>
      <c r="DC135" t="str">
        <f>""</f>
        <v/>
      </c>
      <c r="DD135" t="str">
        <f>""</f>
        <v/>
      </c>
      <c r="DE135" t="str">
        <f>""</f>
        <v/>
      </c>
      <c r="DF135" t="str">
        <f>""</f>
        <v/>
      </c>
      <c r="DG135" t="str">
        <f>""</f>
        <v/>
      </c>
      <c r="DH135" t="str">
        <f>""</f>
        <v/>
      </c>
      <c r="DI135" t="str">
        <f>""</f>
        <v/>
      </c>
      <c r="DJ135" t="str">
        <f>""</f>
        <v/>
      </c>
      <c r="DK135" t="str">
        <f>""</f>
        <v/>
      </c>
      <c r="DL135" t="str">
        <f>""</f>
        <v/>
      </c>
      <c r="DM135" t="str">
        <f>""</f>
        <v/>
      </c>
      <c r="DN135" t="str">
        <f>""</f>
        <v/>
      </c>
      <c r="DO135" t="str">
        <f>""</f>
        <v/>
      </c>
      <c r="DP135" t="str">
        <f>""</f>
        <v/>
      </c>
      <c r="DQ135" t="str">
        <f>""</f>
        <v/>
      </c>
      <c r="DR135" t="str">
        <f>""</f>
        <v/>
      </c>
      <c r="DS135" t="str">
        <f>""</f>
        <v/>
      </c>
      <c r="DT135" t="str">
        <f>""</f>
        <v/>
      </c>
      <c r="DU135" t="str">
        <f>""</f>
        <v/>
      </c>
    </row>
    <row r="136" spans="1:125" x14ac:dyDescent="0.25">
      <c r="A136" t="str">
        <f>"    DRB-Hicom Bhd"</f>
        <v xml:space="preserve">    DRB-Hicom Bhd</v>
      </c>
      <c r="B136" t="str">
        <f>"DRB MK Equity"</f>
        <v>DRB MK Equity</v>
      </c>
      <c r="C136" t="str">
        <f t="shared" si="9"/>
        <v>RR841</v>
      </c>
      <c r="D136" t="str">
        <f t="shared" si="10"/>
        <v>TRAIL_12M_EBITDA</v>
      </c>
      <c r="E136" t="str">
        <f t="shared" si="11"/>
        <v>Dynamic</v>
      </c>
      <c r="F136" t="str">
        <f ca="1">IF(AND(ISNUMBER($F$642),$B$511=1),$F$642,HLOOKUP(INDIRECT(ADDRESS(2,COLUMN())),OFFSET($BN$2,0,0,ROW()-1,60),ROW()-1,FALSE))</f>
        <v/>
      </c>
      <c r="G136" t="str">
        <f ca="1">IF(AND(ISNUMBER($G$642),$B$511=1),$G$642,HLOOKUP(INDIRECT(ADDRESS(2,COLUMN())),OFFSET($BN$2,0,0,ROW()-1,60),ROW()-1,FALSE))</f>
        <v/>
      </c>
      <c r="H136">
        <f ca="1">IF(AND(ISNUMBER($H$642),$B$511=1),$H$642,HLOOKUP(INDIRECT(ADDRESS(2,COLUMN())),OFFSET($BN$2,0,0,ROW()-1,60),ROW()-1,FALSE))</f>
        <v>85.596344650000006</v>
      </c>
      <c r="I136">
        <f ca="1">IF(AND(ISNUMBER($I$642),$B$511=1),$I$642,HLOOKUP(INDIRECT(ADDRESS(2,COLUMN())),OFFSET($BN$2,0,0,ROW()-1,60),ROW()-1,FALSE))</f>
        <v>295.73451290000003</v>
      </c>
      <c r="J136">
        <f ca="1">IF(AND(ISNUMBER($J$642),$B$511=1),$J$642,HLOOKUP(INDIRECT(ADDRESS(2,COLUMN())),OFFSET($BN$2,0,0,ROW()-1,60),ROW()-1,FALSE))</f>
        <v>290.336029</v>
      </c>
      <c r="K136">
        <f ca="1">IF(AND(ISNUMBER($K$642),$B$511=1),$K$642,HLOOKUP(INDIRECT(ADDRESS(2,COLUMN())),OFFSET($BN$2,0,0,ROW()-1,60),ROW()-1,FALSE))</f>
        <v>265.32760889999997</v>
      </c>
      <c r="L136">
        <f ca="1">IF(AND(ISNUMBER($L$642),$B$511=1),$L$642,HLOOKUP(INDIRECT(ADDRESS(2,COLUMN())),OFFSET($BN$2,0,0,ROW()-1,60),ROW()-1,FALSE))</f>
        <v>452.48196630000001</v>
      </c>
      <c r="M136">
        <f ca="1">IF(AND(ISNUMBER($M$642),$B$511=1),$M$642,HLOOKUP(INDIRECT(ADDRESS(2,COLUMN())),OFFSET($BN$2,0,0,ROW()-1,60),ROW()-1,FALSE))</f>
        <v>211.9661897</v>
      </c>
      <c r="N136">
        <f ca="1">IF(AND(ISNUMBER($N$642),$B$511=1),$N$642,HLOOKUP(INDIRECT(ADDRESS(2,COLUMN())),OFFSET($BN$2,0,0,ROW()-1,60),ROW()-1,FALSE))</f>
        <v>198.59551279999999</v>
      </c>
      <c r="O136">
        <f ca="1">IF(AND(ISNUMBER($O$642),$B$511=1),$O$642,HLOOKUP(INDIRECT(ADDRESS(2,COLUMN())),OFFSET($BN$2,0,0,ROW()-1,60),ROW()-1,FALSE))</f>
        <v>96.977467239999996</v>
      </c>
      <c r="P136">
        <f ca="1">IF(AND(ISNUMBER($P$642),$B$511=1),$P$642,HLOOKUP(INDIRECT(ADDRESS(2,COLUMN())),OFFSET($BN$2,0,0,ROW()-1,60),ROW()-1,FALSE))</f>
        <v>-62.133030769999998</v>
      </c>
      <c r="Q136">
        <f ca="1">IF(AND(ISNUMBER($Q$642),$B$511=1),$Q$642,HLOOKUP(INDIRECT(ADDRESS(2,COLUMN())),OFFSET($BN$2,0,0,ROW()-1,60),ROW()-1,FALSE))</f>
        <v>-1.413717618</v>
      </c>
      <c r="R136">
        <f ca="1">IF(AND(ISNUMBER($R$642),$B$511=1),$R$642,HLOOKUP(INDIRECT(ADDRESS(2,COLUMN())),OFFSET($BN$2,0,0,ROW()-1,60),ROW()-1,FALSE))</f>
        <v>25.522949140000001</v>
      </c>
      <c r="S136">
        <f ca="1">IF(AND(ISNUMBER($S$642),$B$511=1),$S$642,HLOOKUP(INDIRECT(ADDRESS(2,COLUMN())),OFFSET($BN$2,0,0,ROW()-1,60),ROW()-1,FALSE))</f>
        <v>186.85681439999999</v>
      </c>
      <c r="T136">
        <f ca="1">IF(AND(ISNUMBER($T$642),$B$511=1),$T$642,HLOOKUP(INDIRECT(ADDRESS(2,COLUMN())),OFFSET($BN$2,0,0,ROW()-1,60),ROW()-1,FALSE))</f>
        <v>243.5652255</v>
      </c>
      <c r="U136">
        <f ca="1">IF(AND(ISNUMBER($U$642),$B$511=1),$U$642,HLOOKUP(INDIRECT(ADDRESS(2,COLUMN())),OFFSET($BN$2,0,0,ROW()-1,60),ROW()-1,FALSE))</f>
        <v>295.34507339999999</v>
      </c>
      <c r="V136">
        <f ca="1">IF(AND(ISNUMBER($V$642),$B$511=1),$V$642,HLOOKUP(INDIRECT(ADDRESS(2,COLUMN())),OFFSET($BN$2,0,0,ROW()-1,60),ROW()-1,FALSE))</f>
        <v>351.22654249999999</v>
      </c>
      <c r="W136">
        <f ca="1">IF(AND(ISNUMBER($W$642),$B$511=1),$W$642,HLOOKUP(INDIRECT(ADDRESS(2,COLUMN())),OFFSET($BN$2,0,0,ROW()-1,60),ROW()-1,FALSE))</f>
        <v>457.8285492</v>
      </c>
      <c r="X136">
        <f ca="1">IF(AND(ISNUMBER($X$642),$B$511=1),$X$642,HLOOKUP(INDIRECT(ADDRESS(2,COLUMN())),OFFSET($BN$2,0,0,ROW()-1,60),ROW()-1,FALSE))</f>
        <v>490.05767179999998</v>
      </c>
      <c r="Y136">
        <f ca="1">IF(AND(ISNUMBER($Y$642),$B$511=1),$Y$642,HLOOKUP(INDIRECT(ADDRESS(2,COLUMN())),OFFSET($BN$2,0,0,ROW()-1,60),ROW()-1,FALSE))</f>
        <v>512.16935339999998</v>
      </c>
      <c r="Z136">
        <f ca="1">IF(AND(ISNUMBER($Z$642),$B$511=1),$Z$642,HLOOKUP(INDIRECT(ADDRESS(2,COLUMN())),OFFSET($BN$2,0,0,ROW()-1,60),ROW()-1,FALSE))</f>
        <v>509.40853980000003</v>
      </c>
      <c r="AA136">
        <f ca="1">IF(AND(ISNUMBER($AA$642),$B$511=1),$AA$642,HLOOKUP(INDIRECT(ADDRESS(2,COLUMN())),OFFSET($BN$2,0,0,ROW()-1,60),ROW()-1,FALSE))</f>
        <v>514.74539909999999</v>
      </c>
      <c r="AB136">
        <f ca="1">IF(AND(ISNUMBER($AB$642),$B$511=1),$AB$642,HLOOKUP(INDIRECT(ADDRESS(2,COLUMN())),OFFSET($BN$2,0,0,ROW()-1,60),ROW()-1,FALSE))</f>
        <v>484.34944100000001</v>
      </c>
      <c r="AC136">
        <f ca="1">IF(AND(ISNUMBER($AC$642),$B$511=1),$AC$642,HLOOKUP(INDIRECT(ADDRESS(2,COLUMN())),OFFSET($BN$2,0,0,ROW()-1,60),ROW()-1,FALSE))</f>
        <v>474.71242669999998</v>
      </c>
      <c r="AD136">
        <f ca="1">IF(AND(ISNUMBER($AD$642),$B$511=1),$AD$642,HLOOKUP(INDIRECT(ADDRESS(2,COLUMN())),OFFSET($BN$2,0,0,ROW()-1,60),ROW()-1,FALSE))</f>
        <v>467.78078829999998</v>
      </c>
      <c r="AE136">
        <f ca="1">IF(AND(ISNUMBER($AE$642),$B$511=1),$AE$642,HLOOKUP(INDIRECT(ADDRESS(2,COLUMN())),OFFSET($BN$2,0,0,ROW()-1,60),ROW()-1,FALSE))</f>
        <v>748.93820459999995</v>
      </c>
      <c r="AF136">
        <f ca="1">IF(AND(ISNUMBER($AF$642),$B$511=1),$AF$642,HLOOKUP(INDIRECT(ADDRESS(2,COLUMN())),OFFSET($BN$2,0,0,ROW()-1,60),ROW()-1,FALSE))</f>
        <v>730.41065390000006</v>
      </c>
      <c r="AG136">
        <f ca="1">IF(AND(ISNUMBER($AG$642),$B$511=1),$AG$642,HLOOKUP(INDIRECT(ADDRESS(2,COLUMN())),OFFSET($BN$2,0,0,ROW()-1,60),ROW()-1,FALSE))</f>
        <v>674.95752330000005</v>
      </c>
      <c r="AH136">
        <f ca="1">IF(AND(ISNUMBER($AH$642),$B$511=1),$AH$642,HLOOKUP(INDIRECT(ADDRESS(2,COLUMN())),OFFSET($BN$2,0,0,ROW()-1,60),ROW()-1,FALSE))</f>
        <v>653.08941700000003</v>
      </c>
      <c r="AI136">
        <f ca="1">IF(AND(ISNUMBER($AI$642),$B$511=1),$AI$642,HLOOKUP(INDIRECT(ADDRESS(2,COLUMN())),OFFSET($BN$2,0,0,ROW()-1,60),ROW()-1,FALSE))</f>
        <v>206.71858359999999</v>
      </c>
      <c r="AJ136">
        <f ca="1">IF(AND(ISNUMBER($AJ$642),$B$511=1),$AJ$642,HLOOKUP(INDIRECT(ADDRESS(2,COLUMN())),OFFSET($BN$2,0,0,ROW()-1,60),ROW()-1,FALSE))</f>
        <v>211.59649870000001</v>
      </c>
      <c r="AK136">
        <f ca="1">IF(AND(ISNUMBER($AK$642),$B$511=1),$AK$642,HLOOKUP(INDIRECT(ADDRESS(2,COLUMN())),OFFSET($BN$2,0,0,ROW()-1,60),ROW()-1,FALSE))</f>
        <v>211.19816109999999</v>
      </c>
      <c r="AL136">
        <f ca="1">IF(AND(ISNUMBER($AL$642),$B$511=1),$AL$642,HLOOKUP(INDIRECT(ADDRESS(2,COLUMN())),OFFSET($BN$2,0,0,ROW()-1,60),ROW()-1,FALSE))</f>
        <v>222.02589399999999</v>
      </c>
      <c r="AM136">
        <f ca="1">IF(AND(ISNUMBER($AM$642),$B$511=1),$AM$642,HLOOKUP(INDIRECT(ADDRESS(2,COLUMN())),OFFSET($BN$2,0,0,ROW()-1,60),ROW()-1,FALSE))</f>
        <v>210.95996120000001</v>
      </c>
      <c r="AN136">
        <f ca="1">IF(AND(ISNUMBER($AN$642),$B$511=1),$AN$642,HLOOKUP(INDIRECT(ADDRESS(2,COLUMN())),OFFSET($BN$2,0,0,ROW()-1,60),ROW()-1,FALSE))</f>
        <v>211.2506104</v>
      </c>
      <c r="AO136">
        <f ca="1">IF(AND(ISNUMBER($AO$642),$B$511=1),$AO$642,HLOOKUP(INDIRECT(ADDRESS(2,COLUMN())),OFFSET($BN$2,0,0,ROW()-1,60),ROW()-1,FALSE))</f>
        <v>183.79466980000001</v>
      </c>
      <c r="AP136">
        <f ca="1">IF(AND(ISNUMBER($AP$642),$B$511=1),$AP$642,HLOOKUP(INDIRECT(ADDRESS(2,COLUMN())),OFFSET($BN$2,0,0,ROW()-1,60),ROW()-1,FALSE))</f>
        <v>151.1149245</v>
      </c>
      <c r="AQ136">
        <f ca="1">IF(AND(ISNUMBER($AQ$642),$B$511=1),$AQ$642,HLOOKUP(INDIRECT(ADDRESS(2,COLUMN())),OFFSET($BN$2,0,0,ROW()-1,60),ROW()-1,FALSE))</f>
        <v>112.366371</v>
      </c>
      <c r="AR136">
        <f ca="1">IF(AND(ISNUMBER($AR$642),$B$511=1),$AR$642,HLOOKUP(INDIRECT(ADDRESS(2,COLUMN())),OFFSET($BN$2,0,0,ROW()-1,60),ROW()-1,FALSE))</f>
        <v>95.060359469999995</v>
      </c>
      <c r="AS136">
        <f ca="1">IF(AND(ISNUMBER($AS$642),$B$511=1),$AS$642,HLOOKUP(INDIRECT(ADDRESS(2,COLUMN())),OFFSET($BN$2,0,0,ROW()-1,60),ROW()-1,FALSE))</f>
        <v>95.074361710000005</v>
      </c>
      <c r="AT136">
        <f ca="1">IF(AND(ISNUMBER($AT$642),$B$511=1),$AT$642,HLOOKUP(INDIRECT(ADDRESS(2,COLUMN())),OFFSET($BN$2,0,0,ROW()-1,60),ROW()-1,FALSE))</f>
        <v>255.53291429999999</v>
      </c>
      <c r="AU136">
        <f ca="1">IF(AND(ISNUMBER($AU$642),$B$511=1),$AU$642,HLOOKUP(INDIRECT(ADDRESS(2,COLUMN())),OFFSET($BN$2,0,0,ROW()-1,60),ROW()-1,FALSE))</f>
        <v>287.6316339</v>
      </c>
      <c r="AV136">
        <f ca="1">IF(AND(ISNUMBER($AV$642),$B$511=1),$AV$642,HLOOKUP(INDIRECT(ADDRESS(2,COLUMN())),OFFSET($BN$2,0,0,ROW()-1,60),ROW()-1,FALSE))</f>
        <v>319.29529530000002</v>
      </c>
      <c r="AW136">
        <f ca="1">IF(AND(ISNUMBER($AW$642),$B$511=1),$AW$642,HLOOKUP(INDIRECT(ADDRESS(2,COLUMN())),OFFSET($BN$2,0,0,ROW()-1,60),ROW()-1,FALSE))</f>
        <v>311.92448560000003</v>
      </c>
      <c r="AX136">
        <f ca="1">IF(AND(ISNUMBER($AX$642),$B$511=1),$AX$642,HLOOKUP(INDIRECT(ADDRESS(2,COLUMN())),OFFSET($BN$2,0,0,ROW()-1,60),ROW()-1,FALSE))</f>
        <v>141.50056950000001</v>
      </c>
      <c r="AY136">
        <f ca="1">IF(AND(ISNUMBER($AY$642),$B$511=1),$AY$642,HLOOKUP(INDIRECT(ADDRESS(2,COLUMN())),OFFSET($BN$2,0,0,ROW()-1,60),ROW()-1,FALSE))</f>
        <v>180.3730066</v>
      </c>
      <c r="AZ136">
        <f ca="1">IF(AND(ISNUMBER($AZ$642),$B$511=1),$AZ$642,HLOOKUP(INDIRECT(ADDRESS(2,COLUMN())),OFFSET($BN$2,0,0,ROW()-1,60),ROW()-1,FALSE))</f>
        <v>144.19615229999999</v>
      </c>
      <c r="BA136">
        <f ca="1">IF(AND(ISNUMBER($BA$642),$B$511=1),$BA$642,HLOOKUP(INDIRECT(ADDRESS(2,COLUMN())),OFFSET($BN$2,0,0,ROW()-1,60),ROW()-1,FALSE))</f>
        <v>142.32221939999999</v>
      </c>
      <c r="BB136">
        <f ca="1">IF(AND(ISNUMBER($BB$642),$B$511=1),$BB$642,HLOOKUP(INDIRECT(ADDRESS(2,COLUMN())),OFFSET($BN$2,0,0,ROW()-1,60),ROW()-1,FALSE))</f>
        <v>131.9220254</v>
      </c>
      <c r="BC136">
        <f ca="1">IF(AND(ISNUMBER($BC$642),$B$511=1),$BC$642,HLOOKUP(INDIRECT(ADDRESS(2,COLUMN())),OFFSET($BN$2,0,0,ROW()-1,60),ROW()-1,FALSE))</f>
        <v>35.956039750000002</v>
      </c>
      <c r="BD136">
        <f ca="1">IF(AND(ISNUMBER($BD$642),$B$511=1),$BD$642,HLOOKUP(INDIRECT(ADDRESS(2,COLUMN())),OFFSET($BN$2,0,0,ROW()-1,60),ROW()-1,FALSE))</f>
        <v>-31.290397240000001</v>
      </c>
      <c r="BE136">
        <f ca="1">IF(AND(ISNUMBER($BE$642),$B$511=1),$BE$642,HLOOKUP(INDIRECT(ADDRESS(2,COLUMN())),OFFSET($BN$2,0,0,ROW()-1,60),ROW()-1,FALSE))</f>
        <v>-30.379049429999998</v>
      </c>
      <c r="BF136">
        <f ca="1">IF(AND(ISNUMBER($BF$642),$B$511=1),$BF$642,HLOOKUP(INDIRECT(ADDRESS(2,COLUMN())),OFFSET($BN$2,0,0,ROW()-1,60),ROW()-1,FALSE))</f>
        <v>-11.61187601</v>
      </c>
      <c r="BG136">
        <f ca="1">IF(AND(ISNUMBER($BG$642),$B$511=1),$BG$642,HLOOKUP(INDIRECT(ADDRESS(2,COLUMN())),OFFSET($BN$2,0,0,ROW()-1,60),ROW()-1,FALSE))</f>
        <v>20.90551421</v>
      </c>
      <c r="BH136">
        <f ca="1">IF(AND(ISNUMBER($BH$642),$B$511=1),$BH$642,HLOOKUP(INDIRECT(ADDRESS(2,COLUMN())),OFFSET($BN$2,0,0,ROW()-1,60),ROW()-1,FALSE))</f>
        <v>82.288617489999993</v>
      </c>
      <c r="BI136">
        <f ca="1">IF(AND(ISNUMBER($BI$642),$B$511=1),$BI$642,HLOOKUP(INDIRECT(ADDRESS(2,COLUMN())),OFFSET($BN$2,0,0,ROW()-1,60),ROW()-1,FALSE))</f>
        <v>95.054210519999998</v>
      </c>
      <c r="BJ136">
        <f ca="1">IF(AND(ISNUMBER($BJ$642),$B$511=1),$BJ$642,HLOOKUP(INDIRECT(ADDRESS(2,COLUMN())),OFFSET($BN$2,0,0,ROW()-1,60),ROW()-1,FALSE))</f>
        <v>93.484736639999994</v>
      </c>
      <c r="BK136">
        <f ca="1">IF(AND(ISNUMBER($BK$642),$B$511=1),$BK$642,HLOOKUP(INDIRECT(ADDRESS(2,COLUMN())),OFFSET($BN$2,0,0,ROW()-1,60),ROW()-1,FALSE))</f>
        <v>106.7205258</v>
      </c>
      <c r="BL136">
        <f ca="1">IF(AND(ISNUMBER($BL$642),$B$511=1),$BL$642,HLOOKUP(INDIRECT(ADDRESS(2,COLUMN())),OFFSET($BN$2,0,0,ROW()-1,60),ROW()-1,FALSE))</f>
        <v>108.39447319999999</v>
      </c>
      <c r="BM136">
        <f ca="1">IF(AND(ISNUMBER($BM$642),$B$511=1),$BM$642,HLOOKUP(INDIRECT(ADDRESS(2,COLUMN())),OFFSET($BN$2,0,0,ROW()-1,60),ROW()-1,FALSE))</f>
        <v>103.91605180000001</v>
      </c>
      <c r="BN136" t="str">
        <f>""</f>
        <v/>
      </c>
      <c r="BO136" t="str">
        <f>""</f>
        <v/>
      </c>
      <c r="BP136">
        <f>85.59634465</f>
        <v>85.596344650000006</v>
      </c>
      <c r="BQ136">
        <f>295.7345129</f>
        <v>295.73451290000003</v>
      </c>
      <c r="BR136">
        <f>290.336029</f>
        <v>290.336029</v>
      </c>
      <c r="BS136">
        <f>265.3276089</f>
        <v>265.32760889999997</v>
      </c>
      <c r="BT136">
        <f>452.4819663</f>
        <v>452.48196630000001</v>
      </c>
      <c r="BU136">
        <f>211.9661897</f>
        <v>211.9661897</v>
      </c>
      <c r="BV136">
        <f>198.5955128</f>
        <v>198.59551279999999</v>
      </c>
      <c r="BW136">
        <f>96.97746724</f>
        <v>96.977467239999996</v>
      </c>
      <c r="BX136">
        <f>-62.13303077</f>
        <v>-62.133030769999998</v>
      </c>
      <c r="BY136">
        <f>-1.413717618</f>
        <v>-1.413717618</v>
      </c>
      <c r="BZ136">
        <f>25.52294914</f>
        <v>25.522949140000001</v>
      </c>
      <c r="CA136">
        <f>186.8568144</f>
        <v>186.85681439999999</v>
      </c>
      <c r="CB136">
        <f>243.5652255</f>
        <v>243.5652255</v>
      </c>
      <c r="CC136">
        <f>295.3450734</f>
        <v>295.34507339999999</v>
      </c>
      <c r="CD136">
        <f>351.2265425</f>
        <v>351.22654249999999</v>
      </c>
      <c r="CE136">
        <f>457.8285492</f>
        <v>457.8285492</v>
      </c>
      <c r="CF136">
        <f>490.0576718</f>
        <v>490.05767179999998</v>
      </c>
      <c r="CG136">
        <f>512.1693534</f>
        <v>512.16935339999998</v>
      </c>
      <c r="CH136">
        <f>509.4085398</f>
        <v>509.40853980000003</v>
      </c>
      <c r="CI136">
        <f>514.7453991</f>
        <v>514.74539909999999</v>
      </c>
      <c r="CJ136">
        <f>484.349441</f>
        <v>484.34944100000001</v>
      </c>
      <c r="CK136">
        <f>474.7124267</f>
        <v>474.71242669999998</v>
      </c>
      <c r="CL136">
        <f>467.7807883</f>
        <v>467.78078829999998</v>
      </c>
      <c r="CM136">
        <f>748.9382046</f>
        <v>748.93820459999995</v>
      </c>
      <c r="CN136">
        <f>730.4106539</f>
        <v>730.41065390000006</v>
      </c>
      <c r="CO136">
        <f>674.9575233</f>
        <v>674.95752330000005</v>
      </c>
      <c r="CP136">
        <f>653.089417</f>
        <v>653.08941700000003</v>
      </c>
      <c r="CQ136">
        <f>206.7185836</f>
        <v>206.71858359999999</v>
      </c>
      <c r="CR136">
        <f>211.5964987</f>
        <v>211.59649870000001</v>
      </c>
      <c r="CS136">
        <f>211.1981611</f>
        <v>211.19816109999999</v>
      </c>
      <c r="CT136">
        <f>222.025894</f>
        <v>222.02589399999999</v>
      </c>
      <c r="CU136">
        <f>210.9599612</f>
        <v>210.95996120000001</v>
      </c>
      <c r="CV136">
        <f>211.2506104</f>
        <v>211.2506104</v>
      </c>
      <c r="CW136">
        <f>183.7946698</f>
        <v>183.79466980000001</v>
      </c>
      <c r="CX136">
        <f>151.1149245</f>
        <v>151.1149245</v>
      </c>
      <c r="CY136">
        <f>112.366371</f>
        <v>112.366371</v>
      </c>
      <c r="CZ136">
        <f>95.06035947</f>
        <v>95.060359469999995</v>
      </c>
      <c r="DA136">
        <f>95.07436171</f>
        <v>95.074361710000005</v>
      </c>
      <c r="DB136">
        <f>255.5329143</f>
        <v>255.53291429999999</v>
      </c>
      <c r="DC136">
        <f>287.6316339</f>
        <v>287.6316339</v>
      </c>
      <c r="DD136">
        <f>319.2952953</f>
        <v>319.29529530000002</v>
      </c>
      <c r="DE136">
        <f>311.9244856</f>
        <v>311.92448560000003</v>
      </c>
      <c r="DF136">
        <f>141.5005695</f>
        <v>141.50056950000001</v>
      </c>
      <c r="DG136">
        <f>180.3730066</f>
        <v>180.3730066</v>
      </c>
      <c r="DH136">
        <f>144.1961523</f>
        <v>144.19615229999999</v>
      </c>
      <c r="DI136">
        <f>142.3222194</f>
        <v>142.32221939999999</v>
      </c>
      <c r="DJ136">
        <f>131.9220254</f>
        <v>131.9220254</v>
      </c>
      <c r="DK136">
        <f>35.95603975</f>
        <v>35.956039750000002</v>
      </c>
      <c r="DL136">
        <f>-31.29039724</f>
        <v>-31.290397240000001</v>
      </c>
      <c r="DM136">
        <f>-30.37904943</f>
        <v>-30.379049429999998</v>
      </c>
      <c r="DN136">
        <f>-11.61187601</f>
        <v>-11.61187601</v>
      </c>
      <c r="DO136">
        <f>20.90551421</f>
        <v>20.90551421</v>
      </c>
      <c r="DP136">
        <f>82.28861749</f>
        <v>82.288617489999993</v>
      </c>
      <c r="DQ136">
        <f>95.05421052</f>
        <v>95.054210519999998</v>
      </c>
      <c r="DR136">
        <f>93.48473664</f>
        <v>93.484736639999994</v>
      </c>
      <c r="DS136">
        <f>106.7205258</f>
        <v>106.7205258</v>
      </c>
      <c r="DT136">
        <f>108.3944732</f>
        <v>108.39447319999999</v>
      </c>
      <c r="DU136">
        <f>103.9160518</f>
        <v>103.91605180000001</v>
      </c>
    </row>
    <row r="137" spans="1:125" x14ac:dyDescent="0.25">
      <c r="A137" t="str">
        <f>"    FAW CAR Co Ltd"</f>
        <v xml:space="preserve">    FAW CAR Co Ltd</v>
      </c>
      <c r="B137" t="str">
        <f>"000800 CH Equity"</f>
        <v>000800 CH Equity</v>
      </c>
      <c r="C137" t="str">
        <f t="shared" si="9"/>
        <v>RR841</v>
      </c>
      <c r="D137" t="str">
        <f t="shared" si="10"/>
        <v>TRAIL_12M_EBITDA</v>
      </c>
      <c r="E137" t="str">
        <f t="shared" si="11"/>
        <v>Dynamic</v>
      </c>
      <c r="F137" t="str">
        <f ca="1">IF(AND(ISNUMBER($F$643),$B$511=1),$F$643,HLOOKUP(INDIRECT(ADDRESS(2,COLUMN())),OFFSET($BN$2,0,0,ROW()-1,60),ROW()-1,FALSE))</f>
        <v/>
      </c>
      <c r="G137" t="str">
        <f ca="1">IF(AND(ISNUMBER($G$643),$B$511=1),$G$643,HLOOKUP(INDIRECT(ADDRESS(2,COLUMN())),OFFSET($BN$2,0,0,ROW()-1,60),ROW()-1,FALSE))</f>
        <v/>
      </c>
      <c r="H137" t="str">
        <f ca="1">IF(AND(ISNUMBER($H$643),$B$511=1),$H$643,HLOOKUP(INDIRECT(ADDRESS(2,COLUMN())),OFFSET($BN$2,0,0,ROW()-1,60),ROW()-1,FALSE))</f>
        <v/>
      </c>
      <c r="I137" t="str">
        <f ca="1">IF(AND(ISNUMBER($I$643),$B$511=1),$I$643,HLOOKUP(INDIRECT(ADDRESS(2,COLUMN())),OFFSET($BN$2,0,0,ROW()-1,60),ROW()-1,FALSE))</f>
        <v/>
      </c>
      <c r="J137" t="str">
        <f ca="1">IF(AND(ISNUMBER($J$643),$B$511=1),$J$643,HLOOKUP(INDIRECT(ADDRESS(2,COLUMN())),OFFSET($BN$2,0,0,ROW()-1,60),ROW()-1,FALSE))</f>
        <v/>
      </c>
      <c r="K137" t="str">
        <f ca="1">IF(AND(ISNUMBER($K$643),$B$511=1),$K$643,HLOOKUP(INDIRECT(ADDRESS(2,COLUMN())),OFFSET($BN$2,0,0,ROW()-1,60),ROW()-1,FALSE))</f>
        <v/>
      </c>
      <c r="L137" t="str">
        <f ca="1">IF(AND(ISNUMBER($L$643),$B$511=1),$L$643,HLOOKUP(INDIRECT(ADDRESS(2,COLUMN())),OFFSET($BN$2,0,0,ROW()-1,60),ROW()-1,FALSE))</f>
        <v/>
      </c>
      <c r="M137" t="str">
        <f ca="1">IF(AND(ISNUMBER($M$643),$B$511=1),$M$643,HLOOKUP(INDIRECT(ADDRESS(2,COLUMN())),OFFSET($BN$2,0,0,ROW()-1,60),ROW()-1,FALSE))</f>
        <v/>
      </c>
      <c r="N137" t="str">
        <f ca="1">IF(AND(ISNUMBER($N$643),$B$511=1),$N$643,HLOOKUP(INDIRECT(ADDRESS(2,COLUMN())),OFFSET($BN$2,0,0,ROW()-1,60),ROW()-1,FALSE))</f>
        <v/>
      </c>
      <c r="O137" t="str">
        <f ca="1">IF(AND(ISNUMBER($O$643),$B$511=1),$O$643,HLOOKUP(INDIRECT(ADDRESS(2,COLUMN())),OFFSET($BN$2,0,0,ROW()-1,60),ROW()-1,FALSE))</f>
        <v/>
      </c>
      <c r="P137" t="str">
        <f ca="1">IF(AND(ISNUMBER($P$643),$B$511=1),$P$643,HLOOKUP(INDIRECT(ADDRESS(2,COLUMN())),OFFSET($BN$2,0,0,ROW()-1,60),ROW()-1,FALSE))</f>
        <v/>
      </c>
      <c r="Q137" t="str">
        <f ca="1">IF(AND(ISNUMBER($Q$643),$B$511=1),$Q$643,HLOOKUP(INDIRECT(ADDRESS(2,COLUMN())),OFFSET($BN$2,0,0,ROW()-1,60),ROW()-1,FALSE))</f>
        <v/>
      </c>
      <c r="R137" t="str">
        <f ca="1">IF(AND(ISNUMBER($R$643),$B$511=1),$R$643,HLOOKUP(INDIRECT(ADDRESS(2,COLUMN())),OFFSET($BN$2,0,0,ROW()-1,60),ROW()-1,FALSE))</f>
        <v/>
      </c>
      <c r="S137" t="str">
        <f ca="1">IF(AND(ISNUMBER($S$643),$B$511=1),$S$643,HLOOKUP(INDIRECT(ADDRESS(2,COLUMN())),OFFSET($BN$2,0,0,ROW()-1,60),ROW()-1,FALSE))</f>
        <v/>
      </c>
      <c r="T137" t="str">
        <f ca="1">IF(AND(ISNUMBER($T$643),$B$511=1),$T$643,HLOOKUP(INDIRECT(ADDRESS(2,COLUMN())),OFFSET($BN$2,0,0,ROW()-1,60),ROW()-1,FALSE))</f>
        <v/>
      </c>
      <c r="U137" t="str">
        <f ca="1">IF(AND(ISNUMBER($U$643),$B$511=1),$U$643,HLOOKUP(INDIRECT(ADDRESS(2,COLUMN())),OFFSET($BN$2,0,0,ROW()-1,60),ROW()-1,FALSE))</f>
        <v/>
      </c>
      <c r="V137" t="str">
        <f ca="1">IF(AND(ISNUMBER($V$643),$B$511=1),$V$643,HLOOKUP(INDIRECT(ADDRESS(2,COLUMN())),OFFSET($BN$2,0,0,ROW()-1,60),ROW()-1,FALSE))</f>
        <v/>
      </c>
      <c r="W137" t="str">
        <f ca="1">IF(AND(ISNUMBER($W$643),$B$511=1),$W$643,HLOOKUP(INDIRECT(ADDRESS(2,COLUMN())),OFFSET($BN$2,0,0,ROW()-1,60),ROW()-1,FALSE))</f>
        <v/>
      </c>
      <c r="X137" t="str">
        <f ca="1">IF(AND(ISNUMBER($X$643),$B$511=1),$X$643,HLOOKUP(INDIRECT(ADDRESS(2,COLUMN())),OFFSET($BN$2,0,0,ROW()-1,60),ROW()-1,FALSE))</f>
        <v/>
      </c>
      <c r="Y137" t="str">
        <f ca="1">IF(AND(ISNUMBER($Y$643),$B$511=1),$Y$643,HLOOKUP(INDIRECT(ADDRESS(2,COLUMN())),OFFSET($BN$2,0,0,ROW()-1,60),ROW()-1,FALSE))</f>
        <v/>
      </c>
      <c r="Z137" t="str">
        <f ca="1">IF(AND(ISNUMBER($Z$643),$B$511=1),$Z$643,HLOOKUP(INDIRECT(ADDRESS(2,COLUMN())),OFFSET($BN$2,0,0,ROW()-1,60),ROW()-1,FALSE))</f>
        <v/>
      </c>
      <c r="AA137" t="str">
        <f ca="1">IF(AND(ISNUMBER($AA$643),$B$511=1),$AA$643,HLOOKUP(INDIRECT(ADDRESS(2,COLUMN())),OFFSET($BN$2,0,0,ROW()-1,60),ROW()-1,FALSE))</f>
        <v/>
      </c>
      <c r="AB137" t="str">
        <f ca="1">IF(AND(ISNUMBER($AB$643),$B$511=1),$AB$643,HLOOKUP(INDIRECT(ADDRESS(2,COLUMN())),OFFSET($BN$2,0,0,ROW()-1,60),ROW()-1,FALSE))</f>
        <v/>
      </c>
      <c r="AC137" t="str">
        <f ca="1">IF(AND(ISNUMBER($AC$643),$B$511=1),$AC$643,HLOOKUP(INDIRECT(ADDRESS(2,COLUMN())),OFFSET($BN$2,0,0,ROW()-1,60),ROW()-1,FALSE))</f>
        <v/>
      </c>
      <c r="AD137" t="str">
        <f ca="1">IF(AND(ISNUMBER($AD$643),$B$511=1),$AD$643,HLOOKUP(INDIRECT(ADDRESS(2,COLUMN())),OFFSET($BN$2,0,0,ROW()-1,60),ROW()-1,FALSE))</f>
        <v/>
      </c>
      <c r="AE137" t="str">
        <f ca="1">IF(AND(ISNUMBER($AE$643),$B$511=1),$AE$643,HLOOKUP(INDIRECT(ADDRESS(2,COLUMN())),OFFSET($BN$2,0,0,ROW()-1,60),ROW()-1,FALSE))</f>
        <v/>
      </c>
      <c r="AF137" t="str">
        <f ca="1">IF(AND(ISNUMBER($AF$643),$B$511=1),$AF$643,HLOOKUP(INDIRECT(ADDRESS(2,COLUMN())),OFFSET($BN$2,0,0,ROW()-1,60),ROW()-1,FALSE))</f>
        <v/>
      </c>
      <c r="AG137" t="str">
        <f ca="1">IF(AND(ISNUMBER($AG$643),$B$511=1),$AG$643,HLOOKUP(INDIRECT(ADDRESS(2,COLUMN())),OFFSET($BN$2,0,0,ROW()-1,60),ROW()-1,FALSE))</f>
        <v/>
      </c>
      <c r="AH137" t="str">
        <f ca="1">IF(AND(ISNUMBER($AH$643),$B$511=1),$AH$643,HLOOKUP(INDIRECT(ADDRESS(2,COLUMN())),OFFSET($BN$2,0,0,ROW()-1,60),ROW()-1,FALSE))</f>
        <v/>
      </c>
      <c r="AI137" t="str">
        <f ca="1">IF(AND(ISNUMBER($AI$643),$B$511=1),$AI$643,HLOOKUP(INDIRECT(ADDRESS(2,COLUMN())),OFFSET($BN$2,0,0,ROW()-1,60),ROW()-1,FALSE))</f>
        <v/>
      </c>
      <c r="AJ137" t="str">
        <f ca="1">IF(AND(ISNUMBER($AJ$643),$B$511=1),$AJ$643,HLOOKUP(INDIRECT(ADDRESS(2,COLUMN())),OFFSET($BN$2,0,0,ROW()-1,60),ROW()-1,FALSE))</f>
        <v/>
      </c>
      <c r="AK137" t="str">
        <f ca="1">IF(AND(ISNUMBER($AK$643),$B$511=1),$AK$643,HLOOKUP(INDIRECT(ADDRESS(2,COLUMN())),OFFSET($BN$2,0,0,ROW()-1,60),ROW()-1,FALSE))</f>
        <v/>
      </c>
      <c r="AL137" t="str">
        <f ca="1">IF(AND(ISNUMBER($AL$643),$B$511=1),$AL$643,HLOOKUP(INDIRECT(ADDRESS(2,COLUMN())),OFFSET($BN$2,0,0,ROW()-1,60),ROW()-1,FALSE))</f>
        <v/>
      </c>
      <c r="AM137" t="str">
        <f ca="1">IF(AND(ISNUMBER($AM$643),$B$511=1),$AM$643,HLOOKUP(INDIRECT(ADDRESS(2,COLUMN())),OFFSET($BN$2,0,0,ROW()-1,60),ROW()-1,FALSE))</f>
        <v/>
      </c>
      <c r="AN137" t="str">
        <f ca="1">IF(AND(ISNUMBER($AN$643),$B$511=1),$AN$643,HLOOKUP(INDIRECT(ADDRESS(2,COLUMN())),OFFSET($BN$2,0,0,ROW()-1,60),ROW()-1,FALSE))</f>
        <v/>
      </c>
      <c r="AO137" t="str">
        <f ca="1">IF(AND(ISNUMBER($AO$643),$B$511=1),$AO$643,HLOOKUP(INDIRECT(ADDRESS(2,COLUMN())),OFFSET($BN$2,0,0,ROW()-1,60),ROW()-1,FALSE))</f>
        <v/>
      </c>
      <c r="AP137" t="str">
        <f ca="1">IF(AND(ISNUMBER($AP$643),$B$511=1),$AP$643,HLOOKUP(INDIRECT(ADDRESS(2,COLUMN())),OFFSET($BN$2,0,0,ROW()-1,60),ROW()-1,FALSE))</f>
        <v/>
      </c>
      <c r="AQ137" t="str">
        <f ca="1">IF(AND(ISNUMBER($AQ$643),$B$511=1),$AQ$643,HLOOKUP(INDIRECT(ADDRESS(2,COLUMN())),OFFSET($BN$2,0,0,ROW()-1,60),ROW()-1,FALSE))</f>
        <v/>
      </c>
      <c r="AR137" t="str">
        <f ca="1">IF(AND(ISNUMBER($AR$643),$B$511=1),$AR$643,HLOOKUP(INDIRECT(ADDRESS(2,COLUMN())),OFFSET($BN$2,0,0,ROW()-1,60),ROW()-1,FALSE))</f>
        <v/>
      </c>
      <c r="AS137" t="str">
        <f ca="1">IF(AND(ISNUMBER($AS$643),$B$511=1),$AS$643,HLOOKUP(INDIRECT(ADDRESS(2,COLUMN())),OFFSET($BN$2,0,0,ROW()-1,60),ROW()-1,FALSE))</f>
        <v/>
      </c>
      <c r="AT137" t="str">
        <f ca="1">IF(AND(ISNUMBER($AT$643),$B$511=1),$AT$643,HLOOKUP(INDIRECT(ADDRESS(2,COLUMN())),OFFSET($BN$2,0,0,ROW()-1,60),ROW()-1,FALSE))</f>
        <v/>
      </c>
      <c r="AU137" t="str">
        <f ca="1">IF(AND(ISNUMBER($AU$643),$B$511=1),$AU$643,HLOOKUP(INDIRECT(ADDRESS(2,COLUMN())),OFFSET($BN$2,0,0,ROW()-1,60),ROW()-1,FALSE))</f>
        <v/>
      </c>
      <c r="AV137" t="str">
        <f ca="1">IF(AND(ISNUMBER($AV$643),$B$511=1),$AV$643,HLOOKUP(INDIRECT(ADDRESS(2,COLUMN())),OFFSET($BN$2,0,0,ROW()-1,60),ROW()-1,FALSE))</f>
        <v/>
      </c>
      <c r="AW137" t="str">
        <f ca="1">IF(AND(ISNUMBER($AW$643),$B$511=1),$AW$643,HLOOKUP(INDIRECT(ADDRESS(2,COLUMN())),OFFSET($BN$2,0,0,ROW()-1,60),ROW()-1,FALSE))</f>
        <v/>
      </c>
      <c r="AX137" t="str">
        <f ca="1">IF(AND(ISNUMBER($AX$643),$B$511=1),$AX$643,HLOOKUP(INDIRECT(ADDRESS(2,COLUMN())),OFFSET($BN$2,0,0,ROW()-1,60),ROW()-1,FALSE))</f>
        <v/>
      </c>
      <c r="AY137" t="str">
        <f ca="1">IF(AND(ISNUMBER($AY$643),$B$511=1),$AY$643,HLOOKUP(INDIRECT(ADDRESS(2,COLUMN())),OFFSET($BN$2,0,0,ROW()-1,60),ROW()-1,FALSE))</f>
        <v/>
      </c>
      <c r="AZ137">
        <f ca="1">IF(AND(ISNUMBER($AZ$643),$B$511=1),$AZ$643,HLOOKUP(INDIRECT(ADDRESS(2,COLUMN())),OFFSET($BN$2,0,0,ROW()-1,60),ROW()-1,FALSE))</f>
        <v>136.67440289999999</v>
      </c>
      <c r="BA137">
        <f ca="1">IF(AND(ISNUMBER($BA$643),$B$511=1),$BA$643,HLOOKUP(INDIRECT(ADDRESS(2,COLUMN())),OFFSET($BN$2,0,0,ROW()-1,60),ROW()-1,FALSE))</f>
        <v>91.861727459999997</v>
      </c>
      <c r="BB137">
        <f ca="1">IF(AND(ISNUMBER($BB$643),$B$511=1),$BB$643,HLOOKUP(INDIRECT(ADDRESS(2,COLUMN())),OFFSET($BN$2,0,0,ROW()-1,60),ROW()-1,FALSE))</f>
        <v>82.580826700000003</v>
      </c>
      <c r="BC137">
        <f ca="1">IF(AND(ISNUMBER($BC$643),$B$511=1),$BC$643,HLOOKUP(INDIRECT(ADDRESS(2,COLUMN())),OFFSET($BN$2,0,0,ROW()-1,60),ROW()-1,FALSE))</f>
        <v>83.221600670000001</v>
      </c>
      <c r="BD137">
        <f ca="1">IF(AND(ISNUMBER($BD$643),$B$511=1),$BD$643,HLOOKUP(INDIRECT(ADDRESS(2,COLUMN())),OFFSET($BN$2,0,0,ROW()-1,60),ROW()-1,FALSE))</f>
        <v>97.27983553</v>
      </c>
      <c r="BE137">
        <f ca="1">IF(AND(ISNUMBER($BE$643),$B$511=1),$BE$643,HLOOKUP(INDIRECT(ADDRESS(2,COLUMN())),OFFSET($BN$2,0,0,ROW()-1,60),ROW()-1,FALSE))</f>
        <v>102.08323900000001</v>
      </c>
      <c r="BF137">
        <f ca="1">IF(AND(ISNUMBER($BF$643),$B$511=1),$BF$643,HLOOKUP(INDIRECT(ADDRESS(2,COLUMN())),OFFSET($BN$2,0,0,ROW()-1,60),ROW()-1,FALSE))</f>
        <v>106.7916189</v>
      </c>
      <c r="BG137">
        <f ca="1">IF(AND(ISNUMBER($BG$643),$B$511=1),$BG$643,HLOOKUP(INDIRECT(ADDRESS(2,COLUMN())),OFFSET($BN$2,0,0,ROW()-1,60),ROW()-1,FALSE))</f>
        <v>96.656528449999996</v>
      </c>
      <c r="BH137">
        <f ca="1">IF(AND(ISNUMBER($BH$643),$B$511=1),$BH$643,HLOOKUP(INDIRECT(ADDRESS(2,COLUMN())),OFFSET($BN$2,0,0,ROW()-1,60),ROW()-1,FALSE))</f>
        <v>72.810486190000006</v>
      </c>
      <c r="BI137">
        <f ca="1">IF(AND(ISNUMBER($BI$643),$B$511=1),$BI$643,HLOOKUP(INDIRECT(ADDRESS(2,COLUMN())),OFFSET($BN$2,0,0,ROW()-1,60),ROW()-1,FALSE))</f>
        <v>67.331912160000002</v>
      </c>
      <c r="BJ137">
        <f ca="1">IF(AND(ISNUMBER($BJ$643),$B$511=1),$BJ$643,HLOOKUP(INDIRECT(ADDRESS(2,COLUMN())),OFFSET($BN$2,0,0,ROW()-1,60),ROW()-1,FALSE))</f>
        <v>73.637845279999993</v>
      </c>
      <c r="BK137">
        <f ca="1">IF(AND(ISNUMBER($BK$643),$B$511=1),$BK$643,HLOOKUP(INDIRECT(ADDRESS(2,COLUMN())),OFFSET($BN$2,0,0,ROW()-1,60),ROW()-1,FALSE))</f>
        <v>97.223183070000005</v>
      </c>
      <c r="BL137">
        <f ca="1">IF(AND(ISNUMBER($BL$643),$B$511=1),$BL$643,HLOOKUP(INDIRECT(ADDRESS(2,COLUMN())),OFFSET($BN$2,0,0,ROW()-1,60),ROW()-1,FALSE))</f>
        <v>122.30891149999999</v>
      </c>
      <c r="BM137">
        <f ca="1">IF(AND(ISNUMBER($BM$643),$B$511=1),$BM$643,HLOOKUP(INDIRECT(ADDRESS(2,COLUMN())),OFFSET($BN$2,0,0,ROW()-1,60),ROW()-1,FALSE))</f>
        <v>139.69399659999999</v>
      </c>
      <c r="BN137" t="str">
        <f>""</f>
        <v/>
      </c>
      <c r="BO137" t="str">
        <f>""</f>
        <v/>
      </c>
      <c r="BP137" t="str">
        <f>""</f>
        <v/>
      </c>
      <c r="BQ137" t="str">
        <f>""</f>
        <v/>
      </c>
      <c r="BR137" t="str">
        <f>""</f>
        <v/>
      </c>
      <c r="BS137" t="str">
        <f>""</f>
        <v/>
      </c>
      <c r="BT137" t="str">
        <f>""</f>
        <v/>
      </c>
      <c r="BU137" t="str">
        <f>""</f>
        <v/>
      </c>
      <c r="BV137" t="str">
        <f>""</f>
        <v/>
      </c>
      <c r="BW137" t="str">
        <f>""</f>
        <v/>
      </c>
      <c r="BX137" t="str">
        <f>""</f>
        <v/>
      </c>
      <c r="BY137" t="str">
        <f>""</f>
        <v/>
      </c>
      <c r="BZ137" t="str">
        <f>""</f>
        <v/>
      </c>
      <c r="CA137" t="str">
        <f>""</f>
        <v/>
      </c>
      <c r="CB137" t="str">
        <f>""</f>
        <v/>
      </c>
      <c r="CC137" t="str">
        <f>""</f>
        <v/>
      </c>
      <c r="CD137" t="str">
        <f>""</f>
        <v/>
      </c>
      <c r="CE137" t="str">
        <f>""</f>
        <v/>
      </c>
      <c r="CF137" t="str">
        <f>""</f>
        <v/>
      </c>
      <c r="CG137" t="str">
        <f>""</f>
        <v/>
      </c>
      <c r="CH137" t="str">
        <f>""</f>
        <v/>
      </c>
      <c r="CI137" t="str">
        <f>""</f>
        <v/>
      </c>
      <c r="CJ137" t="str">
        <f>""</f>
        <v/>
      </c>
      <c r="CK137" t="str">
        <f>""</f>
        <v/>
      </c>
      <c r="CL137" t="str">
        <f>""</f>
        <v/>
      </c>
      <c r="CM137" t="str">
        <f>""</f>
        <v/>
      </c>
      <c r="CN137" t="str">
        <f>""</f>
        <v/>
      </c>
      <c r="CO137" t="str">
        <f>""</f>
        <v/>
      </c>
      <c r="CP137" t="str">
        <f>""</f>
        <v/>
      </c>
      <c r="CQ137" t="str">
        <f>""</f>
        <v/>
      </c>
      <c r="CR137" t="str">
        <f>""</f>
        <v/>
      </c>
      <c r="CS137" t="str">
        <f>""</f>
        <v/>
      </c>
      <c r="CT137" t="str">
        <f>""</f>
        <v/>
      </c>
      <c r="CU137" t="str">
        <f>""</f>
        <v/>
      </c>
      <c r="CV137" t="str">
        <f>""</f>
        <v/>
      </c>
      <c r="CW137" t="str">
        <f>""</f>
        <v/>
      </c>
      <c r="CX137" t="str">
        <f>""</f>
        <v/>
      </c>
      <c r="CY137" t="str">
        <f>""</f>
        <v/>
      </c>
      <c r="CZ137" t="str">
        <f>""</f>
        <v/>
      </c>
      <c r="DA137" t="str">
        <f>""</f>
        <v/>
      </c>
      <c r="DB137" t="str">
        <f>""</f>
        <v/>
      </c>
      <c r="DC137" t="str">
        <f>""</f>
        <v/>
      </c>
      <c r="DD137" t="str">
        <f>""</f>
        <v/>
      </c>
      <c r="DE137" t="str">
        <f>""</f>
        <v/>
      </c>
      <c r="DF137" t="str">
        <f>""</f>
        <v/>
      </c>
      <c r="DG137" t="str">
        <f>""</f>
        <v/>
      </c>
      <c r="DH137">
        <f>136.6744029</f>
        <v>136.67440289999999</v>
      </c>
      <c r="DI137">
        <f>91.86172746</f>
        <v>91.861727459999997</v>
      </c>
      <c r="DJ137">
        <f>82.5808267</f>
        <v>82.580826700000003</v>
      </c>
      <c r="DK137">
        <f>83.22160067</f>
        <v>83.221600670000001</v>
      </c>
      <c r="DL137">
        <f>97.27983553</f>
        <v>97.27983553</v>
      </c>
      <c r="DM137">
        <f>102.083239</f>
        <v>102.08323900000001</v>
      </c>
      <c r="DN137">
        <f>106.7916189</f>
        <v>106.7916189</v>
      </c>
      <c r="DO137">
        <f>96.65652845</f>
        <v>96.656528449999996</v>
      </c>
      <c r="DP137">
        <f>72.81048619</f>
        <v>72.810486190000006</v>
      </c>
      <c r="DQ137">
        <f>67.33191216</f>
        <v>67.331912160000002</v>
      </c>
      <c r="DR137">
        <f>73.63784528</f>
        <v>73.637845279999993</v>
      </c>
      <c r="DS137">
        <f>97.22318307</f>
        <v>97.223183070000005</v>
      </c>
      <c r="DT137">
        <f>122.3089115</f>
        <v>122.30891149999999</v>
      </c>
      <c r="DU137">
        <f>139.6939966</f>
        <v>139.69399659999999</v>
      </c>
    </row>
    <row r="138" spans="1:125" x14ac:dyDescent="0.25">
      <c r="A138" t="str">
        <f>"    Fiat Chrysler Automobiles NV"</f>
        <v xml:space="preserve">    Fiat Chrysler Automobiles NV</v>
      </c>
      <c r="B138" t="str">
        <f>"FCAU US Equity"</f>
        <v>FCAU US Equity</v>
      </c>
      <c r="C138" t="str">
        <f t="shared" si="9"/>
        <v>RR841</v>
      </c>
      <c r="D138" t="str">
        <f t="shared" si="10"/>
        <v>TRAIL_12M_EBITDA</v>
      </c>
      <c r="E138" t="str">
        <f t="shared" si="11"/>
        <v>Dynamic</v>
      </c>
      <c r="F138" t="str">
        <f ca="1">IF(AND(ISNUMBER($F$644),$B$511=1),$F$644,HLOOKUP(INDIRECT(ADDRESS(2,COLUMN())),OFFSET($BN$2,0,0,ROW()-1,60),ROW()-1,FALSE))</f>
        <v/>
      </c>
      <c r="G138">
        <f ca="1">IF(AND(ISNUMBER($G$644),$B$511=1),$G$644,HLOOKUP(INDIRECT(ADDRESS(2,COLUMN())),OFFSET($BN$2,0,0,ROW()-1,60),ROW()-1,FALSE))</f>
        <v>12603.77743</v>
      </c>
      <c r="H138">
        <f ca="1">IF(AND(ISNUMBER($H$644),$B$511=1),$H$644,HLOOKUP(INDIRECT(ADDRESS(2,COLUMN())),OFFSET($BN$2,0,0,ROW()-1,60),ROW()-1,FALSE))</f>
        <v>12831.761469999999</v>
      </c>
      <c r="I138">
        <f ca="1">IF(AND(ISNUMBER($I$644),$B$511=1),$I$644,HLOOKUP(INDIRECT(ADDRESS(2,COLUMN())),OFFSET($BN$2,0,0,ROW()-1,60),ROW()-1,FALSE))</f>
        <v>13496.77607</v>
      </c>
      <c r="J138">
        <f ca="1">IF(AND(ISNUMBER($J$644),$B$511=1),$J$644,HLOOKUP(INDIRECT(ADDRESS(2,COLUMN())),OFFSET($BN$2,0,0,ROW()-1,60),ROW()-1,FALSE))</f>
        <v>14708.25294</v>
      </c>
      <c r="K138">
        <f ca="1">IF(AND(ISNUMBER($K$644),$B$511=1),$K$644,HLOOKUP(INDIRECT(ADDRESS(2,COLUMN())),OFFSET($BN$2,0,0,ROW()-1,60),ROW()-1,FALSE))</f>
        <v>14198.337149999999</v>
      </c>
      <c r="L138">
        <f ca="1">IF(AND(ISNUMBER($L$644),$B$511=1),$L$644,HLOOKUP(INDIRECT(ADDRESS(2,COLUMN())),OFFSET($BN$2,0,0,ROW()-1,60),ROW()-1,FALSE))</f>
        <v>14263.81979</v>
      </c>
      <c r="M138">
        <f ca="1">IF(AND(ISNUMBER($M$644),$B$511=1),$M$644,HLOOKUP(INDIRECT(ADDRESS(2,COLUMN())),OFFSET($BN$2,0,0,ROW()-1,60),ROW()-1,FALSE))</f>
        <v>14215.08308</v>
      </c>
      <c r="N138">
        <f ca="1">IF(AND(ISNUMBER($N$644),$B$511=1),$N$644,HLOOKUP(INDIRECT(ADDRESS(2,COLUMN())),OFFSET($BN$2,0,0,ROW()-1,60),ROW()-1,FALSE))</f>
        <v>12573.965749999999</v>
      </c>
      <c r="O138">
        <f ca="1">IF(AND(ISNUMBER($O$644),$B$511=1),$O$644,HLOOKUP(INDIRECT(ADDRESS(2,COLUMN())),OFFSET($BN$2,0,0,ROW()-1,60),ROW()-1,FALSE))</f>
        <v>12261.4481</v>
      </c>
      <c r="P138">
        <f ca="1">IF(AND(ISNUMBER($P$644),$B$511=1),$P$644,HLOOKUP(INDIRECT(ADDRESS(2,COLUMN())),OFFSET($BN$2,0,0,ROW()-1,60),ROW()-1,FALSE))</f>
        <v>11133.809289999999</v>
      </c>
      <c r="Q138">
        <f ca="1">IF(AND(ISNUMBER($Q$644),$B$511=1),$Q$644,HLOOKUP(INDIRECT(ADDRESS(2,COLUMN())),OFFSET($BN$2,0,0,ROW()-1,60),ROW()-1,FALSE))</f>
        <v>9722.3464129999993</v>
      </c>
      <c r="R138">
        <f ca="1">IF(AND(ISNUMBER($R$644),$B$511=1),$R$644,HLOOKUP(INDIRECT(ADDRESS(2,COLUMN())),OFFSET($BN$2,0,0,ROW()-1,60),ROW()-1,FALSE))</f>
        <v>9640.9621719999996</v>
      </c>
      <c r="S138">
        <f ca="1">IF(AND(ISNUMBER($S$644),$B$511=1),$S$644,HLOOKUP(INDIRECT(ADDRESS(2,COLUMN())),OFFSET($BN$2,0,0,ROW()-1,60),ROW()-1,FALSE))</f>
        <v>8923.2950820000005</v>
      </c>
      <c r="T138">
        <f ca="1">IF(AND(ISNUMBER($T$644),$B$511=1),$T$644,HLOOKUP(INDIRECT(ADDRESS(2,COLUMN())),OFFSET($BN$2,0,0,ROW()-1,60),ROW()-1,FALSE))</f>
        <v>9044.769961</v>
      </c>
      <c r="U138">
        <f ca="1">IF(AND(ISNUMBER($U$644),$B$511=1),$U$644,HLOOKUP(INDIRECT(ADDRESS(2,COLUMN())),OFFSET($BN$2,0,0,ROW()-1,60),ROW()-1,FALSE))</f>
        <v>10180.31662</v>
      </c>
      <c r="V138">
        <f ca="1">IF(AND(ISNUMBER($V$644),$B$511=1),$V$644,HLOOKUP(INDIRECT(ADDRESS(2,COLUMN())),OFFSET($BN$2,0,0,ROW()-1,60),ROW()-1,FALSE))</f>
        <v>10195.07107</v>
      </c>
      <c r="W138">
        <f ca="1">IF(AND(ISNUMBER($W$644),$B$511=1),$W$644,HLOOKUP(INDIRECT(ADDRESS(2,COLUMN())),OFFSET($BN$2,0,0,ROW()-1,60),ROW()-1,FALSE))</f>
        <v>9885.2628719999993</v>
      </c>
      <c r="X138" t="str">
        <f ca="1">IF(AND(ISNUMBER($X$644),$B$511=1),$X$644,HLOOKUP(INDIRECT(ADDRESS(2,COLUMN())),OFFSET($BN$2,0,0,ROW()-1,60),ROW()-1,FALSE))</f>
        <v/>
      </c>
      <c r="Y138" t="str">
        <f ca="1">IF(AND(ISNUMBER($Y$644),$B$511=1),$Y$644,HLOOKUP(INDIRECT(ADDRESS(2,COLUMN())),OFFSET($BN$2,0,0,ROW()-1,60),ROW()-1,FALSE))</f>
        <v/>
      </c>
      <c r="Z138" t="str">
        <f ca="1">IF(AND(ISNUMBER($Z$644),$B$511=1),$Z$644,HLOOKUP(INDIRECT(ADDRESS(2,COLUMN())),OFFSET($BN$2,0,0,ROW()-1,60),ROW()-1,FALSE))</f>
        <v/>
      </c>
      <c r="AA138" t="str">
        <f ca="1">IF(AND(ISNUMBER($AA$644),$B$511=1),$AA$644,HLOOKUP(INDIRECT(ADDRESS(2,COLUMN())),OFFSET($BN$2,0,0,ROW()-1,60),ROW()-1,FALSE))</f>
        <v/>
      </c>
      <c r="AB138" t="str">
        <f ca="1">IF(AND(ISNUMBER($AB$644),$B$511=1),$AB$644,HLOOKUP(INDIRECT(ADDRESS(2,COLUMN())),OFFSET($BN$2,0,0,ROW()-1,60),ROW()-1,FALSE))</f>
        <v/>
      </c>
      <c r="AC138" t="str">
        <f ca="1">IF(AND(ISNUMBER($AC$644),$B$511=1),$AC$644,HLOOKUP(INDIRECT(ADDRESS(2,COLUMN())),OFFSET($BN$2,0,0,ROW()-1,60),ROW()-1,FALSE))</f>
        <v/>
      </c>
      <c r="AD138" t="str">
        <f ca="1">IF(AND(ISNUMBER($AD$644),$B$511=1),$AD$644,HLOOKUP(INDIRECT(ADDRESS(2,COLUMN())),OFFSET($BN$2,0,0,ROW()-1,60),ROW()-1,FALSE))</f>
        <v/>
      </c>
      <c r="AE138" t="str">
        <f ca="1">IF(AND(ISNUMBER($AE$644),$B$511=1),$AE$644,HLOOKUP(INDIRECT(ADDRESS(2,COLUMN())),OFFSET($BN$2,0,0,ROW()-1,60),ROW()-1,FALSE))</f>
        <v/>
      </c>
      <c r="AF138" t="str">
        <f ca="1">IF(AND(ISNUMBER($AF$644),$B$511=1),$AF$644,HLOOKUP(INDIRECT(ADDRESS(2,COLUMN())),OFFSET($BN$2,0,0,ROW()-1,60),ROW()-1,FALSE))</f>
        <v/>
      </c>
      <c r="AG138" t="str">
        <f ca="1">IF(AND(ISNUMBER($AG$644),$B$511=1),$AG$644,HLOOKUP(INDIRECT(ADDRESS(2,COLUMN())),OFFSET($BN$2,0,0,ROW()-1,60),ROW()-1,FALSE))</f>
        <v/>
      </c>
      <c r="AH138" t="str">
        <f ca="1">IF(AND(ISNUMBER($AH$644),$B$511=1),$AH$644,HLOOKUP(INDIRECT(ADDRESS(2,COLUMN())),OFFSET($BN$2,0,0,ROW()-1,60),ROW()-1,FALSE))</f>
        <v/>
      </c>
      <c r="AI138" t="str">
        <f ca="1">IF(AND(ISNUMBER($AI$644),$B$511=1),$AI$644,HLOOKUP(INDIRECT(ADDRESS(2,COLUMN())),OFFSET($BN$2,0,0,ROW()-1,60),ROW()-1,FALSE))</f>
        <v/>
      </c>
      <c r="AJ138" t="str">
        <f ca="1">IF(AND(ISNUMBER($AJ$644),$B$511=1),$AJ$644,HLOOKUP(INDIRECT(ADDRESS(2,COLUMN())),OFFSET($BN$2,0,0,ROW()-1,60),ROW()-1,FALSE))</f>
        <v/>
      </c>
      <c r="AK138" t="str">
        <f ca="1">IF(AND(ISNUMBER($AK$644),$B$511=1),$AK$644,HLOOKUP(INDIRECT(ADDRESS(2,COLUMN())),OFFSET($BN$2,0,0,ROW()-1,60),ROW()-1,FALSE))</f>
        <v/>
      </c>
      <c r="AL138" t="str">
        <f ca="1">IF(AND(ISNUMBER($AL$644),$B$511=1),$AL$644,HLOOKUP(INDIRECT(ADDRESS(2,COLUMN())),OFFSET($BN$2,0,0,ROW()-1,60),ROW()-1,FALSE))</f>
        <v/>
      </c>
      <c r="AM138" t="str">
        <f ca="1">IF(AND(ISNUMBER($AM$644),$B$511=1),$AM$644,HLOOKUP(INDIRECT(ADDRESS(2,COLUMN())),OFFSET($BN$2,0,0,ROW()-1,60),ROW()-1,FALSE))</f>
        <v/>
      </c>
      <c r="AN138" t="str">
        <f ca="1">IF(AND(ISNUMBER($AN$644),$B$511=1),$AN$644,HLOOKUP(INDIRECT(ADDRESS(2,COLUMN())),OFFSET($BN$2,0,0,ROW()-1,60),ROW()-1,FALSE))</f>
        <v/>
      </c>
      <c r="AO138" t="str">
        <f ca="1">IF(AND(ISNUMBER($AO$644),$B$511=1),$AO$644,HLOOKUP(INDIRECT(ADDRESS(2,COLUMN())),OFFSET($BN$2,0,0,ROW()-1,60),ROW()-1,FALSE))</f>
        <v/>
      </c>
      <c r="AP138" t="str">
        <f ca="1">IF(AND(ISNUMBER($AP$644),$B$511=1),$AP$644,HLOOKUP(INDIRECT(ADDRESS(2,COLUMN())),OFFSET($BN$2,0,0,ROW()-1,60),ROW()-1,FALSE))</f>
        <v/>
      </c>
      <c r="AQ138" t="str">
        <f ca="1">IF(AND(ISNUMBER($AQ$644),$B$511=1),$AQ$644,HLOOKUP(INDIRECT(ADDRESS(2,COLUMN())),OFFSET($BN$2,0,0,ROW()-1,60),ROW()-1,FALSE))</f>
        <v/>
      </c>
      <c r="AR138" t="str">
        <f ca="1">IF(AND(ISNUMBER($AR$644),$B$511=1),$AR$644,HLOOKUP(INDIRECT(ADDRESS(2,COLUMN())),OFFSET($BN$2,0,0,ROW()-1,60),ROW()-1,FALSE))</f>
        <v/>
      </c>
      <c r="AS138" t="str">
        <f ca="1">IF(AND(ISNUMBER($AS$644),$B$511=1),$AS$644,HLOOKUP(INDIRECT(ADDRESS(2,COLUMN())),OFFSET($BN$2,0,0,ROW()-1,60),ROW()-1,FALSE))</f>
        <v/>
      </c>
      <c r="AT138" t="str">
        <f ca="1">IF(AND(ISNUMBER($AT$644),$B$511=1),$AT$644,HLOOKUP(INDIRECT(ADDRESS(2,COLUMN())),OFFSET($BN$2,0,0,ROW()-1,60),ROW()-1,FALSE))</f>
        <v/>
      </c>
      <c r="AU138" t="str">
        <f ca="1">IF(AND(ISNUMBER($AU$644),$B$511=1),$AU$644,HLOOKUP(INDIRECT(ADDRESS(2,COLUMN())),OFFSET($BN$2,0,0,ROW()-1,60),ROW()-1,FALSE))</f>
        <v/>
      </c>
      <c r="AV138" t="str">
        <f ca="1">IF(AND(ISNUMBER($AV$644),$B$511=1),$AV$644,HLOOKUP(INDIRECT(ADDRESS(2,COLUMN())),OFFSET($BN$2,0,0,ROW()-1,60),ROW()-1,FALSE))</f>
        <v/>
      </c>
      <c r="AW138" t="str">
        <f ca="1">IF(AND(ISNUMBER($AW$644),$B$511=1),$AW$644,HLOOKUP(INDIRECT(ADDRESS(2,COLUMN())),OFFSET($BN$2,0,0,ROW()-1,60),ROW()-1,FALSE))</f>
        <v/>
      </c>
      <c r="AX138" t="str">
        <f ca="1">IF(AND(ISNUMBER($AX$644),$B$511=1),$AX$644,HLOOKUP(INDIRECT(ADDRESS(2,COLUMN())),OFFSET($BN$2,0,0,ROW()-1,60),ROW()-1,FALSE))</f>
        <v/>
      </c>
      <c r="AY138" t="str">
        <f ca="1">IF(AND(ISNUMBER($AY$644),$B$511=1),$AY$644,HLOOKUP(INDIRECT(ADDRESS(2,COLUMN())),OFFSET($BN$2,0,0,ROW()-1,60),ROW()-1,FALSE))</f>
        <v/>
      </c>
      <c r="AZ138" t="str">
        <f ca="1">IF(AND(ISNUMBER($AZ$644),$B$511=1),$AZ$644,HLOOKUP(INDIRECT(ADDRESS(2,COLUMN())),OFFSET($BN$2,0,0,ROW()-1,60),ROW()-1,FALSE))</f>
        <v/>
      </c>
      <c r="BA138" t="str">
        <f ca="1">IF(AND(ISNUMBER($BA$644),$B$511=1),$BA$644,HLOOKUP(INDIRECT(ADDRESS(2,COLUMN())),OFFSET($BN$2,0,0,ROW()-1,60),ROW()-1,FALSE))</f>
        <v/>
      </c>
      <c r="BB138" t="str">
        <f ca="1">IF(AND(ISNUMBER($BB$644),$B$511=1),$BB$644,HLOOKUP(INDIRECT(ADDRESS(2,COLUMN())),OFFSET($BN$2,0,0,ROW()-1,60),ROW()-1,FALSE))</f>
        <v/>
      </c>
      <c r="BC138" t="str">
        <f ca="1">IF(AND(ISNUMBER($BC$644),$B$511=1),$BC$644,HLOOKUP(INDIRECT(ADDRESS(2,COLUMN())),OFFSET($BN$2,0,0,ROW()-1,60),ROW()-1,FALSE))</f>
        <v/>
      </c>
      <c r="BD138" t="str">
        <f ca="1">IF(AND(ISNUMBER($BD$644),$B$511=1),$BD$644,HLOOKUP(INDIRECT(ADDRESS(2,COLUMN())),OFFSET($BN$2,0,0,ROW()-1,60),ROW()-1,FALSE))</f>
        <v/>
      </c>
      <c r="BE138" t="str">
        <f ca="1">IF(AND(ISNUMBER($BE$644),$B$511=1),$BE$644,HLOOKUP(INDIRECT(ADDRESS(2,COLUMN())),OFFSET($BN$2,0,0,ROW()-1,60),ROW()-1,FALSE))</f>
        <v/>
      </c>
      <c r="BF138" t="str">
        <f ca="1">IF(AND(ISNUMBER($BF$644),$B$511=1),$BF$644,HLOOKUP(INDIRECT(ADDRESS(2,COLUMN())),OFFSET($BN$2,0,0,ROW()-1,60),ROW()-1,FALSE))</f>
        <v/>
      </c>
      <c r="BG138" t="str">
        <f ca="1">IF(AND(ISNUMBER($BG$644),$B$511=1),$BG$644,HLOOKUP(INDIRECT(ADDRESS(2,COLUMN())),OFFSET($BN$2,0,0,ROW()-1,60),ROW()-1,FALSE))</f>
        <v/>
      </c>
      <c r="BH138" t="str">
        <f ca="1">IF(AND(ISNUMBER($BH$644),$B$511=1),$BH$644,HLOOKUP(INDIRECT(ADDRESS(2,COLUMN())),OFFSET($BN$2,0,0,ROW()-1,60),ROW()-1,FALSE))</f>
        <v/>
      </c>
      <c r="BI138" t="str">
        <f ca="1">IF(AND(ISNUMBER($BI$644),$B$511=1),$BI$644,HLOOKUP(INDIRECT(ADDRESS(2,COLUMN())),OFFSET($BN$2,0,0,ROW()-1,60),ROW()-1,FALSE))</f>
        <v/>
      </c>
      <c r="BJ138" t="str">
        <f ca="1">IF(AND(ISNUMBER($BJ$644),$B$511=1),$BJ$644,HLOOKUP(INDIRECT(ADDRESS(2,COLUMN())),OFFSET($BN$2,0,0,ROW()-1,60),ROW()-1,FALSE))</f>
        <v/>
      </c>
      <c r="BK138" t="str">
        <f ca="1">IF(AND(ISNUMBER($BK$644),$B$511=1),$BK$644,HLOOKUP(INDIRECT(ADDRESS(2,COLUMN())),OFFSET($BN$2,0,0,ROW()-1,60),ROW()-1,FALSE))</f>
        <v/>
      </c>
      <c r="BL138" t="str">
        <f ca="1">IF(AND(ISNUMBER($BL$644),$B$511=1),$BL$644,HLOOKUP(INDIRECT(ADDRESS(2,COLUMN())),OFFSET($BN$2,0,0,ROW()-1,60),ROW()-1,FALSE))</f>
        <v/>
      </c>
      <c r="BM138" t="str">
        <f ca="1">IF(AND(ISNUMBER($BM$644),$B$511=1),$BM$644,HLOOKUP(INDIRECT(ADDRESS(2,COLUMN())),OFFSET($BN$2,0,0,ROW()-1,60),ROW()-1,FALSE))</f>
        <v/>
      </c>
      <c r="BN138" t="str">
        <f>""</f>
        <v/>
      </c>
      <c r="BO138">
        <f>12603.77743</f>
        <v>12603.77743</v>
      </c>
      <c r="BP138">
        <f>12831.76147</f>
        <v>12831.761469999999</v>
      </c>
      <c r="BQ138">
        <f>13496.77607</f>
        <v>13496.77607</v>
      </c>
      <c r="BR138">
        <f>14708.25294</f>
        <v>14708.25294</v>
      </c>
      <c r="BS138">
        <f>14198.33715</f>
        <v>14198.337149999999</v>
      </c>
      <c r="BT138">
        <f>14263.81979</f>
        <v>14263.81979</v>
      </c>
      <c r="BU138">
        <f>14215.08308</f>
        <v>14215.08308</v>
      </c>
      <c r="BV138">
        <f>12573.96575</f>
        <v>12573.965749999999</v>
      </c>
      <c r="BW138">
        <f>12261.4481</f>
        <v>12261.4481</v>
      </c>
      <c r="BX138">
        <f>11133.80929</f>
        <v>11133.809289999999</v>
      </c>
      <c r="BY138">
        <f>9722.346413</f>
        <v>9722.3464129999993</v>
      </c>
      <c r="BZ138">
        <f>9640.962172</f>
        <v>9640.9621719999996</v>
      </c>
      <c r="CA138">
        <f>8923.295082</f>
        <v>8923.2950820000005</v>
      </c>
      <c r="CB138">
        <f>9044.769961</f>
        <v>9044.769961</v>
      </c>
      <c r="CC138">
        <f>10180.31662</f>
        <v>10180.31662</v>
      </c>
      <c r="CD138">
        <f>10195.07107</f>
        <v>10195.07107</v>
      </c>
      <c r="CE138">
        <f>9885.262872</f>
        <v>9885.2628719999993</v>
      </c>
      <c r="CF138" t="str">
        <f>""</f>
        <v/>
      </c>
      <c r="CG138" t="str">
        <f>""</f>
        <v/>
      </c>
      <c r="CH138" t="str">
        <f>""</f>
        <v/>
      </c>
      <c r="CI138" t="str">
        <f>""</f>
        <v/>
      </c>
      <c r="CJ138" t="str">
        <f>""</f>
        <v/>
      </c>
      <c r="CK138" t="str">
        <f>""</f>
        <v/>
      </c>
      <c r="CL138" t="str">
        <f>""</f>
        <v/>
      </c>
      <c r="CM138" t="str">
        <f>""</f>
        <v/>
      </c>
      <c r="CN138" t="str">
        <f>""</f>
        <v/>
      </c>
      <c r="CO138" t="str">
        <f>""</f>
        <v/>
      </c>
      <c r="CP138" t="str">
        <f>""</f>
        <v/>
      </c>
      <c r="CQ138" t="str">
        <f>""</f>
        <v/>
      </c>
      <c r="CR138" t="str">
        <f>""</f>
        <v/>
      </c>
      <c r="CS138" t="str">
        <f>""</f>
        <v/>
      </c>
      <c r="CT138" t="str">
        <f>""</f>
        <v/>
      </c>
      <c r="CU138" t="str">
        <f>""</f>
        <v/>
      </c>
      <c r="CV138" t="str">
        <f>""</f>
        <v/>
      </c>
      <c r="CW138" t="str">
        <f>""</f>
        <v/>
      </c>
      <c r="CX138" t="str">
        <f>""</f>
        <v/>
      </c>
      <c r="CY138" t="str">
        <f>""</f>
        <v/>
      </c>
      <c r="CZ138" t="str">
        <f>""</f>
        <v/>
      </c>
      <c r="DA138" t="str">
        <f>""</f>
        <v/>
      </c>
      <c r="DB138" t="str">
        <f>""</f>
        <v/>
      </c>
      <c r="DC138" t="str">
        <f>""</f>
        <v/>
      </c>
      <c r="DD138" t="str">
        <f>""</f>
        <v/>
      </c>
      <c r="DE138" t="str">
        <f>""</f>
        <v/>
      </c>
      <c r="DF138" t="str">
        <f>""</f>
        <v/>
      </c>
      <c r="DG138" t="str">
        <f>""</f>
        <v/>
      </c>
      <c r="DH138" t="str">
        <f>""</f>
        <v/>
      </c>
      <c r="DI138" t="str">
        <f>""</f>
        <v/>
      </c>
      <c r="DJ138" t="str">
        <f>""</f>
        <v/>
      </c>
      <c r="DK138" t="str">
        <f>""</f>
        <v/>
      </c>
      <c r="DL138" t="str">
        <f>""</f>
        <v/>
      </c>
      <c r="DM138" t="str">
        <f>""</f>
        <v/>
      </c>
      <c r="DN138" t="str">
        <f>""</f>
        <v/>
      </c>
      <c r="DO138" t="str">
        <f>""</f>
        <v/>
      </c>
      <c r="DP138" t="str">
        <f>""</f>
        <v/>
      </c>
      <c r="DQ138" t="str">
        <f>""</f>
        <v/>
      </c>
      <c r="DR138" t="str">
        <f>""</f>
        <v/>
      </c>
      <c r="DS138" t="str">
        <f>""</f>
        <v/>
      </c>
      <c r="DT138" t="str">
        <f>""</f>
        <v/>
      </c>
      <c r="DU138" t="str">
        <f>""</f>
        <v/>
      </c>
    </row>
    <row r="139" spans="1:125" x14ac:dyDescent="0.25">
      <c r="A139" t="str">
        <f>"    Ford Motor Co"</f>
        <v xml:space="preserve">    Ford Motor Co</v>
      </c>
      <c r="B139" t="str">
        <f>"F US Equity"</f>
        <v>F US Equity</v>
      </c>
      <c r="C139" t="str">
        <f t="shared" si="9"/>
        <v>RR841</v>
      </c>
      <c r="D139" t="str">
        <f t="shared" si="10"/>
        <v>TRAIL_12M_EBITDA</v>
      </c>
      <c r="E139" t="str">
        <f t="shared" si="11"/>
        <v>Dynamic</v>
      </c>
      <c r="F139" t="str">
        <f ca="1">IF(AND(ISNUMBER($F$645),$B$511=1),$F$645,HLOOKUP(INDIRECT(ADDRESS(2,COLUMN())),OFFSET($BN$2,0,0,ROW()-1,60),ROW()-1,FALSE))</f>
        <v/>
      </c>
      <c r="G139">
        <f ca="1">IF(AND(ISNUMBER($G$645),$B$511=1),$G$645,HLOOKUP(INDIRECT(ADDRESS(2,COLUMN())),OFFSET($BN$2,0,0,ROW()-1,60),ROW()-1,FALSE))</f>
        <v>11511</v>
      </c>
      <c r="H139">
        <f ca="1">IF(AND(ISNUMBER($H$645),$B$511=1),$H$645,HLOOKUP(INDIRECT(ADDRESS(2,COLUMN())),OFFSET($BN$2,0,0,ROW()-1,60),ROW()-1,FALSE))</f>
        <v>12291</v>
      </c>
      <c r="I139">
        <f ca="1">IF(AND(ISNUMBER($I$645),$B$511=1),$I$645,HLOOKUP(INDIRECT(ADDRESS(2,COLUMN())),OFFSET($BN$2,0,0,ROW()-1,60),ROW()-1,FALSE))</f>
        <v>12325</v>
      </c>
      <c r="J139">
        <f ca="1">IF(AND(ISNUMBER($J$645),$B$511=1),$J$645,HLOOKUP(INDIRECT(ADDRESS(2,COLUMN())),OFFSET($BN$2,0,0,ROW()-1,60),ROW()-1,FALSE))</f>
        <v>13091</v>
      </c>
      <c r="K139">
        <f ca="1">IF(AND(ISNUMBER($K$645),$B$511=1),$K$645,HLOOKUP(INDIRECT(ADDRESS(2,COLUMN())),OFFSET($BN$2,0,0,ROW()-1,60),ROW()-1,FALSE))</f>
        <v>13334</v>
      </c>
      <c r="L139">
        <f ca="1">IF(AND(ISNUMBER($L$645),$B$511=1),$L$645,HLOOKUP(INDIRECT(ADDRESS(2,COLUMN())),OFFSET($BN$2,0,0,ROW()-1,60),ROW()-1,FALSE))</f>
        <v>13386</v>
      </c>
      <c r="M139">
        <f ca="1">IF(AND(ISNUMBER($M$645),$B$511=1),$M$645,HLOOKUP(INDIRECT(ADDRESS(2,COLUMN())),OFFSET($BN$2,0,0,ROW()-1,60),ROW()-1,FALSE))</f>
        <v>13050</v>
      </c>
      <c r="N139">
        <f ca="1">IF(AND(ISNUMBER($N$645),$B$511=1),$N$645,HLOOKUP(INDIRECT(ADDRESS(2,COLUMN())),OFFSET($BN$2,0,0,ROW()-1,60),ROW()-1,FALSE))</f>
        <v>13616</v>
      </c>
      <c r="O139">
        <f ca="1">IF(AND(ISNUMBER($O$645),$B$511=1),$O$645,HLOOKUP(INDIRECT(ADDRESS(2,COLUMN())),OFFSET($BN$2,0,0,ROW()-1,60),ROW()-1,FALSE))</f>
        <v>14503</v>
      </c>
      <c r="P139">
        <f ca="1">IF(AND(ISNUMBER($P$645),$B$511=1),$P$645,HLOOKUP(INDIRECT(ADDRESS(2,COLUMN())),OFFSET($BN$2,0,0,ROW()-1,60),ROW()-1,FALSE))</f>
        <v>13231</v>
      </c>
      <c r="Q139">
        <f ca="1">IF(AND(ISNUMBER($Q$645),$B$511=1),$Q$645,HLOOKUP(INDIRECT(ADDRESS(2,COLUMN())),OFFSET($BN$2,0,0,ROW()-1,60),ROW()-1,FALSE))</f>
        <v>15009</v>
      </c>
      <c r="R139">
        <f ca="1">IF(AND(ISNUMBER($R$645),$B$511=1),$R$645,HLOOKUP(INDIRECT(ADDRESS(2,COLUMN())),OFFSET($BN$2,0,0,ROW()-1,60),ROW()-1,FALSE))</f>
        <v>15339</v>
      </c>
      <c r="S139">
        <f ca="1">IF(AND(ISNUMBER($S$645),$B$511=1),$S$645,HLOOKUP(INDIRECT(ADDRESS(2,COLUMN())),OFFSET($BN$2,0,0,ROW()-1,60),ROW()-1,FALSE))</f>
        <v>14947</v>
      </c>
      <c r="T139">
        <f ca="1">IF(AND(ISNUMBER($T$645),$B$511=1),$T$645,HLOOKUP(INDIRECT(ADDRESS(2,COLUMN())),OFFSET($BN$2,0,0,ROW()-1,60),ROW()-1,FALSE))</f>
        <v>9787</v>
      </c>
      <c r="U139">
        <f ca="1">IF(AND(ISNUMBER($U$645),$B$511=1),$U$645,HLOOKUP(INDIRECT(ADDRESS(2,COLUMN())),OFFSET($BN$2,0,0,ROW()-1,60),ROW()-1,FALSE))</f>
        <v>8447</v>
      </c>
      <c r="V139">
        <f ca="1">IF(AND(ISNUMBER($V$645),$B$511=1),$V$645,HLOOKUP(INDIRECT(ADDRESS(2,COLUMN())),OFFSET($BN$2,0,0,ROW()-1,60),ROW()-1,FALSE))</f>
        <v>8442</v>
      </c>
      <c r="W139">
        <f ca="1">IF(AND(ISNUMBER($W$645),$B$511=1),$W$645,HLOOKUP(INDIRECT(ADDRESS(2,COLUMN())),OFFSET($BN$2,0,0,ROW()-1,60),ROW()-1,FALSE))</f>
        <v>7755</v>
      </c>
      <c r="X139">
        <f ca="1">IF(AND(ISNUMBER($X$645),$B$511=1),$X$645,HLOOKUP(INDIRECT(ADDRESS(2,COLUMN())),OFFSET($BN$2,0,0,ROW()-1,60),ROW()-1,FALSE))</f>
        <v>10850</v>
      </c>
      <c r="Y139">
        <f ca="1">IF(AND(ISNUMBER($Y$645),$B$511=1),$Y$645,HLOOKUP(INDIRECT(ADDRESS(2,COLUMN())),OFFSET($BN$2,0,0,ROW()-1,60),ROW()-1,FALSE))</f>
        <v>11985</v>
      </c>
      <c r="Z139">
        <f ca="1">IF(AND(ISNUMBER($Z$645),$B$511=1),$Z$645,HLOOKUP(INDIRECT(ADDRESS(2,COLUMN())),OFFSET($BN$2,0,0,ROW()-1,60),ROW()-1,FALSE))</f>
        <v>11438</v>
      </c>
      <c r="AA139">
        <f ca="1">IF(AND(ISNUMBER($AA$645),$B$511=1),$AA$645,HLOOKUP(INDIRECT(ADDRESS(2,COLUMN())),OFFSET($BN$2,0,0,ROW()-1,60),ROW()-1,FALSE))</f>
        <v>12223</v>
      </c>
      <c r="AB139">
        <f ca="1">IF(AND(ISNUMBER($AB$645),$B$511=1),$AB$645,HLOOKUP(INDIRECT(ADDRESS(2,COLUMN())),OFFSET($BN$2,0,0,ROW()-1,60),ROW()-1,FALSE))</f>
        <v>11373</v>
      </c>
      <c r="AC139">
        <f ca="1">IF(AND(ISNUMBER($AC$645),$B$511=1),$AC$645,HLOOKUP(INDIRECT(ADDRESS(2,COLUMN())),OFFSET($BN$2,0,0,ROW()-1,60),ROW()-1,FALSE))</f>
        <v>11075</v>
      </c>
      <c r="AD139">
        <f ca="1">IF(AND(ISNUMBER($AD$645),$B$511=1),$AD$645,HLOOKUP(INDIRECT(ADDRESS(2,COLUMN())),OFFSET($BN$2,0,0,ROW()-1,60),ROW()-1,FALSE))</f>
        <v>11061</v>
      </c>
      <c r="AE139">
        <f ca="1">IF(AND(ISNUMBER($AE$645),$B$511=1),$AE$645,HLOOKUP(INDIRECT(ADDRESS(2,COLUMN())),OFFSET($BN$2,0,0,ROW()-1,60),ROW()-1,FALSE))</f>
        <v>11127</v>
      </c>
      <c r="AF139">
        <f ca="1">IF(AND(ISNUMBER($AF$645),$B$511=1),$AF$645,HLOOKUP(INDIRECT(ADDRESS(2,COLUMN())),OFFSET($BN$2,0,0,ROW()-1,60),ROW()-1,FALSE))</f>
        <v>12577</v>
      </c>
      <c r="AG139">
        <f ca="1">IF(AND(ISNUMBER($AG$645),$B$511=1),$AG$645,HLOOKUP(INDIRECT(ADDRESS(2,COLUMN())),OFFSET($BN$2,0,0,ROW()-1,60),ROW()-1,FALSE))</f>
        <v>12270</v>
      </c>
      <c r="AH139">
        <f ca="1">IF(AND(ISNUMBER($AH$645),$B$511=1),$AH$645,HLOOKUP(INDIRECT(ADDRESS(2,COLUMN())),OFFSET($BN$2,0,0,ROW()-1,60),ROW()-1,FALSE))</f>
        <v>12887</v>
      </c>
      <c r="AI139">
        <f ca="1">IF(AND(ISNUMBER($AI$645),$B$511=1),$AI$645,HLOOKUP(INDIRECT(ADDRESS(2,COLUMN())),OFFSET($BN$2,0,0,ROW()-1,60),ROW()-1,FALSE))</f>
        <v>13629</v>
      </c>
      <c r="AJ139">
        <f ca="1">IF(AND(ISNUMBER($AJ$645),$B$511=1),$AJ$645,HLOOKUP(INDIRECT(ADDRESS(2,COLUMN())),OFFSET($BN$2,0,0,ROW()-1,60),ROW()-1,FALSE))</f>
        <v>14374</v>
      </c>
      <c r="AK139">
        <f ca="1">IF(AND(ISNUMBER($AK$645),$B$511=1),$AK$645,HLOOKUP(INDIRECT(ADDRESS(2,COLUMN())),OFFSET($BN$2,0,0,ROW()-1,60),ROW()-1,FALSE))</f>
        <v>14758</v>
      </c>
      <c r="AL139">
        <f ca="1">IF(AND(ISNUMBER($AL$645),$B$511=1),$AL$645,HLOOKUP(INDIRECT(ADDRESS(2,COLUMN())),OFFSET($BN$2,0,0,ROW()-1,60),ROW()-1,FALSE))</f>
        <v>15668</v>
      </c>
      <c r="AM139">
        <f ca="1">IF(AND(ISNUMBER($AM$645),$B$511=1),$AM$645,HLOOKUP(INDIRECT(ADDRESS(2,COLUMN())),OFFSET($BN$2,0,0,ROW()-1,60),ROW()-1,FALSE))</f>
        <v>15383</v>
      </c>
      <c r="AN139">
        <f ca="1">IF(AND(ISNUMBER($AN$645),$B$511=1),$AN$645,HLOOKUP(INDIRECT(ADDRESS(2,COLUMN())),OFFSET($BN$2,0,0,ROW()-1,60),ROW()-1,FALSE))</f>
        <v>14203</v>
      </c>
      <c r="AO139">
        <f ca="1">IF(AND(ISNUMBER($AO$645),$B$511=1),$AO$645,HLOOKUP(INDIRECT(ADDRESS(2,COLUMN())),OFFSET($BN$2,0,0,ROW()-1,60),ROW()-1,FALSE))</f>
        <v>13964</v>
      </c>
      <c r="AP139">
        <f ca="1">IF(AND(ISNUMBER($AP$645),$B$511=1),$AP$645,HLOOKUP(INDIRECT(ADDRESS(2,COLUMN())),OFFSET($BN$2,0,0,ROW()-1,60),ROW()-1,FALSE))</f>
        <v>10134</v>
      </c>
      <c r="AQ139">
        <f ca="1">IF(AND(ISNUMBER($AQ$645),$B$511=1),$AQ$645,HLOOKUP(INDIRECT(ADDRESS(2,COLUMN())),OFFSET($BN$2,0,0,ROW()-1,60),ROW()-1,FALSE))</f>
        <v>6220</v>
      </c>
      <c r="AR139">
        <f ca="1">IF(AND(ISNUMBER($AR$645),$B$511=1),$AR$645,HLOOKUP(INDIRECT(ADDRESS(2,COLUMN())),OFFSET($BN$2,0,0,ROW()-1,60),ROW()-1,FALSE))</f>
        <v>430</v>
      </c>
      <c r="AS139">
        <f ca="1">IF(AND(ISNUMBER($AS$645),$B$511=1),$AS$645,HLOOKUP(INDIRECT(ADDRESS(2,COLUMN())),OFFSET($BN$2,0,0,ROW()-1,60),ROW()-1,FALSE))</f>
        <v>102</v>
      </c>
      <c r="AT139">
        <f ca="1">IF(AND(ISNUMBER($AT$645),$B$511=1),$AT$645,HLOOKUP(INDIRECT(ADDRESS(2,COLUMN())),OFFSET($BN$2,0,0,ROW()-1,60),ROW()-1,FALSE))</f>
        <v>-3787</v>
      </c>
      <c r="AU139">
        <f ca="1">IF(AND(ISNUMBER($AU$645),$B$511=1),$AU$645,HLOOKUP(INDIRECT(ADDRESS(2,COLUMN())),OFFSET($BN$2,0,0,ROW()-1,60),ROW()-1,FALSE))</f>
        <v>64</v>
      </c>
      <c r="AV139">
        <f ca="1">IF(AND(ISNUMBER($AV$645),$B$511=1),$AV$645,HLOOKUP(INDIRECT(ADDRESS(2,COLUMN())),OFFSET($BN$2,0,0,ROW()-1,60),ROW()-1,FALSE))</f>
        <v>5135</v>
      </c>
      <c r="AW139">
        <f ca="1">IF(AND(ISNUMBER($AW$645),$B$511=1),$AW$645,HLOOKUP(INDIRECT(ADDRESS(2,COLUMN())),OFFSET($BN$2,0,0,ROW()-1,60),ROW()-1,FALSE))</f>
        <v>6180</v>
      </c>
      <c r="AX139">
        <f ca="1">IF(AND(ISNUMBER($AX$645),$B$511=1),$AX$645,HLOOKUP(INDIRECT(ADDRESS(2,COLUMN())),OFFSET($BN$2,0,0,ROW()-1,60),ROW()-1,FALSE))</f>
        <v>13374</v>
      </c>
      <c r="AY139">
        <f ca="1">IF(AND(ISNUMBER($AY$645),$B$511=1),$AY$645,HLOOKUP(INDIRECT(ADDRESS(2,COLUMN())),OFFSET($BN$2,0,0,ROW()-1,60),ROW()-1,FALSE))</f>
        <v>13090</v>
      </c>
      <c r="AZ139">
        <f ca="1">IF(AND(ISNUMBER($AZ$645),$B$511=1),$AZ$645,HLOOKUP(INDIRECT(ADDRESS(2,COLUMN())),OFFSET($BN$2,0,0,ROW()-1,60),ROW()-1,FALSE))</f>
        <v>12724</v>
      </c>
      <c r="BA139">
        <f ca="1">IF(AND(ISNUMBER($BA$645),$B$511=1),$BA$645,HLOOKUP(INDIRECT(ADDRESS(2,COLUMN())),OFFSET($BN$2,0,0,ROW()-1,60),ROW()-1,FALSE))</f>
        <v>5080</v>
      </c>
      <c r="BB139">
        <f ca="1">IF(AND(ISNUMBER($BB$645),$B$511=1),$BB$645,HLOOKUP(INDIRECT(ADDRESS(2,COLUMN())),OFFSET($BN$2,0,0,ROW()-1,60),ROW()-1,FALSE))</f>
        <v>3150</v>
      </c>
      <c r="BC139">
        <f ca="1">IF(AND(ISNUMBER($BC$645),$B$511=1),$BC$645,HLOOKUP(INDIRECT(ADDRESS(2,COLUMN())),OFFSET($BN$2,0,0,ROW()-1,60),ROW()-1,FALSE))</f>
        <v>432</v>
      </c>
      <c r="BD139">
        <f ca="1">IF(AND(ISNUMBER($BD$645),$B$511=1),$BD$645,HLOOKUP(INDIRECT(ADDRESS(2,COLUMN())),OFFSET($BN$2,0,0,ROW()-1,60),ROW()-1,FALSE))</f>
        <v>2567</v>
      </c>
      <c r="BE139">
        <f ca="1">IF(AND(ISNUMBER($BE$645),$B$511=1),$BE$645,HLOOKUP(INDIRECT(ADDRESS(2,COLUMN())),OFFSET($BN$2,0,0,ROW()-1,60),ROW()-1,FALSE))</f>
        <v>8644</v>
      </c>
      <c r="BF139">
        <f ca="1">IF(AND(ISNUMBER($BF$645),$B$511=1),$BF$645,HLOOKUP(INDIRECT(ADDRESS(2,COLUMN())),OFFSET($BN$2,0,0,ROW()-1,60),ROW()-1,FALSE))</f>
        <v>9923</v>
      </c>
      <c r="BG139">
        <f ca="1">IF(AND(ISNUMBER($BG$645),$B$511=1),$BG$645,HLOOKUP(INDIRECT(ADDRESS(2,COLUMN())),OFFSET($BN$2,0,0,ROW()-1,60),ROW()-1,FALSE))</f>
        <v>13636</v>
      </c>
      <c r="BH139">
        <f ca="1">IF(AND(ISNUMBER($BH$645),$B$511=1),$BH$645,HLOOKUP(INDIRECT(ADDRESS(2,COLUMN())),OFFSET($BN$2,0,0,ROW()-1,60),ROW()-1,FALSE))</f>
        <v>12523</v>
      </c>
      <c r="BI139">
        <f ca="1">IF(AND(ISNUMBER($BI$645),$B$511=1),$BI$645,HLOOKUP(INDIRECT(ADDRESS(2,COLUMN())),OFFSET($BN$2,0,0,ROW()-1,60),ROW()-1,FALSE))</f>
        <v>14141</v>
      </c>
      <c r="BJ139">
        <f ca="1">IF(AND(ISNUMBER($BJ$645),$B$511=1),$BJ$645,HLOOKUP(INDIRECT(ADDRESS(2,COLUMN())),OFFSET($BN$2,0,0,ROW()-1,60),ROW()-1,FALSE))</f>
        <v>15571</v>
      </c>
      <c r="BK139">
        <f ca="1">IF(AND(ISNUMBER($BK$645),$B$511=1),$BK$645,HLOOKUP(INDIRECT(ADDRESS(2,COLUMN())),OFFSET($BN$2,0,0,ROW()-1,60),ROW()-1,FALSE))</f>
        <v>17519</v>
      </c>
      <c r="BL139">
        <f ca="1">IF(AND(ISNUMBER($BL$645),$B$511=1),$BL$645,HLOOKUP(INDIRECT(ADDRESS(2,COLUMN())),OFFSET($BN$2,0,0,ROW()-1,60),ROW()-1,FALSE))</f>
        <v>18069</v>
      </c>
      <c r="BM139">
        <f ca="1">IF(AND(ISNUMBER($BM$645),$B$511=1),$BM$645,HLOOKUP(INDIRECT(ADDRESS(2,COLUMN())),OFFSET($BN$2,0,0,ROW()-1,60),ROW()-1,FALSE))</f>
        <v>17775</v>
      </c>
      <c r="BN139" t="str">
        <f>""</f>
        <v/>
      </c>
      <c r="BO139">
        <f>11511</f>
        <v>11511</v>
      </c>
      <c r="BP139">
        <f>12291</f>
        <v>12291</v>
      </c>
      <c r="BQ139">
        <f>12325</f>
        <v>12325</v>
      </c>
      <c r="BR139">
        <f>13091</f>
        <v>13091</v>
      </c>
      <c r="BS139">
        <f>13334</f>
        <v>13334</v>
      </c>
      <c r="BT139">
        <f>13386</f>
        <v>13386</v>
      </c>
      <c r="BU139">
        <f>13050</f>
        <v>13050</v>
      </c>
      <c r="BV139">
        <f>13616</f>
        <v>13616</v>
      </c>
      <c r="BW139">
        <f>14503</f>
        <v>14503</v>
      </c>
      <c r="BX139">
        <f>13231</f>
        <v>13231</v>
      </c>
      <c r="BY139">
        <f>15009</f>
        <v>15009</v>
      </c>
      <c r="BZ139">
        <f>15339</f>
        <v>15339</v>
      </c>
      <c r="CA139">
        <f>14947</f>
        <v>14947</v>
      </c>
      <c r="CB139">
        <f>9787</f>
        <v>9787</v>
      </c>
      <c r="CC139">
        <f>8447</f>
        <v>8447</v>
      </c>
      <c r="CD139">
        <f>8442</f>
        <v>8442</v>
      </c>
      <c r="CE139">
        <f>7755</f>
        <v>7755</v>
      </c>
      <c r="CF139">
        <f>10850</f>
        <v>10850</v>
      </c>
      <c r="CG139">
        <f>11985</f>
        <v>11985</v>
      </c>
      <c r="CH139">
        <f>11438</f>
        <v>11438</v>
      </c>
      <c r="CI139">
        <f>12223</f>
        <v>12223</v>
      </c>
      <c r="CJ139">
        <f>11373</f>
        <v>11373</v>
      </c>
      <c r="CK139">
        <f>11075</f>
        <v>11075</v>
      </c>
      <c r="CL139">
        <f>11061</f>
        <v>11061</v>
      </c>
      <c r="CM139">
        <f>11127</f>
        <v>11127</v>
      </c>
      <c r="CN139">
        <f>12577</f>
        <v>12577</v>
      </c>
      <c r="CO139">
        <f>12270</f>
        <v>12270</v>
      </c>
      <c r="CP139">
        <f>12887</f>
        <v>12887</v>
      </c>
      <c r="CQ139">
        <f>13629</f>
        <v>13629</v>
      </c>
      <c r="CR139">
        <f>14374</f>
        <v>14374</v>
      </c>
      <c r="CS139">
        <f>14758</f>
        <v>14758</v>
      </c>
      <c r="CT139">
        <f>15668</f>
        <v>15668</v>
      </c>
      <c r="CU139">
        <f>15383</f>
        <v>15383</v>
      </c>
      <c r="CV139">
        <f>14203</f>
        <v>14203</v>
      </c>
      <c r="CW139">
        <f>13964</f>
        <v>13964</v>
      </c>
      <c r="CX139">
        <f>10134</f>
        <v>10134</v>
      </c>
      <c r="CY139">
        <f>6220</f>
        <v>6220</v>
      </c>
      <c r="CZ139">
        <f>430</f>
        <v>430</v>
      </c>
      <c r="DA139">
        <f>102</f>
        <v>102</v>
      </c>
      <c r="DB139">
        <f>-3787</f>
        <v>-3787</v>
      </c>
      <c r="DC139">
        <f>64</f>
        <v>64</v>
      </c>
      <c r="DD139">
        <f>5135</f>
        <v>5135</v>
      </c>
      <c r="DE139">
        <f>6180</f>
        <v>6180</v>
      </c>
      <c r="DF139">
        <f>13374</f>
        <v>13374</v>
      </c>
      <c r="DG139">
        <f>13090</f>
        <v>13090</v>
      </c>
      <c r="DH139">
        <f>12724</f>
        <v>12724</v>
      </c>
      <c r="DI139">
        <f>5080</f>
        <v>5080</v>
      </c>
      <c r="DJ139">
        <f>3150</f>
        <v>3150</v>
      </c>
      <c r="DK139">
        <f>432</f>
        <v>432</v>
      </c>
      <c r="DL139">
        <f>2567</f>
        <v>2567</v>
      </c>
      <c r="DM139">
        <f>8644</f>
        <v>8644</v>
      </c>
      <c r="DN139">
        <f>9923</f>
        <v>9923</v>
      </c>
      <c r="DO139">
        <f>13636</f>
        <v>13636</v>
      </c>
      <c r="DP139">
        <f>12523</f>
        <v>12523</v>
      </c>
      <c r="DQ139">
        <f>14141</f>
        <v>14141</v>
      </c>
      <c r="DR139">
        <f>15571</f>
        <v>15571</v>
      </c>
      <c r="DS139">
        <f>17519</f>
        <v>17519</v>
      </c>
      <c r="DT139">
        <f>18069</f>
        <v>18069</v>
      </c>
      <c r="DU139">
        <f>17775</f>
        <v>17775</v>
      </c>
    </row>
    <row r="140" spans="1:125" x14ac:dyDescent="0.25">
      <c r="A140" t="str">
        <f>"    Ford Otomotiv Sanayi AS"</f>
        <v xml:space="preserve">    Ford Otomotiv Sanayi AS</v>
      </c>
      <c r="B140" t="str">
        <f>"FROTOTRY EO Equity"</f>
        <v>FROTOTRY EO Equity</v>
      </c>
      <c r="C140" t="str">
        <f t="shared" si="9"/>
        <v>RR841</v>
      </c>
      <c r="D140" t="str">
        <f t="shared" si="10"/>
        <v>TRAIL_12M_EBITDA</v>
      </c>
      <c r="E140" t="str">
        <f t="shared" si="11"/>
        <v>Dynamic</v>
      </c>
      <c r="F140" t="str">
        <f ca="1">IF(AND(ISNUMBER($F$646),$B$511=1),$F$646,HLOOKUP(INDIRECT(ADDRESS(2,COLUMN())),OFFSET($BN$2,0,0,ROW()-1,60),ROW()-1,FALSE))</f>
        <v/>
      </c>
      <c r="G140">
        <f ca="1">IF(AND(ISNUMBER($G$646),$B$511=1),$G$646,HLOOKUP(INDIRECT(ADDRESS(2,COLUMN())),OFFSET($BN$2,0,0,ROW()-1,60),ROW()-1,FALSE))</f>
        <v>624.49068520000003</v>
      </c>
      <c r="H140">
        <f ca="1">IF(AND(ISNUMBER($H$646),$B$511=1),$H$646,HLOOKUP(INDIRECT(ADDRESS(2,COLUMN())),OFFSET($BN$2,0,0,ROW()-1,60),ROW()-1,FALSE))</f>
        <v>611.74908159999995</v>
      </c>
      <c r="I140">
        <f ca="1">IF(AND(ISNUMBER($I$646),$B$511=1),$I$646,HLOOKUP(INDIRECT(ADDRESS(2,COLUMN())),OFFSET($BN$2,0,0,ROW()-1,60),ROW()-1,FALSE))</f>
        <v>656.20161680000001</v>
      </c>
      <c r="J140">
        <f ca="1">IF(AND(ISNUMBER($J$646),$B$511=1),$J$646,HLOOKUP(INDIRECT(ADDRESS(2,COLUMN())),OFFSET($BN$2,0,0,ROW()-1,60),ROW()-1,FALSE))</f>
        <v>609.17055089999997</v>
      </c>
      <c r="K140">
        <f ca="1">IF(AND(ISNUMBER($K$646),$B$511=1),$K$646,HLOOKUP(INDIRECT(ADDRESS(2,COLUMN())),OFFSET($BN$2,0,0,ROW()-1,60),ROW()-1,FALSE))</f>
        <v>566.72439540000005</v>
      </c>
      <c r="L140">
        <f ca="1">IF(AND(ISNUMBER($L$646),$B$511=1),$L$646,HLOOKUP(INDIRECT(ADDRESS(2,COLUMN())),OFFSET($BN$2,0,0,ROW()-1,60),ROW()-1,FALSE))</f>
        <v>562.310472</v>
      </c>
      <c r="M140">
        <f ca="1">IF(AND(ISNUMBER($M$646),$B$511=1),$M$646,HLOOKUP(INDIRECT(ADDRESS(2,COLUMN())),OFFSET($BN$2,0,0,ROW()-1,60),ROW()-1,FALSE))</f>
        <v>523.45223090000002</v>
      </c>
      <c r="N140">
        <f ca="1">IF(AND(ISNUMBER($N$646),$B$511=1),$N$646,HLOOKUP(INDIRECT(ADDRESS(2,COLUMN())),OFFSET($BN$2,0,0,ROW()-1,60),ROW()-1,FALSE))</f>
        <v>525.80615780000005</v>
      </c>
      <c r="O140">
        <f ca="1">IF(AND(ISNUMBER($O$646),$B$511=1),$O$646,HLOOKUP(INDIRECT(ADDRESS(2,COLUMN())),OFFSET($BN$2,0,0,ROW()-1,60),ROW()-1,FALSE))</f>
        <v>527.94754420000004</v>
      </c>
      <c r="P140">
        <f ca="1">IF(AND(ISNUMBER($P$646),$B$511=1),$P$646,HLOOKUP(INDIRECT(ADDRESS(2,COLUMN())),OFFSET($BN$2,0,0,ROW()-1,60),ROW()-1,FALSE))</f>
        <v>535.91890739999997</v>
      </c>
      <c r="Q140">
        <f ca="1">IF(AND(ISNUMBER($Q$646),$B$511=1),$Q$646,HLOOKUP(INDIRECT(ADDRESS(2,COLUMN())),OFFSET($BN$2,0,0,ROW()-1,60),ROW()-1,FALSE))</f>
        <v>532.87491999999997</v>
      </c>
      <c r="R140">
        <f ca="1">IF(AND(ISNUMBER($R$646),$B$511=1),$R$646,HLOOKUP(INDIRECT(ADDRESS(2,COLUMN())),OFFSET($BN$2,0,0,ROW()-1,60),ROW()-1,FALSE))</f>
        <v>521.02980279999997</v>
      </c>
      <c r="S140">
        <f ca="1">IF(AND(ISNUMBER($S$646),$B$511=1),$S$646,HLOOKUP(INDIRECT(ADDRESS(2,COLUMN())),OFFSET($BN$2,0,0,ROW()-1,60),ROW()-1,FALSE))</f>
        <v>524.10658230000001</v>
      </c>
      <c r="T140">
        <f ca="1">IF(AND(ISNUMBER($T$646),$B$511=1),$T$646,HLOOKUP(INDIRECT(ADDRESS(2,COLUMN())),OFFSET($BN$2,0,0,ROW()-1,60),ROW()-1,FALSE))</f>
        <v>493.87723879999999</v>
      </c>
      <c r="U140">
        <f ca="1">IF(AND(ISNUMBER($U$646),$B$511=1),$U$646,HLOOKUP(INDIRECT(ADDRESS(2,COLUMN())),OFFSET($BN$2,0,0,ROW()-1,60),ROW()-1,FALSE))</f>
        <v>475.122075</v>
      </c>
      <c r="V140">
        <f ca="1">IF(AND(ISNUMBER($V$646),$B$511=1),$V$646,HLOOKUP(INDIRECT(ADDRESS(2,COLUMN())),OFFSET($BN$2,0,0,ROW()-1,60),ROW()-1,FALSE))</f>
        <v>440.53425570000002</v>
      </c>
      <c r="W140">
        <f ca="1">IF(AND(ISNUMBER($W$646),$B$511=1),$W$646,HLOOKUP(INDIRECT(ADDRESS(2,COLUMN())),OFFSET($BN$2,0,0,ROW()-1,60),ROW()-1,FALSE))</f>
        <v>386.55086490000002</v>
      </c>
      <c r="X140">
        <f ca="1">IF(AND(ISNUMBER($X$646),$B$511=1),$X$646,HLOOKUP(INDIRECT(ADDRESS(2,COLUMN())),OFFSET($BN$2,0,0,ROW()-1,60),ROW()-1,FALSE))</f>
        <v>370.43056689999997</v>
      </c>
      <c r="Y140">
        <f ca="1">IF(AND(ISNUMBER($Y$646),$B$511=1),$Y$646,HLOOKUP(INDIRECT(ADDRESS(2,COLUMN())),OFFSET($BN$2,0,0,ROW()-1,60),ROW()-1,FALSE))</f>
        <v>356.01437970000001</v>
      </c>
      <c r="Z140">
        <f ca="1">IF(AND(ISNUMBER($Z$646),$B$511=1),$Z$646,HLOOKUP(INDIRECT(ADDRESS(2,COLUMN())),OFFSET($BN$2,0,0,ROW()-1,60),ROW()-1,FALSE))</f>
        <v>387.79536239999999</v>
      </c>
      <c r="AA140">
        <f ca="1">IF(AND(ISNUMBER($AA$646),$B$511=1),$AA$646,HLOOKUP(INDIRECT(ADDRESS(2,COLUMN())),OFFSET($BN$2,0,0,ROW()-1,60),ROW()-1,FALSE))</f>
        <v>417.92565519999999</v>
      </c>
      <c r="AB140">
        <f ca="1">IF(AND(ISNUMBER($AB$646),$B$511=1),$AB$646,HLOOKUP(INDIRECT(ADDRESS(2,COLUMN())),OFFSET($BN$2,0,0,ROW()-1,60),ROW()-1,FALSE))</f>
        <v>438.96217969999998</v>
      </c>
      <c r="AC140">
        <f ca="1">IF(AND(ISNUMBER($AC$646),$B$511=1),$AC$646,HLOOKUP(INDIRECT(ADDRESS(2,COLUMN())),OFFSET($BN$2,0,0,ROW()-1,60),ROW()-1,FALSE))</f>
        <v>431.30402930000002</v>
      </c>
      <c r="AD140">
        <f ca="1">IF(AND(ISNUMBER($AD$646),$B$511=1),$AD$646,HLOOKUP(INDIRECT(ADDRESS(2,COLUMN())),OFFSET($BN$2,0,0,ROW()-1,60),ROW()-1,FALSE))</f>
        <v>427.27817340000001</v>
      </c>
      <c r="AE140">
        <f ca="1">IF(AND(ISNUMBER($AE$646),$B$511=1),$AE$646,HLOOKUP(INDIRECT(ADDRESS(2,COLUMN())),OFFSET($BN$2,0,0,ROW()-1,60),ROW()-1,FALSE))</f>
        <v>444.92631010000002</v>
      </c>
      <c r="AF140">
        <f ca="1">IF(AND(ISNUMBER($AF$646),$B$511=1),$AF$646,HLOOKUP(INDIRECT(ADDRESS(2,COLUMN())),OFFSET($BN$2,0,0,ROW()-1,60),ROW()-1,FALSE))</f>
        <v>438.06884730000002</v>
      </c>
      <c r="AG140">
        <f ca="1">IF(AND(ISNUMBER($AG$646),$B$511=1),$AG$646,HLOOKUP(INDIRECT(ADDRESS(2,COLUMN())),OFFSET($BN$2,0,0,ROW()-1,60),ROW()-1,FALSE))</f>
        <v>485.36094609999998</v>
      </c>
      <c r="AH140">
        <f ca="1">IF(AND(ISNUMBER($AH$646),$B$511=1),$AH$646,HLOOKUP(INDIRECT(ADDRESS(2,COLUMN())),OFFSET($BN$2,0,0,ROW()-1,60),ROW()-1,FALSE))</f>
        <v>517.42289219999998</v>
      </c>
      <c r="AI140">
        <f ca="1">IF(AND(ISNUMBER($AI$646),$B$511=1),$AI$646,HLOOKUP(INDIRECT(ADDRESS(2,COLUMN())),OFFSET($BN$2,0,0,ROW()-1,60),ROW()-1,FALSE))</f>
        <v>523.20793319999996</v>
      </c>
      <c r="AJ140">
        <f ca="1">IF(AND(ISNUMBER($AJ$646),$B$511=1),$AJ$646,HLOOKUP(INDIRECT(ADDRESS(2,COLUMN())),OFFSET($BN$2,0,0,ROW()-1,60),ROW()-1,FALSE))</f>
        <v>599.94998439999995</v>
      </c>
      <c r="AK140">
        <f ca="1">IF(AND(ISNUMBER($AK$646),$B$511=1),$AK$646,HLOOKUP(INDIRECT(ADDRESS(2,COLUMN())),OFFSET($BN$2,0,0,ROW()-1,60),ROW()-1,FALSE))</f>
        <v>582.32426350000003</v>
      </c>
      <c r="AL140">
        <f ca="1">IF(AND(ISNUMBER($AL$646),$B$511=1),$AL$646,HLOOKUP(INDIRECT(ADDRESS(2,COLUMN())),OFFSET($BN$2,0,0,ROW()-1,60),ROW()-1,FALSE))</f>
        <v>552.05804509999996</v>
      </c>
      <c r="AM140">
        <f ca="1">IF(AND(ISNUMBER($AM$646),$B$511=1),$AM$646,HLOOKUP(INDIRECT(ADDRESS(2,COLUMN())),OFFSET($BN$2,0,0,ROW()-1,60),ROW()-1,FALSE))</f>
        <v>521.39740840000002</v>
      </c>
      <c r="AN140">
        <f ca="1">IF(AND(ISNUMBER($AN$646),$B$511=1),$AN$646,HLOOKUP(INDIRECT(ADDRESS(2,COLUMN())),OFFSET($BN$2,0,0,ROW()-1,60),ROW()-1,FALSE))</f>
        <v>451.9797317</v>
      </c>
      <c r="AO140">
        <f ca="1">IF(AND(ISNUMBER($AO$646),$B$511=1),$AO$646,HLOOKUP(INDIRECT(ADDRESS(2,COLUMN())),OFFSET($BN$2,0,0,ROW()-1,60),ROW()-1,FALSE))</f>
        <v>446.21098940000002</v>
      </c>
      <c r="AP140">
        <f ca="1">IF(AND(ISNUMBER($AP$646),$B$511=1),$AP$646,HLOOKUP(INDIRECT(ADDRESS(2,COLUMN())),OFFSET($BN$2,0,0,ROW()-1,60),ROW()-1,FALSE))</f>
        <v>414.80595590000001</v>
      </c>
      <c r="AQ140">
        <f ca="1">IF(AND(ISNUMBER($AQ$646),$B$511=1),$AQ$646,HLOOKUP(INDIRECT(ADDRESS(2,COLUMN())),OFFSET($BN$2,0,0,ROW()-1,60),ROW()-1,FALSE))</f>
        <v>361.84368970000003</v>
      </c>
      <c r="AR140">
        <f ca="1">IF(AND(ISNUMBER($AR$646),$B$511=1),$AR$646,HLOOKUP(INDIRECT(ADDRESS(2,COLUMN())),OFFSET($BN$2,0,0,ROW()-1,60),ROW()-1,FALSE))</f>
        <v>317.8281695</v>
      </c>
      <c r="AS140">
        <f ca="1">IF(AND(ISNUMBER($AS$646),$B$511=1),$AS$646,HLOOKUP(INDIRECT(ADDRESS(2,COLUMN())),OFFSET($BN$2,0,0,ROW()-1,60),ROW()-1,FALSE))</f>
        <v>338.10818540000002</v>
      </c>
      <c r="AT140">
        <f ca="1">IF(AND(ISNUMBER($AT$646),$B$511=1),$AT$646,HLOOKUP(INDIRECT(ADDRESS(2,COLUMN())),OFFSET($BN$2,0,0,ROW()-1,60),ROW()-1,FALSE))</f>
        <v>411.45967000000002</v>
      </c>
      <c r="AU140">
        <f ca="1">IF(AND(ISNUMBER($AU$646),$B$511=1),$AU$646,HLOOKUP(INDIRECT(ADDRESS(2,COLUMN())),OFFSET($BN$2,0,0,ROW()-1,60),ROW()-1,FALSE))</f>
        <v>588.72069329999999</v>
      </c>
      <c r="AV140">
        <f ca="1">IF(AND(ISNUMBER($AV$646),$B$511=1),$AV$646,HLOOKUP(INDIRECT(ADDRESS(2,COLUMN())),OFFSET($BN$2,0,0,ROW()-1,60),ROW()-1,FALSE))</f>
        <v>734.40204019999999</v>
      </c>
      <c r="AW140">
        <f ca="1">IF(AND(ISNUMBER($AW$646),$B$511=1),$AW$646,HLOOKUP(INDIRECT(ADDRESS(2,COLUMN())),OFFSET($BN$2,0,0,ROW()-1,60),ROW()-1,FALSE))</f>
        <v>755.97074339999995</v>
      </c>
      <c r="AX140">
        <f ca="1">IF(AND(ISNUMBER($AX$646),$B$511=1),$AX$646,HLOOKUP(INDIRECT(ADDRESS(2,COLUMN())),OFFSET($BN$2,0,0,ROW()-1,60),ROW()-1,FALSE))</f>
        <v>725.77422520000005</v>
      </c>
      <c r="AY140">
        <f ca="1">IF(AND(ISNUMBER($AY$646),$B$511=1),$AY$646,HLOOKUP(INDIRECT(ADDRESS(2,COLUMN())),OFFSET($BN$2,0,0,ROW()-1,60),ROW()-1,FALSE))</f>
        <v>619.59573880000005</v>
      </c>
      <c r="AZ140">
        <f ca="1">IF(AND(ISNUMBER($AZ$646),$B$511=1),$AZ$646,HLOOKUP(INDIRECT(ADDRESS(2,COLUMN())),OFFSET($BN$2,0,0,ROW()-1,60),ROW()-1,FALSE))</f>
        <v>537.96307920000004</v>
      </c>
      <c r="BA140">
        <f ca="1">IF(AND(ISNUMBER($BA$646),$B$511=1),$BA$646,HLOOKUP(INDIRECT(ADDRESS(2,COLUMN())),OFFSET($BN$2,0,0,ROW()-1,60),ROW()-1,FALSE))</f>
        <v>514.54207710000003</v>
      </c>
      <c r="BB140">
        <f ca="1">IF(AND(ISNUMBER($BB$646),$B$511=1),$BB$646,HLOOKUP(INDIRECT(ADDRESS(2,COLUMN())),OFFSET($BN$2,0,0,ROW()-1,60),ROW()-1,FALSE))</f>
        <v>489.97359319999998</v>
      </c>
      <c r="BC140">
        <f ca="1">IF(AND(ISNUMBER($BC$646),$B$511=1),$BC$646,HLOOKUP(INDIRECT(ADDRESS(2,COLUMN())),OFFSET($BN$2,0,0,ROW()-1,60),ROW()-1,FALSE))</f>
        <v>524.472531</v>
      </c>
      <c r="BD140">
        <f ca="1">IF(AND(ISNUMBER($BD$646),$B$511=1),$BD$646,HLOOKUP(INDIRECT(ADDRESS(2,COLUMN())),OFFSET($BN$2,0,0,ROW()-1,60),ROW()-1,FALSE))</f>
        <v>607.46724719999997</v>
      </c>
      <c r="BE140">
        <f ca="1">IF(AND(ISNUMBER($BE$646),$B$511=1),$BE$646,HLOOKUP(INDIRECT(ADDRESS(2,COLUMN())),OFFSET($BN$2,0,0,ROW()-1,60),ROW()-1,FALSE))</f>
        <v>594.60709110000005</v>
      </c>
      <c r="BF140">
        <f ca="1">IF(AND(ISNUMBER($BF$646),$B$511=1),$BF$646,HLOOKUP(INDIRECT(ADDRESS(2,COLUMN())),OFFSET($BN$2,0,0,ROW()-1,60),ROW()-1,FALSE))</f>
        <v>629.27663210000003</v>
      </c>
      <c r="BG140">
        <f ca="1">IF(AND(ISNUMBER($BG$646),$B$511=1),$BG$646,HLOOKUP(INDIRECT(ADDRESS(2,COLUMN())),OFFSET($BN$2,0,0,ROW()-1,60),ROW()-1,FALSE))</f>
        <v>595.6586413</v>
      </c>
      <c r="BH140" t="str">
        <f ca="1">IF(AND(ISNUMBER($BH$646),$B$511=1),$BH$646,HLOOKUP(INDIRECT(ADDRESS(2,COLUMN())),OFFSET($BN$2,0,0,ROW()-1,60),ROW()-1,FALSE))</f>
        <v/>
      </c>
      <c r="BI140" t="str">
        <f ca="1">IF(AND(ISNUMBER($BI$646),$B$511=1),$BI$646,HLOOKUP(INDIRECT(ADDRESS(2,COLUMN())),OFFSET($BN$2,0,0,ROW()-1,60),ROW()-1,FALSE))</f>
        <v/>
      </c>
      <c r="BJ140" t="str">
        <f ca="1">IF(AND(ISNUMBER($BJ$646),$B$511=1),$BJ$646,HLOOKUP(INDIRECT(ADDRESS(2,COLUMN())),OFFSET($BN$2,0,0,ROW()-1,60),ROW()-1,FALSE))</f>
        <v/>
      </c>
      <c r="BK140" t="str">
        <f ca="1">IF(AND(ISNUMBER($BK$646),$B$511=1),$BK$646,HLOOKUP(INDIRECT(ADDRESS(2,COLUMN())),OFFSET($BN$2,0,0,ROW()-1,60),ROW()-1,FALSE))</f>
        <v/>
      </c>
      <c r="BL140" t="str">
        <f ca="1">IF(AND(ISNUMBER($BL$646),$B$511=1),$BL$646,HLOOKUP(INDIRECT(ADDRESS(2,COLUMN())),OFFSET($BN$2,0,0,ROW()-1,60),ROW()-1,FALSE))</f>
        <v/>
      </c>
      <c r="BM140" t="str">
        <f ca="1">IF(AND(ISNUMBER($BM$646),$B$511=1),$BM$646,HLOOKUP(INDIRECT(ADDRESS(2,COLUMN())),OFFSET($BN$2,0,0,ROW()-1,60),ROW()-1,FALSE))</f>
        <v/>
      </c>
      <c r="BN140" t="str">
        <f>""</f>
        <v/>
      </c>
      <c r="BO140">
        <f>624.4906852</f>
        <v>624.49068520000003</v>
      </c>
      <c r="BP140">
        <f>611.7490816</f>
        <v>611.74908159999995</v>
      </c>
      <c r="BQ140">
        <f>656.2016168</f>
        <v>656.20161680000001</v>
      </c>
      <c r="BR140">
        <f>609.1705509</f>
        <v>609.17055089999997</v>
      </c>
      <c r="BS140">
        <f>566.7243954</f>
        <v>566.72439540000005</v>
      </c>
      <c r="BT140">
        <f>562.310472</f>
        <v>562.310472</v>
      </c>
      <c r="BU140">
        <f>523.4522309</f>
        <v>523.45223090000002</v>
      </c>
      <c r="BV140">
        <f>525.8061578</f>
        <v>525.80615780000005</v>
      </c>
      <c r="BW140">
        <f>527.9475442</f>
        <v>527.94754420000004</v>
      </c>
      <c r="BX140">
        <f>535.9189074</f>
        <v>535.91890739999997</v>
      </c>
      <c r="BY140">
        <f>532.87492</f>
        <v>532.87491999999997</v>
      </c>
      <c r="BZ140">
        <f>521.0298028</f>
        <v>521.02980279999997</v>
      </c>
      <c r="CA140">
        <f>524.1065823</f>
        <v>524.10658230000001</v>
      </c>
      <c r="CB140">
        <f>493.8772388</f>
        <v>493.87723879999999</v>
      </c>
      <c r="CC140">
        <f>475.122075</f>
        <v>475.122075</v>
      </c>
      <c r="CD140">
        <f>440.5342557</f>
        <v>440.53425570000002</v>
      </c>
      <c r="CE140">
        <f>386.5508649</f>
        <v>386.55086490000002</v>
      </c>
      <c r="CF140">
        <f>370.4305669</f>
        <v>370.43056689999997</v>
      </c>
      <c r="CG140">
        <f>356.0143797</f>
        <v>356.01437970000001</v>
      </c>
      <c r="CH140">
        <f>387.7953624</f>
        <v>387.79536239999999</v>
      </c>
      <c r="CI140">
        <f>417.9256552</f>
        <v>417.92565519999999</v>
      </c>
      <c r="CJ140">
        <f>438.9621797</f>
        <v>438.96217969999998</v>
      </c>
      <c r="CK140">
        <f>431.3040293</f>
        <v>431.30402930000002</v>
      </c>
      <c r="CL140">
        <f>427.2781734</f>
        <v>427.27817340000001</v>
      </c>
      <c r="CM140">
        <f>444.9263101</f>
        <v>444.92631010000002</v>
      </c>
      <c r="CN140">
        <f>438.0688473</f>
        <v>438.06884730000002</v>
      </c>
      <c r="CO140">
        <f>485.3609461</f>
        <v>485.36094609999998</v>
      </c>
      <c r="CP140">
        <f>517.4228922</f>
        <v>517.42289219999998</v>
      </c>
      <c r="CQ140">
        <f>523.2079332</f>
        <v>523.20793319999996</v>
      </c>
      <c r="CR140">
        <f>599.9499844</f>
        <v>599.94998439999995</v>
      </c>
      <c r="CS140">
        <f>582.3242635</f>
        <v>582.32426350000003</v>
      </c>
      <c r="CT140">
        <f>552.0580451</f>
        <v>552.05804509999996</v>
      </c>
      <c r="CU140">
        <f>521.3974084</f>
        <v>521.39740840000002</v>
      </c>
      <c r="CV140">
        <f>451.9797317</f>
        <v>451.9797317</v>
      </c>
      <c r="CW140">
        <f>446.2109894</f>
        <v>446.21098940000002</v>
      </c>
      <c r="CX140">
        <f>414.8059559</f>
        <v>414.80595590000001</v>
      </c>
      <c r="CY140">
        <f>361.8436897</f>
        <v>361.84368970000003</v>
      </c>
      <c r="CZ140">
        <f>317.8281695</f>
        <v>317.8281695</v>
      </c>
      <c r="DA140">
        <f>338.1081854</f>
        <v>338.10818540000002</v>
      </c>
      <c r="DB140">
        <f>411.45967</f>
        <v>411.45967000000002</v>
      </c>
      <c r="DC140">
        <f>588.7206933</f>
        <v>588.72069329999999</v>
      </c>
      <c r="DD140">
        <f>734.4020402</f>
        <v>734.40204019999999</v>
      </c>
      <c r="DE140">
        <f>755.9707434</f>
        <v>755.97074339999995</v>
      </c>
      <c r="DF140">
        <f>725.7742252</f>
        <v>725.77422520000005</v>
      </c>
      <c r="DG140">
        <f>619.5957388</f>
        <v>619.59573880000005</v>
      </c>
      <c r="DH140">
        <f>537.9630792</f>
        <v>537.96307920000004</v>
      </c>
      <c r="DI140">
        <f>514.5420771</f>
        <v>514.54207710000003</v>
      </c>
      <c r="DJ140">
        <f>489.9735932</f>
        <v>489.97359319999998</v>
      </c>
      <c r="DK140">
        <f>524.472531</f>
        <v>524.472531</v>
      </c>
      <c r="DL140">
        <f>607.4672472</f>
        <v>607.46724719999997</v>
      </c>
      <c r="DM140">
        <f>594.6070911</f>
        <v>594.60709110000005</v>
      </c>
      <c r="DN140">
        <f>629.2766321</f>
        <v>629.27663210000003</v>
      </c>
      <c r="DO140">
        <f>595.6586413</f>
        <v>595.6586413</v>
      </c>
      <c r="DP140" t="str">
        <f>""</f>
        <v/>
      </c>
      <c r="DQ140" t="str">
        <f>""</f>
        <v/>
      </c>
      <c r="DR140" t="str">
        <f>""</f>
        <v/>
      </c>
      <c r="DS140" t="str">
        <f>""</f>
        <v/>
      </c>
      <c r="DT140" t="str">
        <f>""</f>
        <v/>
      </c>
      <c r="DU140" t="str">
        <f>""</f>
        <v/>
      </c>
    </row>
    <row r="141" spans="1:125" x14ac:dyDescent="0.25">
      <c r="A141" t="str">
        <f>"    GAZ PJSC"</f>
        <v xml:space="preserve">    GAZ PJSC</v>
      </c>
      <c r="B141" t="str">
        <f>"GAZA RM Equity"</f>
        <v>GAZA RM Equity</v>
      </c>
      <c r="C141" t="str">
        <f t="shared" si="9"/>
        <v>RR841</v>
      </c>
      <c r="D141" t="str">
        <f t="shared" si="10"/>
        <v>TRAIL_12M_EBITDA</v>
      </c>
      <c r="E141" t="str">
        <f t="shared" si="11"/>
        <v>Dynamic</v>
      </c>
      <c r="F141" t="str">
        <f ca="1">IF(AND(ISNUMBER($F$647),$B$511=1),$F$647,HLOOKUP(INDIRECT(ADDRESS(2,COLUMN())),OFFSET($BN$2,0,0,ROW()-1,60),ROW()-1,FALSE))</f>
        <v/>
      </c>
      <c r="G141" t="str">
        <f ca="1">IF(AND(ISNUMBER($G$647),$B$511=1),$G$647,HLOOKUP(INDIRECT(ADDRESS(2,COLUMN())),OFFSET($BN$2,0,0,ROW()-1,60),ROW()-1,FALSE))</f>
        <v/>
      </c>
      <c r="H141" t="str">
        <f ca="1">IF(AND(ISNUMBER($H$647),$B$511=1),$H$647,HLOOKUP(INDIRECT(ADDRESS(2,COLUMN())),OFFSET($BN$2,0,0,ROW()-1,60),ROW()-1,FALSE))</f>
        <v/>
      </c>
      <c r="I141" t="str">
        <f ca="1">IF(AND(ISNUMBER($I$647),$B$511=1),$I$647,HLOOKUP(INDIRECT(ADDRESS(2,COLUMN())),OFFSET($BN$2,0,0,ROW()-1,60),ROW()-1,FALSE))</f>
        <v/>
      </c>
      <c r="J141" t="str">
        <f ca="1">IF(AND(ISNUMBER($J$647),$B$511=1),$J$647,HLOOKUP(INDIRECT(ADDRESS(2,COLUMN())),OFFSET($BN$2,0,0,ROW()-1,60),ROW()-1,FALSE))</f>
        <v/>
      </c>
      <c r="K141" t="str">
        <f ca="1">IF(AND(ISNUMBER($K$647),$B$511=1),$K$647,HLOOKUP(INDIRECT(ADDRESS(2,COLUMN())),OFFSET($BN$2,0,0,ROW()-1,60),ROW()-1,FALSE))</f>
        <v/>
      </c>
      <c r="L141" t="str">
        <f ca="1">IF(AND(ISNUMBER($L$647),$B$511=1),$L$647,HLOOKUP(INDIRECT(ADDRESS(2,COLUMN())),OFFSET($BN$2,0,0,ROW()-1,60),ROW()-1,FALSE))</f>
        <v/>
      </c>
      <c r="M141" t="str">
        <f ca="1">IF(AND(ISNUMBER($M$647),$B$511=1),$M$647,HLOOKUP(INDIRECT(ADDRESS(2,COLUMN())),OFFSET($BN$2,0,0,ROW()-1,60),ROW()-1,FALSE))</f>
        <v/>
      </c>
      <c r="N141" t="str">
        <f ca="1">IF(AND(ISNUMBER($N$647),$B$511=1),$N$647,HLOOKUP(INDIRECT(ADDRESS(2,COLUMN())),OFFSET($BN$2,0,0,ROW()-1,60),ROW()-1,FALSE))</f>
        <v/>
      </c>
      <c r="O141" t="str">
        <f ca="1">IF(AND(ISNUMBER($O$647),$B$511=1),$O$647,HLOOKUP(INDIRECT(ADDRESS(2,COLUMN())),OFFSET($BN$2,0,0,ROW()-1,60),ROW()-1,FALSE))</f>
        <v/>
      </c>
      <c r="P141" t="str">
        <f ca="1">IF(AND(ISNUMBER($P$647),$B$511=1),$P$647,HLOOKUP(INDIRECT(ADDRESS(2,COLUMN())),OFFSET($BN$2,0,0,ROW()-1,60),ROW()-1,FALSE))</f>
        <v/>
      </c>
      <c r="Q141" t="str">
        <f ca="1">IF(AND(ISNUMBER($Q$647),$B$511=1),$Q$647,HLOOKUP(INDIRECT(ADDRESS(2,COLUMN())),OFFSET($BN$2,0,0,ROW()-1,60),ROW()-1,FALSE))</f>
        <v/>
      </c>
      <c r="R141" t="str">
        <f ca="1">IF(AND(ISNUMBER($R$647),$B$511=1),$R$647,HLOOKUP(INDIRECT(ADDRESS(2,COLUMN())),OFFSET($BN$2,0,0,ROW()-1,60),ROW()-1,FALSE))</f>
        <v/>
      </c>
      <c r="S141" t="str">
        <f ca="1">IF(AND(ISNUMBER($S$647),$B$511=1),$S$647,HLOOKUP(INDIRECT(ADDRESS(2,COLUMN())),OFFSET($BN$2,0,0,ROW()-1,60),ROW()-1,FALSE))</f>
        <v/>
      </c>
      <c r="T141" t="str">
        <f ca="1">IF(AND(ISNUMBER($T$647),$B$511=1),$T$647,HLOOKUP(INDIRECT(ADDRESS(2,COLUMN())),OFFSET($BN$2,0,0,ROW()-1,60),ROW()-1,FALSE))</f>
        <v/>
      </c>
      <c r="U141" t="str">
        <f ca="1">IF(AND(ISNUMBER($U$647),$B$511=1),$U$647,HLOOKUP(INDIRECT(ADDRESS(2,COLUMN())),OFFSET($BN$2,0,0,ROW()-1,60),ROW()-1,FALSE))</f>
        <v/>
      </c>
      <c r="V141" t="str">
        <f ca="1">IF(AND(ISNUMBER($V$647),$B$511=1),$V$647,HLOOKUP(INDIRECT(ADDRESS(2,COLUMN())),OFFSET($BN$2,0,0,ROW()-1,60),ROW()-1,FALSE))</f>
        <v/>
      </c>
      <c r="W141" t="str">
        <f ca="1">IF(AND(ISNUMBER($W$647),$B$511=1),$W$647,HLOOKUP(INDIRECT(ADDRESS(2,COLUMN())),OFFSET($BN$2,0,0,ROW()-1,60),ROW()-1,FALSE))</f>
        <v/>
      </c>
      <c r="X141" t="str">
        <f ca="1">IF(AND(ISNUMBER($X$647),$B$511=1),$X$647,HLOOKUP(INDIRECT(ADDRESS(2,COLUMN())),OFFSET($BN$2,0,0,ROW()-1,60),ROW()-1,FALSE))</f>
        <v/>
      </c>
      <c r="Y141" t="str">
        <f ca="1">IF(AND(ISNUMBER($Y$647),$B$511=1),$Y$647,HLOOKUP(INDIRECT(ADDRESS(2,COLUMN())),OFFSET($BN$2,0,0,ROW()-1,60),ROW()-1,FALSE))</f>
        <v/>
      </c>
      <c r="Z141" t="str">
        <f ca="1">IF(AND(ISNUMBER($Z$647),$B$511=1),$Z$647,HLOOKUP(INDIRECT(ADDRESS(2,COLUMN())),OFFSET($BN$2,0,0,ROW()-1,60),ROW()-1,FALSE))</f>
        <v/>
      </c>
      <c r="AA141" t="str">
        <f ca="1">IF(AND(ISNUMBER($AA$647),$B$511=1),$AA$647,HLOOKUP(INDIRECT(ADDRESS(2,COLUMN())),OFFSET($BN$2,0,0,ROW()-1,60),ROW()-1,FALSE))</f>
        <v/>
      </c>
      <c r="AB141" t="str">
        <f ca="1">IF(AND(ISNUMBER($AB$647),$B$511=1),$AB$647,HLOOKUP(INDIRECT(ADDRESS(2,COLUMN())),OFFSET($BN$2,0,0,ROW()-1,60),ROW()-1,FALSE))</f>
        <v/>
      </c>
      <c r="AC141" t="str">
        <f ca="1">IF(AND(ISNUMBER($AC$647),$B$511=1),$AC$647,HLOOKUP(INDIRECT(ADDRESS(2,COLUMN())),OFFSET($BN$2,0,0,ROW()-1,60),ROW()-1,FALSE))</f>
        <v/>
      </c>
      <c r="AD141" t="str">
        <f ca="1">IF(AND(ISNUMBER($AD$647),$B$511=1),$AD$647,HLOOKUP(INDIRECT(ADDRESS(2,COLUMN())),OFFSET($BN$2,0,0,ROW()-1,60),ROW()-1,FALSE))</f>
        <v/>
      </c>
      <c r="AE141" t="str">
        <f ca="1">IF(AND(ISNUMBER($AE$647),$B$511=1),$AE$647,HLOOKUP(INDIRECT(ADDRESS(2,COLUMN())),OFFSET($BN$2,0,0,ROW()-1,60),ROW()-1,FALSE))</f>
        <v/>
      </c>
      <c r="AF141" t="str">
        <f ca="1">IF(AND(ISNUMBER($AF$647),$B$511=1),$AF$647,HLOOKUP(INDIRECT(ADDRESS(2,COLUMN())),OFFSET($BN$2,0,0,ROW()-1,60),ROW()-1,FALSE))</f>
        <v/>
      </c>
      <c r="AG141" t="str">
        <f ca="1">IF(AND(ISNUMBER($AG$647),$B$511=1),$AG$647,HLOOKUP(INDIRECT(ADDRESS(2,COLUMN())),OFFSET($BN$2,0,0,ROW()-1,60),ROW()-1,FALSE))</f>
        <v/>
      </c>
      <c r="AH141" t="str">
        <f ca="1">IF(AND(ISNUMBER($AH$647),$B$511=1),$AH$647,HLOOKUP(INDIRECT(ADDRESS(2,COLUMN())),OFFSET($BN$2,0,0,ROW()-1,60),ROW()-1,FALSE))</f>
        <v/>
      </c>
      <c r="AI141" t="str">
        <f ca="1">IF(AND(ISNUMBER($AI$647),$B$511=1),$AI$647,HLOOKUP(INDIRECT(ADDRESS(2,COLUMN())),OFFSET($BN$2,0,0,ROW()-1,60),ROW()-1,FALSE))</f>
        <v/>
      </c>
      <c r="AJ141" t="str">
        <f ca="1">IF(AND(ISNUMBER($AJ$647),$B$511=1),$AJ$647,HLOOKUP(INDIRECT(ADDRESS(2,COLUMN())),OFFSET($BN$2,0,0,ROW()-1,60),ROW()-1,FALSE))</f>
        <v/>
      </c>
      <c r="AK141" t="str">
        <f ca="1">IF(AND(ISNUMBER($AK$647),$B$511=1),$AK$647,HLOOKUP(INDIRECT(ADDRESS(2,COLUMN())),OFFSET($BN$2,0,0,ROW()-1,60),ROW()-1,FALSE))</f>
        <v/>
      </c>
      <c r="AL141" t="str">
        <f ca="1">IF(AND(ISNUMBER($AL$647),$B$511=1),$AL$647,HLOOKUP(INDIRECT(ADDRESS(2,COLUMN())),OFFSET($BN$2,0,0,ROW()-1,60),ROW()-1,FALSE))</f>
        <v/>
      </c>
      <c r="AM141" t="str">
        <f ca="1">IF(AND(ISNUMBER($AM$647),$B$511=1),$AM$647,HLOOKUP(INDIRECT(ADDRESS(2,COLUMN())),OFFSET($BN$2,0,0,ROW()-1,60),ROW()-1,FALSE))</f>
        <v/>
      </c>
      <c r="AN141" t="str">
        <f ca="1">IF(AND(ISNUMBER($AN$647),$B$511=1),$AN$647,HLOOKUP(INDIRECT(ADDRESS(2,COLUMN())),OFFSET($BN$2,0,0,ROW()-1,60),ROW()-1,FALSE))</f>
        <v/>
      </c>
      <c r="AO141" t="str">
        <f ca="1">IF(AND(ISNUMBER($AO$647),$B$511=1),$AO$647,HLOOKUP(INDIRECT(ADDRESS(2,COLUMN())),OFFSET($BN$2,0,0,ROW()-1,60),ROW()-1,FALSE))</f>
        <v/>
      </c>
      <c r="AP141" t="str">
        <f ca="1">IF(AND(ISNUMBER($AP$647),$B$511=1),$AP$647,HLOOKUP(INDIRECT(ADDRESS(2,COLUMN())),OFFSET($BN$2,0,0,ROW()-1,60),ROW()-1,FALSE))</f>
        <v/>
      </c>
      <c r="AQ141" t="str">
        <f ca="1">IF(AND(ISNUMBER($AQ$647),$B$511=1),$AQ$647,HLOOKUP(INDIRECT(ADDRESS(2,COLUMN())),OFFSET($BN$2,0,0,ROW()-1,60),ROW()-1,FALSE))</f>
        <v/>
      </c>
      <c r="AR141" t="str">
        <f ca="1">IF(AND(ISNUMBER($AR$647),$B$511=1),$AR$647,HLOOKUP(INDIRECT(ADDRESS(2,COLUMN())),OFFSET($BN$2,0,0,ROW()-1,60),ROW()-1,FALSE))</f>
        <v/>
      </c>
      <c r="AS141" t="str">
        <f ca="1">IF(AND(ISNUMBER($AS$647),$B$511=1),$AS$647,HLOOKUP(INDIRECT(ADDRESS(2,COLUMN())),OFFSET($BN$2,0,0,ROW()-1,60),ROW()-1,FALSE))</f>
        <v/>
      </c>
      <c r="AT141" t="str">
        <f ca="1">IF(AND(ISNUMBER($AT$647),$B$511=1),$AT$647,HLOOKUP(INDIRECT(ADDRESS(2,COLUMN())),OFFSET($BN$2,0,0,ROW()-1,60),ROW()-1,FALSE))</f>
        <v/>
      </c>
      <c r="AU141" t="str">
        <f ca="1">IF(AND(ISNUMBER($AU$647),$B$511=1),$AU$647,HLOOKUP(INDIRECT(ADDRESS(2,COLUMN())),OFFSET($BN$2,0,0,ROW()-1,60),ROW()-1,FALSE))</f>
        <v/>
      </c>
      <c r="AV141" t="str">
        <f ca="1">IF(AND(ISNUMBER($AV$647),$B$511=1),$AV$647,HLOOKUP(INDIRECT(ADDRESS(2,COLUMN())),OFFSET($BN$2,0,0,ROW()-1,60),ROW()-1,FALSE))</f>
        <v/>
      </c>
      <c r="AW141" t="str">
        <f ca="1">IF(AND(ISNUMBER($AW$647),$B$511=1),$AW$647,HLOOKUP(INDIRECT(ADDRESS(2,COLUMN())),OFFSET($BN$2,0,0,ROW()-1,60),ROW()-1,FALSE))</f>
        <v/>
      </c>
      <c r="AX141" t="str">
        <f ca="1">IF(AND(ISNUMBER($AX$647),$B$511=1),$AX$647,HLOOKUP(INDIRECT(ADDRESS(2,COLUMN())),OFFSET($BN$2,0,0,ROW()-1,60),ROW()-1,FALSE))</f>
        <v/>
      </c>
      <c r="AY141" t="str">
        <f ca="1">IF(AND(ISNUMBER($AY$647),$B$511=1),$AY$647,HLOOKUP(INDIRECT(ADDRESS(2,COLUMN())),OFFSET($BN$2,0,0,ROW()-1,60),ROW()-1,FALSE))</f>
        <v/>
      </c>
      <c r="AZ141" t="str">
        <f ca="1">IF(AND(ISNUMBER($AZ$647),$B$511=1),$AZ$647,HLOOKUP(INDIRECT(ADDRESS(2,COLUMN())),OFFSET($BN$2,0,0,ROW()-1,60),ROW()-1,FALSE))</f>
        <v/>
      </c>
      <c r="BA141" t="str">
        <f ca="1">IF(AND(ISNUMBER($BA$647),$B$511=1),$BA$647,HLOOKUP(INDIRECT(ADDRESS(2,COLUMN())),OFFSET($BN$2,0,0,ROW()-1,60),ROW()-1,FALSE))</f>
        <v/>
      </c>
      <c r="BB141" t="str">
        <f ca="1">IF(AND(ISNUMBER($BB$647),$B$511=1),$BB$647,HLOOKUP(INDIRECT(ADDRESS(2,COLUMN())),OFFSET($BN$2,0,0,ROW()-1,60),ROW()-1,FALSE))</f>
        <v/>
      </c>
      <c r="BC141" t="str">
        <f ca="1">IF(AND(ISNUMBER($BC$647),$B$511=1),$BC$647,HLOOKUP(INDIRECT(ADDRESS(2,COLUMN())),OFFSET($BN$2,0,0,ROW()-1,60),ROW()-1,FALSE))</f>
        <v/>
      </c>
      <c r="BD141" t="str">
        <f ca="1">IF(AND(ISNUMBER($BD$647),$B$511=1),$BD$647,HLOOKUP(INDIRECT(ADDRESS(2,COLUMN())),OFFSET($BN$2,0,0,ROW()-1,60),ROW()-1,FALSE))</f>
        <v/>
      </c>
      <c r="BE141" t="str">
        <f ca="1">IF(AND(ISNUMBER($BE$647),$B$511=1),$BE$647,HLOOKUP(INDIRECT(ADDRESS(2,COLUMN())),OFFSET($BN$2,0,0,ROW()-1,60),ROW()-1,FALSE))</f>
        <v/>
      </c>
      <c r="BF141" t="str">
        <f ca="1">IF(AND(ISNUMBER($BF$647),$B$511=1),$BF$647,HLOOKUP(INDIRECT(ADDRESS(2,COLUMN())),OFFSET($BN$2,0,0,ROW()-1,60),ROW()-1,FALSE))</f>
        <v/>
      </c>
      <c r="BG141" t="str">
        <f ca="1">IF(AND(ISNUMBER($BG$647),$B$511=1),$BG$647,HLOOKUP(INDIRECT(ADDRESS(2,COLUMN())),OFFSET($BN$2,0,0,ROW()-1,60),ROW()-1,FALSE))</f>
        <v/>
      </c>
      <c r="BH141" t="str">
        <f ca="1">IF(AND(ISNUMBER($BH$647),$B$511=1),$BH$647,HLOOKUP(INDIRECT(ADDRESS(2,COLUMN())),OFFSET($BN$2,0,0,ROW()-1,60),ROW()-1,FALSE))</f>
        <v/>
      </c>
      <c r="BI141" t="str">
        <f ca="1">IF(AND(ISNUMBER($BI$647),$B$511=1),$BI$647,HLOOKUP(INDIRECT(ADDRESS(2,COLUMN())),OFFSET($BN$2,0,0,ROW()-1,60),ROW()-1,FALSE))</f>
        <v/>
      </c>
      <c r="BJ141" t="str">
        <f ca="1">IF(AND(ISNUMBER($BJ$647),$B$511=1),$BJ$647,HLOOKUP(INDIRECT(ADDRESS(2,COLUMN())),OFFSET($BN$2,0,0,ROW()-1,60),ROW()-1,FALSE))</f>
        <v/>
      </c>
      <c r="BK141" t="str">
        <f ca="1">IF(AND(ISNUMBER($BK$647),$B$511=1),$BK$647,HLOOKUP(INDIRECT(ADDRESS(2,COLUMN())),OFFSET($BN$2,0,0,ROW()-1,60),ROW()-1,FALSE))</f>
        <v/>
      </c>
      <c r="BL141" t="str">
        <f ca="1">IF(AND(ISNUMBER($BL$647),$B$511=1),$BL$647,HLOOKUP(INDIRECT(ADDRESS(2,COLUMN())),OFFSET($BN$2,0,0,ROW()-1,60),ROW()-1,FALSE))</f>
        <v/>
      </c>
      <c r="BM141" t="str">
        <f ca="1">IF(AND(ISNUMBER($BM$647),$B$511=1),$BM$647,HLOOKUP(INDIRECT(ADDRESS(2,COLUMN())),OFFSET($BN$2,0,0,ROW()-1,60),ROW()-1,FALSE))</f>
        <v/>
      </c>
      <c r="BN141" t="str">
        <f>""</f>
        <v/>
      </c>
      <c r="BO141" t="str">
        <f>""</f>
        <v/>
      </c>
      <c r="BP141" t="str">
        <f>""</f>
        <v/>
      </c>
      <c r="BQ141" t="str">
        <f>""</f>
        <v/>
      </c>
      <c r="BR141" t="str">
        <f>""</f>
        <v/>
      </c>
      <c r="BS141" t="str">
        <f>""</f>
        <v/>
      </c>
      <c r="BT141" t="str">
        <f>""</f>
        <v/>
      </c>
      <c r="BU141" t="str">
        <f>""</f>
        <v/>
      </c>
      <c r="BV141" t="str">
        <f>""</f>
        <v/>
      </c>
      <c r="BW141" t="str">
        <f>""</f>
        <v/>
      </c>
      <c r="BX141" t="str">
        <f>""</f>
        <v/>
      </c>
      <c r="BY141" t="str">
        <f>""</f>
        <v/>
      </c>
      <c r="BZ141" t="str">
        <f>""</f>
        <v/>
      </c>
      <c r="CA141" t="str">
        <f>""</f>
        <v/>
      </c>
      <c r="CB141" t="str">
        <f>""</f>
        <v/>
      </c>
      <c r="CC141" t="str">
        <f>""</f>
        <v/>
      </c>
      <c r="CD141" t="str">
        <f>""</f>
        <v/>
      </c>
      <c r="CE141" t="str">
        <f>""</f>
        <v/>
      </c>
      <c r="CF141" t="str">
        <f>""</f>
        <v/>
      </c>
      <c r="CG141" t="str">
        <f>""</f>
        <v/>
      </c>
      <c r="CH141" t="str">
        <f>""</f>
        <v/>
      </c>
      <c r="CI141" t="str">
        <f>""</f>
        <v/>
      </c>
      <c r="CJ141" t="str">
        <f>""</f>
        <v/>
      </c>
      <c r="CK141" t="str">
        <f>""</f>
        <v/>
      </c>
      <c r="CL141" t="str">
        <f>""</f>
        <v/>
      </c>
      <c r="CM141" t="str">
        <f>""</f>
        <v/>
      </c>
      <c r="CN141" t="str">
        <f>""</f>
        <v/>
      </c>
      <c r="CO141" t="str">
        <f>""</f>
        <v/>
      </c>
      <c r="CP141" t="str">
        <f>""</f>
        <v/>
      </c>
      <c r="CQ141" t="str">
        <f>""</f>
        <v/>
      </c>
      <c r="CR141" t="str">
        <f>""</f>
        <v/>
      </c>
      <c r="CS141" t="str">
        <f>""</f>
        <v/>
      </c>
      <c r="CT141" t="str">
        <f>""</f>
        <v/>
      </c>
      <c r="CU141" t="str">
        <f>""</f>
        <v/>
      </c>
      <c r="CV141" t="str">
        <f>""</f>
        <v/>
      </c>
      <c r="CW141" t="str">
        <f>""</f>
        <v/>
      </c>
      <c r="CX141" t="str">
        <f>""</f>
        <v/>
      </c>
      <c r="CY141" t="str">
        <f>""</f>
        <v/>
      </c>
      <c r="CZ141" t="str">
        <f>""</f>
        <v/>
      </c>
      <c r="DA141" t="str">
        <f>""</f>
        <v/>
      </c>
      <c r="DB141" t="str">
        <f>""</f>
        <v/>
      </c>
      <c r="DC141" t="str">
        <f>""</f>
        <v/>
      </c>
      <c r="DD141" t="str">
        <f>""</f>
        <v/>
      </c>
      <c r="DE141" t="str">
        <f>""</f>
        <v/>
      </c>
      <c r="DF141" t="str">
        <f>""</f>
        <v/>
      </c>
      <c r="DG141" t="str">
        <f>""</f>
        <v/>
      </c>
      <c r="DH141" t="str">
        <f>""</f>
        <v/>
      </c>
      <c r="DI141" t="str">
        <f>""</f>
        <v/>
      </c>
      <c r="DJ141" t="str">
        <f>""</f>
        <v/>
      </c>
      <c r="DK141" t="str">
        <f>""</f>
        <v/>
      </c>
      <c r="DL141" t="str">
        <f>""</f>
        <v/>
      </c>
      <c r="DM141" t="str">
        <f>""</f>
        <v/>
      </c>
      <c r="DN141" t="str">
        <f>""</f>
        <v/>
      </c>
      <c r="DO141" t="str">
        <f>""</f>
        <v/>
      </c>
      <c r="DP141" t="str">
        <f>""</f>
        <v/>
      </c>
      <c r="DQ141" t="str">
        <f>""</f>
        <v/>
      </c>
      <c r="DR141" t="str">
        <f>""</f>
        <v/>
      </c>
      <c r="DS141" t="str">
        <f>""</f>
        <v/>
      </c>
      <c r="DT141" t="str">
        <f>""</f>
        <v/>
      </c>
      <c r="DU141" t="str">
        <f>""</f>
        <v/>
      </c>
    </row>
    <row r="142" spans="1:125" x14ac:dyDescent="0.25">
      <c r="A142" t="str">
        <f>"    Geely Automobile Holdings Ltd"</f>
        <v xml:space="preserve">    Geely Automobile Holdings Ltd</v>
      </c>
      <c r="B142" t="str">
        <f>"175 HK Equity"</f>
        <v>175 HK Equity</v>
      </c>
      <c r="C142" t="str">
        <f t="shared" si="9"/>
        <v>RR841</v>
      </c>
      <c r="D142" t="str">
        <f t="shared" si="10"/>
        <v>TRAIL_12M_EBITDA</v>
      </c>
      <c r="E142" t="str">
        <f t="shared" si="11"/>
        <v>Dynamic</v>
      </c>
      <c r="F142" t="str">
        <f ca="1">IF(AND(ISNUMBER($F$648),$B$511=1),$F$648,HLOOKUP(INDIRECT(ADDRESS(2,COLUMN())),OFFSET($BN$2,0,0,ROW()-1,60),ROW()-1,FALSE))</f>
        <v/>
      </c>
      <c r="G142" t="str">
        <f ca="1">IF(AND(ISNUMBER($G$648),$B$511=1),$G$648,HLOOKUP(INDIRECT(ADDRESS(2,COLUMN())),OFFSET($BN$2,0,0,ROW()-1,60),ROW()-1,FALSE))</f>
        <v/>
      </c>
      <c r="H142" t="str">
        <f ca="1">IF(AND(ISNUMBER($H$648),$B$511=1),$H$648,HLOOKUP(INDIRECT(ADDRESS(2,COLUMN())),OFFSET($BN$2,0,0,ROW()-1,60),ROW()-1,FALSE))</f>
        <v/>
      </c>
      <c r="I142" t="str">
        <f ca="1">IF(AND(ISNUMBER($I$648),$B$511=1),$I$648,HLOOKUP(INDIRECT(ADDRESS(2,COLUMN())),OFFSET($BN$2,0,0,ROW()-1,60),ROW()-1,FALSE))</f>
        <v/>
      </c>
      <c r="J142" t="str">
        <f ca="1">IF(AND(ISNUMBER($J$648),$B$511=1),$J$648,HLOOKUP(INDIRECT(ADDRESS(2,COLUMN())),OFFSET($BN$2,0,0,ROW()-1,60),ROW()-1,FALSE))</f>
        <v/>
      </c>
      <c r="K142" t="str">
        <f ca="1">IF(AND(ISNUMBER($K$648),$B$511=1),$K$648,HLOOKUP(INDIRECT(ADDRESS(2,COLUMN())),OFFSET($BN$2,0,0,ROW()-1,60),ROW()-1,FALSE))</f>
        <v/>
      </c>
      <c r="L142" t="str">
        <f ca="1">IF(AND(ISNUMBER($L$648),$B$511=1),$L$648,HLOOKUP(INDIRECT(ADDRESS(2,COLUMN())),OFFSET($BN$2,0,0,ROW()-1,60),ROW()-1,FALSE))</f>
        <v/>
      </c>
      <c r="M142" t="str">
        <f ca="1">IF(AND(ISNUMBER($M$648),$B$511=1),$M$648,HLOOKUP(INDIRECT(ADDRESS(2,COLUMN())),OFFSET($BN$2,0,0,ROW()-1,60),ROW()-1,FALSE))</f>
        <v/>
      </c>
      <c r="N142" t="str">
        <f ca="1">IF(AND(ISNUMBER($N$648),$B$511=1),$N$648,HLOOKUP(INDIRECT(ADDRESS(2,COLUMN())),OFFSET($BN$2,0,0,ROW()-1,60),ROW()-1,FALSE))</f>
        <v/>
      </c>
      <c r="O142" t="str">
        <f ca="1">IF(AND(ISNUMBER($O$648),$B$511=1),$O$648,HLOOKUP(INDIRECT(ADDRESS(2,COLUMN())),OFFSET($BN$2,0,0,ROW()-1,60),ROW()-1,FALSE))</f>
        <v/>
      </c>
      <c r="P142" t="str">
        <f ca="1">IF(AND(ISNUMBER($P$648),$B$511=1),$P$648,HLOOKUP(INDIRECT(ADDRESS(2,COLUMN())),OFFSET($BN$2,0,0,ROW()-1,60),ROW()-1,FALSE))</f>
        <v/>
      </c>
      <c r="Q142" t="str">
        <f ca="1">IF(AND(ISNUMBER($Q$648),$B$511=1),$Q$648,HLOOKUP(INDIRECT(ADDRESS(2,COLUMN())),OFFSET($BN$2,0,0,ROW()-1,60),ROW()-1,FALSE))</f>
        <v/>
      </c>
      <c r="R142" t="str">
        <f ca="1">IF(AND(ISNUMBER($R$648),$B$511=1),$R$648,HLOOKUP(INDIRECT(ADDRESS(2,COLUMN())),OFFSET($BN$2,0,0,ROW()-1,60),ROW()-1,FALSE))</f>
        <v/>
      </c>
      <c r="S142" t="str">
        <f ca="1">IF(AND(ISNUMBER($S$648),$B$511=1),$S$648,HLOOKUP(INDIRECT(ADDRESS(2,COLUMN())),OFFSET($BN$2,0,0,ROW()-1,60),ROW()-1,FALSE))</f>
        <v/>
      </c>
      <c r="T142" t="str">
        <f ca="1">IF(AND(ISNUMBER($T$648),$B$511=1),$T$648,HLOOKUP(INDIRECT(ADDRESS(2,COLUMN())),OFFSET($BN$2,0,0,ROW()-1,60),ROW()-1,FALSE))</f>
        <v/>
      </c>
      <c r="U142" t="str">
        <f ca="1">IF(AND(ISNUMBER($U$648),$B$511=1),$U$648,HLOOKUP(INDIRECT(ADDRESS(2,COLUMN())),OFFSET($BN$2,0,0,ROW()-1,60),ROW()-1,FALSE))</f>
        <v/>
      </c>
      <c r="V142" t="str">
        <f ca="1">IF(AND(ISNUMBER($V$648),$B$511=1),$V$648,HLOOKUP(INDIRECT(ADDRESS(2,COLUMN())),OFFSET($BN$2,0,0,ROW()-1,60),ROW()-1,FALSE))</f>
        <v/>
      </c>
      <c r="W142" t="str">
        <f ca="1">IF(AND(ISNUMBER($W$648),$B$511=1),$W$648,HLOOKUP(INDIRECT(ADDRESS(2,COLUMN())),OFFSET($BN$2,0,0,ROW()-1,60),ROW()-1,FALSE))</f>
        <v/>
      </c>
      <c r="X142" t="str">
        <f ca="1">IF(AND(ISNUMBER($X$648),$B$511=1),$X$648,HLOOKUP(INDIRECT(ADDRESS(2,COLUMN())),OFFSET($BN$2,0,0,ROW()-1,60),ROW()-1,FALSE))</f>
        <v/>
      </c>
      <c r="Y142" t="str">
        <f ca="1">IF(AND(ISNUMBER($Y$648),$B$511=1),$Y$648,HLOOKUP(INDIRECT(ADDRESS(2,COLUMN())),OFFSET($BN$2,0,0,ROW()-1,60),ROW()-1,FALSE))</f>
        <v/>
      </c>
      <c r="Z142" t="str">
        <f ca="1">IF(AND(ISNUMBER($Z$648),$B$511=1),$Z$648,HLOOKUP(INDIRECT(ADDRESS(2,COLUMN())),OFFSET($BN$2,0,0,ROW()-1,60),ROW()-1,FALSE))</f>
        <v/>
      </c>
      <c r="AA142" t="str">
        <f ca="1">IF(AND(ISNUMBER($AA$648),$B$511=1),$AA$648,HLOOKUP(INDIRECT(ADDRESS(2,COLUMN())),OFFSET($BN$2,0,0,ROW()-1,60),ROW()-1,FALSE))</f>
        <v/>
      </c>
      <c r="AB142" t="str">
        <f ca="1">IF(AND(ISNUMBER($AB$648),$B$511=1),$AB$648,HLOOKUP(INDIRECT(ADDRESS(2,COLUMN())),OFFSET($BN$2,0,0,ROW()-1,60),ROW()-1,FALSE))</f>
        <v/>
      </c>
      <c r="AC142" t="str">
        <f ca="1">IF(AND(ISNUMBER($AC$648),$B$511=1),$AC$648,HLOOKUP(INDIRECT(ADDRESS(2,COLUMN())),OFFSET($BN$2,0,0,ROW()-1,60),ROW()-1,FALSE))</f>
        <v/>
      </c>
      <c r="AD142" t="str">
        <f ca="1">IF(AND(ISNUMBER($AD$648),$B$511=1),$AD$648,HLOOKUP(INDIRECT(ADDRESS(2,COLUMN())),OFFSET($BN$2,0,0,ROW()-1,60),ROW()-1,FALSE))</f>
        <v/>
      </c>
      <c r="AE142" t="str">
        <f ca="1">IF(AND(ISNUMBER($AE$648),$B$511=1),$AE$648,HLOOKUP(INDIRECT(ADDRESS(2,COLUMN())),OFFSET($BN$2,0,0,ROW()-1,60),ROW()-1,FALSE))</f>
        <v/>
      </c>
      <c r="AF142" t="str">
        <f ca="1">IF(AND(ISNUMBER($AF$648),$B$511=1),$AF$648,HLOOKUP(INDIRECT(ADDRESS(2,COLUMN())),OFFSET($BN$2,0,0,ROW()-1,60),ROW()-1,FALSE))</f>
        <v/>
      </c>
      <c r="AG142" t="str">
        <f ca="1">IF(AND(ISNUMBER($AG$648),$B$511=1),$AG$648,HLOOKUP(INDIRECT(ADDRESS(2,COLUMN())),OFFSET($BN$2,0,0,ROW()-1,60),ROW()-1,FALSE))</f>
        <v/>
      </c>
      <c r="AH142" t="str">
        <f ca="1">IF(AND(ISNUMBER($AH$648),$B$511=1),$AH$648,HLOOKUP(INDIRECT(ADDRESS(2,COLUMN())),OFFSET($BN$2,0,0,ROW()-1,60),ROW()-1,FALSE))</f>
        <v/>
      </c>
      <c r="AI142" t="str">
        <f ca="1">IF(AND(ISNUMBER($AI$648),$B$511=1),$AI$648,HLOOKUP(INDIRECT(ADDRESS(2,COLUMN())),OFFSET($BN$2,0,0,ROW()-1,60),ROW()-1,FALSE))</f>
        <v/>
      </c>
      <c r="AJ142" t="str">
        <f ca="1">IF(AND(ISNUMBER($AJ$648),$B$511=1),$AJ$648,HLOOKUP(INDIRECT(ADDRESS(2,COLUMN())),OFFSET($BN$2,0,0,ROW()-1,60),ROW()-1,FALSE))</f>
        <v/>
      </c>
      <c r="AK142" t="str">
        <f ca="1">IF(AND(ISNUMBER($AK$648),$B$511=1),$AK$648,HLOOKUP(INDIRECT(ADDRESS(2,COLUMN())),OFFSET($BN$2,0,0,ROW()-1,60),ROW()-1,FALSE))</f>
        <v/>
      </c>
      <c r="AL142" t="str">
        <f ca="1">IF(AND(ISNUMBER($AL$648),$B$511=1),$AL$648,HLOOKUP(INDIRECT(ADDRESS(2,COLUMN())),OFFSET($BN$2,0,0,ROW()-1,60),ROW()-1,FALSE))</f>
        <v/>
      </c>
      <c r="AM142" t="str">
        <f ca="1">IF(AND(ISNUMBER($AM$648),$B$511=1),$AM$648,HLOOKUP(INDIRECT(ADDRESS(2,COLUMN())),OFFSET($BN$2,0,0,ROW()-1,60),ROW()-1,FALSE))</f>
        <v/>
      </c>
      <c r="AN142" t="str">
        <f ca="1">IF(AND(ISNUMBER($AN$648),$B$511=1),$AN$648,HLOOKUP(INDIRECT(ADDRESS(2,COLUMN())),OFFSET($BN$2,0,0,ROW()-1,60),ROW()-1,FALSE))</f>
        <v/>
      </c>
      <c r="AO142" t="str">
        <f ca="1">IF(AND(ISNUMBER($AO$648),$B$511=1),$AO$648,HLOOKUP(INDIRECT(ADDRESS(2,COLUMN())),OFFSET($BN$2,0,0,ROW()-1,60),ROW()-1,FALSE))</f>
        <v/>
      </c>
      <c r="AP142" t="str">
        <f ca="1">IF(AND(ISNUMBER($AP$648),$B$511=1),$AP$648,HLOOKUP(INDIRECT(ADDRESS(2,COLUMN())),OFFSET($BN$2,0,0,ROW()-1,60),ROW()-1,FALSE))</f>
        <v/>
      </c>
      <c r="AQ142" t="str">
        <f ca="1">IF(AND(ISNUMBER($AQ$648),$B$511=1),$AQ$648,HLOOKUP(INDIRECT(ADDRESS(2,COLUMN())),OFFSET($BN$2,0,0,ROW()-1,60),ROW()-1,FALSE))</f>
        <v/>
      </c>
      <c r="AR142" t="str">
        <f ca="1">IF(AND(ISNUMBER($AR$648),$B$511=1),$AR$648,HLOOKUP(INDIRECT(ADDRESS(2,COLUMN())),OFFSET($BN$2,0,0,ROW()-1,60),ROW()-1,FALSE))</f>
        <v/>
      </c>
      <c r="AS142" t="str">
        <f ca="1">IF(AND(ISNUMBER($AS$648),$B$511=1),$AS$648,HLOOKUP(INDIRECT(ADDRESS(2,COLUMN())),OFFSET($BN$2,0,0,ROW()-1,60),ROW()-1,FALSE))</f>
        <v/>
      </c>
      <c r="AT142" t="str">
        <f ca="1">IF(AND(ISNUMBER($AT$648),$B$511=1),$AT$648,HLOOKUP(INDIRECT(ADDRESS(2,COLUMN())),OFFSET($BN$2,0,0,ROW()-1,60),ROW()-1,FALSE))</f>
        <v/>
      </c>
      <c r="AU142" t="str">
        <f ca="1">IF(AND(ISNUMBER($AU$648),$B$511=1),$AU$648,HLOOKUP(INDIRECT(ADDRESS(2,COLUMN())),OFFSET($BN$2,0,0,ROW()-1,60),ROW()-1,FALSE))</f>
        <v/>
      </c>
      <c r="AV142" t="str">
        <f ca="1">IF(AND(ISNUMBER($AV$648),$B$511=1),$AV$648,HLOOKUP(INDIRECT(ADDRESS(2,COLUMN())),OFFSET($BN$2,0,0,ROW()-1,60),ROW()-1,FALSE))</f>
        <v/>
      </c>
      <c r="AW142" t="str">
        <f ca="1">IF(AND(ISNUMBER($AW$648),$B$511=1),$AW$648,HLOOKUP(INDIRECT(ADDRESS(2,COLUMN())),OFFSET($BN$2,0,0,ROW()-1,60),ROW()-1,FALSE))</f>
        <v/>
      </c>
      <c r="AX142" t="str">
        <f ca="1">IF(AND(ISNUMBER($AX$648),$B$511=1),$AX$648,HLOOKUP(INDIRECT(ADDRESS(2,COLUMN())),OFFSET($BN$2,0,0,ROW()-1,60),ROW()-1,FALSE))</f>
        <v/>
      </c>
      <c r="AY142" t="str">
        <f ca="1">IF(AND(ISNUMBER($AY$648),$B$511=1),$AY$648,HLOOKUP(INDIRECT(ADDRESS(2,COLUMN())),OFFSET($BN$2,0,0,ROW()-1,60),ROW()-1,FALSE))</f>
        <v/>
      </c>
      <c r="AZ142" t="str">
        <f ca="1">IF(AND(ISNUMBER($AZ$648),$B$511=1),$AZ$648,HLOOKUP(INDIRECT(ADDRESS(2,COLUMN())),OFFSET($BN$2,0,0,ROW()-1,60),ROW()-1,FALSE))</f>
        <v/>
      </c>
      <c r="BA142" t="str">
        <f ca="1">IF(AND(ISNUMBER($BA$648),$B$511=1),$BA$648,HLOOKUP(INDIRECT(ADDRESS(2,COLUMN())),OFFSET($BN$2,0,0,ROW()-1,60),ROW()-1,FALSE))</f>
        <v/>
      </c>
      <c r="BB142" t="str">
        <f ca="1">IF(AND(ISNUMBER($BB$648),$B$511=1),$BB$648,HLOOKUP(INDIRECT(ADDRESS(2,COLUMN())),OFFSET($BN$2,0,0,ROW()-1,60),ROW()-1,FALSE))</f>
        <v/>
      </c>
      <c r="BC142" t="str">
        <f ca="1">IF(AND(ISNUMBER($BC$648),$B$511=1),$BC$648,HLOOKUP(INDIRECT(ADDRESS(2,COLUMN())),OFFSET($BN$2,0,0,ROW()-1,60),ROW()-1,FALSE))</f>
        <v/>
      </c>
      <c r="BD142" t="str">
        <f ca="1">IF(AND(ISNUMBER($BD$648),$B$511=1),$BD$648,HLOOKUP(INDIRECT(ADDRESS(2,COLUMN())),OFFSET($BN$2,0,0,ROW()-1,60),ROW()-1,FALSE))</f>
        <v/>
      </c>
      <c r="BE142" t="str">
        <f ca="1">IF(AND(ISNUMBER($BE$648),$B$511=1),$BE$648,HLOOKUP(INDIRECT(ADDRESS(2,COLUMN())),OFFSET($BN$2,0,0,ROW()-1,60),ROW()-1,FALSE))</f>
        <v/>
      </c>
      <c r="BF142" t="str">
        <f ca="1">IF(AND(ISNUMBER($BF$648),$B$511=1),$BF$648,HLOOKUP(INDIRECT(ADDRESS(2,COLUMN())),OFFSET($BN$2,0,0,ROW()-1,60),ROW()-1,FALSE))</f>
        <v/>
      </c>
      <c r="BG142" t="str">
        <f ca="1">IF(AND(ISNUMBER($BG$648),$B$511=1),$BG$648,HLOOKUP(INDIRECT(ADDRESS(2,COLUMN())),OFFSET($BN$2,0,0,ROW()-1,60),ROW()-1,FALSE))</f>
        <v/>
      </c>
      <c r="BH142" t="str">
        <f ca="1">IF(AND(ISNUMBER($BH$648),$B$511=1),$BH$648,HLOOKUP(INDIRECT(ADDRESS(2,COLUMN())),OFFSET($BN$2,0,0,ROW()-1,60),ROW()-1,FALSE))</f>
        <v/>
      </c>
      <c r="BI142" t="str">
        <f ca="1">IF(AND(ISNUMBER($BI$648),$B$511=1),$BI$648,HLOOKUP(INDIRECT(ADDRESS(2,COLUMN())),OFFSET($BN$2,0,0,ROW()-1,60),ROW()-1,FALSE))</f>
        <v/>
      </c>
      <c r="BJ142" t="str">
        <f ca="1">IF(AND(ISNUMBER($BJ$648),$B$511=1),$BJ$648,HLOOKUP(INDIRECT(ADDRESS(2,COLUMN())),OFFSET($BN$2,0,0,ROW()-1,60),ROW()-1,FALSE))</f>
        <v/>
      </c>
      <c r="BK142" t="str">
        <f ca="1">IF(AND(ISNUMBER($BK$648),$B$511=1),$BK$648,HLOOKUP(INDIRECT(ADDRESS(2,COLUMN())),OFFSET($BN$2,0,0,ROW()-1,60),ROW()-1,FALSE))</f>
        <v/>
      </c>
      <c r="BL142" t="str">
        <f ca="1">IF(AND(ISNUMBER($BL$648),$B$511=1),$BL$648,HLOOKUP(INDIRECT(ADDRESS(2,COLUMN())),OFFSET($BN$2,0,0,ROW()-1,60),ROW()-1,FALSE))</f>
        <v/>
      </c>
      <c r="BM142" t="str">
        <f ca="1">IF(AND(ISNUMBER($BM$648),$B$511=1),$BM$648,HLOOKUP(INDIRECT(ADDRESS(2,COLUMN())),OFFSET($BN$2,0,0,ROW()-1,60),ROW()-1,FALSE))</f>
        <v/>
      </c>
      <c r="BN142" t="str">
        <f>""</f>
        <v/>
      </c>
      <c r="BO142" t="str">
        <f>""</f>
        <v/>
      </c>
      <c r="BP142" t="str">
        <f>""</f>
        <v/>
      </c>
      <c r="BQ142" t="str">
        <f>""</f>
        <v/>
      </c>
      <c r="BR142" t="str">
        <f>""</f>
        <v/>
      </c>
      <c r="BS142" t="str">
        <f>""</f>
        <v/>
      </c>
      <c r="BT142" t="str">
        <f>""</f>
        <v/>
      </c>
      <c r="BU142" t="str">
        <f>""</f>
        <v/>
      </c>
      <c r="BV142" t="str">
        <f>""</f>
        <v/>
      </c>
      <c r="BW142" t="str">
        <f>""</f>
        <v/>
      </c>
      <c r="BX142" t="str">
        <f>""</f>
        <v/>
      </c>
      <c r="BY142" t="str">
        <f>""</f>
        <v/>
      </c>
      <c r="BZ142" t="str">
        <f>""</f>
        <v/>
      </c>
      <c r="CA142" t="str">
        <f>""</f>
        <v/>
      </c>
      <c r="CB142" t="str">
        <f>""</f>
        <v/>
      </c>
      <c r="CC142" t="str">
        <f>""</f>
        <v/>
      </c>
      <c r="CD142" t="str">
        <f>""</f>
        <v/>
      </c>
      <c r="CE142" t="str">
        <f>""</f>
        <v/>
      </c>
      <c r="CF142" t="str">
        <f>""</f>
        <v/>
      </c>
      <c r="CG142" t="str">
        <f>""</f>
        <v/>
      </c>
      <c r="CH142" t="str">
        <f>""</f>
        <v/>
      </c>
      <c r="CI142" t="str">
        <f>""</f>
        <v/>
      </c>
      <c r="CJ142" t="str">
        <f>""</f>
        <v/>
      </c>
      <c r="CK142" t="str">
        <f>""</f>
        <v/>
      </c>
      <c r="CL142" t="str">
        <f>""</f>
        <v/>
      </c>
      <c r="CM142" t="str">
        <f>""</f>
        <v/>
      </c>
      <c r="CN142" t="str">
        <f>""</f>
        <v/>
      </c>
      <c r="CO142" t="str">
        <f>""</f>
        <v/>
      </c>
      <c r="CP142" t="str">
        <f>""</f>
        <v/>
      </c>
      <c r="CQ142" t="str">
        <f>""</f>
        <v/>
      </c>
      <c r="CR142" t="str">
        <f>""</f>
        <v/>
      </c>
      <c r="CS142" t="str">
        <f>""</f>
        <v/>
      </c>
      <c r="CT142" t="str">
        <f>""</f>
        <v/>
      </c>
      <c r="CU142" t="str">
        <f>""</f>
        <v/>
      </c>
      <c r="CV142" t="str">
        <f>""</f>
        <v/>
      </c>
      <c r="CW142" t="str">
        <f>""</f>
        <v/>
      </c>
      <c r="CX142" t="str">
        <f>""</f>
        <v/>
      </c>
      <c r="CY142" t="str">
        <f>""</f>
        <v/>
      </c>
      <c r="CZ142" t="str">
        <f>""</f>
        <v/>
      </c>
      <c r="DA142" t="str">
        <f>""</f>
        <v/>
      </c>
      <c r="DB142" t="str">
        <f>""</f>
        <v/>
      </c>
      <c r="DC142" t="str">
        <f>""</f>
        <v/>
      </c>
      <c r="DD142" t="str">
        <f>""</f>
        <v/>
      </c>
      <c r="DE142" t="str">
        <f>""</f>
        <v/>
      </c>
      <c r="DF142" t="str">
        <f>""</f>
        <v/>
      </c>
      <c r="DG142" t="str">
        <f>""</f>
        <v/>
      </c>
      <c r="DH142" t="str">
        <f>""</f>
        <v/>
      </c>
      <c r="DI142" t="str">
        <f>""</f>
        <v/>
      </c>
      <c r="DJ142" t="str">
        <f>""</f>
        <v/>
      </c>
      <c r="DK142" t="str">
        <f>""</f>
        <v/>
      </c>
      <c r="DL142" t="str">
        <f>""</f>
        <v/>
      </c>
      <c r="DM142" t="str">
        <f>""</f>
        <v/>
      </c>
      <c r="DN142" t="str">
        <f>""</f>
        <v/>
      </c>
      <c r="DO142" t="str">
        <f>""</f>
        <v/>
      </c>
      <c r="DP142" t="str">
        <f>""</f>
        <v/>
      </c>
      <c r="DQ142" t="str">
        <f>""</f>
        <v/>
      </c>
      <c r="DR142" t="str">
        <f>""</f>
        <v/>
      </c>
      <c r="DS142" t="str">
        <f>""</f>
        <v/>
      </c>
      <c r="DT142" t="str">
        <f>""</f>
        <v/>
      </c>
      <c r="DU142" t="str">
        <f>""</f>
        <v/>
      </c>
    </row>
    <row r="143" spans="1:125" x14ac:dyDescent="0.25">
      <c r="A143" t="str">
        <f>"    General Motors Co"</f>
        <v xml:space="preserve">    General Motors Co</v>
      </c>
      <c r="B143" t="str">
        <f>"GM US Equity"</f>
        <v>GM US Equity</v>
      </c>
      <c r="C143" t="str">
        <f t="shared" si="9"/>
        <v>RR841</v>
      </c>
      <c r="D143" t="str">
        <f t="shared" si="10"/>
        <v>TRAIL_12M_EBITDA</v>
      </c>
      <c r="E143" t="str">
        <f t="shared" si="11"/>
        <v>Dynamic</v>
      </c>
      <c r="F143" t="str">
        <f ca="1">IF(AND(ISNUMBER($F$649),$B$511=1),$F$649,HLOOKUP(INDIRECT(ADDRESS(2,COLUMN())),OFFSET($BN$2,0,0,ROW()-1,60),ROW()-1,FALSE))</f>
        <v/>
      </c>
      <c r="G143">
        <f ca="1">IF(AND(ISNUMBER($G$649),$B$511=1),$G$649,HLOOKUP(INDIRECT(ADDRESS(2,COLUMN())),OFFSET($BN$2,0,0,ROW()-1,60),ROW()-1,FALSE))</f>
        <v>18114</v>
      </c>
      <c r="H143">
        <f ca="1">IF(AND(ISNUMBER($H$649),$B$511=1),$H$649,HLOOKUP(INDIRECT(ADDRESS(2,COLUMN())),OFFSET($BN$2,0,0,ROW()-1,60),ROW()-1,FALSE))</f>
        <v>19021</v>
      </c>
      <c r="I143">
        <f ca="1">IF(AND(ISNUMBER($I$649),$B$511=1),$I$649,HLOOKUP(INDIRECT(ADDRESS(2,COLUMN())),OFFSET($BN$2,0,0,ROW()-1,60),ROW()-1,FALSE))</f>
        <v>18821</v>
      </c>
      <c r="J143">
        <f ca="1">IF(AND(ISNUMBER($J$649),$B$511=1),$J$649,HLOOKUP(INDIRECT(ADDRESS(2,COLUMN())),OFFSET($BN$2,0,0,ROW()-1,60),ROW()-1,FALSE))</f>
        <v>19706</v>
      </c>
      <c r="K143">
        <f ca="1">IF(AND(ISNUMBER($K$649),$B$511=1),$K$649,HLOOKUP(INDIRECT(ADDRESS(2,COLUMN())),OFFSET($BN$2,0,0,ROW()-1,60),ROW()-1,FALSE))</f>
        <v>20922</v>
      </c>
      <c r="L143">
        <f ca="1">IF(AND(ISNUMBER($L$649),$B$511=1),$L$649,HLOOKUP(INDIRECT(ADDRESS(2,COLUMN())),OFFSET($BN$2,0,0,ROW()-1,60),ROW()-1,FALSE))</f>
        <v>18709</v>
      </c>
      <c r="M143">
        <f ca="1">IF(AND(ISNUMBER($M$649),$B$511=1),$M$649,HLOOKUP(INDIRECT(ADDRESS(2,COLUMN())),OFFSET($BN$2,0,0,ROW()-1,60),ROW()-1,FALSE))</f>
        <v>19598</v>
      </c>
      <c r="N143">
        <f ca="1">IF(AND(ISNUMBER($N$649),$B$511=1),$N$649,HLOOKUP(INDIRECT(ADDRESS(2,COLUMN())),OFFSET($BN$2,0,0,ROW()-1,60),ROW()-1,FALSE))</f>
        <v>19448</v>
      </c>
      <c r="O143">
        <f ca="1">IF(AND(ISNUMBER($O$649),$B$511=1),$O$649,HLOOKUP(INDIRECT(ADDRESS(2,COLUMN())),OFFSET($BN$2,0,0,ROW()-1,60),ROW()-1,FALSE))</f>
        <v>18386</v>
      </c>
      <c r="P143">
        <f ca="1">IF(AND(ISNUMBER($P$649),$B$511=1),$P$649,HLOOKUP(INDIRECT(ADDRESS(2,COLUMN())),OFFSET($BN$2,0,0,ROW()-1,60),ROW()-1,FALSE))</f>
        <v>19185</v>
      </c>
      <c r="Q143">
        <f ca="1">IF(AND(ISNUMBER($Q$649),$B$511=1),$Q$649,HLOOKUP(INDIRECT(ADDRESS(2,COLUMN())),OFFSET($BN$2,0,0,ROW()-1,60),ROW()-1,FALSE))</f>
        <v>16551</v>
      </c>
      <c r="R143">
        <f ca="1">IF(AND(ISNUMBER($R$649),$B$511=1),$R$649,HLOOKUP(INDIRECT(ADDRESS(2,COLUMN())),OFFSET($BN$2,0,0,ROW()-1,60),ROW()-1,FALSE))</f>
        <v>14887</v>
      </c>
      <c r="S143">
        <f ca="1">IF(AND(ISNUMBER($S$649),$B$511=1),$S$649,HLOOKUP(INDIRECT(ADDRESS(2,COLUMN())),OFFSET($BN$2,0,0,ROW()-1,60),ROW()-1,FALSE))</f>
        <v>12914</v>
      </c>
      <c r="T143">
        <f ca="1">IF(AND(ISNUMBER($T$649),$B$511=1),$T$649,HLOOKUP(INDIRECT(ADDRESS(2,COLUMN())),OFFSET($BN$2,0,0,ROW()-1,60),ROW()-1,FALSE))</f>
        <v>12197</v>
      </c>
      <c r="U143">
        <f ca="1">IF(AND(ISNUMBER($U$649),$B$511=1),$U$649,HLOOKUP(INDIRECT(ADDRESS(2,COLUMN())),OFFSET($BN$2,0,0,ROW()-1,60),ROW()-1,FALSE))</f>
        <v>12316</v>
      </c>
      <c r="V143">
        <f ca="1">IF(AND(ISNUMBER($V$649),$B$511=1),$V$649,HLOOKUP(INDIRECT(ADDRESS(2,COLUMN())),OFFSET($BN$2,0,0,ROW()-1,60),ROW()-1,FALSE))</f>
        <v>9987</v>
      </c>
      <c r="W143">
        <f ca="1">IF(AND(ISNUMBER($W$649),$B$511=1),$W$649,HLOOKUP(INDIRECT(ADDRESS(2,COLUMN())),OFFSET($BN$2,0,0,ROW()-1,60),ROW()-1,FALSE))</f>
        <v>8768</v>
      </c>
      <c r="X143">
        <f ca="1">IF(AND(ISNUMBER($X$649),$B$511=1),$X$649,HLOOKUP(INDIRECT(ADDRESS(2,COLUMN())),OFFSET($BN$2,0,0,ROW()-1,60),ROW()-1,FALSE))</f>
        <v>9145</v>
      </c>
      <c r="Y143">
        <f ca="1">IF(AND(ISNUMBER($Y$649),$B$511=1),$Y$649,HLOOKUP(INDIRECT(ADDRESS(2,COLUMN())),OFFSET($BN$2,0,0,ROW()-1,60),ROW()-1,FALSE))</f>
        <v>11304</v>
      </c>
      <c r="Z143">
        <f ca="1">IF(AND(ISNUMBER($Z$649),$B$511=1),$Z$649,HLOOKUP(INDIRECT(ADDRESS(2,COLUMN())),OFFSET($BN$2,0,0,ROW()-1,60),ROW()-1,FALSE))</f>
        <v>11820</v>
      </c>
      <c r="AA143">
        <f ca="1">IF(AND(ISNUMBER($AA$649),$B$511=1),$AA$649,HLOOKUP(INDIRECT(ADDRESS(2,COLUMN())),OFFSET($BN$2,0,0,ROW()-1,60),ROW()-1,FALSE))</f>
        <v>13172</v>
      </c>
      <c r="AB143">
        <f ca="1">IF(AND(ISNUMBER($AB$649),$B$511=1),$AB$649,HLOOKUP(INDIRECT(ADDRESS(2,COLUMN())),OFFSET($BN$2,0,0,ROW()-1,60),ROW()-1,FALSE))</f>
        <v>-24483</v>
      </c>
      <c r="AC143">
        <f ca="1">IF(AND(ISNUMBER($AC$649),$B$511=1),$AC$649,HLOOKUP(INDIRECT(ADDRESS(2,COLUMN())),OFFSET($BN$2,0,0,ROW()-1,60),ROW()-1,FALSE))</f>
        <v>-27018</v>
      </c>
      <c r="AD143">
        <f ca="1">IF(AND(ISNUMBER($AD$649),$B$511=1),$AD$649,HLOOKUP(INDIRECT(ADDRESS(2,COLUMN())),OFFSET($BN$2,0,0,ROW()-1,60),ROW()-1,FALSE))</f>
        <v>-26031</v>
      </c>
      <c r="AE143">
        <f ca="1">IF(AND(ISNUMBER($AE$649),$B$511=1),$AE$649,HLOOKUP(INDIRECT(ADDRESS(2,COLUMN())),OFFSET($BN$2,0,0,ROW()-1,60),ROW()-1,FALSE))</f>
        <v>-26475</v>
      </c>
      <c r="AF143">
        <f ca="1">IF(AND(ISNUMBER($AF$649),$B$511=1),$AF$649,HLOOKUP(INDIRECT(ADDRESS(2,COLUMN())),OFFSET($BN$2,0,0,ROW()-1,60),ROW()-1,FALSE))</f>
        <v>8509</v>
      </c>
      <c r="AG143">
        <f ca="1">IF(AND(ISNUMBER($AG$649),$B$511=1),$AG$649,HLOOKUP(INDIRECT(ADDRESS(2,COLUMN())),OFFSET($BN$2,0,0,ROW()-1,60),ROW()-1,FALSE))</f>
        <v>8068</v>
      </c>
      <c r="AH143">
        <f ca="1">IF(AND(ISNUMBER($AH$649),$B$511=1),$AH$649,HLOOKUP(INDIRECT(ADDRESS(2,COLUMN())),OFFSET($BN$2,0,0,ROW()-1,60),ROW()-1,FALSE))</f>
        <v>8747</v>
      </c>
      <c r="AI143">
        <f ca="1">IF(AND(ISNUMBER($AI$649),$B$511=1),$AI$649,HLOOKUP(INDIRECT(ADDRESS(2,COLUMN())),OFFSET($BN$2,0,0,ROW()-1,60),ROW()-1,FALSE))</f>
        <v>8724</v>
      </c>
      <c r="AJ143">
        <f ca="1">IF(AND(ISNUMBER($AJ$649),$B$511=1),$AJ$649,HLOOKUP(INDIRECT(ADDRESS(2,COLUMN())),OFFSET($BN$2,0,0,ROW()-1,60),ROW()-1,FALSE))</f>
        <v>9778</v>
      </c>
      <c r="AK143">
        <f ca="1">IF(AND(ISNUMBER($AK$649),$B$511=1),$AK$649,HLOOKUP(INDIRECT(ADDRESS(2,COLUMN())),OFFSET($BN$2,0,0,ROW()-1,60),ROW()-1,FALSE))</f>
        <v>10969</v>
      </c>
      <c r="AL143">
        <f ca="1">IF(AND(ISNUMBER($AL$649),$B$511=1),$AL$649,HLOOKUP(INDIRECT(ADDRESS(2,COLUMN())),OFFSET($BN$2,0,0,ROW()-1,60),ROW()-1,FALSE))</f>
        <v>10992</v>
      </c>
      <c r="AM143">
        <f ca="1">IF(AND(ISNUMBER($AM$649),$B$511=1),$AM$649,HLOOKUP(INDIRECT(ADDRESS(2,COLUMN())),OFFSET($BN$2,0,0,ROW()-1,60),ROW()-1,FALSE))</f>
        <v>12031</v>
      </c>
      <c r="AN143">
        <f ca="1">IF(AND(ISNUMBER($AN$649),$B$511=1),$AN$649,HLOOKUP(INDIRECT(ADDRESS(2,COLUMN())),OFFSET($BN$2,0,0,ROW()-1,60),ROW()-1,FALSE))</f>
        <v>8621</v>
      </c>
      <c r="AO143">
        <f ca="1">IF(AND(ISNUMBER($AO$649),$B$511=1),$AO$649,HLOOKUP(INDIRECT(ADDRESS(2,COLUMN())),OFFSET($BN$2,0,0,ROW()-1,60),ROW()-1,FALSE))</f>
        <v>5710</v>
      </c>
      <c r="AP143">
        <f ca="1">IF(AND(ISNUMBER($AP$649),$B$511=1),$AP$649,HLOOKUP(INDIRECT(ADDRESS(2,COLUMN())),OFFSET($BN$2,0,0,ROW()-1,60),ROW()-1,FALSE))</f>
        <v>-3521</v>
      </c>
      <c r="AQ143">
        <f ca="1">IF(AND(ISNUMBER($AQ$649),$B$511=1),$AQ$649,HLOOKUP(INDIRECT(ADDRESS(2,COLUMN())),OFFSET($BN$2,0,0,ROW()-1,60),ROW()-1,FALSE))</f>
        <v>-9639</v>
      </c>
      <c r="AR143" t="str">
        <f ca="1">IF(AND(ISNUMBER($AR$649),$B$511=1),$AR$649,HLOOKUP(INDIRECT(ADDRESS(2,COLUMN())),OFFSET($BN$2,0,0,ROW()-1,60),ROW()-1,FALSE))</f>
        <v/>
      </c>
      <c r="AS143" t="str">
        <f ca="1">IF(AND(ISNUMBER($AS$649),$B$511=1),$AS$649,HLOOKUP(INDIRECT(ADDRESS(2,COLUMN())),OFFSET($BN$2,0,0,ROW()-1,60),ROW()-1,FALSE))</f>
        <v/>
      </c>
      <c r="AT143" t="str">
        <f ca="1">IF(AND(ISNUMBER($AT$649),$B$511=1),$AT$649,HLOOKUP(INDIRECT(ADDRESS(2,COLUMN())),OFFSET($BN$2,0,0,ROW()-1,60),ROW()-1,FALSE))</f>
        <v/>
      </c>
      <c r="AU143" t="str">
        <f ca="1">IF(AND(ISNUMBER($AU$649),$B$511=1),$AU$649,HLOOKUP(INDIRECT(ADDRESS(2,COLUMN())),OFFSET($BN$2,0,0,ROW()-1,60),ROW()-1,FALSE))</f>
        <v/>
      </c>
      <c r="AV143" t="str">
        <f ca="1">IF(AND(ISNUMBER($AV$649),$B$511=1),$AV$649,HLOOKUP(INDIRECT(ADDRESS(2,COLUMN())),OFFSET($BN$2,0,0,ROW()-1,60),ROW()-1,FALSE))</f>
        <v/>
      </c>
      <c r="AW143" t="str">
        <f ca="1">IF(AND(ISNUMBER($AW$649),$B$511=1),$AW$649,HLOOKUP(INDIRECT(ADDRESS(2,COLUMN())),OFFSET($BN$2,0,0,ROW()-1,60),ROW()-1,FALSE))</f>
        <v/>
      </c>
      <c r="AX143" t="str">
        <f ca="1">IF(AND(ISNUMBER($AX$649),$B$511=1),$AX$649,HLOOKUP(INDIRECT(ADDRESS(2,COLUMN())),OFFSET($BN$2,0,0,ROW()-1,60),ROW()-1,FALSE))</f>
        <v/>
      </c>
      <c r="AY143" t="str">
        <f ca="1">IF(AND(ISNUMBER($AY$649),$B$511=1),$AY$649,HLOOKUP(INDIRECT(ADDRESS(2,COLUMN())),OFFSET($BN$2,0,0,ROW()-1,60),ROW()-1,FALSE))</f>
        <v/>
      </c>
      <c r="AZ143" t="str">
        <f ca="1">IF(AND(ISNUMBER($AZ$649),$B$511=1),$AZ$649,HLOOKUP(INDIRECT(ADDRESS(2,COLUMN())),OFFSET($BN$2,0,0,ROW()-1,60),ROW()-1,FALSE))</f>
        <v/>
      </c>
      <c r="BA143" t="str">
        <f ca="1">IF(AND(ISNUMBER($BA$649),$B$511=1),$BA$649,HLOOKUP(INDIRECT(ADDRESS(2,COLUMN())),OFFSET($BN$2,0,0,ROW()-1,60),ROW()-1,FALSE))</f>
        <v/>
      </c>
      <c r="BB143" t="str">
        <f ca="1">IF(AND(ISNUMBER($BB$649),$B$511=1),$BB$649,HLOOKUP(INDIRECT(ADDRESS(2,COLUMN())),OFFSET($BN$2,0,0,ROW()-1,60),ROW()-1,FALSE))</f>
        <v/>
      </c>
      <c r="BC143" t="str">
        <f ca="1">IF(AND(ISNUMBER($BC$649),$B$511=1),$BC$649,HLOOKUP(INDIRECT(ADDRESS(2,COLUMN())),OFFSET($BN$2,0,0,ROW()-1,60),ROW()-1,FALSE))</f>
        <v/>
      </c>
      <c r="BD143" t="str">
        <f ca="1">IF(AND(ISNUMBER($BD$649),$B$511=1),$BD$649,HLOOKUP(INDIRECT(ADDRESS(2,COLUMN())),OFFSET($BN$2,0,0,ROW()-1,60),ROW()-1,FALSE))</f>
        <v/>
      </c>
      <c r="BE143" t="str">
        <f ca="1">IF(AND(ISNUMBER($BE$649),$B$511=1),$BE$649,HLOOKUP(INDIRECT(ADDRESS(2,COLUMN())),OFFSET($BN$2,0,0,ROW()-1,60),ROW()-1,FALSE))</f>
        <v/>
      </c>
      <c r="BF143" t="str">
        <f ca="1">IF(AND(ISNUMBER($BF$649),$B$511=1),$BF$649,HLOOKUP(INDIRECT(ADDRESS(2,COLUMN())),OFFSET($BN$2,0,0,ROW()-1,60),ROW()-1,FALSE))</f>
        <v/>
      </c>
      <c r="BG143" t="str">
        <f ca="1">IF(AND(ISNUMBER($BG$649),$B$511=1),$BG$649,HLOOKUP(INDIRECT(ADDRESS(2,COLUMN())),OFFSET($BN$2,0,0,ROW()-1,60),ROW()-1,FALSE))</f>
        <v/>
      </c>
      <c r="BH143" t="str">
        <f ca="1">IF(AND(ISNUMBER($BH$649),$B$511=1),$BH$649,HLOOKUP(INDIRECT(ADDRESS(2,COLUMN())),OFFSET($BN$2,0,0,ROW()-1,60),ROW()-1,FALSE))</f>
        <v/>
      </c>
      <c r="BI143" t="str">
        <f ca="1">IF(AND(ISNUMBER($BI$649),$B$511=1),$BI$649,HLOOKUP(INDIRECT(ADDRESS(2,COLUMN())),OFFSET($BN$2,0,0,ROW()-1,60),ROW()-1,FALSE))</f>
        <v/>
      </c>
      <c r="BJ143" t="str">
        <f ca="1">IF(AND(ISNUMBER($BJ$649),$B$511=1),$BJ$649,HLOOKUP(INDIRECT(ADDRESS(2,COLUMN())),OFFSET($BN$2,0,0,ROW()-1,60),ROW()-1,FALSE))</f>
        <v/>
      </c>
      <c r="BK143" t="str">
        <f ca="1">IF(AND(ISNUMBER($BK$649),$B$511=1),$BK$649,HLOOKUP(INDIRECT(ADDRESS(2,COLUMN())),OFFSET($BN$2,0,0,ROW()-1,60),ROW()-1,FALSE))</f>
        <v/>
      </c>
      <c r="BL143" t="str">
        <f ca="1">IF(AND(ISNUMBER($BL$649),$B$511=1),$BL$649,HLOOKUP(INDIRECT(ADDRESS(2,COLUMN())),OFFSET($BN$2,0,0,ROW()-1,60),ROW()-1,FALSE))</f>
        <v/>
      </c>
      <c r="BM143" t="str">
        <f ca="1">IF(AND(ISNUMBER($BM$649),$B$511=1),$BM$649,HLOOKUP(INDIRECT(ADDRESS(2,COLUMN())),OFFSET($BN$2,0,0,ROW()-1,60),ROW()-1,FALSE))</f>
        <v/>
      </c>
      <c r="BN143" t="str">
        <f>""</f>
        <v/>
      </c>
      <c r="BO143">
        <f>18114</f>
        <v>18114</v>
      </c>
      <c r="BP143">
        <f>19021</f>
        <v>19021</v>
      </c>
      <c r="BQ143">
        <f>18821</f>
        <v>18821</v>
      </c>
      <c r="BR143">
        <f>19706</f>
        <v>19706</v>
      </c>
      <c r="BS143">
        <f>20922</f>
        <v>20922</v>
      </c>
      <c r="BT143">
        <f>18709</f>
        <v>18709</v>
      </c>
      <c r="BU143">
        <f>19598</f>
        <v>19598</v>
      </c>
      <c r="BV143">
        <f>19448</f>
        <v>19448</v>
      </c>
      <c r="BW143">
        <f>18386</f>
        <v>18386</v>
      </c>
      <c r="BX143">
        <f>19185</f>
        <v>19185</v>
      </c>
      <c r="BY143">
        <f>16551</f>
        <v>16551</v>
      </c>
      <c r="BZ143">
        <f>14887</f>
        <v>14887</v>
      </c>
      <c r="CA143">
        <f>12914</f>
        <v>12914</v>
      </c>
      <c r="CB143">
        <f>12197</f>
        <v>12197</v>
      </c>
      <c r="CC143">
        <f>12316</f>
        <v>12316</v>
      </c>
      <c r="CD143">
        <f>9987</f>
        <v>9987</v>
      </c>
      <c r="CE143">
        <f>8768</f>
        <v>8768</v>
      </c>
      <c r="CF143">
        <f>9145</f>
        <v>9145</v>
      </c>
      <c r="CG143">
        <f>11304</f>
        <v>11304</v>
      </c>
      <c r="CH143">
        <f>11820</f>
        <v>11820</v>
      </c>
      <c r="CI143">
        <f>13172</f>
        <v>13172</v>
      </c>
      <c r="CJ143">
        <f>-24483</f>
        <v>-24483</v>
      </c>
      <c r="CK143">
        <f>-27018</f>
        <v>-27018</v>
      </c>
      <c r="CL143">
        <f>-26031</f>
        <v>-26031</v>
      </c>
      <c r="CM143">
        <f>-26475</f>
        <v>-26475</v>
      </c>
      <c r="CN143">
        <f>8509</f>
        <v>8509</v>
      </c>
      <c r="CO143">
        <f>8068</f>
        <v>8068</v>
      </c>
      <c r="CP143">
        <f>8747</f>
        <v>8747</v>
      </c>
      <c r="CQ143">
        <f>8724</f>
        <v>8724</v>
      </c>
      <c r="CR143">
        <f>9778</f>
        <v>9778</v>
      </c>
      <c r="CS143">
        <f>10969</f>
        <v>10969</v>
      </c>
      <c r="CT143">
        <f>10992</f>
        <v>10992</v>
      </c>
      <c r="CU143">
        <f>12031</f>
        <v>12031</v>
      </c>
      <c r="CV143">
        <f>8621</f>
        <v>8621</v>
      </c>
      <c r="CW143">
        <f>5710</f>
        <v>5710</v>
      </c>
      <c r="CX143">
        <f>-3521</f>
        <v>-3521</v>
      </c>
      <c r="CY143">
        <f>-9639</f>
        <v>-9639</v>
      </c>
      <c r="CZ143" t="str">
        <f>""</f>
        <v/>
      </c>
      <c r="DA143" t="str">
        <f>""</f>
        <v/>
      </c>
      <c r="DB143" t="str">
        <f>""</f>
        <v/>
      </c>
      <c r="DC143" t="str">
        <f>""</f>
        <v/>
      </c>
      <c r="DD143" t="str">
        <f>""</f>
        <v/>
      </c>
      <c r="DE143" t="str">
        <f>""</f>
        <v/>
      </c>
      <c r="DF143" t="str">
        <f>""</f>
        <v/>
      </c>
      <c r="DG143" t="str">
        <f>""</f>
        <v/>
      </c>
      <c r="DH143" t="str">
        <f>""</f>
        <v/>
      </c>
      <c r="DI143" t="str">
        <f>""</f>
        <v/>
      </c>
      <c r="DJ143" t="str">
        <f>""</f>
        <v/>
      </c>
      <c r="DK143" t="str">
        <f>""</f>
        <v/>
      </c>
      <c r="DL143" t="str">
        <f>""</f>
        <v/>
      </c>
      <c r="DM143" t="str">
        <f>""</f>
        <v/>
      </c>
      <c r="DN143" t="str">
        <f>""</f>
        <v/>
      </c>
      <c r="DO143" t="str">
        <f>""</f>
        <v/>
      </c>
      <c r="DP143" t="str">
        <f>""</f>
        <v/>
      </c>
      <c r="DQ143" t="str">
        <f>""</f>
        <v/>
      </c>
      <c r="DR143" t="str">
        <f>""</f>
        <v/>
      </c>
      <c r="DS143" t="str">
        <f>""</f>
        <v/>
      </c>
      <c r="DT143" t="str">
        <f>""</f>
        <v/>
      </c>
      <c r="DU143" t="str">
        <f>""</f>
        <v/>
      </c>
    </row>
    <row r="144" spans="1:125" x14ac:dyDescent="0.25">
      <c r="A144" t="str">
        <f>"    Great Wall Motor Co Ltd"</f>
        <v xml:space="preserve">    Great Wall Motor Co Ltd</v>
      </c>
      <c r="B144" t="str">
        <f>"2333 HK Equity"</f>
        <v>2333 HK Equity</v>
      </c>
      <c r="C144" t="str">
        <f t="shared" si="9"/>
        <v>RR841</v>
      </c>
      <c r="D144" t="str">
        <f t="shared" si="10"/>
        <v>TRAIL_12M_EBITDA</v>
      </c>
      <c r="E144" t="str">
        <f t="shared" si="11"/>
        <v>Dynamic</v>
      </c>
      <c r="F144" t="str">
        <f ca="1">IF(AND(ISNUMBER($F$650),$B$511=1),$F$650,HLOOKUP(INDIRECT(ADDRESS(2,COLUMN())),OFFSET($BN$2,0,0,ROW()-1,60),ROW()-1,FALSE))</f>
        <v/>
      </c>
      <c r="G144" t="str">
        <f ca="1">IF(AND(ISNUMBER($G$650),$B$511=1),$G$650,HLOOKUP(INDIRECT(ADDRESS(2,COLUMN())),OFFSET($BN$2,0,0,ROW()-1,60),ROW()-1,FALSE))</f>
        <v/>
      </c>
      <c r="H144" t="str">
        <f ca="1">IF(AND(ISNUMBER($H$650),$B$511=1),$H$650,HLOOKUP(INDIRECT(ADDRESS(2,COLUMN())),OFFSET($BN$2,0,0,ROW()-1,60),ROW()-1,FALSE))</f>
        <v/>
      </c>
      <c r="I144" t="str">
        <f ca="1">IF(AND(ISNUMBER($I$650),$B$511=1),$I$650,HLOOKUP(INDIRECT(ADDRESS(2,COLUMN())),OFFSET($BN$2,0,0,ROW()-1,60),ROW()-1,FALSE))</f>
        <v/>
      </c>
      <c r="J144" t="str">
        <f ca="1">IF(AND(ISNUMBER($J$650),$B$511=1),$J$650,HLOOKUP(INDIRECT(ADDRESS(2,COLUMN())),OFFSET($BN$2,0,0,ROW()-1,60),ROW()-1,FALSE))</f>
        <v/>
      </c>
      <c r="K144" t="str">
        <f ca="1">IF(AND(ISNUMBER($K$650),$B$511=1),$K$650,HLOOKUP(INDIRECT(ADDRESS(2,COLUMN())),OFFSET($BN$2,0,0,ROW()-1,60),ROW()-1,FALSE))</f>
        <v/>
      </c>
      <c r="L144" t="str">
        <f ca="1">IF(AND(ISNUMBER($L$650),$B$511=1),$L$650,HLOOKUP(INDIRECT(ADDRESS(2,COLUMN())),OFFSET($BN$2,0,0,ROW()-1,60),ROW()-1,FALSE))</f>
        <v/>
      </c>
      <c r="M144" t="str">
        <f ca="1">IF(AND(ISNUMBER($M$650),$B$511=1),$M$650,HLOOKUP(INDIRECT(ADDRESS(2,COLUMN())),OFFSET($BN$2,0,0,ROW()-1,60),ROW()-1,FALSE))</f>
        <v/>
      </c>
      <c r="N144" t="str">
        <f ca="1">IF(AND(ISNUMBER($N$650),$B$511=1),$N$650,HLOOKUP(INDIRECT(ADDRESS(2,COLUMN())),OFFSET($BN$2,0,0,ROW()-1,60),ROW()-1,FALSE))</f>
        <v/>
      </c>
      <c r="O144" t="str">
        <f ca="1">IF(AND(ISNUMBER($O$650),$B$511=1),$O$650,HLOOKUP(INDIRECT(ADDRESS(2,COLUMN())),OFFSET($BN$2,0,0,ROW()-1,60),ROW()-1,FALSE))</f>
        <v/>
      </c>
      <c r="P144" t="str">
        <f ca="1">IF(AND(ISNUMBER($P$650),$B$511=1),$P$650,HLOOKUP(INDIRECT(ADDRESS(2,COLUMN())),OFFSET($BN$2,0,0,ROW()-1,60),ROW()-1,FALSE))</f>
        <v/>
      </c>
      <c r="Q144" t="str">
        <f ca="1">IF(AND(ISNUMBER($Q$650),$B$511=1),$Q$650,HLOOKUP(INDIRECT(ADDRESS(2,COLUMN())),OFFSET($BN$2,0,0,ROW()-1,60),ROW()-1,FALSE))</f>
        <v/>
      </c>
      <c r="R144" t="str">
        <f ca="1">IF(AND(ISNUMBER($R$650),$B$511=1),$R$650,HLOOKUP(INDIRECT(ADDRESS(2,COLUMN())),OFFSET($BN$2,0,0,ROW()-1,60),ROW()-1,FALSE))</f>
        <v/>
      </c>
      <c r="S144" t="str">
        <f ca="1">IF(AND(ISNUMBER($S$650),$B$511=1),$S$650,HLOOKUP(INDIRECT(ADDRESS(2,COLUMN())),OFFSET($BN$2,0,0,ROW()-1,60),ROW()-1,FALSE))</f>
        <v/>
      </c>
      <c r="T144" t="str">
        <f ca="1">IF(AND(ISNUMBER($T$650),$B$511=1),$T$650,HLOOKUP(INDIRECT(ADDRESS(2,COLUMN())),OFFSET($BN$2,0,0,ROW()-1,60),ROW()-1,FALSE))</f>
        <v/>
      </c>
      <c r="U144" t="str">
        <f ca="1">IF(AND(ISNUMBER($U$650),$B$511=1),$U$650,HLOOKUP(INDIRECT(ADDRESS(2,COLUMN())),OFFSET($BN$2,0,0,ROW()-1,60),ROW()-1,FALSE))</f>
        <v/>
      </c>
      <c r="V144" t="str">
        <f ca="1">IF(AND(ISNUMBER($V$650),$B$511=1),$V$650,HLOOKUP(INDIRECT(ADDRESS(2,COLUMN())),OFFSET($BN$2,0,0,ROW()-1,60),ROW()-1,FALSE))</f>
        <v/>
      </c>
      <c r="W144" t="str">
        <f ca="1">IF(AND(ISNUMBER($W$650),$B$511=1),$W$650,HLOOKUP(INDIRECT(ADDRESS(2,COLUMN())),OFFSET($BN$2,0,0,ROW()-1,60),ROW()-1,FALSE))</f>
        <v/>
      </c>
      <c r="X144" t="str">
        <f ca="1">IF(AND(ISNUMBER($X$650),$B$511=1),$X$650,HLOOKUP(INDIRECT(ADDRESS(2,COLUMN())),OFFSET($BN$2,0,0,ROW()-1,60),ROW()-1,FALSE))</f>
        <v/>
      </c>
      <c r="Y144" t="str">
        <f ca="1">IF(AND(ISNUMBER($Y$650),$B$511=1),$Y$650,HLOOKUP(INDIRECT(ADDRESS(2,COLUMN())),OFFSET($BN$2,0,0,ROW()-1,60),ROW()-1,FALSE))</f>
        <v/>
      </c>
      <c r="Z144" t="str">
        <f ca="1">IF(AND(ISNUMBER($Z$650),$B$511=1),$Z$650,HLOOKUP(INDIRECT(ADDRESS(2,COLUMN())),OFFSET($BN$2,0,0,ROW()-1,60),ROW()-1,FALSE))</f>
        <v/>
      </c>
      <c r="AA144" t="str">
        <f ca="1">IF(AND(ISNUMBER($AA$650),$B$511=1),$AA$650,HLOOKUP(INDIRECT(ADDRESS(2,COLUMN())),OFFSET($BN$2,0,0,ROW()-1,60),ROW()-1,FALSE))</f>
        <v/>
      </c>
      <c r="AB144" t="str">
        <f ca="1">IF(AND(ISNUMBER($AB$650),$B$511=1),$AB$650,HLOOKUP(INDIRECT(ADDRESS(2,COLUMN())),OFFSET($BN$2,0,0,ROW()-1,60),ROW()-1,FALSE))</f>
        <v/>
      </c>
      <c r="AC144" t="str">
        <f ca="1">IF(AND(ISNUMBER($AC$650),$B$511=1),$AC$650,HLOOKUP(INDIRECT(ADDRESS(2,COLUMN())),OFFSET($BN$2,0,0,ROW()-1,60),ROW()-1,FALSE))</f>
        <v/>
      </c>
      <c r="AD144" t="str">
        <f ca="1">IF(AND(ISNUMBER($AD$650),$B$511=1),$AD$650,HLOOKUP(INDIRECT(ADDRESS(2,COLUMN())),OFFSET($BN$2,0,0,ROW()-1,60),ROW()-1,FALSE))</f>
        <v/>
      </c>
      <c r="AE144" t="str">
        <f ca="1">IF(AND(ISNUMBER($AE$650),$B$511=1),$AE$650,HLOOKUP(INDIRECT(ADDRESS(2,COLUMN())),OFFSET($BN$2,0,0,ROW()-1,60),ROW()-1,FALSE))</f>
        <v/>
      </c>
      <c r="AF144" t="str">
        <f ca="1">IF(AND(ISNUMBER($AF$650),$B$511=1),$AF$650,HLOOKUP(INDIRECT(ADDRESS(2,COLUMN())),OFFSET($BN$2,0,0,ROW()-1,60),ROW()-1,FALSE))</f>
        <v/>
      </c>
      <c r="AG144" t="str">
        <f ca="1">IF(AND(ISNUMBER($AG$650),$B$511=1),$AG$650,HLOOKUP(INDIRECT(ADDRESS(2,COLUMN())),OFFSET($BN$2,0,0,ROW()-1,60),ROW()-1,FALSE))</f>
        <v/>
      </c>
      <c r="AH144" t="str">
        <f ca="1">IF(AND(ISNUMBER($AH$650),$B$511=1),$AH$650,HLOOKUP(INDIRECT(ADDRESS(2,COLUMN())),OFFSET($BN$2,0,0,ROW()-1,60),ROW()-1,FALSE))</f>
        <v/>
      </c>
      <c r="AI144" t="str">
        <f ca="1">IF(AND(ISNUMBER($AI$650),$B$511=1),$AI$650,HLOOKUP(INDIRECT(ADDRESS(2,COLUMN())),OFFSET($BN$2,0,0,ROW()-1,60),ROW()-1,FALSE))</f>
        <v/>
      </c>
      <c r="AJ144" t="str">
        <f ca="1">IF(AND(ISNUMBER($AJ$650),$B$511=1),$AJ$650,HLOOKUP(INDIRECT(ADDRESS(2,COLUMN())),OFFSET($BN$2,0,0,ROW()-1,60),ROW()-1,FALSE))</f>
        <v/>
      </c>
      <c r="AK144" t="str">
        <f ca="1">IF(AND(ISNUMBER($AK$650),$B$511=1),$AK$650,HLOOKUP(INDIRECT(ADDRESS(2,COLUMN())),OFFSET($BN$2,0,0,ROW()-1,60),ROW()-1,FALSE))</f>
        <v/>
      </c>
      <c r="AL144" t="str">
        <f ca="1">IF(AND(ISNUMBER($AL$650),$B$511=1),$AL$650,HLOOKUP(INDIRECT(ADDRESS(2,COLUMN())),OFFSET($BN$2,0,0,ROW()-1,60),ROW()-1,FALSE))</f>
        <v/>
      </c>
      <c r="AM144" t="str">
        <f ca="1">IF(AND(ISNUMBER($AM$650),$B$511=1),$AM$650,HLOOKUP(INDIRECT(ADDRESS(2,COLUMN())),OFFSET($BN$2,0,0,ROW()-1,60),ROW()-1,FALSE))</f>
        <v/>
      </c>
      <c r="AN144" t="str">
        <f ca="1">IF(AND(ISNUMBER($AN$650),$B$511=1),$AN$650,HLOOKUP(INDIRECT(ADDRESS(2,COLUMN())),OFFSET($BN$2,0,0,ROW()-1,60),ROW()-1,FALSE))</f>
        <v/>
      </c>
      <c r="AO144" t="str">
        <f ca="1">IF(AND(ISNUMBER($AO$650),$B$511=1),$AO$650,HLOOKUP(INDIRECT(ADDRESS(2,COLUMN())),OFFSET($BN$2,0,0,ROW()-1,60),ROW()-1,FALSE))</f>
        <v/>
      </c>
      <c r="AP144" t="str">
        <f ca="1">IF(AND(ISNUMBER($AP$650),$B$511=1),$AP$650,HLOOKUP(INDIRECT(ADDRESS(2,COLUMN())),OFFSET($BN$2,0,0,ROW()-1,60),ROW()-1,FALSE))</f>
        <v/>
      </c>
      <c r="AQ144" t="str">
        <f ca="1">IF(AND(ISNUMBER($AQ$650),$B$511=1),$AQ$650,HLOOKUP(INDIRECT(ADDRESS(2,COLUMN())),OFFSET($BN$2,0,0,ROW()-1,60),ROW()-1,FALSE))</f>
        <v/>
      </c>
      <c r="AR144" t="str">
        <f ca="1">IF(AND(ISNUMBER($AR$650),$B$511=1),$AR$650,HLOOKUP(INDIRECT(ADDRESS(2,COLUMN())),OFFSET($BN$2,0,0,ROW()-1,60),ROW()-1,FALSE))</f>
        <v/>
      </c>
      <c r="AS144" t="str">
        <f ca="1">IF(AND(ISNUMBER($AS$650),$B$511=1),$AS$650,HLOOKUP(INDIRECT(ADDRESS(2,COLUMN())),OFFSET($BN$2,0,0,ROW()-1,60),ROW()-1,FALSE))</f>
        <v/>
      </c>
      <c r="AT144" t="str">
        <f ca="1">IF(AND(ISNUMBER($AT$650),$B$511=1),$AT$650,HLOOKUP(INDIRECT(ADDRESS(2,COLUMN())),OFFSET($BN$2,0,0,ROW()-1,60),ROW()-1,FALSE))</f>
        <v/>
      </c>
      <c r="AU144" t="str">
        <f ca="1">IF(AND(ISNUMBER($AU$650),$B$511=1),$AU$650,HLOOKUP(INDIRECT(ADDRESS(2,COLUMN())),OFFSET($BN$2,0,0,ROW()-1,60),ROW()-1,FALSE))</f>
        <v/>
      </c>
      <c r="AV144" t="str">
        <f ca="1">IF(AND(ISNUMBER($AV$650),$B$511=1),$AV$650,HLOOKUP(INDIRECT(ADDRESS(2,COLUMN())),OFFSET($BN$2,0,0,ROW()-1,60),ROW()-1,FALSE))</f>
        <v/>
      </c>
      <c r="AW144" t="str">
        <f ca="1">IF(AND(ISNUMBER($AW$650),$B$511=1),$AW$650,HLOOKUP(INDIRECT(ADDRESS(2,COLUMN())),OFFSET($BN$2,0,0,ROW()-1,60),ROW()-1,FALSE))</f>
        <v/>
      </c>
      <c r="AX144" t="str">
        <f ca="1">IF(AND(ISNUMBER($AX$650),$B$511=1),$AX$650,HLOOKUP(INDIRECT(ADDRESS(2,COLUMN())),OFFSET($BN$2,0,0,ROW()-1,60),ROW()-1,FALSE))</f>
        <v/>
      </c>
      <c r="AY144" t="str">
        <f ca="1">IF(AND(ISNUMBER($AY$650),$B$511=1),$AY$650,HLOOKUP(INDIRECT(ADDRESS(2,COLUMN())),OFFSET($BN$2,0,0,ROW()-1,60),ROW()-1,FALSE))</f>
        <v/>
      </c>
      <c r="AZ144" t="str">
        <f ca="1">IF(AND(ISNUMBER($AZ$650),$B$511=1),$AZ$650,HLOOKUP(INDIRECT(ADDRESS(2,COLUMN())),OFFSET($BN$2,0,0,ROW()-1,60),ROW()-1,FALSE))</f>
        <v/>
      </c>
      <c r="BA144" t="str">
        <f ca="1">IF(AND(ISNUMBER($BA$650),$B$511=1),$BA$650,HLOOKUP(INDIRECT(ADDRESS(2,COLUMN())),OFFSET($BN$2,0,0,ROW()-1,60),ROW()-1,FALSE))</f>
        <v/>
      </c>
      <c r="BB144" t="str">
        <f ca="1">IF(AND(ISNUMBER($BB$650),$B$511=1),$BB$650,HLOOKUP(INDIRECT(ADDRESS(2,COLUMN())),OFFSET($BN$2,0,0,ROW()-1,60),ROW()-1,FALSE))</f>
        <v/>
      </c>
      <c r="BC144" t="str">
        <f ca="1">IF(AND(ISNUMBER($BC$650),$B$511=1),$BC$650,HLOOKUP(INDIRECT(ADDRESS(2,COLUMN())),OFFSET($BN$2,0,0,ROW()-1,60),ROW()-1,FALSE))</f>
        <v/>
      </c>
      <c r="BD144" t="str">
        <f ca="1">IF(AND(ISNUMBER($BD$650),$B$511=1),$BD$650,HLOOKUP(INDIRECT(ADDRESS(2,COLUMN())),OFFSET($BN$2,0,0,ROW()-1,60),ROW()-1,FALSE))</f>
        <v/>
      </c>
      <c r="BE144" t="str">
        <f ca="1">IF(AND(ISNUMBER($BE$650),$B$511=1),$BE$650,HLOOKUP(INDIRECT(ADDRESS(2,COLUMN())),OFFSET($BN$2,0,0,ROW()-1,60),ROW()-1,FALSE))</f>
        <v/>
      </c>
      <c r="BF144" t="str">
        <f ca="1">IF(AND(ISNUMBER($BF$650),$B$511=1),$BF$650,HLOOKUP(INDIRECT(ADDRESS(2,COLUMN())),OFFSET($BN$2,0,0,ROW()-1,60),ROW()-1,FALSE))</f>
        <v/>
      </c>
      <c r="BG144" t="str">
        <f ca="1">IF(AND(ISNUMBER($BG$650),$B$511=1),$BG$650,HLOOKUP(INDIRECT(ADDRESS(2,COLUMN())),OFFSET($BN$2,0,0,ROW()-1,60),ROW()-1,FALSE))</f>
        <v/>
      </c>
      <c r="BH144" t="str">
        <f ca="1">IF(AND(ISNUMBER($BH$650),$B$511=1),$BH$650,HLOOKUP(INDIRECT(ADDRESS(2,COLUMN())),OFFSET($BN$2,0,0,ROW()-1,60),ROW()-1,FALSE))</f>
        <v/>
      </c>
      <c r="BI144" t="str">
        <f ca="1">IF(AND(ISNUMBER($BI$650),$B$511=1),$BI$650,HLOOKUP(INDIRECT(ADDRESS(2,COLUMN())),OFFSET($BN$2,0,0,ROW()-1,60),ROW()-1,FALSE))</f>
        <v/>
      </c>
      <c r="BJ144" t="str">
        <f ca="1">IF(AND(ISNUMBER($BJ$650),$B$511=1),$BJ$650,HLOOKUP(INDIRECT(ADDRESS(2,COLUMN())),OFFSET($BN$2,0,0,ROW()-1,60),ROW()-1,FALSE))</f>
        <v/>
      </c>
      <c r="BK144" t="str">
        <f ca="1">IF(AND(ISNUMBER($BK$650),$B$511=1),$BK$650,HLOOKUP(INDIRECT(ADDRESS(2,COLUMN())),OFFSET($BN$2,0,0,ROW()-1,60),ROW()-1,FALSE))</f>
        <v/>
      </c>
      <c r="BL144" t="str">
        <f ca="1">IF(AND(ISNUMBER($BL$650),$B$511=1),$BL$650,HLOOKUP(INDIRECT(ADDRESS(2,COLUMN())),OFFSET($BN$2,0,0,ROW()-1,60),ROW()-1,FALSE))</f>
        <v/>
      </c>
      <c r="BM144" t="str">
        <f ca="1">IF(AND(ISNUMBER($BM$650),$B$511=1),$BM$650,HLOOKUP(INDIRECT(ADDRESS(2,COLUMN())),OFFSET($BN$2,0,0,ROW()-1,60),ROW()-1,FALSE))</f>
        <v/>
      </c>
      <c r="BN144" t="str">
        <f>""</f>
        <v/>
      </c>
      <c r="BO144" t="str">
        <f>""</f>
        <v/>
      </c>
      <c r="BP144" t="str">
        <f>""</f>
        <v/>
      </c>
      <c r="BQ144" t="str">
        <f>""</f>
        <v/>
      </c>
      <c r="BR144" t="str">
        <f>""</f>
        <v/>
      </c>
      <c r="BS144" t="str">
        <f>""</f>
        <v/>
      </c>
      <c r="BT144" t="str">
        <f>""</f>
        <v/>
      </c>
      <c r="BU144" t="str">
        <f>""</f>
        <v/>
      </c>
      <c r="BV144" t="str">
        <f>""</f>
        <v/>
      </c>
      <c r="BW144" t="str">
        <f>""</f>
        <v/>
      </c>
      <c r="BX144" t="str">
        <f>""</f>
        <v/>
      </c>
      <c r="BY144" t="str">
        <f>""</f>
        <v/>
      </c>
      <c r="BZ144" t="str">
        <f>""</f>
        <v/>
      </c>
      <c r="CA144" t="str">
        <f>""</f>
        <v/>
      </c>
      <c r="CB144" t="str">
        <f>""</f>
        <v/>
      </c>
      <c r="CC144" t="str">
        <f>""</f>
        <v/>
      </c>
      <c r="CD144" t="str">
        <f>""</f>
        <v/>
      </c>
      <c r="CE144" t="str">
        <f>""</f>
        <v/>
      </c>
      <c r="CF144" t="str">
        <f>""</f>
        <v/>
      </c>
      <c r="CG144" t="str">
        <f>""</f>
        <v/>
      </c>
      <c r="CH144" t="str">
        <f>""</f>
        <v/>
      </c>
      <c r="CI144" t="str">
        <f>""</f>
        <v/>
      </c>
      <c r="CJ144" t="str">
        <f>""</f>
        <v/>
      </c>
      <c r="CK144" t="str">
        <f>""</f>
        <v/>
      </c>
      <c r="CL144" t="str">
        <f>""</f>
        <v/>
      </c>
      <c r="CM144" t="str">
        <f>""</f>
        <v/>
      </c>
      <c r="CN144" t="str">
        <f>""</f>
        <v/>
      </c>
      <c r="CO144" t="str">
        <f>""</f>
        <v/>
      </c>
      <c r="CP144" t="str">
        <f>""</f>
        <v/>
      </c>
      <c r="CQ144" t="str">
        <f>""</f>
        <v/>
      </c>
      <c r="CR144" t="str">
        <f>""</f>
        <v/>
      </c>
      <c r="CS144" t="str">
        <f>""</f>
        <v/>
      </c>
      <c r="CT144" t="str">
        <f>""</f>
        <v/>
      </c>
      <c r="CU144" t="str">
        <f>""</f>
        <v/>
      </c>
      <c r="CV144" t="str">
        <f>""</f>
        <v/>
      </c>
      <c r="CW144" t="str">
        <f>""</f>
        <v/>
      </c>
      <c r="CX144" t="str">
        <f>""</f>
        <v/>
      </c>
      <c r="CY144" t="str">
        <f>""</f>
        <v/>
      </c>
      <c r="CZ144" t="str">
        <f>""</f>
        <v/>
      </c>
      <c r="DA144" t="str">
        <f>""</f>
        <v/>
      </c>
      <c r="DB144" t="str">
        <f>""</f>
        <v/>
      </c>
      <c r="DC144" t="str">
        <f>""</f>
        <v/>
      </c>
      <c r="DD144" t="str">
        <f>""</f>
        <v/>
      </c>
      <c r="DE144" t="str">
        <f>""</f>
        <v/>
      </c>
      <c r="DF144" t="str">
        <f>""</f>
        <v/>
      </c>
      <c r="DG144" t="str">
        <f>""</f>
        <v/>
      </c>
      <c r="DH144" t="str">
        <f>""</f>
        <v/>
      </c>
      <c r="DI144" t="str">
        <f>""</f>
        <v/>
      </c>
      <c r="DJ144" t="str">
        <f>""</f>
        <v/>
      </c>
      <c r="DK144" t="str">
        <f>""</f>
        <v/>
      </c>
      <c r="DL144" t="str">
        <f>""</f>
        <v/>
      </c>
      <c r="DM144" t="str">
        <f>""</f>
        <v/>
      </c>
      <c r="DN144" t="str">
        <f>""</f>
        <v/>
      </c>
      <c r="DO144" t="str">
        <f>""</f>
        <v/>
      </c>
      <c r="DP144" t="str">
        <f>""</f>
        <v/>
      </c>
      <c r="DQ144" t="str">
        <f>""</f>
        <v/>
      </c>
      <c r="DR144" t="str">
        <f>""</f>
        <v/>
      </c>
      <c r="DS144" t="str">
        <f>""</f>
        <v/>
      </c>
      <c r="DT144" t="str">
        <f>""</f>
        <v/>
      </c>
      <c r="DU144" t="str">
        <f>""</f>
        <v/>
      </c>
    </row>
    <row r="145" spans="1:125" x14ac:dyDescent="0.25">
      <c r="A145" t="str">
        <f>"    Guangzhou Automobile Group Co Ltd"</f>
        <v xml:space="preserve">    Guangzhou Automobile Group Co Ltd</v>
      </c>
      <c r="B145" t="str">
        <f>"2238 HK Equity"</f>
        <v>2238 HK Equity</v>
      </c>
      <c r="C145" t="str">
        <f t="shared" si="9"/>
        <v>RR841</v>
      </c>
      <c r="D145" t="str">
        <f t="shared" si="10"/>
        <v>TRAIL_12M_EBITDA</v>
      </c>
      <c r="E145" t="str">
        <f t="shared" si="11"/>
        <v>Dynamic</v>
      </c>
      <c r="F145" t="str">
        <f ca="1">IF(AND(ISNUMBER($F$651),$B$511=1),$F$651,HLOOKUP(INDIRECT(ADDRESS(2,COLUMN())),OFFSET($BN$2,0,0,ROW()-1,60),ROW()-1,FALSE))</f>
        <v/>
      </c>
      <c r="G145" t="str">
        <f ca="1">IF(AND(ISNUMBER($G$651),$B$511=1),$G$651,HLOOKUP(INDIRECT(ADDRESS(2,COLUMN())),OFFSET($BN$2,0,0,ROW()-1,60),ROW()-1,FALSE))</f>
        <v/>
      </c>
      <c r="H145" t="str">
        <f ca="1">IF(AND(ISNUMBER($H$651),$B$511=1),$H$651,HLOOKUP(INDIRECT(ADDRESS(2,COLUMN())),OFFSET($BN$2,0,0,ROW()-1,60),ROW()-1,FALSE))</f>
        <v/>
      </c>
      <c r="I145" t="str">
        <f ca="1">IF(AND(ISNUMBER($I$651),$B$511=1),$I$651,HLOOKUP(INDIRECT(ADDRESS(2,COLUMN())),OFFSET($BN$2,0,0,ROW()-1,60),ROW()-1,FALSE))</f>
        <v/>
      </c>
      <c r="J145" t="str">
        <f ca="1">IF(AND(ISNUMBER($J$651),$B$511=1),$J$651,HLOOKUP(INDIRECT(ADDRESS(2,COLUMN())),OFFSET($BN$2,0,0,ROW()-1,60),ROW()-1,FALSE))</f>
        <v/>
      </c>
      <c r="K145" t="str">
        <f ca="1">IF(AND(ISNUMBER($K$651),$B$511=1),$K$651,HLOOKUP(INDIRECT(ADDRESS(2,COLUMN())),OFFSET($BN$2,0,0,ROW()-1,60),ROW()-1,FALSE))</f>
        <v/>
      </c>
      <c r="L145" t="str">
        <f ca="1">IF(AND(ISNUMBER($L$651),$B$511=1),$L$651,HLOOKUP(INDIRECT(ADDRESS(2,COLUMN())),OFFSET($BN$2,0,0,ROW()-1,60),ROW()-1,FALSE))</f>
        <v/>
      </c>
      <c r="M145" t="str">
        <f ca="1">IF(AND(ISNUMBER($M$651),$B$511=1),$M$651,HLOOKUP(INDIRECT(ADDRESS(2,COLUMN())),OFFSET($BN$2,0,0,ROW()-1,60),ROW()-1,FALSE))</f>
        <v/>
      </c>
      <c r="N145" t="str">
        <f ca="1">IF(AND(ISNUMBER($N$651),$B$511=1),$N$651,HLOOKUP(INDIRECT(ADDRESS(2,COLUMN())),OFFSET($BN$2,0,0,ROW()-1,60),ROW()-1,FALSE))</f>
        <v/>
      </c>
      <c r="O145" t="str">
        <f ca="1">IF(AND(ISNUMBER($O$651),$B$511=1),$O$651,HLOOKUP(INDIRECT(ADDRESS(2,COLUMN())),OFFSET($BN$2,0,0,ROW()-1,60),ROW()-1,FALSE))</f>
        <v/>
      </c>
      <c r="P145" t="str">
        <f ca="1">IF(AND(ISNUMBER($P$651),$B$511=1),$P$651,HLOOKUP(INDIRECT(ADDRESS(2,COLUMN())),OFFSET($BN$2,0,0,ROW()-1,60),ROW()-1,FALSE))</f>
        <v/>
      </c>
      <c r="Q145" t="str">
        <f ca="1">IF(AND(ISNUMBER($Q$651),$B$511=1),$Q$651,HLOOKUP(INDIRECT(ADDRESS(2,COLUMN())),OFFSET($BN$2,0,0,ROW()-1,60),ROW()-1,FALSE))</f>
        <v/>
      </c>
      <c r="R145" t="str">
        <f ca="1">IF(AND(ISNUMBER($R$651),$B$511=1),$R$651,HLOOKUP(INDIRECT(ADDRESS(2,COLUMN())),OFFSET($BN$2,0,0,ROW()-1,60),ROW()-1,FALSE))</f>
        <v/>
      </c>
      <c r="S145" t="str">
        <f ca="1">IF(AND(ISNUMBER($S$651),$B$511=1),$S$651,HLOOKUP(INDIRECT(ADDRESS(2,COLUMN())),OFFSET($BN$2,0,0,ROW()-1,60),ROW()-1,FALSE))</f>
        <v/>
      </c>
      <c r="T145" t="str">
        <f ca="1">IF(AND(ISNUMBER($T$651),$B$511=1),$T$651,HLOOKUP(INDIRECT(ADDRESS(2,COLUMN())),OFFSET($BN$2,0,0,ROW()-1,60),ROW()-1,FALSE))</f>
        <v/>
      </c>
      <c r="U145" t="str">
        <f ca="1">IF(AND(ISNUMBER($U$651),$B$511=1),$U$651,HLOOKUP(INDIRECT(ADDRESS(2,COLUMN())),OFFSET($BN$2,0,0,ROW()-1,60),ROW()-1,FALSE))</f>
        <v/>
      </c>
      <c r="V145" t="str">
        <f ca="1">IF(AND(ISNUMBER($V$651),$B$511=1),$V$651,HLOOKUP(INDIRECT(ADDRESS(2,COLUMN())),OFFSET($BN$2,0,0,ROW()-1,60),ROW()-1,FALSE))</f>
        <v/>
      </c>
      <c r="W145" t="str">
        <f ca="1">IF(AND(ISNUMBER($W$651),$B$511=1),$W$651,HLOOKUP(INDIRECT(ADDRESS(2,COLUMN())),OFFSET($BN$2,0,0,ROW()-1,60),ROW()-1,FALSE))</f>
        <v/>
      </c>
      <c r="X145" t="str">
        <f ca="1">IF(AND(ISNUMBER($X$651),$B$511=1),$X$651,HLOOKUP(INDIRECT(ADDRESS(2,COLUMN())),OFFSET($BN$2,0,0,ROW()-1,60),ROW()-1,FALSE))</f>
        <v/>
      </c>
      <c r="Y145" t="str">
        <f ca="1">IF(AND(ISNUMBER($Y$651),$B$511=1),$Y$651,HLOOKUP(INDIRECT(ADDRESS(2,COLUMN())),OFFSET($BN$2,0,0,ROW()-1,60),ROW()-1,FALSE))</f>
        <v/>
      </c>
      <c r="Z145" t="str">
        <f ca="1">IF(AND(ISNUMBER($Z$651),$B$511=1),$Z$651,HLOOKUP(INDIRECT(ADDRESS(2,COLUMN())),OFFSET($BN$2,0,0,ROW()-1,60),ROW()-1,FALSE))</f>
        <v/>
      </c>
      <c r="AA145" t="str">
        <f ca="1">IF(AND(ISNUMBER($AA$651),$B$511=1),$AA$651,HLOOKUP(INDIRECT(ADDRESS(2,COLUMN())),OFFSET($BN$2,0,0,ROW()-1,60),ROW()-1,FALSE))</f>
        <v/>
      </c>
      <c r="AB145" t="str">
        <f ca="1">IF(AND(ISNUMBER($AB$651),$B$511=1),$AB$651,HLOOKUP(INDIRECT(ADDRESS(2,COLUMN())),OFFSET($BN$2,0,0,ROW()-1,60),ROW()-1,FALSE))</f>
        <v/>
      </c>
      <c r="AC145" t="str">
        <f ca="1">IF(AND(ISNUMBER($AC$651),$B$511=1),$AC$651,HLOOKUP(INDIRECT(ADDRESS(2,COLUMN())),OFFSET($BN$2,0,0,ROW()-1,60),ROW()-1,FALSE))</f>
        <v/>
      </c>
      <c r="AD145" t="str">
        <f ca="1">IF(AND(ISNUMBER($AD$651),$B$511=1),$AD$651,HLOOKUP(INDIRECT(ADDRESS(2,COLUMN())),OFFSET($BN$2,0,0,ROW()-1,60),ROW()-1,FALSE))</f>
        <v/>
      </c>
      <c r="AE145" t="str">
        <f ca="1">IF(AND(ISNUMBER($AE$651),$B$511=1),$AE$651,HLOOKUP(INDIRECT(ADDRESS(2,COLUMN())),OFFSET($BN$2,0,0,ROW()-1,60),ROW()-1,FALSE))</f>
        <v/>
      </c>
      <c r="AF145" t="str">
        <f ca="1">IF(AND(ISNUMBER($AF$651),$B$511=1),$AF$651,HLOOKUP(INDIRECT(ADDRESS(2,COLUMN())),OFFSET($BN$2,0,0,ROW()-1,60),ROW()-1,FALSE))</f>
        <v/>
      </c>
      <c r="AG145" t="str">
        <f ca="1">IF(AND(ISNUMBER($AG$651),$B$511=1),$AG$651,HLOOKUP(INDIRECT(ADDRESS(2,COLUMN())),OFFSET($BN$2,0,0,ROW()-1,60),ROW()-1,FALSE))</f>
        <v/>
      </c>
      <c r="AH145" t="str">
        <f ca="1">IF(AND(ISNUMBER($AH$651),$B$511=1),$AH$651,HLOOKUP(INDIRECT(ADDRESS(2,COLUMN())),OFFSET($BN$2,0,0,ROW()-1,60),ROW()-1,FALSE))</f>
        <v/>
      </c>
      <c r="AI145">
        <f ca="1">IF(AND(ISNUMBER($AI$651),$B$511=1),$AI$651,HLOOKUP(INDIRECT(ADDRESS(2,COLUMN())),OFFSET($BN$2,0,0,ROW()-1,60),ROW()-1,FALSE))</f>
        <v>-145.55872679999999</v>
      </c>
      <c r="AJ145">
        <f ca="1">IF(AND(ISNUMBER($AJ$651),$B$511=1),$AJ$651,HLOOKUP(INDIRECT(ADDRESS(2,COLUMN())),OFFSET($BN$2,0,0,ROW()-1,60),ROW()-1,FALSE))</f>
        <v>-142.15878240000001</v>
      </c>
      <c r="AK145">
        <f ca="1">IF(AND(ISNUMBER($AK$651),$B$511=1),$AK$651,HLOOKUP(INDIRECT(ADDRESS(2,COLUMN())),OFFSET($BN$2,0,0,ROW()-1,60),ROW()-1,FALSE))</f>
        <v>-96.696299730000007</v>
      </c>
      <c r="AL145">
        <f ca="1">IF(AND(ISNUMBER($AL$651),$B$511=1),$AL$651,HLOOKUP(INDIRECT(ADDRESS(2,COLUMN())),OFFSET($BN$2,0,0,ROW()-1,60),ROW()-1,FALSE))</f>
        <v>-65.429980999999998</v>
      </c>
      <c r="AM145">
        <f ca="1">IF(AND(ISNUMBER($AM$651),$B$511=1),$AM$651,HLOOKUP(INDIRECT(ADDRESS(2,COLUMN())),OFFSET($BN$2,0,0,ROW()-1,60),ROW()-1,FALSE))</f>
        <v>-64.58615872</v>
      </c>
      <c r="AN145" t="str">
        <f ca="1">IF(AND(ISNUMBER($AN$651),$B$511=1),$AN$651,HLOOKUP(INDIRECT(ADDRESS(2,COLUMN())),OFFSET($BN$2,0,0,ROW()-1,60),ROW()-1,FALSE))</f>
        <v/>
      </c>
      <c r="AO145" t="str">
        <f ca="1">IF(AND(ISNUMBER($AO$651),$B$511=1),$AO$651,HLOOKUP(INDIRECT(ADDRESS(2,COLUMN())),OFFSET($BN$2,0,0,ROW()-1,60),ROW()-1,FALSE))</f>
        <v/>
      </c>
      <c r="AP145" t="str">
        <f ca="1">IF(AND(ISNUMBER($AP$651),$B$511=1),$AP$651,HLOOKUP(INDIRECT(ADDRESS(2,COLUMN())),OFFSET($BN$2,0,0,ROW()-1,60),ROW()-1,FALSE))</f>
        <v/>
      </c>
      <c r="AQ145" t="str">
        <f ca="1">IF(AND(ISNUMBER($AQ$651),$B$511=1),$AQ$651,HLOOKUP(INDIRECT(ADDRESS(2,COLUMN())),OFFSET($BN$2,0,0,ROW()-1,60),ROW()-1,FALSE))</f>
        <v/>
      </c>
      <c r="AR145" t="str">
        <f ca="1">IF(AND(ISNUMBER($AR$651),$B$511=1),$AR$651,HLOOKUP(INDIRECT(ADDRESS(2,COLUMN())),OFFSET($BN$2,0,0,ROW()-1,60),ROW()-1,FALSE))</f>
        <v/>
      </c>
      <c r="AS145" t="str">
        <f ca="1">IF(AND(ISNUMBER($AS$651),$B$511=1),$AS$651,HLOOKUP(INDIRECT(ADDRESS(2,COLUMN())),OFFSET($BN$2,0,0,ROW()-1,60),ROW()-1,FALSE))</f>
        <v/>
      </c>
      <c r="AT145" t="str">
        <f ca="1">IF(AND(ISNUMBER($AT$651),$B$511=1),$AT$651,HLOOKUP(INDIRECT(ADDRESS(2,COLUMN())),OFFSET($BN$2,0,0,ROW()-1,60),ROW()-1,FALSE))</f>
        <v/>
      </c>
      <c r="AU145" t="str">
        <f ca="1">IF(AND(ISNUMBER($AU$651),$B$511=1),$AU$651,HLOOKUP(INDIRECT(ADDRESS(2,COLUMN())),OFFSET($BN$2,0,0,ROW()-1,60),ROW()-1,FALSE))</f>
        <v/>
      </c>
      <c r="AV145" t="str">
        <f ca="1">IF(AND(ISNUMBER($AV$651),$B$511=1),$AV$651,HLOOKUP(INDIRECT(ADDRESS(2,COLUMN())),OFFSET($BN$2,0,0,ROW()-1,60),ROW()-1,FALSE))</f>
        <v/>
      </c>
      <c r="AW145" t="str">
        <f ca="1">IF(AND(ISNUMBER($AW$651),$B$511=1),$AW$651,HLOOKUP(INDIRECT(ADDRESS(2,COLUMN())),OFFSET($BN$2,0,0,ROW()-1,60),ROW()-1,FALSE))</f>
        <v/>
      </c>
      <c r="AX145" t="str">
        <f ca="1">IF(AND(ISNUMBER($AX$651),$B$511=1),$AX$651,HLOOKUP(INDIRECT(ADDRESS(2,COLUMN())),OFFSET($BN$2,0,0,ROW()-1,60),ROW()-1,FALSE))</f>
        <v/>
      </c>
      <c r="AY145" t="str">
        <f ca="1">IF(AND(ISNUMBER($AY$651),$B$511=1),$AY$651,HLOOKUP(INDIRECT(ADDRESS(2,COLUMN())),OFFSET($BN$2,0,0,ROW()-1,60),ROW()-1,FALSE))</f>
        <v/>
      </c>
      <c r="AZ145" t="str">
        <f ca="1">IF(AND(ISNUMBER($AZ$651),$B$511=1),$AZ$651,HLOOKUP(INDIRECT(ADDRESS(2,COLUMN())),OFFSET($BN$2,0,0,ROW()-1,60),ROW()-1,FALSE))</f>
        <v/>
      </c>
      <c r="BA145" t="str">
        <f ca="1">IF(AND(ISNUMBER($BA$651),$B$511=1),$BA$651,HLOOKUP(INDIRECT(ADDRESS(2,COLUMN())),OFFSET($BN$2,0,0,ROW()-1,60),ROW()-1,FALSE))</f>
        <v/>
      </c>
      <c r="BB145" t="str">
        <f ca="1">IF(AND(ISNUMBER($BB$651),$B$511=1),$BB$651,HLOOKUP(INDIRECT(ADDRESS(2,COLUMN())),OFFSET($BN$2,0,0,ROW()-1,60),ROW()-1,FALSE))</f>
        <v/>
      </c>
      <c r="BC145" t="str">
        <f ca="1">IF(AND(ISNUMBER($BC$651),$B$511=1),$BC$651,HLOOKUP(INDIRECT(ADDRESS(2,COLUMN())),OFFSET($BN$2,0,0,ROW()-1,60),ROW()-1,FALSE))</f>
        <v/>
      </c>
      <c r="BD145" t="str">
        <f ca="1">IF(AND(ISNUMBER($BD$651),$B$511=1),$BD$651,HLOOKUP(INDIRECT(ADDRESS(2,COLUMN())),OFFSET($BN$2,0,0,ROW()-1,60),ROW()-1,FALSE))</f>
        <v/>
      </c>
      <c r="BE145" t="str">
        <f ca="1">IF(AND(ISNUMBER($BE$651),$B$511=1),$BE$651,HLOOKUP(INDIRECT(ADDRESS(2,COLUMN())),OFFSET($BN$2,0,0,ROW()-1,60),ROW()-1,FALSE))</f>
        <v/>
      </c>
      <c r="BF145" t="str">
        <f ca="1">IF(AND(ISNUMBER($BF$651),$B$511=1),$BF$651,HLOOKUP(INDIRECT(ADDRESS(2,COLUMN())),OFFSET($BN$2,0,0,ROW()-1,60),ROW()-1,FALSE))</f>
        <v/>
      </c>
      <c r="BG145" t="str">
        <f ca="1">IF(AND(ISNUMBER($BG$651),$B$511=1),$BG$651,HLOOKUP(INDIRECT(ADDRESS(2,COLUMN())),OFFSET($BN$2,0,0,ROW()-1,60),ROW()-1,FALSE))</f>
        <v/>
      </c>
      <c r="BH145" t="str">
        <f ca="1">IF(AND(ISNUMBER($BH$651),$B$511=1),$BH$651,HLOOKUP(INDIRECT(ADDRESS(2,COLUMN())),OFFSET($BN$2,0,0,ROW()-1,60),ROW()-1,FALSE))</f>
        <v/>
      </c>
      <c r="BI145" t="str">
        <f ca="1">IF(AND(ISNUMBER($BI$651),$B$511=1),$BI$651,HLOOKUP(INDIRECT(ADDRESS(2,COLUMN())),OFFSET($BN$2,0,0,ROW()-1,60),ROW()-1,FALSE))</f>
        <v/>
      </c>
      <c r="BJ145" t="str">
        <f ca="1">IF(AND(ISNUMBER($BJ$651),$B$511=1),$BJ$651,HLOOKUP(INDIRECT(ADDRESS(2,COLUMN())),OFFSET($BN$2,0,0,ROW()-1,60),ROW()-1,FALSE))</f>
        <v/>
      </c>
      <c r="BK145" t="str">
        <f ca="1">IF(AND(ISNUMBER($BK$651),$B$511=1),$BK$651,HLOOKUP(INDIRECT(ADDRESS(2,COLUMN())),OFFSET($BN$2,0,0,ROW()-1,60),ROW()-1,FALSE))</f>
        <v/>
      </c>
      <c r="BL145" t="str">
        <f ca="1">IF(AND(ISNUMBER($BL$651),$B$511=1),$BL$651,HLOOKUP(INDIRECT(ADDRESS(2,COLUMN())),OFFSET($BN$2,0,0,ROW()-1,60),ROW()-1,FALSE))</f>
        <v/>
      </c>
      <c r="BM145" t="str">
        <f ca="1">IF(AND(ISNUMBER($BM$651),$B$511=1),$BM$651,HLOOKUP(INDIRECT(ADDRESS(2,COLUMN())),OFFSET($BN$2,0,0,ROW()-1,60),ROW()-1,FALSE))</f>
        <v/>
      </c>
      <c r="BN145" t="str">
        <f>""</f>
        <v/>
      </c>
      <c r="BO145" t="str">
        <f>""</f>
        <v/>
      </c>
      <c r="BP145" t="str">
        <f>""</f>
        <v/>
      </c>
      <c r="BQ145" t="str">
        <f>""</f>
        <v/>
      </c>
      <c r="BR145" t="str">
        <f>""</f>
        <v/>
      </c>
      <c r="BS145" t="str">
        <f>""</f>
        <v/>
      </c>
      <c r="BT145" t="str">
        <f>""</f>
        <v/>
      </c>
      <c r="BU145" t="str">
        <f>""</f>
        <v/>
      </c>
      <c r="BV145" t="str">
        <f>""</f>
        <v/>
      </c>
      <c r="BW145" t="str">
        <f>""</f>
        <v/>
      </c>
      <c r="BX145" t="str">
        <f>""</f>
        <v/>
      </c>
      <c r="BY145" t="str">
        <f>""</f>
        <v/>
      </c>
      <c r="BZ145" t="str">
        <f>""</f>
        <v/>
      </c>
      <c r="CA145" t="str">
        <f>""</f>
        <v/>
      </c>
      <c r="CB145" t="str">
        <f>""</f>
        <v/>
      </c>
      <c r="CC145" t="str">
        <f>""</f>
        <v/>
      </c>
      <c r="CD145" t="str">
        <f>""</f>
        <v/>
      </c>
      <c r="CE145" t="str">
        <f>""</f>
        <v/>
      </c>
      <c r="CF145" t="str">
        <f>""</f>
        <v/>
      </c>
      <c r="CG145" t="str">
        <f>""</f>
        <v/>
      </c>
      <c r="CH145" t="str">
        <f>""</f>
        <v/>
      </c>
      <c r="CI145" t="str">
        <f>""</f>
        <v/>
      </c>
      <c r="CJ145" t="str">
        <f>""</f>
        <v/>
      </c>
      <c r="CK145" t="str">
        <f>""</f>
        <v/>
      </c>
      <c r="CL145" t="str">
        <f>""</f>
        <v/>
      </c>
      <c r="CM145" t="str">
        <f>""</f>
        <v/>
      </c>
      <c r="CN145" t="str">
        <f>""</f>
        <v/>
      </c>
      <c r="CO145" t="str">
        <f>""</f>
        <v/>
      </c>
      <c r="CP145" t="str">
        <f>""</f>
        <v/>
      </c>
      <c r="CQ145">
        <f>-145.5587268</f>
        <v>-145.55872679999999</v>
      </c>
      <c r="CR145">
        <f>-142.1587824</f>
        <v>-142.15878240000001</v>
      </c>
      <c r="CS145">
        <f>-96.69629973</f>
        <v>-96.696299730000007</v>
      </c>
      <c r="CT145">
        <f>-65.429981</f>
        <v>-65.429980999999998</v>
      </c>
      <c r="CU145">
        <f>-64.58615872</f>
        <v>-64.58615872</v>
      </c>
      <c r="CV145" t="str">
        <f>""</f>
        <v/>
      </c>
      <c r="CW145" t="str">
        <f>""</f>
        <v/>
      </c>
      <c r="CX145" t="str">
        <f>""</f>
        <v/>
      </c>
      <c r="CY145" t="str">
        <f>""</f>
        <v/>
      </c>
      <c r="CZ145" t="str">
        <f>""</f>
        <v/>
      </c>
      <c r="DA145" t="str">
        <f>""</f>
        <v/>
      </c>
      <c r="DB145" t="str">
        <f>""</f>
        <v/>
      </c>
      <c r="DC145" t="str">
        <f>""</f>
        <v/>
      </c>
      <c r="DD145" t="str">
        <f>""</f>
        <v/>
      </c>
      <c r="DE145" t="str">
        <f>""</f>
        <v/>
      </c>
      <c r="DF145" t="str">
        <f>""</f>
        <v/>
      </c>
      <c r="DG145" t="str">
        <f>""</f>
        <v/>
      </c>
      <c r="DH145" t="str">
        <f>""</f>
        <v/>
      </c>
      <c r="DI145" t="str">
        <f>""</f>
        <v/>
      </c>
      <c r="DJ145" t="str">
        <f>""</f>
        <v/>
      </c>
      <c r="DK145" t="str">
        <f>""</f>
        <v/>
      </c>
      <c r="DL145" t="str">
        <f>""</f>
        <v/>
      </c>
      <c r="DM145" t="str">
        <f>""</f>
        <v/>
      </c>
      <c r="DN145" t="str">
        <f>""</f>
        <v/>
      </c>
      <c r="DO145" t="str">
        <f>""</f>
        <v/>
      </c>
      <c r="DP145" t="str">
        <f>""</f>
        <v/>
      </c>
      <c r="DQ145" t="str">
        <f>""</f>
        <v/>
      </c>
      <c r="DR145" t="str">
        <f>""</f>
        <v/>
      </c>
      <c r="DS145" t="str">
        <f>""</f>
        <v/>
      </c>
      <c r="DT145" t="str">
        <f>""</f>
        <v/>
      </c>
      <c r="DU145" t="str">
        <f>""</f>
        <v/>
      </c>
    </row>
    <row r="146" spans="1:125" x14ac:dyDescent="0.25">
      <c r="A146" t="str">
        <f>"    Honda Motor Co Ltd"</f>
        <v xml:space="preserve">    Honda Motor Co Ltd</v>
      </c>
      <c r="B146" t="str">
        <f>"7267 JP Equity"</f>
        <v>7267 JP Equity</v>
      </c>
      <c r="C146" t="str">
        <f t="shared" si="9"/>
        <v>RR841</v>
      </c>
      <c r="D146" t="str">
        <f t="shared" si="10"/>
        <v>TRAIL_12M_EBITDA</v>
      </c>
      <c r="E146" t="str">
        <f t="shared" si="11"/>
        <v>Dynamic</v>
      </c>
      <c r="F146" t="str">
        <f ca="1">IF(AND(ISNUMBER($F$652),$B$511=1),$F$652,HLOOKUP(INDIRECT(ADDRESS(2,COLUMN())),OFFSET($BN$2,0,0,ROW()-1,60),ROW()-1,FALSE))</f>
        <v/>
      </c>
      <c r="G146">
        <f ca="1">IF(AND(ISNUMBER($G$652),$B$511=1),$G$652,HLOOKUP(INDIRECT(ADDRESS(2,COLUMN())),OFFSET($BN$2,0,0,ROW()-1,60),ROW()-1,FALSE))</f>
        <v>13688.553739999999</v>
      </c>
      <c r="H146">
        <f ca="1">IF(AND(ISNUMBER($H$652),$B$511=1),$H$652,HLOOKUP(INDIRECT(ADDRESS(2,COLUMN())),OFFSET($BN$2,0,0,ROW()-1,60),ROW()-1,FALSE))</f>
        <v>14841.953659999999</v>
      </c>
      <c r="I146">
        <f ca="1">IF(AND(ISNUMBER($I$652),$B$511=1),$I$652,HLOOKUP(INDIRECT(ADDRESS(2,COLUMN())),OFFSET($BN$2,0,0,ROW()-1,60),ROW()-1,FALSE))</f>
        <v>14377.76887</v>
      </c>
      <c r="J146">
        <f ca="1">IF(AND(ISNUMBER($J$652),$B$511=1),$J$652,HLOOKUP(INDIRECT(ADDRESS(2,COLUMN())),OFFSET($BN$2,0,0,ROW()-1,60),ROW()-1,FALSE))</f>
        <v>13959.811030000001</v>
      </c>
      <c r="K146">
        <f ca="1">IF(AND(ISNUMBER($K$652),$B$511=1),$K$652,HLOOKUP(INDIRECT(ADDRESS(2,COLUMN())),OFFSET($BN$2,0,0,ROW()-1,60),ROW()-1,FALSE))</f>
        <v>13899.363020000001</v>
      </c>
      <c r="L146">
        <f ca="1">IF(AND(ISNUMBER($L$652),$B$511=1),$L$652,HLOOKUP(INDIRECT(ADDRESS(2,COLUMN())),OFFSET($BN$2,0,0,ROW()-1,60),ROW()-1,FALSE))</f>
        <v>13181.455900000001</v>
      </c>
      <c r="M146">
        <f ca="1">IF(AND(ISNUMBER($M$652),$B$511=1),$M$652,HLOOKUP(INDIRECT(ADDRESS(2,COLUMN())),OFFSET($BN$2,0,0,ROW()-1,60),ROW()-1,FALSE))</f>
        <v>14035.20336</v>
      </c>
      <c r="N146">
        <f ca="1">IF(AND(ISNUMBER($N$652),$B$511=1),$N$652,HLOOKUP(INDIRECT(ADDRESS(2,COLUMN())),OFFSET($BN$2,0,0,ROW()-1,60),ROW()-1,FALSE))</f>
        <v>14014.812819999999</v>
      </c>
      <c r="O146">
        <f ca="1">IF(AND(ISNUMBER($O$652),$B$511=1),$O$652,HLOOKUP(INDIRECT(ADDRESS(2,COLUMN())),OFFSET($BN$2,0,0,ROW()-1,60),ROW()-1,FALSE))</f>
        <v>11964.5227</v>
      </c>
      <c r="P146">
        <f ca="1">IF(AND(ISNUMBER($P$652),$B$511=1),$P$652,HLOOKUP(INDIRECT(ADDRESS(2,COLUMN())),OFFSET($BN$2,0,0,ROW()-1,60),ROW()-1,FALSE))</f>
        <v>11299.662060000001</v>
      </c>
      <c r="Q146">
        <f ca="1">IF(AND(ISNUMBER($Q$652),$B$511=1),$Q$652,HLOOKUP(INDIRECT(ADDRESS(2,COLUMN())),OFFSET($BN$2,0,0,ROW()-1,60),ROW()-1,FALSE))</f>
        <v>10289.94635</v>
      </c>
      <c r="R146">
        <f ca="1">IF(AND(ISNUMBER($R$652),$B$511=1),$R$652,HLOOKUP(INDIRECT(ADDRESS(2,COLUMN())),OFFSET($BN$2,0,0,ROW()-1,60),ROW()-1,FALSE))</f>
        <v>9704.5714019999996</v>
      </c>
      <c r="S146">
        <f ca="1">IF(AND(ISNUMBER($S$652),$B$511=1),$S$652,HLOOKUP(INDIRECT(ADDRESS(2,COLUMN())),OFFSET($BN$2,0,0,ROW()-1,60),ROW()-1,FALSE))</f>
        <v>11769.501630000001</v>
      </c>
      <c r="T146">
        <f ca="1">IF(AND(ISNUMBER($T$652),$B$511=1),$T$652,HLOOKUP(INDIRECT(ADDRESS(2,COLUMN())),OFFSET($BN$2,0,0,ROW()-1,60),ROW()-1,FALSE))</f>
        <v>12291.05263</v>
      </c>
      <c r="U146">
        <f ca="1">IF(AND(ISNUMBER($U$652),$B$511=1),$U$652,HLOOKUP(INDIRECT(ADDRESS(2,COLUMN())),OFFSET($BN$2,0,0,ROW()-1,60),ROW()-1,FALSE))</f>
        <v>12703.58993</v>
      </c>
      <c r="V146">
        <f ca="1">IF(AND(ISNUMBER($V$652),$B$511=1),$V$652,HLOOKUP(INDIRECT(ADDRESS(2,COLUMN())),OFFSET($BN$2,0,0,ROW()-1,60),ROW()-1,FALSE))</f>
        <v>12829.2924</v>
      </c>
      <c r="W146">
        <f ca="1">IF(AND(ISNUMBER($W$652),$B$511=1),$W$652,HLOOKUP(INDIRECT(ADDRESS(2,COLUMN())),OFFSET($BN$2,0,0,ROW()-1,60),ROW()-1,FALSE))</f>
        <v>13431.197169999999</v>
      </c>
      <c r="X146">
        <f ca="1">IF(AND(ISNUMBER($X$652),$B$511=1),$X$652,HLOOKUP(INDIRECT(ADDRESS(2,COLUMN())),OFFSET($BN$2,0,0,ROW()-1,60),ROW()-1,FALSE))</f>
        <v>14436.68015</v>
      </c>
      <c r="Y146">
        <f ca="1">IF(AND(ISNUMBER($Y$652),$B$511=1),$Y$652,HLOOKUP(INDIRECT(ADDRESS(2,COLUMN())),OFFSET($BN$2,0,0,ROW()-1,60),ROW()-1,FALSE))</f>
        <v>15087.94974</v>
      </c>
      <c r="Z146">
        <f ca="1">IF(AND(ISNUMBER($Z$652),$B$511=1),$Z$652,HLOOKUP(INDIRECT(ADDRESS(2,COLUMN())),OFFSET($BN$2,0,0,ROW()-1,60),ROW()-1,FALSE))</f>
        <v>15427.3318</v>
      </c>
      <c r="AA146">
        <f ca="1">IF(AND(ISNUMBER($AA$652),$B$511=1),$AA$652,HLOOKUP(INDIRECT(ADDRESS(2,COLUMN())),OFFSET($BN$2,0,0,ROW()-1,60),ROW()-1,FALSE))</f>
        <v>15305.646119999999</v>
      </c>
      <c r="AB146">
        <f ca="1">IF(AND(ISNUMBER($AB$652),$B$511=1),$AB$652,HLOOKUP(INDIRECT(ADDRESS(2,COLUMN())),OFFSET($BN$2,0,0,ROW()-1,60),ROW()-1,FALSE))</f>
        <v>14502.28822</v>
      </c>
      <c r="AC146">
        <f ca="1">IF(AND(ISNUMBER($AC$652),$B$511=1),$AC$652,HLOOKUP(INDIRECT(ADDRESS(2,COLUMN())),OFFSET($BN$2,0,0,ROW()-1,60),ROW()-1,FALSE))</f>
        <v>13866.93922</v>
      </c>
      <c r="AD146">
        <f ca="1">IF(AND(ISNUMBER($AD$652),$B$511=1),$AD$652,HLOOKUP(INDIRECT(ADDRESS(2,COLUMN())),OFFSET($BN$2,0,0,ROW()-1,60),ROW()-1,FALSE))</f>
        <v>13739.488520000001</v>
      </c>
      <c r="AE146">
        <f ca="1">IF(AND(ISNUMBER($AE$652),$B$511=1),$AE$652,HLOOKUP(INDIRECT(ADDRESS(2,COLUMN())),OFFSET($BN$2,0,0,ROW()-1,60),ROW()-1,FALSE))</f>
        <v>13424.53938</v>
      </c>
      <c r="AF146">
        <f ca="1">IF(AND(ISNUMBER($AF$652),$B$511=1),$AF$652,HLOOKUP(INDIRECT(ADDRESS(2,COLUMN())),OFFSET($BN$2,0,0,ROW()-1,60),ROW()-1,FALSE))</f>
        <v>12306.72622</v>
      </c>
      <c r="AG146">
        <f ca="1">IF(AND(ISNUMBER($AG$652),$B$511=1),$AG$652,HLOOKUP(INDIRECT(ADDRESS(2,COLUMN())),OFFSET($BN$2,0,0,ROW()-1,60),ROW()-1,FALSE))</f>
        <v>11647.44521</v>
      </c>
      <c r="AH146">
        <f ca="1">IF(AND(ISNUMBER($AH$652),$B$511=1),$AH$652,HLOOKUP(INDIRECT(ADDRESS(2,COLUMN())),OFFSET($BN$2,0,0,ROW()-1,60),ROW()-1,FALSE))</f>
        <v>9658.9873929999994</v>
      </c>
      <c r="AI146">
        <f ca="1">IF(AND(ISNUMBER($AI$652),$B$511=1),$AI$652,HLOOKUP(INDIRECT(ADDRESS(2,COLUMN())),OFFSET($BN$2,0,0,ROW()-1,60),ROW()-1,FALSE))</f>
        <v>8660.5427600000003</v>
      </c>
      <c r="AJ146">
        <f ca="1">IF(AND(ISNUMBER($AJ$652),$B$511=1),$AJ$652,HLOOKUP(INDIRECT(ADDRESS(2,COLUMN())),OFFSET($BN$2,0,0,ROW()-1,60),ROW()-1,FALSE))</f>
        <v>9629.8837700000004</v>
      </c>
      <c r="AK146">
        <f ca="1">IF(AND(ISNUMBER($AK$652),$B$511=1),$AK$652,HLOOKUP(INDIRECT(ADDRESS(2,COLUMN())),OFFSET($BN$2,0,0,ROW()-1,60),ROW()-1,FALSE))</f>
        <v>10909.263080000001</v>
      </c>
      <c r="AL146">
        <f ca="1">IF(AND(ISNUMBER($AL$652),$B$511=1),$AL$652,HLOOKUP(INDIRECT(ADDRESS(2,COLUMN())),OFFSET($BN$2,0,0,ROW()-1,60),ROW()-1,FALSE))</f>
        <v>13262.367829999999</v>
      </c>
      <c r="AM146">
        <f ca="1">IF(AND(ISNUMBER($AM$652),$B$511=1),$AM$652,HLOOKUP(INDIRECT(ADDRESS(2,COLUMN())),OFFSET($BN$2,0,0,ROW()-1,60),ROW()-1,FALSE))</f>
        <v>13716.07497</v>
      </c>
      <c r="AN146">
        <f ca="1">IF(AND(ISNUMBER($AN$652),$B$511=1),$AN$652,HLOOKUP(INDIRECT(ADDRESS(2,COLUMN())),OFFSET($BN$2,0,0,ROW()-1,60),ROW()-1,FALSE))</f>
        <v>14184.670120000001</v>
      </c>
      <c r="AO146">
        <f ca="1">IF(AND(ISNUMBER($AO$652),$B$511=1),$AO$652,HLOOKUP(INDIRECT(ADDRESS(2,COLUMN())),OFFSET($BN$2,0,0,ROW()-1,60),ROW()-1,FALSE))</f>
        <v>12979.741679999999</v>
      </c>
      <c r="AP146">
        <f ca="1">IF(AND(ISNUMBER($AP$652),$B$511=1),$AP$652,HLOOKUP(INDIRECT(ADDRESS(2,COLUMN())),OFFSET($BN$2,0,0,ROW()-1,60),ROW()-1,FALSE))</f>
        <v>10712.160830000001</v>
      </c>
      <c r="AQ146">
        <f ca="1">IF(AND(ISNUMBER($AQ$652),$B$511=1),$AQ$652,HLOOKUP(INDIRECT(ADDRESS(2,COLUMN())),OFFSET($BN$2,0,0,ROW()-1,60),ROW()-1,FALSE))</f>
        <v>6860.3940009999997</v>
      </c>
      <c r="AR146">
        <f ca="1">IF(AND(ISNUMBER($AR$652),$B$511=1),$AR$652,HLOOKUP(INDIRECT(ADDRESS(2,COLUMN())),OFFSET($BN$2,0,0,ROW()-1,60),ROW()-1,FALSE))</f>
        <v>5967.1350570000004</v>
      </c>
      <c r="AS146">
        <f ca="1">IF(AND(ISNUMBER($AS$652),$B$511=1),$AS$652,HLOOKUP(INDIRECT(ADDRESS(2,COLUMN())),OFFSET($BN$2,0,0,ROW()-1,60),ROW()-1,FALSE))</f>
        <v>6621.5017099999995</v>
      </c>
      <c r="AT146">
        <f ca="1">IF(AND(ISNUMBER($AT$652),$B$511=1),$AT$652,HLOOKUP(INDIRECT(ADDRESS(2,COLUMN())),OFFSET($BN$2,0,0,ROW()-1,60),ROW()-1,FALSE))</f>
        <v>8266.0910710000007</v>
      </c>
      <c r="AU146">
        <f ca="1">IF(AND(ISNUMBER($AU$652),$B$511=1),$AU$652,HLOOKUP(INDIRECT(ADDRESS(2,COLUMN())),OFFSET($BN$2,0,0,ROW()-1,60),ROW()-1,FALSE))</f>
        <v>11996.48308</v>
      </c>
      <c r="AV146">
        <f ca="1">IF(AND(ISNUMBER($AV$652),$B$511=1),$AV$652,HLOOKUP(INDIRECT(ADDRESS(2,COLUMN())),OFFSET($BN$2,0,0,ROW()-1,60),ROW()-1,FALSE))</f>
        <v>12945.054179999999</v>
      </c>
      <c r="AW146">
        <f ca="1">IF(AND(ISNUMBER($AW$652),$B$511=1),$AW$652,HLOOKUP(INDIRECT(ADDRESS(2,COLUMN())),OFFSET($BN$2,0,0,ROW()-1,60),ROW()-1,FALSE))</f>
        <v>13619.172570000001</v>
      </c>
      <c r="AX146">
        <f ca="1">IF(AND(ISNUMBER($AX$652),$B$511=1),$AX$652,HLOOKUP(INDIRECT(ADDRESS(2,COLUMN())),OFFSET($BN$2,0,0,ROW()-1,60),ROW()-1,FALSE))</f>
        <v>12920.209570000001</v>
      </c>
      <c r="AY146">
        <f ca="1">IF(AND(ISNUMBER($AY$652),$B$511=1),$AY$652,HLOOKUP(INDIRECT(ADDRESS(2,COLUMN())),OFFSET($BN$2,0,0,ROW()-1,60),ROW()-1,FALSE))</f>
        <v>12966.90661</v>
      </c>
      <c r="AZ146">
        <f ca="1">IF(AND(ISNUMBER($AZ$652),$B$511=1),$AZ$652,HLOOKUP(INDIRECT(ADDRESS(2,COLUMN())),OFFSET($BN$2,0,0,ROW()-1,60),ROW()-1,FALSE))</f>
        <v>11933.336230000001</v>
      </c>
      <c r="BA146">
        <f ca="1">IF(AND(ISNUMBER($BA$652),$B$511=1),$BA$652,HLOOKUP(INDIRECT(ADDRESS(2,COLUMN())),OFFSET($BN$2,0,0,ROW()-1,60),ROW()-1,FALSE))</f>
        <v>10811.605079999999</v>
      </c>
      <c r="BB146">
        <f ca="1">IF(AND(ISNUMBER($BB$652),$B$511=1),$BB$652,HLOOKUP(INDIRECT(ADDRESS(2,COLUMN())),OFFSET($BN$2,0,0,ROW()-1,60),ROW()-1,FALSE))</f>
        <v>10465.84138</v>
      </c>
      <c r="BC146">
        <f ca="1">IF(AND(ISNUMBER($BC$652),$B$511=1),$BC$652,HLOOKUP(INDIRECT(ADDRESS(2,COLUMN())),OFFSET($BN$2,0,0,ROW()-1,60),ROW()-1,FALSE))</f>
        <v>11038.131450000001</v>
      </c>
      <c r="BD146">
        <f ca="1">IF(AND(ISNUMBER($BD$652),$B$511=1),$BD$652,HLOOKUP(INDIRECT(ADDRESS(2,COLUMN())),OFFSET($BN$2,0,0,ROW()-1,60),ROW()-1,FALSE))</f>
        <v>10650.20685</v>
      </c>
      <c r="BE146">
        <f ca="1">IF(AND(ISNUMBER($BE$652),$B$511=1),$BE$652,HLOOKUP(INDIRECT(ADDRESS(2,COLUMN())),OFFSET($BN$2,0,0,ROW()-1,60),ROW()-1,FALSE))</f>
        <v>10313.69332</v>
      </c>
      <c r="BF146">
        <f ca="1">IF(AND(ISNUMBER($BF$652),$B$511=1),$BF$652,HLOOKUP(INDIRECT(ADDRESS(2,COLUMN())),OFFSET($BN$2,0,0,ROW()-1,60),ROW()-1,FALSE))</f>
        <v>10004.407440000001</v>
      </c>
      <c r="BG146">
        <f ca="1">IF(AND(ISNUMBER($BG$652),$B$511=1),$BG$652,HLOOKUP(INDIRECT(ADDRESS(2,COLUMN())),OFFSET($BN$2,0,0,ROW()-1,60),ROW()-1,FALSE))</f>
        <v>8263.4141639999998</v>
      </c>
      <c r="BH146">
        <f ca="1">IF(AND(ISNUMBER($BH$652),$B$511=1),$BH$652,HLOOKUP(INDIRECT(ADDRESS(2,COLUMN())),OFFSET($BN$2,0,0,ROW()-1,60),ROW()-1,FALSE))</f>
        <v>8061.0745630000001</v>
      </c>
      <c r="BI146">
        <f ca="1">IF(AND(ISNUMBER($BI$652),$B$511=1),$BI$652,HLOOKUP(INDIRECT(ADDRESS(2,COLUMN())),OFFSET($BN$2,0,0,ROW()-1,60),ROW()-1,FALSE))</f>
        <v>8150.109023</v>
      </c>
      <c r="BJ146">
        <f ca="1">IF(AND(ISNUMBER($BJ$652),$B$511=1),$BJ$652,HLOOKUP(INDIRECT(ADDRESS(2,COLUMN())),OFFSET($BN$2,0,0,ROW()-1,60),ROW()-1,FALSE))</f>
        <v>7977.3178369999996</v>
      </c>
      <c r="BK146" t="str">
        <f ca="1">IF(AND(ISNUMBER($BK$652),$B$511=1),$BK$652,HLOOKUP(INDIRECT(ADDRESS(2,COLUMN())),OFFSET($BN$2,0,0,ROW()-1,60),ROW()-1,FALSE))</f>
        <v/>
      </c>
      <c r="BL146" t="str">
        <f ca="1">IF(AND(ISNUMBER($BL$652),$B$511=1),$BL$652,HLOOKUP(INDIRECT(ADDRESS(2,COLUMN())),OFFSET($BN$2,0,0,ROW()-1,60),ROW()-1,FALSE))</f>
        <v/>
      </c>
      <c r="BM146" t="str">
        <f ca="1">IF(AND(ISNUMBER($BM$652),$B$511=1),$BM$652,HLOOKUP(INDIRECT(ADDRESS(2,COLUMN())),OFFSET($BN$2,0,0,ROW()-1,60),ROW()-1,FALSE))</f>
        <v/>
      </c>
      <c r="BN146" t="str">
        <f>""</f>
        <v/>
      </c>
      <c r="BO146">
        <f>13688.55374</f>
        <v>13688.553739999999</v>
      </c>
      <c r="BP146">
        <f>14841.95366</f>
        <v>14841.953659999999</v>
      </c>
      <c r="BQ146">
        <f>14377.76887</f>
        <v>14377.76887</v>
      </c>
      <c r="BR146">
        <f>13959.81103</f>
        <v>13959.811030000001</v>
      </c>
      <c r="BS146">
        <f>13899.36302</f>
        <v>13899.363020000001</v>
      </c>
      <c r="BT146">
        <f>13181.4559</f>
        <v>13181.455900000001</v>
      </c>
      <c r="BU146">
        <f>14035.20336</f>
        <v>14035.20336</v>
      </c>
      <c r="BV146">
        <f>14014.81282</f>
        <v>14014.812819999999</v>
      </c>
      <c r="BW146">
        <f>11964.5227</f>
        <v>11964.5227</v>
      </c>
      <c r="BX146">
        <f>11299.66206</f>
        <v>11299.662060000001</v>
      </c>
      <c r="BY146">
        <f>10289.94635</f>
        <v>10289.94635</v>
      </c>
      <c r="BZ146">
        <f>9704.571402</f>
        <v>9704.5714019999996</v>
      </c>
      <c r="CA146">
        <f>11769.50163</f>
        <v>11769.501630000001</v>
      </c>
      <c r="CB146">
        <f>12291.05263</f>
        <v>12291.05263</v>
      </c>
      <c r="CC146">
        <f>12703.58993</f>
        <v>12703.58993</v>
      </c>
      <c r="CD146">
        <f>12829.2924</f>
        <v>12829.2924</v>
      </c>
      <c r="CE146">
        <f>13431.19717</f>
        <v>13431.197169999999</v>
      </c>
      <c r="CF146">
        <f>14436.68015</f>
        <v>14436.68015</v>
      </c>
      <c r="CG146">
        <f>15087.94974</f>
        <v>15087.94974</v>
      </c>
      <c r="CH146">
        <f>15427.3318</f>
        <v>15427.3318</v>
      </c>
      <c r="CI146">
        <f>15305.64612</f>
        <v>15305.646119999999</v>
      </c>
      <c r="CJ146">
        <f>14502.28822</f>
        <v>14502.28822</v>
      </c>
      <c r="CK146">
        <f>13866.93922</f>
        <v>13866.93922</v>
      </c>
      <c r="CL146">
        <f>13739.48852</f>
        <v>13739.488520000001</v>
      </c>
      <c r="CM146">
        <f>13424.53938</f>
        <v>13424.53938</v>
      </c>
      <c r="CN146">
        <f>12306.72622</f>
        <v>12306.72622</v>
      </c>
      <c r="CO146">
        <f>11647.44521</f>
        <v>11647.44521</v>
      </c>
      <c r="CP146">
        <f>9658.987393</f>
        <v>9658.9873929999994</v>
      </c>
      <c r="CQ146">
        <f>8660.54276</f>
        <v>8660.5427600000003</v>
      </c>
      <c r="CR146">
        <f>9629.88377</f>
        <v>9629.8837700000004</v>
      </c>
      <c r="CS146">
        <f>10909.26308</f>
        <v>10909.263080000001</v>
      </c>
      <c r="CT146">
        <f>13262.36783</f>
        <v>13262.367829999999</v>
      </c>
      <c r="CU146">
        <f>13716.07497</f>
        <v>13716.07497</v>
      </c>
      <c r="CV146">
        <f>14184.67012</f>
        <v>14184.670120000001</v>
      </c>
      <c r="CW146">
        <f>12979.74168</f>
        <v>12979.741679999999</v>
      </c>
      <c r="CX146">
        <f>10712.16083</f>
        <v>10712.160830000001</v>
      </c>
      <c r="CY146">
        <f>6860.394001</f>
        <v>6860.3940009999997</v>
      </c>
      <c r="CZ146">
        <f>5967.135057</f>
        <v>5967.1350570000004</v>
      </c>
      <c r="DA146">
        <f>6621.50171</f>
        <v>6621.5017099999995</v>
      </c>
      <c r="DB146">
        <f>8266.091071</f>
        <v>8266.0910710000007</v>
      </c>
      <c r="DC146">
        <f>11996.48308</f>
        <v>11996.48308</v>
      </c>
      <c r="DD146">
        <f>12945.05418</f>
        <v>12945.054179999999</v>
      </c>
      <c r="DE146">
        <f>13619.17257</f>
        <v>13619.172570000001</v>
      </c>
      <c r="DF146">
        <f>12920.20957</f>
        <v>12920.209570000001</v>
      </c>
      <c r="DG146">
        <f>12966.90661</f>
        <v>12966.90661</v>
      </c>
      <c r="DH146">
        <f>11933.33623</f>
        <v>11933.336230000001</v>
      </c>
      <c r="DI146">
        <f>10811.60508</f>
        <v>10811.605079999999</v>
      </c>
      <c r="DJ146">
        <f>10465.84138</f>
        <v>10465.84138</v>
      </c>
      <c r="DK146">
        <f>11038.13145</f>
        <v>11038.131450000001</v>
      </c>
      <c r="DL146">
        <f>10650.20685</f>
        <v>10650.20685</v>
      </c>
      <c r="DM146">
        <f>10313.69332</f>
        <v>10313.69332</v>
      </c>
      <c r="DN146">
        <f>10004.40744</f>
        <v>10004.407440000001</v>
      </c>
      <c r="DO146">
        <f>8263.414164</f>
        <v>8263.4141639999998</v>
      </c>
      <c r="DP146">
        <f>8061.074563</f>
        <v>8061.0745630000001</v>
      </c>
      <c r="DQ146">
        <f>8150.109023</f>
        <v>8150.109023</v>
      </c>
      <c r="DR146">
        <f>7977.317837</f>
        <v>7977.3178369999996</v>
      </c>
      <c r="DS146" t="str">
        <f>""</f>
        <v/>
      </c>
      <c r="DT146" t="str">
        <f>""</f>
        <v/>
      </c>
      <c r="DU146" t="str">
        <f>""</f>
        <v/>
      </c>
    </row>
    <row r="147" spans="1:125" x14ac:dyDescent="0.25">
      <c r="A147" t="str">
        <f>"    Hyundai Motor Co"</f>
        <v xml:space="preserve">    Hyundai Motor Co</v>
      </c>
      <c r="B147" t="str">
        <f>"005380 KS Equity"</f>
        <v>005380 KS Equity</v>
      </c>
      <c r="C147" t="str">
        <f t="shared" si="9"/>
        <v>RR841</v>
      </c>
      <c r="D147" t="str">
        <f t="shared" si="10"/>
        <v>TRAIL_12M_EBITDA</v>
      </c>
      <c r="E147" t="str">
        <f t="shared" si="11"/>
        <v>Dynamic</v>
      </c>
      <c r="F147" t="str">
        <f ca="1">IF(AND(ISNUMBER($F$653),$B$511=1),$F$653,HLOOKUP(INDIRECT(ADDRESS(2,COLUMN())),OFFSET($BN$2,0,0,ROW()-1,60),ROW()-1,FALSE))</f>
        <v/>
      </c>
      <c r="G147" t="str">
        <f ca="1">IF(AND(ISNUMBER($G$653),$B$511=1),$G$653,HLOOKUP(INDIRECT(ADDRESS(2,COLUMN())),OFFSET($BN$2,0,0,ROW()-1,60),ROW()-1,FALSE))</f>
        <v/>
      </c>
      <c r="H147">
        <f ca="1">IF(AND(ISNUMBER($H$653),$B$511=1),$H$653,HLOOKUP(INDIRECT(ADDRESS(2,COLUMN())),OFFSET($BN$2,0,0,ROW()-1,60),ROW()-1,FALSE))</f>
        <v>5869.9517059999998</v>
      </c>
      <c r="I147">
        <f ca="1">IF(AND(ISNUMBER($I$653),$B$511=1),$I$653,HLOOKUP(INDIRECT(ADDRESS(2,COLUMN())),OFFSET($BN$2,0,0,ROW()-1,60),ROW()-1,FALSE))</f>
        <v>6623.4445930000002</v>
      </c>
      <c r="J147">
        <f ca="1">IF(AND(ISNUMBER($J$653),$B$511=1),$J$653,HLOOKUP(INDIRECT(ADDRESS(2,COLUMN())),OFFSET($BN$2,0,0,ROW()-1,60),ROW()-1,FALSE))</f>
        <v>6842.9155540000002</v>
      </c>
      <c r="K147">
        <f ca="1">IF(AND(ISNUMBER($K$653),$B$511=1),$K$653,HLOOKUP(INDIRECT(ADDRESS(2,COLUMN())),OFFSET($BN$2,0,0,ROW()-1,60),ROW()-1,FALSE))</f>
        <v>7170.8462600000003</v>
      </c>
      <c r="L147">
        <f ca="1">IF(AND(ISNUMBER($L$653),$B$511=1),$L$653,HLOOKUP(INDIRECT(ADDRESS(2,COLUMN())),OFFSET($BN$2,0,0,ROW()-1,60),ROW()-1,FALSE))</f>
        <v>7282.0545279999997</v>
      </c>
      <c r="M147">
        <f ca="1">IF(AND(ISNUMBER($M$653),$B$511=1),$M$653,HLOOKUP(INDIRECT(ADDRESS(2,COLUMN())),OFFSET($BN$2,0,0,ROW()-1,60),ROW()-1,FALSE))</f>
        <v>7140.4145339999995</v>
      </c>
      <c r="N147">
        <f ca="1">IF(AND(ISNUMBER($N$653),$B$511=1),$N$653,HLOOKUP(INDIRECT(ADDRESS(2,COLUMN())),OFFSET($BN$2,0,0,ROW()-1,60),ROW()-1,FALSE))</f>
        <v>7412.1851120000001</v>
      </c>
      <c r="O147">
        <f ca="1">IF(AND(ISNUMBER($O$653),$B$511=1),$O$653,HLOOKUP(INDIRECT(ADDRESS(2,COLUMN())),OFFSET($BN$2,0,0,ROW()-1,60),ROW()-1,FALSE))</f>
        <v>7374.9188830000003</v>
      </c>
      <c r="P147">
        <f ca="1">IF(AND(ISNUMBER($P$653),$B$511=1),$P$653,HLOOKUP(INDIRECT(ADDRESS(2,COLUMN())),OFFSET($BN$2,0,0,ROW()-1,60),ROW()-1,FALSE))</f>
        <v>7674.8039150000004</v>
      </c>
      <c r="Q147">
        <f ca="1">IF(AND(ISNUMBER($Q$653),$B$511=1),$Q$653,HLOOKUP(INDIRECT(ADDRESS(2,COLUMN())),OFFSET($BN$2,0,0,ROW()-1,60),ROW()-1,FALSE))</f>
        <v>7841.9709190000003</v>
      </c>
      <c r="R147">
        <f ca="1">IF(AND(ISNUMBER($R$653),$B$511=1),$R$653,HLOOKUP(INDIRECT(ADDRESS(2,COLUMN())),OFFSET($BN$2,0,0,ROW()-1,60),ROW()-1,FALSE))</f>
        <v>7833.9237199999998</v>
      </c>
      <c r="S147">
        <f ca="1">IF(AND(ISNUMBER($S$653),$B$511=1),$S$653,HLOOKUP(INDIRECT(ADDRESS(2,COLUMN())),OFFSET($BN$2,0,0,ROW()-1,60),ROW()-1,FALSE))</f>
        <v>8091.5251689999996</v>
      </c>
      <c r="T147">
        <f ca="1">IF(AND(ISNUMBER($T$653),$B$511=1),$T$653,HLOOKUP(INDIRECT(ADDRESS(2,COLUMN())),OFFSET($BN$2,0,0,ROW()-1,60),ROW()-1,FALSE))</f>
        <v>8425.7945309999996</v>
      </c>
      <c r="U147">
        <f ca="1">IF(AND(ISNUMBER($U$653),$B$511=1),$U$653,HLOOKUP(INDIRECT(ADDRESS(2,COLUMN())),OFFSET($BN$2,0,0,ROW()-1,60),ROW()-1,FALSE))</f>
        <v>8773.4865420000006</v>
      </c>
      <c r="V147">
        <f ca="1">IF(AND(ISNUMBER($V$653),$B$511=1),$V$653,HLOOKUP(INDIRECT(ADDRESS(2,COLUMN())),OFFSET($BN$2,0,0,ROW()-1,60),ROW()-1,FALSE))</f>
        <v>9198.2402180000008</v>
      </c>
      <c r="W147">
        <f ca="1">IF(AND(ISNUMBER($W$653),$B$511=1),$W$653,HLOOKUP(INDIRECT(ADDRESS(2,COLUMN())),OFFSET($BN$2,0,0,ROW()-1,60),ROW()-1,FALSE))</f>
        <v>9595.9856490000002</v>
      </c>
      <c r="X147">
        <f ca="1">IF(AND(ISNUMBER($X$653),$B$511=1),$X$653,HLOOKUP(INDIRECT(ADDRESS(2,COLUMN())),OFFSET($BN$2,0,0,ROW()-1,60),ROW()-1,FALSE))</f>
        <v>9800.9043970000002</v>
      </c>
      <c r="Y147">
        <f ca="1">IF(AND(ISNUMBER($Y$653),$B$511=1),$Y$653,HLOOKUP(INDIRECT(ADDRESS(2,COLUMN())),OFFSET($BN$2,0,0,ROW()-1,60),ROW()-1,FALSE))</f>
        <v>9966.5341740000003</v>
      </c>
      <c r="Z147">
        <f ca="1">IF(AND(ISNUMBER($Z$653),$B$511=1),$Z$653,HLOOKUP(INDIRECT(ADDRESS(2,COLUMN())),OFFSET($BN$2,0,0,ROW()-1,60),ROW()-1,FALSE))</f>
        <v>10053.530870000001</v>
      </c>
      <c r="AA147">
        <f ca="1">IF(AND(ISNUMBER($AA$653),$B$511=1),$AA$653,HLOOKUP(INDIRECT(ADDRESS(2,COLUMN())),OFFSET($BN$2,0,0,ROW()-1,60),ROW()-1,FALSE))</f>
        <v>9932.3518280000008</v>
      </c>
      <c r="AB147">
        <f ca="1">IF(AND(ISNUMBER($AB$653),$B$511=1),$AB$653,HLOOKUP(INDIRECT(ADDRESS(2,COLUMN())),OFFSET($BN$2,0,0,ROW()-1,60),ROW()-1,FALSE))</f>
        <v>9737.5547669999996</v>
      </c>
      <c r="AC147">
        <f ca="1">IF(AND(ISNUMBER($AC$653),$B$511=1),$AC$653,HLOOKUP(INDIRECT(ADDRESS(2,COLUMN())),OFFSET($BN$2,0,0,ROW()-1,60),ROW()-1,FALSE))</f>
        <v>9620.5371360000008</v>
      </c>
      <c r="AD147">
        <f ca="1">IF(AND(ISNUMBER($AD$653),$B$511=1),$AD$653,HLOOKUP(INDIRECT(ADDRESS(2,COLUMN())),OFFSET($BN$2,0,0,ROW()-1,60),ROW()-1,FALSE))</f>
        <v>9652.6848219999993</v>
      </c>
      <c r="AE147">
        <f ca="1">IF(AND(ISNUMBER($AE$653),$B$511=1),$AE$653,HLOOKUP(INDIRECT(ADDRESS(2,COLUMN())),OFFSET($BN$2,0,0,ROW()-1,60),ROW()-1,FALSE))</f>
        <v>9735.4814239999996</v>
      </c>
      <c r="AF147">
        <f ca="1">IF(AND(ISNUMBER($AF$653),$B$511=1),$AF$653,HLOOKUP(INDIRECT(ADDRESS(2,COLUMN())),OFFSET($BN$2,0,0,ROW()-1,60),ROW()-1,FALSE))</f>
        <v>9772.1919240000007</v>
      </c>
      <c r="AG147">
        <f ca="1">IF(AND(ISNUMBER($AG$653),$B$511=1),$AG$653,HLOOKUP(INDIRECT(ADDRESS(2,COLUMN())),OFFSET($BN$2,0,0,ROW()-1,60),ROW()-1,FALSE))</f>
        <v>10013.26827</v>
      </c>
      <c r="AH147">
        <f ca="1">IF(AND(ISNUMBER($AH$653),$B$511=1),$AH$653,HLOOKUP(INDIRECT(ADDRESS(2,COLUMN())),OFFSET($BN$2,0,0,ROW()-1,60),ROW()-1,FALSE))</f>
        <v>9708.4756899999993</v>
      </c>
      <c r="AI147">
        <f ca="1">IF(AND(ISNUMBER($AI$653),$B$511=1),$AI$653,HLOOKUP(INDIRECT(ADDRESS(2,COLUMN())),OFFSET($BN$2,0,0,ROW()-1,60),ROW()-1,FALSE))</f>
        <v>9330.4369200000001</v>
      </c>
      <c r="AJ147">
        <f ca="1">IF(AND(ISNUMBER($AJ$653),$B$511=1),$AJ$653,HLOOKUP(INDIRECT(ADDRESS(2,COLUMN())),OFFSET($BN$2,0,0,ROW()-1,60),ROW()-1,FALSE))</f>
        <v>8615.7483260000008</v>
      </c>
      <c r="AK147">
        <f ca="1">IF(AND(ISNUMBER($AK$653),$B$511=1),$AK$653,HLOOKUP(INDIRECT(ADDRESS(2,COLUMN())),OFFSET($BN$2,0,0,ROW()-1,60),ROW()-1,FALSE))</f>
        <v>7999.9120560000001</v>
      </c>
      <c r="AL147">
        <f ca="1">IF(AND(ISNUMBER($AL$653),$B$511=1),$AL$653,HLOOKUP(INDIRECT(ADDRESS(2,COLUMN())),OFFSET($BN$2,0,0,ROW()-1,60),ROW()-1,FALSE))</f>
        <v>7447.6423999999997</v>
      </c>
      <c r="AM147">
        <f ca="1">IF(AND(ISNUMBER($AM$653),$B$511=1),$AM$653,HLOOKUP(INDIRECT(ADDRESS(2,COLUMN())),OFFSET($BN$2,0,0,ROW()-1,60),ROW()-1,FALSE))</f>
        <v>6955.6968100000004</v>
      </c>
      <c r="AN147" t="str">
        <f ca="1">IF(AND(ISNUMBER($AN$653),$B$511=1),$AN$653,HLOOKUP(INDIRECT(ADDRESS(2,COLUMN())),OFFSET($BN$2,0,0,ROW()-1,60),ROW()-1,FALSE))</f>
        <v/>
      </c>
      <c r="AO147" t="str">
        <f ca="1">IF(AND(ISNUMBER($AO$653),$B$511=1),$AO$653,HLOOKUP(INDIRECT(ADDRESS(2,COLUMN())),OFFSET($BN$2,0,0,ROW()-1,60),ROW()-1,FALSE))</f>
        <v/>
      </c>
      <c r="AP147" t="str">
        <f ca="1">IF(AND(ISNUMBER($AP$653),$B$511=1),$AP$653,HLOOKUP(INDIRECT(ADDRESS(2,COLUMN())),OFFSET($BN$2,0,0,ROW()-1,60),ROW()-1,FALSE))</f>
        <v/>
      </c>
      <c r="AQ147" t="str">
        <f ca="1">IF(AND(ISNUMBER($AQ$653),$B$511=1),$AQ$653,HLOOKUP(INDIRECT(ADDRESS(2,COLUMN())),OFFSET($BN$2,0,0,ROW()-1,60),ROW()-1,FALSE))</f>
        <v/>
      </c>
      <c r="AR147" t="str">
        <f ca="1">IF(AND(ISNUMBER($AR$653),$B$511=1),$AR$653,HLOOKUP(INDIRECT(ADDRESS(2,COLUMN())),OFFSET($BN$2,0,0,ROW()-1,60),ROW()-1,FALSE))</f>
        <v/>
      </c>
      <c r="AS147" t="str">
        <f ca="1">IF(AND(ISNUMBER($AS$653),$B$511=1),$AS$653,HLOOKUP(INDIRECT(ADDRESS(2,COLUMN())),OFFSET($BN$2,0,0,ROW()-1,60),ROW()-1,FALSE))</f>
        <v/>
      </c>
      <c r="AT147" t="str">
        <f ca="1">IF(AND(ISNUMBER($AT$653),$B$511=1),$AT$653,HLOOKUP(INDIRECT(ADDRESS(2,COLUMN())),OFFSET($BN$2,0,0,ROW()-1,60),ROW()-1,FALSE))</f>
        <v/>
      </c>
      <c r="AU147" t="str">
        <f ca="1">IF(AND(ISNUMBER($AU$653),$B$511=1),$AU$653,HLOOKUP(INDIRECT(ADDRESS(2,COLUMN())),OFFSET($BN$2,0,0,ROW()-1,60),ROW()-1,FALSE))</f>
        <v/>
      </c>
      <c r="AV147" t="str">
        <f ca="1">IF(AND(ISNUMBER($AV$653),$B$511=1),$AV$653,HLOOKUP(INDIRECT(ADDRESS(2,COLUMN())),OFFSET($BN$2,0,0,ROW()-1,60),ROW()-1,FALSE))</f>
        <v/>
      </c>
      <c r="AW147" t="str">
        <f ca="1">IF(AND(ISNUMBER($AW$653),$B$511=1),$AW$653,HLOOKUP(INDIRECT(ADDRESS(2,COLUMN())),OFFSET($BN$2,0,0,ROW()-1,60),ROW()-1,FALSE))</f>
        <v/>
      </c>
      <c r="AX147" t="str">
        <f ca="1">IF(AND(ISNUMBER($AX$653),$B$511=1),$AX$653,HLOOKUP(INDIRECT(ADDRESS(2,COLUMN())),OFFSET($BN$2,0,0,ROW()-1,60),ROW()-1,FALSE))</f>
        <v/>
      </c>
      <c r="AY147" t="str">
        <f ca="1">IF(AND(ISNUMBER($AY$653),$B$511=1),$AY$653,HLOOKUP(INDIRECT(ADDRESS(2,COLUMN())),OFFSET($BN$2,0,0,ROW()-1,60),ROW()-1,FALSE))</f>
        <v/>
      </c>
      <c r="AZ147" t="str">
        <f ca="1">IF(AND(ISNUMBER($AZ$653),$B$511=1),$AZ$653,HLOOKUP(INDIRECT(ADDRESS(2,COLUMN())),OFFSET($BN$2,0,0,ROW()-1,60),ROW()-1,FALSE))</f>
        <v/>
      </c>
      <c r="BA147" t="str">
        <f ca="1">IF(AND(ISNUMBER($BA$653),$B$511=1),$BA$653,HLOOKUP(INDIRECT(ADDRESS(2,COLUMN())),OFFSET($BN$2,0,0,ROW()-1,60),ROW()-1,FALSE))</f>
        <v/>
      </c>
      <c r="BB147" t="str">
        <f ca="1">IF(AND(ISNUMBER($BB$653),$B$511=1),$BB$653,HLOOKUP(INDIRECT(ADDRESS(2,COLUMN())),OFFSET($BN$2,0,0,ROW()-1,60),ROW()-1,FALSE))</f>
        <v/>
      </c>
      <c r="BC147" t="str">
        <f ca="1">IF(AND(ISNUMBER($BC$653),$B$511=1),$BC$653,HLOOKUP(INDIRECT(ADDRESS(2,COLUMN())),OFFSET($BN$2,0,0,ROW()-1,60),ROW()-1,FALSE))</f>
        <v/>
      </c>
      <c r="BD147" t="str">
        <f ca="1">IF(AND(ISNUMBER($BD$653),$B$511=1),$BD$653,HLOOKUP(INDIRECT(ADDRESS(2,COLUMN())),OFFSET($BN$2,0,0,ROW()-1,60),ROW()-1,FALSE))</f>
        <v/>
      </c>
      <c r="BE147" t="str">
        <f ca="1">IF(AND(ISNUMBER($BE$653),$B$511=1),$BE$653,HLOOKUP(INDIRECT(ADDRESS(2,COLUMN())),OFFSET($BN$2,0,0,ROW()-1,60),ROW()-1,FALSE))</f>
        <v/>
      </c>
      <c r="BF147" t="str">
        <f ca="1">IF(AND(ISNUMBER($BF$653),$B$511=1),$BF$653,HLOOKUP(INDIRECT(ADDRESS(2,COLUMN())),OFFSET($BN$2,0,0,ROW()-1,60),ROW()-1,FALSE))</f>
        <v/>
      </c>
      <c r="BG147" t="str">
        <f ca="1">IF(AND(ISNUMBER($BG$653),$B$511=1),$BG$653,HLOOKUP(INDIRECT(ADDRESS(2,COLUMN())),OFFSET($BN$2,0,0,ROW()-1,60),ROW()-1,FALSE))</f>
        <v/>
      </c>
      <c r="BH147" t="str">
        <f ca="1">IF(AND(ISNUMBER($BH$653),$B$511=1),$BH$653,HLOOKUP(INDIRECT(ADDRESS(2,COLUMN())),OFFSET($BN$2,0,0,ROW()-1,60),ROW()-1,FALSE))</f>
        <v/>
      </c>
      <c r="BI147" t="str">
        <f ca="1">IF(AND(ISNUMBER($BI$653),$B$511=1),$BI$653,HLOOKUP(INDIRECT(ADDRESS(2,COLUMN())),OFFSET($BN$2,0,0,ROW()-1,60),ROW()-1,FALSE))</f>
        <v/>
      </c>
      <c r="BJ147" t="str">
        <f ca="1">IF(AND(ISNUMBER($BJ$653),$B$511=1),$BJ$653,HLOOKUP(INDIRECT(ADDRESS(2,COLUMN())),OFFSET($BN$2,0,0,ROW()-1,60),ROW()-1,FALSE))</f>
        <v/>
      </c>
      <c r="BK147" t="str">
        <f ca="1">IF(AND(ISNUMBER($BK$653),$B$511=1),$BK$653,HLOOKUP(INDIRECT(ADDRESS(2,COLUMN())),OFFSET($BN$2,0,0,ROW()-1,60),ROW()-1,FALSE))</f>
        <v/>
      </c>
      <c r="BL147" t="str">
        <f ca="1">IF(AND(ISNUMBER($BL$653),$B$511=1),$BL$653,HLOOKUP(INDIRECT(ADDRESS(2,COLUMN())),OFFSET($BN$2,0,0,ROW()-1,60),ROW()-1,FALSE))</f>
        <v/>
      </c>
      <c r="BM147" t="str">
        <f ca="1">IF(AND(ISNUMBER($BM$653),$B$511=1),$BM$653,HLOOKUP(INDIRECT(ADDRESS(2,COLUMN())),OFFSET($BN$2,0,0,ROW()-1,60),ROW()-1,FALSE))</f>
        <v/>
      </c>
      <c r="BN147" t="str">
        <f>""</f>
        <v/>
      </c>
      <c r="BO147" t="str">
        <f>""</f>
        <v/>
      </c>
      <c r="BP147">
        <f>5869.951706</f>
        <v>5869.9517059999998</v>
      </c>
      <c r="BQ147">
        <f>6623.444593</f>
        <v>6623.4445930000002</v>
      </c>
      <c r="BR147">
        <f>6842.915554</f>
        <v>6842.9155540000002</v>
      </c>
      <c r="BS147">
        <f>7170.84626</f>
        <v>7170.8462600000003</v>
      </c>
      <c r="BT147">
        <f>7282.054528</f>
        <v>7282.0545279999997</v>
      </c>
      <c r="BU147">
        <f>7140.414534</f>
        <v>7140.4145339999995</v>
      </c>
      <c r="BV147">
        <f>7412.185112</f>
        <v>7412.1851120000001</v>
      </c>
      <c r="BW147">
        <f>7374.918883</f>
        <v>7374.9188830000003</v>
      </c>
      <c r="BX147">
        <f>7674.803915</f>
        <v>7674.8039150000004</v>
      </c>
      <c r="BY147">
        <f>7841.970919</f>
        <v>7841.9709190000003</v>
      </c>
      <c r="BZ147">
        <f>7833.92372</f>
        <v>7833.9237199999998</v>
      </c>
      <c r="CA147">
        <f>8091.525169</f>
        <v>8091.5251689999996</v>
      </c>
      <c r="CB147">
        <f>8425.794531</f>
        <v>8425.7945309999996</v>
      </c>
      <c r="CC147">
        <f>8773.486542</f>
        <v>8773.4865420000006</v>
      </c>
      <c r="CD147">
        <f>9198.240218</f>
        <v>9198.2402180000008</v>
      </c>
      <c r="CE147">
        <f>9595.985649</f>
        <v>9595.9856490000002</v>
      </c>
      <c r="CF147">
        <f>9800.904397</f>
        <v>9800.9043970000002</v>
      </c>
      <c r="CG147">
        <f>9966.534174</f>
        <v>9966.5341740000003</v>
      </c>
      <c r="CH147">
        <f>10053.53087</f>
        <v>10053.530870000001</v>
      </c>
      <c r="CI147">
        <f>9932.351828</f>
        <v>9932.3518280000008</v>
      </c>
      <c r="CJ147">
        <f>9737.554767</f>
        <v>9737.5547669999996</v>
      </c>
      <c r="CK147">
        <f>9620.537136</f>
        <v>9620.5371360000008</v>
      </c>
      <c r="CL147">
        <f>9652.684822</f>
        <v>9652.6848219999993</v>
      </c>
      <c r="CM147">
        <f>9735.481424</f>
        <v>9735.4814239999996</v>
      </c>
      <c r="CN147">
        <f>9772.191924</f>
        <v>9772.1919240000007</v>
      </c>
      <c r="CO147">
        <f>10013.26827</f>
        <v>10013.26827</v>
      </c>
      <c r="CP147">
        <f>9708.47569</f>
        <v>9708.4756899999993</v>
      </c>
      <c r="CQ147">
        <f>9330.43692</f>
        <v>9330.4369200000001</v>
      </c>
      <c r="CR147">
        <f>8615.748326</f>
        <v>8615.7483260000008</v>
      </c>
      <c r="CS147">
        <f>7999.912056</f>
        <v>7999.9120560000001</v>
      </c>
      <c r="CT147">
        <f>7447.6424</f>
        <v>7447.6423999999997</v>
      </c>
      <c r="CU147">
        <f>6955.69681</f>
        <v>6955.6968100000004</v>
      </c>
      <c r="CV147" t="str">
        <f>""</f>
        <v/>
      </c>
      <c r="CW147" t="str">
        <f>""</f>
        <v/>
      </c>
      <c r="CX147" t="str">
        <f>""</f>
        <v/>
      </c>
      <c r="CY147" t="str">
        <f>""</f>
        <v/>
      </c>
      <c r="CZ147" t="str">
        <f>""</f>
        <v/>
      </c>
      <c r="DA147" t="str">
        <f>""</f>
        <v/>
      </c>
      <c r="DB147" t="str">
        <f>""</f>
        <v/>
      </c>
      <c r="DC147" t="str">
        <f>""</f>
        <v/>
      </c>
      <c r="DD147" t="str">
        <f>""</f>
        <v/>
      </c>
      <c r="DE147" t="str">
        <f>""</f>
        <v/>
      </c>
      <c r="DF147" t="str">
        <f>""</f>
        <v/>
      </c>
      <c r="DG147" t="str">
        <f>""</f>
        <v/>
      </c>
      <c r="DH147" t="str">
        <f>""</f>
        <v/>
      </c>
      <c r="DI147" t="str">
        <f>""</f>
        <v/>
      </c>
      <c r="DJ147" t="str">
        <f>""</f>
        <v/>
      </c>
      <c r="DK147" t="str">
        <f>""</f>
        <v/>
      </c>
      <c r="DL147" t="str">
        <f>""</f>
        <v/>
      </c>
      <c r="DM147" t="str">
        <f>""</f>
        <v/>
      </c>
      <c r="DN147" t="str">
        <f>""</f>
        <v/>
      </c>
      <c r="DO147" t="str">
        <f>""</f>
        <v/>
      </c>
      <c r="DP147" t="str">
        <f>""</f>
        <v/>
      </c>
      <c r="DQ147" t="str">
        <f>""</f>
        <v/>
      </c>
      <c r="DR147" t="str">
        <f>""</f>
        <v/>
      </c>
      <c r="DS147" t="str">
        <f>""</f>
        <v/>
      </c>
      <c r="DT147" t="str">
        <f>""</f>
        <v/>
      </c>
      <c r="DU147" t="str">
        <f>""</f>
        <v/>
      </c>
    </row>
    <row r="148" spans="1:125" x14ac:dyDescent="0.25">
      <c r="A148" t="str">
        <f>"    Kia Motors Corp"</f>
        <v xml:space="preserve">    Kia Motors Corp</v>
      </c>
      <c r="B148" t="str">
        <f>"000270 KS Equity"</f>
        <v>000270 KS Equity</v>
      </c>
      <c r="C148" t="str">
        <f t="shared" si="9"/>
        <v>RR841</v>
      </c>
      <c r="D148" t="str">
        <f t="shared" si="10"/>
        <v>TRAIL_12M_EBITDA</v>
      </c>
      <c r="E148" t="str">
        <f t="shared" si="11"/>
        <v>Dynamic</v>
      </c>
      <c r="F148" t="str">
        <f ca="1">IF(AND(ISNUMBER($F$654),$B$511=1),$F$654,HLOOKUP(INDIRECT(ADDRESS(2,COLUMN())),OFFSET($BN$2,0,0,ROW()-1,60),ROW()-1,FALSE))</f>
        <v/>
      </c>
      <c r="G148" t="str">
        <f ca="1">IF(AND(ISNUMBER($G$654),$B$511=1),$G$654,HLOOKUP(INDIRECT(ADDRESS(2,COLUMN())),OFFSET($BN$2,0,0,ROW()-1,60),ROW()-1,FALSE))</f>
        <v/>
      </c>
      <c r="H148">
        <f ca="1">IF(AND(ISNUMBER($H$654),$B$511=1),$H$654,HLOOKUP(INDIRECT(ADDRESS(2,COLUMN())),OFFSET($BN$2,0,0,ROW()-1,60),ROW()-1,FALSE))</f>
        <v>2730.1505040000002</v>
      </c>
      <c r="I148">
        <f ca="1">IF(AND(ISNUMBER($I$654),$B$511=1),$I$654,HLOOKUP(INDIRECT(ADDRESS(2,COLUMN())),OFFSET($BN$2,0,0,ROW()-1,60),ROW()-1,FALSE))</f>
        <v>2225.7884949999998</v>
      </c>
      <c r="J148">
        <f ca="1">IF(AND(ISNUMBER($J$654),$B$511=1),$J$654,HLOOKUP(INDIRECT(ADDRESS(2,COLUMN())),OFFSET($BN$2,0,0,ROW()-1,60),ROW()-1,FALSE))</f>
        <v>2228.2122989999998</v>
      </c>
      <c r="K148">
        <f ca="1">IF(AND(ISNUMBER($K$654),$B$511=1),$K$654,HLOOKUP(INDIRECT(ADDRESS(2,COLUMN())),OFFSET($BN$2,0,0,ROW()-1,60),ROW()-1,FALSE))</f>
        <v>2228.0432059999998</v>
      </c>
      <c r="L148">
        <f ca="1">IF(AND(ISNUMBER($L$654),$B$511=1),$L$654,HLOOKUP(INDIRECT(ADDRESS(2,COLUMN())),OFFSET($BN$2,0,0,ROW()-1,60),ROW()-1,FALSE))</f>
        <v>2378.4693090000001</v>
      </c>
      <c r="M148">
        <f ca="1">IF(AND(ISNUMBER($M$654),$B$511=1),$M$654,HLOOKUP(INDIRECT(ADDRESS(2,COLUMN())),OFFSET($BN$2,0,0,ROW()-1,60),ROW()-1,FALSE))</f>
        <v>3185.7060809999998</v>
      </c>
      <c r="N148">
        <f ca="1">IF(AND(ISNUMBER($N$654),$B$511=1),$N$654,HLOOKUP(INDIRECT(ADDRESS(2,COLUMN())),OFFSET($BN$2,0,0,ROW()-1,60),ROW()-1,FALSE))</f>
        <v>3445.2597209999999</v>
      </c>
      <c r="O148">
        <f ca="1">IF(AND(ISNUMBER($O$654),$B$511=1),$O$654,HLOOKUP(INDIRECT(ADDRESS(2,COLUMN())),OFFSET($BN$2,0,0,ROW()-1,60),ROW()-1,FALSE))</f>
        <v>3577.823793</v>
      </c>
      <c r="P148">
        <f ca="1">IF(AND(ISNUMBER($P$654),$B$511=1),$P$654,HLOOKUP(INDIRECT(ADDRESS(2,COLUMN())),OFFSET($BN$2,0,0,ROW()-1,60),ROW()-1,FALSE))</f>
        <v>3487.509708</v>
      </c>
      <c r="Q148">
        <f ca="1">IF(AND(ISNUMBER($Q$654),$B$511=1),$Q$654,HLOOKUP(INDIRECT(ADDRESS(2,COLUMN())),OFFSET($BN$2,0,0,ROW()-1,60),ROW()-1,FALSE))</f>
        <v>3499.793044</v>
      </c>
      <c r="R148">
        <f ca="1">IF(AND(ISNUMBER($R$654),$B$511=1),$R$654,HLOOKUP(INDIRECT(ADDRESS(2,COLUMN())),OFFSET($BN$2,0,0,ROW()-1,60),ROW()-1,FALSE))</f>
        <v>3409.527192</v>
      </c>
      <c r="S148">
        <f ca="1">IF(AND(ISNUMBER($S$654),$B$511=1),$S$654,HLOOKUP(INDIRECT(ADDRESS(2,COLUMN())),OFFSET($BN$2,0,0,ROW()-1,60),ROW()-1,FALSE))</f>
        <v>3340.3506080000002</v>
      </c>
      <c r="T148">
        <f ca="1">IF(AND(ISNUMBER($T$654),$B$511=1),$T$654,HLOOKUP(INDIRECT(ADDRESS(2,COLUMN())),OFFSET($BN$2,0,0,ROW()-1,60),ROW()-1,FALSE))</f>
        <v>3389.8020980000001</v>
      </c>
      <c r="U148">
        <f ca="1">IF(AND(ISNUMBER($U$654),$B$511=1),$U$654,HLOOKUP(INDIRECT(ADDRESS(2,COLUMN())),OFFSET($BN$2,0,0,ROW()-1,60),ROW()-1,FALSE))</f>
        <v>3386.7030009999999</v>
      </c>
      <c r="V148">
        <f ca="1">IF(AND(ISNUMBER($V$654),$B$511=1),$V$654,HLOOKUP(INDIRECT(ADDRESS(2,COLUMN())),OFFSET($BN$2,0,0,ROW()-1,60),ROW()-1,FALSE))</f>
        <v>3510.1860470000001</v>
      </c>
      <c r="W148">
        <f ca="1">IF(AND(ISNUMBER($W$654),$B$511=1),$W$654,HLOOKUP(INDIRECT(ADDRESS(2,COLUMN())),OFFSET($BN$2,0,0,ROW()-1,60),ROW()-1,FALSE))</f>
        <v>3715.0870759999998</v>
      </c>
      <c r="X148">
        <f ca="1">IF(AND(ISNUMBER($X$654),$B$511=1),$X$654,HLOOKUP(INDIRECT(ADDRESS(2,COLUMN())),OFFSET($BN$2,0,0,ROW()-1,60),ROW()-1,FALSE))</f>
        <v>3812.5029770000001</v>
      </c>
      <c r="Y148">
        <f ca="1">IF(AND(ISNUMBER($Y$654),$B$511=1),$Y$654,HLOOKUP(INDIRECT(ADDRESS(2,COLUMN())),OFFSET($BN$2,0,0,ROW()-1,60),ROW()-1,FALSE))</f>
        <v>3847.3717499999998</v>
      </c>
      <c r="Z148">
        <f ca="1">IF(AND(ISNUMBER($Z$654),$B$511=1),$Z$654,HLOOKUP(INDIRECT(ADDRESS(2,COLUMN())),OFFSET($BN$2,0,0,ROW()-1,60),ROW()-1,FALSE))</f>
        <v>4072.3082209999998</v>
      </c>
      <c r="AA148">
        <f ca="1">IF(AND(ISNUMBER($AA$654),$B$511=1),$AA$654,HLOOKUP(INDIRECT(ADDRESS(2,COLUMN())),OFFSET($BN$2,0,0,ROW()-1,60),ROW()-1,FALSE))</f>
        <v>4003.338741</v>
      </c>
      <c r="AB148">
        <f ca="1">IF(AND(ISNUMBER($AB$654),$B$511=1),$AB$654,HLOOKUP(INDIRECT(ADDRESS(2,COLUMN())),OFFSET($BN$2,0,0,ROW()-1,60),ROW()-1,FALSE))</f>
        <v>3730.2374150000001</v>
      </c>
      <c r="AC148">
        <f ca="1">IF(AND(ISNUMBER($AC$654),$B$511=1),$AC$654,HLOOKUP(INDIRECT(ADDRESS(2,COLUMN())),OFFSET($BN$2,0,0,ROW()-1,60),ROW()-1,FALSE))</f>
        <v>3758.3427790000001</v>
      </c>
      <c r="AD148">
        <f ca="1">IF(AND(ISNUMBER($AD$654),$B$511=1),$AD$654,HLOOKUP(INDIRECT(ADDRESS(2,COLUMN())),OFFSET($BN$2,0,0,ROW()-1,60),ROW()-1,FALSE))</f>
        <v>3793.1951589999999</v>
      </c>
      <c r="AE148">
        <f ca="1">IF(AND(ISNUMBER($AE$654),$B$511=1),$AE$654,HLOOKUP(INDIRECT(ADDRESS(2,COLUMN())),OFFSET($BN$2,0,0,ROW()-1,60),ROW()-1,FALSE))</f>
        <v>4073.9513139999999</v>
      </c>
      <c r="AF148">
        <f ca="1">IF(AND(ISNUMBER($AF$654),$B$511=1),$AF$654,HLOOKUP(INDIRECT(ADDRESS(2,COLUMN())),OFFSET($BN$2,0,0,ROW()-1,60),ROW()-1,FALSE))</f>
        <v>4360.7740519999998</v>
      </c>
      <c r="AG148">
        <f ca="1">IF(AND(ISNUMBER($AG$654),$B$511=1),$AG$654,HLOOKUP(INDIRECT(ADDRESS(2,COLUMN())),OFFSET($BN$2,0,0,ROW()-1,60),ROW()-1,FALSE))</f>
        <v>4452.7359100000003</v>
      </c>
      <c r="AH148">
        <f ca="1">IF(AND(ISNUMBER($AH$654),$B$511=1),$AH$654,HLOOKUP(INDIRECT(ADDRESS(2,COLUMN())),OFFSET($BN$2,0,0,ROW()-1,60),ROW()-1,FALSE))</f>
        <v>4319.3569859999998</v>
      </c>
      <c r="AI148">
        <f ca="1">IF(AND(ISNUMBER($AI$654),$B$511=1),$AI$654,HLOOKUP(INDIRECT(ADDRESS(2,COLUMN())),OFFSET($BN$2,0,0,ROW()-1,60),ROW()-1,FALSE))</f>
        <v>4057.8789579999998</v>
      </c>
      <c r="AJ148">
        <f ca="1">IF(AND(ISNUMBER($AJ$654),$B$511=1),$AJ$654,HLOOKUP(INDIRECT(ADDRESS(2,COLUMN())),OFFSET($BN$2,0,0,ROW()-1,60),ROW()-1,FALSE))</f>
        <v>3886.1865290000001</v>
      </c>
      <c r="AK148">
        <f ca="1">IF(AND(ISNUMBER($AK$654),$B$511=1),$AK$654,HLOOKUP(INDIRECT(ADDRESS(2,COLUMN())),OFFSET($BN$2,0,0,ROW()-1,60),ROW()-1,FALSE))</f>
        <v>3643.2636130000001</v>
      </c>
      <c r="AL148">
        <f ca="1">IF(AND(ISNUMBER($AL$654),$B$511=1),$AL$654,HLOOKUP(INDIRECT(ADDRESS(2,COLUMN())),OFFSET($BN$2,0,0,ROW()-1,60),ROW()-1,FALSE))</f>
        <v>3219.1678430000002</v>
      </c>
      <c r="AM148">
        <f ca="1">IF(AND(ISNUMBER($AM$654),$B$511=1),$AM$654,HLOOKUP(INDIRECT(ADDRESS(2,COLUMN())),OFFSET($BN$2,0,0,ROW()-1,60),ROW()-1,FALSE))</f>
        <v>2859.6334040000002</v>
      </c>
      <c r="AN148" t="str">
        <f ca="1">IF(AND(ISNUMBER($AN$654),$B$511=1),$AN$654,HLOOKUP(INDIRECT(ADDRESS(2,COLUMN())),OFFSET($BN$2,0,0,ROW()-1,60),ROW()-1,FALSE))</f>
        <v/>
      </c>
      <c r="AO148" t="str">
        <f ca="1">IF(AND(ISNUMBER($AO$654),$B$511=1),$AO$654,HLOOKUP(INDIRECT(ADDRESS(2,COLUMN())),OFFSET($BN$2,0,0,ROW()-1,60),ROW()-1,FALSE))</f>
        <v/>
      </c>
      <c r="AP148" t="str">
        <f ca="1">IF(AND(ISNUMBER($AP$654),$B$511=1),$AP$654,HLOOKUP(INDIRECT(ADDRESS(2,COLUMN())),OFFSET($BN$2,0,0,ROW()-1,60),ROW()-1,FALSE))</f>
        <v/>
      </c>
      <c r="AQ148" t="str">
        <f ca="1">IF(AND(ISNUMBER($AQ$654),$B$511=1),$AQ$654,HLOOKUP(INDIRECT(ADDRESS(2,COLUMN())),OFFSET($BN$2,0,0,ROW()-1,60),ROW()-1,FALSE))</f>
        <v/>
      </c>
      <c r="AR148" t="str">
        <f ca="1">IF(AND(ISNUMBER($AR$654),$B$511=1),$AR$654,HLOOKUP(INDIRECT(ADDRESS(2,COLUMN())),OFFSET($BN$2,0,0,ROW()-1,60),ROW()-1,FALSE))</f>
        <v/>
      </c>
      <c r="AS148" t="str">
        <f ca="1">IF(AND(ISNUMBER($AS$654),$B$511=1),$AS$654,HLOOKUP(INDIRECT(ADDRESS(2,COLUMN())),OFFSET($BN$2,0,0,ROW()-1,60),ROW()-1,FALSE))</f>
        <v/>
      </c>
      <c r="AT148" t="str">
        <f ca="1">IF(AND(ISNUMBER($AT$654),$B$511=1),$AT$654,HLOOKUP(INDIRECT(ADDRESS(2,COLUMN())),OFFSET($BN$2,0,0,ROW()-1,60),ROW()-1,FALSE))</f>
        <v/>
      </c>
      <c r="AU148" t="str">
        <f ca="1">IF(AND(ISNUMBER($AU$654),$B$511=1),$AU$654,HLOOKUP(INDIRECT(ADDRESS(2,COLUMN())),OFFSET($BN$2,0,0,ROW()-1,60),ROW()-1,FALSE))</f>
        <v/>
      </c>
      <c r="AV148" t="str">
        <f ca="1">IF(AND(ISNUMBER($AV$654),$B$511=1),$AV$654,HLOOKUP(INDIRECT(ADDRESS(2,COLUMN())),OFFSET($BN$2,0,0,ROW()-1,60),ROW()-1,FALSE))</f>
        <v/>
      </c>
      <c r="AW148" t="str">
        <f ca="1">IF(AND(ISNUMBER($AW$654),$B$511=1),$AW$654,HLOOKUP(INDIRECT(ADDRESS(2,COLUMN())),OFFSET($BN$2,0,0,ROW()-1,60),ROW()-1,FALSE))</f>
        <v/>
      </c>
      <c r="AX148" t="str">
        <f ca="1">IF(AND(ISNUMBER($AX$654),$B$511=1),$AX$654,HLOOKUP(INDIRECT(ADDRESS(2,COLUMN())),OFFSET($BN$2,0,0,ROW()-1,60),ROW()-1,FALSE))</f>
        <v/>
      </c>
      <c r="AY148" t="str">
        <f ca="1">IF(AND(ISNUMBER($AY$654),$B$511=1),$AY$654,HLOOKUP(INDIRECT(ADDRESS(2,COLUMN())),OFFSET($BN$2,0,0,ROW()-1,60),ROW()-1,FALSE))</f>
        <v/>
      </c>
      <c r="AZ148" t="str">
        <f ca="1">IF(AND(ISNUMBER($AZ$654),$B$511=1),$AZ$654,HLOOKUP(INDIRECT(ADDRESS(2,COLUMN())),OFFSET($BN$2,0,0,ROW()-1,60),ROW()-1,FALSE))</f>
        <v/>
      </c>
      <c r="BA148" t="str">
        <f ca="1">IF(AND(ISNUMBER($BA$654),$B$511=1),$BA$654,HLOOKUP(INDIRECT(ADDRESS(2,COLUMN())),OFFSET($BN$2,0,0,ROW()-1,60),ROW()-1,FALSE))</f>
        <v/>
      </c>
      <c r="BB148" t="str">
        <f ca="1">IF(AND(ISNUMBER($BB$654),$B$511=1),$BB$654,HLOOKUP(INDIRECT(ADDRESS(2,COLUMN())),OFFSET($BN$2,0,0,ROW()-1,60),ROW()-1,FALSE))</f>
        <v/>
      </c>
      <c r="BC148" t="str">
        <f ca="1">IF(AND(ISNUMBER($BC$654),$B$511=1),$BC$654,HLOOKUP(INDIRECT(ADDRESS(2,COLUMN())),OFFSET($BN$2,0,0,ROW()-1,60),ROW()-1,FALSE))</f>
        <v/>
      </c>
      <c r="BD148" t="str">
        <f ca="1">IF(AND(ISNUMBER($BD$654),$B$511=1),$BD$654,HLOOKUP(INDIRECT(ADDRESS(2,COLUMN())),OFFSET($BN$2,0,0,ROW()-1,60),ROW()-1,FALSE))</f>
        <v/>
      </c>
      <c r="BE148" t="str">
        <f ca="1">IF(AND(ISNUMBER($BE$654),$B$511=1),$BE$654,HLOOKUP(INDIRECT(ADDRESS(2,COLUMN())),OFFSET($BN$2,0,0,ROW()-1,60),ROW()-1,FALSE))</f>
        <v/>
      </c>
      <c r="BF148" t="str">
        <f ca="1">IF(AND(ISNUMBER($BF$654),$B$511=1),$BF$654,HLOOKUP(INDIRECT(ADDRESS(2,COLUMN())),OFFSET($BN$2,0,0,ROW()-1,60),ROW()-1,FALSE))</f>
        <v/>
      </c>
      <c r="BG148" t="str">
        <f ca="1">IF(AND(ISNUMBER($BG$654),$B$511=1),$BG$654,HLOOKUP(INDIRECT(ADDRESS(2,COLUMN())),OFFSET($BN$2,0,0,ROW()-1,60),ROW()-1,FALSE))</f>
        <v/>
      </c>
      <c r="BH148" t="str">
        <f ca="1">IF(AND(ISNUMBER($BH$654),$B$511=1),$BH$654,HLOOKUP(INDIRECT(ADDRESS(2,COLUMN())),OFFSET($BN$2,0,0,ROW()-1,60),ROW()-1,FALSE))</f>
        <v/>
      </c>
      <c r="BI148" t="str">
        <f ca="1">IF(AND(ISNUMBER($BI$654),$B$511=1),$BI$654,HLOOKUP(INDIRECT(ADDRESS(2,COLUMN())),OFFSET($BN$2,0,0,ROW()-1,60),ROW()-1,FALSE))</f>
        <v/>
      </c>
      <c r="BJ148" t="str">
        <f ca="1">IF(AND(ISNUMBER($BJ$654),$B$511=1),$BJ$654,HLOOKUP(INDIRECT(ADDRESS(2,COLUMN())),OFFSET($BN$2,0,0,ROW()-1,60),ROW()-1,FALSE))</f>
        <v/>
      </c>
      <c r="BK148" t="str">
        <f ca="1">IF(AND(ISNUMBER($BK$654),$B$511=1),$BK$654,HLOOKUP(INDIRECT(ADDRESS(2,COLUMN())),OFFSET($BN$2,0,0,ROW()-1,60),ROW()-1,FALSE))</f>
        <v/>
      </c>
      <c r="BL148" t="str">
        <f ca="1">IF(AND(ISNUMBER($BL$654),$B$511=1),$BL$654,HLOOKUP(INDIRECT(ADDRESS(2,COLUMN())),OFFSET($BN$2,0,0,ROW()-1,60),ROW()-1,FALSE))</f>
        <v/>
      </c>
      <c r="BM148" t="str">
        <f ca="1">IF(AND(ISNUMBER($BM$654),$B$511=1),$BM$654,HLOOKUP(INDIRECT(ADDRESS(2,COLUMN())),OFFSET($BN$2,0,0,ROW()-1,60),ROW()-1,FALSE))</f>
        <v/>
      </c>
      <c r="BN148" t="str">
        <f>""</f>
        <v/>
      </c>
      <c r="BO148" t="str">
        <f>""</f>
        <v/>
      </c>
      <c r="BP148">
        <f>2730.150504</f>
        <v>2730.1505040000002</v>
      </c>
      <c r="BQ148">
        <f>2225.788495</f>
        <v>2225.7884949999998</v>
      </c>
      <c r="BR148">
        <f>2228.212299</f>
        <v>2228.2122989999998</v>
      </c>
      <c r="BS148">
        <f>2228.043206</f>
        <v>2228.0432059999998</v>
      </c>
      <c r="BT148">
        <f>2378.469309</f>
        <v>2378.4693090000001</v>
      </c>
      <c r="BU148">
        <f>3185.706081</f>
        <v>3185.7060809999998</v>
      </c>
      <c r="BV148">
        <f>3445.259721</f>
        <v>3445.2597209999999</v>
      </c>
      <c r="BW148">
        <f>3577.823793</f>
        <v>3577.823793</v>
      </c>
      <c r="BX148">
        <f>3487.509708</f>
        <v>3487.509708</v>
      </c>
      <c r="BY148">
        <f>3499.793044</f>
        <v>3499.793044</v>
      </c>
      <c r="BZ148">
        <f>3409.527192</f>
        <v>3409.527192</v>
      </c>
      <c r="CA148">
        <f>3340.350608</f>
        <v>3340.3506080000002</v>
      </c>
      <c r="CB148">
        <f>3389.802098</f>
        <v>3389.8020980000001</v>
      </c>
      <c r="CC148">
        <f>3386.703001</f>
        <v>3386.7030009999999</v>
      </c>
      <c r="CD148">
        <f>3510.186047</f>
        <v>3510.1860470000001</v>
      </c>
      <c r="CE148">
        <f>3715.087076</f>
        <v>3715.0870759999998</v>
      </c>
      <c r="CF148">
        <f>3812.502977</f>
        <v>3812.5029770000001</v>
      </c>
      <c r="CG148">
        <f>3847.37175</f>
        <v>3847.3717499999998</v>
      </c>
      <c r="CH148">
        <f>4072.308221</f>
        <v>4072.3082209999998</v>
      </c>
      <c r="CI148">
        <f>4003.338741</f>
        <v>4003.338741</v>
      </c>
      <c r="CJ148">
        <f>3730.237415</f>
        <v>3730.2374150000001</v>
      </c>
      <c r="CK148">
        <f>3758.342779</f>
        <v>3758.3427790000001</v>
      </c>
      <c r="CL148">
        <f>3793.195159</f>
        <v>3793.1951589999999</v>
      </c>
      <c r="CM148">
        <f>4073.951314</f>
        <v>4073.9513139999999</v>
      </c>
      <c r="CN148">
        <f>4360.774052</f>
        <v>4360.7740519999998</v>
      </c>
      <c r="CO148">
        <f>4452.73591</f>
        <v>4452.7359100000003</v>
      </c>
      <c r="CP148">
        <f>4319.356986</f>
        <v>4319.3569859999998</v>
      </c>
      <c r="CQ148">
        <f>4057.878958</f>
        <v>4057.8789579999998</v>
      </c>
      <c r="CR148">
        <f>3886.186529</f>
        <v>3886.1865290000001</v>
      </c>
      <c r="CS148">
        <f>3643.263613</f>
        <v>3643.2636130000001</v>
      </c>
      <c r="CT148">
        <f>3219.167843</f>
        <v>3219.1678430000002</v>
      </c>
      <c r="CU148">
        <f>2859.633404</f>
        <v>2859.6334040000002</v>
      </c>
      <c r="CV148" t="str">
        <f>""</f>
        <v/>
      </c>
      <c r="CW148" t="str">
        <f>""</f>
        <v/>
      </c>
      <c r="CX148" t="str">
        <f>""</f>
        <v/>
      </c>
      <c r="CY148" t="str">
        <f>""</f>
        <v/>
      </c>
      <c r="CZ148" t="str">
        <f>""</f>
        <v/>
      </c>
      <c r="DA148" t="str">
        <f>""</f>
        <v/>
      </c>
      <c r="DB148" t="str">
        <f>""</f>
        <v/>
      </c>
      <c r="DC148" t="str">
        <f>""</f>
        <v/>
      </c>
      <c r="DD148" t="str">
        <f>""</f>
        <v/>
      </c>
      <c r="DE148" t="str">
        <f>""</f>
        <v/>
      </c>
      <c r="DF148" t="str">
        <f>""</f>
        <v/>
      </c>
      <c r="DG148" t="str">
        <f>""</f>
        <v/>
      </c>
      <c r="DH148" t="str">
        <f>""</f>
        <v/>
      </c>
      <c r="DI148" t="str">
        <f>""</f>
        <v/>
      </c>
      <c r="DJ148" t="str">
        <f>""</f>
        <v/>
      </c>
      <c r="DK148" t="str">
        <f>""</f>
        <v/>
      </c>
      <c r="DL148" t="str">
        <f>""</f>
        <v/>
      </c>
      <c r="DM148" t="str">
        <f>""</f>
        <v/>
      </c>
      <c r="DN148" t="str">
        <f>""</f>
        <v/>
      </c>
      <c r="DO148" t="str">
        <f>""</f>
        <v/>
      </c>
      <c r="DP148" t="str">
        <f>""</f>
        <v/>
      </c>
      <c r="DQ148" t="str">
        <f>""</f>
        <v/>
      </c>
      <c r="DR148" t="str">
        <f>""</f>
        <v/>
      </c>
      <c r="DS148" t="str">
        <f>""</f>
        <v/>
      </c>
      <c r="DT148" t="str">
        <f>""</f>
        <v/>
      </c>
      <c r="DU148" t="str">
        <f>""</f>
        <v/>
      </c>
    </row>
    <row r="149" spans="1:125" x14ac:dyDescent="0.25">
      <c r="A149" t="str">
        <f>"    Mazda Motor Corp"</f>
        <v xml:space="preserve">    Mazda Motor Corp</v>
      </c>
      <c r="B149" t="str">
        <f>"7261 JP Equity"</f>
        <v>7261 JP Equity</v>
      </c>
      <c r="C149" t="str">
        <f t="shared" si="9"/>
        <v>RR841</v>
      </c>
      <c r="D149" t="str">
        <f t="shared" si="10"/>
        <v>TRAIL_12M_EBITDA</v>
      </c>
      <c r="E149" t="str">
        <f t="shared" si="11"/>
        <v>Dynamic</v>
      </c>
      <c r="F149" t="str">
        <f ca="1">IF(AND(ISNUMBER($F$655),$B$511=1),$F$655,HLOOKUP(INDIRECT(ADDRESS(2,COLUMN())),OFFSET($BN$2,0,0,ROW()-1,60),ROW()-1,FALSE))</f>
        <v/>
      </c>
      <c r="G149">
        <f ca="1">IF(AND(ISNUMBER($G$655),$B$511=1),$G$655,HLOOKUP(INDIRECT(ADDRESS(2,COLUMN())),OFFSET($BN$2,0,0,ROW()-1,60),ROW()-1,FALSE))</f>
        <v>1700.7693750000001</v>
      </c>
      <c r="H149">
        <f ca="1">IF(AND(ISNUMBER($H$655),$B$511=1),$H$655,HLOOKUP(INDIRECT(ADDRESS(2,COLUMN())),OFFSET($BN$2,0,0,ROW()-1,60),ROW()-1,FALSE))</f>
        <v>1705.4770100000001</v>
      </c>
      <c r="I149">
        <f ca="1">IF(AND(ISNUMBER($I$655),$B$511=1),$I$655,HLOOKUP(INDIRECT(ADDRESS(2,COLUMN())),OFFSET($BN$2,0,0,ROW()-1,60),ROW()-1,FALSE))</f>
        <v>2055.061541</v>
      </c>
      <c r="J149">
        <f ca="1">IF(AND(ISNUMBER($J$655),$B$511=1),$J$655,HLOOKUP(INDIRECT(ADDRESS(2,COLUMN())),OFFSET($BN$2,0,0,ROW()-1,60),ROW()-1,FALSE))</f>
        <v>2106.4033829999998</v>
      </c>
      <c r="K149">
        <f ca="1">IF(AND(ISNUMBER($K$655),$B$511=1),$K$655,HLOOKUP(INDIRECT(ADDRESS(2,COLUMN())),OFFSET($BN$2,0,0,ROW()-1,60),ROW()-1,FALSE))</f>
        <v>1944.244218</v>
      </c>
      <c r="L149">
        <f ca="1">IF(AND(ISNUMBER($L$655),$B$511=1),$L$655,HLOOKUP(INDIRECT(ADDRESS(2,COLUMN())),OFFSET($BN$2,0,0,ROW()-1,60),ROW()-1,FALSE))</f>
        <v>1797.470442</v>
      </c>
      <c r="M149">
        <f ca="1">IF(AND(ISNUMBER($M$655),$B$511=1),$M$655,HLOOKUP(INDIRECT(ADDRESS(2,COLUMN())),OFFSET($BN$2,0,0,ROW()-1,60),ROW()-1,FALSE))</f>
        <v>1815.121506</v>
      </c>
      <c r="N149">
        <f ca="1">IF(AND(ISNUMBER($N$655),$B$511=1),$N$655,HLOOKUP(INDIRECT(ADDRESS(2,COLUMN())),OFFSET($BN$2,0,0,ROW()-1,60),ROW()-1,FALSE))</f>
        <v>1925.047914</v>
      </c>
      <c r="O149">
        <f ca="1">IF(AND(ISNUMBER($O$655),$B$511=1),$O$655,HLOOKUP(INDIRECT(ADDRESS(2,COLUMN())),OFFSET($BN$2,0,0,ROW()-1,60),ROW()-1,FALSE))</f>
        <v>2173.9998289999999</v>
      </c>
      <c r="P149">
        <f ca="1">IF(AND(ISNUMBER($P$655),$B$511=1),$P$655,HLOOKUP(INDIRECT(ADDRESS(2,COLUMN())),OFFSET($BN$2,0,0,ROW()-1,60),ROW()-1,FALSE))</f>
        <v>2416.3967550000002</v>
      </c>
      <c r="Q149">
        <f ca="1">IF(AND(ISNUMBER($Q$655),$B$511=1),$Q$655,HLOOKUP(INDIRECT(ADDRESS(2,COLUMN())),OFFSET($BN$2,0,0,ROW()-1,60),ROW()-1,FALSE))</f>
        <v>2621.9447209999998</v>
      </c>
      <c r="R149">
        <f ca="1">IF(AND(ISNUMBER($R$655),$B$511=1),$R$655,HLOOKUP(INDIRECT(ADDRESS(2,COLUMN())),OFFSET($BN$2,0,0,ROW()-1,60),ROW()-1,FALSE))</f>
        <v>2548.8953540000002</v>
      </c>
      <c r="S149">
        <f ca="1">IF(AND(ISNUMBER($S$655),$B$511=1),$S$655,HLOOKUP(INDIRECT(ADDRESS(2,COLUMN())),OFFSET($BN$2,0,0,ROW()-1,60),ROW()-1,FALSE))</f>
        <v>2494.5833750000002</v>
      </c>
      <c r="T149">
        <f ca="1">IF(AND(ISNUMBER($T$655),$B$511=1),$T$655,HLOOKUP(INDIRECT(ADDRESS(2,COLUMN())),OFFSET($BN$2,0,0,ROW()-1,60),ROW()-1,FALSE))</f>
        <v>2521.0005270000001</v>
      </c>
      <c r="U149">
        <f ca="1">IF(AND(ISNUMBER($U$655),$B$511=1),$U$655,HLOOKUP(INDIRECT(ADDRESS(2,COLUMN())),OFFSET($BN$2,0,0,ROW()-1,60),ROW()-1,FALSE))</f>
        <v>2380.764604</v>
      </c>
      <c r="V149">
        <f ca="1">IF(AND(ISNUMBER($V$655),$B$511=1),$V$655,HLOOKUP(INDIRECT(ADDRESS(2,COLUMN())),OFFSET($BN$2,0,0,ROW()-1,60),ROW()-1,FALSE))</f>
        <v>2484.487314</v>
      </c>
      <c r="W149">
        <f ca="1">IF(AND(ISNUMBER($W$655),$B$511=1),$W$655,HLOOKUP(INDIRECT(ADDRESS(2,COLUMN())),OFFSET($BN$2,0,0,ROW()-1,60),ROW()-1,FALSE))</f>
        <v>2615.8286840000001</v>
      </c>
      <c r="X149">
        <f ca="1">IF(AND(ISNUMBER($X$655),$B$511=1),$X$655,HLOOKUP(INDIRECT(ADDRESS(2,COLUMN())),OFFSET($BN$2,0,0,ROW()-1,60),ROW()-1,FALSE))</f>
        <v>2689.8862749999998</v>
      </c>
      <c r="Y149">
        <f ca="1">IF(AND(ISNUMBER($Y$655),$B$511=1),$Y$655,HLOOKUP(INDIRECT(ADDRESS(2,COLUMN())),OFFSET($BN$2,0,0,ROW()-1,60),ROW()-1,FALSE))</f>
        <v>2597.894765</v>
      </c>
      <c r="Z149">
        <f ca="1">IF(AND(ISNUMBER($Z$655),$B$511=1),$Z$655,HLOOKUP(INDIRECT(ADDRESS(2,COLUMN())),OFFSET($BN$2,0,0,ROW()-1,60),ROW()-1,FALSE))</f>
        <v>2394.2504479999998</v>
      </c>
      <c r="AA149">
        <f ca="1">IF(AND(ISNUMBER($AA$655),$B$511=1),$AA$655,HLOOKUP(INDIRECT(ADDRESS(2,COLUMN())),OFFSET($BN$2,0,0,ROW()-1,60),ROW()-1,FALSE))</f>
        <v>2203.7081389999998</v>
      </c>
      <c r="AB149">
        <f ca="1">IF(AND(ISNUMBER($AB$655),$B$511=1),$AB$655,HLOOKUP(INDIRECT(ADDRESS(2,COLUMN())),OFFSET($BN$2,0,0,ROW()-1,60),ROW()-1,FALSE))</f>
        <v>1882.511072</v>
      </c>
      <c r="AC149">
        <f ca="1">IF(AND(ISNUMBER($AC$655),$B$511=1),$AC$655,HLOOKUP(INDIRECT(ADDRESS(2,COLUMN())),OFFSET($BN$2,0,0,ROW()-1,60),ROW()-1,FALSE))</f>
        <v>1688.150725</v>
      </c>
      <c r="AD149">
        <f ca="1">IF(AND(ISNUMBER($AD$655),$B$511=1),$AD$655,HLOOKUP(INDIRECT(ADDRESS(2,COLUMN())),OFFSET($BN$2,0,0,ROW()-1,60),ROW()-1,FALSE))</f>
        <v>1378.3310959999999</v>
      </c>
      <c r="AE149">
        <f ca="1">IF(AND(ISNUMBER($AE$655),$B$511=1),$AE$655,HLOOKUP(INDIRECT(ADDRESS(2,COLUMN())),OFFSET($BN$2,0,0,ROW()-1,60),ROW()-1,FALSE))</f>
        <v>1220.283889</v>
      </c>
      <c r="AF149">
        <f ca="1">IF(AND(ISNUMBER($AF$655),$B$511=1),$AF$655,HLOOKUP(INDIRECT(ADDRESS(2,COLUMN())),OFFSET($BN$2,0,0,ROW()-1,60),ROW()-1,FALSE))</f>
        <v>738.92407079999998</v>
      </c>
      <c r="AG149">
        <f ca="1">IF(AND(ISNUMBER($AG$655),$B$511=1),$AG$655,HLOOKUP(INDIRECT(ADDRESS(2,COLUMN())),OFFSET($BN$2,0,0,ROW()-1,60),ROW()-1,FALSE))</f>
        <v>670.81939999999997</v>
      </c>
      <c r="AH149">
        <f ca="1">IF(AND(ISNUMBER($AH$655),$B$511=1),$AH$655,HLOOKUP(INDIRECT(ADDRESS(2,COLUMN())),OFFSET($BN$2,0,0,ROW()-1,60),ROW()-1,FALSE))</f>
        <v>381.13940789999998</v>
      </c>
      <c r="AI149">
        <f ca="1">IF(AND(ISNUMBER($AI$655),$B$511=1),$AI$655,HLOOKUP(INDIRECT(ADDRESS(2,COLUMN())),OFFSET($BN$2,0,0,ROW()-1,60),ROW()-1,FALSE))</f>
        <v>320.89762439999998</v>
      </c>
      <c r="AJ149">
        <f ca="1">IF(AND(ISNUMBER($AJ$655),$B$511=1),$AJ$655,HLOOKUP(INDIRECT(ADDRESS(2,COLUMN())),OFFSET($BN$2,0,0,ROW()-1,60),ROW()-1,FALSE))</f>
        <v>744.1072173</v>
      </c>
      <c r="AK149">
        <f ca="1">IF(AND(ISNUMBER($AK$655),$B$511=1),$AK$655,HLOOKUP(INDIRECT(ADDRESS(2,COLUMN())),OFFSET($BN$2,0,0,ROW()-1,60),ROW()-1,FALSE))</f>
        <v>785.55437930000005</v>
      </c>
      <c r="AL149">
        <f ca="1">IF(AND(ISNUMBER($AL$655),$B$511=1),$AL$655,HLOOKUP(INDIRECT(ADDRESS(2,COLUMN())),OFFSET($BN$2,0,0,ROW()-1,60),ROW()-1,FALSE))</f>
        <v>1116.4285749999999</v>
      </c>
      <c r="AM149">
        <f ca="1">IF(AND(ISNUMBER($AM$655),$B$511=1),$AM$655,HLOOKUP(INDIRECT(ADDRESS(2,COLUMN())),OFFSET($BN$2,0,0,ROW()-1,60),ROW()-1,FALSE))</f>
        <v>1217.6017670000001</v>
      </c>
      <c r="AN149">
        <f ca="1">IF(AND(ISNUMBER($AN$655),$B$511=1),$AN$655,HLOOKUP(INDIRECT(ADDRESS(2,COLUMN())),OFFSET($BN$2,0,0,ROW()-1,60),ROW()-1,FALSE))</f>
        <v>1316.9297879999999</v>
      </c>
      <c r="AO149">
        <f ca="1">IF(AND(ISNUMBER($AO$655),$B$511=1),$AO$655,HLOOKUP(INDIRECT(ADDRESS(2,COLUMN())),OFFSET($BN$2,0,0,ROW()-1,60),ROW()-1,FALSE))</f>
        <v>1303.374065</v>
      </c>
      <c r="AP149">
        <f ca="1">IF(AND(ISNUMBER($AP$655),$B$511=1),$AP$655,HLOOKUP(INDIRECT(ADDRESS(2,COLUMN())),OFFSET($BN$2,0,0,ROW()-1,60),ROW()-1,FALSE))</f>
        <v>926.09147040000005</v>
      </c>
      <c r="AQ149">
        <f ca="1">IF(AND(ISNUMBER($AQ$655),$B$511=1),$AQ$655,HLOOKUP(INDIRECT(ADDRESS(2,COLUMN())),OFFSET($BN$2,0,0,ROW()-1,60),ROW()-1,FALSE))</f>
        <v>19.51687055</v>
      </c>
      <c r="AR149">
        <f ca="1">IF(AND(ISNUMBER($AR$655),$B$511=1),$AR$655,HLOOKUP(INDIRECT(ADDRESS(2,COLUMN())),OFFSET($BN$2,0,0,ROW()-1,60),ROW()-1,FALSE))</f>
        <v>-280.1863166</v>
      </c>
      <c r="AS149">
        <f ca="1">IF(AND(ISNUMBER($AS$655),$B$511=1),$AS$655,HLOOKUP(INDIRECT(ADDRESS(2,COLUMN())),OFFSET($BN$2,0,0,ROW()-1,60),ROW()-1,FALSE))</f>
        <v>0.732218386</v>
      </c>
      <c r="AT149">
        <f ca="1">IF(AND(ISNUMBER($AT$655),$B$511=1),$AT$655,HLOOKUP(INDIRECT(ADDRESS(2,COLUMN())),OFFSET($BN$2,0,0,ROW()-1,60),ROW()-1,FALSE))</f>
        <v>556.16389619999995</v>
      </c>
      <c r="AU149">
        <f ca="1">IF(AND(ISNUMBER($AU$655),$B$511=1),$AU$655,HLOOKUP(INDIRECT(ADDRESS(2,COLUMN())),OFFSET($BN$2,0,0,ROW()-1,60),ROW()-1,FALSE))</f>
        <v>1661.225066</v>
      </c>
      <c r="AV149">
        <f ca="1">IF(AND(ISNUMBER($AV$655),$B$511=1),$AV$655,HLOOKUP(INDIRECT(ADDRESS(2,COLUMN())),OFFSET($BN$2,0,0,ROW()-1,60),ROW()-1,FALSE))</f>
        <v>2060.0512199999998</v>
      </c>
      <c r="AW149">
        <f ca="1">IF(AND(ISNUMBER($AW$655),$B$511=1),$AW$655,HLOOKUP(INDIRECT(ADDRESS(2,COLUMN())),OFFSET($BN$2,0,0,ROW()-1,60),ROW()-1,FALSE))</f>
        <v>2053.6087779999998</v>
      </c>
      <c r="AX149">
        <f ca="1">IF(AND(ISNUMBER($AX$655),$B$511=1),$AX$655,HLOOKUP(INDIRECT(ADDRESS(2,COLUMN())),OFFSET($BN$2,0,0,ROW()-1,60),ROW()-1,FALSE))</f>
        <v>2007.5425760000001</v>
      </c>
      <c r="AY149">
        <f ca="1">IF(AND(ISNUMBER($AY$655),$B$511=1),$AY$655,HLOOKUP(INDIRECT(ADDRESS(2,COLUMN())),OFFSET($BN$2,0,0,ROW()-1,60),ROW()-1,FALSE))</f>
        <v>1892.58672</v>
      </c>
      <c r="AZ149">
        <f ca="1">IF(AND(ISNUMBER($AZ$655),$B$511=1),$AZ$655,HLOOKUP(INDIRECT(ADDRESS(2,COLUMN())),OFFSET($BN$2,0,0,ROW()-1,60),ROW()-1,FALSE))</f>
        <v>1844.1692370000001</v>
      </c>
      <c r="BA149">
        <f ca="1">IF(AND(ISNUMBER($BA$655),$B$511=1),$BA$655,HLOOKUP(INDIRECT(ADDRESS(2,COLUMN())),OFFSET($BN$2,0,0,ROW()-1,60),ROW()-1,FALSE))</f>
        <v>1808.061348</v>
      </c>
      <c r="BB149">
        <f ca="1">IF(AND(ISNUMBER($BB$655),$B$511=1),$BB$655,HLOOKUP(INDIRECT(ADDRESS(2,COLUMN())),OFFSET($BN$2,0,0,ROW()-1,60),ROW()-1,FALSE))</f>
        <v>1758.3156240000001</v>
      </c>
      <c r="BC149" t="str">
        <f ca="1">IF(AND(ISNUMBER($BC$655),$B$511=1),$BC$655,HLOOKUP(INDIRECT(ADDRESS(2,COLUMN())),OFFSET($BN$2,0,0,ROW()-1,60),ROW()-1,FALSE))</f>
        <v/>
      </c>
      <c r="BD149" t="str">
        <f ca="1">IF(AND(ISNUMBER($BD$655),$B$511=1),$BD$655,HLOOKUP(INDIRECT(ADDRESS(2,COLUMN())),OFFSET($BN$2,0,0,ROW()-1,60),ROW()-1,FALSE))</f>
        <v/>
      </c>
      <c r="BE149" t="str">
        <f ca="1">IF(AND(ISNUMBER($BE$655),$B$511=1),$BE$655,HLOOKUP(INDIRECT(ADDRESS(2,COLUMN())),OFFSET($BN$2,0,0,ROW()-1,60),ROW()-1,FALSE))</f>
        <v/>
      </c>
      <c r="BF149" t="str">
        <f ca="1">IF(AND(ISNUMBER($BF$655),$B$511=1),$BF$655,HLOOKUP(INDIRECT(ADDRESS(2,COLUMN())),OFFSET($BN$2,0,0,ROW()-1,60),ROW()-1,FALSE))</f>
        <v/>
      </c>
      <c r="BG149" t="str">
        <f ca="1">IF(AND(ISNUMBER($BG$655),$B$511=1),$BG$655,HLOOKUP(INDIRECT(ADDRESS(2,COLUMN())),OFFSET($BN$2,0,0,ROW()-1,60),ROW()-1,FALSE))</f>
        <v/>
      </c>
      <c r="BH149" t="str">
        <f ca="1">IF(AND(ISNUMBER($BH$655),$B$511=1),$BH$655,HLOOKUP(INDIRECT(ADDRESS(2,COLUMN())),OFFSET($BN$2,0,0,ROW()-1,60),ROW()-1,FALSE))</f>
        <v/>
      </c>
      <c r="BI149" t="str">
        <f ca="1">IF(AND(ISNUMBER($BI$655),$B$511=1),$BI$655,HLOOKUP(INDIRECT(ADDRESS(2,COLUMN())),OFFSET($BN$2,0,0,ROW()-1,60),ROW()-1,FALSE))</f>
        <v/>
      </c>
      <c r="BJ149" t="str">
        <f ca="1">IF(AND(ISNUMBER($BJ$655),$B$511=1),$BJ$655,HLOOKUP(INDIRECT(ADDRESS(2,COLUMN())),OFFSET($BN$2,0,0,ROW()-1,60),ROW()-1,FALSE))</f>
        <v/>
      </c>
      <c r="BK149" t="str">
        <f ca="1">IF(AND(ISNUMBER($BK$655),$B$511=1),$BK$655,HLOOKUP(INDIRECT(ADDRESS(2,COLUMN())),OFFSET($BN$2,0,0,ROW()-1,60),ROW()-1,FALSE))</f>
        <v/>
      </c>
      <c r="BL149" t="str">
        <f ca="1">IF(AND(ISNUMBER($BL$655),$B$511=1),$BL$655,HLOOKUP(INDIRECT(ADDRESS(2,COLUMN())),OFFSET($BN$2,0,0,ROW()-1,60),ROW()-1,FALSE))</f>
        <v/>
      </c>
      <c r="BM149" t="str">
        <f ca="1">IF(AND(ISNUMBER($BM$655),$B$511=1),$BM$655,HLOOKUP(INDIRECT(ADDRESS(2,COLUMN())),OFFSET($BN$2,0,0,ROW()-1,60),ROW()-1,FALSE))</f>
        <v/>
      </c>
      <c r="BN149" t="str">
        <f>""</f>
        <v/>
      </c>
      <c r="BO149">
        <f>1700.769375</f>
        <v>1700.7693750000001</v>
      </c>
      <c r="BP149">
        <f>1705.47701</f>
        <v>1705.4770100000001</v>
      </c>
      <c r="BQ149">
        <f>2055.061541</f>
        <v>2055.061541</v>
      </c>
      <c r="BR149">
        <f>2106.403383</f>
        <v>2106.4033829999998</v>
      </c>
      <c r="BS149">
        <f>1944.244218</f>
        <v>1944.244218</v>
      </c>
      <c r="BT149">
        <f>1797.470442</f>
        <v>1797.470442</v>
      </c>
      <c r="BU149">
        <f>1815.121506</f>
        <v>1815.121506</v>
      </c>
      <c r="BV149">
        <f>1925.047914</f>
        <v>1925.047914</v>
      </c>
      <c r="BW149">
        <f>2173.999829</f>
        <v>2173.9998289999999</v>
      </c>
      <c r="BX149">
        <f>2416.396755</f>
        <v>2416.3967550000002</v>
      </c>
      <c r="BY149">
        <f>2621.944721</f>
        <v>2621.9447209999998</v>
      </c>
      <c r="BZ149">
        <f>2548.895354</f>
        <v>2548.8953540000002</v>
      </c>
      <c r="CA149">
        <f>2494.583375</f>
        <v>2494.5833750000002</v>
      </c>
      <c r="CB149">
        <f>2521.000527</f>
        <v>2521.0005270000001</v>
      </c>
      <c r="CC149">
        <f>2380.764604</f>
        <v>2380.764604</v>
      </c>
      <c r="CD149">
        <f>2484.487314</f>
        <v>2484.487314</v>
      </c>
      <c r="CE149">
        <f>2615.828684</f>
        <v>2615.8286840000001</v>
      </c>
      <c r="CF149">
        <f>2689.886275</f>
        <v>2689.8862749999998</v>
      </c>
      <c r="CG149">
        <f>2597.894765</f>
        <v>2597.894765</v>
      </c>
      <c r="CH149">
        <f>2394.250448</f>
        <v>2394.2504479999998</v>
      </c>
      <c r="CI149">
        <f>2203.708139</f>
        <v>2203.7081389999998</v>
      </c>
      <c r="CJ149">
        <f>1882.511072</f>
        <v>1882.511072</v>
      </c>
      <c r="CK149">
        <f>1688.150725</f>
        <v>1688.150725</v>
      </c>
      <c r="CL149">
        <f>1378.331096</f>
        <v>1378.3310959999999</v>
      </c>
      <c r="CM149">
        <f>1220.283889</f>
        <v>1220.283889</v>
      </c>
      <c r="CN149">
        <f>738.9240708</f>
        <v>738.92407079999998</v>
      </c>
      <c r="CO149">
        <f>670.8194</f>
        <v>670.81939999999997</v>
      </c>
      <c r="CP149">
        <f>381.1394079</f>
        <v>381.13940789999998</v>
      </c>
      <c r="CQ149">
        <f>320.8976244</f>
        <v>320.89762439999998</v>
      </c>
      <c r="CR149">
        <f>744.1072173</f>
        <v>744.1072173</v>
      </c>
      <c r="CS149">
        <f>785.5543793</f>
        <v>785.55437930000005</v>
      </c>
      <c r="CT149">
        <f>1116.428575</f>
        <v>1116.4285749999999</v>
      </c>
      <c r="CU149">
        <f>1217.601767</f>
        <v>1217.6017670000001</v>
      </c>
      <c r="CV149">
        <f>1316.929788</f>
        <v>1316.9297879999999</v>
      </c>
      <c r="CW149">
        <f>1303.374065</f>
        <v>1303.374065</v>
      </c>
      <c r="CX149">
        <f>926.0914704</f>
        <v>926.09147040000005</v>
      </c>
      <c r="CY149">
        <f>19.51687055</f>
        <v>19.51687055</v>
      </c>
      <c r="CZ149">
        <f>-280.1863166</f>
        <v>-280.1863166</v>
      </c>
      <c r="DA149">
        <f>0.732218386</f>
        <v>0.732218386</v>
      </c>
      <c r="DB149">
        <f>556.1638962</f>
        <v>556.16389619999995</v>
      </c>
      <c r="DC149">
        <f>1661.225066</f>
        <v>1661.225066</v>
      </c>
      <c r="DD149">
        <f>2060.05122</f>
        <v>2060.0512199999998</v>
      </c>
      <c r="DE149">
        <f>2053.608778</f>
        <v>2053.6087779999998</v>
      </c>
      <c r="DF149">
        <f>2007.542576</f>
        <v>2007.5425760000001</v>
      </c>
      <c r="DG149">
        <f>1892.58672</f>
        <v>1892.58672</v>
      </c>
      <c r="DH149">
        <f>1844.169237</f>
        <v>1844.1692370000001</v>
      </c>
      <c r="DI149">
        <f>1808.061348</f>
        <v>1808.061348</v>
      </c>
      <c r="DJ149">
        <f>1758.315624</f>
        <v>1758.3156240000001</v>
      </c>
      <c r="DK149" t="str">
        <f>""</f>
        <v/>
      </c>
      <c r="DL149" t="str">
        <f>""</f>
        <v/>
      </c>
      <c r="DM149" t="str">
        <f>""</f>
        <v/>
      </c>
      <c r="DN149" t="str">
        <f>""</f>
        <v/>
      </c>
      <c r="DO149" t="str">
        <f>""</f>
        <v/>
      </c>
      <c r="DP149" t="str">
        <f>""</f>
        <v/>
      </c>
      <c r="DQ149" t="str">
        <f>""</f>
        <v/>
      </c>
      <c r="DR149" t="str">
        <f>""</f>
        <v/>
      </c>
      <c r="DS149" t="str">
        <f>""</f>
        <v/>
      </c>
      <c r="DT149" t="str">
        <f>""</f>
        <v/>
      </c>
      <c r="DU149" t="str">
        <f>""</f>
        <v/>
      </c>
    </row>
    <row r="150" spans="1:125" x14ac:dyDescent="0.25">
      <c r="A150" t="str">
        <f>"    Mitsubishi Motors Corp"</f>
        <v xml:space="preserve">    Mitsubishi Motors Corp</v>
      </c>
      <c r="B150" t="str">
        <f>"7211 JP Equity"</f>
        <v>7211 JP Equity</v>
      </c>
      <c r="C150" t="str">
        <f t="shared" si="9"/>
        <v>RR841</v>
      </c>
      <c r="D150" t="str">
        <f t="shared" si="10"/>
        <v>TRAIL_12M_EBITDA</v>
      </c>
      <c r="E150" t="str">
        <f t="shared" si="11"/>
        <v>Dynamic</v>
      </c>
      <c r="F150" t="str">
        <f ca="1">IF(AND(ISNUMBER($F$656),$B$511=1),$F$656,HLOOKUP(INDIRECT(ADDRESS(2,COLUMN())),OFFSET($BN$2,0,0,ROW()-1,60),ROW()-1,FALSE))</f>
        <v/>
      </c>
      <c r="G150">
        <f ca="1">IF(AND(ISNUMBER($G$656),$B$511=1),$G$656,HLOOKUP(INDIRECT(ADDRESS(2,COLUMN())),OFFSET($BN$2,0,0,ROW()-1,60),ROW()-1,FALSE))</f>
        <v>1614.8195920000001</v>
      </c>
      <c r="H150">
        <f ca="1">IF(AND(ISNUMBER($H$656),$B$511=1),$H$656,HLOOKUP(INDIRECT(ADDRESS(2,COLUMN())),OFFSET($BN$2,0,0,ROW()-1,60),ROW()-1,FALSE))</f>
        <v>1528.0590030000001</v>
      </c>
      <c r="I150">
        <f ca="1">IF(AND(ISNUMBER($I$656),$B$511=1),$I$656,HLOOKUP(INDIRECT(ADDRESS(2,COLUMN())),OFFSET($BN$2,0,0,ROW()-1,60),ROW()-1,FALSE))</f>
        <v>1463.2171639999999</v>
      </c>
      <c r="J150">
        <f ca="1">IF(AND(ISNUMBER($J$656),$B$511=1),$J$656,HLOOKUP(INDIRECT(ADDRESS(2,COLUMN())),OFFSET($BN$2,0,0,ROW()-1,60),ROW()-1,FALSE))</f>
        <v>1360.6621230000001</v>
      </c>
      <c r="K150">
        <f ca="1">IF(AND(ISNUMBER($K$656),$B$511=1),$K$656,HLOOKUP(INDIRECT(ADDRESS(2,COLUMN())),OFFSET($BN$2,0,0,ROW()-1,60),ROW()-1,FALSE))</f>
        <v>1268.148228</v>
      </c>
      <c r="L150">
        <f ca="1">IF(AND(ISNUMBER($L$656),$B$511=1),$L$656,HLOOKUP(INDIRECT(ADDRESS(2,COLUMN())),OFFSET($BN$2,0,0,ROW()-1,60),ROW()-1,FALSE))</f>
        <v>1144.02629</v>
      </c>
      <c r="M150">
        <f ca="1">IF(AND(ISNUMBER($M$656),$B$511=1),$M$656,HLOOKUP(INDIRECT(ADDRESS(2,COLUMN())),OFFSET($BN$2,0,0,ROW()-1,60),ROW()-1,FALSE))</f>
        <v>617.03717159999997</v>
      </c>
      <c r="N150">
        <f ca="1">IF(AND(ISNUMBER($N$656),$B$511=1),$N$656,HLOOKUP(INDIRECT(ADDRESS(2,COLUMN())),OFFSET($BN$2,0,0,ROW()-1,60),ROW()-1,FALSE))</f>
        <v>480.40399860000002</v>
      </c>
      <c r="O150">
        <f ca="1">IF(AND(ISNUMBER($O$656),$B$511=1),$O$656,HLOOKUP(INDIRECT(ADDRESS(2,COLUMN())),OFFSET($BN$2,0,0,ROW()-1,60),ROW()-1,FALSE))</f>
        <v>573.15194750000001</v>
      </c>
      <c r="P150">
        <f ca="1">IF(AND(ISNUMBER($P$656),$B$511=1),$P$656,HLOOKUP(INDIRECT(ADDRESS(2,COLUMN())),OFFSET($BN$2,0,0,ROW()-1,60),ROW()-1,FALSE))</f>
        <v>904.24734720000004</v>
      </c>
      <c r="Q150">
        <f ca="1">IF(AND(ISNUMBER($Q$656),$B$511=1),$Q$656,HLOOKUP(INDIRECT(ADDRESS(2,COLUMN())),OFFSET($BN$2,0,0,ROW()-1,60),ROW()-1,FALSE))</f>
        <v>1542.134953</v>
      </c>
      <c r="R150">
        <f ca="1">IF(AND(ISNUMBER($R$656),$B$511=1),$R$656,HLOOKUP(INDIRECT(ADDRESS(2,COLUMN())),OFFSET($BN$2,0,0,ROW()-1,60),ROW()-1,FALSE))</f>
        <v>1643.097008</v>
      </c>
      <c r="S150">
        <f ca="1">IF(AND(ISNUMBER($S$656),$B$511=1),$S$656,HLOOKUP(INDIRECT(ADDRESS(2,COLUMN())),OFFSET($BN$2,0,0,ROW()-1,60),ROW()-1,FALSE))</f>
        <v>1645.591199</v>
      </c>
      <c r="T150">
        <f ca="1">IF(AND(ISNUMBER($T$656),$B$511=1),$T$656,HLOOKUP(INDIRECT(ADDRESS(2,COLUMN())),OFFSET($BN$2,0,0,ROW()-1,60),ROW()-1,FALSE))</f>
        <v>1639.9009390000001</v>
      </c>
      <c r="U150">
        <f ca="1">IF(AND(ISNUMBER($U$656),$B$511=1),$U$656,HLOOKUP(INDIRECT(ADDRESS(2,COLUMN())),OFFSET($BN$2,0,0,ROW()-1,60),ROW()-1,FALSE))</f>
        <v>1638.523549</v>
      </c>
      <c r="V150">
        <f ca="1">IF(AND(ISNUMBER($V$656),$B$511=1),$V$656,HLOOKUP(INDIRECT(ADDRESS(2,COLUMN())),OFFSET($BN$2,0,0,ROW()-1,60),ROW()-1,FALSE))</f>
        <v>1813.0741820000001</v>
      </c>
      <c r="W150">
        <f ca="1">IF(AND(ISNUMBER($W$656),$B$511=1),$W$656,HLOOKUP(INDIRECT(ADDRESS(2,COLUMN())),OFFSET($BN$2,0,0,ROW()-1,60),ROW()-1,FALSE))</f>
        <v>1784.7295549999999</v>
      </c>
      <c r="X150">
        <f ca="1">IF(AND(ISNUMBER($X$656),$B$511=1),$X$656,HLOOKUP(INDIRECT(ADDRESS(2,COLUMN())),OFFSET($BN$2,0,0,ROW()-1,60),ROW()-1,FALSE))</f>
        <v>1903.949046</v>
      </c>
      <c r="Y150">
        <f ca="1">IF(AND(ISNUMBER($Y$656),$B$511=1),$Y$656,HLOOKUP(INDIRECT(ADDRESS(2,COLUMN())),OFFSET($BN$2,0,0,ROW()-1,60),ROW()-1,FALSE))</f>
        <v>1953.868479</v>
      </c>
      <c r="Z150">
        <f ca="1">IF(AND(ISNUMBER($Z$656),$B$511=1),$Z$656,HLOOKUP(INDIRECT(ADDRESS(2,COLUMN())),OFFSET($BN$2,0,0,ROW()-1,60),ROW()-1,FALSE))</f>
        <v>1823.7690560000001</v>
      </c>
      <c r="AA150">
        <f ca="1">IF(AND(ISNUMBER($AA$656),$B$511=1),$AA$656,HLOOKUP(INDIRECT(ADDRESS(2,COLUMN())),OFFSET($BN$2,0,0,ROW()-1,60),ROW()-1,FALSE))</f>
        <v>1864.8079439999999</v>
      </c>
      <c r="AB150">
        <f ca="1">IF(AND(ISNUMBER($AB$656),$B$511=1),$AB$656,HLOOKUP(INDIRECT(ADDRESS(2,COLUMN())),OFFSET($BN$2,0,0,ROW()-1,60),ROW()-1,FALSE))</f>
        <v>1570.7952720000001</v>
      </c>
      <c r="AC150">
        <f ca="1">IF(AND(ISNUMBER($AC$656),$B$511=1),$AC$656,HLOOKUP(INDIRECT(ADDRESS(2,COLUMN())),OFFSET($BN$2,0,0,ROW()-1,60),ROW()-1,FALSE))</f>
        <v>1430.8257000000001</v>
      </c>
      <c r="AD150">
        <f ca="1">IF(AND(ISNUMBER($AD$656),$B$511=1),$AD$656,HLOOKUP(INDIRECT(ADDRESS(2,COLUMN())),OFFSET($BN$2,0,0,ROW()-1,60),ROW()-1,FALSE))</f>
        <v>1472.922683</v>
      </c>
      <c r="AE150">
        <f ca="1">IF(AND(ISNUMBER($AE$656),$B$511=1),$AE$656,HLOOKUP(INDIRECT(ADDRESS(2,COLUMN())),OFFSET($BN$2,0,0,ROW()-1,60),ROW()-1,FALSE))</f>
        <v>1498.1385439999999</v>
      </c>
      <c r="AF150">
        <f ca="1">IF(AND(ISNUMBER($AF$656),$B$511=1),$AF$656,HLOOKUP(INDIRECT(ADDRESS(2,COLUMN())),OFFSET($BN$2,0,0,ROW()-1,60),ROW()-1,FALSE))</f>
        <v>1453.1682760000001</v>
      </c>
      <c r="AG150">
        <f ca="1">IF(AND(ISNUMBER($AG$656),$B$511=1),$AG$656,HLOOKUP(INDIRECT(ADDRESS(2,COLUMN())),OFFSET($BN$2,0,0,ROW()-1,60),ROW()-1,FALSE))</f>
        <v>1550.3517469999999</v>
      </c>
      <c r="AH150">
        <f ca="1">IF(AND(ISNUMBER($AH$656),$B$511=1),$AH$656,HLOOKUP(INDIRECT(ADDRESS(2,COLUMN())),OFFSET($BN$2,0,0,ROW()-1,60),ROW()-1,FALSE))</f>
        <v>1526.8135689999999</v>
      </c>
      <c r="AI150">
        <f ca="1">IF(AND(ISNUMBER($AI$656),$B$511=1),$AI$656,HLOOKUP(INDIRECT(ADDRESS(2,COLUMN())),OFFSET($BN$2,0,0,ROW()-1,60),ROW()-1,FALSE))</f>
        <v>1571.3758479999999</v>
      </c>
      <c r="AJ150">
        <f ca="1">IF(AND(ISNUMBER($AJ$656),$B$511=1),$AJ$656,HLOOKUP(INDIRECT(ADDRESS(2,COLUMN())),OFFSET($BN$2,0,0,ROW()-1,60),ROW()-1,FALSE))</f>
        <v>1599.6278580000001</v>
      </c>
      <c r="AK150">
        <f ca="1">IF(AND(ISNUMBER($AK$656),$B$511=1),$AK$656,HLOOKUP(INDIRECT(ADDRESS(2,COLUMN())),OFFSET($BN$2,0,0,ROW()-1,60),ROW()-1,FALSE))</f>
        <v>1447.0618059999999</v>
      </c>
      <c r="AL150">
        <f ca="1">IF(AND(ISNUMBER($AL$656),$B$511=1),$AL$656,HLOOKUP(INDIRECT(ADDRESS(2,COLUMN())),OFFSET($BN$2,0,0,ROW()-1,60),ROW()-1,FALSE))</f>
        <v>1233.920891</v>
      </c>
      <c r="AM150">
        <f ca="1">IF(AND(ISNUMBER($AM$656),$B$511=1),$AM$656,HLOOKUP(INDIRECT(ADDRESS(2,COLUMN())),OFFSET($BN$2,0,0,ROW()-1,60),ROW()-1,FALSE))</f>
        <v>1299.715005</v>
      </c>
      <c r="AN150">
        <f ca="1">IF(AND(ISNUMBER($AN$656),$B$511=1),$AN$656,HLOOKUP(INDIRECT(ADDRESS(2,COLUMN())),OFFSET($BN$2,0,0,ROW()-1,60),ROW()-1,FALSE))</f>
        <v>1360.255287</v>
      </c>
      <c r="AO150">
        <f ca="1">IF(AND(ISNUMBER($AO$656),$B$511=1),$AO$656,HLOOKUP(INDIRECT(ADDRESS(2,COLUMN())),OFFSET($BN$2,0,0,ROW()-1,60),ROW()-1,FALSE))</f>
        <v>1198.173884</v>
      </c>
      <c r="AP150">
        <f ca="1">IF(AND(ISNUMBER($AP$656),$B$511=1),$AP$656,HLOOKUP(INDIRECT(ADDRESS(2,COLUMN())),OFFSET($BN$2,0,0,ROW()-1,60),ROW()-1,FALSE))</f>
        <v>919.24439310000002</v>
      </c>
      <c r="AQ150">
        <f ca="1">IF(AND(ISNUMBER($AQ$656),$B$511=1),$AQ$656,HLOOKUP(INDIRECT(ADDRESS(2,COLUMN())),OFFSET($BN$2,0,0,ROW()-1,60),ROW()-1,FALSE))</f>
        <v>410.77448500000003</v>
      </c>
      <c r="AR150">
        <f ca="1">IF(AND(ISNUMBER($AR$656),$B$511=1),$AR$656,HLOOKUP(INDIRECT(ADDRESS(2,COLUMN())),OFFSET($BN$2,0,0,ROW()-1,60),ROW()-1,FALSE))</f>
        <v>248.15179330000001</v>
      </c>
      <c r="AS150">
        <f ca="1">IF(AND(ISNUMBER($AS$656),$B$511=1),$AS$656,HLOOKUP(INDIRECT(ADDRESS(2,COLUMN())),OFFSET($BN$2,0,0,ROW()-1,60),ROW()-1,FALSE))</f>
        <v>467.30787559999999</v>
      </c>
      <c r="AT150">
        <f ca="1">IF(AND(ISNUMBER($AT$656),$B$511=1),$AT$656,HLOOKUP(INDIRECT(ADDRESS(2,COLUMN())),OFFSET($BN$2,0,0,ROW()-1,60),ROW()-1,FALSE))</f>
        <v>882.20651229999999</v>
      </c>
      <c r="AU150" t="str">
        <f ca="1">IF(AND(ISNUMBER($AU$656),$B$511=1),$AU$656,HLOOKUP(INDIRECT(ADDRESS(2,COLUMN())),OFFSET($BN$2,0,0,ROW()-1,60),ROW()-1,FALSE))</f>
        <v/>
      </c>
      <c r="AV150" t="str">
        <f ca="1">IF(AND(ISNUMBER($AV$656),$B$511=1),$AV$656,HLOOKUP(INDIRECT(ADDRESS(2,COLUMN())),OFFSET($BN$2,0,0,ROW()-1,60),ROW()-1,FALSE))</f>
        <v/>
      </c>
      <c r="AW150" t="str">
        <f ca="1">IF(AND(ISNUMBER($AW$656),$B$511=1),$AW$656,HLOOKUP(INDIRECT(ADDRESS(2,COLUMN())),OFFSET($BN$2,0,0,ROW()-1,60),ROW()-1,FALSE))</f>
        <v/>
      </c>
      <c r="AX150" t="str">
        <f ca="1">IF(AND(ISNUMBER($AX$656),$B$511=1),$AX$656,HLOOKUP(INDIRECT(ADDRESS(2,COLUMN())),OFFSET($BN$2,0,0,ROW()-1,60),ROW()-1,FALSE))</f>
        <v/>
      </c>
      <c r="AY150" t="str">
        <f ca="1">IF(AND(ISNUMBER($AY$656),$B$511=1),$AY$656,HLOOKUP(INDIRECT(ADDRESS(2,COLUMN())),OFFSET($BN$2,0,0,ROW()-1,60),ROW()-1,FALSE))</f>
        <v/>
      </c>
      <c r="AZ150" t="str">
        <f ca="1">IF(AND(ISNUMBER($AZ$656),$B$511=1),$AZ$656,HLOOKUP(INDIRECT(ADDRESS(2,COLUMN())),OFFSET($BN$2,0,0,ROW()-1,60),ROW()-1,FALSE))</f>
        <v/>
      </c>
      <c r="BA150" t="str">
        <f ca="1">IF(AND(ISNUMBER($BA$656),$B$511=1),$BA$656,HLOOKUP(INDIRECT(ADDRESS(2,COLUMN())),OFFSET($BN$2,0,0,ROW()-1,60),ROW()-1,FALSE))</f>
        <v/>
      </c>
      <c r="BB150" t="str">
        <f ca="1">IF(AND(ISNUMBER($BB$656),$B$511=1),$BB$656,HLOOKUP(INDIRECT(ADDRESS(2,COLUMN())),OFFSET($BN$2,0,0,ROW()-1,60),ROW()-1,FALSE))</f>
        <v/>
      </c>
      <c r="BC150" t="str">
        <f ca="1">IF(AND(ISNUMBER($BC$656),$B$511=1),$BC$656,HLOOKUP(INDIRECT(ADDRESS(2,COLUMN())),OFFSET($BN$2,0,0,ROW()-1,60),ROW()-1,FALSE))</f>
        <v/>
      </c>
      <c r="BD150" t="str">
        <f ca="1">IF(AND(ISNUMBER($BD$656),$B$511=1),$BD$656,HLOOKUP(INDIRECT(ADDRESS(2,COLUMN())),OFFSET($BN$2,0,0,ROW()-1,60),ROW()-1,FALSE))</f>
        <v/>
      </c>
      <c r="BE150" t="str">
        <f ca="1">IF(AND(ISNUMBER($BE$656),$B$511=1),$BE$656,HLOOKUP(INDIRECT(ADDRESS(2,COLUMN())),OFFSET($BN$2,0,0,ROW()-1,60),ROW()-1,FALSE))</f>
        <v/>
      </c>
      <c r="BF150" t="str">
        <f ca="1">IF(AND(ISNUMBER($BF$656),$B$511=1),$BF$656,HLOOKUP(INDIRECT(ADDRESS(2,COLUMN())),OFFSET($BN$2,0,0,ROW()-1,60),ROW()-1,FALSE))</f>
        <v/>
      </c>
      <c r="BG150" t="str">
        <f ca="1">IF(AND(ISNUMBER($BG$656),$B$511=1),$BG$656,HLOOKUP(INDIRECT(ADDRESS(2,COLUMN())),OFFSET($BN$2,0,0,ROW()-1,60),ROW()-1,FALSE))</f>
        <v/>
      </c>
      <c r="BH150" t="str">
        <f ca="1">IF(AND(ISNUMBER($BH$656),$B$511=1),$BH$656,HLOOKUP(INDIRECT(ADDRESS(2,COLUMN())),OFFSET($BN$2,0,0,ROW()-1,60),ROW()-1,FALSE))</f>
        <v/>
      </c>
      <c r="BI150" t="str">
        <f ca="1">IF(AND(ISNUMBER($BI$656),$B$511=1),$BI$656,HLOOKUP(INDIRECT(ADDRESS(2,COLUMN())),OFFSET($BN$2,0,0,ROW()-1,60),ROW()-1,FALSE))</f>
        <v/>
      </c>
      <c r="BJ150" t="str">
        <f ca="1">IF(AND(ISNUMBER($BJ$656),$B$511=1),$BJ$656,HLOOKUP(INDIRECT(ADDRESS(2,COLUMN())),OFFSET($BN$2,0,0,ROW()-1,60),ROW()-1,FALSE))</f>
        <v/>
      </c>
      <c r="BK150" t="str">
        <f ca="1">IF(AND(ISNUMBER($BK$656),$B$511=1),$BK$656,HLOOKUP(INDIRECT(ADDRESS(2,COLUMN())),OFFSET($BN$2,0,0,ROW()-1,60),ROW()-1,FALSE))</f>
        <v/>
      </c>
      <c r="BL150" t="str">
        <f ca="1">IF(AND(ISNUMBER($BL$656),$B$511=1),$BL$656,HLOOKUP(INDIRECT(ADDRESS(2,COLUMN())),OFFSET($BN$2,0,0,ROW()-1,60),ROW()-1,FALSE))</f>
        <v/>
      </c>
      <c r="BM150" t="str">
        <f ca="1">IF(AND(ISNUMBER($BM$656),$B$511=1),$BM$656,HLOOKUP(INDIRECT(ADDRESS(2,COLUMN())),OFFSET($BN$2,0,0,ROW()-1,60),ROW()-1,FALSE))</f>
        <v/>
      </c>
      <c r="BN150" t="str">
        <f>""</f>
        <v/>
      </c>
      <c r="BO150">
        <f>1614.819592</f>
        <v>1614.8195920000001</v>
      </c>
      <c r="BP150">
        <f>1528.059003</f>
        <v>1528.0590030000001</v>
      </c>
      <c r="BQ150">
        <f>1463.217164</f>
        <v>1463.2171639999999</v>
      </c>
      <c r="BR150">
        <f>1360.662123</f>
        <v>1360.6621230000001</v>
      </c>
      <c r="BS150">
        <f>1268.148228</f>
        <v>1268.148228</v>
      </c>
      <c r="BT150">
        <f>1144.02629</f>
        <v>1144.02629</v>
      </c>
      <c r="BU150">
        <f>617.0371716</f>
        <v>617.03717159999997</v>
      </c>
      <c r="BV150">
        <f>480.4039986</f>
        <v>480.40399860000002</v>
      </c>
      <c r="BW150">
        <f>573.1519475</f>
        <v>573.15194750000001</v>
      </c>
      <c r="BX150">
        <f>904.2473472</f>
        <v>904.24734720000004</v>
      </c>
      <c r="BY150">
        <f>1542.134953</f>
        <v>1542.134953</v>
      </c>
      <c r="BZ150">
        <f>1643.097008</f>
        <v>1643.097008</v>
      </c>
      <c r="CA150">
        <f>1645.591199</f>
        <v>1645.591199</v>
      </c>
      <c r="CB150">
        <f>1639.900939</f>
        <v>1639.9009390000001</v>
      </c>
      <c r="CC150">
        <f>1638.523549</f>
        <v>1638.523549</v>
      </c>
      <c r="CD150">
        <f>1813.074182</f>
        <v>1813.0741820000001</v>
      </c>
      <c r="CE150">
        <f>1784.729555</f>
        <v>1784.7295549999999</v>
      </c>
      <c r="CF150">
        <f>1903.949046</f>
        <v>1903.949046</v>
      </c>
      <c r="CG150">
        <f>1953.868479</f>
        <v>1953.868479</v>
      </c>
      <c r="CH150">
        <f>1823.769056</f>
        <v>1823.7690560000001</v>
      </c>
      <c r="CI150">
        <f>1864.807944</f>
        <v>1864.8079439999999</v>
      </c>
      <c r="CJ150">
        <f>1570.795272</f>
        <v>1570.7952720000001</v>
      </c>
      <c r="CK150">
        <f>1430.8257</f>
        <v>1430.8257000000001</v>
      </c>
      <c r="CL150">
        <f>1472.922683</f>
        <v>1472.922683</v>
      </c>
      <c r="CM150">
        <f>1498.138544</f>
        <v>1498.1385439999999</v>
      </c>
      <c r="CN150">
        <f>1453.168276</f>
        <v>1453.1682760000001</v>
      </c>
      <c r="CO150">
        <f>1550.351747</f>
        <v>1550.3517469999999</v>
      </c>
      <c r="CP150">
        <f>1526.813569</f>
        <v>1526.8135689999999</v>
      </c>
      <c r="CQ150">
        <f>1571.375848</f>
        <v>1571.3758479999999</v>
      </c>
      <c r="CR150">
        <f>1599.627858</f>
        <v>1599.6278580000001</v>
      </c>
      <c r="CS150">
        <f>1447.061806</f>
        <v>1447.0618059999999</v>
      </c>
      <c r="CT150">
        <f>1233.920891</f>
        <v>1233.920891</v>
      </c>
      <c r="CU150">
        <f>1299.715005</f>
        <v>1299.715005</v>
      </c>
      <c r="CV150">
        <f>1360.255287</f>
        <v>1360.255287</v>
      </c>
      <c r="CW150">
        <f>1198.173884</f>
        <v>1198.173884</v>
      </c>
      <c r="CX150">
        <f>919.2443931</f>
        <v>919.24439310000002</v>
      </c>
      <c r="CY150">
        <f>410.774485</f>
        <v>410.77448500000003</v>
      </c>
      <c r="CZ150">
        <f>248.1517933</f>
        <v>248.15179330000001</v>
      </c>
      <c r="DA150">
        <f>467.3078756</f>
        <v>467.30787559999999</v>
      </c>
      <c r="DB150">
        <f>882.2065123</f>
        <v>882.20651229999999</v>
      </c>
      <c r="DC150" t="str">
        <f>""</f>
        <v/>
      </c>
      <c r="DD150" t="str">
        <f>""</f>
        <v/>
      </c>
      <c r="DE150" t="str">
        <f>""</f>
        <v/>
      </c>
      <c r="DF150" t="str">
        <f>""</f>
        <v/>
      </c>
      <c r="DG150" t="str">
        <f>""</f>
        <v/>
      </c>
      <c r="DH150" t="str">
        <f>""</f>
        <v/>
      </c>
      <c r="DI150" t="str">
        <f>""</f>
        <v/>
      </c>
      <c r="DJ150" t="str">
        <f>""</f>
        <v/>
      </c>
      <c r="DK150" t="str">
        <f>""</f>
        <v/>
      </c>
      <c r="DL150" t="str">
        <f>""</f>
        <v/>
      </c>
      <c r="DM150" t="str">
        <f>""</f>
        <v/>
      </c>
      <c r="DN150" t="str">
        <f>""</f>
        <v/>
      </c>
      <c r="DO150" t="str">
        <f>""</f>
        <v/>
      </c>
      <c r="DP150" t="str">
        <f>""</f>
        <v/>
      </c>
      <c r="DQ150" t="str">
        <f>""</f>
        <v/>
      </c>
      <c r="DR150" t="str">
        <f>""</f>
        <v/>
      </c>
      <c r="DS150" t="str">
        <f>""</f>
        <v/>
      </c>
      <c r="DT150" t="str">
        <f>""</f>
        <v/>
      </c>
      <c r="DU150" t="str">
        <f>""</f>
        <v/>
      </c>
    </row>
    <row r="151" spans="1:125" x14ac:dyDescent="0.25">
      <c r="A151" t="str">
        <f>"    Nissan Motor Co Ltd"</f>
        <v xml:space="preserve">    Nissan Motor Co Ltd</v>
      </c>
      <c r="B151" t="str">
        <f>"7201 JP Equity"</f>
        <v>7201 JP Equity</v>
      </c>
      <c r="C151" t="str">
        <f t="shared" si="9"/>
        <v>RR841</v>
      </c>
      <c r="D151" t="str">
        <f t="shared" si="10"/>
        <v>TRAIL_12M_EBITDA</v>
      </c>
      <c r="E151" t="str">
        <f t="shared" si="11"/>
        <v>Dynamic</v>
      </c>
      <c r="F151" t="str">
        <f ca="1">IF(AND(ISNUMBER($F$657),$B$511=1),$F$657,HLOOKUP(INDIRECT(ADDRESS(2,COLUMN())),OFFSET($BN$2,0,0,ROW()-1,60),ROW()-1,FALSE))</f>
        <v/>
      </c>
      <c r="G151">
        <f ca="1">IF(AND(ISNUMBER($G$657),$B$511=1),$G$657,HLOOKUP(INDIRECT(ADDRESS(2,COLUMN())),OFFSET($BN$2,0,0,ROW()-1,60),ROW()-1,FALSE))</f>
        <v>12944.265579999999</v>
      </c>
      <c r="H151">
        <f ca="1">IF(AND(ISNUMBER($H$657),$B$511=1),$H$657,HLOOKUP(INDIRECT(ADDRESS(2,COLUMN())),OFFSET($BN$2,0,0,ROW()-1,60),ROW()-1,FALSE))</f>
        <v>12791.97417</v>
      </c>
      <c r="I151">
        <f ca="1">IF(AND(ISNUMBER($I$657),$B$511=1),$I$657,HLOOKUP(INDIRECT(ADDRESS(2,COLUMN())),OFFSET($BN$2,0,0,ROW()-1,60),ROW()-1,FALSE))</f>
        <v>13074.808139999999</v>
      </c>
      <c r="J151">
        <f ca="1">IF(AND(ISNUMBER($J$657),$B$511=1),$J$657,HLOOKUP(INDIRECT(ADDRESS(2,COLUMN())),OFFSET($BN$2,0,0,ROW()-1,60),ROW()-1,FALSE))</f>
        <v>13213.744839999999</v>
      </c>
      <c r="K151">
        <f ca="1">IF(AND(ISNUMBER($K$657),$B$511=1),$K$657,HLOOKUP(INDIRECT(ADDRESS(2,COLUMN())),OFFSET($BN$2,0,0,ROW()-1,60),ROW()-1,FALSE))</f>
        <v>13087.707119999999</v>
      </c>
      <c r="L151">
        <f ca="1">IF(AND(ISNUMBER($L$657),$B$511=1),$L$657,HLOOKUP(INDIRECT(ADDRESS(2,COLUMN())),OFFSET($BN$2,0,0,ROW()-1,60),ROW()-1,FALSE))</f>
        <v>13867.93462</v>
      </c>
      <c r="M151">
        <f ca="1">IF(AND(ISNUMBER($M$657),$B$511=1),$M$657,HLOOKUP(INDIRECT(ADDRESS(2,COLUMN())),OFFSET($BN$2,0,0,ROW()-1,60),ROW()-1,FALSE))</f>
        <v>14402.44104</v>
      </c>
      <c r="N151">
        <f ca="1">IF(AND(ISNUMBER($N$657),$B$511=1),$N$657,HLOOKUP(INDIRECT(ADDRESS(2,COLUMN())),OFFSET($BN$2,0,0,ROW()-1,60),ROW()-1,FALSE))</f>
        <v>14646.110269999999</v>
      </c>
      <c r="O151">
        <f ca="1">IF(AND(ISNUMBER($O$657),$B$511=1),$O$657,HLOOKUP(INDIRECT(ADDRESS(2,COLUMN())),OFFSET($BN$2,0,0,ROW()-1,60),ROW()-1,FALSE))</f>
        <v>14320.16863</v>
      </c>
      <c r="P151">
        <f ca="1">IF(AND(ISNUMBER($P$657),$B$511=1),$P$657,HLOOKUP(INDIRECT(ADDRESS(2,COLUMN())),OFFSET($BN$2,0,0,ROW()-1,60),ROW()-1,FALSE))</f>
        <v>14059.989449999999</v>
      </c>
      <c r="Q151">
        <f ca="1">IF(AND(ISNUMBER($Q$657),$B$511=1),$Q$657,HLOOKUP(INDIRECT(ADDRESS(2,COLUMN())),OFFSET($BN$2,0,0,ROW()-1,60),ROW()-1,FALSE))</f>
        <v>13835.622170000001</v>
      </c>
      <c r="R151">
        <f ca="1">IF(AND(ISNUMBER($R$657),$B$511=1),$R$657,HLOOKUP(INDIRECT(ADDRESS(2,COLUMN())),OFFSET($BN$2,0,0,ROW()-1,60),ROW()-1,FALSE))</f>
        <v>13556.71327</v>
      </c>
      <c r="S151">
        <f ca="1">IF(AND(ISNUMBER($S$657),$B$511=1),$S$657,HLOOKUP(INDIRECT(ADDRESS(2,COLUMN())),OFFSET($BN$2,0,0,ROW()-1,60),ROW()-1,FALSE))</f>
        <v>13117.11298</v>
      </c>
      <c r="T151">
        <f ca="1">IF(AND(ISNUMBER($T$657),$B$511=1),$T$657,HLOOKUP(INDIRECT(ADDRESS(2,COLUMN())),OFFSET($BN$2,0,0,ROW()-1,60),ROW()-1,FALSE))</f>
        <v>13097.25913</v>
      </c>
      <c r="U151">
        <f ca="1">IF(AND(ISNUMBER($U$657),$B$511=1),$U$657,HLOOKUP(INDIRECT(ADDRESS(2,COLUMN())),OFFSET($BN$2,0,0,ROW()-1,60),ROW()-1,FALSE))</f>
        <v>12866.343419999999</v>
      </c>
      <c r="V151">
        <f ca="1">IF(AND(ISNUMBER($V$657),$B$511=1),$V$657,HLOOKUP(INDIRECT(ADDRESS(2,COLUMN())),OFFSET($BN$2,0,0,ROW()-1,60),ROW()-1,FALSE))</f>
        <v>12541.623579999999</v>
      </c>
      <c r="W151">
        <f ca="1">IF(AND(ISNUMBER($W$657),$B$511=1),$W$657,HLOOKUP(INDIRECT(ADDRESS(2,COLUMN())),OFFSET($BN$2,0,0,ROW()-1,60),ROW()-1,FALSE))</f>
        <v>13026.53801</v>
      </c>
      <c r="X151">
        <f ca="1">IF(AND(ISNUMBER($X$657),$B$511=1),$X$657,HLOOKUP(INDIRECT(ADDRESS(2,COLUMN())),OFFSET($BN$2,0,0,ROW()-1,60),ROW()-1,FALSE))</f>
        <v>12307.58402</v>
      </c>
      <c r="Y151">
        <f ca="1">IF(AND(ISNUMBER($Y$657),$B$511=1),$Y$657,HLOOKUP(INDIRECT(ADDRESS(2,COLUMN())),OFFSET($BN$2,0,0,ROW()-1,60),ROW()-1,FALSE))</f>
        <v>11979.063169999999</v>
      </c>
      <c r="Z151">
        <f ca="1">IF(AND(ISNUMBER($Z$657),$B$511=1),$Z$657,HLOOKUP(INDIRECT(ADDRESS(2,COLUMN())),OFFSET($BN$2,0,0,ROW()-1,60),ROW()-1,FALSE))</f>
        <v>11739.27325</v>
      </c>
      <c r="AA151">
        <f ca="1">IF(AND(ISNUMBER($AA$657),$B$511=1),$AA$657,HLOOKUP(INDIRECT(ADDRESS(2,COLUMN())),OFFSET($BN$2,0,0,ROW()-1,60),ROW()-1,FALSE))</f>
        <v>11468.444170000001</v>
      </c>
      <c r="AB151">
        <f ca="1">IF(AND(ISNUMBER($AB$657),$B$511=1),$AB$657,HLOOKUP(INDIRECT(ADDRESS(2,COLUMN())),OFFSET($BN$2,0,0,ROW()-1,60),ROW()-1,FALSE))</f>
        <v>11484.80413</v>
      </c>
      <c r="AC151">
        <f ca="1">IF(AND(ISNUMBER($AC$657),$B$511=1),$AC$657,HLOOKUP(INDIRECT(ADDRESS(2,COLUMN())),OFFSET($BN$2,0,0,ROW()-1,60),ROW()-1,FALSE))</f>
        <v>12174.59743</v>
      </c>
      <c r="AD151">
        <f ca="1">IF(AND(ISNUMBER($AD$657),$B$511=1),$AD$657,HLOOKUP(INDIRECT(ADDRESS(2,COLUMN())),OFFSET($BN$2,0,0,ROW()-1,60),ROW()-1,FALSE))</f>
        <v>12203.682280000001</v>
      </c>
      <c r="AE151">
        <f ca="1">IF(AND(ISNUMBER($AE$657),$B$511=1),$AE$657,HLOOKUP(INDIRECT(ADDRESS(2,COLUMN())),OFFSET($BN$2,0,0,ROW()-1,60),ROW()-1,FALSE))</f>
        <v>12032.78392</v>
      </c>
      <c r="AF151">
        <f ca="1">IF(AND(ISNUMBER($AF$657),$B$511=1),$AF$657,HLOOKUP(INDIRECT(ADDRESS(2,COLUMN())),OFFSET($BN$2,0,0,ROW()-1,60),ROW()-1,FALSE))</f>
        <v>12980.327950000001</v>
      </c>
      <c r="AG151">
        <f ca="1">IF(AND(ISNUMBER($AG$657),$B$511=1),$AG$657,HLOOKUP(INDIRECT(ADDRESS(2,COLUMN())),OFFSET($BN$2,0,0,ROW()-1,60),ROW()-1,FALSE))</f>
        <v>13313.50815</v>
      </c>
      <c r="AH151">
        <f ca="1">IF(AND(ISNUMBER($AH$657),$B$511=1),$AH$657,HLOOKUP(INDIRECT(ADDRESS(2,COLUMN())),OFFSET($BN$2,0,0,ROW()-1,60),ROW()-1,FALSE))</f>
        <v>14339.57653</v>
      </c>
      <c r="AI151">
        <f ca="1">IF(AND(ISNUMBER($AI$657),$B$511=1),$AI$657,HLOOKUP(INDIRECT(ADDRESS(2,COLUMN())),OFFSET($BN$2,0,0,ROW()-1,60),ROW()-1,FALSE))</f>
        <v>14041.978080000001</v>
      </c>
      <c r="AJ151">
        <f ca="1">IF(AND(ISNUMBER($AJ$657),$B$511=1),$AJ$657,HLOOKUP(INDIRECT(ADDRESS(2,COLUMN())),OFFSET($BN$2,0,0,ROW()-1,60),ROW()-1,FALSE))</f>
        <v>13946.857330000001</v>
      </c>
      <c r="AK151">
        <f ca="1">IF(AND(ISNUMBER($AK$657),$B$511=1),$AK$657,HLOOKUP(INDIRECT(ADDRESS(2,COLUMN())),OFFSET($BN$2,0,0,ROW()-1,60),ROW()-1,FALSE))</f>
        <v>13899.886399999999</v>
      </c>
      <c r="AL151">
        <f ca="1">IF(AND(ISNUMBER($AL$657),$B$511=1),$AL$657,HLOOKUP(INDIRECT(ADDRESS(2,COLUMN())),OFFSET($BN$2,0,0,ROW()-1,60),ROW()-1,FALSE))</f>
        <v>13757.190570000001</v>
      </c>
      <c r="AM151">
        <f ca="1">IF(AND(ISNUMBER($AM$657),$B$511=1),$AM$657,HLOOKUP(INDIRECT(ADDRESS(2,COLUMN())),OFFSET($BN$2,0,0,ROW()-1,60),ROW()-1,FALSE))</f>
        <v>13277.315199999999</v>
      </c>
      <c r="AN151">
        <f ca="1">IF(AND(ISNUMBER($AN$657),$B$511=1),$AN$657,HLOOKUP(INDIRECT(ADDRESS(2,COLUMN())),OFFSET($BN$2,0,0,ROW()-1,60),ROW()-1,FALSE))</f>
        <v>13286.031989999999</v>
      </c>
      <c r="AO151">
        <f ca="1">IF(AND(ISNUMBER($AO$657),$B$511=1),$AO$657,HLOOKUP(INDIRECT(ADDRESS(2,COLUMN())),OFFSET($BN$2,0,0,ROW()-1,60),ROW()-1,FALSE))</f>
        <v>12253.460440000001</v>
      </c>
      <c r="AP151">
        <f ca="1">IF(AND(ISNUMBER($AP$657),$B$511=1),$AP$657,HLOOKUP(INDIRECT(ADDRESS(2,COLUMN())),OFFSET($BN$2,0,0,ROW()-1,60),ROW()-1,FALSE))</f>
        <v>10554.67805</v>
      </c>
      <c r="AQ151">
        <f ca="1">IF(AND(ISNUMBER($AQ$657),$B$511=1),$AQ$657,HLOOKUP(INDIRECT(ADDRESS(2,COLUMN())),OFFSET($BN$2,0,0,ROW()-1,60),ROW()-1,FALSE))</f>
        <v>7398.2421450000002</v>
      </c>
      <c r="AR151">
        <f ca="1">IF(AND(ISNUMBER($AR$657),$B$511=1),$AR$657,HLOOKUP(INDIRECT(ADDRESS(2,COLUMN())),OFFSET($BN$2,0,0,ROW()-1,60),ROW()-1,FALSE))</f>
        <v>5071.0208350000003</v>
      </c>
      <c r="AS151">
        <f ca="1">IF(AND(ISNUMBER($AS$657),$B$511=1),$AS$657,HLOOKUP(INDIRECT(ADDRESS(2,COLUMN())),OFFSET($BN$2,0,0,ROW()-1,60),ROW()-1,FALSE))</f>
        <v>5493.6006450000004</v>
      </c>
      <c r="AT151">
        <f ca="1">IF(AND(ISNUMBER($AT$657),$B$511=1),$AT$657,HLOOKUP(INDIRECT(ADDRESS(2,COLUMN())),OFFSET($BN$2,0,0,ROW()-1,60),ROW()-1,FALSE))</f>
        <v>6344.1472359999998</v>
      </c>
      <c r="AU151" t="str">
        <f ca="1">IF(AND(ISNUMBER($AU$657),$B$511=1),$AU$657,HLOOKUP(INDIRECT(ADDRESS(2,COLUMN())),OFFSET($BN$2,0,0,ROW()-1,60),ROW()-1,FALSE))</f>
        <v/>
      </c>
      <c r="AV151" t="str">
        <f ca="1">IF(AND(ISNUMBER($AV$657),$B$511=1),$AV$657,HLOOKUP(INDIRECT(ADDRESS(2,COLUMN())),OFFSET($BN$2,0,0,ROW()-1,60),ROW()-1,FALSE))</f>
        <v/>
      </c>
      <c r="AW151" t="str">
        <f ca="1">IF(AND(ISNUMBER($AW$657),$B$511=1),$AW$657,HLOOKUP(INDIRECT(ADDRESS(2,COLUMN())),OFFSET($BN$2,0,0,ROW()-1,60),ROW()-1,FALSE))</f>
        <v/>
      </c>
      <c r="AX151" t="str">
        <f ca="1">IF(AND(ISNUMBER($AX$657),$B$511=1),$AX$657,HLOOKUP(INDIRECT(ADDRESS(2,COLUMN())),OFFSET($BN$2,0,0,ROW()-1,60),ROW()-1,FALSE))</f>
        <v/>
      </c>
      <c r="AY151" t="str">
        <f ca="1">IF(AND(ISNUMBER($AY$657),$B$511=1),$AY$657,HLOOKUP(INDIRECT(ADDRESS(2,COLUMN())),OFFSET($BN$2,0,0,ROW()-1,60),ROW()-1,FALSE))</f>
        <v/>
      </c>
      <c r="AZ151" t="str">
        <f ca="1">IF(AND(ISNUMBER($AZ$657),$B$511=1),$AZ$657,HLOOKUP(INDIRECT(ADDRESS(2,COLUMN())),OFFSET($BN$2,0,0,ROW()-1,60),ROW()-1,FALSE))</f>
        <v/>
      </c>
      <c r="BA151" t="str">
        <f ca="1">IF(AND(ISNUMBER($BA$657),$B$511=1),$BA$657,HLOOKUP(INDIRECT(ADDRESS(2,COLUMN())),OFFSET($BN$2,0,0,ROW()-1,60),ROW()-1,FALSE))</f>
        <v/>
      </c>
      <c r="BB151" t="str">
        <f ca="1">IF(AND(ISNUMBER($BB$657),$B$511=1),$BB$657,HLOOKUP(INDIRECT(ADDRESS(2,COLUMN())),OFFSET($BN$2,0,0,ROW()-1,60),ROW()-1,FALSE))</f>
        <v/>
      </c>
      <c r="BC151" t="str">
        <f ca="1">IF(AND(ISNUMBER($BC$657),$B$511=1),$BC$657,HLOOKUP(INDIRECT(ADDRESS(2,COLUMN())),OFFSET($BN$2,0,0,ROW()-1,60),ROW()-1,FALSE))</f>
        <v/>
      </c>
      <c r="BD151" t="str">
        <f ca="1">IF(AND(ISNUMBER($BD$657),$B$511=1),$BD$657,HLOOKUP(INDIRECT(ADDRESS(2,COLUMN())),OFFSET($BN$2,0,0,ROW()-1,60),ROW()-1,FALSE))</f>
        <v/>
      </c>
      <c r="BE151" t="str">
        <f ca="1">IF(AND(ISNUMBER($BE$657),$B$511=1),$BE$657,HLOOKUP(INDIRECT(ADDRESS(2,COLUMN())),OFFSET($BN$2,0,0,ROW()-1,60),ROW()-1,FALSE))</f>
        <v/>
      </c>
      <c r="BF151" t="str">
        <f ca="1">IF(AND(ISNUMBER($BF$657),$B$511=1),$BF$657,HLOOKUP(INDIRECT(ADDRESS(2,COLUMN())),OFFSET($BN$2,0,0,ROW()-1,60),ROW()-1,FALSE))</f>
        <v/>
      </c>
      <c r="BG151" t="str">
        <f ca="1">IF(AND(ISNUMBER($BG$657),$B$511=1),$BG$657,HLOOKUP(INDIRECT(ADDRESS(2,COLUMN())),OFFSET($BN$2,0,0,ROW()-1,60),ROW()-1,FALSE))</f>
        <v/>
      </c>
      <c r="BH151" t="str">
        <f ca="1">IF(AND(ISNUMBER($BH$657),$B$511=1),$BH$657,HLOOKUP(INDIRECT(ADDRESS(2,COLUMN())),OFFSET($BN$2,0,0,ROW()-1,60),ROW()-1,FALSE))</f>
        <v/>
      </c>
      <c r="BI151" t="str">
        <f ca="1">IF(AND(ISNUMBER($BI$657),$B$511=1),$BI$657,HLOOKUP(INDIRECT(ADDRESS(2,COLUMN())),OFFSET($BN$2,0,0,ROW()-1,60),ROW()-1,FALSE))</f>
        <v/>
      </c>
      <c r="BJ151" t="str">
        <f ca="1">IF(AND(ISNUMBER($BJ$657),$B$511=1),$BJ$657,HLOOKUP(INDIRECT(ADDRESS(2,COLUMN())),OFFSET($BN$2,0,0,ROW()-1,60),ROW()-1,FALSE))</f>
        <v/>
      </c>
      <c r="BK151" t="str">
        <f ca="1">IF(AND(ISNUMBER($BK$657),$B$511=1),$BK$657,HLOOKUP(INDIRECT(ADDRESS(2,COLUMN())),OFFSET($BN$2,0,0,ROW()-1,60),ROW()-1,FALSE))</f>
        <v/>
      </c>
      <c r="BL151" t="str">
        <f ca="1">IF(AND(ISNUMBER($BL$657),$B$511=1),$BL$657,HLOOKUP(INDIRECT(ADDRESS(2,COLUMN())),OFFSET($BN$2,0,0,ROW()-1,60),ROW()-1,FALSE))</f>
        <v/>
      </c>
      <c r="BM151" t="str">
        <f ca="1">IF(AND(ISNUMBER($BM$657),$B$511=1),$BM$657,HLOOKUP(INDIRECT(ADDRESS(2,COLUMN())),OFFSET($BN$2,0,0,ROW()-1,60),ROW()-1,FALSE))</f>
        <v/>
      </c>
      <c r="BN151" t="str">
        <f>""</f>
        <v/>
      </c>
      <c r="BO151">
        <f>12944.26558</f>
        <v>12944.265579999999</v>
      </c>
      <c r="BP151">
        <f>12791.97417</f>
        <v>12791.97417</v>
      </c>
      <c r="BQ151">
        <f>13074.80814</f>
        <v>13074.808139999999</v>
      </c>
      <c r="BR151">
        <f>13213.74484</f>
        <v>13213.744839999999</v>
      </c>
      <c r="BS151">
        <f>13087.70712</f>
        <v>13087.707119999999</v>
      </c>
      <c r="BT151">
        <f>13867.93462</f>
        <v>13867.93462</v>
      </c>
      <c r="BU151">
        <f>14402.44104</f>
        <v>14402.44104</v>
      </c>
      <c r="BV151">
        <f>14646.11027</f>
        <v>14646.110269999999</v>
      </c>
      <c r="BW151">
        <f>14320.16863</f>
        <v>14320.16863</v>
      </c>
      <c r="BX151">
        <f>14059.98945</f>
        <v>14059.989449999999</v>
      </c>
      <c r="BY151">
        <f>13835.62217</f>
        <v>13835.622170000001</v>
      </c>
      <c r="BZ151">
        <f>13556.71327</f>
        <v>13556.71327</v>
      </c>
      <c r="CA151">
        <f>13117.11298</f>
        <v>13117.11298</v>
      </c>
      <c r="CB151">
        <f>13097.25913</f>
        <v>13097.25913</v>
      </c>
      <c r="CC151">
        <f>12866.34342</f>
        <v>12866.343419999999</v>
      </c>
      <c r="CD151">
        <f>12541.62358</f>
        <v>12541.623579999999</v>
      </c>
      <c r="CE151">
        <f>13026.53801</f>
        <v>13026.53801</v>
      </c>
      <c r="CF151">
        <f>12307.58402</f>
        <v>12307.58402</v>
      </c>
      <c r="CG151">
        <f>11979.06317</f>
        <v>11979.063169999999</v>
      </c>
      <c r="CH151">
        <f>11739.27325</f>
        <v>11739.27325</v>
      </c>
      <c r="CI151">
        <f>11468.44417</f>
        <v>11468.444170000001</v>
      </c>
      <c r="CJ151">
        <f>11484.80413</f>
        <v>11484.80413</v>
      </c>
      <c r="CK151">
        <f>12174.59743</f>
        <v>12174.59743</v>
      </c>
      <c r="CL151">
        <f>12203.68228</f>
        <v>12203.682280000001</v>
      </c>
      <c r="CM151">
        <f>12032.78392</f>
        <v>12032.78392</v>
      </c>
      <c r="CN151">
        <f>12980.32795</f>
        <v>12980.327950000001</v>
      </c>
      <c r="CO151">
        <f>13313.50815</f>
        <v>13313.50815</v>
      </c>
      <c r="CP151">
        <f>14339.57653</f>
        <v>14339.57653</v>
      </c>
      <c r="CQ151">
        <f>14041.97808</f>
        <v>14041.978080000001</v>
      </c>
      <c r="CR151">
        <f>13946.85733</f>
        <v>13946.857330000001</v>
      </c>
      <c r="CS151">
        <f>13899.8864</f>
        <v>13899.886399999999</v>
      </c>
      <c r="CT151">
        <f>13757.19057</f>
        <v>13757.190570000001</v>
      </c>
      <c r="CU151">
        <f>13277.3152</f>
        <v>13277.315199999999</v>
      </c>
      <c r="CV151">
        <f>13286.03199</f>
        <v>13286.031989999999</v>
      </c>
      <c r="CW151">
        <f>12253.46044</f>
        <v>12253.460440000001</v>
      </c>
      <c r="CX151">
        <f>10554.67805</f>
        <v>10554.67805</v>
      </c>
      <c r="CY151">
        <f>7398.242145</f>
        <v>7398.2421450000002</v>
      </c>
      <c r="CZ151">
        <f>5071.020835</f>
        <v>5071.0208350000003</v>
      </c>
      <c r="DA151">
        <f>5493.600645</f>
        <v>5493.6006450000004</v>
      </c>
      <c r="DB151">
        <f>6344.147236</f>
        <v>6344.1472359999998</v>
      </c>
      <c r="DC151" t="str">
        <f>""</f>
        <v/>
      </c>
      <c r="DD151" t="str">
        <f>""</f>
        <v/>
      </c>
      <c r="DE151" t="str">
        <f>""</f>
        <v/>
      </c>
      <c r="DF151" t="str">
        <f>""</f>
        <v/>
      </c>
      <c r="DG151" t="str">
        <f>""</f>
        <v/>
      </c>
      <c r="DH151" t="str">
        <f>""</f>
        <v/>
      </c>
      <c r="DI151" t="str">
        <f>""</f>
        <v/>
      </c>
      <c r="DJ151" t="str">
        <f>""</f>
        <v/>
      </c>
      <c r="DK151" t="str">
        <f>""</f>
        <v/>
      </c>
      <c r="DL151" t="str">
        <f>""</f>
        <v/>
      </c>
      <c r="DM151" t="str">
        <f>""</f>
        <v/>
      </c>
      <c r="DN151" t="str">
        <f>""</f>
        <v/>
      </c>
      <c r="DO151" t="str">
        <f>""</f>
        <v/>
      </c>
      <c r="DP151" t="str">
        <f>""</f>
        <v/>
      </c>
      <c r="DQ151" t="str">
        <f>""</f>
        <v/>
      </c>
      <c r="DR151" t="str">
        <f>""</f>
        <v/>
      </c>
      <c r="DS151" t="str">
        <f>""</f>
        <v/>
      </c>
      <c r="DT151" t="str">
        <f>""</f>
        <v/>
      </c>
      <c r="DU151" t="str">
        <f>""</f>
        <v/>
      </c>
    </row>
    <row r="152" spans="1:125" x14ac:dyDescent="0.25">
      <c r="A152" t="str">
        <f>"    Peugeot SA"</f>
        <v xml:space="preserve">    Peugeot SA</v>
      </c>
      <c r="B152" t="str">
        <f>"UG FP Equity"</f>
        <v>UG FP Equity</v>
      </c>
      <c r="C152" t="str">
        <f t="shared" si="9"/>
        <v>RR841</v>
      </c>
      <c r="D152" t="str">
        <f t="shared" si="10"/>
        <v>TRAIL_12M_EBITDA</v>
      </c>
      <c r="E152" t="str">
        <f t="shared" si="11"/>
        <v>Dynamic</v>
      </c>
      <c r="F152" t="str">
        <f ca="1">IF(AND(ISNUMBER($F$658),$B$511=1),$F$658,HLOOKUP(INDIRECT(ADDRESS(2,COLUMN())),OFFSET($BN$2,0,0,ROW()-1,60),ROW()-1,FALSE))</f>
        <v/>
      </c>
      <c r="G152" t="str">
        <f ca="1">IF(AND(ISNUMBER($G$658),$B$511=1),$G$658,HLOOKUP(INDIRECT(ADDRESS(2,COLUMN())),OFFSET($BN$2,0,0,ROW()-1,60),ROW()-1,FALSE))</f>
        <v/>
      </c>
      <c r="H152" t="str">
        <f ca="1">IF(AND(ISNUMBER($H$658),$B$511=1),$H$658,HLOOKUP(INDIRECT(ADDRESS(2,COLUMN())),OFFSET($BN$2,0,0,ROW()-1,60),ROW()-1,FALSE))</f>
        <v/>
      </c>
      <c r="I152" t="str">
        <f ca="1">IF(AND(ISNUMBER($I$658),$B$511=1),$I$658,HLOOKUP(INDIRECT(ADDRESS(2,COLUMN())),OFFSET($BN$2,0,0,ROW()-1,60),ROW()-1,FALSE))</f>
        <v/>
      </c>
      <c r="J152" t="str">
        <f ca="1">IF(AND(ISNUMBER($J$658),$B$511=1),$J$658,HLOOKUP(INDIRECT(ADDRESS(2,COLUMN())),OFFSET($BN$2,0,0,ROW()-1,60),ROW()-1,FALSE))</f>
        <v/>
      </c>
      <c r="K152" t="str">
        <f ca="1">IF(AND(ISNUMBER($K$658),$B$511=1),$K$658,HLOOKUP(INDIRECT(ADDRESS(2,COLUMN())),OFFSET($BN$2,0,0,ROW()-1,60),ROW()-1,FALSE))</f>
        <v/>
      </c>
      <c r="L152" t="str">
        <f ca="1">IF(AND(ISNUMBER($L$658),$B$511=1),$L$658,HLOOKUP(INDIRECT(ADDRESS(2,COLUMN())),OFFSET($BN$2,0,0,ROW()-1,60),ROW()-1,FALSE))</f>
        <v/>
      </c>
      <c r="M152" t="str">
        <f ca="1">IF(AND(ISNUMBER($M$658),$B$511=1),$M$658,HLOOKUP(INDIRECT(ADDRESS(2,COLUMN())),OFFSET($BN$2,0,0,ROW()-1,60),ROW()-1,FALSE))</f>
        <v/>
      </c>
      <c r="N152" t="str">
        <f ca="1">IF(AND(ISNUMBER($N$658),$B$511=1),$N$658,HLOOKUP(INDIRECT(ADDRESS(2,COLUMN())),OFFSET($BN$2,0,0,ROW()-1,60),ROW()-1,FALSE))</f>
        <v/>
      </c>
      <c r="O152" t="str">
        <f ca="1">IF(AND(ISNUMBER($O$658),$B$511=1),$O$658,HLOOKUP(INDIRECT(ADDRESS(2,COLUMN())),OFFSET($BN$2,0,0,ROW()-1,60),ROW()-1,FALSE))</f>
        <v/>
      </c>
      <c r="P152" t="str">
        <f ca="1">IF(AND(ISNUMBER($P$658),$B$511=1),$P$658,HLOOKUP(INDIRECT(ADDRESS(2,COLUMN())),OFFSET($BN$2,0,0,ROW()-1,60),ROW()-1,FALSE))</f>
        <v/>
      </c>
      <c r="Q152" t="str">
        <f ca="1">IF(AND(ISNUMBER($Q$658),$B$511=1),$Q$658,HLOOKUP(INDIRECT(ADDRESS(2,COLUMN())),OFFSET($BN$2,0,0,ROW()-1,60),ROW()-1,FALSE))</f>
        <v/>
      </c>
      <c r="R152" t="str">
        <f ca="1">IF(AND(ISNUMBER($R$658),$B$511=1),$R$658,HLOOKUP(INDIRECT(ADDRESS(2,COLUMN())),OFFSET($BN$2,0,0,ROW()-1,60),ROW()-1,FALSE))</f>
        <v/>
      </c>
      <c r="S152" t="str">
        <f ca="1">IF(AND(ISNUMBER($S$658),$B$511=1),$S$658,HLOOKUP(INDIRECT(ADDRESS(2,COLUMN())),OFFSET($BN$2,0,0,ROW()-1,60),ROW()-1,FALSE))</f>
        <v/>
      </c>
      <c r="T152" t="str">
        <f ca="1">IF(AND(ISNUMBER($T$658),$B$511=1),$T$658,HLOOKUP(INDIRECT(ADDRESS(2,COLUMN())),OFFSET($BN$2,0,0,ROW()-1,60),ROW()-1,FALSE))</f>
        <v/>
      </c>
      <c r="U152" t="str">
        <f ca="1">IF(AND(ISNUMBER($U$658),$B$511=1),$U$658,HLOOKUP(INDIRECT(ADDRESS(2,COLUMN())),OFFSET($BN$2,0,0,ROW()-1,60),ROW()-1,FALSE))</f>
        <v/>
      </c>
      <c r="V152" t="str">
        <f ca="1">IF(AND(ISNUMBER($V$658),$B$511=1),$V$658,HLOOKUP(INDIRECT(ADDRESS(2,COLUMN())),OFFSET($BN$2,0,0,ROW()-1,60),ROW()-1,FALSE))</f>
        <v/>
      </c>
      <c r="W152" t="str">
        <f ca="1">IF(AND(ISNUMBER($W$658),$B$511=1),$W$658,HLOOKUP(INDIRECT(ADDRESS(2,COLUMN())),OFFSET($BN$2,0,0,ROW()-1,60),ROW()-1,FALSE))</f>
        <v/>
      </c>
      <c r="X152" t="str">
        <f ca="1">IF(AND(ISNUMBER($X$658),$B$511=1),$X$658,HLOOKUP(INDIRECT(ADDRESS(2,COLUMN())),OFFSET($BN$2,0,0,ROW()-1,60),ROW()-1,FALSE))</f>
        <v/>
      </c>
      <c r="Y152" t="str">
        <f ca="1">IF(AND(ISNUMBER($Y$658),$B$511=1),$Y$658,HLOOKUP(INDIRECT(ADDRESS(2,COLUMN())),OFFSET($BN$2,0,0,ROW()-1,60),ROW()-1,FALSE))</f>
        <v/>
      </c>
      <c r="Z152" t="str">
        <f ca="1">IF(AND(ISNUMBER($Z$658),$B$511=1),$Z$658,HLOOKUP(INDIRECT(ADDRESS(2,COLUMN())),OFFSET($BN$2,0,0,ROW()-1,60),ROW()-1,FALSE))</f>
        <v/>
      </c>
      <c r="AA152" t="str">
        <f ca="1">IF(AND(ISNUMBER($AA$658),$B$511=1),$AA$658,HLOOKUP(INDIRECT(ADDRESS(2,COLUMN())),OFFSET($BN$2,0,0,ROW()-1,60),ROW()-1,FALSE))</f>
        <v/>
      </c>
      <c r="AB152" t="str">
        <f ca="1">IF(AND(ISNUMBER($AB$658),$B$511=1),$AB$658,HLOOKUP(INDIRECT(ADDRESS(2,COLUMN())),OFFSET($BN$2,0,0,ROW()-1,60),ROW()-1,FALSE))</f>
        <v/>
      </c>
      <c r="AC152" t="str">
        <f ca="1">IF(AND(ISNUMBER($AC$658),$B$511=1),$AC$658,HLOOKUP(INDIRECT(ADDRESS(2,COLUMN())),OFFSET($BN$2,0,0,ROW()-1,60),ROW()-1,FALSE))</f>
        <v/>
      </c>
      <c r="AD152" t="str">
        <f ca="1">IF(AND(ISNUMBER($AD$658),$B$511=1),$AD$658,HLOOKUP(INDIRECT(ADDRESS(2,COLUMN())),OFFSET($BN$2,0,0,ROW()-1,60),ROW()-1,FALSE))</f>
        <v/>
      </c>
      <c r="AE152" t="str">
        <f ca="1">IF(AND(ISNUMBER($AE$658),$B$511=1),$AE$658,HLOOKUP(INDIRECT(ADDRESS(2,COLUMN())),OFFSET($BN$2,0,0,ROW()-1,60),ROW()-1,FALSE))</f>
        <v/>
      </c>
      <c r="AF152" t="str">
        <f ca="1">IF(AND(ISNUMBER($AF$658),$B$511=1),$AF$658,HLOOKUP(INDIRECT(ADDRESS(2,COLUMN())),OFFSET($BN$2,0,0,ROW()-1,60),ROW()-1,FALSE))</f>
        <v/>
      </c>
      <c r="AG152" t="str">
        <f ca="1">IF(AND(ISNUMBER($AG$658),$B$511=1),$AG$658,HLOOKUP(INDIRECT(ADDRESS(2,COLUMN())),OFFSET($BN$2,0,0,ROW()-1,60),ROW()-1,FALSE))</f>
        <v/>
      </c>
      <c r="AH152" t="str">
        <f ca="1">IF(AND(ISNUMBER($AH$658),$B$511=1),$AH$658,HLOOKUP(INDIRECT(ADDRESS(2,COLUMN())),OFFSET($BN$2,0,0,ROW()-1,60),ROW()-1,FALSE))</f>
        <v/>
      </c>
      <c r="AI152" t="str">
        <f ca="1">IF(AND(ISNUMBER($AI$658),$B$511=1),$AI$658,HLOOKUP(INDIRECT(ADDRESS(2,COLUMN())),OFFSET($BN$2,0,0,ROW()-1,60),ROW()-1,FALSE))</f>
        <v/>
      </c>
      <c r="AJ152" t="str">
        <f ca="1">IF(AND(ISNUMBER($AJ$658),$B$511=1),$AJ$658,HLOOKUP(INDIRECT(ADDRESS(2,COLUMN())),OFFSET($BN$2,0,0,ROW()-1,60),ROW()-1,FALSE))</f>
        <v/>
      </c>
      <c r="AK152" t="str">
        <f ca="1">IF(AND(ISNUMBER($AK$658),$B$511=1),$AK$658,HLOOKUP(INDIRECT(ADDRESS(2,COLUMN())),OFFSET($BN$2,0,0,ROW()-1,60),ROW()-1,FALSE))</f>
        <v/>
      </c>
      <c r="AL152" t="str">
        <f ca="1">IF(AND(ISNUMBER($AL$658),$B$511=1),$AL$658,HLOOKUP(INDIRECT(ADDRESS(2,COLUMN())),OFFSET($BN$2,0,0,ROW()-1,60),ROW()-1,FALSE))</f>
        <v/>
      </c>
      <c r="AM152" t="str">
        <f ca="1">IF(AND(ISNUMBER($AM$658),$B$511=1),$AM$658,HLOOKUP(INDIRECT(ADDRESS(2,COLUMN())),OFFSET($BN$2,0,0,ROW()-1,60),ROW()-1,FALSE))</f>
        <v/>
      </c>
      <c r="AN152" t="str">
        <f ca="1">IF(AND(ISNUMBER($AN$658),$B$511=1),$AN$658,HLOOKUP(INDIRECT(ADDRESS(2,COLUMN())),OFFSET($BN$2,0,0,ROW()-1,60),ROW()-1,FALSE))</f>
        <v/>
      </c>
      <c r="AO152" t="str">
        <f ca="1">IF(AND(ISNUMBER($AO$658),$B$511=1),$AO$658,HLOOKUP(INDIRECT(ADDRESS(2,COLUMN())),OFFSET($BN$2,0,0,ROW()-1,60),ROW()-1,FALSE))</f>
        <v/>
      </c>
      <c r="AP152" t="str">
        <f ca="1">IF(AND(ISNUMBER($AP$658),$B$511=1),$AP$658,HLOOKUP(INDIRECT(ADDRESS(2,COLUMN())),OFFSET($BN$2,0,0,ROW()-1,60),ROW()-1,FALSE))</f>
        <v/>
      </c>
      <c r="AQ152" t="str">
        <f ca="1">IF(AND(ISNUMBER($AQ$658),$B$511=1),$AQ$658,HLOOKUP(INDIRECT(ADDRESS(2,COLUMN())),OFFSET($BN$2,0,0,ROW()-1,60),ROW()-1,FALSE))</f>
        <v/>
      </c>
      <c r="AR152" t="str">
        <f ca="1">IF(AND(ISNUMBER($AR$658),$B$511=1),$AR$658,HLOOKUP(INDIRECT(ADDRESS(2,COLUMN())),OFFSET($BN$2,0,0,ROW()-1,60),ROW()-1,FALSE))</f>
        <v/>
      </c>
      <c r="AS152" t="str">
        <f ca="1">IF(AND(ISNUMBER($AS$658),$B$511=1),$AS$658,HLOOKUP(INDIRECT(ADDRESS(2,COLUMN())),OFFSET($BN$2,0,0,ROW()-1,60),ROW()-1,FALSE))</f>
        <v/>
      </c>
      <c r="AT152" t="str">
        <f ca="1">IF(AND(ISNUMBER($AT$658),$B$511=1),$AT$658,HLOOKUP(INDIRECT(ADDRESS(2,COLUMN())),OFFSET($BN$2,0,0,ROW()-1,60),ROW()-1,FALSE))</f>
        <v/>
      </c>
      <c r="AU152" t="str">
        <f ca="1">IF(AND(ISNUMBER($AU$658),$B$511=1),$AU$658,HLOOKUP(INDIRECT(ADDRESS(2,COLUMN())),OFFSET($BN$2,0,0,ROW()-1,60),ROW()-1,FALSE))</f>
        <v/>
      </c>
      <c r="AV152" t="str">
        <f ca="1">IF(AND(ISNUMBER($AV$658),$B$511=1),$AV$658,HLOOKUP(INDIRECT(ADDRESS(2,COLUMN())),OFFSET($BN$2,0,0,ROW()-1,60),ROW()-1,FALSE))</f>
        <v/>
      </c>
      <c r="AW152" t="str">
        <f ca="1">IF(AND(ISNUMBER($AW$658),$B$511=1),$AW$658,HLOOKUP(INDIRECT(ADDRESS(2,COLUMN())),OFFSET($BN$2,0,0,ROW()-1,60),ROW()-1,FALSE))</f>
        <v/>
      </c>
      <c r="AX152" t="str">
        <f ca="1">IF(AND(ISNUMBER($AX$658),$B$511=1),$AX$658,HLOOKUP(INDIRECT(ADDRESS(2,COLUMN())),OFFSET($BN$2,0,0,ROW()-1,60),ROW()-1,FALSE))</f>
        <v/>
      </c>
      <c r="AY152" t="str">
        <f ca="1">IF(AND(ISNUMBER($AY$658),$B$511=1),$AY$658,HLOOKUP(INDIRECT(ADDRESS(2,COLUMN())),OFFSET($BN$2,0,0,ROW()-1,60),ROW()-1,FALSE))</f>
        <v/>
      </c>
      <c r="AZ152" t="str">
        <f ca="1">IF(AND(ISNUMBER($AZ$658),$B$511=1),$AZ$658,HLOOKUP(INDIRECT(ADDRESS(2,COLUMN())),OFFSET($BN$2,0,0,ROW()-1,60),ROW()-1,FALSE))</f>
        <v/>
      </c>
      <c r="BA152" t="str">
        <f ca="1">IF(AND(ISNUMBER($BA$658),$B$511=1),$BA$658,HLOOKUP(INDIRECT(ADDRESS(2,COLUMN())),OFFSET($BN$2,0,0,ROW()-1,60),ROW()-1,FALSE))</f>
        <v/>
      </c>
      <c r="BB152" t="str">
        <f ca="1">IF(AND(ISNUMBER($BB$658),$B$511=1),$BB$658,HLOOKUP(INDIRECT(ADDRESS(2,COLUMN())),OFFSET($BN$2,0,0,ROW()-1,60),ROW()-1,FALSE))</f>
        <v/>
      </c>
      <c r="BC152" t="str">
        <f ca="1">IF(AND(ISNUMBER($BC$658),$B$511=1),$BC$658,HLOOKUP(INDIRECT(ADDRESS(2,COLUMN())),OFFSET($BN$2,0,0,ROW()-1,60),ROW()-1,FALSE))</f>
        <v/>
      </c>
      <c r="BD152" t="str">
        <f ca="1">IF(AND(ISNUMBER($BD$658),$B$511=1),$BD$658,HLOOKUP(INDIRECT(ADDRESS(2,COLUMN())),OFFSET($BN$2,0,0,ROW()-1,60),ROW()-1,FALSE))</f>
        <v/>
      </c>
      <c r="BE152" t="str">
        <f ca="1">IF(AND(ISNUMBER($BE$658),$B$511=1),$BE$658,HLOOKUP(INDIRECT(ADDRESS(2,COLUMN())),OFFSET($BN$2,0,0,ROW()-1,60),ROW()-1,FALSE))</f>
        <v/>
      </c>
      <c r="BF152" t="str">
        <f ca="1">IF(AND(ISNUMBER($BF$658),$B$511=1),$BF$658,HLOOKUP(INDIRECT(ADDRESS(2,COLUMN())),OFFSET($BN$2,0,0,ROW()-1,60),ROW()-1,FALSE))</f>
        <v/>
      </c>
      <c r="BG152" t="str">
        <f ca="1">IF(AND(ISNUMBER($BG$658),$B$511=1),$BG$658,HLOOKUP(INDIRECT(ADDRESS(2,COLUMN())),OFFSET($BN$2,0,0,ROW()-1,60),ROW()-1,FALSE))</f>
        <v/>
      </c>
      <c r="BH152" t="str">
        <f ca="1">IF(AND(ISNUMBER($BH$658),$B$511=1),$BH$658,HLOOKUP(INDIRECT(ADDRESS(2,COLUMN())),OFFSET($BN$2,0,0,ROW()-1,60),ROW()-1,FALSE))</f>
        <v/>
      </c>
      <c r="BI152" t="str">
        <f ca="1">IF(AND(ISNUMBER($BI$658),$B$511=1),$BI$658,HLOOKUP(INDIRECT(ADDRESS(2,COLUMN())),OFFSET($BN$2,0,0,ROW()-1,60),ROW()-1,FALSE))</f>
        <v/>
      </c>
      <c r="BJ152" t="str">
        <f ca="1">IF(AND(ISNUMBER($BJ$658),$B$511=1),$BJ$658,HLOOKUP(INDIRECT(ADDRESS(2,COLUMN())),OFFSET($BN$2,0,0,ROW()-1,60),ROW()-1,FALSE))</f>
        <v/>
      </c>
      <c r="BK152" t="str">
        <f ca="1">IF(AND(ISNUMBER($BK$658),$B$511=1),$BK$658,HLOOKUP(INDIRECT(ADDRESS(2,COLUMN())),OFFSET($BN$2,0,0,ROW()-1,60),ROW()-1,FALSE))</f>
        <v/>
      </c>
      <c r="BL152" t="str">
        <f ca="1">IF(AND(ISNUMBER($BL$658),$B$511=1),$BL$658,HLOOKUP(INDIRECT(ADDRESS(2,COLUMN())),OFFSET($BN$2,0,0,ROW()-1,60),ROW()-1,FALSE))</f>
        <v/>
      </c>
      <c r="BM152" t="str">
        <f ca="1">IF(AND(ISNUMBER($BM$658),$B$511=1),$BM$658,HLOOKUP(INDIRECT(ADDRESS(2,COLUMN())),OFFSET($BN$2,0,0,ROW()-1,60),ROW()-1,FALSE))</f>
        <v/>
      </c>
      <c r="BN152" t="str">
        <f>""</f>
        <v/>
      </c>
      <c r="BO152" t="str">
        <f>""</f>
        <v/>
      </c>
      <c r="BP152" t="str">
        <f>""</f>
        <v/>
      </c>
      <c r="BQ152" t="str">
        <f>""</f>
        <v/>
      </c>
      <c r="BR152" t="str">
        <f>""</f>
        <v/>
      </c>
      <c r="BS152" t="str">
        <f>""</f>
        <v/>
      </c>
      <c r="BT152" t="str">
        <f>""</f>
        <v/>
      </c>
      <c r="BU152" t="str">
        <f>""</f>
        <v/>
      </c>
      <c r="BV152" t="str">
        <f>""</f>
        <v/>
      </c>
      <c r="BW152" t="str">
        <f>""</f>
        <v/>
      </c>
      <c r="BX152" t="str">
        <f>""</f>
        <v/>
      </c>
      <c r="BY152" t="str">
        <f>""</f>
        <v/>
      </c>
      <c r="BZ152" t="str">
        <f>""</f>
        <v/>
      </c>
      <c r="CA152" t="str">
        <f>""</f>
        <v/>
      </c>
      <c r="CB152" t="str">
        <f>""</f>
        <v/>
      </c>
      <c r="CC152" t="str">
        <f>""</f>
        <v/>
      </c>
      <c r="CD152" t="str">
        <f>""</f>
        <v/>
      </c>
      <c r="CE152" t="str">
        <f>""</f>
        <v/>
      </c>
      <c r="CF152" t="str">
        <f>""</f>
        <v/>
      </c>
      <c r="CG152" t="str">
        <f>""</f>
        <v/>
      </c>
      <c r="CH152" t="str">
        <f>""</f>
        <v/>
      </c>
      <c r="CI152" t="str">
        <f>""</f>
        <v/>
      </c>
      <c r="CJ152" t="str">
        <f>""</f>
        <v/>
      </c>
      <c r="CK152" t="str">
        <f>""</f>
        <v/>
      </c>
      <c r="CL152" t="str">
        <f>""</f>
        <v/>
      </c>
      <c r="CM152" t="str">
        <f>""</f>
        <v/>
      </c>
      <c r="CN152" t="str">
        <f>""</f>
        <v/>
      </c>
      <c r="CO152" t="str">
        <f>""</f>
        <v/>
      </c>
      <c r="CP152" t="str">
        <f>""</f>
        <v/>
      </c>
      <c r="CQ152" t="str">
        <f>""</f>
        <v/>
      </c>
      <c r="CR152" t="str">
        <f>""</f>
        <v/>
      </c>
      <c r="CS152" t="str">
        <f>""</f>
        <v/>
      </c>
      <c r="CT152" t="str">
        <f>""</f>
        <v/>
      </c>
      <c r="CU152" t="str">
        <f>""</f>
        <v/>
      </c>
      <c r="CV152" t="str">
        <f>""</f>
        <v/>
      </c>
      <c r="CW152" t="str">
        <f>""</f>
        <v/>
      </c>
      <c r="CX152" t="str">
        <f>""</f>
        <v/>
      </c>
      <c r="CY152" t="str">
        <f>""</f>
        <v/>
      </c>
      <c r="CZ152" t="str">
        <f>""</f>
        <v/>
      </c>
      <c r="DA152" t="str">
        <f>""</f>
        <v/>
      </c>
      <c r="DB152" t="str">
        <f>""</f>
        <v/>
      </c>
      <c r="DC152" t="str">
        <f>""</f>
        <v/>
      </c>
      <c r="DD152" t="str">
        <f>""</f>
        <v/>
      </c>
      <c r="DE152" t="str">
        <f>""</f>
        <v/>
      </c>
      <c r="DF152" t="str">
        <f>""</f>
        <v/>
      </c>
      <c r="DG152" t="str">
        <f>""</f>
        <v/>
      </c>
      <c r="DH152" t="str">
        <f>""</f>
        <v/>
      </c>
      <c r="DI152" t="str">
        <f>""</f>
        <v/>
      </c>
      <c r="DJ152" t="str">
        <f>""</f>
        <v/>
      </c>
      <c r="DK152" t="str">
        <f>""</f>
        <v/>
      </c>
      <c r="DL152" t="str">
        <f>""</f>
        <v/>
      </c>
      <c r="DM152" t="str">
        <f>""</f>
        <v/>
      </c>
      <c r="DN152" t="str">
        <f>""</f>
        <v/>
      </c>
      <c r="DO152" t="str">
        <f>""</f>
        <v/>
      </c>
      <c r="DP152" t="str">
        <f>""</f>
        <v/>
      </c>
      <c r="DQ152" t="str">
        <f>""</f>
        <v/>
      </c>
      <c r="DR152" t="str">
        <f>""</f>
        <v/>
      </c>
      <c r="DS152" t="str">
        <f>""</f>
        <v/>
      </c>
      <c r="DT152" t="str">
        <f>""</f>
        <v/>
      </c>
      <c r="DU152" t="str">
        <f>""</f>
        <v/>
      </c>
    </row>
    <row r="153" spans="1:125" x14ac:dyDescent="0.25">
      <c r="A153" t="str">
        <f>"    Renault SA"</f>
        <v xml:space="preserve">    Renault SA</v>
      </c>
      <c r="B153" t="str">
        <f>"RNO FP Equity"</f>
        <v>RNO FP Equity</v>
      </c>
      <c r="C153" t="str">
        <f t="shared" si="9"/>
        <v>RR841</v>
      </c>
      <c r="D153" t="str">
        <f t="shared" si="10"/>
        <v>TRAIL_12M_EBITDA</v>
      </c>
      <c r="E153" t="str">
        <f t="shared" si="11"/>
        <v>Dynamic</v>
      </c>
      <c r="F153" t="str">
        <f ca="1">IF(AND(ISNUMBER($F$659),$B$511=1),$F$659,HLOOKUP(INDIRECT(ADDRESS(2,COLUMN())),OFFSET($BN$2,0,0,ROW()-1,60),ROW()-1,FALSE))</f>
        <v/>
      </c>
      <c r="G153" t="str">
        <f ca="1">IF(AND(ISNUMBER($G$659),$B$511=1),$G$659,HLOOKUP(INDIRECT(ADDRESS(2,COLUMN())),OFFSET($BN$2,0,0,ROW()-1,60),ROW()-1,FALSE))</f>
        <v/>
      </c>
      <c r="H153" t="str">
        <f ca="1">IF(AND(ISNUMBER($H$659),$B$511=1),$H$659,HLOOKUP(INDIRECT(ADDRESS(2,COLUMN())),OFFSET($BN$2,0,0,ROW()-1,60),ROW()-1,FALSE))</f>
        <v/>
      </c>
      <c r="I153" t="str">
        <f ca="1">IF(AND(ISNUMBER($I$659),$B$511=1),$I$659,HLOOKUP(INDIRECT(ADDRESS(2,COLUMN())),OFFSET($BN$2,0,0,ROW()-1,60),ROW()-1,FALSE))</f>
        <v/>
      </c>
      <c r="J153" t="str">
        <f ca="1">IF(AND(ISNUMBER($J$659),$B$511=1),$J$659,HLOOKUP(INDIRECT(ADDRESS(2,COLUMN())),OFFSET($BN$2,0,0,ROW()-1,60),ROW()-1,FALSE))</f>
        <v/>
      </c>
      <c r="K153" t="str">
        <f ca="1">IF(AND(ISNUMBER($K$659),$B$511=1),$K$659,HLOOKUP(INDIRECT(ADDRESS(2,COLUMN())),OFFSET($BN$2,0,0,ROW()-1,60),ROW()-1,FALSE))</f>
        <v/>
      </c>
      <c r="L153" t="str">
        <f ca="1">IF(AND(ISNUMBER($L$659),$B$511=1),$L$659,HLOOKUP(INDIRECT(ADDRESS(2,COLUMN())),OFFSET($BN$2,0,0,ROW()-1,60),ROW()-1,FALSE))</f>
        <v/>
      </c>
      <c r="M153" t="str">
        <f ca="1">IF(AND(ISNUMBER($M$659),$B$511=1),$M$659,HLOOKUP(INDIRECT(ADDRESS(2,COLUMN())),OFFSET($BN$2,0,0,ROW()-1,60),ROW()-1,FALSE))</f>
        <v/>
      </c>
      <c r="N153" t="str">
        <f ca="1">IF(AND(ISNUMBER($N$659),$B$511=1),$N$659,HLOOKUP(INDIRECT(ADDRESS(2,COLUMN())),OFFSET($BN$2,0,0,ROW()-1,60),ROW()-1,FALSE))</f>
        <v/>
      </c>
      <c r="O153" t="str">
        <f ca="1">IF(AND(ISNUMBER($O$659),$B$511=1),$O$659,HLOOKUP(INDIRECT(ADDRESS(2,COLUMN())),OFFSET($BN$2,0,0,ROW()-1,60),ROW()-1,FALSE))</f>
        <v/>
      </c>
      <c r="P153" t="str">
        <f ca="1">IF(AND(ISNUMBER($P$659),$B$511=1),$P$659,HLOOKUP(INDIRECT(ADDRESS(2,COLUMN())),OFFSET($BN$2,0,0,ROW()-1,60),ROW()-1,FALSE))</f>
        <v/>
      </c>
      <c r="Q153" t="str">
        <f ca="1">IF(AND(ISNUMBER($Q$659),$B$511=1),$Q$659,HLOOKUP(INDIRECT(ADDRESS(2,COLUMN())),OFFSET($BN$2,0,0,ROW()-1,60),ROW()-1,FALSE))</f>
        <v/>
      </c>
      <c r="R153" t="str">
        <f ca="1">IF(AND(ISNUMBER($R$659),$B$511=1),$R$659,HLOOKUP(INDIRECT(ADDRESS(2,COLUMN())),OFFSET($BN$2,0,0,ROW()-1,60),ROW()-1,FALSE))</f>
        <v/>
      </c>
      <c r="S153" t="str">
        <f ca="1">IF(AND(ISNUMBER($S$659),$B$511=1),$S$659,HLOOKUP(INDIRECT(ADDRESS(2,COLUMN())),OFFSET($BN$2,0,0,ROW()-1,60),ROW()-1,FALSE))</f>
        <v/>
      </c>
      <c r="T153" t="str">
        <f ca="1">IF(AND(ISNUMBER($T$659),$B$511=1),$T$659,HLOOKUP(INDIRECT(ADDRESS(2,COLUMN())),OFFSET($BN$2,0,0,ROW()-1,60),ROW()-1,FALSE))</f>
        <v/>
      </c>
      <c r="U153" t="str">
        <f ca="1">IF(AND(ISNUMBER($U$659),$B$511=1),$U$659,HLOOKUP(INDIRECT(ADDRESS(2,COLUMN())),OFFSET($BN$2,0,0,ROW()-1,60),ROW()-1,FALSE))</f>
        <v/>
      </c>
      <c r="V153" t="str">
        <f ca="1">IF(AND(ISNUMBER($V$659),$B$511=1),$V$659,HLOOKUP(INDIRECT(ADDRESS(2,COLUMN())),OFFSET($BN$2,0,0,ROW()-1,60),ROW()-1,FALSE))</f>
        <v/>
      </c>
      <c r="W153" t="str">
        <f ca="1">IF(AND(ISNUMBER($W$659),$B$511=1),$W$659,HLOOKUP(INDIRECT(ADDRESS(2,COLUMN())),OFFSET($BN$2,0,0,ROW()-1,60),ROW()-1,FALSE))</f>
        <v/>
      </c>
      <c r="X153" t="str">
        <f ca="1">IF(AND(ISNUMBER($X$659),$B$511=1),$X$659,HLOOKUP(INDIRECT(ADDRESS(2,COLUMN())),OFFSET($BN$2,0,0,ROW()-1,60),ROW()-1,FALSE))</f>
        <v/>
      </c>
      <c r="Y153" t="str">
        <f ca="1">IF(AND(ISNUMBER($Y$659),$B$511=1),$Y$659,HLOOKUP(INDIRECT(ADDRESS(2,COLUMN())),OFFSET($BN$2,0,0,ROW()-1,60),ROW()-1,FALSE))</f>
        <v/>
      </c>
      <c r="Z153" t="str">
        <f ca="1">IF(AND(ISNUMBER($Z$659),$B$511=1),$Z$659,HLOOKUP(INDIRECT(ADDRESS(2,COLUMN())),OFFSET($BN$2,0,0,ROW()-1,60),ROW()-1,FALSE))</f>
        <v/>
      </c>
      <c r="AA153" t="str">
        <f ca="1">IF(AND(ISNUMBER($AA$659),$B$511=1),$AA$659,HLOOKUP(INDIRECT(ADDRESS(2,COLUMN())),OFFSET($BN$2,0,0,ROW()-1,60),ROW()-1,FALSE))</f>
        <v/>
      </c>
      <c r="AB153" t="str">
        <f ca="1">IF(AND(ISNUMBER($AB$659),$B$511=1),$AB$659,HLOOKUP(INDIRECT(ADDRESS(2,COLUMN())),OFFSET($BN$2,0,0,ROW()-1,60),ROW()-1,FALSE))</f>
        <v/>
      </c>
      <c r="AC153" t="str">
        <f ca="1">IF(AND(ISNUMBER($AC$659),$B$511=1),$AC$659,HLOOKUP(INDIRECT(ADDRESS(2,COLUMN())),OFFSET($BN$2,0,0,ROW()-1,60),ROW()-1,FALSE))</f>
        <v/>
      </c>
      <c r="AD153" t="str">
        <f ca="1">IF(AND(ISNUMBER($AD$659),$B$511=1),$AD$659,HLOOKUP(INDIRECT(ADDRESS(2,COLUMN())),OFFSET($BN$2,0,0,ROW()-1,60),ROW()-1,FALSE))</f>
        <v/>
      </c>
      <c r="AE153" t="str">
        <f ca="1">IF(AND(ISNUMBER($AE$659),$B$511=1),$AE$659,HLOOKUP(INDIRECT(ADDRESS(2,COLUMN())),OFFSET($BN$2,0,0,ROW()-1,60),ROW()-1,FALSE))</f>
        <v/>
      </c>
      <c r="AF153" t="str">
        <f ca="1">IF(AND(ISNUMBER($AF$659),$B$511=1),$AF$659,HLOOKUP(INDIRECT(ADDRESS(2,COLUMN())),OFFSET($BN$2,0,0,ROW()-1,60),ROW()-1,FALSE))</f>
        <v/>
      </c>
      <c r="AG153" t="str">
        <f ca="1">IF(AND(ISNUMBER($AG$659),$B$511=1),$AG$659,HLOOKUP(INDIRECT(ADDRESS(2,COLUMN())),OFFSET($BN$2,0,0,ROW()-1,60),ROW()-1,FALSE))</f>
        <v/>
      </c>
      <c r="AH153" t="str">
        <f ca="1">IF(AND(ISNUMBER($AH$659),$B$511=1),$AH$659,HLOOKUP(INDIRECT(ADDRESS(2,COLUMN())),OFFSET($BN$2,0,0,ROW()-1,60),ROW()-1,FALSE))</f>
        <v/>
      </c>
      <c r="AI153" t="str">
        <f ca="1">IF(AND(ISNUMBER($AI$659),$B$511=1),$AI$659,HLOOKUP(INDIRECT(ADDRESS(2,COLUMN())),OFFSET($BN$2,0,0,ROW()-1,60),ROW()-1,FALSE))</f>
        <v/>
      </c>
      <c r="AJ153" t="str">
        <f ca="1">IF(AND(ISNUMBER($AJ$659),$B$511=1),$AJ$659,HLOOKUP(INDIRECT(ADDRESS(2,COLUMN())),OFFSET($BN$2,0,0,ROW()-1,60),ROW()-1,FALSE))</f>
        <v/>
      </c>
      <c r="AK153" t="str">
        <f ca="1">IF(AND(ISNUMBER($AK$659),$B$511=1),$AK$659,HLOOKUP(INDIRECT(ADDRESS(2,COLUMN())),OFFSET($BN$2,0,0,ROW()-1,60),ROW()-1,FALSE))</f>
        <v/>
      </c>
      <c r="AL153" t="str">
        <f ca="1">IF(AND(ISNUMBER($AL$659),$B$511=1),$AL$659,HLOOKUP(INDIRECT(ADDRESS(2,COLUMN())),OFFSET($BN$2,0,0,ROW()-1,60),ROW()-1,FALSE))</f>
        <v/>
      </c>
      <c r="AM153" t="str">
        <f ca="1">IF(AND(ISNUMBER($AM$659),$B$511=1),$AM$659,HLOOKUP(INDIRECT(ADDRESS(2,COLUMN())),OFFSET($BN$2,0,0,ROW()-1,60),ROW()-1,FALSE))</f>
        <v/>
      </c>
      <c r="AN153" t="str">
        <f ca="1">IF(AND(ISNUMBER($AN$659),$B$511=1),$AN$659,HLOOKUP(INDIRECT(ADDRESS(2,COLUMN())),OFFSET($BN$2,0,0,ROW()-1,60),ROW()-1,FALSE))</f>
        <v/>
      </c>
      <c r="AO153" t="str">
        <f ca="1">IF(AND(ISNUMBER($AO$659),$B$511=1),$AO$659,HLOOKUP(INDIRECT(ADDRESS(2,COLUMN())),OFFSET($BN$2,0,0,ROW()-1,60),ROW()-1,FALSE))</f>
        <v/>
      </c>
      <c r="AP153" t="str">
        <f ca="1">IF(AND(ISNUMBER($AP$659),$B$511=1),$AP$659,HLOOKUP(INDIRECT(ADDRESS(2,COLUMN())),OFFSET($BN$2,0,0,ROW()-1,60),ROW()-1,FALSE))</f>
        <v/>
      </c>
      <c r="AQ153" t="str">
        <f ca="1">IF(AND(ISNUMBER($AQ$659),$B$511=1),$AQ$659,HLOOKUP(INDIRECT(ADDRESS(2,COLUMN())),OFFSET($BN$2,0,0,ROW()-1,60),ROW()-1,FALSE))</f>
        <v/>
      </c>
      <c r="AR153" t="str">
        <f ca="1">IF(AND(ISNUMBER($AR$659),$B$511=1),$AR$659,HLOOKUP(INDIRECT(ADDRESS(2,COLUMN())),OFFSET($BN$2,0,0,ROW()-1,60),ROW()-1,FALSE))</f>
        <v/>
      </c>
      <c r="AS153" t="str">
        <f ca="1">IF(AND(ISNUMBER($AS$659),$B$511=1),$AS$659,HLOOKUP(INDIRECT(ADDRESS(2,COLUMN())),OFFSET($BN$2,0,0,ROW()-1,60),ROW()-1,FALSE))</f>
        <v/>
      </c>
      <c r="AT153" t="str">
        <f ca="1">IF(AND(ISNUMBER($AT$659),$B$511=1),$AT$659,HLOOKUP(INDIRECT(ADDRESS(2,COLUMN())),OFFSET($BN$2,0,0,ROW()-1,60),ROW()-1,FALSE))</f>
        <v/>
      </c>
      <c r="AU153" t="str">
        <f ca="1">IF(AND(ISNUMBER($AU$659),$B$511=1),$AU$659,HLOOKUP(INDIRECT(ADDRESS(2,COLUMN())),OFFSET($BN$2,0,0,ROW()-1,60),ROW()-1,FALSE))</f>
        <v/>
      </c>
      <c r="AV153" t="str">
        <f ca="1">IF(AND(ISNUMBER($AV$659),$B$511=1),$AV$659,HLOOKUP(INDIRECT(ADDRESS(2,COLUMN())),OFFSET($BN$2,0,0,ROW()-1,60),ROW()-1,FALSE))</f>
        <v/>
      </c>
      <c r="AW153" t="str">
        <f ca="1">IF(AND(ISNUMBER($AW$659),$B$511=1),$AW$659,HLOOKUP(INDIRECT(ADDRESS(2,COLUMN())),OFFSET($BN$2,0,0,ROW()-1,60),ROW()-1,FALSE))</f>
        <v/>
      </c>
      <c r="AX153" t="str">
        <f ca="1">IF(AND(ISNUMBER($AX$659),$B$511=1),$AX$659,HLOOKUP(INDIRECT(ADDRESS(2,COLUMN())),OFFSET($BN$2,0,0,ROW()-1,60),ROW()-1,FALSE))</f>
        <v/>
      </c>
      <c r="AY153" t="str">
        <f ca="1">IF(AND(ISNUMBER($AY$659),$B$511=1),$AY$659,HLOOKUP(INDIRECT(ADDRESS(2,COLUMN())),OFFSET($BN$2,0,0,ROW()-1,60),ROW()-1,FALSE))</f>
        <v/>
      </c>
      <c r="AZ153" t="str">
        <f ca="1">IF(AND(ISNUMBER($AZ$659),$B$511=1),$AZ$659,HLOOKUP(INDIRECT(ADDRESS(2,COLUMN())),OFFSET($BN$2,0,0,ROW()-1,60),ROW()-1,FALSE))</f>
        <v/>
      </c>
      <c r="BA153" t="str">
        <f ca="1">IF(AND(ISNUMBER($BA$659),$B$511=1),$BA$659,HLOOKUP(INDIRECT(ADDRESS(2,COLUMN())),OFFSET($BN$2,0,0,ROW()-1,60),ROW()-1,FALSE))</f>
        <v/>
      </c>
      <c r="BB153" t="str">
        <f ca="1">IF(AND(ISNUMBER($BB$659),$B$511=1),$BB$659,HLOOKUP(INDIRECT(ADDRESS(2,COLUMN())),OFFSET($BN$2,0,0,ROW()-1,60),ROW()-1,FALSE))</f>
        <v/>
      </c>
      <c r="BC153" t="str">
        <f ca="1">IF(AND(ISNUMBER($BC$659),$B$511=1),$BC$659,HLOOKUP(INDIRECT(ADDRESS(2,COLUMN())),OFFSET($BN$2,0,0,ROW()-1,60),ROW()-1,FALSE))</f>
        <v/>
      </c>
      <c r="BD153" t="str">
        <f ca="1">IF(AND(ISNUMBER($BD$659),$B$511=1),$BD$659,HLOOKUP(INDIRECT(ADDRESS(2,COLUMN())),OFFSET($BN$2,0,0,ROW()-1,60),ROW()-1,FALSE))</f>
        <v/>
      </c>
      <c r="BE153" t="str">
        <f ca="1">IF(AND(ISNUMBER($BE$659),$B$511=1),$BE$659,HLOOKUP(INDIRECT(ADDRESS(2,COLUMN())),OFFSET($BN$2,0,0,ROW()-1,60),ROW()-1,FALSE))</f>
        <v/>
      </c>
      <c r="BF153" t="str">
        <f ca="1">IF(AND(ISNUMBER($BF$659),$B$511=1),$BF$659,HLOOKUP(INDIRECT(ADDRESS(2,COLUMN())),OFFSET($BN$2,0,0,ROW()-1,60),ROW()-1,FALSE))</f>
        <v/>
      </c>
      <c r="BG153" t="str">
        <f ca="1">IF(AND(ISNUMBER($BG$659),$B$511=1),$BG$659,HLOOKUP(INDIRECT(ADDRESS(2,COLUMN())),OFFSET($BN$2,0,0,ROW()-1,60),ROW()-1,FALSE))</f>
        <v/>
      </c>
      <c r="BH153" t="str">
        <f ca="1">IF(AND(ISNUMBER($BH$659),$B$511=1),$BH$659,HLOOKUP(INDIRECT(ADDRESS(2,COLUMN())),OFFSET($BN$2,0,0,ROW()-1,60),ROW()-1,FALSE))</f>
        <v/>
      </c>
      <c r="BI153" t="str">
        <f ca="1">IF(AND(ISNUMBER($BI$659),$B$511=1),$BI$659,HLOOKUP(INDIRECT(ADDRESS(2,COLUMN())),OFFSET($BN$2,0,0,ROW()-1,60),ROW()-1,FALSE))</f>
        <v/>
      </c>
      <c r="BJ153" t="str">
        <f ca="1">IF(AND(ISNUMBER($BJ$659),$B$511=1),$BJ$659,HLOOKUP(INDIRECT(ADDRESS(2,COLUMN())),OFFSET($BN$2,0,0,ROW()-1,60),ROW()-1,FALSE))</f>
        <v/>
      </c>
      <c r="BK153" t="str">
        <f ca="1">IF(AND(ISNUMBER($BK$659),$B$511=1),$BK$659,HLOOKUP(INDIRECT(ADDRESS(2,COLUMN())),OFFSET($BN$2,0,0,ROW()-1,60),ROW()-1,FALSE))</f>
        <v/>
      </c>
      <c r="BL153" t="str">
        <f ca="1">IF(AND(ISNUMBER($BL$659),$B$511=1),$BL$659,HLOOKUP(INDIRECT(ADDRESS(2,COLUMN())),OFFSET($BN$2,0,0,ROW()-1,60),ROW()-1,FALSE))</f>
        <v/>
      </c>
      <c r="BM153" t="str">
        <f ca="1">IF(AND(ISNUMBER($BM$659),$B$511=1),$BM$659,HLOOKUP(INDIRECT(ADDRESS(2,COLUMN())),OFFSET($BN$2,0,0,ROW()-1,60),ROW()-1,FALSE))</f>
        <v/>
      </c>
      <c r="BN153" t="str">
        <f>""</f>
        <v/>
      </c>
      <c r="BO153" t="str">
        <f>""</f>
        <v/>
      </c>
      <c r="BP153" t="str">
        <f>""</f>
        <v/>
      </c>
      <c r="BQ153" t="str">
        <f>""</f>
        <v/>
      </c>
      <c r="BR153" t="str">
        <f>""</f>
        <v/>
      </c>
      <c r="BS153" t="str">
        <f>""</f>
        <v/>
      </c>
      <c r="BT153" t="str">
        <f>""</f>
        <v/>
      </c>
      <c r="BU153" t="str">
        <f>""</f>
        <v/>
      </c>
      <c r="BV153" t="str">
        <f>""</f>
        <v/>
      </c>
      <c r="BW153" t="str">
        <f>""</f>
        <v/>
      </c>
      <c r="BX153" t="str">
        <f>""</f>
        <v/>
      </c>
      <c r="BY153" t="str">
        <f>""</f>
        <v/>
      </c>
      <c r="BZ153" t="str">
        <f>""</f>
        <v/>
      </c>
      <c r="CA153" t="str">
        <f>""</f>
        <v/>
      </c>
      <c r="CB153" t="str">
        <f>""</f>
        <v/>
      </c>
      <c r="CC153" t="str">
        <f>""</f>
        <v/>
      </c>
      <c r="CD153" t="str">
        <f>""</f>
        <v/>
      </c>
      <c r="CE153" t="str">
        <f>""</f>
        <v/>
      </c>
      <c r="CF153" t="str">
        <f>""</f>
        <v/>
      </c>
      <c r="CG153" t="str">
        <f>""</f>
        <v/>
      </c>
      <c r="CH153" t="str">
        <f>""</f>
        <v/>
      </c>
      <c r="CI153" t="str">
        <f>""</f>
        <v/>
      </c>
      <c r="CJ153" t="str">
        <f>""</f>
        <v/>
      </c>
      <c r="CK153" t="str">
        <f>""</f>
        <v/>
      </c>
      <c r="CL153" t="str">
        <f>""</f>
        <v/>
      </c>
      <c r="CM153" t="str">
        <f>""</f>
        <v/>
      </c>
      <c r="CN153" t="str">
        <f>""</f>
        <v/>
      </c>
      <c r="CO153" t="str">
        <f>""</f>
        <v/>
      </c>
      <c r="CP153" t="str">
        <f>""</f>
        <v/>
      </c>
      <c r="CQ153" t="str">
        <f>""</f>
        <v/>
      </c>
      <c r="CR153" t="str">
        <f>""</f>
        <v/>
      </c>
      <c r="CS153" t="str">
        <f>""</f>
        <v/>
      </c>
      <c r="CT153" t="str">
        <f>""</f>
        <v/>
      </c>
      <c r="CU153" t="str">
        <f>""</f>
        <v/>
      </c>
      <c r="CV153" t="str">
        <f>""</f>
        <v/>
      </c>
      <c r="CW153" t="str">
        <f>""</f>
        <v/>
      </c>
      <c r="CX153" t="str">
        <f>""</f>
        <v/>
      </c>
      <c r="CY153" t="str">
        <f>""</f>
        <v/>
      </c>
      <c r="CZ153" t="str">
        <f>""</f>
        <v/>
      </c>
      <c r="DA153" t="str">
        <f>""</f>
        <v/>
      </c>
      <c r="DB153" t="str">
        <f>""</f>
        <v/>
      </c>
      <c r="DC153" t="str">
        <f>""</f>
        <v/>
      </c>
      <c r="DD153" t="str">
        <f>""</f>
        <v/>
      </c>
      <c r="DE153" t="str">
        <f>""</f>
        <v/>
      </c>
      <c r="DF153" t="str">
        <f>""</f>
        <v/>
      </c>
      <c r="DG153" t="str">
        <f>""</f>
        <v/>
      </c>
      <c r="DH153" t="str">
        <f>""</f>
        <v/>
      </c>
      <c r="DI153" t="str">
        <f>""</f>
        <v/>
      </c>
      <c r="DJ153" t="str">
        <f>""</f>
        <v/>
      </c>
      <c r="DK153" t="str">
        <f>""</f>
        <v/>
      </c>
      <c r="DL153" t="str">
        <f>""</f>
        <v/>
      </c>
      <c r="DM153" t="str">
        <f>""</f>
        <v/>
      </c>
      <c r="DN153" t="str">
        <f>""</f>
        <v/>
      </c>
      <c r="DO153" t="str">
        <f>""</f>
        <v/>
      </c>
      <c r="DP153" t="str">
        <f>""</f>
        <v/>
      </c>
      <c r="DQ153" t="str">
        <f>""</f>
        <v/>
      </c>
      <c r="DR153" t="str">
        <f>""</f>
        <v/>
      </c>
      <c r="DS153" t="str">
        <f>""</f>
        <v/>
      </c>
      <c r="DT153" t="str">
        <f>""</f>
        <v/>
      </c>
      <c r="DU153" t="str">
        <f>""</f>
        <v/>
      </c>
    </row>
    <row r="154" spans="1:125" x14ac:dyDescent="0.25">
      <c r="A154" t="str">
        <f>"    SAIC Motor Corp Ltd"</f>
        <v xml:space="preserve">    SAIC Motor Corp Ltd</v>
      </c>
      <c r="B154" t="str">
        <f>"600104 CH Equity"</f>
        <v>600104 CH Equity</v>
      </c>
      <c r="C154" t="str">
        <f t="shared" si="9"/>
        <v>RR841</v>
      </c>
      <c r="D154" t="str">
        <f t="shared" si="10"/>
        <v>TRAIL_12M_EBITDA</v>
      </c>
      <c r="E154" t="str">
        <f t="shared" si="11"/>
        <v>Dynamic</v>
      </c>
      <c r="F154" t="str">
        <f ca="1">IF(AND(ISNUMBER($F$660),$B$511=1),$F$660,HLOOKUP(INDIRECT(ADDRESS(2,COLUMN())),OFFSET($BN$2,0,0,ROW()-1,60),ROW()-1,FALSE))</f>
        <v/>
      </c>
      <c r="G154" t="str">
        <f ca="1">IF(AND(ISNUMBER($G$660),$B$511=1),$G$660,HLOOKUP(INDIRECT(ADDRESS(2,COLUMN())),OFFSET($BN$2,0,0,ROW()-1,60),ROW()-1,FALSE))</f>
        <v/>
      </c>
      <c r="H154" t="str">
        <f ca="1">IF(AND(ISNUMBER($H$660),$B$511=1),$H$660,HLOOKUP(INDIRECT(ADDRESS(2,COLUMN())),OFFSET($BN$2,0,0,ROW()-1,60),ROW()-1,FALSE))</f>
        <v/>
      </c>
      <c r="I154" t="str">
        <f ca="1">IF(AND(ISNUMBER($I$660),$B$511=1),$I$660,HLOOKUP(INDIRECT(ADDRESS(2,COLUMN())),OFFSET($BN$2,0,0,ROW()-1,60),ROW()-1,FALSE))</f>
        <v/>
      </c>
      <c r="J154" t="str">
        <f ca="1">IF(AND(ISNUMBER($J$660),$B$511=1),$J$660,HLOOKUP(INDIRECT(ADDRESS(2,COLUMN())),OFFSET($BN$2,0,0,ROW()-1,60),ROW()-1,FALSE))</f>
        <v/>
      </c>
      <c r="K154" t="str">
        <f ca="1">IF(AND(ISNUMBER($K$660),$B$511=1),$K$660,HLOOKUP(INDIRECT(ADDRESS(2,COLUMN())),OFFSET($BN$2,0,0,ROW()-1,60),ROW()-1,FALSE))</f>
        <v/>
      </c>
      <c r="L154" t="str">
        <f ca="1">IF(AND(ISNUMBER($L$660),$B$511=1),$L$660,HLOOKUP(INDIRECT(ADDRESS(2,COLUMN())),OFFSET($BN$2,0,0,ROW()-1,60),ROW()-1,FALSE))</f>
        <v/>
      </c>
      <c r="M154" t="str">
        <f ca="1">IF(AND(ISNUMBER($M$660),$B$511=1),$M$660,HLOOKUP(INDIRECT(ADDRESS(2,COLUMN())),OFFSET($BN$2,0,0,ROW()-1,60),ROW()-1,FALSE))</f>
        <v/>
      </c>
      <c r="N154" t="str">
        <f ca="1">IF(AND(ISNUMBER($N$660),$B$511=1),$N$660,HLOOKUP(INDIRECT(ADDRESS(2,COLUMN())),OFFSET($BN$2,0,0,ROW()-1,60),ROW()-1,FALSE))</f>
        <v/>
      </c>
      <c r="O154" t="str">
        <f ca="1">IF(AND(ISNUMBER($O$660),$B$511=1),$O$660,HLOOKUP(INDIRECT(ADDRESS(2,COLUMN())),OFFSET($BN$2,0,0,ROW()-1,60),ROW()-1,FALSE))</f>
        <v/>
      </c>
      <c r="P154" t="str">
        <f ca="1">IF(AND(ISNUMBER($P$660),$B$511=1),$P$660,HLOOKUP(INDIRECT(ADDRESS(2,COLUMN())),OFFSET($BN$2,0,0,ROW()-1,60),ROW()-1,FALSE))</f>
        <v/>
      </c>
      <c r="Q154" t="str">
        <f ca="1">IF(AND(ISNUMBER($Q$660),$B$511=1),$Q$660,HLOOKUP(INDIRECT(ADDRESS(2,COLUMN())),OFFSET($BN$2,0,0,ROW()-1,60),ROW()-1,FALSE))</f>
        <v/>
      </c>
      <c r="R154" t="str">
        <f ca="1">IF(AND(ISNUMBER($R$660),$B$511=1),$R$660,HLOOKUP(INDIRECT(ADDRESS(2,COLUMN())),OFFSET($BN$2,0,0,ROW()-1,60),ROW()-1,FALSE))</f>
        <v/>
      </c>
      <c r="S154" t="str">
        <f ca="1">IF(AND(ISNUMBER($S$660),$B$511=1),$S$660,HLOOKUP(INDIRECT(ADDRESS(2,COLUMN())),OFFSET($BN$2,0,0,ROW()-1,60),ROW()-1,FALSE))</f>
        <v/>
      </c>
      <c r="T154" t="str">
        <f ca="1">IF(AND(ISNUMBER($T$660),$B$511=1),$T$660,HLOOKUP(INDIRECT(ADDRESS(2,COLUMN())),OFFSET($BN$2,0,0,ROW()-1,60),ROW()-1,FALSE))</f>
        <v/>
      </c>
      <c r="U154" t="str">
        <f ca="1">IF(AND(ISNUMBER($U$660),$B$511=1),$U$660,HLOOKUP(INDIRECT(ADDRESS(2,COLUMN())),OFFSET($BN$2,0,0,ROW()-1,60),ROW()-1,FALSE))</f>
        <v/>
      </c>
      <c r="V154" t="str">
        <f ca="1">IF(AND(ISNUMBER($V$660),$B$511=1),$V$660,HLOOKUP(INDIRECT(ADDRESS(2,COLUMN())),OFFSET($BN$2,0,0,ROW()-1,60),ROW()-1,FALSE))</f>
        <v/>
      </c>
      <c r="W154" t="str">
        <f ca="1">IF(AND(ISNUMBER($W$660),$B$511=1),$W$660,HLOOKUP(INDIRECT(ADDRESS(2,COLUMN())),OFFSET($BN$2,0,0,ROW()-1,60),ROW()-1,FALSE))</f>
        <v/>
      </c>
      <c r="X154" t="str">
        <f ca="1">IF(AND(ISNUMBER($X$660),$B$511=1),$X$660,HLOOKUP(INDIRECT(ADDRESS(2,COLUMN())),OFFSET($BN$2,0,0,ROW()-1,60),ROW()-1,FALSE))</f>
        <v/>
      </c>
      <c r="Y154" t="str">
        <f ca="1">IF(AND(ISNUMBER($Y$660),$B$511=1),$Y$660,HLOOKUP(INDIRECT(ADDRESS(2,COLUMN())),OFFSET($BN$2,0,0,ROW()-1,60),ROW()-1,FALSE))</f>
        <v/>
      </c>
      <c r="Z154" t="str">
        <f ca="1">IF(AND(ISNUMBER($Z$660),$B$511=1),$Z$660,HLOOKUP(INDIRECT(ADDRESS(2,COLUMN())),OFFSET($BN$2,0,0,ROW()-1,60),ROW()-1,FALSE))</f>
        <v/>
      </c>
      <c r="AA154" t="str">
        <f ca="1">IF(AND(ISNUMBER($AA$660),$B$511=1),$AA$660,HLOOKUP(INDIRECT(ADDRESS(2,COLUMN())),OFFSET($BN$2,0,0,ROW()-1,60),ROW()-1,FALSE))</f>
        <v/>
      </c>
      <c r="AB154" t="str">
        <f ca="1">IF(AND(ISNUMBER($AB$660),$B$511=1),$AB$660,HLOOKUP(INDIRECT(ADDRESS(2,COLUMN())),OFFSET($BN$2,0,0,ROW()-1,60),ROW()-1,FALSE))</f>
        <v/>
      </c>
      <c r="AC154" t="str">
        <f ca="1">IF(AND(ISNUMBER($AC$660),$B$511=1),$AC$660,HLOOKUP(INDIRECT(ADDRESS(2,COLUMN())),OFFSET($BN$2,0,0,ROW()-1,60),ROW()-1,FALSE))</f>
        <v/>
      </c>
      <c r="AD154" t="str">
        <f ca="1">IF(AND(ISNUMBER($AD$660),$B$511=1),$AD$660,HLOOKUP(INDIRECT(ADDRESS(2,COLUMN())),OFFSET($BN$2,0,0,ROW()-1,60),ROW()-1,FALSE))</f>
        <v/>
      </c>
      <c r="AE154" t="str">
        <f ca="1">IF(AND(ISNUMBER($AE$660),$B$511=1),$AE$660,HLOOKUP(INDIRECT(ADDRESS(2,COLUMN())),OFFSET($BN$2,0,0,ROW()-1,60),ROW()-1,FALSE))</f>
        <v/>
      </c>
      <c r="AF154" t="str">
        <f ca="1">IF(AND(ISNUMBER($AF$660),$B$511=1),$AF$660,HLOOKUP(INDIRECT(ADDRESS(2,COLUMN())),OFFSET($BN$2,0,0,ROW()-1,60),ROW()-1,FALSE))</f>
        <v/>
      </c>
      <c r="AG154" t="str">
        <f ca="1">IF(AND(ISNUMBER($AG$660),$B$511=1),$AG$660,HLOOKUP(INDIRECT(ADDRESS(2,COLUMN())),OFFSET($BN$2,0,0,ROW()-1,60),ROW()-1,FALSE))</f>
        <v/>
      </c>
      <c r="AH154" t="str">
        <f ca="1">IF(AND(ISNUMBER($AH$660),$B$511=1),$AH$660,HLOOKUP(INDIRECT(ADDRESS(2,COLUMN())),OFFSET($BN$2,0,0,ROW()-1,60),ROW()-1,FALSE))</f>
        <v/>
      </c>
      <c r="AI154" t="str">
        <f ca="1">IF(AND(ISNUMBER($AI$660),$B$511=1),$AI$660,HLOOKUP(INDIRECT(ADDRESS(2,COLUMN())),OFFSET($BN$2,0,0,ROW()-1,60),ROW()-1,FALSE))</f>
        <v/>
      </c>
      <c r="AJ154" t="str">
        <f ca="1">IF(AND(ISNUMBER($AJ$660),$B$511=1),$AJ$660,HLOOKUP(INDIRECT(ADDRESS(2,COLUMN())),OFFSET($BN$2,0,0,ROW()-1,60),ROW()-1,FALSE))</f>
        <v/>
      </c>
      <c r="AK154" t="str">
        <f ca="1">IF(AND(ISNUMBER($AK$660),$B$511=1),$AK$660,HLOOKUP(INDIRECT(ADDRESS(2,COLUMN())),OFFSET($BN$2,0,0,ROW()-1,60),ROW()-1,FALSE))</f>
        <v/>
      </c>
      <c r="AL154" t="str">
        <f ca="1">IF(AND(ISNUMBER($AL$660),$B$511=1),$AL$660,HLOOKUP(INDIRECT(ADDRESS(2,COLUMN())),OFFSET($BN$2,0,0,ROW()-1,60),ROW()-1,FALSE))</f>
        <v/>
      </c>
      <c r="AM154" t="str">
        <f ca="1">IF(AND(ISNUMBER($AM$660),$B$511=1),$AM$660,HLOOKUP(INDIRECT(ADDRESS(2,COLUMN())),OFFSET($BN$2,0,0,ROW()-1,60),ROW()-1,FALSE))</f>
        <v/>
      </c>
      <c r="AN154" t="str">
        <f ca="1">IF(AND(ISNUMBER($AN$660),$B$511=1),$AN$660,HLOOKUP(INDIRECT(ADDRESS(2,COLUMN())),OFFSET($BN$2,0,0,ROW()-1,60),ROW()-1,FALSE))</f>
        <v/>
      </c>
      <c r="AO154" t="str">
        <f ca="1">IF(AND(ISNUMBER($AO$660),$B$511=1),$AO$660,HLOOKUP(INDIRECT(ADDRESS(2,COLUMN())),OFFSET($BN$2,0,0,ROW()-1,60),ROW()-1,FALSE))</f>
        <v/>
      </c>
      <c r="AP154" t="str">
        <f ca="1">IF(AND(ISNUMBER($AP$660),$B$511=1),$AP$660,HLOOKUP(INDIRECT(ADDRESS(2,COLUMN())),OFFSET($BN$2,0,0,ROW()-1,60),ROW()-1,FALSE))</f>
        <v/>
      </c>
      <c r="AQ154" t="str">
        <f ca="1">IF(AND(ISNUMBER($AQ$660),$B$511=1),$AQ$660,HLOOKUP(INDIRECT(ADDRESS(2,COLUMN())),OFFSET($BN$2,0,0,ROW()-1,60),ROW()-1,FALSE))</f>
        <v/>
      </c>
      <c r="AR154" t="str">
        <f ca="1">IF(AND(ISNUMBER($AR$660),$B$511=1),$AR$660,HLOOKUP(INDIRECT(ADDRESS(2,COLUMN())),OFFSET($BN$2,0,0,ROW()-1,60),ROW()-1,FALSE))</f>
        <v/>
      </c>
      <c r="AS154" t="str">
        <f ca="1">IF(AND(ISNUMBER($AS$660),$B$511=1),$AS$660,HLOOKUP(INDIRECT(ADDRESS(2,COLUMN())),OFFSET($BN$2,0,0,ROW()-1,60),ROW()-1,FALSE))</f>
        <v/>
      </c>
      <c r="AT154" t="str">
        <f ca="1">IF(AND(ISNUMBER($AT$660),$B$511=1),$AT$660,HLOOKUP(INDIRECT(ADDRESS(2,COLUMN())),OFFSET($BN$2,0,0,ROW()-1,60),ROW()-1,FALSE))</f>
        <v/>
      </c>
      <c r="AU154" t="str">
        <f ca="1">IF(AND(ISNUMBER($AU$660),$B$511=1),$AU$660,HLOOKUP(INDIRECT(ADDRESS(2,COLUMN())),OFFSET($BN$2,0,0,ROW()-1,60),ROW()-1,FALSE))</f>
        <v/>
      </c>
      <c r="AV154" t="str">
        <f ca="1">IF(AND(ISNUMBER($AV$660),$B$511=1),$AV$660,HLOOKUP(INDIRECT(ADDRESS(2,COLUMN())),OFFSET($BN$2,0,0,ROW()-1,60),ROW()-1,FALSE))</f>
        <v/>
      </c>
      <c r="AW154" t="str">
        <f ca="1">IF(AND(ISNUMBER($AW$660),$B$511=1),$AW$660,HLOOKUP(INDIRECT(ADDRESS(2,COLUMN())),OFFSET($BN$2,0,0,ROW()-1,60),ROW()-1,FALSE))</f>
        <v/>
      </c>
      <c r="AX154" t="str">
        <f ca="1">IF(AND(ISNUMBER($AX$660),$B$511=1),$AX$660,HLOOKUP(INDIRECT(ADDRESS(2,COLUMN())),OFFSET($BN$2,0,0,ROW()-1,60),ROW()-1,FALSE))</f>
        <v/>
      </c>
      <c r="AY154" t="str">
        <f ca="1">IF(AND(ISNUMBER($AY$660),$B$511=1),$AY$660,HLOOKUP(INDIRECT(ADDRESS(2,COLUMN())),OFFSET($BN$2,0,0,ROW()-1,60),ROW()-1,FALSE))</f>
        <v/>
      </c>
      <c r="AZ154" t="str">
        <f ca="1">IF(AND(ISNUMBER($AZ$660),$B$511=1),$AZ$660,HLOOKUP(INDIRECT(ADDRESS(2,COLUMN())),OFFSET($BN$2,0,0,ROW()-1,60),ROW()-1,FALSE))</f>
        <v/>
      </c>
      <c r="BA154" t="str">
        <f ca="1">IF(AND(ISNUMBER($BA$660),$B$511=1),$BA$660,HLOOKUP(INDIRECT(ADDRESS(2,COLUMN())),OFFSET($BN$2,0,0,ROW()-1,60),ROW()-1,FALSE))</f>
        <v/>
      </c>
      <c r="BB154" t="str">
        <f ca="1">IF(AND(ISNUMBER($BB$660),$B$511=1),$BB$660,HLOOKUP(INDIRECT(ADDRESS(2,COLUMN())),OFFSET($BN$2,0,0,ROW()-1,60),ROW()-1,FALSE))</f>
        <v/>
      </c>
      <c r="BC154" t="str">
        <f ca="1">IF(AND(ISNUMBER($BC$660),$B$511=1),$BC$660,HLOOKUP(INDIRECT(ADDRESS(2,COLUMN())),OFFSET($BN$2,0,0,ROW()-1,60),ROW()-1,FALSE))</f>
        <v/>
      </c>
      <c r="BD154" t="str">
        <f ca="1">IF(AND(ISNUMBER($BD$660),$B$511=1),$BD$660,HLOOKUP(INDIRECT(ADDRESS(2,COLUMN())),OFFSET($BN$2,0,0,ROW()-1,60),ROW()-1,FALSE))</f>
        <v/>
      </c>
      <c r="BE154" t="str">
        <f ca="1">IF(AND(ISNUMBER($BE$660),$B$511=1),$BE$660,HLOOKUP(INDIRECT(ADDRESS(2,COLUMN())),OFFSET($BN$2,0,0,ROW()-1,60),ROW()-1,FALSE))</f>
        <v/>
      </c>
      <c r="BF154" t="str">
        <f ca="1">IF(AND(ISNUMBER($BF$660),$B$511=1),$BF$660,HLOOKUP(INDIRECT(ADDRESS(2,COLUMN())),OFFSET($BN$2,0,0,ROW()-1,60),ROW()-1,FALSE))</f>
        <v/>
      </c>
      <c r="BG154">
        <f ca="1">IF(AND(ISNUMBER($BG$660),$B$511=1),$BG$660,HLOOKUP(INDIRECT(ADDRESS(2,COLUMN())),OFFSET($BN$2,0,0,ROW()-1,60),ROW()-1,FALSE))</f>
        <v>80.511726969999998</v>
      </c>
      <c r="BH154">
        <f ca="1">IF(AND(ISNUMBER($BH$660),$B$511=1),$BH$660,HLOOKUP(INDIRECT(ADDRESS(2,COLUMN())),OFFSET($BN$2,0,0,ROW()-1,60),ROW()-1,FALSE))</f>
        <v>92.47669818</v>
      </c>
      <c r="BI154">
        <f ca="1">IF(AND(ISNUMBER($BI$660),$B$511=1),$BI$660,HLOOKUP(INDIRECT(ADDRESS(2,COLUMN())),OFFSET($BN$2,0,0,ROW()-1,60),ROW()-1,FALSE))</f>
        <v>101.7870708</v>
      </c>
      <c r="BJ154">
        <f ca="1">IF(AND(ISNUMBER($BJ$660),$B$511=1),$BJ$660,HLOOKUP(INDIRECT(ADDRESS(2,COLUMN())),OFFSET($BN$2,0,0,ROW()-1,60),ROW()-1,FALSE))</f>
        <v>114.0832722</v>
      </c>
      <c r="BK154">
        <f ca="1">IF(AND(ISNUMBER($BK$660),$B$511=1),$BK$660,HLOOKUP(INDIRECT(ADDRESS(2,COLUMN())),OFFSET($BN$2,0,0,ROW()-1,60),ROW()-1,FALSE))</f>
        <v>125.74031170000001</v>
      </c>
      <c r="BL154">
        <f ca="1">IF(AND(ISNUMBER($BL$660),$B$511=1),$BL$660,HLOOKUP(INDIRECT(ADDRESS(2,COLUMN())),OFFSET($BN$2,0,0,ROW()-1,60),ROW()-1,FALSE))</f>
        <v>108.40369</v>
      </c>
      <c r="BM154">
        <f ca="1">IF(AND(ISNUMBER($BM$660),$B$511=1),$BM$660,HLOOKUP(INDIRECT(ADDRESS(2,COLUMN())),OFFSET($BN$2,0,0,ROW()-1,60),ROW()-1,FALSE))</f>
        <v>99.184182550000003</v>
      </c>
      <c r="BN154" t="str">
        <f>""</f>
        <v/>
      </c>
      <c r="BO154" t="str">
        <f>""</f>
        <v/>
      </c>
      <c r="BP154" t="str">
        <f>""</f>
        <v/>
      </c>
      <c r="BQ154" t="str">
        <f>""</f>
        <v/>
      </c>
      <c r="BR154" t="str">
        <f>""</f>
        <v/>
      </c>
      <c r="BS154" t="str">
        <f>""</f>
        <v/>
      </c>
      <c r="BT154" t="str">
        <f>""</f>
        <v/>
      </c>
      <c r="BU154" t="str">
        <f>""</f>
        <v/>
      </c>
      <c r="BV154" t="str">
        <f>""</f>
        <v/>
      </c>
      <c r="BW154" t="str">
        <f>""</f>
        <v/>
      </c>
      <c r="BX154" t="str">
        <f>""</f>
        <v/>
      </c>
      <c r="BY154" t="str">
        <f>""</f>
        <v/>
      </c>
      <c r="BZ154" t="str">
        <f>""</f>
        <v/>
      </c>
      <c r="CA154" t="str">
        <f>""</f>
        <v/>
      </c>
      <c r="CB154" t="str">
        <f>""</f>
        <v/>
      </c>
      <c r="CC154" t="str">
        <f>""</f>
        <v/>
      </c>
      <c r="CD154" t="str">
        <f>""</f>
        <v/>
      </c>
      <c r="CE154" t="str">
        <f>""</f>
        <v/>
      </c>
      <c r="CF154" t="str">
        <f>""</f>
        <v/>
      </c>
      <c r="CG154" t="str">
        <f>""</f>
        <v/>
      </c>
      <c r="CH154" t="str">
        <f>""</f>
        <v/>
      </c>
      <c r="CI154" t="str">
        <f>""</f>
        <v/>
      </c>
      <c r="CJ154" t="str">
        <f>""</f>
        <v/>
      </c>
      <c r="CK154" t="str">
        <f>""</f>
        <v/>
      </c>
      <c r="CL154" t="str">
        <f>""</f>
        <v/>
      </c>
      <c r="CM154" t="str">
        <f>""</f>
        <v/>
      </c>
      <c r="CN154" t="str">
        <f>""</f>
        <v/>
      </c>
      <c r="CO154" t="str">
        <f>""</f>
        <v/>
      </c>
      <c r="CP154" t="str">
        <f>""</f>
        <v/>
      </c>
      <c r="CQ154" t="str">
        <f>""</f>
        <v/>
      </c>
      <c r="CR154" t="str">
        <f>""</f>
        <v/>
      </c>
      <c r="CS154" t="str">
        <f>""</f>
        <v/>
      </c>
      <c r="CT154" t="str">
        <f>""</f>
        <v/>
      </c>
      <c r="CU154" t="str">
        <f>""</f>
        <v/>
      </c>
      <c r="CV154" t="str">
        <f>""</f>
        <v/>
      </c>
      <c r="CW154" t="str">
        <f>""</f>
        <v/>
      </c>
      <c r="CX154" t="str">
        <f>""</f>
        <v/>
      </c>
      <c r="CY154" t="str">
        <f>""</f>
        <v/>
      </c>
      <c r="CZ154" t="str">
        <f>""</f>
        <v/>
      </c>
      <c r="DA154" t="str">
        <f>""</f>
        <v/>
      </c>
      <c r="DB154" t="str">
        <f>""</f>
        <v/>
      </c>
      <c r="DC154" t="str">
        <f>""</f>
        <v/>
      </c>
      <c r="DD154" t="str">
        <f>""</f>
        <v/>
      </c>
      <c r="DE154" t="str">
        <f>""</f>
        <v/>
      </c>
      <c r="DF154" t="str">
        <f>""</f>
        <v/>
      </c>
      <c r="DG154" t="str">
        <f>""</f>
        <v/>
      </c>
      <c r="DH154" t="str">
        <f>""</f>
        <v/>
      </c>
      <c r="DI154" t="str">
        <f>""</f>
        <v/>
      </c>
      <c r="DJ154" t="str">
        <f>""</f>
        <v/>
      </c>
      <c r="DK154" t="str">
        <f>""</f>
        <v/>
      </c>
      <c r="DL154" t="str">
        <f>""</f>
        <v/>
      </c>
      <c r="DM154" t="str">
        <f>""</f>
        <v/>
      </c>
      <c r="DN154" t="str">
        <f>""</f>
        <v/>
      </c>
      <c r="DO154">
        <f>80.51172697</f>
        <v>80.511726969999998</v>
      </c>
      <c r="DP154">
        <f>92.47669818</f>
        <v>92.47669818</v>
      </c>
      <c r="DQ154">
        <f>101.7870708</f>
        <v>101.7870708</v>
      </c>
      <c r="DR154">
        <f>114.0832722</f>
        <v>114.0832722</v>
      </c>
      <c r="DS154">
        <f>125.7403117</f>
        <v>125.74031170000001</v>
      </c>
      <c r="DT154">
        <f>108.40369</f>
        <v>108.40369</v>
      </c>
      <c r="DU154">
        <f>99.18418255</f>
        <v>99.184182550000003</v>
      </c>
    </row>
    <row r="155" spans="1:125" x14ac:dyDescent="0.25">
      <c r="A155" t="str">
        <f>"    Sanyang Motor Co Ltd"</f>
        <v xml:space="preserve">    Sanyang Motor Co Ltd</v>
      </c>
      <c r="B155" t="str">
        <f>"2206 TT Equity"</f>
        <v>2206 TT Equity</v>
      </c>
      <c r="C155" t="str">
        <f t="shared" si="9"/>
        <v>RR841</v>
      </c>
      <c r="D155" t="str">
        <f t="shared" si="10"/>
        <v>TRAIL_12M_EBITDA</v>
      </c>
      <c r="E155" t="str">
        <f t="shared" si="11"/>
        <v>Dynamic</v>
      </c>
      <c r="F155" t="str">
        <f ca="1">IF(AND(ISNUMBER($F$661),$B$511=1),$F$661,HLOOKUP(INDIRECT(ADDRESS(2,COLUMN())),OFFSET($BN$2,0,0,ROW()-1,60),ROW()-1,FALSE))</f>
        <v/>
      </c>
      <c r="G155" t="str">
        <f ca="1">IF(AND(ISNUMBER($G$661),$B$511=1),$G$661,HLOOKUP(INDIRECT(ADDRESS(2,COLUMN())),OFFSET($BN$2,0,0,ROW()-1,60),ROW()-1,FALSE))</f>
        <v/>
      </c>
      <c r="H155">
        <f ca="1">IF(AND(ISNUMBER($H$661),$B$511=1),$H$661,HLOOKUP(INDIRECT(ADDRESS(2,COLUMN())),OFFSET($BN$2,0,0,ROW()-1,60),ROW()-1,FALSE))</f>
        <v>42.071687769999997</v>
      </c>
      <c r="I155">
        <f ca="1">IF(AND(ISNUMBER($I$661),$B$511=1),$I$661,HLOOKUP(INDIRECT(ADDRESS(2,COLUMN())),OFFSET($BN$2,0,0,ROW()-1,60),ROW()-1,FALSE))</f>
        <v>46.817475420000001</v>
      </c>
      <c r="J155">
        <f ca="1">IF(AND(ISNUMBER($J$661),$B$511=1),$J$661,HLOOKUP(INDIRECT(ADDRESS(2,COLUMN())),OFFSET($BN$2,0,0,ROW()-1,60),ROW()-1,FALSE))</f>
        <v>53.53795461</v>
      </c>
      <c r="K155">
        <f ca="1">IF(AND(ISNUMBER($K$661),$B$511=1),$K$661,HLOOKUP(INDIRECT(ADDRESS(2,COLUMN())),OFFSET($BN$2,0,0,ROW()-1,60),ROW()-1,FALSE))</f>
        <v>49.80186629</v>
      </c>
      <c r="L155">
        <f ca="1">IF(AND(ISNUMBER($L$661),$B$511=1),$L$661,HLOOKUP(INDIRECT(ADDRESS(2,COLUMN())),OFFSET($BN$2,0,0,ROW()-1,60),ROW()-1,FALSE))</f>
        <v>59.28054539</v>
      </c>
      <c r="M155">
        <f ca="1">IF(AND(ISNUMBER($M$661),$B$511=1),$M$661,HLOOKUP(INDIRECT(ADDRESS(2,COLUMN())),OFFSET($BN$2,0,0,ROW()-1,60),ROW()-1,FALSE))</f>
        <v>57.803440870000003</v>
      </c>
      <c r="N155">
        <f ca="1">IF(AND(ISNUMBER($N$661),$B$511=1),$N$661,HLOOKUP(INDIRECT(ADDRESS(2,COLUMN())),OFFSET($BN$2,0,0,ROW()-1,60),ROW()-1,FALSE))</f>
        <v>52.139955759999999</v>
      </c>
      <c r="O155">
        <f ca="1">IF(AND(ISNUMBER($O$661),$B$511=1),$O$661,HLOOKUP(INDIRECT(ADDRESS(2,COLUMN())),OFFSET($BN$2,0,0,ROW()-1,60),ROW()-1,FALSE))</f>
        <v>45.212447589999996</v>
      </c>
      <c r="P155">
        <f ca="1">IF(AND(ISNUMBER($P$661),$B$511=1),$P$661,HLOOKUP(INDIRECT(ADDRESS(2,COLUMN())),OFFSET($BN$2,0,0,ROW()-1,60),ROW()-1,FALSE))</f>
        <v>22.811787209999999</v>
      </c>
      <c r="Q155">
        <f ca="1">IF(AND(ISNUMBER($Q$661),$B$511=1),$Q$661,HLOOKUP(INDIRECT(ADDRESS(2,COLUMN())),OFFSET($BN$2,0,0,ROW()-1,60),ROW()-1,FALSE))</f>
        <v>23.458497000000001</v>
      </c>
      <c r="R155">
        <f ca="1">IF(AND(ISNUMBER($R$661),$B$511=1),$R$661,HLOOKUP(INDIRECT(ADDRESS(2,COLUMN())),OFFSET($BN$2,0,0,ROW()-1,60),ROW()-1,FALSE))</f>
        <v>19.259814469999998</v>
      </c>
      <c r="S155">
        <f ca="1">IF(AND(ISNUMBER($S$661),$B$511=1),$S$661,HLOOKUP(INDIRECT(ADDRESS(2,COLUMN())),OFFSET($BN$2,0,0,ROW()-1,60),ROW()-1,FALSE))</f>
        <v>20.630110699999999</v>
      </c>
      <c r="T155">
        <f ca="1">IF(AND(ISNUMBER($T$661),$B$511=1),$T$661,HLOOKUP(INDIRECT(ADDRESS(2,COLUMN())),OFFSET($BN$2,0,0,ROW()-1,60),ROW()-1,FALSE))</f>
        <v>30.34743739</v>
      </c>
      <c r="U155">
        <f ca="1">IF(AND(ISNUMBER($U$661),$B$511=1),$U$661,HLOOKUP(INDIRECT(ADDRESS(2,COLUMN())),OFFSET($BN$2,0,0,ROW()-1,60),ROW()-1,FALSE))</f>
        <v>19.822909769999999</v>
      </c>
      <c r="V155">
        <f ca="1">IF(AND(ISNUMBER($V$661),$B$511=1),$V$661,HLOOKUP(INDIRECT(ADDRESS(2,COLUMN())),OFFSET($BN$2,0,0,ROW()-1,60),ROW()-1,FALSE))</f>
        <v>15.55130145</v>
      </c>
      <c r="W155">
        <f ca="1">IF(AND(ISNUMBER($W$661),$B$511=1),$W$661,HLOOKUP(INDIRECT(ADDRESS(2,COLUMN())),OFFSET($BN$2,0,0,ROW()-1,60),ROW()-1,FALSE))</f>
        <v>8.8038298570000002</v>
      </c>
      <c r="X155">
        <f ca="1">IF(AND(ISNUMBER($X$661),$B$511=1),$X$661,HLOOKUP(INDIRECT(ADDRESS(2,COLUMN())),OFFSET($BN$2,0,0,ROW()-1,60),ROW()-1,FALSE))</f>
        <v>3.222471622</v>
      </c>
      <c r="Y155">
        <f ca="1">IF(AND(ISNUMBER($Y$661),$B$511=1),$Y$661,HLOOKUP(INDIRECT(ADDRESS(2,COLUMN())),OFFSET($BN$2,0,0,ROW()-1,60),ROW()-1,FALSE))</f>
        <v>2.7614813159999998</v>
      </c>
      <c r="Z155">
        <f ca="1">IF(AND(ISNUMBER($Z$661),$B$511=1),$Z$661,HLOOKUP(INDIRECT(ADDRESS(2,COLUMN())),OFFSET($BN$2,0,0,ROW()-1,60),ROW()-1,FALSE))</f>
        <v>1.1211676989999999</v>
      </c>
      <c r="AA155">
        <f ca="1">IF(AND(ISNUMBER($AA$661),$B$511=1),$AA$661,HLOOKUP(INDIRECT(ADDRESS(2,COLUMN())),OFFSET($BN$2,0,0,ROW()-1,60),ROW()-1,FALSE))</f>
        <v>10.43551023</v>
      </c>
      <c r="AB155">
        <f ca="1">IF(AND(ISNUMBER($AB$661),$B$511=1),$AB$661,HLOOKUP(INDIRECT(ADDRESS(2,COLUMN())),OFFSET($BN$2,0,0,ROW()-1,60),ROW()-1,FALSE))</f>
        <v>20.834806019999998</v>
      </c>
      <c r="AC155">
        <f ca="1">IF(AND(ISNUMBER($AC$661),$B$511=1),$AC$661,HLOOKUP(INDIRECT(ADDRESS(2,COLUMN())),OFFSET($BN$2,0,0,ROW()-1,60),ROW()-1,FALSE))</f>
        <v>30.60250456</v>
      </c>
      <c r="AD155">
        <f ca="1">IF(AND(ISNUMBER($AD$661),$B$511=1),$AD$661,HLOOKUP(INDIRECT(ADDRESS(2,COLUMN())),OFFSET($BN$2,0,0,ROW()-1,60),ROW()-1,FALSE))</f>
        <v>39.786590109999999</v>
      </c>
      <c r="AE155">
        <f ca="1">IF(AND(ISNUMBER($AE$661),$B$511=1),$AE$661,HLOOKUP(INDIRECT(ADDRESS(2,COLUMN())),OFFSET($BN$2,0,0,ROW()-1,60),ROW()-1,FALSE))</f>
        <v>45.838712780000002</v>
      </c>
      <c r="AF155">
        <f ca="1">IF(AND(ISNUMBER($AF$661),$B$511=1),$AF$661,HLOOKUP(INDIRECT(ADDRESS(2,COLUMN())),OFFSET($BN$2,0,0,ROW()-1,60),ROW()-1,FALSE))</f>
        <v>49.93671543</v>
      </c>
      <c r="AG155">
        <f ca="1">IF(AND(ISNUMBER($AG$661),$B$511=1),$AG$661,HLOOKUP(INDIRECT(ADDRESS(2,COLUMN())),OFFSET($BN$2,0,0,ROW()-1,60),ROW()-1,FALSE))</f>
        <v>62.150187699999996</v>
      </c>
      <c r="AH155">
        <f ca="1">IF(AND(ISNUMBER($AH$661),$B$511=1),$AH$661,HLOOKUP(INDIRECT(ADDRESS(2,COLUMN())),OFFSET($BN$2,0,0,ROW()-1,60),ROW()-1,FALSE))</f>
        <v>74.251740720000001</v>
      </c>
      <c r="AI155">
        <f ca="1">IF(AND(ISNUMBER($AI$661),$B$511=1),$AI$661,HLOOKUP(INDIRECT(ADDRESS(2,COLUMN())),OFFSET($BN$2,0,0,ROW()-1,60),ROW()-1,FALSE))</f>
        <v>86.020852450000007</v>
      </c>
      <c r="AJ155">
        <f ca="1">IF(AND(ISNUMBER($AJ$661),$B$511=1),$AJ$661,HLOOKUP(INDIRECT(ADDRESS(2,COLUMN())),OFFSET($BN$2,0,0,ROW()-1,60),ROW()-1,FALSE))</f>
        <v>90.015026410000004</v>
      </c>
      <c r="AK155">
        <f ca="1">IF(AND(ISNUMBER($AK$661),$B$511=1),$AK$661,HLOOKUP(INDIRECT(ADDRESS(2,COLUMN())),OFFSET($BN$2,0,0,ROW()-1,60),ROW()-1,FALSE))</f>
        <v>81.307412299999996</v>
      </c>
      <c r="AL155">
        <f ca="1">IF(AND(ISNUMBER($AL$661),$B$511=1),$AL$661,HLOOKUP(INDIRECT(ADDRESS(2,COLUMN())),OFFSET($BN$2,0,0,ROW()-1,60),ROW()-1,FALSE))</f>
        <v>70.560922230000003</v>
      </c>
      <c r="AM155">
        <f ca="1">IF(AND(ISNUMBER($AM$661),$B$511=1),$AM$661,HLOOKUP(INDIRECT(ADDRESS(2,COLUMN())),OFFSET($BN$2,0,0,ROW()-1,60),ROW()-1,FALSE))</f>
        <v>61.620652560000003</v>
      </c>
      <c r="AN155">
        <f ca="1">IF(AND(ISNUMBER($AN$661),$B$511=1),$AN$661,HLOOKUP(INDIRECT(ADDRESS(2,COLUMN())),OFFSET($BN$2,0,0,ROW()-1,60),ROW()-1,FALSE))</f>
        <v>70.657570039999996</v>
      </c>
      <c r="AO155">
        <f ca="1">IF(AND(ISNUMBER($AO$661),$B$511=1),$AO$661,HLOOKUP(INDIRECT(ADDRESS(2,COLUMN())),OFFSET($BN$2,0,0,ROW()-1,60),ROW()-1,FALSE))</f>
        <v>74.305411070000005</v>
      </c>
      <c r="AP155">
        <f ca="1">IF(AND(ISNUMBER($AP$661),$B$511=1),$AP$661,HLOOKUP(INDIRECT(ADDRESS(2,COLUMN())),OFFSET($BN$2,0,0,ROW()-1,60),ROW()-1,FALSE))</f>
        <v>68.976366290000001</v>
      </c>
      <c r="AQ155">
        <f ca="1">IF(AND(ISNUMBER($AQ$661),$B$511=1),$AQ$661,HLOOKUP(INDIRECT(ADDRESS(2,COLUMN())),OFFSET($BN$2,0,0,ROW()-1,60),ROW()-1,FALSE))</f>
        <v>47.32507141</v>
      </c>
      <c r="AR155">
        <f ca="1">IF(AND(ISNUMBER($AR$661),$B$511=1),$AR$661,HLOOKUP(INDIRECT(ADDRESS(2,COLUMN())),OFFSET($BN$2,0,0,ROW()-1,60),ROW()-1,FALSE))</f>
        <v>36.106932370000003</v>
      </c>
      <c r="AS155">
        <f ca="1">IF(AND(ISNUMBER($AS$661),$B$511=1),$AS$661,HLOOKUP(INDIRECT(ADDRESS(2,COLUMN())),OFFSET($BN$2,0,0,ROW()-1,60),ROW()-1,FALSE))</f>
        <v>18.510426160000002</v>
      </c>
      <c r="AT155">
        <f ca="1">IF(AND(ISNUMBER($AT$661),$B$511=1),$AT$661,HLOOKUP(INDIRECT(ADDRESS(2,COLUMN())),OFFSET($BN$2,0,0,ROW()-1,60),ROW()-1,FALSE))</f>
        <v>26.997966909999999</v>
      </c>
      <c r="AU155">
        <f ca="1">IF(AND(ISNUMBER($AU$661),$B$511=1),$AU$661,HLOOKUP(INDIRECT(ADDRESS(2,COLUMN())),OFFSET($BN$2,0,0,ROW()-1,60),ROW()-1,FALSE))</f>
        <v>47.590793990000002</v>
      </c>
      <c r="AV155" t="str">
        <f ca="1">IF(AND(ISNUMBER($AV$661),$B$511=1),$AV$661,HLOOKUP(INDIRECT(ADDRESS(2,COLUMN())),OFFSET($BN$2,0,0,ROW()-1,60),ROW()-1,FALSE))</f>
        <v/>
      </c>
      <c r="AW155" t="str">
        <f ca="1">IF(AND(ISNUMBER($AW$661),$B$511=1),$AW$661,HLOOKUP(INDIRECT(ADDRESS(2,COLUMN())),OFFSET($BN$2,0,0,ROW()-1,60),ROW()-1,FALSE))</f>
        <v/>
      </c>
      <c r="AX155" t="str">
        <f ca="1">IF(AND(ISNUMBER($AX$661),$B$511=1),$AX$661,HLOOKUP(INDIRECT(ADDRESS(2,COLUMN())),OFFSET($BN$2,0,0,ROW()-1,60),ROW()-1,FALSE))</f>
        <v/>
      </c>
      <c r="AY155" t="str">
        <f ca="1">IF(AND(ISNUMBER($AY$661),$B$511=1),$AY$661,HLOOKUP(INDIRECT(ADDRESS(2,COLUMN())),OFFSET($BN$2,0,0,ROW()-1,60),ROW()-1,FALSE))</f>
        <v/>
      </c>
      <c r="AZ155" t="str">
        <f ca="1">IF(AND(ISNUMBER($AZ$661),$B$511=1),$AZ$661,HLOOKUP(INDIRECT(ADDRESS(2,COLUMN())),OFFSET($BN$2,0,0,ROW()-1,60),ROW()-1,FALSE))</f>
        <v/>
      </c>
      <c r="BA155" t="str">
        <f ca="1">IF(AND(ISNUMBER($BA$661),$B$511=1),$BA$661,HLOOKUP(INDIRECT(ADDRESS(2,COLUMN())),OFFSET($BN$2,0,0,ROW()-1,60),ROW()-1,FALSE))</f>
        <v/>
      </c>
      <c r="BB155" t="str">
        <f ca="1">IF(AND(ISNUMBER($BB$661),$B$511=1),$BB$661,HLOOKUP(INDIRECT(ADDRESS(2,COLUMN())),OFFSET($BN$2,0,0,ROW()-1,60),ROW()-1,FALSE))</f>
        <v/>
      </c>
      <c r="BC155" t="str">
        <f ca="1">IF(AND(ISNUMBER($BC$661),$B$511=1),$BC$661,HLOOKUP(INDIRECT(ADDRESS(2,COLUMN())),OFFSET($BN$2,0,0,ROW()-1,60),ROW()-1,FALSE))</f>
        <v/>
      </c>
      <c r="BD155" t="str">
        <f ca="1">IF(AND(ISNUMBER($BD$661),$B$511=1),$BD$661,HLOOKUP(INDIRECT(ADDRESS(2,COLUMN())),OFFSET($BN$2,0,0,ROW()-1,60),ROW()-1,FALSE))</f>
        <v/>
      </c>
      <c r="BE155" t="str">
        <f ca="1">IF(AND(ISNUMBER($BE$661),$B$511=1),$BE$661,HLOOKUP(INDIRECT(ADDRESS(2,COLUMN())),OFFSET($BN$2,0,0,ROW()-1,60),ROW()-1,FALSE))</f>
        <v/>
      </c>
      <c r="BF155" t="str">
        <f ca="1">IF(AND(ISNUMBER($BF$661),$B$511=1),$BF$661,HLOOKUP(INDIRECT(ADDRESS(2,COLUMN())),OFFSET($BN$2,0,0,ROW()-1,60),ROW()-1,FALSE))</f>
        <v/>
      </c>
      <c r="BG155" t="str">
        <f ca="1">IF(AND(ISNUMBER($BG$661),$B$511=1),$BG$661,HLOOKUP(INDIRECT(ADDRESS(2,COLUMN())),OFFSET($BN$2,0,0,ROW()-1,60),ROW()-1,FALSE))</f>
        <v/>
      </c>
      <c r="BH155" t="str">
        <f ca="1">IF(AND(ISNUMBER($BH$661),$B$511=1),$BH$661,HLOOKUP(INDIRECT(ADDRESS(2,COLUMN())),OFFSET($BN$2,0,0,ROW()-1,60),ROW()-1,FALSE))</f>
        <v/>
      </c>
      <c r="BI155" t="str">
        <f ca="1">IF(AND(ISNUMBER($BI$661),$B$511=1),$BI$661,HLOOKUP(INDIRECT(ADDRESS(2,COLUMN())),OFFSET($BN$2,0,0,ROW()-1,60),ROW()-1,FALSE))</f>
        <v/>
      </c>
      <c r="BJ155" t="str">
        <f ca="1">IF(AND(ISNUMBER($BJ$661),$B$511=1),$BJ$661,HLOOKUP(INDIRECT(ADDRESS(2,COLUMN())),OFFSET($BN$2,0,0,ROW()-1,60),ROW()-1,FALSE))</f>
        <v/>
      </c>
      <c r="BK155" t="str">
        <f ca="1">IF(AND(ISNUMBER($BK$661),$B$511=1),$BK$661,HLOOKUP(INDIRECT(ADDRESS(2,COLUMN())),OFFSET($BN$2,0,0,ROW()-1,60),ROW()-1,FALSE))</f>
        <v/>
      </c>
      <c r="BL155" t="str">
        <f ca="1">IF(AND(ISNUMBER($BL$661),$B$511=1),$BL$661,HLOOKUP(INDIRECT(ADDRESS(2,COLUMN())),OFFSET($BN$2,0,0,ROW()-1,60),ROW()-1,FALSE))</f>
        <v/>
      </c>
      <c r="BM155" t="str">
        <f ca="1">IF(AND(ISNUMBER($BM$661),$B$511=1),$BM$661,HLOOKUP(INDIRECT(ADDRESS(2,COLUMN())),OFFSET($BN$2,0,0,ROW()-1,60),ROW()-1,FALSE))</f>
        <v/>
      </c>
      <c r="BN155" t="str">
        <f>""</f>
        <v/>
      </c>
      <c r="BO155" t="str">
        <f>""</f>
        <v/>
      </c>
      <c r="BP155">
        <f>42.07168777</f>
        <v>42.071687769999997</v>
      </c>
      <c r="BQ155">
        <f>46.81747542</f>
        <v>46.817475420000001</v>
      </c>
      <c r="BR155">
        <f>53.53795461</f>
        <v>53.53795461</v>
      </c>
      <c r="BS155">
        <f>49.80186629</f>
        <v>49.80186629</v>
      </c>
      <c r="BT155">
        <f>59.28054539</f>
        <v>59.28054539</v>
      </c>
      <c r="BU155">
        <f>57.80344087</f>
        <v>57.803440870000003</v>
      </c>
      <c r="BV155">
        <f>52.13995576</f>
        <v>52.139955759999999</v>
      </c>
      <c r="BW155">
        <f>45.21244759</f>
        <v>45.212447589999996</v>
      </c>
      <c r="BX155">
        <f>22.81178721</f>
        <v>22.811787209999999</v>
      </c>
      <c r="BY155">
        <f>23.458497</f>
        <v>23.458497000000001</v>
      </c>
      <c r="BZ155">
        <f>19.25981447</f>
        <v>19.259814469999998</v>
      </c>
      <c r="CA155">
        <f>20.6301107</f>
        <v>20.630110699999999</v>
      </c>
      <c r="CB155">
        <f>30.34743739</f>
        <v>30.34743739</v>
      </c>
      <c r="CC155">
        <f>19.82290977</f>
        <v>19.822909769999999</v>
      </c>
      <c r="CD155">
        <f>15.55130145</f>
        <v>15.55130145</v>
      </c>
      <c r="CE155">
        <f>8.803829857</f>
        <v>8.8038298570000002</v>
      </c>
      <c r="CF155">
        <f>3.222471622</f>
        <v>3.222471622</v>
      </c>
      <c r="CG155">
        <f>2.761481316</f>
        <v>2.7614813159999998</v>
      </c>
      <c r="CH155">
        <f>1.121167699</f>
        <v>1.1211676989999999</v>
      </c>
      <c r="CI155">
        <f>10.43551023</f>
        <v>10.43551023</v>
      </c>
      <c r="CJ155">
        <f>20.83480602</f>
        <v>20.834806019999998</v>
      </c>
      <c r="CK155">
        <f>30.60250456</f>
        <v>30.60250456</v>
      </c>
      <c r="CL155">
        <f>39.78659011</f>
        <v>39.786590109999999</v>
      </c>
      <c r="CM155">
        <f>45.83871278</f>
        <v>45.838712780000002</v>
      </c>
      <c r="CN155">
        <f>49.93671543</f>
        <v>49.93671543</v>
      </c>
      <c r="CO155">
        <f>62.1501877</f>
        <v>62.150187699999996</v>
      </c>
      <c r="CP155">
        <f>74.25174072</f>
        <v>74.251740720000001</v>
      </c>
      <c r="CQ155">
        <f>86.02085245</f>
        <v>86.020852450000007</v>
      </c>
      <c r="CR155">
        <f>90.01502641</f>
        <v>90.015026410000004</v>
      </c>
      <c r="CS155">
        <f>81.3074123</f>
        <v>81.307412299999996</v>
      </c>
      <c r="CT155">
        <f>70.56092223</f>
        <v>70.560922230000003</v>
      </c>
      <c r="CU155">
        <f>61.62065256</f>
        <v>61.620652560000003</v>
      </c>
      <c r="CV155">
        <f>70.65757004</f>
        <v>70.657570039999996</v>
      </c>
      <c r="CW155">
        <f>74.30541107</f>
        <v>74.305411070000005</v>
      </c>
      <c r="CX155">
        <f>68.97636629</f>
        <v>68.976366290000001</v>
      </c>
      <c r="CY155">
        <f>47.32507141</f>
        <v>47.32507141</v>
      </c>
      <c r="CZ155">
        <f>36.10693237</f>
        <v>36.106932370000003</v>
      </c>
      <c r="DA155">
        <f>18.51042616</f>
        <v>18.510426160000002</v>
      </c>
      <c r="DB155">
        <f>26.99796691</f>
        <v>26.997966909999999</v>
      </c>
      <c r="DC155">
        <f>47.59079399</f>
        <v>47.590793990000002</v>
      </c>
      <c r="DD155" t="str">
        <f>""</f>
        <v/>
      </c>
      <c r="DE155" t="str">
        <f>""</f>
        <v/>
      </c>
      <c r="DF155" t="str">
        <f>""</f>
        <v/>
      </c>
      <c r="DG155" t="str">
        <f>""</f>
        <v/>
      </c>
      <c r="DH155" t="str">
        <f>""</f>
        <v/>
      </c>
      <c r="DI155" t="str">
        <f>""</f>
        <v/>
      </c>
      <c r="DJ155" t="str">
        <f>""</f>
        <v/>
      </c>
      <c r="DK155" t="str">
        <f>""</f>
        <v/>
      </c>
      <c r="DL155" t="str">
        <f>""</f>
        <v/>
      </c>
      <c r="DM155" t="str">
        <f>""</f>
        <v/>
      </c>
      <c r="DN155" t="str">
        <f>""</f>
        <v/>
      </c>
      <c r="DO155" t="str">
        <f>""</f>
        <v/>
      </c>
      <c r="DP155" t="str">
        <f>""</f>
        <v/>
      </c>
      <c r="DQ155" t="str">
        <f>""</f>
        <v/>
      </c>
      <c r="DR155" t="str">
        <f>""</f>
        <v/>
      </c>
      <c r="DS155" t="str">
        <f>""</f>
        <v/>
      </c>
      <c r="DT155" t="str">
        <f>""</f>
        <v/>
      </c>
      <c r="DU155" t="str">
        <f>""</f>
        <v/>
      </c>
    </row>
    <row r="156" spans="1:125" x14ac:dyDescent="0.25">
      <c r="A156" t="str">
        <f>"    Sollers PJSC"</f>
        <v xml:space="preserve">    Sollers PJSC</v>
      </c>
      <c r="B156" t="str">
        <f>"SVAV RM Equity"</f>
        <v>SVAV RM Equity</v>
      </c>
      <c r="C156" t="str">
        <f t="shared" si="9"/>
        <v>RR841</v>
      </c>
      <c r="D156" t="str">
        <f t="shared" si="10"/>
        <v>TRAIL_12M_EBITDA</v>
      </c>
      <c r="E156" t="str">
        <f t="shared" si="11"/>
        <v>Dynamic</v>
      </c>
      <c r="F156" t="str">
        <f ca="1">IF(AND(ISNUMBER($F$662),$B$511=1),$F$662,HLOOKUP(INDIRECT(ADDRESS(2,COLUMN())),OFFSET($BN$2,0,0,ROW()-1,60),ROW()-1,FALSE))</f>
        <v/>
      </c>
      <c r="G156" t="str">
        <f ca="1">IF(AND(ISNUMBER($G$662),$B$511=1),$G$662,HLOOKUP(INDIRECT(ADDRESS(2,COLUMN())),OFFSET($BN$2,0,0,ROW()-1,60),ROW()-1,FALSE))</f>
        <v/>
      </c>
      <c r="H156" t="str">
        <f ca="1">IF(AND(ISNUMBER($H$662),$B$511=1),$H$662,HLOOKUP(INDIRECT(ADDRESS(2,COLUMN())),OFFSET($BN$2,0,0,ROW()-1,60),ROW()-1,FALSE))</f>
        <v/>
      </c>
      <c r="I156" t="str">
        <f ca="1">IF(AND(ISNUMBER($I$662),$B$511=1),$I$662,HLOOKUP(INDIRECT(ADDRESS(2,COLUMN())),OFFSET($BN$2,0,0,ROW()-1,60),ROW()-1,FALSE))</f>
        <v/>
      </c>
      <c r="J156" t="str">
        <f ca="1">IF(AND(ISNUMBER($J$662),$B$511=1),$J$662,HLOOKUP(INDIRECT(ADDRESS(2,COLUMN())),OFFSET($BN$2,0,0,ROW()-1,60),ROW()-1,FALSE))</f>
        <v/>
      </c>
      <c r="K156" t="str">
        <f ca="1">IF(AND(ISNUMBER($K$662),$B$511=1),$K$662,HLOOKUP(INDIRECT(ADDRESS(2,COLUMN())),OFFSET($BN$2,0,0,ROW()-1,60),ROW()-1,FALSE))</f>
        <v/>
      </c>
      <c r="L156" t="str">
        <f ca="1">IF(AND(ISNUMBER($L$662),$B$511=1),$L$662,HLOOKUP(INDIRECT(ADDRESS(2,COLUMN())),OFFSET($BN$2,0,0,ROW()-1,60),ROW()-1,FALSE))</f>
        <v/>
      </c>
      <c r="M156" t="str">
        <f ca="1">IF(AND(ISNUMBER($M$662),$B$511=1),$M$662,HLOOKUP(INDIRECT(ADDRESS(2,COLUMN())),OFFSET($BN$2,0,0,ROW()-1,60),ROW()-1,FALSE))</f>
        <v/>
      </c>
      <c r="N156" t="str">
        <f ca="1">IF(AND(ISNUMBER($N$662),$B$511=1),$N$662,HLOOKUP(INDIRECT(ADDRESS(2,COLUMN())),OFFSET($BN$2,0,0,ROW()-1,60),ROW()-1,FALSE))</f>
        <v/>
      </c>
      <c r="O156" t="str">
        <f ca="1">IF(AND(ISNUMBER($O$662),$B$511=1),$O$662,HLOOKUP(INDIRECT(ADDRESS(2,COLUMN())),OFFSET($BN$2,0,0,ROW()-1,60),ROW()-1,FALSE))</f>
        <v/>
      </c>
      <c r="P156" t="str">
        <f ca="1">IF(AND(ISNUMBER($P$662),$B$511=1),$P$662,HLOOKUP(INDIRECT(ADDRESS(2,COLUMN())),OFFSET($BN$2,0,0,ROW()-1,60),ROW()-1,FALSE))</f>
        <v/>
      </c>
      <c r="Q156" t="str">
        <f ca="1">IF(AND(ISNUMBER($Q$662),$B$511=1),$Q$662,HLOOKUP(INDIRECT(ADDRESS(2,COLUMN())),OFFSET($BN$2,0,0,ROW()-1,60),ROW()-1,FALSE))</f>
        <v/>
      </c>
      <c r="R156" t="str">
        <f ca="1">IF(AND(ISNUMBER($R$662),$B$511=1),$R$662,HLOOKUP(INDIRECT(ADDRESS(2,COLUMN())),OFFSET($BN$2,0,0,ROW()-1,60),ROW()-1,FALSE))</f>
        <v/>
      </c>
      <c r="S156" t="str">
        <f ca="1">IF(AND(ISNUMBER($S$662),$B$511=1),$S$662,HLOOKUP(INDIRECT(ADDRESS(2,COLUMN())),OFFSET($BN$2,0,0,ROW()-1,60),ROW()-1,FALSE))</f>
        <v/>
      </c>
      <c r="T156" t="str">
        <f ca="1">IF(AND(ISNUMBER($T$662),$B$511=1),$T$662,HLOOKUP(INDIRECT(ADDRESS(2,COLUMN())),OFFSET($BN$2,0,0,ROW()-1,60),ROW()-1,FALSE))</f>
        <v/>
      </c>
      <c r="U156" t="str">
        <f ca="1">IF(AND(ISNUMBER($U$662),$B$511=1),$U$662,HLOOKUP(INDIRECT(ADDRESS(2,COLUMN())),OFFSET($BN$2,0,0,ROW()-1,60),ROW()-1,FALSE))</f>
        <v/>
      </c>
      <c r="V156" t="str">
        <f ca="1">IF(AND(ISNUMBER($V$662),$B$511=1),$V$662,HLOOKUP(INDIRECT(ADDRESS(2,COLUMN())),OFFSET($BN$2,0,0,ROW()-1,60),ROW()-1,FALSE))</f>
        <v/>
      </c>
      <c r="W156" t="str">
        <f ca="1">IF(AND(ISNUMBER($W$662),$B$511=1),$W$662,HLOOKUP(INDIRECT(ADDRESS(2,COLUMN())),OFFSET($BN$2,0,0,ROW()-1,60),ROW()-1,FALSE))</f>
        <v/>
      </c>
      <c r="X156" t="str">
        <f ca="1">IF(AND(ISNUMBER($X$662),$B$511=1),$X$662,HLOOKUP(INDIRECT(ADDRESS(2,COLUMN())),OFFSET($BN$2,0,0,ROW()-1,60),ROW()-1,FALSE))</f>
        <v/>
      </c>
      <c r="Y156" t="str">
        <f ca="1">IF(AND(ISNUMBER($Y$662),$B$511=1),$Y$662,HLOOKUP(INDIRECT(ADDRESS(2,COLUMN())),OFFSET($BN$2,0,0,ROW()-1,60),ROW()-1,FALSE))</f>
        <v/>
      </c>
      <c r="Z156" t="str">
        <f ca="1">IF(AND(ISNUMBER($Z$662),$B$511=1),$Z$662,HLOOKUP(INDIRECT(ADDRESS(2,COLUMN())),OFFSET($BN$2,0,0,ROW()-1,60),ROW()-1,FALSE))</f>
        <v/>
      </c>
      <c r="AA156" t="str">
        <f ca="1">IF(AND(ISNUMBER($AA$662),$B$511=1),$AA$662,HLOOKUP(INDIRECT(ADDRESS(2,COLUMN())),OFFSET($BN$2,0,0,ROW()-1,60),ROW()-1,FALSE))</f>
        <v/>
      </c>
      <c r="AB156" t="str">
        <f ca="1">IF(AND(ISNUMBER($AB$662),$B$511=1),$AB$662,HLOOKUP(INDIRECT(ADDRESS(2,COLUMN())),OFFSET($BN$2,0,0,ROW()-1,60),ROW()-1,FALSE))</f>
        <v/>
      </c>
      <c r="AC156" t="str">
        <f ca="1">IF(AND(ISNUMBER($AC$662),$B$511=1),$AC$662,HLOOKUP(INDIRECT(ADDRESS(2,COLUMN())),OFFSET($BN$2,0,0,ROW()-1,60),ROW()-1,FALSE))</f>
        <v/>
      </c>
      <c r="AD156" t="str">
        <f ca="1">IF(AND(ISNUMBER($AD$662),$B$511=1),$AD$662,HLOOKUP(INDIRECT(ADDRESS(2,COLUMN())),OFFSET($BN$2,0,0,ROW()-1,60),ROW()-1,FALSE))</f>
        <v/>
      </c>
      <c r="AE156" t="str">
        <f ca="1">IF(AND(ISNUMBER($AE$662),$B$511=1),$AE$662,HLOOKUP(INDIRECT(ADDRESS(2,COLUMN())),OFFSET($BN$2,0,0,ROW()-1,60),ROW()-1,FALSE))</f>
        <v/>
      </c>
      <c r="AF156" t="str">
        <f ca="1">IF(AND(ISNUMBER($AF$662),$B$511=1),$AF$662,HLOOKUP(INDIRECT(ADDRESS(2,COLUMN())),OFFSET($BN$2,0,0,ROW()-1,60),ROW()-1,FALSE))</f>
        <v/>
      </c>
      <c r="AG156" t="str">
        <f ca="1">IF(AND(ISNUMBER($AG$662),$B$511=1),$AG$662,HLOOKUP(INDIRECT(ADDRESS(2,COLUMN())),OFFSET($BN$2,0,0,ROW()-1,60),ROW()-1,FALSE))</f>
        <v/>
      </c>
      <c r="AH156" t="str">
        <f ca="1">IF(AND(ISNUMBER($AH$662),$B$511=1),$AH$662,HLOOKUP(INDIRECT(ADDRESS(2,COLUMN())),OFFSET($BN$2,0,0,ROW()-1,60),ROW()-1,FALSE))</f>
        <v/>
      </c>
      <c r="AI156" t="str">
        <f ca="1">IF(AND(ISNUMBER($AI$662),$B$511=1),$AI$662,HLOOKUP(INDIRECT(ADDRESS(2,COLUMN())),OFFSET($BN$2,0,0,ROW()-1,60),ROW()-1,FALSE))</f>
        <v/>
      </c>
      <c r="AJ156" t="str">
        <f ca="1">IF(AND(ISNUMBER($AJ$662),$B$511=1),$AJ$662,HLOOKUP(INDIRECT(ADDRESS(2,COLUMN())),OFFSET($BN$2,0,0,ROW()-1,60),ROW()-1,FALSE))</f>
        <v/>
      </c>
      <c r="AK156" t="str">
        <f ca="1">IF(AND(ISNUMBER($AK$662),$B$511=1),$AK$662,HLOOKUP(INDIRECT(ADDRESS(2,COLUMN())),OFFSET($BN$2,0,0,ROW()-1,60),ROW()-1,FALSE))</f>
        <v/>
      </c>
      <c r="AL156" t="str">
        <f ca="1">IF(AND(ISNUMBER($AL$662),$B$511=1),$AL$662,HLOOKUP(INDIRECT(ADDRESS(2,COLUMN())),OFFSET($BN$2,0,0,ROW()-1,60),ROW()-1,FALSE))</f>
        <v/>
      </c>
      <c r="AM156" t="str">
        <f ca="1">IF(AND(ISNUMBER($AM$662),$B$511=1),$AM$662,HLOOKUP(INDIRECT(ADDRESS(2,COLUMN())),OFFSET($BN$2,0,0,ROW()-1,60),ROW()-1,FALSE))</f>
        <v/>
      </c>
      <c r="AN156" t="str">
        <f ca="1">IF(AND(ISNUMBER($AN$662),$B$511=1),$AN$662,HLOOKUP(INDIRECT(ADDRESS(2,COLUMN())),OFFSET($BN$2,0,0,ROW()-1,60),ROW()-1,FALSE))</f>
        <v/>
      </c>
      <c r="AO156" t="str">
        <f ca="1">IF(AND(ISNUMBER($AO$662),$B$511=1),$AO$662,HLOOKUP(INDIRECT(ADDRESS(2,COLUMN())),OFFSET($BN$2,0,0,ROW()-1,60),ROW()-1,FALSE))</f>
        <v/>
      </c>
      <c r="AP156" t="str">
        <f ca="1">IF(AND(ISNUMBER($AP$662),$B$511=1),$AP$662,HLOOKUP(INDIRECT(ADDRESS(2,COLUMN())),OFFSET($BN$2,0,0,ROW()-1,60),ROW()-1,FALSE))</f>
        <v/>
      </c>
      <c r="AQ156" t="str">
        <f ca="1">IF(AND(ISNUMBER($AQ$662),$B$511=1),$AQ$662,HLOOKUP(INDIRECT(ADDRESS(2,COLUMN())),OFFSET($BN$2,0,0,ROW()-1,60),ROW()-1,FALSE))</f>
        <v/>
      </c>
      <c r="AR156" t="str">
        <f ca="1">IF(AND(ISNUMBER($AR$662),$B$511=1),$AR$662,HLOOKUP(INDIRECT(ADDRESS(2,COLUMN())),OFFSET($BN$2,0,0,ROW()-1,60),ROW()-1,FALSE))</f>
        <v/>
      </c>
      <c r="AS156" t="str">
        <f ca="1">IF(AND(ISNUMBER($AS$662),$B$511=1),$AS$662,HLOOKUP(INDIRECT(ADDRESS(2,COLUMN())),OFFSET($BN$2,0,0,ROW()-1,60),ROW()-1,FALSE))</f>
        <v/>
      </c>
      <c r="AT156" t="str">
        <f ca="1">IF(AND(ISNUMBER($AT$662),$B$511=1),$AT$662,HLOOKUP(INDIRECT(ADDRESS(2,COLUMN())),OFFSET($BN$2,0,0,ROW()-1,60),ROW()-1,FALSE))</f>
        <v/>
      </c>
      <c r="AU156" t="str">
        <f ca="1">IF(AND(ISNUMBER($AU$662),$B$511=1),$AU$662,HLOOKUP(INDIRECT(ADDRESS(2,COLUMN())),OFFSET($BN$2,0,0,ROW()-1,60),ROW()-1,FALSE))</f>
        <v/>
      </c>
      <c r="AV156" t="str">
        <f ca="1">IF(AND(ISNUMBER($AV$662),$B$511=1),$AV$662,HLOOKUP(INDIRECT(ADDRESS(2,COLUMN())),OFFSET($BN$2,0,0,ROW()-1,60),ROW()-1,FALSE))</f>
        <v/>
      </c>
      <c r="AW156" t="str">
        <f ca="1">IF(AND(ISNUMBER($AW$662),$B$511=1),$AW$662,HLOOKUP(INDIRECT(ADDRESS(2,COLUMN())),OFFSET($BN$2,0,0,ROW()-1,60),ROW()-1,FALSE))</f>
        <v/>
      </c>
      <c r="AX156" t="str">
        <f ca="1">IF(AND(ISNUMBER($AX$662),$B$511=1),$AX$662,HLOOKUP(INDIRECT(ADDRESS(2,COLUMN())),OFFSET($BN$2,0,0,ROW()-1,60),ROW()-1,FALSE))</f>
        <v/>
      </c>
      <c r="AY156" t="str">
        <f ca="1">IF(AND(ISNUMBER($AY$662),$B$511=1),$AY$662,HLOOKUP(INDIRECT(ADDRESS(2,COLUMN())),OFFSET($BN$2,0,0,ROW()-1,60),ROW()-1,FALSE))</f>
        <v/>
      </c>
      <c r="AZ156" t="str">
        <f ca="1">IF(AND(ISNUMBER($AZ$662),$B$511=1),$AZ$662,HLOOKUP(INDIRECT(ADDRESS(2,COLUMN())),OFFSET($BN$2,0,0,ROW()-1,60),ROW()-1,FALSE))</f>
        <v/>
      </c>
      <c r="BA156" t="str">
        <f ca="1">IF(AND(ISNUMBER($BA$662),$B$511=1),$BA$662,HLOOKUP(INDIRECT(ADDRESS(2,COLUMN())),OFFSET($BN$2,0,0,ROW()-1,60),ROW()-1,FALSE))</f>
        <v/>
      </c>
      <c r="BB156" t="str">
        <f ca="1">IF(AND(ISNUMBER($BB$662),$B$511=1),$BB$662,HLOOKUP(INDIRECT(ADDRESS(2,COLUMN())),OFFSET($BN$2,0,0,ROW()-1,60),ROW()-1,FALSE))</f>
        <v/>
      </c>
      <c r="BC156" t="str">
        <f ca="1">IF(AND(ISNUMBER($BC$662),$B$511=1),$BC$662,HLOOKUP(INDIRECT(ADDRESS(2,COLUMN())),OFFSET($BN$2,0,0,ROW()-1,60),ROW()-1,FALSE))</f>
        <v/>
      </c>
      <c r="BD156" t="str">
        <f ca="1">IF(AND(ISNUMBER($BD$662),$B$511=1),$BD$662,HLOOKUP(INDIRECT(ADDRESS(2,COLUMN())),OFFSET($BN$2,0,0,ROW()-1,60),ROW()-1,FALSE))</f>
        <v/>
      </c>
      <c r="BE156" t="str">
        <f ca="1">IF(AND(ISNUMBER($BE$662),$B$511=1),$BE$662,HLOOKUP(INDIRECT(ADDRESS(2,COLUMN())),OFFSET($BN$2,0,0,ROW()-1,60),ROW()-1,FALSE))</f>
        <v/>
      </c>
      <c r="BF156" t="str">
        <f ca="1">IF(AND(ISNUMBER($BF$662),$B$511=1),$BF$662,HLOOKUP(INDIRECT(ADDRESS(2,COLUMN())),OFFSET($BN$2,0,0,ROW()-1,60),ROW()-1,FALSE))</f>
        <v/>
      </c>
      <c r="BG156" t="str">
        <f ca="1">IF(AND(ISNUMBER($BG$662),$B$511=1),$BG$662,HLOOKUP(INDIRECT(ADDRESS(2,COLUMN())),OFFSET($BN$2,0,0,ROW()-1,60),ROW()-1,FALSE))</f>
        <v/>
      </c>
      <c r="BH156" t="str">
        <f ca="1">IF(AND(ISNUMBER($BH$662),$B$511=1),$BH$662,HLOOKUP(INDIRECT(ADDRESS(2,COLUMN())),OFFSET($BN$2,0,0,ROW()-1,60),ROW()-1,FALSE))</f>
        <v/>
      </c>
      <c r="BI156" t="str">
        <f ca="1">IF(AND(ISNUMBER($BI$662),$B$511=1),$BI$662,HLOOKUP(INDIRECT(ADDRESS(2,COLUMN())),OFFSET($BN$2,0,0,ROW()-1,60),ROW()-1,FALSE))</f>
        <v/>
      </c>
      <c r="BJ156" t="str">
        <f ca="1">IF(AND(ISNUMBER($BJ$662),$B$511=1),$BJ$662,HLOOKUP(INDIRECT(ADDRESS(2,COLUMN())),OFFSET($BN$2,0,0,ROW()-1,60),ROW()-1,FALSE))</f>
        <v/>
      </c>
      <c r="BK156" t="str">
        <f ca="1">IF(AND(ISNUMBER($BK$662),$B$511=1),$BK$662,HLOOKUP(INDIRECT(ADDRESS(2,COLUMN())),OFFSET($BN$2,0,0,ROW()-1,60),ROW()-1,FALSE))</f>
        <v/>
      </c>
      <c r="BL156" t="str">
        <f ca="1">IF(AND(ISNUMBER($BL$662),$B$511=1),$BL$662,HLOOKUP(INDIRECT(ADDRESS(2,COLUMN())),OFFSET($BN$2,0,0,ROW()-1,60),ROW()-1,FALSE))</f>
        <v/>
      </c>
      <c r="BM156" t="str">
        <f ca="1">IF(AND(ISNUMBER($BM$662),$B$511=1),$BM$662,HLOOKUP(INDIRECT(ADDRESS(2,COLUMN())),OFFSET($BN$2,0,0,ROW()-1,60),ROW()-1,FALSE))</f>
        <v/>
      </c>
      <c r="BN156" t="str">
        <f>""</f>
        <v/>
      </c>
      <c r="BO156" t="str">
        <f>""</f>
        <v/>
      </c>
      <c r="BP156" t="str">
        <f>""</f>
        <v/>
      </c>
      <c r="BQ156" t="str">
        <f>""</f>
        <v/>
      </c>
      <c r="BR156" t="str">
        <f>""</f>
        <v/>
      </c>
      <c r="BS156" t="str">
        <f>""</f>
        <v/>
      </c>
      <c r="BT156" t="str">
        <f>""</f>
        <v/>
      </c>
      <c r="BU156" t="str">
        <f>""</f>
        <v/>
      </c>
      <c r="BV156" t="str">
        <f>""</f>
        <v/>
      </c>
      <c r="BW156" t="str">
        <f>""</f>
        <v/>
      </c>
      <c r="BX156" t="str">
        <f>""</f>
        <v/>
      </c>
      <c r="BY156" t="str">
        <f>""</f>
        <v/>
      </c>
      <c r="BZ156" t="str">
        <f>""</f>
        <v/>
      </c>
      <c r="CA156" t="str">
        <f>""</f>
        <v/>
      </c>
      <c r="CB156" t="str">
        <f>""</f>
        <v/>
      </c>
      <c r="CC156" t="str">
        <f>""</f>
        <v/>
      </c>
      <c r="CD156" t="str">
        <f>""</f>
        <v/>
      </c>
      <c r="CE156" t="str">
        <f>""</f>
        <v/>
      </c>
      <c r="CF156" t="str">
        <f>""</f>
        <v/>
      </c>
      <c r="CG156" t="str">
        <f>""</f>
        <v/>
      </c>
      <c r="CH156" t="str">
        <f>""</f>
        <v/>
      </c>
      <c r="CI156" t="str">
        <f>""</f>
        <v/>
      </c>
      <c r="CJ156" t="str">
        <f>""</f>
        <v/>
      </c>
      <c r="CK156" t="str">
        <f>""</f>
        <v/>
      </c>
      <c r="CL156" t="str">
        <f>""</f>
        <v/>
      </c>
      <c r="CM156" t="str">
        <f>""</f>
        <v/>
      </c>
      <c r="CN156" t="str">
        <f>""</f>
        <v/>
      </c>
      <c r="CO156" t="str">
        <f>""</f>
        <v/>
      </c>
      <c r="CP156" t="str">
        <f>""</f>
        <v/>
      </c>
      <c r="CQ156" t="str">
        <f>""</f>
        <v/>
      </c>
      <c r="CR156" t="str">
        <f>""</f>
        <v/>
      </c>
      <c r="CS156" t="str">
        <f>""</f>
        <v/>
      </c>
      <c r="CT156" t="str">
        <f>""</f>
        <v/>
      </c>
      <c r="CU156" t="str">
        <f>""</f>
        <v/>
      </c>
      <c r="CV156" t="str">
        <f>""</f>
        <v/>
      </c>
      <c r="CW156" t="str">
        <f>""</f>
        <v/>
      </c>
      <c r="CX156" t="str">
        <f>""</f>
        <v/>
      </c>
      <c r="CY156" t="str">
        <f>""</f>
        <v/>
      </c>
      <c r="CZ156" t="str">
        <f>""</f>
        <v/>
      </c>
      <c r="DA156" t="str">
        <f>""</f>
        <v/>
      </c>
      <c r="DB156" t="str">
        <f>""</f>
        <v/>
      </c>
      <c r="DC156" t="str">
        <f>""</f>
        <v/>
      </c>
      <c r="DD156" t="str">
        <f>""</f>
        <v/>
      </c>
      <c r="DE156" t="str">
        <f>""</f>
        <v/>
      </c>
      <c r="DF156" t="str">
        <f>""</f>
        <v/>
      </c>
      <c r="DG156" t="str">
        <f>""</f>
        <v/>
      </c>
      <c r="DH156" t="str">
        <f>""</f>
        <v/>
      </c>
      <c r="DI156" t="str">
        <f>""</f>
        <v/>
      </c>
      <c r="DJ156" t="str">
        <f>""</f>
        <v/>
      </c>
      <c r="DK156" t="str">
        <f>""</f>
        <v/>
      </c>
      <c r="DL156" t="str">
        <f>""</f>
        <v/>
      </c>
      <c r="DM156" t="str">
        <f>""</f>
        <v/>
      </c>
      <c r="DN156" t="str">
        <f>""</f>
        <v/>
      </c>
      <c r="DO156" t="str">
        <f>""</f>
        <v/>
      </c>
      <c r="DP156" t="str">
        <f>""</f>
        <v/>
      </c>
      <c r="DQ156" t="str">
        <f>""</f>
        <v/>
      </c>
      <c r="DR156" t="str">
        <f>""</f>
        <v/>
      </c>
      <c r="DS156" t="str">
        <f>""</f>
        <v/>
      </c>
      <c r="DT156" t="str">
        <f>""</f>
        <v/>
      </c>
      <c r="DU156" t="str">
        <f>""</f>
        <v/>
      </c>
    </row>
    <row r="157" spans="1:125" x14ac:dyDescent="0.25">
      <c r="A157" t="str">
        <f>"    Ssangyong Motor Co"</f>
        <v xml:space="preserve">    Ssangyong Motor Co</v>
      </c>
      <c r="B157" t="str">
        <f>"003620 KS Equity"</f>
        <v>003620 KS Equity</v>
      </c>
      <c r="C157" t="str">
        <f t="shared" si="9"/>
        <v>RR841</v>
      </c>
      <c r="D157" t="str">
        <f t="shared" si="10"/>
        <v>TRAIL_12M_EBITDA</v>
      </c>
      <c r="E157" t="str">
        <f t="shared" si="11"/>
        <v>Dynamic</v>
      </c>
      <c r="F157" t="str">
        <f ca="1">IF(AND(ISNUMBER($F$663),$B$511=1),$F$663,HLOOKUP(INDIRECT(ADDRESS(2,COLUMN())),OFFSET($BN$2,0,0,ROW()-1,60),ROW()-1,FALSE))</f>
        <v/>
      </c>
      <c r="G157" t="str">
        <f ca="1">IF(AND(ISNUMBER($G$663),$B$511=1),$G$663,HLOOKUP(INDIRECT(ADDRESS(2,COLUMN())),OFFSET($BN$2,0,0,ROW()-1,60),ROW()-1,FALSE))</f>
        <v/>
      </c>
      <c r="H157">
        <f ca="1">IF(AND(ISNUMBER($H$663),$B$511=1),$H$663,HLOOKUP(INDIRECT(ADDRESS(2,COLUMN())),OFFSET($BN$2,0,0,ROW()-1,60),ROW()-1,FALSE))</f>
        <v>110.5466242</v>
      </c>
      <c r="I157">
        <f ca="1">IF(AND(ISNUMBER($I$663),$B$511=1),$I$663,HLOOKUP(INDIRECT(ADDRESS(2,COLUMN())),OFFSET($BN$2,0,0,ROW()-1,60),ROW()-1,FALSE))</f>
        <v>109.79602</v>
      </c>
      <c r="J157">
        <f ca="1">IF(AND(ISNUMBER($J$663),$B$511=1),$J$663,HLOOKUP(INDIRECT(ADDRESS(2,COLUMN())),OFFSET($BN$2,0,0,ROW()-1,60),ROW()-1,FALSE))</f>
        <v>102.1540524</v>
      </c>
      <c r="K157">
        <f ca="1">IF(AND(ISNUMBER($K$663),$B$511=1),$K$663,HLOOKUP(INDIRECT(ADDRESS(2,COLUMN())),OFFSET($BN$2,0,0,ROW()-1,60),ROW()-1,FALSE))</f>
        <v>100.5928219</v>
      </c>
      <c r="L157">
        <f ca="1">IF(AND(ISNUMBER($L$663),$B$511=1),$L$663,HLOOKUP(INDIRECT(ADDRESS(2,COLUMN())),OFFSET($BN$2,0,0,ROW()-1,60),ROW()-1,FALSE))</f>
        <v>118.3218425</v>
      </c>
      <c r="M157">
        <f ca="1">IF(AND(ISNUMBER($M$663),$B$511=1),$M$663,HLOOKUP(INDIRECT(ADDRESS(2,COLUMN())),OFFSET($BN$2,0,0,ROW()-1,60),ROW()-1,FALSE))</f>
        <v>118.7225445</v>
      </c>
      <c r="N157">
        <f ca="1">IF(AND(ISNUMBER($N$663),$B$511=1),$N$663,HLOOKUP(INDIRECT(ADDRESS(2,COLUMN())),OFFSET($BN$2,0,0,ROW()-1,60),ROW()-1,FALSE))</f>
        <v>137.56513509999999</v>
      </c>
      <c r="O157">
        <f ca="1">IF(AND(ISNUMBER($O$663),$B$511=1),$O$663,HLOOKUP(INDIRECT(ADDRESS(2,COLUMN())),OFFSET($BN$2,0,0,ROW()-1,60),ROW()-1,FALSE))</f>
        <v>158.53628900000001</v>
      </c>
      <c r="P157">
        <f ca="1">IF(AND(ISNUMBER($P$663),$B$511=1),$P$663,HLOOKUP(INDIRECT(ADDRESS(2,COLUMN())),OFFSET($BN$2,0,0,ROW()-1,60),ROW()-1,FALSE))</f>
        <v>172.13812809999999</v>
      </c>
      <c r="Q157">
        <f ca="1">IF(AND(ISNUMBER($Q$663),$B$511=1),$Q$663,HLOOKUP(INDIRECT(ADDRESS(2,COLUMN())),OFFSET($BN$2,0,0,ROW()-1,60),ROW()-1,FALSE))</f>
        <v>173.45059209999999</v>
      </c>
      <c r="R157">
        <f ca="1">IF(AND(ISNUMBER($R$663),$B$511=1),$R$663,HLOOKUP(INDIRECT(ADDRESS(2,COLUMN())),OFFSET($BN$2,0,0,ROW()-1,60),ROW()-1,FALSE))</f>
        <v>138.31639749999999</v>
      </c>
      <c r="S157">
        <f ca="1">IF(AND(ISNUMBER($S$663),$B$511=1),$S$663,HLOOKUP(INDIRECT(ADDRESS(2,COLUMN())),OFFSET($BN$2,0,0,ROW()-1,60),ROW()-1,FALSE))</f>
        <v>101.34858749999999</v>
      </c>
      <c r="T157">
        <f ca="1">IF(AND(ISNUMBER($T$663),$B$511=1),$T$663,HLOOKUP(INDIRECT(ADDRESS(2,COLUMN())),OFFSET($BN$2,0,0,ROW()-1,60),ROW()-1,FALSE))</f>
        <v>42.206910999999998</v>
      </c>
      <c r="U157">
        <f ca="1">IF(AND(ISNUMBER($U$663),$B$511=1),$U$663,HLOOKUP(INDIRECT(ADDRESS(2,COLUMN())),OFFSET($BN$2,0,0,ROW()-1,60),ROW()-1,FALSE))</f>
        <v>8.2337115989999994</v>
      </c>
      <c r="V157">
        <f ca="1">IF(AND(ISNUMBER($V$663),$B$511=1),$V$663,HLOOKUP(INDIRECT(ADDRESS(2,COLUMN())),OFFSET($BN$2,0,0,ROW()-1,60),ROW()-1,FALSE))</f>
        <v>2.5250140280000002</v>
      </c>
      <c r="W157">
        <f ca="1">IF(AND(ISNUMBER($W$663),$B$511=1),$W$663,HLOOKUP(INDIRECT(ADDRESS(2,COLUMN())),OFFSET($BN$2,0,0,ROW()-1,60),ROW()-1,FALSE))</f>
        <v>27.757703209999999</v>
      </c>
      <c r="X157">
        <f ca="1">IF(AND(ISNUMBER($X$663),$B$511=1),$X$663,HLOOKUP(INDIRECT(ADDRESS(2,COLUMN())),OFFSET($BN$2,0,0,ROW()-1,60),ROW()-1,FALSE))</f>
        <v>71.52336004</v>
      </c>
      <c r="Y157">
        <f ca="1">IF(AND(ISNUMBER($Y$663),$B$511=1),$Y$663,HLOOKUP(INDIRECT(ADDRESS(2,COLUMN())),OFFSET($BN$2,0,0,ROW()-1,60),ROW()-1,FALSE))</f>
        <v>106.8872913</v>
      </c>
      <c r="Z157">
        <f ca="1">IF(AND(ISNUMBER($Z$663),$B$511=1),$Z$663,HLOOKUP(INDIRECT(ADDRESS(2,COLUMN())),OFFSET($BN$2,0,0,ROW()-1,60),ROW()-1,FALSE))</f>
        <v>132.68540350000001</v>
      </c>
      <c r="AA157">
        <f ca="1">IF(AND(ISNUMBER($AA$663),$B$511=1),$AA$663,HLOOKUP(INDIRECT(ADDRESS(2,COLUMN())),OFFSET($BN$2,0,0,ROW()-1,60),ROW()-1,FALSE))</f>
        <v>122.8592392</v>
      </c>
      <c r="AB157">
        <f ca="1">IF(AND(ISNUMBER($AB$663),$B$511=1),$AB$663,HLOOKUP(INDIRECT(ADDRESS(2,COLUMN())),OFFSET($BN$2,0,0,ROW()-1,60),ROW()-1,FALSE))</f>
        <v>91.230152059999995</v>
      </c>
      <c r="AC157">
        <f ca="1">IF(AND(ISNUMBER($AC$663),$B$511=1),$AC$663,HLOOKUP(INDIRECT(ADDRESS(2,COLUMN())),OFFSET($BN$2,0,0,ROW()-1,60),ROW()-1,FALSE))</f>
        <v>74.33800325</v>
      </c>
      <c r="AD157">
        <f ca="1">IF(AND(ISNUMBER($AD$663),$B$511=1),$AD$663,HLOOKUP(INDIRECT(ADDRESS(2,COLUMN())),OFFSET($BN$2,0,0,ROW()-1,60),ROW()-1,FALSE))</f>
        <v>50.193027110000003</v>
      </c>
      <c r="AE157">
        <f ca="1">IF(AND(ISNUMBER($AE$663),$B$511=1),$AE$663,HLOOKUP(INDIRECT(ADDRESS(2,COLUMN())),OFFSET($BN$2,0,0,ROW()-1,60),ROW()-1,FALSE))</f>
        <v>36.197033349999998</v>
      </c>
      <c r="AF157" t="str">
        <f ca="1">IF(AND(ISNUMBER($AF$663),$B$511=1),$AF$663,HLOOKUP(INDIRECT(ADDRESS(2,COLUMN())),OFFSET($BN$2,0,0,ROW()-1,60),ROW()-1,FALSE))</f>
        <v/>
      </c>
      <c r="AG157" t="str">
        <f ca="1">IF(AND(ISNUMBER($AG$663),$B$511=1),$AG$663,HLOOKUP(INDIRECT(ADDRESS(2,COLUMN())),OFFSET($BN$2,0,0,ROW()-1,60),ROW()-1,FALSE))</f>
        <v/>
      </c>
      <c r="AH157" t="str">
        <f ca="1">IF(AND(ISNUMBER($AH$663),$B$511=1),$AH$663,HLOOKUP(INDIRECT(ADDRESS(2,COLUMN())),OFFSET($BN$2,0,0,ROW()-1,60),ROW()-1,FALSE))</f>
        <v/>
      </c>
      <c r="AI157" t="str">
        <f ca="1">IF(AND(ISNUMBER($AI$663),$B$511=1),$AI$663,HLOOKUP(INDIRECT(ADDRESS(2,COLUMN())),OFFSET($BN$2,0,0,ROW()-1,60),ROW()-1,FALSE))</f>
        <v/>
      </c>
      <c r="AJ157" t="str">
        <f ca="1">IF(AND(ISNUMBER($AJ$663),$B$511=1),$AJ$663,HLOOKUP(INDIRECT(ADDRESS(2,COLUMN())),OFFSET($BN$2,0,0,ROW()-1,60),ROW()-1,FALSE))</f>
        <v/>
      </c>
      <c r="AK157" t="str">
        <f ca="1">IF(AND(ISNUMBER($AK$663),$B$511=1),$AK$663,HLOOKUP(INDIRECT(ADDRESS(2,COLUMN())),OFFSET($BN$2,0,0,ROW()-1,60),ROW()-1,FALSE))</f>
        <v/>
      </c>
      <c r="AL157" t="str">
        <f ca="1">IF(AND(ISNUMBER($AL$663),$B$511=1),$AL$663,HLOOKUP(INDIRECT(ADDRESS(2,COLUMN())),OFFSET($BN$2,0,0,ROW()-1,60),ROW()-1,FALSE))</f>
        <v/>
      </c>
      <c r="AM157" t="str">
        <f ca="1">IF(AND(ISNUMBER($AM$663),$B$511=1),$AM$663,HLOOKUP(INDIRECT(ADDRESS(2,COLUMN())),OFFSET($BN$2,0,0,ROW()-1,60),ROW()-1,FALSE))</f>
        <v/>
      </c>
      <c r="AN157" t="str">
        <f ca="1">IF(AND(ISNUMBER($AN$663),$B$511=1),$AN$663,HLOOKUP(INDIRECT(ADDRESS(2,COLUMN())),OFFSET($BN$2,0,0,ROW()-1,60),ROW()-1,FALSE))</f>
        <v/>
      </c>
      <c r="AO157" t="str">
        <f ca="1">IF(AND(ISNUMBER($AO$663),$B$511=1),$AO$663,HLOOKUP(INDIRECT(ADDRESS(2,COLUMN())),OFFSET($BN$2,0,0,ROW()-1,60),ROW()-1,FALSE))</f>
        <v/>
      </c>
      <c r="AP157" t="str">
        <f ca="1">IF(AND(ISNUMBER($AP$663),$B$511=1),$AP$663,HLOOKUP(INDIRECT(ADDRESS(2,COLUMN())),OFFSET($BN$2,0,0,ROW()-1,60),ROW()-1,FALSE))</f>
        <v/>
      </c>
      <c r="AQ157" t="str">
        <f ca="1">IF(AND(ISNUMBER($AQ$663),$B$511=1),$AQ$663,HLOOKUP(INDIRECT(ADDRESS(2,COLUMN())),OFFSET($BN$2,0,0,ROW()-1,60),ROW()-1,FALSE))</f>
        <v/>
      </c>
      <c r="AR157" t="str">
        <f ca="1">IF(AND(ISNUMBER($AR$663),$B$511=1),$AR$663,HLOOKUP(INDIRECT(ADDRESS(2,COLUMN())),OFFSET($BN$2,0,0,ROW()-1,60),ROW()-1,FALSE))</f>
        <v/>
      </c>
      <c r="AS157" t="str">
        <f ca="1">IF(AND(ISNUMBER($AS$663),$B$511=1),$AS$663,HLOOKUP(INDIRECT(ADDRESS(2,COLUMN())),OFFSET($BN$2,0,0,ROW()-1,60),ROW()-1,FALSE))</f>
        <v/>
      </c>
      <c r="AT157" t="str">
        <f ca="1">IF(AND(ISNUMBER($AT$663),$B$511=1),$AT$663,HLOOKUP(INDIRECT(ADDRESS(2,COLUMN())),OFFSET($BN$2,0,0,ROW()-1,60),ROW()-1,FALSE))</f>
        <v/>
      </c>
      <c r="AU157" t="str">
        <f ca="1">IF(AND(ISNUMBER($AU$663),$B$511=1),$AU$663,HLOOKUP(INDIRECT(ADDRESS(2,COLUMN())),OFFSET($BN$2,0,0,ROW()-1,60),ROW()-1,FALSE))</f>
        <v/>
      </c>
      <c r="AV157" t="str">
        <f ca="1">IF(AND(ISNUMBER($AV$663),$B$511=1),$AV$663,HLOOKUP(INDIRECT(ADDRESS(2,COLUMN())),OFFSET($BN$2,0,0,ROW()-1,60),ROW()-1,FALSE))</f>
        <v/>
      </c>
      <c r="AW157" t="str">
        <f ca="1">IF(AND(ISNUMBER($AW$663),$B$511=1),$AW$663,HLOOKUP(INDIRECT(ADDRESS(2,COLUMN())),OFFSET($BN$2,0,0,ROW()-1,60),ROW()-1,FALSE))</f>
        <v/>
      </c>
      <c r="AX157" t="str">
        <f ca="1">IF(AND(ISNUMBER($AX$663),$B$511=1),$AX$663,HLOOKUP(INDIRECT(ADDRESS(2,COLUMN())),OFFSET($BN$2,0,0,ROW()-1,60),ROW()-1,FALSE))</f>
        <v/>
      </c>
      <c r="AY157" t="str">
        <f ca="1">IF(AND(ISNUMBER($AY$663),$B$511=1),$AY$663,HLOOKUP(INDIRECT(ADDRESS(2,COLUMN())),OFFSET($BN$2,0,0,ROW()-1,60),ROW()-1,FALSE))</f>
        <v/>
      </c>
      <c r="AZ157" t="str">
        <f ca="1">IF(AND(ISNUMBER($AZ$663),$B$511=1),$AZ$663,HLOOKUP(INDIRECT(ADDRESS(2,COLUMN())),OFFSET($BN$2,0,0,ROW()-1,60),ROW()-1,FALSE))</f>
        <v/>
      </c>
      <c r="BA157" t="str">
        <f ca="1">IF(AND(ISNUMBER($BA$663),$B$511=1),$BA$663,HLOOKUP(INDIRECT(ADDRESS(2,COLUMN())),OFFSET($BN$2,0,0,ROW()-1,60),ROW()-1,FALSE))</f>
        <v/>
      </c>
      <c r="BB157" t="str">
        <f ca="1">IF(AND(ISNUMBER($BB$663),$B$511=1),$BB$663,HLOOKUP(INDIRECT(ADDRESS(2,COLUMN())),OFFSET($BN$2,0,0,ROW()-1,60),ROW()-1,FALSE))</f>
        <v/>
      </c>
      <c r="BC157" t="str">
        <f ca="1">IF(AND(ISNUMBER($BC$663),$B$511=1),$BC$663,HLOOKUP(INDIRECT(ADDRESS(2,COLUMN())),OFFSET($BN$2,0,0,ROW()-1,60),ROW()-1,FALSE))</f>
        <v/>
      </c>
      <c r="BD157" t="str">
        <f ca="1">IF(AND(ISNUMBER($BD$663),$B$511=1),$BD$663,HLOOKUP(INDIRECT(ADDRESS(2,COLUMN())),OFFSET($BN$2,0,0,ROW()-1,60),ROW()-1,FALSE))</f>
        <v/>
      </c>
      <c r="BE157" t="str">
        <f ca="1">IF(AND(ISNUMBER($BE$663),$B$511=1),$BE$663,HLOOKUP(INDIRECT(ADDRESS(2,COLUMN())),OFFSET($BN$2,0,0,ROW()-1,60),ROW()-1,FALSE))</f>
        <v/>
      </c>
      <c r="BF157" t="str">
        <f ca="1">IF(AND(ISNUMBER($BF$663),$B$511=1),$BF$663,HLOOKUP(INDIRECT(ADDRESS(2,COLUMN())),OFFSET($BN$2,0,0,ROW()-1,60),ROW()-1,FALSE))</f>
        <v/>
      </c>
      <c r="BG157" t="str">
        <f ca="1">IF(AND(ISNUMBER($BG$663),$B$511=1),$BG$663,HLOOKUP(INDIRECT(ADDRESS(2,COLUMN())),OFFSET($BN$2,0,0,ROW()-1,60),ROW()-1,FALSE))</f>
        <v/>
      </c>
      <c r="BH157" t="str">
        <f ca="1">IF(AND(ISNUMBER($BH$663),$B$511=1),$BH$663,HLOOKUP(INDIRECT(ADDRESS(2,COLUMN())),OFFSET($BN$2,0,0,ROW()-1,60),ROW()-1,FALSE))</f>
        <v/>
      </c>
      <c r="BI157" t="str">
        <f ca="1">IF(AND(ISNUMBER($BI$663),$B$511=1),$BI$663,HLOOKUP(INDIRECT(ADDRESS(2,COLUMN())),OFFSET($BN$2,0,0,ROW()-1,60),ROW()-1,FALSE))</f>
        <v/>
      </c>
      <c r="BJ157" t="str">
        <f ca="1">IF(AND(ISNUMBER($BJ$663),$B$511=1),$BJ$663,HLOOKUP(INDIRECT(ADDRESS(2,COLUMN())),OFFSET($BN$2,0,0,ROW()-1,60),ROW()-1,FALSE))</f>
        <v/>
      </c>
      <c r="BK157" t="str">
        <f ca="1">IF(AND(ISNUMBER($BK$663),$B$511=1),$BK$663,HLOOKUP(INDIRECT(ADDRESS(2,COLUMN())),OFFSET($BN$2,0,0,ROW()-1,60),ROW()-1,FALSE))</f>
        <v/>
      </c>
      <c r="BL157" t="str">
        <f ca="1">IF(AND(ISNUMBER($BL$663),$B$511=1),$BL$663,HLOOKUP(INDIRECT(ADDRESS(2,COLUMN())),OFFSET($BN$2,0,0,ROW()-1,60),ROW()-1,FALSE))</f>
        <v/>
      </c>
      <c r="BM157" t="str">
        <f ca="1">IF(AND(ISNUMBER($BM$663),$B$511=1),$BM$663,HLOOKUP(INDIRECT(ADDRESS(2,COLUMN())),OFFSET($BN$2,0,0,ROW()-1,60),ROW()-1,FALSE))</f>
        <v/>
      </c>
      <c r="BN157" t="str">
        <f>""</f>
        <v/>
      </c>
      <c r="BO157" t="str">
        <f>""</f>
        <v/>
      </c>
      <c r="BP157">
        <f>110.5466242</f>
        <v>110.5466242</v>
      </c>
      <c r="BQ157">
        <f>109.79602</f>
        <v>109.79602</v>
      </c>
      <c r="BR157">
        <f>102.1540524</f>
        <v>102.1540524</v>
      </c>
      <c r="BS157">
        <f>100.5928219</f>
        <v>100.5928219</v>
      </c>
      <c r="BT157">
        <f>118.3218425</f>
        <v>118.3218425</v>
      </c>
      <c r="BU157">
        <f>118.7225445</f>
        <v>118.7225445</v>
      </c>
      <c r="BV157">
        <f>137.5651351</f>
        <v>137.56513509999999</v>
      </c>
      <c r="BW157">
        <f>158.536289</f>
        <v>158.53628900000001</v>
      </c>
      <c r="BX157">
        <f>172.1381281</f>
        <v>172.13812809999999</v>
      </c>
      <c r="BY157">
        <f>173.4505921</f>
        <v>173.45059209999999</v>
      </c>
      <c r="BZ157">
        <f>138.3163975</f>
        <v>138.31639749999999</v>
      </c>
      <c r="CA157">
        <f>101.3485875</f>
        <v>101.34858749999999</v>
      </c>
      <c r="CB157">
        <f>42.206911</f>
        <v>42.206910999999998</v>
      </c>
      <c r="CC157">
        <f>8.233711599</f>
        <v>8.2337115989999994</v>
      </c>
      <c r="CD157">
        <f>2.525014028</f>
        <v>2.5250140280000002</v>
      </c>
      <c r="CE157">
        <f>27.75770321</f>
        <v>27.757703209999999</v>
      </c>
      <c r="CF157">
        <f>71.52336004</f>
        <v>71.52336004</v>
      </c>
      <c r="CG157">
        <f>106.8872913</f>
        <v>106.8872913</v>
      </c>
      <c r="CH157">
        <f>132.6854035</f>
        <v>132.68540350000001</v>
      </c>
      <c r="CI157">
        <f>122.8592392</f>
        <v>122.8592392</v>
      </c>
      <c r="CJ157">
        <f>91.23015206</f>
        <v>91.230152059999995</v>
      </c>
      <c r="CK157">
        <f>74.33800325</f>
        <v>74.33800325</v>
      </c>
      <c r="CL157">
        <f>50.19302711</f>
        <v>50.193027110000003</v>
      </c>
      <c r="CM157">
        <f>36.19703335</f>
        <v>36.197033349999998</v>
      </c>
      <c r="CN157" t="str">
        <f>""</f>
        <v/>
      </c>
      <c r="CO157" t="str">
        <f>""</f>
        <v/>
      </c>
      <c r="CP157" t="str">
        <f>""</f>
        <v/>
      </c>
      <c r="CQ157" t="str">
        <f>""</f>
        <v/>
      </c>
      <c r="CR157" t="str">
        <f>""</f>
        <v/>
      </c>
      <c r="CS157" t="str">
        <f>""</f>
        <v/>
      </c>
      <c r="CT157" t="str">
        <f>""</f>
        <v/>
      </c>
      <c r="CU157" t="str">
        <f>""</f>
        <v/>
      </c>
      <c r="CV157" t="str">
        <f>""</f>
        <v/>
      </c>
      <c r="CW157" t="str">
        <f>""</f>
        <v/>
      </c>
      <c r="CX157" t="str">
        <f>""</f>
        <v/>
      </c>
      <c r="CY157" t="str">
        <f>""</f>
        <v/>
      </c>
      <c r="CZ157" t="str">
        <f>""</f>
        <v/>
      </c>
      <c r="DA157" t="str">
        <f>""</f>
        <v/>
      </c>
      <c r="DB157" t="str">
        <f>""</f>
        <v/>
      </c>
      <c r="DC157" t="str">
        <f>""</f>
        <v/>
      </c>
      <c r="DD157" t="str">
        <f>""</f>
        <v/>
      </c>
      <c r="DE157" t="str">
        <f>""</f>
        <v/>
      </c>
      <c r="DF157" t="str">
        <f>""</f>
        <v/>
      </c>
      <c r="DG157" t="str">
        <f>""</f>
        <v/>
      </c>
      <c r="DH157" t="str">
        <f>""</f>
        <v/>
      </c>
      <c r="DI157" t="str">
        <f>""</f>
        <v/>
      </c>
      <c r="DJ157" t="str">
        <f>""</f>
        <v/>
      </c>
      <c r="DK157" t="str">
        <f>""</f>
        <v/>
      </c>
      <c r="DL157" t="str">
        <f>""</f>
        <v/>
      </c>
      <c r="DM157" t="str">
        <f>""</f>
        <v/>
      </c>
      <c r="DN157" t="str">
        <f>""</f>
        <v/>
      </c>
      <c r="DO157" t="str">
        <f>""</f>
        <v/>
      </c>
      <c r="DP157" t="str">
        <f>""</f>
        <v/>
      </c>
      <c r="DQ157" t="str">
        <f>""</f>
        <v/>
      </c>
      <c r="DR157" t="str">
        <f>""</f>
        <v/>
      </c>
      <c r="DS157" t="str">
        <f>""</f>
        <v/>
      </c>
      <c r="DT157" t="str">
        <f>""</f>
        <v/>
      </c>
      <c r="DU157" t="str">
        <f>""</f>
        <v/>
      </c>
    </row>
    <row r="158" spans="1:125" x14ac:dyDescent="0.25">
      <c r="A158" t="str">
        <f>"    Subaru Corp"</f>
        <v xml:space="preserve">    Subaru Corp</v>
      </c>
      <c r="B158" t="str">
        <f>"7270 JP Equity"</f>
        <v>7270 JP Equity</v>
      </c>
      <c r="C158" t="str">
        <f t="shared" si="9"/>
        <v>RR841</v>
      </c>
      <c r="D158" t="str">
        <f t="shared" si="10"/>
        <v>TRAIL_12M_EBITDA</v>
      </c>
      <c r="E158" t="str">
        <f t="shared" si="11"/>
        <v>Dynamic</v>
      </c>
      <c r="F158" t="str">
        <f ca="1">IF(AND(ISNUMBER($F$664),$B$511=1),$F$664,HLOOKUP(INDIRECT(ADDRESS(2,COLUMN())),OFFSET($BN$2,0,0,ROW()-1,60),ROW()-1,FALSE))</f>
        <v/>
      </c>
      <c r="G158">
        <f ca="1">IF(AND(ISNUMBER($G$664),$B$511=1),$G$664,HLOOKUP(INDIRECT(ADDRESS(2,COLUMN())),OFFSET($BN$2,0,0,ROW()-1,60),ROW()-1,FALSE))</f>
        <v>3011.7572089999999</v>
      </c>
      <c r="H158">
        <f ca="1">IF(AND(ISNUMBER($H$664),$B$511=1),$H$664,HLOOKUP(INDIRECT(ADDRESS(2,COLUMN())),OFFSET($BN$2,0,0,ROW()-1,60),ROW()-1,FALSE))</f>
        <v>2964.3026020000002</v>
      </c>
      <c r="I158">
        <f ca="1">IF(AND(ISNUMBER($I$664),$B$511=1),$I$664,HLOOKUP(INDIRECT(ADDRESS(2,COLUMN())),OFFSET($BN$2,0,0,ROW()-1,60),ROW()-1,FALSE))</f>
        <v>3821.636125</v>
      </c>
      <c r="J158">
        <f ca="1">IF(AND(ISNUMBER($J$664),$B$511=1),$J$664,HLOOKUP(INDIRECT(ADDRESS(2,COLUMN())),OFFSET($BN$2,0,0,ROW()-1,60),ROW()-1,FALSE))</f>
        <v>4346.3800440000005</v>
      </c>
      <c r="K158">
        <f ca="1">IF(AND(ISNUMBER($K$664),$B$511=1),$K$664,HLOOKUP(INDIRECT(ADDRESS(2,COLUMN())),OFFSET($BN$2,0,0,ROW()-1,60),ROW()-1,FALSE))</f>
        <v>4551.0453809999999</v>
      </c>
      <c r="L158">
        <f ca="1">IF(AND(ISNUMBER($L$664),$B$511=1),$L$664,HLOOKUP(INDIRECT(ADDRESS(2,COLUMN())),OFFSET($BN$2,0,0,ROW()-1,60),ROW()-1,FALSE))</f>
        <v>4591.9121189999996</v>
      </c>
      <c r="M158">
        <f ca="1">IF(AND(ISNUMBER($M$664),$B$511=1),$M$664,HLOOKUP(INDIRECT(ADDRESS(2,COLUMN())),OFFSET($BN$2,0,0,ROW()-1,60),ROW()-1,FALSE))</f>
        <v>4770.7561900000001</v>
      </c>
      <c r="N158">
        <f ca="1">IF(AND(ISNUMBER($N$664),$B$511=1),$N$664,HLOOKUP(INDIRECT(ADDRESS(2,COLUMN())),OFFSET($BN$2,0,0,ROW()-1,60),ROW()-1,FALSE))</f>
        <v>4592.509779</v>
      </c>
      <c r="O158">
        <f ca="1">IF(AND(ISNUMBER($O$664),$B$511=1),$O$664,HLOOKUP(INDIRECT(ADDRESS(2,COLUMN())),OFFSET($BN$2,0,0,ROW()-1,60),ROW()-1,FALSE))</f>
        <v>4761.8643609999999</v>
      </c>
      <c r="P158">
        <f ca="1">IF(AND(ISNUMBER($P$664),$B$511=1),$P$664,HLOOKUP(INDIRECT(ADDRESS(2,COLUMN())),OFFSET($BN$2,0,0,ROW()-1,60),ROW()-1,FALSE))</f>
        <v>5071.6372199999996</v>
      </c>
      <c r="Q158">
        <f ca="1">IF(AND(ISNUMBER($Q$664),$B$511=1),$Q$664,HLOOKUP(INDIRECT(ADDRESS(2,COLUMN())),OFFSET($BN$2,0,0,ROW()-1,60),ROW()-1,FALSE))</f>
        <v>5208.5103499999996</v>
      </c>
      <c r="R158">
        <f ca="1">IF(AND(ISNUMBER($R$664),$B$511=1),$R$664,HLOOKUP(INDIRECT(ADDRESS(2,COLUMN())),OFFSET($BN$2,0,0,ROW()-1,60),ROW()-1,FALSE))</f>
        <v>5323.15445</v>
      </c>
      <c r="S158">
        <f ca="1">IF(AND(ISNUMBER($S$664),$B$511=1),$S$664,HLOOKUP(INDIRECT(ADDRESS(2,COLUMN())),OFFSET($BN$2,0,0,ROW()-1,60),ROW()-1,FALSE))</f>
        <v>5157.5355289999998</v>
      </c>
      <c r="T158">
        <f ca="1">IF(AND(ISNUMBER($T$664),$B$511=1),$T$664,HLOOKUP(INDIRECT(ADDRESS(2,COLUMN())),OFFSET($BN$2,0,0,ROW()-1,60),ROW()-1,FALSE))</f>
        <v>5023.5526620000001</v>
      </c>
      <c r="U158">
        <f ca="1">IF(AND(ISNUMBER($U$664),$B$511=1),$U$664,HLOOKUP(INDIRECT(ADDRESS(2,COLUMN())),OFFSET($BN$2,0,0,ROW()-1,60),ROW()-1,FALSE))</f>
        <v>4845.3751039999997</v>
      </c>
      <c r="V158">
        <f ca="1">IF(AND(ISNUMBER($V$664),$B$511=1),$V$664,HLOOKUP(INDIRECT(ADDRESS(2,COLUMN())),OFFSET($BN$2,0,0,ROW()-1,60),ROW()-1,FALSE))</f>
        <v>4524.1694850000003</v>
      </c>
      <c r="W158">
        <f ca="1">IF(AND(ISNUMBER($W$664),$B$511=1),$W$664,HLOOKUP(INDIRECT(ADDRESS(2,COLUMN())),OFFSET($BN$2,0,0,ROW()-1,60),ROW()-1,FALSE))</f>
        <v>4452.7280280000004</v>
      </c>
      <c r="X158">
        <f ca="1">IF(AND(ISNUMBER($X$664),$B$511=1),$X$664,HLOOKUP(INDIRECT(ADDRESS(2,COLUMN())),OFFSET($BN$2,0,0,ROW()-1,60),ROW()-1,FALSE))</f>
        <v>4152.5454840000002</v>
      </c>
      <c r="Y158">
        <f ca="1">IF(AND(ISNUMBER($Y$664),$B$511=1),$Y$664,HLOOKUP(INDIRECT(ADDRESS(2,COLUMN())),OFFSET($BN$2,0,0,ROW()-1,60),ROW()-1,FALSE))</f>
        <v>3924.8835359999998</v>
      </c>
      <c r="Z158">
        <f ca="1">IF(AND(ISNUMBER($Z$664),$B$511=1),$Z$664,HLOOKUP(INDIRECT(ADDRESS(2,COLUMN())),OFFSET($BN$2,0,0,ROW()-1,60),ROW()-1,FALSE))</f>
        <v>3874.0551329999998</v>
      </c>
      <c r="AA158">
        <f ca="1">IF(AND(ISNUMBER($AA$664),$B$511=1),$AA$664,HLOOKUP(INDIRECT(ADDRESS(2,COLUMN())),OFFSET($BN$2,0,0,ROW()-1,60),ROW()-1,FALSE))</f>
        <v>3523.2690259999999</v>
      </c>
      <c r="AB158">
        <f ca="1">IF(AND(ISNUMBER($AB$664),$B$511=1),$AB$664,HLOOKUP(INDIRECT(ADDRESS(2,COLUMN())),OFFSET($BN$2,0,0,ROW()-1,60),ROW()-1,FALSE))</f>
        <v>3164.3399549999999</v>
      </c>
      <c r="AC158">
        <f ca="1">IF(AND(ISNUMBER($AC$664),$B$511=1),$AC$664,HLOOKUP(INDIRECT(ADDRESS(2,COLUMN())),OFFSET($BN$2,0,0,ROW()-1,60),ROW()-1,FALSE))</f>
        <v>2716.7599890000001</v>
      </c>
      <c r="AD158">
        <f ca="1">IF(AND(ISNUMBER($AD$664),$B$511=1),$AD$664,HLOOKUP(INDIRECT(ADDRESS(2,COLUMN())),OFFSET($BN$2,0,0,ROW()-1,60),ROW()-1,FALSE))</f>
        <v>2202.0742340000002</v>
      </c>
      <c r="AE158">
        <f ca="1">IF(AND(ISNUMBER($AE$664),$B$511=1),$AE$664,HLOOKUP(INDIRECT(ADDRESS(2,COLUMN())),OFFSET($BN$2,0,0,ROW()-1,60),ROW()-1,FALSE))</f>
        <v>1864.6499449999999</v>
      </c>
      <c r="AF158">
        <f ca="1">IF(AND(ISNUMBER($AF$664),$B$511=1),$AF$664,HLOOKUP(INDIRECT(ADDRESS(2,COLUMN())),OFFSET($BN$2,0,0,ROW()-1,60),ROW()-1,FALSE))</f>
        <v>1611.157485</v>
      </c>
      <c r="AG158">
        <f ca="1">IF(AND(ISNUMBER($AG$664),$B$511=1),$AG$664,HLOOKUP(INDIRECT(ADDRESS(2,COLUMN())),OFFSET($BN$2,0,0,ROW()-1,60),ROW()-1,FALSE))</f>
        <v>1395.8410280000001</v>
      </c>
      <c r="AH158">
        <f ca="1">IF(AND(ISNUMBER($AH$664),$B$511=1),$AH$664,HLOOKUP(INDIRECT(ADDRESS(2,COLUMN())),OFFSET($BN$2,0,0,ROW()-1,60),ROW()-1,FALSE))</f>
        <v>1299.9524180000001</v>
      </c>
      <c r="AI158">
        <f ca="1">IF(AND(ISNUMBER($AI$664),$B$511=1),$AI$664,HLOOKUP(INDIRECT(ADDRESS(2,COLUMN())),OFFSET($BN$2,0,0,ROW()-1,60),ROW()-1,FALSE))</f>
        <v>1198.9255800000001</v>
      </c>
      <c r="AJ158">
        <f ca="1">IF(AND(ISNUMBER($AJ$664),$B$511=1),$AJ$664,HLOOKUP(INDIRECT(ADDRESS(2,COLUMN())),OFFSET($BN$2,0,0,ROW()-1,60),ROW()-1,FALSE))</f>
        <v>1258.6157880000001</v>
      </c>
      <c r="AK158">
        <f ca="1">IF(AND(ISNUMBER($AK$664),$B$511=1),$AK$664,HLOOKUP(INDIRECT(ADDRESS(2,COLUMN())),OFFSET($BN$2,0,0,ROW()-1,60),ROW()-1,FALSE))</f>
        <v>1540.139197</v>
      </c>
      <c r="AL158">
        <f ca="1">IF(AND(ISNUMBER($AL$664),$B$511=1),$AL$664,HLOOKUP(INDIRECT(ADDRESS(2,COLUMN())),OFFSET($BN$2,0,0,ROW()-1,60),ROW()-1,FALSE))</f>
        <v>1639.4162309999999</v>
      </c>
      <c r="AM158">
        <f ca="1">IF(AND(ISNUMBER($AM$664),$B$511=1),$AM$664,HLOOKUP(INDIRECT(ADDRESS(2,COLUMN())),OFFSET($BN$2,0,0,ROW()-1,60),ROW()-1,FALSE))</f>
        <v>1764.1894219999999</v>
      </c>
      <c r="AN158">
        <f ca="1">IF(AND(ISNUMBER($AN$664),$B$511=1),$AN$664,HLOOKUP(INDIRECT(ADDRESS(2,COLUMN())),OFFSET($BN$2,0,0,ROW()-1,60),ROW()-1,FALSE))</f>
        <v>1741.892926</v>
      </c>
      <c r="AO158">
        <f ca="1">IF(AND(ISNUMBER($AO$664),$B$511=1),$AO$664,HLOOKUP(INDIRECT(ADDRESS(2,COLUMN())),OFFSET($BN$2,0,0,ROW()-1,60),ROW()-1,FALSE))</f>
        <v>1439.087325</v>
      </c>
      <c r="AP158">
        <f ca="1">IF(AND(ISNUMBER($AP$664),$B$511=1),$AP$664,HLOOKUP(INDIRECT(ADDRESS(2,COLUMN())),OFFSET($BN$2,0,0,ROW()-1,60),ROW()-1,FALSE))</f>
        <v>1003.943279</v>
      </c>
      <c r="AQ158">
        <f ca="1">IF(AND(ISNUMBER($AQ$664),$B$511=1),$AQ$664,HLOOKUP(INDIRECT(ADDRESS(2,COLUMN())),OFFSET($BN$2,0,0,ROW()-1,60),ROW()-1,FALSE))</f>
        <v>603.04348000000005</v>
      </c>
      <c r="AR158">
        <f ca="1">IF(AND(ISNUMBER($AR$664),$B$511=1),$AR$664,HLOOKUP(INDIRECT(ADDRESS(2,COLUMN())),OFFSET($BN$2,0,0,ROW()-1,60),ROW()-1,FALSE))</f>
        <v>369.165257</v>
      </c>
      <c r="AS158">
        <f ca="1">IF(AND(ISNUMBER($AS$664),$B$511=1),$AS$664,HLOOKUP(INDIRECT(ADDRESS(2,COLUMN())),OFFSET($BN$2,0,0,ROW()-1,60),ROW()-1,FALSE))</f>
        <v>410.74400530000003</v>
      </c>
      <c r="AT158">
        <f ca="1">IF(AND(ISNUMBER($AT$664),$B$511=1),$AT$664,HLOOKUP(INDIRECT(ADDRESS(2,COLUMN())),OFFSET($BN$2,0,0,ROW()-1,60),ROW()-1,FALSE))</f>
        <v>681.58104300000002</v>
      </c>
      <c r="AU158" t="str">
        <f ca="1">IF(AND(ISNUMBER($AU$664),$B$511=1),$AU$664,HLOOKUP(INDIRECT(ADDRESS(2,COLUMN())),OFFSET($BN$2,0,0,ROW()-1,60),ROW()-1,FALSE))</f>
        <v/>
      </c>
      <c r="AV158" t="str">
        <f ca="1">IF(AND(ISNUMBER($AV$664),$B$511=1),$AV$664,HLOOKUP(INDIRECT(ADDRESS(2,COLUMN())),OFFSET($BN$2,0,0,ROW()-1,60),ROW()-1,FALSE))</f>
        <v/>
      </c>
      <c r="AW158" t="str">
        <f ca="1">IF(AND(ISNUMBER($AW$664),$B$511=1),$AW$664,HLOOKUP(INDIRECT(ADDRESS(2,COLUMN())),OFFSET($BN$2,0,0,ROW()-1,60),ROW()-1,FALSE))</f>
        <v/>
      </c>
      <c r="AX158" t="str">
        <f ca="1">IF(AND(ISNUMBER($AX$664),$B$511=1),$AX$664,HLOOKUP(INDIRECT(ADDRESS(2,COLUMN())),OFFSET($BN$2,0,0,ROW()-1,60),ROW()-1,FALSE))</f>
        <v/>
      </c>
      <c r="AY158" t="str">
        <f ca="1">IF(AND(ISNUMBER($AY$664),$B$511=1),$AY$664,HLOOKUP(INDIRECT(ADDRESS(2,COLUMN())),OFFSET($BN$2,0,0,ROW()-1,60),ROW()-1,FALSE))</f>
        <v/>
      </c>
      <c r="AZ158" t="str">
        <f ca="1">IF(AND(ISNUMBER($AZ$664),$B$511=1),$AZ$664,HLOOKUP(INDIRECT(ADDRESS(2,COLUMN())),OFFSET($BN$2,0,0,ROW()-1,60),ROW()-1,FALSE))</f>
        <v/>
      </c>
      <c r="BA158" t="str">
        <f ca="1">IF(AND(ISNUMBER($BA$664),$B$511=1),$BA$664,HLOOKUP(INDIRECT(ADDRESS(2,COLUMN())),OFFSET($BN$2,0,0,ROW()-1,60),ROW()-1,FALSE))</f>
        <v/>
      </c>
      <c r="BB158" t="str">
        <f ca="1">IF(AND(ISNUMBER($BB$664),$B$511=1),$BB$664,HLOOKUP(INDIRECT(ADDRESS(2,COLUMN())),OFFSET($BN$2,0,0,ROW()-1,60),ROW()-1,FALSE))</f>
        <v/>
      </c>
      <c r="BC158" t="str">
        <f ca="1">IF(AND(ISNUMBER($BC$664),$B$511=1),$BC$664,HLOOKUP(INDIRECT(ADDRESS(2,COLUMN())),OFFSET($BN$2,0,0,ROW()-1,60),ROW()-1,FALSE))</f>
        <v/>
      </c>
      <c r="BD158" t="str">
        <f ca="1">IF(AND(ISNUMBER($BD$664),$B$511=1),$BD$664,HLOOKUP(INDIRECT(ADDRESS(2,COLUMN())),OFFSET($BN$2,0,0,ROW()-1,60),ROW()-1,FALSE))</f>
        <v/>
      </c>
      <c r="BE158" t="str">
        <f ca="1">IF(AND(ISNUMBER($BE$664),$B$511=1),$BE$664,HLOOKUP(INDIRECT(ADDRESS(2,COLUMN())),OFFSET($BN$2,0,0,ROW()-1,60),ROW()-1,FALSE))</f>
        <v/>
      </c>
      <c r="BF158" t="str">
        <f ca="1">IF(AND(ISNUMBER($BF$664),$B$511=1),$BF$664,HLOOKUP(INDIRECT(ADDRESS(2,COLUMN())),OFFSET($BN$2,0,0,ROW()-1,60),ROW()-1,FALSE))</f>
        <v/>
      </c>
      <c r="BG158" t="str">
        <f ca="1">IF(AND(ISNUMBER($BG$664),$B$511=1),$BG$664,HLOOKUP(INDIRECT(ADDRESS(2,COLUMN())),OFFSET($BN$2,0,0,ROW()-1,60),ROW()-1,FALSE))</f>
        <v/>
      </c>
      <c r="BH158" t="str">
        <f ca="1">IF(AND(ISNUMBER($BH$664),$B$511=1),$BH$664,HLOOKUP(INDIRECT(ADDRESS(2,COLUMN())),OFFSET($BN$2,0,0,ROW()-1,60),ROW()-1,FALSE))</f>
        <v/>
      </c>
      <c r="BI158" t="str">
        <f ca="1">IF(AND(ISNUMBER($BI$664),$B$511=1),$BI$664,HLOOKUP(INDIRECT(ADDRESS(2,COLUMN())),OFFSET($BN$2,0,0,ROW()-1,60),ROW()-1,FALSE))</f>
        <v/>
      </c>
      <c r="BJ158" t="str">
        <f ca="1">IF(AND(ISNUMBER($BJ$664),$B$511=1),$BJ$664,HLOOKUP(INDIRECT(ADDRESS(2,COLUMN())),OFFSET($BN$2,0,0,ROW()-1,60),ROW()-1,FALSE))</f>
        <v/>
      </c>
      <c r="BK158" t="str">
        <f ca="1">IF(AND(ISNUMBER($BK$664),$B$511=1),$BK$664,HLOOKUP(INDIRECT(ADDRESS(2,COLUMN())),OFFSET($BN$2,0,0,ROW()-1,60),ROW()-1,FALSE))</f>
        <v/>
      </c>
      <c r="BL158" t="str">
        <f ca="1">IF(AND(ISNUMBER($BL$664),$B$511=1),$BL$664,HLOOKUP(INDIRECT(ADDRESS(2,COLUMN())),OFFSET($BN$2,0,0,ROW()-1,60),ROW()-1,FALSE))</f>
        <v/>
      </c>
      <c r="BM158" t="str">
        <f ca="1">IF(AND(ISNUMBER($BM$664),$B$511=1),$BM$664,HLOOKUP(INDIRECT(ADDRESS(2,COLUMN())),OFFSET($BN$2,0,0,ROW()-1,60),ROW()-1,FALSE))</f>
        <v/>
      </c>
      <c r="BN158" t="str">
        <f>""</f>
        <v/>
      </c>
      <c r="BO158">
        <f>3011.757209</f>
        <v>3011.7572089999999</v>
      </c>
      <c r="BP158">
        <f>2964.302602</f>
        <v>2964.3026020000002</v>
      </c>
      <c r="BQ158">
        <f>3821.636125</f>
        <v>3821.636125</v>
      </c>
      <c r="BR158">
        <f>4346.380044</f>
        <v>4346.3800440000005</v>
      </c>
      <c r="BS158">
        <f>4551.045381</f>
        <v>4551.0453809999999</v>
      </c>
      <c r="BT158">
        <f>4591.912119</f>
        <v>4591.9121189999996</v>
      </c>
      <c r="BU158">
        <f>4770.75619</f>
        <v>4770.7561900000001</v>
      </c>
      <c r="BV158">
        <f>4592.509779</f>
        <v>4592.509779</v>
      </c>
      <c r="BW158">
        <f>4761.864361</f>
        <v>4761.8643609999999</v>
      </c>
      <c r="BX158">
        <f>5071.63722</f>
        <v>5071.6372199999996</v>
      </c>
      <c r="BY158">
        <f>5208.51035</f>
        <v>5208.5103499999996</v>
      </c>
      <c r="BZ158">
        <f>5323.15445</f>
        <v>5323.15445</v>
      </c>
      <c r="CA158">
        <f>5157.535529</f>
        <v>5157.5355289999998</v>
      </c>
      <c r="CB158">
        <f>5023.552662</f>
        <v>5023.5526620000001</v>
      </c>
      <c r="CC158">
        <f>4845.375104</f>
        <v>4845.3751039999997</v>
      </c>
      <c r="CD158">
        <f>4524.169485</f>
        <v>4524.1694850000003</v>
      </c>
      <c r="CE158">
        <f>4452.728028</f>
        <v>4452.7280280000004</v>
      </c>
      <c r="CF158">
        <f>4152.545484</f>
        <v>4152.5454840000002</v>
      </c>
      <c r="CG158">
        <f>3924.883536</f>
        <v>3924.8835359999998</v>
      </c>
      <c r="CH158">
        <f>3874.055133</f>
        <v>3874.0551329999998</v>
      </c>
      <c r="CI158">
        <f>3523.269026</f>
        <v>3523.2690259999999</v>
      </c>
      <c r="CJ158">
        <f>3164.339955</f>
        <v>3164.3399549999999</v>
      </c>
      <c r="CK158">
        <f>2716.759989</f>
        <v>2716.7599890000001</v>
      </c>
      <c r="CL158">
        <f>2202.074234</f>
        <v>2202.0742340000002</v>
      </c>
      <c r="CM158">
        <f>1864.649945</f>
        <v>1864.6499449999999</v>
      </c>
      <c r="CN158">
        <f>1611.157485</f>
        <v>1611.157485</v>
      </c>
      <c r="CO158">
        <f>1395.841028</f>
        <v>1395.8410280000001</v>
      </c>
      <c r="CP158">
        <f>1299.952418</f>
        <v>1299.9524180000001</v>
      </c>
      <c r="CQ158">
        <f>1198.92558</f>
        <v>1198.9255800000001</v>
      </c>
      <c r="CR158">
        <f>1258.615788</f>
        <v>1258.6157880000001</v>
      </c>
      <c r="CS158">
        <f>1540.139197</f>
        <v>1540.139197</v>
      </c>
      <c r="CT158">
        <f>1639.416231</f>
        <v>1639.4162309999999</v>
      </c>
      <c r="CU158">
        <f>1764.189422</f>
        <v>1764.1894219999999</v>
      </c>
      <c r="CV158">
        <f>1741.892926</f>
        <v>1741.892926</v>
      </c>
      <c r="CW158">
        <f>1439.087325</f>
        <v>1439.087325</v>
      </c>
      <c r="CX158">
        <f>1003.943279</f>
        <v>1003.943279</v>
      </c>
      <c r="CY158">
        <f>603.04348</f>
        <v>603.04348000000005</v>
      </c>
      <c r="CZ158">
        <f>369.165257</f>
        <v>369.165257</v>
      </c>
      <c r="DA158">
        <f>410.7440053</f>
        <v>410.74400530000003</v>
      </c>
      <c r="DB158">
        <f>681.581043</f>
        <v>681.58104300000002</v>
      </c>
      <c r="DC158" t="str">
        <f>""</f>
        <v/>
      </c>
      <c r="DD158" t="str">
        <f>""</f>
        <v/>
      </c>
      <c r="DE158" t="str">
        <f>""</f>
        <v/>
      </c>
      <c r="DF158" t="str">
        <f>""</f>
        <v/>
      </c>
      <c r="DG158" t="str">
        <f>""</f>
        <v/>
      </c>
      <c r="DH158" t="str">
        <f>""</f>
        <v/>
      </c>
      <c r="DI158" t="str">
        <f>""</f>
        <v/>
      </c>
      <c r="DJ158" t="str">
        <f>""</f>
        <v/>
      </c>
      <c r="DK158" t="str">
        <f>""</f>
        <v/>
      </c>
      <c r="DL158" t="str">
        <f>""</f>
        <v/>
      </c>
      <c r="DM158" t="str">
        <f>""</f>
        <v/>
      </c>
      <c r="DN158" t="str">
        <f>""</f>
        <v/>
      </c>
      <c r="DO158" t="str">
        <f>""</f>
        <v/>
      </c>
      <c r="DP158" t="str">
        <f>""</f>
        <v/>
      </c>
      <c r="DQ158" t="str">
        <f>""</f>
        <v/>
      </c>
      <c r="DR158" t="str">
        <f>""</f>
        <v/>
      </c>
      <c r="DS158" t="str">
        <f>""</f>
        <v/>
      </c>
      <c r="DT158" t="str">
        <f>""</f>
        <v/>
      </c>
      <c r="DU158" t="str">
        <f>""</f>
        <v/>
      </c>
    </row>
    <row r="159" spans="1:125" x14ac:dyDescent="0.25">
      <c r="A159" t="str">
        <f>"    Suzuki Motor Corp"</f>
        <v xml:space="preserve">    Suzuki Motor Corp</v>
      </c>
      <c r="B159" t="str">
        <f>"7269 JP Equity"</f>
        <v>7269 JP Equity</v>
      </c>
      <c r="C159" t="str">
        <f t="shared" si="9"/>
        <v>RR841</v>
      </c>
      <c r="D159" t="str">
        <f t="shared" si="10"/>
        <v>TRAIL_12M_EBITDA</v>
      </c>
      <c r="E159" t="str">
        <f t="shared" si="11"/>
        <v>Dynamic</v>
      </c>
      <c r="F159" t="str">
        <f ca="1">IF(AND(ISNUMBER($F$665),$B$511=1),$F$665,HLOOKUP(INDIRECT(ADDRESS(2,COLUMN())),OFFSET($BN$2,0,0,ROW()-1,60),ROW()-1,FALSE))</f>
        <v/>
      </c>
      <c r="G159">
        <f ca="1">IF(AND(ISNUMBER($G$665),$B$511=1),$G$665,HLOOKUP(INDIRECT(ADDRESS(2,COLUMN())),OFFSET($BN$2,0,0,ROW()-1,60),ROW()-1,FALSE))</f>
        <v>4652.530229</v>
      </c>
      <c r="H159">
        <f ca="1">IF(AND(ISNUMBER($H$665),$B$511=1),$H$665,HLOOKUP(INDIRECT(ADDRESS(2,COLUMN())),OFFSET($BN$2,0,0,ROW()-1,60),ROW()-1,FALSE))</f>
        <v>4894.7807849999999</v>
      </c>
      <c r="I159">
        <f ca="1">IF(AND(ISNUMBER($I$665),$B$511=1),$I$665,HLOOKUP(INDIRECT(ADDRESS(2,COLUMN())),OFFSET($BN$2,0,0,ROW()-1,60),ROW()-1,FALSE))</f>
        <v>4977.2160789999998</v>
      </c>
      <c r="J159">
        <f ca="1">IF(AND(ISNUMBER($J$665),$B$511=1),$J$665,HLOOKUP(INDIRECT(ADDRESS(2,COLUMN())),OFFSET($BN$2,0,0,ROW()-1,60),ROW()-1,FALSE))</f>
        <v>4739.093965</v>
      </c>
      <c r="K159">
        <f ca="1">IF(AND(ISNUMBER($K$665),$B$511=1),$K$665,HLOOKUP(INDIRECT(ADDRESS(2,COLUMN())),OFFSET($BN$2,0,0,ROW()-1,60),ROW()-1,FALSE))</f>
        <v>4637.3278010000004</v>
      </c>
      <c r="L159">
        <f ca="1">IF(AND(ISNUMBER($L$665),$B$511=1),$L$665,HLOOKUP(INDIRECT(ADDRESS(2,COLUMN())),OFFSET($BN$2,0,0,ROW()-1,60),ROW()-1,FALSE))</f>
        <v>4363.5744160000004</v>
      </c>
      <c r="M159">
        <f ca="1">IF(AND(ISNUMBER($M$665),$B$511=1),$M$665,HLOOKUP(INDIRECT(ADDRESS(2,COLUMN())),OFFSET($BN$2,0,0,ROW()-1,60),ROW()-1,FALSE))</f>
        <v>4215.0186629999998</v>
      </c>
      <c r="N159">
        <f ca="1">IF(AND(ISNUMBER($N$665),$B$511=1),$N$665,HLOOKUP(INDIRECT(ADDRESS(2,COLUMN())),OFFSET($BN$2,0,0,ROW()-1,60),ROW()-1,FALSE))</f>
        <v>3978.4551729999998</v>
      </c>
      <c r="O159">
        <f ca="1">IF(AND(ISNUMBER($O$665),$B$511=1),$O$665,HLOOKUP(INDIRECT(ADDRESS(2,COLUMN())),OFFSET($BN$2,0,0,ROW()-1,60),ROW()-1,FALSE))</f>
        <v>3526.3739919999998</v>
      </c>
      <c r="P159">
        <f ca="1">IF(AND(ISNUMBER($P$665),$B$511=1),$P$665,HLOOKUP(INDIRECT(ADDRESS(2,COLUMN())),OFFSET($BN$2,0,0,ROW()-1,60),ROW()-1,FALSE))</f>
        <v>3395.4518899999998</v>
      </c>
      <c r="Q159">
        <f ca="1">IF(AND(ISNUMBER($Q$665),$B$511=1),$Q$665,HLOOKUP(INDIRECT(ADDRESS(2,COLUMN())),OFFSET($BN$2,0,0,ROW()-1,60),ROW()-1,FALSE))</f>
        <v>3155.3373780000002</v>
      </c>
      <c r="R159">
        <f ca="1">IF(AND(ISNUMBER($R$665),$B$511=1),$R$665,HLOOKUP(INDIRECT(ADDRESS(2,COLUMN())),OFFSET($BN$2,0,0,ROW()-1,60),ROW()-1,FALSE))</f>
        <v>3031.385346</v>
      </c>
      <c r="S159">
        <f ca="1">IF(AND(ISNUMBER($S$665),$B$511=1),$S$665,HLOOKUP(INDIRECT(ADDRESS(2,COLUMN())),OFFSET($BN$2,0,0,ROW()-1,60),ROW()-1,FALSE))</f>
        <v>2872.5826069999998</v>
      </c>
      <c r="T159">
        <f ca="1">IF(AND(ISNUMBER($T$665),$B$511=1),$T$665,HLOOKUP(INDIRECT(ADDRESS(2,COLUMN())),OFFSET($BN$2,0,0,ROW()-1,60),ROW()-1,FALSE))</f>
        <v>2827.0776559999999</v>
      </c>
      <c r="U159">
        <f ca="1">IF(AND(ISNUMBER($U$665),$B$511=1),$U$665,HLOOKUP(INDIRECT(ADDRESS(2,COLUMN())),OFFSET($BN$2,0,0,ROW()-1,60),ROW()-1,FALSE))</f>
        <v>2843.037773</v>
      </c>
      <c r="V159">
        <f ca="1">IF(AND(ISNUMBER($V$665),$B$511=1),$V$665,HLOOKUP(INDIRECT(ADDRESS(2,COLUMN())),OFFSET($BN$2,0,0,ROW()-1,60),ROW()-1,FALSE))</f>
        <v>2868.8350150000001</v>
      </c>
      <c r="W159">
        <f ca="1">IF(AND(ISNUMBER($W$665),$B$511=1),$W$665,HLOOKUP(INDIRECT(ADDRESS(2,COLUMN())),OFFSET($BN$2,0,0,ROW()-1,60),ROW()-1,FALSE))</f>
        <v>3004.1048780000001</v>
      </c>
      <c r="X159">
        <f ca="1">IF(AND(ISNUMBER($X$665),$B$511=1),$X$665,HLOOKUP(INDIRECT(ADDRESS(2,COLUMN())),OFFSET($BN$2,0,0,ROW()-1,60),ROW()-1,FALSE))</f>
        <v>3107.7707500000001</v>
      </c>
      <c r="Y159">
        <f ca="1">IF(AND(ISNUMBER($Y$665),$B$511=1),$Y$665,HLOOKUP(INDIRECT(ADDRESS(2,COLUMN())),OFFSET($BN$2,0,0,ROW()-1,60),ROW()-1,FALSE))</f>
        <v>3156.7425509999998</v>
      </c>
      <c r="Z159">
        <f ca="1">IF(AND(ISNUMBER($Z$665),$B$511=1),$Z$665,HLOOKUP(INDIRECT(ADDRESS(2,COLUMN())),OFFSET($BN$2,0,0,ROW()-1,60),ROW()-1,FALSE))</f>
        <v>3044.8740299999999</v>
      </c>
      <c r="AA159">
        <f ca="1">IF(AND(ISNUMBER($AA$665),$B$511=1),$AA$665,HLOOKUP(INDIRECT(ADDRESS(2,COLUMN())),OFFSET($BN$2,0,0,ROW()-1,60),ROW()-1,FALSE))</f>
        <v>3021.0707600000001</v>
      </c>
      <c r="AB159">
        <f ca="1">IF(AND(ISNUMBER($AB$665),$B$511=1),$AB$665,HLOOKUP(INDIRECT(ADDRESS(2,COLUMN())),OFFSET($BN$2,0,0,ROW()-1,60),ROW()-1,FALSE))</f>
        <v>2912.7716439999999</v>
      </c>
      <c r="AC159">
        <f ca="1">IF(AND(ISNUMBER($AC$665),$B$511=1),$AC$665,HLOOKUP(INDIRECT(ADDRESS(2,COLUMN())),OFFSET($BN$2,0,0,ROW()-1,60),ROW()-1,FALSE))</f>
        <v>2842.97579</v>
      </c>
      <c r="AD159">
        <f ca="1">IF(AND(ISNUMBER($AD$665),$B$511=1),$AD$665,HLOOKUP(INDIRECT(ADDRESS(2,COLUMN())),OFFSET($BN$2,0,0,ROW()-1,60),ROW()-1,FALSE))</f>
        <v>2883.3006719999998</v>
      </c>
      <c r="AE159">
        <f ca="1">IF(AND(ISNUMBER($AE$665),$B$511=1),$AE$665,HLOOKUP(INDIRECT(ADDRESS(2,COLUMN())),OFFSET($BN$2,0,0,ROW()-1,60),ROW()-1,FALSE))</f>
        <v>2855.557069</v>
      </c>
      <c r="AF159">
        <f ca="1">IF(AND(ISNUMBER($AF$665),$B$511=1),$AF$665,HLOOKUP(INDIRECT(ADDRESS(2,COLUMN())),OFFSET($BN$2,0,0,ROW()-1,60),ROW()-1,FALSE))</f>
        <v>2817.3748340000002</v>
      </c>
      <c r="AG159">
        <f ca="1">IF(AND(ISNUMBER($AG$665),$B$511=1),$AG$665,HLOOKUP(INDIRECT(ADDRESS(2,COLUMN())),OFFSET($BN$2,0,0,ROW()-1,60),ROW()-1,FALSE))</f>
        <v>2941.8647430000001</v>
      </c>
      <c r="AH159">
        <f ca="1">IF(AND(ISNUMBER($AH$665),$B$511=1),$AH$665,HLOOKUP(INDIRECT(ADDRESS(2,COLUMN())),OFFSET($BN$2,0,0,ROW()-1,60),ROW()-1,FALSE))</f>
        <v>2818.920901</v>
      </c>
      <c r="AI159">
        <f ca="1">IF(AND(ISNUMBER($AI$665),$B$511=1),$AI$665,HLOOKUP(INDIRECT(ADDRESS(2,COLUMN())),OFFSET($BN$2,0,0,ROW()-1,60),ROW()-1,FALSE))</f>
        <v>2724.539663</v>
      </c>
      <c r="AJ159">
        <f ca="1">IF(AND(ISNUMBER($AJ$665),$B$511=1),$AJ$665,HLOOKUP(INDIRECT(ADDRESS(2,COLUMN())),OFFSET($BN$2,0,0,ROW()-1,60),ROW()-1,FALSE))</f>
        <v>2797.334511</v>
      </c>
      <c r="AK159">
        <f ca="1">IF(AND(ISNUMBER($AK$665),$B$511=1),$AK$665,HLOOKUP(INDIRECT(ADDRESS(2,COLUMN())),OFFSET($BN$2,0,0,ROW()-1,60),ROW()-1,FALSE))</f>
        <v>2812.3977110000001</v>
      </c>
      <c r="AL159">
        <f ca="1">IF(AND(ISNUMBER($AL$665),$B$511=1),$AL$665,HLOOKUP(INDIRECT(ADDRESS(2,COLUMN())),OFFSET($BN$2,0,0,ROW()-1,60),ROW()-1,FALSE))</f>
        <v>2870.3298989999998</v>
      </c>
      <c r="AM159">
        <f ca="1">IF(AND(ISNUMBER($AM$665),$B$511=1),$AM$665,HLOOKUP(INDIRECT(ADDRESS(2,COLUMN())),OFFSET($BN$2,0,0,ROW()-1,60),ROW()-1,FALSE))</f>
        <v>3026.766122</v>
      </c>
      <c r="AN159">
        <f ca="1">IF(AND(ISNUMBER($AN$665),$B$511=1),$AN$665,HLOOKUP(INDIRECT(ADDRESS(2,COLUMN())),OFFSET($BN$2,0,0,ROW()-1,60),ROW()-1,FALSE))</f>
        <v>2934.4672439999999</v>
      </c>
      <c r="AO159">
        <f ca="1">IF(AND(ISNUMBER($AO$665),$B$511=1),$AO$665,HLOOKUP(INDIRECT(ADDRESS(2,COLUMN())),OFFSET($BN$2,0,0,ROW()-1,60),ROW()-1,FALSE))</f>
        <v>2705.3582719999999</v>
      </c>
      <c r="AP159">
        <f ca="1">IF(AND(ISNUMBER($AP$665),$B$511=1),$AP$665,HLOOKUP(INDIRECT(ADDRESS(2,COLUMN())),OFFSET($BN$2,0,0,ROW()-1,60),ROW()-1,FALSE))</f>
        <v>2385.2953040000002</v>
      </c>
      <c r="AQ159">
        <f ca="1">IF(AND(ISNUMBER($AQ$665),$B$511=1),$AQ$665,HLOOKUP(INDIRECT(ADDRESS(2,COLUMN())),OFFSET($BN$2,0,0,ROW()-1,60),ROW()-1,FALSE))</f>
        <v>2017.9737950000001</v>
      </c>
      <c r="AR159">
        <f ca="1">IF(AND(ISNUMBER($AR$665),$B$511=1),$AR$665,HLOOKUP(INDIRECT(ADDRESS(2,COLUMN())),OFFSET($BN$2,0,0,ROW()-1,60),ROW()-1,FALSE))</f>
        <v>1841.206326</v>
      </c>
      <c r="AS159">
        <f ca="1">IF(AND(ISNUMBER($AS$665),$B$511=1),$AS$665,HLOOKUP(INDIRECT(ADDRESS(2,COLUMN())),OFFSET($BN$2,0,0,ROW()-1,60),ROW()-1,FALSE))</f>
        <v>1852.6650609999999</v>
      </c>
      <c r="AT159">
        <f ca="1">IF(AND(ISNUMBER($AT$665),$B$511=1),$AT$665,HLOOKUP(INDIRECT(ADDRESS(2,COLUMN())),OFFSET($BN$2,0,0,ROW()-1,60),ROW()-1,FALSE))</f>
        <v>2179.4826309999999</v>
      </c>
      <c r="AU159">
        <f ca="1">IF(AND(ISNUMBER($AU$665),$B$511=1),$AU$665,HLOOKUP(INDIRECT(ADDRESS(2,COLUMN())),OFFSET($BN$2,0,0,ROW()-1,60),ROW()-1,FALSE))</f>
        <v>2419.7974720000002</v>
      </c>
      <c r="AV159">
        <f ca="1">IF(AND(ISNUMBER($AV$665),$B$511=1),$AV$665,HLOOKUP(INDIRECT(ADDRESS(2,COLUMN())),OFFSET($BN$2,0,0,ROW()-1,60),ROW()-1,FALSE))</f>
        <v>2627.5761189999998</v>
      </c>
      <c r="AW159">
        <f ca="1">IF(AND(ISNUMBER($AW$665),$B$511=1),$AW$665,HLOOKUP(INDIRECT(ADDRESS(2,COLUMN())),OFFSET($BN$2,0,0,ROW()-1,60),ROW()-1,FALSE))</f>
        <v>2731.6692069999999</v>
      </c>
      <c r="AX159">
        <f ca="1">IF(AND(ISNUMBER($AX$665),$B$511=1),$AX$665,HLOOKUP(INDIRECT(ADDRESS(2,COLUMN())),OFFSET($BN$2,0,0,ROW()-1,60),ROW()-1,FALSE))</f>
        <v>2730.6537109999999</v>
      </c>
      <c r="AY159">
        <f ca="1">IF(AND(ISNUMBER($AY$665),$B$511=1),$AY$665,HLOOKUP(INDIRECT(ADDRESS(2,COLUMN())),OFFSET($BN$2,0,0,ROW()-1,60),ROW()-1,FALSE))</f>
        <v>2671.8036390000002</v>
      </c>
      <c r="AZ159">
        <f ca="1">IF(AND(ISNUMBER($AZ$665),$B$511=1),$AZ$665,HLOOKUP(INDIRECT(ADDRESS(2,COLUMN())),OFFSET($BN$2,0,0,ROW()-1,60),ROW()-1,FALSE))</f>
        <v>2568.5423329999999</v>
      </c>
      <c r="BA159">
        <f ca="1">IF(AND(ISNUMBER($BA$665),$B$511=1),$BA$665,HLOOKUP(INDIRECT(ADDRESS(2,COLUMN())),OFFSET($BN$2,0,0,ROW()-1,60),ROW()-1,FALSE))</f>
        <v>2514.0932560000001</v>
      </c>
      <c r="BB159">
        <f ca="1">IF(AND(ISNUMBER($BB$665),$B$511=1),$BB$665,HLOOKUP(INDIRECT(ADDRESS(2,COLUMN())),OFFSET($BN$2,0,0,ROW()-1,60),ROW()-1,FALSE))</f>
        <v>2419.4249150000001</v>
      </c>
      <c r="BC159">
        <f ca="1">IF(AND(ISNUMBER($BC$665),$B$511=1),$BC$665,HLOOKUP(INDIRECT(ADDRESS(2,COLUMN())),OFFSET($BN$2,0,0,ROW()-1,60),ROW()-1,FALSE))</f>
        <v>2298.9532389999999</v>
      </c>
      <c r="BD159">
        <f ca="1">IF(AND(ISNUMBER($BD$665),$B$511=1),$BD$665,HLOOKUP(INDIRECT(ADDRESS(2,COLUMN())),OFFSET($BN$2,0,0,ROW()-1,60),ROW()-1,FALSE))</f>
        <v>2266.2593499999998</v>
      </c>
      <c r="BE159">
        <f ca="1">IF(AND(ISNUMBER($BE$665),$B$511=1),$BE$665,HLOOKUP(INDIRECT(ADDRESS(2,COLUMN())),OFFSET($BN$2,0,0,ROW()-1,60),ROW()-1,FALSE))</f>
        <v>2209.5820680000002</v>
      </c>
      <c r="BF159">
        <f ca="1">IF(AND(ISNUMBER($BF$665),$B$511=1),$BF$665,HLOOKUP(INDIRECT(ADDRESS(2,COLUMN())),OFFSET($BN$2,0,0,ROW()-1,60),ROW()-1,FALSE))</f>
        <v>2126.1123680000001</v>
      </c>
      <c r="BG159">
        <f ca="1">IF(AND(ISNUMBER($BG$665),$B$511=1),$BG$665,HLOOKUP(INDIRECT(ADDRESS(2,COLUMN())),OFFSET($BN$2,0,0,ROW()-1,60),ROW()-1,FALSE))</f>
        <v>2119.7546259999999</v>
      </c>
      <c r="BH159">
        <f ca="1">IF(AND(ISNUMBER($BH$665),$B$511=1),$BH$665,HLOOKUP(INDIRECT(ADDRESS(2,COLUMN())),OFFSET($BN$2,0,0,ROW()-1,60),ROW()-1,FALSE))</f>
        <v>2116.7633989999999</v>
      </c>
      <c r="BI159">
        <f ca="1">IF(AND(ISNUMBER($BI$665),$B$511=1),$BI$665,HLOOKUP(INDIRECT(ADDRESS(2,COLUMN())),OFFSET($BN$2,0,0,ROW()-1,60),ROW()-1,FALSE))</f>
        <v>1980.3982249999999</v>
      </c>
      <c r="BJ159">
        <f ca="1">IF(AND(ISNUMBER($BJ$665),$B$511=1),$BJ$665,HLOOKUP(INDIRECT(ADDRESS(2,COLUMN())),OFFSET($BN$2,0,0,ROW()-1,60),ROW()-1,FALSE))</f>
        <v>1911.4993420000001</v>
      </c>
      <c r="BK159">
        <f ca="1">IF(AND(ISNUMBER($BK$665),$B$511=1),$BK$665,HLOOKUP(INDIRECT(ADDRESS(2,COLUMN())),OFFSET($BN$2,0,0,ROW()-1,60),ROW()-1,FALSE))</f>
        <v>1832.812635</v>
      </c>
      <c r="BL159">
        <f ca="1">IF(AND(ISNUMBER($BL$665),$B$511=1),$BL$665,HLOOKUP(INDIRECT(ADDRESS(2,COLUMN())),OFFSET($BN$2,0,0,ROW()-1,60),ROW()-1,FALSE))</f>
        <v>1739.893489</v>
      </c>
      <c r="BM159">
        <f ca="1">IF(AND(ISNUMBER($BM$665),$B$511=1),$BM$665,HLOOKUP(INDIRECT(ADDRESS(2,COLUMN())),OFFSET($BN$2,0,0,ROW()-1,60),ROW()-1,FALSE))</f>
        <v>1688.6612</v>
      </c>
      <c r="BN159" t="str">
        <f>""</f>
        <v/>
      </c>
      <c r="BO159">
        <f>4652.530229</f>
        <v>4652.530229</v>
      </c>
      <c r="BP159">
        <f>4894.780785</f>
        <v>4894.7807849999999</v>
      </c>
      <c r="BQ159">
        <f>4977.216079</f>
        <v>4977.2160789999998</v>
      </c>
      <c r="BR159">
        <f>4739.093965</f>
        <v>4739.093965</v>
      </c>
      <c r="BS159">
        <f>4637.327801</f>
        <v>4637.3278010000004</v>
      </c>
      <c r="BT159">
        <f>4363.574416</f>
        <v>4363.5744160000004</v>
      </c>
      <c r="BU159">
        <f>4215.018663</f>
        <v>4215.0186629999998</v>
      </c>
      <c r="BV159">
        <f>3978.455173</f>
        <v>3978.4551729999998</v>
      </c>
      <c r="BW159">
        <f>3526.373992</f>
        <v>3526.3739919999998</v>
      </c>
      <c r="BX159">
        <f>3395.45189</f>
        <v>3395.4518899999998</v>
      </c>
      <c r="BY159">
        <f>3155.337378</f>
        <v>3155.3373780000002</v>
      </c>
      <c r="BZ159">
        <f>3031.385346</f>
        <v>3031.385346</v>
      </c>
      <c r="CA159">
        <f>2872.582607</f>
        <v>2872.5826069999998</v>
      </c>
      <c r="CB159">
        <f>2827.077656</f>
        <v>2827.0776559999999</v>
      </c>
      <c r="CC159">
        <f>2843.037773</f>
        <v>2843.037773</v>
      </c>
      <c r="CD159">
        <f>2868.835015</f>
        <v>2868.8350150000001</v>
      </c>
      <c r="CE159">
        <f>3004.104878</f>
        <v>3004.1048780000001</v>
      </c>
      <c r="CF159">
        <f>3107.77075</f>
        <v>3107.7707500000001</v>
      </c>
      <c r="CG159">
        <f>3156.742551</f>
        <v>3156.7425509999998</v>
      </c>
      <c r="CH159">
        <f>3044.87403</f>
        <v>3044.8740299999999</v>
      </c>
      <c r="CI159">
        <f>3021.07076</f>
        <v>3021.0707600000001</v>
      </c>
      <c r="CJ159">
        <f>2912.771644</f>
        <v>2912.7716439999999</v>
      </c>
      <c r="CK159">
        <f>2842.97579</f>
        <v>2842.97579</v>
      </c>
      <c r="CL159">
        <f>2883.300672</f>
        <v>2883.3006719999998</v>
      </c>
      <c r="CM159">
        <f>2855.557069</f>
        <v>2855.557069</v>
      </c>
      <c r="CN159">
        <f>2817.374834</f>
        <v>2817.3748340000002</v>
      </c>
      <c r="CO159">
        <f>2941.864743</f>
        <v>2941.8647430000001</v>
      </c>
      <c r="CP159">
        <f>2818.920901</f>
        <v>2818.920901</v>
      </c>
      <c r="CQ159">
        <f>2724.539663</f>
        <v>2724.539663</v>
      </c>
      <c r="CR159">
        <f>2797.334511</f>
        <v>2797.334511</v>
      </c>
      <c r="CS159">
        <f>2812.397711</f>
        <v>2812.3977110000001</v>
      </c>
      <c r="CT159">
        <f>2870.329899</f>
        <v>2870.3298989999998</v>
      </c>
      <c r="CU159">
        <f>3026.766122</f>
        <v>3026.766122</v>
      </c>
      <c r="CV159">
        <f>2934.467244</f>
        <v>2934.4672439999999</v>
      </c>
      <c r="CW159">
        <f>2705.358272</f>
        <v>2705.3582719999999</v>
      </c>
      <c r="CX159">
        <f>2385.295304</f>
        <v>2385.2953040000002</v>
      </c>
      <c r="CY159">
        <f>2017.973795</f>
        <v>2017.9737950000001</v>
      </c>
      <c r="CZ159">
        <f>1841.206326</f>
        <v>1841.206326</v>
      </c>
      <c r="DA159">
        <f>1852.665061</f>
        <v>1852.6650609999999</v>
      </c>
      <c r="DB159">
        <f>2179.482631</f>
        <v>2179.4826309999999</v>
      </c>
      <c r="DC159">
        <f>2419.797472</f>
        <v>2419.7974720000002</v>
      </c>
      <c r="DD159">
        <f>2627.576119</f>
        <v>2627.5761189999998</v>
      </c>
      <c r="DE159">
        <f>2731.669207</f>
        <v>2731.6692069999999</v>
      </c>
      <c r="DF159">
        <f>2730.653711</f>
        <v>2730.6537109999999</v>
      </c>
      <c r="DG159">
        <f>2671.803639</f>
        <v>2671.8036390000002</v>
      </c>
      <c r="DH159">
        <f>2568.542333</f>
        <v>2568.5423329999999</v>
      </c>
      <c r="DI159">
        <f>2514.093256</f>
        <v>2514.0932560000001</v>
      </c>
      <c r="DJ159">
        <f>2419.424915</f>
        <v>2419.4249150000001</v>
      </c>
      <c r="DK159">
        <f>2298.953239</f>
        <v>2298.9532389999999</v>
      </c>
      <c r="DL159">
        <f>2266.25935</f>
        <v>2266.2593499999998</v>
      </c>
      <c r="DM159">
        <f>2209.582068</f>
        <v>2209.5820680000002</v>
      </c>
      <c r="DN159">
        <f>2126.112368</f>
        <v>2126.1123680000001</v>
      </c>
      <c r="DO159">
        <f>2119.754626</f>
        <v>2119.7546259999999</v>
      </c>
      <c r="DP159">
        <f>2116.763399</f>
        <v>2116.7633989999999</v>
      </c>
      <c r="DQ159">
        <f>1980.398225</f>
        <v>1980.3982249999999</v>
      </c>
      <c r="DR159">
        <f>1911.499342</f>
        <v>1911.4993420000001</v>
      </c>
      <c r="DS159">
        <f>1832.812635</f>
        <v>1832.812635</v>
      </c>
      <c r="DT159">
        <f>1739.893489</f>
        <v>1739.893489</v>
      </c>
      <c r="DU159">
        <f>1688.6612</f>
        <v>1688.6612</v>
      </c>
    </row>
    <row r="160" spans="1:125" x14ac:dyDescent="0.25">
      <c r="A160" t="str">
        <f>"    Tata Motors Ltd"</f>
        <v xml:space="preserve">    Tata Motors Ltd</v>
      </c>
      <c r="B160" t="str">
        <f>"TTMT IN Equity"</f>
        <v>TTMT IN Equity</v>
      </c>
      <c r="C160" t="str">
        <f t="shared" si="9"/>
        <v>RR841</v>
      </c>
      <c r="D160" t="str">
        <f t="shared" si="10"/>
        <v>TRAIL_12M_EBITDA</v>
      </c>
      <c r="E160" t="str">
        <f t="shared" si="11"/>
        <v>Dynamic</v>
      </c>
      <c r="F160" t="str">
        <f ca="1">IF(AND(ISNUMBER($F$666),$B$511=1),$F$666,HLOOKUP(INDIRECT(ADDRESS(2,COLUMN())),OFFSET($BN$2,0,0,ROW()-1,60),ROW()-1,FALSE))</f>
        <v/>
      </c>
      <c r="G160">
        <f ca="1">IF(AND(ISNUMBER($G$666),$B$511=1),$G$666,HLOOKUP(INDIRECT(ADDRESS(2,COLUMN())),OFFSET($BN$2,0,0,ROW()-1,60),ROW()-1,FALSE))</f>
        <v>4259.2186089999996</v>
      </c>
      <c r="H160">
        <f ca="1">IF(AND(ISNUMBER($H$666),$B$511=1),$H$666,HLOOKUP(INDIRECT(ADDRESS(2,COLUMN())),OFFSET($BN$2,0,0,ROW()-1,60),ROW()-1,FALSE))</f>
        <v>4752.7804939999996</v>
      </c>
      <c r="I160">
        <f ca="1">IF(AND(ISNUMBER($I$666),$B$511=1),$I$666,HLOOKUP(INDIRECT(ADDRESS(2,COLUMN())),OFFSET($BN$2,0,0,ROW()-1,60),ROW()-1,FALSE))</f>
        <v>5144.162652</v>
      </c>
      <c r="J160">
        <f ca="1">IF(AND(ISNUMBER($J$666),$B$511=1),$J$666,HLOOKUP(INDIRECT(ADDRESS(2,COLUMN())),OFFSET($BN$2,0,0,ROW()-1,60),ROW()-1,FALSE))</f>
        <v>5120.9144999999999</v>
      </c>
      <c r="K160">
        <f ca="1">IF(AND(ISNUMBER($K$666),$B$511=1),$K$666,HLOOKUP(INDIRECT(ADDRESS(2,COLUMN())),OFFSET($BN$2,0,0,ROW()-1,60),ROW()-1,FALSE))</f>
        <v>5060.7809950000001</v>
      </c>
      <c r="L160">
        <f ca="1">IF(AND(ISNUMBER($L$666),$B$511=1),$L$666,HLOOKUP(INDIRECT(ADDRESS(2,COLUMN())),OFFSET($BN$2,0,0,ROW()-1,60),ROW()-1,FALSE))</f>
        <v>4660.8882000000003</v>
      </c>
      <c r="M160">
        <f ca="1">IF(AND(ISNUMBER($M$666),$B$511=1),$M$666,HLOOKUP(INDIRECT(ADDRESS(2,COLUMN())),OFFSET($BN$2,0,0,ROW()-1,60),ROW()-1,FALSE))</f>
        <v>4260.2981300000001</v>
      </c>
      <c r="N160">
        <f ca="1">IF(AND(ISNUMBER($N$666),$B$511=1),$N$666,HLOOKUP(INDIRECT(ADDRESS(2,COLUMN())),OFFSET($BN$2,0,0,ROW()-1,60),ROW()-1,FALSE))</f>
        <v>4825.668678</v>
      </c>
      <c r="O160">
        <f ca="1">IF(AND(ISNUMBER($O$666),$B$511=1),$O$666,HLOOKUP(INDIRECT(ADDRESS(2,COLUMN())),OFFSET($BN$2,0,0,ROW()-1,60),ROW()-1,FALSE))</f>
        <v>5012.7278839999999</v>
      </c>
      <c r="P160">
        <f ca="1">IF(AND(ISNUMBER($P$666),$B$511=1),$P$666,HLOOKUP(INDIRECT(ADDRESS(2,COLUMN())),OFFSET($BN$2,0,0,ROW()-1,60),ROW()-1,FALSE))</f>
        <v>5433.2061100000001</v>
      </c>
      <c r="Q160">
        <f ca="1">IF(AND(ISNUMBER($Q$666),$B$511=1),$Q$666,HLOOKUP(INDIRECT(ADDRESS(2,COLUMN())),OFFSET($BN$2,0,0,ROW()-1,60),ROW()-1,FALSE))</f>
        <v>5511.6057879999998</v>
      </c>
      <c r="R160">
        <f ca="1">IF(AND(ISNUMBER($R$666),$B$511=1),$R$666,HLOOKUP(INDIRECT(ADDRESS(2,COLUMN())),OFFSET($BN$2,0,0,ROW()-1,60),ROW()-1,FALSE))</f>
        <v>5887.5654290000002</v>
      </c>
      <c r="S160">
        <f ca="1">IF(AND(ISNUMBER($S$666),$B$511=1),$S$666,HLOOKUP(INDIRECT(ADDRESS(2,COLUMN())),OFFSET($BN$2,0,0,ROW()-1,60),ROW()-1,FALSE))</f>
        <v>5430.8314250000003</v>
      </c>
      <c r="T160">
        <f ca="1">IF(AND(ISNUMBER($T$666),$B$511=1),$T$666,HLOOKUP(INDIRECT(ADDRESS(2,COLUMN())),OFFSET($BN$2,0,0,ROW()-1,60),ROW()-1,FALSE))</f>
        <v>5704.0944140000001</v>
      </c>
      <c r="U160">
        <f ca="1">IF(AND(ISNUMBER($U$666),$B$511=1),$U$666,HLOOKUP(INDIRECT(ADDRESS(2,COLUMN())),OFFSET($BN$2,0,0,ROW()-1,60),ROW()-1,FALSE))</f>
        <v>6298.3559480000004</v>
      </c>
      <c r="V160">
        <f ca="1">IF(AND(ISNUMBER($V$666),$B$511=1),$V$666,HLOOKUP(INDIRECT(ADDRESS(2,COLUMN())),OFFSET($BN$2,0,0,ROW()-1,60),ROW()-1,FALSE))</f>
        <v>6413.2983629999999</v>
      </c>
      <c r="W160">
        <f ca="1">IF(AND(ISNUMBER($W$666),$B$511=1),$W$666,HLOOKUP(INDIRECT(ADDRESS(2,COLUMN())),OFFSET($BN$2,0,0,ROW()-1,60),ROW()-1,FALSE))</f>
        <v>6681.4889469999998</v>
      </c>
      <c r="X160">
        <f ca="1">IF(AND(ISNUMBER($X$666),$B$511=1),$X$666,HLOOKUP(INDIRECT(ADDRESS(2,COLUMN())),OFFSET($BN$2,0,0,ROW()-1,60),ROW()-1,FALSE))</f>
        <v>6664.3758379999999</v>
      </c>
      <c r="Y160">
        <f ca="1">IF(AND(ISNUMBER($Y$666),$B$511=1),$Y$666,HLOOKUP(INDIRECT(ADDRESS(2,COLUMN())),OFFSET($BN$2,0,0,ROW()-1,60),ROW()-1,FALSE))</f>
        <v>6475.6565559999999</v>
      </c>
      <c r="Z160">
        <f ca="1">IF(AND(ISNUMBER($Z$666),$B$511=1),$Z$666,HLOOKUP(INDIRECT(ADDRESS(2,COLUMN())),OFFSET($BN$2,0,0,ROW()-1,60),ROW()-1,FALSE))</f>
        <v>5769.9534960000001</v>
      </c>
      <c r="AA160">
        <f ca="1">IF(AND(ISNUMBER($AA$666),$B$511=1),$AA$666,HLOOKUP(INDIRECT(ADDRESS(2,COLUMN())),OFFSET($BN$2,0,0,ROW()-1,60),ROW()-1,FALSE))</f>
        <v>5588.3408890000001</v>
      </c>
      <c r="AB160">
        <f ca="1">IF(AND(ISNUMBER($AB$666),$B$511=1),$AB$666,HLOOKUP(INDIRECT(ADDRESS(2,COLUMN())),OFFSET($BN$2,0,0,ROW()-1,60),ROW()-1,FALSE))</f>
        <v>5020.3789290000004</v>
      </c>
      <c r="AC160">
        <f ca="1">IF(AND(ISNUMBER($AC$666),$B$511=1),$AC$666,HLOOKUP(INDIRECT(ADDRESS(2,COLUMN())),OFFSET($BN$2,0,0,ROW()-1,60),ROW()-1,FALSE))</f>
        <v>4567.2482309999996</v>
      </c>
      <c r="AD160">
        <f ca="1">IF(AND(ISNUMBER($AD$666),$B$511=1),$AD$666,HLOOKUP(INDIRECT(ADDRESS(2,COLUMN())),OFFSET($BN$2,0,0,ROW()-1,60),ROW()-1,FALSE))</f>
        <v>4516.0940499999997</v>
      </c>
      <c r="AE160">
        <f ca="1">IF(AND(ISNUMBER($AE$666),$B$511=1),$AE$666,HLOOKUP(INDIRECT(ADDRESS(2,COLUMN())),OFFSET($BN$2,0,0,ROW()-1,60),ROW()-1,FALSE))</f>
        <v>4402.89635</v>
      </c>
      <c r="AF160">
        <f ca="1">IF(AND(ISNUMBER($AF$666),$B$511=1),$AF$666,HLOOKUP(INDIRECT(ADDRESS(2,COLUMN())),OFFSET($BN$2,0,0,ROW()-1,60),ROW()-1,FALSE))</f>
        <v>4690.8966360000004</v>
      </c>
      <c r="AG160">
        <f ca="1">IF(AND(ISNUMBER($AG$666),$B$511=1),$AG$666,HLOOKUP(INDIRECT(ADDRESS(2,COLUMN())),OFFSET($BN$2,0,0,ROW()-1,60),ROW()-1,FALSE))</f>
        <v>4756.7467489999999</v>
      </c>
      <c r="AH160">
        <f ca="1">IF(AND(ISNUMBER($AH$666),$B$511=1),$AH$666,HLOOKUP(INDIRECT(ADDRESS(2,COLUMN())),OFFSET($BN$2,0,0,ROW()-1,60),ROW()-1,FALSE))</f>
        <v>4672.5652630000004</v>
      </c>
      <c r="AI160">
        <f ca="1">IF(AND(ISNUMBER($AI$666),$B$511=1),$AI$666,HLOOKUP(INDIRECT(ADDRESS(2,COLUMN())),OFFSET($BN$2,0,0,ROW()-1,60),ROW()-1,FALSE))</f>
        <v>4018.746361</v>
      </c>
      <c r="AJ160">
        <f ca="1">IF(AND(ISNUMBER($AJ$666),$B$511=1),$AJ$666,HLOOKUP(INDIRECT(ADDRESS(2,COLUMN())),OFFSET($BN$2,0,0,ROW()-1,60),ROW()-1,FALSE))</f>
        <v>3622.9828649999999</v>
      </c>
      <c r="AK160">
        <f ca="1">IF(AND(ISNUMBER($AK$666),$B$511=1),$AK$666,HLOOKUP(INDIRECT(ADDRESS(2,COLUMN())),OFFSET($BN$2,0,0,ROW()-1,60),ROW()-1,FALSE))</f>
        <v>3496.8170530000002</v>
      </c>
      <c r="AL160">
        <f ca="1">IF(AND(ISNUMBER($AL$666),$B$511=1),$AL$666,HLOOKUP(INDIRECT(ADDRESS(2,COLUMN())),OFFSET($BN$2,0,0,ROW()-1,60),ROW()-1,FALSE))</f>
        <v>3396.2812789999998</v>
      </c>
      <c r="AM160">
        <f ca="1">IF(AND(ISNUMBER($AM$666),$B$511=1),$AM$666,HLOOKUP(INDIRECT(ADDRESS(2,COLUMN())),OFFSET($BN$2,0,0,ROW()-1,60),ROW()-1,FALSE))</f>
        <v>2993.5957790000002</v>
      </c>
      <c r="AN160">
        <f ca="1">IF(AND(ISNUMBER($AN$666),$B$511=1),$AN$666,HLOOKUP(INDIRECT(ADDRESS(2,COLUMN())),OFFSET($BN$2,0,0,ROW()-1,60),ROW()-1,FALSE))</f>
        <v>2635.2873800000002</v>
      </c>
      <c r="AO160">
        <f ca="1">IF(AND(ISNUMBER($AO$666),$B$511=1),$AO$666,HLOOKUP(INDIRECT(ADDRESS(2,COLUMN())),OFFSET($BN$2,0,0,ROW()-1,60),ROW()-1,FALSE))</f>
        <v>2073.6051859999998</v>
      </c>
      <c r="AP160">
        <f ca="1">IF(AND(ISNUMBER($AP$666),$B$511=1),$AP$666,HLOOKUP(INDIRECT(ADDRESS(2,COLUMN())),OFFSET($BN$2,0,0,ROW()-1,60),ROW()-1,FALSE))</f>
        <v>1333.88894</v>
      </c>
      <c r="AQ160">
        <f ca="1">IF(AND(ISNUMBER($AQ$666),$B$511=1),$AQ$666,HLOOKUP(INDIRECT(ADDRESS(2,COLUMN())),OFFSET($BN$2,0,0,ROW()-1,60),ROW()-1,FALSE))</f>
        <v>1037.600142</v>
      </c>
      <c r="AR160">
        <f ca="1">IF(AND(ISNUMBER($AR$666),$B$511=1),$AR$666,HLOOKUP(INDIRECT(ADDRESS(2,COLUMN())),OFFSET($BN$2,0,0,ROW()-1,60),ROW()-1,FALSE))</f>
        <v>286.15556909999998</v>
      </c>
      <c r="AS160">
        <f ca="1">IF(AND(ISNUMBER($AS$666),$B$511=1),$AS$666,HLOOKUP(INDIRECT(ADDRESS(2,COLUMN())),OFFSET($BN$2,0,0,ROW()-1,60),ROW()-1,FALSE))</f>
        <v>273.20885809999999</v>
      </c>
      <c r="AT160">
        <f ca="1">IF(AND(ISNUMBER($AT$666),$B$511=1),$AT$666,HLOOKUP(INDIRECT(ADDRESS(2,COLUMN())),OFFSET($BN$2,0,0,ROW()-1,60),ROW()-1,FALSE))</f>
        <v>543.00264749999997</v>
      </c>
      <c r="AU160" t="str">
        <f ca="1">IF(AND(ISNUMBER($AU$666),$B$511=1),$AU$666,HLOOKUP(INDIRECT(ADDRESS(2,COLUMN())),OFFSET($BN$2,0,0,ROW()-1,60),ROW()-1,FALSE))</f>
        <v/>
      </c>
      <c r="AV160" t="str">
        <f ca="1">IF(AND(ISNUMBER($AV$666),$B$511=1),$AV$666,HLOOKUP(INDIRECT(ADDRESS(2,COLUMN())),OFFSET($BN$2,0,0,ROW()-1,60),ROW()-1,FALSE))</f>
        <v/>
      </c>
      <c r="AW160" t="str">
        <f ca="1">IF(AND(ISNUMBER($AW$666),$B$511=1),$AW$666,HLOOKUP(INDIRECT(ADDRESS(2,COLUMN())),OFFSET($BN$2,0,0,ROW()-1,60),ROW()-1,FALSE))</f>
        <v/>
      </c>
      <c r="AX160" t="str">
        <f ca="1">IF(AND(ISNUMBER($AX$666),$B$511=1),$AX$666,HLOOKUP(INDIRECT(ADDRESS(2,COLUMN())),OFFSET($BN$2,0,0,ROW()-1,60),ROW()-1,FALSE))</f>
        <v/>
      </c>
      <c r="AY160" t="str">
        <f ca="1">IF(AND(ISNUMBER($AY$666),$B$511=1),$AY$666,HLOOKUP(INDIRECT(ADDRESS(2,COLUMN())),OFFSET($BN$2,0,0,ROW()-1,60),ROW()-1,FALSE))</f>
        <v/>
      </c>
      <c r="AZ160" t="str">
        <f ca="1">IF(AND(ISNUMBER($AZ$666),$B$511=1),$AZ$666,HLOOKUP(INDIRECT(ADDRESS(2,COLUMN())),OFFSET($BN$2,0,0,ROW()-1,60),ROW()-1,FALSE))</f>
        <v/>
      </c>
      <c r="BA160" t="str">
        <f ca="1">IF(AND(ISNUMBER($BA$666),$B$511=1),$BA$666,HLOOKUP(INDIRECT(ADDRESS(2,COLUMN())),OFFSET($BN$2,0,0,ROW()-1,60),ROW()-1,FALSE))</f>
        <v/>
      </c>
      <c r="BB160" t="str">
        <f ca="1">IF(AND(ISNUMBER($BB$666),$B$511=1),$BB$666,HLOOKUP(INDIRECT(ADDRESS(2,COLUMN())),OFFSET($BN$2,0,0,ROW()-1,60),ROW()-1,FALSE))</f>
        <v/>
      </c>
      <c r="BC160" t="str">
        <f ca="1">IF(AND(ISNUMBER($BC$666),$B$511=1),$BC$666,HLOOKUP(INDIRECT(ADDRESS(2,COLUMN())),OFFSET($BN$2,0,0,ROW()-1,60),ROW()-1,FALSE))</f>
        <v/>
      </c>
      <c r="BD160" t="str">
        <f ca="1">IF(AND(ISNUMBER($BD$666),$B$511=1),$BD$666,HLOOKUP(INDIRECT(ADDRESS(2,COLUMN())),OFFSET($BN$2,0,0,ROW()-1,60),ROW()-1,FALSE))</f>
        <v/>
      </c>
      <c r="BE160" t="str">
        <f ca="1">IF(AND(ISNUMBER($BE$666),$B$511=1),$BE$666,HLOOKUP(INDIRECT(ADDRESS(2,COLUMN())),OFFSET($BN$2,0,0,ROW()-1,60),ROW()-1,FALSE))</f>
        <v/>
      </c>
      <c r="BF160" t="str">
        <f ca="1">IF(AND(ISNUMBER($BF$666),$B$511=1),$BF$666,HLOOKUP(INDIRECT(ADDRESS(2,COLUMN())),OFFSET($BN$2,0,0,ROW()-1,60),ROW()-1,FALSE))</f>
        <v/>
      </c>
      <c r="BG160" t="str">
        <f ca="1">IF(AND(ISNUMBER($BG$666),$B$511=1),$BG$666,HLOOKUP(INDIRECT(ADDRESS(2,COLUMN())),OFFSET($BN$2,0,0,ROW()-1,60),ROW()-1,FALSE))</f>
        <v/>
      </c>
      <c r="BH160" t="str">
        <f ca="1">IF(AND(ISNUMBER($BH$666),$B$511=1),$BH$666,HLOOKUP(INDIRECT(ADDRESS(2,COLUMN())),OFFSET($BN$2,0,0,ROW()-1,60),ROW()-1,FALSE))</f>
        <v/>
      </c>
      <c r="BI160" t="str">
        <f ca="1">IF(AND(ISNUMBER($BI$666),$B$511=1),$BI$666,HLOOKUP(INDIRECT(ADDRESS(2,COLUMN())),OFFSET($BN$2,0,0,ROW()-1,60),ROW()-1,FALSE))</f>
        <v/>
      </c>
      <c r="BJ160" t="str">
        <f ca="1">IF(AND(ISNUMBER($BJ$666),$B$511=1),$BJ$666,HLOOKUP(INDIRECT(ADDRESS(2,COLUMN())),OFFSET($BN$2,0,0,ROW()-1,60),ROW()-1,FALSE))</f>
        <v/>
      </c>
      <c r="BK160" t="str">
        <f ca="1">IF(AND(ISNUMBER($BK$666),$B$511=1),$BK$666,HLOOKUP(INDIRECT(ADDRESS(2,COLUMN())),OFFSET($BN$2,0,0,ROW()-1,60),ROW()-1,FALSE))</f>
        <v/>
      </c>
      <c r="BL160" t="str">
        <f ca="1">IF(AND(ISNUMBER($BL$666),$B$511=1),$BL$666,HLOOKUP(INDIRECT(ADDRESS(2,COLUMN())),OFFSET($BN$2,0,0,ROW()-1,60),ROW()-1,FALSE))</f>
        <v/>
      </c>
      <c r="BM160" t="str">
        <f ca="1">IF(AND(ISNUMBER($BM$666),$B$511=1),$BM$666,HLOOKUP(INDIRECT(ADDRESS(2,COLUMN())),OFFSET($BN$2,0,0,ROW()-1,60),ROW()-1,FALSE))</f>
        <v/>
      </c>
      <c r="BN160" t="str">
        <f>""</f>
        <v/>
      </c>
      <c r="BO160">
        <f>4259.218609</f>
        <v>4259.2186089999996</v>
      </c>
      <c r="BP160">
        <f>4752.780494</f>
        <v>4752.7804939999996</v>
      </c>
      <c r="BQ160">
        <f>5144.162652</f>
        <v>5144.162652</v>
      </c>
      <c r="BR160">
        <f>5120.9145</f>
        <v>5120.9144999999999</v>
      </c>
      <c r="BS160">
        <f>5060.780995</f>
        <v>5060.7809950000001</v>
      </c>
      <c r="BT160">
        <f>4660.8882</f>
        <v>4660.8882000000003</v>
      </c>
      <c r="BU160">
        <f>4260.29813</f>
        <v>4260.2981300000001</v>
      </c>
      <c r="BV160">
        <f>4825.668678</f>
        <v>4825.668678</v>
      </c>
      <c r="BW160">
        <f>5012.727884</f>
        <v>5012.7278839999999</v>
      </c>
      <c r="BX160">
        <f>5433.20611</f>
        <v>5433.2061100000001</v>
      </c>
      <c r="BY160">
        <f>5511.605788</f>
        <v>5511.6057879999998</v>
      </c>
      <c r="BZ160">
        <f>5887.565429</f>
        <v>5887.5654290000002</v>
      </c>
      <c r="CA160">
        <f>5430.831425</f>
        <v>5430.8314250000003</v>
      </c>
      <c r="CB160">
        <f>5704.094414</f>
        <v>5704.0944140000001</v>
      </c>
      <c r="CC160">
        <f>6298.355948</f>
        <v>6298.3559480000004</v>
      </c>
      <c r="CD160">
        <f>6413.298363</f>
        <v>6413.2983629999999</v>
      </c>
      <c r="CE160">
        <f>6681.488947</f>
        <v>6681.4889469999998</v>
      </c>
      <c r="CF160">
        <f>6664.375838</f>
        <v>6664.3758379999999</v>
      </c>
      <c r="CG160">
        <f>6475.656556</f>
        <v>6475.6565559999999</v>
      </c>
      <c r="CH160">
        <f>5769.953496</f>
        <v>5769.9534960000001</v>
      </c>
      <c r="CI160">
        <f>5588.340889</f>
        <v>5588.3408890000001</v>
      </c>
      <c r="CJ160">
        <f>5020.378929</f>
        <v>5020.3789290000004</v>
      </c>
      <c r="CK160">
        <f>4567.248231</f>
        <v>4567.2482309999996</v>
      </c>
      <c r="CL160">
        <f>4516.09405</f>
        <v>4516.0940499999997</v>
      </c>
      <c r="CM160">
        <f>4402.89635</f>
        <v>4402.89635</v>
      </c>
      <c r="CN160">
        <f>4690.896636</f>
        <v>4690.8966360000004</v>
      </c>
      <c r="CO160">
        <f>4756.746749</f>
        <v>4756.7467489999999</v>
      </c>
      <c r="CP160">
        <f>4672.565263</f>
        <v>4672.5652630000004</v>
      </c>
      <c r="CQ160">
        <f>4018.746361</f>
        <v>4018.746361</v>
      </c>
      <c r="CR160">
        <f>3622.982865</f>
        <v>3622.9828649999999</v>
      </c>
      <c r="CS160">
        <f>3496.817053</f>
        <v>3496.8170530000002</v>
      </c>
      <c r="CT160">
        <f>3396.281279</f>
        <v>3396.2812789999998</v>
      </c>
      <c r="CU160">
        <f>2993.595779</f>
        <v>2993.5957790000002</v>
      </c>
      <c r="CV160">
        <f>2635.28738</f>
        <v>2635.2873800000002</v>
      </c>
      <c r="CW160">
        <f>2073.605186</f>
        <v>2073.6051859999998</v>
      </c>
      <c r="CX160">
        <f>1333.88894</f>
        <v>1333.88894</v>
      </c>
      <c r="CY160">
        <f>1037.600142</f>
        <v>1037.600142</v>
      </c>
      <c r="CZ160">
        <f>286.1555691</f>
        <v>286.15556909999998</v>
      </c>
      <c r="DA160">
        <f>273.2088581</f>
        <v>273.20885809999999</v>
      </c>
      <c r="DB160">
        <f>543.0026475</f>
        <v>543.00264749999997</v>
      </c>
      <c r="DC160" t="str">
        <f>""</f>
        <v/>
      </c>
      <c r="DD160" t="str">
        <f>""</f>
        <v/>
      </c>
      <c r="DE160" t="str">
        <f>""</f>
        <v/>
      </c>
      <c r="DF160" t="str">
        <f>""</f>
        <v/>
      </c>
      <c r="DG160" t="str">
        <f>""</f>
        <v/>
      </c>
      <c r="DH160" t="str">
        <f>""</f>
        <v/>
      </c>
      <c r="DI160" t="str">
        <f>""</f>
        <v/>
      </c>
      <c r="DJ160" t="str">
        <f>""</f>
        <v/>
      </c>
      <c r="DK160" t="str">
        <f>""</f>
        <v/>
      </c>
      <c r="DL160" t="str">
        <f>""</f>
        <v/>
      </c>
      <c r="DM160" t="str">
        <f>""</f>
        <v/>
      </c>
      <c r="DN160" t="str">
        <f>""</f>
        <v/>
      </c>
      <c r="DO160" t="str">
        <f>""</f>
        <v/>
      </c>
      <c r="DP160" t="str">
        <f>""</f>
        <v/>
      </c>
      <c r="DQ160" t="str">
        <f>""</f>
        <v/>
      </c>
      <c r="DR160" t="str">
        <f>""</f>
        <v/>
      </c>
      <c r="DS160" t="str">
        <f>""</f>
        <v/>
      </c>
      <c r="DT160" t="str">
        <f>""</f>
        <v/>
      </c>
      <c r="DU160" t="str">
        <f>""</f>
        <v/>
      </c>
    </row>
    <row r="161" spans="1:125" x14ac:dyDescent="0.25">
      <c r="A161" t="str">
        <f>"    Tesla Inc"</f>
        <v xml:space="preserve">    Tesla Inc</v>
      </c>
      <c r="B161" t="str">
        <f>"TSLA US Equity"</f>
        <v>TSLA US Equity</v>
      </c>
      <c r="C161" t="str">
        <f t="shared" si="9"/>
        <v>RR841</v>
      </c>
      <c r="D161" t="str">
        <f t="shared" si="10"/>
        <v>TRAIL_12M_EBITDA</v>
      </c>
      <c r="E161" t="str">
        <f t="shared" si="11"/>
        <v>Dynamic</v>
      </c>
      <c r="F161" t="str">
        <f ca="1">IF(AND(ISNUMBER($F$667),$B$511=1),$F$667,HLOOKUP(INDIRECT(ADDRESS(2,COLUMN())),OFFSET($BN$2,0,0,ROW()-1,60),ROW()-1,FALSE))</f>
        <v/>
      </c>
      <c r="G161">
        <f ca="1">IF(AND(ISNUMBER($G$667),$B$511=1),$G$667,HLOOKUP(INDIRECT(ADDRESS(2,COLUMN())),OFFSET($BN$2,0,0,ROW()-1,60),ROW()-1,FALSE))</f>
        <v>1512.9770000000001</v>
      </c>
      <c r="H161">
        <f ca="1">IF(AND(ISNUMBER($H$667),$B$511=1),$H$667,HLOOKUP(INDIRECT(ADDRESS(2,COLUMN())),OFFSET($BN$2,0,0,ROW()-1,60),ROW()-1,FALSE))</f>
        <v>474.16899999999998</v>
      </c>
      <c r="I161">
        <f ca="1">IF(AND(ISNUMBER($I$667),$B$511=1),$I$667,HLOOKUP(INDIRECT(ADDRESS(2,COLUMN())),OFFSET($BN$2,0,0,ROW()-1,60),ROW()-1,FALSE))</f>
        <v>-580.26900000000001</v>
      </c>
      <c r="J161">
        <f ca="1">IF(AND(ISNUMBER($J$667),$B$511=1),$J$667,HLOOKUP(INDIRECT(ADDRESS(2,COLUMN())),OFFSET($BN$2,0,0,ROW()-1,60),ROW()-1,FALSE))</f>
        <v>-295.87700000000001</v>
      </c>
      <c r="K161">
        <f ca="1">IF(AND(ISNUMBER($K$667),$B$511=1),$K$667,HLOOKUP(INDIRECT(ADDRESS(2,COLUMN())),OFFSET($BN$2,0,0,ROW()-1,60),ROW()-1,FALSE))</f>
        <v>3.9169999999999998</v>
      </c>
      <c r="L161">
        <f ca="1">IF(AND(ISNUMBER($L$667),$B$511=1),$L$667,HLOOKUP(INDIRECT(ADDRESS(2,COLUMN())),OFFSET($BN$2,0,0,ROW()-1,60),ROW()-1,FALSE))</f>
        <v>192.69300000000001</v>
      </c>
      <c r="M161">
        <f ca="1">IF(AND(ISNUMBER($M$667),$B$511=1),$M$667,HLOOKUP(INDIRECT(ADDRESS(2,COLUMN())),OFFSET($BN$2,0,0,ROW()-1,60),ROW()-1,FALSE))</f>
        <v>693.63900000000001</v>
      </c>
      <c r="N161">
        <f ca="1">IF(AND(ISNUMBER($N$667),$B$511=1),$N$667,HLOOKUP(INDIRECT(ADDRESS(2,COLUMN())),OFFSET($BN$2,0,0,ROW()-1,60),ROW()-1,FALSE))</f>
        <v>490.57600000000002</v>
      </c>
      <c r="O161">
        <f ca="1">IF(AND(ISNUMBER($O$667),$B$511=1),$O$667,HLOOKUP(INDIRECT(ADDRESS(2,COLUMN())),OFFSET($BN$2,0,0,ROW()-1,60),ROW()-1,FALSE))</f>
        <v>279.75900000000001</v>
      </c>
      <c r="P161">
        <f ca="1">IF(AND(ISNUMBER($P$667),$B$511=1),$P$667,HLOOKUP(INDIRECT(ADDRESS(2,COLUMN())),OFFSET($BN$2,0,0,ROW()-1,60),ROW()-1,FALSE))</f>
        <v>102.908</v>
      </c>
      <c r="Q161">
        <f ca="1">IF(AND(ISNUMBER($Q$667),$B$511=1),$Q$667,HLOOKUP(INDIRECT(ADDRESS(2,COLUMN())),OFFSET($BN$2,0,0,ROW()-1,60),ROW()-1,FALSE))</f>
        <v>-336.47800000000001</v>
      </c>
      <c r="R161">
        <f ca="1">IF(AND(ISNUMBER($R$667),$B$511=1),$R$667,HLOOKUP(INDIRECT(ADDRESS(2,COLUMN())),OFFSET($BN$2,0,0,ROW()-1,60),ROW()-1,FALSE))</f>
        <v>-360.46899999999999</v>
      </c>
      <c r="S161">
        <f ca="1">IF(AND(ISNUMBER($S$667),$B$511=1),$S$667,HLOOKUP(INDIRECT(ADDRESS(2,COLUMN())),OFFSET($BN$2,0,0,ROW()-1,60),ROW()-1,FALSE))</f>
        <v>-294.03899999999999</v>
      </c>
      <c r="T161">
        <f ca="1">IF(AND(ISNUMBER($T$667),$B$511=1),$T$667,HLOOKUP(INDIRECT(ADDRESS(2,COLUMN())),OFFSET($BN$2,0,0,ROW()-1,60),ROW()-1,FALSE))</f>
        <v>-184.291</v>
      </c>
      <c r="U161">
        <f ca="1">IF(AND(ISNUMBER($U$667),$B$511=1),$U$667,HLOOKUP(INDIRECT(ADDRESS(2,COLUMN())),OFFSET($BN$2,0,0,ROW()-1,60),ROW()-1,FALSE))</f>
        <v>-85.152000000000001</v>
      </c>
      <c r="V161">
        <f ca="1">IF(AND(ISNUMBER($V$667),$B$511=1),$V$667,HLOOKUP(INDIRECT(ADDRESS(2,COLUMN())),OFFSET($BN$2,0,0,ROW()-1,60),ROW()-1,FALSE))</f>
        <v>19.609000000000002</v>
      </c>
      <c r="W161">
        <f ca="1">IF(AND(ISNUMBER($W$667),$B$511=1),$W$667,HLOOKUP(INDIRECT(ADDRESS(2,COLUMN())),OFFSET($BN$2,0,0,ROW()-1,60),ROW()-1,FALSE))</f>
        <v>45.244</v>
      </c>
      <c r="X161">
        <f ca="1">IF(AND(ISNUMBER($X$667),$B$511=1),$X$667,HLOOKUP(INDIRECT(ADDRESS(2,COLUMN())),OFFSET($BN$2,0,0,ROW()-1,60),ROW()-1,FALSE))</f>
        <v>76.337999999999994</v>
      </c>
      <c r="Y161">
        <f ca="1">IF(AND(ISNUMBER($Y$667),$B$511=1),$Y$667,HLOOKUP(INDIRECT(ADDRESS(2,COLUMN())),OFFSET($BN$2,0,0,ROW()-1,60),ROW()-1,FALSE))</f>
        <v>48.390999999999998</v>
      </c>
      <c r="Z161">
        <f ca="1">IF(AND(ISNUMBER($Z$667),$B$511=1),$Z$667,HLOOKUP(INDIRECT(ADDRESS(2,COLUMN())),OFFSET($BN$2,0,0,ROW()-1,60),ROW()-1,FALSE))</f>
        <v>50.685000000000002</v>
      </c>
      <c r="AA161">
        <f ca="1">IF(AND(ISNUMBER($AA$667),$B$511=1),$AA$667,HLOOKUP(INDIRECT(ADDRESS(2,COLUMN())),OFFSET($BN$2,0,0,ROW()-1,60),ROW()-1,FALSE))</f>
        <v>62.65</v>
      </c>
      <c r="AB161">
        <f ca="1">IF(AND(ISNUMBER($AB$667),$B$511=1),$AB$667,HLOOKUP(INDIRECT(ADDRESS(2,COLUMN())),OFFSET($BN$2,0,0,ROW()-1,60),ROW()-1,FALSE))</f>
        <v>-39.673000000000002</v>
      </c>
      <c r="AC161">
        <f ca="1">IF(AND(ISNUMBER($AC$667),$B$511=1),$AC$667,HLOOKUP(INDIRECT(ADDRESS(2,COLUMN())),OFFSET($BN$2,0,0,ROW()-1,60),ROW()-1,FALSE))</f>
        <v>-138.50700000000001</v>
      </c>
      <c r="AD161">
        <f ca="1">IF(AND(ISNUMBER($AD$667),$B$511=1),$AD$667,HLOOKUP(INDIRECT(ADDRESS(2,COLUMN())),OFFSET($BN$2,0,0,ROW()-1,60),ROW()-1,FALSE))</f>
        <v>-268.58999999999997</v>
      </c>
      <c r="AE161">
        <f ca="1">IF(AND(ISNUMBER($AE$667),$B$511=1),$AE$667,HLOOKUP(INDIRECT(ADDRESS(2,COLUMN())),OFFSET($BN$2,0,0,ROW()-1,60),ROW()-1,FALSE))</f>
        <v>-365.45600000000002</v>
      </c>
      <c r="AF161">
        <f ca="1">IF(AND(ISNUMBER($AF$667),$B$511=1),$AF$667,HLOOKUP(INDIRECT(ADDRESS(2,COLUMN())),OFFSET($BN$2,0,0,ROW()-1,60),ROW()-1,FALSE))</f>
        <v>-363.488</v>
      </c>
      <c r="AG161">
        <f ca="1">IF(AND(ISNUMBER($AG$667),$B$511=1),$AG$667,HLOOKUP(INDIRECT(ADDRESS(2,COLUMN())),OFFSET($BN$2,0,0,ROW()-1,60),ROW()-1,FALSE))</f>
        <v>-322.74700000000001</v>
      </c>
      <c r="AH161">
        <f ca="1">IF(AND(ISNUMBER($AH$667),$B$511=1),$AH$667,HLOOKUP(INDIRECT(ADDRESS(2,COLUMN())),OFFSET($BN$2,0,0,ROW()-1,60),ROW()-1,FALSE))</f>
        <v>-275.34100000000001</v>
      </c>
      <c r="AI161">
        <f ca="1">IF(AND(ISNUMBER($AI$667),$B$511=1),$AI$667,HLOOKUP(INDIRECT(ADDRESS(2,COLUMN())),OFFSET($BN$2,0,0,ROW()-1,60),ROW()-1,FALSE))</f>
        <v>-234.57</v>
      </c>
      <c r="AJ161">
        <f ca="1">IF(AND(ISNUMBER($AJ$667),$B$511=1),$AJ$667,HLOOKUP(INDIRECT(ADDRESS(2,COLUMN())),OFFSET($BN$2,0,0,ROW()-1,60),ROW()-1,FALSE))</f>
        <v>-207.202</v>
      </c>
      <c r="AK161">
        <f ca="1">IF(AND(ISNUMBER($AK$667),$B$511=1),$AK$667,HLOOKUP(INDIRECT(ADDRESS(2,COLUMN())),OFFSET($BN$2,0,0,ROW()-1,60),ROW()-1,FALSE))</f>
        <v>-181.73</v>
      </c>
      <c r="AL161">
        <f ca="1">IF(AND(ISNUMBER($AL$667),$B$511=1),$AL$667,HLOOKUP(INDIRECT(ADDRESS(2,COLUMN())),OFFSET($BN$2,0,0,ROW()-1,60),ROW()-1,FALSE))</f>
        <v>-156.18799999999999</v>
      </c>
      <c r="AM161">
        <f ca="1">IF(AND(ISNUMBER($AM$667),$B$511=1),$AM$667,HLOOKUP(INDIRECT(ADDRESS(2,COLUMN())),OFFSET($BN$2,0,0,ROW()-1,60),ROW()-1,FALSE))</f>
        <v>-136.21600000000001</v>
      </c>
      <c r="AN161">
        <f ca="1">IF(AND(ISNUMBER($AN$667),$B$511=1),$AN$667,HLOOKUP(INDIRECT(ADDRESS(2,COLUMN())),OFFSET($BN$2,0,0,ROW()-1,60),ROW()-1,FALSE))</f>
        <v>-108.45099999999999</v>
      </c>
      <c r="AO161" t="str">
        <f ca="1">IF(AND(ISNUMBER($AO$667),$B$511=1),$AO$667,HLOOKUP(INDIRECT(ADDRESS(2,COLUMN())),OFFSET($BN$2,0,0,ROW()-1,60),ROW()-1,FALSE))</f>
        <v/>
      </c>
      <c r="AP161" t="str">
        <f ca="1">IF(AND(ISNUMBER($AP$667),$B$511=1),$AP$667,HLOOKUP(INDIRECT(ADDRESS(2,COLUMN())),OFFSET($BN$2,0,0,ROW()-1,60),ROW()-1,FALSE))</f>
        <v/>
      </c>
      <c r="AQ161" t="str">
        <f ca="1">IF(AND(ISNUMBER($AQ$667),$B$511=1),$AQ$667,HLOOKUP(INDIRECT(ADDRESS(2,COLUMN())),OFFSET($BN$2,0,0,ROW()-1,60),ROW()-1,FALSE))</f>
        <v/>
      </c>
      <c r="AR161" t="str">
        <f ca="1">IF(AND(ISNUMBER($AR$667),$B$511=1),$AR$667,HLOOKUP(INDIRECT(ADDRESS(2,COLUMN())),OFFSET($BN$2,0,0,ROW()-1,60),ROW()-1,FALSE))</f>
        <v/>
      </c>
      <c r="AS161" t="str">
        <f ca="1">IF(AND(ISNUMBER($AS$667),$B$511=1),$AS$667,HLOOKUP(INDIRECT(ADDRESS(2,COLUMN())),OFFSET($BN$2,0,0,ROW()-1,60),ROW()-1,FALSE))</f>
        <v/>
      </c>
      <c r="AT161" t="str">
        <f ca="1">IF(AND(ISNUMBER($AT$667),$B$511=1),$AT$667,HLOOKUP(INDIRECT(ADDRESS(2,COLUMN())),OFFSET($BN$2,0,0,ROW()-1,60),ROW()-1,FALSE))</f>
        <v/>
      </c>
      <c r="AU161" t="str">
        <f ca="1">IF(AND(ISNUMBER($AU$667),$B$511=1),$AU$667,HLOOKUP(INDIRECT(ADDRESS(2,COLUMN())),OFFSET($BN$2,0,0,ROW()-1,60),ROW()-1,FALSE))</f>
        <v/>
      </c>
      <c r="AV161" t="str">
        <f ca="1">IF(AND(ISNUMBER($AV$667),$B$511=1),$AV$667,HLOOKUP(INDIRECT(ADDRESS(2,COLUMN())),OFFSET($BN$2,0,0,ROW()-1,60),ROW()-1,FALSE))</f>
        <v/>
      </c>
      <c r="AW161" t="str">
        <f ca="1">IF(AND(ISNUMBER($AW$667),$B$511=1),$AW$667,HLOOKUP(INDIRECT(ADDRESS(2,COLUMN())),OFFSET($BN$2,0,0,ROW()-1,60),ROW()-1,FALSE))</f>
        <v/>
      </c>
      <c r="AX161" t="str">
        <f ca="1">IF(AND(ISNUMBER($AX$667),$B$511=1),$AX$667,HLOOKUP(INDIRECT(ADDRESS(2,COLUMN())),OFFSET($BN$2,0,0,ROW()-1,60),ROW()-1,FALSE))</f>
        <v/>
      </c>
      <c r="AY161" t="str">
        <f ca="1">IF(AND(ISNUMBER($AY$667),$B$511=1),$AY$667,HLOOKUP(INDIRECT(ADDRESS(2,COLUMN())),OFFSET($BN$2,0,0,ROW()-1,60),ROW()-1,FALSE))</f>
        <v/>
      </c>
      <c r="AZ161" t="str">
        <f ca="1">IF(AND(ISNUMBER($AZ$667),$B$511=1),$AZ$667,HLOOKUP(INDIRECT(ADDRESS(2,COLUMN())),OFFSET($BN$2,0,0,ROW()-1,60),ROW()-1,FALSE))</f>
        <v/>
      </c>
      <c r="BA161" t="str">
        <f ca="1">IF(AND(ISNUMBER($BA$667),$B$511=1),$BA$667,HLOOKUP(INDIRECT(ADDRESS(2,COLUMN())),OFFSET($BN$2,0,0,ROW()-1,60),ROW()-1,FALSE))</f>
        <v/>
      </c>
      <c r="BB161" t="str">
        <f ca="1">IF(AND(ISNUMBER($BB$667),$B$511=1),$BB$667,HLOOKUP(INDIRECT(ADDRESS(2,COLUMN())),OFFSET($BN$2,0,0,ROW()-1,60),ROW()-1,FALSE))</f>
        <v/>
      </c>
      <c r="BC161" t="str">
        <f ca="1">IF(AND(ISNUMBER($BC$667),$B$511=1),$BC$667,HLOOKUP(INDIRECT(ADDRESS(2,COLUMN())),OFFSET($BN$2,0,0,ROW()-1,60),ROW()-1,FALSE))</f>
        <v/>
      </c>
      <c r="BD161" t="str">
        <f ca="1">IF(AND(ISNUMBER($BD$667),$B$511=1),$BD$667,HLOOKUP(INDIRECT(ADDRESS(2,COLUMN())),OFFSET($BN$2,0,0,ROW()-1,60),ROW()-1,FALSE))</f>
        <v/>
      </c>
      <c r="BE161" t="str">
        <f ca="1">IF(AND(ISNUMBER($BE$667),$B$511=1),$BE$667,HLOOKUP(INDIRECT(ADDRESS(2,COLUMN())),OFFSET($BN$2,0,0,ROW()-1,60),ROW()-1,FALSE))</f>
        <v/>
      </c>
      <c r="BF161" t="str">
        <f ca="1">IF(AND(ISNUMBER($BF$667),$B$511=1),$BF$667,HLOOKUP(INDIRECT(ADDRESS(2,COLUMN())),OFFSET($BN$2,0,0,ROW()-1,60),ROW()-1,FALSE))</f>
        <v/>
      </c>
      <c r="BG161" t="str">
        <f ca="1">IF(AND(ISNUMBER($BG$667),$B$511=1),$BG$667,HLOOKUP(INDIRECT(ADDRESS(2,COLUMN())),OFFSET($BN$2,0,0,ROW()-1,60),ROW()-1,FALSE))</f>
        <v/>
      </c>
      <c r="BH161" t="str">
        <f ca="1">IF(AND(ISNUMBER($BH$667),$B$511=1),$BH$667,HLOOKUP(INDIRECT(ADDRESS(2,COLUMN())),OFFSET($BN$2,0,0,ROW()-1,60),ROW()-1,FALSE))</f>
        <v/>
      </c>
      <c r="BI161" t="str">
        <f ca="1">IF(AND(ISNUMBER($BI$667),$B$511=1),$BI$667,HLOOKUP(INDIRECT(ADDRESS(2,COLUMN())),OFFSET($BN$2,0,0,ROW()-1,60),ROW()-1,FALSE))</f>
        <v/>
      </c>
      <c r="BJ161" t="str">
        <f ca="1">IF(AND(ISNUMBER($BJ$667),$B$511=1),$BJ$667,HLOOKUP(INDIRECT(ADDRESS(2,COLUMN())),OFFSET($BN$2,0,0,ROW()-1,60),ROW()-1,FALSE))</f>
        <v/>
      </c>
      <c r="BK161" t="str">
        <f ca="1">IF(AND(ISNUMBER($BK$667),$B$511=1),$BK$667,HLOOKUP(INDIRECT(ADDRESS(2,COLUMN())),OFFSET($BN$2,0,0,ROW()-1,60),ROW()-1,FALSE))</f>
        <v/>
      </c>
      <c r="BL161" t="str">
        <f ca="1">IF(AND(ISNUMBER($BL$667),$B$511=1),$BL$667,HLOOKUP(INDIRECT(ADDRESS(2,COLUMN())),OFFSET($BN$2,0,0,ROW()-1,60),ROW()-1,FALSE))</f>
        <v/>
      </c>
      <c r="BM161" t="str">
        <f ca="1">IF(AND(ISNUMBER($BM$667),$B$511=1),$BM$667,HLOOKUP(INDIRECT(ADDRESS(2,COLUMN())),OFFSET($BN$2,0,0,ROW()-1,60),ROW()-1,FALSE))</f>
        <v/>
      </c>
      <c r="BN161" t="str">
        <f>""</f>
        <v/>
      </c>
      <c r="BO161">
        <f>1512.977</f>
        <v>1512.9770000000001</v>
      </c>
      <c r="BP161">
        <f>474.169</f>
        <v>474.16899999999998</v>
      </c>
      <c r="BQ161">
        <f>-580.269</f>
        <v>-580.26900000000001</v>
      </c>
      <c r="BR161">
        <f>-295.877</f>
        <v>-295.87700000000001</v>
      </c>
      <c r="BS161">
        <f>3.917</f>
        <v>3.9169999999999998</v>
      </c>
      <c r="BT161">
        <f>192.693</f>
        <v>192.69300000000001</v>
      </c>
      <c r="BU161">
        <f>693.639</f>
        <v>693.63900000000001</v>
      </c>
      <c r="BV161">
        <f>490.576</f>
        <v>490.57600000000002</v>
      </c>
      <c r="BW161">
        <f>279.759</f>
        <v>279.75900000000001</v>
      </c>
      <c r="BX161">
        <f>102.908</f>
        <v>102.908</v>
      </c>
      <c r="BY161">
        <f>-336.478</f>
        <v>-336.47800000000001</v>
      </c>
      <c r="BZ161">
        <f>-360.469</f>
        <v>-360.46899999999999</v>
      </c>
      <c r="CA161">
        <f>-294.039</f>
        <v>-294.03899999999999</v>
      </c>
      <c r="CB161">
        <f>-184.291</f>
        <v>-184.291</v>
      </c>
      <c r="CC161">
        <f>-85.152</f>
        <v>-85.152000000000001</v>
      </c>
      <c r="CD161">
        <f>19.609</f>
        <v>19.609000000000002</v>
      </c>
      <c r="CE161">
        <f>45.244</f>
        <v>45.244</v>
      </c>
      <c r="CF161">
        <f>76.338</f>
        <v>76.337999999999994</v>
      </c>
      <c r="CG161">
        <f>48.391</f>
        <v>48.390999999999998</v>
      </c>
      <c r="CH161">
        <f>50.685</f>
        <v>50.685000000000002</v>
      </c>
      <c r="CI161">
        <f>62.65</f>
        <v>62.65</v>
      </c>
      <c r="CJ161">
        <f>-39.673</f>
        <v>-39.673000000000002</v>
      </c>
      <c r="CK161">
        <f>-138.507</f>
        <v>-138.50700000000001</v>
      </c>
      <c r="CL161">
        <f>-268.59</f>
        <v>-268.58999999999997</v>
      </c>
      <c r="CM161">
        <f>-365.456</f>
        <v>-365.45600000000002</v>
      </c>
      <c r="CN161">
        <f>-363.488</f>
        <v>-363.488</v>
      </c>
      <c r="CO161">
        <f>-322.747</f>
        <v>-322.74700000000001</v>
      </c>
      <c r="CP161">
        <f>-275.341</f>
        <v>-275.34100000000001</v>
      </c>
      <c r="CQ161">
        <f>-234.57</f>
        <v>-234.57</v>
      </c>
      <c r="CR161">
        <f>-207.202</f>
        <v>-207.202</v>
      </c>
      <c r="CS161">
        <f>-181.73</f>
        <v>-181.73</v>
      </c>
      <c r="CT161">
        <f>-156.188</f>
        <v>-156.18799999999999</v>
      </c>
      <c r="CU161">
        <f>-136.216</f>
        <v>-136.21600000000001</v>
      </c>
      <c r="CV161">
        <f>-108.451</f>
        <v>-108.45099999999999</v>
      </c>
      <c r="CW161" t="str">
        <f>""</f>
        <v/>
      </c>
      <c r="CX161" t="str">
        <f>""</f>
        <v/>
      </c>
      <c r="CY161" t="str">
        <f>""</f>
        <v/>
      </c>
      <c r="CZ161" t="str">
        <f>""</f>
        <v/>
      </c>
      <c r="DA161" t="str">
        <f>""</f>
        <v/>
      </c>
      <c r="DB161" t="str">
        <f>""</f>
        <v/>
      </c>
      <c r="DC161" t="str">
        <f>""</f>
        <v/>
      </c>
      <c r="DD161" t="str">
        <f>""</f>
        <v/>
      </c>
      <c r="DE161" t="str">
        <f>""</f>
        <v/>
      </c>
      <c r="DF161" t="str">
        <f>""</f>
        <v/>
      </c>
      <c r="DG161" t="str">
        <f>""</f>
        <v/>
      </c>
      <c r="DH161" t="str">
        <f>""</f>
        <v/>
      </c>
      <c r="DI161" t="str">
        <f>""</f>
        <v/>
      </c>
      <c r="DJ161" t="str">
        <f>""</f>
        <v/>
      </c>
      <c r="DK161" t="str">
        <f>""</f>
        <v/>
      </c>
      <c r="DL161" t="str">
        <f>""</f>
        <v/>
      </c>
      <c r="DM161" t="str">
        <f>""</f>
        <v/>
      </c>
      <c r="DN161" t="str">
        <f>""</f>
        <v/>
      </c>
      <c r="DO161" t="str">
        <f>""</f>
        <v/>
      </c>
      <c r="DP161" t="str">
        <f>""</f>
        <v/>
      </c>
      <c r="DQ161" t="str">
        <f>""</f>
        <v/>
      </c>
      <c r="DR161" t="str">
        <f>""</f>
        <v/>
      </c>
      <c r="DS161" t="str">
        <f>""</f>
        <v/>
      </c>
      <c r="DT161" t="str">
        <f>""</f>
        <v/>
      </c>
      <c r="DU161" t="str">
        <f>""</f>
        <v/>
      </c>
    </row>
    <row r="162" spans="1:125" x14ac:dyDescent="0.25">
      <c r="A162" t="str">
        <f>"    Tianjin Faw Xiali Automobile Co Ltd"</f>
        <v xml:space="preserve">    Tianjin Faw Xiali Automobile Co Ltd</v>
      </c>
      <c r="B162" t="str">
        <f>"000927 CH Equity"</f>
        <v>000927 CH Equity</v>
      </c>
      <c r="C162" t="str">
        <f t="shared" si="9"/>
        <v>RR841</v>
      </c>
      <c r="D162" t="str">
        <f t="shared" si="10"/>
        <v>TRAIL_12M_EBITDA</v>
      </c>
      <c r="E162" t="str">
        <f t="shared" si="11"/>
        <v>Dynamic</v>
      </c>
      <c r="F162" t="str">
        <f ca="1">IF(AND(ISNUMBER($F$668),$B$511=1),$F$668,HLOOKUP(INDIRECT(ADDRESS(2,COLUMN())),OFFSET($BN$2,0,0,ROW()-1,60),ROW()-1,FALSE))</f>
        <v/>
      </c>
      <c r="G162" t="str">
        <f ca="1">IF(AND(ISNUMBER($G$668),$B$511=1),$G$668,HLOOKUP(INDIRECT(ADDRESS(2,COLUMN())),OFFSET($BN$2,0,0,ROW()-1,60),ROW()-1,FALSE))</f>
        <v/>
      </c>
      <c r="H162" t="str">
        <f ca="1">IF(AND(ISNUMBER($H$668),$B$511=1),$H$668,HLOOKUP(INDIRECT(ADDRESS(2,COLUMN())),OFFSET($BN$2,0,0,ROW()-1,60),ROW()-1,FALSE))</f>
        <v/>
      </c>
      <c r="I162" t="str">
        <f ca="1">IF(AND(ISNUMBER($I$668),$B$511=1),$I$668,HLOOKUP(INDIRECT(ADDRESS(2,COLUMN())),OFFSET($BN$2,0,0,ROW()-1,60),ROW()-1,FALSE))</f>
        <v/>
      </c>
      <c r="J162" t="str">
        <f ca="1">IF(AND(ISNUMBER($J$668),$B$511=1),$J$668,HLOOKUP(INDIRECT(ADDRESS(2,COLUMN())),OFFSET($BN$2,0,0,ROW()-1,60),ROW()-1,FALSE))</f>
        <v/>
      </c>
      <c r="K162" t="str">
        <f ca="1">IF(AND(ISNUMBER($K$668),$B$511=1),$K$668,HLOOKUP(INDIRECT(ADDRESS(2,COLUMN())),OFFSET($BN$2,0,0,ROW()-1,60),ROW()-1,FALSE))</f>
        <v/>
      </c>
      <c r="L162" t="str">
        <f ca="1">IF(AND(ISNUMBER($L$668),$B$511=1),$L$668,HLOOKUP(INDIRECT(ADDRESS(2,COLUMN())),OFFSET($BN$2,0,0,ROW()-1,60),ROW()-1,FALSE))</f>
        <v/>
      </c>
      <c r="M162" t="str">
        <f ca="1">IF(AND(ISNUMBER($M$668),$B$511=1),$M$668,HLOOKUP(INDIRECT(ADDRESS(2,COLUMN())),OFFSET($BN$2,0,0,ROW()-1,60),ROW()-1,FALSE))</f>
        <v/>
      </c>
      <c r="N162" t="str">
        <f ca="1">IF(AND(ISNUMBER($N$668),$B$511=1),$N$668,HLOOKUP(INDIRECT(ADDRESS(2,COLUMN())),OFFSET($BN$2,0,0,ROW()-1,60),ROW()-1,FALSE))</f>
        <v/>
      </c>
      <c r="O162" t="str">
        <f ca="1">IF(AND(ISNUMBER($O$668),$B$511=1),$O$668,HLOOKUP(INDIRECT(ADDRESS(2,COLUMN())),OFFSET($BN$2,0,0,ROW()-1,60),ROW()-1,FALSE))</f>
        <v/>
      </c>
      <c r="P162" t="str">
        <f ca="1">IF(AND(ISNUMBER($P$668),$B$511=1),$P$668,HLOOKUP(INDIRECT(ADDRESS(2,COLUMN())),OFFSET($BN$2,0,0,ROW()-1,60),ROW()-1,FALSE))</f>
        <v/>
      </c>
      <c r="Q162" t="str">
        <f ca="1">IF(AND(ISNUMBER($Q$668),$B$511=1),$Q$668,HLOOKUP(INDIRECT(ADDRESS(2,COLUMN())),OFFSET($BN$2,0,0,ROW()-1,60),ROW()-1,FALSE))</f>
        <v/>
      </c>
      <c r="R162" t="str">
        <f ca="1">IF(AND(ISNUMBER($R$668),$B$511=1),$R$668,HLOOKUP(INDIRECT(ADDRESS(2,COLUMN())),OFFSET($BN$2,0,0,ROW()-1,60),ROW()-1,FALSE))</f>
        <v/>
      </c>
      <c r="S162" t="str">
        <f ca="1">IF(AND(ISNUMBER($S$668),$B$511=1),$S$668,HLOOKUP(INDIRECT(ADDRESS(2,COLUMN())),OFFSET($BN$2,0,0,ROW()-1,60),ROW()-1,FALSE))</f>
        <v/>
      </c>
      <c r="T162" t="str">
        <f ca="1">IF(AND(ISNUMBER($T$668),$B$511=1),$T$668,HLOOKUP(INDIRECT(ADDRESS(2,COLUMN())),OFFSET($BN$2,0,0,ROW()-1,60),ROW()-1,FALSE))</f>
        <v/>
      </c>
      <c r="U162" t="str">
        <f ca="1">IF(AND(ISNUMBER($U$668),$B$511=1),$U$668,HLOOKUP(INDIRECT(ADDRESS(2,COLUMN())),OFFSET($BN$2,0,0,ROW()-1,60),ROW()-1,FALSE))</f>
        <v/>
      </c>
      <c r="V162" t="str">
        <f ca="1">IF(AND(ISNUMBER($V$668),$B$511=1),$V$668,HLOOKUP(INDIRECT(ADDRESS(2,COLUMN())),OFFSET($BN$2,0,0,ROW()-1,60),ROW()-1,FALSE))</f>
        <v/>
      </c>
      <c r="W162" t="str">
        <f ca="1">IF(AND(ISNUMBER($W$668),$B$511=1),$W$668,HLOOKUP(INDIRECT(ADDRESS(2,COLUMN())),OFFSET($BN$2,0,0,ROW()-1,60),ROW()-1,FALSE))</f>
        <v/>
      </c>
      <c r="X162" t="str">
        <f ca="1">IF(AND(ISNUMBER($X$668),$B$511=1),$X$668,HLOOKUP(INDIRECT(ADDRESS(2,COLUMN())),OFFSET($BN$2,0,0,ROW()-1,60),ROW()-1,FALSE))</f>
        <v/>
      </c>
      <c r="Y162" t="str">
        <f ca="1">IF(AND(ISNUMBER($Y$668),$B$511=1),$Y$668,HLOOKUP(INDIRECT(ADDRESS(2,COLUMN())),OFFSET($BN$2,0,0,ROW()-1,60),ROW()-1,FALSE))</f>
        <v/>
      </c>
      <c r="Z162" t="str">
        <f ca="1">IF(AND(ISNUMBER($Z$668),$B$511=1),$Z$668,HLOOKUP(INDIRECT(ADDRESS(2,COLUMN())),OFFSET($BN$2,0,0,ROW()-1,60),ROW()-1,FALSE))</f>
        <v/>
      </c>
      <c r="AA162" t="str">
        <f ca="1">IF(AND(ISNUMBER($AA$668),$B$511=1),$AA$668,HLOOKUP(INDIRECT(ADDRESS(2,COLUMN())),OFFSET($BN$2,0,0,ROW()-1,60),ROW()-1,FALSE))</f>
        <v/>
      </c>
      <c r="AB162" t="str">
        <f ca="1">IF(AND(ISNUMBER($AB$668),$B$511=1),$AB$668,HLOOKUP(INDIRECT(ADDRESS(2,COLUMN())),OFFSET($BN$2,0,0,ROW()-1,60),ROW()-1,FALSE))</f>
        <v/>
      </c>
      <c r="AC162" t="str">
        <f ca="1">IF(AND(ISNUMBER($AC$668),$B$511=1),$AC$668,HLOOKUP(INDIRECT(ADDRESS(2,COLUMN())),OFFSET($BN$2,0,0,ROW()-1,60),ROW()-1,FALSE))</f>
        <v/>
      </c>
      <c r="AD162" t="str">
        <f ca="1">IF(AND(ISNUMBER($AD$668),$B$511=1),$AD$668,HLOOKUP(INDIRECT(ADDRESS(2,COLUMN())),OFFSET($BN$2,0,0,ROW()-1,60),ROW()-1,FALSE))</f>
        <v/>
      </c>
      <c r="AE162" t="str">
        <f ca="1">IF(AND(ISNUMBER($AE$668),$B$511=1),$AE$668,HLOOKUP(INDIRECT(ADDRESS(2,COLUMN())),OFFSET($BN$2,0,0,ROW()-1,60),ROW()-1,FALSE))</f>
        <v/>
      </c>
      <c r="AF162" t="str">
        <f ca="1">IF(AND(ISNUMBER($AF$668),$B$511=1),$AF$668,HLOOKUP(INDIRECT(ADDRESS(2,COLUMN())),OFFSET($BN$2,0,0,ROW()-1,60),ROW()-1,FALSE))</f>
        <v/>
      </c>
      <c r="AG162" t="str">
        <f ca="1">IF(AND(ISNUMBER($AG$668),$B$511=1),$AG$668,HLOOKUP(INDIRECT(ADDRESS(2,COLUMN())),OFFSET($BN$2,0,0,ROW()-1,60),ROW()-1,FALSE))</f>
        <v/>
      </c>
      <c r="AH162" t="str">
        <f ca="1">IF(AND(ISNUMBER($AH$668),$B$511=1),$AH$668,HLOOKUP(INDIRECT(ADDRESS(2,COLUMN())),OFFSET($BN$2,0,0,ROW()-1,60),ROW()-1,FALSE))</f>
        <v/>
      </c>
      <c r="AI162" t="str">
        <f ca="1">IF(AND(ISNUMBER($AI$668),$B$511=1),$AI$668,HLOOKUP(INDIRECT(ADDRESS(2,COLUMN())),OFFSET($BN$2,0,0,ROW()-1,60),ROW()-1,FALSE))</f>
        <v/>
      </c>
      <c r="AJ162" t="str">
        <f ca="1">IF(AND(ISNUMBER($AJ$668),$B$511=1),$AJ$668,HLOOKUP(INDIRECT(ADDRESS(2,COLUMN())),OFFSET($BN$2,0,0,ROW()-1,60),ROW()-1,FALSE))</f>
        <v/>
      </c>
      <c r="AK162" t="str">
        <f ca="1">IF(AND(ISNUMBER($AK$668),$B$511=1),$AK$668,HLOOKUP(INDIRECT(ADDRESS(2,COLUMN())),OFFSET($BN$2,0,0,ROW()-1,60),ROW()-1,FALSE))</f>
        <v/>
      </c>
      <c r="AL162" t="str">
        <f ca="1">IF(AND(ISNUMBER($AL$668),$B$511=1),$AL$668,HLOOKUP(INDIRECT(ADDRESS(2,COLUMN())),OFFSET($BN$2,0,0,ROW()-1,60),ROW()-1,FALSE))</f>
        <v/>
      </c>
      <c r="AM162" t="str">
        <f ca="1">IF(AND(ISNUMBER($AM$668),$B$511=1),$AM$668,HLOOKUP(INDIRECT(ADDRESS(2,COLUMN())),OFFSET($BN$2,0,0,ROW()-1,60),ROW()-1,FALSE))</f>
        <v/>
      </c>
      <c r="AN162" t="str">
        <f ca="1">IF(AND(ISNUMBER($AN$668),$B$511=1),$AN$668,HLOOKUP(INDIRECT(ADDRESS(2,COLUMN())),OFFSET($BN$2,0,0,ROW()-1,60),ROW()-1,FALSE))</f>
        <v/>
      </c>
      <c r="AO162" t="str">
        <f ca="1">IF(AND(ISNUMBER($AO$668),$B$511=1),$AO$668,HLOOKUP(INDIRECT(ADDRESS(2,COLUMN())),OFFSET($BN$2,0,0,ROW()-1,60),ROW()-1,FALSE))</f>
        <v/>
      </c>
      <c r="AP162" t="str">
        <f ca="1">IF(AND(ISNUMBER($AP$668),$B$511=1),$AP$668,HLOOKUP(INDIRECT(ADDRESS(2,COLUMN())),OFFSET($BN$2,0,0,ROW()-1,60),ROW()-1,FALSE))</f>
        <v/>
      </c>
      <c r="AQ162" t="str">
        <f ca="1">IF(AND(ISNUMBER($AQ$668),$B$511=1),$AQ$668,HLOOKUP(INDIRECT(ADDRESS(2,COLUMN())),OFFSET($BN$2,0,0,ROW()-1,60),ROW()-1,FALSE))</f>
        <v/>
      </c>
      <c r="AR162" t="str">
        <f ca="1">IF(AND(ISNUMBER($AR$668),$B$511=1),$AR$668,HLOOKUP(INDIRECT(ADDRESS(2,COLUMN())),OFFSET($BN$2,0,0,ROW()-1,60),ROW()-1,FALSE))</f>
        <v/>
      </c>
      <c r="AS162" t="str">
        <f ca="1">IF(AND(ISNUMBER($AS$668),$B$511=1),$AS$668,HLOOKUP(INDIRECT(ADDRESS(2,COLUMN())),OFFSET($BN$2,0,0,ROW()-1,60),ROW()-1,FALSE))</f>
        <v/>
      </c>
      <c r="AT162" t="str">
        <f ca="1">IF(AND(ISNUMBER($AT$668),$B$511=1),$AT$668,HLOOKUP(INDIRECT(ADDRESS(2,COLUMN())),OFFSET($BN$2,0,0,ROW()-1,60),ROW()-1,FALSE))</f>
        <v/>
      </c>
      <c r="AU162" t="str">
        <f ca="1">IF(AND(ISNUMBER($AU$668),$B$511=1),$AU$668,HLOOKUP(INDIRECT(ADDRESS(2,COLUMN())),OFFSET($BN$2,0,0,ROW()-1,60),ROW()-1,FALSE))</f>
        <v/>
      </c>
      <c r="AV162" t="str">
        <f ca="1">IF(AND(ISNUMBER($AV$668),$B$511=1),$AV$668,HLOOKUP(INDIRECT(ADDRESS(2,COLUMN())),OFFSET($BN$2,0,0,ROW()-1,60),ROW()-1,FALSE))</f>
        <v/>
      </c>
      <c r="AW162" t="str">
        <f ca="1">IF(AND(ISNUMBER($AW$668),$B$511=1),$AW$668,HLOOKUP(INDIRECT(ADDRESS(2,COLUMN())),OFFSET($BN$2,0,0,ROW()-1,60),ROW()-1,FALSE))</f>
        <v/>
      </c>
      <c r="AX162" t="str">
        <f ca="1">IF(AND(ISNUMBER($AX$668),$B$511=1),$AX$668,HLOOKUP(INDIRECT(ADDRESS(2,COLUMN())),OFFSET($BN$2,0,0,ROW()-1,60),ROW()-1,FALSE))</f>
        <v/>
      </c>
      <c r="AY162" t="str">
        <f ca="1">IF(AND(ISNUMBER($AY$668),$B$511=1),$AY$668,HLOOKUP(INDIRECT(ADDRESS(2,COLUMN())),OFFSET($BN$2,0,0,ROW()-1,60),ROW()-1,FALSE))</f>
        <v/>
      </c>
      <c r="AZ162" t="str">
        <f ca="1">IF(AND(ISNUMBER($AZ$668),$B$511=1),$AZ$668,HLOOKUP(INDIRECT(ADDRESS(2,COLUMN())),OFFSET($BN$2,0,0,ROW()-1,60),ROW()-1,FALSE))</f>
        <v/>
      </c>
      <c r="BA162" t="str">
        <f ca="1">IF(AND(ISNUMBER($BA$668),$B$511=1),$BA$668,HLOOKUP(INDIRECT(ADDRESS(2,COLUMN())),OFFSET($BN$2,0,0,ROW()-1,60),ROW()-1,FALSE))</f>
        <v/>
      </c>
      <c r="BB162" t="str">
        <f ca="1">IF(AND(ISNUMBER($BB$668),$B$511=1),$BB$668,HLOOKUP(INDIRECT(ADDRESS(2,COLUMN())),OFFSET($BN$2,0,0,ROW()-1,60),ROW()-1,FALSE))</f>
        <v/>
      </c>
      <c r="BC162" t="str">
        <f ca="1">IF(AND(ISNUMBER($BC$668),$B$511=1),$BC$668,HLOOKUP(INDIRECT(ADDRESS(2,COLUMN())),OFFSET($BN$2,0,0,ROW()-1,60),ROW()-1,FALSE))</f>
        <v/>
      </c>
      <c r="BD162" t="str">
        <f ca="1">IF(AND(ISNUMBER($BD$668),$B$511=1),$BD$668,HLOOKUP(INDIRECT(ADDRESS(2,COLUMN())),OFFSET($BN$2,0,0,ROW()-1,60),ROW()-1,FALSE))</f>
        <v/>
      </c>
      <c r="BE162" t="str">
        <f ca="1">IF(AND(ISNUMBER($BE$668),$B$511=1),$BE$668,HLOOKUP(INDIRECT(ADDRESS(2,COLUMN())),OFFSET($BN$2,0,0,ROW()-1,60),ROW()-1,FALSE))</f>
        <v/>
      </c>
      <c r="BF162" t="str">
        <f ca="1">IF(AND(ISNUMBER($BF$668),$B$511=1),$BF$668,HLOOKUP(INDIRECT(ADDRESS(2,COLUMN())),OFFSET($BN$2,0,0,ROW()-1,60),ROW()-1,FALSE))</f>
        <v/>
      </c>
      <c r="BG162">
        <f ca="1">IF(AND(ISNUMBER($BG$668),$B$511=1),$BG$668,HLOOKUP(INDIRECT(ADDRESS(2,COLUMN())),OFFSET($BN$2,0,0,ROW()-1,60),ROW()-1,FALSE))</f>
        <v>52.952019659999998</v>
      </c>
      <c r="BH162">
        <f ca="1">IF(AND(ISNUMBER($BH$668),$B$511=1),$BH$668,HLOOKUP(INDIRECT(ADDRESS(2,COLUMN())),OFFSET($BN$2,0,0,ROW()-1,60),ROW()-1,FALSE))</f>
        <v>52.783742539999999</v>
      </c>
      <c r="BI162">
        <f ca="1">IF(AND(ISNUMBER($BI$668),$B$511=1),$BI$668,HLOOKUP(INDIRECT(ADDRESS(2,COLUMN())),OFFSET($BN$2,0,0,ROW()-1,60),ROW()-1,FALSE))</f>
        <v>36.037269379999998</v>
      </c>
      <c r="BJ162">
        <f ca="1">IF(AND(ISNUMBER($BJ$668),$B$511=1),$BJ$668,HLOOKUP(INDIRECT(ADDRESS(2,COLUMN())),OFFSET($BN$2,0,0,ROW()-1,60),ROW()-1,FALSE))</f>
        <v>33.174308140000001</v>
      </c>
      <c r="BK162">
        <f ca="1">IF(AND(ISNUMBER($BK$668),$B$511=1),$BK$668,HLOOKUP(INDIRECT(ADDRESS(2,COLUMN())),OFFSET($BN$2,0,0,ROW()-1,60),ROW()-1,FALSE))</f>
        <v>30.483878260000001</v>
      </c>
      <c r="BL162">
        <f ca="1">IF(AND(ISNUMBER($BL$668),$B$511=1),$BL$668,HLOOKUP(INDIRECT(ADDRESS(2,COLUMN())),OFFSET($BN$2,0,0,ROW()-1,60),ROW()-1,FALSE))</f>
        <v>17.85442025</v>
      </c>
      <c r="BM162">
        <f ca="1">IF(AND(ISNUMBER($BM$668),$B$511=1),$BM$668,HLOOKUP(INDIRECT(ADDRESS(2,COLUMN())),OFFSET($BN$2,0,0,ROW()-1,60),ROW()-1,FALSE))</f>
        <v>24.242222630000001</v>
      </c>
      <c r="BN162" t="str">
        <f>""</f>
        <v/>
      </c>
      <c r="BO162" t="str">
        <f>""</f>
        <v/>
      </c>
      <c r="BP162" t="str">
        <f>""</f>
        <v/>
      </c>
      <c r="BQ162" t="str">
        <f>""</f>
        <v/>
      </c>
      <c r="BR162" t="str">
        <f>""</f>
        <v/>
      </c>
      <c r="BS162" t="str">
        <f>""</f>
        <v/>
      </c>
      <c r="BT162" t="str">
        <f>""</f>
        <v/>
      </c>
      <c r="BU162" t="str">
        <f>""</f>
        <v/>
      </c>
      <c r="BV162" t="str">
        <f>""</f>
        <v/>
      </c>
      <c r="BW162" t="str">
        <f>""</f>
        <v/>
      </c>
      <c r="BX162" t="str">
        <f>""</f>
        <v/>
      </c>
      <c r="BY162" t="str">
        <f>""</f>
        <v/>
      </c>
      <c r="BZ162" t="str">
        <f>""</f>
        <v/>
      </c>
      <c r="CA162" t="str">
        <f>""</f>
        <v/>
      </c>
      <c r="CB162" t="str">
        <f>""</f>
        <v/>
      </c>
      <c r="CC162" t="str">
        <f>""</f>
        <v/>
      </c>
      <c r="CD162" t="str">
        <f>""</f>
        <v/>
      </c>
      <c r="CE162" t="str">
        <f>""</f>
        <v/>
      </c>
      <c r="CF162" t="str">
        <f>""</f>
        <v/>
      </c>
      <c r="CG162" t="str">
        <f>""</f>
        <v/>
      </c>
      <c r="CH162" t="str">
        <f>""</f>
        <v/>
      </c>
      <c r="CI162" t="str">
        <f>""</f>
        <v/>
      </c>
      <c r="CJ162" t="str">
        <f>""</f>
        <v/>
      </c>
      <c r="CK162" t="str">
        <f>""</f>
        <v/>
      </c>
      <c r="CL162" t="str">
        <f>""</f>
        <v/>
      </c>
      <c r="CM162" t="str">
        <f>""</f>
        <v/>
      </c>
      <c r="CN162" t="str">
        <f>""</f>
        <v/>
      </c>
      <c r="CO162" t="str">
        <f>""</f>
        <v/>
      </c>
      <c r="CP162" t="str">
        <f>""</f>
        <v/>
      </c>
      <c r="CQ162" t="str">
        <f>""</f>
        <v/>
      </c>
      <c r="CR162" t="str">
        <f>""</f>
        <v/>
      </c>
      <c r="CS162" t="str">
        <f>""</f>
        <v/>
      </c>
      <c r="CT162" t="str">
        <f>""</f>
        <v/>
      </c>
      <c r="CU162" t="str">
        <f>""</f>
        <v/>
      </c>
      <c r="CV162" t="str">
        <f>""</f>
        <v/>
      </c>
      <c r="CW162" t="str">
        <f>""</f>
        <v/>
      </c>
      <c r="CX162" t="str">
        <f>""</f>
        <v/>
      </c>
      <c r="CY162" t="str">
        <f>""</f>
        <v/>
      </c>
      <c r="CZ162" t="str">
        <f>""</f>
        <v/>
      </c>
      <c r="DA162" t="str">
        <f>""</f>
        <v/>
      </c>
      <c r="DB162" t="str">
        <f>""</f>
        <v/>
      </c>
      <c r="DC162" t="str">
        <f>""</f>
        <v/>
      </c>
      <c r="DD162" t="str">
        <f>""</f>
        <v/>
      </c>
      <c r="DE162" t="str">
        <f>""</f>
        <v/>
      </c>
      <c r="DF162" t="str">
        <f>""</f>
        <v/>
      </c>
      <c r="DG162" t="str">
        <f>""</f>
        <v/>
      </c>
      <c r="DH162" t="str">
        <f>""</f>
        <v/>
      </c>
      <c r="DI162" t="str">
        <f>""</f>
        <v/>
      </c>
      <c r="DJ162" t="str">
        <f>""</f>
        <v/>
      </c>
      <c r="DK162" t="str">
        <f>""</f>
        <v/>
      </c>
      <c r="DL162" t="str">
        <f>""</f>
        <v/>
      </c>
      <c r="DM162" t="str">
        <f>""</f>
        <v/>
      </c>
      <c r="DN162" t="str">
        <f>""</f>
        <v/>
      </c>
      <c r="DO162">
        <f>52.95201966</f>
        <v>52.952019659999998</v>
      </c>
      <c r="DP162">
        <f>52.78374254</f>
        <v>52.783742539999999</v>
      </c>
      <c r="DQ162">
        <f>36.03726938</f>
        <v>36.037269379999998</v>
      </c>
      <c r="DR162">
        <f>33.17430814</f>
        <v>33.174308140000001</v>
      </c>
      <c r="DS162">
        <f>30.48387826</f>
        <v>30.483878260000001</v>
      </c>
      <c r="DT162">
        <f>17.85442025</f>
        <v>17.85442025</v>
      </c>
      <c r="DU162">
        <f>24.24222263</f>
        <v>24.242222630000001</v>
      </c>
    </row>
    <row r="163" spans="1:125" x14ac:dyDescent="0.25">
      <c r="A163" t="str">
        <f>"    Tofas Turk Otomobil Fabrikasi AS"</f>
        <v xml:space="preserve">    Tofas Turk Otomobil Fabrikasi AS</v>
      </c>
      <c r="B163" t="str">
        <f>"TOASOTRY EO Equity"</f>
        <v>TOASOTRY EO Equity</v>
      </c>
      <c r="C163" t="str">
        <f t="shared" si="9"/>
        <v>RR841</v>
      </c>
      <c r="D163" t="str">
        <f t="shared" si="10"/>
        <v>TRAIL_12M_EBITDA</v>
      </c>
      <c r="E163" t="str">
        <f t="shared" si="11"/>
        <v>Dynamic</v>
      </c>
      <c r="F163" t="str">
        <f ca="1">IF(AND(ISNUMBER($F$669),$B$511=1),$F$669,HLOOKUP(INDIRECT(ADDRESS(2,COLUMN())),OFFSET($BN$2,0,0,ROW()-1,60),ROW()-1,FALSE))</f>
        <v/>
      </c>
      <c r="G163">
        <f ca="1">IF(AND(ISNUMBER($G$669),$B$511=1),$G$669,HLOOKUP(INDIRECT(ADDRESS(2,COLUMN())),OFFSET($BN$2,0,0,ROW()-1,60),ROW()-1,FALSE))</f>
        <v>537.76120040000001</v>
      </c>
      <c r="H163">
        <f ca="1">IF(AND(ISNUMBER($H$669),$B$511=1),$H$669,HLOOKUP(INDIRECT(ADDRESS(2,COLUMN())),OFFSET($BN$2,0,0,ROW()-1,60),ROW()-1,FALSE))</f>
        <v>269.15608129999998</v>
      </c>
      <c r="I163">
        <f ca="1">IF(AND(ISNUMBER($I$669),$B$511=1),$I$669,HLOOKUP(INDIRECT(ADDRESS(2,COLUMN())),OFFSET($BN$2,0,0,ROW()-1,60),ROW()-1,FALSE))</f>
        <v>228.37811199999999</v>
      </c>
      <c r="J163">
        <f ca="1">IF(AND(ISNUMBER($J$669),$B$511=1),$J$669,HLOOKUP(INDIRECT(ADDRESS(2,COLUMN())),OFFSET($BN$2,0,0,ROW()-1,60),ROW()-1,FALSE))</f>
        <v>-24.212015959999999</v>
      </c>
      <c r="K163">
        <f ca="1">IF(AND(ISNUMBER($K$669),$B$511=1),$K$669,HLOOKUP(INDIRECT(ADDRESS(2,COLUMN())),OFFSET($BN$2,0,0,ROW()-1,60),ROW()-1,FALSE))</f>
        <v>-48.771878549999997</v>
      </c>
      <c r="L163">
        <f ca="1">IF(AND(ISNUMBER($L$669),$B$511=1),$L$669,HLOOKUP(INDIRECT(ADDRESS(2,COLUMN())),OFFSET($BN$2,0,0,ROW()-1,60),ROW()-1,FALSE))</f>
        <v>563.99542029999998</v>
      </c>
      <c r="M163">
        <f ca="1">IF(AND(ISNUMBER($M$669),$B$511=1),$M$669,HLOOKUP(INDIRECT(ADDRESS(2,COLUMN())),OFFSET($BN$2,0,0,ROW()-1,60),ROW()-1,FALSE))</f>
        <v>545.10654939999995</v>
      </c>
      <c r="N163">
        <f ca="1">IF(AND(ISNUMBER($N$669),$B$511=1),$N$669,HLOOKUP(INDIRECT(ADDRESS(2,COLUMN())),OFFSET($BN$2,0,0,ROW()-1,60),ROW()-1,FALSE))</f>
        <v>480.12563710000001</v>
      </c>
      <c r="O163">
        <f ca="1">IF(AND(ISNUMBER($O$669),$B$511=1),$O$669,HLOOKUP(INDIRECT(ADDRESS(2,COLUMN())),OFFSET($BN$2,0,0,ROW()-1,60),ROW()-1,FALSE))</f>
        <v>454.62218710000002</v>
      </c>
      <c r="P163">
        <f ca="1">IF(AND(ISNUMBER($P$669),$B$511=1),$P$669,HLOOKUP(INDIRECT(ADDRESS(2,COLUMN())),OFFSET($BN$2,0,0,ROW()-1,60),ROW()-1,FALSE))</f>
        <v>405.86266449999999</v>
      </c>
      <c r="Q163">
        <f ca="1">IF(AND(ISNUMBER($Q$669),$B$511=1),$Q$669,HLOOKUP(INDIRECT(ADDRESS(2,COLUMN())),OFFSET($BN$2,0,0,ROW()-1,60),ROW()-1,FALSE))</f>
        <v>399.26684820000003</v>
      </c>
      <c r="R163">
        <f ca="1">IF(AND(ISNUMBER($R$669),$B$511=1),$R$669,HLOOKUP(INDIRECT(ADDRESS(2,COLUMN())),OFFSET($BN$2,0,0,ROW()-1,60),ROW()-1,FALSE))</f>
        <v>383.08340930000003</v>
      </c>
      <c r="S163">
        <f ca="1">IF(AND(ISNUMBER($S$669),$B$511=1),$S$669,HLOOKUP(INDIRECT(ADDRESS(2,COLUMN())),OFFSET($BN$2,0,0,ROW()-1,60),ROW()-1,FALSE))</f>
        <v>392.7653904</v>
      </c>
      <c r="T163">
        <f ca="1">IF(AND(ISNUMBER($T$669),$B$511=1),$T$669,HLOOKUP(INDIRECT(ADDRESS(2,COLUMN())),OFFSET($BN$2,0,0,ROW()-1,60),ROW()-1,FALSE))</f>
        <v>386.67501090000002</v>
      </c>
      <c r="U163">
        <f ca="1">IF(AND(ISNUMBER($U$669),$B$511=1),$U$669,HLOOKUP(INDIRECT(ADDRESS(2,COLUMN())),OFFSET($BN$2,0,0,ROW()-1,60),ROW()-1,FALSE))</f>
        <v>380.57127059999999</v>
      </c>
      <c r="V163">
        <f ca="1">IF(AND(ISNUMBER($V$669),$B$511=1),$V$669,HLOOKUP(INDIRECT(ADDRESS(2,COLUMN())),OFFSET($BN$2,0,0,ROW()-1,60),ROW()-1,FALSE))</f>
        <v>377.78387079999999</v>
      </c>
      <c r="W163">
        <f ca="1">IF(AND(ISNUMBER($W$669),$B$511=1),$W$669,HLOOKUP(INDIRECT(ADDRESS(2,COLUMN())),OFFSET($BN$2,0,0,ROW()-1,60),ROW()-1,FALSE))</f>
        <v>376.45235709999997</v>
      </c>
      <c r="X163">
        <f ca="1">IF(AND(ISNUMBER($X$669),$B$511=1),$X$669,HLOOKUP(INDIRECT(ADDRESS(2,COLUMN())),OFFSET($BN$2,0,0,ROW()-1,60),ROW()-1,FALSE))</f>
        <v>399.41100949999998</v>
      </c>
      <c r="Y163">
        <f ca="1">IF(AND(ISNUMBER($Y$669),$B$511=1),$Y$669,HLOOKUP(INDIRECT(ADDRESS(2,COLUMN())),OFFSET($BN$2,0,0,ROW()-1,60),ROW()-1,FALSE))</f>
        <v>414.03724929999998</v>
      </c>
      <c r="Z163">
        <f ca="1">IF(AND(ISNUMBER($Z$669),$B$511=1),$Z$669,HLOOKUP(INDIRECT(ADDRESS(2,COLUMN())),OFFSET($BN$2,0,0,ROW()-1,60),ROW()-1,FALSE))</f>
        <v>417.8919884</v>
      </c>
      <c r="AA163">
        <f ca="1">IF(AND(ISNUMBER($AA$669),$B$511=1),$AA$669,HLOOKUP(INDIRECT(ADDRESS(2,COLUMN())),OFFSET($BN$2,0,0,ROW()-1,60),ROW()-1,FALSE))</f>
        <v>431.05861390000001</v>
      </c>
      <c r="AB163">
        <f ca="1">IF(AND(ISNUMBER($AB$669),$B$511=1),$AB$669,HLOOKUP(INDIRECT(ADDRESS(2,COLUMN())),OFFSET($BN$2,0,0,ROW()-1,60),ROW()-1,FALSE))</f>
        <v>469.61700080000003</v>
      </c>
      <c r="AC163">
        <f ca="1">IF(AND(ISNUMBER($AC$669),$B$511=1),$AC$669,HLOOKUP(INDIRECT(ADDRESS(2,COLUMN())),OFFSET($BN$2,0,0,ROW()-1,60),ROW()-1,FALSE))</f>
        <v>469.84379710000002</v>
      </c>
      <c r="AD163">
        <f ca="1">IF(AND(ISNUMBER($AD$669),$B$511=1),$AD$669,HLOOKUP(INDIRECT(ADDRESS(2,COLUMN())),OFFSET($BN$2,0,0,ROW()-1,60),ROW()-1,FALSE))</f>
        <v>485.08909060000002</v>
      </c>
      <c r="AE163">
        <f ca="1">IF(AND(ISNUMBER($AE$669),$B$511=1),$AE$669,HLOOKUP(INDIRECT(ADDRESS(2,COLUMN())),OFFSET($BN$2,0,0,ROW()-1,60),ROW()-1,FALSE))</f>
        <v>469.55339780000003</v>
      </c>
      <c r="AF163">
        <f ca="1">IF(AND(ISNUMBER($AF$669),$B$511=1),$AF$669,HLOOKUP(INDIRECT(ADDRESS(2,COLUMN())),OFFSET($BN$2,0,0,ROW()-1,60),ROW()-1,FALSE))</f>
        <v>441.98896969999998</v>
      </c>
      <c r="AG163">
        <f ca="1">IF(AND(ISNUMBER($AG$669),$B$511=1),$AG$669,HLOOKUP(INDIRECT(ADDRESS(2,COLUMN())),OFFSET($BN$2,0,0,ROW()-1,60),ROW()-1,FALSE))</f>
        <v>459.08717430000002</v>
      </c>
      <c r="AH163">
        <f ca="1">IF(AND(ISNUMBER($AH$669),$B$511=1),$AH$669,HLOOKUP(INDIRECT(ADDRESS(2,COLUMN())),OFFSET($BN$2,0,0,ROW()-1,60),ROW()-1,FALSE))</f>
        <v>468.97486300000003</v>
      </c>
      <c r="AI163">
        <f ca="1">IF(AND(ISNUMBER($AI$669),$B$511=1),$AI$669,HLOOKUP(INDIRECT(ADDRESS(2,COLUMN())),OFFSET($BN$2,0,0,ROW()-1,60),ROW()-1,FALSE))</f>
        <v>471.03793899999999</v>
      </c>
      <c r="AJ163">
        <f ca="1">IF(AND(ISNUMBER($AJ$669),$B$511=1),$AJ$669,HLOOKUP(INDIRECT(ADDRESS(2,COLUMN())),OFFSET($BN$2,0,0,ROW()-1,60),ROW()-1,FALSE))</f>
        <v>497.00910750000003</v>
      </c>
      <c r="AK163">
        <f ca="1">IF(AND(ISNUMBER($AK$669),$B$511=1),$AK$669,HLOOKUP(INDIRECT(ADDRESS(2,COLUMN())),OFFSET($BN$2,0,0,ROW()-1,60),ROW()-1,FALSE))</f>
        <v>469.52887290000001</v>
      </c>
      <c r="AL163">
        <f ca="1">IF(AND(ISNUMBER($AL$669),$B$511=1),$AL$669,HLOOKUP(INDIRECT(ADDRESS(2,COLUMN())),OFFSET($BN$2,0,0,ROW()-1,60),ROW()-1,FALSE))</f>
        <v>438.91552990000002</v>
      </c>
      <c r="AM163">
        <f ca="1">IF(AND(ISNUMBER($AM$669),$B$511=1),$AM$669,HLOOKUP(INDIRECT(ADDRESS(2,COLUMN())),OFFSET($BN$2,0,0,ROW()-1,60),ROW()-1,FALSE))</f>
        <v>434.60676310000002</v>
      </c>
      <c r="AN163">
        <f ca="1">IF(AND(ISNUMBER($AN$669),$B$511=1),$AN$669,HLOOKUP(INDIRECT(ADDRESS(2,COLUMN())),OFFSET($BN$2,0,0,ROW()-1,60),ROW()-1,FALSE))</f>
        <v>379.4015038</v>
      </c>
      <c r="AO163">
        <f ca="1">IF(AND(ISNUMBER($AO$669),$B$511=1),$AO$669,HLOOKUP(INDIRECT(ADDRESS(2,COLUMN())),OFFSET($BN$2,0,0,ROW()-1,60),ROW()-1,FALSE))</f>
        <v>385.88184209999997</v>
      </c>
      <c r="AP163">
        <f ca="1">IF(AND(ISNUMBER($AP$669),$B$511=1),$AP$669,HLOOKUP(INDIRECT(ADDRESS(2,COLUMN())),OFFSET($BN$2,0,0,ROW()-1,60),ROW()-1,FALSE))</f>
        <v>356.21685170000001</v>
      </c>
      <c r="AQ163">
        <f ca="1">IF(AND(ISNUMBER($AQ$669),$B$511=1),$AQ$669,HLOOKUP(INDIRECT(ADDRESS(2,COLUMN())),OFFSET($BN$2,0,0,ROW()-1,60),ROW()-1,FALSE))</f>
        <v>307.38953099999998</v>
      </c>
      <c r="AR163">
        <f ca="1">IF(AND(ISNUMBER($AR$669),$B$511=1),$AR$669,HLOOKUP(INDIRECT(ADDRESS(2,COLUMN())),OFFSET($BN$2,0,0,ROW()-1,60),ROW()-1,FALSE))</f>
        <v>306.98078959999998</v>
      </c>
      <c r="AS163">
        <f ca="1">IF(AND(ISNUMBER($AS$669),$B$511=1),$AS$669,HLOOKUP(INDIRECT(ADDRESS(2,COLUMN())),OFFSET($BN$2,0,0,ROW()-1,60),ROW()-1,FALSE))</f>
        <v>294.11104519999998</v>
      </c>
      <c r="AT163">
        <f ca="1">IF(AND(ISNUMBER($AT$669),$B$511=1),$AT$669,HLOOKUP(INDIRECT(ADDRESS(2,COLUMN())),OFFSET($BN$2,0,0,ROW()-1,60),ROW()-1,FALSE))</f>
        <v>335.46838500000001</v>
      </c>
      <c r="AU163">
        <f ca="1">IF(AND(ISNUMBER($AU$669),$B$511=1),$AU$669,HLOOKUP(INDIRECT(ADDRESS(2,COLUMN())),OFFSET($BN$2,0,0,ROW()-1,60),ROW()-1,FALSE))</f>
        <v>372.91058609999999</v>
      </c>
      <c r="AV163">
        <f ca="1">IF(AND(ISNUMBER($AV$669),$B$511=1),$AV$669,HLOOKUP(INDIRECT(ADDRESS(2,COLUMN())),OFFSET($BN$2,0,0,ROW()-1,60),ROW()-1,FALSE))</f>
        <v>362.47961670000001</v>
      </c>
      <c r="AW163">
        <f ca="1">IF(AND(ISNUMBER($AW$669),$B$511=1),$AW$669,HLOOKUP(INDIRECT(ADDRESS(2,COLUMN())),OFFSET($BN$2,0,0,ROW()-1,60),ROW()-1,FALSE))</f>
        <v>331.11100069999998</v>
      </c>
      <c r="AX163">
        <f ca="1">IF(AND(ISNUMBER($AX$669),$B$511=1),$AX$669,HLOOKUP(INDIRECT(ADDRESS(2,COLUMN())),OFFSET($BN$2,0,0,ROW()-1,60),ROW()-1,FALSE))</f>
        <v>255.45703810000001</v>
      </c>
      <c r="AY163">
        <f ca="1">IF(AND(ISNUMBER($AY$669),$B$511=1),$AY$669,HLOOKUP(INDIRECT(ADDRESS(2,COLUMN())),OFFSET($BN$2,0,0,ROW()-1,60),ROW()-1,FALSE))</f>
        <v>195.30661409999999</v>
      </c>
      <c r="AZ163">
        <f ca="1">IF(AND(ISNUMBER($AZ$669),$B$511=1),$AZ$669,HLOOKUP(INDIRECT(ADDRESS(2,COLUMN())),OFFSET($BN$2,0,0,ROW()-1,60),ROW()-1,FALSE))</f>
        <v>167.41534870000001</v>
      </c>
      <c r="BA163">
        <f ca="1">IF(AND(ISNUMBER($BA$669),$B$511=1),$BA$669,HLOOKUP(INDIRECT(ADDRESS(2,COLUMN())),OFFSET($BN$2,0,0,ROW()-1,60),ROW()-1,FALSE))</f>
        <v>130.56264160000001</v>
      </c>
      <c r="BB163">
        <f ca="1">IF(AND(ISNUMBER($BB$669),$B$511=1),$BB$669,HLOOKUP(INDIRECT(ADDRESS(2,COLUMN())),OFFSET($BN$2,0,0,ROW()-1,60),ROW()-1,FALSE))</f>
        <v>136.57201090000001</v>
      </c>
      <c r="BC163">
        <f ca="1">IF(AND(ISNUMBER($BC$669),$B$511=1),$BC$669,HLOOKUP(INDIRECT(ADDRESS(2,COLUMN())),OFFSET($BN$2,0,0,ROW()-1,60),ROW()-1,FALSE))</f>
        <v>131.48608100000001</v>
      </c>
      <c r="BD163">
        <f ca="1">IF(AND(ISNUMBER($BD$669),$B$511=1),$BD$669,HLOOKUP(INDIRECT(ADDRESS(2,COLUMN())),OFFSET($BN$2,0,0,ROW()-1,60),ROW()-1,FALSE))</f>
        <v>131.98629009999999</v>
      </c>
      <c r="BE163">
        <f ca="1">IF(AND(ISNUMBER($BE$669),$B$511=1),$BE$669,HLOOKUP(INDIRECT(ADDRESS(2,COLUMN())),OFFSET($BN$2,0,0,ROW()-1,60),ROW()-1,FALSE))</f>
        <v>148.33038210000001</v>
      </c>
      <c r="BF163">
        <f ca="1">IF(AND(ISNUMBER($BF$669),$B$511=1),$BF$669,HLOOKUP(INDIRECT(ADDRESS(2,COLUMN())),OFFSET($BN$2,0,0,ROW()-1,60),ROW()-1,FALSE))</f>
        <v>136.96902510000001</v>
      </c>
      <c r="BG163">
        <f ca="1">IF(AND(ISNUMBER($BG$669),$B$511=1),$BG$669,HLOOKUP(INDIRECT(ADDRESS(2,COLUMN())),OFFSET($BN$2,0,0,ROW()-1,60),ROW()-1,FALSE))</f>
        <v>125.57817129999999</v>
      </c>
      <c r="BH163" t="str">
        <f ca="1">IF(AND(ISNUMBER($BH$669),$B$511=1),$BH$669,HLOOKUP(INDIRECT(ADDRESS(2,COLUMN())),OFFSET($BN$2,0,0,ROW()-1,60),ROW()-1,FALSE))</f>
        <v/>
      </c>
      <c r="BI163" t="str">
        <f ca="1">IF(AND(ISNUMBER($BI$669),$B$511=1),$BI$669,HLOOKUP(INDIRECT(ADDRESS(2,COLUMN())),OFFSET($BN$2,0,0,ROW()-1,60),ROW()-1,FALSE))</f>
        <v/>
      </c>
      <c r="BJ163" t="str">
        <f ca="1">IF(AND(ISNUMBER($BJ$669),$B$511=1),$BJ$669,HLOOKUP(INDIRECT(ADDRESS(2,COLUMN())),OFFSET($BN$2,0,0,ROW()-1,60),ROW()-1,FALSE))</f>
        <v/>
      </c>
      <c r="BK163" t="str">
        <f ca="1">IF(AND(ISNUMBER($BK$669),$B$511=1),$BK$669,HLOOKUP(INDIRECT(ADDRESS(2,COLUMN())),OFFSET($BN$2,0,0,ROW()-1,60),ROW()-1,FALSE))</f>
        <v/>
      </c>
      <c r="BL163" t="str">
        <f ca="1">IF(AND(ISNUMBER($BL$669),$B$511=1),$BL$669,HLOOKUP(INDIRECT(ADDRESS(2,COLUMN())),OFFSET($BN$2,0,0,ROW()-1,60),ROW()-1,FALSE))</f>
        <v/>
      </c>
      <c r="BM163" t="str">
        <f ca="1">IF(AND(ISNUMBER($BM$669),$B$511=1),$BM$669,HLOOKUP(INDIRECT(ADDRESS(2,COLUMN())),OFFSET($BN$2,0,0,ROW()-1,60),ROW()-1,FALSE))</f>
        <v/>
      </c>
      <c r="BN163" t="str">
        <f>""</f>
        <v/>
      </c>
      <c r="BO163">
        <f>537.7612004</f>
        <v>537.76120040000001</v>
      </c>
      <c r="BP163">
        <f>269.1560813</f>
        <v>269.15608129999998</v>
      </c>
      <c r="BQ163">
        <f>228.378112</f>
        <v>228.37811199999999</v>
      </c>
      <c r="BR163">
        <f>-24.21201596</f>
        <v>-24.212015959999999</v>
      </c>
      <c r="BS163">
        <f>-48.77187855</f>
        <v>-48.771878549999997</v>
      </c>
      <c r="BT163">
        <f>563.9954203</f>
        <v>563.99542029999998</v>
      </c>
      <c r="BU163">
        <f>545.1065494</f>
        <v>545.10654939999995</v>
      </c>
      <c r="BV163">
        <f>480.1256371</f>
        <v>480.12563710000001</v>
      </c>
      <c r="BW163">
        <f>454.6221871</f>
        <v>454.62218710000002</v>
      </c>
      <c r="BX163">
        <f>405.8626645</f>
        <v>405.86266449999999</v>
      </c>
      <c r="BY163">
        <f>399.2668482</f>
        <v>399.26684820000003</v>
      </c>
      <c r="BZ163">
        <f>383.0834093</f>
        <v>383.08340930000003</v>
      </c>
      <c r="CA163">
        <f>392.7653904</f>
        <v>392.7653904</v>
      </c>
      <c r="CB163">
        <f>386.6750109</f>
        <v>386.67501090000002</v>
      </c>
      <c r="CC163">
        <f>380.5712706</f>
        <v>380.57127059999999</v>
      </c>
      <c r="CD163">
        <f>377.7838708</f>
        <v>377.78387079999999</v>
      </c>
      <c r="CE163">
        <f>376.4523571</f>
        <v>376.45235709999997</v>
      </c>
      <c r="CF163">
        <f>399.4110095</f>
        <v>399.41100949999998</v>
      </c>
      <c r="CG163">
        <f>414.0372493</f>
        <v>414.03724929999998</v>
      </c>
      <c r="CH163">
        <f>417.8919884</f>
        <v>417.8919884</v>
      </c>
      <c r="CI163">
        <f>431.0586139</f>
        <v>431.05861390000001</v>
      </c>
      <c r="CJ163">
        <f>469.6170008</f>
        <v>469.61700080000003</v>
      </c>
      <c r="CK163">
        <f>469.8437971</f>
        <v>469.84379710000002</v>
      </c>
      <c r="CL163">
        <f>485.0890906</f>
        <v>485.08909060000002</v>
      </c>
      <c r="CM163">
        <f>469.5533978</f>
        <v>469.55339780000003</v>
      </c>
      <c r="CN163">
        <f>441.9889697</f>
        <v>441.98896969999998</v>
      </c>
      <c r="CO163">
        <f>459.0871743</f>
        <v>459.08717430000002</v>
      </c>
      <c r="CP163">
        <f>468.974863</f>
        <v>468.97486300000003</v>
      </c>
      <c r="CQ163">
        <f>471.037939</f>
        <v>471.03793899999999</v>
      </c>
      <c r="CR163">
        <f>497.0091075</f>
        <v>497.00910750000003</v>
      </c>
      <c r="CS163">
        <f>469.5288729</f>
        <v>469.52887290000001</v>
      </c>
      <c r="CT163">
        <f>438.9155299</f>
        <v>438.91552990000002</v>
      </c>
      <c r="CU163">
        <f>434.6067631</f>
        <v>434.60676310000002</v>
      </c>
      <c r="CV163">
        <f>379.4015038</f>
        <v>379.4015038</v>
      </c>
      <c r="CW163">
        <f>385.8818421</f>
        <v>385.88184209999997</v>
      </c>
      <c r="CX163">
        <f>356.2168517</f>
        <v>356.21685170000001</v>
      </c>
      <c r="CY163">
        <f>307.389531</f>
        <v>307.38953099999998</v>
      </c>
      <c r="CZ163">
        <f>306.9807896</f>
        <v>306.98078959999998</v>
      </c>
      <c r="DA163">
        <f>294.1110452</f>
        <v>294.11104519999998</v>
      </c>
      <c r="DB163">
        <f>335.468385</f>
        <v>335.46838500000001</v>
      </c>
      <c r="DC163">
        <f>372.9105861</f>
        <v>372.91058609999999</v>
      </c>
      <c r="DD163">
        <f>362.4796167</f>
        <v>362.47961670000001</v>
      </c>
      <c r="DE163">
        <f>331.1110007</f>
        <v>331.11100069999998</v>
      </c>
      <c r="DF163">
        <f>255.4570381</f>
        <v>255.45703810000001</v>
      </c>
      <c r="DG163">
        <f>195.3066141</f>
        <v>195.30661409999999</v>
      </c>
      <c r="DH163">
        <f>167.4153487</f>
        <v>167.41534870000001</v>
      </c>
      <c r="DI163">
        <f>130.5626416</f>
        <v>130.56264160000001</v>
      </c>
      <c r="DJ163">
        <f>136.5720109</f>
        <v>136.57201090000001</v>
      </c>
      <c r="DK163">
        <f>131.486081</f>
        <v>131.48608100000001</v>
      </c>
      <c r="DL163">
        <f>131.9862901</f>
        <v>131.98629009999999</v>
      </c>
      <c r="DM163">
        <f>148.3303821</f>
        <v>148.33038210000001</v>
      </c>
      <c r="DN163">
        <f>136.9690251</f>
        <v>136.96902510000001</v>
      </c>
      <c r="DO163">
        <f>125.5781713</f>
        <v>125.57817129999999</v>
      </c>
      <c r="DP163" t="str">
        <f>""</f>
        <v/>
      </c>
      <c r="DQ163" t="str">
        <f>""</f>
        <v/>
      </c>
      <c r="DR163" t="str">
        <f>""</f>
        <v/>
      </c>
      <c r="DS163" t="str">
        <f>""</f>
        <v/>
      </c>
      <c r="DT163" t="str">
        <f>""</f>
        <v/>
      </c>
      <c r="DU163" t="str">
        <f>""</f>
        <v/>
      </c>
    </row>
    <row r="164" spans="1:125" x14ac:dyDescent="0.25">
      <c r="A164" t="str">
        <f>"    Toyota Motor Corp"</f>
        <v xml:space="preserve">    Toyota Motor Corp</v>
      </c>
      <c r="B164" t="str">
        <f>"7203 JP Equity"</f>
        <v>7203 JP Equity</v>
      </c>
      <c r="C164" t="str">
        <f t="shared" si="9"/>
        <v>RR841</v>
      </c>
      <c r="D164" t="str">
        <f t="shared" si="10"/>
        <v>TRAIL_12M_EBITDA</v>
      </c>
      <c r="E164" t="str">
        <f t="shared" si="11"/>
        <v>Dynamic</v>
      </c>
      <c r="F164" t="str">
        <f ca="1">IF(AND(ISNUMBER($F$670),$B$511=1),$F$670,HLOOKUP(INDIRECT(ADDRESS(2,COLUMN())),OFFSET($BN$2,0,0,ROW()-1,60),ROW()-1,FALSE))</f>
        <v/>
      </c>
      <c r="G164">
        <f ca="1">IF(AND(ISNUMBER($G$670),$B$511=1),$G$670,HLOOKUP(INDIRECT(ADDRESS(2,COLUMN())),OFFSET($BN$2,0,0,ROW()-1,60),ROW()-1,FALSE))</f>
        <v>39336.628409999998</v>
      </c>
      <c r="H164">
        <f ca="1">IF(AND(ISNUMBER($H$670),$B$511=1),$H$670,HLOOKUP(INDIRECT(ADDRESS(2,COLUMN())),OFFSET($BN$2,0,0,ROW()-1,60),ROW()-1,FALSE))</f>
        <v>39216.996180000002</v>
      </c>
      <c r="I164">
        <f ca="1">IF(AND(ISNUMBER($I$670),$B$511=1),$I$670,HLOOKUP(INDIRECT(ADDRESS(2,COLUMN())),OFFSET($BN$2,0,0,ROW()-1,60),ROW()-1,FALSE))</f>
        <v>38582.718650000003</v>
      </c>
      <c r="J164">
        <f ca="1">IF(AND(ISNUMBER($J$670),$B$511=1),$J$670,HLOOKUP(INDIRECT(ADDRESS(2,COLUMN())),OFFSET($BN$2,0,0,ROW()-1,60),ROW()-1,FALSE))</f>
        <v>37311.838949999998</v>
      </c>
      <c r="K164">
        <f ca="1">IF(AND(ISNUMBER($K$670),$B$511=1),$K$670,HLOOKUP(INDIRECT(ADDRESS(2,COLUMN())),OFFSET($BN$2,0,0,ROW()-1,60),ROW()-1,FALSE))</f>
        <v>35018.113689999998</v>
      </c>
      <c r="L164">
        <f ca="1">IF(AND(ISNUMBER($L$670),$B$511=1),$L$670,HLOOKUP(INDIRECT(ADDRESS(2,COLUMN())),OFFSET($BN$2,0,0,ROW()-1,60),ROW()-1,FALSE))</f>
        <v>32838.810030000001</v>
      </c>
      <c r="M164">
        <f ca="1">IF(AND(ISNUMBER($M$670),$B$511=1),$M$670,HLOOKUP(INDIRECT(ADDRESS(2,COLUMN())),OFFSET($BN$2,0,0,ROW()-1,60),ROW()-1,FALSE))</f>
        <v>32653.79263</v>
      </c>
      <c r="N164">
        <f ca="1">IF(AND(ISNUMBER($N$670),$B$511=1),$N$670,HLOOKUP(INDIRECT(ADDRESS(2,COLUMN())),OFFSET($BN$2,0,0,ROW()-1,60),ROW()-1,FALSE))</f>
        <v>33350.877189999999</v>
      </c>
      <c r="O164">
        <f ca="1">IF(AND(ISNUMBER($O$670),$B$511=1),$O$670,HLOOKUP(INDIRECT(ADDRESS(2,COLUMN())),OFFSET($BN$2,0,0,ROW()-1,60),ROW()-1,FALSE))</f>
        <v>33883.133670000003</v>
      </c>
      <c r="P164">
        <f ca="1">IF(AND(ISNUMBER($P$670),$B$511=1),$P$670,HLOOKUP(INDIRECT(ADDRESS(2,COLUMN())),OFFSET($BN$2,0,0,ROW()-1,60),ROW()-1,FALSE))</f>
        <v>35921.46658</v>
      </c>
      <c r="Q164">
        <f ca="1">IF(AND(ISNUMBER($Q$670),$B$511=1),$Q$670,HLOOKUP(INDIRECT(ADDRESS(2,COLUMN())),OFFSET($BN$2,0,0,ROW()-1,60),ROW()-1,FALSE))</f>
        <v>37516.6152</v>
      </c>
      <c r="R164">
        <f ca="1">IF(AND(ISNUMBER($R$670),$B$511=1),$R$670,HLOOKUP(INDIRECT(ADDRESS(2,COLUMN())),OFFSET($BN$2,0,0,ROW()-1,60),ROW()-1,FALSE))</f>
        <v>37346.43937</v>
      </c>
      <c r="S164">
        <f ca="1">IF(AND(ISNUMBER($S$670),$B$511=1),$S$670,HLOOKUP(INDIRECT(ADDRESS(2,COLUMN())),OFFSET($BN$2,0,0,ROW()-1,60),ROW()-1,FALSE))</f>
        <v>37702.219060000003</v>
      </c>
      <c r="T164">
        <f ca="1">IF(AND(ISNUMBER($T$670),$B$511=1),$T$670,HLOOKUP(INDIRECT(ADDRESS(2,COLUMN())),OFFSET($BN$2,0,0,ROW()-1,60),ROW()-1,FALSE))</f>
        <v>38001.086560000003</v>
      </c>
      <c r="U164">
        <f ca="1">IF(AND(ISNUMBER($U$670),$B$511=1),$U$670,HLOOKUP(INDIRECT(ADDRESS(2,COLUMN())),OFFSET($BN$2,0,0,ROW()-1,60),ROW()-1,FALSE))</f>
        <v>37548.82892</v>
      </c>
      <c r="V164">
        <f ca="1">IF(AND(ISNUMBER($V$670),$B$511=1),$V$670,HLOOKUP(INDIRECT(ADDRESS(2,COLUMN())),OFFSET($BN$2,0,0,ROW()-1,60),ROW()-1,FALSE))</f>
        <v>38028.29823</v>
      </c>
      <c r="W164">
        <f ca="1">IF(AND(ISNUMBER($W$670),$B$511=1),$W$670,HLOOKUP(INDIRECT(ADDRESS(2,COLUMN())),OFFSET($BN$2,0,0,ROW()-1,60),ROW()-1,FALSE))</f>
        <v>36981.174440000003</v>
      </c>
      <c r="X164">
        <f ca="1">IF(AND(ISNUMBER($X$670),$B$511=1),$X$670,HLOOKUP(INDIRECT(ADDRESS(2,COLUMN())),OFFSET($BN$2,0,0,ROW()-1,60),ROW()-1,FALSE))</f>
        <v>36100.259850000002</v>
      </c>
      <c r="Y164">
        <f ca="1">IF(AND(ISNUMBER($Y$670),$B$511=1),$Y$670,HLOOKUP(INDIRECT(ADDRESS(2,COLUMN())),OFFSET($BN$2,0,0,ROW()-1,60),ROW()-1,FALSE))</f>
        <v>35646.004569999997</v>
      </c>
      <c r="Z164">
        <f ca="1">IF(AND(ISNUMBER($Z$670),$B$511=1),$Z$670,HLOOKUP(INDIRECT(ADDRESS(2,COLUMN())),OFFSET($BN$2,0,0,ROW()-1,60),ROW()-1,FALSE))</f>
        <v>35377.644800000002</v>
      </c>
      <c r="AA164">
        <f ca="1">IF(AND(ISNUMBER($AA$670),$B$511=1),$AA$670,HLOOKUP(INDIRECT(ADDRESS(2,COLUMN())),OFFSET($BN$2,0,0,ROW()-1,60),ROW()-1,FALSE))</f>
        <v>36726.252410000001</v>
      </c>
      <c r="AB164">
        <f ca="1">IF(AND(ISNUMBER($AB$670),$B$511=1),$AB$670,HLOOKUP(INDIRECT(ADDRESS(2,COLUMN())),OFFSET($BN$2,0,0,ROW()-1,60),ROW()-1,FALSE))</f>
        <v>33335.966619999999</v>
      </c>
      <c r="AC164">
        <f ca="1">IF(AND(ISNUMBER($AC$670),$B$511=1),$AC$670,HLOOKUP(INDIRECT(ADDRESS(2,COLUMN())),OFFSET($BN$2,0,0,ROW()-1,60),ROW()-1,FALSE))</f>
        <v>31902.43102</v>
      </c>
      <c r="AD164">
        <f ca="1">IF(AND(ISNUMBER($AD$670),$B$511=1),$AD$670,HLOOKUP(INDIRECT(ADDRESS(2,COLUMN())),OFFSET($BN$2,0,0,ROW()-1,60),ROW()-1,FALSE))</f>
        <v>29360.146659999999</v>
      </c>
      <c r="AE164">
        <f ca="1">IF(AND(ISNUMBER($AE$670),$B$511=1),$AE$670,HLOOKUP(INDIRECT(ADDRESS(2,COLUMN())),OFFSET($BN$2,0,0,ROW()-1,60),ROW()-1,FALSE))</f>
        <v>26726.536390000001</v>
      </c>
      <c r="AF164">
        <f ca="1">IF(AND(ISNUMBER($AF$670),$B$511=1),$AF$670,HLOOKUP(INDIRECT(ADDRESS(2,COLUMN())),OFFSET($BN$2,0,0,ROW()-1,60),ROW()-1,FALSE))</f>
        <v>27169.474470000001</v>
      </c>
      <c r="AG164">
        <f ca="1">IF(AND(ISNUMBER($AG$670),$B$511=1),$AG$670,HLOOKUP(INDIRECT(ADDRESS(2,COLUMN())),OFFSET($BN$2,0,0,ROW()-1,60),ROW()-1,FALSE))</f>
        <v>23950.332579999998</v>
      </c>
      <c r="AH164">
        <f ca="1">IF(AND(ISNUMBER($AH$670),$B$511=1),$AH$670,HLOOKUP(INDIRECT(ADDRESS(2,COLUMN())),OFFSET($BN$2,0,0,ROW()-1,60),ROW()-1,FALSE))</f>
        <v>18040.619770000001</v>
      </c>
      <c r="AI164">
        <f ca="1">IF(AND(ISNUMBER($AI$670),$B$511=1),$AI$670,HLOOKUP(INDIRECT(ADDRESS(2,COLUMN())),OFFSET($BN$2,0,0,ROW()-1,60),ROW()-1,FALSE))</f>
        <v>15709.3745</v>
      </c>
      <c r="AJ164">
        <f ca="1">IF(AND(ISNUMBER($AJ$670),$B$511=1),$AJ$670,HLOOKUP(INDIRECT(ADDRESS(2,COLUMN())),OFFSET($BN$2,0,0,ROW()-1,60),ROW()-1,FALSE))</f>
        <v>15131.24281</v>
      </c>
      <c r="AK164">
        <f ca="1">IF(AND(ISNUMBER($AK$670),$B$511=1),$AK$670,HLOOKUP(INDIRECT(ADDRESS(2,COLUMN())),OFFSET($BN$2,0,0,ROW()-1,60),ROW()-1,FALSE))</f>
        <v>15513.53311</v>
      </c>
      <c r="AL164">
        <f ca="1">IF(AND(ISNUMBER($AL$670),$B$511=1),$AL$670,HLOOKUP(INDIRECT(ADDRESS(2,COLUMN())),OFFSET($BN$2,0,0,ROW()-1,60),ROW()-1,FALSE))</f>
        <v>19235.133750000001</v>
      </c>
      <c r="AM164">
        <f ca="1">IF(AND(ISNUMBER($AM$670),$B$511=1),$AM$670,HLOOKUP(INDIRECT(ADDRESS(2,COLUMN())),OFFSET($BN$2,0,0,ROW()-1,60),ROW()-1,FALSE))</f>
        <v>20167.139009999999</v>
      </c>
      <c r="AN164">
        <f ca="1">IF(AND(ISNUMBER($AN$670),$B$511=1),$AN$670,HLOOKUP(INDIRECT(ADDRESS(2,COLUMN())),OFFSET($BN$2,0,0,ROW()-1,60),ROW()-1,FALSE))</f>
        <v>21465.30962</v>
      </c>
      <c r="AO164">
        <f ca="1">IF(AND(ISNUMBER($AO$670),$B$511=1),$AO$670,HLOOKUP(INDIRECT(ADDRESS(2,COLUMN())),OFFSET($BN$2,0,0,ROW()-1,60),ROW()-1,FALSE))</f>
        <v>21059.18331</v>
      </c>
      <c r="AP164">
        <f ca="1">IF(AND(ISNUMBER($AP$670),$B$511=1),$AP$670,HLOOKUP(INDIRECT(ADDRESS(2,COLUMN())),OFFSET($BN$2,0,0,ROW()-1,60),ROW()-1,FALSE))</f>
        <v>16843.64849</v>
      </c>
      <c r="AQ164">
        <f ca="1">IF(AND(ISNUMBER($AQ$670),$B$511=1),$AQ$670,HLOOKUP(INDIRECT(ADDRESS(2,COLUMN())),OFFSET($BN$2,0,0,ROW()-1,60),ROW()-1,FALSE))</f>
        <v>8583.6673300000002</v>
      </c>
      <c r="AR164">
        <f ca="1">IF(AND(ISNUMBER($AR$670),$B$511=1),$AR$670,HLOOKUP(INDIRECT(ADDRESS(2,COLUMN())),OFFSET($BN$2,0,0,ROW()-1,60),ROW()-1,FALSE))</f>
        <v>2735.194735</v>
      </c>
      <c r="AS164">
        <f ca="1">IF(AND(ISNUMBER($AS$670),$B$511=1),$AS$670,HLOOKUP(INDIRECT(ADDRESS(2,COLUMN())),OFFSET($BN$2,0,0,ROW()-1,60),ROW()-1,FALSE))</f>
        <v>4146.7764520000001</v>
      </c>
      <c r="AT164">
        <f ca="1">IF(AND(ISNUMBER($AT$670),$B$511=1),$AT$670,HLOOKUP(INDIRECT(ADDRESS(2,COLUMN())),OFFSET($BN$2,0,0,ROW()-1,60),ROW()-1,FALSE))</f>
        <v>10333.11593</v>
      </c>
      <c r="AU164" t="str">
        <f ca="1">IF(AND(ISNUMBER($AU$670),$B$511=1),$AU$670,HLOOKUP(INDIRECT(ADDRESS(2,COLUMN())),OFFSET($BN$2,0,0,ROW()-1,60),ROW()-1,FALSE))</f>
        <v/>
      </c>
      <c r="AV164" t="str">
        <f ca="1">IF(AND(ISNUMBER($AV$670),$B$511=1),$AV$670,HLOOKUP(INDIRECT(ADDRESS(2,COLUMN())),OFFSET($BN$2,0,0,ROW()-1,60),ROW()-1,FALSE))</f>
        <v/>
      </c>
      <c r="AW164" t="str">
        <f ca="1">IF(AND(ISNUMBER($AW$670),$B$511=1),$AW$670,HLOOKUP(INDIRECT(ADDRESS(2,COLUMN())),OFFSET($BN$2,0,0,ROW()-1,60),ROW()-1,FALSE))</f>
        <v/>
      </c>
      <c r="AX164" t="str">
        <f ca="1">IF(AND(ISNUMBER($AX$670),$B$511=1),$AX$670,HLOOKUP(INDIRECT(ADDRESS(2,COLUMN())),OFFSET($BN$2,0,0,ROW()-1,60),ROW()-1,FALSE))</f>
        <v/>
      </c>
      <c r="AY164" t="str">
        <f ca="1">IF(AND(ISNUMBER($AY$670),$B$511=1),$AY$670,HLOOKUP(INDIRECT(ADDRESS(2,COLUMN())),OFFSET($BN$2,0,0,ROW()-1,60),ROW()-1,FALSE))</f>
        <v/>
      </c>
      <c r="AZ164" t="str">
        <f ca="1">IF(AND(ISNUMBER($AZ$670),$B$511=1),$AZ$670,HLOOKUP(INDIRECT(ADDRESS(2,COLUMN())),OFFSET($BN$2,0,0,ROW()-1,60),ROW()-1,FALSE))</f>
        <v/>
      </c>
      <c r="BA164" t="str">
        <f ca="1">IF(AND(ISNUMBER($BA$670),$B$511=1),$BA$670,HLOOKUP(INDIRECT(ADDRESS(2,COLUMN())),OFFSET($BN$2,0,0,ROW()-1,60),ROW()-1,FALSE))</f>
        <v/>
      </c>
      <c r="BB164" t="str">
        <f ca="1">IF(AND(ISNUMBER($BB$670),$B$511=1),$BB$670,HLOOKUP(INDIRECT(ADDRESS(2,COLUMN())),OFFSET($BN$2,0,0,ROW()-1,60),ROW()-1,FALSE))</f>
        <v/>
      </c>
      <c r="BC164" t="str">
        <f ca="1">IF(AND(ISNUMBER($BC$670),$B$511=1),$BC$670,HLOOKUP(INDIRECT(ADDRESS(2,COLUMN())),OFFSET($BN$2,0,0,ROW()-1,60),ROW()-1,FALSE))</f>
        <v/>
      </c>
      <c r="BD164" t="str">
        <f ca="1">IF(AND(ISNUMBER($BD$670),$B$511=1),$BD$670,HLOOKUP(INDIRECT(ADDRESS(2,COLUMN())),OFFSET($BN$2,0,0,ROW()-1,60),ROW()-1,FALSE))</f>
        <v/>
      </c>
      <c r="BE164" t="str">
        <f ca="1">IF(AND(ISNUMBER($BE$670),$B$511=1),$BE$670,HLOOKUP(INDIRECT(ADDRESS(2,COLUMN())),OFFSET($BN$2,0,0,ROW()-1,60),ROW()-1,FALSE))</f>
        <v/>
      </c>
      <c r="BF164" t="str">
        <f ca="1">IF(AND(ISNUMBER($BF$670),$B$511=1),$BF$670,HLOOKUP(INDIRECT(ADDRESS(2,COLUMN())),OFFSET($BN$2,0,0,ROW()-1,60),ROW()-1,FALSE))</f>
        <v/>
      </c>
      <c r="BG164" t="str">
        <f ca="1">IF(AND(ISNUMBER($BG$670),$B$511=1),$BG$670,HLOOKUP(INDIRECT(ADDRESS(2,COLUMN())),OFFSET($BN$2,0,0,ROW()-1,60),ROW()-1,FALSE))</f>
        <v/>
      </c>
      <c r="BH164" t="str">
        <f ca="1">IF(AND(ISNUMBER($BH$670),$B$511=1),$BH$670,HLOOKUP(INDIRECT(ADDRESS(2,COLUMN())),OFFSET($BN$2,0,0,ROW()-1,60),ROW()-1,FALSE))</f>
        <v/>
      </c>
      <c r="BI164" t="str">
        <f ca="1">IF(AND(ISNUMBER($BI$670),$B$511=1),$BI$670,HLOOKUP(INDIRECT(ADDRESS(2,COLUMN())),OFFSET($BN$2,0,0,ROW()-1,60),ROW()-1,FALSE))</f>
        <v/>
      </c>
      <c r="BJ164" t="str">
        <f ca="1">IF(AND(ISNUMBER($BJ$670),$B$511=1),$BJ$670,HLOOKUP(INDIRECT(ADDRESS(2,COLUMN())),OFFSET($BN$2,0,0,ROW()-1,60),ROW()-1,FALSE))</f>
        <v/>
      </c>
      <c r="BK164" t="str">
        <f ca="1">IF(AND(ISNUMBER($BK$670),$B$511=1),$BK$670,HLOOKUP(INDIRECT(ADDRESS(2,COLUMN())),OFFSET($BN$2,0,0,ROW()-1,60),ROW()-1,FALSE))</f>
        <v/>
      </c>
      <c r="BL164" t="str">
        <f ca="1">IF(AND(ISNUMBER($BL$670),$B$511=1),$BL$670,HLOOKUP(INDIRECT(ADDRESS(2,COLUMN())),OFFSET($BN$2,0,0,ROW()-1,60),ROW()-1,FALSE))</f>
        <v/>
      </c>
      <c r="BM164" t="str">
        <f ca="1">IF(AND(ISNUMBER($BM$670),$B$511=1),$BM$670,HLOOKUP(INDIRECT(ADDRESS(2,COLUMN())),OFFSET($BN$2,0,0,ROW()-1,60),ROW()-1,FALSE))</f>
        <v/>
      </c>
      <c r="BN164" t="str">
        <f>""</f>
        <v/>
      </c>
      <c r="BO164">
        <f>39336.62841</f>
        <v>39336.628409999998</v>
      </c>
      <c r="BP164">
        <f>39216.99618</f>
        <v>39216.996180000002</v>
      </c>
      <c r="BQ164">
        <f>38582.71865</f>
        <v>38582.718650000003</v>
      </c>
      <c r="BR164">
        <f>37311.83895</f>
        <v>37311.838949999998</v>
      </c>
      <c r="BS164">
        <f>35018.11369</f>
        <v>35018.113689999998</v>
      </c>
      <c r="BT164">
        <f>32838.81003</f>
        <v>32838.810030000001</v>
      </c>
      <c r="BU164">
        <f>32653.79263</f>
        <v>32653.79263</v>
      </c>
      <c r="BV164">
        <f>33350.87719</f>
        <v>33350.877189999999</v>
      </c>
      <c r="BW164">
        <f>33883.13367</f>
        <v>33883.133670000003</v>
      </c>
      <c r="BX164">
        <f>35921.46658</f>
        <v>35921.46658</v>
      </c>
      <c r="BY164">
        <f>37516.6152</f>
        <v>37516.6152</v>
      </c>
      <c r="BZ164">
        <f>37346.43937</f>
        <v>37346.43937</v>
      </c>
      <c r="CA164">
        <f>37702.21906</f>
        <v>37702.219060000003</v>
      </c>
      <c r="CB164">
        <f>38001.08656</f>
        <v>38001.086560000003</v>
      </c>
      <c r="CC164">
        <f>37548.8289199999</f>
        <v>37548.82892</v>
      </c>
      <c r="CD164">
        <f>38028.29823</f>
        <v>38028.29823</v>
      </c>
      <c r="CE164">
        <f>36981.17444</f>
        <v>36981.174440000003</v>
      </c>
      <c r="CF164">
        <f>36100.25985</f>
        <v>36100.259850000002</v>
      </c>
      <c r="CG164">
        <f>35646.00457</f>
        <v>35646.004569999997</v>
      </c>
      <c r="CH164">
        <f>35377.6448</f>
        <v>35377.644800000002</v>
      </c>
      <c r="CI164">
        <f>36726.25241</f>
        <v>36726.252410000001</v>
      </c>
      <c r="CJ164">
        <f>33335.96662</f>
        <v>33335.966619999999</v>
      </c>
      <c r="CK164">
        <f>31902.43102</f>
        <v>31902.43102</v>
      </c>
      <c r="CL164">
        <f>29360.14666</f>
        <v>29360.146659999999</v>
      </c>
      <c r="CM164">
        <f>26726.53639</f>
        <v>26726.536390000001</v>
      </c>
      <c r="CN164">
        <f>27169.47447</f>
        <v>27169.474470000001</v>
      </c>
      <c r="CO164">
        <f>23950.33258</f>
        <v>23950.332579999998</v>
      </c>
      <c r="CP164">
        <f>18040.61977</f>
        <v>18040.619770000001</v>
      </c>
      <c r="CQ164">
        <f>15709.3745</f>
        <v>15709.3745</v>
      </c>
      <c r="CR164">
        <f>15131.24281</f>
        <v>15131.24281</v>
      </c>
      <c r="CS164">
        <f>15513.53311</f>
        <v>15513.53311</v>
      </c>
      <c r="CT164">
        <f>19235.13375</f>
        <v>19235.133750000001</v>
      </c>
      <c r="CU164">
        <f>20167.13901</f>
        <v>20167.139009999999</v>
      </c>
      <c r="CV164">
        <f>21465.30962</f>
        <v>21465.30962</v>
      </c>
      <c r="CW164">
        <f>21059.18331</f>
        <v>21059.18331</v>
      </c>
      <c r="CX164">
        <f>16843.64849</f>
        <v>16843.64849</v>
      </c>
      <c r="CY164">
        <f>8583.66733</f>
        <v>8583.6673300000002</v>
      </c>
      <c r="CZ164">
        <f>2735.194735</f>
        <v>2735.194735</v>
      </c>
      <c r="DA164">
        <f>4146.776452</f>
        <v>4146.7764520000001</v>
      </c>
      <c r="DB164">
        <f>10333.11593</f>
        <v>10333.11593</v>
      </c>
      <c r="DC164" t="str">
        <f>""</f>
        <v/>
      </c>
      <c r="DD164" t="str">
        <f>""</f>
        <v/>
      </c>
      <c r="DE164" t="str">
        <f>""</f>
        <v/>
      </c>
      <c r="DF164" t="str">
        <f>""</f>
        <v/>
      </c>
      <c r="DG164" t="str">
        <f>""</f>
        <v/>
      </c>
      <c r="DH164" t="str">
        <f>""</f>
        <v/>
      </c>
      <c r="DI164" t="str">
        <f>""</f>
        <v/>
      </c>
      <c r="DJ164" t="str">
        <f>""</f>
        <v/>
      </c>
      <c r="DK164" t="str">
        <f>""</f>
        <v/>
      </c>
      <c r="DL164" t="str">
        <f>""</f>
        <v/>
      </c>
      <c r="DM164" t="str">
        <f>""</f>
        <v/>
      </c>
      <c r="DN164" t="str">
        <f>""</f>
        <v/>
      </c>
      <c r="DO164" t="str">
        <f>""</f>
        <v/>
      </c>
      <c r="DP164" t="str">
        <f>""</f>
        <v/>
      </c>
      <c r="DQ164" t="str">
        <f>""</f>
        <v/>
      </c>
      <c r="DR164" t="str">
        <f>""</f>
        <v/>
      </c>
      <c r="DS164" t="str">
        <f>""</f>
        <v/>
      </c>
      <c r="DT164" t="str">
        <f>""</f>
        <v/>
      </c>
      <c r="DU164" t="str">
        <f>""</f>
        <v/>
      </c>
    </row>
    <row r="165" spans="1:125" x14ac:dyDescent="0.25">
      <c r="A165" t="str">
        <f>"    Volkswagen AG"</f>
        <v xml:space="preserve">    Volkswagen AG</v>
      </c>
      <c r="B165" t="str">
        <f>"VOW GR Equity"</f>
        <v>VOW GR Equity</v>
      </c>
      <c r="C165" t="str">
        <f t="shared" si="9"/>
        <v>RR841</v>
      </c>
      <c r="D165" t="str">
        <f t="shared" si="10"/>
        <v>TRAIL_12M_EBITDA</v>
      </c>
      <c r="E165" t="str">
        <f t="shared" si="11"/>
        <v>Dynamic</v>
      </c>
      <c r="F165" t="str">
        <f ca="1">IF(AND(ISNUMBER($F$671),$B$511=1),$F$671,HLOOKUP(INDIRECT(ADDRESS(2,COLUMN())),OFFSET($BN$2,0,0,ROW()-1,60),ROW()-1,FALSE))</f>
        <v/>
      </c>
      <c r="G165" t="str">
        <f ca="1">IF(AND(ISNUMBER($G$671),$B$511=1),$G$671,HLOOKUP(INDIRECT(ADDRESS(2,COLUMN())),OFFSET($BN$2,0,0,ROW()-1,60),ROW()-1,FALSE))</f>
        <v/>
      </c>
      <c r="H165">
        <f ca="1">IF(AND(ISNUMBER($H$671),$B$511=1),$H$671,HLOOKUP(INDIRECT(ADDRESS(2,COLUMN())),OFFSET($BN$2,0,0,ROW()-1,60),ROW()-1,FALSE))</f>
        <v>43165.383690000002</v>
      </c>
      <c r="I165">
        <f ca="1">IF(AND(ISNUMBER($I$671),$B$511=1),$I$671,HLOOKUP(INDIRECT(ADDRESS(2,COLUMN())),OFFSET($BN$2,0,0,ROW()-1,60),ROW()-1,FALSE))</f>
        <v>41826.997170000002</v>
      </c>
      <c r="J165">
        <f ca="1">IF(AND(ISNUMBER($J$671),$B$511=1),$J$671,HLOOKUP(INDIRECT(ADDRESS(2,COLUMN())),OFFSET($BN$2,0,0,ROW()-1,60),ROW()-1,FALSE))</f>
        <v>41879.420619999997</v>
      </c>
      <c r="K165">
        <f ca="1">IF(AND(ISNUMBER($K$671),$B$511=1),$K$671,HLOOKUP(INDIRECT(ADDRESS(2,COLUMN())),OFFSET($BN$2,0,0,ROW()-1,60),ROW()-1,FALSE))</f>
        <v>40499.378470000003</v>
      </c>
      <c r="L165">
        <f ca="1">IF(AND(ISNUMBER($L$671),$B$511=1),$L$671,HLOOKUP(INDIRECT(ADDRESS(2,COLUMN())),OFFSET($BN$2,0,0,ROW()-1,60),ROW()-1,FALSE))</f>
        <v>34212.839549999997</v>
      </c>
      <c r="M165">
        <f ca="1">IF(AND(ISNUMBER($M$671),$B$511=1),$M$671,HLOOKUP(INDIRECT(ADDRESS(2,COLUMN())),OFFSET($BN$2,0,0,ROW()-1,60),ROW()-1,FALSE))</f>
        <v>35166.495499999997</v>
      </c>
      <c r="N165">
        <f ca="1">IF(AND(ISNUMBER($N$671),$B$511=1),$N$671,HLOOKUP(INDIRECT(ADDRESS(2,COLUMN())),OFFSET($BN$2,0,0,ROW()-1,60),ROW()-1,FALSE))</f>
        <v>32198.08683</v>
      </c>
      <c r="O165">
        <f ca="1">IF(AND(ISNUMBER($O$671),$B$511=1),$O$671,HLOOKUP(INDIRECT(ADDRESS(2,COLUMN())),OFFSET($BN$2,0,0,ROW()-1,60),ROW()-1,FALSE))</f>
        <v>30876.092809999998</v>
      </c>
      <c r="P165">
        <f ca="1">IF(AND(ISNUMBER($P$671),$B$511=1),$P$671,HLOOKUP(INDIRECT(ADDRESS(2,COLUMN())),OFFSET($BN$2,0,0,ROW()-1,60),ROW()-1,FALSE))</f>
        <v>23920.857609999999</v>
      </c>
      <c r="Q165">
        <f ca="1">IF(AND(ISNUMBER($Q$671),$B$511=1),$Q$671,HLOOKUP(INDIRECT(ADDRESS(2,COLUMN())),OFFSET($BN$2,0,0,ROW()-1,60),ROW()-1,FALSE))</f>
        <v>16834.01138</v>
      </c>
      <c r="R165">
        <f ca="1">IF(AND(ISNUMBER($R$671),$B$511=1),$R$671,HLOOKUP(INDIRECT(ADDRESS(2,COLUMN())),OFFSET($BN$2,0,0,ROW()-1,60),ROW()-1,FALSE))</f>
        <v>17753.50606</v>
      </c>
      <c r="S165">
        <f ca="1">IF(AND(ISNUMBER($S$671),$B$511=1),$S$671,HLOOKUP(INDIRECT(ADDRESS(2,COLUMN())),OFFSET($BN$2,0,0,ROW()-1,60),ROW()-1,FALSE))</f>
        <v>17301.579849999998</v>
      </c>
      <c r="T165">
        <f ca="1">IF(AND(ISNUMBER($T$671),$B$511=1),$T$671,HLOOKUP(INDIRECT(ADDRESS(2,COLUMN())),OFFSET($BN$2,0,0,ROW()-1,60),ROW()-1,FALSE))</f>
        <v>29552.60542</v>
      </c>
      <c r="U165">
        <f ca="1">IF(AND(ISNUMBER($U$671),$B$511=1),$U$671,HLOOKUP(INDIRECT(ADDRESS(2,COLUMN())),OFFSET($BN$2,0,0,ROW()-1,60),ROW()-1,FALSE))</f>
        <v>37584.42035</v>
      </c>
      <c r="V165">
        <f ca="1">IF(AND(ISNUMBER($V$671),$B$511=1),$V$671,HLOOKUP(INDIRECT(ADDRESS(2,COLUMN())),OFFSET($BN$2,0,0,ROW()-1,60),ROW()-1,FALSE))</f>
        <v>38686.970780000003</v>
      </c>
      <c r="W165">
        <f ca="1">IF(AND(ISNUMBER($W$671),$B$511=1),$W$671,HLOOKUP(INDIRECT(ADDRESS(2,COLUMN())),OFFSET($BN$2,0,0,ROW()-1,60),ROW()-1,FALSE))</f>
        <v>39174.389410000003</v>
      </c>
      <c r="X165">
        <f ca="1">IF(AND(ISNUMBER($X$671),$B$511=1),$X$671,HLOOKUP(INDIRECT(ADDRESS(2,COLUMN())),OFFSET($BN$2,0,0,ROW()-1,60),ROW()-1,FALSE))</f>
        <v>38906.8436</v>
      </c>
      <c r="Y165">
        <f ca="1">IF(AND(ISNUMBER($Y$671),$B$511=1),$Y$671,HLOOKUP(INDIRECT(ADDRESS(2,COLUMN())),OFFSET($BN$2,0,0,ROW()-1,60),ROW()-1,FALSE))</f>
        <v>37301.215490000002</v>
      </c>
      <c r="Z165">
        <f ca="1">IF(AND(ISNUMBER($Z$671),$B$511=1),$Z$671,HLOOKUP(INDIRECT(ADDRESS(2,COLUMN())),OFFSET($BN$2,0,0,ROW()-1,60),ROW()-1,FALSE))</f>
        <v>36404.253109999998</v>
      </c>
      <c r="AA165">
        <f ca="1">IF(AND(ISNUMBER($AA$671),$B$511=1),$AA$671,HLOOKUP(INDIRECT(ADDRESS(2,COLUMN())),OFFSET($BN$2,0,0,ROW()-1,60),ROW()-1,FALSE))</f>
        <v>34962.485330000003</v>
      </c>
      <c r="AB165">
        <f ca="1">IF(AND(ISNUMBER($AB$671),$B$511=1),$AB$671,HLOOKUP(INDIRECT(ADDRESS(2,COLUMN())),OFFSET($BN$2,0,0,ROW()-1,60),ROW()-1,FALSE))</f>
        <v>33591.694960000001</v>
      </c>
      <c r="AC165">
        <f ca="1">IF(AND(ISNUMBER($AC$671),$B$511=1),$AC$671,HLOOKUP(INDIRECT(ADDRESS(2,COLUMN())),OFFSET($BN$2,0,0,ROW()-1,60),ROW()-1,FALSE))</f>
        <v>32280.688859999998</v>
      </c>
      <c r="AD165">
        <f ca="1">IF(AND(ISNUMBER($AD$671),$B$511=1),$AD$671,HLOOKUP(INDIRECT(ADDRESS(2,COLUMN())),OFFSET($BN$2,0,0,ROW()-1,60),ROW()-1,FALSE))</f>
        <v>31314.100190000001</v>
      </c>
      <c r="AE165">
        <f ca="1">IF(AND(ISNUMBER($AE$671),$B$511=1),$AE$671,HLOOKUP(INDIRECT(ADDRESS(2,COLUMN())),OFFSET($BN$2,0,0,ROW()-1,60),ROW()-1,FALSE))</f>
        <v>31647.85932</v>
      </c>
      <c r="AF165">
        <f ca="1">IF(AND(ISNUMBER($AF$671),$B$511=1),$AF$671,HLOOKUP(INDIRECT(ADDRESS(2,COLUMN())),OFFSET($BN$2,0,0,ROW()-1,60),ROW()-1,FALSE))</f>
        <v>30667.667600000001</v>
      </c>
      <c r="AG165">
        <f ca="1">IF(AND(ISNUMBER($AG$671),$B$511=1),$AG$671,HLOOKUP(INDIRECT(ADDRESS(2,COLUMN())),OFFSET($BN$2,0,0,ROW()-1,60),ROW()-1,FALSE))</f>
        <v>31226.273420000001</v>
      </c>
      <c r="AH165">
        <f ca="1">IF(AND(ISNUMBER($AH$671),$B$511=1),$AH$671,HLOOKUP(INDIRECT(ADDRESS(2,COLUMN())),OFFSET($BN$2,0,0,ROW()-1,60),ROW()-1,FALSE))</f>
        <v>31154.738560000002</v>
      </c>
      <c r="AI165">
        <f ca="1">IF(AND(ISNUMBER($AI$671),$B$511=1),$AI$671,HLOOKUP(INDIRECT(ADDRESS(2,COLUMN())),OFFSET($BN$2,0,0,ROW()-1,60),ROW()-1,FALSE))</f>
        <v>30081.455720000002</v>
      </c>
      <c r="AJ165">
        <f ca="1">IF(AND(ISNUMBER($AJ$671),$B$511=1),$AJ$671,HLOOKUP(INDIRECT(ADDRESS(2,COLUMN())),OFFSET($BN$2,0,0,ROW()-1,60),ROW()-1,FALSE))</f>
        <v>29530.051780000002</v>
      </c>
      <c r="AK165">
        <f ca="1">IF(AND(ISNUMBER($AK$671),$B$511=1),$AK$671,HLOOKUP(INDIRECT(ADDRESS(2,COLUMN())),OFFSET($BN$2,0,0,ROW()-1,60),ROW()-1,FALSE))</f>
        <v>27300.508819999999</v>
      </c>
      <c r="AL165">
        <f ca="1">IF(AND(ISNUMBER($AL$671),$B$511=1),$AL$671,HLOOKUP(INDIRECT(ADDRESS(2,COLUMN())),OFFSET($BN$2,0,0,ROW()-1,60),ROW()-1,FALSE))</f>
        <v>25520.523659999999</v>
      </c>
      <c r="AM165">
        <f ca="1">IF(AND(ISNUMBER($AM$671),$B$511=1),$AM$671,HLOOKUP(INDIRECT(ADDRESS(2,COLUMN())),OFFSET($BN$2,0,0,ROW()-1,60),ROW()-1,FALSE))</f>
        <v>22857.509770000001</v>
      </c>
      <c r="AN165">
        <f ca="1">IF(AND(ISNUMBER($AN$671),$B$511=1),$AN$671,HLOOKUP(INDIRECT(ADDRESS(2,COLUMN())),OFFSET($BN$2,0,0,ROW()-1,60),ROW()-1,FALSE))</f>
        <v>20301.444179999999</v>
      </c>
      <c r="AO165">
        <f ca="1">IF(AND(ISNUMBER($AO$671),$B$511=1),$AO$671,HLOOKUP(INDIRECT(ADDRESS(2,COLUMN())),OFFSET($BN$2,0,0,ROW()-1,60),ROW()-1,FALSE))</f>
        <v>18312.997500000001</v>
      </c>
      <c r="AP165">
        <f ca="1">IF(AND(ISNUMBER($AP$671),$B$511=1),$AP$671,HLOOKUP(INDIRECT(ADDRESS(2,COLUMN())),OFFSET($BN$2,0,0,ROW()-1,60),ROW()-1,FALSE))</f>
        <v>16242.76655</v>
      </c>
      <c r="AQ165">
        <f ca="1">IF(AND(ISNUMBER($AQ$671),$B$511=1),$AQ$671,HLOOKUP(INDIRECT(ADDRESS(2,COLUMN())),OFFSET($BN$2,0,0,ROW()-1,60),ROW()-1,FALSE))</f>
        <v>14942.783530000001</v>
      </c>
      <c r="AR165">
        <f ca="1">IF(AND(ISNUMBER($AR$671),$B$511=1),$AR$671,HLOOKUP(INDIRECT(ADDRESS(2,COLUMN())),OFFSET($BN$2,0,0,ROW()-1,60),ROW()-1,FALSE))</f>
        <v>16463.732510000002</v>
      </c>
      <c r="AS165">
        <f ca="1">IF(AND(ISNUMBER($AS$671),$B$511=1),$AS$671,HLOOKUP(INDIRECT(ADDRESS(2,COLUMN())),OFFSET($BN$2,0,0,ROW()-1,60),ROW()-1,FALSE))</f>
        <v>18033.442019999999</v>
      </c>
      <c r="AT165">
        <f ca="1">IF(AND(ISNUMBER($AT$671),$B$511=1),$AT$671,HLOOKUP(INDIRECT(ADDRESS(2,COLUMN())),OFFSET($BN$2,0,0,ROW()-1,60),ROW()-1,FALSE))</f>
        <v>20040.062750000001</v>
      </c>
      <c r="AU165">
        <f ca="1">IF(AND(ISNUMBER($AU$671),$B$511=1),$AU$671,HLOOKUP(INDIRECT(ADDRESS(2,COLUMN())),OFFSET($BN$2,0,0,ROW()-1,60),ROW()-1,FALSE))</f>
        <v>21848.591270000001</v>
      </c>
      <c r="AV165">
        <f ca="1">IF(AND(ISNUMBER($AV$671),$B$511=1),$AV$671,HLOOKUP(INDIRECT(ADDRESS(2,COLUMN())),OFFSET($BN$2,0,0,ROW()-1,60),ROW()-1,FALSE))</f>
        <v>21889.877359999999</v>
      </c>
      <c r="AW165">
        <f ca="1">IF(AND(ISNUMBER($AW$671),$B$511=1),$AW$671,HLOOKUP(INDIRECT(ADDRESS(2,COLUMN())),OFFSET($BN$2,0,0,ROW()-1,60),ROW()-1,FALSE))</f>
        <v>21508.24278</v>
      </c>
      <c r="AX165">
        <f ca="1">IF(AND(ISNUMBER($AX$671),$B$511=1),$AX$671,HLOOKUP(INDIRECT(ADDRESS(2,COLUMN())),OFFSET($BN$2,0,0,ROW()-1,60),ROW()-1,FALSE))</f>
        <v>20556.485000000001</v>
      </c>
      <c r="AY165">
        <f ca="1">IF(AND(ISNUMBER($AY$671),$B$511=1),$AY$671,HLOOKUP(INDIRECT(ADDRESS(2,COLUMN())),OFFSET($BN$2,0,0,ROW()-1,60),ROW()-1,FALSE))</f>
        <v>20091.792290000001</v>
      </c>
      <c r="AZ165">
        <f ca="1">IF(AND(ISNUMBER($AZ$671),$B$511=1),$AZ$671,HLOOKUP(INDIRECT(ADDRESS(2,COLUMN())),OFFSET($BN$2,0,0,ROW()-1,60),ROW()-1,FALSE))</f>
        <v>18110.725740000002</v>
      </c>
      <c r="BA165">
        <f ca="1">IF(AND(ISNUMBER($BA$671),$B$511=1),$BA$671,HLOOKUP(INDIRECT(ADDRESS(2,COLUMN())),OFFSET($BN$2,0,0,ROW()-1,60),ROW()-1,FALSE))</f>
        <v>17297.214459999999</v>
      </c>
      <c r="BB165">
        <f ca="1">IF(AND(ISNUMBER($BB$671),$B$511=1),$BB$671,HLOOKUP(INDIRECT(ADDRESS(2,COLUMN())),OFFSET($BN$2,0,0,ROW()-1,60),ROW()-1,FALSE))</f>
        <v>16708.691940000001</v>
      </c>
      <c r="BC165">
        <f ca="1">IF(AND(ISNUMBER($BC$671),$B$511=1),$BC$671,HLOOKUP(INDIRECT(ADDRESS(2,COLUMN())),OFFSET($BN$2,0,0,ROW()-1,60),ROW()-1,FALSE))</f>
        <v>15933.51749</v>
      </c>
      <c r="BD165">
        <f ca="1">IF(AND(ISNUMBER($BD$671),$B$511=1),$BD$671,HLOOKUP(INDIRECT(ADDRESS(2,COLUMN())),OFFSET($BN$2,0,0,ROW()-1,60),ROW()-1,FALSE))</f>
        <v>15875.171630000001</v>
      </c>
      <c r="BE165">
        <f ca="1">IF(AND(ISNUMBER($BE$671),$B$511=1),$BE$671,HLOOKUP(INDIRECT(ADDRESS(2,COLUMN())),OFFSET($BN$2,0,0,ROW()-1,60),ROW()-1,FALSE))</f>
        <v>15097.52974</v>
      </c>
      <c r="BF165">
        <f ca="1">IF(AND(ISNUMBER($BF$671),$B$511=1),$BF$671,HLOOKUP(INDIRECT(ADDRESS(2,COLUMN())),OFFSET($BN$2,0,0,ROW()-1,60),ROW()-1,FALSE))</f>
        <v>14040.19088</v>
      </c>
      <c r="BG165">
        <f ca="1">IF(AND(ISNUMBER($BG$671),$B$511=1),$BG$671,HLOOKUP(INDIRECT(ADDRESS(2,COLUMN())),OFFSET($BN$2,0,0,ROW()-1,60),ROW()-1,FALSE))</f>
        <v>13777.21931</v>
      </c>
      <c r="BH165">
        <f ca="1">IF(AND(ISNUMBER($BH$671),$B$511=1),$BH$671,HLOOKUP(INDIRECT(ADDRESS(2,COLUMN())),OFFSET($BN$2,0,0,ROW()-1,60),ROW()-1,FALSE))</f>
        <v>13978.676960000001</v>
      </c>
      <c r="BI165">
        <f ca="1">IF(AND(ISNUMBER($BI$671),$B$511=1),$BI$671,HLOOKUP(INDIRECT(ADDRESS(2,COLUMN())),OFFSET($BN$2,0,0,ROW()-1,60),ROW()-1,FALSE))</f>
        <v>13793.636270000001</v>
      </c>
      <c r="BJ165">
        <f ca="1">IF(AND(ISNUMBER($BJ$671),$B$511=1),$BJ$671,HLOOKUP(INDIRECT(ADDRESS(2,COLUMN())),OFFSET($BN$2,0,0,ROW()-1,60),ROW()-1,FALSE))</f>
        <v>13234.224920000001</v>
      </c>
      <c r="BK165">
        <f ca="1">IF(AND(ISNUMBER($BK$671),$B$511=1),$BK$671,HLOOKUP(INDIRECT(ADDRESS(2,COLUMN())),OFFSET($BN$2,0,0,ROW()-1,60),ROW()-1,FALSE))</f>
        <v>12924.92604</v>
      </c>
      <c r="BL165">
        <f ca="1">IF(AND(ISNUMBER($BL$671),$B$511=1),$BL$671,HLOOKUP(INDIRECT(ADDRESS(2,COLUMN())),OFFSET($BN$2,0,0,ROW()-1,60),ROW()-1,FALSE))</f>
        <v>12494.876480000001</v>
      </c>
      <c r="BM165">
        <f ca="1">IF(AND(ISNUMBER($BM$671),$B$511=1),$BM$671,HLOOKUP(INDIRECT(ADDRESS(2,COLUMN())),OFFSET($BN$2,0,0,ROW()-1,60),ROW()-1,FALSE))</f>
        <v>12173.62378</v>
      </c>
      <c r="BN165" t="str">
        <f>""</f>
        <v/>
      </c>
      <c r="BO165" t="str">
        <f>""</f>
        <v/>
      </c>
      <c r="BP165">
        <f>43165.38369</f>
        <v>43165.383690000002</v>
      </c>
      <c r="BQ165">
        <f>41826.99717</f>
        <v>41826.997170000002</v>
      </c>
      <c r="BR165">
        <f>41879.42062</f>
        <v>41879.420619999997</v>
      </c>
      <c r="BS165">
        <f>40499.37847</f>
        <v>40499.378470000003</v>
      </c>
      <c r="BT165">
        <f>34212.83955</f>
        <v>34212.839549999997</v>
      </c>
      <c r="BU165">
        <f>35166.4955</f>
        <v>35166.495499999997</v>
      </c>
      <c r="BV165">
        <f>32198.08683</f>
        <v>32198.08683</v>
      </c>
      <c r="BW165">
        <f>30876.09281</f>
        <v>30876.092809999998</v>
      </c>
      <c r="BX165">
        <f>23920.85761</f>
        <v>23920.857609999999</v>
      </c>
      <c r="BY165">
        <f>16834.01138</f>
        <v>16834.01138</v>
      </c>
      <c r="BZ165">
        <f>17753.50606</f>
        <v>17753.50606</v>
      </c>
      <c r="CA165">
        <f>17301.57985</f>
        <v>17301.579849999998</v>
      </c>
      <c r="CB165">
        <f>29552.60542</f>
        <v>29552.60542</v>
      </c>
      <c r="CC165">
        <f>37584.42035</f>
        <v>37584.42035</v>
      </c>
      <c r="CD165">
        <f>38686.97078</f>
        <v>38686.970780000003</v>
      </c>
      <c r="CE165">
        <f>39174.38941</f>
        <v>39174.389410000003</v>
      </c>
      <c r="CF165">
        <f>38906.8436</f>
        <v>38906.8436</v>
      </c>
      <c r="CG165">
        <f>37301.21549</f>
        <v>37301.215490000002</v>
      </c>
      <c r="CH165">
        <f>36404.25311</f>
        <v>36404.253109999998</v>
      </c>
      <c r="CI165">
        <f>34962.48533</f>
        <v>34962.485330000003</v>
      </c>
      <c r="CJ165">
        <f>33591.69496</f>
        <v>33591.694960000001</v>
      </c>
      <c r="CK165">
        <f>32280.68886</f>
        <v>32280.688859999998</v>
      </c>
      <c r="CL165">
        <f>31314.10019</f>
        <v>31314.100190000001</v>
      </c>
      <c r="CM165">
        <f>31647.85932</f>
        <v>31647.85932</v>
      </c>
      <c r="CN165">
        <f>30667.6676</f>
        <v>30667.667600000001</v>
      </c>
      <c r="CO165">
        <f>31226.27342</f>
        <v>31226.273420000001</v>
      </c>
      <c r="CP165">
        <f>31154.73856</f>
        <v>31154.738560000002</v>
      </c>
      <c r="CQ165">
        <f>30081.45572</f>
        <v>30081.455720000002</v>
      </c>
      <c r="CR165">
        <f>29530.05178</f>
        <v>29530.051780000002</v>
      </c>
      <c r="CS165">
        <f>27300.50882</f>
        <v>27300.508819999999</v>
      </c>
      <c r="CT165">
        <f>25520.52366</f>
        <v>25520.523659999999</v>
      </c>
      <c r="CU165">
        <f>22857.50977</f>
        <v>22857.509770000001</v>
      </c>
      <c r="CV165">
        <f>20301.44418</f>
        <v>20301.444179999999</v>
      </c>
      <c r="CW165">
        <f>18312.9975</f>
        <v>18312.997500000001</v>
      </c>
      <c r="CX165">
        <f>16242.76655</f>
        <v>16242.76655</v>
      </c>
      <c r="CY165">
        <f>14942.78353</f>
        <v>14942.783530000001</v>
      </c>
      <c r="CZ165">
        <f>16463.73251</f>
        <v>16463.732510000002</v>
      </c>
      <c r="DA165">
        <f>18033.44202</f>
        <v>18033.442019999999</v>
      </c>
      <c r="DB165">
        <f>20040.06275</f>
        <v>20040.062750000001</v>
      </c>
      <c r="DC165">
        <f>21848.59127</f>
        <v>21848.591270000001</v>
      </c>
      <c r="DD165">
        <f>21889.87736</f>
        <v>21889.877359999999</v>
      </c>
      <c r="DE165">
        <f>21508.24278</f>
        <v>21508.24278</v>
      </c>
      <c r="DF165">
        <f>20556.485</f>
        <v>20556.485000000001</v>
      </c>
      <c r="DG165">
        <f>20091.79229</f>
        <v>20091.792290000001</v>
      </c>
      <c r="DH165">
        <f>18110.72574</f>
        <v>18110.725740000002</v>
      </c>
      <c r="DI165">
        <f>17297.21446</f>
        <v>17297.214459999999</v>
      </c>
      <c r="DJ165">
        <f>16708.69194</f>
        <v>16708.691940000001</v>
      </c>
      <c r="DK165">
        <f>15933.51749</f>
        <v>15933.51749</v>
      </c>
      <c r="DL165">
        <f>15875.17163</f>
        <v>15875.171630000001</v>
      </c>
      <c r="DM165">
        <f>15097.52974</f>
        <v>15097.52974</v>
      </c>
      <c r="DN165">
        <f>14040.19088</f>
        <v>14040.19088</v>
      </c>
      <c r="DO165">
        <f>13777.21931</f>
        <v>13777.21931</v>
      </c>
      <c r="DP165">
        <f>13978.67696</f>
        <v>13978.676960000001</v>
      </c>
      <c r="DQ165">
        <f>13793.63627</f>
        <v>13793.636270000001</v>
      </c>
      <c r="DR165">
        <f>13234.22492</f>
        <v>13234.224920000001</v>
      </c>
      <c r="DS165">
        <f>12924.92604</f>
        <v>12924.92604</v>
      </c>
      <c r="DT165">
        <f>12494.87648</f>
        <v>12494.876480000001</v>
      </c>
      <c r="DU165">
        <f>12173.62378</f>
        <v>12173.62378</v>
      </c>
    </row>
    <row r="166" spans="1:125" x14ac:dyDescent="0.25">
      <c r="A166" t="str">
        <f>"    Yulon Motor Co Ltd"</f>
        <v xml:space="preserve">    Yulon Motor Co Ltd</v>
      </c>
      <c r="B166" t="str">
        <f>"2201 TT Equity"</f>
        <v>2201 TT Equity</v>
      </c>
      <c r="C166" t="str">
        <f t="shared" si="9"/>
        <v>RR841</v>
      </c>
      <c r="D166" t="str">
        <f t="shared" si="10"/>
        <v>TRAIL_12M_EBITDA</v>
      </c>
      <c r="E166" t="str">
        <f t="shared" si="11"/>
        <v>Dynamic</v>
      </c>
      <c r="F166" t="str">
        <f ca="1">IF(AND(ISNUMBER($F$672),$B$511=1),$F$672,HLOOKUP(INDIRECT(ADDRESS(2,COLUMN())),OFFSET($BN$2,0,0,ROW()-1,60),ROW()-1,FALSE))</f>
        <v/>
      </c>
      <c r="G166" t="str">
        <f ca="1">IF(AND(ISNUMBER($G$672),$B$511=1),$G$672,HLOOKUP(INDIRECT(ADDRESS(2,COLUMN())),OFFSET($BN$2,0,0,ROW()-1,60),ROW()-1,FALSE))</f>
        <v/>
      </c>
      <c r="H166">
        <f ca="1">IF(AND(ISNUMBER($H$672),$B$511=1),$H$672,HLOOKUP(INDIRECT(ADDRESS(2,COLUMN())),OFFSET($BN$2,0,0,ROW()-1,60),ROW()-1,FALSE))</f>
        <v>351.16854469999998</v>
      </c>
      <c r="I166">
        <f ca="1">IF(AND(ISNUMBER($I$672),$B$511=1),$I$672,HLOOKUP(INDIRECT(ADDRESS(2,COLUMN())),OFFSET($BN$2,0,0,ROW()-1,60),ROW()-1,FALSE))</f>
        <v>333.56676620000002</v>
      </c>
      <c r="J166">
        <f ca="1">IF(AND(ISNUMBER($J$672),$B$511=1),$J$672,HLOOKUP(INDIRECT(ADDRESS(2,COLUMN())),OFFSET($BN$2,0,0,ROW()-1,60),ROW()-1,FALSE))</f>
        <v>318.63435950000002</v>
      </c>
      <c r="K166">
        <f ca="1">IF(AND(ISNUMBER($K$672),$B$511=1),$K$672,HLOOKUP(INDIRECT(ADDRESS(2,COLUMN())),OFFSET($BN$2,0,0,ROW()-1,60),ROW()-1,FALSE))</f>
        <v>306.0548862</v>
      </c>
      <c r="L166">
        <f ca="1">IF(AND(ISNUMBER($L$672),$B$511=1),$L$672,HLOOKUP(INDIRECT(ADDRESS(2,COLUMN())),OFFSET($BN$2,0,0,ROW()-1,60),ROW()-1,FALSE))</f>
        <v>324.60338009999998</v>
      </c>
      <c r="M166">
        <f ca="1">IF(AND(ISNUMBER($M$672),$B$511=1),$M$672,HLOOKUP(INDIRECT(ADDRESS(2,COLUMN())),OFFSET($BN$2,0,0,ROW()-1,60),ROW()-1,FALSE))</f>
        <v>322.20862979999998</v>
      </c>
      <c r="N166">
        <f ca="1">IF(AND(ISNUMBER($N$672),$B$511=1),$N$672,HLOOKUP(INDIRECT(ADDRESS(2,COLUMN())),OFFSET($BN$2,0,0,ROW()-1,60),ROW()-1,FALSE))</f>
        <v>332.97170929999999</v>
      </c>
      <c r="O166">
        <f ca="1">IF(AND(ISNUMBER($O$672),$B$511=1),$O$672,HLOOKUP(INDIRECT(ADDRESS(2,COLUMN())),OFFSET($BN$2,0,0,ROW()-1,60),ROW()-1,FALSE))</f>
        <v>302.54950780000001</v>
      </c>
      <c r="P166">
        <f ca="1">IF(AND(ISNUMBER($P$672),$B$511=1),$P$672,HLOOKUP(INDIRECT(ADDRESS(2,COLUMN())),OFFSET($BN$2,0,0,ROW()-1,60),ROW()-1,FALSE))</f>
        <v>254.8026074</v>
      </c>
      <c r="Q166">
        <f ca="1">IF(AND(ISNUMBER($Q$672),$B$511=1),$Q$672,HLOOKUP(INDIRECT(ADDRESS(2,COLUMN())),OFFSET($BN$2,0,0,ROW()-1,60),ROW()-1,FALSE))</f>
        <v>246.24870129999999</v>
      </c>
      <c r="R166">
        <f ca="1">IF(AND(ISNUMBER($R$672),$B$511=1),$R$672,HLOOKUP(INDIRECT(ADDRESS(2,COLUMN())),OFFSET($BN$2,0,0,ROW()-1,60),ROW()-1,FALSE))</f>
        <v>236.5106687</v>
      </c>
      <c r="S166">
        <f ca="1">IF(AND(ISNUMBER($S$672),$B$511=1),$S$672,HLOOKUP(INDIRECT(ADDRESS(2,COLUMN())),OFFSET($BN$2,0,0,ROW()-1,60),ROW()-1,FALSE))</f>
        <v>240.23754729999999</v>
      </c>
      <c r="T166">
        <f ca="1">IF(AND(ISNUMBER($T$672),$B$511=1),$T$672,HLOOKUP(INDIRECT(ADDRESS(2,COLUMN())),OFFSET($BN$2,0,0,ROW()-1,60),ROW()-1,FALSE))</f>
        <v>225.52631629999999</v>
      </c>
      <c r="U166">
        <f ca="1">IF(AND(ISNUMBER($U$672),$B$511=1),$U$672,HLOOKUP(INDIRECT(ADDRESS(2,COLUMN())),OFFSET($BN$2,0,0,ROW()-1,60),ROW()-1,FALSE))</f>
        <v>247.1297754</v>
      </c>
      <c r="V166">
        <f ca="1">IF(AND(ISNUMBER($V$672),$B$511=1),$V$672,HLOOKUP(INDIRECT(ADDRESS(2,COLUMN())),OFFSET($BN$2,0,0,ROW()-1,60),ROW()-1,FALSE))</f>
        <v>246.20874209999999</v>
      </c>
      <c r="W166">
        <f ca="1">IF(AND(ISNUMBER($W$672),$B$511=1),$W$672,HLOOKUP(INDIRECT(ADDRESS(2,COLUMN())),OFFSET($BN$2,0,0,ROW()-1,60),ROW()-1,FALSE))</f>
        <v>239.2900664</v>
      </c>
      <c r="X166">
        <f ca="1">IF(AND(ISNUMBER($X$672),$B$511=1),$X$672,HLOOKUP(INDIRECT(ADDRESS(2,COLUMN())),OFFSET($BN$2,0,0,ROW()-1,60),ROW()-1,FALSE))</f>
        <v>257.55504969999998</v>
      </c>
      <c r="Y166">
        <f ca="1">IF(AND(ISNUMBER($Y$672),$B$511=1),$Y$672,HLOOKUP(INDIRECT(ADDRESS(2,COLUMN())),OFFSET($BN$2,0,0,ROW()-1,60),ROW()-1,FALSE))</f>
        <v>210.61266860000001</v>
      </c>
      <c r="Z166">
        <f ca="1">IF(AND(ISNUMBER($Z$672),$B$511=1),$Z$672,HLOOKUP(INDIRECT(ADDRESS(2,COLUMN())),OFFSET($BN$2,0,0,ROW()-1,60),ROW()-1,FALSE))</f>
        <v>207.22998290000001</v>
      </c>
      <c r="AA166">
        <f ca="1">IF(AND(ISNUMBER($AA$672),$B$511=1),$AA$672,HLOOKUP(INDIRECT(ADDRESS(2,COLUMN())),OFFSET($BN$2,0,0,ROW()-1,60),ROW()-1,FALSE))</f>
        <v>210.5570754</v>
      </c>
      <c r="AB166">
        <f ca="1">IF(AND(ISNUMBER($AB$672),$B$511=1),$AB$672,HLOOKUP(INDIRECT(ADDRESS(2,COLUMN())),OFFSET($BN$2,0,0,ROW()-1,60),ROW()-1,FALSE))</f>
        <v>241.6858794</v>
      </c>
      <c r="AC166">
        <f ca="1">IF(AND(ISNUMBER($AC$672),$B$511=1),$AC$672,HLOOKUP(INDIRECT(ADDRESS(2,COLUMN())),OFFSET($BN$2,0,0,ROW()-1,60),ROW()-1,FALSE))</f>
        <v>263.59241479999997</v>
      </c>
      <c r="AD166">
        <f ca="1">IF(AND(ISNUMBER($AD$672),$B$511=1),$AD$672,HLOOKUP(INDIRECT(ADDRESS(2,COLUMN())),OFFSET($BN$2,0,0,ROW()-1,60),ROW()-1,FALSE))</f>
        <v>279.35979020000002</v>
      </c>
      <c r="AE166">
        <f ca="1">IF(AND(ISNUMBER($AE$672),$B$511=1),$AE$672,HLOOKUP(INDIRECT(ADDRESS(2,COLUMN())),OFFSET($BN$2,0,0,ROW()-1,60),ROW()-1,FALSE))</f>
        <v>285.72352599999999</v>
      </c>
      <c r="AF166">
        <f ca="1">IF(AND(ISNUMBER($AF$672),$B$511=1),$AF$672,HLOOKUP(INDIRECT(ADDRESS(2,COLUMN())),OFFSET($BN$2,0,0,ROW()-1,60),ROW()-1,FALSE))</f>
        <v>283.00119690000002</v>
      </c>
      <c r="AG166">
        <f ca="1">IF(AND(ISNUMBER($AG$672),$B$511=1),$AG$672,HLOOKUP(INDIRECT(ADDRESS(2,COLUMN())),OFFSET($BN$2,0,0,ROW()-1,60),ROW()-1,FALSE))</f>
        <v>282.17982490000003</v>
      </c>
      <c r="AH166">
        <f ca="1">IF(AND(ISNUMBER($AH$672),$B$511=1),$AH$672,HLOOKUP(INDIRECT(ADDRESS(2,COLUMN())),OFFSET($BN$2,0,0,ROW()-1,60),ROW()-1,FALSE))</f>
        <v>269.4884639</v>
      </c>
      <c r="AI166">
        <f ca="1">IF(AND(ISNUMBER($AI$672),$B$511=1),$AI$672,HLOOKUP(INDIRECT(ADDRESS(2,COLUMN())),OFFSET($BN$2,0,0,ROW()-1,60),ROW()-1,FALSE))</f>
        <v>269.68919560000001</v>
      </c>
      <c r="AJ166">
        <f ca="1">IF(AND(ISNUMBER($AJ$672),$B$511=1),$AJ$672,HLOOKUP(INDIRECT(ADDRESS(2,COLUMN())),OFFSET($BN$2,0,0,ROW()-1,60),ROW()-1,FALSE))</f>
        <v>270.08670569999998</v>
      </c>
      <c r="AK166">
        <f ca="1">IF(AND(ISNUMBER($AK$672),$B$511=1),$AK$672,HLOOKUP(INDIRECT(ADDRESS(2,COLUMN())),OFFSET($BN$2,0,0,ROW()-1,60),ROW()-1,FALSE))</f>
        <v>269.50539220000002</v>
      </c>
      <c r="AL166">
        <f ca="1">IF(AND(ISNUMBER($AL$672),$B$511=1),$AL$672,HLOOKUP(INDIRECT(ADDRESS(2,COLUMN())),OFFSET($BN$2,0,0,ROW()-1,60),ROW()-1,FALSE))</f>
        <v>262.95265869999997</v>
      </c>
      <c r="AM166">
        <f ca="1">IF(AND(ISNUMBER($AM$672),$B$511=1),$AM$672,HLOOKUP(INDIRECT(ADDRESS(2,COLUMN())),OFFSET($BN$2,0,0,ROW()-1,60),ROW()-1,FALSE))</f>
        <v>230.5061288</v>
      </c>
      <c r="AN166">
        <f ca="1">IF(AND(ISNUMBER($AN$672),$B$511=1),$AN$672,HLOOKUP(INDIRECT(ADDRESS(2,COLUMN())),OFFSET($BN$2,0,0,ROW()-1,60),ROW()-1,FALSE))</f>
        <v>215.11017989999999</v>
      </c>
      <c r="AO166">
        <f ca="1">IF(AND(ISNUMBER($AO$672),$B$511=1),$AO$672,HLOOKUP(INDIRECT(ADDRESS(2,COLUMN())),OFFSET($BN$2,0,0,ROW()-1,60),ROW()-1,FALSE))</f>
        <v>198.3965815</v>
      </c>
      <c r="AP166">
        <f ca="1">IF(AND(ISNUMBER($AP$672),$B$511=1),$AP$672,HLOOKUP(INDIRECT(ADDRESS(2,COLUMN())),OFFSET($BN$2,0,0,ROW()-1,60),ROW()-1,FALSE))</f>
        <v>179.67246639999999</v>
      </c>
      <c r="AQ166">
        <f ca="1">IF(AND(ISNUMBER($AQ$672),$B$511=1),$AQ$672,HLOOKUP(INDIRECT(ADDRESS(2,COLUMN())),OFFSET($BN$2,0,0,ROW()-1,60),ROW()-1,FALSE))</f>
        <v>168.0834031</v>
      </c>
      <c r="AR166">
        <f ca="1">IF(AND(ISNUMBER($AR$672),$B$511=1),$AR$672,HLOOKUP(INDIRECT(ADDRESS(2,COLUMN())),OFFSET($BN$2,0,0,ROW()-1,60),ROW()-1,FALSE))</f>
        <v>155.6559393</v>
      </c>
      <c r="AS166">
        <f ca="1">IF(AND(ISNUMBER($AS$672),$B$511=1),$AS$672,HLOOKUP(INDIRECT(ADDRESS(2,COLUMN())),OFFSET($BN$2,0,0,ROW()-1,60),ROW()-1,FALSE))</f>
        <v>139.05058249999999</v>
      </c>
      <c r="AT166">
        <f ca="1">IF(AND(ISNUMBER($AT$672),$B$511=1),$AT$672,HLOOKUP(INDIRECT(ADDRESS(2,COLUMN())),OFFSET($BN$2,0,0,ROW()-1,60),ROW()-1,FALSE))</f>
        <v>134.26964599999999</v>
      </c>
      <c r="AU166">
        <f ca="1">IF(AND(ISNUMBER($AU$672),$B$511=1),$AU$672,HLOOKUP(INDIRECT(ADDRESS(2,COLUMN())),OFFSET($BN$2,0,0,ROW()-1,60),ROW()-1,FALSE))</f>
        <v>132.05138349999999</v>
      </c>
      <c r="AV166" t="str">
        <f ca="1">IF(AND(ISNUMBER($AV$672),$B$511=1),$AV$672,HLOOKUP(INDIRECT(ADDRESS(2,COLUMN())),OFFSET($BN$2,0,0,ROW()-1,60),ROW()-1,FALSE))</f>
        <v/>
      </c>
      <c r="AW166" t="str">
        <f ca="1">IF(AND(ISNUMBER($AW$672),$B$511=1),$AW$672,HLOOKUP(INDIRECT(ADDRESS(2,COLUMN())),OFFSET($BN$2,0,0,ROW()-1,60),ROW()-1,FALSE))</f>
        <v/>
      </c>
      <c r="AX166" t="str">
        <f ca="1">IF(AND(ISNUMBER($AX$672),$B$511=1),$AX$672,HLOOKUP(INDIRECT(ADDRESS(2,COLUMN())),OFFSET($BN$2,0,0,ROW()-1,60),ROW()-1,FALSE))</f>
        <v/>
      </c>
      <c r="AY166" t="str">
        <f ca="1">IF(AND(ISNUMBER($AY$672),$B$511=1),$AY$672,HLOOKUP(INDIRECT(ADDRESS(2,COLUMN())),OFFSET($BN$2,0,0,ROW()-1,60),ROW()-1,FALSE))</f>
        <v/>
      </c>
      <c r="AZ166" t="str">
        <f ca="1">IF(AND(ISNUMBER($AZ$672),$B$511=1),$AZ$672,HLOOKUP(INDIRECT(ADDRESS(2,COLUMN())),OFFSET($BN$2,0,0,ROW()-1,60),ROW()-1,FALSE))</f>
        <v/>
      </c>
      <c r="BA166" t="str">
        <f ca="1">IF(AND(ISNUMBER($BA$672),$B$511=1),$BA$672,HLOOKUP(INDIRECT(ADDRESS(2,COLUMN())),OFFSET($BN$2,0,0,ROW()-1,60),ROW()-1,FALSE))</f>
        <v/>
      </c>
      <c r="BB166" t="str">
        <f ca="1">IF(AND(ISNUMBER($BB$672),$B$511=1),$BB$672,HLOOKUP(INDIRECT(ADDRESS(2,COLUMN())),OFFSET($BN$2,0,0,ROW()-1,60),ROW()-1,FALSE))</f>
        <v/>
      </c>
      <c r="BC166" t="str">
        <f ca="1">IF(AND(ISNUMBER($BC$672),$B$511=1),$BC$672,HLOOKUP(INDIRECT(ADDRESS(2,COLUMN())),OFFSET($BN$2,0,0,ROW()-1,60),ROW()-1,FALSE))</f>
        <v/>
      </c>
      <c r="BD166" t="str">
        <f ca="1">IF(AND(ISNUMBER($BD$672),$B$511=1),$BD$672,HLOOKUP(INDIRECT(ADDRESS(2,COLUMN())),OFFSET($BN$2,0,0,ROW()-1,60),ROW()-1,FALSE))</f>
        <v/>
      </c>
      <c r="BE166" t="str">
        <f ca="1">IF(AND(ISNUMBER($BE$672),$B$511=1),$BE$672,HLOOKUP(INDIRECT(ADDRESS(2,COLUMN())),OFFSET($BN$2,0,0,ROW()-1,60),ROW()-1,FALSE))</f>
        <v/>
      </c>
      <c r="BF166" t="str">
        <f ca="1">IF(AND(ISNUMBER($BF$672),$B$511=1),$BF$672,HLOOKUP(INDIRECT(ADDRESS(2,COLUMN())),OFFSET($BN$2,0,0,ROW()-1,60),ROW()-1,FALSE))</f>
        <v/>
      </c>
      <c r="BG166" t="str">
        <f ca="1">IF(AND(ISNUMBER($BG$672),$B$511=1),$BG$672,HLOOKUP(INDIRECT(ADDRESS(2,COLUMN())),OFFSET($BN$2,0,0,ROW()-1,60),ROW()-1,FALSE))</f>
        <v/>
      </c>
      <c r="BH166" t="str">
        <f ca="1">IF(AND(ISNUMBER($BH$672),$B$511=1),$BH$672,HLOOKUP(INDIRECT(ADDRESS(2,COLUMN())),OFFSET($BN$2,0,0,ROW()-1,60),ROW()-1,FALSE))</f>
        <v/>
      </c>
      <c r="BI166" t="str">
        <f ca="1">IF(AND(ISNUMBER($BI$672),$B$511=1),$BI$672,HLOOKUP(INDIRECT(ADDRESS(2,COLUMN())),OFFSET($BN$2,0,0,ROW()-1,60),ROW()-1,FALSE))</f>
        <v/>
      </c>
      <c r="BJ166" t="str">
        <f ca="1">IF(AND(ISNUMBER($BJ$672),$B$511=1),$BJ$672,HLOOKUP(INDIRECT(ADDRESS(2,COLUMN())),OFFSET($BN$2,0,0,ROW()-1,60),ROW()-1,FALSE))</f>
        <v/>
      </c>
      <c r="BK166" t="str">
        <f ca="1">IF(AND(ISNUMBER($BK$672),$B$511=1),$BK$672,HLOOKUP(INDIRECT(ADDRESS(2,COLUMN())),OFFSET($BN$2,0,0,ROW()-1,60),ROW()-1,FALSE))</f>
        <v/>
      </c>
      <c r="BL166" t="str">
        <f ca="1">IF(AND(ISNUMBER($BL$672),$B$511=1),$BL$672,HLOOKUP(INDIRECT(ADDRESS(2,COLUMN())),OFFSET($BN$2,0,0,ROW()-1,60),ROW()-1,FALSE))</f>
        <v/>
      </c>
      <c r="BM166" t="str">
        <f ca="1">IF(AND(ISNUMBER($BM$672),$B$511=1),$BM$672,HLOOKUP(INDIRECT(ADDRESS(2,COLUMN())),OFFSET($BN$2,0,0,ROW()-1,60),ROW()-1,FALSE))</f>
        <v/>
      </c>
      <c r="BN166" t="str">
        <f>""</f>
        <v/>
      </c>
      <c r="BO166" t="str">
        <f>""</f>
        <v/>
      </c>
      <c r="BP166">
        <f>351.1685447</f>
        <v>351.16854469999998</v>
      </c>
      <c r="BQ166">
        <f>333.5667662</f>
        <v>333.56676620000002</v>
      </c>
      <c r="BR166">
        <f>318.6343595</f>
        <v>318.63435950000002</v>
      </c>
      <c r="BS166">
        <f>306.0548862</f>
        <v>306.0548862</v>
      </c>
      <c r="BT166">
        <f>324.6033801</f>
        <v>324.60338009999998</v>
      </c>
      <c r="BU166">
        <f>322.2086298</f>
        <v>322.20862979999998</v>
      </c>
      <c r="BV166">
        <f>332.9717093</f>
        <v>332.97170929999999</v>
      </c>
      <c r="BW166">
        <f>302.5495078</f>
        <v>302.54950780000001</v>
      </c>
      <c r="BX166">
        <f>254.8026074</f>
        <v>254.8026074</v>
      </c>
      <c r="BY166">
        <f>246.2487013</f>
        <v>246.24870129999999</v>
      </c>
      <c r="BZ166">
        <f>236.5106687</f>
        <v>236.5106687</v>
      </c>
      <c r="CA166">
        <f>240.2375473</f>
        <v>240.23754729999999</v>
      </c>
      <c r="CB166">
        <f>225.5263163</f>
        <v>225.52631629999999</v>
      </c>
      <c r="CC166">
        <f>247.1297754</f>
        <v>247.1297754</v>
      </c>
      <c r="CD166">
        <f>246.2087421</f>
        <v>246.20874209999999</v>
      </c>
      <c r="CE166">
        <f>239.2900664</f>
        <v>239.2900664</v>
      </c>
      <c r="CF166">
        <f>257.5550497</f>
        <v>257.55504969999998</v>
      </c>
      <c r="CG166">
        <f>210.6126686</f>
        <v>210.61266860000001</v>
      </c>
      <c r="CH166">
        <f>207.2299829</f>
        <v>207.22998290000001</v>
      </c>
      <c r="CI166">
        <f>210.5570754</f>
        <v>210.5570754</v>
      </c>
      <c r="CJ166">
        <f>241.6858794</f>
        <v>241.6858794</v>
      </c>
      <c r="CK166">
        <f>263.5924148</f>
        <v>263.59241479999997</v>
      </c>
      <c r="CL166">
        <f>279.3597902</f>
        <v>279.35979020000002</v>
      </c>
      <c r="CM166">
        <f>285.723526</f>
        <v>285.72352599999999</v>
      </c>
      <c r="CN166">
        <f>283.0011969</f>
        <v>283.00119690000002</v>
      </c>
      <c r="CO166">
        <f>282.1798249</f>
        <v>282.17982490000003</v>
      </c>
      <c r="CP166">
        <f>269.4884639</f>
        <v>269.4884639</v>
      </c>
      <c r="CQ166">
        <f>269.6891956</f>
        <v>269.68919560000001</v>
      </c>
      <c r="CR166">
        <f>270.0867057</f>
        <v>270.08670569999998</v>
      </c>
      <c r="CS166">
        <f>269.5053922</f>
        <v>269.50539220000002</v>
      </c>
      <c r="CT166">
        <f>262.9526587</f>
        <v>262.95265869999997</v>
      </c>
      <c r="CU166">
        <f>230.5061288</f>
        <v>230.5061288</v>
      </c>
      <c r="CV166">
        <f>215.1101799</f>
        <v>215.11017989999999</v>
      </c>
      <c r="CW166">
        <f>198.3965815</f>
        <v>198.3965815</v>
      </c>
      <c r="CX166">
        <f>179.6724664</f>
        <v>179.67246639999999</v>
      </c>
      <c r="CY166">
        <f>168.0834031</f>
        <v>168.0834031</v>
      </c>
      <c r="CZ166">
        <f>155.6559393</f>
        <v>155.6559393</v>
      </c>
      <c r="DA166">
        <f>139.0505825</f>
        <v>139.05058249999999</v>
      </c>
      <c r="DB166">
        <f>134.269646</f>
        <v>134.26964599999999</v>
      </c>
      <c r="DC166">
        <f>132.0513835</f>
        <v>132.05138349999999</v>
      </c>
      <c r="DD166" t="str">
        <f>""</f>
        <v/>
      </c>
      <c r="DE166" t="str">
        <f>""</f>
        <v/>
      </c>
      <c r="DF166" t="str">
        <f>""</f>
        <v/>
      </c>
      <c r="DG166" t="str">
        <f>""</f>
        <v/>
      </c>
      <c r="DH166" t="str">
        <f>""</f>
        <v/>
      </c>
      <c r="DI166" t="str">
        <f>""</f>
        <v/>
      </c>
      <c r="DJ166" t="str">
        <f>""</f>
        <v/>
      </c>
      <c r="DK166" t="str">
        <f>""</f>
        <v/>
      </c>
      <c r="DL166" t="str">
        <f>""</f>
        <v/>
      </c>
      <c r="DM166" t="str">
        <f>""</f>
        <v/>
      </c>
      <c r="DN166" t="str">
        <f>""</f>
        <v/>
      </c>
      <c r="DO166" t="str">
        <f>""</f>
        <v/>
      </c>
      <c r="DP166" t="str">
        <f>""</f>
        <v/>
      </c>
      <c r="DQ166" t="str">
        <f>""</f>
        <v/>
      </c>
      <c r="DR166" t="str">
        <f>""</f>
        <v/>
      </c>
      <c r="DS166" t="str">
        <f>""</f>
        <v/>
      </c>
      <c r="DT166" t="str">
        <f>""</f>
        <v/>
      </c>
      <c r="DU166" t="str">
        <f>""</f>
        <v/>
      </c>
    </row>
    <row r="167" spans="1:125" x14ac:dyDescent="0.25">
      <c r="A167" t="str">
        <f>"T12M Sales"</f>
        <v>T12M Sales</v>
      </c>
      <c r="B167" t="str">
        <f>""</f>
        <v/>
      </c>
      <c r="E167" t="str">
        <f>"Average"</f>
        <v>Average</v>
      </c>
      <c r="F167" t="str">
        <f ca="1">IF(ISERROR(IF(AVERAGE($F$168:$F$207) = 0, "", AVERAGE($F$168:$F$207))), "", (IF(AVERAGE($F$168:$F$207) = 0, "", AVERAGE($F$168:$F$207))))</f>
        <v/>
      </c>
      <c r="G167">
        <f ca="1">IF(ISERROR(IF(AVERAGE($G$168:$G$207) = 0, "", AVERAGE($G$168:$G$207))), "", (IF(AVERAGE($G$168:$G$207) = 0, "", AVERAGE($G$168:$G$207))))</f>
        <v>87870.991069454554</v>
      </c>
      <c r="H167">
        <f ca="1">IF(ISERROR(IF(AVERAGE($H$168:$H$207) = 0, "", AVERAGE($H$168:$H$207))), "", (IF(AVERAGE($H$168:$H$207) = 0, "", AVERAGE($H$168:$H$207))))</f>
        <v>68333.882692650004</v>
      </c>
      <c r="I167">
        <f ca="1">IF(ISERROR(IF(AVERAGE($I$168:$I$207) = 0, "", AVERAGE($I$168:$I$207))), "", (IF(AVERAGE($I$168:$I$207) = 0, "", AVERAGE($I$168:$I$207))))</f>
        <v>68146.55231020588</v>
      </c>
      <c r="J167">
        <f ca="1">IF(ISERROR(IF(AVERAGE($J$168:$J$207) = 0, "", AVERAGE($J$168:$J$207))), "", (IF(AVERAGE($J$168:$J$207) = 0, "", AVERAGE($J$168:$J$207))))</f>
        <v>66690.854950620589</v>
      </c>
      <c r="K167">
        <f ca="1">IF(ISERROR(IF(AVERAGE($K$168:$K$207) = 0, "", AVERAGE($K$168:$K$207))), "", (IF(AVERAGE($K$168:$K$207) = 0, "", AVERAGE($K$168:$K$207))))</f>
        <v>64580.756809126447</v>
      </c>
      <c r="L167">
        <f ca="1">IF(ISERROR(IF(AVERAGE($L$168:$L$207) = 0, "", AVERAGE($L$168:$L$207))), "", (IF(AVERAGE($L$168:$L$207) = 0, "", AVERAGE($L$168:$L$207))))</f>
        <v>63124.253276991178</v>
      </c>
      <c r="M167">
        <f ca="1">IF(ISERROR(IF(AVERAGE($M$168:$M$207) = 0, "", AVERAGE($M$168:$M$207))), "", (IF(AVERAGE($M$168:$M$207) = 0, "", AVERAGE($M$168:$M$207))))</f>
        <v>62263.358623320608</v>
      </c>
      <c r="N167">
        <f ca="1">IF(ISERROR(IF(AVERAGE($N$168:$N$207) = 0, "", AVERAGE($N$168:$N$207))), "", (IF(AVERAGE($N$168:$N$207) = 0, "", AVERAGE($N$168:$N$207))))</f>
        <v>61889.683306997053</v>
      </c>
      <c r="O167">
        <f ca="1">IF(ISERROR(IF(AVERAGE($O$168:$O$207) = 0, "", AVERAGE($O$168:$O$207))), "", (IF(AVERAGE($O$168:$O$207) = 0, "", AVERAGE($O$168:$O$207))))</f>
        <v>61094.366745838226</v>
      </c>
      <c r="P167">
        <f ca="1">IF(ISERROR(IF(AVERAGE($P$168:$P$207) = 0, "", AVERAGE($P$168:$P$207))), "", (IF(AVERAGE($P$168:$P$207) = 0, "", AVERAGE($P$168:$P$207))))</f>
        <v>60537.070828214695</v>
      </c>
      <c r="Q167">
        <f ca="1">IF(ISERROR(IF(AVERAGE($Q$168:$Q$207) = 0, "", AVERAGE($Q$168:$Q$207))), "", (IF(AVERAGE($Q$168:$Q$207) = 0, "", AVERAGE($Q$168:$Q$207))))</f>
        <v>59452.511778623528</v>
      </c>
      <c r="R167">
        <f ca="1">IF(ISERROR(IF(AVERAGE($R$168:$R$207) = 0, "", AVERAGE($R$168:$R$207))), "", (IF(AVERAGE($R$168:$R$207) = 0, "", AVERAGE($R$168:$R$207))))</f>
        <v>59055.426750209081</v>
      </c>
      <c r="S167">
        <f ca="1">IF(ISERROR(IF(AVERAGE($S$168:$S$207) = 0, "", AVERAGE($S$168:$S$207))), "", (IF(AVERAGE($S$168:$S$207) = 0, "", AVERAGE($S$168:$S$207))))</f>
        <v>58744.35444478484</v>
      </c>
      <c r="T167">
        <f ca="1">IF(ISERROR(IF(AVERAGE($T$168:$T$207) = 0, "", AVERAGE($T$168:$T$207))), "", (IF(AVERAGE($T$168:$T$207) = 0, "", AVERAGE($T$168:$T$207))))</f>
        <v>58888.382156921201</v>
      </c>
      <c r="U167">
        <f ca="1">IF(ISERROR(IF(AVERAGE($U$168:$U$207) = 0, "", AVERAGE($U$168:$U$207))), "", (IF(AVERAGE($U$168:$U$207) = 0, "", AVERAGE($U$168:$U$207))))</f>
        <v>60139.539624318182</v>
      </c>
      <c r="V167">
        <f ca="1">IF(ISERROR(IF(AVERAGE($V$168:$V$207) = 0, "", AVERAGE($V$168:$V$207))), "", (IF(AVERAGE($V$168:$V$207) = 0, "", AVERAGE($V$168:$V$207))))</f>
        <v>61127.217547682347</v>
      </c>
      <c r="W167">
        <f ca="1">IF(ISERROR(IF(AVERAGE($W$168:$W$207) = 0, "", AVERAGE($W$168:$W$207))), "", (IF(AVERAGE($W$168:$W$207) = 0, "", AVERAGE($W$168:$W$207))))</f>
        <v>61970.937050623528</v>
      </c>
      <c r="X167">
        <f ca="1">IF(ISERROR(IF(AVERAGE($X$168:$X$207) = 0, "", AVERAGE($X$168:$X$207))), "", (IF(AVERAGE($X$168:$X$207) = 0, "", AVERAGE($X$168:$X$207))))</f>
        <v>62054.502781882373</v>
      </c>
      <c r="Y167">
        <f ca="1">IF(ISERROR(IF(AVERAGE($Y$168:$Y$207) = 0, "", AVERAGE($Y$168:$Y$207))), "", (IF(AVERAGE($Y$168:$Y$207) = 0, "", AVERAGE($Y$168:$Y$207))))</f>
        <v>61432.414266938242</v>
      </c>
      <c r="Z167">
        <f ca="1">IF(ISERROR(IF(AVERAGE($Z$168:$Z$207) = 0, "", AVERAGE($Z$168:$Z$207))), "", (IF(AVERAGE($Z$168:$Z$207) = 0, "", AVERAGE($Z$168:$Z$207))))</f>
        <v>58942.510428175767</v>
      </c>
      <c r="AA167">
        <f ca="1">IF(ISERROR(IF(AVERAGE($AA$168:$AA$207) = 0, "", AVERAGE($AA$168:$AA$207))), "", (IF(AVERAGE($AA$168:$AA$207) = 0, "", AVERAGE($AA$168:$AA$207))))</f>
        <v>58107.423309578779</v>
      </c>
      <c r="AB167">
        <f ca="1">IF(ISERROR(IF(AVERAGE($AB$168:$AB$207) = 0, "", AVERAGE($AB$168:$AB$207))), "", (IF(AVERAGE($AB$168:$AB$207) = 0, "", AVERAGE($AB$168:$AB$207))))</f>
        <v>57232.171077378785</v>
      </c>
      <c r="AC167">
        <f ca="1">IF(ISERROR(IF(AVERAGE($AC$168:$AC$207) = 0, "", AVERAGE($AC$168:$AC$207))), "", (IF(AVERAGE($AC$168:$AC$207) = 0, "", AVERAGE($AC$168:$AC$207))))</f>
        <v>56862.889554303038</v>
      </c>
      <c r="AD167">
        <f ca="1">IF(ISERROR(IF(AVERAGE($AD$168:$AD$207) = 0, "", AVERAGE($AD$168:$AD$207))), "", (IF(AVERAGE($AD$168:$AD$207) = 0, "", AVERAGE($AD$168:$AD$207))))</f>
        <v>56334.583737060595</v>
      </c>
      <c r="AE167">
        <f ca="1">IF(ISERROR(IF(AVERAGE($AE$168:$AE$207) = 0, "", AVERAGE($AE$168:$AE$207))), "", (IF(AVERAGE($AE$168:$AE$207) = 0, "", AVERAGE($AE$168:$AE$207))))</f>
        <v>56639.35681554547</v>
      </c>
      <c r="AF167">
        <f ca="1">IF(ISERROR(IF(AVERAGE($AF$168:$AF$207) = 0, "", AVERAGE($AF$168:$AF$207))), "", (IF(AVERAGE($AF$168:$AF$207) = 0, "", AVERAGE($AF$168:$AF$207))))</f>
        <v>58035.158199031255</v>
      </c>
      <c r="AG167">
        <f ca="1">IF(ISERROR(IF(AVERAGE($AG$168:$AG$207) = 0, "", AVERAGE($AG$168:$AG$207))), "", (IF(AVERAGE($AG$168:$AG$207) = 0, "", AVERAGE($AG$168:$AG$207))))</f>
        <v>57615.736954375003</v>
      </c>
      <c r="AH167">
        <f ca="1">IF(ISERROR(IF(AVERAGE($AH$168:$AH$207) = 0, "", AVERAGE($AH$168:$AH$207))), "", (IF(AVERAGE($AH$168:$AH$207) = 0, "", AVERAGE($AH$168:$AH$207))))</f>
        <v>59788.122314766661</v>
      </c>
      <c r="AI167">
        <f ca="1">IF(ISERROR(IF(AVERAGE($AI$168:$AI$207) = 0, "", AVERAGE($AI$168:$AI$207))), "", (IF(AVERAGE($AI$168:$AI$207) = 0, "", AVERAGE($AI$168:$AI$207))))</f>
        <v>58139.728326533339</v>
      </c>
      <c r="AJ167">
        <f ca="1">IF(ISERROR(IF(AVERAGE($AJ$168:$AJ$207) = 0, "", AVERAGE($AJ$168:$AJ$207))), "", (IF(AVERAGE($AJ$168:$AJ$207) = 0, "", AVERAGE($AJ$168:$AJ$207))))</f>
        <v>56799.44433773333</v>
      </c>
      <c r="AK167">
        <f ca="1">IF(ISERROR(IF(AVERAGE($AK$168:$AK$207) = 0, "", AVERAGE($AK$168:$AK$207))), "", (IF(AVERAGE($AK$168:$AK$207) = 0, "", AVERAGE($AK$168:$AK$207))))</f>
        <v>54938.899464566646</v>
      </c>
      <c r="AL167">
        <f ca="1">IF(ISERROR(IF(AVERAGE($AL$168:$AL$207) = 0, "", AVERAGE($AL$168:$AL$207))), "", (IF(AVERAGE($AL$168:$AL$207) = 0, "", AVERAGE($AL$168:$AL$207))))</f>
        <v>53453.887380266679</v>
      </c>
      <c r="AM167">
        <f ca="1">IF(ISERROR(IF(AVERAGE($AM$168:$AM$207) = 0, "", AVERAGE($AM$168:$AM$207))), "", (IF(AVERAGE($AM$168:$AM$207) = 0, "", AVERAGE($AM$168:$AM$207))))</f>
        <v>50185.772859096774</v>
      </c>
      <c r="AN167">
        <f ca="1">IF(ISERROR(IF(AVERAGE($AN$168:$AN$207) = 0, "", AVERAGE($AN$168:$AN$207))), "", (IF(AVERAGE($AN$168:$AN$207) = 0, "", AVERAGE($AN$168:$AN$207))))</f>
        <v>49297.588165703455</v>
      </c>
      <c r="AO167">
        <f ca="1">IF(ISERROR(IF(AVERAGE($AO$168:$AO$207) = 0, "", AVERAGE($AO$168:$AO$207))), "", (IF(AVERAGE($AO$168:$AO$207) = 0, "", AVERAGE($AO$168:$AO$207))))</f>
        <v>49217.277986392859</v>
      </c>
      <c r="AP167">
        <f ca="1">IF(ISERROR(IF(AVERAGE($AP$168:$AP$207) = 0, "", AVERAGE($AP$168:$AP$207))), "", (IF(AVERAGE($AP$168:$AP$207) = 0, "", AVERAGE($AP$168:$AP$207))))</f>
        <v>47792.708003666667</v>
      </c>
      <c r="AQ167">
        <f ca="1">IF(ISERROR(IF(AVERAGE($AQ$168:$AQ$207) = 0, "", AVERAGE($AQ$168:$AQ$207))), "", (IF(AVERAGE($AQ$168:$AQ$207) = 0, "", AVERAGE($AQ$168:$AQ$207))))</f>
        <v>44402.566519155553</v>
      </c>
      <c r="AR167">
        <f ca="1">IF(ISERROR(IF(AVERAGE($AR$168:$AR$207) = 0, "", AVERAGE($AR$168:$AR$207))), "", (IF(AVERAGE($AR$168:$AR$207) = 0, "", AVERAGE($AR$168:$AR$207))))</f>
        <v>41163.510701978252</v>
      </c>
      <c r="AS167">
        <f ca="1">IF(ISERROR(IF(AVERAGE($AS$168:$AS$207) = 0, "", AVERAGE($AS$168:$AS$207))), "", (IF(AVERAGE($AS$168:$AS$207) = 0, "", AVERAGE($AS$168:$AS$207))))</f>
        <v>42952.905162056522</v>
      </c>
      <c r="AT167">
        <f ca="1">IF(ISERROR(IF(AVERAGE($AT$168:$AT$207) = 0, "", AVERAGE($AT$168:$AT$207))), "", (IF(AVERAGE($AT$168:$AT$207) = 0, "", AVERAGE($AT$168:$AT$207))))</f>
        <v>46771.763214317391</v>
      </c>
      <c r="AU167">
        <f ca="1">IF(ISERROR(IF(AVERAGE($AU$168:$AU$207) = 0, "", AVERAGE($AU$168:$AU$207))), "", (IF(AVERAGE($AU$168:$AU$207) = 0, "", AVERAGE($AU$168:$AU$207))))</f>
        <v>52923.846713999985</v>
      </c>
      <c r="AV167">
        <f ca="1">IF(ISERROR(IF(AVERAGE($AV$168:$AV$207) = 0, "", AVERAGE($AV$168:$AV$207))), "", (IF(AVERAGE($AV$168:$AV$207) = 0, "", AVERAGE($AV$168:$AV$207))))</f>
        <v>59766.149594249997</v>
      </c>
      <c r="AW167">
        <f ca="1">IF(ISERROR(IF(AVERAGE($AW$168:$AW$207) = 0, "", AVERAGE($AW$168:$AW$207))), "", (IF(AVERAGE($AW$168:$AW$207) = 0, "", AVERAGE($AW$168:$AW$207))))</f>
        <v>59479.602705200006</v>
      </c>
      <c r="AX167">
        <f ca="1">IF(ISERROR(IF(AVERAGE($AX$168:$AX$207) = 0, "", AVERAGE($AX$168:$AX$207))), "", (IF(AVERAGE($AX$168:$AX$207) = 0, "", AVERAGE($AX$168:$AX$207))))</f>
        <v>57738.037963599993</v>
      </c>
      <c r="AY167">
        <f ca="1">IF(ISERROR(IF(AVERAGE($AY$168:$AY$207) = 0, "", AVERAGE($AY$168:$AY$207))), "", (IF(AVERAGE($AY$168:$AY$207) = 0, "", AVERAGE($AY$168:$AY$207))))</f>
        <v>56074.212350550006</v>
      </c>
      <c r="AZ167">
        <f ca="1">IF(ISERROR(IF(AVERAGE($AZ$168:$AZ$207) = 0, "", AVERAGE($AZ$168:$AZ$207))), "", (IF(AVERAGE($AZ$168:$AZ$207) = 0, "", AVERAGE($AZ$168:$AZ$207))))</f>
        <v>54443.878708452648</v>
      </c>
      <c r="BA167">
        <f ca="1">IF(ISERROR(IF(AVERAGE($BA$168:$BA$207) = 0, "", AVERAGE($BA$168:$BA$207))), "", (IF(AVERAGE($BA$168:$BA$207) = 0, "", AVERAGE($BA$168:$BA$207))))</f>
        <v>52736.219658410533</v>
      </c>
      <c r="BB167">
        <f ca="1">IF(ISERROR(IF(AVERAGE($BB$168:$BB$207) = 0, "", AVERAGE($BB$168:$BB$207))), "", (IF(AVERAGE($BB$168:$BB$207) = 0, "", AVERAGE($BB$168:$BB$207))))</f>
        <v>51537.459287763158</v>
      </c>
      <c r="BC167">
        <f ca="1">IF(ISERROR(IF(AVERAGE($BC$168:$BC$207) = 0, "", AVERAGE($BC$168:$BC$207))), "", (IF(AVERAGE($BC$168:$BC$207) = 0, "", AVERAGE($BC$168:$BC$207))))</f>
        <v>50955.976838663148</v>
      </c>
      <c r="BD167">
        <f ca="1">IF(ISERROR(IF(AVERAGE($BD$168:$BD$207) = 0, "", AVERAGE($BD$168:$BD$207))), "", (IF(AVERAGE($BD$168:$BD$207) = 0, "", AVERAGE($BD$168:$BD$207))))</f>
        <v>51916.643811736838</v>
      </c>
      <c r="BE167">
        <f ca="1">IF(ISERROR(IF(AVERAGE($BE$168:$BE$207) = 0, "", AVERAGE($BE$168:$BE$207))), "", (IF(AVERAGE($BE$168:$BE$207) = 0, "", AVERAGE($BE$168:$BE$207))))</f>
        <v>52312.65863566316</v>
      </c>
      <c r="BF167">
        <f ca="1">IF(ISERROR(IF(AVERAGE($BF$168:$BF$207) = 0, "", AVERAGE($BF$168:$BF$207))), "", (IF(AVERAGE($BF$168:$BF$207) = 0, "", AVERAGE($BF$168:$BF$207))))</f>
        <v>52894.128302131576</v>
      </c>
      <c r="BG167">
        <f ca="1">IF(ISERROR(IF(AVERAGE($BG$168:$BG$207) = 0, "", AVERAGE($BG$168:$BG$207))), "", (IF(AVERAGE($BG$168:$BG$207) = 0, "", AVERAGE($BG$168:$BG$207))))</f>
        <v>52402.255909510517</v>
      </c>
      <c r="BH167">
        <f ca="1">IF(ISERROR(IF(AVERAGE($BH$168:$BH$207) = 0, "", AVERAGE($BH$168:$BH$207))), "", (IF(AVERAGE($BH$168:$BH$207) = 0, "", AVERAGE($BH$168:$BH$207))))</f>
        <v>52102.912354384222</v>
      </c>
      <c r="BI167">
        <f ca="1">IF(ISERROR(IF(AVERAGE($BI$168:$BI$207) = 0, "", AVERAGE($BI$168:$BI$207))), "", (IF(AVERAGE($BI$168:$BI$207) = 0, "", AVERAGE($BI$168:$BI$207))))</f>
        <v>53871.589054772223</v>
      </c>
      <c r="BJ167">
        <f ca="1">IF(ISERROR(IF(AVERAGE($BJ$168:$BJ$207) = 0, "", AVERAGE($BJ$168:$BJ$207))), "", (IF(AVERAGE($BJ$168:$BJ$207) = 0, "", AVERAGE($BJ$168:$BJ$207))))</f>
        <v>52777.258354472222</v>
      </c>
      <c r="BK167">
        <f ca="1">IF(ISERROR(IF(AVERAGE($BK$168:$BK$207) = 0, "", AVERAGE($BK$168:$BK$207))), "", (IF(AVERAGE($BK$168:$BK$207) = 0, "", AVERAGE($BK$168:$BK$207))))</f>
        <v>54824.652597847067</v>
      </c>
      <c r="BL167">
        <f ca="1">IF(ISERROR(IF(AVERAGE($BL$168:$BL$207) = 0, "", AVERAGE($BL$168:$BL$207))), "", (IF(AVERAGE($BL$168:$BL$207) = 0, "", AVERAGE($BL$168:$BL$207))))</f>
        <v>53764.320028441172</v>
      </c>
      <c r="BM167">
        <f ca="1">IF(ISERROR(IF(AVERAGE($BM$168:$BM$207) = 0, "", AVERAGE($BM$168:$BM$207))), "", (IF(AVERAGE($BM$168:$BM$207) = 0, "", AVERAGE($BM$168:$BM$207))))</f>
        <v>52435.697802152943</v>
      </c>
      <c r="BN167" t="str">
        <f>""</f>
        <v/>
      </c>
      <c r="BO167">
        <f>87870.99107</f>
        <v>87870.991070000004</v>
      </c>
      <c r="BP167">
        <f>68333.88269</f>
        <v>68333.882689999999</v>
      </c>
      <c r="BQ167">
        <f>68146.55231</f>
        <v>68146.552309999999</v>
      </c>
      <c r="BR167">
        <f>66690.85496</f>
        <v>66690.854959999997</v>
      </c>
      <c r="BS167">
        <f>64580.75681</f>
        <v>64580.756809999999</v>
      </c>
      <c r="BT167">
        <f>63124.25328</f>
        <v>63124.253279999997</v>
      </c>
      <c r="BU167">
        <f>62263.35862</f>
        <v>62263.358619999999</v>
      </c>
      <c r="BV167">
        <f>61889.68331</f>
        <v>61889.68331</v>
      </c>
      <c r="BW167">
        <f>61094.36675</f>
        <v>61094.366750000001</v>
      </c>
      <c r="BX167">
        <f>60537.07084</f>
        <v>60537.07084</v>
      </c>
      <c r="BY167">
        <f>59452.51178</f>
        <v>59452.511780000001</v>
      </c>
      <c r="BZ167">
        <f>59055.42675</f>
        <v>59055.426749999999</v>
      </c>
      <c r="CA167">
        <f>58744.35444</f>
        <v>58744.354440000003</v>
      </c>
      <c r="CB167">
        <f>58888.38216</f>
        <v>58888.382160000001</v>
      </c>
      <c r="CC167">
        <f>60139.53962</f>
        <v>60139.539620000003</v>
      </c>
      <c r="CD167">
        <f>61127.21755</f>
        <v>61127.217550000001</v>
      </c>
      <c r="CE167">
        <f>61970.93705</f>
        <v>61970.93705</v>
      </c>
      <c r="CF167">
        <f>62054.50278</f>
        <v>62054.502780000003</v>
      </c>
      <c r="CG167">
        <f>61432.41427</f>
        <v>61432.414270000001</v>
      </c>
      <c r="CH167">
        <f>58942.51043</f>
        <v>58942.510430000002</v>
      </c>
      <c r="CI167">
        <f>58107.42331</f>
        <v>58107.423309999998</v>
      </c>
      <c r="CJ167">
        <f>57232.17108</f>
        <v>57232.17108</v>
      </c>
      <c r="CK167">
        <f>56862.88956</f>
        <v>56862.889560000003</v>
      </c>
      <c r="CL167">
        <f>56334.58374</f>
        <v>56334.583740000002</v>
      </c>
      <c r="CM167">
        <f>56639.35681</f>
        <v>56639.356809999997</v>
      </c>
      <c r="CN167">
        <f>58035.1582</f>
        <v>58035.158199999998</v>
      </c>
      <c r="CO167">
        <f>57615.73695</f>
        <v>57615.736949999999</v>
      </c>
      <c r="CP167">
        <f>59788.12231</f>
        <v>59788.122309999999</v>
      </c>
      <c r="CQ167">
        <f>58139.72833</f>
        <v>58139.728329999998</v>
      </c>
      <c r="CR167">
        <f>56799.44434</f>
        <v>56799.444340000002</v>
      </c>
      <c r="CS167">
        <f>54938.89946</f>
        <v>54938.899460000001</v>
      </c>
      <c r="CT167">
        <f>53453.88738</f>
        <v>53453.88738</v>
      </c>
      <c r="CU167">
        <f>50185.77286</f>
        <v>50185.772859999997</v>
      </c>
      <c r="CV167">
        <f>49297.58817</f>
        <v>49297.588170000003</v>
      </c>
      <c r="CW167">
        <f>49217.27799</f>
        <v>49217.277990000002</v>
      </c>
      <c r="CX167">
        <f>47792.708</f>
        <v>47792.707999999999</v>
      </c>
      <c r="CY167">
        <f>44402.56652</f>
        <v>44402.56652</v>
      </c>
      <c r="CZ167">
        <f>41163.51071</f>
        <v>41163.510710000002</v>
      </c>
      <c r="DA167">
        <f>42952.90517</f>
        <v>42952.905169999998</v>
      </c>
      <c r="DB167">
        <f>46771.76322</f>
        <v>46771.763220000001</v>
      </c>
      <c r="DC167">
        <f>52923.84671</f>
        <v>52923.846709999998</v>
      </c>
      <c r="DD167">
        <f>59766.1496</f>
        <v>59766.149599999997</v>
      </c>
      <c r="DE167">
        <f>59479.6027</f>
        <v>59479.602700000003</v>
      </c>
      <c r="DF167">
        <f>57738.03796</f>
        <v>57738.037960000001</v>
      </c>
      <c r="DG167">
        <f>56074.21235</f>
        <v>56074.212350000002</v>
      </c>
      <c r="DH167">
        <f>54443.87871</f>
        <v>54443.878709999997</v>
      </c>
      <c r="DI167">
        <f>52736.21966</f>
        <v>52736.219660000002</v>
      </c>
      <c r="DJ167">
        <f>51537.45929</f>
        <v>51537.459289999999</v>
      </c>
      <c r="DK167">
        <f>50955.97684</f>
        <v>50955.976840000003</v>
      </c>
      <c r="DL167">
        <f>51916.64382</f>
        <v>51916.643819999998</v>
      </c>
      <c r="DM167">
        <f>52312.65864</f>
        <v>52312.658640000001</v>
      </c>
      <c r="DN167">
        <f>52894.1283</f>
        <v>52894.128299999997</v>
      </c>
      <c r="DO167">
        <f>52402.25591</f>
        <v>52402.25591</v>
      </c>
      <c r="DP167">
        <f>52102.91236</f>
        <v>52102.912360000002</v>
      </c>
      <c r="DQ167">
        <f>53871.58905</f>
        <v>53871.589050000002</v>
      </c>
      <c r="DR167">
        <f>52777.25835</f>
        <v>52777.258349999996</v>
      </c>
      <c r="DS167">
        <f>54824.6526</f>
        <v>54824.652600000001</v>
      </c>
      <c r="DT167">
        <f>53764.32003</f>
        <v>53764.320030000003</v>
      </c>
      <c r="DU167">
        <f>52435.6978</f>
        <v>52435.697800000002</v>
      </c>
    </row>
    <row r="168" spans="1:125" x14ac:dyDescent="0.25">
      <c r="A168" t="str">
        <f>"    AUDI AG"</f>
        <v xml:space="preserve">    AUDI AG</v>
      </c>
      <c r="B168" t="str">
        <f>"NSU GR Equity"</f>
        <v>NSU GR Equity</v>
      </c>
      <c r="C168" t="str">
        <f t="shared" ref="C168:C207" si="12">"RR800"</f>
        <v>RR800</v>
      </c>
      <c r="D168" t="str">
        <f t="shared" ref="D168:D207" si="13">"TRAIL_12M_NET_SALES"</f>
        <v>TRAIL_12M_NET_SALES</v>
      </c>
      <c r="E168" t="str">
        <f t="shared" ref="E168:E207" si="14">"Dynamic"</f>
        <v>Dynamic</v>
      </c>
      <c r="F168" t="str">
        <f ca="1">IF(AND(ISNUMBER($F$673),$B$511=1),$F$673,HLOOKUP(INDIRECT(ADDRESS(2,COLUMN())),OFFSET($BN$2,0,0,ROW()-1,60),ROW()-1,FALSE))</f>
        <v/>
      </c>
      <c r="G168" t="str">
        <f ca="1">IF(AND(ISNUMBER($G$673),$B$511=1),$G$673,HLOOKUP(INDIRECT(ADDRESS(2,COLUMN())),OFFSET($BN$2,0,0,ROW()-1,60),ROW()-1,FALSE))</f>
        <v/>
      </c>
      <c r="H168">
        <f ca="1">IF(AND(ISNUMBER($H$673),$B$511=1),$H$673,HLOOKUP(INDIRECT(ADDRESS(2,COLUMN())),OFFSET($BN$2,0,0,ROW()-1,60),ROW()-1,FALSE))</f>
        <v>71605.014580000003</v>
      </c>
      <c r="I168">
        <f ca="1">IF(AND(ISNUMBER($I$673),$B$511=1),$I$673,HLOOKUP(INDIRECT(ADDRESS(2,COLUMN())),OFFSET($BN$2,0,0,ROW()-1,60),ROW()-1,FALSE))</f>
        <v>73001.220149999994</v>
      </c>
      <c r="J168">
        <f ca="1">IF(AND(ISNUMBER($J$673),$B$511=1),$J$673,HLOOKUP(INDIRECT(ADDRESS(2,COLUMN())),OFFSET($BN$2,0,0,ROW()-1,60),ROW()-1,FALSE))</f>
        <v>71469.185129999998</v>
      </c>
      <c r="K168">
        <f ca="1">IF(AND(ISNUMBER($K$673),$B$511=1),$K$673,HLOOKUP(INDIRECT(ADDRESS(2,COLUMN())),OFFSET($BN$2,0,0,ROW()-1,60),ROW()-1,FALSE))</f>
        <v>67927.881630000003</v>
      </c>
      <c r="L168">
        <f ca="1">IF(AND(ISNUMBER($L$673),$B$511=1),$L$673,HLOOKUP(INDIRECT(ADDRESS(2,COLUMN())),OFFSET($BN$2,0,0,ROW()-1,60),ROW()-1,FALSE))</f>
        <v>65773.101339999994</v>
      </c>
      <c r="M168">
        <f ca="1">IF(AND(ISNUMBER($M$673),$B$511=1),$M$673,HLOOKUP(INDIRECT(ADDRESS(2,COLUMN())),OFFSET($BN$2,0,0,ROW()-1,60),ROW()-1,FALSE))</f>
        <v>64677.04722</v>
      </c>
      <c r="N168">
        <f ca="1">IF(AND(ISNUMBER($N$673),$B$511=1),$N$673,HLOOKUP(INDIRECT(ADDRESS(2,COLUMN())),OFFSET($BN$2,0,0,ROW()-1,60),ROW()-1,FALSE))</f>
        <v>64942.629280000001</v>
      </c>
      <c r="O168">
        <f ca="1">IF(AND(ISNUMBER($O$673),$B$511=1),$O$673,HLOOKUP(INDIRECT(ADDRESS(2,COLUMN())),OFFSET($BN$2,0,0,ROW()-1,60),ROW()-1,FALSE))</f>
        <v>65653.756699999998</v>
      </c>
      <c r="P168">
        <f ca="1">IF(AND(ISNUMBER($P$673),$B$511=1),$P$673,HLOOKUP(INDIRECT(ADDRESS(2,COLUMN())),OFFSET($BN$2,0,0,ROW()-1,60),ROW()-1,FALSE))</f>
        <v>65265.165699999998</v>
      </c>
      <c r="Q168">
        <f ca="1">IF(AND(ISNUMBER($Q$673),$B$511=1),$Q$673,HLOOKUP(INDIRECT(ADDRESS(2,COLUMN())),OFFSET($BN$2,0,0,ROW()-1,60),ROW()-1,FALSE))</f>
        <v>49792.803119999997</v>
      </c>
      <c r="R168">
        <f ca="1">IF(AND(ISNUMBER($R$673),$B$511=1),$R$673,HLOOKUP(INDIRECT(ADDRESS(2,COLUMN())),OFFSET($BN$2,0,0,ROW()-1,60),ROW()-1,FALSE))</f>
        <v>48998.885670000003</v>
      </c>
      <c r="S168">
        <f ca="1">IF(AND(ISNUMBER($S$673),$B$511=1),$S$673,HLOOKUP(INDIRECT(ADDRESS(2,COLUMN())),OFFSET($BN$2,0,0,ROW()-1,60),ROW()-1,FALSE))</f>
        <v>49405.066639999997</v>
      </c>
      <c r="T168">
        <f ca="1">IF(AND(ISNUMBER($T$673),$B$511=1),$T$673,HLOOKUP(INDIRECT(ADDRESS(2,COLUMN())),OFFSET($BN$2,0,0,ROW()-1,60),ROW()-1,FALSE))</f>
        <v>50860.079530000003</v>
      </c>
      <c r="U168">
        <f ca="1">IF(AND(ISNUMBER($U$673),$B$511=1),$U$673,HLOOKUP(INDIRECT(ADDRESS(2,COLUMN())),OFFSET($BN$2,0,0,ROW()-1,60),ROW()-1,FALSE))</f>
        <v>68415.239830000006</v>
      </c>
      <c r="V168">
        <f ca="1">IF(AND(ISNUMBER($V$673),$B$511=1),$V$673,HLOOKUP(INDIRECT(ADDRESS(2,COLUMN())),OFFSET($BN$2,0,0,ROW()-1,60),ROW()-1,FALSE))</f>
        <v>70394.961219999997</v>
      </c>
      <c r="W168">
        <f ca="1">IF(AND(ISNUMBER($W$673),$B$511=1),$W$673,HLOOKUP(INDIRECT(ADDRESS(2,COLUMN())),OFFSET($BN$2,0,0,ROW()-1,60),ROW()-1,FALSE))</f>
        <v>71455.265969999993</v>
      </c>
      <c r="X168">
        <f ca="1">IF(AND(ISNUMBER($X$673),$B$511=1),$X$673,HLOOKUP(INDIRECT(ADDRESS(2,COLUMN())),OFFSET($BN$2,0,0,ROW()-1,60),ROW()-1,FALSE))</f>
        <v>70856.295159999994</v>
      </c>
      <c r="Y168">
        <f ca="1">IF(AND(ISNUMBER($Y$673),$B$511=1),$Y$673,HLOOKUP(INDIRECT(ADDRESS(2,COLUMN())),OFFSET($BN$2,0,0,ROW()-1,60),ROW()-1,FALSE))</f>
        <v>69655.348960000003</v>
      </c>
      <c r="Z168">
        <f ca="1">IF(AND(ISNUMBER($Z$673),$B$511=1),$Z$673,HLOOKUP(INDIRECT(ADDRESS(2,COLUMN())),OFFSET($BN$2,0,0,ROW()-1,60),ROW()-1,FALSE))</f>
        <v>68501.127630000003</v>
      </c>
      <c r="AA168">
        <f ca="1">IF(AND(ISNUMBER($AA$673),$B$511=1),$AA$673,HLOOKUP(INDIRECT(ADDRESS(2,COLUMN())),OFFSET($BN$2,0,0,ROW()-1,60),ROW()-1,FALSE))</f>
        <v>66256.174469999998</v>
      </c>
      <c r="AB168">
        <f ca="1">IF(AND(ISNUMBER($AB$673),$B$511=1),$AB$673,HLOOKUP(INDIRECT(ADDRESS(2,COLUMN())),OFFSET($BN$2,0,0,ROW()-1,60),ROW()-1,FALSE))</f>
        <v>63072.504390000002</v>
      </c>
      <c r="AC168">
        <f ca="1">IF(AND(ISNUMBER($AC$673),$B$511=1),$AC$673,HLOOKUP(INDIRECT(ADDRESS(2,COLUMN())),OFFSET($BN$2,0,0,ROW()-1,60),ROW()-1,FALSE))</f>
        <v>63367.329879999998</v>
      </c>
      <c r="AD168">
        <f ca="1">IF(AND(ISNUMBER($AD$673),$B$511=1),$AD$673,HLOOKUP(INDIRECT(ADDRESS(2,COLUMN())),OFFSET($BN$2,0,0,ROW()-1,60),ROW()-1,FALSE))</f>
        <v>61968.793489999996</v>
      </c>
      <c r="AE168">
        <f ca="1">IF(AND(ISNUMBER($AE$673),$B$511=1),$AE$673,HLOOKUP(INDIRECT(ADDRESS(2,COLUMN())),OFFSET($BN$2,0,0,ROW()-1,60),ROW()-1,FALSE))</f>
        <v>62713.21903</v>
      </c>
      <c r="AF168">
        <f ca="1">IF(AND(ISNUMBER($AF$673),$B$511=1),$AF$673,HLOOKUP(INDIRECT(ADDRESS(2,COLUMN())),OFFSET($BN$2,0,0,ROW()-1,60),ROW()-1,FALSE))</f>
        <v>61661.214050000002</v>
      </c>
      <c r="AG168">
        <f ca="1">IF(AND(ISNUMBER($AG$673),$B$511=1),$AG$673,HLOOKUP(INDIRECT(ADDRESS(2,COLUMN())),OFFSET($BN$2,0,0,ROW()-1,60),ROW()-1,FALSE))</f>
        <v>61216.618430000002</v>
      </c>
      <c r="AH168">
        <f ca="1">IF(AND(ISNUMBER($AH$673),$B$511=1),$AH$673,HLOOKUP(INDIRECT(ADDRESS(2,COLUMN())),OFFSET($BN$2,0,0,ROW()-1,60),ROW()-1,FALSE))</f>
        <v>60763.384120000002</v>
      </c>
      <c r="AI168">
        <f ca="1">IF(AND(ISNUMBER($AI$673),$B$511=1),$AI$673,HLOOKUP(INDIRECT(ADDRESS(2,COLUMN())),OFFSET($BN$2,0,0,ROW()-1,60),ROW()-1,FALSE))</f>
        <v>58788.610529999998</v>
      </c>
      <c r="AJ168">
        <f ca="1">IF(AND(ISNUMBER($AJ$673),$B$511=1),$AJ$673,HLOOKUP(INDIRECT(ADDRESS(2,COLUMN())),OFFSET($BN$2,0,0,ROW()-1,60),ROW()-1,FALSE))</f>
        <v>58355.745159999999</v>
      </c>
      <c r="AK168">
        <f ca="1">IF(AND(ISNUMBER($AK$673),$B$511=1),$AK$673,HLOOKUP(INDIRECT(ADDRESS(2,COLUMN())),OFFSET($BN$2,0,0,ROW()-1,60),ROW()-1,FALSE))</f>
        <v>53760.54019</v>
      </c>
      <c r="AL168">
        <f ca="1">IF(AND(ISNUMBER($AL$673),$B$511=1),$AL$673,HLOOKUP(INDIRECT(ADDRESS(2,COLUMN())),OFFSET($BN$2,0,0,ROW()-1,60),ROW()-1,FALSE))</f>
        <v>49870.19904</v>
      </c>
      <c r="AM168">
        <f ca="1">IF(AND(ISNUMBER($AM$673),$B$511=1),$AM$673,HLOOKUP(INDIRECT(ADDRESS(2,COLUMN())),OFFSET($BN$2,0,0,ROW()-1,60),ROW()-1,FALSE))</f>
        <v>47016.425069999998</v>
      </c>
      <c r="AN168">
        <f ca="1">IF(AND(ISNUMBER($AN$673),$B$511=1),$AN$673,HLOOKUP(INDIRECT(ADDRESS(2,COLUMN())),OFFSET($BN$2,0,0,ROW()-1,60),ROW()-1,FALSE))</f>
        <v>46325.00606</v>
      </c>
      <c r="AO168">
        <f ca="1">IF(AND(ISNUMBER($AO$673),$B$511=1),$AO$673,HLOOKUP(INDIRECT(ADDRESS(2,COLUMN())),OFFSET($BN$2,0,0,ROW()-1,60),ROW()-1,FALSE))</f>
        <v>45748.402979999999</v>
      </c>
      <c r="AP168">
        <f ca="1">IF(AND(ISNUMBER($AP$673),$B$511=1),$AP$673,HLOOKUP(INDIRECT(ADDRESS(2,COLUMN())),OFFSET($BN$2,0,0,ROW()-1,60),ROW()-1,FALSE))</f>
        <v>44392.276940000003</v>
      </c>
      <c r="AQ168">
        <f ca="1">IF(AND(ISNUMBER($AQ$673),$B$511=1),$AQ$673,HLOOKUP(INDIRECT(ADDRESS(2,COLUMN())),OFFSET($BN$2,0,0,ROW()-1,60),ROW()-1,FALSE))</f>
        <v>41609.990700000002</v>
      </c>
      <c r="AR168">
        <f ca="1">IF(AND(ISNUMBER($AR$673),$B$511=1),$AR$673,HLOOKUP(INDIRECT(ADDRESS(2,COLUMN())),OFFSET($BN$2,0,0,ROW()-1,60),ROW()-1,FALSE))</f>
        <v>40767.72479</v>
      </c>
      <c r="AS168">
        <f ca="1">IF(AND(ISNUMBER($AS$673),$B$511=1),$AS$673,HLOOKUP(INDIRECT(ADDRESS(2,COLUMN())),OFFSET($BN$2,0,0,ROW()-1,60),ROW()-1,FALSE))</f>
        <v>43038.533049999998</v>
      </c>
      <c r="AT168">
        <f ca="1">IF(AND(ISNUMBER($AT$673),$B$511=1),$AT$673,HLOOKUP(INDIRECT(ADDRESS(2,COLUMN())),OFFSET($BN$2,0,0,ROW()-1,60),ROW()-1,FALSE))</f>
        <v>46399.128299999997</v>
      </c>
      <c r="AU168">
        <f ca="1">IF(AND(ISNUMBER($AU$673),$B$511=1),$AU$673,HLOOKUP(INDIRECT(ADDRESS(2,COLUMN())),OFFSET($BN$2,0,0,ROW()-1,60),ROW()-1,FALSE))</f>
        <v>50298.534209999998</v>
      </c>
      <c r="AV168">
        <f ca="1">IF(AND(ISNUMBER($AV$673),$B$511=1),$AV$673,HLOOKUP(INDIRECT(ADDRESS(2,COLUMN())),OFFSET($BN$2,0,0,ROW()-1,60),ROW()-1,FALSE))</f>
        <v>51340.427880000003</v>
      </c>
      <c r="AW168">
        <f ca="1">IF(AND(ISNUMBER($AW$673),$B$511=1),$AW$673,HLOOKUP(INDIRECT(ADDRESS(2,COLUMN())),OFFSET($BN$2,0,0,ROW()-1,60),ROW()-1,FALSE))</f>
        <v>49465.574970000001</v>
      </c>
      <c r="AX168">
        <f ca="1">IF(AND(ISNUMBER($AX$673),$B$511=1),$AX$673,HLOOKUP(INDIRECT(ADDRESS(2,COLUMN())),OFFSET($BN$2,0,0,ROW()-1,60),ROW()-1,FALSE))</f>
        <v>47112.628239999998</v>
      </c>
      <c r="AY168">
        <f ca="1">IF(AND(ISNUMBER($AY$673),$B$511=1),$AY$673,HLOOKUP(INDIRECT(ADDRESS(2,COLUMN())),OFFSET($BN$2,0,0,ROW()-1,60),ROW()-1,FALSE))</f>
        <v>46082.130149999997</v>
      </c>
      <c r="AZ168" t="str">
        <f ca="1">IF(AND(ISNUMBER($AZ$673),$B$511=1),$AZ$673,HLOOKUP(INDIRECT(ADDRESS(2,COLUMN())),OFFSET($BN$2,0,0,ROW()-1,60),ROW()-1,FALSE))</f>
        <v/>
      </c>
      <c r="BA168" t="str">
        <f ca="1">IF(AND(ISNUMBER($BA$673),$B$511=1),$BA$673,HLOOKUP(INDIRECT(ADDRESS(2,COLUMN())),OFFSET($BN$2,0,0,ROW()-1,60),ROW()-1,FALSE))</f>
        <v/>
      </c>
      <c r="BB168" t="str">
        <f ca="1">IF(AND(ISNUMBER($BB$673),$B$511=1),$BB$673,HLOOKUP(INDIRECT(ADDRESS(2,COLUMN())),OFFSET($BN$2,0,0,ROW()-1,60),ROW()-1,FALSE))</f>
        <v/>
      </c>
      <c r="BC168" t="str">
        <f ca="1">IF(AND(ISNUMBER($BC$673),$B$511=1),$BC$673,HLOOKUP(INDIRECT(ADDRESS(2,COLUMN())),OFFSET($BN$2,0,0,ROW()-1,60),ROW()-1,FALSE))</f>
        <v/>
      </c>
      <c r="BD168" t="str">
        <f ca="1">IF(AND(ISNUMBER($BD$673),$B$511=1),$BD$673,HLOOKUP(INDIRECT(ADDRESS(2,COLUMN())),OFFSET($BN$2,0,0,ROW()-1,60),ROW()-1,FALSE))</f>
        <v/>
      </c>
      <c r="BE168" t="str">
        <f ca="1">IF(AND(ISNUMBER($BE$673),$B$511=1),$BE$673,HLOOKUP(INDIRECT(ADDRESS(2,COLUMN())),OFFSET($BN$2,0,0,ROW()-1,60),ROW()-1,FALSE))</f>
        <v/>
      </c>
      <c r="BF168" t="str">
        <f ca="1">IF(AND(ISNUMBER($BF$673),$B$511=1),$BF$673,HLOOKUP(INDIRECT(ADDRESS(2,COLUMN())),OFFSET($BN$2,0,0,ROW()-1,60),ROW()-1,FALSE))</f>
        <v/>
      </c>
      <c r="BG168" t="str">
        <f ca="1">IF(AND(ISNUMBER($BG$673),$B$511=1),$BG$673,HLOOKUP(INDIRECT(ADDRESS(2,COLUMN())),OFFSET($BN$2,0,0,ROW()-1,60),ROW()-1,FALSE))</f>
        <v/>
      </c>
      <c r="BH168" t="str">
        <f ca="1">IF(AND(ISNUMBER($BH$673),$B$511=1),$BH$673,HLOOKUP(INDIRECT(ADDRESS(2,COLUMN())),OFFSET($BN$2,0,0,ROW()-1,60),ROW()-1,FALSE))</f>
        <v/>
      </c>
      <c r="BI168" t="str">
        <f ca="1">IF(AND(ISNUMBER($BI$673),$B$511=1),$BI$673,HLOOKUP(INDIRECT(ADDRESS(2,COLUMN())),OFFSET($BN$2,0,0,ROW()-1,60),ROW()-1,FALSE))</f>
        <v/>
      </c>
      <c r="BJ168" t="str">
        <f ca="1">IF(AND(ISNUMBER($BJ$673),$B$511=1),$BJ$673,HLOOKUP(INDIRECT(ADDRESS(2,COLUMN())),OFFSET($BN$2,0,0,ROW()-1,60),ROW()-1,FALSE))</f>
        <v/>
      </c>
      <c r="BK168" t="str">
        <f ca="1">IF(AND(ISNUMBER($BK$673),$B$511=1),$BK$673,HLOOKUP(INDIRECT(ADDRESS(2,COLUMN())),OFFSET($BN$2,0,0,ROW()-1,60),ROW()-1,FALSE))</f>
        <v/>
      </c>
      <c r="BL168" t="str">
        <f ca="1">IF(AND(ISNUMBER($BL$673),$B$511=1),$BL$673,HLOOKUP(INDIRECT(ADDRESS(2,COLUMN())),OFFSET($BN$2,0,0,ROW()-1,60),ROW()-1,FALSE))</f>
        <v/>
      </c>
      <c r="BM168" t="str">
        <f ca="1">IF(AND(ISNUMBER($BM$673),$B$511=1),$BM$673,HLOOKUP(INDIRECT(ADDRESS(2,COLUMN())),OFFSET($BN$2,0,0,ROW()-1,60),ROW()-1,FALSE))</f>
        <v/>
      </c>
      <c r="BN168" t="str">
        <f>""</f>
        <v/>
      </c>
      <c r="BO168" t="str">
        <f>""</f>
        <v/>
      </c>
      <c r="BP168">
        <f>71605.01458</f>
        <v>71605.014580000003</v>
      </c>
      <c r="BQ168">
        <f>73001.22015</f>
        <v>73001.220149999994</v>
      </c>
      <c r="BR168">
        <f>71469.18513</f>
        <v>71469.185129999998</v>
      </c>
      <c r="BS168">
        <f>67927.88163</f>
        <v>67927.881630000003</v>
      </c>
      <c r="BT168">
        <f>65773.10134</f>
        <v>65773.101339999994</v>
      </c>
      <c r="BU168">
        <f>64677.04722</f>
        <v>64677.04722</v>
      </c>
      <c r="BV168">
        <f>64942.62928</f>
        <v>64942.629280000001</v>
      </c>
      <c r="BW168">
        <f>65653.7567</f>
        <v>65653.756699999998</v>
      </c>
      <c r="BX168">
        <f>65265.1657</f>
        <v>65265.165699999998</v>
      </c>
      <c r="BY168">
        <f>49792.80312</f>
        <v>49792.803119999997</v>
      </c>
      <c r="BZ168">
        <f>48998.88567</f>
        <v>48998.885670000003</v>
      </c>
      <c r="CA168">
        <f>49405.06664</f>
        <v>49405.066639999997</v>
      </c>
      <c r="CB168">
        <f>50860.07953</f>
        <v>50860.079530000003</v>
      </c>
      <c r="CC168">
        <f>68415.23983</f>
        <v>68415.239830000006</v>
      </c>
      <c r="CD168">
        <f>70394.96122</f>
        <v>70394.961219999997</v>
      </c>
      <c r="CE168">
        <f>71455.26597</f>
        <v>71455.265969999993</v>
      </c>
      <c r="CF168">
        <f>70856.29516</f>
        <v>70856.295159999994</v>
      </c>
      <c r="CG168">
        <f>69655.34896</f>
        <v>69655.348960000003</v>
      </c>
      <c r="CH168">
        <f>68501.12763</f>
        <v>68501.127630000003</v>
      </c>
      <c r="CI168">
        <f>66256.17447</f>
        <v>66256.174469999998</v>
      </c>
      <c r="CJ168">
        <f>63072.50439</f>
        <v>63072.504390000002</v>
      </c>
      <c r="CK168">
        <f>63367.32988</f>
        <v>63367.329879999998</v>
      </c>
      <c r="CL168">
        <f>61968.79349</f>
        <v>61968.793489999996</v>
      </c>
      <c r="CM168">
        <f>62713.21903</f>
        <v>62713.21903</v>
      </c>
      <c r="CN168">
        <f>61661.21405</f>
        <v>61661.214050000002</v>
      </c>
      <c r="CO168">
        <f>61216.61843</f>
        <v>61216.618430000002</v>
      </c>
      <c r="CP168">
        <f>60763.38412</f>
        <v>60763.384120000002</v>
      </c>
      <c r="CQ168">
        <f>58788.61053</f>
        <v>58788.610529999998</v>
      </c>
      <c r="CR168">
        <f>58355.74516</f>
        <v>58355.745159999999</v>
      </c>
      <c r="CS168">
        <f>53760.54019</f>
        <v>53760.54019</v>
      </c>
      <c r="CT168">
        <f>49870.19904</f>
        <v>49870.19904</v>
      </c>
      <c r="CU168">
        <f>47016.42507</f>
        <v>47016.425069999998</v>
      </c>
      <c r="CV168">
        <f>46325.00606</f>
        <v>46325.00606</v>
      </c>
      <c r="CW168">
        <f>45748.40298</f>
        <v>45748.402979999999</v>
      </c>
      <c r="CX168">
        <f>44392.27694</f>
        <v>44392.276940000003</v>
      </c>
      <c r="CY168">
        <f>41609.9907</f>
        <v>41609.990700000002</v>
      </c>
      <c r="CZ168">
        <f>40767.72479</f>
        <v>40767.72479</v>
      </c>
      <c r="DA168">
        <f>43038.53305</f>
        <v>43038.533049999998</v>
      </c>
      <c r="DB168">
        <f>46399.1283</f>
        <v>46399.128299999997</v>
      </c>
      <c r="DC168">
        <f>50298.53421</f>
        <v>50298.534209999998</v>
      </c>
      <c r="DD168">
        <f>51340.42788</f>
        <v>51340.427880000003</v>
      </c>
      <c r="DE168">
        <f>49465.57497</f>
        <v>49465.574970000001</v>
      </c>
      <c r="DF168">
        <f>47112.62824</f>
        <v>47112.628239999998</v>
      </c>
      <c r="DG168">
        <f>46082.13015</f>
        <v>46082.130149999997</v>
      </c>
      <c r="DH168" t="str">
        <f>""</f>
        <v/>
      </c>
      <c r="DI168" t="str">
        <f>""</f>
        <v/>
      </c>
      <c r="DJ168" t="str">
        <f>""</f>
        <v/>
      </c>
      <c r="DK168" t="str">
        <f>""</f>
        <v/>
      </c>
      <c r="DL168" t="str">
        <f>""</f>
        <v/>
      </c>
      <c r="DM168" t="str">
        <f>""</f>
        <v/>
      </c>
      <c r="DN168" t="str">
        <f>""</f>
        <v/>
      </c>
      <c r="DO168" t="str">
        <f>""</f>
        <v/>
      </c>
      <c r="DP168" t="str">
        <f>""</f>
        <v/>
      </c>
      <c r="DQ168" t="str">
        <f>""</f>
        <v/>
      </c>
      <c r="DR168" t="str">
        <f>""</f>
        <v/>
      </c>
      <c r="DS168" t="str">
        <f>""</f>
        <v/>
      </c>
      <c r="DT168" t="str">
        <f>""</f>
        <v/>
      </c>
      <c r="DU168" t="str">
        <f>""</f>
        <v/>
      </c>
    </row>
    <row r="169" spans="1:125" x14ac:dyDescent="0.25">
      <c r="A169" t="str">
        <f>"    Avtovaz PJSC"</f>
        <v xml:space="preserve">    Avtovaz PJSC</v>
      </c>
      <c r="B169" t="str">
        <f>"AVAZ RM Equity"</f>
        <v>AVAZ RM Equity</v>
      </c>
      <c r="C169" t="str">
        <f t="shared" si="12"/>
        <v>RR800</v>
      </c>
      <c r="D169" t="str">
        <f t="shared" si="13"/>
        <v>TRAIL_12M_NET_SALES</v>
      </c>
      <c r="E169" t="str">
        <f t="shared" si="14"/>
        <v>Dynamic</v>
      </c>
      <c r="F169" t="str">
        <f ca="1">IF(AND(ISNUMBER($F$674),$B$511=1),$F$674,HLOOKUP(INDIRECT(ADDRESS(2,COLUMN())),OFFSET($BN$2,0,0,ROW()-1,60),ROW()-1,FALSE))</f>
        <v/>
      </c>
      <c r="G169" t="str">
        <f ca="1">IF(AND(ISNUMBER($G$674),$B$511=1),$G$674,HLOOKUP(INDIRECT(ADDRESS(2,COLUMN())),OFFSET($BN$2,0,0,ROW()-1,60),ROW()-1,FALSE))</f>
        <v/>
      </c>
      <c r="H169">
        <f ca="1">IF(AND(ISNUMBER($H$674),$B$511=1),$H$674,HLOOKUP(INDIRECT(ADDRESS(2,COLUMN())),OFFSET($BN$2,0,0,ROW()-1,60),ROW()-1,FALSE))</f>
        <v>4391.9018619999997</v>
      </c>
      <c r="I169">
        <f ca="1">IF(AND(ISNUMBER($I$674),$B$511=1),$I$674,HLOOKUP(INDIRECT(ADDRESS(2,COLUMN())),OFFSET($BN$2,0,0,ROW()-1,60),ROW()-1,FALSE))</f>
        <v>4371.1131599999999</v>
      </c>
      <c r="J169">
        <f ca="1">IF(AND(ISNUMBER($J$674),$B$511=1),$J$674,HLOOKUP(INDIRECT(ADDRESS(2,COLUMN())),OFFSET($BN$2,0,0,ROW()-1,60),ROW()-1,FALSE))</f>
        <v>4224.6166380000004</v>
      </c>
      <c r="K169">
        <f ca="1">IF(AND(ISNUMBER($K$674),$B$511=1),$K$674,HLOOKUP(INDIRECT(ADDRESS(2,COLUMN())),OFFSET($BN$2,0,0,ROW()-1,60),ROW()-1,FALSE))</f>
        <v>3869.4335970000002</v>
      </c>
      <c r="L169">
        <f ca="1">IF(AND(ISNUMBER($L$674),$B$511=1),$L$674,HLOOKUP(INDIRECT(ADDRESS(2,COLUMN())),OFFSET($BN$2,0,0,ROW()-1,60),ROW()-1,FALSE))</f>
        <v>3587.2217369999998</v>
      </c>
      <c r="M169">
        <f ca="1">IF(AND(ISNUMBER($M$674),$B$511=1),$M$674,HLOOKUP(INDIRECT(ADDRESS(2,COLUMN())),OFFSET($BN$2,0,0,ROW()-1,60),ROW()-1,FALSE))</f>
        <v>3297.9136920000001</v>
      </c>
      <c r="N169">
        <f ca="1">IF(AND(ISNUMBER($N$674),$B$511=1),$N$674,HLOOKUP(INDIRECT(ADDRESS(2,COLUMN())),OFFSET($BN$2,0,0,ROW()-1,60),ROW()-1,FALSE))</f>
        <v>3060.8870280000001</v>
      </c>
      <c r="O169">
        <f ca="1">IF(AND(ISNUMBER($O$674),$B$511=1),$O$674,HLOOKUP(INDIRECT(ADDRESS(2,COLUMN())),OFFSET($BN$2,0,0,ROW()-1,60),ROW()-1,FALSE))</f>
        <v>2775.6908100000001</v>
      </c>
      <c r="P169">
        <f ca="1">IF(AND(ISNUMBER($P$674),$B$511=1),$P$674,HLOOKUP(INDIRECT(ADDRESS(2,COLUMN())),OFFSET($BN$2,0,0,ROW()-1,60),ROW()-1,FALSE))</f>
        <v>2605.605599</v>
      </c>
      <c r="Q169">
        <f ca="1">IF(AND(ISNUMBER($Q$674),$B$511=1),$Q$674,HLOOKUP(INDIRECT(ADDRESS(2,COLUMN())),OFFSET($BN$2,0,0,ROW()-1,60),ROW()-1,FALSE))</f>
        <v>2565.4262600000002</v>
      </c>
      <c r="R169" t="str">
        <f ca="1">IF(AND(ISNUMBER($R$674),$B$511=1),$R$674,HLOOKUP(INDIRECT(ADDRESS(2,COLUMN())),OFFSET($BN$2,0,0,ROW()-1,60),ROW()-1,FALSE))</f>
        <v/>
      </c>
      <c r="S169" t="str">
        <f ca="1">IF(AND(ISNUMBER($S$674),$B$511=1),$S$674,HLOOKUP(INDIRECT(ADDRESS(2,COLUMN())),OFFSET($BN$2,0,0,ROW()-1,60),ROW()-1,FALSE))</f>
        <v/>
      </c>
      <c r="T169" t="str">
        <f ca="1">IF(AND(ISNUMBER($T$674),$B$511=1),$T$674,HLOOKUP(INDIRECT(ADDRESS(2,COLUMN())),OFFSET($BN$2,0,0,ROW()-1,60),ROW()-1,FALSE))</f>
        <v/>
      </c>
      <c r="U169" t="str">
        <f ca="1">IF(AND(ISNUMBER($U$674),$B$511=1),$U$674,HLOOKUP(INDIRECT(ADDRESS(2,COLUMN())),OFFSET($BN$2,0,0,ROW()-1,60),ROW()-1,FALSE))</f>
        <v/>
      </c>
      <c r="V169" t="str">
        <f ca="1">IF(AND(ISNUMBER($V$674),$B$511=1),$V$674,HLOOKUP(INDIRECT(ADDRESS(2,COLUMN())),OFFSET($BN$2,0,0,ROW()-1,60),ROW()-1,FALSE))</f>
        <v/>
      </c>
      <c r="W169" t="str">
        <f ca="1">IF(AND(ISNUMBER($W$674),$B$511=1),$W$674,HLOOKUP(INDIRECT(ADDRESS(2,COLUMN())),OFFSET($BN$2,0,0,ROW()-1,60),ROW()-1,FALSE))</f>
        <v/>
      </c>
      <c r="X169" t="str">
        <f ca="1">IF(AND(ISNUMBER($X$674),$B$511=1),$X$674,HLOOKUP(INDIRECT(ADDRESS(2,COLUMN())),OFFSET($BN$2,0,0,ROW()-1,60),ROW()-1,FALSE))</f>
        <v/>
      </c>
      <c r="Y169" t="str">
        <f ca="1">IF(AND(ISNUMBER($Y$674),$B$511=1),$Y$674,HLOOKUP(INDIRECT(ADDRESS(2,COLUMN())),OFFSET($BN$2,0,0,ROW()-1,60),ROW()-1,FALSE))</f>
        <v/>
      </c>
      <c r="Z169" t="str">
        <f ca="1">IF(AND(ISNUMBER($Z$674),$B$511=1),$Z$674,HLOOKUP(INDIRECT(ADDRESS(2,COLUMN())),OFFSET($BN$2,0,0,ROW()-1,60),ROW()-1,FALSE))</f>
        <v/>
      </c>
      <c r="AA169" t="str">
        <f ca="1">IF(AND(ISNUMBER($AA$674),$B$511=1),$AA$674,HLOOKUP(INDIRECT(ADDRESS(2,COLUMN())),OFFSET($BN$2,0,0,ROW()-1,60),ROW()-1,FALSE))</f>
        <v/>
      </c>
      <c r="AB169" t="str">
        <f ca="1">IF(AND(ISNUMBER($AB$674),$B$511=1),$AB$674,HLOOKUP(INDIRECT(ADDRESS(2,COLUMN())),OFFSET($BN$2,0,0,ROW()-1,60),ROW()-1,FALSE))</f>
        <v/>
      </c>
      <c r="AC169" t="str">
        <f ca="1">IF(AND(ISNUMBER($AC$674),$B$511=1),$AC$674,HLOOKUP(INDIRECT(ADDRESS(2,COLUMN())),OFFSET($BN$2,0,0,ROW()-1,60),ROW()-1,FALSE))</f>
        <v/>
      </c>
      <c r="AD169" t="str">
        <f ca="1">IF(AND(ISNUMBER($AD$674),$B$511=1),$AD$674,HLOOKUP(INDIRECT(ADDRESS(2,COLUMN())),OFFSET($BN$2,0,0,ROW()-1,60),ROW()-1,FALSE))</f>
        <v/>
      </c>
      <c r="AE169" t="str">
        <f ca="1">IF(AND(ISNUMBER($AE$674),$B$511=1),$AE$674,HLOOKUP(INDIRECT(ADDRESS(2,COLUMN())),OFFSET($BN$2,0,0,ROW()-1,60),ROW()-1,FALSE))</f>
        <v/>
      </c>
      <c r="AF169" t="str">
        <f ca="1">IF(AND(ISNUMBER($AF$674),$B$511=1),$AF$674,HLOOKUP(INDIRECT(ADDRESS(2,COLUMN())),OFFSET($BN$2,0,0,ROW()-1,60),ROW()-1,FALSE))</f>
        <v/>
      </c>
      <c r="AG169" t="str">
        <f ca="1">IF(AND(ISNUMBER($AG$674),$B$511=1),$AG$674,HLOOKUP(INDIRECT(ADDRESS(2,COLUMN())),OFFSET($BN$2,0,0,ROW()-1,60),ROW()-1,FALSE))</f>
        <v/>
      </c>
      <c r="AH169" t="str">
        <f ca="1">IF(AND(ISNUMBER($AH$674),$B$511=1),$AH$674,HLOOKUP(INDIRECT(ADDRESS(2,COLUMN())),OFFSET($BN$2,0,0,ROW()-1,60),ROW()-1,FALSE))</f>
        <v/>
      </c>
      <c r="AI169" t="str">
        <f ca="1">IF(AND(ISNUMBER($AI$674),$B$511=1),$AI$674,HLOOKUP(INDIRECT(ADDRESS(2,COLUMN())),OFFSET($BN$2,0,0,ROW()-1,60),ROW()-1,FALSE))</f>
        <v/>
      </c>
      <c r="AJ169" t="str">
        <f ca="1">IF(AND(ISNUMBER($AJ$674),$B$511=1),$AJ$674,HLOOKUP(INDIRECT(ADDRESS(2,COLUMN())),OFFSET($BN$2,0,0,ROW()-1,60),ROW()-1,FALSE))</f>
        <v/>
      </c>
      <c r="AK169" t="str">
        <f ca="1">IF(AND(ISNUMBER($AK$674),$B$511=1),$AK$674,HLOOKUP(INDIRECT(ADDRESS(2,COLUMN())),OFFSET($BN$2,0,0,ROW()-1,60),ROW()-1,FALSE))</f>
        <v/>
      </c>
      <c r="AL169" t="str">
        <f ca="1">IF(AND(ISNUMBER($AL$674),$B$511=1),$AL$674,HLOOKUP(INDIRECT(ADDRESS(2,COLUMN())),OFFSET($BN$2,0,0,ROW()-1,60),ROW()-1,FALSE))</f>
        <v/>
      </c>
      <c r="AM169" t="str">
        <f ca="1">IF(AND(ISNUMBER($AM$674),$B$511=1),$AM$674,HLOOKUP(INDIRECT(ADDRESS(2,COLUMN())),OFFSET($BN$2,0,0,ROW()-1,60),ROW()-1,FALSE))</f>
        <v/>
      </c>
      <c r="AN169" t="str">
        <f ca="1">IF(AND(ISNUMBER($AN$674),$B$511=1),$AN$674,HLOOKUP(INDIRECT(ADDRESS(2,COLUMN())),OFFSET($BN$2,0,0,ROW()-1,60),ROW()-1,FALSE))</f>
        <v/>
      </c>
      <c r="AO169" t="str">
        <f ca="1">IF(AND(ISNUMBER($AO$674),$B$511=1),$AO$674,HLOOKUP(INDIRECT(ADDRESS(2,COLUMN())),OFFSET($BN$2,0,0,ROW()-1,60),ROW()-1,FALSE))</f>
        <v/>
      </c>
      <c r="AP169" t="str">
        <f ca="1">IF(AND(ISNUMBER($AP$674),$B$511=1),$AP$674,HLOOKUP(INDIRECT(ADDRESS(2,COLUMN())),OFFSET($BN$2,0,0,ROW()-1,60),ROW()-1,FALSE))</f>
        <v/>
      </c>
      <c r="AQ169" t="str">
        <f ca="1">IF(AND(ISNUMBER($AQ$674),$B$511=1),$AQ$674,HLOOKUP(INDIRECT(ADDRESS(2,COLUMN())),OFFSET($BN$2,0,0,ROW()-1,60),ROW()-1,FALSE))</f>
        <v/>
      </c>
      <c r="AR169" t="str">
        <f ca="1">IF(AND(ISNUMBER($AR$674),$B$511=1),$AR$674,HLOOKUP(INDIRECT(ADDRESS(2,COLUMN())),OFFSET($BN$2,0,0,ROW()-1,60),ROW()-1,FALSE))</f>
        <v/>
      </c>
      <c r="AS169" t="str">
        <f ca="1">IF(AND(ISNUMBER($AS$674),$B$511=1),$AS$674,HLOOKUP(INDIRECT(ADDRESS(2,COLUMN())),OFFSET($BN$2,0,0,ROW()-1,60),ROW()-1,FALSE))</f>
        <v/>
      </c>
      <c r="AT169" t="str">
        <f ca="1">IF(AND(ISNUMBER($AT$674),$B$511=1),$AT$674,HLOOKUP(INDIRECT(ADDRESS(2,COLUMN())),OFFSET($BN$2,0,0,ROW()-1,60),ROW()-1,FALSE))</f>
        <v/>
      </c>
      <c r="AU169" t="str">
        <f ca="1">IF(AND(ISNUMBER($AU$674),$B$511=1),$AU$674,HLOOKUP(INDIRECT(ADDRESS(2,COLUMN())),OFFSET($BN$2,0,0,ROW()-1,60),ROW()-1,FALSE))</f>
        <v/>
      </c>
      <c r="AV169" t="str">
        <f ca="1">IF(AND(ISNUMBER($AV$674),$B$511=1),$AV$674,HLOOKUP(INDIRECT(ADDRESS(2,COLUMN())),OFFSET($BN$2,0,0,ROW()-1,60),ROW()-1,FALSE))</f>
        <v/>
      </c>
      <c r="AW169" t="str">
        <f ca="1">IF(AND(ISNUMBER($AW$674),$B$511=1),$AW$674,HLOOKUP(INDIRECT(ADDRESS(2,COLUMN())),OFFSET($BN$2,0,0,ROW()-1,60),ROW()-1,FALSE))</f>
        <v/>
      </c>
      <c r="AX169" t="str">
        <f ca="1">IF(AND(ISNUMBER($AX$674),$B$511=1),$AX$674,HLOOKUP(INDIRECT(ADDRESS(2,COLUMN())),OFFSET($BN$2,0,0,ROW()-1,60),ROW()-1,FALSE))</f>
        <v/>
      </c>
      <c r="AY169" t="str">
        <f ca="1">IF(AND(ISNUMBER($AY$674),$B$511=1),$AY$674,HLOOKUP(INDIRECT(ADDRESS(2,COLUMN())),OFFSET($BN$2,0,0,ROW()-1,60),ROW()-1,FALSE))</f>
        <v/>
      </c>
      <c r="AZ169" t="str">
        <f ca="1">IF(AND(ISNUMBER($AZ$674),$B$511=1),$AZ$674,HLOOKUP(INDIRECT(ADDRESS(2,COLUMN())),OFFSET($BN$2,0,0,ROW()-1,60),ROW()-1,FALSE))</f>
        <v/>
      </c>
      <c r="BA169" t="str">
        <f ca="1">IF(AND(ISNUMBER($BA$674),$B$511=1),$BA$674,HLOOKUP(INDIRECT(ADDRESS(2,COLUMN())),OFFSET($BN$2,0,0,ROW()-1,60),ROW()-1,FALSE))</f>
        <v/>
      </c>
      <c r="BB169" t="str">
        <f ca="1">IF(AND(ISNUMBER($BB$674),$B$511=1),$BB$674,HLOOKUP(INDIRECT(ADDRESS(2,COLUMN())),OFFSET($BN$2,0,0,ROW()-1,60),ROW()-1,FALSE))</f>
        <v/>
      </c>
      <c r="BC169" t="str">
        <f ca="1">IF(AND(ISNUMBER($BC$674),$B$511=1),$BC$674,HLOOKUP(INDIRECT(ADDRESS(2,COLUMN())),OFFSET($BN$2,0,0,ROW()-1,60),ROW()-1,FALSE))</f>
        <v/>
      </c>
      <c r="BD169" t="str">
        <f ca="1">IF(AND(ISNUMBER($BD$674),$B$511=1),$BD$674,HLOOKUP(INDIRECT(ADDRESS(2,COLUMN())),OFFSET($BN$2,0,0,ROW()-1,60),ROW()-1,FALSE))</f>
        <v/>
      </c>
      <c r="BE169" t="str">
        <f ca="1">IF(AND(ISNUMBER($BE$674),$B$511=1),$BE$674,HLOOKUP(INDIRECT(ADDRESS(2,COLUMN())),OFFSET($BN$2,0,0,ROW()-1,60),ROW()-1,FALSE))</f>
        <v/>
      </c>
      <c r="BF169" t="str">
        <f ca="1">IF(AND(ISNUMBER($BF$674),$B$511=1),$BF$674,HLOOKUP(INDIRECT(ADDRESS(2,COLUMN())),OFFSET($BN$2,0,0,ROW()-1,60),ROW()-1,FALSE))</f>
        <v/>
      </c>
      <c r="BG169" t="str">
        <f ca="1">IF(AND(ISNUMBER($BG$674),$B$511=1),$BG$674,HLOOKUP(INDIRECT(ADDRESS(2,COLUMN())),OFFSET($BN$2,0,0,ROW()-1,60),ROW()-1,FALSE))</f>
        <v/>
      </c>
      <c r="BH169" t="str">
        <f ca="1">IF(AND(ISNUMBER($BH$674),$B$511=1),$BH$674,HLOOKUP(INDIRECT(ADDRESS(2,COLUMN())),OFFSET($BN$2,0,0,ROW()-1,60),ROW()-1,FALSE))</f>
        <v/>
      </c>
      <c r="BI169" t="str">
        <f ca="1">IF(AND(ISNUMBER($BI$674),$B$511=1),$BI$674,HLOOKUP(INDIRECT(ADDRESS(2,COLUMN())),OFFSET($BN$2,0,0,ROW()-1,60),ROW()-1,FALSE))</f>
        <v/>
      </c>
      <c r="BJ169" t="str">
        <f ca="1">IF(AND(ISNUMBER($BJ$674),$B$511=1),$BJ$674,HLOOKUP(INDIRECT(ADDRESS(2,COLUMN())),OFFSET($BN$2,0,0,ROW()-1,60),ROW()-1,FALSE))</f>
        <v/>
      </c>
      <c r="BK169" t="str">
        <f ca="1">IF(AND(ISNUMBER($BK$674),$B$511=1),$BK$674,HLOOKUP(INDIRECT(ADDRESS(2,COLUMN())),OFFSET($BN$2,0,0,ROW()-1,60),ROW()-1,FALSE))</f>
        <v/>
      </c>
      <c r="BL169" t="str">
        <f ca="1">IF(AND(ISNUMBER($BL$674),$B$511=1),$BL$674,HLOOKUP(INDIRECT(ADDRESS(2,COLUMN())),OFFSET($BN$2,0,0,ROW()-1,60),ROW()-1,FALSE))</f>
        <v/>
      </c>
      <c r="BM169" t="str">
        <f ca="1">IF(AND(ISNUMBER($BM$674),$B$511=1),$BM$674,HLOOKUP(INDIRECT(ADDRESS(2,COLUMN())),OFFSET($BN$2,0,0,ROW()-1,60),ROW()-1,FALSE))</f>
        <v/>
      </c>
      <c r="BN169" t="str">
        <f>""</f>
        <v/>
      </c>
      <c r="BO169" t="str">
        <f>""</f>
        <v/>
      </c>
      <c r="BP169">
        <f>4391.901862</f>
        <v>4391.9018619999997</v>
      </c>
      <c r="BQ169">
        <f>4371.11316</f>
        <v>4371.1131599999999</v>
      </c>
      <c r="BR169">
        <f>4224.616638</f>
        <v>4224.6166380000004</v>
      </c>
      <c r="BS169">
        <f>3869.433597</f>
        <v>3869.4335970000002</v>
      </c>
      <c r="BT169">
        <f>3587.221737</f>
        <v>3587.2217369999998</v>
      </c>
      <c r="BU169">
        <f>3297.913692</f>
        <v>3297.9136920000001</v>
      </c>
      <c r="BV169">
        <f>3060.887028</f>
        <v>3060.8870280000001</v>
      </c>
      <c r="BW169">
        <f>2775.69081</f>
        <v>2775.6908100000001</v>
      </c>
      <c r="BX169">
        <f>2605.605599</f>
        <v>2605.605599</v>
      </c>
      <c r="BY169">
        <f>2565.42626</f>
        <v>2565.4262600000002</v>
      </c>
      <c r="BZ169" t="str">
        <f>""</f>
        <v/>
      </c>
      <c r="CA169" t="str">
        <f>""</f>
        <v/>
      </c>
      <c r="CB169" t="str">
        <f>""</f>
        <v/>
      </c>
      <c r="CC169" t="str">
        <f>""</f>
        <v/>
      </c>
      <c r="CD169" t="str">
        <f>""</f>
        <v/>
      </c>
      <c r="CE169" t="str">
        <f>""</f>
        <v/>
      </c>
      <c r="CF169" t="str">
        <f>""</f>
        <v/>
      </c>
      <c r="CG169" t="str">
        <f>""</f>
        <v/>
      </c>
      <c r="CH169" t="str">
        <f>""</f>
        <v/>
      </c>
      <c r="CI169" t="str">
        <f>""</f>
        <v/>
      </c>
      <c r="CJ169" t="str">
        <f>""</f>
        <v/>
      </c>
      <c r="CK169" t="str">
        <f>""</f>
        <v/>
      </c>
      <c r="CL169" t="str">
        <f>""</f>
        <v/>
      </c>
      <c r="CM169" t="str">
        <f>""</f>
        <v/>
      </c>
      <c r="CN169" t="str">
        <f>""</f>
        <v/>
      </c>
      <c r="CO169" t="str">
        <f>""</f>
        <v/>
      </c>
      <c r="CP169" t="str">
        <f>""</f>
        <v/>
      </c>
      <c r="CQ169" t="str">
        <f>""</f>
        <v/>
      </c>
      <c r="CR169" t="str">
        <f>""</f>
        <v/>
      </c>
      <c r="CS169" t="str">
        <f>""</f>
        <v/>
      </c>
      <c r="CT169" t="str">
        <f>""</f>
        <v/>
      </c>
      <c r="CU169" t="str">
        <f>""</f>
        <v/>
      </c>
      <c r="CV169" t="str">
        <f>""</f>
        <v/>
      </c>
      <c r="CW169" t="str">
        <f>""</f>
        <v/>
      </c>
      <c r="CX169" t="str">
        <f>""</f>
        <v/>
      </c>
      <c r="CY169" t="str">
        <f>""</f>
        <v/>
      </c>
      <c r="CZ169" t="str">
        <f>""</f>
        <v/>
      </c>
      <c r="DA169" t="str">
        <f>""</f>
        <v/>
      </c>
      <c r="DB169" t="str">
        <f>""</f>
        <v/>
      </c>
      <c r="DC169" t="str">
        <f>""</f>
        <v/>
      </c>
      <c r="DD169" t="str">
        <f>""</f>
        <v/>
      </c>
      <c r="DE169" t="str">
        <f>""</f>
        <v/>
      </c>
      <c r="DF169" t="str">
        <f>""</f>
        <v/>
      </c>
      <c r="DG169" t="str">
        <f>""</f>
        <v/>
      </c>
      <c r="DH169" t="str">
        <f>""</f>
        <v/>
      </c>
      <c r="DI169" t="str">
        <f>""</f>
        <v/>
      </c>
      <c r="DJ169" t="str">
        <f>""</f>
        <v/>
      </c>
      <c r="DK169" t="str">
        <f>""</f>
        <v/>
      </c>
      <c r="DL169" t="str">
        <f>""</f>
        <v/>
      </c>
      <c r="DM169" t="str">
        <f>""</f>
        <v/>
      </c>
      <c r="DN169" t="str">
        <f>""</f>
        <v/>
      </c>
      <c r="DO169" t="str">
        <f>""</f>
        <v/>
      </c>
      <c r="DP169" t="str">
        <f>""</f>
        <v/>
      </c>
      <c r="DQ169" t="str">
        <f>""</f>
        <v/>
      </c>
      <c r="DR169" t="str">
        <f>""</f>
        <v/>
      </c>
      <c r="DS169" t="str">
        <f>""</f>
        <v/>
      </c>
      <c r="DT169" t="str">
        <f>""</f>
        <v/>
      </c>
      <c r="DU169" t="str">
        <f>""</f>
        <v/>
      </c>
    </row>
    <row r="170" spans="1:125" x14ac:dyDescent="0.25">
      <c r="A170" t="str">
        <f>"    Bayerische Motoren Werke AG"</f>
        <v xml:space="preserve">    Bayerische Motoren Werke AG</v>
      </c>
      <c r="B170" t="str">
        <f>"BMW GR Equity"</f>
        <v>BMW GR Equity</v>
      </c>
      <c r="C170" t="str">
        <f t="shared" si="12"/>
        <v>RR800</v>
      </c>
      <c r="D170" t="str">
        <f t="shared" si="13"/>
        <v>TRAIL_12M_NET_SALES</v>
      </c>
      <c r="E170" t="str">
        <f t="shared" si="14"/>
        <v>Dynamic</v>
      </c>
      <c r="F170" t="str">
        <f ca="1">IF(AND(ISNUMBER($F$675),$B$511=1),$F$675,HLOOKUP(INDIRECT(ADDRESS(2,COLUMN())),OFFSET($BN$2,0,0,ROW()-1,60),ROW()-1,FALSE))</f>
        <v/>
      </c>
      <c r="G170" t="str">
        <f ca="1">IF(AND(ISNUMBER($G$675),$B$511=1),$G$675,HLOOKUP(INDIRECT(ADDRESS(2,COLUMN())),OFFSET($BN$2,0,0,ROW()-1,60),ROW()-1,FALSE))</f>
        <v/>
      </c>
      <c r="H170">
        <f ca="1">IF(AND(ISNUMBER($H$675),$B$511=1),$H$675,HLOOKUP(INDIRECT(ADDRESS(2,COLUMN())),OFFSET($BN$2,0,0,ROW()-1,60),ROW()-1,FALSE))</f>
        <v>117219.13499999999</v>
      </c>
      <c r="I170">
        <f ca="1">IF(AND(ISNUMBER($I$675),$B$511=1),$I$675,HLOOKUP(INDIRECT(ADDRESS(2,COLUMN())),OFFSET($BN$2,0,0,ROW()-1,60),ROW()-1,FALSE))</f>
        <v>116191.14230000001</v>
      </c>
      <c r="J170">
        <f ca="1">IF(AND(ISNUMBER($J$675),$B$511=1),$J$675,HLOOKUP(INDIRECT(ADDRESS(2,COLUMN())),OFFSET($BN$2,0,0,ROW()-1,60),ROW()-1,FALSE))</f>
        <v>114841.20540000001</v>
      </c>
      <c r="K170">
        <f ca="1">IF(AND(ISNUMBER($K$675),$B$511=1),$K$675,HLOOKUP(INDIRECT(ADDRESS(2,COLUMN())),OFFSET($BN$2,0,0,ROW()-1,60),ROW()-1,FALSE))</f>
        <v>112216.3453</v>
      </c>
      <c r="L170">
        <f ca="1">IF(AND(ISNUMBER($L$675),$B$511=1),$L$675,HLOOKUP(INDIRECT(ADDRESS(2,COLUMN())),OFFSET($BN$2,0,0,ROW()-1,60),ROW()-1,FALSE))</f>
        <v>108553.5129</v>
      </c>
      <c r="M170">
        <f ca="1">IF(AND(ISNUMBER($M$675),$B$511=1),$M$675,HLOOKUP(INDIRECT(ADDRESS(2,COLUMN())),OFFSET($BN$2,0,0,ROW()-1,60),ROW()-1,FALSE))</f>
        <v>106825.16650000001</v>
      </c>
      <c r="N170">
        <f ca="1">IF(AND(ISNUMBER($N$675),$B$511=1),$N$675,HLOOKUP(INDIRECT(ADDRESS(2,COLUMN())),OFFSET($BN$2,0,0,ROW()-1,60),ROW()-1,FALSE))</f>
        <v>106697.1056</v>
      </c>
      <c r="O170">
        <f ca="1">IF(AND(ISNUMBER($O$675),$B$511=1),$O$675,HLOOKUP(INDIRECT(ADDRESS(2,COLUMN())),OFFSET($BN$2,0,0,ROW()-1,60),ROW()-1,FALSE))</f>
        <v>104222.3088</v>
      </c>
      <c r="P170">
        <f ca="1">IF(AND(ISNUMBER($P$675),$B$511=1),$P$675,HLOOKUP(INDIRECT(ADDRESS(2,COLUMN())),OFFSET($BN$2,0,0,ROW()-1,60),ROW()-1,FALSE))</f>
        <v>104668.4734</v>
      </c>
      <c r="Q170">
        <f ca="1">IF(AND(ISNUMBER($Q$675),$B$511=1),$Q$675,HLOOKUP(INDIRECT(ADDRESS(2,COLUMN())),OFFSET($BN$2,0,0,ROW()-1,60),ROW()-1,FALSE))</f>
        <v>103439.3723</v>
      </c>
      <c r="R170">
        <f ca="1">IF(AND(ISNUMBER($R$675),$B$511=1),$R$675,HLOOKUP(INDIRECT(ADDRESS(2,COLUMN())),OFFSET($BN$2,0,0,ROW()-1,60),ROW()-1,FALSE))</f>
        <v>101722.6422</v>
      </c>
      <c r="S170">
        <f ca="1">IF(AND(ISNUMBER($S$675),$B$511=1),$S$675,HLOOKUP(INDIRECT(ADDRESS(2,COLUMN())),OFFSET($BN$2,0,0,ROW()-1,60),ROW()-1,FALSE))</f>
        <v>102314.3083</v>
      </c>
      <c r="T170">
        <f ca="1">IF(AND(ISNUMBER($T$675),$B$511=1),$T$675,HLOOKUP(INDIRECT(ADDRESS(2,COLUMN())),OFFSET($BN$2,0,0,ROW()-1,60),ROW()-1,FALSE))</f>
        <v>103231.92419999999</v>
      </c>
      <c r="U170">
        <f ca="1">IF(AND(ISNUMBER($U$675),$B$511=1),$U$675,HLOOKUP(INDIRECT(ADDRESS(2,COLUMN())),OFFSET($BN$2,0,0,ROW()-1,60),ROW()-1,FALSE))</f>
        <v>104777.6373</v>
      </c>
      <c r="V170">
        <f ca="1">IF(AND(ISNUMBER($V$675),$B$511=1),$V$675,HLOOKUP(INDIRECT(ADDRESS(2,COLUMN())),OFFSET($BN$2,0,0,ROW()-1,60),ROW()-1,FALSE))</f>
        <v>105405.31230000001</v>
      </c>
      <c r="W170">
        <f ca="1">IF(AND(ISNUMBER($W$675),$B$511=1),$W$675,HLOOKUP(INDIRECT(ADDRESS(2,COLUMN())),OFFSET($BN$2,0,0,ROW()-1,60),ROW()-1,FALSE))</f>
        <v>106811.58719999999</v>
      </c>
      <c r="X170">
        <f ca="1">IF(AND(ISNUMBER($X$675),$B$511=1),$X$675,HLOOKUP(INDIRECT(ADDRESS(2,COLUMN())),OFFSET($BN$2,0,0,ROW()-1,60),ROW()-1,FALSE))</f>
        <v>105778.9564</v>
      </c>
      <c r="Y170">
        <f ca="1">IF(AND(ISNUMBER($Y$675),$B$511=1),$Y$675,HLOOKUP(INDIRECT(ADDRESS(2,COLUMN())),OFFSET($BN$2,0,0,ROW()-1,60),ROW()-1,FALSE))</f>
        <v>104614.6381</v>
      </c>
      <c r="Z170">
        <f ca="1">IF(AND(ISNUMBER($Z$675),$B$511=1),$Z$675,HLOOKUP(INDIRECT(ADDRESS(2,COLUMN())),OFFSET($BN$2,0,0,ROW()-1,60),ROW()-1,FALSE))</f>
        <v>102889.1039</v>
      </c>
      <c r="AA170">
        <f ca="1">IF(AND(ISNUMBER($AA$675),$B$511=1),$AA$675,HLOOKUP(INDIRECT(ADDRESS(2,COLUMN())),OFFSET($BN$2,0,0,ROW()-1,60),ROW()-1,FALSE))</f>
        <v>101030.0396</v>
      </c>
      <c r="AB170">
        <f ca="1">IF(AND(ISNUMBER($AB$675),$B$511=1),$AB$675,HLOOKUP(INDIRECT(ADDRESS(2,COLUMN())),OFFSET($BN$2,0,0,ROW()-1,60),ROW()-1,FALSE))</f>
        <v>100226.61689999999</v>
      </c>
      <c r="AC170">
        <f ca="1">IF(AND(ISNUMBER($AC$675),$B$511=1),$AC$675,HLOOKUP(INDIRECT(ADDRESS(2,COLUMN())),OFFSET($BN$2,0,0,ROW()-1,60),ROW()-1,FALSE))</f>
        <v>98901.57273</v>
      </c>
      <c r="AD170">
        <f ca="1">IF(AND(ISNUMBER($AD$675),$B$511=1),$AD$675,HLOOKUP(INDIRECT(ADDRESS(2,COLUMN())),OFFSET($BN$2,0,0,ROW()-1,60),ROW()-1,FALSE))</f>
        <v>98010.789619999996</v>
      </c>
      <c r="AE170">
        <f ca="1">IF(AND(ISNUMBER($AE$675),$B$511=1),$AE$675,HLOOKUP(INDIRECT(ADDRESS(2,COLUMN())),OFFSET($BN$2,0,0,ROW()-1,60),ROW()-1,FALSE))</f>
        <v>98816.621669999993</v>
      </c>
      <c r="AF170">
        <f ca="1">IF(AND(ISNUMBER($AF$675),$B$511=1),$AF$675,HLOOKUP(INDIRECT(ADDRESS(2,COLUMN())),OFFSET($BN$2,0,0,ROW()-1,60),ROW()-1,FALSE))</f>
        <v>96934.030329999994</v>
      </c>
      <c r="AG170">
        <f ca="1">IF(AND(ISNUMBER($AG$675),$B$511=1),$AG$675,HLOOKUP(INDIRECT(ADDRESS(2,COLUMN())),OFFSET($BN$2,0,0,ROW()-1,60),ROW()-1,FALSE))</f>
        <v>96934.011960000003</v>
      </c>
      <c r="AH170">
        <f ca="1">IF(AND(ISNUMBER($AH$675),$B$511=1),$AH$675,HLOOKUP(INDIRECT(ADDRESS(2,COLUMN())),OFFSET($BN$2,0,0,ROW()-1,60),ROW()-1,FALSE))</f>
        <v>97942.649059999996</v>
      </c>
      <c r="AI170">
        <f ca="1">IF(AND(ISNUMBER($AI$675),$B$511=1),$AI$675,HLOOKUP(INDIRECT(ADDRESS(2,COLUMN())),OFFSET($BN$2,0,0,ROW()-1,60),ROW()-1,FALSE))</f>
        <v>95826.507310000001</v>
      </c>
      <c r="AJ170">
        <f ca="1">IF(AND(ISNUMBER($AJ$675),$B$511=1),$AJ$675,HLOOKUP(INDIRECT(ADDRESS(2,COLUMN())),OFFSET($BN$2,0,0,ROW()-1,60),ROW()-1,FALSE))</f>
        <v>93753.590630000006</v>
      </c>
      <c r="AK170">
        <f ca="1">IF(AND(ISNUMBER($AK$675),$B$511=1),$AK$675,HLOOKUP(INDIRECT(ADDRESS(2,COLUMN())),OFFSET($BN$2,0,0,ROW()-1,60),ROW()-1,FALSE))</f>
        <v>90884.811489999993</v>
      </c>
      <c r="AL170">
        <f ca="1">IF(AND(ISNUMBER($AL$675),$B$511=1),$AL$675,HLOOKUP(INDIRECT(ADDRESS(2,COLUMN())),OFFSET($BN$2,0,0,ROW()-1,60),ROW()-1,FALSE))</f>
        <v>84765.446939999994</v>
      </c>
      <c r="AM170">
        <f ca="1">IF(AND(ISNUMBER($AM$675),$B$511=1),$AM$675,HLOOKUP(INDIRECT(ADDRESS(2,COLUMN())),OFFSET($BN$2,0,0,ROW()-1,60),ROW()-1,FALSE))</f>
        <v>80229.461330000006</v>
      </c>
      <c r="AN170">
        <f ca="1">IF(AND(ISNUMBER($AN$675),$B$511=1),$AN$675,HLOOKUP(INDIRECT(ADDRESS(2,COLUMN())),OFFSET($BN$2,0,0,ROW()-1,60),ROW()-1,FALSE))</f>
        <v>78917.200939999995</v>
      </c>
      <c r="AO170">
        <f ca="1">IF(AND(ISNUMBER($AO$675),$B$511=1),$AO$675,HLOOKUP(INDIRECT(ADDRESS(2,COLUMN())),OFFSET($BN$2,0,0,ROW()-1,60),ROW()-1,FALSE))</f>
        <v>75127.677290000007</v>
      </c>
      <c r="AP170">
        <f ca="1">IF(AND(ISNUMBER($AP$675),$B$511=1),$AP$675,HLOOKUP(INDIRECT(ADDRESS(2,COLUMN())),OFFSET($BN$2,0,0,ROW()-1,60),ROW()-1,FALSE))</f>
        <v>72971.57243</v>
      </c>
      <c r="AQ170">
        <f ca="1">IF(AND(ISNUMBER($AQ$675),$B$511=1),$AQ$675,HLOOKUP(INDIRECT(ADDRESS(2,COLUMN())),OFFSET($BN$2,0,0,ROW()-1,60),ROW()-1,FALSE))</f>
        <v>70671.445670000001</v>
      </c>
      <c r="AR170">
        <f ca="1">IF(AND(ISNUMBER($AR$675),$B$511=1),$AR$675,HLOOKUP(INDIRECT(ADDRESS(2,COLUMN())),OFFSET($BN$2,0,0,ROW()-1,60),ROW()-1,FALSE))</f>
        <v>66411.851360000001</v>
      </c>
      <c r="AS170">
        <f ca="1">IF(AND(ISNUMBER($AS$675),$B$511=1),$AS$675,HLOOKUP(INDIRECT(ADDRESS(2,COLUMN())),OFFSET($BN$2,0,0,ROW()-1,60),ROW()-1,FALSE))</f>
        <v>68452.913180000003</v>
      </c>
      <c r="AT170">
        <f ca="1">IF(AND(ISNUMBER($AT$675),$B$511=1),$AT$675,HLOOKUP(INDIRECT(ADDRESS(2,COLUMN())),OFFSET($BN$2,0,0,ROW()-1,60),ROW()-1,FALSE))</f>
        <v>73182.307109999994</v>
      </c>
      <c r="AU170">
        <f ca="1">IF(AND(ISNUMBER($AU$675),$B$511=1),$AU$675,HLOOKUP(INDIRECT(ADDRESS(2,COLUMN())),OFFSET($BN$2,0,0,ROW()-1,60),ROW()-1,FALSE))</f>
        <v>78246.903860000006</v>
      </c>
      <c r="AV170">
        <f ca="1">IF(AND(ISNUMBER($AV$675),$B$511=1),$AV$675,HLOOKUP(INDIRECT(ADDRESS(2,COLUMN())),OFFSET($BN$2,0,0,ROW()-1,60),ROW()-1,FALSE))</f>
        <v>84221.088959999994</v>
      </c>
      <c r="AW170">
        <f ca="1">IF(AND(ISNUMBER($AW$675),$B$511=1),$AW$675,HLOOKUP(INDIRECT(ADDRESS(2,COLUMN())),OFFSET($BN$2,0,0,ROW()-1,60),ROW()-1,FALSE))</f>
        <v>84175.033169999995</v>
      </c>
      <c r="AX170">
        <f ca="1">IF(AND(ISNUMBER($AX$675),$B$511=1),$AX$675,HLOOKUP(INDIRECT(ADDRESS(2,COLUMN())),OFFSET($BN$2,0,0,ROW()-1,60),ROW()-1,FALSE))</f>
        <v>81307.277770000001</v>
      </c>
      <c r="AY170">
        <f ca="1">IF(AND(ISNUMBER($AY$675),$B$511=1),$AY$675,HLOOKUP(INDIRECT(ADDRESS(2,COLUMN())),OFFSET($BN$2,0,0,ROW()-1,60),ROW()-1,FALSE))</f>
        <v>76789.385330000005</v>
      </c>
      <c r="AZ170">
        <f ca="1">IF(AND(ISNUMBER($AZ$675),$B$511=1),$AZ$675,HLOOKUP(INDIRECT(ADDRESS(2,COLUMN())),OFFSET($BN$2,0,0,ROW()-1,60),ROW()-1,FALSE))</f>
        <v>70594.299320000006</v>
      </c>
      <c r="BA170">
        <f ca="1">IF(AND(ISNUMBER($BA$675),$B$511=1),$BA$675,HLOOKUP(INDIRECT(ADDRESS(2,COLUMN())),OFFSET($BN$2,0,0,ROW()-1,60),ROW()-1,FALSE))</f>
        <v>66365.622340000002</v>
      </c>
      <c r="BB170">
        <f ca="1">IF(AND(ISNUMBER($BB$675),$B$511=1),$BB$675,HLOOKUP(INDIRECT(ADDRESS(2,COLUMN())),OFFSET($BN$2,0,0,ROW()-1,60),ROW()-1,FALSE))</f>
        <v>63308.232790000002</v>
      </c>
      <c r="BC170">
        <f ca="1">IF(AND(ISNUMBER($BC$675),$B$511=1),$BC$675,HLOOKUP(INDIRECT(ADDRESS(2,COLUMN())),OFFSET($BN$2,0,0,ROW()-1,60),ROW()-1,FALSE))</f>
        <v>61561.774460000001</v>
      </c>
      <c r="BD170">
        <f ca="1">IF(AND(ISNUMBER($BD$675),$B$511=1),$BD$675,HLOOKUP(INDIRECT(ADDRESS(2,COLUMN())),OFFSET($BN$2,0,0,ROW()-1,60),ROW()-1,FALSE))</f>
        <v>60062.194530000001</v>
      </c>
      <c r="BE170">
        <f ca="1">IF(AND(ISNUMBER($BE$675),$B$511=1),$BE$675,HLOOKUP(INDIRECT(ADDRESS(2,COLUMN())),OFFSET($BN$2,0,0,ROW()-1,60),ROW()-1,FALSE))</f>
        <v>59595.127690000001</v>
      </c>
      <c r="BF170">
        <f ca="1">IF(AND(ISNUMBER($BF$675),$B$511=1),$BF$675,HLOOKUP(INDIRECT(ADDRESS(2,COLUMN())),OFFSET($BN$2,0,0,ROW()-1,60),ROW()-1,FALSE))</f>
        <v>58343.927380000001</v>
      </c>
      <c r="BG170">
        <f ca="1">IF(AND(ISNUMBER($BG$675),$B$511=1),$BG$675,HLOOKUP(INDIRECT(ADDRESS(2,COLUMN())),OFFSET($BN$2,0,0,ROW()-1,60),ROW()-1,FALSE))</f>
        <v>58050.207190000001</v>
      </c>
      <c r="BH170">
        <f ca="1">IF(AND(ISNUMBER($BH$675),$B$511=1),$BH$675,HLOOKUP(INDIRECT(ADDRESS(2,COLUMN())),OFFSET($BN$2,0,0,ROW()-1,60),ROW()-1,FALSE))</f>
        <v>57539.957950000004</v>
      </c>
      <c r="BI170">
        <f ca="1">IF(AND(ISNUMBER($BI$675),$B$511=1),$BI$675,HLOOKUP(INDIRECT(ADDRESS(2,COLUMN())),OFFSET($BN$2,0,0,ROW()-1,60),ROW()-1,FALSE))</f>
        <v>56161.986190000003</v>
      </c>
      <c r="BJ170">
        <f ca="1">IF(AND(ISNUMBER($BJ$675),$B$511=1),$BJ$675,HLOOKUP(INDIRECT(ADDRESS(2,COLUMN())),OFFSET($BN$2,0,0,ROW()-1,60),ROW()-1,FALSE))</f>
        <v>55257.390249999997</v>
      </c>
      <c r="BK170">
        <f ca="1">IF(AND(ISNUMBER($BK$675),$B$511=1),$BK$675,HLOOKUP(INDIRECT(ADDRESS(2,COLUMN())),OFFSET($BN$2,0,0,ROW()-1,60),ROW()-1,FALSE))</f>
        <v>55162.36002</v>
      </c>
      <c r="BL170">
        <f ca="1">IF(AND(ISNUMBER($BL$675),$B$511=1),$BL$675,HLOOKUP(INDIRECT(ADDRESS(2,COLUMN())),OFFSET($BN$2,0,0,ROW()-1,60),ROW()-1,FALSE))</f>
        <v>54041.801610000002</v>
      </c>
      <c r="BM170">
        <f ca="1">IF(AND(ISNUMBER($BM$675),$B$511=1),$BM$675,HLOOKUP(INDIRECT(ADDRESS(2,COLUMN())),OFFSET($BN$2,0,0,ROW()-1,60),ROW()-1,FALSE))</f>
        <v>52214.26283</v>
      </c>
      <c r="BN170" t="str">
        <f>""</f>
        <v/>
      </c>
      <c r="BO170" t="str">
        <f>""</f>
        <v/>
      </c>
      <c r="BP170">
        <f>117219.135</f>
        <v>117219.13499999999</v>
      </c>
      <c r="BQ170">
        <f>116191.1423</f>
        <v>116191.14230000001</v>
      </c>
      <c r="BR170">
        <f>114841.2054</f>
        <v>114841.20540000001</v>
      </c>
      <c r="BS170">
        <f>112216.3453</f>
        <v>112216.3453</v>
      </c>
      <c r="BT170">
        <f>108553.5129</f>
        <v>108553.5129</v>
      </c>
      <c r="BU170">
        <f>106825.1665</f>
        <v>106825.16650000001</v>
      </c>
      <c r="BV170">
        <f>106697.1056</f>
        <v>106697.1056</v>
      </c>
      <c r="BW170">
        <f>104222.3088</f>
        <v>104222.3088</v>
      </c>
      <c r="BX170">
        <f>104668.4734</f>
        <v>104668.4734</v>
      </c>
      <c r="BY170">
        <f>103439.3723</f>
        <v>103439.3723</v>
      </c>
      <c r="BZ170">
        <f>101722.6422</f>
        <v>101722.6422</v>
      </c>
      <c r="CA170">
        <f>102314.3083</f>
        <v>102314.3083</v>
      </c>
      <c r="CB170">
        <f>103231.9242</f>
        <v>103231.92419999999</v>
      </c>
      <c r="CC170">
        <f>104777.6373</f>
        <v>104777.6373</v>
      </c>
      <c r="CD170">
        <f>105405.3123</f>
        <v>105405.31230000001</v>
      </c>
      <c r="CE170">
        <f>106811.5872</f>
        <v>106811.58719999999</v>
      </c>
      <c r="CF170">
        <f>105778.9564</f>
        <v>105778.9564</v>
      </c>
      <c r="CG170">
        <f>104614.6381</f>
        <v>104614.6381</v>
      </c>
      <c r="CH170">
        <f>102889.1039</f>
        <v>102889.1039</v>
      </c>
      <c r="CI170">
        <f>101030.0396</f>
        <v>101030.0396</v>
      </c>
      <c r="CJ170">
        <f>100226.6169</f>
        <v>100226.61689999999</v>
      </c>
      <c r="CK170">
        <f>98901.57273</f>
        <v>98901.57273</v>
      </c>
      <c r="CL170">
        <f>98010.78962</f>
        <v>98010.789619999996</v>
      </c>
      <c r="CM170">
        <f>98816.62167</f>
        <v>98816.621669999993</v>
      </c>
      <c r="CN170">
        <f>96934.03033</f>
        <v>96934.030329999994</v>
      </c>
      <c r="CO170">
        <f>96934.01196</f>
        <v>96934.011960000003</v>
      </c>
      <c r="CP170">
        <f>97942.64906</f>
        <v>97942.649059999996</v>
      </c>
      <c r="CQ170">
        <f>95826.50731</f>
        <v>95826.507310000001</v>
      </c>
      <c r="CR170">
        <f>93753.59063</f>
        <v>93753.590630000006</v>
      </c>
      <c r="CS170">
        <f>90884.81149</f>
        <v>90884.811489999993</v>
      </c>
      <c r="CT170">
        <f>84765.44694</f>
        <v>84765.446939999994</v>
      </c>
      <c r="CU170">
        <f>80229.46133</f>
        <v>80229.461330000006</v>
      </c>
      <c r="CV170">
        <f>78917.20094</f>
        <v>78917.200939999995</v>
      </c>
      <c r="CW170">
        <f>75127.67729</f>
        <v>75127.677290000007</v>
      </c>
      <c r="CX170">
        <f>72971.57243</f>
        <v>72971.57243</v>
      </c>
      <c r="CY170">
        <f>70671.44567</f>
        <v>70671.445670000001</v>
      </c>
      <c r="CZ170">
        <f>66411.85136</f>
        <v>66411.851360000001</v>
      </c>
      <c r="DA170">
        <f>68452.91318</f>
        <v>68452.913180000003</v>
      </c>
      <c r="DB170">
        <f>73182.30711</f>
        <v>73182.307109999994</v>
      </c>
      <c r="DC170">
        <f>78246.90386</f>
        <v>78246.903860000006</v>
      </c>
      <c r="DD170">
        <f>84221.08896</f>
        <v>84221.088959999994</v>
      </c>
      <c r="DE170">
        <f>84175.03317</f>
        <v>84175.033169999995</v>
      </c>
      <c r="DF170">
        <f>81307.27777</f>
        <v>81307.277770000001</v>
      </c>
      <c r="DG170">
        <f>76789.38533</f>
        <v>76789.385330000005</v>
      </c>
      <c r="DH170">
        <f>70594.29932</f>
        <v>70594.299320000006</v>
      </c>
      <c r="DI170">
        <f>66365.62234</f>
        <v>66365.622340000002</v>
      </c>
      <c r="DJ170">
        <f>63308.23279</f>
        <v>63308.232790000002</v>
      </c>
      <c r="DK170">
        <f>61561.77446</f>
        <v>61561.774460000001</v>
      </c>
      <c r="DL170">
        <f>60062.19453</f>
        <v>60062.194530000001</v>
      </c>
      <c r="DM170">
        <f>59595.12769</f>
        <v>59595.127690000001</v>
      </c>
      <c r="DN170">
        <f>58343.92738</f>
        <v>58343.927380000001</v>
      </c>
      <c r="DO170">
        <f>58050.20719</f>
        <v>58050.207190000001</v>
      </c>
      <c r="DP170">
        <f>57539.95795</f>
        <v>57539.957950000004</v>
      </c>
      <c r="DQ170">
        <f>56161.98619</f>
        <v>56161.986190000003</v>
      </c>
      <c r="DR170">
        <f>55257.39025</f>
        <v>55257.390249999997</v>
      </c>
      <c r="DS170">
        <f>55162.36002</f>
        <v>55162.36002</v>
      </c>
      <c r="DT170">
        <f>54041.80161</f>
        <v>54041.801610000002</v>
      </c>
      <c r="DU170">
        <f>52214.26283</f>
        <v>52214.26283</v>
      </c>
    </row>
    <row r="171" spans="1:125" x14ac:dyDescent="0.25">
      <c r="A171" t="str">
        <f>"    Brilliance China Automotive Holdings Ltd"</f>
        <v xml:space="preserve">    Brilliance China Automotive Holdings Ltd</v>
      </c>
      <c r="B171" t="str">
        <f>"1114 HK Equity"</f>
        <v>1114 HK Equity</v>
      </c>
      <c r="C171" t="str">
        <f t="shared" si="12"/>
        <v>RR800</v>
      </c>
      <c r="D171" t="str">
        <f t="shared" si="13"/>
        <v>TRAIL_12M_NET_SALES</v>
      </c>
      <c r="E171" t="str">
        <f t="shared" si="14"/>
        <v>Dynamic</v>
      </c>
      <c r="F171" t="str">
        <f ca="1">IF(AND(ISNUMBER($F$676),$B$511=1),$F$676,HLOOKUP(INDIRECT(ADDRESS(2,COLUMN())),OFFSET($BN$2,0,0,ROW()-1,60),ROW()-1,FALSE))</f>
        <v/>
      </c>
      <c r="G171" t="str">
        <f ca="1">IF(AND(ISNUMBER($G$676),$B$511=1),$G$676,HLOOKUP(INDIRECT(ADDRESS(2,COLUMN())),OFFSET($BN$2,0,0,ROW()-1,60),ROW()-1,FALSE))</f>
        <v/>
      </c>
      <c r="H171" t="str">
        <f ca="1">IF(AND(ISNUMBER($H$676),$B$511=1),$H$676,HLOOKUP(INDIRECT(ADDRESS(2,COLUMN())),OFFSET($BN$2,0,0,ROW()-1,60),ROW()-1,FALSE))</f>
        <v/>
      </c>
      <c r="I171" t="str">
        <f ca="1">IF(AND(ISNUMBER($I$676),$B$511=1),$I$676,HLOOKUP(INDIRECT(ADDRESS(2,COLUMN())),OFFSET($BN$2,0,0,ROW()-1,60),ROW()-1,FALSE))</f>
        <v/>
      </c>
      <c r="J171" t="str">
        <f ca="1">IF(AND(ISNUMBER($J$676),$B$511=1),$J$676,HLOOKUP(INDIRECT(ADDRESS(2,COLUMN())),OFFSET($BN$2,0,0,ROW()-1,60),ROW()-1,FALSE))</f>
        <v/>
      </c>
      <c r="K171" t="str">
        <f ca="1">IF(AND(ISNUMBER($K$676),$B$511=1),$K$676,HLOOKUP(INDIRECT(ADDRESS(2,COLUMN())),OFFSET($BN$2,0,0,ROW()-1,60),ROW()-1,FALSE))</f>
        <v/>
      </c>
      <c r="L171" t="str">
        <f ca="1">IF(AND(ISNUMBER($L$676),$B$511=1),$L$676,HLOOKUP(INDIRECT(ADDRESS(2,COLUMN())),OFFSET($BN$2,0,0,ROW()-1,60),ROW()-1,FALSE))</f>
        <v/>
      </c>
      <c r="M171" t="str">
        <f ca="1">IF(AND(ISNUMBER($M$676),$B$511=1),$M$676,HLOOKUP(INDIRECT(ADDRESS(2,COLUMN())),OFFSET($BN$2,0,0,ROW()-1,60),ROW()-1,FALSE))</f>
        <v/>
      </c>
      <c r="N171" t="str">
        <f ca="1">IF(AND(ISNUMBER($N$676),$B$511=1),$N$676,HLOOKUP(INDIRECT(ADDRESS(2,COLUMN())),OFFSET($BN$2,0,0,ROW()-1,60),ROW()-1,FALSE))</f>
        <v/>
      </c>
      <c r="O171" t="str">
        <f ca="1">IF(AND(ISNUMBER($O$676),$B$511=1),$O$676,HLOOKUP(INDIRECT(ADDRESS(2,COLUMN())),OFFSET($BN$2,0,0,ROW()-1,60),ROW()-1,FALSE))</f>
        <v/>
      </c>
      <c r="P171" t="str">
        <f ca="1">IF(AND(ISNUMBER($P$676),$B$511=1),$P$676,HLOOKUP(INDIRECT(ADDRESS(2,COLUMN())),OFFSET($BN$2,0,0,ROW()-1,60),ROW()-1,FALSE))</f>
        <v/>
      </c>
      <c r="Q171" t="str">
        <f ca="1">IF(AND(ISNUMBER($Q$676),$B$511=1),$Q$676,HLOOKUP(INDIRECT(ADDRESS(2,COLUMN())),OFFSET($BN$2,0,0,ROW()-1,60),ROW()-1,FALSE))</f>
        <v/>
      </c>
      <c r="R171" t="str">
        <f ca="1">IF(AND(ISNUMBER($R$676),$B$511=1),$R$676,HLOOKUP(INDIRECT(ADDRESS(2,COLUMN())),OFFSET($BN$2,0,0,ROW()-1,60),ROW()-1,FALSE))</f>
        <v/>
      </c>
      <c r="S171" t="str">
        <f ca="1">IF(AND(ISNUMBER($S$676),$B$511=1),$S$676,HLOOKUP(INDIRECT(ADDRESS(2,COLUMN())),OFFSET($BN$2,0,0,ROW()-1,60),ROW()-1,FALSE))</f>
        <v/>
      </c>
      <c r="T171" t="str">
        <f ca="1">IF(AND(ISNUMBER($T$676),$B$511=1),$T$676,HLOOKUP(INDIRECT(ADDRESS(2,COLUMN())),OFFSET($BN$2,0,0,ROW()-1,60),ROW()-1,FALSE))</f>
        <v/>
      </c>
      <c r="U171" t="str">
        <f ca="1">IF(AND(ISNUMBER($U$676),$B$511=1),$U$676,HLOOKUP(INDIRECT(ADDRESS(2,COLUMN())),OFFSET($BN$2,0,0,ROW()-1,60),ROW()-1,FALSE))</f>
        <v/>
      </c>
      <c r="V171" t="str">
        <f ca="1">IF(AND(ISNUMBER($V$676),$B$511=1),$V$676,HLOOKUP(INDIRECT(ADDRESS(2,COLUMN())),OFFSET($BN$2,0,0,ROW()-1,60),ROW()-1,FALSE))</f>
        <v/>
      </c>
      <c r="W171" t="str">
        <f ca="1">IF(AND(ISNUMBER($W$676),$B$511=1),$W$676,HLOOKUP(INDIRECT(ADDRESS(2,COLUMN())),OFFSET($BN$2,0,0,ROW()-1,60),ROW()-1,FALSE))</f>
        <v/>
      </c>
      <c r="X171" t="str">
        <f ca="1">IF(AND(ISNUMBER($X$676),$B$511=1),$X$676,HLOOKUP(INDIRECT(ADDRESS(2,COLUMN())),OFFSET($BN$2,0,0,ROW()-1,60),ROW()-1,FALSE))</f>
        <v/>
      </c>
      <c r="Y171" t="str">
        <f ca="1">IF(AND(ISNUMBER($Y$676),$B$511=1),$Y$676,HLOOKUP(INDIRECT(ADDRESS(2,COLUMN())),OFFSET($BN$2,0,0,ROW()-1,60),ROW()-1,FALSE))</f>
        <v/>
      </c>
      <c r="Z171" t="str">
        <f ca="1">IF(AND(ISNUMBER($Z$676),$B$511=1),$Z$676,HLOOKUP(INDIRECT(ADDRESS(2,COLUMN())),OFFSET($BN$2,0,0,ROW()-1,60),ROW()-1,FALSE))</f>
        <v/>
      </c>
      <c r="AA171" t="str">
        <f ca="1">IF(AND(ISNUMBER($AA$676),$B$511=1),$AA$676,HLOOKUP(INDIRECT(ADDRESS(2,COLUMN())),OFFSET($BN$2,0,0,ROW()-1,60),ROW()-1,FALSE))</f>
        <v/>
      </c>
      <c r="AB171" t="str">
        <f ca="1">IF(AND(ISNUMBER($AB$676),$B$511=1),$AB$676,HLOOKUP(INDIRECT(ADDRESS(2,COLUMN())),OFFSET($BN$2,0,0,ROW()-1,60),ROW()-1,FALSE))</f>
        <v/>
      </c>
      <c r="AC171" t="str">
        <f ca="1">IF(AND(ISNUMBER($AC$676),$B$511=1),$AC$676,HLOOKUP(INDIRECT(ADDRESS(2,COLUMN())),OFFSET($BN$2,0,0,ROW()-1,60),ROW()-1,FALSE))</f>
        <v/>
      </c>
      <c r="AD171" t="str">
        <f ca="1">IF(AND(ISNUMBER($AD$676),$B$511=1),$AD$676,HLOOKUP(INDIRECT(ADDRESS(2,COLUMN())),OFFSET($BN$2,0,0,ROW()-1,60),ROW()-1,FALSE))</f>
        <v/>
      </c>
      <c r="AE171" t="str">
        <f ca="1">IF(AND(ISNUMBER($AE$676),$B$511=1),$AE$676,HLOOKUP(INDIRECT(ADDRESS(2,COLUMN())),OFFSET($BN$2,0,0,ROW()-1,60),ROW()-1,FALSE))</f>
        <v/>
      </c>
      <c r="AF171" t="str">
        <f ca="1">IF(AND(ISNUMBER($AF$676),$B$511=1),$AF$676,HLOOKUP(INDIRECT(ADDRESS(2,COLUMN())),OFFSET($BN$2,0,0,ROW()-1,60),ROW()-1,FALSE))</f>
        <v/>
      </c>
      <c r="AG171" t="str">
        <f ca="1">IF(AND(ISNUMBER($AG$676),$B$511=1),$AG$676,HLOOKUP(INDIRECT(ADDRESS(2,COLUMN())),OFFSET($BN$2,0,0,ROW()-1,60),ROW()-1,FALSE))</f>
        <v/>
      </c>
      <c r="AH171" t="str">
        <f ca="1">IF(AND(ISNUMBER($AH$676),$B$511=1),$AH$676,HLOOKUP(INDIRECT(ADDRESS(2,COLUMN())),OFFSET($BN$2,0,0,ROW()-1,60),ROW()-1,FALSE))</f>
        <v/>
      </c>
      <c r="AI171" t="str">
        <f ca="1">IF(AND(ISNUMBER($AI$676),$B$511=1),$AI$676,HLOOKUP(INDIRECT(ADDRESS(2,COLUMN())),OFFSET($BN$2,0,0,ROW()-1,60),ROW()-1,FALSE))</f>
        <v/>
      </c>
      <c r="AJ171" t="str">
        <f ca="1">IF(AND(ISNUMBER($AJ$676),$B$511=1),$AJ$676,HLOOKUP(INDIRECT(ADDRESS(2,COLUMN())),OFFSET($BN$2,0,0,ROW()-1,60),ROW()-1,FALSE))</f>
        <v/>
      </c>
      <c r="AK171" t="str">
        <f ca="1">IF(AND(ISNUMBER($AK$676),$B$511=1),$AK$676,HLOOKUP(INDIRECT(ADDRESS(2,COLUMN())),OFFSET($BN$2,0,0,ROW()-1,60),ROW()-1,FALSE))</f>
        <v/>
      </c>
      <c r="AL171" t="str">
        <f ca="1">IF(AND(ISNUMBER($AL$676),$B$511=1),$AL$676,HLOOKUP(INDIRECT(ADDRESS(2,COLUMN())),OFFSET($BN$2,0,0,ROW()-1,60),ROW()-1,FALSE))</f>
        <v/>
      </c>
      <c r="AM171" t="str">
        <f ca="1">IF(AND(ISNUMBER($AM$676),$B$511=1),$AM$676,HLOOKUP(INDIRECT(ADDRESS(2,COLUMN())),OFFSET($BN$2,0,0,ROW()-1,60),ROW()-1,FALSE))</f>
        <v/>
      </c>
      <c r="AN171" t="str">
        <f ca="1">IF(AND(ISNUMBER($AN$676),$B$511=1),$AN$676,HLOOKUP(INDIRECT(ADDRESS(2,COLUMN())),OFFSET($BN$2,0,0,ROW()-1,60),ROW()-1,FALSE))</f>
        <v/>
      </c>
      <c r="AO171" t="str">
        <f ca="1">IF(AND(ISNUMBER($AO$676),$B$511=1),$AO$676,HLOOKUP(INDIRECT(ADDRESS(2,COLUMN())),OFFSET($BN$2,0,0,ROW()-1,60),ROW()-1,FALSE))</f>
        <v/>
      </c>
      <c r="AP171" t="str">
        <f ca="1">IF(AND(ISNUMBER($AP$676),$B$511=1),$AP$676,HLOOKUP(INDIRECT(ADDRESS(2,COLUMN())),OFFSET($BN$2,0,0,ROW()-1,60),ROW()-1,FALSE))</f>
        <v/>
      </c>
      <c r="AQ171" t="str">
        <f ca="1">IF(AND(ISNUMBER($AQ$676),$B$511=1),$AQ$676,HLOOKUP(INDIRECT(ADDRESS(2,COLUMN())),OFFSET($BN$2,0,0,ROW()-1,60),ROW()-1,FALSE))</f>
        <v/>
      </c>
      <c r="AR171" t="str">
        <f ca="1">IF(AND(ISNUMBER($AR$676),$B$511=1),$AR$676,HLOOKUP(INDIRECT(ADDRESS(2,COLUMN())),OFFSET($BN$2,0,0,ROW()-1,60),ROW()-1,FALSE))</f>
        <v/>
      </c>
      <c r="AS171" t="str">
        <f ca="1">IF(AND(ISNUMBER($AS$676),$B$511=1),$AS$676,HLOOKUP(INDIRECT(ADDRESS(2,COLUMN())),OFFSET($BN$2,0,0,ROW()-1,60),ROW()-1,FALSE))</f>
        <v/>
      </c>
      <c r="AT171" t="str">
        <f ca="1">IF(AND(ISNUMBER($AT$676),$B$511=1),$AT$676,HLOOKUP(INDIRECT(ADDRESS(2,COLUMN())),OFFSET($BN$2,0,0,ROW()-1,60),ROW()-1,FALSE))</f>
        <v/>
      </c>
      <c r="AU171" t="str">
        <f ca="1">IF(AND(ISNUMBER($AU$676),$B$511=1),$AU$676,HLOOKUP(INDIRECT(ADDRESS(2,COLUMN())),OFFSET($BN$2,0,0,ROW()-1,60),ROW()-1,FALSE))</f>
        <v/>
      </c>
      <c r="AV171" t="str">
        <f ca="1">IF(AND(ISNUMBER($AV$676),$B$511=1),$AV$676,HLOOKUP(INDIRECT(ADDRESS(2,COLUMN())),OFFSET($BN$2,0,0,ROW()-1,60),ROW()-1,FALSE))</f>
        <v/>
      </c>
      <c r="AW171" t="str">
        <f ca="1">IF(AND(ISNUMBER($AW$676),$B$511=1),$AW$676,HLOOKUP(INDIRECT(ADDRESS(2,COLUMN())),OFFSET($BN$2,0,0,ROW()-1,60),ROW()-1,FALSE))</f>
        <v/>
      </c>
      <c r="AX171" t="str">
        <f ca="1">IF(AND(ISNUMBER($AX$676),$B$511=1),$AX$676,HLOOKUP(INDIRECT(ADDRESS(2,COLUMN())),OFFSET($BN$2,0,0,ROW()-1,60),ROW()-1,FALSE))</f>
        <v/>
      </c>
      <c r="AY171" t="str">
        <f ca="1">IF(AND(ISNUMBER($AY$676),$B$511=1),$AY$676,HLOOKUP(INDIRECT(ADDRESS(2,COLUMN())),OFFSET($BN$2,0,0,ROW()-1,60),ROW()-1,FALSE))</f>
        <v/>
      </c>
      <c r="AZ171" t="str">
        <f ca="1">IF(AND(ISNUMBER($AZ$676),$B$511=1),$AZ$676,HLOOKUP(INDIRECT(ADDRESS(2,COLUMN())),OFFSET($BN$2,0,0,ROW()-1,60),ROW()-1,FALSE))</f>
        <v/>
      </c>
      <c r="BA171" t="str">
        <f ca="1">IF(AND(ISNUMBER($BA$676),$B$511=1),$BA$676,HLOOKUP(INDIRECT(ADDRESS(2,COLUMN())),OFFSET($BN$2,0,0,ROW()-1,60),ROW()-1,FALSE))</f>
        <v/>
      </c>
      <c r="BB171" t="str">
        <f ca="1">IF(AND(ISNUMBER($BB$676),$B$511=1),$BB$676,HLOOKUP(INDIRECT(ADDRESS(2,COLUMN())),OFFSET($BN$2,0,0,ROW()-1,60),ROW()-1,FALSE))</f>
        <v/>
      </c>
      <c r="BC171" t="str">
        <f ca="1">IF(AND(ISNUMBER($BC$676),$B$511=1),$BC$676,HLOOKUP(INDIRECT(ADDRESS(2,COLUMN())),OFFSET($BN$2,0,0,ROW()-1,60),ROW()-1,FALSE))</f>
        <v/>
      </c>
      <c r="BD171" t="str">
        <f ca="1">IF(AND(ISNUMBER($BD$676),$B$511=1),$BD$676,HLOOKUP(INDIRECT(ADDRESS(2,COLUMN())),OFFSET($BN$2,0,0,ROW()-1,60),ROW()-1,FALSE))</f>
        <v/>
      </c>
      <c r="BE171" t="str">
        <f ca="1">IF(AND(ISNUMBER($BE$676),$B$511=1),$BE$676,HLOOKUP(INDIRECT(ADDRESS(2,COLUMN())),OFFSET($BN$2,0,0,ROW()-1,60),ROW()-1,FALSE))</f>
        <v/>
      </c>
      <c r="BF171" t="str">
        <f ca="1">IF(AND(ISNUMBER($BF$676),$B$511=1),$BF$676,HLOOKUP(INDIRECT(ADDRESS(2,COLUMN())),OFFSET($BN$2,0,0,ROW()-1,60),ROW()-1,FALSE))</f>
        <v/>
      </c>
      <c r="BG171" t="str">
        <f ca="1">IF(AND(ISNUMBER($BG$676),$B$511=1),$BG$676,HLOOKUP(INDIRECT(ADDRESS(2,COLUMN())),OFFSET($BN$2,0,0,ROW()-1,60),ROW()-1,FALSE))</f>
        <v/>
      </c>
      <c r="BH171" t="str">
        <f ca="1">IF(AND(ISNUMBER($BH$676),$B$511=1),$BH$676,HLOOKUP(INDIRECT(ADDRESS(2,COLUMN())),OFFSET($BN$2,0,0,ROW()-1,60),ROW()-1,FALSE))</f>
        <v/>
      </c>
      <c r="BI171" t="str">
        <f ca="1">IF(AND(ISNUMBER($BI$676),$B$511=1),$BI$676,HLOOKUP(INDIRECT(ADDRESS(2,COLUMN())),OFFSET($BN$2,0,0,ROW()-1,60),ROW()-1,FALSE))</f>
        <v/>
      </c>
      <c r="BJ171" t="str">
        <f ca="1">IF(AND(ISNUMBER($BJ$676),$B$511=1),$BJ$676,HLOOKUP(INDIRECT(ADDRESS(2,COLUMN())),OFFSET($BN$2,0,0,ROW()-1,60),ROW()-1,FALSE))</f>
        <v/>
      </c>
      <c r="BK171" t="str">
        <f ca="1">IF(AND(ISNUMBER($BK$676),$B$511=1),$BK$676,HLOOKUP(INDIRECT(ADDRESS(2,COLUMN())),OFFSET($BN$2,0,0,ROW()-1,60),ROW()-1,FALSE))</f>
        <v/>
      </c>
      <c r="BL171" t="str">
        <f ca="1">IF(AND(ISNUMBER($BL$676),$B$511=1),$BL$676,HLOOKUP(INDIRECT(ADDRESS(2,COLUMN())),OFFSET($BN$2,0,0,ROW()-1,60),ROW()-1,FALSE))</f>
        <v/>
      </c>
      <c r="BM171" t="str">
        <f ca="1">IF(AND(ISNUMBER($BM$676),$B$511=1),$BM$676,HLOOKUP(INDIRECT(ADDRESS(2,COLUMN())),OFFSET($BN$2,0,0,ROW()-1,60),ROW()-1,FALSE))</f>
        <v/>
      </c>
      <c r="BN171" t="str">
        <f>""</f>
        <v/>
      </c>
      <c r="BO171" t="str">
        <f>""</f>
        <v/>
      </c>
      <c r="BP171" t="str">
        <f>""</f>
        <v/>
      </c>
      <c r="BQ171" t="str">
        <f>""</f>
        <v/>
      </c>
      <c r="BR171" t="str">
        <f>""</f>
        <v/>
      </c>
      <c r="BS171" t="str">
        <f>""</f>
        <v/>
      </c>
      <c r="BT171" t="str">
        <f>""</f>
        <v/>
      </c>
      <c r="BU171" t="str">
        <f>""</f>
        <v/>
      </c>
      <c r="BV171" t="str">
        <f>""</f>
        <v/>
      </c>
      <c r="BW171" t="str">
        <f>""</f>
        <v/>
      </c>
      <c r="BX171" t="str">
        <f>""</f>
        <v/>
      </c>
      <c r="BY171" t="str">
        <f>""</f>
        <v/>
      </c>
      <c r="BZ171" t="str">
        <f>""</f>
        <v/>
      </c>
      <c r="CA171" t="str">
        <f>""</f>
        <v/>
      </c>
      <c r="CB171" t="str">
        <f>""</f>
        <v/>
      </c>
      <c r="CC171" t="str">
        <f>""</f>
        <v/>
      </c>
      <c r="CD171" t="str">
        <f>""</f>
        <v/>
      </c>
      <c r="CE171" t="str">
        <f>""</f>
        <v/>
      </c>
      <c r="CF171" t="str">
        <f>""</f>
        <v/>
      </c>
      <c r="CG171" t="str">
        <f>""</f>
        <v/>
      </c>
      <c r="CH171" t="str">
        <f>""</f>
        <v/>
      </c>
      <c r="CI171" t="str">
        <f>""</f>
        <v/>
      </c>
      <c r="CJ171" t="str">
        <f>""</f>
        <v/>
      </c>
      <c r="CK171" t="str">
        <f>""</f>
        <v/>
      </c>
      <c r="CL171" t="str">
        <f>""</f>
        <v/>
      </c>
      <c r="CM171" t="str">
        <f>""</f>
        <v/>
      </c>
      <c r="CN171" t="str">
        <f>""</f>
        <v/>
      </c>
      <c r="CO171" t="str">
        <f>""</f>
        <v/>
      </c>
      <c r="CP171" t="str">
        <f>""</f>
        <v/>
      </c>
      <c r="CQ171" t="str">
        <f>""</f>
        <v/>
      </c>
      <c r="CR171" t="str">
        <f>""</f>
        <v/>
      </c>
      <c r="CS171" t="str">
        <f>""</f>
        <v/>
      </c>
      <c r="CT171" t="str">
        <f>""</f>
        <v/>
      </c>
      <c r="CU171" t="str">
        <f>""</f>
        <v/>
      </c>
      <c r="CV171" t="str">
        <f>""</f>
        <v/>
      </c>
      <c r="CW171" t="str">
        <f>""</f>
        <v/>
      </c>
      <c r="CX171" t="str">
        <f>""</f>
        <v/>
      </c>
      <c r="CY171" t="str">
        <f>""</f>
        <v/>
      </c>
      <c r="CZ171" t="str">
        <f>""</f>
        <v/>
      </c>
      <c r="DA171" t="str">
        <f>""</f>
        <v/>
      </c>
      <c r="DB171" t="str">
        <f>""</f>
        <v/>
      </c>
      <c r="DC171" t="str">
        <f>""</f>
        <v/>
      </c>
      <c r="DD171" t="str">
        <f>""</f>
        <v/>
      </c>
      <c r="DE171" t="str">
        <f>""</f>
        <v/>
      </c>
      <c r="DF171" t="str">
        <f>""</f>
        <v/>
      </c>
      <c r="DG171" t="str">
        <f>""</f>
        <v/>
      </c>
      <c r="DH171" t="str">
        <f>""</f>
        <v/>
      </c>
      <c r="DI171" t="str">
        <f>""</f>
        <v/>
      </c>
      <c r="DJ171" t="str">
        <f>""</f>
        <v/>
      </c>
      <c r="DK171" t="str">
        <f>""</f>
        <v/>
      </c>
      <c r="DL171" t="str">
        <f>""</f>
        <v/>
      </c>
      <c r="DM171" t="str">
        <f>""</f>
        <v/>
      </c>
      <c r="DN171" t="str">
        <f>""</f>
        <v/>
      </c>
      <c r="DO171" t="str">
        <f>""</f>
        <v/>
      </c>
      <c r="DP171" t="str">
        <f>""</f>
        <v/>
      </c>
      <c r="DQ171" t="str">
        <f>""</f>
        <v/>
      </c>
      <c r="DR171" t="str">
        <f>""</f>
        <v/>
      </c>
      <c r="DS171" t="str">
        <f>""</f>
        <v/>
      </c>
      <c r="DT171" t="str">
        <f>""</f>
        <v/>
      </c>
      <c r="DU171" t="str">
        <f>""</f>
        <v/>
      </c>
    </row>
    <row r="172" spans="1:125" x14ac:dyDescent="0.25">
      <c r="A172" t="str">
        <f>"    BYD Co Ltd"</f>
        <v xml:space="preserve">    BYD Co Ltd</v>
      </c>
      <c r="B172" t="str">
        <f>"1211 HK Equity"</f>
        <v>1211 HK Equity</v>
      </c>
      <c r="C172" t="str">
        <f t="shared" si="12"/>
        <v>RR800</v>
      </c>
      <c r="D172" t="str">
        <f t="shared" si="13"/>
        <v>TRAIL_12M_NET_SALES</v>
      </c>
      <c r="E172" t="str">
        <f t="shared" si="14"/>
        <v>Dynamic</v>
      </c>
      <c r="F172" t="str">
        <f ca="1">IF(AND(ISNUMBER($F$677),$B$511=1),$F$677,HLOOKUP(INDIRECT(ADDRESS(2,COLUMN())),OFFSET($BN$2,0,0,ROW()-1,60),ROW()-1,FALSE))</f>
        <v/>
      </c>
      <c r="G172" t="str">
        <f ca="1">IF(AND(ISNUMBER($G$677),$B$511=1),$G$677,HLOOKUP(INDIRECT(ADDRESS(2,COLUMN())),OFFSET($BN$2,0,0,ROW()-1,60),ROW()-1,FALSE))</f>
        <v/>
      </c>
      <c r="H172">
        <f ca="1">IF(AND(ISNUMBER($H$677),$B$511=1),$H$677,HLOOKUP(INDIRECT(ADDRESS(2,COLUMN())),OFFSET($BN$2,0,0,ROW()-1,60),ROW()-1,FALSE))</f>
        <v>18210.369900000002</v>
      </c>
      <c r="I172">
        <f ca="1">IF(AND(ISNUMBER($I$677),$B$511=1),$I$677,HLOOKUP(INDIRECT(ADDRESS(2,COLUMN())),OFFSET($BN$2,0,0,ROW()-1,60),ROW()-1,FALSE))</f>
        <v>17445.996340000002</v>
      </c>
      <c r="J172">
        <f ca="1">IF(AND(ISNUMBER($J$677),$B$511=1),$J$677,HLOOKUP(INDIRECT(ADDRESS(2,COLUMN())),OFFSET($BN$2,0,0,ROW()-1,60),ROW()-1,FALSE))</f>
        <v>16344.63348</v>
      </c>
      <c r="K172">
        <f ca="1">IF(AND(ISNUMBER($K$677),$B$511=1),$K$677,HLOOKUP(INDIRECT(ADDRESS(2,COLUMN())),OFFSET($BN$2,0,0,ROW()-1,60),ROW()-1,FALSE))</f>
        <v>15493.91488</v>
      </c>
      <c r="L172">
        <f ca="1">IF(AND(ISNUMBER($L$677),$B$511=1),$L$677,HLOOKUP(INDIRECT(ADDRESS(2,COLUMN())),OFFSET($BN$2,0,0,ROW()-1,60),ROW()-1,FALSE))</f>
        <v>15154.462750000001</v>
      </c>
      <c r="M172">
        <f ca="1">IF(AND(ISNUMBER($M$677),$B$511=1),$M$677,HLOOKUP(INDIRECT(ADDRESS(2,COLUMN())),OFFSET($BN$2,0,0,ROW()-1,60),ROW()-1,FALSE))</f>
        <v>14997.87097</v>
      </c>
      <c r="N172">
        <f ca="1">IF(AND(ISNUMBER($N$677),$B$511=1),$N$677,HLOOKUP(INDIRECT(ADDRESS(2,COLUMN())),OFFSET($BN$2,0,0,ROW()-1,60),ROW()-1,FALSE))</f>
        <v>15269.9936</v>
      </c>
      <c r="O172">
        <f ca="1">IF(AND(ISNUMBER($O$677),$B$511=1),$O$677,HLOOKUP(INDIRECT(ADDRESS(2,COLUMN())),OFFSET($BN$2,0,0,ROW()-1,60),ROW()-1,FALSE))</f>
        <v>15353.681039999999</v>
      </c>
      <c r="P172">
        <f ca="1">IF(AND(ISNUMBER($P$677),$B$511=1),$P$677,HLOOKUP(INDIRECT(ADDRESS(2,COLUMN())),OFFSET($BN$2,0,0,ROW()-1,60),ROW()-1,FALSE))</f>
        <v>15771.35944</v>
      </c>
      <c r="Q172">
        <f ca="1">IF(AND(ISNUMBER($Q$677),$B$511=1),$Q$677,HLOOKUP(INDIRECT(ADDRESS(2,COLUMN())),OFFSET($BN$2,0,0,ROW()-1,60),ROW()-1,FALSE))</f>
        <v>14311.171710000001</v>
      </c>
      <c r="R172">
        <f ca="1">IF(AND(ISNUMBER($R$677),$B$511=1),$R$677,HLOOKUP(INDIRECT(ADDRESS(2,COLUMN())),OFFSET($BN$2,0,0,ROW()-1,60),ROW()-1,FALSE))</f>
        <v>13177.324329999999</v>
      </c>
      <c r="S172">
        <f ca="1">IF(AND(ISNUMBER($S$677),$B$511=1),$S$677,HLOOKUP(INDIRECT(ADDRESS(2,COLUMN())),OFFSET($BN$2,0,0,ROW()-1,60),ROW()-1,FALSE))</f>
        <v>12531.314920000001</v>
      </c>
      <c r="T172">
        <f ca="1">IF(AND(ISNUMBER($T$677),$B$511=1),$T$677,HLOOKUP(INDIRECT(ADDRESS(2,COLUMN())),OFFSET($BN$2,0,0,ROW()-1,60),ROW()-1,FALSE))</f>
        <v>10462.16057</v>
      </c>
      <c r="U172">
        <f ca="1">IF(AND(ISNUMBER($U$677),$B$511=1),$U$677,HLOOKUP(INDIRECT(ADDRESS(2,COLUMN())),OFFSET($BN$2,0,0,ROW()-1,60),ROW()-1,FALSE))</f>
        <v>10005.444380000001</v>
      </c>
      <c r="V172">
        <f ca="1">IF(AND(ISNUMBER($V$677),$B$511=1),$V$677,HLOOKUP(INDIRECT(ADDRESS(2,COLUMN())),OFFSET($BN$2,0,0,ROW()-1,60),ROW()-1,FALSE))</f>
        <v>9796.0263990000003</v>
      </c>
      <c r="W172">
        <f ca="1">IF(AND(ISNUMBER($W$677),$B$511=1),$W$677,HLOOKUP(INDIRECT(ADDRESS(2,COLUMN())),OFFSET($BN$2,0,0,ROW()-1,60),ROW()-1,FALSE))</f>
        <v>9290.3713050000006</v>
      </c>
      <c r="X172">
        <f ca="1">IF(AND(ISNUMBER($X$677),$B$511=1),$X$677,HLOOKUP(INDIRECT(ADDRESS(2,COLUMN())),OFFSET($BN$2,0,0,ROW()-1,60),ROW()-1,FALSE))</f>
        <v>8716.1126850000001</v>
      </c>
      <c r="Y172">
        <f ca="1">IF(AND(ISNUMBER($Y$677),$B$511=1),$Y$677,HLOOKUP(INDIRECT(ADDRESS(2,COLUMN())),OFFSET($BN$2,0,0,ROW()-1,60),ROW()-1,FALSE))</f>
        <v>8556.2373619999998</v>
      </c>
      <c r="Z172">
        <f ca="1">IF(AND(ISNUMBER($Z$677),$B$511=1),$Z$677,HLOOKUP(INDIRECT(ADDRESS(2,COLUMN())),OFFSET($BN$2,0,0,ROW()-1,60),ROW()-1,FALSE))</f>
        <v>8277.6295289999998</v>
      </c>
      <c r="AA172">
        <f ca="1">IF(AND(ISNUMBER($AA$677),$B$511=1),$AA$677,HLOOKUP(INDIRECT(ADDRESS(2,COLUMN())),OFFSET($BN$2,0,0,ROW()-1,60),ROW()-1,FALSE))</f>
        <v>8403.0779289999991</v>
      </c>
      <c r="AB172">
        <f ca="1">IF(AND(ISNUMBER($AB$677),$B$511=1),$AB$677,HLOOKUP(INDIRECT(ADDRESS(2,COLUMN())),OFFSET($BN$2,0,0,ROW()-1,60),ROW()-1,FALSE))</f>
        <v>8294.3365059999996</v>
      </c>
      <c r="AC172">
        <f ca="1">IF(AND(ISNUMBER($AC$677),$B$511=1),$AC$677,HLOOKUP(INDIRECT(ADDRESS(2,COLUMN())),OFFSET($BN$2,0,0,ROW()-1,60),ROW()-1,FALSE))</f>
        <v>7879.1908439999997</v>
      </c>
      <c r="AD172">
        <f ca="1">IF(AND(ISNUMBER($AD$677),$B$511=1),$AD$677,HLOOKUP(INDIRECT(ADDRESS(2,COLUMN())),OFFSET($BN$2,0,0,ROW()-1,60),ROW()-1,FALSE))</f>
        <v>7462.997942</v>
      </c>
      <c r="AE172">
        <f ca="1">IF(AND(ISNUMBER($AE$677),$B$511=1),$AE$677,HLOOKUP(INDIRECT(ADDRESS(2,COLUMN())),OFFSET($BN$2,0,0,ROW()-1,60),ROW()-1,FALSE))</f>
        <v>7257.9958459999998</v>
      </c>
      <c r="AF172">
        <f ca="1">IF(AND(ISNUMBER($AF$677),$B$511=1),$AF$677,HLOOKUP(INDIRECT(ADDRESS(2,COLUMN())),OFFSET($BN$2,0,0,ROW()-1,60),ROW()-1,FALSE))</f>
        <v>7323.0132819999999</v>
      </c>
      <c r="AG172">
        <f ca="1">IF(AND(ISNUMBER($AG$677),$B$511=1),$AG$677,HLOOKUP(INDIRECT(ADDRESS(2,COLUMN())),OFFSET($BN$2,0,0,ROW()-1,60),ROW()-1,FALSE))</f>
        <v>7502.4777249999997</v>
      </c>
      <c r="AH172" t="str">
        <f ca="1">IF(AND(ISNUMBER($AH$677),$B$511=1),$AH$677,HLOOKUP(INDIRECT(ADDRESS(2,COLUMN())),OFFSET($BN$2,0,0,ROW()-1,60),ROW()-1,FALSE))</f>
        <v/>
      </c>
      <c r="AI172" t="str">
        <f ca="1">IF(AND(ISNUMBER($AI$677),$B$511=1),$AI$677,HLOOKUP(INDIRECT(ADDRESS(2,COLUMN())),OFFSET($BN$2,0,0,ROW()-1,60),ROW()-1,FALSE))</f>
        <v/>
      </c>
      <c r="AJ172" t="str">
        <f ca="1">IF(AND(ISNUMBER($AJ$677),$B$511=1),$AJ$677,HLOOKUP(INDIRECT(ADDRESS(2,COLUMN())),OFFSET($BN$2,0,0,ROW()-1,60),ROW()-1,FALSE))</f>
        <v/>
      </c>
      <c r="AK172" t="str">
        <f ca="1">IF(AND(ISNUMBER($AK$677),$B$511=1),$AK$677,HLOOKUP(INDIRECT(ADDRESS(2,COLUMN())),OFFSET($BN$2,0,0,ROW()-1,60),ROW()-1,FALSE))</f>
        <v/>
      </c>
      <c r="AL172" t="str">
        <f ca="1">IF(AND(ISNUMBER($AL$677),$B$511=1),$AL$677,HLOOKUP(INDIRECT(ADDRESS(2,COLUMN())),OFFSET($BN$2,0,0,ROW()-1,60),ROW()-1,FALSE))</f>
        <v/>
      </c>
      <c r="AM172">
        <f ca="1">IF(AND(ISNUMBER($AM$677),$B$511=1),$AM$677,HLOOKUP(INDIRECT(ADDRESS(2,COLUMN())),OFFSET($BN$2,0,0,ROW()-1,60),ROW()-1,FALSE))</f>
        <v>6898.4071480000002</v>
      </c>
      <c r="AN172">
        <f ca="1">IF(AND(ISNUMBER($AN$677),$B$511=1),$AN$677,HLOOKUP(INDIRECT(ADDRESS(2,COLUMN())),OFFSET($BN$2,0,0,ROW()-1,60),ROW()-1,FALSE))</f>
        <v>6989.7515450000001</v>
      </c>
      <c r="AO172">
        <f ca="1">IF(AND(ISNUMBER($AO$677),$B$511=1),$AO$677,HLOOKUP(INDIRECT(ADDRESS(2,COLUMN())),OFFSET($BN$2,0,0,ROW()-1,60),ROW()-1,FALSE))</f>
        <v>6969.4086960000004</v>
      </c>
      <c r="AP172" t="str">
        <f ca="1">IF(AND(ISNUMBER($AP$677),$B$511=1),$AP$677,HLOOKUP(INDIRECT(ADDRESS(2,COLUMN())),OFFSET($BN$2,0,0,ROW()-1,60),ROW()-1,FALSE))</f>
        <v/>
      </c>
      <c r="AQ172" t="str">
        <f ca="1">IF(AND(ISNUMBER($AQ$677),$B$511=1),$AQ$677,HLOOKUP(INDIRECT(ADDRESS(2,COLUMN())),OFFSET($BN$2,0,0,ROW()-1,60),ROW()-1,FALSE))</f>
        <v/>
      </c>
      <c r="AR172" t="str">
        <f ca="1">IF(AND(ISNUMBER($AR$677),$B$511=1),$AR$677,HLOOKUP(INDIRECT(ADDRESS(2,COLUMN())),OFFSET($BN$2,0,0,ROW()-1,60),ROW()-1,FALSE))</f>
        <v/>
      </c>
      <c r="AS172" t="str">
        <f ca="1">IF(AND(ISNUMBER($AS$677),$B$511=1),$AS$677,HLOOKUP(INDIRECT(ADDRESS(2,COLUMN())),OFFSET($BN$2,0,0,ROW()-1,60),ROW()-1,FALSE))</f>
        <v/>
      </c>
      <c r="AT172" t="str">
        <f ca="1">IF(AND(ISNUMBER($AT$677),$B$511=1),$AT$677,HLOOKUP(INDIRECT(ADDRESS(2,COLUMN())),OFFSET($BN$2,0,0,ROW()-1,60),ROW()-1,FALSE))</f>
        <v/>
      </c>
      <c r="AU172" t="str">
        <f ca="1">IF(AND(ISNUMBER($AU$677),$B$511=1),$AU$677,HLOOKUP(INDIRECT(ADDRESS(2,COLUMN())),OFFSET($BN$2,0,0,ROW()-1,60),ROW()-1,FALSE))</f>
        <v/>
      </c>
      <c r="AV172" t="str">
        <f ca="1">IF(AND(ISNUMBER($AV$677),$B$511=1),$AV$677,HLOOKUP(INDIRECT(ADDRESS(2,COLUMN())),OFFSET($BN$2,0,0,ROW()-1,60),ROW()-1,FALSE))</f>
        <v/>
      </c>
      <c r="AW172" t="str">
        <f ca="1">IF(AND(ISNUMBER($AW$677),$B$511=1),$AW$677,HLOOKUP(INDIRECT(ADDRESS(2,COLUMN())),OFFSET($BN$2,0,0,ROW()-1,60),ROW()-1,FALSE))</f>
        <v/>
      </c>
      <c r="AX172" t="str">
        <f ca="1">IF(AND(ISNUMBER($AX$677),$B$511=1),$AX$677,HLOOKUP(INDIRECT(ADDRESS(2,COLUMN())),OFFSET($BN$2,0,0,ROW()-1,60),ROW()-1,FALSE))</f>
        <v/>
      </c>
      <c r="AY172" t="str">
        <f ca="1">IF(AND(ISNUMBER($AY$677),$B$511=1),$AY$677,HLOOKUP(INDIRECT(ADDRESS(2,COLUMN())),OFFSET($BN$2,0,0,ROW()-1,60),ROW()-1,FALSE))</f>
        <v/>
      </c>
      <c r="AZ172" t="str">
        <f ca="1">IF(AND(ISNUMBER($AZ$677),$B$511=1),$AZ$677,HLOOKUP(INDIRECT(ADDRESS(2,COLUMN())),OFFSET($BN$2,0,0,ROW()-1,60),ROW()-1,FALSE))</f>
        <v/>
      </c>
      <c r="BA172" t="str">
        <f ca="1">IF(AND(ISNUMBER($BA$677),$B$511=1),$BA$677,HLOOKUP(INDIRECT(ADDRESS(2,COLUMN())),OFFSET($BN$2,0,0,ROW()-1,60),ROW()-1,FALSE))</f>
        <v/>
      </c>
      <c r="BB172" t="str">
        <f ca="1">IF(AND(ISNUMBER($BB$677),$B$511=1),$BB$677,HLOOKUP(INDIRECT(ADDRESS(2,COLUMN())),OFFSET($BN$2,0,0,ROW()-1,60),ROW()-1,FALSE))</f>
        <v/>
      </c>
      <c r="BC172" t="str">
        <f ca="1">IF(AND(ISNUMBER($BC$677),$B$511=1),$BC$677,HLOOKUP(INDIRECT(ADDRESS(2,COLUMN())),OFFSET($BN$2,0,0,ROW()-1,60),ROW()-1,FALSE))</f>
        <v/>
      </c>
      <c r="BD172" t="str">
        <f ca="1">IF(AND(ISNUMBER($BD$677),$B$511=1),$BD$677,HLOOKUP(INDIRECT(ADDRESS(2,COLUMN())),OFFSET($BN$2,0,0,ROW()-1,60),ROW()-1,FALSE))</f>
        <v/>
      </c>
      <c r="BE172" t="str">
        <f ca="1">IF(AND(ISNUMBER($BE$677),$B$511=1),$BE$677,HLOOKUP(INDIRECT(ADDRESS(2,COLUMN())),OFFSET($BN$2,0,0,ROW()-1,60),ROW()-1,FALSE))</f>
        <v/>
      </c>
      <c r="BF172" t="str">
        <f ca="1">IF(AND(ISNUMBER($BF$677),$B$511=1),$BF$677,HLOOKUP(INDIRECT(ADDRESS(2,COLUMN())),OFFSET($BN$2,0,0,ROW()-1,60),ROW()-1,FALSE))</f>
        <v/>
      </c>
      <c r="BG172" t="str">
        <f ca="1">IF(AND(ISNUMBER($BG$677),$B$511=1),$BG$677,HLOOKUP(INDIRECT(ADDRESS(2,COLUMN())),OFFSET($BN$2,0,0,ROW()-1,60),ROW()-1,FALSE))</f>
        <v/>
      </c>
      <c r="BH172" t="str">
        <f ca="1">IF(AND(ISNUMBER($BH$677),$B$511=1),$BH$677,HLOOKUP(INDIRECT(ADDRESS(2,COLUMN())),OFFSET($BN$2,0,0,ROW()-1,60),ROW()-1,FALSE))</f>
        <v/>
      </c>
      <c r="BI172" t="str">
        <f ca="1">IF(AND(ISNUMBER($BI$677),$B$511=1),$BI$677,HLOOKUP(INDIRECT(ADDRESS(2,COLUMN())),OFFSET($BN$2,0,0,ROW()-1,60),ROW()-1,FALSE))</f>
        <v/>
      </c>
      <c r="BJ172" t="str">
        <f ca="1">IF(AND(ISNUMBER($BJ$677),$B$511=1),$BJ$677,HLOOKUP(INDIRECT(ADDRESS(2,COLUMN())),OFFSET($BN$2,0,0,ROW()-1,60),ROW()-1,FALSE))</f>
        <v/>
      </c>
      <c r="BK172" t="str">
        <f ca="1">IF(AND(ISNUMBER($BK$677),$B$511=1),$BK$677,HLOOKUP(INDIRECT(ADDRESS(2,COLUMN())),OFFSET($BN$2,0,0,ROW()-1,60),ROW()-1,FALSE))</f>
        <v/>
      </c>
      <c r="BL172" t="str">
        <f ca="1">IF(AND(ISNUMBER($BL$677),$B$511=1),$BL$677,HLOOKUP(INDIRECT(ADDRESS(2,COLUMN())),OFFSET($BN$2,0,0,ROW()-1,60),ROW()-1,FALSE))</f>
        <v/>
      </c>
      <c r="BM172" t="str">
        <f ca="1">IF(AND(ISNUMBER($BM$677),$B$511=1),$BM$677,HLOOKUP(INDIRECT(ADDRESS(2,COLUMN())),OFFSET($BN$2,0,0,ROW()-1,60),ROW()-1,FALSE))</f>
        <v/>
      </c>
      <c r="BN172" t="str">
        <f>""</f>
        <v/>
      </c>
      <c r="BO172" t="str">
        <f>""</f>
        <v/>
      </c>
      <c r="BP172">
        <f>18210.3699</f>
        <v>18210.369900000002</v>
      </c>
      <c r="BQ172">
        <f>17445.99634</f>
        <v>17445.996340000002</v>
      </c>
      <c r="BR172">
        <f>16344.63348</f>
        <v>16344.63348</v>
      </c>
      <c r="BS172">
        <f>15493.91488</f>
        <v>15493.91488</v>
      </c>
      <c r="BT172">
        <f>15154.46275</f>
        <v>15154.462750000001</v>
      </c>
      <c r="BU172">
        <f>14997.87097</f>
        <v>14997.87097</v>
      </c>
      <c r="BV172">
        <f>15269.9936</f>
        <v>15269.9936</v>
      </c>
      <c r="BW172">
        <f>15353.68104</f>
        <v>15353.681039999999</v>
      </c>
      <c r="BX172">
        <f>15771.35944</f>
        <v>15771.35944</v>
      </c>
      <c r="BY172">
        <f>14311.17171</f>
        <v>14311.171710000001</v>
      </c>
      <c r="BZ172">
        <f>13177.32433</f>
        <v>13177.324329999999</v>
      </c>
      <c r="CA172">
        <f>12531.31492</f>
        <v>12531.314920000001</v>
      </c>
      <c r="CB172">
        <f>10462.16057</f>
        <v>10462.16057</v>
      </c>
      <c r="CC172">
        <f>10005.44438</f>
        <v>10005.444380000001</v>
      </c>
      <c r="CD172">
        <f>9796.026399</f>
        <v>9796.0263990000003</v>
      </c>
      <c r="CE172">
        <f>9290.371305</f>
        <v>9290.3713050000006</v>
      </c>
      <c r="CF172">
        <f>8716.112685</f>
        <v>8716.1126850000001</v>
      </c>
      <c r="CG172">
        <f>8556.237362</f>
        <v>8556.2373619999998</v>
      </c>
      <c r="CH172">
        <f>8277.629529</f>
        <v>8277.6295289999998</v>
      </c>
      <c r="CI172">
        <f>8403.077929</f>
        <v>8403.0779289999991</v>
      </c>
      <c r="CJ172">
        <f>8294.336506</f>
        <v>8294.3365059999996</v>
      </c>
      <c r="CK172">
        <f>7879.190844</f>
        <v>7879.1908439999997</v>
      </c>
      <c r="CL172">
        <f>7462.997942</f>
        <v>7462.997942</v>
      </c>
      <c r="CM172">
        <f>7257.995846</f>
        <v>7257.9958459999998</v>
      </c>
      <c r="CN172">
        <f>7323.013282</f>
        <v>7323.0132819999999</v>
      </c>
      <c r="CO172">
        <f>7502.477725</f>
        <v>7502.4777249999997</v>
      </c>
      <c r="CP172" t="str">
        <f>""</f>
        <v/>
      </c>
      <c r="CQ172" t="str">
        <f>""</f>
        <v/>
      </c>
      <c r="CR172" t="str">
        <f>""</f>
        <v/>
      </c>
      <c r="CS172" t="str">
        <f>""</f>
        <v/>
      </c>
      <c r="CT172" t="str">
        <f>""</f>
        <v/>
      </c>
      <c r="CU172">
        <f>6898.407148</f>
        <v>6898.4071480000002</v>
      </c>
      <c r="CV172">
        <f>6989.751545</f>
        <v>6989.7515450000001</v>
      </c>
      <c r="CW172">
        <f>6969.408696</f>
        <v>6969.4086960000004</v>
      </c>
      <c r="CX172" t="str">
        <f>""</f>
        <v/>
      </c>
      <c r="CY172" t="str">
        <f>""</f>
        <v/>
      </c>
      <c r="CZ172" t="str">
        <f>""</f>
        <v/>
      </c>
      <c r="DA172" t="str">
        <f>""</f>
        <v/>
      </c>
      <c r="DB172" t="str">
        <f>""</f>
        <v/>
      </c>
      <c r="DC172" t="str">
        <f>""</f>
        <v/>
      </c>
      <c r="DD172" t="str">
        <f>""</f>
        <v/>
      </c>
      <c r="DE172" t="str">
        <f>""</f>
        <v/>
      </c>
      <c r="DF172" t="str">
        <f>""</f>
        <v/>
      </c>
      <c r="DG172" t="str">
        <f>""</f>
        <v/>
      </c>
      <c r="DH172" t="str">
        <f>""</f>
        <v/>
      </c>
      <c r="DI172" t="str">
        <f>""</f>
        <v/>
      </c>
      <c r="DJ172" t="str">
        <f>""</f>
        <v/>
      </c>
      <c r="DK172" t="str">
        <f>""</f>
        <v/>
      </c>
      <c r="DL172" t="str">
        <f>""</f>
        <v/>
      </c>
      <c r="DM172" t="str">
        <f>""</f>
        <v/>
      </c>
      <c r="DN172" t="str">
        <f>""</f>
        <v/>
      </c>
      <c r="DO172" t="str">
        <f>""</f>
        <v/>
      </c>
      <c r="DP172" t="str">
        <f>""</f>
        <v/>
      </c>
      <c r="DQ172" t="str">
        <f>""</f>
        <v/>
      </c>
      <c r="DR172" t="str">
        <f>""</f>
        <v/>
      </c>
      <c r="DS172" t="str">
        <f>""</f>
        <v/>
      </c>
      <c r="DT172" t="str">
        <f>""</f>
        <v/>
      </c>
      <c r="DU172" t="str">
        <f>""</f>
        <v/>
      </c>
    </row>
    <row r="173" spans="1:125" x14ac:dyDescent="0.25">
      <c r="A173" t="str">
        <f>"    Chongqing Changan Automobile Co Ltd"</f>
        <v xml:space="preserve">    Chongqing Changan Automobile Co Ltd</v>
      </c>
      <c r="B173" t="str">
        <f>"200625 CH Equity"</f>
        <v>200625 CH Equity</v>
      </c>
      <c r="C173" t="str">
        <f t="shared" si="12"/>
        <v>RR800</v>
      </c>
      <c r="D173" t="str">
        <f t="shared" si="13"/>
        <v>TRAIL_12M_NET_SALES</v>
      </c>
      <c r="E173" t="str">
        <f t="shared" si="14"/>
        <v>Dynamic</v>
      </c>
      <c r="F173" t="str">
        <f ca="1">IF(AND(ISNUMBER($F$678),$B$511=1),$F$678,HLOOKUP(INDIRECT(ADDRESS(2,COLUMN())),OFFSET($BN$2,0,0,ROW()-1,60),ROW()-1,FALSE))</f>
        <v/>
      </c>
      <c r="G173" t="str">
        <f ca="1">IF(AND(ISNUMBER($G$678),$B$511=1),$G$678,HLOOKUP(INDIRECT(ADDRESS(2,COLUMN())),OFFSET($BN$2,0,0,ROW()-1,60),ROW()-1,FALSE))</f>
        <v/>
      </c>
      <c r="H173">
        <f ca="1">IF(AND(ISNUMBER($H$678),$B$511=1),$H$678,HLOOKUP(INDIRECT(ADDRESS(2,COLUMN())),OFFSET($BN$2,0,0,ROW()-1,60),ROW()-1,FALSE))</f>
        <v>11573.08649</v>
      </c>
      <c r="I173">
        <f ca="1">IF(AND(ISNUMBER($I$678),$B$511=1),$I$678,HLOOKUP(INDIRECT(ADDRESS(2,COLUMN())),OFFSET($BN$2,0,0,ROW()-1,60),ROW()-1,FALSE))</f>
        <v>12180.5059</v>
      </c>
      <c r="J173">
        <f ca="1">IF(AND(ISNUMBER($J$678),$B$511=1),$J$678,HLOOKUP(INDIRECT(ADDRESS(2,COLUMN())),OFFSET($BN$2,0,0,ROW()-1,60),ROW()-1,FALSE))</f>
        <v>11995.85266</v>
      </c>
      <c r="K173">
        <f ca="1">IF(AND(ISNUMBER($K$678),$B$511=1),$K$678,HLOOKUP(INDIRECT(ADDRESS(2,COLUMN())),OFFSET($BN$2,0,0,ROW()-1,60),ROW()-1,FALSE))</f>
        <v>11398.10757</v>
      </c>
      <c r="L173">
        <f ca="1">IF(AND(ISNUMBER($L$678),$B$511=1),$L$678,HLOOKUP(INDIRECT(ADDRESS(2,COLUMN())),OFFSET($BN$2,0,0,ROW()-1,60),ROW()-1,FALSE))</f>
        <v>10731.0638</v>
      </c>
      <c r="M173">
        <f ca="1">IF(AND(ISNUMBER($M$678),$B$511=1),$M$678,HLOOKUP(INDIRECT(ADDRESS(2,COLUMN())),OFFSET($BN$2,0,0,ROW()-1,60),ROW()-1,FALSE))</f>
        <v>10693.33447</v>
      </c>
      <c r="N173">
        <f ca="1">IF(AND(ISNUMBER($N$678),$B$511=1),$N$678,HLOOKUP(INDIRECT(ADDRESS(2,COLUMN())),OFFSET($BN$2,0,0,ROW()-1,60),ROW()-1,FALSE))</f>
        <v>10897.810799999999</v>
      </c>
      <c r="O173">
        <f ca="1">IF(AND(ISNUMBER($O$678),$B$511=1),$O$678,HLOOKUP(INDIRECT(ADDRESS(2,COLUMN())),OFFSET($BN$2,0,0,ROW()-1,60),ROW()-1,FALSE))</f>
        <v>11280.963019999999</v>
      </c>
      <c r="P173">
        <f ca="1">IF(AND(ISNUMBER($P$678),$B$511=1),$P$678,HLOOKUP(INDIRECT(ADDRESS(2,COLUMN())),OFFSET($BN$2,0,0,ROW()-1,60),ROW()-1,FALSE))</f>
        <v>10581.02514</v>
      </c>
      <c r="Q173">
        <f ca="1">IF(AND(ISNUMBER($Q$678),$B$511=1),$Q$678,HLOOKUP(INDIRECT(ADDRESS(2,COLUMN())),OFFSET($BN$2,0,0,ROW()-1,60),ROW()-1,FALSE))</f>
        <v>10335.044089999999</v>
      </c>
      <c r="R173">
        <f ca="1">IF(AND(ISNUMBER($R$678),$B$511=1),$R$678,HLOOKUP(INDIRECT(ADDRESS(2,COLUMN())),OFFSET($BN$2,0,0,ROW()-1,60),ROW()-1,FALSE))</f>
        <v>10217.3171</v>
      </c>
      <c r="S173">
        <f ca="1">IF(AND(ISNUMBER($S$678),$B$511=1),$S$678,HLOOKUP(INDIRECT(ADDRESS(2,COLUMN())),OFFSET($BN$2,0,0,ROW()-1,60),ROW()-1,FALSE))</f>
        <v>10158.20659</v>
      </c>
      <c r="T173">
        <f ca="1">IF(AND(ISNUMBER($T$678),$B$511=1),$T$678,HLOOKUP(INDIRECT(ADDRESS(2,COLUMN())),OFFSET($BN$2,0,0,ROW()-1,60),ROW()-1,FALSE))</f>
        <v>9882.3234620000003</v>
      </c>
      <c r="U173">
        <f ca="1">IF(AND(ISNUMBER($U$678),$B$511=1),$U$678,HLOOKUP(INDIRECT(ADDRESS(2,COLUMN())),OFFSET($BN$2,0,0,ROW()-1,60),ROW()-1,FALSE))</f>
        <v>9547.4905249999993</v>
      </c>
      <c r="V173">
        <f ca="1">IF(AND(ISNUMBER($V$678),$B$511=1),$V$678,HLOOKUP(INDIRECT(ADDRESS(2,COLUMN())),OFFSET($BN$2,0,0,ROW()-1,60),ROW()-1,FALSE))</f>
        <v>9115.5282829999996</v>
      </c>
      <c r="W173">
        <f ca="1">IF(AND(ISNUMBER($W$678),$B$511=1),$W$678,HLOOKUP(INDIRECT(ADDRESS(2,COLUMN())),OFFSET($BN$2,0,0,ROW()-1,60),ROW()-1,FALSE))</f>
        <v>8253.5084220000008</v>
      </c>
      <c r="X173">
        <f ca="1">IF(AND(ISNUMBER($X$678),$B$511=1),$X$678,HLOOKUP(INDIRECT(ADDRESS(2,COLUMN())),OFFSET($BN$2,0,0,ROW()-1,60),ROW()-1,FALSE))</f>
        <v>7399.2408800000003</v>
      </c>
      <c r="Y173">
        <f ca="1">IF(AND(ISNUMBER($Y$678),$B$511=1),$Y$678,HLOOKUP(INDIRECT(ADDRESS(2,COLUMN())),OFFSET($BN$2,0,0,ROW()-1,60),ROW()-1,FALSE))</f>
        <v>6777.4246800000001</v>
      </c>
      <c r="Z173">
        <f ca="1">IF(AND(ISNUMBER($Z$678),$B$511=1),$Z$678,HLOOKUP(INDIRECT(ADDRESS(2,COLUMN())),OFFSET($BN$2,0,0,ROW()-1,60),ROW()-1,FALSE))</f>
        <v>6501.2108740000003</v>
      </c>
      <c r="AA173">
        <f ca="1">IF(AND(ISNUMBER($AA$678),$B$511=1),$AA$678,HLOOKUP(INDIRECT(ADDRESS(2,COLUMN())),OFFSET($BN$2,0,0,ROW()-1,60),ROW()-1,FALSE))</f>
        <v>6160.7567140000001</v>
      </c>
      <c r="AB173">
        <f ca="1">IF(AND(ISNUMBER($AB$678),$B$511=1),$AB$678,HLOOKUP(INDIRECT(ADDRESS(2,COLUMN())),OFFSET($BN$2,0,0,ROW()-1,60),ROW()-1,FALSE))</f>
        <v>5930.9721570000002</v>
      </c>
      <c r="AC173">
        <f ca="1">IF(AND(ISNUMBER($AC$678),$B$511=1),$AC$678,HLOOKUP(INDIRECT(ADDRESS(2,COLUMN())),OFFSET($BN$2,0,0,ROW()-1,60),ROW()-1,FALSE))</f>
        <v>5534.9260299999996</v>
      </c>
      <c r="AD173">
        <f ca="1">IF(AND(ISNUMBER($AD$678),$B$511=1),$AD$678,HLOOKUP(INDIRECT(ADDRESS(2,COLUMN())),OFFSET($BN$2,0,0,ROW()-1,60),ROW()-1,FALSE))</f>
        <v>4954.1763440000004</v>
      </c>
      <c r="AE173">
        <f ca="1">IF(AND(ISNUMBER($AE$678),$B$511=1),$AE$678,HLOOKUP(INDIRECT(ADDRESS(2,COLUMN())),OFFSET($BN$2,0,0,ROW()-1,60),ROW()-1,FALSE))</f>
        <v>4549.08932</v>
      </c>
      <c r="AF173">
        <f ca="1">IF(AND(ISNUMBER($AF$678),$B$511=1),$AF$678,HLOOKUP(INDIRECT(ADDRESS(2,COLUMN())),OFFSET($BN$2,0,0,ROW()-1,60),ROW()-1,FALSE))</f>
        <v>4184.2987659999999</v>
      </c>
      <c r="AG173">
        <f ca="1">IF(AND(ISNUMBER($AG$678),$B$511=1),$AG$678,HLOOKUP(INDIRECT(ADDRESS(2,COLUMN())),OFFSET($BN$2,0,0,ROW()-1,60),ROW()-1,FALSE))</f>
        <v>4007.4639809999999</v>
      </c>
      <c r="AH173">
        <f ca="1">IF(AND(ISNUMBER($AH$678),$B$511=1),$AH$678,HLOOKUP(INDIRECT(ADDRESS(2,COLUMN())),OFFSET($BN$2,0,0,ROW()-1,60),ROW()-1,FALSE))</f>
        <v>3974.3140050000002</v>
      </c>
      <c r="AI173">
        <f ca="1">IF(AND(ISNUMBER($AI$678),$B$511=1),$AI$678,HLOOKUP(INDIRECT(ADDRESS(2,COLUMN())),OFFSET($BN$2,0,0,ROW()-1,60),ROW()-1,FALSE))</f>
        <v>4025.6210919999999</v>
      </c>
      <c r="AJ173">
        <f ca="1">IF(AND(ISNUMBER($AJ$678),$B$511=1),$AJ$678,HLOOKUP(INDIRECT(ADDRESS(2,COLUMN())),OFFSET($BN$2,0,0,ROW()-1,60),ROW()-1,FALSE))</f>
        <v>4540.2738840000002</v>
      </c>
      <c r="AK173">
        <f ca="1">IF(AND(ISNUMBER($AK$678),$B$511=1),$AK$678,HLOOKUP(INDIRECT(ADDRESS(2,COLUMN())),OFFSET($BN$2,0,0,ROW()-1,60),ROW()-1,FALSE))</f>
        <v>4653.5388940000003</v>
      </c>
      <c r="AL173">
        <f ca="1">IF(AND(ISNUMBER($AL$678),$B$511=1),$AL$678,HLOOKUP(INDIRECT(ADDRESS(2,COLUMN())),OFFSET($BN$2,0,0,ROW()-1,60),ROW()-1,FALSE))</f>
        <v>4752.3678259999997</v>
      </c>
      <c r="AM173">
        <f ca="1">IF(AND(ISNUMBER($AM$678),$B$511=1),$AM$678,HLOOKUP(INDIRECT(ADDRESS(2,COLUMN())),OFFSET($BN$2,0,0,ROW()-1,60),ROW()-1,FALSE))</f>
        <v>4852.5572030000003</v>
      </c>
      <c r="AN173">
        <f ca="1">IF(AND(ISNUMBER($AN$678),$B$511=1),$AN$678,HLOOKUP(INDIRECT(ADDRESS(2,COLUMN())),OFFSET($BN$2,0,0,ROW()-1,60),ROW()-1,FALSE))</f>
        <v>4413.4760310000001</v>
      </c>
      <c r="AO173">
        <f ca="1">IF(AND(ISNUMBER($AO$678),$B$511=1),$AO$678,HLOOKUP(INDIRECT(ADDRESS(2,COLUMN())),OFFSET($BN$2,0,0,ROW()-1,60),ROW()-1,FALSE))</f>
        <v>4401.4687439999998</v>
      </c>
      <c r="AP173">
        <f ca="1">IF(AND(ISNUMBER($AP$678),$B$511=1),$AP$678,HLOOKUP(INDIRECT(ADDRESS(2,COLUMN())),OFFSET($BN$2,0,0,ROW()-1,60),ROW()-1,FALSE))</f>
        <v>4277.1491800000003</v>
      </c>
      <c r="AQ173">
        <f ca="1">IF(AND(ISNUMBER($AQ$678),$B$511=1),$AQ$678,HLOOKUP(INDIRECT(ADDRESS(2,COLUMN())),OFFSET($BN$2,0,0,ROW()-1,60),ROW()-1,FALSE))</f>
        <v>3666.7214730000001</v>
      </c>
      <c r="AR173">
        <f ca="1">IF(AND(ISNUMBER($AR$678),$B$511=1),$AR$678,HLOOKUP(INDIRECT(ADDRESS(2,COLUMN())),OFFSET($BN$2,0,0,ROW()-1,60),ROW()-1,FALSE))</f>
        <v>2931.5524230000001</v>
      </c>
      <c r="AS173">
        <f ca="1">IF(AND(ISNUMBER($AS$678),$B$511=1),$AS$678,HLOOKUP(INDIRECT(ADDRESS(2,COLUMN())),OFFSET($BN$2,0,0,ROW()-1,60),ROW()-1,FALSE))</f>
        <v>2432.889075</v>
      </c>
      <c r="AT173">
        <f ca="1">IF(AND(ISNUMBER($AT$678),$B$511=1),$AT$678,HLOOKUP(INDIRECT(ADDRESS(2,COLUMN())),OFFSET($BN$2,0,0,ROW()-1,60),ROW()-1,FALSE))</f>
        <v>2027.450243</v>
      </c>
      <c r="AU173">
        <f ca="1">IF(AND(ISNUMBER($AU$678),$B$511=1),$AU$678,HLOOKUP(INDIRECT(ADDRESS(2,COLUMN())),OFFSET($BN$2,0,0,ROW()-1,60),ROW()-1,FALSE))</f>
        <v>1876.383147</v>
      </c>
      <c r="AV173">
        <f ca="1">IF(AND(ISNUMBER($AV$678),$B$511=1),$AV$678,HLOOKUP(INDIRECT(ADDRESS(2,COLUMN())),OFFSET($BN$2,0,0,ROW()-1,60),ROW()-1,FALSE))</f>
        <v>1903.9694159999999</v>
      </c>
      <c r="AW173">
        <f ca="1">IF(AND(ISNUMBER($AW$678),$B$511=1),$AW$678,HLOOKUP(INDIRECT(ADDRESS(2,COLUMN())),OFFSET($BN$2,0,0,ROW()-1,60),ROW()-1,FALSE))</f>
        <v>1863.1661690000001</v>
      </c>
      <c r="AX173">
        <f ca="1">IF(AND(ISNUMBER($AX$678),$B$511=1),$AX$678,HLOOKUP(INDIRECT(ADDRESS(2,COLUMN())),OFFSET($BN$2,0,0,ROW()-1,60),ROW()-1,FALSE))</f>
        <v>1830.9138829999999</v>
      </c>
      <c r="AY173">
        <f ca="1">IF(AND(ISNUMBER($AY$678),$B$511=1),$AY$678,HLOOKUP(INDIRECT(ADDRESS(2,COLUMN())),OFFSET($BN$2,0,0,ROW()-1,60),ROW()-1,FALSE))</f>
        <v>1760.488008</v>
      </c>
      <c r="AZ173">
        <f ca="1">IF(AND(ISNUMBER($AZ$678),$B$511=1),$AZ$678,HLOOKUP(INDIRECT(ADDRESS(2,COLUMN())),OFFSET($BN$2,0,0,ROW()-1,60),ROW()-1,FALSE))</f>
        <v>2256.110275</v>
      </c>
      <c r="BA173">
        <f ca="1">IF(AND(ISNUMBER($BA$678),$B$511=1),$BA$678,HLOOKUP(INDIRECT(ADDRESS(2,COLUMN())),OFFSET($BN$2,0,0,ROW()-1,60),ROW()-1,FALSE))</f>
        <v>2574.1835860000001</v>
      </c>
      <c r="BB173">
        <f ca="1">IF(AND(ISNUMBER($BB$678),$B$511=1),$BB$678,HLOOKUP(INDIRECT(ADDRESS(2,COLUMN())),OFFSET($BN$2,0,0,ROW()-1,60),ROW()-1,FALSE))</f>
        <v>2781.2059819999999</v>
      </c>
      <c r="BC173">
        <f ca="1">IF(AND(ISNUMBER($BC$678),$B$511=1),$BC$678,HLOOKUP(INDIRECT(ADDRESS(2,COLUMN())),OFFSET($BN$2,0,0,ROW()-1,60),ROW()-1,FALSE))</f>
        <v>3101.5819929999998</v>
      </c>
      <c r="BD173">
        <f ca="1">IF(AND(ISNUMBER($BD$678),$B$511=1),$BD$678,HLOOKUP(INDIRECT(ADDRESS(2,COLUMN())),OFFSET($BN$2,0,0,ROW()-1,60),ROW()-1,FALSE))</f>
        <v>2885.9281380000002</v>
      </c>
      <c r="BE173">
        <f ca="1">IF(AND(ISNUMBER($BE$678),$B$511=1),$BE$678,HLOOKUP(INDIRECT(ADDRESS(2,COLUMN())),OFFSET($BN$2,0,0,ROW()-1,60),ROW()-1,FALSE))</f>
        <v>2655.284416</v>
      </c>
      <c r="BF173">
        <f ca="1">IF(AND(ISNUMBER($BF$678),$B$511=1),$BF$678,HLOOKUP(INDIRECT(ADDRESS(2,COLUMN())),OFFSET($BN$2,0,0,ROW()-1,60),ROW()-1,FALSE))</f>
        <v>2518.916377</v>
      </c>
      <c r="BG173">
        <f ca="1">IF(AND(ISNUMBER($BG$678),$B$511=1),$BG$678,HLOOKUP(INDIRECT(ADDRESS(2,COLUMN())),OFFSET($BN$2,0,0,ROW()-1,60),ROW()-1,FALSE))</f>
        <v>2255.3006209999999</v>
      </c>
      <c r="BH173">
        <f ca="1">IF(AND(ISNUMBER($BH$678),$B$511=1),$BH$678,HLOOKUP(INDIRECT(ADDRESS(2,COLUMN())),OFFSET($BN$2,0,0,ROW()-1,60),ROW()-1,FALSE))</f>
        <v>2168.5983500000002</v>
      </c>
      <c r="BI173" t="str">
        <f ca="1">IF(AND(ISNUMBER($BI$678),$B$511=1),$BI$678,HLOOKUP(INDIRECT(ADDRESS(2,COLUMN())),OFFSET($BN$2,0,0,ROW()-1,60),ROW()-1,FALSE))</f>
        <v/>
      </c>
      <c r="BJ173" t="str">
        <f ca="1">IF(AND(ISNUMBER($BJ$678),$B$511=1),$BJ$678,HLOOKUP(INDIRECT(ADDRESS(2,COLUMN())),OFFSET($BN$2,0,0,ROW()-1,60),ROW()-1,FALSE))</f>
        <v/>
      </c>
      <c r="BK173" t="str">
        <f ca="1">IF(AND(ISNUMBER($BK$678),$B$511=1),$BK$678,HLOOKUP(INDIRECT(ADDRESS(2,COLUMN())),OFFSET($BN$2,0,0,ROW()-1,60),ROW()-1,FALSE))</f>
        <v/>
      </c>
      <c r="BL173" t="str">
        <f ca="1">IF(AND(ISNUMBER($BL$678),$B$511=1),$BL$678,HLOOKUP(INDIRECT(ADDRESS(2,COLUMN())),OFFSET($BN$2,0,0,ROW()-1,60),ROW()-1,FALSE))</f>
        <v/>
      </c>
      <c r="BM173" t="str">
        <f ca="1">IF(AND(ISNUMBER($BM$678),$B$511=1),$BM$678,HLOOKUP(INDIRECT(ADDRESS(2,COLUMN())),OFFSET($BN$2,0,0,ROW()-1,60),ROW()-1,FALSE))</f>
        <v/>
      </c>
      <c r="BN173" t="str">
        <f>""</f>
        <v/>
      </c>
      <c r="BO173" t="str">
        <f>""</f>
        <v/>
      </c>
      <c r="BP173">
        <f>11573.08649</f>
        <v>11573.08649</v>
      </c>
      <c r="BQ173">
        <f>12180.5059</f>
        <v>12180.5059</v>
      </c>
      <c r="BR173">
        <f>11995.85266</f>
        <v>11995.85266</v>
      </c>
      <c r="BS173">
        <f>11398.10757</f>
        <v>11398.10757</v>
      </c>
      <c r="BT173">
        <f>10731.0638</f>
        <v>10731.0638</v>
      </c>
      <c r="BU173">
        <f>10693.33447</f>
        <v>10693.33447</v>
      </c>
      <c r="BV173">
        <f>10897.8108</f>
        <v>10897.810799999999</v>
      </c>
      <c r="BW173">
        <f>11280.96302</f>
        <v>11280.963019999999</v>
      </c>
      <c r="BX173">
        <f>10581.02514</f>
        <v>10581.02514</v>
      </c>
      <c r="BY173">
        <f>10335.04409</f>
        <v>10335.044089999999</v>
      </c>
      <c r="BZ173">
        <f>10217.3171</f>
        <v>10217.3171</v>
      </c>
      <c r="CA173">
        <f>10158.20659</f>
        <v>10158.20659</v>
      </c>
      <c r="CB173">
        <f>9882.323462</f>
        <v>9882.3234620000003</v>
      </c>
      <c r="CC173">
        <f>9547.490525</f>
        <v>9547.4905249999993</v>
      </c>
      <c r="CD173">
        <f>9115.528283</f>
        <v>9115.5282829999996</v>
      </c>
      <c r="CE173">
        <f>8253.508422</f>
        <v>8253.5084220000008</v>
      </c>
      <c r="CF173">
        <f>7399.24088</f>
        <v>7399.2408800000003</v>
      </c>
      <c r="CG173">
        <f>6777.42468</f>
        <v>6777.4246800000001</v>
      </c>
      <c r="CH173">
        <f>6501.210874</f>
        <v>6501.2108740000003</v>
      </c>
      <c r="CI173">
        <f>6160.756714</f>
        <v>6160.7567140000001</v>
      </c>
      <c r="CJ173">
        <f>5930.972157</f>
        <v>5930.9721570000002</v>
      </c>
      <c r="CK173">
        <f>5534.92603</f>
        <v>5534.9260299999996</v>
      </c>
      <c r="CL173">
        <f>4954.176344</f>
        <v>4954.1763440000004</v>
      </c>
      <c r="CM173">
        <f>4549.08932</f>
        <v>4549.08932</v>
      </c>
      <c r="CN173">
        <f>4184.298766</f>
        <v>4184.2987659999999</v>
      </c>
      <c r="CO173">
        <f>4007.463981</f>
        <v>4007.4639809999999</v>
      </c>
      <c r="CP173">
        <f>3974.314005</f>
        <v>3974.3140050000002</v>
      </c>
      <c r="CQ173">
        <f>4025.621092</f>
        <v>4025.6210919999999</v>
      </c>
      <c r="CR173">
        <f>4540.273884</f>
        <v>4540.2738840000002</v>
      </c>
      <c r="CS173">
        <f>4653.538894</f>
        <v>4653.5388940000003</v>
      </c>
      <c r="CT173">
        <f>4752.367826</f>
        <v>4752.3678259999997</v>
      </c>
      <c r="CU173">
        <f>4852.557203</f>
        <v>4852.5572030000003</v>
      </c>
      <c r="CV173">
        <f>4413.476031</f>
        <v>4413.4760310000001</v>
      </c>
      <c r="CW173">
        <f>4401.468744</f>
        <v>4401.4687439999998</v>
      </c>
      <c r="CX173">
        <f>4277.14918</f>
        <v>4277.1491800000003</v>
      </c>
      <c r="CY173">
        <f>3666.721473</f>
        <v>3666.7214730000001</v>
      </c>
      <c r="CZ173">
        <f>2931.552423</f>
        <v>2931.5524230000001</v>
      </c>
      <c r="DA173">
        <f>2432.889075</f>
        <v>2432.889075</v>
      </c>
      <c r="DB173">
        <f>2027.450243</f>
        <v>2027.450243</v>
      </c>
      <c r="DC173">
        <f>1876.383147</f>
        <v>1876.383147</v>
      </c>
      <c r="DD173">
        <f>1903.969416</f>
        <v>1903.9694159999999</v>
      </c>
      <c r="DE173">
        <f>1863.166169</f>
        <v>1863.1661690000001</v>
      </c>
      <c r="DF173">
        <f>1830.913883</f>
        <v>1830.9138829999999</v>
      </c>
      <c r="DG173">
        <f>1760.488008</f>
        <v>1760.488008</v>
      </c>
      <c r="DH173">
        <f>2256.110275</f>
        <v>2256.110275</v>
      </c>
      <c r="DI173">
        <f>2574.183586</f>
        <v>2574.1835860000001</v>
      </c>
      <c r="DJ173">
        <f>2781.205982</f>
        <v>2781.2059819999999</v>
      </c>
      <c r="DK173">
        <f>3101.581993</f>
        <v>3101.5819929999998</v>
      </c>
      <c r="DL173">
        <f>2885.928138</f>
        <v>2885.9281380000002</v>
      </c>
      <c r="DM173">
        <f>2655.284416</f>
        <v>2655.284416</v>
      </c>
      <c r="DN173">
        <f>2518.916377</f>
        <v>2518.916377</v>
      </c>
      <c r="DO173">
        <f>2255.300621</f>
        <v>2255.3006209999999</v>
      </c>
      <c r="DP173">
        <f>2168.59835</f>
        <v>2168.5983500000002</v>
      </c>
      <c r="DQ173" t="str">
        <f>""</f>
        <v/>
      </c>
      <c r="DR173" t="str">
        <f>""</f>
        <v/>
      </c>
      <c r="DS173" t="str">
        <f>""</f>
        <v/>
      </c>
      <c r="DT173" t="str">
        <f>""</f>
        <v/>
      </c>
      <c r="DU173" t="str">
        <f>""</f>
        <v/>
      </c>
    </row>
    <row r="174" spans="1:125" x14ac:dyDescent="0.25">
      <c r="A174" t="str">
        <f>"    Daihatsu Motor Co Ltd"</f>
        <v xml:space="preserve">    Daihatsu Motor Co Ltd</v>
      </c>
      <c r="B174" t="str">
        <f>"7262 JP Equity"</f>
        <v>7262 JP Equity</v>
      </c>
      <c r="C174" t="str">
        <f t="shared" si="12"/>
        <v>RR800</v>
      </c>
      <c r="D174" t="str">
        <f t="shared" si="13"/>
        <v>TRAIL_12M_NET_SALES</v>
      </c>
      <c r="E174" t="str">
        <f t="shared" si="14"/>
        <v>Dynamic</v>
      </c>
      <c r="F174" t="str">
        <f ca="1">IF(AND(ISNUMBER($F$679),$B$511=1),$F$679,HLOOKUP(INDIRECT(ADDRESS(2,COLUMN())),OFFSET($BN$2,0,0,ROW()-1,60),ROW()-1,FALSE))</f>
        <v/>
      </c>
      <c r="G174" t="str">
        <f ca="1">IF(AND(ISNUMBER($G$679),$B$511=1),$G$679,HLOOKUP(INDIRECT(ADDRESS(2,COLUMN())),OFFSET($BN$2,0,0,ROW()-1,60),ROW()-1,FALSE))</f>
        <v/>
      </c>
      <c r="H174" t="str">
        <f ca="1">IF(AND(ISNUMBER($H$679),$B$511=1),$H$679,HLOOKUP(INDIRECT(ADDRESS(2,COLUMN())),OFFSET($BN$2,0,0,ROW()-1,60),ROW()-1,FALSE))</f>
        <v/>
      </c>
      <c r="I174" t="str">
        <f ca="1">IF(AND(ISNUMBER($I$679),$B$511=1),$I$679,HLOOKUP(INDIRECT(ADDRESS(2,COLUMN())),OFFSET($BN$2,0,0,ROW()-1,60),ROW()-1,FALSE))</f>
        <v/>
      </c>
      <c r="J174" t="str">
        <f ca="1">IF(AND(ISNUMBER($J$679),$B$511=1),$J$679,HLOOKUP(INDIRECT(ADDRESS(2,COLUMN())),OFFSET($BN$2,0,0,ROW()-1,60),ROW()-1,FALSE))</f>
        <v/>
      </c>
      <c r="K174" t="str">
        <f ca="1">IF(AND(ISNUMBER($K$679),$B$511=1),$K$679,HLOOKUP(INDIRECT(ADDRESS(2,COLUMN())),OFFSET($BN$2,0,0,ROW()-1,60),ROW()-1,FALSE))</f>
        <v/>
      </c>
      <c r="L174" t="str">
        <f ca="1">IF(AND(ISNUMBER($L$679),$B$511=1),$L$679,HLOOKUP(INDIRECT(ADDRESS(2,COLUMN())),OFFSET($BN$2,0,0,ROW()-1,60),ROW()-1,FALSE))</f>
        <v/>
      </c>
      <c r="M174" t="str">
        <f ca="1">IF(AND(ISNUMBER($M$679),$B$511=1),$M$679,HLOOKUP(INDIRECT(ADDRESS(2,COLUMN())),OFFSET($BN$2,0,0,ROW()-1,60),ROW()-1,FALSE))</f>
        <v/>
      </c>
      <c r="N174" t="str">
        <f ca="1">IF(AND(ISNUMBER($N$679),$B$511=1),$N$679,HLOOKUP(INDIRECT(ADDRESS(2,COLUMN())),OFFSET($BN$2,0,0,ROW()-1,60),ROW()-1,FALSE))</f>
        <v/>
      </c>
      <c r="O174" t="str">
        <f ca="1">IF(AND(ISNUMBER($O$679),$B$511=1),$O$679,HLOOKUP(INDIRECT(ADDRESS(2,COLUMN())),OFFSET($BN$2,0,0,ROW()-1,60),ROW()-1,FALSE))</f>
        <v/>
      </c>
      <c r="P174" t="str">
        <f ca="1">IF(AND(ISNUMBER($P$679),$B$511=1),$P$679,HLOOKUP(INDIRECT(ADDRESS(2,COLUMN())),OFFSET($BN$2,0,0,ROW()-1,60),ROW()-1,FALSE))</f>
        <v/>
      </c>
      <c r="Q174" t="str">
        <f ca="1">IF(AND(ISNUMBER($Q$679),$B$511=1),$Q$679,HLOOKUP(INDIRECT(ADDRESS(2,COLUMN())),OFFSET($BN$2,0,0,ROW()-1,60),ROW()-1,FALSE))</f>
        <v/>
      </c>
      <c r="R174">
        <f ca="1">IF(AND(ISNUMBER($R$679),$B$511=1),$R$679,HLOOKUP(INDIRECT(ADDRESS(2,COLUMN())),OFFSET($BN$2,0,0,ROW()-1,60),ROW()-1,FALSE))</f>
        <v>14091.448839999999</v>
      </c>
      <c r="S174">
        <f ca="1">IF(AND(ISNUMBER($S$679),$B$511=1),$S$679,HLOOKUP(INDIRECT(ADDRESS(2,COLUMN())),OFFSET($BN$2,0,0,ROW()-1,60),ROW()-1,FALSE))</f>
        <v>14665.289280000001</v>
      </c>
      <c r="T174">
        <f ca="1">IF(AND(ISNUMBER($T$679),$B$511=1),$T$679,HLOOKUP(INDIRECT(ADDRESS(2,COLUMN())),OFFSET($BN$2,0,0,ROW()-1,60),ROW()-1,FALSE))</f>
        <v>15024.45307</v>
      </c>
      <c r="U174">
        <f ca="1">IF(AND(ISNUMBER($U$679),$B$511=1),$U$679,HLOOKUP(INDIRECT(ADDRESS(2,COLUMN())),OFFSET($BN$2,0,0,ROW()-1,60),ROW()-1,FALSE))</f>
        <v>15758.00236</v>
      </c>
      <c r="V174">
        <f ca="1">IF(AND(ISNUMBER($V$679),$B$511=1),$V$679,HLOOKUP(INDIRECT(ADDRESS(2,COLUMN())),OFFSET($BN$2,0,0,ROW()-1,60),ROW()-1,FALSE))</f>
        <v>16612.339390000001</v>
      </c>
      <c r="W174">
        <f ca="1">IF(AND(ISNUMBER($W$679),$B$511=1),$W$679,HLOOKUP(INDIRECT(ADDRESS(2,COLUMN())),OFFSET($BN$2,0,0,ROW()-1,60),ROW()-1,FALSE))</f>
        <v>17308.49497</v>
      </c>
      <c r="X174">
        <f ca="1">IF(AND(ISNUMBER($X$679),$B$511=1),$X$679,HLOOKUP(INDIRECT(ADDRESS(2,COLUMN())),OFFSET($BN$2,0,0,ROW()-1,60),ROW()-1,FALSE))</f>
        <v>18201.472870000001</v>
      </c>
      <c r="Y174">
        <f ca="1">IF(AND(ISNUMBER($Y$679),$B$511=1),$Y$679,HLOOKUP(INDIRECT(ADDRESS(2,COLUMN())),OFFSET($BN$2,0,0,ROW()-1,60),ROW()-1,FALSE))</f>
        <v>18720.87614</v>
      </c>
      <c r="Z174">
        <f ca="1">IF(AND(ISNUMBER($Z$679),$B$511=1),$Z$679,HLOOKUP(INDIRECT(ADDRESS(2,COLUMN())),OFFSET($BN$2,0,0,ROW()-1,60),ROW()-1,FALSE))</f>
        <v>19104.50634</v>
      </c>
      <c r="AA174">
        <f ca="1">IF(AND(ISNUMBER($AA$679),$B$511=1),$AA$679,HLOOKUP(INDIRECT(ADDRESS(2,COLUMN())),OFFSET($BN$2,0,0,ROW()-1,60),ROW()-1,FALSE))</f>
        <v>19126.35715</v>
      </c>
      <c r="AB174">
        <f ca="1">IF(AND(ISNUMBER($AB$679),$B$511=1),$AB$679,HLOOKUP(INDIRECT(ADDRESS(2,COLUMN())),OFFSET($BN$2,0,0,ROW()-1,60),ROW()-1,FALSE))</f>
        <v>19572.507610000001</v>
      </c>
      <c r="AC174">
        <f ca="1">IF(AND(ISNUMBER($AC$679),$B$511=1),$AC$679,HLOOKUP(INDIRECT(ADDRESS(2,COLUMN())),OFFSET($BN$2,0,0,ROW()-1,60),ROW()-1,FALSE))</f>
        <v>20357.95694</v>
      </c>
      <c r="AD174">
        <f ca="1">IF(AND(ISNUMBER($AD$679),$B$511=1),$AD$679,HLOOKUP(INDIRECT(ADDRESS(2,COLUMN())),OFFSET($BN$2,0,0,ROW()-1,60),ROW()-1,FALSE))</f>
        <v>21360.271349999999</v>
      </c>
      <c r="AE174">
        <f ca="1">IF(AND(ISNUMBER($AE$679),$B$511=1),$AE$679,HLOOKUP(INDIRECT(ADDRESS(2,COLUMN())),OFFSET($BN$2,0,0,ROW()-1,60),ROW()-1,FALSE))</f>
        <v>22189.13377</v>
      </c>
      <c r="AF174">
        <f ca="1">IF(AND(ISNUMBER($AF$679),$B$511=1),$AF$679,HLOOKUP(INDIRECT(ADDRESS(2,COLUMN())),OFFSET($BN$2,0,0,ROW()-1,60),ROW()-1,FALSE))</f>
        <v>22621.400239999999</v>
      </c>
      <c r="AG174">
        <f ca="1">IF(AND(ISNUMBER($AG$679),$B$511=1),$AG$679,HLOOKUP(INDIRECT(ADDRESS(2,COLUMN())),OFFSET($BN$2,0,0,ROW()-1,60),ROW()-1,FALSE))</f>
        <v>22279.47062</v>
      </c>
      <c r="AH174">
        <f ca="1">IF(AND(ISNUMBER($AH$679),$B$511=1),$AH$679,HLOOKUP(INDIRECT(ADDRESS(2,COLUMN())),OFFSET($BN$2,0,0,ROW()-1,60),ROW()-1,FALSE))</f>
        <v>20675.035380000001</v>
      </c>
      <c r="AI174">
        <f ca="1">IF(AND(ISNUMBER($AI$679),$B$511=1),$AI$679,HLOOKUP(INDIRECT(ADDRESS(2,COLUMN())),OFFSET($BN$2,0,0,ROW()-1,60),ROW()-1,FALSE))</f>
        <v>18982.113229999999</v>
      </c>
      <c r="AJ174">
        <f ca="1">IF(AND(ISNUMBER($AJ$679),$B$511=1),$AJ$679,HLOOKUP(INDIRECT(ADDRESS(2,COLUMN())),OFFSET($BN$2,0,0,ROW()-1,60),ROW()-1,FALSE))</f>
        <v>18011.334169999998</v>
      </c>
      <c r="AK174">
        <f ca="1">IF(AND(ISNUMBER($AK$679),$B$511=1),$AK$679,HLOOKUP(INDIRECT(ADDRESS(2,COLUMN())),OFFSET($BN$2,0,0,ROW()-1,60),ROW()-1,FALSE))</f>
        <v>17807.461800000001</v>
      </c>
      <c r="AL174">
        <f ca="1">IF(AND(ISNUMBER($AL$679),$B$511=1),$AL$679,HLOOKUP(INDIRECT(ADDRESS(2,COLUMN())),OFFSET($BN$2,0,0,ROW()-1,60),ROW()-1,FALSE))</f>
        <v>18247.06796</v>
      </c>
      <c r="AM174">
        <f ca="1">IF(AND(ISNUMBER($AM$679),$B$511=1),$AM$679,HLOOKUP(INDIRECT(ADDRESS(2,COLUMN())),OFFSET($BN$2,0,0,ROW()-1,60),ROW()-1,FALSE))</f>
        <v>18610.02619</v>
      </c>
      <c r="AN174">
        <f ca="1">IF(AND(ISNUMBER($AN$679),$B$511=1),$AN$679,HLOOKUP(INDIRECT(ADDRESS(2,COLUMN())),OFFSET($BN$2,0,0,ROW()-1,60),ROW()-1,FALSE))</f>
        <v>18650.359069999999</v>
      </c>
      <c r="AO174">
        <f ca="1">IF(AND(ISNUMBER($AO$679),$B$511=1),$AO$679,HLOOKUP(INDIRECT(ADDRESS(2,COLUMN())),OFFSET($BN$2,0,0,ROW()-1,60),ROW()-1,FALSE))</f>
        <v>17818.600269999999</v>
      </c>
      <c r="AP174">
        <f ca="1">IF(AND(ISNUMBER($AP$679),$B$511=1),$AP$679,HLOOKUP(INDIRECT(ADDRESS(2,COLUMN())),OFFSET($BN$2,0,0,ROW()-1,60),ROW()-1,FALSE))</f>
        <v>16979.953860000001</v>
      </c>
      <c r="AQ174">
        <f ca="1">IF(AND(ISNUMBER($AQ$679),$B$511=1),$AQ$679,HLOOKUP(INDIRECT(ADDRESS(2,COLUMN())),OFFSET($BN$2,0,0,ROW()-1,60),ROW()-1,FALSE))</f>
        <v>15988.4151</v>
      </c>
      <c r="AR174">
        <f ca="1">IF(AND(ISNUMBER($AR$679),$B$511=1),$AR$679,HLOOKUP(INDIRECT(ADDRESS(2,COLUMN())),OFFSET($BN$2,0,0,ROW()-1,60),ROW()-1,FALSE))</f>
        <v>15464.360919999999</v>
      </c>
      <c r="AS174">
        <f ca="1">IF(AND(ISNUMBER($AS$679),$B$511=1),$AS$679,HLOOKUP(INDIRECT(ADDRESS(2,COLUMN())),OFFSET($BN$2,0,0,ROW()-1,60),ROW()-1,FALSE))</f>
        <v>15673.561669999999</v>
      </c>
      <c r="AT174">
        <f ca="1">IF(AND(ISNUMBER($AT$679),$B$511=1),$AT$679,HLOOKUP(INDIRECT(ADDRESS(2,COLUMN())),OFFSET($BN$2,0,0,ROW()-1,60),ROW()-1,FALSE))</f>
        <v>16300.57208</v>
      </c>
      <c r="AU174">
        <f ca="1">IF(AND(ISNUMBER($AU$679),$B$511=1),$AU$679,HLOOKUP(INDIRECT(ADDRESS(2,COLUMN())),OFFSET($BN$2,0,0,ROW()-1,60),ROW()-1,FALSE))</f>
        <v>16769.25187</v>
      </c>
      <c r="AV174">
        <f ca="1">IF(AND(ISNUMBER($AV$679),$B$511=1),$AV$679,HLOOKUP(INDIRECT(ADDRESS(2,COLUMN())),OFFSET($BN$2,0,0,ROW()-1,60),ROW()-1,FALSE))</f>
        <v>16407.34662</v>
      </c>
      <c r="AW174">
        <f ca="1">IF(AND(ISNUMBER($AW$679),$B$511=1),$AW$679,HLOOKUP(INDIRECT(ADDRESS(2,COLUMN())),OFFSET($BN$2,0,0,ROW()-1,60),ROW()-1,FALSE))</f>
        <v>15877.35693</v>
      </c>
      <c r="AX174">
        <f ca="1">IF(AND(ISNUMBER($AX$679),$B$511=1),$AX$679,HLOOKUP(INDIRECT(ADDRESS(2,COLUMN())),OFFSET($BN$2,0,0,ROW()-1,60),ROW()-1,FALSE))</f>
        <v>14948.042949999999</v>
      </c>
      <c r="AY174">
        <f ca="1">IF(AND(ISNUMBER($AY$679),$B$511=1),$AY$679,HLOOKUP(INDIRECT(ADDRESS(2,COLUMN())),OFFSET($BN$2,0,0,ROW()-1,60),ROW()-1,FALSE))</f>
        <v>14402.283380000001</v>
      </c>
      <c r="AZ174">
        <f ca="1">IF(AND(ISNUMBER($AZ$679),$B$511=1),$AZ$679,HLOOKUP(INDIRECT(ADDRESS(2,COLUMN())),OFFSET($BN$2,0,0,ROW()-1,60),ROW()-1,FALSE))</f>
        <v>14283.761689999999</v>
      </c>
      <c r="BA174">
        <f ca="1">IF(AND(ISNUMBER($BA$679),$B$511=1),$BA$679,HLOOKUP(INDIRECT(ADDRESS(2,COLUMN())),OFFSET($BN$2,0,0,ROW()-1,60),ROW()-1,FALSE))</f>
        <v>14100.674590000001</v>
      </c>
      <c r="BB174">
        <f ca="1">IF(AND(ISNUMBER($BB$679),$B$511=1),$BB$679,HLOOKUP(INDIRECT(ADDRESS(2,COLUMN())),OFFSET($BN$2,0,0,ROW()-1,60),ROW()-1,FALSE))</f>
        <v>14000.959870000001</v>
      </c>
      <c r="BC174">
        <f ca="1">IF(AND(ISNUMBER($BC$679),$B$511=1),$BC$679,HLOOKUP(INDIRECT(ADDRESS(2,COLUMN())),OFFSET($BN$2,0,0,ROW()-1,60),ROW()-1,FALSE))</f>
        <v>13532.974480000001</v>
      </c>
      <c r="BD174">
        <f ca="1">IF(AND(ISNUMBER($BD$679),$B$511=1),$BD$679,HLOOKUP(INDIRECT(ADDRESS(2,COLUMN())),OFFSET($BN$2,0,0,ROW()-1,60),ROW()-1,FALSE))</f>
        <v>12848.95723</v>
      </c>
      <c r="BE174">
        <f ca="1">IF(AND(ISNUMBER($BE$679),$B$511=1),$BE$679,HLOOKUP(INDIRECT(ADDRESS(2,COLUMN())),OFFSET($BN$2,0,0,ROW()-1,60),ROW()-1,FALSE))</f>
        <v>12306.228499999999</v>
      </c>
      <c r="BF174">
        <f ca="1">IF(AND(ISNUMBER($BF$679),$B$511=1),$BF$679,HLOOKUP(INDIRECT(ADDRESS(2,COLUMN())),OFFSET($BN$2,0,0,ROW()-1,60),ROW()-1,FALSE))</f>
        <v>11918.611720000001</v>
      </c>
      <c r="BG174">
        <f ca="1">IF(AND(ISNUMBER($BG$679),$B$511=1),$BG$679,HLOOKUP(INDIRECT(ADDRESS(2,COLUMN())),OFFSET($BN$2,0,0,ROW()-1,60),ROW()-1,FALSE))</f>
        <v>11567.31918</v>
      </c>
      <c r="BH174">
        <f ca="1">IF(AND(ISNUMBER($BH$679),$B$511=1),$BH$679,HLOOKUP(INDIRECT(ADDRESS(2,COLUMN())),OFFSET($BN$2,0,0,ROW()-1,60),ROW()-1,FALSE))</f>
        <v>11531.595880000001</v>
      </c>
      <c r="BI174">
        <f ca="1">IF(AND(ISNUMBER($BI$679),$B$511=1),$BI$679,HLOOKUP(INDIRECT(ADDRESS(2,COLUMN())),OFFSET($BN$2,0,0,ROW()-1,60),ROW()-1,FALSE))</f>
        <v>11345.35821</v>
      </c>
      <c r="BJ174">
        <f ca="1">IF(AND(ISNUMBER($BJ$679),$B$511=1),$BJ$679,HLOOKUP(INDIRECT(ADDRESS(2,COLUMN())),OFFSET($BN$2,0,0,ROW()-1,60),ROW()-1,FALSE))</f>
        <v>10953.1772</v>
      </c>
      <c r="BK174" t="str">
        <f ca="1">IF(AND(ISNUMBER($BK$679),$B$511=1),$BK$679,HLOOKUP(INDIRECT(ADDRESS(2,COLUMN())),OFFSET($BN$2,0,0,ROW()-1,60),ROW()-1,FALSE))</f>
        <v/>
      </c>
      <c r="BL174" t="str">
        <f ca="1">IF(AND(ISNUMBER($BL$679),$B$511=1),$BL$679,HLOOKUP(INDIRECT(ADDRESS(2,COLUMN())),OFFSET($BN$2,0,0,ROW()-1,60),ROW()-1,FALSE))</f>
        <v/>
      </c>
      <c r="BM174" t="str">
        <f ca="1">IF(AND(ISNUMBER($BM$679),$B$511=1),$BM$679,HLOOKUP(INDIRECT(ADDRESS(2,COLUMN())),OFFSET($BN$2,0,0,ROW()-1,60),ROW()-1,FALSE))</f>
        <v/>
      </c>
      <c r="BN174" t="str">
        <f>""</f>
        <v/>
      </c>
      <c r="BO174" t="str">
        <f>""</f>
        <v/>
      </c>
      <c r="BP174" t="str">
        <f>""</f>
        <v/>
      </c>
      <c r="BQ174" t="str">
        <f>""</f>
        <v/>
      </c>
      <c r="BR174" t="str">
        <f>""</f>
        <v/>
      </c>
      <c r="BS174" t="str">
        <f>""</f>
        <v/>
      </c>
      <c r="BT174" t="str">
        <f>""</f>
        <v/>
      </c>
      <c r="BU174" t="str">
        <f>""</f>
        <v/>
      </c>
      <c r="BV174" t="str">
        <f>""</f>
        <v/>
      </c>
      <c r="BW174" t="str">
        <f>""</f>
        <v/>
      </c>
      <c r="BX174" t="str">
        <f>""</f>
        <v/>
      </c>
      <c r="BY174" t="str">
        <f>""</f>
        <v/>
      </c>
      <c r="BZ174">
        <f>14091.44884</f>
        <v>14091.448839999999</v>
      </c>
      <c r="CA174">
        <f>14665.28928</f>
        <v>14665.289280000001</v>
      </c>
      <c r="CB174">
        <f>15024.45307</f>
        <v>15024.45307</v>
      </c>
      <c r="CC174">
        <f>15758.00236</f>
        <v>15758.00236</v>
      </c>
      <c r="CD174">
        <f>16612.33939</f>
        <v>16612.339390000001</v>
      </c>
      <c r="CE174">
        <f>17308.49497</f>
        <v>17308.49497</v>
      </c>
      <c r="CF174">
        <f>18201.47287</f>
        <v>18201.472870000001</v>
      </c>
      <c r="CG174">
        <f>18720.87614</f>
        <v>18720.87614</v>
      </c>
      <c r="CH174">
        <f>19104.50634</f>
        <v>19104.50634</v>
      </c>
      <c r="CI174">
        <f>19126.35715</f>
        <v>19126.35715</v>
      </c>
      <c r="CJ174">
        <f>19572.50761</f>
        <v>19572.507610000001</v>
      </c>
      <c r="CK174">
        <f>20357.95694</f>
        <v>20357.95694</v>
      </c>
      <c r="CL174">
        <f>21360.27135</f>
        <v>21360.271349999999</v>
      </c>
      <c r="CM174">
        <f>22189.13377</f>
        <v>22189.13377</v>
      </c>
      <c r="CN174">
        <f>22621.40024</f>
        <v>22621.400239999999</v>
      </c>
      <c r="CO174">
        <f>22279.47062</f>
        <v>22279.47062</v>
      </c>
      <c r="CP174">
        <f>20675.03538</f>
        <v>20675.035380000001</v>
      </c>
      <c r="CQ174">
        <f>18982.11323</f>
        <v>18982.113229999999</v>
      </c>
      <c r="CR174">
        <f>18011.33417</f>
        <v>18011.334169999998</v>
      </c>
      <c r="CS174">
        <f>17807.4618</f>
        <v>17807.461800000001</v>
      </c>
      <c r="CT174">
        <f>18247.06796</f>
        <v>18247.06796</v>
      </c>
      <c r="CU174">
        <f>18610.02619</f>
        <v>18610.02619</v>
      </c>
      <c r="CV174">
        <f>18650.35907</f>
        <v>18650.359069999999</v>
      </c>
      <c r="CW174">
        <f>17818.60027</f>
        <v>17818.600269999999</v>
      </c>
      <c r="CX174">
        <f>16979.95386</f>
        <v>16979.953860000001</v>
      </c>
      <c r="CY174">
        <f>15988.4151</f>
        <v>15988.4151</v>
      </c>
      <c r="CZ174">
        <f>15464.36092</f>
        <v>15464.360919999999</v>
      </c>
      <c r="DA174">
        <f>15673.56167</f>
        <v>15673.561669999999</v>
      </c>
      <c r="DB174">
        <f>16300.57208</f>
        <v>16300.57208</v>
      </c>
      <c r="DC174">
        <f>16769.25187</f>
        <v>16769.25187</v>
      </c>
      <c r="DD174">
        <f>16407.34662</f>
        <v>16407.34662</v>
      </c>
      <c r="DE174">
        <f>15877.35693</f>
        <v>15877.35693</v>
      </c>
      <c r="DF174">
        <f>14948.04295</f>
        <v>14948.042949999999</v>
      </c>
      <c r="DG174">
        <f>14402.28338</f>
        <v>14402.283380000001</v>
      </c>
      <c r="DH174">
        <f>14283.76169</f>
        <v>14283.761689999999</v>
      </c>
      <c r="DI174">
        <f>14100.67459</f>
        <v>14100.674590000001</v>
      </c>
      <c r="DJ174">
        <f>14000.95987</f>
        <v>14000.959870000001</v>
      </c>
      <c r="DK174">
        <f>13532.97448</f>
        <v>13532.974480000001</v>
      </c>
      <c r="DL174">
        <f>12848.95723</f>
        <v>12848.95723</v>
      </c>
      <c r="DM174">
        <f>12306.2285</f>
        <v>12306.228499999999</v>
      </c>
      <c r="DN174">
        <f>11918.61172</f>
        <v>11918.611720000001</v>
      </c>
      <c r="DO174">
        <f>11567.31918</f>
        <v>11567.31918</v>
      </c>
      <c r="DP174">
        <f>11531.59588</f>
        <v>11531.595880000001</v>
      </c>
      <c r="DQ174">
        <f>11345.35821</f>
        <v>11345.35821</v>
      </c>
      <c r="DR174">
        <f>10953.1772</f>
        <v>10953.1772</v>
      </c>
      <c r="DS174" t="str">
        <f>""</f>
        <v/>
      </c>
      <c r="DT174" t="str">
        <f>""</f>
        <v/>
      </c>
      <c r="DU174" t="str">
        <f>""</f>
        <v/>
      </c>
    </row>
    <row r="175" spans="1:125" x14ac:dyDescent="0.25">
      <c r="A175" t="str">
        <f>"    Daimler AG"</f>
        <v xml:space="preserve">    Daimler AG</v>
      </c>
      <c r="B175" t="str">
        <f>"DAI GR Equity"</f>
        <v>DAI GR Equity</v>
      </c>
      <c r="C175" t="str">
        <f t="shared" si="12"/>
        <v>RR800</v>
      </c>
      <c r="D175" t="str">
        <f t="shared" si="13"/>
        <v>TRAIL_12M_NET_SALES</v>
      </c>
      <c r="E175" t="str">
        <f t="shared" si="14"/>
        <v>Dynamic</v>
      </c>
      <c r="F175" t="str">
        <f ca="1">IF(AND(ISNUMBER($F$680),$B$511=1),$F$680,HLOOKUP(INDIRECT(ADDRESS(2,COLUMN())),OFFSET($BN$2,0,0,ROW()-1,60),ROW()-1,FALSE))</f>
        <v/>
      </c>
      <c r="G175">
        <f ca="1">IF(AND(ISNUMBER($G$680),$B$511=1),$G$680,HLOOKUP(INDIRECT(ADDRESS(2,COLUMN())),OFFSET($BN$2,0,0,ROW()-1,60),ROW()-1,FALSE))</f>
        <v>197675.32550000001</v>
      </c>
      <c r="H175">
        <f ca="1">IF(AND(ISNUMBER($H$680),$B$511=1),$H$680,HLOOKUP(INDIRECT(ADDRESS(2,COLUMN())),OFFSET($BN$2,0,0,ROW()-1,60),ROW()-1,FALSE))</f>
        <v>195666.8034</v>
      </c>
      <c r="I175">
        <f ca="1">IF(AND(ISNUMBER($I$680),$B$511=1),$I$680,HLOOKUP(INDIRECT(ADDRESS(2,COLUMN())),OFFSET($BN$2,0,0,ROW()-1,60),ROW()-1,FALSE))</f>
        <v>196799.44089999999</v>
      </c>
      <c r="J175">
        <f ca="1">IF(AND(ISNUMBER($J$680),$B$511=1),$J$680,HLOOKUP(INDIRECT(ADDRESS(2,COLUMN())),OFFSET($BN$2,0,0,ROW()-1,60),ROW()-1,FALSE))</f>
        <v>193577.88769999999</v>
      </c>
      <c r="K175">
        <f ca="1">IF(AND(ISNUMBER($K$680),$B$511=1),$K$680,HLOOKUP(INDIRECT(ADDRESS(2,COLUMN())),OFFSET($BN$2,0,0,ROW()-1,60),ROW()-1,FALSE))</f>
        <v>185448.2684</v>
      </c>
      <c r="L175">
        <f ca="1">IF(AND(ISNUMBER($L$680),$B$511=1),$L$680,HLOOKUP(INDIRECT(ADDRESS(2,COLUMN())),OFFSET($BN$2,0,0,ROW()-1,60),ROW()-1,FALSE))</f>
        <v>178468.43599999999</v>
      </c>
      <c r="M175">
        <f ca="1">IF(AND(ISNUMBER($M$680),$B$511=1),$M$680,HLOOKUP(INDIRECT(ADDRESS(2,COLUMN())),OFFSET($BN$2,0,0,ROW()-1,60),ROW()-1,FALSE))</f>
        <v>173770.91440000001</v>
      </c>
      <c r="N175">
        <f ca="1">IF(AND(ISNUMBER($N$680),$B$511=1),$N$680,HLOOKUP(INDIRECT(ADDRESS(2,COLUMN())),OFFSET($BN$2,0,0,ROW()-1,60),ROW()-1,FALSE))</f>
        <v>172052.3199</v>
      </c>
      <c r="O175">
        <f ca="1">IF(AND(ISNUMBER($O$680),$B$511=1),$O$680,HLOOKUP(INDIRECT(ADDRESS(2,COLUMN())),OFFSET($BN$2,0,0,ROW()-1,60),ROW()-1,FALSE))</f>
        <v>169633.67</v>
      </c>
      <c r="P175">
        <f ca="1">IF(AND(ISNUMBER($P$680),$B$511=1),$P$680,HLOOKUP(INDIRECT(ADDRESS(2,COLUMN())),OFFSET($BN$2,0,0,ROW()-1,60),ROW()-1,FALSE))</f>
        <v>169643.6556</v>
      </c>
      <c r="Q175">
        <f ca="1">IF(AND(ISNUMBER($Q$680),$B$511=1),$Q$680,HLOOKUP(INDIRECT(ADDRESS(2,COLUMN())),OFFSET($BN$2,0,0,ROW()-1,60),ROW()-1,FALSE))</f>
        <v>168014.88860000001</v>
      </c>
      <c r="R175">
        <f ca="1">IF(AND(ISNUMBER($R$680),$B$511=1),$R$680,HLOOKUP(INDIRECT(ADDRESS(2,COLUMN())),OFFSET($BN$2,0,0,ROW()-1,60),ROW()-1,FALSE))</f>
        <v>165959.27989999999</v>
      </c>
      <c r="S175">
        <f ca="1">IF(AND(ISNUMBER($S$680),$B$511=1),$S$680,HLOOKUP(INDIRECT(ADDRESS(2,COLUMN())),OFFSET($BN$2,0,0,ROW()-1,60),ROW()-1,FALSE))</f>
        <v>165908.4645</v>
      </c>
      <c r="T175">
        <f ca="1">IF(AND(ISNUMBER($T$680),$B$511=1),$T$680,HLOOKUP(INDIRECT(ADDRESS(2,COLUMN())),OFFSET($BN$2,0,0,ROW()-1,60),ROW()-1,FALSE))</f>
        <v>166337.375</v>
      </c>
      <c r="U175">
        <f ca="1">IF(AND(ISNUMBER($U$680),$B$511=1),$U$680,HLOOKUP(INDIRECT(ADDRESS(2,COLUMN())),OFFSET($BN$2,0,0,ROW()-1,60),ROW()-1,FALSE))</f>
        <v>169151.5416</v>
      </c>
      <c r="V175">
        <f ca="1">IF(AND(ISNUMBER($V$680),$B$511=1),$V$680,HLOOKUP(INDIRECT(ADDRESS(2,COLUMN())),OFFSET($BN$2,0,0,ROW()-1,60),ROW()-1,FALSE))</f>
        <v>170828.33679999999</v>
      </c>
      <c r="W175">
        <f ca="1">IF(AND(ISNUMBER($W$680),$B$511=1),$W$680,HLOOKUP(INDIRECT(ADDRESS(2,COLUMN())),OFFSET($BN$2,0,0,ROW()-1,60),ROW()-1,FALSE))</f>
        <v>172533.1084</v>
      </c>
      <c r="X175">
        <f ca="1">IF(AND(ISNUMBER($X$680),$B$511=1),$X$680,HLOOKUP(INDIRECT(ADDRESS(2,COLUMN())),OFFSET($BN$2,0,0,ROW()-1,60),ROW()-1,FALSE))</f>
        <v>171270.9896</v>
      </c>
      <c r="Y175">
        <f ca="1">IF(AND(ISNUMBER($Y$680),$B$511=1),$Y$680,HLOOKUP(INDIRECT(ADDRESS(2,COLUMN())),OFFSET($BN$2,0,0,ROW()-1,60),ROW()-1,FALSE))</f>
        <v>167149.22829999999</v>
      </c>
      <c r="Z175">
        <f ca="1">IF(AND(ISNUMBER($Z$680),$B$511=1),$Z$680,HLOOKUP(INDIRECT(ADDRESS(2,COLUMN())),OFFSET($BN$2,0,0,ROW()-1,60),ROW()-1,FALSE))</f>
        <v>162665.54440000001</v>
      </c>
      <c r="AA175">
        <f ca="1">IF(AND(ISNUMBER($AA$680),$B$511=1),$AA$680,HLOOKUP(INDIRECT(ADDRESS(2,COLUMN())),OFFSET($BN$2,0,0,ROW()-1,60),ROW()-1,FALSE))</f>
        <v>156716.83989999999</v>
      </c>
      <c r="AB175">
        <f ca="1">IF(AND(ISNUMBER($AB$680),$B$511=1),$AB$680,HLOOKUP(INDIRECT(ADDRESS(2,COLUMN())),OFFSET($BN$2,0,0,ROW()-1,60),ROW()-1,FALSE))</f>
        <v>151842.9638</v>
      </c>
      <c r="AC175">
        <f ca="1">IF(AND(ISNUMBER($AC$680),$B$511=1),$AC$680,HLOOKUP(INDIRECT(ADDRESS(2,COLUMN())),OFFSET($BN$2,0,0,ROW()-1,60),ROW()-1,FALSE))</f>
        <v>147730.7556</v>
      </c>
      <c r="AD175">
        <f ca="1">IF(AND(ISNUMBER($AD$680),$B$511=1),$AD$680,HLOOKUP(INDIRECT(ADDRESS(2,COLUMN())),OFFSET($BN$2,0,0,ROW()-1,60),ROW()-1,FALSE))</f>
        <v>146032.86970000001</v>
      </c>
      <c r="AE175">
        <f ca="1">IF(AND(ISNUMBER($AE$680),$B$511=1),$AE$680,HLOOKUP(INDIRECT(ADDRESS(2,COLUMN())),OFFSET($BN$2,0,0,ROW()-1,60),ROW()-1,FALSE))</f>
        <v>146971.20819999999</v>
      </c>
      <c r="AF175">
        <f ca="1">IF(AND(ISNUMBER($AF$680),$B$511=1),$AF$680,HLOOKUP(INDIRECT(ADDRESS(2,COLUMN())),OFFSET($BN$2,0,0,ROW()-1,60),ROW()-1,FALSE))</f>
        <v>147402.40909999999</v>
      </c>
      <c r="AG175">
        <f ca="1">IF(AND(ISNUMBER($AG$680),$B$511=1),$AG$680,HLOOKUP(INDIRECT(ADDRESS(2,COLUMN())),OFFSET($BN$2,0,0,ROW()-1,60),ROW()-1,FALSE))</f>
        <v>149125.5411</v>
      </c>
      <c r="AH175">
        <f ca="1">IF(AND(ISNUMBER($AH$680),$B$511=1),$AH$680,HLOOKUP(INDIRECT(ADDRESS(2,COLUMN())),OFFSET($BN$2,0,0,ROW()-1,60),ROW()-1,FALSE))</f>
        <v>149954.48540000001</v>
      </c>
      <c r="AI175">
        <f ca="1">IF(AND(ISNUMBER($AI$680),$B$511=1),$AI$680,HLOOKUP(INDIRECT(ADDRESS(2,COLUMN())),OFFSET($BN$2,0,0,ROW()-1,60),ROW()-1,FALSE))</f>
        <v>148346.52340000001</v>
      </c>
      <c r="AJ175">
        <f ca="1">IF(AND(ISNUMBER($AJ$680),$B$511=1),$AJ$680,HLOOKUP(INDIRECT(ADDRESS(2,COLUMN())),OFFSET($BN$2,0,0,ROW()-1,60),ROW()-1,FALSE))</f>
        <v>144874.6684</v>
      </c>
      <c r="AK175">
        <f ca="1">IF(AND(ISNUMBER($AK$680),$B$511=1),$AK$680,HLOOKUP(INDIRECT(ADDRESS(2,COLUMN())),OFFSET($BN$2,0,0,ROW()-1,60),ROW()-1,FALSE))</f>
        <v>139898.56419999999</v>
      </c>
      <c r="AL175">
        <f ca="1">IF(AND(ISNUMBER($AL$680),$B$511=1),$AL$680,HLOOKUP(INDIRECT(ADDRESS(2,COLUMN())),OFFSET($BN$2,0,0,ROW()-1,60),ROW()-1,FALSE))</f>
        <v>134023.1005</v>
      </c>
      <c r="AM175">
        <f ca="1">IF(AND(ISNUMBER($AM$680),$B$511=1),$AM$680,HLOOKUP(INDIRECT(ADDRESS(2,COLUMN())),OFFSET($BN$2,0,0,ROW()-1,60),ROW()-1,FALSE))</f>
        <v>129690.83070000001</v>
      </c>
      <c r="AN175">
        <f ca="1">IF(AND(ISNUMBER($AN$680),$B$511=1),$AN$680,HLOOKUP(INDIRECT(ADDRESS(2,COLUMN())),OFFSET($BN$2,0,0,ROW()-1,60),ROW()-1,FALSE))</f>
        <v>125740.07739999999</v>
      </c>
      <c r="AO175">
        <f ca="1">IF(AND(ISNUMBER($AO$680),$B$511=1),$AO$680,HLOOKUP(INDIRECT(ADDRESS(2,COLUMN())),OFFSET($BN$2,0,0,ROW()-1,60),ROW()-1,FALSE))</f>
        <v>120955.39350000001</v>
      </c>
      <c r="AP175">
        <f ca="1">IF(AND(ISNUMBER($AP$680),$B$511=1),$AP$680,HLOOKUP(INDIRECT(ADDRESS(2,COLUMN())),OFFSET($BN$2,0,0,ROW()-1,60),ROW()-1,FALSE))</f>
        <v>115125.8566</v>
      </c>
      <c r="AQ175">
        <f ca="1">IF(AND(ISNUMBER($AQ$680),$B$511=1),$AQ$680,HLOOKUP(INDIRECT(ADDRESS(2,COLUMN())),OFFSET($BN$2,0,0,ROW()-1,60),ROW()-1,FALSE))</f>
        <v>110054.52099999999</v>
      </c>
      <c r="AR175">
        <f ca="1">IF(AND(ISNUMBER($AR$680),$B$511=1),$AR$680,HLOOKUP(INDIRECT(ADDRESS(2,COLUMN())),OFFSET($BN$2,0,0,ROW()-1,60),ROW()-1,FALSE))</f>
        <v>109542.7654</v>
      </c>
      <c r="AS175">
        <f ca="1">IF(AND(ISNUMBER($AS$680),$B$511=1),$AS$680,HLOOKUP(INDIRECT(ADDRESS(2,COLUMN())),OFFSET($BN$2,0,0,ROW()-1,60),ROW()-1,FALSE))</f>
        <v>117192.65089999999</v>
      </c>
      <c r="AT175">
        <f ca="1">IF(AND(ISNUMBER($AT$680),$B$511=1),$AT$680,HLOOKUP(INDIRECT(ADDRESS(2,COLUMN())),OFFSET($BN$2,0,0,ROW()-1,60),ROW()-1,FALSE))</f>
        <v>129649.1439</v>
      </c>
      <c r="AU175">
        <f ca="1">IF(AND(ISNUMBER($AU$680),$B$511=1),$AU$680,HLOOKUP(INDIRECT(ADDRESS(2,COLUMN())),OFFSET($BN$2,0,0,ROW()-1,60),ROW()-1,FALSE))</f>
        <v>141018.5803</v>
      </c>
      <c r="AV175">
        <f ca="1">IF(AND(ISNUMBER($AV$680),$B$511=1),$AV$680,HLOOKUP(INDIRECT(ADDRESS(2,COLUMN())),OFFSET($BN$2,0,0,ROW()-1,60),ROW()-1,FALSE))</f>
        <v>130987.535</v>
      </c>
      <c r="AW175">
        <f ca="1">IF(AND(ISNUMBER($AW$680),$B$511=1),$AW$680,HLOOKUP(INDIRECT(ADDRESS(2,COLUMN())),OFFSET($BN$2,0,0,ROW()-1,60),ROW()-1,FALSE))</f>
        <v>130966.23669999999</v>
      </c>
      <c r="AX175">
        <f ca="1">IF(AND(ISNUMBER($AX$680),$B$511=1),$AX$680,HLOOKUP(INDIRECT(ADDRESS(2,COLUMN())),OFFSET($BN$2,0,0,ROW()-1,60),ROW()-1,FALSE))</f>
        <v>124034.9951</v>
      </c>
      <c r="AY175">
        <f ca="1">IF(AND(ISNUMBER($AY$680),$B$511=1),$AY$680,HLOOKUP(INDIRECT(ADDRESS(2,COLUMN())),OFFSET($BN$2,0,0,ROW()-1,60),ROW()-1,FALSE))</f>
        <v>119816.0058</v>
      </c>
      <c r="AZ175">
        <f ca="1">IF(AND(ISNUMBER($AZ$680),$B$511=1),$AZ$680,HLOOKUP(INDIRECT(ADDRESS(2,COLUMN())),OFFSET($BN$2,0,0,ROW()-1,60),ROW()-1,FALSE))</f>
        <v>114239.4448</v>
      </c>
      <c r="BA175">
        <f ca="1">IF(AND(ISNUMBER($BA$680),$B$511=1),$BA$680,HLOOKUP(INDIRECT(ADDRESS(2,COLUMN())),OFFSET($BN$2,0,0,ROW()-1,60),ROW()-1,FALSE))</f>
        <v>110200.20600000001</v>
      </c>
      <c r="BB175">
        <f ca="1">IF(AND(ISNUMBER($BB$680),$B$511=1),$BB$680,HLOOKUP(INDIRECT(ADDRESS(2,COLUMN())),OFFSET($BN$2,0,0,ROW()-1,60),ROW()-1,FALSE))</f>
        <v>109271.25199999999</v>
      </c>
      <c r="BC175">
        <f ca="1">IF(AND(ISNUMBER($BC$680),$B$511=1),$BC$680,HLOOKUP(INDIRECT(ADDRESS(2,COLUMN())),OFFSET($BN$2,0,0,ROW()-1,60),ROW()-1,FALSE))</f>
        <v>124661.3683</v>
      </c>
      <c r="BD175">
        <f ca="1">IF(AND(ISNUMBER($BD$680),$B$511=1),$BD$680,HLOOKUP(INDIRECT(ADDRESS(2,COLUMN())),OFFSET($BN$2,0,0,ROW()-1,60),ROW()-1,FALSE))</f>
        <v>157254.68580000001</v>
      </c>
      <c r="BE175">
        <f ca="1">IF(AND(ISNUMBER($BE$680),$B$511=1),$BE$680,HLOOKUP(INDIRECT(ADDRESS(2,COLUMN())),OFFSET($BN$2,0,0,ROW()-1,60),ROW()-1,FALSE))</f>
        <v>172457.10630000001</v>
      </c>
      <c r="BF175">
        <f ca="1">IF(AND(ISNUMBER($BF$680),$B$511=1),$BF$680,HLOOKUP(INDIRECT(ADDRESS(2,COLUMN())),OFFSET($BN$2,0,0,ROW()-1,60),ROW()-1,FALSE))</f>
        <v>189308.1882</v>
      </c>
      <c r="BG175">
        <f ca="1">IF(AND(ISNUMBER($BG$680),$B$511=1),$BG$680,HLOOKUP(INDIRECT(ADDRESS(2,COLUMN())),OFFSET($BN$2,0,0,ROW()-1,60),ROW()-1,FALSE))</f>
        <v>186353.90590000001</v>
      </c>
      <c r="BH175">
        <f ca="1">IF(AND(ISNUMBER($BH$680),$B$511=1),$BH$680,HLOOKUP(INDIRECT(ADDRESS(2,COLUMN())),OFFSET($BN$2,0,0,ROW()-1,60),ROW()-1,FALSE))</f>
        <v>185755.40460000001</v>
      </c>
      <c r="BI175">
        <f ca="1">IF(AND(ISNUMBER($BI$680),$B$511=1),$BI$680,HLOOKUP(INDIRECT(ADDRESS(2,COLUMN())),OFFSET($BN$2,0,0,ROW()-1,60),ROW()-1,FALSE))</f>
        <v>181713.3432</v>
      </c>
      <c r="BJ175">
        <f ca="1">IF(AND(ISNUMBER($BJ$680),$B$511=1),$BJ$680,HLOOKUP(INDIRECT(ADDRESS(2,COLUMN())),OFFSET($BN$2,0,0,ROW()-1,60),ROW()-1,FALSE))</f>
        <v>178099.85569999999</v>
      </c>
      <c r="BK175">
        <f ca="1">IF(AND(ISNUMBER($BK$680),$B$511=1),$BK$680,HLOOKUP(INDIRECT(ADDRESS(2,COLUMN())),OFFSET($BN$2,0,0,ROW()-1,60),ROW()-1,FALSE))</f>
        <v>176752.2206</v>
      </c>
      <c r="BL175">
        <f ca="1">IF(AND(ISNUMBER($BL$680),$B$511=1),$BL$680,HLOOKUP(INDIRECT(ADDRESS(2,COLUMN())),OFFSET($BN$2,0,0,ROW()-1,60),ROW()-1,FALSE))</f>
        <v>168163.4589</v>
      </c>
      <c r="BM175">
        <f ca="1">IF(AND(ISNUMBER($BM$680),$B$511=1),$BM$680,HLOOKUP(INDIRECT(ADDRESS(2,COLUMN())),OFFSET($BN$2,0,0,ROW()-1,60),ROW()-1,FALSE))</f>
        <v>164456.67290000001</v>
      </c>
      <c r="BN175" t="str">
        <f>""</f>
        <v/>
      </c>
      <c r="BO175">
        <f>197675.3255</f>
        <v>197675.32550000001</v>
      </c>
      <c r="BP175">
        <f>195666.8034</f>
        <v>195666.8034</v>
      </c>
      <c r="BQ175">
        <f>196799.4409</f>
        <v>196799.44089999999</v>
      </c>
      <c r="BR175">
        <f>193577.8877</f>
        <v>193577.88769999999</v>
      </c>
      <c r="BS175">
        <f>185448.2684</f>
        <v>185448.2684</v>
      </c>
      <c r="BT175">
        <f>178468.436</f>
        <v>178468.43599999999</v>
      </c>
      <c r="BU175">
        <f>173770.9144</f>
        <v>173770.91440000001</v>
      </c>
      <c r="BV175">
        <f>172052.3199</f>
        <v>172052.3199</v>
      </c>
      <c r="BW175">
        <f>169633.67</f>
        <v>169633.67</v>
      </c>
      <c r="BX175">
        <f>169643.6556</f>
        <v>169643.6556</v>
      </c>
      <c r="BY175">
        <f>168014.8886</f>
        <v>168014.88860000001</v>
      </c>
      <c r="BZ175">
        <f>165959.2799</f>
        <v>165959.27989999999</v>
      </c>
      <c r="CA175">
        <f>165908.4645</f>
        <v>165908.4645</v>
      </c>
      <c r="CB175">
        <f>166337.375</f>
        <v>166337.375</v>
      </c>
      <c r="CC175">
        <f>169151.5416</f>
        <v>169151.5416</v>
      </c>
      <c r="CD175">
        <f>170828.3368</f>
        <v>170828.33679999999</v>
      </c>
      <c r="CE175">
        <f>172533.1084</f>
        <v>172533.1084</v>
      </c>
      <c r="CF175">
        <f>171270.9896</f>
        <v>171270.9896</v>
      </c>
      <c r="CG175">
        <f>167149.2283</f>
        <v>167149.22829999999</v>
      </c>
      <c r="CH175">
        <f>162665.5444</f>
        <v>162665.54440000001</v>
      </c>
      <c r="CI175">
        <f>156716.8399</f>
        <v>156716.83989999999</v>
      </c>
      <c r="CJ175">
        <f>151842.9638</f>
        <v>151842.9638</v>
      </c>
      <c r="CK175">
        <f>147730.7556</f>
        <v>147730.7556</v>
      </c>
      <c r="CL175">
        <f>146032.8697</f>
        <v>146032.86970000001</v>
      </c>
      <c r="CM175">
        <f>146971.2082</f>
        <v>146971.20819999999</v>
      </c>
      <c r="CN175">
        <f>147402.4091</f>
        <v>147402.40909999999</v>
      </c>
      <c r="CO175">
        <f>149125.5411</f>
        <v>149125.5411</v>
      </c>
      <c r="CP175">
        <f>149954.4854</f>
        <v>149954.48540000001</v>
      </c>
      <c r="CQ175">
        <f>148346.5234</f>
        <v>148346.52340000001</v>
      </c>
      <c r="CR175">
        <f>144874.6684</f>
        <v>144874.6684</v>
      </c>
      <c r="CS175">
        <f>139898.5642</f>
        <v>139898.56419999999</v>
      </c>
      <c r="CT175">
        <f>134023.1005</f>
        <v>134023.1005</v>
      </c>
      <c r="CU175">
        <f>129690.8307</f>
        <v>129690.83070000001</v>
      </c>
      <c r="CV175">
        <f>125740.0774</f>
        <v>125740.07739999999</v>
      </c>
      <c r="CW175">
        <f>120955.3935</f>
        <v>120955.39350000001</v>
      </c>
      <c r="CX175">
        <f>115125.8566</f>
        <v>115125.8566</v>
      </c>
      <c r="CY175">
        <f>110054.521</f>
        <v>110054.52099999999</v>
      </c>
      <c r="CZ175">
        <f>109542.7654</f>
        <v>109542.7654</v>
      </c>
      <c r="DA175">
        <f>117192.6509</f>
        <v>117192.65089999999</v>
      </c>
      <c r="DB175">
        <f>129649.1439</f>
        <v>129649.1439</v>
      </c>
      <c r="DC175">
        <f>141018.5803</f>
        <v>141018.5803</v>
      </c>
      <c r="DD175">
        <f>130987.535</f>
        <v>130987.535</v>
      </c>
      <c r="DE175">
        <f>130966.2367</f>
        <v>130966.23669999999</v>
      </c>
      <c r="DF175">
        <f>124034.9951</f>
        <v>124034.9951</v>
      </c>
      <c r="DG175">
        <f>119816.0058</f>
        <v>119816.0058</v>
      </c>
      <c r="DH175">
        <f>114239.4448</f>
        <v>114239.4448</v>
      </c>
      <c r="DI175">
        <f>110200.206</f>
        <v>110200.20600000001</v>
      </c>
      <c r="DJ175">
        <f>109271.252</f>
        <v>109271.25199999999</v>
      </c>
      <c r="DK175">
        <f>124661.3683</f>
        <v>124661.3683</v>
      </c>
      <c r="DL175">
        <f>157254.6858</f>
        <v>157254.68580000001</v>
      </c>
      <c r="DM175">
        <f>172457.1063</f>
        <v>172457.10630000001</v>
      </c>
      <c r="DN175">
        <f>189308.1882</f>
        <v>189308.1882</v>
      </c>
      <c r="DO175">
        <f>186353.9059</f>
        <v>186353.90590000001</v>
      </c>
      <c r="DP175">
        <f>185755.4046</f>
        <v>185755.40460000001</v>
      </c>
      <c r="DQ175">
        <f>181713.3432</f>
        <v>181713.3432</v>
      </c>
      <c r="DR175">
        <f>178099.8557</f>
        <v>178099.85569999999</v>
      </c>
      <c r="DS175">
        <f>176752.2206</f>
        <v>176752.2206</v>
      </c>
      <c r="DT175">
        <f>168163.4589</f>
        <v>168163.4589</v>
      </c>
      <c r="DU175">
        <f>164456.6729</f>
        <v>164456.67290000001</v>
      </c>
    </row>
    <row r="176" spans="1:125" x14ac:dyDescent="0.25">
      <c r="A176" t="str">
        <f>"    Dongfeng Motor Group Co Ltd"</f>
        <v xml:space="preserve">    Dongfeng Motor Group Co Ltd</v>
      </c>
      <c r="B176" t="str">
        <f>"489 HK Equity"</f>
        <v>489 HK Equity</v>
      </c>
      <c r="C176" t="str">
        <f t="shared" si="12"/>
        <v>RR800</v>
      </c>
      <c r="D176" t="str">
        <f t="shared" si="13"/>
        <v>TRAIL_12M_NET_SALES</v>
      </c>
      <c r="E176" t="str">
        <f t="shared" si="14"/>
        <v>Dynamic</v>
      </c>
      <c r="F176" t="str">
        <f ca="1">IF(AND(ISNUMBER($F$681),$B$511=1),$F$681,HLOOKUP(INDIRECT(ADDRESS(2,COLUMN())),OFFSET($BN$2,0,0,ROW()-1,60),ROW()-1,FALSE))</f>
        <v/>
      </c>
      <c r="G176" t="str">
        <f ca="1">IF(AND(ISNUMBER($G$681),$B$511=1),$G$681,HLOOKUP(INDIRECT(ADDRESS(2,COLUMN())),OFFSET($BN$2,0,0,ROW()-1,60),ROW()-1,FALSE))</f>
        <v/>
      </c>
      <c r="H176" t="str">
        <f ca="1">IF(AND(ISNUMBER($H$681),$B$511=1),$H$681,HLOOKUP(INDIRECT(ADDRESS(2,COLUMN())),OFFSET($BN$2,0,0,ROW()-1,60),ROW()-1,FALSE))</f>
        <v/>
      </c>
      <c r="I176" t="str">
        <f ca="1">IF(AND(ISNUMBER($I$681),$B$511=1),$I$681,HLOOKUP(INDIRECT(ADDRESS(2,COLUMN())),OFFSET($BN$2,0,0,ROW()-1,60),ROW()-1,FALSE))</f>
        <v/>
      </c>
      <c r="J176" t="str">
        <f ca="1">IF(AND(ISNUMBER($J$681),$B$511=1),$J$681,HLOOKUP(INDIRECT(ADDRESS(2,COLUMN())),OFFSET($BN$2,0,0,ROW()-1,60),ROW()-1,FALSE))</f>
        <v/>
      </c>
      <c r="K176" t="str">
        <f ca="1">IF(AND(ISNUMBER($K$681),$B$511=1),$K$681,HLOOKUP(INDIRECT(ADDRESS(2,COLUMN())),OFFSET($BN$2,0,0,ROW()-1,60),ROW()-1,FALSE))</f>
        <v/>
      </c>
      <c r="L176" t="str">
        <f ca="1">IF(AND(ISNUMBER($L$681),$B$511=1),$L$681,HLOOKUP(INDIRECT(ADDRESS(2,COLUMN())),OFFSET($BN$2,0,0,ROW()-1,60),ROW()-1,FALSE))</f>
        <v/>
      </c>
      <c r="M176" t="str">
        <f ca="1">IF(AND(ISNUMBER($M$681),$B$511=1),$M$681,HLOOKUP(INDIRECT(ADDRESS(2,COLUMN())),OFFSET($BN$2,0,0,ROW()-1,60),ROW()-1,FALSE))</f>
        <v/>
      </c>
      <c r="N176" t="str">
        <f ca="1">IF(AND(ISNUMBER($N$681),$B$511=1),$N$681,HLOOKUP(INDIRECT(ADDRESS(2,COLUMN())),OFFSET($BN$2,0,0,ROW()-1,60),ROW()-1,FALSE))</f>
        <v/>
      </c>
      <c r="O176" t="str">
        <f ca="1">IF(AND(ISNUMBER($O$681),$B$511=1),$O$681,HLOOKUP(INDIRECT(ADDRESS(2,COLUMN())),OFFSET($BN$2,0,0,ROW()-1,60),ROW()-1,FALSE))</f>
        <v/>
      </c>
      <c r="P176" t="str">
        <f ca="1">IF(AND(ISNUMBER($P$681),$B$511=1),$P$681,HLOOKUP(INDIRECT(ADDRESS(2,COLUMN())),OFFSET($BN$2,0,0,ROW()-1,60),ROW()-1,FALSE))</f>
        <v/>
      </c>
      <c r="Q176" t="str">
        <f ca="1">IF(AND(ISNUMBER($Q$681),$B$511=1),$Q$681,HLOOKUP(INDIRECT(ADDRESS(2,COLUMN())),OFFSET($BN$2,0,0,ROW()-1,60),ROW()-1,FALSE))</f>
        <v/>
      </c>
      <c r="R176" t="str">
        <f ca="1">IF(AND(ISNUMBER($R$681),$B$511=1),$R$681,HLOOKUP(INDIRECT(ADDRESS(2,COLUMN())),OFFSET($BN$2,0,0,ROW()-1,60),ROW()-1,FALSE))</f>
        <v/>
      </c>
      <c r="S176" t="str">
        <f ca="1">IF(AND(ISNUMBER($S$681),$B$511=1),$S$681,HLOOKUP(INDIRECT(ADDRESS(2,COLUMN())),OFFSET($BN$2,0,0,ROW()-1,60),ROW()-1,FALSE))</f>
        <v/>
      </c>
      <c r="T176" t="str">
        <f ca="1">IF(AND(ISNUMBER($T$681),$B$511=1),$T$681,HLOOKUP(INDIRECT(ADDRESS(2,COLUMN())),OFFSET($BN$2,0,0,ROW()-1,60),ROW()-1,FALSE))</f>
        <v/>
      </c>
      <c r="U176" t="str">
        <f ca="1">IF(AND(ISNUMBER($U$681),$B$511=1),$U$681,HLOOKUP(INDIRECT(ADDRESS(2,COLUMN())),OFFSET($BN$2,0,0,ROW()-1,60),ROW()-1,FALSE))</f>
        <v/>
      </c>
      <c r="V176" t="str">
        <f ca="1">IF(AND(ISNUMBER($V$681),$B$511=1),$V$681,HLOOKUP(INDIRECT(ADDRESS(2,COLUMN())),OFFSET($BN$2,0,0,ROW()-1,60),ROW()-1,FALSE))</f>
        <v/>
      </c>
      <c r="W176" t="str">
        <f ca="1">IF(AND(ISNUMBER($W$681),$B$511=1),$W$681,HLOOKUP(INDIRECT(ADDRESS(2,COLUMN())),OFFSET($BN$2,0,0,ROW()-1,60),ROW()-1,FALSE))</f>
        <v/>
      </c>
      <c r="X176" t="str">
        <f ca="1">IF(AND(ISNUMBER($X$681),$B$511=1),$X$681,HLOOKUP(INDIRECT(ADDRESS(2,COLUMN())),OFFSET($BN$2,0,0,ROW()-1,60),ROW()-1,FALSE))</f>
        <v/>
      </c>
      <c r="Y176" t="str">
        <f ca="1">IF(AND(ISNUMBER($Y$681),$B$511=1),$Y$681,HLOOKUP(INDIRECT(ADDRESS(2,COLUMN())),OFFSET($BN$2,0,0,ROW()-1,60),ROW()-1,FALSE))</f>
        <v/>
      </c>
      <c r="Z176" t="str">
        <f ca="1">IF(AND(ISNUMBER($Z$681),$B$511=1),$Z$681,HLOOKUP(INDIRECT(ADDRESS(2,COLUMN())),OFFSET($BN$2,0,0,ROW()-1,60),ROW()-1,FALSE))</f>
        <v/>
      </c>
      <c r="AA176" t="str">
        <f ca="1">IF(AND(ISNUMBER($AA$681),$B$511=1),$AA$681,HLOOKUP(INDIRECT(ADDRESS(2,COLUMN())),OFFSET($BN$2,0,0,ROW()-1,60),ROW()-1,FALSE))</f>
        <v/>
      </c>
      <c r="AB176" t="str">
        <f ca="1">IF(AND(ISNUMBER($AB$681),$B$511=1),$AB$681,HLOOKUP(INDIRECT(ADDRESS(2,COLUMN())),OFFSET($BN$2,0,0,ROW()-1,60),ROW()-1,FALSE))</f>
        <v/>
      </c>
      <c r="AC176" t="str">
        <f ca="1">IF(AND(ISNUMBER($AC$681),$B$511=1),$AC$681,HLOOKUP(INDIRECT(ADDRESS(2,COLUMN())),OFFSET($BN$2,0,0,ROW()-1,60),ROW()-1,FALSE))</f>
        <v/>
      </c>
      <c r="AD176" t="str">
        <f ca="1">IF(AND(ISNUMBER($AD$681),$B$511=1),$AD$681,HLOOKUP(INDIRECT(ADDRESS(2,COLUMN())),OFFSET($BN$2,0,0,ROW()-1,60),ROW()-1,FALSE))</f>
        <v/>
      </c>
      <c r="AE176" t="str">
        <f ca="1">IF(AND(ISNUMBER($AE$681),$B$511=1),$AE$681,HLOOKUP(INDIRECT(ADDRESS(2,COLUMN())),OFFSET($BN$2,0,0,ROW()-1,60),ROW()-1,FALSE))</f>
        <v/>
      </c>
      <c r="AF176" t="str">
        <f ca="1">IF(AND(ISNUMBER($AF$681),$B$511=1),$AF$681,HLOOKUP(INDIRECT(ADDRESS(2,COLUMN())),OFFSET($BN$2,0,0,ROW()-1,60),ROW()-1,FALSE))</f>
        <v/>
      </c>
      <c r="AG176" t="str">
        <f ca="1">IF(AND(ISNUMBER($AG$681),$B$511=1),$AG$681,HLOOKUP(INDIRECT(ADDRESS(2,COLUMN())),OFFSET($BN$2,0,0,ROW()-1,60),ROW()-1,FALSE))</f>
        <v/>
      </c>
      <c r="AH176" t="str">
        <f ca="1">IF(AND(ISNUMBER($AH$681),$B$511=1),$AH$681,HLOOKUP(INDIRECT(ADDRESS(2,COLUMN())),OFFSET($BN$2,0,0,ROW()-1,60),ROW()-1,FALSE))</f>
        <v/>
      </c>
      <c r="AI176" t="str">
        <f ca="1">IF(AND(ISNUMBER($AI$681),$B$511=1),$AI$681,HLOOKUP(INDIRECT(ADDRESS(2,COLUMN())),OFFSET($BN$2,0,0,ROW()-1,60),ROW()-1,FALSE))</f>
        <v/>
      </c>
      <c r="AJ176" t="str">
        <f ca="1">IF(AND(ISNUMBER($AJ$681),$B$511=1),$AJ$681,HLOOKUP(INDIRECT(ADDRESS(2,COLUMN())),OFFSET($BN$2,0,0,ROW()-1,60),ROW()-1,FALSE))</f>
        <v/>
      </c>
      <c r="AK176" t="str">
        <f ca="1">IF(AND(ISNUMBER($AK$681),$B$511=1),$AK$681,HLOOKUP(INDIRECT(ADDRESS(2,COLUMN())),OFFSET($BN$2,0,0,ROW()-1,60),ROW()-1,FALSE))</f>
        <v/>
      </c>
      <c r="AL176" t="str">
        <f ca="1">IF(AND(ISNUMBER($AL$681),$B$511=1),$AL$681,HLOOKUP(INDIRECT(ADDRESS(2,COLUMN())),OFFSET($BN$2,0,0,ROW()-1,60),ROW()-1,FALSE))</f>
        <v/>
      </c>
      <c r="AM176" t="str">
        <f ca="1">IF(AND(ISNUMBER($AM$681),$B$511=1),$AM$681,HLOOKUP(INDIRECT(ADDRESS(2,COLUMN())),OFFSET($BN$2,0,0,ROW()-1,60),ROW()-1,FALSE))</f>
        <v/>
      </c>
      <c r="AN176" t="str">
        <f ca="1">IF(AND(ISNUMBER($AN$681),$B$511=1),$AN$681,HLOOKUP(INDIRECT(ADDRESS(2,COLUMN())),OFFSET($BN$2,0,0,ROW()-1,60),ROW()-1,FALSE))</f>
        <v/>
      </c>
      <c r="AO176" t="str">
        <f ca="1">IF(AND(ISNUMBER($AO$681),$B$511=1),$AO$681,HLOOKUP(INDIRECT(ADDRESS(2,COLUMN())),OFFSET($BN$2,0,0,ROW()-1,60),ROW()-1,FALSE))</f>
        <v/>
      </c>
      <c r="AP176" t="str">
        <f ca="1">IF(AND(ISNUMBER($AP$681),$B$511=1),$AP$681,HLOOKUP(INDIRECT(ADDRESS(2,COLUMN())),OFFSET($BN$2,0,0,ROW()-1,60),ROW()-1,FALSE))</f>
        <v/>
      </c>
      <c r="AQ176" t="str">
        <f ca="1">IF(AND(ISNUMBER($AQ$681),$B$511=1),$AQ$681,HLOOKUP(INDIRECT(ADDRESS(2,COLUMN())),OFFSET($BN$2,0,0,ROW()-1,60),ROW()-1,FALSE))</f>
        <v/>
      </c>
      <c r="AR176" t="str">
        <f ca="1">IF(AND(ISNUMBER($AR$681),$B$511=1),$AR$681,HLOOKUP(INDIRECT(ADDRESS(2,COLUMN())),OFFSET($BN$2,0,0,ROW()-1,60),ROW()-1,FALSE))</f>
        <v/>
      </c>
      <c r="AS176" t="str">
        <f ca="1">IF(AND(ISNUMBER($AS$681),$B$511=1),$AS$681,HLOOKUP(INDIRECT(ADDRESS(2,COLUMN())),OFFSET($BN$2,0,0,ROW()-1,60),ROW()-1,FALSE))</f>
        <v/>
      </c>
      <c r="AT176" t="str">
        <f ca="1">IF(AND(ISNUMBER($AT$681),$B$511=1),$AT$681,HLOOKUP(INDIRECT(ADDRESS(2,COLUMN())),OFFSET($BN$2,0,0,ROW()-1,60),ROW()-1,FALSE))</f>
        <v/>
      </c>
      <c r="AU176" t="str">
        <f ca="1">IF(AND(ISNUMBER($AU$681),$B$511=1),$AU$681,HLOOKUP(INDIRECT(ADDRESS(2,COLUMN())),OFFSET($BN$2,0,0,ROW()-1,60),ROW()-1,FALSE))</f>
        <v/>
      </c>
      <c r="AV176" t="str">
        <f ca="1">IF(AND(ISNUMBER($AV$681),$B$511=1),$AV$681,HLOOKUP(INDIRECT(ADDRESS(2,COLUMN())),OFFSET($BN$2,0,0,ROW()-1,60),ROW()-1,FALSE))</f>
        <v/>
      </c>
      <c r="AW176" t="str">
        <f ca="1">IF(AND(ISNUMBER($AW$681),$B$511=1),$AW$681,HLOOKUP(INDIRECT(ADDRESS(2,COLUMN())),OFFSET($BN$2,0,0,ROW()-1,60),ROW()-1,FALSE))</f>
        <v/>
      </c>
      <c r="AX176" t="str">
        <f ca="1">IF(AND(ISNUMBER($AX$681),$B$511=1),$AX$681,HLOOKUP(INDIRECT(ADDRESS(2,COLUMN())),OFFSET($BN$2,0,0,ROW()-1,60),ROW()-1,FALSE))</f>
        <v/>
      </c>
      <c r="AY176" t="str">
        <f ca="1">IF(AND(ISNUMBER($AY$681),$B$511=1),$AY$681,HLOOKUP(INDIRECT(ADDRESS(2,COLUMN())),OFFSET($BN$2,0,0,ROW()-1,60),ROW()-1,FALSE))</f>
        <v/>
      </c>
      <c r="AZ176" t="str">
        <f ca="1">IF(AND(ISNUMBER($AZ$681),$B$511=1),$AZ$681,HLOOKUP(INDIRECT(ADDRESS(2,COLUMN())),OFFSET($BN$2,0,0,ROW()-1,60),ROW()-1,FALSE))</f>
        <v/>
      </c>
      <c r="BA176" t="str">
        <f ca="1">IF(AND(ISNUMBER($BA$681),$B$511=1),$BA$681,HLOOKUP(INDIRECT(ADDRESS(2,COLUMN())),OFFSET($BN$2,0,0,ROW()-1,60),ROW()-1,FALSE))</f>
        <v/>
      </c>
      <c r="BB176" t="str">
        <f ca="1">IF(AND(ISNUMBER($BB$681),$B$511=1),$BB$681,HLOOKUP(INDIRECT(ADDRESS(2,COLUMN())),OFFSET($BN$2,0,0,ROW()-1,60),ROW()-1,FALSE))</f>
        <v/>
      </c>
      <c r="BC176" t="str">
        <f ca="1">IF(AND(ISNUMBER($BC$681),$B$511=1),$BC$681,HLOOKUP(INDIRECT(ADDRESS(2,COLUMN())),OFFSET($BN$2,0,0,ROW()-1,60),ROW()-1,FALSE))</f>
        <v/>
      </c>
      <c r="BD176" t="str">
        <f ca="1">IF(AND(ISNUMBER($BD$681),$B$511=1),$BD$681,HLOOKUP(INDIRECT(ADDRESS(2,COLUMN())),OFFSET($BN$2,0,0,ROW()-1,60),ROW()-1,FALSE))</f>
        <v/>
      </c>
      <c r="BE176" t="str">
        <f ca="1">IF(AND(ISNUMBER($BE$681),$B$511=1),$BE$681,HLOOKUP(INDIRECT(ADDRESS(2,COLUMN())),OFFSET($BN$2,0,0,ROW()-1,60),ROW()-1,FALSE))</f>
        <v/>
      </c>
      <c r="BF176" t="str">
        <f ca="1">IF(AND(ISNUMBER($BF$681),$B$511=1),$BF$681,HLOOKUP(INDIRECT(ADDRESS(2,COLUMN())),OFFSET($BN$2,0,0,ROW()-1,60),ROW()-1,FALSE))</f>
        <v/>
      </c>
      <c r="BG176" t="str">
        <f ca="1">IF(AND(ISNUMBER($BG$681),$B$511=1),$BG$681,HLOOKUP(INDIRECT(ADDRESS(2,COLUMN())),OFFSET($BN$2,0,0,ROW()-1,60),ROW()-1,FALSE))</f>
        <v/>
      </c>
      <c r="BH176" t="str">
        <f ca="1">IF(AND(ISNUMBER($BH$681),$B$511=1),$BH$681,HLOOKUP(INDIRECT(ADDRESS(2,COLUMN())),OFFSET($BN$2,0,0,ROW()-1,60),ROW()-1,FALSE))</f>
        <v/>
      </c>
      <c r="BI176" t="str">
        <f ca="1">IF(AND(ISNUMBER($BI$681),$B$511=1),$BI$681,HLOOKUP(INDIRECT(ADDRESS(2,COLUMN())),OFFSET($BN$2,0,0,ROW()-1,60),ROW()-1,FALSE))</f>
        <v/>
      </c>
      <c r="BJ176" t="str">
        <f ca="1">IF(AND(ISNUMBER($BJ$681),$B$511=1),$BJ$681,HLOOKUP(INDIRECT(ADDRESS(2,COLUMN())),OFFSET($BN$2,0,0,ROW()-1,60),ROW()-1,FALSE))</f>
        <v/>
      </c>
      <c r="BK176" t="str">
        <f ca="1">IF(AND(ISNUMBER($BK$681),$B$511=1),$BK$681,HLOOKUP(INDIRECT(ADDRESS(2,COLUMN())),OFFSET($BN$2,0,0,ROW()-1,60),ROW()-1,FALSE))</f>
        <v/>
      </c>
      <c r="BL176" t="str">
        <f ca="1">IF(AND(ISNUMBER($BL$681),$B$511=1),$BL$681,HLOOKUP(INDIRECT(ADDRESS(2,COLUMN())),OFFSET($BN$2,0,0,ROW()-1,60),ROW()-1,FALSE))</f>
        <v/>
      </c>
      <c r="BM176" t="str">
        <f ca="1">IF(AND(ISNUMBER($BM$681),$B$511=1),$BM$681,HLOOKUP(INDIRECT(ADDRESS(2,COLUMN())),OFFSET($BN$2,0,0,ROW()-1,60),ROW()-1,FALSE))</f>
        <v/>
      </c>
      <c r="BN176" t="str">
        <f>""</f>
        <v/>
      </c>
      <c r="BO176" t="str">
        <f>""</f>
        <v/>
      </c>
      <c r="BP176" t="str">
        <f>""</f>
        <v/>
      </c>
      <c r="BQ176" t="str">
        <f>""</f>
        <v/>
      </c>
      <c r="BR176" t="str">
        <f>""</f>
        <v/>
      </c>
      <c r="BS176" t="str">
        <f>""</f>
        <v/>
      </c>
      <c r="BT176" t="str">
        <f>""</f>
        <v/>
      </c>
      <c r="BU176" t="str">
        <f>""</f>
        <v/>
      </c>
      <c r="BV176" t="str">
        <f>""</f>
        <v/>
      </c>
      <c r="BW176" t="str">
        <f>""</f>
        <v/>
      </c>
      <c r="BX176" t="str">
        <f>""</f>
        <v/>
      </c>
      <c r="BY176" t="str">
        <f>""</f>
        <v/>
      </c>
      <c r="BZ176" t="str">
        <f>""</f>
        <v/>
      </c>
      <c r="CA176" t="str">
        <f>""</f>
        <v/>
      </c>
      <c r="CB176" t="str">
        <f>""</f>
        <v/>
      </c>
      <c r="CC176" t="str">
        <f>""</f>
        <v/>
      </c>
      <c r="CD176" t="str">
        <f>""</f>
        <v/>
      </c>
      <c r="CE176" t="str">
        <f>""</f>
        <v/>
      </c>
      <c r="CF176" t="str">
        <f>""</f>
        <v/>
      </c>
      <c r="CG176" t="str">
        <f>""</f>
        <v/>
      </c>
      <c r="CH176" t="str">
        <f>""</f>
        <v/>
      </c>
      <c r="CI176" t="str">
        <f>""</f>
        <v/>
      </c>
      <c r="CJ176" t="str">
        <f>""</f>
        <v/>
      </c>
      <c r="CK176" t="str">
        <f>""</f>
        <v/>
      </c>
      <c r="CL176" t="str">
        <f>""</f>
        <v/>
      </c>
      <c r="CM176" t="str">
        <f>""</f>
        <v/>
      </c>
      <c r="CN176" t="str">
        <f>""</f>
        <v/>
      </c>
      <c r="CO176" t="str">
        <f>""</f>
        <v/>
      </c>
      <c r="CP176" t="str">
        <f>""</f>
        <v/>
      </c>
      <c r="CQ176" t="str">
        <f>""</f>
        <v/>
      </c>
      <c r="CR176" t="str">
        <f>""</f>
        <v/>
      </c>
      <c r="CS176" t="str">
        <f>""</f>
        <v/>
      </c>
      <c r="CT176" t="str">
        <f>""</f>
        <v/>
      </c>
      <c r="CU176" t="str">
        <f>""</f>
        <v/>
      </c>
      <c r="CV176" t="str">
        <f>""</f>
        <v/>
      </c>
      <c r="CW176" t="str">
        <f>""</f>
        <v/>
      </c>
      <c r="CX176" t="str">
        <f>""</f>
        <v/>
      </c>
      <c r="CY176" t="str">
        <f>""</f>
        <v/>
      </c>
      <c r="CZ176" t="str">
        <f>""</f>
        <v/>
      </c>
      <c r="DA176" t="str">
        <f>""</f>
        <v/>
      </c>
      <c r="DB176" t="str">
        <f>""</f>
        <v/>
      </c>
      <c r="DC176" t="str">
        <f>""</f>
        <v/>
      </c>
      <c r="DD176" t="str">
        <f>""</f>
        <v/>
      </c>
      <c r="DE176" t="str">
        <f>""</f>
        <v/>
      </c>
      <c r="DF176" t="str">
        <f>""</f>
        <v/>
      </c>
      <c r="DG176" t="str">
        <f>""</f>
        <v/>
      </c>
      <c r="DH176" t="str">
        <f>""</f>
        <v/>
      </c>
      <c r="DI176" t="str">
        <f>""</f>
        <v/>
      </c>
      <c r="DJ176" t="str">
        <f>""</f>
        <v/>
      </c>
      <c r="DK176" t="str">
        <f>""</f>
        <v/>
      </c>
      <c r="DL176" t="str">
        <f>""</f>
        <v/>
      </c>
      <c r="DM176" t="str">
        <f>""</f>
        <v/>
      </c>
      <c r="DN176" t="str">
        <f>""</f>
        <v/>
      </c>
      <c r="DO176" t="str">
        <f>""</f>
        <v/>
      </c>
      <c r="DP176" t="str">
        <f>""</f>
        <v/>
      </c>
      <c r="DQ176" t="str">
        <f>""</f>
        <v/>
      </c>
      <c r="DR176" t="str">
        <f>""</f>
        <v/>
      </c>
      <c r="DS176" t="str">
        <f>""</f>
        <v/>
      </c>
      <c r="DT176" t="str">
        <f>""</f>
        <v/>
      </c>
      <c r="DU176" t="str">
        <f>""</f>
        <v/>
      </c>
    </row>
    <row r="177" spans="1:125" x14ac:dyDescent="0.25">
      <c r="A177" t="str">
        <f>"    DRB-Hicom Bhd"</f>
        <v xml:space="preserve">    DRB-Hicom Bhd</v>
      </c>
      <c r="B177" t="str">
        <f>"DRB MK Equity"</f>
        <v>DRB MK Equity</v>
      </c>
      <c r="C177" t="str">
        <f t="shared" si="12"/>
        <v>RR800</v>
      </c>
      <c r="D177" t="str">
        <f t="shared" si="13"/>
        <v>TRAIL_12M_NET_SALES</v>
      </c>
      <c r="E177" t="str">
        <f t="shared" si="14"/>
        <v>Dynamic</v>
      </c>
      <c r="F177" t="str">
        <f ca="1">IF(AND(ISNUMBER($F$682),$B$511=1),$F$682,HLOOKUP(INDIRECT(ADDRESS(2,COLUMN())),OFFSET($BN$2,0,0,ROW()-1,60),ROW()-1,FALSE))</f>
        <v/>
      </c>
      <c r="G177">
        <f ca="1">IF(AND(ISNUMBER($G$682),$B$511=1),$G$682,HLOOKUP(INDIRECT(ADDRESS(2,COLUMN())),OFFSET($BN$2,0,0,ROW()-1,60),ROW()-1,FALSE))</f>
        <v>2991.8734319999999</v>
      </c>
      <c r="H177">
        <f ca="1">IF(AND(ISNUMBER($H$682),$B$511=1),$H$682,HLOOKUP(INDIRECT(ADDRESS(2,COLUMN())),OFFSET($BN$2,0,0,ROW()-1,60),ROW()-1,FALSE))</f>
        <v>2963.8032929999999</v>
      </c>
      <c r="I177">
        <f ca="1">IF(AND(ISNUMBER($I$682),$B$511=1),$I$682,HLOOKUP(INDIRECT(ADDRESS(2,COLUMN())),OFFSET($BN$2,0,0,ROW()-1,60),ROW()-1,FALSE))</f>
        <v>2948.0773789999998</v>
      </c>
      <c r="J177">
        <f ca="1">IF(AND(ISNUMBER($J$682),$B$511=1),$J$682,HLOOKUP(INDIRECT(ADDRESS(2,COLUMN())),OFFSET($BN$2,0,0,ROW()-1,60),ROW()-1,FALSE))</f>
        <v>2996.004062</v>
      </c>
      <c r="K177">
        <f ca="1">IF(AND(ISNUMBER($K$682),$B$511=1),$K$682,HLOOKUP(INDIRECT(ADDRESS(2,COLUMN())),OFFSET($BN$2,0,0,ROW()-1,60),ROW()-1,FALSE))</f>
        <v>3002.2163249999999</v>
      </c>
      <c r="L177">
        <f ca="1">IF(AND(ISNUMBER($L$682),$B$511=1),$L$682,HLOOKUP(INDIRECT(ADDRESS(2,COLUMN())),OFFSET($BN$2,0,0,ROW()-1,60),ROW()-1,FALSE))</f>
        <v>3061.0318560000001</v>
      </c>
      <c r="M177">
        <f ca="1">IF(AND(ISNUMBER($M$682),$B$511=1),$M$682,HLOOKUP(INDIRECT(ADDRESS(2,COLUMN())),OFFSET($BN$2,0,0,ROW()-1,60),ROW()-1,FALSE))</f>
        <v>2962.7682089999998</v>
      </c>
      <c r="N177">
        <f ca="1">IF(AND(ISNUMBER($N$682),$B$511=1),$N$682,HLOOKUP(INDIRECT(ADDRESS(2,COLUMN())),OFFSET($BN$2,0,0,ROW()-1,60),ROW()-1,FALSE))</f>
        <v>2872.5201780000002</v>
      </c>
      <c r="O177">
        <f ca="1">IF(AND(ISNUMBER($O$682),$B$511=1),$O$682,HLOOKUP(INDIRECT(ADDRESS(2,COLUMN())),OFFSET($BN$2,0,0,ROW()-1,60),ROW()-1,FALSE))</f>
        <v>2709.6956380000001</v>
      </c>
      <c r="P177">
        <f ca="1">IF(AND(ISNUMBER($P$682),$B$511=1),$P$682,HLOOKUP(INDIRECT(ADDRESS(2,COLUMN())),OFFSET($BN$2,0,0,ROW()-1,60),ROW()-1,FALSE))</f>
        <v>2692.0651590000002</v>
      </c>
      <c r="Q177">
        <f ca="1">IF(AND(ISNUMBER($Q$682),$B$511=1),$Q$682,HLOOKUP(INDIRECT(ADDRESS(2,COLUMN())),OFFSET($BN$2,0,0,ROW()-1,60),ROW()-1,FALSE))</f>
        <v>2841.8080319999999</v>
      </c>
      <c r="R177">
        <f ca="1">IF(AND(ISNUMBER($R$682),$B$511=1),$R$682,HLOOKUP(INDIRECT(ADDRESS(2,COLUMN())),OFFSET($BN$2,0,0,ROW()-1,60),ROW()-1,FALSE))</f>
        <v>3020.5951380000001</v>
      </c>
      <c r="S177">
        <f ca="1">IF(AND(ISNUMBER($S$682),$B$511=1),$S$682,HLOOKUP(INDIRECT(ADDRESS(2,COLUMN())),OFFSET($BN$2,0,0,ROW()-1,60),ROW()-1,FALSE))</f>
        <v>3280.9956149999998</v>
      </c>
      <c r="T177">
        <f ca="1">IF(AND(ISNUMBER($T$682),$B$511=1),$T$682,HLOOKUP(INDIRECT(ADDRESS(2,COLUMN())),OFFSET($BN$2,0,0,ROW()-1,60),ROW()-1,FALSE))</f>
        <v>3540.5010870000001</v>
      </c>
      <c r="U177">
        <f ca="1">IF(AND(ISNUMBER($U$682),$B$511=1),$U$682,HLOOKUP(INDIRECT(ADDRESS(2,COLUMN())),OFFSET($BN$2,0,0,ROW()-1,60),ROW()-1,FALSE))</f>
        <v>3748.6131150000001</v>
      </c>
      <c r="V177">
        <f ca="1">IF(AND(ISNUMBER($V$682),$B$511=1),$V$682,HLOOKUP(INDIRECT(ADDRESS(2,COLUMN())),OFFSET($BN$2,0,0,ROW()-1,60),ROW()-1,FALSE))</f>
        <v>4092.8649409999998</v>
      </c>
      <c r="W177">
        <f ca="1">IF(AND(ISNUMBER($W$682),$B$511=1),$W$682,HLOOKUP(INDIRECT(ADDRESS(2,COLUMN())),OFFSET($BN$2,0,0,ROW()-1,60),ROW()-1,FALSE))</f>
        <v>4476.9230639999996</v>
      </c>
      <c r="X177">
        <f ca="1">IF(AND(ISNUMBER($X$682),$B$511=1),$X$682,HLOOKUP(INDIRECT(ADDRESS(2,COLUMN())),OFFSET($BN$2,0,0,ROW()-1,60),ROW()-1,FALSE))</f>
        <v>4469.7508539999999</v>
      </c>
      <c r="Y177">
        <f ca="1">IF(AND(ISNUMBER($Y$682),$B$511=1),$Y$682,HLOOKUP(INDIRECT(ADDRESS(2,COLUMN())),OFFSET($BN$2,0,0,ROW()-1,60),ROW()-1,FALSE))</f>
        <v>4584.9394130000001</v>
      </c>
      <c r="Z177">
        <f ca="1">IF(AND(ISNUMBER($Z$682),$B$511=1),$Z$682,HLOOKUP(INDIRECT(ADDRESS(2,COLUMN())),OFFSET($BN$2,0,0,ROW()-1,60),ROW()-1,FALSE))</f>
        <v>4437.4932120000003</v>
      </c>
      <c r="AA177">
        <f ca="1">IF(AND(ISNUMBER($AA$682),$B$511=1),$AA$682,HLOOKUP(INDIRECT(ADDRESS(2,COLUMN())),OFFSET($BN$2,0,0,ROW()-1,60),ROW()-1,FALSE))</f>
        <v>4254.9899750000004</v>
      </c>
      <c r="AB177">
        <f ca="1">IF(AND(ISNUMBER($AB$682),$B$511=1),$AB$682,HLOOKUP(INDIRECT(ADDRESS(2,COLUMN())),OFFSET($BN$2,0,0,ROW()-1,60),ROW()-1,FALSE))</f>
        <v>4128.8297220000004</v>
      </c>
      <c r="AC177">
        <f ca="1">IF(AND(ISNUMBER($AC$682),$B$511=1),$AC$682,HLOOKUP(INDIRECT(ADDRESS(2,COLUMN())),OFFSET($BN$2,0,0,ROW()-1,60),ROW()-1,FALSE))</f>
        <v>4129.411744</v>
      </c>
      <c r="AD177">
        <f ca="1">IF(AND(ISNUMBER($AD$682),$B$511=1),$AD$682,HLOOKUP(INDIRECT(ADDRESS(2,COLUMN())),OFFSET($BN$2,0,0,ROW()-1,60),ROW()-1,FALSE))</f>
        <v>4246.8883290000003</v>
      </c>
      <c r="AE177">
        <f ca="1">IF(AND(ISNUMBER($AE$682),$B$511=1),$AE$682,HLOOKUP(INDIRECT(ADDRESS(2,COLUMN())),OFFSET($BN$2,0,0,ROW()-1,60),ROW()-1,FALSE))</f>
        <v>3853.6985049999998</v>
      </c>
      <c r="AF177">
        <f ca="1">IF(AND(ISNUMBER($AF$682),$B$511=1),$AF$682,HLOOKUP(INDIRECT(ADDRESS(2,COLUMN())),OFFSET($BN$2,0,0,ROW()-1,60),ROW()-1,FALSE))</f>
        <v>3477.263269</v>
      </c>
      <c r="AG177">
        <f ca="1">IF(AND(ISNUMBER($AG$682),$B$511=1),$AG$682,HLOOKUP(INDIRECT(ADDRESS(2,COLUMN())),OFFSET($BN$2,0,0,ROW()-1,60),ROW()-1,FALSE))</f>
        <v>2839.3661569999999</v>
      </c>
      <c r="AH177">
        <f ca="1">IF(AND(ISNUMBER($AH$682),$B$511=1),$AH$682,HLOOKUP(INDIRECT(ADDRESS(2,COLUMN())),OFFSET($BN$2,0,0,ROW()-1,60),ROW()-1,FALSE))</f>
        <v>2246.6918639999999</v>
      </c>
      <c r="AI177">
        <f ca="1">IF(AND(ISNUMBER($AI$682),$B$511=1),$AI$682,HLOOKUP(INDIRECT(ADDRESS(2,COLUMN())),OFFSET($BN$2,0,0,ROW()-1,60),ROW()-1,FALSE))</f>
        <v>2208.0571300000001</v>
      </c>
      <c r="AJ177">
        <f ca="1">IF(AND(ISNUMBER($AJ$682),$B$511=1),$AJ$682,HLOOKUP(INDIRECT(ADDRESS(2,COLUMN())),OFFSET($BN$2,0,0,ROW()-1,60),ROW()-1,FALSE))</f>
        <v>2184.5640619999999</v>
      </c>
      <c r="AK177">
        <f ca="1">IF(AND(ISNUMBER($AK$682),$B$511=1),$AK$682,HLOOKUP(INDIRECT(ADDRESS(2,COLUMN())),OFFSET($BN$2,0,0,ROW()-1,60),ROW()-1,FALSE))</f>
        <v>2216.3171710000001</v>
      </c>
      <c r="AL177">
        <f ca="1">IF(AND(ISNUMBER($AL$682),$B$511=1),$AL$682,HLOOKUP(INDIRECT(ADDRESS(2,COLUMN())),OFFSET($BN$2,0,0,ROW()-1,60),ROW()-1,FALSE))</f>
        <v>2168.4679719999999</v>
      </c>
      <c r="AM177">
        <f ca="1">IF(AND(ISNUMBER($AM$682),$B$511=1),$AM$682,HLOOKUP(INDIRECT(ADDRESS(2,COLUMN())),OFFSET($BN$2,0,0,ROW()-1,60),ROW()-1,FALSE))</f>
        <v>1989.080072</v>
      </c>
      <c r="AN177">
        <f ca="1">IF(AND(ISNUMBER($AN$682),$B$511=1),$AN$682,HLOOKUP(INDIRECT(ADDRESS(2,COLUMN())),OFFSET($BN$2,0,0,ROW()-1,60),ROW()-1,FALSE))</f>
        <v>1935.484338</v>
      </c>
      <c r="AO177">
        <f ca="1">IF(AND(ISNUMBER($AO$682),$B$511=1),$AO$682,HLOOKUP(INDIRECT(ADDRESS(2,COLUMN())),OFFSET($BN$2,0,0,ROW()-1,60),ROW()-1,FALSE))</f>
        <v>1848.33779</v>
      </c>
      <c r="AP177">
        <f ca="1">IF(AND(ISNUMBER($AP$682),$B$511=1),$AP$682,HLOOKUP(INDIRECT(ADDRESS(2,COLUMN())),OFFSET($BN$2,0,0,ROW()-1,60),ROW()-1,FALSE))</f>
        <v>1825.9825599999999</v>
      </c>
      <c r="AQ177">
        <f ca="1">IF(AND(ISNUMBER($AQ$682),$B$511=1),$AQ$682,HLOOKUP(INDIRECT(ADDRESS(2,COLUMN())),OFFSET($BN$2,0,0,ROW()-1,60),ROW()-1,FALSE))</f>
        <v>1760.5706700000001</v>
      </c>
      <c r="AR177">
        <f ca="1">IF(AND(ISNUMBER($AR$682),$B$511=1),$AR$682,HLOOKUP(INDIRECT(ADDRESS(2,COLUMN())),OFFSET($BN$2,0,0,ROW()-1,60),ROW()-1,FALSE))</f>
        <v>1716.0558370000001</v>
      </c>
      <c r="AS177">
        <f ca="1">IF(AND(ISNUMBER($AS$682),$B$511=1),$AS$682,HLOOKUP(INDIRECT(ADDRESS(2,COLUMN())),OFFSET($BN$2,0,0,ROW()-1,60),ROW()-1,FALSE))</f>
        <v>1760.414434</v>
      </c>
      <c r="AT177">
        <f ca="1">IF(AND(ISNUMBER($AT$682),$B$511=1),$AT$682,HLOOKUP(INDIRECT(ADDRESS(2,COLUMN())),OFFSET($BN$2,0,0,ROW()-1,60),ROW()-1,FALSE))</f>
        <v>1783.4931260000001</v>
      </c>
      <c r="AU177">
        <f ca="1">IF(AND(ISNUMBER($AU$682),$B$511=1),$AU$682,HLOOKUP(INDIRECT(ADDRESS(2,COLUMN())),OFFSET($BN$2,0,0,ROW()-1,60),ROW()-1,FALSE))</f>
        <v>1802.1839829999999</v>
      </c>
      <c r="AV177">
        <f ca="1">IF(AND(ISNUMBER($AV$682),$B$511=1),$AV$682,HLOOKUP(INDIRECT(ADDRESS(2,COLUMN())),OFFSET($BN$2,0,0,ROW()-1,60),ROW()-1,FALSE))</f>
        <v>1684.191458</v>
      </c>
      <c r="AW177">
        <f ca="1">IF(AND(ISNUMBER($AW$682),$B$511=1),$AW$682,HLOOKUP(INDIRECT(ADDRESS(2,COLUMN())),OFFSET($BN$2,0,0,ROW()-1,60),ROW()-1,FALSE))</f>
        <v>1438.3297359999999</v>
      </c>
      <c r="AX177">
        <f ca="1">IF(AND(ISNUMBER($AX$682),$B$511=1),$AX$682,HLOOKUP(INDIRECT(ADDRESS(2,COLUMN())),OFFSET($BN$2,0,0,ROW()-1,60),ROW()-1,FALSE))</f>
        <v>1191.9890359999999</v>
      </c>
      <c r="AY177">
        <f ca="1">IF(AND(ISNUMBER($AY$682),$B$511=1),$AY$682,HLOOKUP(INDIRECT(ADDRESS(2,COLUMN())),OFFSET($BN$2,0,0,ROW()-1,60),ROW()-1,FALSE))</f>
        <v>968.83096</v>
      </c>
      <c r="AZ177">
        <f ca="1">IF(AND(ISNUMBER($AZ$682),$B$511=1),$AZ$682,HLOOKUP(INDIRECT(ADDRESS(2,COLUMN())),OFFSET($BN$2,0,0,ROW()-1,60),ROW()-1,FALSE))</f>
        <v>845.10010360000001</v>
      </c>
      <c r="BA177">
        <f ca="1">IF(AND(ISNUMBER($BA$682),$B$511=1),$BA$682,HLOOKUP(INDIRECT(ADDRESS(2,COLUMN())),OFFSET($BN$2,0,0,ROW()-1,60),ROW()-1,FALSE))</f>
        <v>821.98623380000004</v>
      </c>
      <c r="BB177">
        <f ca="1">IF(AND(ISNUMBER($BB$682),$B$511=1),$BB$682,HLOOKUP(INDIRECT(ADDRESS(2,COLUMN())),OFFSET($BN$2,0,0,ROW()-1,60),ROW()-1,FALSE))</f>
        <v>805.1360095</v>
      </c>
      <c r="BC177">
        <f ca="1">IF(AND(ISNUMBER($BC$682),$B$511=1),$BC$682,HLOOKUP(INDIRECT(ADDRESS(2,COLUMN())),OFFSET($BN$2,0,0,ROW()-1,60),ROW()-1,FALSE))</f>
        <v>799.83987160000004</v>
      </c>
      <c r="BD177">
        <f ca="1">IF(AND(ISNUMBER($BD$682),$B$511=1),$BD$682,HLOOKUP(INDIRECT(ADDRESS(2,COLUMN())),OFFSET($BN$2,0,0,ROW()-1,60),ROW()-1,FALSE))</f>
        <v>855.74607160000005</v>
      </c>
      <c r="BE177">
        <f ca="1">IF(AND(ISNUMBER($BE$682),$B$511=1),$BE$682,HLOOKUP(INDIRECT(ADDRESS(2,COLUMN())),OFFSET($BN$2,0,0,ROW()-1,60),ROW()-1,FALSE))</f>
        <v>884.23498570000004</v>
      </c>
      <c r="BF177">
        <f ca="1">IF(AND(ISNUMBER($BF$682),$B$511=1),$BF$682,HLOOKUP(INDIRECT(ADDRESS(2,COLUMN())),OFFSET($BN$2,0,0,ROW()-1,60),ROW()-1,FALSE))</f>
        <v>934.83987400000001</v>
      </c>
      <c r="BG177">
        <f ca="1">IF(AND(ISNUMBER($BG$682),$B$511=1),$BG$682,HLOOKUP(INDIRECT(ADDRESS(2,COLUMN())),OFFSET($BN$2,0,0,ROW()-1,60),ROW()-1,FALSE))</f>
        <v>1021.24165</v>
      </c>
      <c r="BH177">
        <f ca="1">IF(AND(ISNUMBER($BH$682),$B$511=1),$BH$682,HLOOKUP(INDIRECT(ADDRESS(2,COLUMN())),OFFSET($BN$2,0,0,ROW()-1,60),ROW()-1,FALSE))</f>
        <v>1087.572727</v>
      </c>
      <c r="BI177">
        <f ca="1">IF(AND(ISNUMBER($BI$682),$B$511=1),$BI$682,HLOOKUP(INDIRECT(ADDRESS(2,COLUMN())),OFFSET($BN$2,0,0,ROW()-1,60),ROW()-1,FALSE))</f>
        <v>1130.279207</v>
      </c>
      <c r="BJ177">
        <f ca="1">IF(AND(ISNUMBER($BJ$682),$B$511=1),$BJ$682,HLOOKUP(INDIRECT(ADDRESS(2,COLUMN())),OFFSET($BN$2,0,0,ROW()-1,60),ROW()-1,FALSE))</f>
        <v>1185.9460449999999</v>
      </c>
      <c r="BK177">
        <f ca="1">IF(AND(ISNUMBER($BK$682),$B$511=1),$BK$682,HLOOKUP(INDIRECT(ADDRESS(2,COLUMN())),OFFSET($BN$2,0,0,ROW()-1,60),ROW()-1,FALSE))</f>
        <v>1236.4105219999999</v>
      </c>
      <c r="BL177">
        <f ca="1">IF(AND(ISNUMBER($BL$682),$B$511=1),$BL$682,HLOOKUP(INDIRECT(ADDRESS(2,COLUMN())),OFFSET($BN$2,0,0,ROW()-1,60),ROW()-1,FALSE))</f>
        <v>1197.457629</v>
      </c>
      <c r="BM177">
        <f ca="1">IF(AND(ISNUMBER($BM$682),$B$511=1),$BM$682,HLOOKUP(INDIRECT(ADDRESS(2,COLUMN())),OFFSET($BN$2,0,0,ROW()-1,60),ROW()-1,FALSE))</f>
        <v>1213.916305</v>
      </c>
      <c r="BN177" t="str">
        <f>""</f>
        <v/>
      </c>
      <c r="BO177">
        <f>2991.873432</f>
        <v>2991.8734319999999</v>
      </c>
      <c r="BP177">
        <f>2963.803293</f>
        <v>2963.8032929999999</v>
      </c>
      <c r="BQ177">
        <f>2948.077379</f>
        <v>2948.0773789999998</v>
      </c>
      <c r="BR177">
        <f>2996.004062</f>
        <v>2996.004062</v>
      </c>
      <c r="BS177">
        <f>3002.216325</f>
        <v>3002.2163249999999</v>
      </c>
      <c r="BT177">
        <f>3061.031856</f>
        <v>3061.0318560000001</v>
      </c>
      <c r="BU177">
        <f>2962.768209</f>
        <v>2962.7682089999998</v>
      </c>
      <c r="BV177">
        <f>2872.520178</f>
        <v>2872.5201780000002</v>
      </c>
      <c r="BW177">
        <f>2709.695638</f>
        <v>2709.6956380000001</v>
      </c>
      <c r="BX177">
        <f>2692.065159</f>
        <v>2692.0651590000002</v>
      </c>
      <c r="BY177">
        <f>2841.808032</f>
        <v>2841.8080319999999</v>
      </c>
      <c r="BZ177">
        <f>3020.595138</f>
        <v>3020.5951380000001</v>
      </c>
      <c r="CA177">
        <f>3280.995615</f>
        <v>3280.9956149999998</v>
      </c>
      <c r="CB177">
        <f>3540.501087</f>
        <v>3540.5010870000001</v>
      </c>
      <c r="CC177">
        <f>3748.613115</f>
        <v>3748.6131150000001</v>
      </c>
      <c r="CD177">
        <f>4092.864941</f>
        <v>4092.8649409999998</v>
      </c>
      <c r="CE177">
        <f>4476.923064</f>
        <v>4476.9230639999996</v>
      </c>
      <c r="CF177">
        <f>4469.750854</f>
        <v>4469.7508539999999</v>
      </c>
      <c r="CG177">
        <f>4584.939413</f>
        <v>4584.9394130000001</v>
      </c>
      <c r="CH177">
        <f>4437.493212</f>
        <v>4437.4932120000003</v>
      </c>
      <c r="CI177">
        <f>4254.989975</f>
        <v>4254.9899750000004</v>
      </c>
      <c r="CJ177">
        <f>4128.829722</f>
        <v>4128.8297220000004</v>
      </c>
      <c r="CK177">
        <f>4129.411744</f>
        <v>4129.411744</v>
      </c>
      <c r="CL177">
        <f>4246.888329</f>
        <v>4246.8883290000003</v>
      </c>
      <c r="CM177">
        <f>3853.698505</f>
        <v>3853.6985049999998</v>
      </c>
      <c r="CN177">
        <f>3477.263269</f>
        <v>3477.263269</v>
      </c>
      <c r="CO177">
        <f>2839.366157</f>
        <v>2839.3661569999999</v>
      </c>
      <c r="CP177">
        <f>2246.691864</f>
        <v>2246.6918639999999</v>
      </c>
      <c r="CQ177">
        <f>2208.05713</f>
        <v>2208.0571300000001</v>
      </c>
      <c r="CR177">
        <f>2184.564062</f>
        <v>2184.5640619999999</v>
      </c>
      <c r="CS177">
        <f>2216.317171</f>
        <v>2216.3171710000001</v>
      </c>
      <c r="CT177">
        <f>2168.467972</f>
        <v>2168.4679719999999</v>
      </c>
      <c r="CU177">
        <f>1989.080072</f>
        <v>1989.080072</v>
      </c>
      <c r="CV177">
        <f>1935.484338</f>
        <v>1935.484338</v>
      </c>
      <c r="CW177">
        <f>1848.33779</f>
        <v>1848.33779</v>
      </c>
      <c r="CX177">
        <f>1825.98256</f>
        <v>1825.9825599999999</v>
      </c>
      <c r="CY177">
        <f>1760.57067</f>
        <v>1760.5706700000001</v>
      </c>
      <c r="CZ177">
        <f>1716.055837</f>
        <v>1716.0558370000001</v>
      </c>
      <c r="DA177">
        <f>1760.414434</f>
        <v>1760.414434</v>
      </c>
      <c r="DB177">
        <f>1783.493126</f>
        <v>1783.4931260000001</v>
      </c>
      <c r="DC177">
        <f>1802.183983</f>
        <v>1802.1839829999999</v>
      </c>
      <c r="DD177">
        <f>1684.191458</f>
        <v>1684.191458</v>
      </c>
      <c r="DE177">
        <f>1438.329736</f>
        <v>1438.3297359999999</v>
      </c>
      <c r="DF177">
        <f>1191.989036</f>
        <v>1191.9890359999999</v>
      </c>
      <c r="DG177">
        <f>968.83096</f>
        <v>968.83096</v>
      </c>
      <c r="DH177">
        <f>845.1001036</f>
        <v>845.10010360000001</v>
      </c>
      <c r="DI177">
        <f>821.9862338</f>
        <v>821.98623380000004</v>
      </c>
      <c r="DJ177">
        <f>805.1360095</f>
        <v>805.1360095</v>
      </c>
      <c r="DK177">
        <f>799.8398716</f>
        <v>799.83987160000004</v>
      </c>
      <c r="DL177">
        <f>855.7460716</f>
        <v>855.74607160000005</v>
      </c>
      <c r="DM177">
        <f>884.2349857</f>
        <v>884.23498570000004</v>
      </c>
      <c r="DN177">
        <f>934.839874</f>
        <v>934.83987400000001</v>
      </c>
      <c r="DO177">
        <f>1021.24165</f>
        <v>1021.24165</v>
      </c>
      <c r="DP177">
        <f>1087.572727</f>
        <v>1087.572727</v>
      </c>
      <c r="DQ177">
        <f>1130.279207</f>
        <v>1130.279207</v>
      </c>
      <c r="DR177">
        <f>1185.946045</f>
        <v>1185.9460449999999</v>
      </c>
      <c r="DS177">
        <f>1236.410522</f>
        <v>1236.4105219999999</v>
      </c>
      <c r="DT177">
        <f>1197.457629</f>
        <v>1197.457629</v>
      </c>
      <c r="DU177">
        <f>1213.916305</f>
        <v>1213.916305</v>
      </c>
    </row>
    <row r="178" spans="1:125" x14ac:dyDescent="0.25">
      <c r="A178" t="str">
        <f>"    FAW CAR Co Ltd"</f>
        <v xml:space="preserve">    FAW CAR Co Ltd</v>
      </c>
      <c r="B178" t="str">
        <f>"000800 CH Equity"</f>
        <v>000800 CH Equity</v>
      </c>
      <c r="C178" t="str">
        <f t="shared" si="12"/>
        <v>RR800</v>
      </c>
      <c r="D178" t="str">
        <f t="shared" si="13"/>
        <v>TRAIL_12M_NET_SALES</v>
      </c>
      <c r="E178" t="str">
        <f t="shared" si="14"/>
        <v>Dynamic</v>
      </c>
      <c r="F178" t="str">
        <f ca="1">IF(AND(ISNUMBER($F$683),$B$511=1),$F$683,HLOOKUP(INDIRECT(ADDRESS(2,COLUMN())),OFFSET($BN$2,0,0,ROW()-1,60),ROW()-1,FALSE))</f>
        <v/>
      </c>
      <c r="G178" t="str">
        <f ca="1">IF(AND(ISNUMBER($G$683),$B$511=1),$G$683,HLOOKUP(INDIRECT(ADDRESS(2,COLUMN())),OFFSET($BN$2,0,0,ROW()-1,60),ROW()-1,FALSE))</f>
        <v/>
      </c>
      <c r="H178">
        <f ca="1">IF(AND(ISNUMBER($H$683),$B$511=1),$H$683,HLOOKUP(INDIRECT(ADDRESS(2,COLUMN())),OFFSET($BN$2,0,0,ROW()-1,60),ROW()-1,FALSE))</f>
        <v>3916.03721</v>
      </c>
      <c r="I178">
        <f ca="1">IF(AND(ISNUMBER($I$683),$B$511=1),$I$683,HLOOKUP(INDIRECT(ADDRESS(2,COLUMN())),OFFSET($BN$2,0,0,ROW()-1,60),ROW()-1,FALSE))</f>
        <v>4055.6367420000001</v>
      </c>
      <c r="J178">
        <f ca="1">IF(AND(ISNUMBER($J$683),$B$511=1),$J$683,HLOOKUP(INDIRECT(ADDRESS(2,COLUMN())),OFFSET($BN$2,0,0,ROW()-1,60),ROW()-1,FALSE))</f>
        <v>3979.0453130000001</v>
      </c>
      <c r="K178">
        <f ca="1">IF(AND(ISNUMBER($K$683),$B$511=1),$K$683,HLOOKUP(INDIRECT(ADDRESS(2,COLUMN())),OFFSET($BN$2,0,0,ROW()-1,60),ROW()-1,FALSE))</f>
        <v>3883.9613549999999</v>
      </c>
      <c r="L178">
        <f ca="1">IF(AND(ISNUMBER($L$683),$B$511=1),$L$683,HLOOKUP(INDIRECT(ADDRESS(2,COLUMN())),OFFSET($BN$2,0,0,ROW()-1,60),ROW()-1,FALSE))</f>
        <v>3799.2240270000002</v>
      </c>
      <c r="M178">
        <f ca="1">IF(AND(ISNUMBER($M$683),$B$511=1),$M$683,HLOOKUP(INDIRECT(ADDRESS(2,COLUMN())),OFFSET($BN$2,0,0,ROW()-1,60),ROW()-1,FALSE))</f>
        <v>3812.2213700000002</v>
      </c>
      <c r="N178">
        <f ca="1">IF(AND(ISNUMBER($N$683),$B$511=1),$N$683,HLOOKUP(INDIRECT(ADDRESS(2,COLUMN())),OFFSET($BN$2,0,0,ROW()-1,60),ROW()-1,FALSE))</f>
        <v>3562.2569140000001</v>
      </c>
      <c r="O178">
        <f ca="1">IF(AND(ISNUMBER($O$683),$B$511=1),$O$683,HLOOKUP(INDIRECT(ADDRESS(2,COLUMN())),OFFSET($BN$2,0,0,ROW()-1,60),ROW()-1,FALSE))</f>
        <v>3219.3452739999998</v>
      </c>
      <c r="P178">
        <f ca="1">IF(AND(ISNUMBER($P$683),$B$511=1),$P$683,HLOOKUP(INDIRECT(ADDRESS(2,COLUMN())),OFFSET($BN$2,0,0,ROW()-1,60),ROW()-1,FALSE))</f>
        <v>3252.5479270000001</v>
      </c>
      <c r="Q178">
        <f ca="1">IF(AND(ISNUMBER($Q$683),$B$511=1),$Q$683,HLOOKUP(INDIRECT(ADDRESS(2,COLUMN())),OFFSET($BN$2,0,0,ROW()-1,60),ROW()-1,FALSE))</f>
        <v>3139.1343000000002</v>
      </c>
      <c r="R178">
        <f ca="1">IF(AND(ISNUMBER($R$683),$B$511=1),$R$683,HLOOKUP(INDIRECT(ADDRESS(2,COLUMN())),OFFSET($BN$2,0,0,ROW()-1,60),ROW()-1,FALSE))</f>
        <v>3533.8699160000001</v>
      </c>
      <c r="S178">
        <f ca="1">IF(AND(ISNUMBER($S$683),$B$511=1),$S$683,HLOOKUP(INDIRECT(ADDRESS(2,COLUMN())),OFFSET($BN$2,0,0,ROW()-1,60),ROW()-1,FALSE))</f>
        <v>4019.1351180000001</v>
      </c>
      <c r="T178">
        <f ca="1">IF(AND(ISNUMBER($T$683),$B$511=1),$T$683,HLOOKUP(INDIRECT(ADDRESS(2,COLUMN())),OFFSET($BN$2,0,0,ROW()-1,60),ROW()-1,FALSE))</f>
        <v>4382.5337509999999</v>
      </c>
      <c r="U178">
        <f ca="1">IF(AND(ISNUMBER($U$683),$B$511=1),$U$683,HLOOKUP(INDIRECT(ADDRESS(2,COLUMN())),OFFSET($BN$2,0,0,ROW()-1,60),ROW()-1,FALSE))</f>
        <v>4874.5158270000002</v>
      </c>
      <c r="V178">
        <f ca="1">IF(AND(ISNUMBER($V$683),$B$511=1),$V$683,HLOOKUP(INDIRECT(ADDRESS(2,COLUMN())),OFFSET($BN$2,0,0,ROW()-1,60),ROW()-1,FALSE))</f>
        <v>5073.9171969999998</v>
      </c>
      <c r="W178">
        <f ca="1">IF(AND(ISNUMBER($W$683),$B$511=1),$W$683,HLOOKUP(INDIRECT(ADDRESS(2,COLUMN())),OFFSET($BN$2,0,0,ROW()-1,60),ROW()-1,FALSE))</f>
        <v>5224.5104879999999</v>
      </c>
      <c r="X178">
        <f ca="1">IF(AND(ISNUMBER($X$683),$B$511=1),$X$683,HLOOKUP(INDIRECT(ADDRESS(2,COLUMN())),OFFSET($BN$2,0,0,ROW()-1,60),ROW()-1,FALSE))</f>
        <v>5099.189206</v>
      </c>
      <c r="Y178">
        <f ca="1">IF(AND(ISNUMBER($Y$683),$B$511=1),$Y$683,HLOOKUP(INDIRECT(ADDRESS(2,COLUMN())),OFFSET($BN$2,0,0,ROW()-1,60),ROW()-1,FALSE))</f>
        <v>4973.9363510000003</v>
      </c>
      <c r="Z178">
        <f ca="1">IF(AND(ISNUMBER($Z$683),$B$511=1),$Z$683,HLOOKUP(INDIRECT(ADDRESS(2,COLUMN())),OFFSET($BN$2,0,0,ROW()-1,60),ROW()-1,FALSE))</f>
        <v>4850.9537829999999</v>
      </c>
      <c r="AA178">
        <f ca="1">IF(AND(ISNUMBER($AA$683),$B$511=1),$AA$683,HLOOKUP(INDIRECT(ADDRESS(2,COLUMN())),OFFSET($BN$2,0,0,ROW()-1,60),ROW()-1,FALSE))</f>
        <v>4594.0088910000004</v>
      </c>
      <c r="AB178">
        <f ca="1">IF(AND(ISNUMBER($AB$683),$B$511=1),$AB$683,HLOOKUP(INDIRECT(ADDRESS(2,COLUMN())),OFFSET($BN$2,0,0,ROW()-1,60),ROW()-1,FALSE))</f>
        <v>4043.0572189999998</v>
      </c>
      <c r="AC178">
        <f ca="1">IF(AND(ISNUMBER($AC$683),$B$511=1),$AC$683,HLOOKUP(INDIRECT(ADDRESS(2,COLUMN())),OFFSET($BN$2,0,0,ROW()-1,60),ROW()-1,FALSE))</f>
        <v>3730.9711889999999</v>
      </c>
      <c r="AD178">
        <f ca="1">IF(AND(ISNUMBER($AD$683),$B$511=1),$AD$683,HLOOKUP(INDIRECT(ADDRESS(2,COLUMN())),OFFSET($BN$2,0,0,ROW()-1,60),ROW()-1,FALSE))</f>
        <v>3573.7086599999998</v>
      </c>
      <c r="AE178">
        <f ca="1">IF(AND(ISNUMBER($AE$683),$B$511=1),$AE$683,HLOOKUP(INDIRECT(ADDRESS(2,COLUMN())),OFFSET($BN$2,0,0,ROW()-1,60),ROW()-1,FALSE))</f>
        <v>3541.456862</v>
      </c>
      <c r="AF178">
        <f ca="1">IF(AND(ISNUMBER($AF$683),$B$511=1),$AF$683,HLOOKUP(INDIRECT(ADDRESS(2,COLUMN())),OFFSET($BN$2,0,0,ROW()-1,60),ROW()-1,FALSE))</f>
        <v>3770.3568949999999</v>
      </c>
      <c r="AG178">
        <f ca="1">IF(AND(ISNUMBER($AG$683),$B$511=1),$AG$683,HLOOKUP(INDIRECT(ADDRESS(2,COLUMN())),OFFSET($BN$2,0,0,ROW()-1,60),ROW()-1,FALSE))</f>
        <v>3902.7267790000001</v>
      </c>
      <c r="AH178">
        <f ca="1">IF(AND(ISNUMBER($AH$683),$B$511=1),$AH$683,HLOOKUP(INDIRECT(ADDRESS(2,COLUMN())),OFFSET($BN$2,0,0,ROW()-1,60),ROW()-1,FALSE))</f>
        <v>4371.7059520000003</v>
      </c>
      <c r="AI178">
        <f ca="1">IF(AND(ISNUMBER($AI$683),$B$511=1),$AI$683,HLOOKUP(INDIRECT(ADDRESS(2,COLUMN())),OFFSET($BN$2,0,0,ROW()-1,60),ROW()-1,FALSE))</f>
        <v>4811.2928089999996</v>
      </c>
      <c r="AJ178">
        <f ca="1">IF(AND(ISNUMBER($AJ$683),$B$511=1),$AJ$683,HLOOKUP(INDIRECT(ADDRESS(2,COLUMN())),OFFSET($BN$2,0,0,ROW()-1,60),ROW()-1,FALSE))</f>
        <v>5278.0803109999997</v>
      </c>
      <c r="AK178">
        <f ca="1">IF(AND(ISNUMBER($AK$683),$B$511=1),$AK$683,HLOOKUP(INDIRECT(ADDRESS(2,COLUMN())),OFFSET($BN$2,0,0,ROW()-1,60),ROW()-1,FALSE))</f>
        <v>5527.9457629999997</v>
      </c>
      <c r="AL178">
        <f ca="1">IF(AND(ISNUMBER($AL$683),$B$511=1),$AL$683,HLOOKUP(INDIRECT(ADDRESS(2,COLUMN())),OFFSET($BN$2,0,0,ROW()-1,60),ROW()-1,FALSE))</f>
        <v>5463.1690529999996</v>
      </c>
      <c r="AM178">
        <f ca="1">IF(AND(ISNUMBER($AM$683),$B$511=1),$AM$683,HLOOKUP(INDIRECT(ADDRESS(2,COLUMN())),OFFSET($BN$2,0,0,ROW()-1,60),ROW()-1,FALSE))</f>
        <v>5247.6319839999996</v>
      </c>
      <c r="AN178">
        <f ca="1">IF(AND(ISNUMBER($AN$683),$B$511=1),$AN$683,HLOOKUP(INDIRECT(ADDRESS(2,COLUMN())),OFFSET($BN$2,0,0,ROW()-1,60),ROW()-1,FALSE))</f>
        <v>4948.4072470000001</v>
      </c>
      <c r="AO178">
        <f ca="1">IF(AND(ISNUMBER($AO$683),$B$511=1),$AO$683,HLOOKUP(INDIRECT(ADDRESS(2,COLUMN())),OFFSET($BN$2,0,0,ROW()-1,60),ROW()-1,FALSE))</f>
        <v>4736.5181670000002</v>
      </c>
      <c r="AP178">
        <f ca="1">IF(AND(ISNUMBER($AP$683),$B$511=1),$AP$683,HLOOKUP(INDIRECT(ADDRESS(2,COLUMN())),OFFSET($BN$2,0,0,ROW()-1,60),ROW()-1,FALSE))</f>
        <v>4327.9127070000004</v>
      </c>
      <c r="AQ178">
        <f ca="1">IF(AND(ISNUMBER($AQ$683),$B$511=1),$AQ$683,HLOOKUP(INDIRECT(ADDRESS(2,COLUMN())),OFFSET($BN$2,0,0,ROW()-1,60),ROW()-1,FALSE))</f>
        <v>3859.9785750000001</v>
      </c>
      <c r="AR178">
        <f ca="1">IF(AND(ISNUMBER($AR$683),$B$511=1),$AR$683,HLOOKUP(INDIRECT(ADDRESS(2,COLUMN())),OFFSET($BN$2,0,0,ROW()-1,60),ROW()-1,FALSE))</f>
        <v>3282.6131340000002</v>
      </c>
      <c r="AS178">
        <f ca="1">IF(AND(ISNUMBER($AS$683),$B$511=1),$AS$683,HLOOKUP(INDIRECT(ADDRESS(2,COLUMN())),OFFSET($BN$2,0,0,ROW()-1,60),ROW()-1,FALSE))</f>
        <v>2987.3912829999999</v>
      </c>
      <c r="AT178">
        <f ca="1">IF(AND(ISNUMBER($AT$683),$B$511=1),$AT$683,HLOOKUP(INDIRECT(ADDRESS(2,COLUMN())),OFFSET($BN$2,0,0,ROW()-1,60),ROW()-1,FALSE))</f>
        <v>2825.6304359999999</v>
      </c>
      <c r="AU178">
        <f ca="1">IF(AND(ISNUMBER($AU$683),$B$511=1),$AU$683,HLOOKUP(INDIRECT(ADDRESS(2,COLUMN())),OFFSET($BN$2,0,0,ROW()-1,60),ROW()-1,FALSE))</f>
        <v>2772.162104</v>
      </c>
      <c r="AV178">
        <f ca="1">IF(AND(ISNUMBER($AV$683),$B$511=1),$AV$683,HLOOKUP(INDIRECT(ADDRESS(2,COLUMN())),OFFSET($BN$2,0,0,ROW()-1,60),ROW()-1,FALSE))</f>
        <v>2641.7382640000001</v>
      </c>
      <c r="AW178">
        <f ca="1">IF(AND(ISNUMBER($AW$683),$B$511=1),$AW$683,HLOOKUP(INDIRECT(ADDRESS(2,COLUMN())),OFFSET($BN$2,0,0,ROW()-1,60),ROW()-1,FALSE))</f>
        <v>2357.624898</v>
      </c>
      <c r="AX178">
        <f ca="1">IF(AND(ISNUMBER($AX$683),$B$511=1),$AX$683,HLOOKUP(INDIRECT(ADDRESS(2,COLUMN())),OFFSET($BN$2,0,0,ROW()-1,60),ROW()-1,FALSE))</f>
        <v>1984.936074</v>
      </c>
      <c r="AY178">
        <f ca="1">IF(AND(ISNUMBER($AY$683),$B$511=1),$AY$683,HLOOKUP(INDIRECT(ADDRESS(2,COLUMN())),OFFSET($BN$2,0,0,ROW()-1,60),ROW()-1,FALSE))</f>
        <v>1684.868553</v>
      </c>
      <c r="AZ178">
        <f ca="1">IF(AND(ISNUMBER($AZ$683),$B$511=1),$AZ$683,HLOOKUP(INDIRECT(ADDRESS(2,COLUMN())),OFFSET($BN$2,0,0,ROW()-1,60),ROW()-1,FALSE))</f>
        <v>1571.8067679999999</v>
      </c>
      <c r="BA178">
        <f ca="1">IF(AND(ISNUMBER($BA$683),$B$511=1),$BA$683,HLOOKUP(INDIRECT(ADDRESS(2,COLUMN())),OFFSET($BN$2,0,0,ROW()-1,60),ROW()-1,FALSE))</f>
        <v>1369.240945</v>
      </c>
      <c r="BB178">
        <f ca="1">IF(AND(ISNUMBER($BB$683),$B$511=1),$BB$683,HLOOKUP(INDIRECT(ADDRESS(2,COLUMN())),OFFSET($BN$2,0,0,ROW()-1,60),ROW()-1,FALSE))</f>
        <v>1357.2693810000001</v>
      </c>
      <c r="BC178">
        <f ca="1">IF(AND(ISNUMBER($BC$683),$B$511=1),$BC$683,HLOOKUP(INDIRECT(ADDRESS(2,COLUMN())),OFFSET($BN$2,0,0,ROW()-1,60),ROW()-1,FALSE))</f>
        <v>1324.2489109999999</v>
      </c>
      <c r="BD178">
        <f ca="1">IF(AND(ISNUMBER($BD$683),$B$511=1),$BD$683,HLOOKUP(INDIRECT(ADDRESS(2,COLUMN())),OFFSET($BN$2,0,0,ROW()-1,60),ROW()-1,FALSE))</f>
        <v>1330.0709939999999</v>
      </c>
      <c r="BE178">
        <f ca="1">IF(AND(ISNUMBER($BE$683),$B$511=1),$BE$683,HLOOKUP(INDIRECT(ADDRESS(2,COLUMN())),OFFSET($BN$2,0,0,ROW()-1,60),ROW()-1,FALSE))</f>
        <v>1291.724434</v>
      </c>
      <c r="BF178">
        <f ca="1">IF(AND(ISNUMBER($BF$683),$B$511=1),$BF$683,HLOOKUP(INDIRECT(ADDRESS(2,COLUMN())),OFFSET($BN$2,0,0,ROW()-1,60),ROW()-1,FALSE))</f>
        <v>1310.784977</v>
      </c>
      <c r="BG178">
        <f ca="1">IF(AND(ISNUMBER($BG$683),$B$511=1),$BG$683,HLOOKUP(INDIRECT(ADDRESS(2,COLUMN())),OFFSET($BN$2,0,0,ROW()-1,60),ROW()-1,FALSE))</f>
        <v>1181.1954639999999</v>
      </c>
      <c r="BH178">
        <f ca="1">IF(AND(ISNUMBER($BH$683),$B$511=1),$BH$683,HLOOKUP(INDIRECT(ADDRESS(2,COLUMN())),OFFSET($BN$2,0,0,ROW()-1,60),ROW()-1,FALSE))</f>
        <v>1028.0905029999999</v>
      </c>
      <c r="BI178">
        <f ca="1">IF(AND(ISNUMBER($BI$683),$B$511=1),$BI$683,HLOOKUP(INDIRECT(ADDRESS(2,COLUMN())),OFFSET($BN$2,0,0,ROW()-1,60),ROW()-1,FALSE))</f>
        <v>1017.203308</v>
      </c>
      <c r="BJ178">
        <f ca="1">IF(AND(ISNUMBER($BJ$683),$B$511=1),$BJ$683,HLOOKUP(INDIRECT(ADDRESS(2,COLUMN())),OFFSET($BN$2,0,0,ROW()-1,60),ROW()-1,FALSE))</f>
        <v>924.2014815</v>
      </c>
      <c r="BK178">
        <f ca="1">IF(AND(ISNUMBER($BK$683),$B$511=1),$BK$683,HLOOKUP(INDIRECT(ADDRESS(2,COLUMN())),OFFSET($BN$2,0,0,ROW()-1,60),ROW()-1,FALSE))</f>
        <v>1098.455946</v>
      </c>
      <c r="BL178">
        <f ca="1">IF(AND(ISNUMBER($BL$683),$B$511=1),$BL$683,HLOOKUP(INDIRECT(ADDRESS(2,COLUMN())),OFFSET($BN$2,0,0,ROW()-1,60),ROW()-1,FALSE))</f>
        <v>1211.204657</v>
      </c>
      <c r="BM178">
        <f ca="1">IF(AND(ISNUMBER($BM$683),$B$511=1),$BM$683,HLOOKUP(INDIRECT(ADDRESS(2,COLUMN())),OFFSET($BN$2,0,0,ROW()-1,60),ROW()-1,FALSE))</f>
        <v>1354.293453</v>
      </c>
      <c r="BN178" t="str">
        <f>""</f>
        <v/>
      </c>
      <c r="BO178" t="str">
        <f>""</f>
        <v/>
      </c>
      <c r="BP178">
        <f>3916.03721</f>
        <v>3916.03721</v>
      </c>
      <c r="BQ178">
        <f>4055.636742</f>
        <v>4055.6367420000001</v>
      </c>
      <c r="BR178">
        <f>3979.045313</f>
        <v>3979.0453130000001</v>
      </c>
      <c r="BS178">
        <f>3883.961355</f>
        <v>3883.9613549999999</v>
      </c>
      <c r="BT178">
        <f>3799.224027</f>
        <v>3799.2240270000002</v>
      </c>
      <c r="BU178">
        <f>3812.22137</f>
        <v>3812.2213700000002</v>
      </c>
      <c r="BV178">
        <f>3562.256914</f>
        <v>3562.2569140000001</v>
      </c>
      <c r="BW178">
        <f>3219.345274</f>
        <v>3219.3452739999998</v>
      </c>
      <c r="BX178">
        <f>3252.547927</f>
        <v>3252.5479270000001</v>
      </c>
      <c r="BY178">
        <f>3139.1343</f>
        <v>3139.1343000000002</v>
      </c>
      <c r="BZ178">
        <f>3533.869916</f>
        <v>3533.8699160000001</v>
      </c>
      <c r="CA178">
        <f>4019.135118</f>
        <v>4019.1351180000001</v>
      </c>
      <c r="CB178">
        <f>4382.533751</f>
        <v>4382.5337509999999</v>
      </c>
      <c r="CC178">
        <f>4874.515827</f>
        <v>4874.5158270000002</v>
      </c>
      <c r="CD178">
        <f>5073.917197</f>
        <v>5073.9171969999998</v>
      </c>
      <c r="CE178">
        <f>5224.51048799999</f>
        <v>5224.5104879999999</v>
      </c>
      <c r="CF178">
        <f>5099.189206</f>
        <v>5099.189206</v>
      </c>
      <c r="CG178">
        <f>4973.936351</f>
        <v>4973.9363510000003</v>
      </c>
      <c r="CH178">
        <f>4850.953783</f>
        <v>4850.9537829999999</v>
      </c>
      <c r="CI178">
        <f>4594.008891</f>
        <v>4594.0088910000004</v>
      </c>
      <c r="CJ178">
        <f>4043.057219</f>
        <v>4043.0572189999998</v>
      </c>
      <c r="CK178">
        <f>3730.971189</f>
        <v>3730.9711889999999</v>
      </c>
      <c r="CL178">
        <f>3573.70866</f>
        <v>3573.7086599999998</v>
      </c>
      <c r="CM178">
        <f>3541.456862</f>
        <v>3541.456862</v>
      </c>
      <c r="CN178">
        <f>3770.356895</f>
        <v>3770.3568949999999</v>
      </c>
      <c r="CO178">
        <f>3902.726779</f>
        <v>3902.7267790000001</v>
      </c>
      <c r="CP178">
        <f>4371.705952</f>
        <v>4371.7059520000003</v>
      </c>
      <c r="CQ178">
        <f>4811.292809</f>
        <v>4811.2928089999996</v>
      </c>
      <c r="CR178">
        <f>5278.080311</f>
        <v>5278.0803109999997</v>
      </c>
      <c r="CS178">
        <f>5527.945763</f>
        <v>5527.9457629999997</v>
      </c>
      <c r="CT178">
        <f>5463.169053</f>
        <v>5463.1690529999996</v>
      </c>
      <c r="CU178">
        <f>5247.631984</f>
        <v>5247.6319839999996</v>
      </c>
      <c r="CV178">
        <f>4948.407247</f>
        <v>4948.4072470000001</v>
      </c>
      <c r="CW178">
        <f>4736.518167</f>
        <v>4736.5181670000002</v>
      </c>
      <c r="CX178">
        <f>4327.912707</f>
        <v>4327.9127070000004</v>
      </c>
      <c r="CY178">
        <f>3859.978575</f>
        <v>3859.9785750000001</v>
      </c>
      <c r="CZ178">
        <f>3282.613134</f>
        <v>3282.6131340000002</v>
      </c>
      <c r="DA178">
        <f>2987.391283</f>
        <v>2987.3912829999999</v>
      </c>
      <c r="DB178">
        <f>2825.630436</f>
        <v>2825.6304359999999</v>
      </c>
      <c r="DC178">
        <f>2772.162104</f>
        <v>2772.162104</v>
      </c>
      <c r="DD178">
        <f>2641.738264</f>
        <v>2641.7382640000001</v>
      </c>
      <c r="DE178">
        <f>2357.624898</f>
        <v>2357.624898</v>
      </c>
      <c r="DF178">
        <f>1984.936074</f>
        <v>1984.936074</v>
      </c>
      <c r="DG178">
        <f>1684.868553</f>
        <v>1684.868553</v>
      </c>
      <c r="DH178">
        <f>1571.806768</f>
        <v>1571.8067679999999</v>
      </c>
      <c r="DI178">
        <f>1369.240945</f>
        <v>1369.240945</v>
      </c>
      <c r="DJ178">
        <f>1357.269381</f>
        <v>1357.2693810000001</v>
      </c>
      <c r="DK178">
        <f>1324.248911</f>
        <v>1324.2489109999999</v>
      </c>
      <c r="DL178">
        <f>1330.070994</f>
        <v>1330.0709939999999</v>
      </c>
      <c r="DM178">
        <f>1291.724434</f>
        <v>1291.724434</v>
      </c>
      <c r="DN178">
        <f>1310.784977</f>
        <v>1310.784977</v>
      </c>
      <c r="DO178">
        <f>1181.195464</f>
        <v>1181.1954639999999</v>
      </c>
      <c r="DP178">
        <f>1028.090503</f>
        <v>1028.0905029999999</v>
      </c>
      <c r="DQ178">
        <f>1017.203308</f>
        <v>1017.203308</v>
      </c>
      <c r="DR178">
        <f>924.2014815</f>
        <v>924.2014815</v>
      </c>
      <c r="DS178">
        <f>1098.455946</f>
        <v>1098.455946</v>
      </c>
      <c r="DT178">
        <f>1211.204657</f>
        <v>1211.204657</v>
      </c>
      <c r="DU178">
        <f>1354.293453</f>
        <v>1354.293453</v>
      </c>
    </row>
    <row r="179" spans="1:125" x14ac:dyDescent="0.25">
      <c r="A179" t="str">
        <f>"    Fiat Chrysler Automobiles NV"</f>
        <v xml:space="preserve">    Fiat Chrysler Automobiles NV</v>
      </c>
      <c r="B179" t="str">
        <f>"FCAU US Equity"</f>
        <v>FCAU US Equity</v>
      </c>
      <c r="C179" t="str">
        <f t="shared" si="12"/>
        <v>RR800</v>
      </c>
      <c r="D179" t="str">
        <f t="shared" si="13"/>
        <v>TRAIL_12M_NET_SALES</v>
      </c>
      <c r="E179" t="str">
        <f t="shared" si="14"/>
        <v>Dynamic</v>
      </c>
      <c r="F179" t="str">
        <f ca="1">IF(AND(ISNUMBER($F$684),$B$511=1),$F$684,HLOOKUP(INDIRECT(ADDRESS(2,COLUMN())),OFFSET($BN$2,0,0,ROW()-1,60),ROW()-1,FALSE))</f>
        <v/>
      </c>
      <c r="G179">
        <f ca="1">IF(AND(ISNUMBER($G$684),$B$511=1),$G$684,HLOOKUP(INDIRECT(ADDRESS(2,COLUMN())),OFFSET($BN$2,0,0,ROW()-1,60),ROW()-1,FALSE))</f>
        <v>130410.2965</v>
      </c>
      <c r="H179">
        <f ca="1">IF(AND(ISNUMBER($H$684),$B$511=1),$H$684,HLOOKUP(INDIRECT(ADDRESS(2,COLUMN())),OFFSET($BN$2,0,0,ROW()-1,60),ROW()-1,FALSE))</f>
        <v>127717.63250000001</v>
      </c>
      <c r="I179">
        <f ca="1">IF(AND(ISNUMBER($I$684),$B$511=1),$I$684,HLOOKUP(INDIRECT(ADDRESS(2,COLUMN())),OFFSET($BN$2,0,0,ROW()-1,60),ROW()-1,FALSE))</f>
        <v>125174.27370000001</v>
      </c>
      <c r="J179">
        <f ca="1">IF(AND(ISNUMBER($J$684),$B$511=1),$J$684,HLOOKUP(INDIRECT(ADDRESS(2,COLUMN())),OFFSET($BN$2,0,0,ROW()-1,60),ROW()-1,FALSE))</f>
        <v>121533.9054</v>
      </c>
      <c r="K179">
        <f ca="1">IF(AND(ISNUMBER($K$684),$B$511=1),$K$684,HLOOKUP(INDIRECT(ADDRESS(2,COLUMN())),OFFSET($BN$2,0,0,ROW()-1,60),ROW()-1,FALSE))</f>
        <v>118064.9124</v>
      </c>
      <c r="L179">
        <f ca="1">IF(AND(ISNUMBER($L$684),$B$511=1),$L$684,HLOOKUP(INDIRECT(ADDRESS(2,COLUMN())),OFFSET($BN$2,0,0,ROW()-1,60),ROW()-1,FALSE))</f>
        <v>122138.9975</v>
      </c>
      <c r="M179">
        <f ca="1">IF(AND(ISNUMBER($M$684),$B$511=1),$M$684,HLOOKUP(INDIRECT(ADDRESS(2,COLUMN())),OFFSET($BN$2,0,0,ROW()-1,60),ROW()-1,FALSE))</f>
        <v>122319.05100000001</v>
      </c>
      <c r="N179">
        <f ca="1">IF(AND(ISNUMBER($N$684),$B$511=1),$N$684,HLOOKUP(INDIRECT(ADDRESS(2,COLUMN())),OFFSET($BN$2,0,0,ROW()-1,60),ROW()-1,FALSE))</f>
        <v>123080.8985</v>
      </c>
      <c r="O179">
        <f ca="1">IF(AND(ISNUMBER($O$684),$B$511=1),$O$684,HLOOKUP(INDIRECT(ADDRESS(2,COLUMN())),OFFSET($BN$2,0,0,ROW()-1,60),ROW()-1,FALSE))</f>
        <v>122877.9062</v>
      </c>
      <c r="P179">
        <f ca="1">IF(AND(ISNUMBER($P$684),$B$511=1),$P$684,HLOOKUP(INDIRECT(ADDRESS(2,COLUMN())),OFFSET($BN$2,0,0,ROW()-1,60),ROW()-1,FALSE))</f>
        <v>123007.42720000001</v>
      </c>
      <c r="Q179">
        <f ca="1">IF(AND(ISNUMBER($Q$684),$B$511=1),$Q$684,HLOOKUP(INDIRECT(ADDRESS(2,COLUMN())),OFFSET($BN$2,0,0,ROW()-1,60),ROW()-1,FALSE))</f>
        <v>122847.4357</v>
      </c>
      <c r="R179">
        <f ca="1">IF(AND(ISNUMBER($R$684),$B$511=1),$R$684,HLOOKUP(INDIRECT(ADDRESS(2,COLUMN())),OFFSET($BN$2,0,0,ROW()-1,60),ROW()-1,FALSE))</f>
        <v>122938.2807</v>
      </c>
      <c r="S179">
        <f ca="1">IF(AND(ISNUMBER($S$684),$B$511=1),$S$684,HLOOKUP(INDIRECT(ADDRESS(2,COLUMN())),OFFSET($BN$2,0,0,ROW()-1,60),ROW()-1,FALSE))</f>
        <v>122760.5199</v>
      </c>
      <c r="T179">
        <f ca="1">IF(AND(ISNUMBER($T$684),$B$511=1),$T$684,HLOOKUP(INDIRECT(ADDRESS(2,COLUMN())),OFFSET($BN$2,0,0,ROW()-1,60),ROW()-1,FALSE))</f>
        <v>121563.86810000001</v>
      </c>
      <c r="U179">
        <f ca="1">IF(AND(ISNUMBER($U$684),$B$511=1),$U$684,HLOOKUP(INDIRECT(ADDRESS(2,COLUMN())),OFFSET($BN$2,0,0,ROW()-1,60),ROW()-1,FALSE))</f>
        <v>123368.9835</v>
      </c>
      <c r="V179">
        <f ca="1">IF(AND(ISNUMBER($V$684),$B$511=1),$V$684,HLOOKUP(INDIRECT(ADDRESS(2,COLUMN())),OFFSET($BN$2,0,0,ROW()-1,60),ROW()-1,FALSE))</f>
        <v>123515.64569999999</v>
      </c>
      <c r="W179">
        <f ca="1">IF(AND(ISNUMBER($W$684),$B$511=1),$W$684,HLOOKUP(INDIRECT(ADDRESS(2,COLUMN())),OFFSET($BN$2,0,0,ROW()-1,60),ROW()-1,FALSE))</f>
        <v>124399.41069999999</v>
      </c>
      <c r="X179">
        <f ca="1">IF(AND(ISNUMBER($X$684),$B$511=1),$X$684,HLOOKUP(INDIRECT(ADDRESS(2,COLUMN())),OFFSET($BN$2,0,0,ROW()-1,60),ROW()-1,FALSE))</f>
        <v>126132.7545</v>
      </c>
      <c r="Y179">
        <f ca="1">IF(AND(ISNUMBER($Y$684),$B$511=1),$Y$684,HLOOKUP(INDIRECT(ADDRESS(2,COLUMN())),OFFSET($BN$2,0,0,ROW()-1,60),ROW()-1,FALSE))</f>
        <v>122237.4305</v>
      </c>
      <c r="Z179" t="str">
        <f ca="1">IF(AND(ISNUMBER($Z$684),$B$511=1),$Z$684,HLOOKUP(INDIRECT(ADDRESS(2,COLUMN())),OFFSET($BN$2,0,0,ROW()-1,60),ROW()-1,FALSE))</f>
        <v/>
      </c>
      <c r="AA179" t="str">
        <f ca="1">IF(AND(ISNUMBER($AA$684),$B$511=1),$AA$684,HLOOKUP(INDIRECT(ADDRESS(2,COLUMN())),OFFSET($BN$2,0,0,ROW()-1,60),ROW()-1,FALSE))</f>
        <v/>
      </c>
      <c r="AB179" t="str">
        <f ca="1">IF(AND(ISNUMBER($AB$684),$B$511=1),$AB$684,HLOOKUP(INDIRECT(ADDRESS(2,COLUMN())),OFFSET($BN$2,0,0,ROW()-1,60),ROW()-1,FALSE))</f>
        <v/>
      </c>
      <c r="AC179" t="str">
        <f ca="1">IF(AND(ISNUMBER($AC$684),$B$511=1),$AC$684,HLOOKUP(INDIRECT(ADDRESS(2,COLUMN())),OFFSET($BN$2,0,0,ROW()-1,60),ROW()-1,FALSE))</f>
        <v/>
      </c>
      <c r="AD179" t="str">
        <f ca="1">IF(AND(ISNUMBER($AD$684),$B$511=1),$AD$684,HLOOKUP(INDIRECT(ADDRESS(2,COLUMN())),OFFSET($BN$2,0,0,ROW()-1,60),ROW()-1,FALSE))</f>
        <v/>
      </c>
      <c r="AE179" t="str">
        <f ca="1">IF(AND(ISNUMBER($AE$684),$B$511=1),$AE$684,HLOOKUP(INDIRECT(ADDRESS(2,COLUMN())),OFFSET($BN$2,0,0,ROW()-1,60),ROW()-1,FALSE))</f>
        <v/>
      </c>
      <c r="AF179" t="str">
        <f ca="1">IF(AND(ISNUMBER($AF$684),$B$511=1),$AF$684,HLOOKUP(INDIRECT(ADDRESS(2,COLUMN())),OFFSET($BN$2,0,0,ROW()-1,60),ROW()-1,FALSE))</f>
        <v/>
      </c>
      <c r="AG179" t="str">
        <f ca="1">IF(AND(ISNUMBER($AG$684),$B$511=1),$AG$684,HLOOKUP(INDIRECT(ADDRESS(2,COLUMN())),OFFSET($BN$2,0,0,ROW()-1,60),ROW()-1,FALSE))</f>
        <v/>
      </c>
      <c r="AH179" t="str">
        <f ca="1">IF(AND(ISNUMBER($AH$684),$B$511=1),$AH$684,HLOOKUP(INDIRECT(ADDRESS(2,COLUMN())),OFFSET($BN$2,0,0,ROW()-1,60),ROW()-1,FALSE))</f>
        <v/>
      </c>
      <c r="AI179" t="str">
        <f ca="1">IF(AND(ISNUMBER($AI$684),$B$511=1),$AI$684,HLOOKUP(INDIRECT(ADDRESS(2,COLUMN())),OFFSET($BN$2,0,0,ROW()-1,60),ROW()-1,FALSE))</f>
        <v/>
      </c>
      <c r="AJ179" t="str">
        <f ca="1">IF(AND(ISNUMBER($AJ$684),$B$511=1),$AJ$684,HLOOKUP(INDIRECT(ADDRESS(2,COLUMN())),OFFSET($BN$2,0,0,ROW()-1,60),ROW()-1,FALSE))</f>
        <v/>
      </c>
      <c r="AK179" t="str">
        <f ca="1">IF(AND(ISNUMBER($AK$684),$B$511=1),$AK$684,HLOOKUP(INDIRECT(ADDRESS(2,COLUMN())),OFFSET($BN$2,0,0,ROW()-1,60),ROW()-1,FALSE))</f>
        <v/>
      </c>
      <c r="AL179" t="str">
        <f ca="1">IF(AND(ISNUMBER($AL$684),$B$511=1),$AL$684,HLOOKUP(INDIRECT(ADDRESS(2,COLUMN())),OFFSET($BN$2,0,0,ROW()-1,60),ROW()-1,FALSE))</f>
        <v/>
      </c>
      <c r="AM179" t="str">
        <f ca="1">IF(AND(ISNUMBER($AM$684),$B$511=1),$AM$684,HLOOKUP(INDIRECT(ADDRESS(2,COLUMN())),OFFSET($BN$2,0,0,ROW()-1,60),ROW()-1,FALSE))</f>
        <v/>
      </c>
      <c r="AN179" t="str">
        <f ca="1">IF(AND(ISNUMBER($AN$684),$B$511=1),$AN$684,HLOOKUP(INDIRECT(ADDRESS(2,COLUMN())),OFFSET($BN$2,0,0,ROW()-1,60),ROW()-1,FALSE))</f>
        <v/>
      </c>
      <c r="AO179" t="str">
        <f ca="1">IF(AND(ISNUMBER($AO$684),$B$511=1),$AO$684,HLOOKUP(INDIRECT(ADDRESS(2,COLUMN())),OFFSET($BN$2,0,0,ROW()-1,60),ROW()-1,FALSE))</f>
        <v/>
      </c>
      <c r="AP179" t="str">
        <f ca="1">IF(AND(ISNUMBER($AP$684),$B$511=1),$AP$684,HLOOKUP(INDIRECT(ADDRESS(2,COLUMN())),OFFSET($BN$2,0,0,ROW()-1,60),ROW()-1,FALSE))</f>
        <v/>
      </c>
      <c r="AQ179" t="str">
        <f ca="1">IF(AND(ISNUMBER($AQ$684),$B$511=1),$AQ$684,HLOOKUP(INDIRECT(ADDRESS(2,COLUMN())),OFFSET($BN$2,0,0,ROW()-1,60),ROW()-1,FALSE))</f>
        <v/>
      </c>
      <c r="AR179" t="str">
        <f ca="1">IF(AND(ISNUMBER($AR$684),$B$511=1),$AR$684,HLOOKUP(INDIRECT(ADDRESS(2,COLUMN())),OFFSET($BN$2,0,0,ROW()-1,60),ROW()-1,FALSE))</f>
        <v/>
      </c>
      <c r="AS179" t="str">
        <f ca="1">IF(AND(ISNUMBER($AS$684),$B$511=1),$AS$684,HLOOKUP(INDIRECT(ADDRESS(2,COLUMN())),OFFSET($BN$2,0,0,ROW()-1,60),ROW()-1,FALSE))</f>
        <v/>
      </c>
      <c r="AT179" t="str">
        <f ca="1">IF(AND(ISNUMBER($AT$684),$B$511=1),$AT$684,HLOOKUP(INDIRECT(ADDRESS(2,COLUMN())),OFFSET($BN$2,0,0,ROW()-1,60),ROW()-1,FALSE))</f>
        <v/>
      </c>
      <c r="AU179" t="str">
        <f ca="1">IF(AND(ISNUMBER($AU$684),$B$511=1),$AU$684,HLOOKUP(INDIRECT(ADDRESS(2,COLUMN())),OFFSET($BN$2,0,0,ROW()-1,60),ROW()-1,FALSE))</f>
        <v/>
      </c>
      <c r="AV179" t="str">
        <f ca="1">IF(AND(ISNUMBER($AV$684),$B$511=1),$AV$684,HLOOKUP(INDIRECT(ADDRESS(2,COLUMN())),OFFSET($BN$2,0,0,ROW()-1,60),ROW()-1,FALSE))</f>
        <v/>
      </c>
      <c r="AW179" t="str">
        <f ca="1">IF(AND(ISNUMBER($AW$684),$B$511=1),$AW$684,HLOOKUP(INDIRECT(ADDRESS(2,COLUMN())),OFFSET($BN$2,0,0,ROW()-1,60),ROW()-1,FALSE))</f>
        <v/>
      </c>
      <c r="AX179" t="str">
        <f ca="1">IF(AND(ISNUMBER($AX$684),$B$511=1),$AX$684,HLOOKUP(INDIRECT(ADDRESS(2,COLUMN())),OFFSET($BN$2,0,0,ROW()-1,60),ROW()-1,FALSE))</f>
        <v/>
      </c>
      <c r="AY179" t="str">
        <f ca="1">IF(AND(ISNUMBER($AY$684),$B$511=1),$AY$684,HLOOKUP(INDIRECT(ADDRESS(2,COLUMN())),OFFSET($BN$2,0,0,ROW()-1,60),ROW()-1,FALSE))</f>
        <v/>
      </c>
      <c r="AZ179" t="str">
        <f ca="1">IF(AND(ISNUMBER($AZ$684),$B$511=1),$AZ$684,HLOOKUP(INDIRECT(ADDRESS(2,COLUMN())),OFFSET($BN$2,0,0,ROW()-1,60),ROW()-1,FALSE))</f>
        <v/>
      </c>
      <c r="BA179" t="str">
        <f ca="1">IF(AND(ISNUMBER($BA$684),$B$511=1),$BA$684,HLOOKUP(INDIRECT(ADDRESS(2,COLUMN())),OFFSET($BN$2,0,0,ROW()-1,60),ROW()-1,FALSE))</f>
        <v/>
      </c>
      <c r="BB179" t="str">
        <f ca="1">IF(AND(ISNUMBER($BB$684),$B$511=1),$BB$684,HLOOKUP(INDIRECT(ADDRESS(2,COLUMN())),OFFSET($BN$2,0,0,ROW()-1,60),ROW()-1,FALSE))</f>
        <v/>
      </c>
      <c r="BC179" t="str">
        <f ca="1">IF(AND(ISNUMBER($BC$684),$B$511=1),$BC$684,HLOOKUP(INDIRECT(ADDRESS(2,COLUMN())),OFFSET($BN$2,0,0,ROW()-1,60),ROW()-1,FALSE))</f>
        <v/>
      </c>
      <c r="BD179" t="str">
        <f ca="1">IF(AND(ISNUMBER($BD$684),$B$511=1),$BD$684,HLOOKUP(INDIRECT(ADDRESS(2,COLUMN())),OFFSET($BN$2,0,0,ROW()-1,60),ROW()-1,FALSE))</f>
        <v/>
      </c>
      <c r="BE179" t="str">
        <f ca="1">IF(AND(ISNUMBER($BE$684),$B$511=1),$BE$684,HLOOKUP(INDIRECT(ADDRESS(2,COLUMN())),OFFSET($BN$2,0,0,ROW()-1,60),ROW()-1,FALSE))</f>
        <v/>
      </c>
      <c r="BF179" t="str">
        <f ca="1">IF(AND(ISNUMBER($BF$684),$B$511=1),$BF$684,HLOOKUP(INDIRECT(ADDRESS(2,COLUMN())),OFFSET($BN$2,0,0,ROW()-1,60),ROW()-1,FALSE))</f>
        <v/>
      </c>
      <c r="BG179" t="str">
        <f ca="1">IF(AND(ISNUMBER($BG$684),$B$511=1),$BG$684,HLOOKUP(INDIRECT(ADDRESS(2,COLUMN())),OFFSET($BN$2,0,0,ROW()-1,60),ROW()-1,FALSE))</f>
        <v/>
      </c>
      <c r="BH179" t="str">
        <f ca="1">IF(AND(ISNUMBER($BH$684),$B$511=1),$BH$684,HLOOKUP(INDIRECT(ADDRESS(2,COLUMN())),OFFSET($BN$2,0,0,ROW()-1,60),ROW()-1,FALSE))</f>
        <v/>
      </c>
      <c r="BI179" t="str">
        <f ca="1">IF(AND(ISNUMBER($BI$684),$B$511=1),$BI$684,HLOOKUP(INDIRECT(ADDRESS(2,COLUMN())),OFFSET($BN$2,0,0,ROW()-1,60),ROW()-1,FALSE))</f>
        <v/>
      </c>
      <c r="BJ179" t="str">
        <f ca="1">IF(AND(ISNUMBER($BJ$684),$B$511=1),$BJ$684,HLOOKUP(INDIRECT(ADDRESS(2,COLUMN())),OFFSET($BN$2,0,0,ROW()-1,60),ROW()-1,FALSE))</f>
        <v/>
      </c>
      <c r="BK179" t="str">
        <f ca="1">IF(AND(ISNUMBER($BK$684),$B$511=1),$BK$684,HLOOKUP(INDIRECT(ADDRESS(2,COLUMN())),OFFSET($BN$2,0,0,ROW()-1,60),ROW()-1,FALSE))</f>
        <v/>
      </c>
      <c r="BL179" t="str">
        <f ca="1">IF(AND(ISNUMBER($BL$684),$B$511=1),$BL$684,HLOOKUP(INDIRECT(ADDRESS(2,COLUMN())),OFFSET($BN$2,0,0,ROW()-1,60),ROW()-1,FALSE))</f>
        <v/>
      </c>
      <c r="BM179" t="str">
        <f ca="1">IF(AND(ISNUMBER($BM$684),$B$511=1),$BM$684,HLOOKUP(INDIRECT(ADDRESS(2,COLUMN())),OFFSET($BN$2,0,0,ROW()-1,60),ROW()-1,FALSE))</f>
        <v/>
      </c>
      <c r="BN179" t="str">
        <f>""</f>
        <v/>
      </c>
      <c r="BO179">
        <f>130410.2965</f>
        <v>130410.2965</v>
      </c>
      <c r="BP179">
        <f>127717.6325</f>
        <v>127717.63250000001</v>
      </c>
      <c r="BQ179">
        <f>125174.2737</f>
        <v>125174.27370000001</v>
      </c>
      <c r="BR179">
        <f>121533.9054</f>
        <v>121533.9054</v>
      </c>
      <c r="BS179">
        <f>118064.9124</f>
        <v>118064.9124</v>
      </c>
      <c r="BT179">
        <f>122138.9975</f>
        <v>122138.9975</v>
      </c>
      <c r="BU179">
        <f>122319.051</f>
        <v>122319.05100000001</v>
      </c>
      <c r="BV179">
        <f>123080.8985</f>
        <v>123080.8985</v>
      </c>
      <c r="BW179">
        <f>122877.9062</f>
        <v>122877.9062</v>
      </c>
      <c r="BX179">
        <f>123007.4272</f>
        <v>123007.42720000001</v>
      </c>
      <c r="BY179">
        <f>122847.4357</f>
        <v>122847.4357</v>
      </c>
      <c r="BZ179">
        <f>122938.2807</f>
        <v>122938.2807</v>
      </c>
      <c r="CA179">
        <f>122760.5199</f>
        <v>122760.5199</v>
      </c>
      <c r="CB179">
        <f>121563.8681</f>
        <v>121563.86810000001</v>
      </c>
      <c r="CC179">
        <f>123368.9835</f>
        <v>123368.9835</v>
      </c>
      <c r="CD179">
        <f>123515.6457</f>
        <v>123515.64569999999</v>
      </c>
      <c r="CE179">
        <f>124399.4107</f>
        <v>124399.41069999999</v>
      </c>
      <c r="CF179">
        <f>126132.7545</f>
        <v>126132.7545</v>
      </c>
      <c r="CG179">
        <f>122237.4305</f>
        <v>122237.4305</v>
      </c>
      <c r="CH179" t="str">
        <f>""</f>
        <v/>
      </c>
      <c r="CI179" t="str">
        <f>""</f>
        <v/>
      </c>
      <c r="CJ179" t="str">
        <f>""</f>
        <v/>
      </c>
      <c r="CK179" t="str">
        <f>""</f>
        <v/>
      </c>
      <c r="CL179" t="str">
        <f>""</f>
        <v/>
      </c>
      <c r="CM179" t="str">
        <f>""</f>
        <v/>
      </c>
      <c r="CN179" t="str">
        <f>""</f>
        <v/>
      </c>
      <c r="CO179" t="str">
        <f>""</f>
        <v/>
      </c>
      <c r="CP179" t="str">
        <f>""</f>
        <v/>
      </c>
      <c r="CQ179" t="str">
        <f>""</f>
        <v/>
      </c>
      <c r="CR179" t="str">
        <f>""</f>
        <v/>
      </c>
      <c r="CS179" t="str">
        <f>""</f>
        <v/>
      </c>
      <c r="CT179" t="str">
        <f>""</f>
        <v/>
      </c>
      <c r="CU179" t="str">
        <f>""</f>
        <v/>
      </c>
      <c r="CV179" t="str">
        <f>""</f>
        <v/>
      </c>
      <c r="CW179" t="str">
        <f>""</f>
        <v/>
      </c>
      <c r="CX179" t="str">
        <f>""</f>
        <v/>
      </c>
      <c r="CY179" t="str">
        <f>""</f>
        <v/>
      </c>
      <c r="CZ179" t="str">
        <f>""</f>
        <v/>
      </c>
      <c r="DA179" t="str">
        <f>""</f>
        <v/>
      </c>
      <c r="DB179" t="str">
        <f>""</f>
        <v/>
      </c>
      <c r="DC179" t="str">
        <f>""</f>
        <v/>
      </c>
      <c r="DD179" t="str">
        <f>""</f>
        <v/>
      </c>
      <c r="DE179" t="str">
        <f>""</f>
        <v/>
      </c>
      <c r="DF179" t="str">
        <f>""</f>
        <v/>
      </c>
      <c r="DG179" t="str">
        <f>""</f>
        <v/>
      </c>
      <c r="DH179" t="str">
        <f>""</f>
        <v/>
      </c>
      <c r="DI179" t="str">
        <f>""</f>
        <v/>
      </c>
      <c r="DJ179" t="str">
        <f>""</f>
        <v/>
      </c>
      <c r="DK179" t="str">
        <f>""</f>
        <v/>
      </c>
      <c r="DL179" t="str">
        <f>""</f>
        <v/>
      </c>
      <c r="DM179" t="str">
        <f>""</f>
        <v/>
      </c>
      <c r="DN179" t="str">
        <f>""</f>
        <v/>
      </c>
      <c r="DO179" t="str">
        <f>""</f>
        <v/>
      </c>
      <c r="DP179" t="str">
        <f>""</f>
        <v/>
      </c>
      <c r="DQ179" t="str">
        <f>""</f>
        <v/>
      </c>
      <c r="DR179" t="str">
        <f>""</f>
        <v/>
      </c>
      <c r="DS179" t="str">
        <f>""</f>
        <v/>
      </c>
      <c r="DT179" t="str">
        <f>""</f>
        <v/>
      </c>
      <c r="DU179" t="str">
        <f>""</f>
        <v/>
      </c>
    </row>
    <row r="180" spans="1:125" x14ac:dyDescent="0.25">
      <c r="A180" t="str">
        <f>"    Ford Motor Co"</f>
        <v xml:space="preserve">    Ford Motor Co</v>
      </c>
      <c r="B180" t="str">
        <f>"F US Equity"</f>
        <v>F US Equity</v>
      </c>
      <c r="C180" t="str">
        <f t="shared" si="12"/>
        <v>RR800</v>
      </c>
      <c r="D180" t="str">
        <f t="shared" si="13"/>
        <v>TRAIL_12M_NET_SALES</v>
      </c>
      <c r="E180" t="str">
        <f t="shared" si="14"/>
        <v>Dynamic</v>
      </c>
      <c r="F180" t="str">
        <f ca="1">IF(AND(ISNUMBER($F$685),$B$511=1),$F$685,HLOOKUP(INDIRECT(ADDRESS(2,COLUMN())),OFFSET($BN$2,0,0,ROW()-1,60),ROW()-1,FALSE))</f>
        <v/>
      </c>
      <c r="G180">
        <f ca="1">IF(AND(ISNUMBER($G$685),$B$511=1),$G$685,HLOOKUP(INDIRECT(ADDRESS(2,COLUMN())),OFFSET($BN$2,0,0,ROW()-1,60),ROW()-1,FALSE))</f>
        <v>160338</v>
      </c>
      <c r="H180">
        <f ca="1">IF(AND(ISNUMBER($H$685),$B$511=1),$H$685,HLOOKUP(INDIRECT(ADDRESS(2,COLUMN())),OFFSET($BN$2,0,0,ROW()-1,60),ROW()-1,FALSE))</f>
        <v>159871</v>
      </c>
      <c r="I180">
        <f ca="1">IF(AND(ISNUMBER($I$685),$B$511=1),$I$685,HLOOKUP(INDIRECT(ADDRESS(2,COLUMN())),OFFSET($BN$2,0,0,ROW()-1,60),ROW()-1,FALSE))</f>
        <v>158656</v>
      </c>
      <c r="J180">
        <f ca="1">IF(AND(ISNUMBER($J$685),$B$511=1),$J$685,HLOOKUP(INDIRECT(ADDRESS(2,COLUMN())),OFFSET($BN$2,0,0,ROW()-1,60),ROW()-1,FALSE))</f>
        <v>159589</v>
      </c>
      <c r="K180">
        <f ca="1">IF(AND(ISNUMBER($K$685),$B$511=1),$K$685,HLOOKUP(INDIRECT(ADDRESS(2,COLUMN())),OFFSET($BN$2,0,0,ROW()-1,60),ROW()-1,FALSE))</f>
        <v>156776</v>
      </c>
      <c r="L180">
        <f ca="1">IF(AND(ISNUMBER($L$685),$B$511=1),$L$685,HLOOKUP(INDIRECT(ADDRESS(2,COLUMN())),OFFSET($BN$2,0,0,ROW()-1,60),ROW()-1,FALSE))</f>
        <v>154104</v>
      </c>
      <c r="M180">
        <f ca="1">IF(AND(ISNUMBER($M$685),$B$511=1),$M$685,HLOOKUP(INDIRECT(ADDRESS(2,COLUMN())),OFFSET($BN$2,0,0,ROW()-1,60),ROW()-1,FALSE))</f>
        <v>153596</v>
      </c>
      <c r="N180">
        <f ca="1">IF(AND(ISNUMBER($N$685),$B$511=1),$N$685,HLOOKUP(INDIRECT(ADDRESS(2,COLUMN())),OFFSET($BN$2,0,0,ROW()-1,60),ROW()-1,FALSE))</f>
        <v>153228</v>
      </c>
      <c r="O180">
        <f ca="1">IF(AND(ISNUMBER($O$685),$B$511=1),$O$685,HLOOKUP(INDIRECT(ADDRESS(2,COLUMN())),OFFSET($BN$2,0,0,ROW()-1,60),ROW()-1,FALSE))</f>
        <v>151800</v>
      </c>
      <c r="P180">
        <f ca="1">IF(AND(ISNUMBER($P$685),$B$511=1),$P$685,HLOOKUP(INDIRECT(ADDRESS(2,COLUMN())),OFFSET($BN$2,0,0,ROW()-1,60),ROW()-1,FALSE))</f>
        <v>153397</v>
      </c>
      <c r="Q180">
        <f ca="1">IF(AND(ISNUMBER($Q$685),$B$511=1),$Q$685,HLOOKUP(INDIRECT(ADDRESS(2,COLUMN())),OFFSET($BN$2,0,0,ROW()-1,60),ROW()-1,FALSE))</f>
        <v>155598</v>
      </c>
      <c r="R180">
        <f ca="1">IF(AND(ISNUMBER($R$685),$B$511=1),$R$685,HLOOKUP(INDIRECT(ADDRESS(2,COLUMN())),OFFSET($BN$2,0,0,ROW()-1,60),ROW()-1,FALSE))</f>
        <v>153376</v>
      </c>
      <c r="S180">
        <f ca="1">IF(AND(ISNUMBER($S$685),$B$511=1),$S$685,HLOOKUP(INDIRECT(ADDRESS(2,COLUMN())),OFFSET($BN$2,0,0,ROW()-1,60),ROW()-1,FALSE))</f>
        <v>149558</v>
      </c>
      <c r="T180">
        <f ca="1">IF(AND(ISNUMBER($T$685),$B$511=1),$T$685,HLOOKUP(INDIRECT(ADDRESS(2,COLUMN())),OFFSET($BN$2,0,0,ROW()-1,60),ROW()-1,FALSE))</f>
        <v>145177</v>
      </c>
      <c r="U180">
        <f ca="1">IF(AND(ISNUMBER($U$685),$B$511=1),$U$685,HLOOKUP(INDIRECT(ADDRESS(2,COLUMN())),OFFSET($BN$2,0,0,ROW()-1,60),ROW()-1,FALSE))</f>
        <v>141953</v>
      </c>
      <c r="V180">
        <f ca="1">IF(AND(ISNUMBER($V$685),$B$511=1),$V$685,HLOOKUP(INDIRECT(ADDRESS(2,COLUMN())),OFFSET($BN$2,0,0,ROW()-1,60),ROW()-1,FALSE))</f>
        <v>142101</v>
      </c>
      <c r="W180">
        <f ca="1">IF(AND(ISNUMBER($W$685),$B$511=1),$W$685,HLOOKUP(INDIRECT(ADDRESS(2,COLUMN())),OFFSET($BN$2,0,0,ROW()-1,60),ROW()-1,FALSE))</f>
        <v>144077</v>
      </c>
      <c r="X180">
        <f ca="1">IF(AND(ISNUMBER($X$685),$B$511=1),$X$685,HLOOKUP(INDIRECT(ADDRESS(2,COLUMN())),OFFSET($BN$2,0,0,ROW()-1,60),ROW()-1,FALSE))</f>
        <v>145777</v>
      </c>
      <c r="Y180">
        <f ca="1">IF(AND(ISNUMBER($Y$685),$B$511=1),$Y$685,HLOOKUP(INDIRECT(ADDRESS(2,COLUMN())),OFFSET($BN$2,0,0,ROW()-1,60),ROW()-1,FALSE))</f>
        <v>146632</v>
      </c>
      <c r="Z180">
        <f ca="1">IF(AND(ISNUMBER($Z$685),$B$511=1),$Z$685,HLOOKUP(INDIRECT(ADDRESS(2,COLUMN())),OFFSET($BN$2,0,0,ROW()-1,60),ROW()-1,FALSE))</f>
        <v>147144</v>
      </c>
      <c r="AA180">
        <f ca="1">IF(AND(ISNUMBER($AA$685),$B$511=1),$AA$685,HLOOKUP(INDIRECT(ADDRESS(2,COLUMN())),OFFSET($BN$2,0,0,ROW()-1,60),ROW()-1,FALSE))</f>
        <v>146917</v>
      </c>
      <c r="AB180">
        <f ca="1">IF(AND(ISNUMBER($AB$685),$B$511=1),$AB$685,HLOOKUP(INDIRECT(ADDRESS(2,COLUMN())),OFFSET($BN$2,0,0,ROW()-1,60),ROW()-1,FALSE))</f>
        <v>145078</v>
      </c>
      <c r="AC180">
        <f ca="1">IF(AND(ISNUMBER($AC$685),$B$511=1),$AC$685,HLOOKUP(INDIRECT(ADDRESS(2,COLUMN())),OFFSET($BN$2,0,0,ROW()-1,60),ROW()-1,FALSE))</f>
        <v>141475</v>
      </c>
      <c r="AD180">
        <f ca="1">IF(AND(ISNUMBER($AD$685),$B$511=1),$AD$685,HLOOKUP(INDIRECT(ADDRESS(2,COLUMN())),OFFSET($BN$2,0,0,ROW()-1,60),ROW()-1,FALSE))</f>
        <v>136763</v>
      </c>
      <c r="AE180">
        <f ca="1">IF(AND(ISNUMBER($AE$685),$B$511=1),$AE$685,HLOOKUP(INDIRECT(ADDRESS(2,COLUMN())),OFFSET($BN$2,0,0,ROW()-1,60),ROW()-1,FALSE))</f>
        <v>133559</v>
      </c>
      <c r="AF180">
        <f ca="1">IF(AND(ISNUMBER($AF$685),$B$511=1),$AF$685,HLOOKUP(INDIRECT(ADDRESS(2,COLUMN())),OFFSET($BN$2,0,0,ROW()-1,60),ROW()-1,FALSE))</f>
        <v>132404</v>
      </c>
      <c r="AG180">
        <f ca="1">IF(AND(ISNUMBER($AG$685),$B$511=1),$AG$685,HLOOKUP(INDIRECT(ADDRESS(2,COLUMN())),OFFSET($BN$2,0,0,ROW()-1,60),ROW()-1,FALSE))</f>
        <v>133279</v>
      </c>
      <c r="AH180">
        <f ca="1">IF(AND(ISNUMBER($AH$685),$B$511=1),$AH$685,HLOOKUP(INDIRECT(ADDRESS(2,COLUMN())),OFFSET($BN$2,0,0,ROW()-1,60),ROW()-1,FALSE))</f>
        <v>135595</v>
      </c>
      <c r="AI180">
        <f ca="1">IF(AND(ISNUMBER($AI$685),$B$511=1),$AI$685,HLOOKUP(INDIRECT(ADDRESS(2,COLUMN())),OFFSET($BN$2,0,0,ROW()-1,60),ROW()-1,FALSE))</f>
        <v>136264</v>
      </c>
      <c r="AJ180">
        <f ca="1">IF(AND(ISNUMBER($AJ$685),$B$511=1),$AJ$685,HLOOKUP(INDIRECT(ADDRESS(2,COLUMN())),OFFSET($BN$2,0,0,ROW()-1,60),ROW()-1,FALSE))</f>
        <v>134116</v>
      </c>
      <c r="AK180">
        <f ca="1">IF(AND(ISNUMBER($AK$685),$B$511=1),$AK$685,HLOOKUP(INDIRECT(ADDRESS(2,COLUMN())),OFFSET($BN$2,0,0,ROW()-1,60),ROW()-1,FALSE))</f>
        <v>130962</v>
      </c>
      <c r="AL180">
        <f ca="1">IF(AND(ISNUMBER($AL$685),$B$511=1),$AL$685,HLOOKUP(INDIRECT(ADDRESS(2,COLUMN())),OFFSET($BN$2,0,0,ROW()-1,60),ROW()-1,FALSE))</f>
        <v>130502</v>
      </c>
      <c r="AM180">
        <f ca="1">IF(AND(ISNUMBER($AM$685),$B$511=1),$AM$685,HLOOKUP(INDIRECT(ADDRESS(2,COLUMN())),OFFSET($BN$2,0,0,ROW()-1,60),ROW()-1,FALSE))</f>
        <v>128954</v>
      </c>
      <c r="AN180">
        <f ca="1">IF(AND(ISNUMBER($AN$685),$B$511=1),$AN$685,HLOOKUP(INDIRECT(ADDRESS(2,COLUMN())),OFFSET($BN$2,0,0,ROW()-1,60),ROW()-1,FALSE))</f>
        <v>129950</v>
      </c>
      <c r="AO180">
        <f ca="1">IF(AND(ISNUMBER($AO$685),$B$511=1),$AO$685,HLOOKUP(INDIRECT(ADDRESS(2,COLUMN())),OFFSET($BN$2,0,0,ROW()-1,60),ROW()-1,FALSE))</f>
        <v>130329</v>
      </c>
      <c r="AP180">
        <f ca="1">IF(AND(ISNUMBER($AP$685),$B$511=1),$AP$685,HLOOKUP(INDIRECT(ADDRESS(2,COLUMN())),OFFSET($BN$2,0,0,ROW()-1,60),ROW()-1,FALSE))</f>
        <v>122072</v>
      </c>
      <c r="AQ180">
        <f ca="1">IF(AND(ISNUMBER($AQ$685),$B$511=1),$AQ$685,HLOOKUP(INDIRECT(ADDRESS(2,COLUMN())),OFFSET($BN$2,0,0,ROW()-1,60),ROW()-1,FALSE))</f>
        <v>114896</v>
      </c>
      <c r="AR180">
        <f ca="1">IF(AND(ISNUMBER($AR$685),$B$511=1),$AR$685,HLOOKUP(INDIRECT(ADDRESS(2,COLUMN())),OFFSET($BN$2,0,0,ROW()-1,60),ROW()-1,FALSE))</f>
        <v>110446</v>
      </c>
      <c r="AS180">
        <f ca="1">IF(AND(ISNUMBER($AS$685),$B$511=1),$AS$685,HLOOKUP(INDIRECT(ADDRESS(2,COLUMN())),OFFSET($BN$2,0,0,ROW()-1,60),ROW()-1,FALSE))</f>
        <v>111920</v>
      </c>
      <c r="AT180">
        <f ca="1">IF(AND(ISNUMBER($AT$685),$B$511=1),$AT$685,HLOOKUP(INDIRECT(ADDRESS(2,COLUMN())),OFFSET($BN$2,0,0,ROW()-1,60),ROW()-1,FALSE))</f>
        <v>126212</v>
      </c>
      <c r="AU180">
        <f ca="1">IF(AND(ISNUMBER($AU$685),$B$511=1),$AU$685,HLOOKUP(INDIRECT(ADDRESS(2,COLUMN())),OFFSET($BN$2,0,0,ROW()-1,60),ROW()-1,FALSE))</f>
        <v>145114</v>
      </c>
      <c r="AV180">
        <f ca="1">IF(AND(ISNUMBER($AV$685),$B$511=1),$AV$685,HLOOKUP(INDIRECT(ADDRESS(2,COLUMN())),OFFSET($BN$2,0,0,ROW()-1,60),ROW()-1,FALSE))</f>
        <v>160256</v>
      </c>
      <c r="AW180">
        <f ca="1">IF(AND(ISNUMBER($AW$685),$B$511=1),$AW$685,HLOOKUP(INDIRECT(ADDRESS(2,COLUMN())),OFFSET($BN$2,0,0,ROW()-1,60),ROW()-1,FALSE))</f>
        <v>169588</v>
      </c>
      <c r="AX180">
        <f ca="1">IF(AND(ISNUMBER($AX$685),$B$511=1),$AX$685,HLOOKUP(INDIRECT(ADDRESS(2,COLUMN())),OFFSET($BN$2,0,0,ROW()-1,60),ROW()-1,FALSE))</f>
        <v>172728</v>
      </c>
      <c r="AY180">
        <f ca="1">IF(AND(ISNUMBER($AY$685),$B$511=1),$AY$685,HLOOKUP(INDIRECT(ADDRESS(2,COLUMN())),OFFSET($BN$2,0,0,ROW()-1,60),ROW()-1,FALSE))</f>
        <v>172441</v>
      </c>
      <c r="AZ180">
        <f ca="1">IF(AND(ISNUMBER($AZ$685),$B$511=1),$AZ$685,HLOOKUP(INDIRECT(ADDRESS(2,COLUMN())),OFFSET($BN$2,0,0,ROW()-1,60),ROW()-1,FALSE))</f>
        <v>168600</v>
      </c>
      <c r="BA180">
        <f ca="1">IF(AND(ISNUMBER($BA$685),$B$511=1),$BA$685,HLOOKUP(INDIRECT(ADDRESS(2,COLUMN())),OFFSET($BN$2,0,0,ROW()-1,60),ROW()-1,FALSE))</f>
        <v>164617</v>
      </c>
      <c r="BB180">
        <f ca="1">IF(AND(ISNUMBER($BB$685),$B$511=1),$BB$685,HLOOKUP(INDIRECT(ADDRESS(2,COLUMN())),OFFSET($BN$2,0,0,ROW()-1,60),ROW()-1,FALSE))</f>
        <v>162253</v>
      </c>
      <c r="BC180">
        <f ca="1">IF(AND(ISNUMBER($BC$685),$B$511=1),$BC$685,HLOOKUP(INDIRECT(ADDRESS(2,COLUMN())),OFFSET($BN$2,0,0,ROW()-1,60),ROW()-1,FALSE))</f>
        <v>160049</v>
      </c>
      <c r="BD180">
        <f ca="1">IF(AND(ISNUMBER($BD$685),$B$511=1),$BD$685,HLOOKUP(INDIRECT(ADDRESS(2,COLUMN())),OFFSET($BN$2,0,0,ROW()-1,60),ROW()-1,FALSE))</f>
        <v>166323</v>
      </c>
      <c r="BE180">
        <f ca="1">IF(AND(ISNUMBER($BE$685),$B$511=1),$BE$685,HLOOKUP(INDIRECT(ADDRESS(2,COLUMN())),OFFSET($BN$2,0,0,ROW()-1,60),ROW()-1,FALSE))</f>
        <v>169738</v>
      </c>
      <c r="BF180">
        <f ca="1">IF(AND(ISNUMBER($BF$685),$B$511=1),$BF$685,HLOOKUP(INDIRECT(ADDRESS(2,COLUMN())),OFFSET($BN$2,0,0,ROW()-1,60),ROW()-1,FALSE))</f>
        <v>172408</v>
      </c>
      <c r="BG180">
        <f ca="1">IF(AND(ISNUMBER($BG$685),$B$511=1),$BG$685,HLOOKUP(INDIRECT(ADDRESS(2,COLUMN())),OFFSET($BN$2,0,0,ROW()-1,60),ROW()-1,FALSE))</f>
        <v>176502</v>
      </c>
      <c r="BH180">
        <f ca="1">IF(AND(ISNUMBER($BH$685),$B$511=1),$BH$685,HLOOKUP(INDIRECT(ADDRESS(2,COLUMN())),OFFSET($BN$2,0,0,ROW()-1,60),ROW()-1,FALSE))</f>
        <v>174883</v>
      </c>
      <c r="BI180">
        <f ca="1">IF(AND(ISNUMBER($BI$685),$B$511=1),$BI$685,HLOOKUP(INDIRECT(ADDRESS(2,COLUMN())),OFFSET($BN$2,0,0,ROW()-1,60),ROW()-1,FALSE))</f>
        <v>173494</v>
      </c>
      <c r="BJ180">
        <f ca="1">IF(AND(ISNUMBER($BJ$685),$B$511=1),$BJ$685,HLOOKUP(INDIRECT(ADDRESS(2,COLUMN())),OFFSET($BN$2,0,0,ROW()-1,60),ROW()-1,FALSE))</f>
        <v>171748</v>
      </c>
      <c r="BK180">
        <f ca="1">IF(AND(ISNUMBER($BK$685),$B$511=1),$BK$685,HLOOKUP(INDIRECT(ADDRESS(2,COLUMN())),OFFSET($BN$2,0,0,ROW()-1,60),ROW()-1,FALSE))</f>
        <v>171576</v>
      </c>
      <c r="BL180">
        <f ca="1">IF(AND(ISNUMBER($BL$685),$B$511=1),$BL$685,HLOOKUP(INDIRECT(ADDRESS(2,COLUMN())),OFFSET($BN$2,0,0,ROW()-1,60),ROW()-1,FALSE))</f>
        <v>172845</v>
      </c>
      <c r="BM180">
        <f ca="1">IF(AND(ISNUMBER($BM$685),$B$511=1),$BM$685,HLOOKUP(INDIRECT(ADDRESS(2,COLUMN())),OFFSET($BN$2,0,0,ROW()-1,60),ROW()-1,FALSE))</f>
        <v>170466</v>
      </c>
      <c r="BN180" t="str">
        <f>""</f>
        <v/>
      </c>
      <c r="BO180">
        <f>160338</f>
        <v>160338</v>
      </c>
      <c r="BP180">
        <f>159871</f>
        <v>159871</v>
      </c>
      <c r="BQ180">
        <f>158656</f>
        <v>158656</v>
      </c>
      <c r="BR180">
        <f>159589</f>
        <v>159589</v>
      </c>
      <c r="BS180">
        <f>156776</f>
        <v>156776</v>
      </c>
      <c r="BT180">
        <f>154104</f>
        <v>154104</v>
      </c>
      <c r="BU180">
        <f>153596</f>
        <v>153596</v>
      </c>
      <c r="BV180">
        <f>153228</f>
        <v>153228</v>
      </c>
      <c r="BW180">
        <f>151800</f>
        <v>151800</v>
      </c>
      <c r="BX180">
        <f>153397</f>
        <v>153397</v>
      </c>
      <c r="BY180">
        <f>155598</f>
        <v>155598</v>
      </c>
      <c r="BZ180">
        <f>153376</f>
        <v>153376</v>
      </c>
      <c r="CA180">
        <f>149558</f>
        <v>149558</v>
      </c>
      <c r="CB180">
        <f>145177</f>
        <v>145177</v>
      </c>
      <c r="CC180">
        <f>141953</f>
        <v>141953</v>
      </c>
      <c r="CD180">
        <f>142101</f>
        <v>142101</v>
      </c>
      <c r="CE180">
        <f>144077</f>
        <v>144077</v>
      </c>
      <c r="CF180">
        <f>145777</f>
        <v>145777</v>
      </c>
      <c r="CG180">
        <f>146632</f>
        <v>146632</v>
      </c>
      <c r="CH180">
        <f>147144</f>
        <v>147144</v>
      </c>
      <c r="CI180">
        <f>146917</f>
        <v>146917</v>
      </c>
      <c r="CJ180">
        <f>145078</f>
        <v>145078</v>
      </c>
      <c r="CK180">
        <f>141475</f>
        <v>141475</v>
      </c>
      <c r="CL180">
        <f>136763</f>
        <v>136763</v>
      </c>
      <c r="CM180">
        <f>133559</f>
        <v>133559</v>
      </c>
      <c r="CN180">
        <f>132404</f>
        <v>132404</v>
      </c>
      <c r="CO180">
        <f>133279</f>
        <v>133279</v>
      </c>
      <c r="CP180">
        <f>135595</f>
        <v>135595</v>
      </c>
      <c r="CQ180">
        <f>136264</f>
        <v>136264</v>
      </c>
      <c r="CR180">
        <f>134116</f>
        <v>134116</v>
      </c>
      <c r="CS180">
        <f>130962</f>
        <v>130962</v>
      </c>
      <c r="CT180">
        <f>130502</f>
        <v>130502</v>
      </c>
      <c r="CU180">
        <f>128954</f>
        <v>128954</v>
      </c>
      <c r="CV180">
        <f>129950</f>
        <v>129950</v>
      </c>
      <c r="CW180">
        <f>130329</f>
        <v>130329</v>
      </c>
      <c r="CX180">
        <f>122072</f>
        <v>122072</v>
      </c>
      <c r="CY180">
        <f>114896</f>
        <v>114896</v>
      </c>
      <c r="CZ180">
        <f>110446</f>
        <v>110446</v>
      </c>
      <c r="DA180">
        <f>111920</f>
        <v>111920</v>
      </c>
      <c r="DB180">
        <f>126212</f>
        <v>126212</v>
      </c>
      <c r="DC180">
        <f>145114</f>
        <v>145114</v>
      </c>
      <c r="DD180">
        <f>160256</f>
        <v>160256</v>
      </c>
      <c r="DE180">
        <f>169588</f>
        <v>169588</v>
      </c>
      <c r="DF180">
        <f>172728</f>
        <v>172728</v>
      </c>
      <c r="DG180">
        <f>172441</f>
        <v>172441</v>
      </c>
      <c r="DH180">
        <f>168600</f>
        <v>168600</v>
      </c>
      <c r="DI180">
        <f>164617</f>
        <v>164617</v>
      </c>
      <c r="DJ180">
        <f>162253</f>
        <v>162253</v>
      </c>
      <c r="DK180">
        <f>160049</f>
        <v>160049</v>
      </c>
      <c r="DL180">
        <f>166323</f>
        <v>166323</v>
      </c>
      <c r="DM180">
        <f>169738</f>
        <v>169738</v>
      </c>
      <c r="DN180">
        <f>172408</f>
        <v>172408</v>
      </c>
      <c r="DO180">
        <f>176502</f>
        <v>176502</v>
      </c>
      <c r="DP180">
        <f>174883</f>
        <v>174883</v>
      </c>
      <c r="DQ180">
        <f>173494</f>
        <v>173494</v>
      </c>
      <c r="DR180">
        <f>171748</f>
        <v>171748</v>
      </c>
      <c r="DS180">
        <f>171576</f>
        <v>171576</v>
      </c>
      <c r="DT180">
        <f>172845</f>
        <v>172845</v>
      </c>
      <c r="DU180">
        <f>170466</f>
        <v>170466</v>
      </c>
    </row>
    <row r="181" spans="1:125" x14ac:dyDescent="0.25">
      <c r="A181" t="str">
        <f>"    Ford Otomotiv Sanayi AS"</f>
        <v xml:space="preserve">    Ford Otomotiv Sanayi AS</v>
      </c>
      <c r="B181" t="str">
        <f>"FROTOTRY EO Equity"</f>
        <v>FROTOTRY EO Equity</v>
      </c>
      <c r="C181" t="str">
        <f t="shared" si="12"/>
        <v>RR800</v>
      </c>
      <c r="D181" t="str">
        <f t="shared" si="13"/>
        <v>TRAIL_12M_NET_SALES</v>
      </c>
      <c r="E181" t="str">
        <f t="shared" si="14"/>
        <v>Dynamic</v>
      </c>
      <c r="F181" t="str">
        <f ca="1">IF(AND(ISNUMBER($F$686),$B$511=1),$F$686,HLOOKUP(INDIRECT(ADDRESS(2,COLUMN())),OFFSET($BN$2,0,0,ROW()-1,60),ROW()-1,FALSE))</f>
        <v/>
      </c>
      <c r="G181">
        <f ca="1">IF(AND(ISNUMBER($G$686),$B$511=1),$G$686,HLOOKUP(INDIRECT(ADDRESS(2,COLUMN())),OFFSET($BN$2,0,0,ROW()-1,60),ROW()-1,FALSE))</f>
        <v>7099.6174629999996</v>
      </c>
      <c r="H181">
        <f ca="1">IF(AND(ISNUMBER($H$686),$B$511=1),$H$686,HLOOKUP(INDIRECT(ADDRESS(2,COLUMN())),OFFSET($BN$2,0,0,ROW()-1,60),ROW()-1,FALSE))</f>
        <v>7347.4165759999996</v>
      </c>
      <c r="I181">
        <f ca="1">IF(AND(ISNUMBER($I$686),$B$511=1),$I$686,HLOOKUP(INDIRECT(ADDRESS(2,COLUMN())),OFFSET($BN$2,0,0,ROW()-1,60),ROW()-1,FALSE))</f>
        <v>7577.7066480000003</v>
      </c>
      <c r="J181">
        <f ca="1">IF(AND(ISNUMBER($J$686),$B$511=1),$J$686,HLOOKUP(INDIRECT(ADDRESS(2,COLUMN())),OFFSET($BN$2,0,0,ROW()-1,60),ROW()-1,FALSE))</f>
        <v>7416.4422409999997</v>
      </c>
      <c r="K181">
        <f ca="1">IF(AND(ISNUMBER($K$686),$B$511=1),$K$686,HLOOKUP(INDIRECT(ADDRESS(2,COLUMN())),OFFSET($BN$2,0,0,ROW()-1,60),ROW()-1,FALSE))</f>
        <v>6957.4098709999998</v>
      </c>
      <c r="L181">
        <f ca="1">IF(AND(ISNUMBER($L$686),$B$511=1),$L$686,HLOOKUP(INDIRECT(ADDRESS(2,COLUMN())),OFFSET($BN$2,0,0,ROW()-1,60),ROW()-1,FALSE))</f>
        <v>6492.3147280000003</v>
      </c>
      <c r="M181">
        <f ca="1">IF(AND(ISNUMBER($M$686),$B$511=1),$M$686,HLOOKUP(INDIRECT(ADDRESS(2,COLUMN())),OFFSET($BN$2,0,0,ROW()-1,60),ROW()-1,FALSE))</f>
        <v>6304.3936519999997</v>
      </c>
      <c r="N181">
        <f ca="1">IF(AND(ISNUMBER($N$686),$B$511=1),$N$686,HLOOKUP(INDIRECT(ADDRESS(2,COLUMN())),OFFSET($BN$2,0,0,ROW()-1,60),ROW()-1,FALSE))</f>
        <v>6133.624178</v>
      </c>
      <c r="O181">
        <f ca="1">IF(AND(ISNUMBER($O$686),$B$511=1),$O$686,HLOOKUP(INDIRECT(ADDRESS(2,COLUMN())),OFFSET($BN$2,0,0,ROW()-1,60),ROW()-1,FALSE))</f>
        <v>6068.1945910000004</v>
      </c>
      <c r="P181">
        <f ca="1">IF(AND(ISNUMBER($P$686),$B$511=1),$P$686,HLOOKUP(INDIRECT(ADDRESS(2,COLUMN())),OFFSET($BN$2,0,0,ROW()-1,60),ROW()-1,FALSE))</f>
        <v>6030.8969509999997</v>
      </c>
      <c r="Q181">
        <f ca="1">IF(AND(ISNUMBER($Q$686),$B$511=1),$Q$686,HLOOKUP(INDIRECT(ADDRESS(2,COLUMN())),OFFSET($BN$2,0,0,ROW()-1,60),ROW()-1,FALSE))</f>
        <v>6218.4177159999999</v>
      </c>
      <c r="R181">
        <f ca="1">IF(AND(ISNUMBER($R$686),$B$511=1),$R$686,HLOOKUP(INDIRECT(ADDRESS(2,COLUMN())),OFFSET($BN$2,0,0,ROW()-1,60),ROW()-1,FALSE))</f>
        <v>6122.3637580000004</v>
      </c>
      <c r="S181">
        <f ca="1">IF(AND(ISNUMBER($S$686),$B$511=1),$S$686,HLOOKUP(INDIRECT(ADDRESS(2,COLUMN())),OFFSET($BN$2,0,0,ROW()-1,60),ROW()-1,FALSE))</f>
        <v>6177.046171</v>
      </c>
      <c r="T181">
        <f ca="1">IF(AND(ISNUMBER($T$686),$B$511=1),$T$686,HLOOKUP(INDIRECT(ADDRESS(2,COLUMN())),OFFSET($BN$2,0,0,ROW()-1,60),ROW()-1,FALSE))</f>
        <v>6123.2762769999999</v>
      </c>
      <c r="U181">
        <f ca="1">IF(AND(ISNUMBER($U$686),$B$511=1),$U$686,HLOOKUP(INDIRECT(ADDRESS(2,COLUMN())),OFFSET($BN$2,0,0,ROW()-1,60),ROW()-1,FALSE))</f>
        <v>6006.3019510000004</v>
      </c>
      <c r="V181">
        <f ca="1">IF(AND(ISNUMBER($V$686),$B$511=1),$V$686,HLOOKUP(INDIRECT(ADDRESS(2,COLUMN())),OFFSET($BN$2,0,0,ROW()-1,60),ROW()-1,FALSE))</f>
        <v>6000.7576909999998</v>
      </c>
      <c r="W181">
        <f ca="1">IF(AND(ISNUMBER($W$686),$B$511=1),$W$686,HLOOKUP(INDIRECT(ADDRESS(2,COLUMN())),OFFSET($BN$2,0,0,ROW()-1,60),ROW()-1,FALSE))</f>
        <v>5456.3002530000003</v>
      </c>
      <c r="X181">
        <f ca="1">IF(AND(ISNUMBER($X$686),$B$511=1),$X$686,HLOOKUP(INDIRECT(ADDRESS(2,COLUMN())),OFFSET($BN$2,0,0,ROW()-1,60),ROW()-1,FALSE))</f>
        <v>5380.2321730000003</v>
      </c>
      <c r="Y181">
        <f ca="1">IF(AND(ISNUMBER($Y$686),$B$511=1),$Y$686,HLOOKUP(INDIRECT(ADDRESS(2,COLUMN())),OFFSET($BN$2,0,0,ROW()-1,60),ROW()-1,FALSE))</f>
        <v>5370.0881300000001</v>
      </c>
      <c r="Z181">
        <f ca="1">IF(AND(ISNUMBER($Z$686),$B$511=1),$Z$686,HLOOKUP(INDIRECT(ADDRESS(2,COLUMN())),OFFSET($BN$2,0,0,ROW()-1,60),ROW()-1,FALSE))</f>
        <v>5437.1181329999999</v>
      </c>
      <c r="AA181">
        <f ca="1">IF(AND(ISNUMBER($AA$686),$B$511=1),$AA$686,HLOOKUP(INDIRECT(ADDRESS(2,COLUMN())),OFFSET($BN$2,0,0,ROW()-1,60),ROW()-1,FALSE))</f>
        <v>6001.9947759999995</v>
      </c>
      <c r="AB181">
        <f ca="1">IF(AND(ISNUMBER($AB$686),$B$511=1),$AB$686,HLOOKUP(INDIRECT(ADDRESS(2,COLUMN())),OFFSET($BN$2,0,0,ROW()-1,60),ROW()-1,FALSE))</f>
        <v>5908.8249949999999</v>
      </c>
      <c r="AC181">
        <f ca="1">IF(AND(ISNUMBER($AC$686),$B$511=1),$AC$686,HLOOKUP(INDIRECT(ADDRESS(2,COLUMN())),OFFSET($BN$2,0,0,ROW()-1,60),ROW()-1,FALSE))</f>
        <v>5698.2443640000001</v>
      </c>
      <c r="AD181">
        <f ca="1">IF(AND(ISNUMBER($AD$686),$B$511=1),$AD$686,HLOOKUP(INDIRECT(ADDRESS(2,COLUMN())),OFFSET($BN$2,0,0,ROW()-1,60),ROW()-1,FALSE))</f>
        <v>5524.7612429999999</v>
      </c>
      <c r="AE181">
        <f ca="1">IF(AND(ISNUMBER($AE$686),$B$511=1),$AE$686,HLOOKUP(INDIRECT(ADDRESS(2,COLUMN())),OFFSET($BN$2,0,0,ROW()-1,60),ROW()-1,FALSE))</f>
        <v>5426.8123509999996</v>
      </c>
      <c r="AF181">
        <f ca="1">IF(AND(ISNUMBER($AF$686),$B$511=1),$AF$686,HLOOKUP(INDIRECT(ADDRESS(2,COLUMN())),OFFSET($BN$2,0,0,ROW()-1,60),ROW()-1,FALSE))</f>
        <v>5533.0615820000003</v>
      </c>
      <c r="AG181">
        <f ca="1">IF(AND(ISNUMBER($AG$686),$B$511=1),$AG$686,HLOOKUP(INDIRECT(ADDRESS(2,COLUMN())),OFFSET($BN$2,0,0,ROW()-1,60),ROW()-1,FALSE))</f>
        <v>5809.1279839999997</v>
      </c>
      <c r="AH181">
        <f ca="1">IF(AND(ISNUMBER($AH$686),$B$511=1),$AH$686,HLOOKUP(INDIRECT(ADDRESS(2,COLUMN())),OFFSET($BN$2,0,0,ROW()-1,60),ROW()-1,FALSE))</f>
        <v>6149.7749309999999</v>
      </c>
      <c r="AI181">
        <f ca="1">IF(AND(ISNUMBER($AI$686),$B$511=1),$AI$686,HLOOKUP(INDIRECT(ADDRESS(2,COLUMN())),OFFSET($BN$2,0,0,ROW()-1,60),ROW()-1,FALSE))</f>
        <v>6245.3138600000002</v>
      </c>
      <c r="AJ181">
        <f ca="1">IF(AND(ISNUMBER($AJ$686),$B$511=1),$AJ$686,HLOOKUP(INDIRECT(ADDRESS(2,COLUMN())),OFFSET($BN$2,0,0,ROW()-1,60),ROW()-1,FALSE))</f>
        <v>6334.1106289999998</v>
      </c>
      <c r="AK181">
        <f ca="1">IF(AND(ISNUMBER($AK$686),$B$511=1),$AK$686,HLOOKUP(INDIRECT(ADDRESS(2,COLUMN())),OFFSET($BN$2,0,0,ROW()-1,60),ROW()-1,FALSE))</f>
        <v>6126.4153159999996</v>
      </c>
      <c r="AL181">
        <f ca="1">IF(AND(ISNUMBER($AL$686),$B$511=1),$AL$686,HLOOKUP(INDIRECT(ADDRESS(2,COLUMN())),OFFSET($BN$2,0,0,ROW()-1,60),ROW()-1,FALSE))</f>
        <v>5573.7811650000003</v>
      </c>
      <c r="AM181">
        <f ca="1">IF(AND(ISNUMBER($AM$686),$B$511=1),$AM$686,HLOOKUP(INDIRECT(ADDRESS(2,COLUMN())),OFFSET($BN$2,0,0,ROW()-1,60),ROW()-1,FALSE))</f>
        <v>5078.9243230000002</v>
      </c>
      <c r="AN181">
        <f ca="1">IF(AND(ISNUMBER($AN$686),$B$511=1),$AN$686,HLOOKUP(INDIRECT(ADDRESS(2,COLUMN())),OFFSET($BN$2,0,0,ROW()-1,60),ROW()-1,FALSE))</f>
        <v>4490.6308920000001</v>
      </c>
      <c r="AO181">
        <f ca="1">IF(AND(ISNUMBER($AO$686),$B$511=1),$AO$686,HLOOKUP(INDIRECT(ADDRESS(2,COLUMN())),OFFSET($BN$2,0,0,ROW()-1,60),ROW()-1,FALSE))</f>
        <v>4373.1618639999997</v>
      </c>
      <c r="AP181">
        <f ca="1">IF(AND(ISNUMBER($AP$686),$B$511=1),$AP$686,HLOOKUP(INDIRECT(ADDRESS(2,COLUMN())),OFFSET($BN$2,0,0,ROW()-1,60),ROW()-1,FALSE))</f>
        <v>4042.7371870000002</v>
      </c>
      <c r="AQ181">
        <f ca="1">IF(AND(ISNUMBER($AQ$686),$B$511=1),$AQ$686,HLOOKUP(INDIRECT(ADDRESS(2,COLUMN())),OFFSET($BN$2,0,0,ROW()-1,60),ROW()-1,FALSE))</f>
        <v>3594.8403750000002</v>
      </c>
      <c r="AR181">
        <f ca="1">IF(AND(ISNUMBER($AR$686),$B$511=1),$AR$686,HLOOKUP(INDIRECT(ADDRESS(2,COLUMN())),OFFSET($BN$2,0,0,ROW()-1,60),ROW()-1,FALSE))</f>
        <v>3150.4314129999998</v>
      </c>
      <c r="AS181">
        <f ca="1">IF(AND(ISNUMBER($AS$686),$B$511=1),$AS$686,HLOOKUP(INDIRECT(ADDRESS(2,COLUMN())),OFFSET($BN$2,0,0,ROW()-1,60),ROW()-1,FALSE))</f>
        <v>3462.4941239999998</v>
      </c>
      <c r="AT181">
        <f ca="1">IF(AND(ISNUMBER($AT$686),$B$511=1),$AT$686,HLOOKUP(INDIRECT(ADDRESS(2,COLUMN())),OFFSET($BN$2,0,0,ROW()-1,60),ROW()-1,FALSE))</f>
        <v>4185.4725129999997</v>
      </c>
      <c r="AU181">
        <f ca="1">IF(AND(ISNUMBER($AU$686),$B$511=1),$AU$686,HLOOKUP(INDIRECT(ADDRESS(2,COLUMN())),OFFSET($BN$2,0,0,ROW()-1,60),ROW()-1,FALSE))</f>
        <v>5429.6785849999997</v>
      </c>
      <c r="AV181">
        <f ca="1">IF(AND(ISNUMBER($AV$686),$B$511=1),$AV$686,HLOOKUP(INDIRECT(ADDRESS(2,COLUMN())),OFFSET($BN$2,0,0,ROW()-1,60),ROW()-1,FALSE))</f>
        <v>6605.2748469999997</v>
      </c>
      <c r="AW181">
        <f ca="1">IF(AND(ISNUMBER($AW$686),$B$511=1),$AW$686,HLOOKUP(INDIRECT(ADDRESS(2,COLUMN())),OFFSET($BN$2,0,0,ROW()-1,60),ROW()-1,FALSE))</f>
        <v>6535.5213510000003</v>
      </c>
      <c r="AX181">
        <f ca="1">IF(AND(ISNUMBER($AX$686),$B$511=1),$AX$686,HLOOKUP(INDIRECT(ADDRESS(2,COLUMN())),OFFSET($BN$2,0,0,ROW()-1,60),ROW()-1,FALSE))</f>
        <v>6130.391474</v>
      </c>
      <c r="AY181">
        <f ca="1">IF(AND(ISNUMBER($AY$686),$B$511=1),$AY$686,HLOOKUP(INDIRECT(ADDRESS(2,COLUMN())),OFFSET($BN$2,0,0,ROW()-1,60),ROW()-1,FALSE))</f>
        <v>5560.8754360000003</v>
      </c>
      <c r="AZ181">
        <f ca="1">IF(AND(ISNUMBER($AZ$686),$B$511=1),$AZ$686,HLOOKUP(INDIRECT(ADDRESS(2,COLUMN())),OFFSET($BN$2,0,0,ROW()-1,60),ROW()-1,FALSE))</f>
        <v>5073.7540090000002</v>
      </c>
      <c r="BA181">
        <f ca="1">IF(AND(ISNUMBER($BA$686),$B$511=1),$BA$686,HLOOKUP(INDIRECT(ADDRESS(2,COLUMN())),OFFSET($BN$2,0,0,ROW()-1,60),ROW()-1,FALSE))</f>
        <v>4734.310367</v>
      </c>
      <c r="BB181">
        <f ca="1">IF(AND(ISNUMBER($BB$686),$B$511=1),$BB$686,HLOOKUP(INDIRECT(ADDRESS(2,COLUMN())),OFFSET($BN$2,0,0,ROW()-1,60),ROW()-1,FALSE))</f>
        <v>4611.8883539999997</v>
      </c>
      <c r="BC181">
        <f ca="1">IF(AND(ISNUMBER($BC$686),$B$511=1),$BC$686,HLOOKUP(INDIRECT(ADDRESS(2,COLUMN())),OFFSET($BN$2,0,0,ROW()-1,60),ROW()-1,FALSE))</f>
        <v>4554.8282660000004</v>
      </c>
      <c r="BD181">
        <f ca="1">IF(AND(ISNUMBER($BD$686),$B$511=1),$BD$686,HLOOKUP(INDIRECT(ADDRESS(2,COLUMN())),OFFSET($BN$2,0,0,ROW()-1,60),ROW()-1,FALSE))</f>
        <v>4494.1168610000004</v>
      </c>
      <c r="BE181">
        <f ca="1">IF(AND(ISNUMBER($BE$686),$B$511=1),$BE$686,HLOOKUP(INDIRECT(ADDRESS(2,COLUMN())),OFFSET($BN$2,0,0,ROW()-1,60),ROW()-1,FALSE))</f>
        <v>4562.2296059999999</v>
      </c>
      <c r="BF181">
        <f ca="1">IF(AND(ISNUMBER($BF$686),$B$511=1),$BF$686,HLOOKUP(INDIRECT(ADDRESS(2,COLUMN())),OFFSET($BN$2,0,0,ROW()-1,60),ROW()-1,FALSE))</f>
        <v>4544.2730890000003</v>
      </c>
      <c r="BG181">
        <f ca="1">IF(AND(ISNUMBER($BG$686),$B$511=1),$BG$686,HLOOKUP(INDIRECT(ADDRESS(2,COLUMN())),OFFSET($BN$2,0,0,ROW()-1,60),ROW()-1,FALSE))</f>
        <v>4498.5998630000004</v>
      </c>
      <c r="BH181">
        <f ca="1">IF(AND(ISNUMBER($BH$686),$B$511=1),$BH$686,HLOOKUP(INDIRECT(ADDRESS(2,COLUMN())),OFFSET($BN$2,0,0,ROW()-1,60),ROW()-1,FALSE))</f>
        <v>4336.0859250000003</v>
      </c>
      <c r="BI181">
        <f ca="1">IF(AND(ISNUMBER($BI$686),$B$511=1),$BI$686,HLOOKUP(INDIRECT(ADDRESS(2,COLUMN())),OFFSET($BN$2,0,0,ROW()-1,60),ROW()-1,FALSE))</f>
        <v>4158.6521940000002</v>
      </c>
      <c r="BJ181">
        <f ca="1">IF(AND(ISNUMBER($BJ$686),$B$511=1),$BJ$686,HLOOKUP(INDIRECT(ADDRESS(2,COLUMN())),OFFSET($BN$2,0,0,ROW()-1,60),ROW()-1,FALSE))</f>
        <v>4037.7597719999999</v>
      </c>
      <c r="BK181">
        <f ca="1">IF(AND(ISNUMBER($BK$686),$B$511=1),$BK$686,HLOOKUP(INDIRECT(ADDRESS(2,COLUMN())),OFFSET($BN$2,0,0,ROW()-1,60),ROW()-1,FALSE))</f>
        <v>3901.0273360000001</v>
      </c>
      <c r="BL181">
        <f ca="1">IF(AND(ISNUMBER($BL$686),$B$511=1),$BL$686,HLOOKUP(INDIRECT(ADDRESS(2,COLUMN())),OFFSET($BN$2,0,0,ROW()-1,60),ROW()-1,FALSE))</f>
        <v>3713.5085720000002</v>
      </c>
      <c r="BM181">
        <f ca="1">IF(AND(ISNUMBER($BM$686),$B$511=1),$BM$686,HLOOKUP(INDIRECT(ADDRESS(2,COLUMN())),OFFSET($BN$2,0,0,ROW()-1,60),ROW()-1,FALSE))</f>
        <v>3331.526879</v>
      </c>
      <c r="BN181" t="str">
        <f>""</f>
        <v/>
      </c>
      <c r="BO181">
        <f>7099.617463</f>
        <v>7099.6174629999996</v>
      </c>
      <c r="BP181">
        <f>7347.416576</f>
        <v>7347.4165759999996</v>
      </c>
      <c r="BQ181">
        <f>7577.706648</f>
        <v>7577.7066480000003</v>
      </c>
      <c r="BR181">
        <f>7416.442241</f>
        <v>7416.4422409999997</v>
      </c>
      <c r="BS181">
        <f>6957.409871</f>
        <v>6957.4098709999998</v>
      </c>
      <c r="BT181">
        <f>6492.314728</f>
        <v>6492.3147280000003</v>
      </c>
      <c r="BU181">
        <f>6304.393652</f>
        <v>6304.3936519999997</v>
      </c>
      <c r="BV181">
        <f>6133.624178</f>
        <v>6133.624178</v>
      </c>
      <c r="BW181">
        <f>6068.194591</f>
        <v>6068.1945910000004</v>
      </c>
      <c r="BX181">
        <f>6030.896951</f>
        <v>6030.8969509999997</v>
      </c>
      <c r="BY181">
        <f>6218.417716</f>
        <v>6218.4177159999999</v>
      </c>
      <c r="BZ181">
        <f>6122.363758</f>
        <v>6122.3637580000004</v>
      </c>
      <c r="CA181">
        <f>6177.046171</f>
        <v>6177.046171</v>
      </c>
      <c r="CB181">
        <f>6123.276277</f>
        <v>6123.2762769999999</v>
      </c>
      <c r="CC181">
        <f>6006.301951</f>
        <v>6006.3019510000004</v>
      </c>
      <c r="CD181">
        <f>6000.757691</f>
        <v>6000.7576909999998</v>
      </c>
      <c r="CE181">
        <f>5456.300253</f>
        <v>5456.3002530000003</v>
      </c>
      <c r="CF181">
        <f>5380.232173</f>
        <v>5380.2321730000003</v>
      </c>
      <c r="CG181">
        <f>5370.08813</f>
        <v>5370.0881300000001</v>
      </c>
      <c r="CH181">
        <f>5437.118133</f>
        <v>5437.1181329999999</v>
      </c>
      <c r="CI181">
        <f>6001.994776</f>
        <v>6001.9947759999995</v>
      </c>
      <c r="CJ181">
        <f>5908.824995</f>
        <v>5908.8249949999999</v>
      </c>
      <c r="CK181">
        <f>5698.244364</f>
        <v>5698.2443640000001</v>
      </c>
      <c r="CL181">
        <f>5524.761243</f>
        <v>5524.7612429999999</v>
      </c>
      <c r="CM181">
        <f>5426.812351</f>
        <v>5426.8123509999996</v>
      </c>
      <c r="CN181">
        <f>5533.061582</f>
        <v>5533.0615820000003</v>
      </c>
      <c r="CO181">
        <f>5809.127984</f>
        <v>5809.1279839999997</v>
      </c>
      <c r="CP181">
        <f>6149.774931</f>
        <v>6149.7749309999999</v>
      </c>
      <c r="CQ181">
        <f>6245.31386</f>
        <v>6245.3138600000002</v>
      </c>
      <c r="CR181">
        <f>6334.110629</f>
        <v>6334.1106289999998</v>
      </c>
      <c r="CS181">
        <f>6126.415316</f>
        <v>6126.4153159999996</v>
      </c>
      <c r="CT181">
        <f>5573.781165</f>
        <v>5573.7811650000003</v>
      </c>
      <c r="CU181">
        <f>5078.924323</f>
        <v>5078.9243230000002</v>
      </c>
      <c r="CV181">
        <f>4490.630892</f>
        <v>4490.6308920000001</v>
      </c>
      <c r="CW181">
        <f>4373.161864</f>
        <v>4373.1618639999997</v>
      </c>
      <c r="CX181">
        <f>4042.737187</f>
        <v>4042.7371870000002</v>
      </c>
      <c r="CY181">
        <f>3594.840375</f>
        <v>3594.8403750000002</v>
      </c>
      <c r="CZ181">
        <f>3150.431413</f>
        <v>3150.4314129999998</v>
      </c>
      <c r="DA181">
        <f>3462.494124</f>
        <v>3462.4941239999998</v>
      </c>
      <c r="DB181">
        <f>4185.472513</f>
        <v>4185.4725129999997</v>
      </c>
      <c r="DC181">
        <f>5429.678585</f>
        <v>5429.6785849999997</v>
      </c>
      <c r="DD181">
        <f>6605.274847</f>
        <v>6605.2748469999997</v>
      </c>
      <c r="DE181">
        <f>6535.521351</f>
        <v>6535.5213510000003</v>
      </c>
      <c r="DF181">
        <f>6130.391474</f>
        <v>6130.391474</v>
      </c>
      <c r="DG181">
        <f>5560.875436</f>
        <v>5560.8754360000003</v>
      </c>
      <c r="DH181">
        <f>5073.754009</f>
        <v>5073.7540090000002</v>
      </c>
      <c r="DI181">
        <f>4734.310367</f>
        <v>4734.310367</v>
      </c>
      <c r="DJ181">
        <f>4611.888354</f>
        <v>4611.8883539999997</v>
      </c>
      <c r="DK181">
        <f>4554.828266</f>
        <v>4554.8282660000004</v>
      </c>
      <c r="DL181">
        <f>4494.116861</f>
        <v>4494.1168610000004</v>
      </c>
      <c r="DM181">
        <f>4562.229606</f>
        <v>4562.2296059999999</v>
      </c>
      <c r="DN181">
        <f>4544.273089</f>
        <v>4544.2730890000003</v>
      </c>
      <c r="DO181">
        <f>4498.599863</f>
        <v>4498.5998630000004</v>
      </c>
      <c r="DP181">
        <f>4336.085925</f>
        <v>4336.0859250000003</v>
      </c>
      <c r="DQ181">
        <f>4158.652194</f>
        <v>4158.6521940000002</v>
      </c>
      <c r="DR181">
        <f>4037.759772</f>
        <v>4037.7597719999999</v>
      </c>
      <c r="DS181">
        <f>3901.027336</f>
        <v>3901.0273360000001</v>
      </c>
      <c r="DT181">
        <f>3713.508572</f>
        <v>3713.5085720000002</v>
      </c>
      <c r="DU181">
        <f>3331.526879</f>
        <v>3331.526879</v>
      </c>
    </row>
    <row r="182" spans="1:125" x14ac:dyDescent="0.25">
      <c r="A182" t="str">
        <f>"    GAZ PJSC"</f>
        <v xml:space="preserve">    GAZ PJSC</v>
      </c>
      <c r="B182" t="str">
        <f>"GAZA RM Equity"</f>
        <v>GAZA RM Equity</v>
      </c>
      <c r="C182" t="str">
        <f t="shared" si="12"/>
        <v>RR800</v>
      </c>
      <c r="D182" t="str">
        <f t="shared" si="13"/>
        <v>TRAIL_12M_NET_SALES</v>
      </c>
      <c r="E182" t="str">
        <f t="shared" si="14"/>
        <v>Dynamic</v>
      </c>
      <c r="F182" t="str">
        <f ca="1">IF(AND(ISNUMBER($F$687),$B$511=1),$F$687,HLOOKUP(INDIRECT(ADDRESS(2,COLUMN())),OFFSET($BN$2,0,0,ROW()-1,60),ROW()-1,FALSE))</f>
        <v/>
      </c>
      <c r="G182" t="str">
        <f ca="1">IF(AND(ISNUMBER($G$687),$B$511=1),$G$687,HLOOKUP(INDIRECT(ADDRESS(2,COLUMN())),OFFSET($BN$2,0,0,ROW()-1,60),ROW()-1,FALSE))</f>
        <v/>
      </c>
      <c r="H182" t="str">
        <f ca="1">IF(AND(ISNUMBER($H$687),$B$511=1),$H$687,HLOOKUP(INDIRECT(ADDRESS(2,COLUMN())),OFFSET($BN$2,0,0,ROW()-1,60),ROW()-1,FALSE))</f>
        <v/>
      </c>
      <c r="I182" t="str">
        <f ca="1">IF(AND(ISNUMBER($I$687),$B$511=1),$I$687,HLOOKUP(INDIRECT(ADDRESS(2,COLUMN())),OFFSET($BN$2,0,0,ROW()-1,60),ROW()-1,FALSE))</f>
        <v/>
      </c>
      <c r="J182" t="str">
        <f ca="1">IF(AND(ISNUMBER($J$687),$B$511=1),$J$687,HLOOKUP(INDIRECT(ADDRESS(2,COLUMN())),OFFSET($BN$2,0,0,ROW()-1,60),ROW()-1,FALSE))</f>
        <v/>
      </c>
      <c r="K182" t="str">
        <f ca="1">IF(AND(ISNUMBER($K$687),$B$511=1),$K$687,HLOOKUP(INDIRECT(ADDRESS(2,COLUMN())),OFFSET($BN$2,0,0,ROW()-1,60),ROW()-1,FALSE))</f>
        <v/>
      </c>
      <c r="L182" t="str">
        <f ca="1">IF(AND(ISNUMBER($L$687),$B$511=1),$L$687,HLOOKUP(INDIRECT(ADDRESS(2,COLUMN())),OFFSET($BN$2,0,0,ROW()-1,60),ROW()-1,FALSE))</f>
        <v/>
      </c>
      <c r="M182" t="str">
        <f ca="1">IF(AND(ISNUMBER($M$687),$B$511=1),$M$687,HLOOKUP(INDIRECT(ADDRESS(2,COLUMN())),OFFSET($BN$2,0,0,ROW()-1,60),ROW()-1,FALSE))</f>
        <v/>
      </c>
      <c r="N182" t="str">
        <f ca="1">IF(AND(ISNUMBER($N$687),$B$511=1),$N$687,HLOOKUP(INDIRECT(ADDRESS(2,COLUMN())),OFFSET($BN$2,0,0,ROW()-1,60),ROW()-1,FALSE))</f>
        <v/>
      </c>
      <c r="O182" t="str">
        <f ca="1">IF(AND(ISNUMBER($O$687),$B$511=1),$O$687,HLOOKUP(INDIRECT(ADDRESS(2,COLUMN())),OFFSET($BN$2,0,0,ROW()-1,60),ROW()-1,FALSE))</f>
        <v/>
      </c>
      <c r="P182" t="str">
        <f ca="1">IF(AND(ISNUMBER($P$687),$B$511=1),$P$687,HLOOKUP(INDIRECT(ADDRESS(2,COLUMN())),OFFSET($BN$2,0,0,ROW()-1,60),ROW()-1,FALSE))</f>
        <v/>
      </c>
      <c r="Q182" t="str">
        <f ca="1">IF(AND(ISNUMBER($Q$687),$B$511=1),$Q$687,HLOOKUP(INDIRECT(ADDRESS(2,COLUMN())),OFFSET($BN$2,0,0,ROW()-1,60),ROW()-1,FALSE))</f>
        <v/>
      </c>
      <c r="R182" t="str">
        <f ca="1">IF(AND(ISNUMBER($R$687),$B$511=1),$R$687,HLOOKUP(INDIRECT(ADDRESS(2,COLUMN())),OFFSET($BN$2,0,0,ROW()-1,60),ROW()-1,FALSE))</f>
        <v/>
      </c>
      <c r="S182" t="str">
        <f ca="1">IF(AND(ISNUMBER($S$687),$B$511=1),$S$687,HLOOKUP(INDIRECT(ADDRESS(2,COLUMN())),OFFSET($BN$2,0,0,ROW()-1,60),ROW()-1,FALSE))</f>
        <v/>
      </c>
      <c r="T182" t="str">
        <f ca="1">IF(AND(ISNUMBER($T$687),$B$511=1),$T$687,HLOOKUP(INDIRECT(ADDRESS(2,COLUMN())),OFFSET($BN$2,0,0,ROW()-1,60),ROW()-1,FALSE))</f>
        <v/>
      </c>
      <c r="U182" t="str">
        <f ca="1">IF(AND(ISNUMBER($U$687),$B$511=1),$U$687,HLOOKUP(INDIRECT(ADDRESS(2,COLUMN())),OFFSET($BN$2,0,0,ROW()-1,60),ROW()-1,FALSE))</f>
        <v/>
      </c>
      <c r="V182" t="str">
        <f ca="1">IF(AND(ISNUMBER($V$687),$B$511=1),$V$687,HLOOKUP(INDIRECT(ADDRESS(2,COLUMN())),OFFSET($BN$2,0,0,ROW()-1,60),ROW()-1,FALSE))</f>
        <v/>
      </c>
      <c r="W182" t="str">
        <f ca="1">IF(AND(ISNUMBER($W$687),$B$511=1),$W$687,HLOOKUP(INDIRECT(ADDRESS(2,COLUMN())),OFFSET($BN$2,0,0,ROW()-1,60),ROW()-1,FALSE))</f>
        <v/>
      </c>
      <c r="X182" t="str">
        <f ca="1">IF(AND(ISNUMBER($X$687),$B$511=1),$X$687,HLOOKUP(INDIRECT(ADDRESS(2,COLUMN())),OFFSET($BN$2,0,0,ROW()-1,60),ROW()-1,FALSE))</f>
        <v/>
      </c>
      <c r="Y182" t="str">
        <f ca="1">IF(AND(ISNUMBER($Y$687),$B$511=1),$Y$687,HLOOKUP(INDIRECT(ADDRESS(2,COLUMN())),OFFSET($BN$2,0,0,ROW()-1,60),ROW()-1,FALSE))</f>
        <v/>
      </c>
      <c r="Z182" t="str">
        <f ca="1">IF(AND(ISNUMBER($Z$687),$B$511=1),$Z$687,HLOOKUP(INDIRECT(ADDRESS(2,COLUMN())),OFFSET($BN$2,0,0,ROW()-1,60),ROW()-1,FALSE))</f>
        <v/>
      </c>
      <c r="AA182" t="str">
        <f ca="1">IF(AND(ISNUMBER($AA$687),$B$511=1),$AA$687,HLOOKUP(INDIRECT(ADDRESS(2,COLUMN())),OFFSET($BN$2,0,0,ROW()-1,60),ROW()-1,FALSE))</f>
        <v/>
      </c>
      <c r="AB182" t="str">
        <f ca="1">IF(AND(ISNUMBER($AB$687),$B$511=1),$AB$687,HLOOKUP(INDIRECT(ADDRESS(2,COLUMN())),OFFSET($BN$2,0,0,ROW()-1,60),ROW()-1,FALSE))</f>
        <v/>
      </c>
      <c r="AC182" t="str">
        <f ca="1">IF(AND(ISNUMBER($AC$687),$B$511=1),$AC$687,HLOOKUP(INDIRECT(ADDRESS(2,COLUMN())),OFFSET($BN$2,0,0,ROW()-1,60),ROW()-1,FALSE))</f>
        <v/>
      </c>
      <c r="AD182" t="str">
        <f ca="1">IF(AND(ISNUMBER($AD$687),$B$511=1),$AD$687,HLOOKUP(INDIRECT(ADDRESS(2,COLUMN())),OFFSET($BN$2,0,0,ROW()-1,60),ROW()-1,FALSE))</f>
        <v/>
      </c>
      <c r="AE182" t="str">
        <f ca="1">IF(AND(ISNUMBER($AE$687),$B$511=1),$AE$687,HLOOKUP(INDIRECT(ADDRESS(2,COLUMN())),OFFSET($BN$2,0,0,ROW()-1,60),ROW()-1,FALSE))</f>
        <v/>
      </c>
      <c r="AF182" t="str">
        <f ca="1">IF(AND(ISNUMBER($AF$687),$B$511=1),$AF$687,HLOOKUP(INDIRECT(ADDRESS(2,COLUMN())),OFFSET($BN$2,0,0,ROW()-1,60),ROW()-1,FALSE))</f>
        <v/>
      </c>
      <c r="AG182" t="str">
        <f ca="1">IF(AND(ISNUMBER($AG$687),$B$511=1),$AG$687,HLOOKUP(INDIRECT(ADDRESS(2,COLUMN())),OFFSET($BN$2,0,0,ROW()-1,60),ROW()-1,FALSE))</f>
        <v/>
      </c>
      <c r="AH182" t="str">
        <f ca="1">IF(AND(ISNUMBER($AH$687),$B$511=1),$AH$687,HLOOKUP(INDIRECT(ADDRESS(2,COLUMN())),OFFSET($BN$2,0,0,ROW()-1,60),ROW()-1,FALSE))</f>
        <v/>
      </c>
      <c r="AI182" t="str">
        <f ca="1">IF(AND(ISNUMBER($AI$687),$B$511=1),$AI$687,HLOOKUP(INDIRECT(ADDRESS(2,COLUMN())),OFFSET($BN$2,0,0,ROW()-1,60),ROW()-1,FALSE))</f>
        <v/>
      </c>
      <c r="AJ182" t="str">
        <f ca="1">IF(AND(ISNUMBER($AJ$687),$B$511=1),$AJ$687,HLOOKUP(INDIRECT(ADDRESS(2,COLUMN())),OFFSET($BN$2,0,0,ROW()-1,60),ROW()-1,FALSE))</f>
        <v/>
      </c>
      <c r="AK182" t="str">
        <f ca="1">IF(AND(ISNUMBER($AK$687),$B$511=1),$AK$687,HLOOKUP(INDIRECT(ADDRESS(2,COLUMN())),OFFSET($BN$2,0,0,ROW()-1,60),ROW()-1,FALSE))</f>
        <v/>
      </c>
      <c r="AL182" t="str">
        <f ca="1">IF(AND(ISNUMBER($AL$687),$B$511=1),$AL$687,HLOOKUP(INDIRECT(ADDRESS(2,COLUMN())),OFFSET($BN$2,0,0,ROW()-1,60),ROW()-1,FALSE))</f>
        <v/>
      </c>
      <c r="AM182" t="str">
        <f ca="1">IF(AND(ISNUMBER($AM$687),$B$511=1),$AM$687,HLOOKUP(INDIRECT(ADDRESS(2,COLUMN())),OFFSET($BN$2,0,0,ROW()-1,60),ROW()-1,FALSE))</f>
        <v/>
      </c>
      <c r="AN182" t="str">
        <f ca="1">IF(AND(ISNUMBER($AN$687),$B$511=1),$AN$687,HLOOKUP(INDIRECT(ADDRESS(2,COLUMN())),OFFSET($BN$2,0,0,ROW()-1,60),ROW()-1,FALSE))</f>
        <v/>
      </c>
      <c r="AO182" t="str">
        <f ca="1">IF(AND(ISNUMBER($AO$687),$B$511=1),$AO$687,HLOOKUP(INDIRECT(ADDRESS(2,COLUMN())),OFFSET($BN$2,0,0,ROW()-1,60),ROW()-1,FALSE))</f>
        <v/>
      </c>
      <c r="AP182" t="str">
        <f ca="1">IF(AND(ISNUMBER($AP$687),$B$511=1),$AP$687,HLOOKUP(INDIRECT(ADDRESS(2,COLUMN())),OFFSET($BN$2,0,0,ROW()-1,60),ROW()-1,FALSE))</f>
        <v/>
      </c>
      <c r="AQ182" t="str">
        <f ca="1">IF(AND(ISNUMBER($AQ$687),$B$511=1),$AQ$687,HLOOKUP(INDIRECT(ADDRESS(2,COLUMN())),OFFSET($BN$2,0,0,ROW()-1,60),ROW()-1,FALSE))</f>
        <v/>
      </c>
      <c r="AR182" t="str">
        <f ca="1">IF(AND(ISNUMBER($AR$687),$B$511=1),$AR$687,HLOOKUP(INDIRECT(ADDRESS(2,COLUMN())),OFFSET($BN$2,0,0,ROW()-1,60),ROW()-1,FALSE))</f>
        <v/>
      </c>
      <c r="AS182" t="str">
        <f ca="1">IF(AND(ISNUMBER($AS$687),$B$511=1),$AS$687,HLOOKUP(INDIRECT(ADDRESS(2,COLUMN())),OFFSET($BN$2,0,0,ROW()-1,60),ROW()-1,FALSE))</f>
        <v/>
      </c>
      <c r="AT182" t="str">
        <f ca="1">IF(AND(ISNUMBER($AT$687),$B$511=1),$AT$687,HLOOKUP(INDIRECT(ADDRESS(2,COLUMN())),OFFSET($BN$2,0,0,ROW()-1,60),ROW()-1,FALSE))</f>
        <v/>
      </c>
      <c r="AU182" t="str">
        <f ca="1">IF(AND(ISNUMBER($AU$687),$B$511=1),$AU$687,HLOOKUP(INDIRECT(ADDRESS(2,COLUMN())),OFFSET($BN$2,0,0,ROW()-1,60),ROW()-1,FALSE))</f>
        <v/>
      </c>
      <c r="AV182" t="str">
        <f ca="1">IF(AND(ISNUMBER($AV$687),$B$511=1),$AV$687,HLOOKUP(INDIRECT(ADDRESS(2,COLUMN())),OFFSET($BN$2,0,0,ROW()-1,60),ROW()-1,FALSE))</f>
        <v/>
      </c>
      <c r="AW182" t="str">
        <f ca="1">IF(AND(ISNUMBER($AW$687),$B$511=1),$AW$687,HLOOKUP(INDIRECT(ADDRESS(2,COLUMN())),OFFSET($BN$2,0,0,ROW()-1,60),ROW()-1,FALSE))</f>
        <v/>
      </c>
      <c r="AX182" t="str">
        <f ca="1">IF(AND(ISNUMBER($AX$687),$B$511=1),$AX$687,HLOOKUP(INDIRECT(ADDRESS(2,COLUMN())),OFFSET($BN$2,0,0,ROW()-1,60),ROW()-1,FALSE))</f>
        <v/>
      </c>
      <c r="AY182" t="str">
        <f ca="1">IF(AND(ISNUMBER($AY$687),$B$511=1),$AY$687,HLOOKUP(INDIRECT(ADDRESS(2,COLUMN())),OFFSET($BN$2,0,0,ROW()-1,60),ROW()-1,FALSE))</f>
        <v/>
      </c>
      <c r="AZ182" t="str">
        <f ca="1">IF(AND(ISNUMBER($AZ$687),$B$511=1),$AZ$687,HLOOKUP(INDIRECT(ADDRESS(2,COLUMN())),OFFSET($BN$2,0,0,ROW()-1,60),ROW()-1,FALSE))</f>
        <v/>
      </c>
      <c r="BA182" t="str">
        <f ca="1">IF(AND(ISNUMBER($BA$687),$B$511=1),$BA$687,HLOOKUP(INDIRECT(ADDRESS(2,COLUMN())),OFFSET($BN$2,0,0,ROW()-1,60),ROW()-1,FALSE))</f>
        <v/>
      </c>
      <c r="BB182" t="str">
        <f ca="1">IF(AND(ISNUMBER($BB$687),$B$511=1),$BB$687,HLOOKUP(INDIRECT(ADDRESS(2,COLUMN())),OFFSET($BN$2,0,0,ROW()-1,60),ROW()-1,FALSE))</f>
        <v/>
      </c>
      <c r="BC182" t="str">
        <f ca="1">IF(AND(ISNUMBER($BC$687),$B$511=1),$BC$687,HLOOKUP(INDIRECT(ADDRESS(2,COLUMN())),OFFSET($BN$2,0,0,ROW()-1,60),ROW()-1,FALSE))</f>
        <v/>
      </c>
      <c r="BD182" t="str">
        <f ca="1">IF(AND(ISNUMBER($BD$687),$B$511=1),$BD$687,HLOOKUP(INDIRECT(ADDRESS(2,COLUMN())),OFFSET($BN$2,0,0,ROW()-1,60),ROW()-1,FALSE))</f>
        <v/>
      </c>
      <c r="BE182" t="str">
        <f ca="1">IF(AND(ISNUMBER($BE$687),$B$511=1),$BE$687,HLOOKUP(INDIRECT(ADDRESS(2,COLUMN())),OFFSET($BN$2,0,0,ROW()-1,60),ROW()-1,FALSE))</f>
        <v/>
      </c>
      <c r="BF182" t="str">
        <f ca="1">IF(AND(ISNUMBER($BF$687),$B$511=1),$BF$687,HLOOKUP(INDIRECT(ADDRESS(2,COLUMN())),OFFSET($BN$2,0,0,ROW()-1,60),ROW()-1,FALSE))</f>
        <v/>
      </c>
      <c r="BG182" t="str">
        <f ca="1">IF(AND(ISNUMBER($BG$687),$B$511=1),$BG$687,HLOOKUP(INDIRECT(ADDRESS(2,COLUMN())),OFFSET($BN$2,0,0,ROW()-1,60),ROW()-1,FALSE))</f>
        <v/>
      </c>
      <c r="BH182" t="str">
        <f ca="1">IF(AND(ISNUMBER($BH$687),$B$511=1),$BH$687,HLOOKUP(INDIRECT(ADDRESS(2,COLUMN())),OFFSET($BN$2,0,0,ROW()-1,60),ROW()-1,FALSE))</f>
        <v/>
      </c>
      <c r="BI182" t="str">
        <f ca="1">IF(AND(ISNUMBER($BI$687),$B$511=1),$BI$687,HLOOKUP(INDIRECT(ADDRESS(2,COLUMN())),OFFSET($BN$2,0,0,ROW()-1,60),ROW()-1,FALSE))</f>
        <v/>
      </c>
      <c r="BJ182" t="str">
        <f ca="1">IF(AND(ISNUMBER($BJ$687),$B$511=1),$BJ$687,HLOOKUP(INDIRECT(ADDRESS(2,COLUMN())),OFFSET($BN$2,0,0,ROW()-1,60),ROW()-1,FALSE))</f>
        <v/>
      </c>
      <c r="BK182" t="str">
        <f ca="1">IF(AND(ISNUMBER($BK$687),$B$511=1),$BK$687,HLOOKUP(INDIRECT(ADDRESS(2,COLUMN())),OFFSET($BN$2,0,0,ROW()-1,60),ROW()-1,FALSE))</f>
        <v/>
      </c>
      <c r="BL182" t="str">
        <f ca="1">IF(AND(ISNUMBER($BL$687),$B$511=1),$BL$687,HLOOKUP(INDIRECT(ADDRESS(2,COLUMN())),OFFSET($BN$2,0,0,ROW()-1,60),ROW()-1,FALSE))</f>
        <v/>
      </c>
      <c r="BM182" t="str">
        <f ca="1">IF(AND(ISNUMBER($BM$687),$B$511=1),$BM$687,HLOOKUP(INDIRECT(ADDRESS(2,COLUMN())),OFFSET($BN$2,0,0,ROW()-1,60),ROW()-1,FALSE))</f>
        <v/>
      </c>
      <c r="BN182" t="str">
        <f>""</f>
        <v/>
      </c>
      <c r="BO182" t="str">
        <f>""</f>
        <v/>
      </c>
      <c r="BP182" t="str">
        <f>""</f>
        <v/>
      </c>
      <c r="BQ182" t="str">
        <f>""</f>
        <v/>
      </c>
      <c r="BR182" t="str">
        <f>""</f>
        <v/>
      </c>
      <c r="BS182" t="str">
        <f>""</f>
        <v/>
      </c>
      <c r="BT182" t="str">
        <f>""</f>
        <v/>
      </c>
      <c r="BU182" t="str">
        <f>""</f>
        <v/>
      </c>
      <c r="BV182" t="str">
        <f>""</f>
        <v/>
      </c>
      <c r="BW182" t="str">
        <f>""</f>
        <v/>
      </c>
      <c r="BX182" t="str">
        <f>""</f>
        <v/>
      </c>
      <c r="BY182" t="str">
        <f>""</f>
        <v/>
      </c>
      <c r="BZ182" t="str">
        <f>""</f>
        <v/>
      </c>
      <c r="CA182" t="str">
        <f>""</f>
        <v/>
      </c>
      <c r="CB182" t="str">
        <f>""</f>
        <v/>
      </c>
      <c r="CC182" t="str">
        <f>""</f>
        <v/>
      </c>
      <c r="CD182" t="str">
        <f>""</f>
        <v/>
      </c>
      <c r="CE182" t="str">
        <f>""</f>
        <v/>
      </c>
      <c r="CF182" t="str">
        <f>""</f>
        <v/>
      </c>
      <c r="CG182" t="str">
        <f>""</f>
        <v/>
      </c>
      <c r="CH182" t="str">
        <f>""</f>
        <v/>
      </c>
      <c r="CI182" t="str">
        <f>""</f>
        <v/>
      </c>
      <c r="CJ182" t="str">
        <f>""</f>
        <v/>
      </c>
      <c r="CK182" t="str">
        <f>""</f>
        <v/>
      </c>
      <c r="CL182" t="str">
        <f>""</f>
        <v/>
      </c>
      <c r="CM182" t="str">
        <f>""</f>
        <v/>
      </c>
      <c r="CN182" t="str">
        <f>""</f>
        <v/>
      </c>
      <c r="CO182" t="str">
        <f>""</f>
        <v/>
      </c>
      <c r="CP182" t="str">
        <f>""</f>
        <v/>
      </c>
      <c r="CQ182" t="str">
        <f>""</f>
        <v/>
      </c>
      <c r="CR182" t="str">
        <f>""</f>
        <v/>
      </c>
      <c r="CS182" t="str">
        <f>""</f>
        <v/>
      </c>
      <c r="CT182" t="str">
        <f>""</f>
        <v/>
      </c>
      <c r="CU182" t="str">
        <f>""</f>
        <v/>
      </c>
      <c r="CV182" t="str">
        <f>""</f>
        <v/>
      </c>
      <c r="CW182" t="str">
        <f>""</f>
        <v/>
      </c>
      <c r="CX182" t="str">
        <f>""</f>
        <v/>
      </c>
      <c r="CY182" t="str">
        <f>""</f>
        <v/>
      </c>
      <c r="CZ182" t="str">
        <f>""</f>
        <v/>
      </c>
      <c r="DA182" t="str">
        <f>""</f>
        <v/>
      </c>
      <c r="DB182" t="str">
        <f>""</f>
        <v/>
      </c>
      <c r="DC182" t="str">
        <f>""</f>
        <v/>
      </c>
      <c r="DD182" t="str">
        <f>""</f>
        <v/>
      </c>
      <c r="DE182" t="str">
        <f>""</f>
        <v/>
      </c>
      <c r="DF182" t="str">
        <f>""</f>
        <v/>
      </c>
      <c r="DG182" t="str">
        <f>""</f>
        <v/>
      </c>
      <c r="DH182" t="str">
        <f>""</f>
        <v/>
      </c>
      <c r="DI182" t="str">
        <f>""</f>
        <v/>
      </c>
      <c r="DJ182" t="str">
        <f>""</f>
        <v/>
      </c>
      <c r="DK182" t="str">
        <f>""</f>
        <v/>
      </c>
      <c r="DL182" t="str">
        <f>""</f>
        <v/>
      </c>
      <c r="DM182" t="str">
        <f>""</f>
        <v/>
      </c>
      <c r="DN182" t="str">
        <f>""</f>
        <v/>
      </c>
      <c r="DO182" t="str">
        <f>""</f>
        <v/>
      </c>
      <c r="DP182" t="str">
        <f>""</f>
        <v/>
      </c>
      <c r="DQ182" t="str">
        <f>""</f>
        <v/>
      </c>
      <c r="DR182" t="str">
        <f>""</f>
        <v/>
      </c>
      <c r="DS182" t="str">
        <f>""</f>
        <v/>
      </c>
      <c r="DT182" t="str">
        <f>""</f>
        <v/>
      </c>
      <c r="DU182" t="str">
        <f>""</f>
        <v/>
      </c>
    </row>
    <row r="183" spans="1:125" x14ac:dyDescent="0.25">
      <c r="A183" t="str">
        <f>"    Geely Automobile Holdings Ltd"</f>
        <v xml:space="preserve">    Geely Automobile Holdings Ltd</v>
      </c>
      <c r="B183" t="str">
        <f>"175 HK Equity"</f>
        <v>175 HK Equity</v>
      </c>
      <c r="C183" t="str">
        <f t="shared" si="12"/>
        <v>RR800</v>
      </c>
      <c r="D183" t="str">
        <f t="shared" si="13"/>
        <v>TRAIL_12M_NET_SALES</v>
      </c>
      <c r="E183" t="str">
        <f t="shared" si="14"/>
        <v>Dynamic</v>
      </c>
      <c r="F183" t="str">
        <f ca="1">IF(AND(ISNUMBER($F$688),$B$511=1),$F$688,HLOOKUP(INDIRECT(ADDRESS(2,COLUMN())),OFFSET($BN$2,0,0,ROW()-1,60),ROW()-1,FALSE))</f>
        <v/>
      </c>
      <c r="G183" t="str">
        <f ca="1">IF(AND(ISNUMBER($G$688),$B$511=1),$G$688,HLOOKUP(INDIRECT(ADDRESS(2,COLUMN())),OFFSET($BN$2,0,0,ROW()-1,60),ROW()-1,FALSE))</f>
        <v/>
      </c>
      <c r="H183" t="str">
        <f ca="1">IF(AND(ISNUMBER($H$688),$B$511=1),$H$688,HLOOKUP(INDIRECT(ADDRESS(2,COLUMN())),OFFSET($BN$2,0,0,ROW()-1,60),ROW()-1,FALSE))</f>
        <v/>
      </c>
      <c r="I183" t="str">
        <f ca="1">IF(AND(ISNUMBER($I$688),$B$511=1),$I$688,HLOOKUP(INDIRECT(ADDRESS(2,COLUMN())),OFFSET($BN$2,0,0,ROW()-1,60),ROW()-1,FALSE))</f>
        <v/>
      </c>
      <c r="J183" t="str">
        <f ca="1">IF(AND(ISNUMBER($J$688),$B$511=1),$J$688,HLOOKUP(INDIRECT(ADDRESS(2,COLUMN())),OFFSET($BN$2,0,0,ROW()-1,60),ROW()-1,FALSE))</f>
        <v/>
      </c>
      <c r="K183" t="str">
        <f ca="1">IF(AND(ISNUMBER($K$688),$B$511=1),$K$688,HLOOKUP(INDIRECT(ADDRESS(2,COLUMN())),OFFSET($BN$2,0,0,ROW()-1,60),ROW()-1,FALSE))</f>
        <v/>
      </c>
      <c r="L183" t="str">
        <f ca="1">IF(AND(ISNUMBER($L$688),$B$511=1),$L$688,HLOOKUP(INDIRECT(ADDRESS(2,COLUMN())),OFFSET($BN$2,0,0,ROW()-1,60),ROW()-1,FALSE))</f>
        <v/>
      </c>
      <c r="M183" t="str">
        <f ca="1">IF(AND(ISNUMBER($M$688),$B$511=1),$M$688,HLOOKUP(INDIRECT(ADDRESS(2,COLUMN())),OFFSET($BN$2,0,0,ROW()-1,60),ROW()-1,FALSE))</f>
        <v/>
      </c>
      <c r="N183" t="str">
        <f ca="1">IF(AND(ISNUMBER($N$688),$B$511=1),$N$688,HLOOKUP(INDIRECT(ADDRESS(2,COLUMN())),OFFSET($BN$2,0,0,ROW()-1,60),ROW()-1,FALSE))</f>
        <v/>
      </c>
      <c r="O183" t="str">
        <f ca="1">IF(AND(ISNUMBER($O$688),$B$511=1),$O$688,HLOOKUP(INDIRECT(ADDRESS(2,COLUMN())),OFFSET($BN$2,0,0,ROW()-1,60),ROW()-1,FALSE))</f>
        <v/>
      </c>
      <c r="P183" t="str">
        <f ca="1">IF(AND(ISNUMBER($P$688),$B$511=1),$P$688,HLOOKUP(INDIRECT(ADDRESS(2,COLUMN())),OFFSET($BN$2,0,0,ROW()-1,60),ROW()-1,FALSE))</f>
        <v/>
      </c>
      <c r="Q183" t="str">
        <f ca="1">IF(AND(ISNUMBER($Q$688),$B$511=1),$Q$688,HLOOKUP(INDIRECT(ADDRESS(2,COLUMN())),OFFSET($BN$2,0,0,ROW()-1,60),ROW()-1,FALSE))</f>
        <v/>
      </c>
      <c r="R183" t="str">
        <f ca="1">IF(AND(ISNUMBER($R$688),$B$511=1),$R$688,HLOOKUP(INDIRECT(ADDRESS(2,COLUMN())),OFFSET($BN$2,0,0,ROW()-1,60),ROW()-1,FALSE))</f>
        <v/>
      </c>
      <c r="S183" t="str">
        <f ca="1">IF(AND(ISNUMBER($S$688),$B$511=1),$S$688,HLOOKUP(INDIRECT(ADDRESS(2,COLUMN())),OFFSET($BN$2,0,0,ROW()-1,60),ROW()-1,FALSE))</f>
        <v/>
      </c>
      <c r="T183" t="str">
        <f ca="1">IF(AND(ISNUMBER($T$688),$B$511=1),$T$688,HLOOKUP(INDIRECT(ADDRESS(2,COLUMN())),OFFSET($BN$2,0,0,ROW()-1,60),ROW()-1,FALSE))</f>
        <v/>
      </c>
      <c r="U183" t="str">
        <f ca="1">IF(AND(ISNUMBER($U$688),$B$511=1),$U$688,HLOOKUP(INDIRECT(ADDRESS(2,COLUMN())),OFFSET($BN$2,0,0,ROW()-1,60),ROW()-1,FALSE))</f>
        <v/>
      </c>
      <c r="V183" t="str">
        <f ca="1">IF(AND(ISNUMBER($V$688),$B$511=1),$V$688,HLOOKUP(INDIRECT(ADDRESS(2,COLUMN())),OFFSET($BN$2,0,0,ROW()-1,60),ROW()-1,FALSE))</f>
        <v/>
      </c>
      <c r="W183" t="str">
        <f ca="1">IF(AND(ISNUMBER($W$688),$B$511=1),$W$688,HLOOKUP(INDIRECT(ADDRESS(2,COLUMN())),OFFSET($BN$2,0,0,ROW()-1,60),ROW()-1,FALSE))</f>
        <v/>
      </c>
      <c r="X183" t="str">
        <f ca="1">IF(AND(ISNUMBER($X$688),$B$511=1),$X$688,HLOOKUP(INDIRECT(ADDRESS(2,COLUMN())),OFFSET($BN$2,0,0,ROW()-1,60),ROW()-1,FALSE))</f>
        <v/>
      </c>
      <c r="Y183" t="str">
        <f ca="1">IF(AND(ISNUMBER($Y$688),$B$511=1),$Y$688,HLOOKUP(INDIRECT(ADDRESS(2,COLUMN())),OFFSET($BN$2,0,0,ROW()-1,60),ROW()-1,FALSE))</f>
        <v/>
      </c>
      <c r="Z183" t="str">
        <f ca="1">IF(AND(ISNUMBER($Z$688),$B$511=1),$Z$688,HLOOKUP(INDIRECT(ADDRESS(2,COLUMN())),OFFSET($BN$2,0,0,ROW()-1,60),ROW()-1,FALSE))</f>
        <v/>
      </c>
      <c r="AA183" t="str">
        <f ca="1">IF(AND(ISNUMBER($AA$688),$B$511=1),$AA$688,HLOOKUP(INDIRECT(ADDRESS(2,COLUMN())),OFFSET($BN$2,0,0,ROW()-1,60),ROW()-1,FALSE))</f>
        <v/>
      </c>
      <c r="AB183" t="str">
        <f ca="1">IF(AND(ISNUMBER($AB$688),$B$511=1),$AB$688,HLOOKUP(INDIRECT(ADDRESS(2,COLUMN())),OFFSET($BN$2,0,0,ROW()-1,60),ROW()-1,FALSE))</f>
        <v/>
      </c>
      <c r="AC183" t="str">
        <f ca="1">IF(AND(ISNUMBER($AC$688),$B$511=1),$AC$688,HLOOKUP(INDIRECT(ADDRESS(2,COLUMN())),OFFSET($BN$2,0,0,ROW()-1,60),ROW()-1,FALSE))</f>
        <v/>
      </c>
      <c r="AD183" t="str">
        <f ca="1">IF(AND(ISNUMBER($AD$688),$B$511=1),$AD$688,HLOOKUP(INDIRECT(ADDRESS(2,COLUMN())),OFFSET($BN$2,0,0,ROW()-1,60),ROW()-1,FALSE))</f>
        <v/>
      </c>
      <c r="AE183" t="str">
        <f ca="1">IF(AND(ISNUMBER($AE$688),$B$511=1),$AE$688,HLOOKUP(INDIRECT(ADDRESS(2,COLUMN())),OFFSET($BN$2,0,0,ROW()-1,60),ROW()-1,FALSE))</f>
        <v/>
      </c>
      <c r="AF183" t="str">
        <f ca="1">IF(AND(ISNUMBER($AF$688),$B$511=1),$AF$688,HLOOKUP(INDIRECT(ADDRESS(2,COLUMN())),OFFSET($BN$2,0,0,ROW()-1,60),ROW()-1,FALSE))</f>
        <v/>
      </c>
      <c r="AG183" t="str">
        <f ca="1">IF(AND(ISNUMBER($AG$688),$B$511=1),$AG$688,HLOOKUP(INDIRECT(ADDRESS(2,COLUMN())),OFFSET($BN$2,0,0,ROW()-1,60),ROW()-1,FALSE))</f>
        <v/>
      </c>
      <c r="AH183" t="str">
        <f ca="1">IF(AND(ISNUMBER($AH$688),$B$511=1),$AH$688,HLOOKUP(INDIRECT(ADDRESS(2,COLUMN())),OFFSET($BN$2,0,0,ROW()-1,60),ROW()-1,FALSE))</f>
        <v/>
      </c>
      <c r="AI183" t="str">
        <f ca="1">IF(AND(ISNUMBER($AI$688),$B$511=1),$AI$688,HLOOKUP(INDIRECT(ADDRESS(2,COLUMN())),OFFSET($BN$2,0,0,ROW()-1,60),ROW()-1,FALSE))</f>
        <v/>
      </c>
      <c r="AJ183" t="str">
        <f ca="1">IF(AND(ISNUMBER($AJ$688),$B$511=1),$AJ$688,HLOOKUP(INDIRECT(ADDRESS(2,COLUMN())),OFFSET($BN$2,0,0,ROW()-1,60),ROW()-1,FALSE))</f>
        <v/>
      </c>
      <c r="AK183" t="str">
        <f ca="1">IF(AND(ISNUMBER($AK$688),$B$511=1),$AK$688,HLOOKUP(INDIRECT(ADDRESS(2,COLUMN())),OFFSET($BN$2,0,0,ROW()-1,60),ROW()-1,FALSE))</f>
        <v/>
      </c>
      <c r="AL183" t="str">
        <f ca="1">IF(AND(ISNUMBER($AL$688),$B$511=1),$AL$688,HLOOKUP(INDIRECT(ADDRESS(2,COLUMN())),OFFSET($BN$2,0,0,ROW()-1,60),ROW()-1,FALSE))</f>
        <v/>
      </c>
      <c r="AM183" t="str">
        <f ca="1">IF(AND(ISNUMBER($AM$688),$B$511=1),$AM$688,HLOOKUP(INDIRECT(ADDRESS(2,COLUMN())),OFFSET($BN$2,0,0,ROW()-1,60),ROW()-1,FALSE))</f>
        <v/>
      </c>
      <c r="AN183" t="str">
        <f ca="1">IF(AND(ISNUMBER($AN$688),$B$511=1),$AN$688,HLOOKUP(INDIRECT(ADDRESS(2,COLUMN())),OFFSET($BN$2,0,0,ROW()-1,60),ROW()-1,FALSE))</f>
        <v/>
      </c>
      <c r="AO183" t="str">
        <f ca="1">IF(AND(ISNUMBER($AO$688),$B$511=1),$AO$688,HLOOKUP(INDIRECT(ADDRESS(2,COLUMN())),OFFSET($BN$2,0,0,ROW()-1,60),ROW()-1,FALSE))</f>
        <v/>
      </c>
      <c r="AP183" t="str">
        <f ca="1">IF(AND(ISNUMBER($AP$688),$B$511=1),$AP$688,HLOOKUP(INDIRECT(ADDRESS(2,COLUMN())),OFFSET($BN$2,0,0,ROW()-1,60),ROW()-1,FALSE))</f>
        <v/>
      </c>
      <c r="AQ183" t="str">
        <f ca="1">IF(AND(ISNUMBER($AQ$688),$B$511=1),$AQ$688,HLOOKUP(INDIRECT(ADDRESS(2,COLUMN())),OFFSET($BN$2,0,0,ROW()-1,60),ROW()-1,FALSE))</f>
        <v/>
      </c>
      <c r="AR183" t="str">
        <f ca="1">IF(AND(ISNUMBER($AR$688),$B$511=1),$AR$688,HLOOKUP(INDIRECT(ADDRESS(2,COLUMN())),OFFSET($BN$2,0,0,ROW()-1,60),ROW()-1,FALSE))</f>
        <v/>
      </c>
      <c r="AS183" t="str">
        <f ca="1">IF(AND(ISNUMBER($AS$688),$B$511=1),$AS$688,HLOOKUP(INDIRECT(ADDRESS(2,COLUMN())),OFFSET($BN$2,0,0,ROW()-1,60),ROW()-1,FALSE))</f>
        <v/>
      </c>
      <c r="AT183" t="str">
        <f ca="1">IF(AND(ISNUMBER($AT$688),$B$511=1),$AT$688,HLOOKUP(INDIRECT(ADDRESS(2,COLUMN())),OFFSET($BN$2,0,0,ROW()-1,60),ROW()-1,FALSE))</f>
        <v/>
      </c>
      <c r="AU183" t="str">
        <f ca="1">IF(AND(ISNUMBER($AU$688),$B$511=1),$AU$688,HLOOKUP(INDIRECT(ADDRESS(2,COLUMN())),OFFSET($BN$2,0,0,ROW()-1,60),ROW()-1,FALSE))</f>
        <v/>
      </c>
      <c r="AV183" t="str">
        <f ca="1">IF(AND(ISNUMBER($AV$688),$B$511=1),$AV$688,HLOOKUP(INDIRECT(ADDRESS(2,COLUMN())),OFFSET($BN$2,0,0,ROW()-1,60),ROW()-1,FALSE))</f>
        <v/>
      </c>
      <c r="AW183" t="str">
        <f ca="1">IF(AND(ISNUMBER($AW$688),$B$511=1),$AW$688,HLOOKUP(INDIRECT(ADDRESS(2,COLUMN())),OFFSET($BN$2,0,0,ROW()-1,60),ROW()-1,FALSE))</f>
        <v/>
      </c>
      <c r="AX183" t="str">
        <f ca="1">IF(AND(ISNUMBER($AX$688),$B$511=1),$AX$688,HLOOKUP(INDIRECT(ADDRESS(2,COLUMN())),OFFSET($BN$2,0,0,ROW()-1,60),ROW()-1,FALSE))</f>
        <v/>
      </c>
      <c r="AY183" t="str">
        <f ca="1">IF(AND(ISNUMBER($AY$688),$B$511=1),$AY$688,HLOOKUP(INDIRECT(ADDRESS(2,COLUMN())),OFFSET($BN$2,0,0,ROW()-1,60),ROW()-1,FALSE))</f>
        <v/>
      </c>
      <c r="AZ183" t="str">
        <f ca="1">IF(AND(ISNUMBER($AZ$688),$B$511=1),$AZ$688,HLOOKUP(INDIRECT(ADDRESS(2,COLUMN())),OFFSET($BN$2,0,0,ROW()-1,60),ROW()-1,FALSE))</f>
        <v/>
      </c>
      <c r="BA183" t="str">
        <f ca="1">IF(AND(ISNUMBER($BA$688),$B$511=1),$BA$688,HLOOKUP(INDIRECT(ADDRESS(2,COLUMN())),OFFSET($BN$2,0,0,ROW()-1,60),ROW()-1,FALSE))</f>
        <v/>
      </c>
      <c r="BB183" t="str">
        <f ca="1">IF(AND(ISNUMBER($BB$688),$B$511=1),$BB$688,HLOOKUP(INDIRECT(ADDRESS(2,COLUMN())),OFFSET($BN$2,0,0,ROW()-1,60),ROW()-1,FALSE))</f>
        <v/>
      </c>
      <c r="BC183" t="str">
        <f ca="1">IF(AND(ISNUMBER($BC$688),$B$511=1),$BC$688,HLOOKUP(INDIRECT(ADDRESS(2,COLUMN())),OFFSET($BN$2,0,0,ROW()-1,60),ROW()-1,FALSE))</f>
        <v/>
      </c>
      <c r="BD183" t="str">
        <f ca="1">IF(AND(ISNUMBER($BD$688),$B$511=1),$BD$688,HLOOKUP(INDIRECT(ADDRESS(2,COLUMN())),OFFSET($BN$2,0,0,ROW()-1,60),ROW()-1,FALSE))</f>
        <v/>
      </c>
      <c r="BE183" t="str">
        <f ca="1">IF(AND(ISNUMBER($BE$688),$B$511=1),$BE$688,HLOOKUP(INDIRECT(ADDRESS(2,COLUMN())),OFFSET($BN$2,0,0,ROW()-1,60),ROW()-1,FALSE))</f>
        <v/>
      </c>
      <c r="BF183" t="str">
        <f ca="1">IF(AND(ISNUMBER($BF$688),$B$511=1),$BF$688,HLOOKUP(INDIRECT(ADDRESS(2,COLUMN())),OFFSET($BN$2,0,0,ROW()-1,60),ROW()-1,FALSE))</f>
        <v/>
      </c>
      <c r="BG183" t="str">
        <f ca="1">IF(AND(ISNUMBER($BG$688),$B$511=1),$BG$688,HLOOKUP(INDIRECT(ADDRESS(2,COLUMN())),OFFSET($BN$2,0,0,ROW()-1,60),ROW()-1,FALSE))</f>
        <v/>
      </c>
      <c r="BH183" t="str">
        <f ca="1">IF(AND(ISNUMBER($BH$688),$B$511=1),$BH$688,HLOOKUP(INDIRECT(ADDRESS(2,COLUMN())),OFFSET($BN$2,0,0,ROW()-1,60),ROW()-1,FALSE))</f>
        <v/>
      </c>
      <c r="BI183" t="str">
        <f ca="1">IF(AND(ISNUMBER($BI$688),$B$511=1),$BI$688,HLOOKUP(INDIRECT(ADDRESS(2,COLUMN())),OFFSET($BN$2,0,0,ROW()-1,60),ROW()-1,FALSE))</f>
        <v/>
      </c>
      <c r="BJ183" t="str">
        <f ca="1">IF(AND(ISNUMBER($BJ$688),$B$511=1),$BJ$688,HLOOKUP(INDIRECT(ADDRESS(2,COLUMN())),OFFSET($BN$2,0,0,ROW()-1,60),ROW()-1,FALSE))</f>
        <v/>
      </c>
      <c r="BK183" t="str">
        <f ca="1">IF(AND(ISNUMBER($BK$688),$B$511=1),$BK$688,HLOOKUP(INDIRECT(ADDRESS(2,COLUMN())),OFFSET($BN$2,0,0,ROW()-1,60),ROW()-1,FALSE))</f>
        <v/>
      </c>
      <c r="BL183" t="str">
        <f ca="1">IF(AND(ISNUMBER($BL$688),$B$511=1),$BL$688,HLOOKUP(INDIRECT(ADDRESS(2,COLUMN())),OFFSET($BN$2,0,0,ROW()-1,60),ROW()-1,FALSE))</f>
        <v/>
      </c>
      <c r="BM183" t="str">
        <f ca="1">IF(AND(ISNUMBER($BM$688),$B$511=1),$BM$688,HLOOKUP(INDIRECT(ADDRESS(2,COLUMN())),OFFSET($BN$2,0,0,ROW()-1,60),ROW()-1,FALSE))</f>
        <v/>
      </c>
      <c r="BN183" t="str">
        <f>""</f>
        <v/>
      </c>
      <c r="BO183" t="str">
        <f>""</f>
        <v/>
      </c>
      <c r="BP183" t="str">
        <f>""</f>
        <v/>
      </c>
      <c r="BQ183" t="str">
        <f>""</f>
        <v/>
      </c>
      <c r="BR183" t="str">
        <f>""</f>
        <v/>
      </c>
      <c r="BS183" t="str">
        <f>""</f>
        <v/>
      </c>
      <c r="BT183" t="str">
        <f>""</f>
        <v/>
      </c>
      <c r="BU183" t="str">
        <f>""</f>
        <v/>
      </c>
      <c r="BV183" t="str">
        <f>""</f>
        <v/>
      </c>
      <c r="BW183" t="str">
        <f>""</f>
        <v/>
      </c>
      <c r="BX183" t="str">
        <f>""</f>
        <v/>
      </c>
      <c r="BY183" t="str">
        <f>""</f>
        <v/>
      </c>
      <c r="BZ183" t="str">
        <f>""</f>
        <v/>
      </c>
      <c r="CA183" t="str">
        <f>""</f>
        <v/>
      </c>
      <c r="CB183" t="str">
        <f>""</f>
        <v/>
      </c>
      <c r="CC183" t="str">
        <f>""</f>
        <v/>
      </c>
      <c r="CD183" t="str">
        <f>""</f>
        <v/>
      </c>
      <c r="CE183" t="str">
        <f>""</f>
        <v/>
      </c>
      <c r="CF183" t="str">
        <f>""</f>
        <v/>
      </c>
      <c r="CG183" t="str">
        <f>""</f>
        <v/>
      </c>
      <c r="CH183" t="str">
        <f>""</f>
        <v/>
      </c>
      <c r="CI183" t="str">
        <f>""</f>
        <v/>
      </c>
      <c r="CJ183" t="str">
        <f>""</f>
        <v/>
      </c>
      <c r="CK183" t="str">
        <f>""</f>
        <v/>
      </c>
      <c r="CL183" t="str">
        <f>""</f>
        <v/>
      </c>
      <c r="CM183" t="str">
        <f>""</f>
        <v/>
      </c>
      <c r="CN183" t="str">
        <f>""</f>
        <v/>
      </c>
      <c r="CO183" t="str">
        <f>""</f>
        <v/>
      </c>
      <c r="CP183" t="str">
        <f>""</f>
        <v/>
      </c>
      <c r="CQ183" t="str">
        <f>""</f>
        <v/>
      </c>
      <c r="CR183" t="str">
        <f>""</f>
        <v/>
      </c>
      <c r="CS183" t="str">
        <f>""</f>
        <v/>
      </c>
      <c r="CT183" t="str">
        <f>""</f>
        <v/>
      </c>
      <c r="CU183" t="str">
        <f>""</f>
        <v/>
      </c>
      <c r="CV183" t="str">
        <f>""</f>
        <v/>
      </c>
      <c r="CW183" t="str">
        <f>""</f>
        <v/>
      </c>
      <c r="CX183" t="str">
        <f>""</f>
        <v/>
      </c>
      <c r="CY183" t="str">
        <f>""</f>
        <v/>
      </c>
      <c r="CZ183" t="str">
        <f>""</f>
        <v/>
      </c>
      <c r="DA183" t="str">
        <f>""</f>
        <v/>
      </c>
      <c r="DB183" t="str">
        <f>""</f>
        <v/>
      </c>
      <c r="DC183" t="str">
        <f>""</f>
        <v/>
      </c>
      <c r="DD183" t="str">
        <f>""</f>
        <v/>
      </c>
      <c r="DE183" t="str">
        <f>""</f>
        <v/>
      </c>
      <c r="DF183" t="str">
        <f>""</f>
        <v/>
      </c>
      <c r="DG183" t="str">
        <f>""</f>
        <v/>
      </c>
      <c r="DH183" t="str">
        <f>""</f>
        <v/>
      </c>
      <c r="DI183" t="str">
        <f>""</f>
        <v/>
      </c>
      <c r="DJ183" t="str">
        <f>""</f>
        <v/>
      </c>
      <c r="DK183" t="str">
        <f>""</f>
        <v/>
      </c>
      <c r="DL183" t="str">
        <f>""</f>
        <v/>
      </c>
      <c r="DM183" t="str">
        <f>""</f>
        <v/>
      </c>
      <c r="DN183" t="str">
        <f>""</f>
        <v/>
      </c>
      <c r="DO183" t="str">
        <f>""</f>
        <v/>
      </c>
      <c r="DP183" t="str">
        <f>""</f>
        <v/>
      </c>
      <c r="DQ183" t="str">
        <f>""</f>
        <v/>
      </c>
      <c r="DR183" t="str">
        <f>""</f>
        <v/>
      </c>
      <c r="DS183" t="str">
        <f>""</f>
        <v/>
      </c>
      <c r="DT183" t="str">
        <f>""</f>
        <v/>
      </c>
      <c r="DU183" t="str">
        <f>""</f>
        <v/>
      </c>
    </row>
    <row r="184" spans="1:125" x14ac:dyDescent="0.25">
      <c r="A184" t="str">
        <f>"    General Motors Co"</f>
        <v xml:space="preserve">    General Motors Co</v>
      </c>
      <c r="B184" t="str">
        <f>"GM US Equity"</f>
        <v>GM US Equity</v>
      </c>
      <c r="C184" t="str">
        <f t="shared" si="12"/>
        <v>RR800</v>
      </c>
      <c r="D184" t="str">
        <f t="shared" si="13"/>
        <v>TRAIL_12M_NET_SALES</v>
      </c>
      <c r="E184" t="str">
        <f t="shared" si="14"/>
        <v>Dynamic</v>
      </c>
      <c r="F184" t="str">
        <f ca="1">IF(AND(ISNUMBER($F$689),$B$511=1),$F$689,HLOOKUP(INDIRECT(ADDRESS(2,COLUMN())),OFFSET($BN$2,0,0,ROW()-1,60),ROW()-1,FALSE))</f>
        <v/>
      </c>
      <c r="G184">
        <f ca="1">IF(AND(ISNUMBER($G$689),$B$511=1),$G$689,HLOOKUP(INDIRECT(ADDRESS(2,COLUMN())),OFFSET($BN$2,0,0,ROW()-1,60),ROW()-1,FALSE))</f>
        <v>147049</v>
      </c>
      <c r="H184">
        <f ca="1">IF(AND(ISNUMBER($H$689),$B$511=1),$H$689,HLOOKUP(INDIRECT(ADDRESS(2,COLUMN())),OFFSET($BN$2,0,0,ROW()-1,60),ROW()-1,FALSE))</f>
        <v>146365</v>
      </c>
      <c r="I184">
        <f ca="1">IF(AND(ISNUMBER($I$689),$B$511=1),$I$689,HLOOKUP(INDIRECT(ADDRESS(2,COLUMN())),OFFSET($BN$2,0,0,ROW()-1,60),ROW()-1,FALSE))</f>
        <v>144197</v>
      </c>
      <c r="J184">
        <f ca="1">IF(AND(ISNUMBER($J$689),$B$511=1),$J$689,HLOOKUP(INDIRECT(ADDRESS(2,COLUMN())),OFFSET($BN$2,0,0,ROW()-1,60),ROW()-1,FALSE))</f>
        <v>144421</v>
      </c>
      <c r="K184">
        <f ca="1">IF(AND(ISNUMBER($K$689),$B$511=1),$K$689,HLOOKUP(INDIRECT(ADDRESS(2,COLUMN())),OFFSET($BN$2,0,0,ROW()-1,60),ROW()-1,FALSE))</f>
        <v>145588</v>
      </c>
      <c r="L184">
        <f ca="1">IF(AND(ISNUMBER($L$689),$B$511=1),$L$689,HLOOKUP(INDIRECT(ADDRESS(2,COLUMN())),OFFSET($BN$2,0,0,ROW()-1,60),ROW()-1,FALSE))</f>
        <v>147769</v>
      </c>
      <c r="M184">
        <f ca="1">IF(AND(ISNUMBER($M$689),$B$511=1),$M$689,HLOOKUP(INDIRECT(ADDRESS(2,COLUMN())),OFFSET($BN$2,0,0,ROW()-1,60),ROW()-1,FALSE))</f>
        <v>153035</v>
      </c>
      <c r="N184">
        <f ca="1">IF(AND(ISNUMBER($N$689),$B$511=1),$N$689,HLOOKUP(INDIRECT(ADDRESS(2,COLUMN())),OFFSET($BN$2,0,0,ROW()-1,60),ROW()-1,FALSE))</f>
        <v>153434</v>
      </c>
      <c r="O184">
        <f ca="1">IF(AND(ISNUMBER($O$689),$B$511=1),$O$689,HLOOKUP(INDIRECT(ADDRESS(2,COLUMN())),OFFSET($BN$2,0,0,ROW()-1,60),ROW()-1,FALSE))</f>
        <v>153433</v>
      </c>
      <c r="P184">
        <f ca="1">IF(AND(ISNUMBER($P$689),$B$511=1),$P$689,HLOOKUP(INDIRECT(ADDRESS(2,COLUMN())),OFFSET($BN$2,0,0,ROW()-1,60),ROW()-1,FALSE))</f>
        <v>153158</v>
      </c>
      <c r="Q184">
        <f ca="1">IF(AND(ISNUMBER($Q$689),$B$511=1),$Q$689,HLOOKUP(INDIRECT(ADDRESS(2,COLUMN())),OFFSET($BN$2,0,0,ROW()-1,60),ROW()-1,FALSE))</f>
        <v>153112</v>
      </c>
      <c r="R184">
        <f ca="1">IF(AND(ISNUMBER($R$689),$B$511=1),$R$689,HLOOKUP(INDIRECT(ADDRESS(2,COLUMN())),OFFSET($BN$2,0,0,ROW()-1,60),ROW()-1,FALSE))</f>
        <v>153909</v>
      </c>
      <c r="S184">
        <f ca="1">IF(AND(ISNUMBER($S$689),$B$511=1),$S$689,HLOOKUP(INDIRECT(ADDRESS(2,COLUMN())),OFFSET($BN$2,0,0,ROW()-1,60),ROW()-1,FALSE))</f>
        <v>152356</v>
      </c>
      <c r="T184">
        <f ca="1">IF(AND(ISNUMBER($T$689),$B$511=1),$T$689,HLOOKUP(INDIRECT(ADDRESS(2,COLUMN())),OFFSET($BN$2,0,0,ROW()-1,60),ROW()-1,FALSE))</f>
        <v>152352</v>
      </c>
      <c r="U184">
        <f ca="1">IF(AND(ISNUMBER($U$689),$B$511=1),$U$689,HLOOKUP(INDIRECT(ADDRESS(2,COLUMN())),OFFSET($BN$2,0,0,ROW()-1,60),ROW()-1,FALSE))</f>
        <v>152764</v>
      </c>
      <c r="V184">
        <f ca="1">IF(AND(ISNUMBER($V$689),$B$511=1),$V$689,HLOOKUP(INDIRECT(ADDRESS(2,COLUMN())),OFFSET($BN$2,0,0,ROW()-1,60),ROW()-1,FALSE))</f>
        <v>154233</v>
      </c>
      <c r="W184">
        <f ca="1">IF(AND(ISNUMBER($W$689),$B$511=1),$W$689,HLOOKUP(INDIRECT(ADDRESS(2,COLUMN())),OFFSET($BN$2,0,0,ROW()-1,60),ROW()-1,FALSE))</f>
        <v>155929</v>
      </c>
      <c r="X184">
        <f ca="1">IF(AND(ISNUMBER($X$689),$B$511=1),$X$689,HLOOKUP(INDIRECT(ADDRESS(2,COLUMN())),OFFSET($BN$2,0,0,ROW()-1,60),ROW()-1,FALSE))</f>
        <v>156797</v>
      </c>
      <c r="Y184">
        <f ca="1">IF(AND(ISNUMBER($Y$689),$B$511=1),$Y$689,HLOOKUP(INDIRECT(ADDRESS(2,COLUMN())),OFFSET($BN$2,0,0,ROW()-1,60),ROW()-1,FALSE))</f>
        <v>156525</v>
      </c>
      <c r="Z184">
        <f ca="1">IF(AND(ISNUMBER($Z$689),$B$511=1),$Z$689,HLOOKUP(INDIRECT(ADDRESS(2,COLUMN())),OFFSET($BN$2,0,0,ROW()-1,60),ROW()-1,FALSE))</f>
        <v>155951</v>
      </c>
      <c r="AA184">
        <f ca="1">IF(AND(ISNUMBER($AA$689),$B$511=1),$AA$689,HLOOKUP(INDIRECT(ADDRESS(2,COLUMN())),OFFSET($BN$2,0,0,ROW()-1,60),ROW()-1,FALSE))</f>
        <v>155427</v>
      </c>
      <c r="AB184">
        <f ca="1">IF(AND(ISNUMBER($AB$689),$B$511=1),$AB$689,HLOOKUP(INDIRECT(ADDRESS(2,COLUMN())),OFFSET($BN$2,0,0,ROW()-1,60),ROW()-1,FALSE))</f>
        <v>154249</v>
      </c>
      <c r="AC184">
        <f ca="1">IF(AND(ISNUMBER($AC$689),$B$511=1),$AC$689,HLOOKUP(INDIRECT(ADDRESS(2,COLUMN())),OFFSET($BN$2,0,0,ROW()-1,60),ROW()-1,FALSE))</f>
        <v>152842</v>
      </c>
      <c r="AD184">
        <f ca="1">IF(AND(ISNUMBER($AD$689),$B$511=1),$AD$689,HLOOKUP(INDIRECT(ADDRESS(2,COLUMN())),OFFSET($BN$2,0,0,ROW()-1,60),ROW()-1,FALSE))</f>
        <v>151381</v>
      </c>
      <c r="AE184">
        <f ca="1">IF(AND(ISNUMBER($AE$689),$B$511=1),$AE$689,HLOOKUP(INDIRECT(ADDRESS(2,COLUMN())),OFFSET($BN$2,0,0,ROW()-1,60),ROW()-1,FALSE))</f>
        <v>152256</v>
      </c>
      <c r="AF184">
        <f ca="1">IF(AND(ISNUMBER($AF$689),$B$511=1),$AF$689,HLOOKUP(INDIRECT(ADDRESS(2,COLUMN())),OFFSET($BN$2,0,0,ROW()-1,60),ROW()-1,FALSE))</f>
        <v>150939</v>
      </c>
      <c r="AG184">
        <f ca="1">IF(AND(ISNUMBER($AG$689),$B$511=1),$AG$689,HLOOKUP(INDIRECT(ADDRESS(2,COLUMN())),OFFSET($BN$2,0,0,ROW()-1,60),ROW()-1,FALSE))</f>
        <v>150082</v>
      </c>
      <c r="AH184">
        <f ca="1">IF(AND(ISNUMBER($AH$689),$B$511=1),$AH$689,HLOOKUP(INDIRECT(ADDRESS(2,COLUMN())),OFFSET($BN$2,0,0,ROW()-1,60),ROW()-1,FALSE))</f>
        <v>151841</v>
      </c>
      <c r="AI184">
        <f ca="1">IF(AND(ISNUMBER($AI$689),$B$511=1),$AI$689,HLOOKUP(INDIRECT(ADDRESS(2,COLUMN())),OFFSET($BN$2,0,0,ROW()-1,60),ROW()-1,FALSE))</f>
        <v>150276</v>
      </c>
      <c r="AJ184">
        <f ca="1">IF(AND(ISNUMBER($AJ$689),$B$511=1),$AJ$689,HLOOKUP(INDIRECT(ADDRESS(2,COLUMN())),OFFSET($BN$2,0,0,ROW()-1,60),ROW()-1,FALSE))</f>
        <v>149168</v>
      </c>
      <c r="AK184">
        <f ca="1">IF(AND(ISNUMBER($AK$689),$B$511=1),$AK$689,HLOOKUP(INDIRECT(ADDRESS(2,COLUMN())),OFFSET($BN$2,0,0,ROW()-1,60),ROW()-1,FALSE))</f>
        <v>146509</v>
      </c>
      <c r="AL184">
        <f ca="1">IF(AND(ISNUMBER($AL$689),$B$511=1),$AL$689,HLOOKUP(INDIRECT(ADDRESS(2,COLUMN())),OFFSET($BN$2,0,0,ROW()-1,60),ROW()-1,FALSE))</f>
        <v>140310</v>
      </c>
      <c r="AM184">
        <f ca="1">IF(AND(ISNUMBER($AM$689),$B$511=1),$AM$689,HLOOKUP(INDIRECT(ADDRESS(2,COLUMN())),OFFSET($BN$2,0,0,ROW()-1,60),ROW()-1,FALSE))</f>
        <v>135592</v>
      </c>
      <c r="AN184">
        <f ca="1">IF(AND(ISNUMBER($AN$689),$B$511=1),$AN$689,HLOOKUP(INDIRECT(ADDRESS(2,COLUMN())),OFFSET($BN$2,0,0,ROW()-1,60),ROW()-1,FALSE))</f>
        <v>131037</v>
      </c>
      <c r="AO184">
        <f ca="1">IF(AND(ISNUMBER($AO$689),$B$511=1),$AO$689,HLOOKUP(INDIRECT(ADDRESS(2,COLUMN())),OFFSET($BN$2,0,0,ROW()-1,60),ROW()-1,FALSE))</f>
        <v>123761</v>
      </c>
      <c r="AP184">
        <f ca="1">IF(AND(ISNUMBER($AP$689),$B$511=1),$AP$689,HLOOKUP(INDIRECT(ADDRESS(2,COLUMN())),OFFSET($BN$2,0,0,ROW()-1,60),ROW()-1,FALSE))</f>
        <v>113634</v>
      </c>
      <c r="AQ184">
        <f ca="1">IF(AND(ISNUMBER($AQ$689),$B$511=1),$AQ$689,HLOOKUP(INDIRECT(ADDRESS(2,COLUMN())),OFFSET($BN$2,0,0,ROW()-1,60),ROW()-1,FALSE))</f>
        <v>104589</v>
      </c>
      <c r="AR184" t="str">
        <f ca="1">IF(AND(ISNUMBER($AR$689),$B$511=1),$AR$689,HLOOKUP(INDIRECT(ADDRESS(2,COLUMN())),OFFSET($BN$2,0,0,ROW()-1,60),ROW()-1,FALSE))</f>
        <v/>
      </c>
      <c r="AS184" t="str">
        <f ca="1">IF(AND(ISNUMBER($AS$689),$B$511=1),$AS$689,HLOOKUP(INDIRECT(ADDRESS(2,COLUMN())),OFFSET($BN$2,0,0,ROW()-1,60),ROW()-1,FALSE))</f>
        <v/>
      </c>
      <c r="AT184" t="str">
        <f ca="1">IF(AND(ISNUMBER($AT$689),$B$511=1),$AT$689,HLOOKUP(INDIRECT(ADDRESS(2,COLUMN())),OFFSET($BN$2,0,0,ROW()-1,60),ROW()-1,FALSE))</f>
        <v/>
      </c>
      <c r="AU184" t="str">
        <f ca="1">IF(AND(ISNUMBER($AU$689),$B$511=1),$AU$689,HLOOKUP(INDIRECT(ADDRESS(2,COLUMN())),OFFSET($BN$2,0,0,ROW()-1,60),ROW()-1,FALSE))</f>
        <v/>
      </c>
      <c r="AV184" t="str">
        <f ca="1">IF(AND(ISNUMBER($AV$689),$B$511=1),$AV$689,HLOOKUP(INDIRECT(ADDRESS(2,COLUMN())),OFFSET($BN$2,0,0,ROW()-1,60),ROW()-1,FALSE))</f>
        <v/>
      </c>
      <c r="AW184" t="str">
        <f ca="1">IF(AND(ISNUMBER($AW$689),$B$511=1),$AW$689,HLOOKUP(INDIRECT(ADDRESS(2,COLUMN())),OFFSET($BN$2,0,0,ROW()-1,60),ROW()-1,FALSE))</f>
        <v/>
      </c>
      <c r="AX184" t="str">
        <f ca="1">IF(AND(ISNUMBER($AX$689),$B$511=1),$AX$689,HLOOKUP(INDIRECT(ADDRESS(2,COLUMN())),OFFSET($BN$2,0,0,ROW()-1,60),ROW()-1,FALSE))</f>
        <v/>
      </c>
      <c r="AY184" t="str">
        <f ca="1">IF(AND(ISNUMBER($AY$689),$B$511=1),$AY$689,HLOOKUP(INDIRECT(ADDRESS(2,COLUMN())),OFFSET($BN$2,0,0,ROW()-1,60),ROW()-1,FALSE))</f>
        <v/>
      </c>
      <c r="AZ184" t="str">
        <f ca="1">IF(AND(ISNUMBER($AZ$689),$B$511=1),$AZ$689,HLOOKUP(INDIRECT(ADDRESS(2,COLUMN())),OFFSET($BN$2,0,0,ROW()-1,60),ROW()-1,FALSE))</f>
        <v/>
      </c>
      <c r="BA184" t="str">
        <f ca="1">IF(AND(ISNUMBER($BA$689),$B$511=1),$BA$689,HLOOKUP(INDIRECT(ADDRESS(2,COLUMN())),OFFSET($BN$2,0,0,ROW()-1,60),ROW()-1,FALSE))</f>
        <v/>
      </c>
      <c r="BB184" t="str">
        <f ca="1">IF(AND(ISNUMBER($BB$689),$B$511=1),$BB$689,HLOOKUP(INDIRECT(ADDRESS(2,COLUMN())),OFFSET($BN$2,0,0,ROW()-1,60),ROW()-1,FALSE))</f>
        <v/>
      </c>
      <c r="BC184" t="str">
        <f ca="1">IF(AND(ISNUMBER($BC$689),$B$511=1),$BC$689,HLOOKUP(INDIRECT(ADDRESS(2,COLUMN())),OFFSET($BN$2,0,0,ROW()-1,60),ROW()-1,FALSE))</f>
        <v/>
      </c>
      <c r="BD184" t="str">
        <f ca="1">IF(AND(ISNUMBER($BD$689),$B$511=1),$BD$689,HLOOKUP(INDIRECT(ADDRESS(2,COLUMN())),OFFSET($BN$2,0,0,ROW()-1,60),ROW()-1,FALSE))</f>
        <v/>
      </c>
      <c r="BE184" t="str">
        <f ca="1">IF(AND(ISNUMBER($BE$689),$B$511=1),$BE$689,HLOOKUP(INDIRECT(ADDRESS(2,COLUMN())),OFFSET($BN$2,0,0,ROW()-1,60),ROW()-1,FALSE))</f>
        <v/>
      </c>
      <c r="BF184" t="str">
        <f ca="1">IF(AND(ISNUMBER($BF$689),$B$511=1),$BF$689,HLOOKUP(INDIRECT(ADDRESS(2,COLUMN())),OFFSET($BN$2,0,0,ROW()-1,60),ROW()-1,FALSE))</f>
        <v/>
      </c>
      <c r="BG184" t="str">
        <f ca="1">IF(AND(ISNUMBER($BG$689),$B$511=1),$BG$689,HLOOKUP(INDIRECT(ADDRESS(2,COLUMN())),OFFSET($BN$2,0,0,ROW()-1,60),ROW()-1,FALSE))</f>
        <v/>
      </c>
      <c r="BH184" t="str">
        <f ca="1">IF(AND(ISNUMBER($BH$689),$B$511=1),$BH$689,HLOOKUP(INDIRECT(ADDRESS(2,COLUMN())),OFFSET($BN$2,0,0,ROW()-1,60),ROW()-1,FALSE))</f>
        <v/>
      </c>
      <c r="BI184" t="str">
        <f ca="1">IF(AND(ISNUMBER($BI$689),$B$511=1),$BI$689,HLOOKUP(INDIRECT(ADDRESS(2,COLUMN())),OFFSET($BN$2,0,0,ROW()-1,60),ROW()-1,FALSE))</f>
        <v/>
      </c>
      <c r="BJ184" t="str">
        <f ca="1">IF(AND(ISNUMBER($BJ$689),$B$511=1),$BJ$689,HLOOKUP(INDIRECT(ADDRESS(2,COLUMN())),OFFSET($BN$2,0,0,ROW()-1,60),ROW()-1,FALSE))</f>
        <v/>
      </c>
      <c r="BK184" t="str">
        <f ca="1">IF(AND(ISNUMBER($BK$689),$B$511=1),$BK$689,HLOOKUP(INDIRECT(ADDRESS(2,COLUMN())),OFFSET($BN$2,0,0,ROW()-1,60),ROW()-1,FALSE))</f>
        <v/>
      </c>
      <c r="BL184" t="str">
        <f ca="1">IF(AND(ISNUMBER($BL$689),$B$511=1),$BL$689,HLOOKUP(INDIRECT(ADDRESS(2,COLUMN())),OFFSET($BN$2,0,0,ROW()-1,60),ROW()-1,FALSE))</f>
        <v/>
      </c>
      <c r="BM184" t="str">
        <f ca="1">IF(AND(ISNUMBER($BM$689),$B$511=1),$BM$689,HLOOKUP(INDIRECT(ADDRESS(2,COLUMN())),OFFSET($BN$2,0,0,ROW()-1,60),ROW()-1,FALSE))</f>
        <v/>
      </c>
      <c r="BN184" t="str">
        <f>""</f>
        <v/>
      </c>
      <c r="BO184">
        <f>147049</f>
        <v>147049</v>
      </c>
      <c r="BP184">
        <f>146365</f>
        <v>146365</v>
      </c>
      <c r="BQ184">
        <f>144197</f>
        <v>144197</v>
      </c>
      <c r="BR184">
        <f>144421</f>
        <v>144421</v>
      </c>
      <c r="BS184">
        <f>145588</f>
        <v>145588</v>
      </c>
      <c r="BT184">
        <f>147769</f>
        <v>147769</v>
      </c>
      <c r="BU184">
        <f>153035</f>
        <v>153035</v>
      </c>
      <c r="BV184">
        <f>153434</f>
        <v>153434</v>
      </c>
      <c r="BW184">
        <f>153433</f>
        <v>153433</v>
      </c>
      <c r="BX184">
        <f>153158</f>
        <v>153158</v>
      </c>
      <c r="BY184">
        <f>153112</f>
        <v>153112</v>
      </c>
      <c r="BZ184">
        <f>153909</f>
        <v>153909</v>
      </c>
      <c r="CA184">
        <f>152356</f>
        <v>152356</v>
      </c>
      <c r="CB184">
        <f>152352</f>
        <v>152352</v>
      </c>
      <c r="CC184">
        <f>152764</f>
        <v>152764</v>
      </c>
      <c r="CD184">
        <f>154233</f>
        <v>154233</v>
      </c>
      <c r="CE184">
        <f>155929</f>
        <v>155929</v>
      </c>
      <c r="CF184">
        <f>156797</f>
        <v>156797</v>
      </c>
      <c r="CG184">
        <f>156525</f>
        <v>156525</v>
      </c>
      <c r="CH184">
        <f>155951</f>
        <v>155951</v>
      </c>
      <c r="CI184">
        <f>155427</f>
        <v>155427</v>
      </c>
      <c r="CJ184">
        <f>154249</f>
        <v>154249</v>
      </c>
      <c r="CK184">
        <f>152842</f>
        <v>152842</v>
      </c>
      <c r="CL184">
        <f>151381</f>
        <v>151381</v>
      </c>
      <c r="CM184">
        <f>152256</f>
        <v>152256</v>
      </c>
      <c r="CN184">
        <f>150939</f>
        <v>150939</v>
      </c>
      <c r="CO184">
        <f>150082</f>
        <v>150082</v>
      </c>
      <c r="CP184">
        <f>151841</f>
        <v>151841</v>
      </c>
      <c r="CQ184">
        <f>150276</f>
        <v>150276</v>
      </c>
      <c r="CR184">
        <f>149168</f>
        <v>149168</v>
      </c>
      <c r="CS184">
        <f>146509</f>
        <v>146509</v>
      </c>
      <c r="CT184">
        <f>140310</f>
        <v>140310</v>
      </c>
      <c r="CU184">
        <f>135592</f>
        <v>135592</v>
      </c>
      <c r="CV184">
        <f>131037</f>
        <v>131037</v>
      </c>
      <c r="CW184">
        <f>123761</f>
        <v>123761</v>
      </c>
      <c r="CX184">
        <f>113634</f>
        <v>113634</v>
      </c>
      <c r="CY184">
        <f>104589</f>
        <v>104589</v>
      </c>
      <c r="CZ184" t="str">
        <f>""</f>
        <v/>
      </c>
      <c r="DA184" t="str">
        <f>""</f>
        <v/>
      </c>
      <c r="DB184" t="str">
        <f>""</f>
        <v/>
      </c>
      <c r="DC184" t="str">
        <f>""</f>
        <v/>
      </c>
      <c r="DD184" t="str">
        <f>""</f>
        <v/>
      </c>
      <c r="DE184" t="str">
        <f>""</f>
        <v/>
      </c>
      <c r="DF184" t="str">
        <f>""</f>
        <v/>
      </c>
      <c r="DG184" t="str">
        <f>""</f>
        <v/>
      </c>
      <c r="DH184" t="str">
        <f>""</f>
        <v/>
      </c>
      <c r="DI184" t="str">
        <f>""</f>
        <v/>
      </c>
      <c r="DJ184" t="str">
        <f>""</f>
        <v/>
      </c>
      <c r="DK184" t="str">
        <f>""</f>
        <v/>
      </c>
      <c r="DL184" t="str">
        <f>""</f>
        <v/>
      </c>
      <c r="DM184" t="str">
        <f>""</f>
        <v/>
      </c>
      <c r="DN184" t="str">
        <f>""</f>
        <v/>
      </c>
      <c r="DO184" t="str">
        <f>""</f>
        <v/>
      </c>
      <c r="DP184" t="str">
        <f>""</f>
        <v/>
      </c>
      <c r="DQ184" t="str">
        <f>""</f>
        <v/>
      </c>
      <c r="DR184" t="str">
        <f>""</f>
        <v/>
      </c>
      <c r="DS184" t="str">
        <f>""</f>
        <v/>
      </c>
      <c r="DT184" t="str">
        <f>""</f>
        <v/>
      </c>
      <c r="DU184" t="str">
        <f>""</f>
        <v/>
      </c>
    </row>
    <row r="185" spans="1:125" x14ac:dyDescent="0.25">
      <c r="A185" t="str">
        <f>"    Great Wall Motor Co Ltd"</f>
        <v xml:space="preserve">    Great Wall Motor Co Ltd</v>
      </c>
      <c r="B185" t="str">
        <f>"2333 HK Equity"</f>
        <v>2333 HK Equity</v>
      </c>
      <c r="C185" t="str">
        <f t="shared" si="12"/>
        <v>RR800</v>
      </c>
      <c r="D185" t="str">
        <f t="shared" si="13"/>
        <v>TRAIL_12M_NET_SALES</v>
      </c>
      <c r="E185" t="str">
        <f t="shared" si="14"/>
        <v>Dynamic</v>
      </c>
      <c r="F185" t="str">
        <f ca="1">IF(AND(ISNUMBER($F$690),$B$511=1),$F$690,HLOOKUP(INDIRECT(ADDRESS(2,COLUMN())),OFFSET($BN$2,0,0,ROW()-1,60),ROW()-1,FALSE))</f>
        <v/>
      </c>
      <c r="G185" t="str">
        <f ca="1">IF(AND(ISNUMBER($G$690),$B$511=1),$G$690,HLOOKUP(INDIRECT(ADDRESS(2,COLUMN())),OFFSET($BN$2,0,0,ROW()-1,60),ROW()-1,FALSE))</f>
        <v/>
      </c>
      <c r="H185">
        <f ca="1">IF(AND(ISNUMBER($H$690),$B$511=1),$H$690,HLOOKUP(INDIRECT(ADDRESS(2,COLUMN())),OFFSET($BN$2,0,0,ROW()-1,60),ROW()-1,FALSE))</f>
        <v>15345.09217</v>
      </c>
      <c r="I185">
        <f ca="1">IF(AND(ISNUMBER($I$690),$B$511=1),$I$690,HLOOKUP(INDIRECT(ADDRESS(2,COLUMN())),OFFSET($BN$2,0,0,ROW()-1,60),ROW()-1,FALSE))</f>
        <v>16046.04889</v>
      </c>
      <c r="J185">
        <f ca="1">IF(AND(ISNUMBER($J$690),$B$511=1),$J$690,HLOOKUP(INDIRECT(ADDRESS(2,COLUMN())),OFFSET($BN$2,0,0,ROW()-1,60),ROW()-1,FALSE))</f>
        <v>15157.13463</v>
      </c>
      <c r="K185">
        <f ca="1">IF(AND(ISNUMBER($K$690),$B$511=1),$K$690,HLOOKUP(INDIRECT(ADDRESS(2,COLUMN())),OFFSET($BN$2,0,0,ROW()-1,60),ROW()-1,FALSE))</f>
        <v>14409.2729</v>
      </c>
      <c r="L185">
        <f ca="1">IF(AND(ISNUMBER($L$690),$B$511=1),$L$690,HLOOKUP(INDIRECT(ADDRESS(2,COLUMN())),OFFSET($BN$2,0,0,ROW()-1,60),ROW()-1,FALSE))</f>
        <v>13914.588729999999</v>
      </c>
      <c r="M185">
        <f ca="1">IF(AND(ISNUMBER($M$690),$B$511=1),$M$690,HLOOKUP(INDIRECT(ADDRESS(2,COLUMN())),OFFSET($BN$2,0,0,ROW()-1,60),ROW()-1,FALSE))</f>
        <v>13880.452020000001</v>
      </c>
      <c r="N185">
        <f ca="1">IF(AND(ISNUMBER($N$690),$B$511=1),$N$690,HLOOKUP(INDIRECT(ADDRESS(2,COLUMN())),OFFSET($BN$2,0,0,ROW()-1,60),ROW()-1,FALSE))</f>
        <v>14454.482980000001</v>
      </c>
      <c r="O185">
        <f ca="1">IF(AND(ISNUMBER($O$690),$B$511=1),$O$690,HLOOKUP(INDIRECT(ADDRESS(2,COLUMN())),OFFSET($BN$2,0,0,ROW()-1,60),ROW()-1,FALSE))</f>
        <v>14273.155189999999</v>
      </c>
      <c r="P185">
        <f ca="1">IF(AND(ISNUMBER($P$690),$B$511=1),$P$690,HLOOKUP(INDIRECT(ADDRESS(2,COLUMN())),OFFSET($BN$2,0,0,ROW()-1,60),ROW()-1,FALSE))</f>
        <v>12798.84606</v>
      </c>
      <c r="Q185">
        <f ca="1">IF(AND(ISNUMBER($Q$690),$B$511=1),$Q$690,HLOOKUP(INDIRECT(ADDRESS(2,COLUMN())),OFFSET($BN$2,0,0,ROW()-1,60),ROW()-1,FALSE))</f>
        <v>12029.23504</v>
      </c>
      <c r="R185">
        <f ca="1">IF(AND(ISNUMBER($R$690),$B$511=1),$R$690,HLOOKUP(INDIRECT(ADDRESS(2,COLUMN())),OFFSET($BN$2,0,0,ROW()-1,60),ROW()-1,FALSE))</f>
        <v>11736.47486</v>
      </c>
      <c r="S185">
        <f ca="1">IF(AND(ISNUMBER($S$690),$B$511=1),$S$690,HLOOKUP(INDIRECT(ADDRESS(2,COLUMN())),OFFSET($BN$2,0,0,ROW()-1,60),ROW()-1,FALSE))</f>
        <v>11640.934499999999</v>
      </c>
      <c r="T185">
        <f ca="1">IF(AND(ISNUMBER($T$690),$B$511=1),$T$690,HLOOKUP(INDIRECT(ADDRESS(2,COLUMN())),OFFSET($BN$2,0,0,ROW()-1,60),ROW()-1,FALSE))</f>
        <v>11235.318579999999</v>
      </c>
      <c r="U185">
        <f ca="1">IF(AND(ISNUMBER($U$690),$B$511=1),$U$690,HLOOKUP(INDIRECT(ADDRESS(2,COLUMN())),OFFSET($BN$2,0,0,ROW()-1,60),ROW()-1,FALSE))</f>
        <v>11086.50821</v>
      </c>
      <c r="V185">
        <f ca="1">IF(AND(ISNUMBER($V$690),$B$511=1),$V$690,HLOOKUP(INDIRECT(ADDRESS(2,COLUMN())),OFFSET($BN$2,0,0,ROW()-1,60),ROW()-1,FALSE))</f>
        <v>10451.28239</v>
      </c>
      <c r="W185">
        <f ca="1">IF(AND(ISNUMBER($W$690),$B$511=1),$W$690,HLOOKUP(INDIRECT(ADDRESS(2,COLUMN())),OFFSET($BN$2,0,0,ROW()-1,60),ROW()-1,FALSE))</f>
        <v>9790.1325689999994</v>
      </c>
      <c r="X185">
        <f ca="1">IF(AND(ISNUMBER($X$690),$B$511=1),$X$690,HLOOKUP(INDIRECT(ADDRESS(2,COLUMN())),OFFSET($BN$2,0,0,ROW()-1,60),ROW()-1,FALSE))</f>
        <v>9193.7731399999993</v>
      </c>
      <c r="Y185">
        <f ca="1">IF(AND(ISNUMBER($Y$690),$B$511=1),$Y$690,HLOOKUP(INDIRECT(ADDRESS(2,COLUMN())),OFFSET($BN$2,0,0,ROW()-1,60),ROW()-1,FALSE))</f>
        <v>9257.7244210000008</v>
      </c>
      <c r="Z185">
        <f ca="1">IF(AND(ISNUMBER($Z$690),$B$511=1),$Z$690,HLOOKUP(INDIRECT(ADDRESS(2,COLUMN())),OFFSET($BN$2,0,0,ROW()-1,60),ROW()-1,FALSE))</f>
        <v>9262.6603319999995</v>
      </c>
      <c r="AA185">
        <f ca="1">IF(AND(ISNUMBER($AA$690),$B$511=1),$AA$690,HLOOKUP(INDIRECT(ADDRESS(2,COLUMN())),OFFSET($BN$2,0,0,ROW()-1,60),ROW()-1,FALSE))</f>
        <v>8902.0489109999999</v>
      </c>
      <c r="AB185">
        <f ca="1">IF(AND(ISNUMBER($AB$690),$B$511=1),$AB$690,HLOOKUP(INDIRECT(ADDRESS(2,COLUMN())),OFFSET($BN$2,0,0,ROW()-1,60),ROW()-1,FALSE))</f>
        <v>8482.3374320000003</v>
      </c>
      <c r="AC185">
        <f ca="1">IF(AND(ISNUMBER($AC$690),$B$511=1),$AC$690,HLOOKUP(INDIRECT(ADDRESS(2,COLUMN())),OFFSET($BN$2,0,0,ROW()-1,60),ROW()-1,FALSE))</f>
        <v>7910.8617990000002</v>
      </c>
      <c r="AD185">
        <f ca="1">IF(AND(ISNUMBER($AD$690),$B$511=1),$AD$690,HLOOKUP(INDIRECT(ADDRESS(2,COLUMN())),OFFSET($BN$2,0,0,ROW()-1,60),ROW()-1,FALSE))</f>
        <v>7221.4118840000001</v>
      </c>
      <c r="AE185">
        <f ca="1">IF(AND(ISNUMBER($AE$690),$B$511=1),$AE$690,HLOOKUP(INDIRECT(ADDRESS(2,COLUMN())),OFFSET($BN$2,0,0,ROW()-1,60),ROW()-1,FALSE))</f>
        <v>6587.6078200000002</v>
      </c>
      <c r="AF185">
        <f ca="1">IF(AND(ISNUMBER($AF$690),$B$511=1),$AF$690,HLOOKUP(INDIRECT(ADDRESS(2,COLUMN())),OFFSET($BN$2,0,0,ROW()-1,60),ROW()-1,FALSE))</f>
        <v>5801.6450619999996</v>
      </c>
      <c r="AG185">
        <f ca="1">IF(AND(ISNUMBER($AG$690),$B$511=1),$AG$690,HLOOKUP(INDIRECT(ADDRESS(2,COLUMN())),OFFSET($BN$2,0,0,ROW()-1,60),ROW()-1,FALSE))</f>
        <v>5193.1864850000002</v>
      </c>
      <c r="AH185" t="str">
        <f ca="1">IF(AND(ISNUMBER($AH$690),$B$511=1),$AH$690,HLOOKUP(INDIRECT(ADDRESS(2,COLUMN())),OFFSET($BN$2,0,0,ROW()-1,60),ROW()-1,FALSE))</f>
        <v/>
      </c>
      <c r="AI185" t="str">
        <f ca="1">IF(AND(ISNUMBER($AI$690),$B$511=1),$AI$690,HLOOKUP(INDIRECT(ADDRESS(2,COLUMN())),OFFSET($BN$2,0,0,ROW()-1,60),ROW()-1,FALSE))</f>
        <v/>
      </c>
      <c r="AJ185" t="str">
        <f ca="1">IF(AND(ISNUMBER($AJ$690),$B$511=1),$AJ$690,HLOOKUP(INDIRECT(ADDRESS(2,COLUMN())),OFFSET($BN$2,0,0,ROW()-1,60),ROW()-1,FALSE))</f>
        <v/>
      </c>
      <c r="AK185" t="str">
        <f ca="1">IF(AND(ISNUMBER($AK$690),$B$511=1),$AK$690,HLOOKUP(INDIRECT(ADDRESS(2,COLUMN())),OFFSET($BN$2,0,0,ROW()-1,60),ROW()-1,FALSE))</f>
        <v/>
      </c>
      <c r="AL185" t="str">
        <f ca="1">IF(AND(ISNUMBER($AL$690),$B$511=1),$AL$690,HLOOKUP(INDIRECT(ADDRESS(2,COLUMN())),OFFSET($BN$2,0,0,ROW()-1,60),ROW()-1,FALSE))</f>
        <v/>
      </c>
      <c r="AM185" t="str">
        <f ca="1">IF(AND(ISNUMBER($AM$690),$B$511=1),$AM$690,HLOOKUP(INDIRECT(ADDRESS(2,COLUMN())),OFFSET($BN$2,0,0,ROW()-1,60),ROW()-1,FALSE))</f>
        <v/>
      </c>
      <c r="AN185" t="str">
        <f ca="1">IF(AND(ISNUMBER($AN$690),$B$511=1),$AN$690,HLOOKUP(INDIRECT(ADDRESS(2,COLUMN())),OFFSET($BN$2,0,0,ROW()-1,60),ROW()-1,FALSE))</f>
        <v/>
      </c>
      <c r="AO185" t="str">
        <f ca="1">IF(AND(ISNUMBER($AO$690),$B$511=1),$AO$690,HLOOKUP(INDIRECT(ADDRESS(2,COLUMN())),OFFSET($BN$2,0,0,ROW()-1,60),ROW()-1,FALSE))</f>
        <v/>
      </c>
      <c r="AP185" t="str">
        <f ca="1">IF(AND(ISNUMBER($AP$690),$B$511=1),$AP$690,HLOOKUP(INDIRECT(ADDRESS(2,COLUMN())),OFFSET($BN$2,0,0,ROW()-1,60),ROW()-1,FALSE))</f>
        <v/>
      </c>
      <c r="AQ185" t="str">
        <f ca="1">IF(AND(ISNUMBER($AQ$690),$B$511=1),$AQ$690,HLOOKUP(INDIRECT(ADDRESS(2,COLUMN())),OFFSET($BN$2,0,0,ROW()-1,60),ROW()-1,FALSE))</f>
        <v/>
      </c>
      <c r="AR185" t="str">
        <f ca="1">IF(AND(ISNUMBER($AR$690),$B$511=1),$AR$690,HLOOKUP(INDIRECT(ADDRESS(2,COLUMN())),OFFSET($BN$2,0,0,ROW()-1,60),ROW()-1,FALSE))</f>
        <v/>
      </c>
      <c r="AS185" t="str">
        <f ca="1">IF(AND(ISNUMBER($AS$690),$B$511=1),$AS$690,HLOOKUP(INDIRECT(ADDRESS(2,COLUMN())),OFFSET($BN$2,0,0,ROW()-1,60),ROW()-1,FALSE))</f>
        <v/>
      </c>
      <c r="AT185" t="str">
        <f ca="1">IF(AND(ISNUMBER($AT$690),$B$511=1),$AT$690,HLOOKUP(INDIRECT(ADDRESS(2,COLUMN())),OFFSET($BN$2,0,0,ROW()-1,60),ROW()-1,FALSE))</f>
        <v/>
      </c>
      <c r="AU185" t="str">
        <f ca="1">IF(AND(ISNUMBER($AU$690),$B$511=1),$AU$690,HLOOKUP(INDIRECT(ADDRESS(2,COLUMN())),OFFSET($BN$2,0,0,ROW()-1,60),ROW()-1,FALSE))</f>
        <v/>
      </c>
      <c r="AV185" t="str">
        <f ca="1">IF(AND(ISNUMBER($AV$690),$B$511=1),$AV$690,HLOOKUP(INDIRECT(ADDRESS(2,COLUMN())),OFFSET($BN$2,0,0,ROW()-1,60),ROW()-1,FALSE))</f>
        <v/>
      </c>
      <c r="AW185" t="str">
        <f ca="1">IF(AND(ISNUMBER($AW$690),$B$511=1),$AW$690,HLOOKUP(INDIRECT(ADDRESS(2,COLUMN())),OFFSET($BN$2,0,0,ROW()-1,60),ROW()-1,FALSE))</f>
        <v/>
      </c>
      <c r="AX185" t="str">
        <f ca="1">IF(AND(ISNUMBER($AX$690),$B$511=1),$AX$690,HLOOKUP(INDIRECT(ADDRESS(2,COLUMN())),OFFSET($BN$2,0,0,ROW()-1,60),ROW()-1,FALSE))</f>
        <v/>
      </c>
      <c r="AY185" t="str">
        <f ca="1">IF(AND(ISNUMBER($AY$690),$B$511=1),$AY$690,HLOOKUP(INDIRECT(ADDRESS(2,COLUMN())),OFFSET($BN$2,0,0,ROW()-1,60),ROW()-1,FALSE))</f>
        <v/>
      </c>
      <c r="AZ185" t="str">
        <f ca="1">IF(AND(ISNUMBER($AZ$690),$B$511=1),$AZ$690,HLOOKUP(INDIRECT(ADDRESS(2,COLUMN())),OFFSET($BN$2,0,0,ROW()-1,60),ROW()-1,FALSE))</f>
        <v/>
      </c>
      <c r="BA185" t="str">
        <f ca="1">IF(AND(ISNUMBER($BA$690),$B$511=1),$BA$690,HLOOKUP(INDIRECT(ADDRESS(2,COLUMN())),OFFSET($BN$2,0,0,ROW()-1,60),ROW()-1,FALSE))</f>
        <v/>
      </c>
      <c r="BB185" t="str">
        <f ca="1">IF(AND(ISNUMBER($BB$690),$B$511=1),$BB$690,HLOOKUP(INDIRECT(ADDRESS(2,COLUMN())),OFFSET($BN$2,0,0,ROW()-1,60),ROW()-1,FALSE))</f>
        <v/>
      </c>
      <c r="BC185" t="str">
        <f ca="1">IF(AND(ISNUMBER($BC$690),$B$511=1),$BC$690,HLOOKUP(INDIRECT(ADDRESS(2,COLUMN())),OFFSET($BN$2,0,0,ROW()-1,60),ROW()-1,FALSE))</f>
        <v/>
      </c>
      <c r="BD185" t="str">
        <f ca="1">IF(AND(ISNUMBER($BD$690),$B$511=1),$BD$690,HLOOKUP(INDIRECT(ADDRESS(2,COLUMN())),OFFSET($BN$2,0,0,ROW()-1,60),ROW()-1,FALSE))</f>
        <v/>
      </c>
      <c r="BE185" t="str">
        <f ca="1">IF(AND(ISNUMBER($BE$690),$B$511=1),$BE$690,HLOOKUP(INDIRECT(ADDRESS(2,COLUMN())),OFFSET($BN$2,0,0,ROW()-1,60),ROW()-1,FALSE))</f>
        <v/>
      </c>
      <c r="BF185" t="str">
        <f ca="1">IF(AND(ISNUMBER($BF$690),$B$511=1),$BF$690,HLOOKUP(INDIRECT(ADDRESS(2,COLUMN())),OFFSET($BN$2,0,0,ROW()-1,60),ROW()-1,FALSE))</f>
        <v/>
      </c>
      <c r="BG185" t="str">
        <f ca="1">IF(AND(ISNUMBER($BG$690),$B$511=1),$BG$690,HLOOKUP(INDIRECT(ADDRESS(2,COLUMN())),OFFSET($BN$2,0,0,ROW()-1,60),ROW()-1,FALSE))</f>
        <v/>
      </c>
      <c r="BH185" t="str">
        <f ca="1">IF(AND(ISNUMBER($BH$690),$B$511=1),$BH$690,HLOOKUP(INDIRECT(ADDRESS(2,COLUMN())),OFFSET($BN$2,0,0,ROW()-1,60),ROW()-1,FALSE))</f>
        <v/>
      </c>
      <c r="BI185" t="str">
        <f ca="1">IF(AND(ISNUMBER($BI$690),$B$511=1),$BI$690,HLOOKUP(INDIRECT(ADDRESS(2,COLUMN())),OFFSET($BN$2,0,0,ROW()-1,60),ROW()-1,FALSE))</f>
        <v/>
      </c>
      <c r="BJ185" t="str">
        <f ca="1">IF(AND(ISNUMBER($BJ$690),$B$511=1),$BJ$690,HLOOKUP(INDIRECT(ADDRESS(2,COLUMN())),OFFSET($BN$2,0,0,ROW()-1,60),ROW()-1,FALSE))</f>
        <v/>
      </c>
      <c r="BK185" t="str">
        <f ca="1">IF(AND(ISNUMBER($BK$690),$B$511=1),$BK$690,HLOOKUP(INDIRECT(ADDRESS(2,COLUMN())),OFFSET($BN$2,0,0,ROW()-1,60),ROW()-1,FALSE))</f>
        <v/>
      </c>
      <c r="BL185" t="str">
        <f ca="1">IF(AND(ISNUMBER($BL$690),$B$511=1),$BL$690,HLOOKUP(INDIRECT(ADDRESS(2,COLUMN())),OFFSET($BN$2,0,0,ROW()-1,60),ROW()-1,FALSE))</f>
        <v/>
      </c>
      <c r="BM185" t="str">
        <f ca="1">IF(AND(ISNUMBER($BM$690),$B$511=1),$BM$690,HLOOKUP(INDIRECT(ADDRESS(2,COLUMN())),OFFSET($BN$2,0,0,ROW()-1,60),ROW()-1,FALSE))</f>
        <v/>
      </c>
      <c r="BN185" t="str">
        <f>""</f>
        <v/>
      </c>
      <c r="BO185" t="str">
        <f>""</f>
        <v/>
      </c>
      <c r="BP185">
        <f>15345.09217</f>
        <v>15345.09217</v>
      </c>
      <c r="BQ185">
        <f>16046.04889</f>
        <v>16046.04889</v>
      </c>
      <c r="BR185">
        <f>15157.13463</f>
        <v>15157.13463</v>
      </c>
      <c r="BS185">
        <f>14409.2729</f>
        <v>14409.2729</v>
      </c>
      <c r="BT185">
        <f>13914.58873</f>
        <v>13914.588729999999</v>
      </c>
      <c r="BU185">
        <f>13880.45202</f>
        <v>13880.452020000001</v>
      </c>
      <c r="BV185">
        <f>14454.48298</f>
        <v>14454.482980000001</v>
      </c>
      <c r="BW185">
        <f>14273.15519</f>
        <v>14273.155189999999</v>
      </c>
      <c r="BX185">
        <f>12798.84606</f>
        <v>12798.84606</v>
      </c>
      <c r="BY185">
        <f>12029.23504</f>
        <v>12029.23504</v>
      </c>
      <c r="BZ185">
        <f>11736.47486</f>
        <v>11736.47486</v>
      </c>
      <c r="CA185">
        <f>11640.9345</f>
        <v>11640.934499999999</v>
      </c>
      <c r="CB185">
        <f>11235.31858</f>
        <v>11235.318579999999</v>
      </c>
      <c r="CC185">
        <f>11086.50821</f>
        <v>11086.50821</v>
      </c>
      <c r="CD185">
        <f>10451.28239</f>
        <v>10451.28239</v>
      </c>
      <c r="CE185">
        <f>9790.132569</f>
        <v>9790.1325689999994</v>
      </c>
      <c r="CF185">
        <f>9193.77314</f>
        <v>9193.7731399999993</v>
      </c>
      <c r="CG185">
        <f>9257.724421</f>
        <v>9257.7244210000008</v>
      </c>
      <c r="CH185">
        <f>9262.660332</f>
        <v>9262.6603319999995</v>
      </c>
      <c r="CI185">
        <f>8902.048911</f>
        <v>8902.0489109999999</v>
      </c>
      <c r="CJ185">
        <f>8482.337432</f>
        <v>8482.3374320000003</v>
      </c>
      <c r="CK185">
        <f>7910.861799</f>
        <v>7910.8617990000002</v>
      </c>
      <c r="CL185">
        <f>7221.411884</f>
        <v>7221.4118840000001</v>
      </c>
      <c r="CM185">
        <f>6587.60782</f>
        <v>6587.6078200000002</v>
      </c>
      <c r="CN185">
        <f>5801.645062</f>
        <v>5801.6450619999996</v>
      </c>
      <c r="CO185">
        <f>5193.186485</f>
        <v>5193.1864850000002</v>
      </c>
      <c r="CP185" t="str">
        <f>""</f>
        <v/>
      </c>
      <c r="CQ185" t="str">
        <f>""</f>
        <v/>
      </c>
      <c r="CR185" t="str">
        <f>""</f>
        <v/>
      </c>
      <c r="CS185" t="str">
        <f>""</f>
        <v/>
      </c>
      <c r="CT185" t="str">
        <f>""</f>
        <v/>
      </c>
      <c r="CU185" t="str">
        <f>""</f>
        <v/>
      </c>
      <c r="CV185" t="str">
        <f>""</f>
        <v/>
      </c>
      <c r="CW185" t="str">
        <f>""</f>
        <v/>
      </c>
      <c r="CX185" t="str">
        <f>""</f>
        <v/>
      </c>
      <c r="CY185" t="str">
        <f>""</f>
        <v/>
      </c>
      <c r="CZ185" t="str">
        <f>""</f>
        <v/>
      </c>
      <c r="DA185" t="str">
        <f>""</f>
        <v/>
      </c>
      <c r="DB185" t="str">
        <f>""</f>
        <v/>
      </c>
      <c r="DC185" t="str">
        <f>""</f>
        <v/>
      </c>
      <c r="DD185" t="str">
        <f>""</f>
        <v/>
      </c>
      <c r="DE185" t="str">
        <f>""</f>
        <v/>
      </c>
      <c r="DF185" t="str">
        <f>""</f>
        <v/>
      </c>
      <c r="DG185" t="str">
        <f>""</f>
        <v/>
      </c>
      <c r="DH185" t="str">
        <f>""</f>
        <v/>
      </c>
      <c r="DI185" t="str">
        <f>""</f>
        <v/>
      </c>
      <c r="DJ185" t="str">
        <f>""</f>
        <v/>
      </c>
      <c r="DK185" t="str">
        <f>""</f>
        <v/>
      </c>
      <c r="DL185" t="str">
        <f>""</f>
        <v/>
      </c>
      <c r="DM185" t="str">
        <f>""</f>
        <v/>
      </c>
      <c r="DN185" t="str">
        <f>""</f>
        <v/>
      </c>
      <c r="DO185" t="str">
        <f>""</f>
        <v/>
      </c>
      <c r="DP185" t="str">
        <f>""</f>
        <v/>
      </c>
      <c r="DQ185" t="str">
        <f>""</f>
        <v/>
      </c>
      <c r="DR185" t="str">
        <f>""</f>
        <v/>
      </c>
      <c r="DS185" t="str">
        <f>""</f>
        <v/>
      </c>
      <c r="DT185" t="str">
        <f>""</f>
        <v/>
      </c>
      <c r="DU185" t="str">
        <f>""</f>
        <v/>
      </c>
    </row>
    <row r="186" spans="1:125" x14ac:dyDescent="0.25">
      <c r="A186" t="str">
        <f>"    Guangzhou Automobile Group Co Ltd"</f>
        <v xml:space="preserve">    Guangzhou Automobile Group Co Ltd</v>
      </c>
      <c r="B186" t="str">
        <f>"2238 HK Equity"</f>
        <v>2238 HK Equity</v>
      </c>
      <c r="C186" t="str">
        <f t="shared" si="12"/>
        <v>RR800</v>
      </c>
      <c r="D186" t="str">
        <f t="shared" si="13"/>
        <v>TRAIL_12M_NET_SALES</v>
      </c>
      <c r="E186" t="str">
        <f t="shared" si="14"/>
        <v>Dynamic</v>
      </c>
      <c r="F186" t="str">
        <f ca="1">IF(AND(ISNUMBER($F$691),$B$511=1),$F$691,HLOOKUP(INDIRECT(ADDRESS(2,COLUMN())),OFFSET($BN$2,0,0,ROW()-1,60),ROW()-1,FALSE))</f>
        <v/>
      </c>
      <c r="G186" t="str">
        <f ca="1">IF(AND(ISNUMBER($G$691),$B$511=1),$G$691,HLOOKUP(INDIRECT(ADDRESS(2,COLUMN())),OFFSET($BN$2,0,0,ROW()-1,60),ROW()-1,FALSE))</f>
        <v/>
      </c>
      <c r="H186">
        <f ca="1">IF(AND(ISNUMBER($H$691),$B$511=1),$H$691,HLOOKUP(INDIRECT(ADDRESS(2,COLUMN())),OFFSET($BN$2,0,0,ROW()-1,60),ROW()-1,FALSE))</f>
        <v>10864.51665</v>
      </c>
      <c r="I186">
        <f ca="1">IF(AND(ISNUMBER($I$691),$B$511=1),$I$691,HLOOKUP(INDIRECT(ADDRESS(2,COLUMN())),OFFSET($BN$2,0,0,ROW()-1,60),ROW()-1,FALSE))</f>
        <v>10992.845660000001</v>
      </c>
      <c r="J186">
        <f ca="1">IF(AND(ISNUMBER($J$691),$B$511=1),$J$691,HLOOKUP(INDIRECT(ADDRESS(2,COLUMN())),OFFSET($BN$2,0,0,ROW()-1,60),ROW()-1,FALSE))</f>
        <v>10814.974340000001</v>
      </c>
      <c r="K186">
        <f ca="1">IF(AND(ISNUMBER($K$691),$B$511=1),$K$691,HLOOKUP(INDIRECT(ADDRESS(2,COLUMN())),OFFSET($BN$2,0,0,ROW()-1,60),ROW()-1,FALSE))</f>
        <v>10226.123449999999</v>
      </c>
      <c r="L186">
        <f ca="1">IF(AND(ISNUMBER($L$691),$B$511=1),$L$691,HLOOKUP(INDIRECT(ADDRESS(2,COLUMN())),OFFSET($BN$2,0,0,ROW()-1,60),ROW()-1,FALSE))</f>
        <v>9442.2550140000003</v>
      </c>
      <c r="M186">
        <f ca="1">IF(AND(ISNUMBER($M$691),$B$511=1),$M$691,HLOOKUP(INDIRECT(ADDRESS(2,COLUMN())),OFFSET($BN$2,0,0,ROW()-1,60),ROW()-1,FALSE))</f>
        <v>8902.4257899999993</v>
      </c>
      <c r="N186">
        <f ca="1">IF(AND(ISNUMBER($N$691),$B$511=1),$N$691,HLOOKUP(INDIRECT(ADDRESS(2,COLUMN())),OFFSET($BN$2,0,0,ROW()-1,60),ROW()-1,FALSE))</f>
        <v>8072.9315029999998</v>
      </c>
      <c r="O186">
        <f ca="1">IF(AND(ISNUMBER($O$691),$B$511=1),$O$691,HLOOKUP(INDIRECT(ADDRESS(2,COLUMN())),OFFSET($BN$2,0,0,ROW()-1,60),ROW()-1,FALSE))</f>
        <v>7212.9848050000001</v>
      </c>
      <c r="P186">
        <f ca="1">IF(AND(ISNUMBER($P$691),$B$511=1),$P$691,HLOOKUP(INDIRECT(ADDRESS(2,COLUMN())),OFFSET($BN$2,0,0,ROW()-1,60),ROW()-1,FALSE))</f>
        <v>6659.08781</v>
      </c>
      <c r="Q186">
        <f ca="1">IF(AND(ISNUMBER($Q$691),$B$511=1),$Q$691,HLOOKUP(INDIRECT(ADDRESS(2,COLUMN())),OFFSET($BN$2,0,0,ROW()-1,60),ROW()-1,FALSE))</f>
        <v>5930.7815780000001</v>
      </c>
      <c r="R186">
        <f ca="1">IF(AND(ISNUMBER($R$691),$B$511=1),$R$691,HLOOKUP(INDIRECT(ADDRESS(2,COLUMN())),OFFSET($BN$2,0,0,ROW()-1,60),ROW()-1,FALSE))</f>
        <v>5210.1684340000002</v>
      </c>
      <c r="S186">
        <f ca="1">IF(AND(ISNUMBER($S$691),$B$511=1),$S$691,HLOOKUP(INDIRECT(ADDRESS(2,COLUMN())),OFFSET($BN$2,0,0,ROW()-1,60),ROW()-1,FALSE))</f>
        <v>4534.7225769999995</v>
      </c>
      <c r="T186">
        <f ca="1">IF(AND(ISNUMBER($T$691),$B$511=1),$T$691,HLOOKUP(INDIRECT(ADDRESS(2,COLUMN())),OFFSET($BN$2,0,0,ROW()-1,60),ROW()-1,FALSE))</f>
        <v>3994.1628730000002</v>
      </c>
      <c r="U186">
        <f ca="1">IF(AND(ISNUMBER($U$691),$B$511=1),$U$691,HLOOKUP(INDIRECT(ADDRESS(2,COLUMN())),OFFSET($BN$2,0,0,ROW()-1,60),ROW()-1,FALSE))</f>
        <v>3600.3276080000001</v>
      </c>
      <c r="V186">
        <f ca="1">IF(AND(ISNUMBER($V$691),$B$511=1),$V$691,HLOOKUP(INDIRECT(ADDRESS(2,COLUMN())),OFFSET($BN$2,0,0,ROW()-1,60),ROW()-1,FALSE))</f>
        <v>3590.2804630000001</v>
      </c>
      <c r="W186">
        <f ca="1">IF(AND(ISNUMBER($W$691),$B$511=1),$W$691,HLOOKUP(INDIRECT(ADDRESS(2,COLUMN())),OFFSET($BN$2,0,0,ROW()-1,60),ROW()-1,FALSE))</f>
        <v>3505.5037560000001</v>
      </c>
      <c r="X186">
        <f ca="1">IF(AND(ISNUMBER($X$691),$B$511=1),$X$691,HLOOKUP(INDIRECT(ADDRESS(2,COLUMN())),OFFSET($BN$2,0,0,ROW()-1,60),ROW()-1,FALSE))</f>
        <v>3459.9984159999999</v>
      </c>
      <c r="Y186">
        <f ca="1">IF(AND(ISNUMBER($Y$691),$B$511=1),$Y$691,HLOOKUP(INDIRECT(ADDRESS(2,COLUMN())),OFFSET($BN$2,0,0,ROW()-1,60),ROW()-1,FALSE))</f>
        <v>3358.6850020000002</v>
      </c>
      <c r="Z186">
        <f ca="1">IF(AND(ISNUMBER($Z$691),$B$511=1),$Z$691,HLOOKUP(INDIRECT(ADDRESS(2,COLUMN())),OFFSET($BN$2,0,0,ROW()-1,60),ROW()-1,FALSE))</f>
        <v>3092.817642</v>
      </c>
      <c r="AA186">
        <f ca="1">IF(AND(ISNUMBER($AA$691),$B$511=1),$AA$691,HLOOKUP(INDIRECT(ADDRESS(2,COLUMN())),OFFSET($BN$2,0,0,ROW()-1,60),ROW()-1,FALSE))</f>
        <v>2953.1426200000001</v>
      </c>
      <c r="AB186">
        <f ca="1">IF(AND(ISNUMBER($AB$691),$B$511=1),$AB$691,HLOOKUP(INDIRECT(ADDRESS(2,COLUMN())),OFFSET($BN$2,0,0,ROW()-1,60),ROW()-1,FALSE))</f>
        <v>2611.0697759999998</v>
      </c>
      <c r="AC186">
        <f ca="1">IF(AND(ISNUMBER($AC$691),$B$511=1),$AC$691,HLOOKUP(INDIRECT(ADDRESS(2,COLUMN())),OFFSET($BN$2,0,0,ROW()-1,60),ROW()-1,FALSE))</f>
        <v>2430.1714440000001</v>
      </c>
      <c r="AD186">
        <f ca="1">IF(AND(ISNUMBER($AD$691),$B$511=1),$AD$691,HLOOKUP(INDIRECT(ADDRESS(2,COLUMN())),OFFSET($BN$2,0,0,ROW()-1,60),ROW()-1,FALSE))</f>
        <v>2229.4041200000001</v>
      </c>
      <c r="AE186">
        <f ca="1">IF(AND(ISNUMBER($AE$691),$B$511=1),$AE$691,HLOOKUP(INDIRECT(ADDRESS(2,COLUMN())),OFFSET($BN$2,0,0,ROW()-1,60),ROW()-1,FALSE))</f>
        <v>1997.314756</v>
      </c>
      <c r="AF186">
        <f ca="1">IF(AND(ISNUMBER($AF$691),$B$511=1),$AF$691,HLOOKUP(INDIRECT(ADDRESS(2,COLUMN())),OFFSET($BN$2,0,0,ROW()-1,60),ROW()-1,FALSE))</f>
        <v>1842.2328520000001</v>
      </c>
      <c r="AG186">
        <f ca="1">IF(AND(ISNUMBER($AG$691),$B$511=1),$AG$691,HLOOKUP(INDIRECT(ADDRESS(2,COLUMN())),OFFSET($BN$2,0,0,ROW()-1,60),ROW()-1,FALSE))</f>
        <v>1745.49047</v>
      </c>
      <c r="AH186">
        <f ca="1">IF(AND(ISNUMBER($AH$691),$B$511=1),$AH$691,HLOOKUP(INDIRECT(ADDRESS(2,COLUMN())),OFFSET($BN$2,0,0,ROW()-1,60),ROW()-1,FALSE))</f>
        <v>1647.1446129999999</v>
      </c>
      <c r="AI186">
        <f ca="1">IF(AND(ISNUMBER($AI$691),$B$511=1),$AI$691,HLOOKUP(INDIRECT(ADDRESS(2,COLUMN())),OFFSET($BN$2,0,0,ROW()-1,60),ROW()-1,FALSE))</f>
        <v>1673.4932220000001</v>
      </c>
      <c r="AJ186">
        <f ca="1">IF(AND(ISNUMBER($AJ$691),$B$511=1),$AJ$691,HLOOKUP(INDIRECT(ADDRESS(2,COLUMN())),OFFSET($BN$2,0,0,ROW()-1,60),ROW()-1,FALSE))</f>
        <v>1547.522937</v>
      </c>
      <c r="AK186">
        <f ca="1">IF(AND(ISNUMBER($AK$691),$B$511=1),$AK$691,HLOOKUP(INDIRECT(ADDRESS(2,COLUMN())),OFFSET($BN$2,0,0,ROW()-1,60),ROW()-1,FALSE))</f>
        <v>1462.59024</v>
      </c>
      <c r="AL186">
        <f ca="1">IF(AND(ISNUMBER($AL$691),$B$511=1),$AL$691,HLOOKUP(INDIRECT(ADDRESS(2,COLUMN())),OFFSET($BN$2,0,0,ROW()-1,60),ROW()-1,FALSE))</f>
        <v>1391.04305</v>
      </c>
      <c r="AM186">
        <f ca="1">IF(AND(ISNUMBER($AM$691),$B$511=1),$AM$691,HLOOKUP(INDIRECT(ADDRESS(2,COLUMN())),OFFSET($BN$2,0,0,ROW()-1,60),ROW()-1,FALSE))</f>
        <v>1285.1169640000001</v>
      </c>
      <c r="AN186">
        <f ca="1">IF(AND(ISNUMBER($AN$691),$B$511=1),$AN$691,HLOOKUP(INDIRECT(ADDRESS(2,COLUMN())),OFFSET($BN$2,0,0,ROW()-1,60),ROW()-1,FALSE))</f>
        <v>1266.839432</v>
      </c>
      <c r="AO186">
        <f ca="1">IF(AND(ISNUMBER($AO$691),$B$511=1),$AO$691,HLOOKUP(INDIRECT(ADDRESS(2,COLUMN())),OFFSET($BN$2,0,0,ROW()-1,60),ROW()-1,FALSE))</f>
        <v>1230.9711540000001</v>
      </c>
      <c r="AP186">
        <f ca="1">IF(AND(ISNUMBER($AP$691),$B$511=1),$AP$691,HLOOKUP(INDIRECT(ADDRESS(2,COLUMN())),OFFSET($BN$2,0,0,ROW()-1,60),ROW()-1,FALSE))</f>
        <v>1157.1476419999999</v>
      </c>
      <c r="AQ186">
        <f ca="1">IF(AND(ISNUMBER($AQ$691),$B$511=1),$AQ$691,HLOOKUP(INDIRECT(ADDRESS(2,COLUMN())),OFFSET($BN$2,0,0,ROW()-1,60),ROW()-1,FALSE))</f>
        <v>1027.829565</v>
      </c>
      <c r="AR186" t="str">
        <f ca="1">IF(AND(ISNUMBER($AR$691),$B$511=1),$AR$691,HLOOKUP(INDIRECT(ADDRESS(2,COLUMN())),OFFSET($BN$2,0,0,ROW()-1,60),ROW()-1,FALSE))</f>
        <v/>
      </c>
      <c r="AS186" t="str">
        <f ca="1">IF(AND(ISNUMBER($AS$691),$B$511=1),$AS$691,HLOOKUP(INDIRECT(ADDRESS(2,COLUMN())),OFFSET($BN$2,0,0,ROW()-1,60),ROW()-1,FALSE))</f>
        <v/>
      </c>
      <c r="AT186" t="str">
        <f ca="1">IF(AND(ISNUMBER($AT$691),$B$511=1),$AT$691,HLOOKUP(INDIRECT(ADDRESS(2,COLUMN())),OFFSET($BN$2,0,0,ROW()-1,60),ROW()-1,FALSE))</f>
        <v/>
      </c>
      <c r="AU186" t="str">
        <f ca="1">IF(AND(ISNUMBER($AU$691),$B$511=1),$AU$691,HLOOKUP(INDIRECT(ADDRESS(2,COLUMN())),OFFSET($BN$2,0,0,ROW()-1,60),ROW()-1,FALSE))</f>
        <v/>
      </c>
      <c r="AV186" t="str">
        <f ca="1">IF(AND(ISNUMBER($AV$691),$B$511=1),$AV$691,HLOOKUP(INDIRECT(ADDRESS(2,COLUMN())),OFFSET($BN$2,0,0,ROW()-1,60),ROW()-1,FALSE))</f>
        <v/>
      </c>
      <c r="AW186" t="str">
        <f ca="1">IF(AND(ISNUMBER($AW$691),$B$511=1),$AW$691,HLOOKUP(INDIRECT(ADDRESS(2,COLUMN())),OFFSET($BN$2,0,0,ROW()-1,60),ROW()-1,FALSE))</f>
        <v/>
      </c>
      <c r="AX186" t="str">
        <f ca="1">IF(AND(ISNUMBER($AX$691),$B$511=1),$AX$691,HLOOKUP(INDIRECT(ADDRESS(2,COLUMN())),OFFSET($BN$2,0,0,ROW()-1,60),ROW()-1,FALSE))</f>
        <v/>
      </c>
      <c r="AY186" t="str">
        <f ca="1">IF(AND(ISNUMBER($AY$691),$B$511=1),$AY$691,HLOOKUP(INDIRECT(ADDRESS(2,COLUMN())),OFFSET($BN$2,0,0,ROW()-1,60),ROW()-1,FALSE))</f>
        <v/>
      </c>
      <c r="AZ186" t="str">
        <f ca="1">IF(AND(ISNUMBER($AZ$691),$B$511=1),$AZ$691,HLOOKUP(INDIRECT(ADDRESS(2,COLUMN())),OFFSET($BN$2,0,0,ROW()-1,60),ROW()-1,FALSE))</f>
        <v/>
      </c>
      <c r="BA186" t="str">
        <f ca="1">IF(AND(ISNUMBER($BA$691),$B$511=1),$BA$691,HLOOKUP(INDIRECT(ADDRESS(2,COLUMN())),OFFSET($BN$2,0,0,ROW()-1,60),ROW()-1,FALSE))</f>
        <v/>
      </c>
      <c r="BB186" t="str">
        <f ca="1">IF(AND(ISNUMBER($BB$691),$B$511=1),$BB$691,HLOOKUP(INDIRECT(ADDRESS(2,COLUMN())),OFFSET($BN$2,0,0,ROW()-1,60),ROW()-1,FALSE))</f>
        <v/>
      </c>
      <c r="BC186" t="str">
        <f ca="1">IF(AND(ISNUMBER($BC$691),$B$511=1),$BC$691,HLOOKUP(INDIRECT(ADDRESS(2,COLUMN())),OFFSET($BN$2,0,0,ROW()-1,60),ROW()-1,FALSE))</f>
        <v/>
      </c>
      <c r="BD186" t="str">
        <f ca="1">IF(AND(ISNUMBER($BD$691),$B$511=1),$BD$691,HLOOKUP(INDIRECT(ADDRESS(2,COLUMN())),OFFSET($BN$2,0,0,ROW()-1,60),ROW()-1,FALSE))</f>
        <v/>
      </c>
      <c r="BE186" t="str">
        <f ca="1">IF(AND(ISNUMBER($BE$691),$B$511=1),$BE$691,HLOOKUP(INDIRECT(ADDRESS(2,COLUMN())),OFFSET($BN$2,0,0,ROW()-1,60),ROW()-1,FALSE))</f>
        <v/>
      </c>
      <c r="BF186" t="str">
        <f ca="1">IF(AND(ISNUMBER($BF$691),$B$511=1),$BF$691,HLOOKUP(INDIRECT(ADDRESS(2,COLUMN())),OFFSET($BN$2,0,0,ROW()-1,60),ROW()-1,FALSE))</f>
        <v/>
      </c>
      <c r="BG186" t="str">
        <f ca="1">IF(AND(ISNUMBER($BG$691),$B$511=1),$BG$691,HLOOKUP(INDIRECT(ADDRESS(2,COLUMN())),OFFSET($BN$2,0,0,ROW()-1,60),ROW()-1,FALSE))</f>
        <v/>
      </c>
      <c r="BH186" t="str">
        <f ca="1">IF(AND(ISNUMBER($BH$691),$B$511=1),$BH$691,HLOOKUP(INDIRECT(ADDRESS(2,COLUMN())),OFFSET($BN$2,0,0,ROW()-1,60),ROW()-1,FALSE))</f>
        <v/>
      </c>
      <c r="BI186" t="str">
        <f ca="1">IF(AND(ISNUMBER($BI$691),$B$511=1),$BI$691,HLOOKUP(INDIRECT(ADDRESS(2,COLUMN())),OFFSET($BN$2,0,0,ROW()-1,60),ROW()-1,FALSE))</f>
        <v/>
      </c>
      <c r="BJ186" t="str">
        <f ca="1">IF(AND(ISNUMBER($BJ$691),$B$511=1),$BJ$691,HLOOKUP(INDIRECT(ADDRESS(2,COLUMN())),OFFSET($BN$2,0,0,ROW()-1,60),ROW()-1,FALSE))</f>
        <v/>
      </c>
      <c r="BK186" t="str">
        <f ca="1">IF(AND(ISNUMBER($BK$691),$B$511=1),$BK$691,HLOOKUP(INDIRECT(ADDRESS(2,COLUMN())),OFFSET($BN$2,0,0,ROW()-1,60),ROW()-1,FALSE))</f>
        <v/>
      </c>
      <c r="BL186" t="str">
        <f ca="1">IF(AND(ISNUMBER($BL$691),$B$511=1),$BL$691,HLOOKUP(INDIRECT(ADDRESS(2,COLUMN())),OFFSET($BN$2,0,0,ROW()-1,60),ROW()-1,FALSE))</f>
        <v/>
      </c>
      <c r="BM186" t="str">
        <f ca="1">IF(AND(ISNUMBER($BM$691),$B$511=1),$BM$691,HLOOKUP(INDIRECT(ADDRESS(2,COLUMN())),OFFSET($BN$2,0,0,ROW()-1,60),ROW()-1,FALSE))</f>
        <v/>
      </c>
      <c r="BN186" t="str">
        <f>""</f>
        <v/>
      </c>
      <c r="BO186" t="str">
        <f>""</f>
        <v/>
      </c>
      <c r="BP186">
        <f>10864.51665</f>
        <v>10864.51665</v>
      </c>
      <c r="BQ186">
        <f>10992.84566</f>
        <v>10992.845660000001</v>
      </c>
      <c r="BR186">
        <f>10814.97434</f>
        <v>10814.974340000001</v>
      </c>
      <c r="BS186">
        <f>10226.12345</f>
        <v>10226.123449999999</v>
      </c>
      <c r="BT186">
        <f>9442.255014</f>
        <v>9442.2550140000003</v>
      </c>
      <c r="BU186">
        <f>8902.42579</f>
        <v>8902.4257899999993</v>
      </c>
      <c r="BV186">
        <f>8072.931503</f>
        <v>8072.9315029999998</v>
      </c>
      <c r="BW186">
        <f>7212.984805</f>
        <v>7212.9848050000001</v>
      </c>
      <c r="BX186">
        <f>6659.08781</f>
        <v>6659.08781</v>
      </c>
      <c r="BY186">
        <f>5930.781578</f>
        <v>5930.7815780000001</v>
      </c>
      <c r="BZ186">
        <f>5210.168434</f>
        <v>5210.1684340000002</v>
      </c>
      <c r="CA186">
        <f>4534.722577</f>
        <v>4534.7225769999995</v>
      </c>
      <c r="CB186">
        <f>3994.162873</f>
        <v>3994.1628730000002</v>
      </c>
      <c r="CC186">
        <f>3600.327608</f>
        <v>3600.3276080000001</v>
      </c>
      <c r="CD186">
        <f>3590.280463</f>
        <v>3590.2804630000001</v>
      </c>
      <c r="CE186">
        <f>3505.503756</f>
        <v>3505.5037560000001</v>
      </c>
      <c r="CF186">
        <f>3459.998416</f>
        <v>3459.9984159999999</v>
      </c>
      <c r="CG186">
        <f>3358.685002</f>
        <v>3358.6850020000002</v>
      </c>
      <c r="CH186">
        <f>3092.817642</f>
        <v>3092.817642</v>
      </c>
      <c r="CI186">
        <f>2953.14262</f>
        <v>2953.1426200000001</v>
      </c>
      <c r="CJ186">
        <f>2611.069776</f>
        <v>2611.0697759999998</v>
      </c>
      <c r="CK186">
        <f>2430.171444</f>
        <v>2430.1714440000001</v>
      </c>
      <c r="CL186">
        <f>2229.40412</f>
        <v>2229.4041200000001</v>
      </c>
      <c r="CM186">
        <f>1997.314756</f>
        <v>1997.314756</v>
      </c>
      <c r="CN186">
        <f>1842.232852</f>
        <v>1842.2328520000001</v>
      </c>
      <c r="CO186">
        <f>1745.49047</f>
        <v>1745.49047</v>
      </c>
      <c r="CP186">
        <f>1647.144613</f>
        <v>1647.1446129999999</v>
      </c>
      <c r="CQ186">
        <f>1673.493222</f>
        <v>1673.4932220000001</v>
      </c>
      <c r="CR186">
        <f>1547.522937</f>
        <v>1547.522937</v>
      </c>
      <c r="CS186">
        <f>1462.59024</f>
        <v>1462.59024</v>
      </c>
      <c r="CT186">
        <f>1391.04305</f>
        <v>1391.04305</v>
      </c>
      <c r="CU186">
        <f>1285.116964</f>
        <v>1285.1169640000001</v>
      </c>
      <c r="CV186">
        <f>1266.839432</f>
        <v>1266.839432</v>
      </c>
      <c r="CW186">
        <f>1230.971154</f>
        <v>1230.9711540000001</v>
      </c>
      <c r="CX186">
        <f>1157.147642</f>
        <v>1157.1476419999999</v>
      </c>
      <c r="CY186">
        <f>1027.829565</f>
        <v>1027.829565</v>
      </c>
      <c r="CZ186" t="str">
        <f>""</f>
        <v/>
      </c>
      <c r="DA186" t="str">
        <f>""</f>
        <v/>
      </c>
      <c r="DB186" t="str">
        <f>""</f>
        <v/>
      </c>
      <c r="DC186" t="str">
        <f>""</f>
        <v/>
      </c>
      <c r="DD186" t="str">
        <f>""</f>
        <v/>
      </c>
      <c r="DE186" t="str">
        <f>""</f>
        <v/>
      </c>
      <c r="DF186" t="str">
        <f>""</f>
        <v/>
      </c>
      <c r="DG186" t="str">
        <f>""</f>
        <v/>
      </c>
      <c r="DH186" t="str">
        <f>""</f>
        <v/>
      </c>
      <c r="DI186" t="str">
        <f>""</f>
        <v/>
      </c>
      <c r="DJ186" t="str">
        <f>""</f>
        <v/>
      </c>
      <c r="DK186" t="str">
        <f>""</f>
        <v/>
      </c>
      <c r="DL186" t="str">
        <f>""</f>
        <v/>
      </c>
      <c r="DM186" t="str">
        <f>""</f>
        <v/>
      </c>
      <c r="DN186" t="str">
        <f>""</f>
        <v/>
      </c>
      <c r="DO186" t="str">
        <f>""</f>
        <v/>
      </c>
      <c r="DP186" t="str">
        <f>""</f>
        <v/>
      </c>
      <c r="DQ186" t="str">
        <f>""</f>
        <v/>
      </c>
      <c r="DR186" t="str">
        <f>""</f>
        <v/>
      </c>
      <c r="DS186" t="str">
        <f>""</f>
        <v/>
      </c>
      <c r="DT186" t="str">
        <f>""</f>
        <v/>
      </c>
      <c r="DU186" t="str">
        <f>""</f>
        <v/>
      </c>
    </row>
    <row r="187" spans="1:125" x14ac:dyDescent="0.25">
      <c r="A187" t="str">
        <f>"    Honda Motor Co Ltd"</f>
        <v xml:space="preserve">    Honda Motor Co Ltd</v>
      </c>
      <c r="B187" t="str">
        <f>"7267 JP Equity"</f>
        <v>7267 JP Equity</v>
      </c>
      <c r="C187" t="str">
        <f t="shared" si="12"/>
        <v>RR800</v>
      </c>
      <c r="D187" t="str">
        <f t="shared" si="13"/>
        <v>TRAIL_12M_NET_SALES</v>
      </c>
      <c r="E187" t="str">
        <f t="shared" si="14"/>
        <v>Dynamic</v>
      </c>
      <c r="F187" t="str">
        <f ca="1">IF(AND(ISNUMBER($F$692),$B$511=1),$F$692,HLOOKUP(INDIRECT(ADDRESS(2,COLUMN())),OFFSET($BN$2,0,0,ROW()-1,60),ROW()-1,FALSE))</f>
        <v/>
      </c>
      <c r="G187">
        <f ca="1">IF(AND(ISNUMBER($G$692),$B$511=1),$G$692,HLOOKUP(INDIRECT(ADDRESS(2,COLUMN())),OFFSET($BN$2,0,0,ROW()-1,60),ROW()-1,FALSE))</f>
        <v>142714.21539999999</v>
      </c>
      <c r="H187">
        <f ca="1">IF(AND(ISNUMBER($H$692),$B$511=1),$H$692,HLOOKUP(INDIRECT(ADDRESS(2,COLUMN())),OFFSET($BN$2,0,0,ROW()-1,60),ROW()-1,FALSE))</f>
        <v>142529.38560000001</v>
      </c>
      <c r="I187">
        <f ca="1">IF(AND(ISNUMBER($I$692),$B$511=1),$I$692,HLOOKUP(INDIRECT(ADDRESS(2,COLUMN())),OFFSET($BN$2,0,0,ROW()-1,60),ROW()-1,FALSE))</f>
        <v>142105.24239999999</v>
      </c>
      <c r="J187">
        <f ca="1">IF(AND(ISNUMBER($J$692),$B$511=1),$J$692,HLOOKUP(INDIRECT(ADDRESS(2,COLUMN())),OFFSET($BN$2,0,0,ROW()-1,60),ROW()-1,FALSE))</f>
        <v>138647.11259999999</v>
      </c>
      <c r="K187">
        <f ca="1">IF(AND(ISNUMBER($K$692),$B$511=1),$K$692,HLOOKUP(INDIRECT(ADDRESS(2,COLUMN())),OFFSET($BN$2,0,0,ROW()-1,60),ROW()-1,FALSE))</f>
        <v>135656.69279999999</v>
      </c>
      <c r="L187">
        <f ca="1">IF(AND(ISNUMBER($L$692),$B$511=1),$L$692,HLOOKUP(INDIRECT(ADDRESS(2,COLUMN())),OFFSET($BN$2,0,0,ROW()-1,60),ROW()-1,FALSE))</f>
        <v>132657.92939999999</v>
      </c>
      <c r="M187">
        <f ca="1">IF(AND(ISNUMBER($M$692),$B$511=1),$M$692,HLOOKUP(INDIRECT(ADDRESS(2,COLUMN())),OFFSET($BN$2,0,0,ROW()-1,60),ROW()-1,FALSE))</f>
        <v>130777.773</v>
      </c>
      <c r="N187">
        <f ca="1">IF(AND(ISNUMBER($N$692),$B$511=1),$N$692,HLOOKUP(INDIRECT(ADDRESS(2,COLUMN())),OFFSET($BN$2,0,0,ROW()-1,60),ROW()-1,FALSE))</f>
        <v>129499.00169999999</v>
      </c>
      <c r="O187">
        <f ca="1">IF(AND(ISNUMBER($O$692),$B$511=1),$O$692,HLOOKUP(INDIRECT(ADDRESS(2,COLUMN())),OFFSET($BN$2,0,0,ROW()-1,60),ROW()-1,FALSE))</f>
        <v>128101.53019999999</v>
      </c>
      <c r="P187">
        <f ca="1">IF(AND(ISNUMBER($P$692),$B$511=1),$P$692,HLOOKUP(INDIRECT(ADDRESS(2,COLUMN())),OFFSET($BN$2,0,0,ROW()-1,60),ROW()-1,FALSE))</f>
        <v>125951.5567</v>
      </c>
      <c r="Q187">
        <f ca="1">IF(AND(ISNUMBER($Q$692),$B$511=1),$Q$692,HLOOKUP(INDIRECT(ADDRESS(2,COLUMN())),OFFSET($BN$2,0,0,ROW()-1,60),ROW()-1,FALSE))</f>
        <v>123441.2365</v>
      </c>
      <c r="R187">
        <f ca="1">IF(AND(ISNUMBER($R$692),$B$511=1),$R$692,HLOOKUP(INDIRECT(ADDRESS(2,COLUMN())),OFFSET($BN$2,0,0,ROW()-1,60),ROW()-1,FALSE))</f>
        <v>121724.19010000001</v>
      </c>
      <c r="S187">
        <f ca="1">IF(AND(ISNUMBER($S$692),$B$511=1),$S$692,HLOOKUP(INDIRECT(ADDRESS(2,COLUMN())),OFFSET($BN$2,0,0,ROW()-1,60),ROW()-1,FALSE))</f>
        <v>118148.9526</v>
      </c>
      <c r="T187">
        <f ca="1">IF(AND(ISNUMBER($T$692),$B$511=1),$T$692,HLOOKUP(INDIRECT(ADDRESS(2,COLUMN())),OFFSET($BN$2,0,0,ROW()-1,60),ROW()-1,FALSE))</f>
        <v>118996.94070000001</v>
      </c>
      <c r="U187">
        <f ca="1">IF(AND(ISNUMBER($U$692),$B$511=1),$U$692,HLOOKUP(INDIRECT(ADDRESS(2,COLUMN())),OFFSET($BN$2,0,0,ROW()-1,60),ROW()-1,FALSE))</f>
        <v>119852.7945</v>
      </c>
      <c r="V187">
        <f ca="1">IF(AND(ISNUMBER($V$692),$B$511=1),$V$692,HLOOKUP(INDIRECT(ADDRESS(2,COLUMN())),OFFSET($BN$2,0,0,ROW()-1,60),ROW()-1,FALSE))</f>
        <v>120588.618</v>
      </c>
      <c r="W187">
        <f ca="1">IF(AND(ISNUMBER($W$692),$B$511=1),$W$692,HLOOKUP(INDIRECT(ADDRESS(2,COLUMN())),OFFSET($BN$2,0,0,ROW()-1,60),ROW()-1,FALSE))</f>
        <v>122482.33689999999</v>
      </c>
      <c r="X187">
        <f ca="1">IF(AND(ISNUMBER($X$692),$B$511=1),$X$692,HLOOKUP(INDIRECT(ADDRESS(2,COLUMN())),OFFSET($BN$2,0,0,ROW()-1,60),ROW()-1,FALSE))</f>
        <v>121786.2282</v>
      </c>
      <c r="Y187">
        <f ca="1">IF(AND(ISNUMBER($Y$692),$B$511=1),$Y$692,HLOOKUP(INDIRECT(ADDRESS(2,COLUMN())),OFFSET($BN$2,0,0,ROW()-1,60),ROW()-1,FALSE))</f>
        <v>120927.9191</v>
      </c>
      <c r="Z187">
        <f ca="1">IF(AND(ISNUMBER($Z$692),$B$511=1),$Z$692,HLOOKUP(INDIRECT(ADDRESS(2,COLUMN())),OFFSET($BN$2,0,0,ROW()-1,60),ROW()-1,FALSE))</f>
        <v>118250.6813</v>
      </c>
      <c r="AA187">
        <f ca="1">IF(AND(ISNUMBER($AA$692),$B$511=1),$AA$692,HLOOKUP(INDIRECT(ADDRESS(2,COLUMN())),OFFSET($BN$2,0,0,ROW()-1,60),ROW()-1,FALSE))</f>
        <v>117911.2539</v>
      </c>
      <c r="AB187">
        <f ca="1">IF(AND(ISNUMBER($AB$692),$B$511=1),$AB$692,HLOOKUP(INDIRECT(ADDRESS(2,COLUMN())),OFFSET($BN$2,0,0,ROW()-1,60),ROW()-1,FALSE))</f>
        <v>118308.5362</v>
      </c>
      <c r="AC187">
        <f ca="1">IF(AND(ISNUMBER($AC$692),$B$511=1),$AC$692,HLOOKUP(INDIRECT(ADDRESS(2,COLUMN())),OFFSET($BN$2,0,0,ROW()-1,60),ROW()-1,FALSE))</f>
        <v>118318.7697</v>
      </c>
      <c r="AD187">
        <f ca="1">IF(AND(ISNUMBER($AD$692),$B$511=1),$AD$692,HLOOKUP(INDIRECT(ADDRESS(2,COLUMN())),OFFSET($BN$2,0,0,ROW()-1,60),ROW()-1,FALSE))</f>
        <v>119545.8909</v>
      </c>
      <c r="AE187">
        <f ca="1">IF(AND(ISNUMBER($AE$692),$B$511=1),$AE$692,HLOOKUP(INDIRECT(ADDRESS(2,COLUMN())),OFFSET($BN$2,0,0,ROW()-1,60),ROW()-1,FALSE))</f>
        <v>119571.8875</v>
      </c>
      <c r="AF187">
        <f ca="1">IF(AND(ISNUMBER($AF$692),$B$511=1),$AF$692,HLOOKUP(INDIRECT(ADDRESS(2,COLUMN())),OFFSET($BN$2,0,0,ROW()-1,60),ROW()-1,FALSE))</f>
        <v>114895.27</v>
      </c>
      <c r="AG187">
        <f ca="1">IF(AND(ISNUMBER($AG$692),$B$511=1),$AG$692,HLOOKUP(INDIRECT(ADDRESS(2,COLUMN())),OFFSET($BN$2,0,0,ROW()-1,60),ROW()-1,FALSE))</f>
        <v>110357.2635</v>
      </c>
      <c r="AH187">
        <f ca="1">IF(AND(ISNUMBER($AH$692),$B$511=1),$AH$692,HLOOKUP(INDIRECT(ADDRESS(2,COLUMN())),OFFSET($BN$2,0,0,ROW()-1,60),ROW()-1,FALSE))</f>
        <v>100732.6247</v>
      </c>
      <c r="AI187">
        <f ca="1">IF(AND(ISNUMBER($AI$692),$B$511=1),$AI$692,HLOOKUP(INDIRECT(ADDRESS(2,COLUMN())),OFFSET($BN$2,0,0,ROW()-1,60),ROW()-1,FALSE))</f>
        <v>97428.870089999997</v>
      </c>
      <c r="AJ187">
        <f ca="1">IF(AND(ISNUMBER($AJ$692),$B$511=1),$AJ$692,HLOOKUP(INDIRECT(ADDRESS(2,COLUMN())),OFFSET($BN$2,0,0,ROW()-1,60),ROW()-1,FALSE))</f>
        <v>97919.015750000006</v>
      </c>
      <c r="AK187">
        <f ca="1">IF(AND(ISNUMBER($AK$692),$B$511=1),$AK$692,HLOOKUP(INDIRECT(ADDRESS(2,COLUMN())),OFFSET($BN$2,0,0,ROW()-1,60),ROW()-1,FALSE))</f>
        <v>99897.924559999999</v>
      </c>
      <c r="AL187">
        <f ca="1">IF(AND(ISNUMBER($AL$692),$B$511=1),$AL$692,HLOOKUP(INDIRECT(ADDRESS(2,COLUMN())),OFFSET($BN$2,0,0,ROW()-1,60),ROW()-1,FALSE))</f>
        <v>104572.5723</v>
      </c>
      <c r="AM187">
        <f ca="1">IF(AND(ISNUMBER($AM$692),$B$511=1),$AM$692,HLOOKUP(INDIRECT(ADDRESS(2,COLUMN())),OFFSET($BN$2,0,0,ROW()-1,60),ROW()-1,FALSE))</f>
        <v>102851.2277</v>
      </c>
      <c r="AN187">
        <f ca="1">IF(AND(ISNUMBER($AN$692),$B$511=1),$AN$692,HLOOKUP(INDIRECT(ADDRESS(2,COLUMN())),OFFSET($BN$2,0,0,ROW()-1,60),ROW()-1,FALSE))</f>
        <v>102068.9423</v>
      </c>
      <c r="AO187">
        <f ca="1">IF(AND(ISNUMBER($AO$692),$B$511=1),$AO$692,HLOOKUP(INDIRECT(ADDRESS(2,COLUMN())),OFFSET($BN$2,0,0,ROW()-1,60),ROW()-1,FALSE))</f>
        <v>97685.843040000007</v>
      </c>
      <c r="AP187">
        <f ca="1">IF(AND(ISNUMBER($AP$692),$B$511=1),$AP$692,HLOOKUP(INDIRECT(ADDRESS(2,COLUMN())),OFFSET($BN$2,0,0,ROW()-1,60),ROW()-1,FALSE))</f>
        <v>92507.508379999999</v>
      </c>
      <c r="AQ187">
        <f ca="1">IF(AND(ISNUMBER($AQ$692),$B$511=1),$AQ$692,HLOOKUP(INDIRECT(ADDRESS(2,COLUMN())),OFFSET($BN$2,0,0,ROW()-1,60),ROW()-1,FALSE))</f>
        <v>86493.816179999994</v>
      </c>
      <c r="AR187">
        <f ca="1">IF(AND(ISNUMBER($AR$692),$B$511=1),$AR$692,HLOOKUP(INDIRECT(ADDRESS(2,COLUMN())),OFFSET($BN$2,0,0,ROW()-1,60),ROW()-1,FALSE))</f>
        <v>88147.789669999998</v>
      </c>
      <c r="AS187">
        <f ca="1">IF(AND(ISNUMBER($AS$692),$B$511=1),$AS$692,HLOOKUP(INDIRECT(ADDRESS(2,COLUMN())),OFFSET($BN$2,0,0,ROW()-1,60),ROW()-1,FALSE))</f>
        <v>93014.433749999997</v>
      </c>
      <c r="AT187">
        <f ca="1">IF(AND(ISNUMBER($AT$692),$B$511=1),$AT$692,HLOOKUP(INDIRECT(ADDRESS(2,COLUMN())),OFFSET($BN$2,0,0,ROW()-1,60),ROW()-1,FALSE))</f>
        <v>100030.3762</v>
      </c>
      <c r="AU187">
        <f ca="1">IF(AND(ISNUMBER($AU$692),$B$511=1),$AU$692,HLOOKUP(INDIRECT(ADDRESS(2,COLUMN())),OFFSET($BN$2,0,0,ROW()-1,60),ROW()-1,FALSE))</f>
        <v>109448.74739999999</v>
      </c>
      <c r="AV187">
        <f ca="1">IF(AND(ISNUMBER($AV$692),$B$511=1),$AV$692,HLOOKUP(INDIRECT(ADDRESS(2,COLUMN())),OFFSET($BN$2,0,0,ROW()-1,60),ROW()-1,FALSE))</f>
        <v>109677.939</v>
      </c>
      <c r="AW187">
        <f ca="1">IF(AND(ISNUMBER($AW$692),$B$511=1),$AW$692,HLOOKUP(INDIRECT(ADDRESS(2,COLUMN())),OFFSET($BN$2,0,0,ROW()-1,60),ROW()-1,FALSE))</f>
        <v>108638.6461</v>
      </c>
      <c r="AX187">
        <f ca="1">IF(AND(ISNUMBER($AX$692),$B$511=1),$AX$692,HLOOKUP(INDIRECT(ADDRESS(2,COLUMN())),OFFSET($BN$2,0,0,ROW()-1,60),ROW()-1,FALSE))</f>
        <v>105386.033</v>
      </c>
      <c r="AY187">
        <f ca="1">IF(AND(ISNUMBER($AY$692),$B$511=1),$AY$692,HLOOKUP(INDIRECT(ADDRESS(2,COLUMN())),OFFSET($BN$2,0,0,ROW()-1,60),ROW()-1,FALSE))</f>
        <v>102294.03690000001</v>
      </c>
      <c r="AZ187">
        <f ca="1">IF(AND(ISNUMBER($AZ$692),$B$511=1),$AZ$692,HLOOKUP(INDIRECT(ADDRESS(2,COLUMN())),OFFSET($BN$2,0,0,ROW()-1,60),ROW()-1,FALSE))</f>
        <v>98906.320250000004</v>
      </c>
      <c r="BA187">
        <f ca="1">IF(AND(ISNUMBER($BA$692),$B$511=1),$BA$692,HLOOKUP(INDIRECT(ADDRESS(2,COLUMN())),OFFSET($BN$2,0,0,ROW()-1,60),ROW()-1,FALSE))</f>
        <v>96346.059510000006</v>
      </c>
      <c r="BB187">
        <f ca="1">IF(AND(ISNUMBER($BB$692),$B$511=1),$BB$692,HLOOKUP(INDIRECT(ADDRESS(2,COLUMN())),OFFSET($BN$2,0,0,ROW()-1,60),ROW()-1,FALSE))</f>
        <v>94849.908939999994</v>
      </c>
      <c r="BC187">
        <f ca="1">IF(AND(ISNUMBER($BC$692),$B$511=1),$BC$692,HLOOKUP(INDIRECT(ADDRESS(2,COLUMN())),OFFSET($BN$2,0,0,ROW()-1,60),ROW()-1,FALSE))</f>
        <v>94341.88811</v>
      </c>
      <c r="BD187">
        <f ca="1">IF(AND(ISNUMBER($BD$692),$B$511=1),$BD$692,HLOOKUP(INDIRECT(ADDRESS(2,COLUMN())),OFFSET($BN$2,0,0,ROW()-1,60),ROW()-1,FALSE))</f>
        <v>91891.748730000007</v>
      </c>
      <c r="BE187">
        <f ca="1">IF(AND(ISNUMBER($BE$692),$B$511=1),$BE$692,HLOOKUP(INDIRECT(ADDRESS(2,COLUMN())),OFFSET($BN$2,0,0,ROW()-1,60),ROW()-1,FALSE))</f>
        <v>90391.856740000003</v>
      </c>
      <c r="BF187">
        <f ca="1">IF(AND(ISNUMBER($BF$692),$B$511=1),$BF$692,HLOOKUP(INDIRECT(ADDRESS(2,COLUMN())),OFFSET($BN$2,0,0,ROW()-1,60),ROW()-1,FALSE))</f>
        <v>88853.091329999996</v>
      </c>
      <c r="BG187">
        <f ca="1">IF(AND(ISNUMBER($BG$692),$B$511=1),$BG$692,HLOOKUP(INDIRECT(ADDRESS(2,COLUMN())),OFFSET($BN$2,0,0,ROW()-1,60),ROW()-1,FALSE))</f>
        <v>85708.854500000001</v>
      </c>
      <c r="BH187">
        <f ca="1">IF(AND(ISNUMBER($BH$692),$B$511=1),$BH$692,HLOOKUP(INDIRECT(ADDRESS(2,COLUMN())),OFFSET($BN$2,0,0,ROW()-1,60),ROW()-1,FALSE))</f>
        <v>84765.539640000003</v>
      </c>
      <c r="BI187">
        <f ca="1">IF(AND(ISNUMBER($BI$692),$B$511=1),$BI$692,HLOOKUP(INDIRECT(ADDRESS(2,COLUMN())),OFFSET($BN$2,0,0,ROW()-1,60),ROW()-1,FALSE))</f>
        <v>82726.626420000001</v>
      </c>
      <c r="BJ187">
        <f ca="1">IF(AND(ISNUMBER($BJ$692),$B$511=1),$BJ$692,HLOOKUP(INDIRECT(ADDRESS(2,COLUMN())),OFFSET($BN$2,0,0,ROW()-1,60),ROW()-1,FALSE))</f>
        <v>80549.658330000006</v>
      </c>
      <c r="BK187">
        <f ca="1">IF(AND(ISNUMBER($BK$692),$B$511=1),$BK$692,HLOOKUP(INDIRECT(ADDRESS(2,COLUMN())),OFFSET($BN$2,0,0,ROW()-1,60),ROW()-1,FALSE))</f>
        <v>78154.133860000002</v>
      </c>
      <c r="BL187">
        <f ca="1">IF(AND(ISNUMBER($BL$692),$B$511=1),$BL$692,HLOOKUP(INDIRECT(ADDRESS(2,COLUMN())),OFFSET($BN$2,0,0,ROW()-1,60),ROW()-1,FALSE))</f>
        <v>76274.827480000007</v>
      </c>
      <c r="BM187">
        <f ca="1">IF(AND(ISNUMBER($BM$692),$B$511=1),$BM$692,HLOOKUP(INDIRECT(ADDRESS(2,COLUMN())),OFFSET($BN$2,0,0,ROW()-1,60),ROW()-1,FALSE))</f>
        <v>74380.332120000006</v>
      </c>
      <c r="BN187" t="str">
        <f>""</f>
        <v/>
      </c>
      <c r="BO187">
        <f>142714.2154</f>
        <v>142714.21539999999</v>
      </c>
      <c r="BP187">
        <f>142529.3856</f>
        <v>142529.38560000001</v>
      </c>
      <c r="BQ187">
        <f>142105.2424</f>
        <v>142105.24239999999</v>
      </c>
      <c r="BR187">
        <f>138647.1126</f>
        <v>138647.11259999999</v>
      </c>
      <c r="BS187">
        <f>135656.6928</f>
        <v>135656.69279999999</v>
      </c>
      <c r="BT187">
        <f>132657.9294</f>
        <v>132657.92939999999</v>
      </c>
      <c r="BU187">
        <f>130777.773</f>
        <v>130777.773</v>
      </c>
      <c r="BV187">
        <f>129499.0017</f>
        <v>129499.00169999999</v>
      </c>
      <c r="BW187">
        <f>128101.5302</f>
        <v>128101.53019999999</v>
      </c>
      <c r="BX187">
        <f>125951.5567</f>
        <v>125951.5567</v>
      </c>
      <c r="BY187">
        <f>123441.2365</f>
        <v>123441.2365</v>
      </c>
      <c r="BZ187">
        <f>121724.1901</f>
        <v>121724.19010000001</v>
      </c>
      <c r="CA187">
        <f>118148.9526</f>
        <v>118148.9526</v>
      </c>
      <c r="CB187">
        <f>118996.9407</f>
        <v>118996.94070000001</v>
      </c>
      <c r="CC187">
        <f>119852.7945</f>
        <v>119852.7945</v>
      </c>
      <c r="CD187">
        <f>120588.618</f>
        <v>120588.618</v>
      </c>
      <c r="CE187">
        <f>122482.3369</f>
        <v>122482.33689999999</v>
      </c>
      <c r="CF187">
        <f>121786.2282</f>
        <v>121786.2282</v>
      </c>
      <c r="CG187">
        <f>120927.9191</f>
        <v>120927.9191</v>
      </c>
      <c r="CH187">
        <f>118250.6813</f>
        <v>118250.6813</v>
      </c>
      <c r="CI187">
        <f>117911.2539</f>
        <v>117911.2539</v>
      </c>
      <c r="CJ187">
        <f>118308.5362</f>
        <v>118308.5362</v>
      </c>
      <c r="CK187">
        <f>118318.7697</f>
        <v>118318.7697</v>
      </c>
      <c r="CL187">
        <f>119545.8909</f>
        <v>119545.8909</v>
      </c>
      <c r="CM187">
        <f>119571.8875</f>
        <v>119571.8875</v>
      </c>
      <c r="CN187">
        <f>114895.27</f>
        <v>114895.27</v>
      </c>
      <c r="CO187">
        <f>110357.2635</f>
        <v>110357.2635</v>
      </c>
      <c r="CP187">
        <f>100732.6247</f>
        <v>100732.6247</v>
      </c>
      <c r="CQ187">
        <f>97428.87009</f>
        <v>97428.870089999997</v>
      </c>
      <c r="CR187">
        <f>97919.01575</f>
        <v>97919.015750000006</v>
      </c>
      <c r="CS187">
        <f>99897.92456</f>
        <v>99897.924559999999</v>
      </c>
      <c r="CT187">
        <f>104572.5723</f>
        <v>104572.5723</v>
      </c>
      <c r="CU187">
        <f>102851.2277</f>
        <v>102851.2277</v>
      </c>
      <c r="CV187">
        <f>102068.9423</f>
        <v>102068.9423</v>
      </c>
      <c r="CW187">
        <f>97685.84304</f>
        <v>97685.843040000007</v>
      </c>
      <c r="CX187">
        <f>92507.50838</f>
        <v>92507.508379999999</v>
      </c>
      <c r="CY187">
        <f>86493.81618</f>
        <v>86493.816179999994</v>
      </c>
      <c r="CZ187">
        <f>88147.78967</f>
        <v>88147.789669999998</v>
      </c>
      <c r="DA187">
        <f>93014.43375</f>
        <v>93014.433749999997</v>
      </c>
      <c r="DB187">
        <f>100030.3762</f>
        <v>100030.3762</v>
      </c>
      <c r="DC187">
        <f>109448.7474</f>
        <v>109448.74739999999</v>
      </c>
      <c r="DD187">
        <f>109677.939</f>
        <v>109677.939</v>
      </c>
      <c r="DE187">
        <f>108638.6461</f>
        <v>108638.6461</v>
      </c>
      <c r="DF187">
        <f>105386.033</f>
        <v>105386.033</v>
      </c>
      <c r="DG187">
        <f>102294.0369</f>
        <v>102294.03690000001</v>
      </c>
      <c r="DH187">
        <f>98906.32025</f>
        <v>98906.320250000004</v>
      </c>
      <c r="DI187">
        <f>96346.05951</f>
        <v>96346.059510000006</v>
      </c>
      <c r="DJ187">
        <f>94849.90894</f>
        <v>94849.908939999994</v>
      </c>
      <c r="DK187">
        <f>94341.88811</f>
        <v>94341.88811</v>
      </c>
      <c r="DL187">
        <f>91891.74873</f>
        <v>91891.748730000007</v>
      </c>
      <c r="DM187">
        <f>90391.85674</f>
        <v>90391.856740000003</v>
      </c>
      <c r="DN187">
        <f>88853.09133</f>
        <v>88853.091329999996</v>
      </c>
      <c r="DO187">
        <f>85708.8545</f>
        <v>85708.854500000001</v>
      </c>
      <c r="DP187">
        <f>84765.53964</f>
        <v>84765.539640000003</v>
      </c>
      <c r="DQ187">
        <f>82726.62642</f>
        <v>82726.626420000001</v>
      </c>
      <c r="DR187">
        <f>80549.65833</f>
        <v>80549.658330000006</v>
      </c>
      <c r="DS187">
        <f>78154.13386</f>
        <v>78154.133860000002</v>
      </c>
      <c r="DT187">
        <f>76274.82748</f>
        <v>76274.827480000007</v>
      </c>
      <c r="DU187">
        <f>74380.33212</f>
        <v>74380.332120000006</v>
      </c>
    </row>
    <row r="188" spans="1:125" x14ac:dyDescent="0.25">
      <c r="A188" t="str">
        <f>"    Hyundai Motor Co"</f>
        <v xml:space="preserve">    Hyundai Motor Co</v>
      </c>
      <c r="B188" t="str">
        <f>"005380 KS Equity"</f>
        <v>005380 KS Equity</v>
      </c>
      <c r="C188" t="str">
        <f t="shared" si="12"/>
        <v>RR800</v>
      </c>
      <c r="D188" t="str">
        <f t="shared" si="13"/>
        <v>TRAIL_12M_NET_SALES</v>
      </c>
      <c r="E188" t="str">
        <f t="shared" si="14"/>
        <v>Dynamic</v>
      </c>
      <c r="F188" t="str">
        <f ca="1">IF(AND(ISNUMBER($F$693),$B$511=1),$F$693,HLOOKUP(INDIRECT(ADDRESS(2,COLUMN())),OFFSET($BN$2,0,0,ROW()-1,60),ROW()-1,FALSE))</f>
        <v/>
      </c>
      <c r="G188">
        <f ca="1">IF(AND(ISNUMBER($G$693),$B$511=1),$G$693,HLOOKUP(INDIRECT(ADDRESS(2,COLUMN())),OFFSET($BN$2,0,0,ROW()-1,60),ROW()-1,FALSE))</f>
        <v>88418.782630000002</v>
      </c>
      <c r="H188">
        <f ca="1">IF(AND(ISNUMBER($H$693),$B$511=1),$H$693,HLOOKUP(INDIRECT(ADDRESS(2,COLUMN())),OFFSET($BN$2,0,0,ROW()-1,60),ROW()-1,FALSE))</f>
        <v>87774.279559999995</v>
      </c>
      <c r="I188">
        <f ca="1">IF(AND(ISNUMBER($I$693),$B$511=1),$I$693,HLOOKUP(INDIRECT(ADDRESS(2,COLUMN())),OFFSET($BN$2,0,0,ROW()-1,60),ROW()-1,FALSE))</f>
        <v>87348.837809999997</v>
      </c>
      <c r="J188">
        <f ca="1">IF(AND(ISNUMBER($J$693),$B$511=1),$J$693,HLOOKUP(INDIRECT(ADDRESS(2,COLUMN())),OFFSET($BN$2,0,0,ROW()-1,60),ROW()-1,FALSE))</f>
        <v>85996.47262</v>
      </c>
      <c r="K188">
        <f ca="1">IF(AND(ISNUMBER($K$693),$B$511=1),$K$693,HLOOKUP(INDIRECT(ADDRESS(2,COLUMN())),OFFSET($BN$2,0,0,ROW()-1,60),ROW()-1,FALSE))</f>
        <v>85277.991569999998</v>
      </c>
      <c r="L188">
        <f ca="1">IF(AND(ISNUMBER($L$693),$B$511=1),$L$693,HLOOKUP(INDIRECT(ADDRESS(2,COLUMN())),OFFSET($BN$2,0,0,ROW()-1,60),ROW()-1,FALSE))</f>
        <v>84324.408219999998</v>
      </c>
      <c r="M188">
        <f ca="1">IF(AND(ISNUMBER($M$693),$B$511=1),$M$693,HLOOKUP(INDIRECT(ADDRESS(2,COLUMN())),OFFSET($BN$2,0,0,ROW()-1,60),ROW()-1,FALSE))</f>
        <v>82707.610809999998</v>
      </c>
      <c r="N188">
        <f ca="1">IF(AND(ISNUMBER($N$693),$B$511=1),$N$693,HLOOKUP(INDIRECT(ADDRESS(2,COLUMN())),OFFSET($BN$2,0,0,ROW()-1,60),ROW()-1,FALSE))</f>
        <v>82450.907160000002</v>
      </c>
      <c r="O188">
        <f ca="1">IF(AND(ISNUMBER($O$693),$B$511=1),$O$693,HLOOKUP(INDIRECT(ADDRESS(2,COLUMN())),OFFSET($BN$2,0,0,ROW()-1,60),ROW()-1,FALSE))</f>
        <v>80756.270919999995</v>
      </c>
      <c r="P188">
        <f ca="1">IF(AND(ISNUMBER($P$693),$B$511=1),$P$693,HLOOKUP(INDIRECT(ADDRESS(2,COLUMN())),OFFSET($BN$2,0,0,ROW()-1,60),ROW()-1,FALSE))</f>
        <v>80969.202569999994</v>
      </c>
      <c r="Q188">
        <f ca="1">IF(AND(ISNUMBER($Q$693),$B$511=1),$Q$693,HLOOKUP(INDIRECT(ADDRESS(2,COLUMN())),OFFSET($BN$2,0,0,ROW()-1,60),ROW()-1,FALSE))</f>
        <v>81228.75877</v>
      </c>
      <c r="R188">
        <f ca="1">IF(AND(ISNUMBER($R$693),$B$511=1),$R$693,HLOOKUP(INDIRECT(ADDRESS(2,COLUMN())),OFFSET($BN$2,0,0,ROW()-1,60),ROW()-1,FALSE))</f>
        <v>80832.409950000001</v>
      </c>
      <c r="S188">
        <f ca="1">IF(AND(ISNUMBER($S$693),$B$511=1),$S$693,HLOOKUP(INDIRECT(ADDRESS(2,COLUMN())),OFFSET($BN$2,0,0,ROW()-1,60),ROW()-1,FALSE))</f>
        <v>81303.682809999998</v>
      </c>
      <c r="T188">
        <f ca="1">IF(AND(ISNUMBER($T$693),$B$511=1),$T$693,HLOOKUP(INDIRECT(ADDRESS(2,COLUMN())),OFFSET($BN$2,0,0,ROW()-1,60),ROW()-1,FALSE))</f>
        <v>81537.723499999993</v>
      </c>
      <c r="U188">
        <f ca="1">IF(AND(ISNUMBER($U$693),$B$511=1),$U$693,HLOOKUP(INDIRECT(ADDRESS(2,COLUMN())),OFFSET($BN$2,0,0,ROW()-1,60),ROW()-1,FALSE))</f>
        <v>82266.353059999994</v>
      </c>
      <c r="V188">
        <f ca="1">IF(AND(ISNUMBER($V$693),$B$511=1),$V$693,HLOOKUP(INDIRECT(ADDRESS(2,COLUMN())),OFFSET($BN$2,0,0,ROW()-1,60),ROW()-1,FALSE))</f>
        <v>83542.914359999995</v>
      </c>
      <c r="W188">
        <f ca="1">IF(AND(ISNUMBER($W$693),$B$511=1),$W$693,HLOOKUP(INDIRECT(ADDRESS(2,COLUMN())),OFFSET($BN$2,0,0,ROW()-1,60),ROW()-1,FALSE))</f>
        <v>84803.195860000007</v>
      </c>
      <c r="X188">
        <f ca="1">IF(AND(ISNUMBER($X$693),$B$511=1),$X$693,HLOOKUP(INDIRECT(ADDRESS(2,COLUMN())),OFFSET($BN$2,0,0,ROW()-1,60),ROW()-1,FALSE))</f>
        <v>83732.607929999998</v>
      </c>
      <c r="Y188">
        <f ca="1">IF(AND(ISNUMBER($Y$693),$B$511=1),$Y$693,HLOOKUP(INDIRECT(ADDRESS(2,COLUMN())),OFFSET($BN$2,0,0,ROW()-1,60),ROW()-1,FALSE))</f>
        <v>81709.549329999994</v>
      </c>
      <c r="Z188">
        <f ca="1">IF(AND(ISNUMBER($Z$693),$B$511=1),$Z$693,HLOOKUP(INDIRECT(ADDRESS(2,COLUMN())),OFFSET($BN$2,0,0,ROW()-1,60),ROW()-1,FALSE))</f>
        <v>80346.586450000003</v>
      </c>
      <c r="AA188">
        <f ca="1">IF(AND(ISNUMBER($AA$693),$B$511=1),$AA$693,HLOOKUP(INDIRECT(ADDRESS(2,COLUMN())),OFFSET($BN$2,0,0,ROW()-1,60),ROW()-1,FALSE))</f>
        <v>79799.698619999996</v>
      </c>
      <c r="AB188">
        <f ca="1">IF(AND(ISNUMBER($AB$693),$B$511=1),$AB$693,HLOOKUP(INDIRECT(ADDRESS(2,COLUMN())),OFFSET($BN$2,0,0,ROW()-1,60),ROW()-1,FALSE))</f>
        <v>79977.820730000007</v>
      </c>
      <c r="AC188">
        <f ca="1">IF(AND(ISNUMBER($AC$693),$B$511=1),$AC$693,HLOOKUP(INDIRECT(ADDRESS(2,COLUMN())),OFFSET($BN$2,0,0,ROW()-1,60),ROW()-1,FALSE))</f>
        <v>78496.736699999994</v>
      </c>
      <c r="AD188">
        <f ca="1">IF(AND(ISNUMBER($AD$693),$B$511=1),$AD$693,HLOOKUP(INDIRECT(ADDRESS(2,COLUMN())),OFFSET($BN$2,0,0,ROW()-1,60),ROW()-1,FALSE))</f>
        <v>76878.439660000004</v>
      </c>
      <c r="AE188">
        <f ca="1">IF(AND(ISNUMBER($AE$693),$B$511=1),$AE$693,HLOOKUP(INDIRECT(ADDRESS(2,COLUMN())),OFFSET($BN$2,0,0,ROW()-1,60),ROW()-1,FALSE))</f>
        <v>75026.316319999998</v>
      </c>
      <c r="AF188">
        <f ca="1">IF(AND(ISNUMBER($AF$693),$B$511=1),$AF$693,HLOOKUP(INDIRECT(ADDRESS(2,COLUMN())),OFFSET($BN$2,0,0,ROW()-1,60),ROW()-1,FALSE))</f>
        <v>72162.268119999993</v>
      </c>
      <c r="AG188">
        <f ca="1">IF(AND(ISNUMBER($AG$693),$B$511=1),$AG$693,HLOOKUP(INDIRECT(ADDRESS(2,COLUMN())),OFFSET($BN$2,0,0,ROW()-1,60),ROW()-1,FALSE))</f>
        <v>72382.106549999997</v>
      </c>
      <c r="AH188">
        <f ca="1">IF(AND(ISNUMBER($AH$693),$B$511=1),$AH$693,HLOOKUP(INDIRECT(ADDRESS(2,COLUMN())),OFFSET($BN$2,0,0,ROW()-1,60),ROW()-1,FALSE))</f>
        <v>71844.764179999998</v>
      </c>
      <c r="AI188">
        <f ca="1">IF(AND(ISNUMBER($AI$693),$B$511=1),$AI$693,HLOOKUP(INDIRECT(ADDRESS(2,COLUMN())),OFFSET($BN$2,0,0,ROW()-1,60),ROW()-1,FALSE))</f>
        <v>70291.028489999997</v>
      </c>
      <c r="AJ188">
        <f ca="1">IF(AND(ISNUMBER($AJ$693),$B$511=1),$AJ$693,HLOOKUP(INDIRECT(ADDRESS(2,COLUMN())),OFFSET($BN$2,0,0,ROW()-1,60),ROW()-1,FALSE))</f>
        <v>68668.495909999998</v>
      </c>
      <c r="AK188">
        <f ca="1">IF(AND(ISNUMBER($AK$693),$B$511=1),$AK$693,HLOOKUP(INDIRECT(ADDRESS(2,COLUMN())),OFFSET($BN$2,0,0,ROW()-1,60),ROW()-1,FALSE))</f>
        <v>65080.055639999999</v>
      </c>
      <c r="AL188">
        <f ca="1">IF(AND(ISNUMBER($AL$693),$B$511=1),$AL$693,HLOOKUP(INDIRECT(ADDRESS(2,COLUMN())),OFFSET($BN$2,0,0,ROW()-1,60),ROW()-1,FALSE))</f>
        <v>61078.498220000001</v>
      </c>
      <c r="AM188">
        <f ca="1">IF(AND(ISNUMBER($AM$693),$B$511=1),$AM$693,HLOOKUP(INDIRECT(ADDRESS(2,COLUMN())),OFFSET($BN$2,0,0,ROW()-1,60),ROW()-1,FALSE))</f>
        <v>57956.890420000003</v>
      </c>
      <c r="AN188" t="str">
        <f ca="1">IF(AND(ISNUMBER($AN$693),$B$511=1),$AN$693,HLOOKUP(INDIRECT(ADDRESS(2,COLUMN())),OFFSET($BN$2,0,0,ROW()-1,60),ROW()-1,FALSE))</f>
        <v/>
      </c>
      <c r="AO188" t="str">
        <f ca="1">IF(AND(ISNUMBER($AO$693),$B$511=1),$AO$693,HLOOKUP(INDIRECT(ADDRESS(2,COLUMN())),OFFSET($BN$2,0,0,ROW()-1,60),ROW()-1,FALSE))</f>
        <v/>
      </c>
      <c r="AP188" t="str">
        <f ca="1">IF(AND(ISNUMBER($AP$693),$B$511=1),$AP$693,HLOOKUP(INDIRECT(ADDRESS(2,COLUMN())),OFFSET($BN$2,0,0,ROW()-1,60),ROW()-1,FALSE))</f>
        <v/>
      </c>
      <c r="AQ188" t="str">
        <f ca="1">IF(AND(ISNUMBER($AQ$693),$B$511=1),$AQ$693,HLOOKUP(INDIRECT(ADDRESS(2,COLUMN())),OFFSET($BN$2,0,0,ROW()-1,60),ROW()-1,FALSE))</f>
        <v/>
      </c>
      <c r="AR188" t="str">
        <f ca="1">IF(AND(ISNUMBER($AR$693),$B$511=1),$AR$693,HLOOKUP(INDIRECT(ADDRESS(2,COLUMN())),OFFSET($BN$2,0,0,ROW()-1,60),ROW()-1,FALSE))</f>
        <v/>
      </c>
      <c r="AS188" t="str">
        <f ca="1">IF(AND(ISNUMBER($AS$693),$B$511=1),$AS$693,HLOOKUP(INDIRECT(ADDRESS(2,COLUMN())),OFFSET($BN$2,0,0,ROW()-1,60),ROW()-1,FALSE))</f>
        <v/>
      </c>
      <c r="AT188" t="str">
        <f ca="1">IF(AND(ISNUMBER($AT$693),$B$511=1),$AT$693,HLOOKUP(INDIRECT(ADDRESS(2,COLUMN())),OFFSET($BN$2,0,0,ROW()-1,60),ROW()-1,FALSE))</f>
        <v/>
      </c>
      <c r="AU188" t="str">
        <f ca="1">IF(AND(ISNUMBER($AU$693),$B$511=1),$AU$693,HLOOKUP(INDIRECT(ADDRESS(2,COLUMN())),OFFSET($BN$2,0,0,ROW()-1,60),ROW()-1,FALSE))</f>
        <v/>
      </c>
      <c r="AV188" t="str">
        <f ca="1">IF(AND(ISNUMBER($AV$693),$B$511=1),$AV$693,HLOOKUP(INDIRECT(ADDRESS(2,COLUMN())),OFFSET($BN$2,0,0,ROW()-1,60),ROW()-1,FALSE))</f>
        <v/>
      </c>
      <c r="AW188" t="str">
        <f ca="1">IF(AND(ISNUMBER($AW$693),$B$511=1),$AW$693,HLOOKUP(INDIRECT(ADDRESS(2,COLUMN())),OFFSET($BN$2,0,0,ROW()-1,60),ROW()-1,FALSE))</f>
        <v/>
      </c>
      <c r="AX188" t="str">
        <f ca="1">IF(AND(ISNUMBER($AX$693),$B$511=1),$AX$693,HLOOKUP(INDIRECT(ADDRESS(2,COLUMN())),OFFSET($BN$2,0,0,ROW()-1,60),ROW()-1,FALSE))</f>
        <v/>
      </c>
      <c r="AY188" t="str">
        <f ca="1">IF(AND(ISNUMBER($AY$693),$B$511=1),$AY$693,HLOOKUP(INDIRECT(ADDRESS(2,COLUMN())),OFFSET($BN$2,0,0,ROW()-1,60),ROW()-1,FALSE))</f>
        <v/>
      </c>
      <c r="AZ188" t="str">
        <f ca="1">IF(AND(ISNUMBER($AZ$693),$B$511=1),$AZ$693,HLOOKUP(INDIRECT(ADDRESS(2,COLUMN())),OFFSET($BN$2,0,0,ROW()-1,60),ROW()-1,FALSE))</f>
        <v/>
      </c>
      <c r="BA188" t="str">
        <f ca="1">IF(AND(ISNUMBER($BA$693),$B$511=1),$BA$693,HLOOKUP(INDIRECT(ADDRESS(2,COLUMN())),OFFSET($BN$2,0,0,ROW()-1,60),ROW()-1,FALSE))</f>
        <v/>
      </c>
      <c r="BB188" t="str">
        <f ca="1">IF(AND(ISNUMBER($BB$693),$B$511=1),$BB$693,HLOOKUP(INDIRECT(ADDRESS(2,COLUMN())),OFFSET($BN$2,0,0,ROW()-1,60),ROW()-1,FALSE))</f>
        <v/>
      </c>
      <c r="BC188" t="str">
        <f ca="1">IF(AND(ISNUMBER($BC$693),$B$511=1),$BC$693,HLOOKUP(INDIRECT(ADDRESS(2,COLUMN())),OFFSET($BN$2,0,0,ROW()-1,60),ROW()-1,FALSE))</f>
        <v/>
      </c>
      <c r="BD188" t="str">
        <f ca="1">IF(AND(ISNUMBER($BD$693),$B$511=1),$BD$693,HLOOKUP(INDIRECT(ADDRESS(2,COLUMN())),OFFSET($BN$2,0,0,ROW()-1,60),ROW()-1,FALSE))</f>
        <v/>
      </c>
      <c r="BE188" t="str">
        <f ca="1">IF(AND(ISNUMBER($BE$693),$B$511=1),$BE$693,HLOOKUP(INDIRECT(ADDRESS(2,COLUMN())),OFFSET($BN$2,0,0,ROW()-1,60),ROW()-1,FALSE))</f>
        <v/>
      </c>
      <c r="BF188" t="str">
        <f ca="1">IF(AND(ISNUMBER($BF$693),$B$511=1),$BF$693,HLOOKUP(INDIRECT(ADDRESS(2,COLUMN())),OFFSET($BN$2,0,0,ROW()-1,60),ROW()-1,FALSE))</f>
        <v/>
      </c>
      <c r="BG188" t="str">
        <f ca="1">IF(AND(ISNUMBER($BG$693),$B$511=1),$BG$693,HLOOKUP(INDIRECT(ADDRESS(2,COLUMN())),OFFSET($BN$2,0,0,ROW()-1,60),ROW()-1,FALSE))</f>
        <v/>
      </c>
      <c r="BH188" t="str">
        <f ca="1">IF(AND(ISNUMBER($BH$693),$B$511=1),$BH$693,HLOOKUP(INDIRECT(ADDRESS(2,COLUMN())),OFFSET($BN$2,0,0,ROW()-1,60),ROW()-1,FALSE))</f>
        <v/>
      </c>
      <c r="BI188" t="str">
        <f ca="1">IF(AND(ISNUMBER($BI$693),$B$511=1),$BI$693,HLOOKUP(INDIRECT(ADDRESS(2,COLUMN())),OFFSET($BN$2,0,0,ROW()-1,60),ROW()-1,FALSE))</f>
        <v/>
      </c>
      <c r="BJ188" t="str">
        <f ca="1">IF(AND(ISNUMBER($BJ$693),$B$511=1),$BJ$693,HLOOKUP(INDIRECT(ADDRESS(2,COLUMN())),OFFSET($BN$2,0,0,ROW()-1,60),ROW()-1,FALSE))</f>
        <v/>
      </c>
      <c r="BK188" t="str">
        <f ca="1">IF(AND(ISNUMBER($BK$693),$B$511=1),$BK$693,HLOOKUP(INDIRECT(ADDRESS(2,COLUMN())),OFFSET($BN$2,0,0,ROW()-1,60),ROW()-1,FALSE))</f>
        <v/>
      </c>
      <c r="BL188" t="str">
        <f ca="1">IF(AND(ISNUMBER($BL$693),$B$511=1),$BL$693,HLOOKUP(INDIRECT(ADDRESS(2,COLUMN())),OFFSET($BN$2,0,0,ROW()-1,60),ROW()-1,FALSE))</f>
        <v/>
      </c>
      <c r="BM188" t="str">
        <f ca="1">IF(AND(ISNUMBER($BM$693),$B$511=1),$BM$693,HLOOKUP(INDIRECT(ADDRESS(2,COLUMN())),OFFSET($BN$2,0,0,ROW()-1,60),ROW()-1,FALSE))</f>
        <v/>
      </c>
      <c r="BN188" t="str">
        <f>""</f>
        <v/>
      </c>
      <c r="BO188">
        <f>88418.78263</f>
        <v>88418.782630000002</v>
      </c>
      <c r="BP188">
        <f>87774.27956</f>
        <v>87774.279559999995</v>
      </c>
      <c r="BQ188">
        <f>87348.83781</f>
        <v>87348.837809999997</v>
      </c>
      <c r="BR188">
        <f>85996.47262</f>
        <v>85996.47262</v>
      </c>
      <c r="BS188">
        <f>85277.99157</f>
        <v>85277.991569999998</v>
      </c>
      <c r="BT188">
        <f>84324.40822</f>
        <v>84324.408219999998</v>
      </c>
      <c r="BU188">
        <f>82707.61081</f>
        <v>82707.610809999998</v>
      </c>
      <c r="BV188">
        <f>82450.90716</f>
        <v>82450.907160000002</v>
      </c>
      <c r="BW188">
        <f>80756.27092</f>
        <v>80756.270919999995</v>
      </c>
      <c r="BX188">
        <f>80969.20257</f>
        <v>80969.202569999994</v>
      </c>
      <c r="BY188">
        <f>81228.75877</f>
        <v>81228.75877</v>
      </c>
      <c r="BZ188">
        <f>80832.40995</f>
        <v>80832.409950000001</v>
      </c>
      <c r="CA188">
        <f>81303.68281</f>
        <v>81303.682809999998</v>
      </c>
      <c r="CB188">
        <f>81537.7235</f>
        <v>81537.723499999993</v>
      </c>
      <c r="CC188">
        <f>82266.35306</f>
        <v>82266.353059999994</v>
      </c>
      <c r="CD188">
        <f>83542.91436</f>
        <v>83542.914359999995</v>
      </c>
      <c r="CE188">
        <f>84803.19586</f>
        <v>84803.195860000007</v>
      </c>
      <c r="CF188">
        <f>83732.60793</f>
        <v>83732.607929999998</v>
      </c>
      <c r="CG188">
        <f>81709.54933</f>
        <v>81709.549329999994</v>
      </c>
      <c r="CH188">
        <f>80346.58645</f>
        <v>80346.586450000003</v>
      </c>
      <c r="CI188">
        <f>79799.69862</f>
        <v>79799.698619999996</v>
      </c>
      <c r="CJ188">
        <f>79977.82073</f>
        <v>79977.820730000007</v>
      </c>
      <c r="CK188">
        <f>78496.7367</f>
        <v>78496.736699999994</v>
      </c>
      <c r="CL188">
        <f>76878.43966</f>
        <v>76878.439660000004</v>
      </c>
      <c r="CM188">
        <f>75026.31632</f>
        <v>75026.316319999998</v>
      </c>
      <c r="CN188">
        <f>72162.26812</f>
        <v>72162.268119999993</v>
      </c>
      <c r="CO188">
        <f>72382.10655</f>
        <v>72382.106549999997</v>
      </c>
      <c r="CP188">
        <f>71844.76418</f>
        <v>71844.764179999998</v>
      </c>
      <c r="CQ188">
        <f>70291.02849</f>
        <v>70291.028489999997</v>
      </c>
      <c r="CR188">
        <f>68668.49591</f>
        <v>68668.495909999998</v>
      </c>
      <c r="CS188">
        <f>65080.05564</f>
        <v>65080.055639999999</v>
      </c>
      <c r="CT188">
        <f>61078.49822</f>
        <v>61078.498220000001</v>
      </c>
      <c r="CU188">
        <f>57956.89042</f>
        <v>57956.890420000003</v>
      </c>
      <c r="CV188" t="str">
        <f>""</f>
        <v/>
      </c>
      <c r="CW188" t="str">
        <f>""</f>
        <v/>
      </c>
      <c r="CX188" t="str">
        <f>""</f>
        <v/>
      </c>
      <c r="CY188" t="str">
        <f>""</f>
        <v/>
      </c>
      <c r="CZ188" t="str">
        <f>""</f>
        <v/>
      </c>
      <c r="DA188" t="str">
        <f>""</f>
        <v/>
      </c>
      <c r="DB188" t="str">
        <f>""</f>
        <v/>
      </c>
      <c r="DC188" t="str">
        <f>""</f>
        <v/>
      </c>
      <c r="DD188" t="str">
        <f>""</f>
        <v/>
      </c>
      <c r="DE188" t="str">
        <f>""</f>
        <v/>
      </c>
      <c r="DF188" t="str">
        <f>""</f>
        <v/>
      </c>
      <c r="DG188" t="str">
        <f>""</f>
        <v/>
      </c>
      <c r="DH188" t="str">
        <f>""</f>
        <v/>
      </c>
      <c r="DI188" t="str">
        <f>""</f>
        <v/>
      </c>
      <c r="DJ188" t="str">
        <f>""</f>
        <v/>
      </c>
      <c r="DK188" t="str">
        <f>""</f>
        <v/>
      </c>
      <c r="DL188" t="str">
        <f>""</f>
        <v/>
      </c>
      <c r="DM188" t="str">
        <f>""</f>
        <v/>
      </c>
      <c r="DN188" t="str">
        <f>""</f>
        <v/>
      </c>
      <c r="DO188" t="str">
        <f>""</f>
        <v/>
      </c>
      <c r="DP188" t="str">
        <f>""</f>
        <v/>
      </c>
      <c r="DQ188" t="str">
        <f>""</f>
        <v/>
      </c>
      <c r="DR188" t="str">
        <f>""</f>
        <v/>
      </c>
      <c r="DS188" t="str">
        <f>""</f>
        <v/>
      </c>
      <c r="DT188" t="str">
        <f>""</f>
        <v/>
      </c>
      <c r="DU188" t="str">
        <f>""</f>
        <v/>
      </c>
    </row>
    <row r="189" spans="1:125" x14ac:dyDescent="0.25">
      <c r="A189" t="str">
        <f>"    Kia Motors Corp"</f>
        <v xml:space="preserve">    Kia Motors Corp</v>
      </c>
      <c r="B189" t="str">
        <f>"000270 KS Equity"</f>
        <v>000270 KS Equity</v>
      </c>
      <c r="C189" t="str">
        <f t="shared" si="12"/>
        <v>RR800</v>
      </c>
      <c r="D189" t="str">
        <f t="shared" si="13"/>
        <v>TRAIL_12M_NET_SALES</v>
      </c>
      <c r="E189" t="str">
        <f t="shared" si="14"/>
        <v>Dynamic</v>
      </c>
      <c r="F189" t="str">
        <f ca="1">IF(AND(ISNUMBER($F$694),$B$511=1),$F$694,HLOOKUP(INDIRECT(ADDRESS(2,COLUMN())),OFFSET($BN$2,0,0,ROW()-1,60),ROW()-1,FALSE))</f>
        <v/>
      </c>
      <c r="G189">
        <f ca="1">IF(AND(ISNUMBER($G$694),$B$511=1),$G$694,HLOOKUP(INDIRECT(ADDRESS(2,COLUMN())),OFFSET($BN$2,0,0,ROW()-1,60),ROW()-1,FALSE))</f>
        <v>49249.856509999998</v>
      </c>
      <c r="H189">
        <f ca="1">IF(AND(ISNUMBER($H$694),$B$511=1),$H$694,HLOOKUP(INDIRECT(ADDRESS(2,COLUMN())),OFFSET($BN$2,0,0,ROW()-1,60),ROW()-1,FALSE))</f>
        <v>49058.439030000001</v>
      </c>
      <c r="I189">
        <f ca="1">IF(AND(ISNUMBER($I$694),$B$511=1),$I$694,HLOOKUP(INDIRECT(ADDRESS(2,COLUMN())),OFFSET($BN$2,0,0,ROW()-1,60),ROW()-1,FALSE))</f>
        <v>48969.480250000001</v>
      </c>
      <c r="J189">
        <f ca="1">IF(AND(ISNUMBER($J$694),$B$511=1),$J$694,HLOOKUP(INDIRECT(ADDRESS(2,COLUMN())),OFFSET($BN$2,0,0,ROW()-1,60),ROW()-1,FALSE))</f>
        <v>47981.289819999998</v>
      </c>
      <c r="K189">
        <f ca="1">IF(AND(ISNUMBER($K$694),$B$511=1),$K$694,HLOOKUP(INDIRECT(ADDRESS(2,COLUMN())),OFFSET($BN$2,0,0,ROW()-1,60),ROW()-1,FALSE))</f>
        <v>47370.834289999999</v>
      </c>
      <c r="L189">
        <f ca="1">IF(AND(ISNUMBER($L$694),$B$511=1),$L$694,HLOOKUP(INDIRECT(ADDRESS(2,COLUMN())),OFFSET($BN$2,0,0,ROW()-1,60),ROW()-1,FALSE))</f>
        <v>46743.535020000003</v>
      </c>
      <c r="M189">
        <f ca="1">IF(AND(ISNUMBER($M$694),$B$511=1),$M$694,HLOOKUP(INDIRECT(ADDRESS(2,COLUMN())),OFFSET($BN$2,0,0,ROW()-1,60),ROW()-1,FALSE))</f>
        <v>45641.18707</v>
      </c>
      <c r="N189">
        <f ca="1">IF(AND(ISNUMBER($N$694),$B$511=1),$N$694,HLOOKUP(INDIRECT(ADDRESS(2,COLUMN())),OFFSET($BN$2,0,0,ROW()-1,60),ROW()-1,FALSE))</f>
        <v>46081.398079999999</v>
      </c>
      <c r="O189">
        <f ca="1">IF(AND(ISNUMBER($O$694),$B$511=1),$O$694,HLOOKUP(INDIRECT(ADDRESS(2,COLUMN())),OFFSET($BN$2,0,0,ROW()-1,60),ROW()-1,FALSE))</f>
        <v>45455.868479999997</v>
      </c>
      <c r="P189">
        <f ca="1">IF(AND(ISNUMBER($P$694),$B$511=1),$P$694,HLOOKUP(INDIRECT(ADDRESS(2,COLUMN())),OFFSET($BN$2,0,0,ROW()-1,60),ROW()-1,FALSE))</f>
        <v>45359.597029999997</v>
      </c>
      <c r="Q189">
        <f ca="1">IF(AND(ISNUMBER($Q$694),$B$511=1),$Q$694,HLOOKUP(INDIRECT(ADDRESS(2,COLUMN())),OFFSET($BN$2,0,0,ROW()-1,60),ROW()-1,FALSE))</f>
        <v>45213.307460000004</v>
      </c>
      <c r="R189">
        <f ca="1">IF(AND(ISNUMBER($R$694),$B$511=1),$R$694,HLOOKUP(INDIRECT(ADDRESS(2,COLUMN())),OFFSET($BN$2,0,0,ROW()-1,60),ROW()-1,FALSE))</f>
        <v>44147.464999999997</v>
      </c>
      <c r="S189">
        <f ca="1">IF(AND(ISNUMBER($S$694),$B$511=1),$S$694,HLOOKUP(INDIRECT(ADDRESS(2,COLUMN())),OFFSET($BN$2,0,0,ROW()-1,60),ROW()-1,FALSE))</f>
        <v>43783.50763</v>
      </c>
      <c r="T189">
        <f ca="1">IF(AND(ISNUMBER($T$694),$B$511=1),$T$694,HLOOKUP(INDIRECT(ADDRESS(2,COLUMN())),OFFSET($BN$2,0,0,ROW()-1,60),ROW()-1,FALSE))</f>
        <v>43506.463109999997</v>
      </c>
      <c r="U189">
        <f ca="1">IF(AND(ISNUMBER($U$694),$B$511=1),$U$694,HLOOKUP(INDIRECT(ADDRESS(2,COLUMN())),OFFSET($BN$2,0,0,ROW()-1,60),ROW()-1,FALSE))</f>
        <v>43385.255940000003</v>
      </c>
      <c r="V189">
        <f ca="1">IF(AND(ISNUMBER($V$694),$B$511=1),$V$694,HLOOKUP(INDIRECT(ADDRESS(2,COLUMN())),OFFSET($BN$2,0,0,ROW()-1,60),ROW()-1,FALSE))</f>
        <v>43728.065450000002</v>
      </c>
      <c r="W189">
        <f ca="1">IF(AND(ISNUMBER($W$694),$B$511=1),$W$694,HLOOKUP(INDIRECT(ADDRESS(2,COLUMN())),OFFSET($BN$2,0,0,ROW()-1,60),ROW()-1,FALSE))</f>
        <v>44747.311070000003</v>
      </c>
      <c r="X189">
        <f ca="1">IF(AND(ISNUMBER($X$694),$B$511=1),$X$694,HLOOKUP(INDIRECT(ADDRESS(2,COLUMN())),OFFSET($BN$2,0,0,ROW()-1,60),ROW()-1,FALSE))</f>
        <v>45069.42815</v>
      </c>
      <c r="Y189">
        <f ca="1">IF(AND(ISNUMBER($Y$694),$B$511=1),$Y$694,HLOOKUP(INDIRECT(ADDRESS(2,COLUMN())),OFFSET($BN$2,0,0,ROW()-1,60),ROW()-1,FALSE))</f>
        <v>44418.500350000002</v>
      </c>
      <c r="Z189">
        <f ca="1">IF(AND(ISNUMBER($Z$694),$B$511=1),$Z$694,HLOOKUP(INDIRECT(ADDRESS(2,COLUMN())),OFFSET($BN$2,0,0,ROW()-1,60),ROW()-1,FALSE))</f>
        <v>44433.352209999997</v>
      </c>
      <c r="AA189">
        <f ca="1">IF(AND(ISNUMBER($AA$694),$B$511=1),$AA$694,HLOOKUP(INDIRECT(ADDRESS(2,COLUMN())),OFFSET($BN$2,0,0,ROW()-1,60),ROW()-1,FALSE))</f>
        <v>43504.760979999999</v>
      </c>
      <c r="AB189">
        <f ca="1">IF(AND(ISNUMBER($AB$694),$B$511=1),$AB$694,HLOOKUP(INDIRECT(ADDRESS(2,COLUMN())),OFFSET($BN$2,0,0,ROW()-1,60),ROW()-1,FALSE))</f>
        <v>42770.666660000003</v>
      </c>
      <c r="AC189">
        <f ca="1">IF(AND(ISNUMBER($AC$694),$B$511=1),$AC$694,HLOOKUP(INDIRECT(ADDRESS(2,COLUMN())),OFFSET($BN$2,0,0,ROW()-1,60),ROW()-1,FALSE))</f>
        <v>42537.517740000003</v>
      </c>
      <c r="AD189">
        <f ca="1">IF(AND(ISNUMBER($AD$694),$B$511=1),$AD$694,HLOOKUP(INDIRECT(ADDRESS(2,COLUMN())),OFFSET($BN$2,0,0,ROW()-1,60),ROW()-1,FALSE))</f>
        <v>41761.049200000001</v>
      </c>
      <c r="AE189">
        <f ca="1">IF(AND(ISNUMBER($AE$694),$B$511=1),$AE$694,HLOOKUP(INDIRECT(ADDRESS(2,COLUMN())),OFFSET($BN$2,0,0,ROW()-1,60),ROW()-1,FALSE))</f>
        <v>41961.346539999999</v>
      </c>
      <c r="AF189">
        <f ca="1">IF(AND(ISNUMBER($AF$694),$B$511=1),$AF$694,HLOOKUP(INDIRECT(ADDRESS(2,COLUMN())),OFFSET($BN$2,0,0,ROW()-1,60),ROW()-1,FALSE))</f>
        <v>41162.9876</v>
      </c>
      <c r="AG189">
        <f ca="1">IF(AND(ISNUMBER($AG$694),$B$511=1),$AG$694,HLOOKUP(INDIRECT(ADDRESS(2,COLUMN())),OFFSET($BN$2,0,0,ROW()-1,60),ROW()-1,FALSE))</f>
        <v>40187.75864</v>
      </c>
      <c r="AH189">
        <f ca="1">IF(AND(ISNUMBER($AH$694),$B$511=1),$AH$694,HLOOKUP(INDIRECT(ADDRESS(2,COLUMN())),OFFSET($BN$2,0,0,ROW()-1,60),ROW()-1,FALSE))</f>
        <v>39939.90249</v>
      </c>
      <c r="AI189">
        <f ca="1">IF(AND(ISNUMBER($AI$694),$B$511=1),$AI$694,HLOOKUP(INDIRECT(ADDRESS(2,COLUMN())),OFFSET($BN$2,0,0,ROW()-1,60),ROW()-1,FALSE))</f>
        <v>39023.366950000003</v>
      </c>
      <c r="AJ189">
        <f ca="1">IF(AND(ISNUMBER($AJ$694),$B$511=1),$AJ$694,HLOOKUP(INDIRECT(ADDRESS(2,COLUMN())),OFFSET($BN$2,0,0,ROW()-1,60),ROW()-1,FALSE))</f>
        <v>38323.01885</v>
      </c>
      <c r="AK189">
        <f ca="1">IF(AND(ISNUMBER($AK$694),$B$511=1),$AK$694,HLOOKUP(INDIRECT(ADDRESS(2,COLUMN())),OFFSET($BN$2,0,0,ROW()-1,60),ROW()-1,FALSE))</f>
        <v>36360.26079</v>
      </c>
      <c r="AL189">
        <f ca="1">IF(AND(ISNUMBER($AL$694),$B$511=1),$AL$694,HLOOKUP(INDIRECT(ADDRESS(2,COLUMN())),OFFSET($BN$2,0,0,ROW()-1,60),ROW()-1,FALSE))</f>
        <v>33664.100420000002</v>
      </c>
      <c r="AM189">
        <f ca="1">IF(AND(ISNUMBER($AM$694),$B$511=1),$AM$694,HLOOKUP(INDIRECT(ADDRESS(2,COLUMN())),OFFSET($BN$2,0,0,ROW()-1,60),ROW()-1,FALSE))</f>
        <v>30998.140579999999</v>
      </c>
      <c r="AN189" t="str">
        <f ca="1">IF(AND(ISNUMBER($AN$694),$B$511=1),$AN$694,HLOOKUP(INDIRECT(ADDRESS(2,COLUMN())),OFFSET($BN$2,0,0,ROW()-1,60),ROW()-1,FALSE))</f>
        <v/>
      </c>
      <c r="AO189" t="str">
        <f ca="1">IF(AND(ISNUMBER($AO$694),$B$511=1),$AO$694,HLOOKUP(INDIRECT(ADDRESS(2,COLUMN())),OFFSET($BN$2,0,0,ROW()-1,60),ROW()-1,FALSE))</f>
        <v/>
      </c>
      <c r="AP189" t="str">
        <f ca="1">IF(AND(ISNUMBER($AP$694),$B$511=1),$AP$694,HLOOKUP(INDIRECT(ADDRESS(2,COLUMN())),OFFSET($BN$2,0,0,ROW()-1,60),ROW()-1,FALSE))</f>
        <v/>
      </c>
      <c r="AQ189" t="str">
        <f ca="1">IF(AND(ISNUMBER($AQ$694),$B$511=1),$AQ$694,HLOOKUP(INDIRECT(ADDRESS(2,COLUMN())),OFFSET($BN$2,0,0,ROW()-1,60),ROW()-1,FALSE))</f>
        <v/>
      </c>
      <c r="AR189" t="str">
        <f ca="1">IF(AND(ISNUMBER($AR$694),$B$511=1),$AR$694,HLOOKUP(INDIRECT(ADDRESS(2,COLUMN())),OFFSET($BN$2,0,0,ROW()-1,60),ROW()-1,FALSE))</f>
        <v/>
      </c>
      <c r="AS189" t="str">
        <f ca="1">IF(AND(ISNUMBER($AS$694),$B$511=1),$AS$694,HLOOKUP(INDIRECT(ADDRESS(2,COLUMN())),OFFSET($BN$2,0,0,ROW()-1,60),ROW()-1,FALSE))</f>
        <v/>
      </c>
      <c r="AT189" t="str">
        <f ca="1">IF(AND(ISNUMBER($AT$694),$B$511=1),$AT$694,HLOOKUP(INDIRECT(ADDRESS(2,COLUMN())),OFFSET($BN$2,0,0,ROW()-1,60),ROW()-1,FALSE))</f>
        <v/>
      </c>
      <c r="AU189" t="str">
        <f ca="1">IF(AND(ISNUMBER($AU$694),$B$511=1),$AU$694,HLOOKUP(INDIRECT(ADDRESS(2,COLUMN())),OFFSET($BN$2,0,0,ROW()-1,60),ROW()-1,FALSE))</f>
        <v/>
      </c>
      <c r="AV189" t="str">
        <f ca="1">IF(AND(ISNUMBER($AV$694),$B$511=1),$AV$694,HLOOKUP(INDIRECT(ADDRESS(2,COLUMN())),OFFSET($BN$2,0,0,ROW()-1,60),ROW()-1,FALSE))</f>
        <v/>
      </c>
      <c r="AW189" t="str">
        <f ca="1">IF(AND(ISNUMBER($AW$694),$B$511=1),$AW$694,HLOOKUP(INDIRECT(ADDRESS(2,COLUMN())),OFFSET($BN$2,0,0,ROW()-1,60),ROW()-1,FALSE))</f>
        <v/>
      </c>
      <c r="AX189" t="str">
        <f ca="1">IF(AND(ISNUMBER($AX$694),$B$511=1),$AX$694,HLOOKUP(INDIRECT(ADDRESS(2,COLUMN())),OFFSET($BN$2,0,0,ROW()-1,60),ROW()-1,FALSE))</f>
        <v/>
      </c>
      <c r="AY189" t="str">
        <f ca="1">IF(AND(ISNUMBER($AY$694),$B$511=1),$AY$694,HLOOKUP(INDIRECT(ADDRESS(2,COLUMN())),OFFSET($BN$2,0,0,ROW()-1,60),ROW()-1,FALSE))</f>
        <v/>
      </c>
      <c r="AZ189" t="str">
        <f ca="1">IF(AND(ISNUMBER($AZ$694),$B$511=1),$AZ$694,HLOOKUP(INDIRECT(ADDRESS(2,COLUMN())),OFFSET($BN$2,0,0,ROW()-1,60),ROW()-1,FALSE))</f>
        <v/>
      </c>
      <c r="BA189" t="str">
        <f ca="1">IF(AND(ISNUMBER($BA$694),$B$511=1),$BA$694,HLOOKUP(INDIRECT(ADDRESS(2,COLUMN())),OFFSET($BN$2,0,0,ROW()-1,60),ROW()-1,FALSE))</f>
        <v/>
      </c>
      <c r="BB189" t="str">
        <f ca="1">IF(AND(ISNUMBER($BB$694),$B$511=1),$BB$694,HLOOKUP(INDIRECT(ADDRESS(2,COLUMN())),OFFSET($BN$2,0,0,ROW()-1,60),ROW()-1,FALSE))</f>
        <v/>
      </c>
      <c r="BC189" t="str">
        <f ca="1">IF(AND(ISNUMBER($BC$694),$B$511=1),$BC$694,HLOOKUP(INDIRECT(ADDRESS(2,COLUMN())),OFFSET($BN$2,0,0,ROW()-1,60),ROW()-1,FALSE))</f>
        <v/>
      </c>
      <c r="BD189" t="str">
        <f ca="1">IF(AND(ISNUMBER($BD$694),$B$511=1),$BD$694,HLOOKUP(INDIRECT(ADDRESS(2,COLUMN())),OFFSET($BN$2,0,0,ROW()-1,60),ROW()-1,FALSE))</f>
        <v/>
      </c>
      <c r="BE189" t="str">
        <f ca="1">IF(AND(ISNUMBER($BE$694),$B$511=1),$BE$694,HLOOKUP(INDIRECT(ADDRESS(2,COLUMN())),OFFSET($BN$2,0,0,ROW()-1,60),ROW()-1,FALSE))</f>
        <v/>
      </c>
      <c r="BF189" t="str">
        <f ca="1">IF(AND(ISNUMBER($BF$694),$B$511=1),$BF$694,HLOOKUP(INDIRECT(ADDRESS(2,COLUMN())),OFFSET($BN$2,0,0,ROW()-1,60),ROW()-1,FALSE))</f>
        <v/>
      </c>
      <c r="BG189" t="str">
        <f ca="1">IF(AND(ISNUMBER($BG$694),$B$511=1),$BG$694,HLOOKUP(INDIRECT(ADDRESS(2,COLUMN())),OFFSET($BN$2,0,0,ROW()-1,60),ROW()-1,FALSE))</f>
        <v/>
      </c>
      <c r="BH189" t="str">
        <f ca="1">IF(AND(ISNUMBER($BH$694),$B$511=1),$BH$694,HLOOKUP(INDIRECT(ADDRESS(2,COLUMN())),OFFSET($BN$2,0,0,ROW()-1,60),ROW()-1,FALSE))</f>
        <v/>
      </c>
      <c r="BI189" t="str">
        <f ca="1">IF(AND(ISNUMBER($BI$694),$B$511=1),$BI$694,HLOOKUP(INDIRECT(ADDRESS(2,COLUMN())),OFFSET($BN$2,0,0,ROW()-1,60),ROW()-1,FALSE))</f>
        <v/>
      </c>
      <c r="BJ189" t="str">
        <f ca="1">IF(AND(ISNUMBER($BJ$694),$B$511=1),$BJ$694,HLOOKUP(INDIRECT(ADDRESS(2,COLUMN())),OFFSET($BN$2,0,0,ROW()-1,60),ROW()-1,FALSE))</f>
        <v/>
      </c>
      <c r="BK189" t="str">
        <f ca="1">IF(AND(ISNUMBER($BK$694),$B$511=1),$BK$694,HLOOKUP(INDIRECT(ADDRESS(2,COLUMN())),OFFSET($BN$2,0,0,ROW()-1,60),ROW()-1,FALSE))</f>
        <v/>
      </c>
      <c r="BL189" t="str">
        <f ca="1">IF(AND(ISNUMBER($BL$694),$B$511=1),$BL$694,HLOOKUP(INDIRECT(ADDRESS(2,COLUMN())),OFFSET($BN$2,0,0,ROW()-1,60),ROW()-1,FALSE))</f>
        <v/>
      </c>
      <c r="BM189" t="str">
        <f ca="1">IF(AND(ISNUMBER($BM$694),$B$511=1),$BM$694,HLOOKUP(INDIRECT(ADDRESS(2,COLUMN())),OFFSET($BN$2,0,0,ROW()-1,60),ROW()-1,FALSE))</f>
        <v/>
      </c>
      <c r="BN189" t="str">
        <f>""</f>
        <v/>
      </c>
      <c r="BO189">
        <f>49249.85651</f>
        <v>49249.856509999998</v>
      </c>
      <c r="BP189">
        <f>49058.43903</f>
        <v>49058.439030000001</v>
      </c>
      <c r="BQ189">
        <f>48969.48025</f>
        <v>48969.480250000001</v>
      </c>
      <c r="BR189">
        <f>47981.28982</f>
        <v>47981.289819999998</v>
      </c>
      <c r="BS189">
        <f>47370.83429</f>
        <v>47370.834289999999</v>
      </c>
      <c r="BT189">
        <f>46743.53502</f>
        <v>46743.535020000003</v>
      </c>
      <c r="BU189">
        <f>45641.18707</f>
        <v>45641.18707</v>
      </c>
      <c r="BV189">
        <f>46081.39808</f>
        <v>46081.398079999999</v>
      </c>
      <c r="BW189">
        <f>45455.86848</f>
        <v>45455.868479999997</v>
      </c>
      <c r="BX189">
        <f>45359.59703</f>
        <v>45359.597029999997</v>
      </c>
      <c r="BY189">
        <f>45213.30746</f>
        <v>45213.307460000004</v>
      </c>
      <c r="BZ189">
        <f>44147.465</f>
        <v>44147.464999999997</v>
      </c>
      <c r="CA189">
        <f>43783.50763</f>
        <v>43783.50763</v>
      </c>
      <c r="CB189">
        <f>43506.46311</f>
        <v>43506.463109999997</v>
      </c>
      <c r="CC189">
        <f>43385.25594</f>
        <v>43385.255940000003</v>
      </c>
      <c r="CD189">
        <f>43728.06545</f>
        <v>43728.065450000002</v>
      </c>
      <c r="CE189">
        <f>44747.31107</f>
        <v>44747.311070000003</v>
      </c>
      <c r="CF189">
        <f>45069.42815</f>
        <v>45069.42815</v>
      </c>
      <c r="CG189">
        <f>44418.50035</f>
        <v>44418.500350000002</v>
      </c>
      <c r="CH189">
        <f>44433.35221</f>
        <v>44433.352209999997</v>
      </c>
      <c r="CI189">
        <f>43504.76098</f>
        <v>43504.760979999999</v>
      </c>
      <c r="CJ189">
        <f>42770.66666</f>
        <v>42770.666660000003</v>
      </c>
      <c r="CK189">
        <f>42537.51774</f>
        <v>42537.517740000003</v>
      </c>
      <c r="CL189">
        <f>41761.0492</f>
        <v>41761.049200000001</v>
      </c>
      <c r="CM189">
        <f>41961.34654</f>
        <v>41961.346539999999</v>
      </c>
      <c r="CN189">
        <f>41162.9876</f>
        <v>41162.9876</v>
      </c>
      <c r="CO189">
        <f>40187.75864</f>
        <v>40187.75864</v>
      </c>
      <c r="CP189">
        <f>39939.90249</f>
        <v>39939.90249</v>
      </c>
      <c r="CQ189">
        <f>39023.36695</f>
        <v>39023.366950000003</v>
      </c>
      <c r="CR189">
        <f>38323.01885</f>
        <v>38323.01885</v>
      </c>
      <c r="CS189">
        <f>36360.26079</f>
        <v>36360.26079</v>
      </c>
      <c r="CT189">
        <f>33664.10042</f>
        <v>33664.100420000002</v>
      </c>
      <c r="CU189">
        <f>30998.14058</f>
        <v>30998.140579999999</v>
      </c>
      <c r="CV189" t="str">
        <f>""</f>
        <v/>
      </c>
      <c r="CW189" t="str">
        <f>""</f>
        <v/>
      </c>
      <c r="CX189" t="str">
        <f>""</f>
        <v/>
      </c>
      <c r="CY189" t="str">
        <f>""</f>
        <v/>
      </c>
      <c r="CZ189" t="str">
        <f>""</f>
        <v/>
      </c>
      <c r="DA189" t="str">
        <f>""</f>
        <v/>
      </c>
      <c r="DB189" t="str">
        <f>""</f>
        <v/>
      </c>
      <c r="DC189" t="str">
        <f>""</f>
        <v/>
      </c>
      <c r="DD189" t="str">
        <f>""</f>
        <v/>
      </c>
      <c r="DE189" t="str">
        <f>""</f>
        <v/>
      </c>
      <c r="DF189" t="str">
        <f>""</f>
        <v/>
      </c>
      <c r="DG189" t="str">
        <f>""</f>
        <v/>
      </c>
      <c r="DH189" t="str">
        <f>""</f>
        <v/>
      </c>
      <c r="DI189" t="str">
        <f>""</f>
        <v/>
      </c>
      <c r="DJ189" t="str">
        <f>""</f>
        <v/>
      </c>
      <c r="DK189" t="str">
        <f>""</f>
        <v/>
      </c>
      <c r="DL189" t="str">
        <f>""</f>
        <v/>
      </c>
      <c r="DM189" t="str">
        <f>""</f>
        <v/>
      </c>
      <c r="DN189" t="str">
        <f>""</f>
        <v/>
      </c>
      <c r="DO189" t="str">
        <f>""</f>
        <v/>
      </c>
      <c r="DP189" t="str">
        <f>""</f>
        <v/>
      </c>
      <c r="DQ189" t="str">
        <f>""</f>
        <v/>
      </c>
      <c r="DR189" t="str">
        <f>""</f>
        <v/>
      </c>
      <c r="DS189" t="str">
        <f>""</f>
        <v/>
      </c>
      <c r="DT189" t="str">
        <f>""</f>
        <v/>
      </c>
      <c r="DU189" t="str">
        <f>""</f>
        <v/>
      </c>
    </row>
    <row r="190" spans="1:125" x14ac:dyDescent="0.25">
      <c r="A190" t="str">
        <f>"    Mazda Motor Corp"</f>
        <v xml:space="preserve">    Mazda Motor Corp</v>
      </c>
      <c r="B190" t="str">
        <f>"7261 JP Equity"</f>
        <v>7261 JP Equity</v>
      </c>
      <c r="C190" t="str">
        <f t="shared" si="12"/>
        <v>RR800</v>
      </c>
      <c r="D190" t="str">
        <f t="shared" si="13"/>
        <v>TRAIL_12M_NET_SALES</v>
      </c>
      <c r="E190" t="str">
        <f t="shared" si="14"/>
        <v>Dynamic</v>
      </c>
      <c r="F190" t="str">
        <f ca="1">IF(AND(ISNUMBER($F$695),$B$511=1),$F$695,HLOOKUP(INDIRECT(ADDRESS(2,COLUMN())),OFFSET($BN$2,0,0,ROW()-1,60),ROW()-1,FALSE))</f>
        <v/>
      </c>
      <c r="G190">
        <f ca="1">IF(AND(ISNUMBER($G$695),$B$511=1),$G$695,HLOOKUP(INDIRECT(ADDRESS(2,COLUMN())),OFFSET($BN$2,0,0,ROW()-1,60),ROW()-1,FALSE))</f>
        <v>32146.505130000001</v>
      </c>
      <c r="H190">
        <f ca="1">IF(AND(ISNUMBER($H$695),$B$511=1),$H$695,HLOOKUP(INDIRECT(ADDRESS(2,COLUMN())),OFFSET($BN$2,0,0,ROW()-1,60),ROW()-1,FALSE))</f>
        <v>32118.95363</v>
      </c>
      <c r="I190">
        <f ca="1">IF(AND(ISNUMBER($I$695),$B$511=1),$I$695,HLOOKUP(INDIRECT(ADDRESS(2,COLUMN())),OFFSET($BN$2,0,0,ROW()-1,60),ROW()-1,FALSE))</f>
        <v>32144.316490000001</v>
      </c>
      <c r="J190">
        <f ca="1">IF(AND(ISNUMBER($J$695),$B$511=1),$J$695,HLOOKUP(INDIRECT(ADDRESS(2,COLUMN())),OFFSET($BN$2,0,0,ROW()-1,60),ROW()-1,FALSE))</f>
        <v>31355.954610000001</v>
      </c>
      <c r="K190">
        <f ca="1">IF(AND(ISNUMBER($K$695),$B$511=1),$K$695,HLOOKUP(INDIRECT(ADDRESS(2,COLUMN())),OFFSET($BN$2,0,0,ROW()-1,60),ROW()-1,FALSE))</f>
        <v>30446.69731</v>
      </c>
      <c r="L190">
        <f ca="1">IF(AND(ISNUMBER($L$695),$B$511=1),$L$695,HLOOKUP(INDIRECT(ADDRESS(2,COLUMN())),OFFSET($BN$2,0,0,ROW()-1,60),ROW()-1,FALSE))</f>
        <v>29893.41101</v>
      </c>
      <c r="M190">
        <f ca="1">IF(AND(ISNUMBER($M$695),$B$511=1),$M$695,HLOOKUP(INDIRECT(ADDRESS(2,COLUMN())),OFFSET($BN$2,0,0,ROW()-1,60),ROW()-1,FALSE))</f>
        <v>29756.39949</v>
      </c>
      <c r="N190">
        <f ca="1">IF(AND(ISNUMBER($N$695),$B$511=1),$N$695,HLOOKUP(INDIRECT(ADDRESS(2,COLUMN())),OFFSET($BN$2,0,0,ROW()-1,60),ROW()-1,FALSE))</f>
        <v>29734.327649999999</v>
      </c>
      <c r="O190">
        <f ca="1">IF(AND(ISNUMBER($O$695),$B$511=1),$O$695,HLOOKUP(INDIRECT(ADDRESS(2,COLUMN())),OFFSET($BN$2,0,0,ROW()-1,60),ROW()-1,FALSE))</f>
        <v>29572.752199999999</v>
      </c>
      <c r="P190">
        <f ca="1">IF(AND(ISNUMBER($P$695),$B$511=1),$P$695,HLOOKUP(INDIRECT(ADDRESS(2,COLUMN())),OFFSET($BN$2,0,0,ROW()-1,60),ROW()-1,FALSE))</f>
        <v>29239.93806</v>
      </c>
      <c r="Q190">
        <f ca="1">IF(AND(ISNUMBER($Q$695),$B$511=1),$Q$695,HLOOKUP(INDIRECT(ADDRESS(2,COLUMN())),OFFSET($BN$2,0,0,ROW()-1,60),ROW()-1,FALSE))</f>
        <v>29011.199550000001</v>
      </c>
      <c r="R190">
        <f ca="1">IF(AND(ISNUMBER($R$695),$B$511=1),$R$695,HLOOKUP(INDIRECT(ADDRESS(2,COLUMN())),OFFSET($BN$2,0,0,ROW()-1,60),ROW()-1,FALSE))</f>
        <v>28399.54132</v>
      </c>
      <c r="S190">
        <f ca="1">IF(AND(ISNUMBER($S$695),$B$511=1),$S$695,HLOOKUP(INDIRECT(ADDRESS(2,COLUMN())),OFFSET($BN$2,0,0,ROW()-1,60),ROW()-1,FALSE))</f>
        <v>27999.304950000002</v>
      </c>
      <c r="T190">
        <f ca="1">IF(AND(ISNUMBER($T$695),$B$511=1),$T$695,HLOOKUP(INDIRECT(ADDRESS(2,COLUMN())),OFFSET($BN$2,0,0,ROW()-1,60),ROW()-1,FALSE))</f>
        <v>27534.662199999999</v>
      </c>
      <c r="U190">
        <f ca="1">IF(AND(ISNUMBER($U$695),$B$511=1),$U$695,HLOOKUP(INDIRECT(ADDRESS(2,COLUMN())),OFFSET($BN$2,0,0,ROW()-1,60),ROW()-1,FALSE))</f>
        <v>27443.130840000002</v>
      </c>
      <c r="V190">
        <f ca="1">IF(AND(ISNUMBER($V$695),$B$511=1),$V$695,HLOOKUP(INDIRECT(ADDRESS(2,COLUMN())),OFFSET($BN$2,0,0,ROW()-1,60),ROW()-1,FALSE))</f>
        <v>27736.545399999999</v>
      </c>
      <c r="W190">
        <f ca="1">IF(AND(ISNUMBER($W$695),$B$511=1),$W$695,HLOOKUP(INDIRECT(ADDRESS(2,COLUMN())),OFFSET($BN$2,0,0,ROW()-1,60),ROW()-1,FALSE))</f>
        <v>27894.047429999999</v>
      </c>
      <c r="X190">
        <f ca="1">IF(AND(ISNUMBER($X$695),$B$511=1),$X$695,HLOOKUP(INDIRECT(ADDRESS(2,COLUMN())),OFFSET($BN$2,0,0,ROW()-1,60),ROW()-1,FALSE))</f>
        <v>28272.0556</v>
      </c>
      <c r="Y190">
        <f ca="1">IF(AND(ISNUMBER($Y$695),$B$511=1),$Y$695,HLOOKUP(INDIRECT(ADDRESS(2,COLUMN())),OFFSET($BN$2,0,0,ROW()-1,60),ROW()-1,FALSE))</f>
        <v>27541.701880000001</v>
      </c>
      <c r="Z190">
        <f ca="1">IF(AND(ISNUMBER($Z$695),$B$511=1),$Z$695,HLOOKUP(INDIRECT(ADDRESS(2,COLUMN())),OFFSET($BN$2,0,0,ROW()-1,60),ROW()-1,FALSE))</f>
        <v>26882.862150000001</v>
      </c>
      <c r="AA190">
        <f ca="1">IF(AND(ISNUMBER($AA$695),$B$511=1),$AA$695,HLOOKUP(INDIRECT(ADDRESS(2,COLUMN())),OFFSET($BN$2,0,0,ROW()-1,60),ROW()-1,FALSE))</f>
        <v>26787.010060000001</v>
      </c>
      <c r="AB190">
        <f ca="1">IF(AND(ISNUMBER($AB$695),$B$511=1),$AB$695,HLOOKUP(INDIRECT(ADDRESS(2,COLUMN())),OFFSET($BN$2,0,0,ROW()-1,60),ROW()-1,FALSE))</f>
        <v>26453.210950000001</v>
      </c>
      <c r="AC190">
        <f ca="1">IF(AND(ISNUMBER($AC$695),$B$511=1),$AC$695,HLOOKUP(INDIRECT(ADDRESS(2,COLUMN())),OFFSET($BN$2,0,0,ROW()-1,60),ROW()-1,FALSE))</f>
        <v>26649.081160000002</v>
      </c>
      <c r="AD190">
        <f ca="1">IF(AND(ISNUMBER($AD$695),$B$511=1),$AD$695,HLOOKUP(INDIRECT(ADDRESS(2,COLUMN())),OFFSET($BN$2,0,0,ROW()-1,60),ROW()-1,FALSE))</f>
        <v>26688.842000000001</v>
      </c>
      <c r="AE190">
        <f ca="1">IF(AND(ISNUMBER($AE$695),$B$511=1),$AE$695,HLOOKUP(INDIRECT(ADDRESS(2,COLUMN())),OFFSET($BN$2,0,0,ROW()-1,60),ROW()-1,FALSE))</f>
        <v>26952.377909999999</v>
      </c>
      <c r="AF190">
        <f ca="1">IF(AND(ISNUMBER($AF$695),$B$511=1),$AF$695,HLOOKUP(INDIRECT(ADDRESS(2,COLUMN())),OFFSET($BN$2,0,0,ROW()-1,60),ROW()-1,FALSE))</f>
        <v>26613.638200000001</v>
      </c>
      <c r="AG190">
        <f ca="1">IF(AND(ISNUMBER($AG$695),$B$511=1),$AG$695,HLOOKUP(INDIRECT(ADDRESS(2,COLUMN())),OFFSET($BN$2,0,0,ROW()-1,60),ROW()-1,FALSE))</f>
        <v>27133.459610000002</v>
      </c>
      <c r="AH190">
        <f ca="1">IF(AND(ISNUMBER($AH$695),$B$511=1),$AH$695,HLOOKUP(INDIRECT(ADDRESS(2,COLUMN())),OFFSET($BN$2,0,0,ROW()-1,60),ROW()-1,FALSE))</f>
        <v>25766.58539</v>
      </c>
      <c r="AI190">
        <f ca="1">IF(AND(ISNUMBER($AI$695),$B$511=1),$AI$695,HLOOKUP(INDIRECT(ADDRESS(2,COLUMN())),OFFSET($BN$2,0,0,ROW()-1,60),ROW()-1,FALSE))</f>
        <v>25450.425009999999</v>
      </c>
      <c r="AJ190">
        <f ca="1">IF(AND(ISNUMBER($AJ$695),$B$511=1),$AJ$695,HLOOKUP(INDIRECT(ADDRESS(2,COLUMN())),OFFSET($BN$2,0,0,ROW()-1,60),ROW()-1,FALSE))</f>
        <v>26285.869200000001</v>
      </c>
      <c r="AK190">
        <f ca="1">IF(AND(ISNUMBER($AK$695),$B$511=1),$AK$695,HLOOKUP(INDIRECT(ADDRESS(2,COLUMN())),OFFSET($BN$2,0,0,ROW()-1,60),ROW()-1,FALSE))</f>
        <v>25978.087749999999</v>
      </c>
      <c r="AL190">
        <f ca="1">IF(AND(ISNUMBER($AL$695),$B$511=1),$AL$695,HLOOKUP(INDIRECT(ADDRESS(2,COLUMN())),OFFSET($BN$2,0,0,ROW()-1,60),ROW()-1,FALSE))</f>
        <v>27213.483319999999</v>
      </c>
      <c r="AM190">
        <f ca="1">IF(AND(ISNUMBER($AM$695),$B$511=1),$AM$695,HLOOKUP(INDIRECT(ADDRESS(2,COLUMN())),OFFSET($BN$2,0,0,ROW()-1,60),ROW()-1,FALSE))</f>
        <v>26662.846699999998</v>
      </c>
      <c r="AN190">
        <f ca="1">IF(AND(ISNUMBER($AN$695),$B$511=1),$AN$695,HLOOKUP(INDIRECT(ADDRESS(2,COLUMN())),OFFSET($BN$2,0,0,ROW()-1,60),ROW()-1,FALSE))</f>
        <v>26052.459719999999</v>
      </c>
      <c r="AO190">
        <f ca="1">IF(AND(ISNUMBER($AO$695),$B$511=1),$AO$695,HLOOKUP(INDIRECT(ADDRESS(2,COLUMN())),OFFSET($BN$2,0,0,ROW()-1,60),ROW()-1,FALSE))</f>
        <v>25286.512579999999</v>
      </c>
      <c r="AP190">
        <f ca="1">IF(AND(ISNUMBER($AP$695),$B$511=1),$AP$695,HLOOKUP(INDIRECT(ADDRESS(2,COLUMN())),OFFSET($BN$2,0,0,ROW()-1,60),ROW()-1,FALSE))</f>
        <v>23333.427</v>
      </c>
      <c r="AQ190">
        <f ca="1">IF(AND(ISNUMBER($AQ$695),$B$511=1),$AQ$695,HLOOKUP(INDIRECT(ADDRESS(2,COLUMN())),OFFSET($BN$2,0,0,ROW()-1,60),ROW()-1,FALSE))</f>
        <v>21356.292799999999</v>
      </c>
      <c r="AR190">
        <f ca="1">IF(AND(ISNUMBER($AR$695),$B$511=1),$AR$695,HLOOKUP(INDIRECT(ADDRESS(2,COLUMN())),OFFSET($BN$2,0,0,ROW()-1,60),ROW()-1,FALSE))</f>
        <v>20528.74122</v>
      </c>
      <c r="AS190">
        <f ca="1">IF(AND(ISNUMBER($AS$695),$B$511=1),$AS$695,HLOOKUP(INDIRECT(ADDRESS(2,COLUMN())),OFFSET($BN$2,0,0,ROW()-1,60),ROW()-1,FALSE))</f>
        <v>22295.06338</v>
      </c>
      <c r="AT190">
        <f ca="1">IF(AND(ISNUMBER($AT$695),$B$511=1),$AT$695,HLOOKUP(INDIRECT(ADDRESS(2,COLUMN())),OFFSET($BN$2,0,0,ROW()-1,60),ROW()-1,FALSE))</f>
        <v>25338.240389999999</v>
      </c>
      <c r="AU190">
        <f ca="1">IF(AND(ISNUMBER($AU$695),$B$511=1),$AU$695,HLOOKUP(INDIRECT(ADDRESS(2,COLUMN())),OFFSET($BN$2,0,0,ROW()-1,60),ROW()-1,FALSE))</f>
        <v>29658.153679999999</v>
      </c>
      <c r="AV190">
        <f ca="1">IF(AND(ISNUMBER($AV$695),$B$511=1),$AV$695,HLOOKUP(INDIRECT(ADDRESS(2,COLUMN())),OFFSET($BN$2,0,0,ROW()-1,60),ROW()-1,FALSE))</f>
        <v>31571.48546</v>
      </c>
      <c r="AW190">
        <f ca="1">IF(AND(ISNUMBER($AW$695),$B$511=1),$AW$695,HLOOKUP(INDIRECT(ADDRESS(2,COLUMN())),OFFSET($BN$2,0,0,ROW()-1,60),ROW()-1,FALSE))</f>
        <v>31241.600579999998</v>
      </c>
      <c r="AX190">
        <f ca="1">IF(AND(ISNUMBER($AX$695),$B$511=1),$AX$695,HLOOKUP(INDIRECT(ADDRESS(2,COLUMN())),OFFSET($BN$2,0,0,ROW()-1,60),ROW()-1,FALSE))</f>
        <v>30517.760579999998</v>
      </c>
      <c r="AY190">
        <f ca="1">IF(AND(ISNUMBER($AY$695),$B$511=1),$AY$695,HLOOKUP(INDIRECT(ADDRESS(2,COLUMN())),OFFSET($BN$2,0,0,ROW()-1,60),ROW()-1,FALSE))</f>
        <v>29443.846420000002</v>
      </c>
      <c r="AZ190">
        <f ca="1">IF(AND(ISNUMBER($AZ$695),$B$511=1),$AZ$695,HLOOKUP(INDIRECT(ADDRESS(2,COLUMN())),OFFSET($BN$2,0,0,ROW()-1,60),ROW()-1,FALSE))</f>
        <v>28448.565070000001</v>
      </c>
      <c r="BA190">
        <f ca="1">IF(AND(ISNUMBER($BA$695),$B$511=1),$BA$695,HLOOKUP(INDIRECT(ADDRESS(2,COLUMN())),OFFSET($BN$2,0,0,ROW()-1,60),ROW()-1,FALSE))</f>
        <v>28076.19297</v>
      </c>
      <c r="BB190">
        <f ca="1">IF(AND(ISNUMBER($BB$695),$B$511=1),$BB$695,HLOOKUP(INDIRECT(ADDRESS(2,COLUMN())),OFFSET($BN$2,0,0,ROW()-1,60),ROW()-1,FALSE))</f>
        <v>27782.06612</v>
      </c>
      <c r="BC190">
        <f ca="1">IF(AND(ISNUMBER($BC$695),$B$511=1),$BC$695,HLOOKUP(INDIRECT(ADDRESS(2,COLUMN())),OFFSET($BN$2,0,0,ROW()-1,60),ROW()-1,FALSE))</f>
        <v>26795.418109999999</v>
      </c>
      <c r="BD190">
        <f ca="1">IF(AND(ISNUMBER($BD$695),$B$511=1),$BD$695,HLOOKUP(INDIRECT(ADDRESS(2,COLUMN())),OFFSET($BN$2,0,0,ROW()-1,60),ROW()-1,FALSE))</f>
        <v>26595.16735</v>
      </c>
      <c r="BE190">
        <f ca="1">IF(AND(ISNUMBER($BE$695),$B$511=1),$BE$695,HLOOKUP(INDIRECT(ADDRESS(2,COLUMN())),OFFSET($BN$2,0,0,ROW()-1,60),ROW()-1,FALSE))</f>
        <v>25976.934570000001</v>
      </c>
      <c r="BF190">
        <f ca="1">IF(AND(ISNUMBER($BF$695),$B$511=1),$BF$695,HLOOKUP(INDIRECT(ADDRESS(2,COLUMN())),OFFSET($BN$2,0,0,ROW()-1,60),ROW()-1,FALSE))</f>
        <v>25824.705330000001</v>
      </c>
      <c r="BG190">
        <f ca="1">IF(AND(ISNUMBER($BG$695),$B$511=1),$BG$695,HLOOKUP(INDIRECT(ADDRESS(2,COLUMN())),OFFSET($BN$2,0,0,ROW()-1,60),ROW()-1,FALSE))</f>
        <v>25309.26269</v>
      </c>
      <c r="BH190">
        <f ca="1">IF(AND(ISNUMBER($BH$695),$B$511=1),$BH$695,HLOOKUP(INDIRECT(ADDRESS(2,COLUMN())),OFFSET($BN$2,0,0,ROW()-1,60),ROW()-1,FALSE))</f>
        <v>25441.156940000001</v>
      </c>
      <c r="BI190">
        <f ca="1">IF(AND(ISNUMBER($BI$695),$B$511=1),$BI$695,HLOOKUP(INDIRECT(ADDRESS(2,COLUMN())),OFFSET($BN$2,0,0,ROW()-1,60),ROW()-1,FALSE))</f>
        <v>25488.020260000001</v>
      </c>
      <c r="BJ190">
        <f ca="1">IF(AND(ISNUMBER($BJ$695),$B$511=1),$BJ$695,HLOOKUP(INDIRECT(ADDRESS(2,COLUMN())),OFFSET($BN$2,0,0,ROW()-1,60),ROW()-1,FALSE))</f>
        <v>25101.054749999999</v>
      </c>
      <c r="BK190">
        <f ca="1">IF(AND(ISNUMBER($BK$695),$B$511=1),$BK$695,HLOOKUP(INDIRECT(ADDRESS(2,COLUMN())),OFFSET($BN$2,0,0,ROW()-1,60),ROW()-1,FALSE))</f>
        <v>28388.139950000001</v>
      </c>
      <c r="BL190">
        <f ca="1">IF(AND(ISNUMBER($BL$695),$B$511=1),$BL$695,HLOOKUP(INDIRECT(ADDRESS(2,COLUMN())),OFFSET($BN$2,0,0,ROW()-1,60),ROW()-1,FALSE))</f>
        <v>27806.036629999999</v>
      </c>
      <c r="BM190">
        <f ca="1">IF(AND(ISNUMBER($BM$695),$B$511=1),$BM$695,HLOOKUP(INDIRECT(ADDRESS(2,COLUMN())),OFFSET($BN$2,0,0,ROW()-1,60),ROW()-1,FALSE))</f>
        <v>26998.871070000001</v>
      </c>
      <c r="BN190" t="str">
        <f>""</f>
        <v/>
      </c>
      <c r="BO190">
        <f>32146.50513</f>
        <v>32146.505130000001</v>
      </c>
      <c r="BP190">
        <f>32118.95363</f>
        <v>32118.95363</v>
      </c>
      <c r="BQ190">
        <f>32144.31649</f>
        <v>32144.316490000001</v>
      </c>
      <c r="BR190">
        <f>31355.95461</f>
        <v>31355.954610000001</v>
      </c>
      <c r="BS190">
        <f>30446.69731</f>
        <v>30446.69731</v>
      </c>
      <c r="BT190">
        <f>29893.41101</f>
        <v>29893.41101</v>
      </c>
      <c r="BU190">
        <f>29756.39949</f>
        <v>29756.39949</v>
      </c>
      <c r="BV190">
        <f>29734.32765</f>
        <v>29734.327649999999</v>
      </c>
      <c r="BW190">
        <f>29572.7522</f>
        <v>29572.752199999999</v>
      </c>
      <c r="BX190">
        <f>29239.93806</f>
        <v>29239.93806</v>
      </c>
      <c r="BY190">
        <f>29011.19955</f>
        <v>29011.199550000001</v>
      </c>
      <c r="BZ190">
        <f>28399.54132</f>
        <v>28399.54132</v>
      </c>
      <c r="CA190">
        <f>27999.30495</f>
        <v>27999.304950000002</v>
      </c>
      <c r="CB190">
        <f>27534.6622</f>
        <v>27534.662199999999</v>
      </c>
      <c r="CC190">
        <f>27443.13084</f>
        <v>27443.130840000002</v>
      </c>
      <c r="CD190">
        <f>27736.5454</f>
        <v>27736.545399999999</v>
      </c>
      <c r="CE190">
        <f>27894.04743</f>
        <v>27894.047429999999</v>
      </c>
      <c r="CF190">
        <f>28272.0556</f>
        <v>28272.0556</v>
      </c>
      <c r="CG190">
        <f>27541.70188</f>
        <v>27541.701880000001</v>
      </c>
      <c r="CH190">
        <f>26882.86215</f>
        <v>26882.862150000001</v>
      </c>
      <c r="CI190">
        <f>26787.01006</f>
        <v>26787.010060000001</v>
      </c>
      <c r="CJ190">
        <f>26453.21095</f>
        <v>26453.210950000001</v>
      </c>
      <c r="CK190">
        <f>26649.08116</f>
        <v>26649.081160000002</v>
      </c>
      <c r="CL190">
        <f>26688.842</f>
        <v>26688.842000000001</v>
      </c>
      <c r="CM190">
        <f>26952.37791</f>
        <v>26952.377909999999</v>
      </c>
      <c r="CN190">
        <f>26613.6382</f>
        <v>26613.638200000001</v>
      </c>
      <c r="CO190">
        <f>27133.45961</f>
        <v>27133.459610000002</v>
      </c>
      <c r="CP190">
        <f>25766.58539</f>
        <v>25766.58539</v>
      </c>
      <c r="CQ190">
        <f>25450.42501</f>
        <v>25450.425009999999</v>
      </c>
      <c r="CR190">
        <f>26285.8692</f>
        <v>26285.869200000001</v>
      </c>
      <c r="CS190">
        <f>25978.08775</f>
        <v>25978.087749999999</v>
      </c>
      <c r="CT190">
        <f>27213.48332</f>
        <v>27213.483319999999</v>
      </c>
      <c r="CU190">
        <f>26662.8467</f>
        <v>26662.846699999998</v>
      </c>
      <c r="CV190">
        <f>26052.45972</f>
        <v>26052.459719999999</v>
      </c>
      <c r="CW190">
        <f>25286.51258</f>
        <v>25286.512579999999</v>
      </c>
      <c r="CX190">
        <f>23333.427</f>
        <v>23333.427</v>
      </c>
      <c r="CY190">
        <f>21356.2928</f>
        <v>21356.292799999999</v>
      </c>
      <c r="CZ190">
        <f>20528.74122</f>
        <v>20528.74122</v>
      </c>
      <c r="DA190">
        <f>22295.06338</f>
        <v>22295.06338</v>
      </c>
      <c r="DB190">
        <f>25338.24039</f>
        <v>25338.240389999999</v>
      </c>
      <c r="DC190">
        <f>29658.15368</f>
        <v>29658.153679999999</v>
      </c>
      <c r="DD190">
        <f>31571.48546</f>
        <v>31571.48546</v>
      </c>
      <c r="DE190">
        <f>31241.60058</f>
        <v>31241.600579999998</v>
      </c>
      <c r="DF190">
        <f>30517.76058</f>
        <v>30517.760579999998</v>
      </c>
      <c r="DG190">
        <f>29443.84642</f>
        <v>29443.846420000002</v>
      </c>
      <c r="DH190">
        <f>28448.56507</f>
        <v>28448.565070000001</v>
      </c>
      <c r="DI190">
        <f>28076.19297</f>
        <v>28076.19297</v>
      </c>
      <c r="DJ190">
        <f>27782.06612</f>
        <v>27782.06612</v>
      </c>
      <c r="DK190">
        <f>26795.41811</f>
        <v>26795.418109999999</v>
      </c>
      <c r="DL190">
        <f>26595.16735</f>
        <v>26595.16735</v>
      </c>
      <c r="DM190">
        <f>25976.93457</f>
        <v>25976.934570000001</v>
      </c>
      <c r="DN190">
        <f>25824.70533</f>
        <v>25824.705330000001</v>
      </c>
      <c r="DO190">
        <f>25309.26269</f>
        <v>25309.26269</v>
      </c>
      <c r="DP190">
        <f>25441.15694</f>
        <v>25441.156940000001</v>
      </c>
      <c r="DQ190">
        <f>25488.02026</f>
        <v>25488.020260000001</v>
      </c>
      <c r="DR190">
        <f>25101.05475</f>
        <v>25101.054749999999</v>
      </c>
      <c r="DS190">
        <f>28388.13995</f>
        <v>28388.139950000001</v>
      </c>
      <c r="DT190">
        <f>27806.03663</f>
        <v>27806.036629999999</v>
      </c>
      <c r="DU190">
        <f>26998.87107</f>
        <v>26998.871070000001</v>
      </c>
    </row>
    <row r="191" spans="1:125" x14ac:dyDescent="0.25">
      <c r="A191" t="str">
        <f>"    Mitsubishi Motors Corp"</f>
        <v xml:space="preserve">    Mitsubishi Motors Corp</v>
      </c>
      <c r="B191" t="str">
        <f>"7211 JP Equity"</f>
        <v>7211 JP Equity</v>
      </c>
      <c r="C191" t="str">
        <f t="shared" si="12"/>
        <v>RR800</v>
      </c>
      <c r="D191" t="str">
        <f t="shared" si="13"/>
        <v>TRAIL_12M_NET_SALES</v>
      </c>
      <c r="E191" t="str">
        <f t="shared" si="14"/>
        <v>Dynamic</v>
      </c>
      <c r="F191" t="str">
        <f ca="1">IF(AND(ISNUMBER($F$696),$B$511=1),$F$696,HLOOKUP(INDIRECT(ADDRESS(2,COLUMN())),OFFSET($BN$2,0,0,ROW()-1,60),ROW()-1,FALSE))</f>
        <v/>
      </c>
      <c r="G191">
        <f ca="1">IF(AND(ISNUMBER($G$696),$B$511=1),$G$696,HLOOKUP(INDIRECT(ADDRESS(2,COLUMN())),OFFSET($BN$2,0,0,ROW()-1,60),ROW()-1,FALSE))</f>
        <v>22360.54984</v>
      </c>
      <c r="H191">
        <f ca="1">IF(AND(ISNUMBER($H$696),$B$511=1),$H$696,HLOOKUP(INDIRECT(ADDRESS(2,COLUMN())),OFFSET($BN$2,0,0,ROW()-1,60),ROW()-1,FALSE))</f>
        <v>21862.888660000001</v>
      </c>
      <c r="I191">
        <f ca="1">IF(AND(ISNUMBER($I$696),$B$511=1),$I$696,HLOOKUP(INDIRECT(ADDRESS(2,COLUMN())),OFFSET($BN$2,0,0,ROW()-1,60),ROW()-1,FALSE))</f>
        <v>20959.48057</v>
      </c>
      <c r="J191">
        <f ca="1">IF(AND(ISNUMBER($J$696),$B$511=1),$J$696,HLOOKUP(INDIRECT(ADDRESS(2,COLUMN())),OFFSET($BN$2,0,0,ROW()-1,60),ROW()-1,FALSE))</f>
        <v>19788.133290000002</v>
      </c>
      <c r="K191">
        <f ca="1">IF(AND(ISNUMBER($K$696),$B$511=1),$K$696,HLOOKUP(INDIRECT(ADDRESS(2,COLUMN())),OFFSET($BN$2,0,0,ROW()-1,60),ROW()-1,FALSE))</f>
        <v>18577.834169999998</v>
      </c>
      <c r="L191">
        <f ca="1">IF(AND(ISNUMBER($L$696),$B$511=1),$L$696,HLOOKUP(INDIRECT(ADDRESS(2,COLUMN())),OFFSET($BN$2,0,0,ROW()-1,60),ROW()-1,FALSE))</f>
        <v>17887.919010000001</v>
      </c>
      <c r="M191">
        <f ca="1">IF(AND(ISNUMBER($M$696),$B$511=1),$M$696,HLOOKUP(INDIRECT(ADDRESS(2,COLUMN())),OFFSET($BN$2,0,0,ROW()-1,60),ROW()-1,FALSE))</f>
        <v>17621.255529999999</v>
      </c>
      <c r="N191">
        <f ca="1">IF(AND(ISNUMBER($N$696),$B$511=1),$N$696,HLOOKUP(INDIRECT(ADDRESS(2,COLUMN())),OFFSET($BN$2,0,0,ROW()-1,60),ROW()-1,FALSE))</f>
        <v>17637.21789</v>
      </c>
      <c r="O191">
        <f ca="1">IF(AND(ISNUMBER($O$696),$B$511=1),$O$696,HLOOKUP(INDIRECT(ADDRESS(2,COLUMN())),OFFSET($BN$2,0,0,ROW()-1,60),ROW()-1,FALSE))</f>
        <v>17957.663820000002</v>
      </c>
      <c r="P191">
        <f ca="1">IF(AND(ISNUMBER($P$696),$B$511=1),$P$696,HLOOKUP(INDIRECT(ADDRESS(2,COLUMN())),OFFSET($BN$2,0,0,ROW()-1,60),ROW()-1,FALSE))</f>
        <v>18546.146270000001</v>
      </c>
      <c r="Q191">
        <f ca="1">IF(AND(ISNUMBER($Q$696),$B$511=1),$Q$696,HLOOKUP(INDIRECT(ADDRESS(2,COLUMN())),OFFSET($BN$2,0,0,ROW()-1,60),ROW()-1,FALSE))</f>
        <v>18867.073820000001</v>
      </c>
      <c r="R191">
        <f ca="1">IF(AND(ISNUMBER($R$696),$B$511=1),$R$696,HLOOKUP(INDIRECT(ADDRESS(2,COLUMN())),OFFSET($BN$2,0,0,ROW()-1,60),ROW()-1,FALSE))</f>
        <v>18906.186420000002</v>
      </c>
      <c r="S191">
        <f ca="1">IF(AND(ISNUMBER($S$696),$B$511=1),$S$696,HLOOKUP(INDIRECT(ADDRESS(2,COLUMN())),OFFSET($BN$2,0,0,ROW()-1,60),ROW()-1,FALSE))</f>
        <v>18627.97999</v>
      </c>
      <c r="T191">
        <f ca="1">IF(AND(ISNUMBER($T$696),$B$511=1),$T$696,HLOOKUP(INDIRECT(ADDRESS(2,COLUMN())),OFFSET($BN$2,0,0,ROW()-1,60),ROW()-1,FALSE))</f>
        <v>18594.72061</v>
      </c>
      <c r="U191">
        <f ca="1">IF(AND(ISNUMBER($U$696),$B$511=1),$U$696,HLOOKUP(INDIRECT(ADDRESS(2,COLUMN())),OFFSET($BN$2,0,0,ROW()-1,60),ROW()-1,FALSE))</f>
        <v>18977.935130000002</v>
      </c>
      <c r="V191">
        <f ca="1">IF(AND(ISNUMBER($V$696),$B$511=1),$V$696,HLOOKUP(INDIRECT(ADDRESS(2,COLUMN())),OFFSET($BN$2,0,0,ROW()-1,60),ROW()-1,FALSE))</f>
        <v>19936.675930000001</v>
      </c>
      <c r="W191">
        <f ca="1">IF(AND(ISNUMBER($W$696),$B$511=1),$W$696,HLOOKUP(INDIRECT(ADDRESS(2,COLUMN())),OFFSET($BN$2,0,0,ROW()-1,60),ROW()-1,FALSE))</f>
        <v>20485.814160000002</v>
      </c>
      <c r="X191">
        <f ca="1">IF(AND(ISNUMBER($X$696),$B$511=1),$X$696,HLOOKUP(INDIRECT(ADDRESS(2,COLUMN())),OFFSET($BN$2,0,0,ROW()-1,60),ROW()-1,FALSE))</f>
        <v>21503.799480000001</v>
      </c>
      <c r="Y191">
        <f ca="1">IF(AND(ISNUMBER($Y$696),$B$511=1),$Y$696,HLOOKUP(INDIRECT(ADDRESS(2,COLUMN())),OFFSET($BN$2,0,0,ROW()-1,60),ROW()-1,FALSE))</f>
        <v>21757.661940000002</v>
      </c>
      <c r="Z191">
        <f ca="1">IF(AND(ISNUMBER($Z$696),$B$511=1),$Z$696,HLOOKUP(INDIRECT(ADDRESS(2,COLUMN())),OFFSET($BN$2,0,0,ROW()-1,60),ROW()-1,FALSE))</f>
        <v>20903.36202</v>
      </c>
      <c r="AA191">
        <f ca="1">IF(AND(ISNUMBER($AA$696),$B$511=1),$AA$696,HLOOKUP(INDIRECT(ADDRESS(2,COLUMN())),OFFSET($BN$2,0,0,ROW()-1,60),ROW()-1,FALSE))</f>
        <v>21049.237349999999</v>
      </c>
      <c r="AB191">
        <f ca="1">IF(AND(ISNUMBER($AB$696),$B$511=1),$AB$696,HLOOKUP(INDIRECT(ADDRESS(2,COLUMN())),OFFSET($BN$2,0,0,ROW()-1,60),ROW()-1,FALSE))</f>
        <v>20459.88668</v>
      </c>
      <c r="AC191">
        <f ca="1">IF(AND(ISNUMBER($AC$696),$B$511=1),$AC$696,HLOOKUP(INDIRECT(ADDRESS(2,COLUMN())),OFFSET($BN$2,0,0,ROW()-1,60),ROW()-1,FALSE))</f>
        <v>20785.446469999999</v>
      </c>
      <c r="AD191">
        <f ca="1">IF(AND(ISNUMBER($AD$696),$B$511=1),$AD$696,HLOOKUP(INDIRECT(ADDRESS(2,COLUMN())),OFFSET($BN$2,0,0,ROW()-1,60),ROW()-1,FALSE))</f>
        <v>21967.044430000002</v>
      </c>
      <c r="AE191">
        <f ca="1">IF(AND(ISNUMBER($AE$696),$B$511=1),$AE$696,HLOOKUP(INDIRECT(ADDRESS(2,COLUMN())),OFFSET($BN$2,0,0,ROW()-1,60),ROW()-1,FALSE))</f>
        <v>22525.35745</v>
      </c>
      <c r="AF191">
        <f ca="1">IF(AND(ISNUMBER($AF$696),$B$511=1),$AF$696,HLOOKUP(INDIRECT(ADDRESS(2,COLUMN())),OFFSET($BN$2,0,0,ROW()-1,60),ROW()-1,FALSE))</f>
        <v>22329.771769999999</v>
      </c>
      <c r="AG191">
        <f ca="1">IF(AND(ISNUMBER($AG$696),$B$511=1),$AG$696,HLOOKUP(INDIRECT(ADDRESS(2,COLUMN())),OFFSET($BN$2,0,0,ROW()-1,60),ROW()-1,FALSE))</f>
        <v>22844.877</v>
      </c>
      <c r="AH191">
        <f ca="1">IF(AND(ISNUMBER($AH$696),$B$511=1),$AH$696,HLOOKUP(INDIRECT(ADDRESS(2,COLUMN())),OFFSET($BN$2,0,0,ROW()-1,60),ROW()-1,FALSE))</f>
        <v>22905.28328</v>
      </c>
      <c r="AI191">
        <f ca="1">IF(AND(ISNUMBER($AI$696),$B$511=1),$AI$696,HLOOKUP(INDIRECT(ADDRESS(2,COLUMN())),OFFSET($BN$2,0,0,ROW()-1,60),ROW()-1,FALSE))</f>
        <v>22745.94616</v>
      </c>
      <c r="AJ191">
        <f ca="1">IF(AND(ISNUMBER($AJ$696),$B$511=1),$AJ$696,HLOOKUP(INDIRECT(ADDRESS(2,COLUMN())),OFFSET($BN$2,0,0,ROW()-1,60),ROW()-1,FALSE))</f>
        <v>23123.981960000001</v>
      </c>
      <c r="AK191">
        <f ca="1">IF(AND(ISNUMBER($AK$696),$B$511=1),$AK$696,HLOOKUP(INDIRECT(ADDRESS(2,COLUMN())),OFFSET($BN$2,0,0,ROW()-1,60),ROW()-1,FALSE))</f>
        <v>22374.1466</v>
      </c>
      <c r="AL191">
        <f ca="1">IF(AND(ISNUMBER($AL$696),$B$511=1),$AL$696,HLOOKUP(INDIRECT(ADDRESS(2,COLUMN())),OFFSET($BN$2,0,0,ROW()-1,60),ROW()-1,FALSE))</f>
        <v>21395.700540000002</v>
      </c>
      <c r="AM191">
        <f ca="1">IF(AND(ISNUMBER($AM$696),$B$511=1),$AM$696,HLOOKUP(INDIRECT(ADDRESS(2,COLUMN())),OFFSET($BN$2,0,0,ROW()-1,60),ROW()-1,FALSE))</f>
        <v>20612.147519999999</v>
      </c>
      <c r="AN191">
        <f ca="1">IF(AND(ISNUMBER($AN$696),$B$511=1),$AN$696,HLOOKUP(INDIRECT(ADDRESS(2,COLUMN())),OFFSET($BN$2,0,0,ROW()-1,60),ROW()-1,FALSE))</f>
        <v>19413.93607</v>
      </c>
      <c r="AO191">
        <f ca="1">IF(AND(ISNUMBER($AO$696),$B$511=1),$AO$696,HLOOKUP(INDIRECT(ADDRESS(2,COLUMN())),OFFSET($BN$2,0,0,ROW()-1,60),ROW()-1,FALSE))</f>
        <v>17379.264380000001</v>
      </c>
      <c r="AP191">
        <f ca="1">IF(AND(ISNUMBER($AP$696),$B$511=1),$AP$696,HLOOKUP(INDIRECT(ADDRESS(2,COLUMN())),OFFSET($BN$2,0,0,ROW()-1,60),ROW()-1,FALSE))</f>
        <v>15587.775900000001</v>
      </c>
      <c r="AQ191">
        <f ca="1">IF(AND(ISNUMBER($AQ$696),$B$511=1),$AQ$696,HLOOKUP(INDIRECT(ADDRESS(2,COLUMN())),OFFSET($BN$2,0,0,ROW()-1,60),ROW()-1,FALSE))</f>
        <v>13562.99453</v>
      </c>
      <c r="AR191">
        <f ca="1">IF(AND(ISNUMBER($AR$696),$B$511=1),$AR$696,HLOOKUP(INDIRECT(ADDRESS(2,COLUMN())),OFFSET($BN$2,0,0,ROW()-1,60),ROW()-1,FALSE))</f>
        <v>14024.333329999999</v>
      </c>
      <c r="AS191">
        <f ca="1">IF(AND(ISNUMBER($AS$696),$B$511=1),$AS$696,HLOOKUP(INDIRECT(ADDRESS(2,COLUMN())),OFFSET($BN$2,0,0,ROW()-1,60),ROW()-1,FALSE))</f>
        <v>16501.243030000001</v>
      </c>
      <c r="AT191">
        <f ca="1">IF(AND(ISNUMBER($AT$696),$B$511=1),$AT$696,HLOOKUP(INDIRECT(ADDRESS(2,COLUMN())),OFFSET($BN$2,0,0,ROW()-1,60),ROW()-1,FALSE))</f>
        <v>19719.548220000001</v>
      </c>
      <c r="AU191">
        <f ca="1">IF(AND(ISNUMBER($AU$696),$B$511=1),$AU$696,HLOOKUP(INDIRECT(ADDRESS(2,COLUMN())),OFFSET($BN$2,0,0,ROW()-1,60),ROW()-1,FALSE))</f>
        <v>23212.150710000002</v>
      </c>
      <c r="AV191">
        <f ca="1">IF(AND(ISNUMBER($AV$696),$B$511=1),$AV$696,HLOOKUP(INDIRECT(ADDRESS(2,COLUMN())),OFFSET($BN$2,0,0,ROW()-1,60),ROW()-1,FALSE))</f>
        <v>24016.522959999998</v>
      </c>
      <c r="AW191">
        <f ca="1">IF(AND(ISNUMBER($AW$696),$B$511=1),$AW$696,HLOOKUP(INDIRECT(ADDRESS(2,COLUMN())),OFFSET($BN$2,0,0,ROW()-1,60),ROW()-1,FALSE))</f>
        <v>24217.54752</v>
      </c>
      <c r="AX191">
        <f ca="1">IF(AND(ISNUMBER($AX$696),$B$511=1),$AX$696,HLOOKUP(INDIRECT(ADDRESS(2,COLUMN())),OFFSET($BN$2,0,0,ROW()-1,60),ROW()-1,FALSE))</f>
        <v>23549.121429999999</v>
      </c>
      <c r="AY191">
        <f ca="1">IF(AND(ISNUMBER($AY$696),$B$511=1),$AY$696,HLOOKUP(INDIRECT(ADDRESS(2,COLUMN())),OFFSET($BN$2,0,0,ROW()-1,60),ROW()-1,FALSE))</f>
        <v>22150.88366</v>
      </c>
      <c r="AZ191">
        <f ca="1">IF(AND(ISNUMBER($AZ$696),$B$511=1),$AZ$696,HLOOKUP(INDIRECT(ADDRESS(2,COLUMN())),OFFSET($BN$2,0,0,ROW()-1,60),ROW()-1,FALSE))</f>
        <v>21119.494999999999</v>
      </c>
      <c r="BA191">
        <f ca="1">IF(AND(ISNUMBER($BA$696),$B$511=1),$BA$696,HLOOKUP(INDIRECT(ADDRESS(2,COLUMN())),OFFSET($BN$2,0,0,ROW()-1,60),ROW()-1,FALSE))</f>
        <v>19826.69975</v>
      </c>
      <c r="BB191">
        <f ca="1">IF(AND(ISNUMBER($BB$696),$B$511=1),$BB$696,HLOOKUP(INDIRECT(ADDRESS(2,COLUMN())),OFFSET($BN$2,0,0,ROW()-1,60),ROW()-1,FALSE))</f>
        <v>18845.43003</v>
      </c>
      <c r="BC191">
        <f ca="1">IF(AND(ISNUMBER($BC$696),$B$511=1),$BC$696,HLOOKUP(INDIRECT(ADDRESS(2,COLUMN())),OFFSET($BN$2,0,0,ROW()-1,60),ROW()-1,FALSE))</f>
        <v>18355.423009999999</v>
      </c>
      <c r="BD191">
        <f ca="1">IF(AND(ISNUMBER($BD$696),$B$511=1),$BD$696,HLOOKUP(INDIRECT(ADDRESS(2,COLUMN())),OFFSET($BN$2,0,0,ROW()-1,60),ROW()-1,FALSE))</f>
        <v>18372.39918</v>
      </c>
      <c r="BE191">
        <f ca="1">IF(AND(ISNUMBER($BE$696),$B$511=1),$BE$696,HLOOKUP(INDIRECT(ADDRESS(2,COLUMN())),OFFSET($BN$2,0,0,ROW()-1,60),ROW()-1,FALSE))</f>
        <v>18443.099279999999</v>
      </c>
      <c r="BF191">
        <f ca="1">IF(AND(ISNUMBER($BF$696),$B$511=1),$BF$696,HLOOKUP(INDIRECT(ADDRESS(2,COLUMN())),OFFSET($BN$2,0,0,ROW()-1,60),ROW()-1,FALSE))</f>
        <v>18751.181629999999</v>
      </c>
      <c r="BG191">
        <f ca="1">IF(AND(ISNUMBER($BG$696),$B$511=1),$BG$696,HLOOKUP(INDIRECT(ADDRESS(2,COLUMN())),OFFSET($BN$2,0,0,ROW()-1,60),ROW()-1,FALSE))</f>
        <v>18502.255560000001</v>
      </c>
      <c r="BH191">
        <f ca="1">IF(AND(ISNUMBER($BH$696),$B$511=1),$BH$696,HLOOKUP(INDIRECT(ADDRESS(2,COLUMN())),OFFSET($BN$2,0,0,ROW()-1,60),ROW()-1,FALSE))</f>
        <v>19061.179840000001</v>
      </c>
      <c r="BI191">
        <f ca="1">IF(AND(ISNUMBER($BI$696),$B$511=1),$BI$696,HLOOKUP(INDIRECT(ADDRESS(2,COLUMN())),OFFSET($BN$2,0,0,ROW()-1,60),ROW()-1,FALSE))</f>
        <v>19189.160380000001</v>
      </c>
      <c r="BJ191">
        <f ca="1">IF(AND(ISNUMBER($BJ$696),$B$511=1),$BJ$696,HLOOKUP(INDIRECT(ADDRESS(2,COLUMN())),OFFSET($BN$2,0,0,ROW()-1,60),ROW()-1,FALSE))</f>
        <v>19766.012999999999</v>
      </c>
      <c r="BK191">
        <f ca="1">IF(AND(ISNUMBER($BK$696),$B$511=1),$BK$696,HLOOKUP(INDIRECT(ADDRESS(2,COLUMN())),OFFSET($BN$2,0,0,ROW()-1,60),ROW()-1,FALSE))</f>
        <v>21334.600920000001</v>
      </c>
      <c r="BL191">
        <f ca="1">IF(AND(ISNUMBER($BL$696),$B$511=1),$BL$696,HLOOKUP(INDIRECT(ADDRESS(2,COLUMN())),OFFSET($BN$2,0,0,ROW()-1,60),ROW()-1,FALSE))</f>
        <v>21892.62715</v>
      </c>
      <c r="BM191">
        <f ca="1">IF(AND(ISNUMBER($BM$696),$B$511=1),$BM$696,HLOOKUP(INDIRECT(ADDRESS(2,COLUMN())),OFFSET($BN$2,0,0,ROW()-1,60),ROW()-1,FALSE))</f>
        <v>22329.518080000002</v>
      </c>
      <c r="BN191" t="str">
        <f>""</f>
        <v/>
      </c>
      <c r="BO191">
        <f>22360.54984</f>
        <v>22360.54984</v>
      </c>
      <c r="BP191">
        <f>21862.88866</f>
        <v>21862.888660000001</v>
      </c>
      <c r="BQ191">
        <f>20959.48057</f>
        <v>20959.48057</v>
      </c>
      <c r="BR191">
        <f>19788.13329</f>
        <v>19788.133290000002</v>
      </c>
      <c r="BS191">
        <f>18577.83417</f>
        <v>18577.834169999998</v>
      </c>
      <c r="BT191">
        <f>17887.91901</f>
        <v>17887.919010000001</v>
      </c>
      <c r="BU191">
        <f>17621.25553</f>
        <v>17621.255529999999</v>
      </c>
      <c r="BV191">
        <f>17637.21789</f>
        <v>17637.21789</v>
      </c>
      <c r="BW191">
        <f>17957.66382</f>
        <v>17957.663820000002</v>
      </c>
      <c r="BX191">
        <f>18546.14627</f>
        <v>18546.146270000001</v>
      </c>
      <c r="BY191">
        <f>18867.07382</f>
        <v>18867.073820000001</v>
      </c>
      <c r="BZ191">
        <f>18906.18642</f>
        <v>18906.186420000002</v>
      </c>
      <c r="CA191">
        <f>18627.97999</f>
        <v>18627.97999</v>
      </c>
      <c r="CB191">
        <f>18594.72061</f>
        <v>18594.72061</v>
      </c>
      <c r="CC191">
        <f>18977.93513</f>
        <v>18977.935130000002</v>
      </c>
      <c r="CD191">
        <f>19936.67593</f>
        <v>19936.675930000001</v>
      </c>
      <c r="CE191">
        <f>20485.81416</f>
        <v>20485.814160000002</v>
      </c>
      <c r="CF191">
        <f>21503.79948</f>
        <v>21503.799480000001</v>
      </c>
      <c r="CG191">
        <f>21757.66194</f>
        <v>21757.661940000002</v>
      </c>
      <c r="CH191">
        <f>20903.36202</f>
        <v>20903.36202</v>
      </c>
      <c r="CI191">
        <f>21049.23735</f>
        <v>21049.237349999999</v>
      </c>
      <c r="CJ191">
        <f>20459.88668</f>
        <v>20459.88668</v>
      </c>
      <c r="CK191">
        <f>20785.44647</f>
        <v>20785.446469999999</v>
      </c>
      <c r="CL191">
        <f>21967.04443</f>
        <v>21967.044430000002</v>
      </c>
      <c r="CM191">
        <f>22525.35745</f>
        <v>22525.35745</v>
      </c>
      <c r="CN191">
        <f>22329.77177</f>
        <v>22329.771769999999</v>
      </c>
      <c r="CO191">
        <f>22844.877</f>
        <v>22844.877</v>
      </c>
      <c r="CP191">
        <f>22905.28328</f>
        <v>22905.28328</v>
      </c>
      <c r="CQ191">
        <f>22745.94616</f>
        <v>22745.94616</v>
      </c>
      <c r="CR191">
        <f>23123.98196</f>
        <v>23123.981960000001</v>
      </c>
      <c r="CS191">
        <f>22374.1466</f>
        <v>22374.1466</v>
      </c>
      <c r="CT191">
        <f>21395.70054</f>
        <v>21395.700540000002</v>
      </c>
      <c r="CU191">
        <f>20612.14752</f>
        <v>20612.147519999999</v>
      </c>
      <c r="CV191">
        <f>19413.93607</f>
        <v>19413.93607</v>
      </c>
      <c r="CW191">
        <f>17379.26438</f>
        <v>17379.264380000001</v>
      </c>
      <c r="CX191">
        <f>15587.7759</f>
        <v>15587.775900000001</v>
      </c>
      <c r="CY191">
        <f>13562.99453</f>
        <v>13562.99453</v>
      </c>
      <c r="CZ191">
        <f>14024.33333</f>
        <v>14024.333329999999</v>
      </c>
      <c r="DA191">
        <f>16501.24303</f>
        <v>16501.243030000001</v>
      </c>
      <c r="DB191">
        <f>19719.54822</f>
        <v>19719.548220000001</v>
      </c>
      <c r="DC191">
        <f>23212.15071</f>
        <v>23212.150710000002</v>
      </c>
      <c r="DD191">
        <f>24016.52296</f>
        <v>24016.522959999998</v>
      </c>
      <c r="DE191">
        <f>24217.54752</f>
        <v>24217.54752</v>
      </c>
      <c r="DF191">
        <f>23549.12143</f>
        <v>23549.121429999999</v>
      </c>
      <c r="DG191">
        <f>22150.88366</f>
        <v>22150.88366</v>
      </c>
      <c r="DH191">
        <f>21119.495</f>
        <v>21119.494999999999</v>
      </c>
      <c r="DI191">
        <f>19826.69975</f>
        <v>19826.69975</v>
      </c>
      <c r="DJ191">
        <f>18845.43003</f>
        <v>18845.43003</v>
      </c>
      <c r="DK191">
        <f>18355.42301</f>
        <v>18355.423009999999</v>
      </c>
      <c r="DL191">
        <f>18372.39918</f>
        <v>18372.39918</v>
      </c>
      <c r="DM191">
        <f>18443.09928</f>
        <v>18443.099279999999</v>
      </c>
      <c r="DN191">
        <f>18751.18163</f>
        <v>18751.181629999999</v>
      </c>
      <c r="DO191">
        <f>18502.25556</f>
        <v>18502.255560000001</v>
      </c>
      <c r="DP191">
        <f>19061.17984</f>
        <v>19061.179840000001</v>
      </c>
      <c r="DQ191">
        <f>19189.16038</f>
        <v>19189.160380000001</v>
      </c>
      <c r="DR191">
        <f>19766.013</f>
        <v>19766.012999999999</v>
      </c>
      <c r="DS191">
        <f>21334.60092</f>
        <v>21334.600920000001</v>
      </c>
      <c r="DT191">
        <f>21892.62715</f>
        <v>21892.62715</v>
      </c>
      <c r="DU191">
        <f>22329.51808</f>
        <v>22329.518080000002</v>
      </c>
    </row>
    <row r="192" spans="1:125" x14ac:dyDescent="0.25">
      <c r="A192" t="str">
        <f>"    Nissan Motor Co Ltd"</f>
        <v xml:space="preserve">    Nissan Motor Co Ltd</v>
      </c>
      <c r="B192" t="str">
        <f>"7201 JP Equity"</f>
        <v>7201 JP Equity</v>
      </c>
      <c r="C192" t="str">
        <f t="shared" si="12"/>
        <v>RR800</v>
      </c>
      <c r="D192" t="str">
        <f t="shared" si="13"/>
        <v>TRAIL_12M_NET_SALES</v>
      </c>
      <c r="E192" t="str">
        <f t="shared" si="14"/>
        <v>Dynamic</v>
      </c>
      <c r="F192" t="str">
        <f ca="1">IF(AND(ISNUMBER($F$697),$B$511=1),$F$697,HLOOKUP(INDIRECT(ADDRESS(2,COLUMN())),OFFSET($BN$2,0,0,ROW()-1,60),ROW()-1,FALSE))</f>
        <v/>
      </c>
      <c r="G192">
        <f ca="1">IF(AND(ISNUMBER($G$697),$B$511=1),$G$697,HLOOKUP(INDIRECT(ADDRESS(2,COLUMN())),OFFSET($BN$2,0,0,ROW()-1,60),ROW()-1,FALSE))</f>
        <v>108719.9801</v>
      </c>
      <c r="H192">
        <f ca="1">IF(AND(ISNUMBER($H$697),$B$511=1),$H$697,HLOOKUP(INDIRECT(ADDRESS(2,COLUMN())),OFFSET($BN$2,0,0,ROW()-1,60),ROW()-1,FALSE))</f>
        <v>107151.6191</v>
      </c>
      <c r="I192">
        <f ca="1">IF(AND(ISNUMBER($I$697),$B$511=1),$I$697,HLOOKUP(INDIRECT(ADDRESS(2,COLUMN())),OFFSET($BN$2,0,0,ROW()-1,60),ROW()-1,FALSE))</f>
        <v>107967.9394</v>
      </c>
      <c r="J192">
        <f ca="1">IF(AND(ISNUMBER($J$697),$B$511=1),$J$697,HLOOKUP(INDIRECT(ADDRESS(2,COLUMN())),OFFSET($BN$2,0,0,ROW()-1,60),ROW()-1,FALSE))</f>
        <v>107869.23540000001</v>
      </c>
      <c r="K192">
        <f ca="1">IF(AND(ISNUMBER($K$697),$B$511=1),$K$697,HLOOKUP(INDIRECT(ADDRESS(2,COLUMN())),OFFSET($BN$2,0,0,ROW()-1,60),ROW()-1,FALSE))</f>
        <v>106878.7674</v>
      </c>
      <c r="L192">
        <f ca="1">IF(AND(ISNUMBER($L$697),$B$511=1),$L$697,HLOOKUP(INDIRECT(ADDRESS(2,COLUMN())),OFFSET($BN$2,0,0,ROW()-1,60),ROW()-1,FALSE))</f>
        <v>108360.496</v>
      </c>
      <c r="M192">
        <f ca="1">IF(AND(ISNUMBER($M$697),$B$511=1),$M$697,HLOOKUP(INDIRECT(ADDRESS(2,COLUMN())),OFFSET($BN$2,0,0,ROW()-1,60),ROW()-1,FALSE))</f>
        <v>108603.4829</v>
      </c>
      <c r="N192">
        <f ca="1">IF(AND(ISNUMBER($N$697),$B$511=1),$N$697,HLOOKUP(INDIRECT(ADDRESS(2,COLUMN())),OFFSET($BN$2,0,0,ROW()-1,60),ROW()-1,FALSE))</f>
        <v>108415.7387</v>
      </c>
      <c r="O192">
        <f ca="1">IF(AND(ISNUMBER($O$697),$B$511=1),$O$697,HLOOKUP(INDIRECT(ADDRESS(2,COLUMN())),OFFSET($BN$2,0,0,ROW()-1,60),ROW()-1,FALSE))</f>
        <v>106135.5</v>
      </c>
      <c r="P192">
        <f ca="1">IF(AND(ISNUMBER($P$697),$B$511=1),$P$697,HLOOKUP(INDIRECT(ADDRESS(2,COLUMN())),OFFSET($BN$2,0,0,ROW()-1,60),ROW()-1,FALSE))</f>
        <v>104082.76149999999</v>
      </c>
      <c r="Q192">
        <f ca="1">IF(AND(ISNUMBER($Q$697),$B$511=1),$Q$697,HLOOKUP(INDIRECT(ADDRESS(2,COLUMN())),OFFSET($BN$2,0,0,ROW()-1,60),ROW()-1,FALSE))</f>
        <v>102620.5632</v>
      </c>
      <c r="R192">
        <f ca="1">IF(AND(ISNUMBER($R$697),$B$511=1),$R$697,HLOOKUP(INDIRECT(ADDRESS(2,COLUMN())),OFFSET($BN$2,0,0,ROW()-1,60),ROW()-1,FALSE))</f>
        <v>101619.34</v>
      </c>
      <c r="S192">
        <f ca="1">IF(AND(ISNUMBER($S$697),$B$511=1),$S$697,HLOOKUP(INDIRECT(ADDRESS(2,COLUMN())),OFFSET($BN$2,0,0,ROW()-1,60),ROW()-1,FALSE))</f>
        <v>101065.2896</v>
      </c>
      <c r="T192">
        <f ca="1">IF(AND(ISNUMBER($T$697),$B$511=1),$T$697,HLOOKUP(INDIRECT(ADDRESS(2,COLUMN())),OFFSET($BN$2,0,0,ROW()-1,60),ROW()-1,FALSE))</f>
        <v>102094.2096</v>
      </c>
      <c r="U192">
        <f ca="1">IF(AND(ISNUMBER($U$697),$B$511=1),$U$697,HLOOKUP(INDIRECT(ADDRESS(2,COLUMN())),OFFSET($BN$2,0,0,ROW()-1,60),ROW()-1,FALSE))</f>
        <v>103397.0045</v>
      </c>
      <c r="V192">
        <f ca="1">IF(AND(ISNUMBER($V$697),$B$511=1),$V$697,HLOOKUP(INDIRECT(ADDRESS(2,COLUMN())),OFFSET($BN$2,0,0,ROW()-1,60),ROW()-1,FALSE))</f>
        <v>103994.5448</v>
      </c>
      <c r="W192">
        <f ca="1">IF(AND(ISNUMBER($W$697),$B$511=1),$W$697,HLOOKUP(INDIRECT(ADDRESS(2,COLUMN())),OFFSET($BN$2,0,0,ROW()-1,60),ROW()-1,FALSE))</f>
        <v>106938.2206</v>
      </c>
      <c r="X192">
        <f ca="1">IF(AND(ISNUMBER($X$697),$B$511=1),$X$697,HLOOKUP(INDIRECT(ADDRESS(2,COLUMN())),OFFSET($BN$2,0,0,ROW()-1,60),ROW()-1,FALSE))</f>
        <v>106281.6906</v>
      </c>
      <c r="Y192">
        <f ca="1">IF(AND(ISNUMBER($Y$697),$B$511=1),$Y$697,HLOOKUP(INDIRECT(ADDRESS(2,COLUMN())),OFFSET($BN$2,0,0,ROW()-1,60),ROW()-1,FALSE))</f>
        <v>106079.27899999999</v>
      </c>
      <c r="Z192">
        <f ca="1">IF(AND(ISNUMBER($Z$697),$B$511=1),$Z$697,HLOOKUP(INDIRECT(ADDRESS(2,COLUMN())),OFFSET($BN$2,0,0,ROW()-1,60),ROW()-1,FALSE))</f>
        <v>104671.333</v>
      </c>
      <c r="AA192">
        <f ca="1">IF(AND(ISNUMBER($AA$697),$B$511=1),$AA$697,HLOOKUP(INDIRECT(ADDRESS(2,COLUMN())),OFFSET($BN$2,0,0,ROW()-1,60),ROW()-1,FALSE))</f>
        <v>101960.389</v>
      </c>
      <c r="AB192">
        <f ca="1">IF(AND(ISNUMBER($AB$697),$B$511=1),$AB$697,HLOOKUP(INDIRECT(ADDRESS(2,COLUMN())),OFFSET($BN$2,0,0,ROW()-1,60),ROW()-1,FALSE))</f>
        <v>102398.01059999999</v>
      </c>
      <c r="AC192">
        <f ca="1">IF(AND(ISNUMBER($AC$697),$B$511=1),$AC$697,HLOOKUP(INDIRECT(ADDRESS(2,COLUMN())),OFFSET($BN$2,0,0,ROW()-1,60),ROW()-1,FALSE))</f>
        <v>104488.3527</v>
      </c>
      <c r="AD192">
        <f ca="1">IF(AND(ISNUMBER($AD$697),$B$511=1),$AD$697,HLOOKUP(INDIRECT(ADDRESS(2,COLUMN())),OFFSET($BN$2,0,0,ROW()-1,60),ROW()-1,FALSE))</f>
        <v>105741.6792</v>
      </c>
      <c r="AE192">
        <f ca="1">IF(AND(ISNUMBER($AE$697),$B$511=1),$AE$697,HLOOKUP(INDIRECT(ADDRESS(2,COLUMN())),OFFSET($BN$2,0,0,ROW()-1,60),ROW()-1,FALSE))</f>
        <v>110203.5572</v>
      </c>
      <c r="AF192">
        <f ca="1">IF(AND(ISNUMBER($AF$697),$B$511=1),$AF$697,HLOOKUP(INDIRECT(ADDRESS(2,COLUMN())),OFFSET($BN$2,0,0,ROW()-1,60),ROW()-1,FALSE))</f>
        <v>115535.3097</v>
      </c>
      <c r="AG192">
        <f ca="1">IF(AND(ISNUMBER($AG$697),$B$511=1),$AG$697,HLOOKUP(INDIRECT(ADDRESS(2,COLUMN())),OFFSET($BN$2,0,0,ROW()-1,60),ROW()-1,FALSE))</f>
        <v>117396.3992</v>
      </c>
      <c r="AH192">
        <f ca="1">IF(AND(ISNUMBER($AH$697),$B$511=1),$AH$697,HLOOKUP(INDIRECT(ADDRESS(2,COLUMN())),OFFSET($BN$2,0,0,ROW()-1,60),ROW()-1,FALSE))</f>
        <v>119248.1827</v>
      </c>
      <c r="AI192">
        <f ca="1">IF(AND(ISNUMBER($AI$697),$B$511=1),$AI$697,HLOOKUP(INDIRECT(ADDRESS(2,COLUMN())),OFFSET($BN$2,0,0,ROW()-1,60),ROW()-1,FALSE))</f>
        <v>113678.09020000001</v>
      </c>
      <c r="AJ192">
        <f ca="1">IF(AND(ISNUMBER($AJ$697),$B$511=1),$AJ$697,HLOOKUP(INDIRECT(ADDRESS(2,COLUMN())),OFFSET($BN$2,0,0,ROW()-1,60),ROW()-1,FALSE))</f>
        <v>109009.4583</v>
      </c>
      <c r="AK192">
        <f ca="1">IF(AND(ISNUMBER($AK$697),$B$511=1),$AK$697,HLOOKUP(INDIRECT(ADDRESS(2,COLUMN())),OFFSET($BN$2,0,0,ROW()-1,60),ROW()-1,FALSE))</f>
        <v>106102.8028</v>
      </c>
      <c r="AL192">
        <f ca="1">IF(AND(ISNUMBER($AL$697),$B$511=1),$AL$697,HLOOKUP(INDIRECT(ADDRESS(2,COLUMN())),OFFSET($BN$2,0,0,ROW()-1,60),ROW()-1,FALSE))</f>
        <v>102656.19899999999</v>
      </c>
      <c r="AM192">
        <f ca="1">IF(AND(ISNUMBER($AM$697),$B$511=1),$AM$697,HLOOKUP(INDIRECT(ADDRESS(2,COLUMN())),OFFSET($BN$2,0,0,ROW()-1,60),ROW()-1,FALSE))</f>
        <v>97781.146599999993</v>
      </c>
      <c r="AN192">
        <f ca="1">IF(AND(ISNUMBER($AN$697),$B$511=1),$AN$697,HLOOKUP(INDIRECT(ADDRESS(2,COLUMN())),OFFSET($BN$2,0,0,ROW()-1,60),ROW()-1,FALSE))</f>
        <v>94462.10441</v>
      </c>
      <c r="AO192">
        <f ca="1">IF(AND(ISNUMBER($AO$697),$B$511=1),$AO$697,HLOOKUP(INDIRECT(ADDRESS(2,COLUMN())),OFFSET($BN$2,0,0,ROW()-1,60),ROW()-1,FALSE))</f>
        <v>88004.628660000002</v>
      </c>
      <c r="AP192">
        <f ca="1">IF(AND(ISNUMBER($AP$697),$B$511=1),$AP$697,HLOOKUP(INDIRECT(ADDRESS(2,COLUMN())),OFFSET($BN$2,0,0,ROW()-1,60),ROW()-1,FALSE))</f>
        <v>81057.275739999997</v>
      </c>
      <c r="AQ192">
        <f ca="1">IF(AND(ISNUMBER($AQ$697),$B$511=1),$AQ$697,HLOOKUP(INDIRECT(ADDRESS(2,COLUMN())),OFFSET($BN$2,0,0,ROW()-1,60),ROW()-1,FALSE))</f>
        <v>76299.033320000002</v>
      </c>
      <c r="AR192">
        <f ca="1">IF(AND(ISNUMBER($AR$697),$B$511=1),$AR$697,HLOOKUP(INDIRECT(ADDRESS(2,COLUMN())),OFFSET($BN$2,0,0,ROW()-1,60),ROW()-1,FALSE))</f>
        <v>73151.318010000003</v>
      </c>
      <c r="AS192">
        <f ca="1">IF(AND(ISNUMBER($AS$697),$B$511=1),$AS$697,HLOOKUP(INDIRECT(ADDRESS(2,COLUMN())),OFFSET($BN$2,0,0,ROW()-1,60),ROW()-1,FALSE))</f>
        <v>77336.061809999999</v>
      </c>
      <c r="AT192">
        <f ca="1">IF(AND(ISNUMBER($AT$697),$B$511=1),$AT$697,HLOOKUP(INDIRECT(ADDRESS(2,COLUMN())),OFFSET($BN$2,0,0,ROW()-1,60),ROW()-1,FALSE))</f>
        <v>84300.596019999997</v>
      </c>
      <c r="AU192">
        <f ca="1">IF(AND(ISNUMBER($AU$697),$B$511=1),$AU$697,HLOOKUP(INDIRECT(ADDRESS(2,COLUMN())),OFFSET($BN$2,0,0,ROW()-1,60),ROW()-1,FALSE))</f>
        <v>93855.942360000001</v>
      </c>
      <c r="AV192">
        <f ca="1">IF(AND(ISNUMBER($AV$697),$B$511=1),$AV$697,HLOOKUP(INDIRECT(ADDRESS(2,COLUMN())),OFFSET($BN$2,0,0,ROW()-1,60),ROW()-1,FALSE))</f>
        <v>98840.91012</v>
      </c>
      <c r="AW192">
        <f ca="1">IF(AND(ISNUMBER($AW$697),$B$511=1),$AW$697,HLOOKUP(INDIRECT(ADDRESS(2,COLUMN())),OFFSET($BN$2,0,0,ROW()-1,60),ROW()-1,FALSE))</f>
        <v>97592.465129999997</v>
      </c>
      <c r="AX192">
        <f ca="1">IF(AND(ISNUMBER($AX$697),$B$511=1),$AX$697,HLOOKUP(INDIRECT(ADDRESS(2,COLUMN())),OFFSET($BN$2,0,0,ROW()-1,60),ROW()-1,FALSE))</f>
        <v>95037.847169999994</v>
      </c>
      <c r="AY192">
        <f ca="1">IF(AND(ISNUMBER($AY$697),$B$511=1),$AY$697,HLOOKUP(INDIRECT(ADDRESS(2,COLUMN())),OFFSET($BN$2,0,0,ROW()-1,60),ROW()-1,FALSE))</f>
        <v>97116.520069999999</v>
      </c>
      <c r="AZ192">
        <f ca="1">IF(AND(ISNUMBER($AZ$697),$B$511=1),$AZ$697,HLOOKUP(INDIRECT(ADDRESS(2,COLUMN())),OFFSET($BN$2,0,0,ROW()-1,60),ROW()-1,FALSE))</f>
        <v>92511.076709999994</v>
      </c>
      <c r="BA192">
        <f ca="1">IF(AND(ISNUMBER($BA$697),$B$511=1),$BA$697,HLOOKUP(INDIRECT(ADDRESS(2,COLUMN())),OFFSET($BN$2,0,0,ROW()-1,60),ROW()-1,FALSE))</f>
        <v>90322.757490000004</v>
      </c>
      <c r="BB192">
        <f ca="1">IF(AND(ISNUMBER($BB$697),$B$511=1),$BB$697,HLOOKUP(INDIRECT(ADDRESS(2,COLUMN())),OFFSET($BN$2,0,0,ROW()-1,60),ROW()-1,FALSE))</f>
        <v>89558.185809999995</v>
      </c>
      <c r="BC192">
        <f ca="1">IF(AND(ISNUMBER($BC$697),$B$511=1),$BC$697,HLOOKUP(INDIRECT(ADDRESS(2,COLUMN())),OFFSET($BN$2,0,0,ROW()-1,60),ROW()-1,FALSE))</f>
        <v>81805.87053</v>
      </c>
      <c r="BD192">
        <f ca="1">IF(AND(ISNUMBER($BD$697),$B$511=1),$BD$697,HLOOKUP(INDIRECT(ADDRESS(2,COLUMN())),OFFSET($BN$2,0,0,ROW()-1,60),ROW()-1,FALSE))</f>
        <v>81538.617499999993</v>
      </c>
      <c r="BE192">
        <f ca="1">IF(AND(ISNUMBER($BE$697),$B$511=1),$BE$697,HLOOKUP(INDIRECT(ADDRESS(2,COLUMN())),OFFSET($BN$2,0,0,ROW()-1,60),ROW()-1,FALSE))</f>
        <v>82665.537849999993</v>
      </c>
      <c r="BF192">
        <f ca="1">IF(AND(ISNUMBER($BF$697),$B$511=1),$BF$697,HLOOKUP(INDIRECT(ADDRESS(2,COLUMN())),OFFSET($BN$2,0,0,ROW()-1,60),ROW()-1,FALSE))</f>
        <v>83389.596799999999</v>
      </c>
      <c r="BG192">
        <f ca="1">IF(AND(ISNUMBER($BG$697),$B$511=1),$BG$697,HLOOKUP(INDIRECT(ADDRESS(2,COLUMN())),OFFSET($BN$2,0,0,ROW()-1,60),ROW()-1,FALSE))</f>
        <v>84297.667440000005</v>
      </c>
      <c r="BH192">
        <f ca="1">IF(AND(ISNUMBER($BH$697),$B$511=1),$BH$697,HLOOKUP(INDIRECT(ADDRESS(2,COLUMN())),OFFSET($BN$2,0,0,ROW()-1,60),ROW()-1,FALSE))</f>
        <v>84520.048980000007</v>
      </c>
      <c r="BI192">
        <f ca="1">IF(AND(ISNUMBER($BI$697),$B$511=1),$BI$697,HLOOKUP(INDIRECT(ADDRESS(2,COLUMN())),OFFSET($BN$2,0,0,ROW()-1,60),ROW()-1,FALSE))</f>
        <v>82492.122080000001</v>
      </c>
      <c r="BJ192">
        <f ca="1">IF(AND(ISNUMBER($BJ$697),$B$511=1),$BJ$697,HLOOKUP(INDIRECT(ADDRESS(2,COLUMN())),OFFSET($BN$2,0,0,ROW()-1,60),ROW()-1,FALSE))</f>
        <v>79862.173020000002</v>
      </c>
      <c r="BK192">
        <f ca="1">IF(AND(ISNUMBER($BK$697),$B$511=1),$BK$697,HLOOKUP(INDIRECT(ADDRESS(2,COLUMN())),OFFSET($BN$2,0,0,ROW()-1,60),ROW()-1,FALSE))</f>
        <v>75444.498739999995</v>
      </c>
      <c r="BL192">
        <f ca="1">IF(AND(ISNUMBER($BL$697),$B$511=1),$BL$697,HLOOKUP(INDIRECT(ADDRESS(2,COLUMN())),OFFSET($BN$2,0,0,ROW()-1,60),ROW()-1,FALSE))</f>
        <v>72389.504109999994</v>
      </c>
      <c r="BM192">
        <f ca="1">IF(AND(ISNUMBER($BM$697),$B$511=1),$BM$697,HLOOKUP(INDIRECT(ADDRESS(2,COLUMN())),OFFSET($BN$2,0,0,ROW()-1,60),ROW()-1,FALSE))</f>
        <v>69467.393890000007</v>
      </c>
      <c r="BN192" t="str">
        <f>""</f>
        <v/>
      </c>
      <c r="BO192">
        <f>108719.9801</f>
        <v>108719.9801</v>
      </c>
      <c r="BP192">
        <f>107151.6191</f>
        <v>107151.6191</v>
      </c>
      <c r="BQ192">
        <f>107967.9394</f>
        <v>107967.9394</v>
      </c>
      <c r="BR192">
        <f>107869.2354</f>
        <v>107869.23540000001</v>
      </c>
      <c r="BS192">
        <f>106878.7674</f>
        <v>106878.7674</v>
      </c>
      <c r="BT192">
        <f>108360.496</f>
        <v>108360.496</v>
      </c>
      <c r="BU192">
        <f>108603.4829</f>
        <v>108603.4829</v>
      </c>
      <c r="BV192">
        <f>108415.7387</f>
        <v>108415.7387</v>
      </c>
      <c r="BW192">
        <f>106135.5</f>
        <v>106135.5</v>
      </c>
      <c r="BX192">
        <f>104082.7615</f>
        <v>104082.76149999999</v>
      </c>
      <c r="BY192">
        <f>102620.5632</f>
        <v>102620.5632</v>
      </c>
      <c r="BZ192">
        <f>101619.34</f>
        <v>101619.34</v>
      </c>
      <c r="CA192">
        <f>101065.2896</f>
        <v>101065.2896</v>
      </c>
      <c r="CB192">
        <f>102094.2096</f>
        <v>102094.2096</v>
      </c>
      <c r="CC192">
        <f>103397.0045</f>
        <v>103397.0045</v>
      </c>
      <c r="CD192">
        <f>103994.5448</f>
        <v>103994.5448</v>
      </c>
      <c r="CE192">
        <f>106938.2206</f>
        <v>106938.2206</v>
      </c>
      <c r="CF192">
        <f>106281.6906</f>
        <v>106281.6906</v>
      </c>
      <c r="CG192">
        <f>106079.279</f>
        <v>106079.27899999999</v>
      </c>
      <c r="CH192">
        <f>104671.333</f>
        <v>104671.333</v>
      </c>
      <c r="CI192">
        <f>101960.389</f>
        <v>101960.389</v>
      </c>
      <c r="CJ192">
        <f>102398.0106</f>
        <v>102398.01059999999</v>
      </c>
      <c r="CK192">
        <f>104488.3527</f>
        <v>104488.3527</v>
      </c>
      <c r="CL192">
        <f>105741.6792</f>
        <v>105741.6792</v>
      </c>
      <c r="CM192">
        <f>110203.5572</f>
        <v>110203.5572</v>
      </c>
      <c r="CN192">
        <f>115535.3097</f>
        <v>115535.3097</v>
      </c>
      <c r="CO192">
        <f>117396.3992</f>
        <v>117396.3992</v>
      </c>
      <c r="CP192">
        <f>119248.1827</f>
        <v>119248.1827</v>
      </c>
      <c r="CQ192">
        <f>113678.0902</f>
        <v>113678.09020000001</v>
      </c>
      <c r="CR192">
        <f>109009.4583</f>
        <v>109009.4583</v>
      </c>
      <c r="CS192">
        <f>106102.8028</f>
        <v>106102.8028</v>
      </c>
      <c r="CT192">
        <f>102656.199</f>
        <v>102656.19899999999</v>
      </c>
      <c r="CU192">
        <f>97781.1466</f>
        <v>97781.146599999993</v>
      </c>
      <c r="CV192">
        <f>94462.10441</f>
        <v>94462.10441</v>
      </c>
      <c r="CW192">
        <f>88004.62866</f>
        <v>88004.628660000002</v>
      </c>
      <c r="CX192">
        <f>81057.27574</f>
        <v>81057.275739999997</v>
      </c>
      <c r="CY192">
        <f>76299.03332</f>
        <v>76299.033320000002</v>
      </c>
      <c r="CZ192">
        <f>73151.31801</f>
        <v>73151.318010000003</v>
      </c>
      <c r="DA192">
        <f>77336.06181</f>
        <v>77336.061809999999</v>
      </c>
      <c r="DB192">
        <f>84300.59602</f>
        <v>84300.596019999997</v>
      </c>
      <c r="DC192">
        <f>93855.94236</f>
        <v>93855.942360000001</v>
      </c>
      <c r="DD192">
        <f>98840.91012</f>
        <v>98840.91012</v>
      </c>
      <c r="DE192">
        <f>97592.46513</f>
        <v>97592.465129999997</v>
      </c>
      <c r="DF192">
        <f>95037.84717</f>
        <v>95037.847169999994</v>
      </c>
      <c r="DG192">
        <f>97116.52007</f>
        <v>97116.520069999999</v>
      </c>
      <c r="DH192">
        <f>92511.07671</f>
        <v>92511.076709999994</v>
      </c>
      <c r="DI192">
        <f>90322.75749</f>
        <v>90322.757490000004</v>
      </c>
      <c r="DJ192">
        <f>89558.18581</f>
        <v>89558.185809999995</v>
      </c>
      <c r="DK192">
        <f>81805.87053</f>
        <v>81805.87053</v>
      </c>
      <c r="DL192">
        <f>81538.6175</f>
        <v>81538.617499999993</v>
      </c>
      <c r="DM192">
        <f>82665.53785</f>
        <v>82665.537849999993</v>
      </c>
      <c r="DN192">
        <f>83389.5968</f>
        <v>83389.596799999999</v>
      </c>
      <c r="DO192">
        <f>84297.66744</f>
        <v>84297.667440000005</v>
      </c>
      <c r="DP192">
        <f>84520.04898</f>
        <v>84520.048980000007</v>
      </c>
      <c r="DQ192">
        <f>82492.12208</f>
        <v>82492.122080000001</v>
      </c>
      <c r="DR192">
        <f>79862.17302</f>
        <v>79862.173020000002</v>
      </c>
      <c r="DS192">
        <f>75444.49874</f>
        <v>75444.498739999995</v>
      </c>
      <c r="DT192">
        <f>72389.50411</f>
        <v>72389.504109999994</v>
      </c>
      <c r="DU192">
        <f>69467.39389</f>
        <v>69467.393890000007</v>
      </c>
    </row>
    <row r="193" spans="1:125" x14ac:dyDescent="0.25">
      <c r="A193" t="str">
        <f>"    Peugeot SA"</f>
        <v xml:space="preserve">    Peugeot SA</v>
      </c>
      <c r="B193" t="str">
        <f>"UG FP Equity"</f>
        <v>UG FP Equity</v>
      </c>
      <c r="C193" t="str">
        <f t="shared" si="12"/>
        <v>RR800</v>
      </c>
      <c r="D193" t="str">
        <f t="shared" si="13"/>
        <v>TRAIL_12M_NET_SALES</v>
      </c>
      <c r="E193" t="str">
        <f t="shared" si="14"/>
        <v>Dynamic</v>
      </c>
      <c r="F193" t="str">
        <f ca="1">IF(AND(ISNUMBER($F$698),$B$511=1),$F$698,HLOOKUP(INDIRECT(ADDRESS(2,COLUMN())),OFFSET($BN$2,0,0,ROW()-1,60),ROW()-1,FALSE))</f>
        <v/>
      </c>
      <c r="G193">
        <f ca="1">IF(AND(ISNUMBER($G$698),$B$511=1),$G$698,HLOOKUP(INDIRECT(ADDRESS(2,COLUMN())),OFFSET($BN$2,0,0,ROW()-1,60),ROW()-1,FALSE))</f>
        <v>87435.088749999995</v>
      </c>
      <c r="H193">
        <f ca="1">IF(AND(ISNUMBER($H$698),$B$511=1),$H$698,HLOOKUP(INDIRECT(ADDRESS(2,COLUMN())),OFFSET($BN$2,0,0,ROW()-1,60),ROW()-1,FALSE))</f>
        <v>89378.295840000006</v>
      </c>
      <c r="I193">
        <f ca="1">IF(AND(ISNUMBER($I$698),$B$511=1),$I$698,HLOOKUP(INDIRECT(ADDRESS(2,COLUMN())),OFFSET($BN$2,0,0,ROW()-1,60),ROW()-1,FALSE))</f>
        <v>88269.082590000005</v>
      </c>
      <c r="J193">
        <f ca="1">IF(AND(ISNUMBER($J$698),$B$511=1),$J$698,HLOOKUP(INDIRECT(ADDRESS(2,COLUMN())),OFFSET($BN$2,0,0,ROW()-1,60),ROW()-1,FALSE))</f>
        <v>79958.858030000003</v>
      </c>
      <c r="K193">
        <f ca="1">IF(AND(ISNUMBER($K$698),$B$511=1),$K$698,HLOOKUP(INDIRECT(ADDRESS(2,COLUMN())),OFFSET($BN$2,0,0,ROW()-1,60),ROW()-1,FALSE))</f>
        <v>71079.804029999999</v>
      </c>
      <c r="L193">
        <f ca="1">IF(AND(ISNUMBER($L$698),$B$511=1),$L$698,HLOOKUP(INDIRECT(ADDRESS(2,COLUMN())),OFFSET($BN$2,0,0,ROW()-1,60),ROW()-1,FALSE))</f>
        <v>62649.887139999999</v>
      </c>
      <c r="M193">
        <f ca="1">IF(AND(ISNUMBER($M$698),$B$511=1),$M$698,HLOOKUP(INDIRECT(ADDRESS(2,COLUMN())),OFFSET($BN$2,0,0,ROW()-1,60),ROW()-1,FALSE))</f>
        <v>58655.887329999998</v>
      </c>
      <c r="N193">
        <f ca="1">IF(AND(ISNUMBER($N$698),$B$511=1),$N$698,HLOOKUP(INDIRECT(ADDRESS(2,COLUMN())),OFFSET($BN$2,0,0,ROW()-1,60),ROW()-1,FALSE))</f>
        <v>59067.682719999997</v>
      </c>
      <c r="O193">
        <f ca="1">IF(AND(ISNUMBER($O$698),$B$511=1),$O$698,HLOOKUP(INDIRECT(ADDRESS(2,COLUMN())),OFFSET($BN$2,0,0,ROW()-1,60),ROW()-1,FALSE))</f>
        <v>59801.953479999996</v>
      </c>
      <c r="P193">
        <f ca="1">IF(AND(ISNUMBER($P$698),$B$511=1),$P$698,HLOOKUP(INDIRECT(ADDRESS(2,COLUMN())),OFFSET($BN$2,0,0,ROW()-1,60),ROW()-1,FALSE))</f>
        <v>59782.145149999997</v>
      </c>
      <c r="Q193">
        <f ca="1">IF(AND(ISNUMBER($Q$698),$B$511=1),$Q$698,HLOOKUP(INDIRECT(ADDRESS(2,COLUMN())),OFFSET($BN$2,0,0,ROW()-1,60),ROW()-1,FALSE))</f>
        <v>60404.197899999999</v>
      </c>
      <c r="R193" t="str">
        <f ca="1">IF(AND(ISNUMBER($R$698),$B$511=1),$R$698,HLOOKUP(INDIRECT(ADDRESS(2,COLUMN())),OFFSET($BN$2,0,0,ROW()-1,60),ROW()-1,FALSE))</f>
        <v/>
      </c>
      <c r="S193" t="str">
        <f ca="1">IF(AND(ISNUMBER($S$698),$B$511=1),$S$698,HLOOKUP(INDIRECT(ADDRESS(2,COLUMN())),OFFSET($BN$2,0,0,ROW()-1,60),ROW()-1,FALSE))</f>
        <v/>
      </c>
      <c r="T193" t="str">
        <f ca="1">IF(AND(ISNUMBER($T$698),$B$511=1),$T$698,HLOOKUP(INDIRECT(ADDRESS(2,COLUMN())),OFFSET($BN$2,0,0,ROW()-1,60),ROW()-1,FALSE))</f>
        <v/>
      </c>
      <c r="U193" t="str">
        <f ca="1">IF(AND(ISNUMBER($U$698),$B$511=1),$U$698,HLOOKUP(INDIRECT(ADDRESS(2,COLUMN())),OFFSET($BN$2,0,0,ROW()-1,60),ROW()-1,FALSE))</f>
        <v/>
      </c>
      <c r="V193">
        <f ca="1">IF(AND(ISNUMBER($V$698),$B$511=1),$V$698,HLOOKUP(INDIRECT(ADDRESS(2,COLUMN())),OFFSET($BN$2,0,0,ROW()-1,60),ROW()-1,FALSE))</f>
        <v>68139.257339999996</v>
      </c>
      <c r="W193">
        <f ca="1">IF(AND(ISNUMBER($W$698),$B$511=1),$W$698,HLOOKUP(INDIRECT(ADDRESS(2,COLUMN())),OFFSET($BN$2,0,0,ROW()-1,60),ROW()-1,FALSE))</f>
        <v>70837.520069999999</v>
      </c>
      <c r="X193">
        <f ca="1">IF(AND(ISNUMBER($X$698),$B$511=1),$X$698,HLOOKUP(INDIRECT(ADDRESS(2,COLUMN())),OFFSET($BN$2,0,0,ROW()-1,60),ROW()-1,FALSE))</f>
        <v>73142.85759</v>
      </c>
      <c r="Y193">
        <f ca="1">IF(AND(ISNUMBER($Y$698),$B$511=1),$Y$698,HLOOKUP(INDIRECT(ADDRESS(2,COLUMN())),OFFSET($BN$2,0,0,ROW()-1,60),ROW()-1,FALSE))</f>
        <v>73265.931859999997</v>
      </c>
      <c r="Z193">
        <f ca="1">IF(AND(ISNUMBER($Z$698),$B$511=1),$Z$698,HLOOKUP(INDIRECT(ADDRESS(2,COLUMN())),OFFSET($BN$2,0,0,ROW()-1,60),ROW()-1,FALSE))</f>
        <v>72882.239740000005</v>
      </c>
      <c r="AA193">
        <f ca="1">IF(AND(ISNUMBER($AA$698),$B$511=1),$AA$698,HLOOKUP(INDIRECT(ADDRESS(2,COLUMN())),OFFSET($BN$2,0,0,ROW()-1,60),ROW()-1,FALSE))</f>
        <v>71889.543269999995</v>
      </c>
      <c r="AB193">
        <f ca="1">IF(AND(ISNUMBER($AB$698),$B$511=1),$AB$698,HLOOKUP(INDIRECT(ADDRESS(2,COLUMN())),OFFSET($BN$2,0,0,ROW()-1,60),ROW()-1,FALSE))</f>
        <v>69293.285839999997</v>
      </c>
      <c r="AC193">
        <f ca="1">IF(AND(ISNUMBER($AC$698),$B$511=1),$AC$698,HLOOKUP(INDIRECT(ADDRESS(2,COLUMN())),OFFSET($BN$2,0,0,ROW()-1,60),ROW()-1,FALSE))</f>
        <v>69382.847179999997</v>
      </c>
      <c r="AD193">
        <f ca="1">IF(AND(ISNUMBER($AD$698),$B$511=1),$AD$698,HLOOKUP(INDIRECT(ADDRESS(2,COLUMN())),OFFSET($BN$2,0,0,ROW()-1,60),ROW()-1,FALSE))</f>
        <v>69804.402010000005</v>
      </c>
      <c r="AE193">
        <f ca="1">IF(AND(ISNUMBER($AE$698),$B$511=1),$AE$698,HLOOKUP(INDIRECT(ADDRESS(2,COLUMN())),OFFSET($BN$2,0,0,ROW()-1,60),ROW()-1,FALSE))</f>
        <v>71296.408559999996</v>
      </c>
      <c r="AF193">
        <f ca="1">IF(AND(ISNUMBER($AF$698),$B$511=1),$AF$698,HLOOKUP(INDIRECT(ADDRESS(2,COLUMN())),OFFSET($BN$2,0,0,ROW()-1,60),ROW()-1,FALSE))</f>
        <v>75057.302039999995</v>
      </c>
      <c r="AG193">
        <f ca="1">IF(AND(ISNUMBER($AG$698),$B$511=1),$AG$698,HLOOKUP(INDIRECT(ADDRESS(2,COLUMN())),OFFSET($BN$2,0,0,ROW()-1,60),ROW()-1,FALSE))</f>
        <v>78105.854560000007</v>
      </c>
      <c r="AH193">
        <f ca="1">IF(AND(ISNUMBER($AH$698),$B$511=1),$AH$698,HLOOKUP(INDIRECT(ADDRESS(2,COLUMN())),OFFSET($BN$2,0,0,ROW()-1,60),ROW()-1,FALSE))</f>
        <v>81007.280979999996</v>
      </c>
      <c r="AI193">
        <f ca="1">IF(AND(ISNUMBER($AI$698),$B$511=1),$AI$698,HLOOKUP(INDIRECT(ADDRESS(2,COLUMN())),OFFSET($BN$2,0,0,ROW()-1,60),ROW()-1,FALSE))</f>
        <v>83421.596690000006</v>
      </c>
      <c r="AJ193">
        <f ca="1">IF(AND(ISNUMBER($AJ$698),$B$511=1),$AJ$698,HLOOKUP(INDIRECT(ADDRESS(2,COLUMN())),OFFSET($BN$2,0,0,ROW()-1,60),ROW()-1,FALSE))</f>
        <v>82642.859830000001</v>
      </c>
      <c r="AK193">
        <f ca="1">IF(AND(ISNUMBER($AK$698),$B$511=1),$AK$698,HLOOKUP(INDIRECT(ADDRESS(2,COLUMN())),OFFSET($BN$2,0,0,ROW()-1,60),ROW()-1,FALSE))</f>
        <v>80230.122430000003</v>
      </c>
      <c r="AL193">
        <f ca="1">IF(AND(ISNUMBER($AL$698),$B$511=1),$AL$698,HLOOKUP(INDIRECT(ADDRESS(2,COLUMN())),OFFSET($BN$2,0,0,ROW()-1,60),ROW()-1,FALSE))</f>
        <v>76057.510880000002</v>
      </c>
      <c r="AM193">
        <f ca="1">IF(AND(ISNUMBER($AM$698),$B$511=1),$AM$698,HLOOKUP(INDIRECT(ADDRESS(2,COLUMN())),OFFSET($BN$2,0,0,ROW()-1,60),ROW()-1,FALSE))</f>
        <v>74371.146569999997</v>
      </c>
      <c r="AN193">
        <f ca="1">IF(AND(ISNUMBER($AN$698),$B$511=1),$AN$698,HLOOKUP(INDIRECT(ADDRESS(2,COLUMN())),OFFSET($BN$2,0,0,ROW()-1,60),ROW()-1,FALSE))</f>
        <v>73980.551730000007</v>
      </c>
      <c r="AO193">
        <f ca="1">IF(AND(ISNUMBER($AO$698),$B$511=1),$AO$698,HLOOKUP(INDIRECT(ADDRESS(2,COLUMN())),OFFSET($BN$2,0,0,ROW()-1,60),ROW()-1,FALSE))</f>
        <v>74184.267800000001</v>
      </c>
      <c r="AP193">
        <f ca="1">IF(AND(ISNUMBER($AP$698),$B$511=1),$AP$698,HLOOKUP(INDIRECT(ADDRESS(2,COLUMN())),OFFSET($BN$2,0,0,ROW()-1,60),ROW()-1,FALSE))</f>
        <v>72710.025580000001</v>
      </c>
      <c r="AQ193">
        <f ca="1">IF(AND(ISNUMBER($AQ$698),$B$511=1),$AQ$698,HLOOKUP(INDIRECT(ADDRESS(2,COLUMN())),OFFSET($BN$2,0,0,ROW()-1,60),ROW()-1,FALSE))</f>
        <v>67514.441019999998</v>
      </c>
      <c r="AR193" t="str">
        <f ca="1">IF(AND(ISNUMBER($AR$698),$B$511=1),$AR$698,HLOOKUP(INDIRECT(ADDRESS(2,COLUMN())),OFFSET($BN$2,0,0,ROW()-1,60),ROW()-1,FALSE))</f>
        <v/>
      </c>
      <c r="AS193" t="str">
        <f ca="1">IF(AND(ISNUMBER($AS$698),$B$511=1),$AS$698,HLOOKUP(INDIRECT(ADDRESS(2,COLUMN())),OFFSET($BN$2,0,0,ROW()-1,60),ROW()-1,FALSE))</f>
        <v/>
      </c>
      <c r="AT193" t="str">
        <f ca="1">IF(AND(ISNUMBER($AT$698),$B$511=1),$AT$698,HLOOKUP(INDIRECT(ADDRESS(2,COLUMN())),OFFSET($BN$2,0,0,ROW()-1,60),ROW()-1,FALSE))</f>
        <v/>
      </c>
      <c r="AU193" t="str">
        <f ca="1">IF(AND(ISNUMBER($AU$698),$B$511=1),$AU$698,HLOOKUP(INDIRECT(ADDRESS(2,COLUMN())),OFFSET($BN$2,0,0,ROW()-1,60),ROW()-1,FALSE))</f>
        <v/>
      </c>
      <c r="AV193" t="str">
        <f ca="1">IF(AND(ISNUMBER($AV$698),$B$511=1),$AV$698,HLOOKUP(INDIRECT(ADDRESS(2,COLUMN())),OFFSET($BN$2,0,0,ROW()-1,60),ROW()-1,FALSE))</f>
        <v/>
      </c>
      <c r="AW193" t="str">
        <f ca="1">IF(AND(ISNUMBER($AW$698),$B$511=1),$AW$698,HLOOKUP(INDIRECT(ADDRESS(2,COLUMN())),OFFSET($BN$2,0,0,ROW()-1,60),ROW()-1,FALSE))</f>
        <v/>
      </c>
      <c r="AX193" t="str">
        <f ca="1">IF(AND(ISNUMBER($AX$698),$B$511=1),$AX$698,HLOOKUP(INDIRECT(ADDRESS(2,COLUMN())),OFFSET($BN$2,0,0,ROW()-1,60),ROW()-1,FALSE))</f>
        <v/>
      </c>
      <c r="AY193" t="str">
        <f ca="1">IF(AND(ISNUMBER($AY$698),$B$511=1),$AY$698,HLOOKUP(INDIRECT(ADDRESS(2,COLUMN())),OFFSET($BN$2,0,0,ROW()-1,60),ROW()-1,FALSE))</f>
        <v/>
      </c>
      <c r="AZ193" t="str">
        <f ca="1">IF(AND(ISNUMBER($AZ$698),$B$511=1),$AZ$698,HLOOKUP(INDIRECT(ADDRESS(2,COLUMN())),OFFSET($BN$2,0,0,ROW()-1,60),ROW()-1,FALSE))</f>
        <v/>
      </c>
      <c r="BA193" t="str">
        <f ca="1">IF(AND(ISNUMBER($BA$698),$B$511=1),$BA$698,HLOOKUP(INDIRECT(ADDRESS(2,COLUMN())),OFFSET($BN$2,0,0,ROW()-1,60),ROW()-1,FALSE))</f>
        <v/>
      </c>
      <c r="BB193" t="str">
        <f ca="1">IF(AND(ISNUMBER($BB$698),$B$511=1),$BB$698,HLOOKUP(INDIRECT(ADDRESS(2,COLUMN())),OFFSET($BN$2,0,0,ROW()-1,60),ROW()-1,FALSE))</f>
        <v/>
      </c>
      <c r="BC193" t="str">
        <f ca="1">IF(AND(ISNUMBER($BC$698),$B$511=1),$BC$698,HLOOKUP(INDIRECT(ADDRESS(2,COLUMN())),OFFSET($BN$2,0,0,ROW()-1,60),ROW()-1,FALSE))</f>
        <v/>
      </c>
      <c r="BD193" t="str">
        <f ca="1">IF(AND(ISNUMBER($BD$698),$B$511=1),$BD$698,HLOOKUP(INDIRECT(ADDRESS(2,COLUMN())),OFFSET($BN$2,0,0,ROW()-1,60),ROW()-1,FALSE))</f>
        <v/>
      </c>
      <c r="BE193" t="str">
        <f ca="1">IF(AND(ISNUMBER($BE$698),$B$511=1),$BE$698,HLOOKUP(INDIRECT(ADDRESS(2,COLUMN())),OFFSET($BN$2,0,0,ROW()-1,60),ROW()-1,FALSE))</f>
        <v/>
      </c>
      <c r="BF193" t="str">
        <f ca="1">IF(AND(ISNUMBER($BF$698),$B$511=1),$BF$698,HLOOKUP(INDIRECT(ADDRESS(2,COLUMN())),OFFSET($BN$2,0,0,ROW()-1,60),ROW()-1,FALSE))</f>
        <v/>
      </c>
      <c r="BG193" t="str">
        <f ca="1">IF(AND(ISNUMBER($BG$698),$B$511=1),$BG$698,HLOOKUP(INDIRECT(ADDRESS(2,COLUMN())),OFFSET($BN$2,0,0,ROW()-1,60),ROW()-1,FALSE))</f>
        <v/>
      </c>
      <c r="BH193" t="str">
        <f ca="1">IF(AND(ISNUMBER($BH$698),$B$511=1),$BH$698,HLOOKUP(INDIRECT(ADDRESS(2,COLUMN())),OFFSET($BN$2,0,0,ROW()-1,60),ROW()-1,FALSE))</f>
        <v/>
      </c>
      <c r="BI193" t="str">
        <f ca="1">IF(AND(ISNUMBER($BI$698),$B$511=1),$BI$698,HLOOKUP(INDIRECT(ADDRESS(2,COLUMN())),OFFSET($BN$2,0,0,ROW()-1,60),ROW()-1,FALSE))</f>
        <v/>
      </c>
      <c r="BJ193" t="str">
        <f ca="1">IF(AND(ISNUMBER($BJ$698),$B$511=1),$BJ$698,HLOOKUP(INDIRECT(ADDRESS(2,COLUMN())),OFFSET($BN$2,0,0,ROW()-1,60),ROW()-1,FALSE))</f>
        <v/>
      </c>
      <c r="BK193" t="str">
        <f ca="1">IF(AND(ISNUMBER($BK$698),$B$511=1),$BK$698,HLOOKUP(INDIRECT(ADDRESS(2,COLUMN())),OFFSET($BN$2,0,0,ROW()-1,60),ROW()-1,FALSE))</f>
        <v/>
      </c>
      <c r="BL193" t="str">
        <f ca="1">IF(AND(ISNUMBER($BL$698),$B$511=1),$BL$698,HLOOKUP(INDIRECT(ADDRESS(2,COLUMN())),OFFSET($BN$2,0,0,ROW()-1,60),ROW()-1,FALSE))</f>
        <v/>
      </c>
      <c r="BM193" t="str">
        <f ca="1">IF(AND(ISNUMBER($BM$698),$B$511=1),$BM$698,HLOOKUP(INDIRECT(ADDRESS(2,COLUMN())),OFFSET($BN$2,0,0,ROW()-1,60),ROW()-1,FALSE))</f>
        <v/>
      </c>
      <c r="BN193" t="str">
        <f>""</f>
        <v/>
      </c>
      <c r="BO193">
        <f>87435.08875</f>
        <v>87435.088749999995</v>
      </c>
      <c r="BP193">
        <f>89378.29584</f>
        <v>89378.295840000006</v>
      </c>
      <c r="BQ193">
        <f>88269.08259</f>
        <v>88269.082590000005</v>
      </c>
      <c r="BR193">
        <f>79958.85803</f>
        <v>79958.858030000003</v>
      </c>
      <c r="BS193">
        <f>71079.80403</f>
        <v>71079.804029999999</v>
      </c>
      <c r="BT193">
        <f>62649.88714</f>
        <v>62649.887139999999</v>
      </c>
      <c r="BU193">
        <f>58655.88733</f>
        <v>58655.887329999998</v>
      </c>
      <c r="BV193">
        <f>59067.68272</f>
        <v>59067.682719999997</v>
      </c>
      <c r="BW193">
        <f>59801.95348</f>
        <v>59801.953479999996</v>
      </c>
      <c r="BX193">
        <f>59782.1451499999</f>
        <v>59782.145149999997</v>
      </c>
      <c r="BY193">
        <f>60404.1979</f>
        <v>60404.197899999999</v>
      </c>
      <c r="BZ193" t="str">
        <f>""</f>
        <v/>
      </c>
      <c r="CA193" t="str">
        <f>""</f>
        <v/>
      </c>
      <c r="CB193" t="str">
        <f>""</f>
        <v/>
      </c>
      <c r="CC193" t="str">
        <f>""</f>
        <v/>
      </c>
      <c r="CD193">
        <f>68139.25734</f>
        <v>68139.257339999996</v>
      </c>
      <c r="CE193">
        <f>70837.52007</f>
        <v>70837.520069999999</v>
      </c>
      <c r="CF193">
        <f>73142.85759</f>
        <v>73142.85759</v>
      </c>
      <c r="CG193">
        <f>73265.93186</f>
        <v>73265.931859999997</v>
      </c>
      <c r="CH193">
        <f>72882.23974</f>
        <v>72882.239740000005</v>
      </c>
      <c r="CI193">
        <f>71889.54327</f>
        <v>71889.543269999995</v>
      </c>
      <c r="CJ193">
        <f>69293.28584</f>
        <v>69293.285839999997</v>
      </c>
      <c r="CK193">
        <f>69382.84718</f>
        <v>69382.847179999997</v>
      </c>
      <c r="CL193">
        <f>69804.40201</f>
        <v>69804.402010000005</v>
      </c>
      <c r="CM193">
        <f>71296.40856</f>
        <v>71296.408559999996</v>
      </c>
      <c r="CN193">
        <f>75057.30204</f>
        <v>75057.302039999995</v>
      </c>
      <c r="CO193">
        <f>78105.85456</f>
        <v>78105.854560000007</v>
      </c>
      <c r="CP193">
        <f>81007.28098</f>
        <v>81007.280979999996</v>
      </c>
      <c r="CQ193">
        <f>83421.59669</f>
        <v>83421.596690000006</v>
      </c>
      <c r="CR193">
        <f>82642.85983</f>
        <v>82642.859830000001</v>
      </c>
      <c r="CS193">
        <f>80230.12243</f>
        <v>80230.122430000003</v>
      </c>
      <c r="CT193">
        <f>76057.51088</f>
        <v>76057.510880000002</v>
      </c>
      <c r="CU193">
        <f>74371.14657</f>
        <v>74371.146569999997</v>
      </c>
      <c r="CV193">
        <f>73980.55173</f>
        <v>73980.551730000007</v>
      </c>
      <c r="CW193">
        <f>74184.2678</f>
        <v>74184.267800000001</v>
      </c>
      <c r="CX193">
        <f>72710.02558</f>
        <v>72710.025580000001</v>
      </c>
      <c r="CY193">
        <f>67514.44102</f>
        <v>67514.441019999998</v>
      </c>
      <c r="CZ193" t="str">
        <f>""</f>
        <v/>
      </c>
      <c r="DA193" t="str">
        <f>""</f>
        <v/>
      </c>
      <c r="DB193" t="str">
        <f>""</f>
        <v/>
      </c>
      <c r="DC193" t="str">
        <f>""</f>
        <v/>
      </c>
      <c r="DD193" t="str">
        <f>""</f>
        <v/>
      </c>
      <c r="DE193" t="str">
        <f>""</f>
        <v/>
      </c>
      <c r="DF193" t="str">
        <f>""</f>
        <v/>
      </c>
      <c r="DG193" t="str">
        <f>""</f>
        <v/>
      </c>
      <c r="DH193" t="str">
        <f>""</f>
        <v/>
      </c>
      <c r="DI193" t="str">
        <f>""</f>
        <v/>
      </c>
      <c r="DJ193" t="str">
        <f>""</f>
        <v/>
      </c>
      <c r="DK193" t="str">
        <f>""</f>
        <v/>
      </c>
      <c r="DL193" t="str">
        <f>""</f>
        <v/>
      </c>
      <c r="DM193" t="str">
        <f>""</f>
        <v/>
      </c>
      <c r="DN193" t="str">
        <f>""</f>
        <v/>
      </c>
      <c r="DO193" t="str">
        <f>""</f>
        <v/>
      </c>
      <c r="DP193" t="str">
        <f>""</f>
        <v/>
      </c>
      <c r="DQ193" t="str">
        <f>""</f>
        <v/>
      </c>
      <c r="DR193" t="str">
        <f>""</f>
        <v/>
      </c>
      <c r="DS193" t="str">
        <f>""</f>
        <v/>
      </c>
      <c r="DT193" t="str">
        <f>""</f>
        <v/>
      </c>
      <c r="DU193" t="str">
        <f>""</f>
        <v/>
      </c>
    </row>
    <row r="194" spans="1:125" x14ac:dyDescent="0.25">
      <c r="A194" t="str">
        <f>"    Renault SA"</f>
        <v xml:space="preserve">    Renault SA</v>
      </c>
      <c r="B194" t="str">
        <f>"RNO FP Equity"</f>
        <v>RNO FP Equity</v>
      </c>
      <c r="C194" t="str">
        <f t="shared" si="12"/>
        <v>RR800</v>
      </c>
      <c r="D194" t="str">
        <f t="shared" si="13"/>
        <v>TRAIL_12M_NET_SALES</v>
      </c>
      <c r="E194" t="str">
        <f t="shared" si="14"/>
        <v>Dynamic</v>
      </c>
      <c r="F194" t="str">
        <f ca="1">IF(AND(ISNUMBER($F$699),$B$511=1),$F$699,HLOOKUP(INDIRECT(ADDRESS(2,COLUMN())),OFFSET($BN$2,0,0,ROW()-1,60),ROW()-1,FALSE))</f>
        <v/>
      </c>
      <c r="G194">
        <f ca="1">IF(AND(ISNUMBER($G$699),$B$511=1),$G$699,HLOOKUP(INDIRECT(ADDRESS(2,COLUMN())),OFFSET($BN$2,0,0,ROW()-1,60),ROW()-1,FALSE))</f>
        <v>67818.976339999994</v>
      </c>
      <c r="H194">
        <f ca="1">IF(AND(ISNUMBER($H$699),$B$511=1),$H$699,HLOOKUP(INDIRECT(ADDRESS(2,COLUMN())),OFFSET($BN$2,0,0,ROW()-1,60),ROW()-1,FALSE))</f>
        <v>69588.407850000003</v>
      </c>
      <c r="I194">
        <f ca="1">IF(AND(ISNUMBER($I$699),$B$511=1),$I$699,HLOOKUP(INDIRECT(ADDRESS(2,COLUMN())),OFFSET($BN$2,0,0,ROW()-1,60),ROW()-1,FALSE))</f>
        <v>70640.567299999995</v>
      </c>
      <c r="J194">
        <f ca="1">IF(AND(ISNUMBER($J$699),$B$511=1),$J$699,HLOOKUP(INDIRECT(ADDRESS(2,COLUMN())),OFFSET($BN$2,0,0,ROW()-1,60),ROW()-1,FALSE))</f>
        <v>68830.50301</v>
      </c>
      <c r="K194">
        <f ca="1">IF(AND(ISNUMBER($K$699),$B$511=1),$K$699,HLOOKUP(INDIRECT(ADDRESS(2,COLUMN())),OFFSET($BN$2,0,0,ROW()-1,60),ROW()-1,FALSE))</f>
        <v>66393.720119999998</v>
      </c>
      <c r="L194">
        <f ca="1">IF(AND(ISNUMBER($L$699),$B$511=1),$L$699,HLOOKUP(INDIRECT(ADDRESS(2,COLUMN())),OFFSET($BN$2,0,0,ROW()-1,60),ROW()-1,FALSE))</f>
        <v>63267.459390000004</v>
      </c>
      <c r="M194">
        <f ca="1">IF(AND(ISNUMBER($M$699),$B$511=1),$M$699,HLOOKUP(INDIRECT(ADDRESS(2,COLUMN())),OFFSET($BN$2,0,0,ROW()-1,60),ROW()-1,FALSE))</f>
        <v>60609.520960000002</v>
      </c>
      <c r="N194">
        <f ca="1">IF(AND(ISNUMBER($N$699),$B$511=1),$N$699,HLOOKUP(INDIRECT(ADDRESS(2,COLUMN())),OFFSET($BN$2,0,0,ROW()-1,60),ROW()-1,FALSE))</f>
        <v>59125.839639999998</v>
      </c>
      <c r="O194">
        <f ca="1">IF(AND(ISNUMBER($O$699),$B$511=1),$O$699,HLOOKUP(INDIRECT(ADDRESS(2,COLUMN())),OFFSET($BN$2,0,0,ROW()-1,60),ROW()-1,FALSE))</f>
        <v>56717.221949999999</v>
      </c>
      <c r="P194">
        <f ca="1">IF(AND(ISNUMBER($P$699),$B$511=1),$P$699,HLOOKUP(INDIRECT(ADDRESS(2,COLUMN())),OFFSET($BN$2,0,0,ROW()-1,60),ROW()-1,FALSE))</f>
        <v>55024.638780000001</v>
      </c>
      <c r="Q194">
        <f ca="1">IF(AND(ISNUMBER($Q$699),$B$511=1),$Q$699,HLOOKUP(INDIRECT(ADDRESS(2,COLUMN())),OFFSET($BN$2,0,0,ROW()-1,60),ROW()-1,FALSE))</f>
        <v>53628.857969999997</v>
      </c>
      <c r="R194">
        <f ca="1">IF(AND(ISNUMBER($R$699),$B$511=1),$R$699,HLOOKUP(INDIRECT(ADDRESS(2,COLUMN())),OFFSET($BN$2,0,0,ROW()-1,60),ROW()-1,FALSE))</f>
        <v>51272.690920000001</v>
      </c>
      <c r="S194">
        <f ca="1">IF(AND(ISNUMBER($S$699),$B$511=1),$S$699,HLOOKUP(INDIRECT(ADDRESS(2,COLUMN())),OFFSET($BN$2,0,0,ROW()-1,60),ROW()-1,FALSE))</f>
        <v>50312.998659999997</v>
      </c>
      <c r="T194">
        <f ca="1">IF(AND(ISNUMBER($T$699),$B$511=1),$T$699,HLOOKUP(INDIRECT(ADDRESS(2,COLUMN())),OFFSET($BN$2,0,0,ROW()-1,60),ROW()-1,FALSE))</f>
        <v>50822.117810000003</v>
      </c>
      <c r="U194">
        <f ca="1">IF(AND(ISNUMBER($U$699),$B$511=1),$U$699,HLOOKUP(INDIRECT(ADDRESS(2,COLUMN())),OFFSET($BN$2,0,0,ROW()-1,60),ROW()-1,FALSE))</f>
        <v>52239.07273</v>
      </c>
      <c r="V194">
        <f ca="1">IF(AND(ISNUMBER($V$699),$B$511=1),$V$699,HLOOKUP(INDIRECT(ADDRESS(2,COLUMN())),OFFSET($BN$2,0,0,ROW()-1,60),ROW()-1,FALSE))</f>
        <v>53520.317080000001</v>
      </c>
      <c r="W194">
        <f ca="1">IF(AND(ISNUMBER($W$699),$B$511=1),$W$699,HLOOKUP(INDIRECT(ADDRESS(2,COLUMN())),OFFSET($BN$2,0,0,ROW()-1,60),ROW()-1,FALSE))</f>
        <v>54540.984709999997</v>
      </c>
      <c r="X194">
        <f ca="1">IF(AND(ISNUMBER($X$699),$B$511=1),$X$699,HLOOKUP(INDIRECT(ADDRESS(2,COLUMN())),OFFSET($BN$2,0,0,ROW()-1,60),ROW()-1,FALSE))</f>
        <v>55424.373509999998</v>
      </c>
      <c r="Y194">
        <f ca="1">IF(AND(ISNUMBER($Y$699),$B$511=1),$Y$699,HLOOKUP(INDIRECT(ADDRESS(2,COLUMN())),OFFSET($BN$2,0,0,ROW()-1,60),ROW()-1,FALSE))</f>
        <v>54696.056799999998</v>
      </c>
      <c r="Z194">
        <f ca="1">IF(AND(ISNUMBER($Z$699),$B$511=1),$Z$699,HLOOKUP(INDIRECT(ADDRESS(2,COLUMN())),OFFSET($BN$2,0,0,ROW()-1,60),ROW()-1,FALSE))</f>
        <v>54863.106390000001</v>
      </c>
      <c r="AA194">
        <f ca="1">IF(AND(ISNUMBER($AA$699),$B$511=1),$AA$699,HLOOKUP(INDIRECT(ADDRESS(2,COLUMN())),OFFSET($BN$2,0,0,ROW()-1,60),ROW()-1,FALSE))</f>
        <v>54370.443729999999</v>
      </c>
      <c r="AB194">
        <f ca="1">IF(AND(ISNUMBER($AB$699),$B$511=1),$AB$699,HLOOKUP(INDIRECT(ADDRESS(2,COLUMN())),OFFSET($BN$2,0,0,ROW()-1,60),ROW()-1,FALSE))</f>
        <v>52914.037839999997</v>
      </c>
      <c r="AC194">
        <f ca="1">IF(AND(ISNUMBER($AC$699),$B$511=1),$AC$699,HLOOKUP(INDIRECT(ADDRESS(2,COLUMN())),OFFSET($BN$2,0,0,ROW()-1,60),ROW()-1,FALSE))</f>
        <v>52750.26526</v>
      </c>
      <c r="AD194">
        <f ca="1">IF(AND(ISNUMBER($AD$699),$B$511=1),$AD$699,HLOOKUP(INDIRECT(ADDRESS(2,COLUMN())),OFFSET($BN$2,0,0,ROW()-1,60),ROW()-1,FALSE))</f>
        <v>51516.163849999997</v>
      </c>
      <c r="AE194">
        <f ca="1">IF(AND(ISNUMBER($AE$699),$B$511=1),$AE$699,HLOOKUP(INDIRECT(ADDRESS(2,COLUMN())),OFFSET($BN$2,0,0,ROW()-1,60),ROW()-1,FALSE))</f>
        <v>53067.899960000002</v>
      </c>
      <c r="AF194">
        <f ca="1">IF(AND(ISNUMBER($AF$699),$B$511=1),$AF$699,HLOOKUP(INDIRECT(ADDRESS(2,COLUMN())),OFFSET($BN$2,0,0,ROW()-1,60),ROW()-1,FALSE))</f>
        <v>53444.133139999998</v>
      </c>
      <c r="AG194">
        <f ca="1">IF(AND(ISNUMBER($AG$699),$B$511=1),$AG$699,HLOOKUP(INDIRECT(ADDRESS(2,COLUMN())),OFFSET($BN$2,0,0,ROW()-1,60),ROW()-1,FALSE))</f>
        <v>56858.062680000003</v>
      </c>
      <c r="AH194">
        <f ca="1">IF(AND(ISNUMBER($AH$699),$B$511=1),$AH$699,HLOOKUP(INDIRECT(ADDRESS(2,COLUMN())),OFFSET($BN$2,0,0,ROW()-1,60),ROW()-1,FALSE))</f>
        <v>57505.84057</v>
      </c>
      <c r="AI194">
        <f ca="1">IF(AND(ISNUMBER($AI$699),$B$511=1),$AI$699,HLOOKUP(INDIRECT(ADDRESS(2,COLUMN())),OFFSET($BN$2,0,0,ROW()-1,60),ROW()-1,FALSE))</f>
        <v>59355.318189999998</v>
      </c>
      <c r="AJ194">
        <f ca="1">IF(AND(ISNUMBER($AJ$699),$B$511=1),$AJ$699,HLOOKUP(INDIRECT(ADDRESS(2,COLUMN())),OFFSET($BN$2,0,0,ROW()-1,60),ROW()-1,FALSE))</f>
        <v>57796.442739999999</v>
      </c>
      <c r="AK194">
        <f ca="1">IF(AND(ISNUMBER($AK$699),$B$511=1),$AK$699,HLOOKUP(INDIRECT(ADDRESS(2,COLUMN())),OFFSET($BN$2,0,0,ROW()-1,60),ROW()-1,FALSE))</f>
        <v>55127.680469999999</v>
      </c>
      <c r="AL194">
        <f ca="1">IF(AND(ISNUMBER($AL$699),$B$511=1),$AL$699,HLOOKUP(INDIRECT(ADDRESS(2,COLUMN())),OFFSET($BN$2,0,0,ROW()-1,60),ROW()-1,FALSE))</f>
        <v>53346.13897</v>
      </c>
      <c r="AM194">
        <f ca="1">IF(AND(ISNUMBER($AM$699),$B$511=1),$AM$699,HLOOKUP(INDIRECT(ADDRESS(2,COLUMN())),OFFSET($BN$2,0,0,ROW()-1,60),ROW()-1,FALSE))</f>
        <v>51699.362359999999</v>
      </c>
      <c r="AN194">
        <f ca="1">IF(AND(ISNUMBER($AN$699),$B$511=1),$AN$699,HLOOKUP(INDIRECT(ADDRESS(2,COLUMN())),OFFSET($BN$2,0,0,ROW()-1,60),ROW()-1,FALSE))</f>
        <v>51547.896809999998</v>
      </c>
      <c r="AO194">
        <f ca="1">IF(AND(ISNUMBER($AO$699),$B$511=1),$AO$699,HLOOKUP(INDIRECT(ADDRESS(2,COLUMN())),OFFSET($BN$2,0,0,ROW()-1,60),ROW()-1,FALSE))</f>
        <v>52025.276449999998</v>
      </c>
      <c r="AP194">
        <f ca="1">IF(AND(ISNUMBER($AP$699),$B$511=1),$AP$699,HLOOKUP(INDIRECT(ADDRESS(2,COLUMN())),OFFSET($BN$2,0,0,ROW()-1,60),ROW()-1,FALSE))</f>
        <v>50477.12917</v>
      </c>
      <c r="AQ194">
        <f ca="1">IF(AND(ISNUMBER($AQ$699),$B$511=1),$AQ$699,HLOOKUP(INDIRECT(ADDRESS(2,COLUMN())),OFFSET($BN$2,0,0,ROW()-1,60),ROW()-1,FALSE))</f>
        <v>47009.24955</v>
      </c>
      <c r="AR194" t="str">
        <f ca="1">IF(AND(ISNUMBER($AR$699),$B$511=1),$AR$699,HLOOKUP(INDIRECT(ADDRESS(2,COLUMN())),OFFSET($BN$2,0,0,ROW()-1,60),ROW()-1,FALSE))</f>
        <v/>
      </c>
      <c r="AS194" t="str">
        <f ca="1">IF(AND(ISNUMBER($AS$699),$B$511=1),$AS$699,HLOOKUP(INDIRECT(ADDRESS(2,COLUMN())),OFFSET($BN$2,0,0,ROW()-1,60),ROW()-1,FALSE))</f>
        <v/>
      </c>
      <c r="AT194" t="str">
        <f ca="1">IF(AND(ISNUMBER($AT$699),$B$511=1),$AT$699,HLOOKUP(INDIRECT(ADDRESS(2,COLUMN())),OFFSET($BN$2,0,0,ROW()-1,60),ROW()-1,FALSE))</f>
        <v/>
      </c>
      <c r="AU194" t="str">
        <f ca="1">IF(AND(ISNUMBER($AU$699),$B$511=1),$AU$699,HLOOKUP(INDIRECT(ADDRESS(2,COLUMN())),OFFSET($BN$2,0,0,ROW()-1,60),ROW()-1,FALSE))</f>
        <v/>
      </c>
      <c r="AV194" t="str">
        <f ca="1">IF(AND(ISNUMBER($AV$699),$B$511=1),$AV$699,HLOOKUP(INDIRECT(ADDRESS(2,COLUMN())),OFFSET($BN$2,0,0,ROW()-1,60),ROW()-1,FALSE))</f>
        <v/>
      </c>
      <c r="AW194" t="str">
        <f ca="1">IF(AND(ISNUMBER($AW$699),$B$511=1),$AW$699,HLOOKUP(INDIRECT(ADDRESS(2,COLUMN())),OFFSET($BN$2,0,0,ROW()-1,60),ROW()-1,FALSE))</f>
        <v/>
      </c>
      <c r="AX194" t="str">
        <f ca="1">IF(AND(ISNUMBER($AX$699),$B$511=1),$AX$699,HLOOKUP(INDIRECT(ADDRESS(2,COLUMN())),OFFSET($BN$2,0,0,ROW()-1,60),ROW()-1,FALSE))</f>
        <v/>
      </c>
      <c r="AY194" t="str">
        <f ca="1">IF(AND(ISNUMBER($AY$699),$B$511=1),$AY$699,HLOOKUP(INDIRECT(ADDRESS(2,COLUMN())),OFFSET($BN$2,0,0,ROW()-1,60),ROW()-1,FALSE))</f>
        <v/>
      </c>
      <c r="AZ194" t="str">
        <f ca="1">IF(AND(ISNUMBER($AZ$699),$B$511=1),$AZ$699,HLOOKUP(INDIRECT(ADDRESS(2,COLUMN())),OFFSET($BN$2,0,0,ROW()-1,60),ROW()-1,FALSE))</f>
        <v/>
      </c>
      <c r="BA194" t="str">
        <f ca="1">IF(AND(ISNUMBER($BA$699),$B$511=1),$BA$699,HLOOKUP(INDIRECT(ADDRESS(2,COLUMN())),OFFSET($BN$2,0,0,ROW()-1,60),ROW()-1,FALSE))</f>
        <v/>
      </c>
      <c r="BB194" t="str">
        <f ca="1">IF(AND(ISNUMBER($BB$699),$B$511=1),$BB$699,HLOOKUP(INDIRECT(ADDRESS(2,COLUMN())),OFFSET($BN$2,0,0,ROW()-1,60),ROW()-1,FALSE))</f>
        <v/>
      </c>
      <c r="BC194" t="str">
        <f ca="1">IF(AND(ISNUMBER($BC$699),$B$511=1),$BC$699,HLOOKUP(INDIRECT(ADDRESS(2,COLUMN())),OFFSET($BN$2,0,0,ROW()-1,60),ROW()-1,FALSE))</f>
        <v/>
      </c>
      <c r="BD194" t="str">
        <f ca="1">IF(AND(ISNUMBER($BD$699),$B$511=1),$BD$699,HLOOKUP(INDIRECT(ADDRESS(2,COLUMN())),OFFSET($BN$2,0,0,ROW()-1,60),ROW()-1,FALSE))</f>
        <v/>
      </c>
      <c r="BE194" t="str">
        <f ca="1">IF(AND(ISNUMBER($BE$699),$B$511=1),$BE$699,HLOOKUP(INDIRECT(ADDRESS(2,COLUMN())),OFFSET($BN$2,0,0,ROW()-1,60),ROW()-1,FALSE))</f>
        <v/>
      </c>
      <c r="BF194" t="str">
        <f ca="1">IF(AND(ISNUMBER($BF$699),$B$511=1),$BF$699,HLOOKUP(INDIRECT(ADDRESS(2,COLUMN())),OFFSET($BN$2,0,0,ROW()-1,60),ROW()-1,FALSE))</f>
        <v/>
      </c>
      <c r="BG194" t="str">
        <f ca="1">IF(AND(ISNUMBER($BG$699),$B$511=1),$BG$699,HLOOKUP(INDIRECT(ADDRESS(2,COLUMN())),OFFSET($BN$2,0,0,ROW()-1,60),ROW()-1,FALSE))</f>
        <v/>
      </c>
      <c r="BH194" t="str">
        <f ca="1">IF(AND(ISNUMBER($BH$699),$B$511=1),$BH$699,HLOOKUP(INDIRECT(ADDRESS(2,COLUMN())),OFFSET($BN$2,0,0,ROW()-1,60),ROW()-1,FALSE))</f>
        <v/>
      </c>
      <c r="BI194" t="str">
        <f ca="1">IF(AND(ISNUMBER($BI$699),$B$511=1),$BI$699,HLOOKUP(INDIRECT(ADDRESS(2,COLUMN())),OFFSET($BN$2,0,0,ROW()-1,60),ROW()-1,FALSE))</f>
        <v/>
      </c>
      <c r="BJ194" t="str">
        <f ca="1">IF(AND(ISNUMBER($BJ$699),$B$511=1),$BJ$699,HLOOKUP(INDIRECT(ADDRESS(2,COLUMN())),OFFSET($BN$2,0,0,ROW()-1,60),ROW()-1,FALSE))</f>
        <v/>
      </c>
      <c r="BK194" t="str">
        <f ca="1">IF(AND(ISNUMBER($BK$699),$B$511=1),$BK$699,HLOOKUP(INDIRECT(ADDRESS(2,COLUMN())),OFFSET($BN$2,0,0,ROW()-1,60),ROW()-1,FALSE))</f>
        <v/>
      </c>
      <c r="BL194" t="str">
        <f ca="1">IF(AND(ISNUMBER($BL$699),$B$511=1),$BL$699,HLOOKUP(INDIRECT(ADDRESS(2,COLUMN())),OFFSET($BN$2,0,0,ROW()-1,60),ROW()-1,FALSE))</f>
        <v/>
      </c>
      <c r="BM194" t="str">
        <f ca="1">IF(AND(ISNUMBER($BM$699),$B$511=1),$BM$699,HLOOKUP(INDIRECT(ADDRESS(2,COLUMN())),OFFSET($BN$2,0,0,ROW()-1,60),ROW()-1,FALSE))</f>
        <v/>
      </c>
      <c r="BN194" t="str">
        <f>""</f>
        <v/>
      </c>
      <c r="BO194">
        <f>67818.97634</f>
        <v>67818.976339999994</v>
      </c>
      <c r="BP194">
        <f>69588.40785</f>
        <v>69588.407850000003</v>
      </c>
      <c r="BQ194">
        <f>70640.5673</f>
        <v>70640.567299999995</v>
      </c>
      <c r="BR194">
        <f>68830.50301</f>
        <v>68830.50301</v>
      </c>
      <c r="BS194">
        <f>66393.72012</f>
        <v>66393.720119999998</v>
      </c>
      <c r="BT194">
        <f>63267.45939</f>
        <v>63267.459390000004</v>
      </c>
      <c r="BU194">
        <f>60609.52096</f>
        <v>60609.520960000002</v>
      </c>
      <c r="BV194">
        <f>59125.83964</f>
        <v>59125.839639999998</v>
      </c>
      <c r="BW194">
        <f>56717.22195</f>
        <v>56717.221949999999</v>
      </c>
      <c r="BX194">
        <f>55024.63878</f>
        <v>55024.638780000001</v>
      </c>
      <c r="BY194">
        <f>53628.85797</f>
        <v>53628.857969999997</v>
      </c>
      <c r="BZ194">
        <f>51272.69092</f>
        <v>51272.690920000001</v>
      </c>
      <c r="CA194">
        <f>50312.99866</f>
        <v>50312.998659999997</v>
      </c>
      <c r="CB194">
        <f>50822.11781</f>
        <v>50822.117810000003</v>
      </c>
      <c r="CC194">
        <f>52239.07273</f>
        <v>52239.07273</v>
      </c>
      <c r="CD194">
        <f>53520.31708</f>
        <v>53520.317080000001</v>
      </c>
      <c r="CE194">
        <f>54540.98471</f>
        <v>54540.984709999997</v>
      </c>
      <c r="CF194">
        <f>55424.37351</f>
        <v>55424.373509999998</v>
      </c>
      <c r="CG194">
        <f>54696.0568</f>
        <v>54696.056799999998</v>
      </c>
      <c r="CH194">
        <f>54863.10639</f>
        <v>54863.106390000001</v>
      </c>
      <c r="CI194">
        <f>54370.44373</f>
        <v>54370.443729999999</v>
      </c>
      <c r="CJ194">
        <f>52914.03784</f>
        <v>52914.037839999997</v>
      </c>
      <c r="CK194">
        <f>52750.26526</f>
        <v>52750.26526</v>
      </c>
      <c r="CL194">
        <f>51516.16385</f>
        <v>51516.163849999997</v>
      </c>
      <c r="CM194">
        <f>53067.89996</f>
        <v>53067.899960000002</v>
      </c>
      <c r="CN194">
        <f>53444.13314</f>
        <v>53444.133139999998</v>
      </c>
      <c r="CO194">
        <f>56858.06268</f>
        <v>56858.062680000003</v>
      </c>
      <c r="CP194">
        <f>57505.84057</f>
        <v>57505.84057</v>
      </c>
      <c r="CQ194">
        <f>59355.31819</f>
        <v>59355.318189999998</v>
      </c>
      <c r="CR194">
        <f>57796.44274</f>
        <v>57796.442739999999</v>
      </c>
      <c r="CS194">
        <f>55127.68047</f>
        <v>55127.680469999999</v>
      </c>
      <c r="CT194">
        <f>53346.13897</f>
        <v>53346.13897</v>
      </c>
      <c r="CU194">
        <f>51699.36236</f>
        <v>51699.362359999999</v>
      </c>
      <c r="CV194">
        <f>51547.89681</f>
        <v>51547.896809999998</v>
      </c>
      <c r="CW194">
        <f>52025.27645</f>
        <v>52025.276449999998</v>
      </c>
      <c r="CX194">
        <f>50477.12917</f>
        <v>50477.12917</v>
      </c>
      <c r="CY194">
        <f>47009.24955</f>
        <v>47009.24955</v>
      </c>
      <c r="CZ194" t="str">
        <f>""</f>
        <v/>
      </c>
      <c r="DA194" t="str">
        <f>""</f>
        <v/>
      </c>
      <c r="DB194" t="str">
        <f>""</f>
        <v/>
      </c>
      <c r="DC194" t="str">
        <f>""</f>
        <v/>
      </c>
      <c r="DD194" t="str">
        <f>""</f>
        <v/>
      </c>
      <c r="DE194" t="str">
        <f>""</f>
        <v/>
      </c>
      <c r="DF194" t="str">
        <f>""</f>
        <v/>
      </c>
      <c r="DG194" t="str">
        <f>""</f>
        <v/>
      </c>
      <c r="DH194" t="str">
        <f>""</f>
        <v/>
      </c>
      <c r="DI194" t="str">
        <f>""</f>
        <v/>
      </c>
      <c r="DJ194" t="str">
        <f>""</f>
        <v/>
      </c>
      <c r="DK194" t="str">
        <f>""</f>
        <v/>
      </c>
      <c r="DL194" t="str">
        <f>""</f>
        <v/>
      </c>
      <c r="DM194" t="str">
        <f>""</f>
        <v/>
      </c>
      <c r="DN194" t="str">
        <f>""</f>
        <v/>
      </c>
      <c r="DO194" t="str">
        <f>""</f>
        <v/>
      </c>
      <c r="DP194" t="str">
        <f>""</f>
        <v/>
      </c>
      <c r="DQ194" t="str">
        <f>""</f>
        <v/>
      </c>
      <c r="DR194" t="str">
        <f>""</f>
        <v/>
      </c>
      <c r="DS194" t="str">
        <f>""</f>
        <v/>
      </c>
      <c r="DT194" t="str">
        <f>""</f>
        <v/>
      </c>
      <c r="DU194" t="str">
        <f>""</f>
        <v/>
      </c>
    </row>
    <row r="195" spans="1:125" x14ac:dyDescent="0.25">
      <c r="A195" t="str">
        <f>"    SAIC Motor Corp Ltd"</f>
        <v xml:space="preserve">    SAIC Motor Corp Ltd</v>
      </c>
      <c r="B195" t="str">
        <f>"600104 CH Equity"</f>
        <v>600104 CH Equity</v>
      </c>
      <c r="C195" t="str">
        <f t="shared" si="12"/>
        <v>RR800</v>
      </c>
      <c r="D195" t="str">
        <f t="shared" si="13"/>
        <v>TRAIL_12M_NET_SALES</v>
      </c>
      <c r="E195" t="str">
        <f t="shared" si="14"/>
        <v>Dynamic</v>
      </c>
      <c r="F195" t="str">
        <f ca="1">IF(AND(ISNUMBER($F$700),$B$511=1),$F$700,HLOOKUP(INDIRECT(ADDRESS(2,COLUMN())),OFFSET($BN$2,0,0,ROW()-1,60),ROW()-1,FALSE))</f>
        <v/>
      </c>
      <c r="G195" t="str">
        <f ca="1">IF(AND(ISNUMBER($G$700),$B$511=1),$G$700,HLOOKUP(INDIRECT(ADDRESS(2,COLUMN())),OFFSET($BN$2,0,0,ROW()-1,60),ROW()-1,FALSE))</f>
        <v/>
      </c>
      <c r="H195">
        <f ca="1">IF(AND(ISNUMBER($H$700),$B$511=1),$H$700,HLOOKUP(INDIRECT(ADDRESS(2,COLUMN())),OFFSET($BN$2,0,0,ROW()-1,60),ROW()-1,FALSE))</f>
        <v>142144.8333</v>
      </c>
      <c r="I195">
        <f ca="1">IF(AND(ISNUMBER($I$700),$B$511=1),$I$700,HLOOKUP(INDIRECT(ADDRESS(2,COLUMN())),OFFSET($BN$2,0,0,ROW()-1,60),ROW()-1,FALSE))</f>
        <v>143157.0637</v>
      </c>
      <c r="J195">
        <f ca="1">IF(AND(ISNUMBER($J$700),$B$511=1),$J$700,HLOOKUP(INDIRECT(ADDRESS(2,COLUMN())),OFFSET($BN$2,0,0,ROW()-1,60),ROW()-1,FALSE))</f>
        <v>136794.44080000001</v>
      </c>
      <c r="K195">
        <f ca="1">IF(AND(ISNUMBER($K$700),$B$511=1),$K$700,HLOOKUP(INDIRECT(ADDRESS(2,COLUMN())),OFFSET($BN$2,0,0,ROW()-1,60),ROW()-1,FALSE))</f>
        <v>127814.3749</v>
      </c>
      <c r="L195">
        <f ca="1">IF(AND(ISNUMBER($L$700),$B$511=1),$L$700,HLOOKUP(INDIRECT(ADDRESS(2,COLUMN())),OFFSET($BN$2,0,0,ROW()-1,60),ROW()-1,FALSE))</f>
        <v>121109.2601</v>
      </c>
      <c r="M195">
        <f ca="1">IF(AND(ISNUMBER($M$700),$B$511=1),$M$700,HLOOKUP(INDIRECT(ADDRESS(2,COLUMN())),OFFSET($BN$2,0,0,ROW()-1,60),ROW()-1,FALSE))</f>
        <v>116640.871</v>
      </c>
      <c r="N195">
        <f ca="1">IF(AND(ISNUMBER($N$700),$B$511=1),$N$700,HLOOKUP(INDIRECT(ADDRESS(2,COLUMN())),OFFSET($BN$2,0,0,ROW()-1,60),ROW()-1,FALSE))</f>
        <v>112984.8263</v>
      </c>
      <c r="O195">
        <f ca="1">IF(AND(ISNUMBER($O$700),$B$511=1),$O$700,HLOOKUP(INDIRECT(ADDRESS(2,COLUMN())),OFFSET($BN$2,0,0,ROW()-1,60),ROW()-1,FALSE))</f>
        <v>112774.25930000001</v>
      </c>
      <c r="P195">
        <f ca="1">IF(AND(ISNUMBER($P$700),$B$511=1),$P$700,HLOOKUP(INDIRECT(ADDRESS(2,COLUMN())),OFFSET($BN$2,0,0,ROW()-1,60),ROW()-1,FALSE))</f>
        <v>110206.23179999999</v>
      </c>
      <c r="Q195">
        <f ca="1">IF(AND(ISNUMBER($Q$700),$B$511=1),$Q$700,HLOOKUP(INDIRECT(ADDRESS(2,COLUMN())),OFFSET($BN$2,0,0,ROW()-1,60),ROW()-1,FALSE))</f>
        <v>107370.3401</v>
      </c>
      <c r="R195">
        <f ca="1">IF(AND(ISNUMBER($R$700),$B$511=1),$R$700,HLOOKUP(INDIRECT(ADDRESS(2,COLUMN())),OFFSET($BN$2,0,0,ROW()-1,60),ROW()-1,FALSE))</f>
        <v>106924.66130000001</v>
      </c>
      <c r="S195">
        <f ca="1">IF(AND(ISNUMBER($S$700),$B$511=1),$S$700,HLOOKUP(INDIRECT(ADDRESS(2,COLUMN())),OFFSET($BN$2,0,0,ROW()-1,60),ROW()-1,FALSE))</f>
        <v>105807.3247</v>
      </c>
      <c r="T195">
        <f ca="1">IF(AND(ISNUMBER($T$700),$B$511=1),$T$700,HLOOKUP(INDIRECT(ADDRESS(2,COLUMN())),OFFSET($BN$2,0,0,ROW()-1,60),ROW()-1,FALSE))</f>
        <v>101256.98360000001</v>
      </c>
      <c r="U195">
        <f ca="1">IF(AND(ISNUMBER($U$700),$B$511=1),$U$700,HLOOKUP(INDIRECT(ADDRESS(2,COLUMN())),OFFSET($BN$2,0,0,ROW()-1,60),ROW()-1,FALSE))</f>
        <v>101718.9895</v>
      </c>
      <c r="V195">
        <f ca="1">IF(AND(ISNUMBER($V$700),$B$511=1),$V$700,HLOOKUP(INDIRECT(ADDRESS(2,COLUMN())),OFFSET($BN$2,0,0,ROW()-1,60),ROW()-1,FALSE))</f>
        <v>101277.0996</v>
      </c>
      <c r="W195">
        <f ca="1">IF(AND(ISNUMBER($W$700),$B$511=1),$W$700,HLOOKUP(INDIRECT(ADDRESS(2,COLUMN())),OFFSET($BN$2,0,0,ROW()-1,60),ROW()-1,FALSE))</f>
        <v>101645.652</v>
      </c>
      <c r="X195">
        <f ca="1">IF(AND(ISNUMBER($X$700),$B$511=1),$X$700,HLOOKUP(INDIRECT(ADDRESS(2,COLUMN())),OFFSET($BN$2,0,0,ROW()-1,60),ROW()-1,FALSE))</f>
        <v>99538.39933</v>
      </c>
      <c r="Y195">
        <f ca="1">IF(AND(ISNUMBER($Y$700),$B$511=1),$Y$700,HLOOKUP(INDIRECT(ADDRESS(2,COLUMN())),OFFSET($BN$2,0,0,ROW()-1,60),ROW()-1,FALSE))</f>
        <v>97984.581380000003</v>
      </c>
      <c r="Z195">
        <f ca="1">IF(AND(ISNUMBER($Z$700),$B$511=1),$Z$700,HLOOKUP(INDIRECT(ADDRESS(2,COLUMN())),OFFSET($BN$2,0,0,ROW()-1,60),ROW()-1,FALSE))</f>
        <v>95696.059120000005</v>
      </c>
      <c r="AA195">
        <f ca="1">IF(AND(ISNUMBER($AA$700),$B$511=1),$AA$700,HLOOKUP(INDIRECT(ADDRESS(2,COLUMN())),OFFSET($BN$2,0,0,ROW()-1,60),ROW()-1,FALSE))</f>
        <v>91475.827139999994</v>
      </c>
      <c r="AB195">
        <f ca="1">IF(AND(ISNUMBER($AB$700),$B$511=1),$AB$700,HLOOKUP(INDIRECT(ADDRESS(2,COLUMN())),OFFSET($BN$2,0,0,ROW()-1,60),ROW()-1,FALSE))</f>
        <v>88264.141990000004</v>
      </c>
      <c r="AC195">
        <f ca="1">IF(AND(ISNUMBER($AC$700),$B$511=1),$AC$700,HLOOKUP(INDIRECT(ADDRESS(2,COLUMN())),OFFSET($BN$2,0,0,ROW()-1,60),ROW()-1,FALSE))</f>
        <v>83578.045769999997</v>
      </c>
      <c r="AD195">
        <f ca="1">IF(AND(ISNUMBER($AD$700),$B$511=1),$AD$700,HLOOKUP(INDIRECT(ADDRESS(2,COLUMN())),OFFSET($BN$2,0,0,ROW()-1,60),ROW()-1,FALSE))</f>
        <v>78900.951369999995</v>
      </c>
      <c r="AE195">
        <f ca="1">IF(AND(ISNUMBER($AE$700),$B$511=1),$AE$700,HLOOKUP(INDIRECT(ADDRESS(2,COLUMN())),OFFSET($BN$2,0,0,ROW()-1,60),ROW()-1,FALSE))</f>
        <v>74965.755739999993</v>
      </c>
      <c r="AF195">
        <f ca="1">IF(AND(ISNUMBER($AF$700),$B$511=1),$AF$700,HLOOKUP(INDIRECT(ADDRESS(2,COLUMN())),OFFSET($BN$2,0,0,ROW()-1,60),ROW()-1,FALSE))</f>
        <v>78383.144440000004</v>
      </c>
      <c r="AG195">
        <f ca="1">IF(AND(ISNUMBER($AG$700),$B$511=1),$AG$700,HLOOKUP(INDIRECT(ADDRESS(2,COLUMN())),OFFSET($BN$2,0,0,ROW()-1,60),ROW()-1,FALSE))</f>
        <v>77179.045509999996</v>
      </c>
      <c r="AH195">
        <f ca="1">IF(AND(ISNUMBER($AH$700),$B$511=1),$AH$700,HLOOKUP(INDIRECT(ADDRESS(2,COLUMN())),OFFSET($BN$2,0,0,ROW()-1,60),ROW()-1,FALSE))</f>
        <v>75595.784610000002</v>
      </c>
      <c r="AI195">
        <f ca="1">IF(AND(ISNUMBER($AI$700),$B$511=1),$AI$700,HLOOKUP(INDIRECT(ADDRESS(2,COLUMN())),OFFSET($BN$2,0,0,ROW()-1,60),ROW()-1,FALSE))</f>
        <v>72458.53443</v>
      </c>
      <c r="AJ195">
        <f ca="1">IF(AND(ISNUMBER($AJ$700),$B$511=1),$AJ$700,HLOOKUP(INDIRECT(ADDRESS(2,COLUMN())),OFFSET($BN$2,0,0,ROW()-1,60),ROW()-1,FALSE))</f>
        <v>69074.252429999993</v>
      </c>
      <c r="AK195">
        <f ca="1">IF(AND(ISNUMBER($AK$700),$B$511=1),$AK$700,HLOOKUP(INDIRECT(ADDRESS(2,COLUMN())),OFFSET($BN$2,0,0,ROW()-1,60),ROW()-1,FALSE))</f>
        <v>63643.968679999998</v>
      </c>
      <c r="AL195">
        <f ca="1">IF(AND(ISNUMBER($AL$700),$B$511=1),$AL$700,HLOOKUP(INDIRECT(ADDRESS(2,COLUMN())),OFFSET($BN$2,0,0,ROW()-1,60),ROW()-1,FALSE))</f>
        <v>59944.791859999998</v>
      </c>
      <c r="AM195">
        <f ca="1">IF(AND(ISNUMBER($AM$700),$B$511=1),$AM$700,HLOOKUP(INDIRECT(ADDRESS(2,COLUMN())),OFFSET($BN$2,0,0,ROW()-1,60),ROW()-1,FALSE))</f>
        <v>52794.633930000004</v>
      </c>
      <c r="AN195">
        <f ca="1">IF(AND(ISNUMBER($AN$700),$B$511=1),$AN$700,HLOOKUP(INDIRECT(ADDRESS(2,COLUMN())),OFFSET($BN$2,0,0,ROW()-1,60),ROW()-1,FALSE))</f>
        <v>38662.931250000001</v>
      </c>
      <c r="AO195">
        <f ca="1">IF(AND(ISNUMBER($AO$700),$B$511=1),$AO$700,HLOOKUP(INDIRECT(ADDRESS(2,COLUMN())),OFFSET($BN$2,0,0,ROW()-1,60),ROW()-1,FALSE))</f>
        <v>32436.387920000001</v>
      </c>
      <c r="AP195">
        <f ca="1">IF(AND(ISNUMBER($AP$700),$B$511=1),$AP$700,HLOOKUP(INDIRECT(ADDRESS(2,COLUMN())),OFFSET($BN$2,0,0,ROW()-1,60),ROW()-1,FALSE))</f>
        <v>25314.518199999999</v>
      </c>
      <c r="AQ195">
        <f ca="1">IF(AND(ISNUMBER($AQ$700),$B$511=1),$AQ$700,HLOOKUP(INDIRECT(ADDRESS(2,COLUMN())),OFFSET($BN$2,0,0,ROW()-1,60),ROW()-1,FALSE))</f>
        <v>20271.014360000001</v>
      </c>
      <c r="AR195">
        <f ca="1">IF(AND(ISNUMBER($AR$700),$B$511=1),$AR$700,HLOOKUP(INDIRECT(ADDRESS(2,COLUMN())),OFFSET($BN$2,0,0,ROW()-1,60),ROW()-1,FALSE))</f>
        <v>17843.462049999998</v>
      </c>
      <c r="AS195">
        <f ca="1">IF(AND(ISNUMBER($AS$700),$B$511=1),$AS$700,HLOOKUP(INDIRECT(ADDRESS(2,COLUMN())),OFFSET($BN$2,0,0,ROW()-1,60),ROW()-1,FALSE))</f>
        <v>15862.89244</v>
      </c>
      <c r="AT195">
        <f ca="1">IF(AND(ISNUMBER($AT$700),$B$511=1),$AT$700,HLOOKUP(INDIRECT(ADDRESS(2,COLUMN())),OFFSET($BN$2,0,0,ROW()-1,60),ROW()-1,FALSE))</f>
        <v>15006.05495</v>
      </c>
      <c r="AU195">
        <f ca="1">IF(AND(ISNUMBER($AU$700),$B$511=1),$AU$700,HLOOKUP(INDIRECT(ADDRESS(2,COLUMN())),OFFSET($BN$2,0,0,ROW()-1,60),ROW()-1,FALSE))</f>
        <v>15079.338239999999</v>
      </c>
      <c r="AV195">
        <f ca="1">IF(AND(ISNUMBER($AV$700),$B$511=1),$AV$700,HLOOKUP(INDIRECT(ADDRESS(2,COLUMN())),OFFSET($BN$2,0,0,ROW()-1,60),ROW()-1,FALSE))</f>
        <v>15323.24466</v>
      </c>
      <c r="AW195">
        <f ca="1">IF(AND(ISNUMBER($AW$700),$B$511=1),$AW$700,HLOOKUP(INDIRECT(ADDRESS(2,COLUMN())),OFFSET($BN$2,0,0,ROW()-1,60),ROW()-1,FALSE))</f>
        <v>15159.17607</v>
      </c>
      <c r="AX195">
        <f ca="1">IF(AND(ISNUMBER($AX$700),$B$511=1),$AX$700,HLOOKUP(INDIRECT(ADDRESS(2,COLUMN())),OFFSET($BN$2,0,0,ROW()-1,60),ROW()-1,FALSE))</f>
        <v>14353.396140000001</v>
      </c>
      <c r="AY195">
        <f ca="1">IF(AND(ISNUMBER($AY$700),$B$511=1),$AY$700,HLOOKUP(INDIRECT(ADDRESS(2,COLUMN())),OFFSET($BN$2,0,0,ROW()-1,60),ROW()-1,FALSE))</f>
        <v>13634.27527</v>
      </c>
      <c r="AZ195">
        <f ca="1">IF(AND(ISNUMBER($AZ$700),$B$511=1),$AZ$700,HLOOKUP(INDIRECT(ADDRESS(2,COLUMN())),OFFSET($BN$2,0,0,ROW()-1,60),ROW()-1,FALSE))</f>
        <v>11991.22436</v>
      </c>
      <c r="BA195">
        <f ca="1">IF(AND(ISNUMBER($BA$700),$B$511=1),$BA$700,HLOOKUP(INDIRECT(ADDRESS(2,COLUMN())),OFFSET($BN$2,0,0,ROW()-1,60),ROW()-1,FALSE))</f>
        <v>8693.9914740000004</v>
      </c>
      <c r="BB195">
        <f ca="1">IF(AND(ISNUMBER($BB$700),$B$511=1),$BB$700,HLOOKUP(INDIRECT(ADDRESS(2,COLUMN())),OFFSET($BN$2,0,0,ROW()-1,60),ROW()-1,FALSE))</f>
        <v>5534.3493289999997</v>
      </c>
      <c r="BC195">
        <f ca="1">IF(AND(ISNUMBER($BC$700),$B$511=1),$BC$700,HLOOKUP(INDIRECT(ADDRESS(2,COLUMN())),OFFSET($BN$2,0,0,ROW()-1,60),ROW()-1,FALSE))</f>
        <v>2444.1002640000002</v>
      </c>
      <c r="BD195">
        <f ca="1">IF(AND(ISNUMBER($BD$700),$B$511=1),$BD$700,HLOOKUP(INDIRECT(ADDRESS(2,COLUMN())),OFFSET($BN$2,0,0,ROW()-1,60),ROW()-1,FALSE))</f>
        <v>614.52781449999998</v>
      </c>
      <c r="BE195">
        <f ca="1">IF(AND(ISNUMBER($BE$700),$B$511=1),$BE$700,HLOOKUP(INDIRECT(ADDRESS(2,COLUMN())),OFFSET($BN$2,0,0,ROW()-1,60),ROW()-1,FALSE))</f>
        <v>706.41110140000001</v>
      </c>
      <c r="BF195">
        <f ca="1">IF(AND(ISNUMBER($BF$700),$B$511=1),$BF$700,HLOOKUP(INDIRECT(ADDRESS(2,COLUMN())),OFFSET($BN$2,0,0,ROW()-1,60),ROW()-1,FALSE))</f>
        <v>731.84714570000006</v>
      </c>
      <c r="BG195">
        <f ca="1">IF(AND(ISNUMBER($BG$700),$B$511=1),$BG$700,HLOOKUP(INDIRECT(ADDRESS(2,COLUMN())),OFFSET($BN$2,0,0,ROW()-1,60),ROW()-1,FALSE))</f>
        <v>777.69256380000002</v>
      </c>
      <c r="BH195">
        <f ca="1">IF(AND(ISNUMBER($BH$700),$B$511=1),$BH$700,HLOOKUP(INDIRECT(ADDRESS(2,COLUMN())),OFFSET($BN$2,0,0,ROW()-1,60),ROW()-1,FALSE))</f>
        <v>796.26067709999995</v>
      </c>
      <c r="BI195">
        <f ca="1">IF(AND(ISNUMBER($BI$700),$B$511=1),$BI$700,HLOOKUP(INDIRECT(ADDRESS(2,COLUMN())),OFFSET($BN$2,0,0,ROW()-1,60),ROW()-1,FALSE))</f>
        <v>746.49026200000003</v>
      </c>
      <c r="BJ195">
        <f ca="1">IF(AND(ISNUMBER($BJ$700),$B$511=1),$BJ$700,HLOOKUP(INDIRECT(ADDRESS(2,COLUMN())),OFFSET($BN$2,0,0,ROW()-1,60),ROW()-1,FALSE))</f>
        <v>836.52950840000005</v>
      </c>
      <c r="BK195">
        <f ca="1">IF(AND(ISNUMBER($BK$700),$B$511=1),$BK$700,HLOOKUP(INDIRECT(ADDRESS(2,COLUMN())),OFFSET($BN$2,0,0,ROW()-1,60),ROW()-1,FALSE))</f>
        <v>902.16474749999998</v>
      </c>
      <c r="BL195">
        <f ca="1">IF(AND(ISNUMBER($BL$700),$B$511=1),$BL$700,HLOOKUP(INDIRECT(ADDRESS(2,COLUMN())),OFFSET($BN$2,0,0,ROW()-1,60),ROW()-1,FALSE))</f>
        <v>873.89142919999995</v>
      </c>
      <c r="BM195">
        <f ca="1">IF(AND(ISNUMBER($BM$700),$B$511=1),$BM$700,HLOOKUP(INDIRECT(ADDRESS(2,COLUMN())),OFFSET($BN$2,0,0,ROW()-1,60),ROW()-1,FALSE))</f>
        <v>906.90602939999997</v>
      </c>
      <c r="BN195" t="str">
        <f>""</f>
        <v/>
      </c>
      <c r="BO195" t="str">
        <f>""</f>
        <v/>
      </c>
      <c r="BP195">
        <f>142144.8333</f>
        <v>142144.8333</v>
      </c>
      <c r="BQ195">
        <f>143157.0637</f>
        <v>143157.0637</v>
      </c>
      <c r="BR195">
        <f>136794.4408</f>
        <v>136794.44080000001</v>
      </c>
      <c r="BS195">
        <f>127814.3749</f>
        <v>127814.3749</v>
      </c>
      <c r="BT195">
        <f>121109.2601</f>
        <v>121109.2601</v>
      </c>
      <c r="BU195">
        <f>116640.871</f>
        <v>116640.871</v>
      </c>
      <c r="BV195">
        <f>112984.8263</f>
        <v>112984.8263</v>
      </c>
      <c r="BW195">
        <f>112774.2593</f>
        <v>112774.25930000001</v>
      </c>
      <c r="BX195">
        <f>110206.2318</f>
        <v>110206.23179999999</v>
      </c>
      <c r="BY195">
        <f>107370.3401</f>
        <v>107370.3401</v>
      </c>
      <c r="BZ195">
        <f>106924.6613</f>
        <v>106924.66130000001</v>
      </c>
      <c r="CA195">
        <f>105807.3247</f>
        <v>105807.3247</v>
      </c>
      <c r="CB195">
        <f>101256.9836</f>
        <v>101256.98360000001</v>
      </c>
      <c r="CC195">
        <f>101718.9895</f>
        <v>101718.9895</v>
      </c>
      <c r="CD195">
        <f>101277.0996</f>
        <v>101277.0996</v>
      </c>
      <c r="CE195">
        <f>101645.652</f>
        <v>101645.652</v>
      </c>
      <c r="CF195">
        <f>99538.39933</f>
        <v>99538.39933</v>
      </c>
      <c r="CG195">
        <f>97984.58138</f>
        <v>97984.581380000003</v>
      </c>
      <c r="CH195">
        <f>95696.05912</f>
        <v>95696.059120000005</v>
      </c>
      <c r="CI195">
        <f>91475.82714</f>
        <v>91475.827139999994</v>
      </c>
      <c r="CJ195">
        <f>88264.14199</f>
        <v>88264.141990000004</v>
      </c>
      <c r="CK195">
        <f>83578.04577</f>
        <v>83578.045769999997</v>
      </c>
      <c r="CL195">
        <f>78900.95137</f>
        <v>78900.951369999995</v>
      </c>
      <c r="CM195">
        <f>74965.75574</f>
        <v>74965.755739999993</v>
      </c>
      <c r="CN195">
        <f>78383.14444</f>
        <v>78383.144440000004</v>
      </c>
      <c r="CO195">
        <f>77179.04551</f>
        <v>77179.045509999996</v>
      </c>
      <c r="CP195">
        <f>75595.78461</f>
        <v>75595.784610000002</v>
      </c>
      <c r="CQ195">
        <f>72458.53443</f>
        <v>72458.53443</v>
      </c>
      <c r="CR195">
        <f>69074.25243</f>
        <v>69074.252429999993</v>
      </c>
      <c r="CS195">
        <f>63643.96868</f>
        <v>63643.968679999998</v>
      </c>
      <c r="CT195">
        <f>59944.7918599999</f>
        <v>59944.791859999998</v>
      </c>
      <c r="CU195">
        <f>52794.63393</f>
        <v>52794.633930000004</v>
      </c>
      <c r="CV195">
        <f>38662.93125</f>
        <v>38662.931250000001</v>
      </c>
      <c r="CW195">
        <f>32436.38792</f>
        <v>32436.387920000001</v>
      </c>
      <c r="CX195">
        <f>25314.5182</f>
        <v>25314.518199999999</v>
      </c>
      <c r="CY195">
        <f>20271.01436</f>
        <v>20271.014360000001</v>
      </c>
      <c r="CZ195">
        <f>17843.46205</f>
        <v>17843.462049999998</v>
      </c>
      <c r="DA195">
        <f>15862.89244</f>
        <v>15862.89244</v>
      </c>
      <c r="DB195">
        <f>15006.05495</f>
        <v>15006.05495</v>
      </c>
      <c r="DC195">
        <f>15079.33824</f>
        <v>15079.338239999999</v>
      </c>
      <c r="DD195">
        <f>15323.24466</f>
        <v>15323.24466</v>
      </c>
      <c r="DE195">
        <f>15159.17607</f>
        <v>15159.17607</v>
      </c>
      <c r="DF195">
        <f>14353.39614</f>
        <v>14353.396140000001</v>
      </c>
      <c r="DG195">
        <f>13634.27527</f>
        <v>13634.27527</v>
      </c>
      <c r="DH195">
        <f>11991.22436</f>
        <v>11991.22436</v>
      </c>
      <c r="DI195">
        <f>8693.991474</f>
        <v>8693.9914740000004</v>
      </c>
      <c r="DJ195">
        <f>5534.349329</f>
        <v>5534.3493289999997</v>
      </c>
      <c r="DK195">
        <f>2444.100264</f>
        <v>2444.1002640000002</v>
      </c>
      <c r="DL195">
        <f>614.5278145</f>
        <v>614.52781449999998</v>
      </c>
      <c r="DM195">
        <f>706.4111014</f>
        <v>706.41110140000001</v>
      </c>
      <c r="DN195">
        <f>731.8471457</f>
        <v>731.84714570000006</v>
      </c>
      <c r="DO195">
        <f>777.6925638</f>
        <v>777.69256380000002</v>
      </c>
      <c r="DP195">
        <f>796.2606771</f>
        <v>796.26067709999995</v>
      </c>
      <c r="DQ195">
        <f>746.490262</f>
        <v>746.49026200000003</v>
      </c>
      <c r="DR195">
        <f>836.5295084</f>
        <v>836.52950840000005</v>
      </c>
      <c r="DS195">
        <f>902.1647475</f>
        <v>902.16474749999998</v>
      </c>
      <c r="DT195">
        <f>873.8914292</f>
        <v>873.89142919999995</v>
      </c>
      <c r="DU195">
        <f>906.9060294</f>
        <v>906.90602939999997</v>
      </c>
    </row>
    <row r="196" spans="1:125" x14ac:dyDescent="0.25">
      <c r="A196" t="str">
        <f>"    Sanyang Motor Co Ltd"</f>
        <v xml:space="preserve">    Sanyang Motor Co Ltd</v>
      </c>
      <c r="B196" t="str">
        <f>"2206 TT Equity"</f>
        <v>2206 TT Equity</v>
      </c>
      <c r="C196" t="str">
        <f t="shared" si="12"/>
        <v>RR800</v>
      </c>
      <c r="D196" t="str">
        <f t="shared" si="13"/>
        <v>TRAIL_12M_NET_SALES</v>
      </c>
      <c r="E196" t="str">
        <f t="shared" si="14"/>
        <v>Dynamic</v>
      </c>
      <c r="F196" t="str">
        <f ca="1">IF(AND(ISNUMBER($F$701),$B$511=1),$F$701,HLOOKUP(INDIRECT(ADDRESS(2,COLUMN())),OFFSET($BN$2,0,0,ROW()-1,60),ROW()-1,FALSE))</f>
        <v/>
      </c>
      <c r="G196" t="str">
        <f ca="1">IF(AND(ISNUMBER($G$701),$B$511=1),$G$701,HLOOKUP(INDIRECT(ADDRESS(2,COLUMN())),OFFSET($BN$2,0,0,ROW()-1,60),ROW()-1,FALSE))</f>
        <v/>
      </c>
      <c r="H196">
        <f ca="1">IF(AND(ISNUMBER($H$701),$B$511=1),$H$701,HLOOKUP(INDIRECT(ADDRESS(2,COLUMN())),OFFSET($BN$2,0,0,ROW()-1,60),ROW()-1,FALSE))</f>
        <v>1059.3819840000001</v>
      </c>
      <c r="I196">
        <f ca="1">IF(AND(ISNUMBER($I$701),$B$511=1),$I$701,HLOOKUP(INDIRECT(ADDRESS(2,COLUMN())),OFFSET($BN$2,0,0,ROW()-1,60),ROW()-1,FALSE))</f>
        <v>1064.041285</v>
      </c>
      <c r="J196">
        <f ca="1">IF(AND(ISNUMBER($J$701),$B$511=1),$J$701,HLOOKUP(INDIRECT(ADDRESS(2,COLUMN())),OFFSET($BN$2,0,0,ROW()-1,60),ROW()-1,FALSE))</f>
        <v>1060.6201000000001</v>
      </c>
      <c r="K196">
        <f ca="1">IF(AND(ISNUMBER($K$701),$B$511=1),$K$701,HLOOKUP(INDIRECT(ADDRESS(2,COLUMN())),OFFSET($BN$2,0,0,ROW()-1,60),ROW()-1,FALSE))</f>
        <v>1041.4180839999999</v>
      </c>
      <c r="L196">
        <f ca="1">IF(AND(ISNUMBER($L$701),$B$511=1),$L$701,HLOOKUP(INDIRECT(ADDRESS(2,COLUMN())),OFFSET($BN$2,0,0,ROW()-1,60),ROW()-1,FALSE))</f>
        <v>1150.5144009999999</v>
      </c>
      <c r="M196">
        <f ca="1">IF(AND(ISNUMBER($M$701),$B$511=1),$M$701,HLOOKUP(INDIRECT(ADDRESS(2,COLUMN())),OFFSET($BN$2,0,0,ROW()-1,60),ROW()-1,FALSE))</f>
        <v>1145.744586</v>
      </c>
      <c r="N196">
        <f ca="1">IF(AND(ISNUMBER($N$701),$B$511=1),$N$701,HLOOKUP(INDIRECT(ADDRESS(2,COLUMN())),OFFSET($BN$2,0,0,ROW()-1,60),ROW()-1,FALSE))</f>
        <v>1132.6363309999999</v>
      </c>
      <c r="O196">
        <f ca="1">IF(AND(ISNUMBER($O$701),$B$511=1),$O$701,HLOOKUP(INDIRECT(ADDRESS(2,COLUMN())),OFFSET($BN$2,0,0,ROW()-1,60),ROW()-1,FALSE))</f>
        <v>1100.216639</v>
      </c>
      <c r="P196">
        <f ca="1">IF(AND(ISNUMBER($P$701),$B$511=1),$P$701,HLOOKUP(INDIRECT(ADDRESS(2,COLUMN())),OFFSET($BN$2,0,0,ROW()-1,60),ROW()-1,FALSE))</f>
        <v>940.61123840000005</v>
      </c>
      <c r="Q196">
        <f ca="1">IF(AND(ISNUMBER($Q$701),$B$511=1),$Q$701,HLOOKUP(INDIRECT(ADDRESS(2,COLUMN())),OFFSET($BN$2,0,0,ROW()-1,60),ROW()-1,FALSE))</f>
        <v>966.01986520000003</v>
      </c>
      <c r="R196">
        <f ca="1">IF(AND(ISNUMBER($R$701),$B$511=1),$R$701,HLOOKUP(INDIRECT(ADDRESS(2,COLUMN())),OFFSET($BN$2,0,0,ROW()-1,60),ROW()-1,FALSE))</f>
        <v>975.59026530000006</v>
      </c>
      <c r="S196">
        <f ca="1">IF(AND(ISNUMBER($S$701),$B$511=1),$S$701,HLOOKUP(INDIRECT(ADDRESS(2,COLUMN())),OFFSET($BN$2,0,0,ROW()-1,60),ROW()-1,FALSE))</f>
        <v>1035.852138</v>
      </c>
      <c r="T196">
        <f ca="1">IF(AND(ISNUMBER($T$701),$B$511=1),$T$701,HLOOKUP(INDIRECT(ADDRESS(2,COLUMN())),OFFSET($BN$2,0,0,ROW()-1,60),ROW()-1,FALSE))</f>
        <v>1120.5345749999999</v>
      </c>
      <c r="U196">
        <f ca="1">IF(AND(ISNUMBER($U$701),$B$511=1),$U$701,HLOOKUP(INDIRECT(ADDRESS(2,COLUMN())),OFFSET($BN$2,0,0,ROW()-1,60),ROW()-1,FALSE))</f>
        <v>1147.5400669999999</v>
      </c>
      <c r="V196">
        <f ca="1">IF(AND(ISNUMBER($V$701),$B$511=1),$V$701,HLOOKUP(INDIRECT(ADDRESS(2,COLUMN())),OFFSET($BN$2,0,0,ROW()-1,60),ROW()-1,FALSE))</f>
        <v>1212.9498699999999</v>
      </c>
      <c r="W196">
        <f ca="1">IF(AND(ISNUMBER($W$701),$B$511=1),$W$701,HLOOKUP(INDIRECT(ADDRESS(2,COLUMN())),OFFSET($BN$2,0,0,ROW()-1,60),ROW()-1,FALSE))</f>
        <v>1202.754316</v>
      </c>
      <c r="X196">
        <f ca="1">IF(AND(ISNUMBER($X$701),$B$511=1),$X$701,HLOOKUP(INDIRECT(ADDRESS(2,COLUMN())),OFFSET($BN$2,0,0,ROW()-1,60),ROW()-1,FALSE))</f>
        <v>1192.7708130000001</v>
      </c>
      <c r="Y196">
        <f ca="1">IF(AND(ISNUMBER($Y$701),$B$511=1),$Y$701,HLOOKUP(INDIRECT(ADDRESS(2,COLUMN())),OFFSET($BN$2,0,0,ROW()-1,60),ROW()-1,FALSE))</f>
        <v>1147.938355</v>
      </c>
      <c r="Z196">
        <f ca="1">IF(AND(ISNUMBER($Z$701),$B$511=1),$Z$701,HLOOKUP(INDIRECT(ADDRESS(2,COLUMN())),OFFSET($BN$2,0,0,ROW()-1,60),ROW()-1,FALSE))</f>
        <v>1086.174154</v>
      </c>
      <c r="AA196">
        <f ca="1">IF(AND(ISNUMBER($AA$701),$B$511=1),$AA$701,HLOOKUP(INDIRECT(ADDRESS(2,COLUMN())),OFFSET($BN$2,0,0,ROW()-1,60),ROW()-1,FALSE))</f>
        <v>1098.9701480000001</v>
      </c>
      <c r="AB196">
        <f ca="1">IF(AND(ISNUMBER($AB$701),$B$511=1),$AB$701,HLOOKUP(INDIRECT(ADDRESS(2,COLUMN())),OFFSET($BN$2,0,0,ROW()-1,60),ROW()-1,FALSE))</f>
        <v>1103.6569</v>
      </c>
      <c r="AC196">
        <f ca="1">IF(AND(ISNUMBER($AC$701),$B$511=1),$AC$701,HLOOKUP(INDIRECT(ADDRESS(2,COLUMN())),OFFSET($BN$2,0,0,ROW()-1,60),ROW()-1,FALSE))</f>
        <v>1152.826372</v>
      </c>
      <c r="AD196">
        <f ca="1">IF(AND(ISNUMBER($AD$701),$B$511=1),$AD$701,HLOOKUP(INDIRECT(ADDRESS(2,COLUMN())),OFFSET($BN$2,0,0,ROW()-1,60),ROW()-1,FALSE))</f>
        <v>1164.523488</v>
      </c>
      <c r="AE196">
        <f ca="1">IF(AND(ISNUMBER($AE$701),$B$511=1),$AE$701,HLOOKUP(INDIRECT(ADDRESS(2,COLUMN())),OFFSET($BN$2,0,0,ROW()-1,60),ROW()-1,FALSE))</f>
        <v>1163.619263</v>
      </c>
      <c r="AF196">
        <f ca="1">IF(AND(ISNUMBER($AF$701),$B$511=1),$AF$701,HLOOKUP(INDIRECT(ADDRESS(2,COLUMN())),OFFSET($BN$2,0,0,ROW()-1,60),ROW()-1,FALSE))</f>
        <v>1158.981837</v>
      </c>
      <c r="AG196">
        <f ca="1">IF(AND(ISNUMBER($AG$701),$B$511=1),$AG$701,HLOOKUP(INDIRECT(ADDRESS(2,COLUMN())),OFFSET($BN$2,0,0,ROW()-1,60),ROW()-1,FALSE))</f>
        <v>1160.732908</v>
      </c>
      <c r="AH196">
        <f ca="1">IF(AND(ISNUMBER($AH$701),$B$511=1),$AH$701,HLOOKUP(INDIRECT(ADDRESS(2,COLUMN())),OFFSET($BN$2,0,0,ROW()-1,60),ROW()-1,FALSE))</f>
        <v>1214.514698</v>
      </c>
      <c r="AI196">
        <f ca="1">IF(AND(ISNUMBER($AI$701),$B$511=1),$AI$701,HLOOKUP(INDIRECT(ADDRESS(2,COLUMN())),OFFSET($BN$2,0,0,ROW()-1,60),ROW()-1,FALSE))</f>
        <v>1252.993172</v>
      </c>
      <c r="AJ196">
        <f ca="1">IF(AND(ISNUMBER($AJ$701),$B$511=1),$AJ$701,HLOOKUP(INDIRECT(ADDRESS(2,COLUMN())),OFFSET($BN$2,0,0,ROW()-1,60),ROW()-1,FALSE))</f>
        <v>1250.405201</v>
      </c>
      <c r="AK196">
        <f ca="1">IF(AND(ISNUMBER($AK$701),$B$511=1),$AK$701,HLOOKUP(INDIRECT(ADDRESS(2,COLUMN())),OFFSET($BN$2,0,0,ROW()-1,60),ROW()-1,FALSE))</f>
        <v>1204.8111739999999</v>
      </c>
      <c r="AL196">
        <f ca="1">IF(AND(ISNUMBER($AL$701),$B$511=1),$AL$701,HLOOKUP(INDIRECT(ADDRESS(2,COLUMN())),OFFSET($BN$2,0,0,ROW()-1,60),ROW()-1,FALSE))</f>
        <v>1103.9071160000001</v>
      </c>
      <c r="AM196">
        <f ca="1">IF(AND(ISNUMBER($AM$701),$B$511=1),$AM$701,HLOOKUP(INDIRECT(ADDRESS(2,COLUMN())),OFFSET($BN$2,0,0,ROW()-1,60),ROW()-1,FALSE))</f>
        <v>1011.793367</v>
      </c>
      <c r="AN196">
        <f ca="1">IF(AND(ISNUMBER($AN$701),$B$511=1),$AN$701,HLOOKUP(INDIRECT(ADDRESS(2,COLUMN())),OFFSET($BN$2,0,0,ROW()-1,60),ROW()-1,FALSE))</f>
        <v>987.40732539999999</v>
      </c>
      <c r="AO196">
        <f ca="1">IF(AND(ISNUMBER($AO$701),$B$511=1),$AO$701,HLOOKUP(INDIRECT(ADDRESS(2,COLUMN())),OFFSET($BN$2,0,0,ROW()-1,60),ROW()-1,FALSE))</f>
        <v>937.63116000000002</v>
      </c>
      <c r="AP196">
        <f ca="1">IF(AND(ISNUMBER($AP$701),$B$511=1),$AP$701,HLOOKUP(INDIRECT(ADDRESS(2,COLUMN())),OFFSET($BN$2,0,0,ROW()-1,60),ROW()-1,FALSE))</f>
        <v>970.01554599999997</v>
      </c>
      <c r="AQ196">
        <f ca="1">IF(AND(ISNUMBER($AQ$701),$B$511=1),$AQ$701,HLOOKUP(INDIRECT(ADDRESS(2,COLUMN())),OFFSET($BN$2,0,0,ROW()-1,60),ROW()-1,FALSE))</f>
        <v>917.74556619999998</v>
      </c>
      <c r="AR196">
        <f ca="1">IF(AND(ISNUMBER($AR$701),$B$511=1),$AR$701,HLOOKUP(INDIRECT(ADDRESS(2,COLUMN())),OFFSET($BN$2,0,0,ROW()-1,60),ROW()-1,FALSE))</f>
        <v>810.13176650000003</v>
      </c>
      <c r="AS196">
        <f ca="1">IF(AND(ISNUMBER($AS$701),$B$511=1),$AS$701,HLOOKUP(INDIRECT(ADDRESS(2,COLUMN())),OFFSET($BN$2,0,0,ROW()-1,60),ROW()-1,FALSE))</f>
        <v>915.89119830000004</v>
      </c>
      <c r="AT196">
        <f ca="1">IF(AND(ISNUMBER($AT$701),$B$511=1),$AT$701,HLOOKUP(INDIRECT(ADDRESS(2,COLUMN())),OFFSET($BN$2,0,0,ROW()-1,60),ROW()-1,FALSE))</f>
        <v>966.86740629999997</v>
      </c>
      <c r="AU196">
        <f ca="1">IF(AND(ISNUMBER($AU$701),$B$511=1),$AU$701,HLOOKUP(INDIRECT(ADDRESS(2,COLUMN())),OFFSET($BN$2,0,0,ROW()-1,60),ROW()-1,FALSE))</f>
        <v>1047.8684639999999</v>
      </c>
      <c r="AV196" t="str">
        <f ca="1">IF(AND(ISNUMBER($AV$701),$B$511=1),$AV$701,HLOOKUP(INDIRECT(ADDRESS(2,COLUMN())),OFFSET($BN$2,0,0,ROW()-1,60),ROW()-1,FALSE))</f>
        <v/>
      </c>
      <c r="AW196" t="str">
        <f ca="1">IF(AND(ISNUMBER($AW$701),$B$511=1),$AW$701,HLOOKUP(INDIRECT(ADDRESS(2,COLUMN())),OFFSET($BN$2,0,0,ROW()-1,60),ROW()-1,FALSE))</f>
        <v/>
      </c>
      <c r="AX196" t="str">
        <f ca="1">IF(AND(ISNUMBER($AX$701),$B$511=1),$AX$701,HLOOKUP(INDIRECT(ADDRESS(2,COLUMN())),OFFSET($BN$2,0,0,ROW()-1,60),ROW()-1,FALSE))</f>
        <v/>
      </c>
      <c r="AY196" t="str">
        <f ca="1">IF(AND(ISNUMBER($AY$701),$B$511=1),$AY$701,HLOOKUP(INDIRECT(ADDRESS(2,COLUMN())),OFFSET($BN$2,0,0,ROW()-1,60),ROW()-1,FALSE))</f>
        <v/>
      </c>
      <c r="AZ196" t="str">
        <f ca="1">IF(AND(ISNUMBER($AZ$701),$B$511=1),$AZ$701,HLOOKUP(INDIRECT(ADDRESS(2,COLUMN())),OFFSET($BN$2,0,0,ROW()-1,60),ROW()-1,FALSE))</f>
        <v/>
      </c>
      <c r="BA196" t="str">
        <f ca="1">IF(AND(ISNUMBER($BA$701),$B$511=1),$BA$701,HLOOKUP(INDIRECT(ADDRESS(2,COLUMN())),OFFSET($BN$2,0,0,ROW()-1,60),ROW()-1,FALSE))</f>
        <v/>
      </c>
      <c r="BB196" t="str">
        <f ca="1">IF(AND(ISNUMBER($BB$701),$B$511=1),$BB$701,HLOOKUP(INDIRECT(ADDRESS(2,COLUMN())),OFFSET($BN$2,0,0,ROW()-1,60),ROW()-1,FALSE))</f>
        <v/>
      </c>
      <c r="BC196" t="str">
        <f ca="1">IF(AND(ISNUMBER($BC$701),$B$511=1),$BC$701,HLOOKUP(INDIRECT(ADDRESS(2,COLUMN())),OFFSET($BN$2,0,0,ROW()-1,60),ROW()-1,FALSE))</f>
        <v/>
      </c>
      <c r="BD196" t="str">
        <f ca="1">IF(AND(ISNUMBER($BD$701),$B$511=1),$BD$701,HLOOKUP(INDIRECT(ADDRESS(2,COLUMN())),OFFSET($BN$2,0,0,ROW()-1,60),ROW()-1,FALSE))</f>
        <v/>
      </c>
      <c r="BE196" t="str">
        <f ca="1">IF(AND(ISNUMBER($BE$701),$B$511=1),$BE$701,HLOOKUP(INDIRECT(ADDRESS(2,COLUMN())),OFFSET($BN$2,0,0,ROW()-1,60),ROW()-1,FALSE))</f>
        <v/>
      </c>
      <c r="BF196" t="str">
        <f ca="1">IF(AND(ISNUMBER($BF$701),$B$511=1),$BF$701,HLOOKUP(INDIRECT(ADDRESS(2,COLUMN())),OFFSET($BN$2,0,0,ROW()-1,60),ROW()-1,FALSE))</f>
        <v/>
      </c>
      <c r="BG196" t="str">
        <f ca="1">IF(AND(ISNUMBER($BG$701),$B$511=1),$BG$701,HLOOKUP(INDIRECT(ADDRESS(2,COLUMN())),OFFSET($BN$2,0,0,ROW()-1,60),ROW()-1,FALSE))</f>
        <v/>
      </c>
      <c r="BH196" t="str">
        <f ca="1">IF(AND(ISNUMBER($BH$701),$B$511=1),$BH$701,HLOOKUP(INDIRECT(ADDRESS(2,COLUMN())),OFFSET($BN$2,0,0,ROW()-1,60),ROW()-1,FALSE))</f>
        <v/>
      </c>
      <c r="BI196" t="str">
        <f ca="1">IF(AND(ISNUMBER($BI$701),$B$511=1),$BI$701,HLOOKUP(INDIRECT(ADDRESS(2,COLUMN())),OFFSET($BN$2,0,0,ROW()-1,60),ROW()-1,FALSE))</f>
        <v/>
      </c>
      <c r="BJ196" t="str">
        <f ca="1">IF(AND(ISNUMBER($BJ$701),$B$511=1),$BJ$701,HLOOKUP(INDIRECT(ADDRESS(2,COLUMN())),OFFSET($BN$2,0,0,ROW()-1,60),ROW()-1,FALSE))</f>
        <v/>
      </c>
      <c r="BK196" t="str">
        <f ca="1">IF(AND(ISNUMBER($BK$701),$B$511=1),$BK$701,HLOOKUP(INDIRECT(ADDRESS(2,COLUMN())),OFFSET($BN$2,0,0,ROW()-1,60),ROW()-1,FALSE))</f>
        <v/>
      </c>
      <c r="BL196" t="str">
        <f ca="1">IF(AND(ISNUMBER($BL$701),$B$511=1),$BL$701,HLOOKUP(INDIRECT(ADDRESS(2,COLUMN())),OFFSET($BN$2,0,0,ROW()-1,60),ROW()-1,FALSE))</f>
        <v/>
      </c>
      <c r="BM196" t="str">
        <f ca="1">IF(AND(ISNUMBER($BM$701),$B$511=1),$BM$701,HLOOKUP(INDIRECT(ADDRESS(2,COLUMN())),OFFSET($BN$2,0,0,ROW()-1,60),ROW()-1,FALSE))</f>
        <v/>
      </c>
      <c r="BN196" t="str">
        <f>""</f>
        <v/>
      </c>
      <c r="BO196" t="str">
        <f>""</f>
        <v/>
      </c>
      <c r="BP196">
        <f>1059.381984</f>
        <v>1059.3819840000001</v>
      </c>
      <c r="BQ196">
        <f>1064.041285</f>
        <v>1064.041285</v>
      </c>
      <c r="BR196">
        <f>1060.6201</f>
        <v>1060.6201000000001</v>
      </c>
      <c r="BS196">
        <f>1041.418084</f>
        <v>1041.4180839999999</v>
      </c>
      <c r="BT196">
        <f>1150.514401</f>
        <v>1150.5144009999999</v>
      </c>
      <c r="BU196">
        <f>1145.744586</f>
        <v>1145.744586</v>
      </c>
      <c r="BV196">
        <f>1132.636331</f>
        <v>1132.6363309999999</v>
      </c>
      <c r="BW196">
        <f>1100.216639</f>
        <v>1100.216639</v>
      </c>
      <c r="BX196">
        <f>940.6112384</f>
        <v>940.61123840000005</v>
      </c>
      <c r="BY196">
        <f>966.0198652</f>
        <v>966.01986520000003</v>
      </c>
      <c r="BZ196">
        <f>975.5902653</f>
        <v>975.59026530000006</v>
      </c>
      <c r="CA196">
        <f>1035.852138</f>
        <v>1035.852138</v>
      </c>
      <c r="CB196">
        <f>1120.534575</f>
        <v>1120.5345749999999</v>
      </c>
      <c r="CC196">
        <f>1147.540067</f>
        <v>1147.5400669999999</v>
      </c>
      <c r="CD196">
        <f>1212.94987</f>
        <v>1212.9498699999999</v>
      </c>
      <c r="CE196">
        <f>1202.754316</f>
        <v>1202.754316</v>
      </c>
      <c r="CF196">
        <f>1192.770813</f>
        <v>1192.7708130000001</v>
      </c>
      <c r="CG196">
        <f>1147.938355</f>
        <v>1147.938355</v>
      </c>
      <c r="CH196">
        <f>1086.174154</f>
        <v>1086.174154</v>
      </c>
      <c r="CI196">
        <f>1098.970148</f>
        <v>1098.9701480000001</v>
      </c>
      <c r="CJ196">
        <f>1103.6569</f>
        <v>1103.6569</v>
      </c>
      <c r="CK196">
        <f>1152.826372</f>
        <v>1152.826372</v>
      </c>
      <c r="CL196">
        <f>1164.523488</f>
        <v>1164.523488</v>
      </c>
      <c r="CM196">
        <f>1163.619263</f>
        <v>1163.619263</v>
      </c>
      <c r="CN196">
        <f>1158.981837</f>
        <v>1158.981837</v>
      </c>
      <c r="CO196">
        <f>1160.732908</f>
        <v>1160.732908</v>
      </c>
      <c r="CP196">
        <f>1214.514698</f>
        <v>1214.514698</v>
      </c>
      <c r="CQ196">
        <f>1252.993172</f>
        <v>1252.993172</v>
      </c>
      <c r="CR196">
        <f>1250.405201</f>
        <v>1250.405201</v>
      </c>
      <c r="CS196">
        <f>1204.811174</f>
        <v>1204.8111739999999</v>
      </c>
      <c r="CT196">
        <f>1103.907116</f>
        <v>1103.9071160000001</v>
      </c>
      <c r="CU196">
        <f>1011.793367</f>
        <v>1011.793367</v>
      </c>
      <c r="CV196">
        <f>987.4073254</f>
        <v>987.40732539999999</v>
      </c>
      <c r="CW196">
        <f>937.63116</f>
        <v>937.63116000000002</v>
      </c>
      <c r="CX196">
        <f>970.015546</f>
        <v>970.01554599999997</v>
      </c>
      <c r="CY196">
        <f>917.7455662</f>
        <v>917.74556619999998</v>
      </c>
      <c r="CZ196">
        <f>810.1317665</f>
        <v>810.13176650000003</v>
      </c>
      <c r="DA196">
        <f>915.8911983</f>
        <v>915.89119830000004</v>
      </c>
      <c r="DB196">
        <f>966.8674063</f>
        <v>966.86740629999997</v>
      </c>
      <c r="DC196">
        <f>1047.868464</f>
        <v>1047.8684639999999</v>
      </c>
      <c r="DD196" t="str">
        <f>""</f>
        <v/>
      </c>
      <c r="DE196" t="str">
        <f>""</f>
        <v/>
      </c>
      <c r="DF196" t="str">
        <f>""</f>
        <v/>
      </c>
      <c r="DG196" t="str">
        <f>""</f>
        <v/>
      </c>
      <c r="DH196" t="str">
        <f>""</f>
        <v/>
      </c>
      <c r="DI196" t="str">
        <f>""</f>
        <v/>
      </c>
      <c r="DJ196" t="str">
        <f>""</f>
        <v/>
      </c>
      <c r="DK196" t="str">
        <f>""</f>
        <v/>
      </c>
      <c r="DL196" t="str">
        <f>""</f>
        <v/>
      </c>
      <c r="DM196" t="str">
        <f>""</f>
        <v/>
      </c>
      <c r="DN196" t="str">
        <f>""</f>
        <v/>
      </c>
      <c r="DO196" t="str">
        <f>""</f>
        <v/>
      </c>
      <c r="DP196" t="str">
        <f>""</f>
        <v/>
      </c>
      <c r="DQ196" t="str">
        <f>""</f>
        <v/>
      </c>
      <c r="DR196" t="str">
        <f>""</f>
        <v/>
      </c>
      <c r="DS196" t="str">
        <f>""</f>
        <v/>
      </c>
      <c r="DT196" t="str">
        <f>""</f>
        <v/>
      </c>
      <c r="DU196" t="str">
        <f>""</f>
        <v/>
      </c>
    </row>
    <row r="197" spans="1:125" x14ac:dyDescent="0.25">
      <c r="A197" t="str">
        <f>"    Sollers PJSC"</f>
        <v xml:space="preserve">    Sollers PJSC</v>
      </c>
      <c r="B197" t="str">
        <f>"SVAV RM Equity"</f>
        <v>SVAV RM Equity</v>
      </c>
      <c r="C197" t="str">
        <f t="shared" si="12"/>
        <v>RR800</v>
      </c>
      <c r="D197" t="str">
        <f t="shared" si="13"/>
        <v>TRAIL_12M_NET_SALES</v>
      </c>
      <c r="E197" t="str">
        <f t="shared" si="14"/>
        <v>Dynamic</v>
      </c>
      <c r="F197" t="str">
        <f ca="1">IF(AND(ISNUMBER($F$702),$B$511=1),$F$702,HLOOKUP(INDIRECT(ADDRESS(2,COLUMN())),OFFSET($BN$2,0,0,ROW()-1,60),ROW()-1,FALSE))</f>
        <v/>
      </c>
      <c r="G197" t="str">
        <f ca="1">IF(AND(ISNUMBER($G$702),$B$511=1),$G$702,HLOOKUP(INDIRECT(ADDRESS(2,COLUMN())),OFFSET($BN$2,0,0,ROW()-1,60),ROW()-1,FALSE))</f>
        <v/>
      </c>
      <c r="H197" t="str">
        <f ca="1">IF(AND(ISNUMBER($H$702),$B$511=1),$H$702,HLOOKUP(INDIRECT(ADDRESS(2,COLUMN())),OFFSET($BN$2,0,0,ROW()-1,60),ROW()-1,FALSE))</f>
        <v/>
      </c>
      <c r="I197" t="str">
        <f ca="1">IF(AND(ISNUMBER($I$702),$B$511=1),$I$702,HLOOKUP(INDIRECT(ADDRESS(2,COLUMN())),OFFSET($BN$2,0,0,ROW()-1,60),ROW()-1,FALSE))</f>
        <v/>
      </c>
      <c r="J197" t="str">
        <f ca="1">IF(AND(ISNUMBER($J$702),$B$511=1),$J$702,HLOOKUP(INDIRECT(ADDRESS(2,COLUMN())),OFFSET($BN$2,0,0,ROW()-1,60),ROW()-1,FALSE))</f>
        <v/>
      </c>
      <c r="K197" t="str">
        <f ca="1">IF(AND(ISNUMBER($K$702),$B$511=1),$K$702,HLOOKUP(INDIRECT(ADDRESS(2,COLUMN())),OFFSET($BN$2,0,0,ROW()-1,60),ROW()-1,FALSE))</f>
        <v/>
      </c>
      <c r="L197" t="str">
        <f ca="1">IF(AND(ISNUMBER($L$702),$B$511=1),$L$702,HLOOKUP(INDIRECT(ADDRESS(2,COLUMN())),OFFSET($BN$2,0,0,ROW()-1,60),ROW()-1,FALSE))</f>
        <v/>
      </c>
      <c r="M197" t="str">
        <f ca="1">IF(AND(ISNUMBER($M$702),$B$511=1),$M$702,HLOOKUP(INDIRECT(ADDRESS(2,COLUMN())),OFFSET($BN$2,0,0,ROW()-1,60),ROW()-1,FALSE))</f>
        <v/>
      </c>
      <c r="N197" t="str">
        <f ca="1">IF(AND(ISNUMBER($N$702),$B$511=1),$N$702,HLOOKUP(INDIRECT(ADDRESS(2,COLUMN())),OFFSET($BN$2,0,0,ROW()-1,60),ROW()-1,FALSE))</f>
        <v/>
      </c>
      <c r="O197" t="str">
        <f ca="1">IF(AND(ISNUMBER($O$702),$B$511=1),$O$702,HLOOKUP(INDIRECT(ADDRESS(2,COLUMN())),OFFSET($BN$2,0,0,ROW()-1,60),ROW()-1,FALSE))</f>
        <v/>
      </c>
      <c r="P197" t="str">
        <f ca="1">IF(AND(ISNUMBER($P$702),$B$511=1),$P$702,HLOOKUP(INDIRECT(ADDRESS(2,COLUMN())),OFFSET($BN$2,0,0,ROW()-1,60),ROW()-1,FALSE))</f>
        <v/>
      </c>
      <c r="Q197" t="str">
        <f ca="1">IF(AND(ISNUMBER($Q$702),$B$511=1),$Q$702,HLOOKUP(INDIRECT(ADDRESS(2,COLUMN())),OFFSET($BN$2,0,0,ROW()-1,60),ROW()-1,FALSE))</f>
        <v/>
      </c>
      <c r="R197" t="str">
        <f ca="1">IF(AND(ISNUMBER($R$702),$B$511=1),$R$702,HLOOKUP(INDIRECT(ADDRESS(2,COLUMN())),OFFSET($BN$2,0,0,ROW()-1,60),ROW()-1,FALSE))</f>
        <v/>
      </c>
      <c r="S197" t="str">
        <f ca="1">IF(AND(ISNUMBER($S$702),$B$511=1),$S$702,HLOOKUP(INDIRECT(ADDRESS(2,COLUMN())),OFFSET($BN$2,0,0,ROW()-1,60),ROW()-1,FALSE))</f>
        <v/>
      </c>
      <c r="T197" t="str">
        <f ca="1">IF(AND(ISNUMBER($T$702),$B$511=1),$T$702,HLOOKUP(INDIRECT(ADDRESS(2,COLUMN())),OFFSET($BN$2,0,0,ROW()-1,60),ROW()-1,FALSE))</f>
        <v/>
      </c>
      <c r="U197" t="str">
        <f ca="1">IF(AND(ISNUMBER($U$702),$B$511=1),$U$702,HLOOKUP(INDIRECT(ADDRESS(2,COLUMN())),OFFSET($BN$2,0,0,ROW()-1,60),ROW()-1,FALSE))</f>
        <v/>
      </c>
      <c r="V197" t="str">
        <f ca="1">IF(AND(ISNUMBER($V$702),$B$511=1),$V$702,HLOOKUP(INDIRECT(ADDRESS(2,COLUMN())),OFFSET($BN$2,0,0,ROW()-1,60),ROW()-1,FALSE))</f>
        <v/>
      </c>
      <c r="W197" t="str">
        <f ca="1">IF(AND(ISNUMBER($W$702),$B$511=1),$W$702,HLOOKUP(INDIRECT(ADDRESS(2,COLUMN())),OFFSET($BN$2,0,0,ROW()-1,60),ROW()-1,FALSE))</f>
        <v/>
      </c>
      <c r="X197" t="str">
        <f ca="1">IF(AND(ISNUMBER($X$702),$B$511=1),$X$702,HLOOKUP(INDIRECT(ADDRESS(2,COLUMN())),OFFSET($BN$2,0,0,ROW()-1,60),ROW()-1,FALSE))</f>
        <v/>
      </c>
      <c r="Y197" t="str">
        <f ca="1">IF(AND(ISNUMBER($Y$702),$B$511=1),$Y$702,HLOOKUP(INDIRECT(ADDRESS(2,COLUMN())),OFFSET($BN$2,0,0,ROW()-1,60),ROW()-1,FALSE))</f>
        <v/>
      </c>
      <c r="Z197" t="str">
        <f ca="1">IF(AND(ISNUMBER($Z$702),$B$511=1),$Z$702,HLOOKUP(INDIRECT(ADDRESS(2,COLUMN())),OFFSET($BN$2,0,0,ROW()-1,60),ROW()-1,FALSE))</f>
        <v/>
      </c>
      <c r="AA197" t="str">
        <f ca="1">IF(AND(ISNUMBER($AA$702),$B$511=1),$AA$702,HLOOKUP(INDIRECT(ADDRESS(2,COLUMN())),OFFSET($BN$2,0,0,ROW()-1,60),ROW()-1,FALSE))</f>
        <v/>
      </c>
      <c r="AB197" t="str">
        <f ca="1">IF(AND(ISNUMBER($AB$702),$B$511=1),$AB$702,HLOOKUP(INDIRECT(ADDRESS(2,COLUMN())),OFFSET($BN$2,0,0,ROW()-1,60),ROW()-1,FALSE))</f>
        <v/>
      </c>
      <c r="AC197" t="str">
        <f ca="1">IF(AND(ISNUMBER($AC$702),$B$511=1),$AC$702,HLOOKUP(INDIRECT(ADDRESS(2,COLUMN())),OFFSET($BN$2,0,0,ROW()-1,60),ROW()-1,FALSE))</f>
        <v/>
      </c>
      <c r="AD197" t="str">
        <f ca="1">IF(AND(ISNUMBER($AD$702),$B$511=1),$AD$702,HLOOKUP(INDIRECT(ADDRESS(2,COLUMN())),OFFSET($BN$2,0,0,ROW()-1,60),ROW()-1,FALSE))</f>
        <v/>
      </c>
      <c r="AE197" t="str">
        <f ca="1">IF(AND(ISNUMBER($AE$702),$B$511=1),$AE$702,HLOOKUP(INDIRECT(ADDRESS(2,COLUMN())),OFFSET($BN$2,0,0,ROW()-1,60),ROW()-1,FALSE))</f>
        <v/>
      </c>
      <c r="AF197" t="str">
        <f ca="1">IF(AND(ISNUMBER($AF$702),$B$511=1),$AF$702,HLOOKUP(INDIRECT(ADDRESS(2,COLUMN())),OFFSET($BN$2,0,0,ROW()-1,60),ROW()-1,FALSE))</f>
        <v/>
      </c>
      <c r="AG197" t="str">
        <f ca="1">IF(AND(ISNUMBER($AG$702),$B$511=1),$AG$702,HLOOKUP(INDIRECT(ADDRESS(2,COLUMN())),OFFSET($BN$2,0,0,ROW()-1,60),ROW()-1,FALSE))</f>
        <v/>
      </c>
      <c r="AH197" t="str">
        <f ca="1">IF(AND(ISNUMBER($AH$702),$B$511=1),$AH$702,HLOOKUP(INDIRECT(ADDRESS(2,COLUMN())),OFFSET($BN$2,0,0,ROW()-1,60),ROW()-1,FALSE))</f>
        <v/>
      </c>
      <c r="AI197" t="str">
        <f ca="1">IF(AND(ISNUMBER($AI$702),$B$511=1),$AI$702,HLOOKUP(INDIRECT(ADDRESS(2,COLUMN())),OFFSET($BN$2,0,0,ROW()-1,60),ROW()-1,FALSE))</f>
        <v/>
      </c>
      <c r="AJ197" t="str">
        <f ca="1">IF(AND(ISNUMBER($AJ$702),$B$511=1),$AJ$702,HLOOKUP(INDIRECT(ADDRESS(2,COLUMN())),OFFSET($BN$2,0,0,ROW()-1,60),ROW()-1,FALSE))</f>
        <v/>
      </c>
      <c r="AK197" t="str">
        <f ca="1">IF(AND(ISNUMBER($AK$702),$B$511=1),$AK$702,HLOOKUP(INDIRECT(ADDRESS(2,COLUMN())),OFFSET($BN$2,0,0,ROW()-1,60),ROW()-1,FALSE))</f>
        <v/>
      </c>
      <c r="AL197" t="str">
        <f ca="1">IF(AND(ISNUMBER($AL$702),$B$511=1),$AL$702,HLOOKUP(INDIRECT(ADDRESS(2,COLUMN())),OFFSET($BN$2,0,0,ROW()-1,60),ROW()-1,FALSE))</f>
        <v/>
      </c>
      <c r="AM197" t="str">
        <f ca="1">IF(AND(ISNUMBER($AM$702),$B$511=1),$AM$702,HLOOKUP(INDIRECT(ADDRESS(2,COLUMN())),OFFSET($BN$2,0,0,ROW()-1,60),ROW()-1,FALSE))</f>
        <v/>
      </c>
      <c r="AN197" t="str">
        <f ca="1">IF(AND(ISNUMBER($AN$702),$B$511=1),$AN$702,HLOOKUP(INDIRECT(ADDRESS(2,COLUMN())),OFFSET($BN$2,0,0,ROW()-1,60),ROW()-1,FALSE))</f>
        <v/>
      </c>
      <c r="AO197" t="str">
        <f ca="1">IF(AND(ISNUMBER($AO$702),$B$511=1),$AO$702,HLOOKUP(INDIRECT(ADDRESS(2,COLUMN())),OFFSET($BN$2,0,0,ROW()-1,60),ROW()-1,FALSE))</f>
        <v/>
      </c>
      <c r="AP197" t="str">
        <f ca="1">IF(AND(ISNUMBER($AP$702),$B$511=1),$AP$702,HLOOKUP(INDIRECT(ADDRESS(2,COLUMN())),OFFSET($BN$2,0,0,ROW()-1,60),ROW()-1,FALSE))</f>
        <v/>
      </c>
      <c r="AQ197" t="str">
        <f ca="1">IF(AND(ISNUMBER($AQ$702),$B$511=1),$AQ$702,HLOOKUP(INDIRECT(ADDRESS(2,COLUMN())),OFFSET($BN$2,0,0,ROW()-1,60),ROW()-1,FALSE))</f>
        <v/>
      </c>
      <c r="AR197" t="str">
        <f ca="1">IF(AND(ISNUMBER($AR$702),$B$511=1),$AR$702,HLOOKUP(INDIRECT(ADDRESS(2,COLUMN())),OFFSET($BN$2,0,0,ROW()-1,60),ROW()-1,FALSE))</f>
        <v/>
      </c>
      <c r="AS197" t="str">
        <f ca="1">IF(AND(ISNUMBER($AS$702),$B$511=1),$AS$702,HLOOKUP(INDIRECT(ADDRESS(2,COLUMN())),OFFSET($BN$2,0,0,ROW()-1,60),ROW()-1,FALSE))</f>
        <v/>
      </c>
      <c r="AT197" t="str">
        <f ca="1">IF(AND(ISNUMBER($AT$702),$B$511=1),$AT$702,HLOOKUP(INDIRECT(ADDRESS(2,COLUMN())),OFFSET($BN$2,0,0,ROW()-1,60),ROW()-1,FALSE))</f>
        <v/>
      </c>
      <c r="AU197" t="str">
        <f ca="1">IF(AND(ISNUMBER($AU$702),$B$511=1),$AU$702,HLOOKUP(INDIRECT(ADDRESS(2,COLUMN())),OFFSET($BN$2,0,0,ROW()-1,60),ROW()-1,FALSE))</f>
        <v/>
      </c>
      <c r="AV197" t="str">
        <f ca="1">IF(AND(ISNUMBER($AV$702),$B$511=1),$AV$702,HLOOKUP(INDIRECT(ADDRESS(2,COLUMN())),OFFSET($BN$2,0,0,ROW()-1,60),ROW()-1,FALSE))</f>
        <v/>
      </c>
      <c r="AW197" t="str">
        <f ca="1">IF(AND(ISNUMBER($AW$702),$B$511=1),$AW$702,HLOOKUP(INDIRECT(ADDRESS(2,COLUMN())),OFFSET($BN$2,0,0,ROW()-1,60),ROW()-1,FALSE))</f>
        <v/>
      </c>
      <c r="AX197" t="str">
        <f ca="1">IF(AND(ISNUMBER($AX$702),$B$511=1),$AX$702,HLOOKUP(INDIRECT(ADDRESS(2,COLUMN())),OFFSET($BN$2,0,0,ROW()-1,60),ROW()-1,FALSE))</f>
        <v/>
      </c>
      <c r="AY197" t="str">
        <f ca="1">IF(AND(ISNUMBER($AY$702),$B$511=1),$AY$702,HLOOKUP(INDIRECT(ADDRESS(2,COLUMN())),OFFSET($BN$2,0,0,ROW()-1,60),ROW()-1,FALSE))</f>
        <v/>
      </c>
      <c r="AZ197" t="str">
        <f ca="1">IF(AND(ISNUMBER($AZ$702),$B$511=1),$AZ$702,HLOOKUP(INDIRECT(ADDRESS(2,COLUMN())),OFFSET($BN$2,0,0,ROW()-1,60),ROW()-1,FALSE))</f>
        <v/>
      </c>
      <c r="BA197" t="str">
        <f ca="1">IF(AND(ISNUMBER($BA$702),$B$511=1),$BA$702,HLOOKUP(INDIRECT(ADDRESS(2,COLUMN())),OFFSET($BN$2,0,0,ROW()-1,60),ROW()-1,FALSE))</f>
        <v/>
      </c>
      <c r="BB197" t="str">
        <f ca="1">IF(AND(ISNUMBER($BB$702),$B$511=1),$BB$702,HLOOKUP(INDIRECT(ADDRESS(2,COLUMN())),OFFSET($BN$2,0,0,ROW()-1,60),ROW()-1,FALSE))</f>
        <v/>
      </c>
      <c r="BC197" t="str">
        <f ca="1">IF(AND(ISNUMBER($BC$702),$B$511=1),$BC$702,HLOOKUP(INDIRECT(ADDRESS(2,COLUMN())),OFFSET($BN$2,0,0,ROW()-1,60),ROW()-1,FALSE))</f>
        <v/>
      </c>
      <c r="BD197" t="str">
        <f ca="1">IF(AND(ISNUMBER($BD$702),$B$511=1),$BD$702,HLOOKUP(INDIRECT(ADDRESS(2,COLUMN())),OFFSET($BN$2,0,0,ROW()-1,60),ROW()-1,FALSE))</f>
        <v/>
      </c>
      <c r="BE197" t="str">
        <f ca="1">IF(AND(ISNUMBER($BE$702),$B$511=1),$BE$702,HLOOKUP(INDIRECT(ADDRESS(2,COLUMN())),OFFSET($BN$2,0,0,ROW()-1,60),ROW()-1,FALSE))</f>
        <v/>
      </c>
      <c r="BF197" t="str">
        <f ca="1">IF(AND(ISNUMBER($BF$702),$B$511=1),$BF$702,HLOOKUP(INDIRECT(ADDRESS(2,COLUMN())),OFFSET($BN$2,0,0,ROW()-1,60),ROW()-1,FALSE))</f>
        <v/>
      </c>
      <c r="BG197" t="str">
        <f ca="1">IF(AND(ISNUMBER($BG$702),$B$511=1),$BG$702,HLOOKUP(INDIRECT(ADDRESS(2,COLUMN())),OFFSET($BN$2,0,0,ROW()-1,60),ROW()-1,FALSE))</f>
        <v/>
      </c>
      <c r="BH197" t="str">
        <f ca="1">IF(AND(ISNUMBER($BH$702),$B$511=1),$BH$702,HLOOKUP(INDIRECT(ADDRESS(2,COLUMN())),OFFSET($BN$2,0,0,ROW()-1,60),ROW()-1,FALSE))</f>
        <v/>
      </c>
      <c r="BI197" t="str">
        <f ca="1">IF(AND(ISNUMBER($BI$702),$B$511=1),$BI$702,HLOOKUP(INDIRECT(ADDRESS(2,COLUMN())),OFFSET($BN$2,0,0,ROW()-1,60),ROW()-1,FALSE))</f>
        <v/>
      </c>
      <c r="BJ197" t="str">
        <f ca="1">IF(AND(ISNUMBER($BJ$702),$B$511=1),$BJ$702,HLOOKUP(INDIRECT(ADDRESS(2,COLUMN())),OFFSET($BN$2,0,0,ROW()-1,60),ROW()-1,FALSE))</f>
        <v/>
      </c>
      <c r="BK197" t="str">
        <f ca="1">IF(AND(ISNUMBER($BK$702),$B$511=1),$BK$702,HLOOKUP(INDIRECT(ADDRESS(2,COLUMN())),OFFSET($BN$2,0,0,ROW()-1,60),ROW()-1,FALSE))</f>
        <v/>
      </c>
      <c r="BL197" t="str">
        <f ca="1">IF(AND(ISNUMBER($BL$702),$B$511=1),$BL$702,HLOOKUP(INDIRECT(ADDRESS(2,COLUMN())),OFFSET($BN$2,0,0,ROW()-1,60),ROW()-1,FALSE))</f>
        <v/>
      </c>
      <c r="BM197" t="str">
        <f ca="1">IF(AND(ISNUMBER($BM$702),$B$511=1),$BM$702,HLOOKUP(INDIRECT(ADDRESS(2,COLUMN())),OFFSET($BN$2,0,0,ROW()-1,60),ROW()-1,FALSE))</f>
        <v/>
      </c>
      <c r="BN197" t="str">
        <f>""</f>
        <v/>
      </c>
      <c r="BO197" t="str">
        <f>""</f>
        <v/>
      </c>
      <c r="BP197" t="str">
        <f>""</f>
        <v/>
      </c>
      <c r="BQ197" t="str">
        <f>""</f>
        <v/>
      </c>
      <c r="BR197" t="str">
        <f>""</f>
        <v/>
      </c>
      <c r="BS197" t="str">
        <f>""</f>
        <v/>
      </c>
      <c r="BT197" t="str">
        <f>""</f>
        <v/>
      </c>
      <c r="BU197" t="str">
        <f>""</f>
        <v/>
      </c>
      <c r="BV197" t="str">
        <f>""</f>
        <v/>
      </c>
      <c r="BW197" t="str">
        <f>""</f>
        <v/>
      </c>
      <c r="BX197" t="str">
        <f>""</f>
        <v/>
      </c>
      <c r="BY197" t="str">
        <f>""</f>
        <v/>
      </c>
      <c r="BZ197" t="str">
        <f>""</f>
        <v/>
      </c>
      <c r="CA197" t="str">
        <f>""</f>
        <v/>
      </c>
      <c r="CB197" t="str">
        <f>""</f>
        <v/>
      </c>
      <c r="CC197" t="str">
        <f>""</f>
        <v/>
      </c>
      <c r="CD197" t="str">
        <f>""</f>
        <v/>
      </c>
      <c r="CE197" t="str">
        <f>""</f>
        <v/>
      </c>
      <c r="CF197" t="str">
        <f>""</f>
        <v/>
      </c>
      <c r="CG197" t="str">
        <f>""</f>
        <v/>
      </c>
      <c r="CH197" t="str">
        <f>""</f>
        <v/>
      </c>
      <c r="CI197" t="str">
        <f>""</f>
        <v/>
      </c>
      <c r="CJ197" t="str">
        <f>""</f>
        <v/>
      </c>
      <c r="CK197" t="str">
        <f>""</f>
        <v/>
      </c>
      <c r="CL197" t="str">
        <f>""</f>
        <v/>
      </c>
      <c r="CM197" t="str">
        <f>""</f>
        <v/>
      </c>
      <c r="CN197" t="str">
        <f>""</f>
        <v/>
      </c>
      <c r="CO197" t="str">
        <f>""</f>
        <v/>
      </c>
      <c r="CP197" t="str">
        <f>""</f>
        <v/>
      </c>
      <c r="CQ197" t="str">
        <f>""</f>
        <v/>
      </c>
      <c r="CR197" t="str">
        <f>""</f>
        <v/>
      </c>
      <c r="CS197" t="str">
        <f>""</f>
        <v/>
      </c>
      <c r="CT197" t="str">
        <f>""</f>
        <v/>
      </c>
      <c r="CU197" t="str">
        <f>""</f>
        <v/>
      </c>
      <c r="CV197" t="str">
        <f>""</f>
        <v/>
      </c>
      <c r="CW197" t="str">
        <f>""</f>
        <v/>
      </c>
      <c r="CX197" t="str">
        <f>""</f>
        <v/>
      </c>
      <c r="CY197" t="str">
        <f>""</f>
        <v/>
      </c>
      <c r="CZ197" t="str">
        <f>""</f>
        <v/>
      </c>
      <c r="DA197" t="str">
        <f>""</f>
        <v/>
      </c>
      <c r="DB197" t="str">
        <f>""</f>
        <v/>
      </c>
      <c r="DC197" t="str">
        <f>""</f>
        <v/>
      </c>
      <c r="DD197" t="str">
        <f>""</f>
        <v/>
      </c>
      <c r="DE197" t="str">
        <f>""</f>
        <v/>
      </c>
      <c r="DF197" t="str">
        <f>""</f>
        <v/>
      </c>
      <c r="DG197" t="str">
        <f>""</f>
        <v/>
      </c>
      <c r="DH197" t="str">
        <f>""</f>
        <v/>
      </c>
      <c r="DI197" t="str">
        <f>""</f>
        <v/>
      </c>
      <c r="DJ197" t="str">
        <f>""</f>
        <v/>
      </c>
      <c r="DK197" t="str">
        <f>""</f>
        <v/>
      </c>
      <c r="DL197" t="str">
        <f>""</f>
        <v/>
      </c>
      <c r="DM197" t="str">
        <f>""</f>
        <v/>
      </c>
      <c r="DN197" t="str">
        <f>""</f>
        <v/>
      </c>
      <c r="DO197" t="str">
        <f>""</f>
        <v/>
      </c>
      <c r="DP197" t="str">
        <f>""</f>
        <v/>
      </c>
      <c r="DQ197" t="str">
        <f>""</f>
        <v/>
      </c>
      <c r="DR197" t="str">
        <f>""</f>
        <v/>
      </c>
      <c r="DS197" t="str">
        <f>""</f>
        <v/>
      </c>
      <c r="DT197" t="str">
        <f>""</f>
        <v/>
      </c>
      <c r="DU197" t="str">
        <f>""</f>
        <v/>
      </c>
    </row>
    <row r="198" spans="1:125" x14ac:dyDescent="0.25">
      <c r="A198" t="str">
        <f>"    Ssangyong Motor Co"</f>
        <v xml:space="preserve">    Ssangyong Motor Co</v>
      </c>
      <c r="B198" t="str">
        <f>"003620 KS Equity"</f>
        <v>003620 KS Equity</v>
      </c>
      <c r="C198" t="str">
        <f t="shared" si="12"/>
        <v>RR800</v>
      </c>
      <c r="D198" t="str">
        <f t="shared" si="13"/>
        <v>TRAIL_12M_NET_SALES</v>
      </c>
      <c r="E198" t="str">
        <f t="shared" si="14"/>
        <v>Dynamic</v>
      </c>
      <c r="F198" t="str">
        <f ca="1">IF(AND(ISNUMBER($F$703),$B$511=1),$F$703,HLOOKUP(INDIRECT(ADDRESS(2,COLUMN())),OFFSET($BN$2,0,0,ROW()-1,60),ROW()-1,FALSE))</f>
        <v/>
      </c>
      <c r="G198">
        <f ca="1">IF(AND(ISNUMBER($G$703),$B$511=1),$G$703,HLOOKUP(INDIRECT(ADDRESS(2,COLUMN())),OFFSET($BN$2,0,0,ROW()-1,60),ROW()-1,FALSE))</f>
        <v>3368.3063790000001</v>
      </c>
      <c r="H198">
        <f ca="1">IF(AND(ISNUMBER($H$703),$B$511=1),$H$703,HLOOKUP(INDIRECT(ADDRESS(2,COLUMN())),OFFSET($BN$2,0,0,ROW()-1,60),ROW()-1,FALSE))</f>
        <v>3246.9192370000001</v>
      </c>
      <c r="I198">
        <f ca="1">IF(AND(ISNUMBER($I$703),$B$511=1),$I$703,HLOOKUP(INDIRECT(ADDRESS(2,COLUMN())),OFFSET($BN$2,0,0,ROW()-1,60),ROW()-1,FALSE))</f>
        <v>3238.2624049999999</v>
      </c>
      <c r="J198">
        <f ca="1">IF(AND(ISNUMBER($J$703),$B$511=1),$J$703,HLOOKUP(INDIRECT(ADDRESS(2,COLUMN())),OFFSET($BN$2,0,0,ROW()-1,60),ROW()-1,FALSE))</f>
        <v>3166.696809</v>
      </c>
      <c r="K198">
        <f ca="1">IF(AND(ISNUMBER($K$703),$B$511=1),$K$703,HLOOKUP(INDIRECT(ADDRESS(2,COLUMN())),OFFSET($BN$2,0,0,ROW()-1,60),ROW()-1,FALSE))</f>
        <v>3092.2162709999998</v>
      </c>
      <c r="L198">
        <f ca="1">IF(AND(ISNUMBER($L$703),$B$511=1),$L$703,HLOOKUP(INDIRECT(ADDRESS(2,COLUMN())),OFFSET($BN$2,0,0,ROW()-1,60),ROW()-1,FALSE))</f>
        <v>3142.5543440000001</v>
      </c>
      <c r="M198">
        <f ca="1">IF(AND(ISNUMBER($M$703),$B$511=1),$M$703,HLOOKUP(INDIRECT(ADDRESS(2,COLUMN())),OFFSET($BN$2,0,0,ROW()-1,60),ROW()-1,FALSE))</f>
        <v>3107.7542960000001</v>
      </c>
      <c r="N198">
        <f ca="1">IF(AND(ISNUMBER($N$703),$B$511=1),$N$703,HLOOKUP(INDIRECT(ADDRESS(2,COLUMN())),OFFSET($BN$2,0,0,ROW()-1,60),ROW()-1,FALSE))</f>
        <v>3139.1033189999998</v>
      </c>
      <c r="O198">
        <f ca="1">IF(AND(ISNUMBER($O$703),$B$511=1),$O$703,HLOOKUP(INDIRECT(ADDRESS(2,COLUMN())),OFFSET($BN$2,0,0,ROW()-1,60),ROW()-1,FALSE))</f>
        <v>3128.992358</v>
      </c>
      <c r="P198">
        <f ca="1">IF(AND(ISNUMBER($P$703),$B$511=1),$P$703,HLOOKUP(INDIRECT(ADDRESS(2,COLUMN())),OFFSET($BN$2,0,0,ROW()-1,60),ROW()-1,FALSE))</f>
        <v>3107.359539</v>
      </c>
      <c r="Q198">
        <f ca="1">IF(AND(ISNUMBER($Q$703),$B$511=1),$Q$703,HLOOKUP(INDIRECT(ADDRESS(2,COLUMN())),OFFSET($BN$2,0,0,ROW()-1,60),ROW()-1,FALSE))</f>
        <v>3046.5429210000002</v>
      </c>
      <c r="R198">
        <f ca="1">IF(AND(ISNUMBER($R$703),$B$511=1),$R$703,HLOOKUP(INDIRECT(ADDRESS(2,COLUMN())),OFFSET($BN$2,0,0,ROW()-1,60),ROW()-1,FALSE))</f>
        <v>2980.6536019999999</v>
      </c>
      <c r="S198">
        <f ca="1">IF(AND(ISNUMBER($S$703),$B$511=1),$S$703,HLOOKUP(INDIRECT(ADDRESS(2,COLUMN())),OFFSET($BN$2,0,0,ROW()-1,60),ROW()-1,FALSE))</f>
        <v>2997.2659210000002</v>
      </c>
      <c r="T198">
        <f ca="1">IF(AND(ISNUMBER($T$703),$B$511=1),$T$703,HLOOKUP(INDIRECT(ADDRESS(2,COLUMN())),OFFSET($BN$2,0,0,ROW()-1,60),ROW()-1,FALSE))</f>
        <v>2915.7399869999999</v>
      </c>
      <c r="U198">
        <f ca="1">IF(AND(ISNUMBER($U$703),$B$511=1),$U$703,HLOOKUP(INDIRECT(ADDRESS(2,COLUMN())),OFFSET($BN$2,0,0,ROW()-1,60),ROW()-1,FALSE))</f>
        <v>2965.1570160000001</v>
      </c>
      <c r="V198">
        <f ca="1">IF(AND(ISNUMBER($V$703),$B$511=1),$V$703,HLOOKUP(INDIRECT(ADDRESS(2,COLUMN())),OFFSET($BN$2,0,0,ROW()-1,60),ROW()-1,FALSE))</f>
        <v>3042.077198</v>
      </c>
      <c r="W198">
        <f ca="1">IF(AND(ISNUMBER($W$703),$B$511=1),$W$703,HLOOKUP(INDIRECT(ADDRESS(2,COLUMN())),OFFSET($BN$2,0,0,ROW()-1,60),ROW()-1,FALSE))</f>
        <v>3160.6212070000001</v>
      </c>
      <c r="X198">
        <f ca="1">IF(AND(ISNUMBER($X$703),$B$511=1),$X$703,HLOOKUP(INDIRECT(ADDRESS(2,COLUMN())),OFFSET($BN$2,0,0,ROW()-1,60),ROW()-1,FALSE))</f>
        <v>3328.415986</v>
      </c>
      <c r="Y198">
        <f ca="1">IF(AND(ISNUMBER($Y$703),$B$511=1),$Y$703,HLOOKUP(INDIRECT(ADDRESS(2,COLUMN())),OFFSET($BN$2,0,0,ROW()-1,60),ROW()-1,FALSE))</f>
        <v>3330.5312300000001</v>
      </c>
      <c r="Z198">
        <f ca="1">IF(AND(ISNUMBER($Z$703),$B$511=1),$Z$703,HLOOKUP(INDIRECT(ADDRESS(2,COLUMN())),OFFSET($BN$2,0,0,ROW()-1,60),ROW()-1,FALSE))</f>
        <v>3296.6607049999998</v>
      </c>
      <c r="AA198">
        <f ca="1">IF(AND(ISNUMBER($AA$703),$B$511=1),$AA$703,HLOOKUP(INDIRECT(ADDRESS(2,COLUMN())),OFFSET($BN$2,0,0,ROW()-1,60),ROW()-1,FALSE))</f>
        <v>3185.192407</v>
      </c>
      <c r="AB198">
        <f ca="1">IF(AND(ISNUMBER($AB$703),$B$511=1),$AB$703,HLOOKUP(INDIRECT(ADDRESS(2,COLUMN())),OFFSET($BN$2,0,0,ROW()-1,60),ROW()-1,FALSE))</f>
        <v>3007.591934</v>
      </c>
      <c r="AC198">
        <f ca="1">IF(AND(ISNUMBER($AC$703),$B$511=1),$AC$703,HLOOKUP(INDIRECT(ADDRESS(2,COLUMN())),OFFSET($BN$2,0,0,ROW()-1,60),ROW()-1,FALSE))</f>
        <v>2866.3425670000001</v>
      </c>
      <c r="AD198">
        <f ca="1">IF(AND(ISNUMBER($AD$703),$B$511=1),$AD$703,HLOOKUP(INDIRECT(ADDRESS(2,COLUMN())),OFFSET($BN$2,0,0,ROW()-1,60),ROW()-1,FALSE))</f>
        <v>2675.2345810000002</v>
      </c>
      <c r="AE198">
        <f ca="1">IF(AND(ISNUMBER($AE$703),$B$511=1),$AE$703,HLOOKUP(INDIRECT(ADDRESS(2,COLUMN())),OFFSET($BN$2,0,0,ROW()-1,60),ROW()-1,FALSE))</f>
        <v>2552.8266400000002</v>
      </c>
      <c r="AF198" t="str">
        <f ca="1">IF(AND(ISNUMBER($AF$703),$B$511=1),$AF$703,HLOOKUP(INDIRECT(ADDRESS(2,COLUMN())),OFFSET($BN$2,0,0,ROW()-1,60),ROW()-1,FALSE))</f>
        <v/>
      </c>
      <c r="AG198" t="str">
        <f ca="1">IF(AND(ISNUMBER($AG$703),$B$511=1),$AG$703,HLOOKUP(INDIRECT(ADDRESS(2,COLUMN())),OFFSET($BN$2,0,0,ROW()-1,60),ROW()-1,FALSE))</f>
        <v/>
      </c>
      <c r="AH198" t="str">
        <f ca="1">IF(AND(ISNUMBER($AH$703),$B$511=1),$AH$703,HLOOKUP(INDIRECT(ADDRESS(2,COLUMN())),OFFSET($BN$2,0,0,ROW()-1,60),ROW()-1,FALSE))</f>
        <v/>
      </c>
      <c r="AI198" t="str">
        <f ca="1">IF(AND(ISNUMBER($AI$703),$B$511=1),$AI$703,HLOOKUP(INDIRECT(ADDRESS(2,COLUMN())),OFFSET($BN$2,0,0,ROW()-1,60),ROW()-1,FALSE))</f>
        <v/>
      </c>
      <c r="AJ198" t="str">
        <f ca="1">IF(AND(ISNUMBER($AJ$703),$B$511=1),$AJ$703,HLOOKUP(INDIRECT(ADDRESS(2,COLUMN())),OFFSET($BN$2,0,0,ROW()-1,60),ROW()-1,FALSE))</f>
        <v/>
      </c>
      <c r="AK198" t="str">
        <f ca="1">IF(AND(ISNUMBER($AK$703),$B$511=1),$AK$703,HLOOKUP(INDIRECT(ADDRESS(2,COLUMN())),OFFSET($BN$2,0,0,ROW()-1,60),ROW()-1,FALSE))</f>
        <v/>
      </c>
      <c r="AL198" t="str">
        <f ca="1">IF(AND(ISNUMBER($AL$703),$B$511=1),$AL$703,HLOOKUP(INDIRECT(ADDRESS(2,COLUMN())),OFFSET($BN$2,0,0,ROW()-1,60),ROW()-1,FALSE))</f>
        <v/>
      </c>
      <c r="AM198" t="str">
        <f ca="1">IF(AND(ISNUMBER($AM$703),$B$511=1),$AM$703,HLOOKUP(INDIRECT(ADDRESS(2,COLUMN())),OFFSET($BN$2,0,0,ROW()-1,60),ROW()-1,FALSE))</f>
        <v/>
      </c>
      <c r="AN198" t="str">
        <f ca="1">IF(AND(ISNUMBER($AN$703),$B$511=1),$AN$703,HLOOKUP(INDIRECT(ADDRESS(2,COLUMN())),OFFSET($BN$2,0,0,ROW()-1,60),ROW()-1,FALSE))</f>
        <v/>
      </c>
      <c r="AO198" t="str">
        <f ca="1">IF(AND(ISNUMBER($AO$703),$B$511=1),$AO$703,HLOOKUP(INDIRECT(ADDRESS(2,COLUMN())),OFFSET($BN$2,0,0,ROW()-1,60),ROW()-1,FALSE))</f>
        <v/>
      </c>
      <c r="AP198" t="str">
        <f ca="1">IF(AND(ISNUMBER($AP$703),$B$511=1),$AP$703,HLOOKUP(INDIRECT(ADDRESS(2,COLUMN())),OFFSET($BN$2,0,0,ROW()-1,60),ROW()-1,FALSE))</f>
        <v/>
      </c>
      <c r="AQ198" t="str">
        <f ca="1">IF(AND(ISNUMBER($AQ$703),$B$511=1),$AQ$703,HLOOKUP(INDIRECT(ADDRESS(2,COLUMN())),OFFSET($BN$2,0,0,ROW()-1,60),ROW()-1,FALSE))</f>
        <v/>
      </c>
      <c r="AR198" t="str">
        <f ca="1">IF(AND(ISNUMBER($AR$703),$B$511=1),$AR$703,HLOOKUP(INDIRECT(ADDRESS(2,COLUMN())),OFFSET($BN$2,0,0,ROW()-1,60),ROW()-1,FALSE))</f>
        <v/>
      </c>
      <c r="AS198" t="str">
        <f ca="1">IF(AND(ISNUMBER($AS$703),$B$511=1),$AS$703,HLOOKUP(INDIRECT(ADDRESS(2,COLUMN())),OFFSET($BN$2,0,0,ROW()-1,60),ROW()-1,FALSE))</f>
        <v/>
      </c>
      <c r="AT198" t="str">
        <f ca="1">IF(AND(ISNUMBER($AT$703),$B$511=1),$AT$703,HLOOKUP(INDIRECT(ADDRESS(2,COLUMN())),OFFSET($BN$2,0,0,ROW()-1,60),ROW()-1,FALSE))</f>
        <v/>
      </c>
      <c r="AU198" t="str">
        <f ca="1">IF(AND(ISNUMBER($AU$703),$B$511=1),$AU$703,HLOOKUP(INDIRECT(ADDRESS(2,COLUMN())),OFFSET($BN$2,0,0,ROW()-1,60),ROW()-1,FALSE))</f>
        <v/>
      </c>
      <c r="AV198" t="str">
        <f ca="1">IF(AND(ISNUMBER($AV$703),$B$511=1),$AV$703,HLOOKUP(INDIRECT(ADDRESS(2,COLUMN())),OFFSET($BN$2,0,0,ROW()-1,60),ROW()-1,FALSE))</f>
        <v/>
      </c>
      <c r="AW198" t="str">
        <f ca="1">IF(AND(ISNUMBER($AW$703),$B$511=1),$AW$703,HLOOKUP(INDIRECT(ADDRESS(2,COLUMN())),OFFSET($BN$2,0,0,ROW()-1,60),ROW()-1,FALSE))</f>
        <v/>
      </c>
      <c r="AX198" t="str">
        <f ca="1">IF(AND(ISNUMBER($AX$703),$B$511=1),$AX$703,HLOOKUP(INDIRECT(ADDRESS(2,COLUMN())),OFFSET($BN$2,0,0,ROW()-1,60),ROW()-1,FALSE))</f>
        <v/>
      </c>
      <c r="AY198" t="str">
        <f ca="1">IF(AND(ISNUMBER($AY$703),$B$511=1),$AY$703,HLOOKUP(INDIRECT(ADDRESS(2,COLUMN())),OFFSET($BN$2,0,0,ROW()-1,60),ROW()-1,FALSE))</f>
        <v/>
      </c>
      <c r="AZ198" t="str">
        <f ca="1">IF(AND(ISNUMBER($AZ$703),$B$511=1),$AZ$703,HLOOKUP(INDIRECT(ADDRESS(2,COLUMN())),OFFSET($BN$2,0,0,ROW()-1,60),ROW()-1,FALSE))</f>
        <v/>
      </c>
      <c r="BA198" t="str">
        <f ca="1">IF(AND(ISNUMBER($BA$703),$B$511=1),$BA$703,HLOOKUP(INDIRECT(ADDRESS(2,COLUMN())),OFFSET($BN$2,0,0,ROW()-1,60),ROW()-1,FALSE))</f>
        <v/>
      </c>
      <c r="BB198" t="str">
        <f ca="1">IF(AND(ISNUMBER($BB$703),$B$511=1),$BB$703,HLOOKUP(INDIRECT(ADDRESS(2,COLUMN())),OFFSET($BN$2,0,0,ROW()-1,60),ROW()-1,FALSE))</f>
        <v/>
      </c>
      <c r="BC198" t="str">
        <f ca="1">IF(AND(ISNUMBER($BC$703),$B$511=1),$BC$703,HLOOKUP(INDIRECT(ADDRESS(2,COLUMN())),OFFSET($BN$2,0,0,ROW()-1,60),ROW()-1,FALSE))</f>
        <v/>
      </c>
      <c r="BD198" t="str">
        <f ca="1">IF(AND(ISNUMBER($BD$703),$B$511=1),$BD$703,HLOOKUP(INDIRECT(ADDRESS(2,COLUMN())),OFFSET($BN$2,0,0,ROW()-1,60),ROW()-1,FALSE))</f>
        <v/>
      </c>
      <c r="BE198" t="str">
        <f ca="1">IF(AND(ISNUMBER($BE$703),$B$511=1),$BE$703,HLOOKUP(INDIRECT(ADDRESS(2,COLUMN())),OFFSET($BN$2,0,0,ROW()-1,60),ROW()-1,FALSE))</f>
        <v/>
      </c>
      <c r="BF198" t="str">
        <f ca="1">IF(AND(ISNUMBER($BF$703),$B$511=1),$BF$703,HLOOKUP(INDIRECT(ADDRESS(2,COLUMN())),OFFSET($BN$2,0,0,ROW()-1,60),ROW()-1,FALSE))</f>
        <v/>
      </c>
      <c r="BG198" t="str">
        <f ca="1">IF(AND(ISNUMBER($BG$703),$B$511=1),$BG$703,HLOOKUP(INDIRECT(ADDRESS(2,COLUMN())),OFFSET($BN$2,0,0,ROW()-1,60),ROW()-1,FALSE))</f>
        <v/>
      </c>
      <c r="BH198" t="str">
        <f ca="1">IF(AND(ISNUMBER($BH$703),$B$511=1),$BH$703,HLOOKUP(INDIRECT(ADDRESS(2,COLUMN())),OFFSET($BN$2,0,0,ROW()-1,60),ROW()-1,FALSE))</f>
        <v/>
      </c>
      <c r="BI198" t="str">
        <f ca="1">IF(AND(ISNUMBER($BI$703),$B$511=1),$BI$703,HLOOKUP(INDIRECT(ADDRESS(2,COLUMN())),OFFSET($BN$2,0,0,ROW()-1,60),ROW()-1,FALSE))</f>
        <v/>
      </c>
      <c r="BJ198" t="str">
        <f ca="1">IF(AND(ISNUMBER($BJ$703),$B$511=1),$BJ$703,HLOOKUP(INDIRECT(ADDRESS(2,COLUMN())),OFFSET($BN$2,0,0,ROW()-1,60),ROW()-1,FALSE))</f>
        <v/>
      </c>
      <c r="BK198" t="str">
        <f ca="1">IF(AND(ISNUMBER($BK$703),$B$511=1),$BK$703,HLOOKUP(INDIRECT(ADDRESS(2,COLUMN())),OFFSET($BN$2,0,0,ROW()-1,60),ROW()-1,FALSE))</f>
        <v/>
      </c>
      <c r="BL198" t="str">
        <f ca="1">IF(AND(ISNUMBER($BL$703),$B$511=1),$BL$703,HLOOKUP(INDIRECT(ADDRESS(2,COLUMN())),OFFSET($BN$2,0,0,ROW()-1,60),ROW()-1,FALSE))</f>
        <v/>
      </c>
      <c r="BM198" t="str">
        <f ca="1">IF(AND(ISNUMBER($BM$703),$B$511=1),$BM$703,HLOOKUP(INDIRECT(ADDRESS(2,COLUMN())),OFFSET($BN$2,0,0,ROW()-1,60),ROW()-1,FALSE))</f>
        <v/>
      </c>
      <c r="BN198" t="str">
        <f>""</f>
        <v/>
      </c>
      <c r="BO198">
        <f>3368.306379</f>
        <v>3368.3063790000001</v>
      </c>
      <c r="BP198">
        <f>3246.919237</f>
        <v>3246.9192370000001</v>
      </c>
      <c r="BQ198">
        <f>3238.262405</f>
        <v>3238.2624049999999</v>
      </c>
      <c r="BR198">
        <f>3166.696809</f>
        <v>3166.696809</v>
      </c>
      <c r="BS198">
        <f>3092.216271</f>
        <v>3092.2162709999998</v>
      </c>
      <c r="BT198">
        <f>3142.554344</f>
        <v>3142.5543440000001</v>
      </c>
      <c r="BU198">
        <f>3107.754296</f>
        <v>3107.7542960000001</v>
      </c>
      <c r="BV198">
        <f>3139.103319</f>
        <v>3139.1033189999998</v>
      </c>
      <c r="BW198">
        <f>3128.992358</f>
        <v>3128.992358</v>
      </c>
      <c r="BX198">
        <f>3107.359539</f>
        <v>3107.359539</v>
      </c>
      <c r="BY198">
        <f>3046.542921</f>
        <v>3046.5429210000002</v>
      </c>
      <c r="BZ198">
        <f>2980.653602</f>
        <v>2980.6536019999999</v>
      </c>
      <c r="CA198">
        <f>2997.265921</f>
        <v>2997.2659210000002</v>
      </c>
      <c r="CB198">
        <f>2915.739987</f>
        <v>2915.7399869999999</v>
      </c>
      <c r="CC198">
        <f>2965.157016</f>
        <v>2965.1570160000001</v>
      </c>
      <c r="CD198">
        <f>3042.077198</f>
        <v>3042.077198</v>
      </c>
      <c r="CE198">
        <f>3160.621207</f>
        <v>3160.6212070000001</v>
      </c>
      <c r="CF198">
        <f>3328.415986</f>
        <v>3328.415986</v>
      </c>
      <c r="CG198">
        <f>3330.53123</f>
        <v>3330.5312300000001</v>
      </c>
      <c r="CH198">
        <f>3296.660705</f>
        <v>3296.6607049999998</v>
      </c>
      <c r="CI198">
        <f>3185.192407</f>
        <v>3185.192407</v>
      </c>
      <c r="CJ198">
        <f>3007.591934</f>
        <v>3007.591934</v>
      </c>
      <c r="CK198">
        <f>2866.342567</f>
        <v>2866.3425670000001</v>
      </c>
      <c r="CL198">
        <f>2675.234581</f>
        <v>2675.2345810000002</v>
      </c>
      <c r="CM198">
        <f>2552.82664</f>
        <v>2552.8266400000002</v>
      </c>
      <c r="CN198" t="str">
        <f>""</f>
        <v/>
      </c>
      <c r="CO198" t="str">
        <f>""</f>
        <v/>
      </c>
      <c r="CP198" t="str">
        <f>""</f>
        <v/>
      </c>
      <c r="CQ198" t="str">
        <f>""</f>
        <v/>
      </c>
      <c r="CR198" t="str">
        <f>""</f>
        <v/>
      </c>
      <c r="CS198" t="str">
        <f>""</f>
        <v/>
      </c>
      <c r="CT198" t="str">
        <f>""</f>
        <v/>
      </c>
      <c r="CU198" t="str">
        <f>""</f>
        <v/>
      </c>
      <c r="CV198" t="str">
        <f>""</f>
        <v/>
      </c>
      <c r="CW198" t="str">
        <f>""</f>
        <v/>
      </c>
      <c r="CX198" t="str">
        <f>""</f>
        <v/>
      </c>
      <c r="CY198" t="str">
        <f>""</f>
        <v/>
      </c>
      <c r="CZ198" t="str">
        <f>""</f>
        <v/>
      </c>
      <c r="DA198" t="str">
        <f>""</f>
        <v/>
      </c>
      <c r="DB198" t="str">
        <f>""</f>
        <v/>
      </c>
      <c r="DC198" t="str">
        <f>""</f>
        <v/>
      </c>
      <c r="DD198" t="str">
        <f>""</f>
        <v/>
      </c>
      <c r="DE198" t="str">
        <f>""</f>
        <v/>
      </c>
      <c r="DF198" t="str">
        <f>""</f>
        <v/>
      </c>
      <c r="DG198" t="str">
        <f>""</f>
        <v/>
      </c>
      <c r="DH198" t="str">
        <f>""</f>
        <v/>
      </c>
      <c r="DI198" t="str">
        <f>""</f>
        <v/>
      </c>
      <c r="DJ198" t="str">
        <f>""</f>
        <v/>
      </c>
      <c r="DK198" t="str">
        <f>""</f>
        <v/>
      </c>
      <c r="DL198" t="str">
        <f>""</f>
        <v/>
      </c>
      <c r="DM198" t="str">
        <f>""</f>
        <v/>
      </c>
      <c r="DN198" t="str">
        <f>""</f>
        <v/>
      </c>
      <c r="DO198" t="str">
        <f>""</f>
        <v/>
      </c>
      <c r="DP198" t="str">
        <f>""</f>
        <v/>
      </c>
      <c r="DQ198" t="str">
        <f>""</f>
        <v/>
      </c>
      <c r="DR198" t="str">
        <f>""</f>
        <v/>
      </c>
      <c r="DS198" t="str">
        <f>""</f>
        <v/>
      </c>
      <c r="DT198" t="str">
        <f>""</f>
        <v/>
      </c>
      <c r="DU198" t="str">
        <f>""</f>
        <v/>
      </c>
    </row>
    <row r="199" spans="1:125" x14ac:dyDescent="0.25">
      <c r="A199" t="str">
        <f>"    Subaru Corp"</f>
        <v xml:space="preserve">    Subaru Corp</v>
      </c>
      <c r="B199" t="str">
        <f>"7270 JP Equity"</f>
        <v>7270 JP Equity</v>
      </c>
      <c r="C199" t="str">
        <f t="shared" si="12"/>
        <v>RR800</v>
      </c>
      <c r="D199" t="str">
        <f t="shared" si="13"/>
        <v>TRAIL_12M_NET_SALES</v>
      </c>
      <c r="E199" t="str">
        <f t="shared" si="14"/>
        <v>Dynamic</v>
      </c>
      <c r="F199" t="str">
        <f ca="1">IF(AND(ISNUMBER($F$704),$B$511=1),$F$704,HLOOKUP(INDIRECT(ADDRESS(2,COLUMN())),OFFSET($BN$2,0,0,ROW()-1,60),ROW()-1,FALSE))</f>
        <v/>
      </c>
      <c r="G199">
        <f ca="1">IF(AND(ISNUMBER($G$704),$B$511=1),$G$704,HLOOKUP(INDIRECT(ADDRESS(2,COLUMN())),OFFSET($BN$2,0,0,ROW()-1,60),ROW()-1,FALSE))</f>
        <v>29151.16244</v>
      </c>
      <c r="H199">
        <f ca="1">IF(AND(ISNUMBER($H$704),$B$511=1),$H$704,HLOOKUP(INDIRECT(ADDRESS(2,COLUMN())),OFFSET($BN$2,0,0,ROW()-1,60),ROW()-1,FALSE))</f>
        <v>29032.813129999999</v>
      </c>
      <c r="I199">
        <f ca="1">IF(AND(ISNUMBER($I$704),$B$511=1),$I$704,HLOOKUP(INDIRECT(ADDRESS(2,COLUMN())),OFFSET($BN$2,0,0,ROW()-1,60),ROW()-1,FALSE))</f>
        <v>29556.65667</v>
      </c>
      <c r="J199">
        <f ca="1">IF(AND(ISNUMBER($J$704),$B$511=1),$J$704,HLOOKUP(INDIRECT(ADDRESS(2,COLUMN())),OFFSET($BN$2,0,0,ROW()-1,60),ROW()-1,FALSE))</f>
        <v>30734.950339999999</v>
      </c>
      <c r="K199">
        <f ca="1">IF(AND(ISNUMBER($K$704),$B$511=1),$K$704,HLOOKUP(INDIRECT(ADDRESS(2,COLUMN())),OFFSET($BN$2,0,0,ROW()-1,60),ROW()-1,FALSE))</f>
        <v>30884.156490000001</v>
      </c>
      <c r="L199">
        <f ca="1">IF(AND(ISNUMBER($L$704),$B$511=1),$L$704,HLOOKUP(INDIRECT(ADDRESS(2,COLUMN())),OFFSET($BN$2,0,0,ROW()-1,60),ROW()-1,FALSE))</f>
        <v>30882.451789999999</v>
      </c>
      <c r="M199">
        <f ca="1">IF(AND(ISNUMBER($M$704),$B$511=1),$M$704,HLOOKUP(INDIRECT(ADDRESS(2,COLUMN())),OFFSET($BN$2,0,0,ROW()-1,60),ROW()-1,FALSE))</f>
        <v>31328.333600000002</v>
      </c>
      <c r="N199">
        <f ca="1">IF(AND(ISNUMBER($N$704),$B$511=1),$N$704,HLOOKUP(INDIRECT(ADDRESS(2,COLUMN())),OFFSET($BN$2,0,0,ROW()-1,60),ROW()-1,FALSE))</f>
        <v>30766.946950000001</v>
      </c>
      <c r="O199">
        <f ca="1">IF(AND(ISNUMBER($O$704),$B$511=1),$O$704,HLOOKUP(INDIRECT(ADDRESS(2,COLUMN())),OFFSET($BN$2,0,0,ROW()-1,60),ROW()-1,FALSE))</f>
        <v>29887.279050000001</v>
      </c>
      <c r="P199">
        <f ca="1">IF(AND(ISNUMBER($P$704),$B$511=1),$P$704,HLOOKUP(INDIRECT(ADDRESS(2,COLUMN())),OFFSET($BN$2,0,0,ROW()-1,60),ROW()-1,FALSE))</f>
        <v>28844.60124</v>
      </c>
      <c r="Q199">
        <f ca="1">IF(AND(ISNUMBER($Q$704),$B$511=1),$Q$704,HLOOKUP(INDIRECT(ADDRESS(2,COLUMN())),OFFSET($BN$2,0,0,ROW()-1,60),ROW()-1,FALSE))</f>
        <v>27804.719229999999</v>
      </c>
      <c r="R199">
        <f ca="1">IF(AND(ISNUMBER($R$704),$B$511=1),$R$704,HLOOKUP(INDIRECT(ADDRESS(2,COLUMN())),OFFSET($BN$2,0,0,ROW()-1,60),ROW()-1,FALSE))</f>
        <v>26946.093990000001</v>
      </c>
      <c r="S199">
        <f ca="1">IF(AND(ISNUMBER($S$704),$B$511=1),$S$704,HLOOKUP(INDIRECT(ADDRESS(2,COLUMN())),OFFSET($BN$2,0,0,ROW()-1,60),ROW()-1,FALSE))</f>
        <v>26740.497510000001</v>
      </c>
      <c r="T199">
        <f ca="1">IF(AND(ISNUMBER($T$704),$B$511=1),$T$704,HLOOKUP(INDIRECT(ADDRESS(2,COLUMN())),OFFSET($BN$2,0,0,ROW()-1,60),ROW()-1,FALSE))</f>
        <v>26599.52678</v>
      </c>
      <c r="U199">
        <f ca="1">IF(AND(ISNUMBER($U$704),$B$511=1),$U$704,HLOOKUP(INDIRECT(ADDRESS(2,COLUMN())),OFFSET($BN$2,0,0,ROW()-1,60),ROW()-1,FALSE))</f>
        <v>26703.472760000001</v>
      </c>
      <c r="V199">
        <f ca="1">IF(AND(ISNUMBER($V$704),$B$511=1),$V$704,HLOOKUP(INDIRECT(ADDRESS(2,COLUMN())),OFFSET($BN$2,0,0,ROW()-1,60),ROW()-1,FALSE))</f>
        <v>26310.488450000001</v>
      </c>
      <c r="W199">
        <f ca="1">IF(AND(ISNUMBER($W$704),$B$511=1),$W$704,HLOOKUP(INDIRECT(ADDRESS(2,COLUMN())),OFFSET($BN$2,0,0,ROW()-1,60),ROW()-1,FALSE))</f>
        <v>26140.11406</v>
      </c>
      <c r="X199">
        <f ca="1">IF(AND(ISNUMBER($X$704),$B$511=1),$X$704,HLOOKUP(INDIRECT(ADDRESS(2,COLUMN())),OFFSET($BN$2,0,0,ROW()-1,60),ROW()-1,FALSE))</f>
        <v>25348.252560000001</v>
      </c>
      <c r="Y199">
        <f ca="1">IF(AND(ISNUMBER($Y$704),$B$511=1),$Y$704,HLOOKUP(INDIRECT(ADDRESS(2,COLUMN())),OFFSET($BN$2,0,0,ROW()-1,60),ROW()-1,FALSE))</f>
        <v>24300.077819999999</v>
      </c>
      <c r="Z199">
        <f ca="1">IF(AND(ISNUMBER($Z$704),$B$511=1),$Z$704,HLOOKUP(INDIRECT(ADDRESS(2,COLUMN())),OFFSET($BN$2,0,0,ROW()-1,60),ROW()-1,FALSE))</f>
        <v>24045.942419999999</v>
      </c>
      <c r="AA199">
        <f ca="1">IF(AND(ISNUMBER($AA$704),$B$511=1),$AA$704,HLOOKUP(INDIRECT(ADDRESS(2,COLUMN())),OFFSET($BN$2,0,0,ROW()-1,60),ROW()-1,FALSE))</f>
        <v>23097.18994</v>
      </c>
      <c r="AB199">
        <f ca="1">IF(AND(ISNUMBER($AB$704),$B$511=1),$AB$704,HLOOKUP(INDIRECT(ADDRESS(2,COLUMN())),OFFSET($BN$2,0,0,ROW()-1,60),ROW()-1,FALSE))</f>
        <v>23244.425480000002</v>
      </c>
      <c r="AC199">
        <f ca="1">IF(AND(ISNUMBER($AC$704),$B$511=1),$AC$704,HLOOKUP(INDIRECT(ADDRESS(2,COLUMN())),OFFSET($BN$2,0,0,ROW()-1,60),ROW()-1,FALSE))</f>
        <v>23384.867910000001</v>
      </c>
      <c r="AD199">
        <f ca="1">IF(AND(ISNUMBER($AD$704),$B$511=1),$AD$704,HLOOKUP(INDIRECT(ADDRESS(2,COLUMN())),OFFSET($BN$2,0,0,ROW()-1,60),ROW()-1,FALSE))</f>
        <v>23151.315119999999</v>
      </c>
      <c r="AE199">
        <f ca="1">IF(AND(ISNUMBER($AE$704),$B$511=1),$AE$704,HLOOKUP(INDIRECT(ADDRESS(2,COLUMN())),OFFSET($BN$2,0,0,ROW()-1,60),ROW()-1,FALSE))</f>
        <v>23297.756789999999</v>
      </c>
      <c r="AF199">
        <f ca="1">IF(AND(ISNUMBER($AF$704),$B$511=1),$AF$704,HLOOKUP(INDIRECT(ADDRESS(2,COLUMN())),OFFSET($BN$2,0,0,ROW()-1,60),ROW()-1,FALSE))</f>
        <v>22333.718010000001</v>
      </c>
      <c r="AG199">
        <f ca="1">IF(AND(ISNUMBER($AG$704),$B$511=1),$AG$704,HLOOKUP(INDIRECT(ADDRESS(2,COLUMN())),OFFSET($BN$2,0,0,ROW()-1,60),ROW()-1,FALSE))</f>
        <v>20947.760829999999</v>
      </c>
      <c r="AH199">
        <f ca="1">IF(AND(ISNUMBER($AH$704),$B$511=1),$AH$704,HLOOKUP(INDIRECT(ADDRESS(2,COLUMN())),OFFSET($BN$2,0,0,ROW()-1,60),ROW()-1,FALSE))</f>
        <v>19227.496469999998</v>
      </c>
      <c r="AI199">
        <f ca="1">IF(AND(ISNUMBER($AI$704),$B$511=1),$AI$704,HLOOKUP(INDIRECT(ADDRESS(2,COLUMN())),OFFSET($BN$2,0,0,ROW()-1,60),ROW()-1,FALSE))</f>
        <v>18030.13536</v>
      </c>
      <c r="AJ199">
        <f ca="1">IF(AND(ISNUMBER($AJ$704),$B$511=1),$AJ$704,HLOOKUP(INDIRECT(ADDRESS(2,COLUMN())),OFFSET($BN$2,0,0,ROW()-1,60),ROW()-1,FALSE))</f>
        <v>17690.612789999999</v>
      </c>
      <c r="AK199">
        <f ca="1">IF(AND(ISNUMBER($AK$704),$B$511=1),$AK$704,HLOOKUP(INDIRECT(ADDRESS(2,COLUMN())),OFFSET($BN$2,0,0,ROW()-1,60),ROW()-1,FALSE))</f>
        <v>18204.197550000001</v>
      </c>
      <c r="AL199">
        <f ca="1">IF(AND(ISNUMBER($AL$704),$B$511=1),$AL$704,HLOOKUP(INDIRECT(ADDRESS(2,COLUMN())),OFFSET($BN$2,0,0,ROW()-1,60),ROW()-1,FALSE))</f>
        <v>18494.572939999998</v>
      </c>
      <c r="AM199">
        <f ca="1">IF(AND(ISNUMBER($AM$704),$B$511=1),$AM$704,HLOOKUP(INDIRECT(ADDRESS(2,COLUMN())),OFFSET($BN$2,0,0,ROW()-1,60),ROW()-1,FALSE))</f>
        <v>18177.8236</v>
      </c>
      <c r="AN199">
        <f ca="1">IF(AND(ISNUMBER($AN$704),$B$511=1),$AN$704,HLOOKUP(INDIRECT(ADDRESS(2,COLUMN())),OFFSET($BN$2,0,0,ROW()-1,60),ROW()-1,FALSE))</f>
        <v>17847.98245</v>
      </c>
      <c r="AO199">
        <f ca="1">IF(AND(ISNUMBER($AO$704),$B$511=1),$AO$704,HLOOKUP(INDIRECT(ADDRESS(2,COLUMN())),OFFSET($BN$2,0,0,ROW()-1,60),ROW()-1,FALSE))</f>
        <v>16695.342990000001</v>
      </c>
      <c r="AP199">
        <f ca="1">IF(AND(ISNUMBER($AP$704),$B$511=1),$AP$704,HLOOKUP(INDIRECT(ADDRESS(2,COLUMN())),OFFSET($BN$2,0,0,ROW()-1,60),ROW()-1,FALSE))</f>
        <v>15405.277029999999</v>
      </c>
      <c r="AQ199">
        <f ca="1">IF(AND(ISNUMBER($AQ$704),$B$511=1),$AQ$704,HLOOKUP(INDIRECT(ADDRESS(2,COLUMN())),OFFSET($BN$2,0,0,ROW()-1,60),ROW()-1,FALSE))</f>
        <v>14457.335859999999</v>
      </c>
      <c r="AR199">
        <f ca="1">IF(AND(ISNUMBER($AR$704),$B$511=1),$AR$704,HLOOKUP(INDIRECT(ADDRESS(2,COLUMN())),OFFSET($BN$2,0,0,ROW()-1,60),ROW()-1,FALSE))</f>
        <v>14071.81683</v>
      </c>
      <c r="AS199">
        <f ca="1">IF(AND(ISNUMBER($AS$704),$B$511=1),$AS$704,HLOOKUP(INDIRECT(ADDRESS(2,COLUMN())),OFFSET($BN$2,0,0,ROW()-1,60),ROW()-1,FALSE))</f>
        <v>13993.59845</v>
      </c>
      <c r="AT199">
        <f ca="1">IF(AND(ISNUMBER($AT$704),$B$511=1),$AT$704,HLOOKUP(INDIRECT(ADDRESS(2,COLUMN())),OFFSET($BN$2,0,0,ROW()-1,60),ROW()-1,FALSE))</f>
        <v>14446.052949999999</v>
      </c>
      <c r="AU199">
        <f ca="1">IF(AND(ISNUMBER($AU$704),$B$511=1),$AU$704,HLOOKUP(INDIRECT(ADDRESS(2,COLUMN())),OFFSET($BN$2,0,0,ROW()-1,60),ROW()-1,FALSE))</f>
        <v>15266.056259999999</v>
      </c>
      <c r="AV199">
        <f ca="1">IF(AND(ISNUMBER($AV$704),$B$511=1),$AV$704,HLOOKUP(INDIRECT(ADDRESS(2,COLUMN())),OFFSET($BN$2,0,0,ROW()-1,60),ROW()-1,FALSE))</f>
        <v>14950.463809999999</v>
      </c>
      <c r="AW199">
        <f ca="1">IF(AND(ISNUMBER($AW$704),$B$511=1),$AW$704,HLOOKUP(INDIRECT(ADDRESS(2,COLUMN())),OFFSET($BN$2,0,0,ROW()-1,60),ROW()-1,FALSE))</f>
        <v>14515.73086</v>
      </c>
      <c r="AX199">
        <f ca="1">IF(AND(ISNUMBER($AX$704),$B$511=1),$AX$704,HLOOKUP(INDIRECT(ADDRESS(2,COLUMN())),OFFSET($BN$2,0,0,ROW()-1,60),ROW()-1,FALSE))</f>
        <v>13805.34859</v>
      </c>
      <c r="AY199">
        <f ca="1">IF(AND(ISNUMBER($AY$704),$B$511=1),$AY$704,HLOOKUP(INDIRECT(ADDRESS(2,COLUMN())),OFFSET($BN$2,0,0,ROW()-1,60),ROW()-1,FALSE))</f>
        <v>13101.208629999999</v>
      </c>
      <c r="AZ199">
        <f ca="1">IF(AND(ISNUMBER($AZ$704),$B$511=1),$AZ$704,HLOOKUP(INDIRECT(ADDRESS(2,COLUMN())),OFFSET($BN$2,0,0,ROW()-1,60),ROW()-1,FALSE))</f>
        <v>12658.365390000001</v>
      </c>
      <c r="BA199">
        <f ca="1">IF(AND(ISNUMBER($BA$704),$B$511=1),$BA$704,HLOOKUP(INDIRECT(ADDRESS(2,COLUMN())),OFFSET($BN$2,0,0,ROW()-1,60),ROW()-1,FALSE))</f>
        <v>12517.43542</v>
      </c>
      <c r="BB199">
        <f ca="1">IF(AND(ISNUMBER($BB$704),$B$511=1),$BB$704,HLOOKUP(INDIRECT(ADDRESS(2,COLUMN())),OFFSET($BN$2,0,0,ROW()-1,60),ROW()-1,FALSE))</f>
        <v>12788.08208</v>
      </c>
      <c r="BC199">
        <f ca="1">IF(AND(ISNUMBER($BC$704),$B$511=1),$BC$704,HLOOKUP(INDIRECT(ADDRESS(2,COLUMN())),OFFSET($BN$2,0,0,ROW()-1,60),ROW()-1,FALSE))</f>
        <v>12861.05875</v>
      </c>
      <c r="BD199">
        <f ca="1">IF(AND(ISNUMBER($BD$704),$B$511=1),$BD$704,HLOOKUP(INDIRECT(ADDRESS(2,COLUMN())),OFFSET($BN$2,0,0,ROW()-1,60),ROW()-1,FALSE))</f>
        <v>12981.33231</v>
      </c>
      <c r="BE199">
        <f ca="1">IF(AND(ISNUMBER($BE$704),$B$511=1),$BE$704,HLOOKUP(INDIRECT(ADDRESS(2,COLUMN())),OFFSET($BN$2,0,0,ROW()-1,60),ROW()-1,FALSE))</f>
        <v>13112.79448</v>
      </c>
      <c r="BF199">
        <f ca="1">IF(AND(ISNUMBER($BF$704),$B$511=1),$BF$704,HLOOKUP(INDIRECT(ADDRESS(2,COLUMN())),OFFSET($BN$2,0,0,ROW()-1,60),ROW()-1,FALSE))</f>
        <v>13057.904049999999</v>
      </c>
      <c r="BG199">
        <f ca="1">IF(AND(ISNUMBER($BG$704),$B$511=1),$BG$704,HLOOKUP(INDIRECT(ADDRESS(2,COLUMN())),OFFSET($BN$2,0,0,ROW()-1,60),ROW()-1,FALSE))</f>
        <v>13056.41338</v>
      </c>
      <c r="BH199">
        <f ca="1">IF(AND(ISNUMBER($BH$704),$B$511=1),$BH$704,HLOOKUP(INDIRECT(ADDRESS(2,COLUMN())),OFFSET($BN$2,0,0,ROW()-1,60),ROW()-1,FALSE))</f>
        <v>13274.22229</v>
      </c>
      <c r="BI199">
        <f ca="1">IF(AND(ISNUMBER($BI$704),$B$511=1),$BI$704,HLOOKUP(INDIRECT(ADDRESS(2,COLUMN())),OFFSET($BN$2,0,0,ROW()-1,60),ROW()-1,FALSE))</f>
        <v>13463.167390000001</v>
      </c>
      <c r="BJ199">
        <f ca="1">IF(AND(ISNUMBER($BJ$704),$B$511=1),$BJ$704,HLOOKUP(INDIRECT(ADDRESS(2,COLUMN())),OFFSET($BN$2,0,0,ROW()-1,60),ROW()-1,FALSE))</f>
        <v>13469.70422</v>
      </c>
      <c r="BK199">
        <f ca="1">IF(AND(ISNUMBER($BK$704),$B$511=1),$BK$704,HLOOKUP(INDIRECT(ADDRESS(2,COLUMN())),OFFSET($BN$2,0,0,ROW()-1,60),ROW()-1,FALSE))</f>
        <v>13524.70752</v>
      </c>
      <c r="BL199">
        <f ca="1">IF(AND(ISNUMBER($BL$704),$B$511=1),$BL$704,HLOOKUP(INDIRECT(ADDRESS(2,COLUMN())),OFFSET($BN$2,0,0,ROW()-1,60),ROW()-1,FALSE))</f>
        <v>13455.29328</v>
      </c>
      <c r="BM199">
        <f ca="1">IF(AND(ISNUMBER($BM$704),$B$511=1),$BM$704,HLOOKUP(INDIRECT(ADDRESS(2,COLUMN())),OFFSET($BN$2,0,0,ROW()-1,60),ROW()-1,FALSE))</f>
        <v>13232.010689999999</v>
      </c>
      <c r="BN199" t="str">
        <f>""</f>
        <v/>
      </c>
      <c r="BO199">
        <f>29151.16244</f>
        <v>29151.16244</v>
      </c>
      <c r="BP199">
        <f>29032.81313</f>
        <v>29032.813129999999</v>
      </c>
      <c r="BQ199">
        <f>29556.65667</f>
        <v>29556.65667</v>
      </c>
      <c r="BR199">
        <f>30734.95034</f>
        <v>30734.950339999999</v>
      </c>
      <c r="BS199">
        <f>30884.15649</f>
        <v>30884.156490000001</v>
      </c>
      <c r="BT199">
        <f>30882.45179</f>
        <v>30882.451789999999</v>
      </c>
      <c r="BU199">
        <f>31328.3336</f>
        <v>31328.333600000002</v>
      </c>
      <c r="BV199">
        <f>30766.94695</f>
        <v>30766.946950000001</v>
      </c>
      <c r="BW199">
        <f>29887.27905</f>
        <v>29887.279050000001</v>
      </c>
      <c r="BX199">
        <f>28844.60124</f>
        <v>28844.60124</v>
      </c>
      <c r="BY199">
        <f>27804.71923</f>
        <v>27804.719229999999</v>
      </c>
      <c r="BZ199">
        <f>26946.09399</f>
        <v>26946.093990000001</v>
      </c>
      <c r="CA199">
        <f>26740.49751</f>
        <v>26740.497510000001</v>
      </c>
      <c r="CB199">
        <f>26599.52678</f>
        <v>26599.52678</v>
      </c>
      <c r="CC199">
        <f>26703.47276</f>
        <v>26703.472760000001</v>
      </c>
      <c r="CD199">
        <f>26310.48845</f>
        <v>26310.488450000001</v>
      </c>
      <c r="CE199">
        <f>26140.11406</f>
        <v>26140.11406</v>
      </c>
      <c r="CF199">
        <f>25348.25256</f>
        <v>25348.252560000001</v>
      </c>
      <c r="CG199">
        <f>24300.07782</f>
        <v>24300.077819999999</v>
      </c>
      <c r="CH199">
        <f>24045.94242</f>
        <v>24045.942419999999</v>
      </c>
      <c r="CI199">
        <f>23097.18994</f>
        <v>23097.18994</v>
      </c>
      <c r="CJ199">
        <f>23244.42548</f>
        <v>23244.425480000002</v>
      </c>
      <c r="CK199">
        <f>23384.86791</f>
        <v>23384.867910000001</v>
      </c>
      <c r="CL199">
        <f>23151.31512</f>
        <v>23151.315119999999</v>
      </c>
      <c r="CM199">
        <f>23297.75679</f>
        <v>23297.756789999999</v>
      </c>
      <c r="CN199">
        <f>22333.71801</f>
        <v>22333.718010000001</v>
      </c>
      <c r="CO199">
        <f>20947.76083</f>
        <v>20947.760829999999</v>
      </c>
      <c r="CP199">
        <f>19227.49647</f>
        <v>19227.496469999998</v>
      </c>
      <c r="CQ199">
        <f>18030.13536</f>
        <v>18030.13536</v>
      </c>
      <c r="CR199">
        <f>17690.61279</f>
        <v>17690.612789999999</v>
      </c>
      <c r="CS199">
        <f>18204.19755</f>
        <v>18204.197550000001</v>
      </c>
      <c r="CT199">
        <f>18494.57294</f>
        <v>18494.572939999998</v>
      </c>
      <c r="CU199">
        <f>18177.8236</f>
        <v>18177.8236</v>
      </c>
      <c r="CV199">
        <f>17847.98245</f>
        <v>17847.98245</v>
      </c>
      <c r="CW199">
        <f>16695.34299</f>
        <v>16695.342990000001</v>
      </c>
      <c r="CX199">
        <f>15405.27703</f>
        <v>15405.277029999999</v>
      </c>
      <c r="CY199">
        <f>14457.33586</f>
        <v>14457.335859999999</v>
      </c>
      <c r="CZ199">
        <f>14071.81683</f>
        <v>14071.81683</v>
      </c>
      <c r="DA199">
        <f>13993.59845</f>
        <v>13993.59845</v>
      </c>
      <c r="DB199">
        <f>14446.05295</f>
        <v>14446.052949999999</v>
      </c>
      <c r="DC199">
        <f>15266.05626</f>
        <v>15266.056259999999</v>
      </c>
      <c r="DD199">
        <f>14950.46381</f>
        <v>14950.463809999999</v>
      </c>
      <c r="DE199">
        <f>14515.73086</f>
        <v>14515.73086</v>
      </c>
      <c r="DF199">
        <f>13805.34859</f>
        <v>13805.34859</v>
      </c>
      <c r="DG199">
        <f>13101.20863</f>
        <v>13101.208629999999</v>
      </c>
      <c r="DH199">
        <f>12658.36539</f>
        <v>12658.365390000001</v>
      </c>
      <c r="DI199">
        <f>12517.43542</f>
        <v>12517.43542</v>
      </c>
      <c r="DJ199">
        <f>12788.08208</f>
        <v>12788.08208</v>
      </c>
      <c r="DK199">
        <f>12861.05875</f>
        <v>12861.05875</v>
      </c>
      <c r="DL199">
        <f>12981.33231</f>
        <v>12981.33231</v>
      </c>
      <c r="DM199">
        <f>13112.79448</f>
        <v>13112.79448</v>
      </c>
      <c r="DN199">
        <f>13057.90405</f>
        <v>13057.904049999999</v>
      </c>
      <c r="DO199">
        <f>13056.41338</f>
        <v>13056.41338</v>
      </c>
      <c r="DP199">
        <f>13274.22229</f>
        <v>13274.22229</v>
      </c>
      <c r="DQ199">
        <f>13463.16739</f>
        <v>13463.167390000001</v>
      </c>
      <c r="DR199">
        <f>13469.70422</f>
        <v>13469.70422</v>
      </c>
      <c r="DS199">
        <f>13524.70752</f>
        <v>13524.70752</v>
      </c>
      <c r="DT199">
        <f>13455.29328</f>
        <v>13455.29328</v>
      </c>
      <c r="DU199">
        <f>13232.01069</f>
        <v>13232.010689999999</v>
      </c>
    </row>
    <row r="200" spans="1:125" x14ac:dyDescent="0.25">
      <c r="A200" t="str">
        <f>"    Suzuki Motor Corp"</f>
        <v xml:space="preserve">    Suzuki Motor Corp</v>
      </c>
      <c r="B200" t="str">
        <f>"7269 JP Equity"</f>
        <v>7269 JP Equity</v>
      </c>
      <c r="C200" t="str">
        <f t="shared" si="12"/>
        <v>RR800</v>
      </c>
      <c r="D200" t="str">
        <f t="shared" si="13"/>
        <v>TRAIL_12M_NET_SALES</v>
      </c>
      <c r="E200" t="str">
        <f t="shared" si="14"/>
        <v>Dynamic</v>
      </c>
      <c r="F200" t="str">
        <f ca="1">IF(AND(ISNUMBER($F$705),$B$511=1),$F$705,HLOOKUP(INDIRECT(ADDRESS(2,COLUMN())),OFFSET($BN$2,0,0,ROW()-1,60),ROW()-1,FALSE))</f>
        <v/>
      </c>
      <c r="G200">
        <f ca="1">IF(AND(ISNUMBER($G$705),$B$511=1),$G$705,HLOOKUP(INDIRECT(ADDRESS(2,COLUMN())),OFFSET($BN$2,0,0,ROW()-1,60),ROW()-1,FALSE))</f>
        <v>35068.10022</v>
      </c>
      <c r="H200">
        <f ca="1">IF(AND(ISNUMBER($H$705),$B$511=1),$H$705,HLOOKUP(INDIRECT(ADDRESS(2,COLUMN())),OFFSET($BN$2,0,0,ROW()-1,60),ROW()-1,FALSE))</f>
        <v>34918.073640000002</v>
      </c>
      <c r="I200">
        <f ca="1">IF(AND(ISNUMBER($I$705),$B$511=1),$I$705,HLOOKUP(INDIRECT(ADDRESS(2,COLUMN())),OFFSET($BN$2,0,0,ROW()-1,60),ROW()-1,FALSE))</f>
        <v>35139.39976</v>
      </c>
      <c r="J200">
        <f ca="1">IF(AND(ISNUMBER($J$705),$B$511=1),$J$705,HLOOKUP(INDIRECT(ADDRESS(2,COLUMN())),OFFSET($BN$2,0,0,ROW()-1,60),ROW()-1,FALSE))</f>
        <v>33912.02491</v>
      </c>
      <c r="K200">
        <f ca="1">IF(AND(ISNUMBER($K$705),$B$511=1),$K$705,HLOOKUP(INDIRECT(ADDRESS(2,COLUMN())),OFFSET($BN$2,0,0,ROW()-1,60),ROW()-1,FALSE))</f>
        <v>32487.106199999998</v>
      </c>
      <c r="L200">
        <f ca="1">IF(AND(ISNUMBER($L$705),$B$511=1),$L$705,HLOOKUP(INDIRECT(ADDRESS(2,COLUMN())),OFFSET($BN$2,0,0,ROW()-1,60),ROW()-1,FALSE))</f>
        <v>31485.184209999999</v>
      </c>
      <c r="M200">
        <f ca="1">IF(AND(ISNUMBER($M$705),$B$511=1),$M$705,HLOOKUP(INDIRECT(ADDRESS(2,COLUMN())),OFFSET($BN$2,0,0,ROW()-1,60),ROW()-1,FALSE))</f>
        <v>30166.073970000001</v>
      </c>
      <c r="N200">
        <f ca="1">IF(AND(ISNUMBER($N$705),$B$511=1),$N$705,HLOOKUP(INDIRECT(ADDRESS(2,COLUMN())),OFFSET($BN$2,0,0,ROW()-1,60),ROW()-1,FALSE))</f>
        <v>29319.712909999998</v>
      </c>
      <c r="O200">
        <f ca="1">IF(AND(ISNUMBER($O$705),$B$511=1),$O$705,HLOOKUP(INDIRECT(ADDRESS(2,COLUMN())),OFFSET($BN$2,0,0,ROW()-1,60),ROW()-1,FALSE))</f>
        <v>28370.703300000001</v>
      </c>
      <c r="P200">
        <f ca="1">IF(AND(ISNUMBER($P$705),$B$511=1),$P$705,HLOOKUP(INDIRECT(ADDRESS(2,COLUMN())),OFFSET($BN$2,0,0,ROW()-1,60),ROW()-1,FALSE))</f>
        <v>28086.346399999999</v>
      </c>
      <c r="Q200">
        <f ca="1">IF(AND(ISNUMBER($Q$705),$B$511=1),$Q$705,HLOOKUP(INDIRECT(ADDRESS(2,COLUMN())),OFFSET($BN$2,0,0,ROW()-1,60),ROW()-1,FALSE))</f>
        <v>27164.381710000001</v>
      </c>
      <c r="R200">
        <f ca="1">IF(AND(ISNUMBER($R$705),$B$511=1),$R$705,HLOOKUP(INDIRECT(ADDRESS(2,COLUMN())),OFFSET($BN$2,0,0,ROW()-1,60),ROW()-1,FALSE))</f>
        <v>26515.932939999999</v>
      </c>
      <c r="S200">
        <f ca="1">IF(AND(ISNUMBER($S$705),$B$511=1),$S$705,HLOOKUP(INDIRECT(ADDRESS(2,COLUMN())),OFFSET($BN$2,0,0,ROW()-1,60),ROW()-1,FALSE))</f>
        <v>26676.361349999999</v>
      </c>
      <c r="T200">
        <f ca="1">IF(AND(ISNUMBER($T$705),$B$511=1),$T$705,HLOOKUP(INDIRECT(ADDRESS(2,COLUMN())),OFFSET($BN$2,0,0,ROW()-1,60),ROW()-1,FALSE))</f>
        <v>26357.313989999999</v>
      </c>
      <c r="U200">
        <f ca="1">IF(AND(ISNUMBER($U$705),$B$511=1),$U$705,HLOOKUP(INDIRECT(ADDRESS(2,COLUMN())),OFFSET($BN$2,0,0,ROW()-1,60),ROW()-1,FALSE))</f>
        <v>26949.695650000001</v>
      </c>
      <c r="V200">
        <f ca="1">IF(AND(ISNUMBER($V$705),$B$511=1),$V$705,HLOOKUP(INDIRECT(ADDRESS(2,COLUMN())),OFFSET($BN$2,0,0,ROW()-1,60),ROW()-1,FALSE))</f>
        <v>27567.981309999999</v>
      </c>
      <c r="W200">
        <f ca="1">IF(AND(ISNUMBER($W$705),$B$511=1),$W$705,HLOOKUP(INDIRECT(ADDRESS(2,COLUMN())),OFFSET($BN$2,0,0,ROW()-1,60),ROW()-1,FALSE))</f>
        <v>28462.403630000001</v>
      </c>
      <c r="X200">
        <f ca="1">IF(AND(ISNUMBER($X$705),$B$511=1),$X$705,HLOOKUP(INDIRECT(ADDRESS(2,COLUMN())),OFFSET($BN$2,0,0,ROW()-1,60),ROW()-1,FALSE))</f>
        <v>29318.433710000001</v>
      </c>
      <c r="Y200">
        <f ca="1">IF(AND(ISNUMBER($Y$705),$B$511=1),$Y$705,HLOOKUP(INDIRECT(ADDRESS(2,COLUMN())),OFFSET($BN$2,0,0,ROW()-1,60),ROW()-1,FALSE))</f>
        <v>29431.48849</v>
      </c>
      <c r="Z200">
        <f ca="1">IF(AND(ISNUMBER($Z$705),$B$511=1),$Z$705,HLOOKUP(INDIRECT(ADDRESS(2,COLUMN())),OFFSET($BN$2,0,0,ROW()-1,60),ROW()-1,FALSE))</f>
        <v>29340.010139999999</v>
      </c>
      <c r="AA200">
        <f ca="1">IF(AND(ISNUMBER($AA$705),$B$511=1),$AA$705,HLOOKUP(INDIRECT(ADDRESS(2,COLUMN())),OFFSET($BN$2,0,0,ROW()-1,60),ROW()-1,FALSE))</f>
        <v>29054.680799999998</v>
      </c>
      <c r="AB200">
        <f ca="1">IF(AND(ISNUMBER($AB$705),$B$511=1),$AB$705,HLOOKUP(INDIRECT(ADDRESS(2,COLUMN())),OFFSET($BN$2,0,0,ROW()-1,60),ROW()-1,FALSE))</f>
        <v>29554.482370000002</v>
      </c>
      <c r="AC200">
        <f ca="1">IF(AND(ISNUMBER($AC$705),$B$511=1),$AC$705,HLOOKUP(INDIRECT(ADDRESS(2,COLUMN())),OFFSET($BN$2,0,0,ROW()-1,60),ROW()-1,FALSE))</f>
        <v>30043.920050000001</v>
      </c>
      <c r="AD200">
        <f ca="1">IF(AND(ISNUMBER($AD$705),$B$511=1),$AD$705,HLOOKUP(INDIRECT(ADDRESS(2,COLUMN())),OFFSET($BN$2,0,0,ROW()-1,60),ROW()-1,FALSE))</f>
        <v>31203.569200000002</v>
      </c>
      <c r="AE200">
        <f ca="1">IF(AND(ISNUMBER($AE$705),$B$511=1),$AE$705,HLOOKUP(INDIRECT(ADDRESS(2,COLUMN())),OFFSET($BN$2,0,0,ROW()-1,60),ROW()-1,FALSE))</f>
        <v>31804.04062</v>
      </c>
      <c r="AF200">
        <f ca="1">IF(AND(ISNUMBER($AF$705),$B$511=1),$AF$705,HLOOKUP(INDIRECT(ADDRESS(2,COLUMN())),OFFSET($BN$2,0,0,ROW()-1,60),ROW()-1,FALSE))</f>
        <v>31885.143390000001</v>
      </c>
      <c r="AG200">
        <f ca="1">IF(AND(ISNUMBER($AG$705),$B$511=1),$AG$705,HLOOKUP(INDIRECT(ADDRESS(2,COLUMN())),OFFSET($BN$2,0,0,ROW()-1,60),ROW()-1,FALSE))</f>
        <v>32455.346979999998</v>
      </c>
      <c r="AH200">
        <f ca="1">IF(AND(ISNUMBER($AH$705),$B$511=1),$AH$705,HLOOKUP(INDIRECT(ADDRESS(2,COLUMN())),OFFSET($BN$2,0,0,ROW()-1,60),ROW()-1,FALSE))</f>
        <v>31838.961350000001</v>
      </c>
      <c r="AI200">
        <f ca="1">IF(AND(ISNUMBER($AI$705),$B$511=1),$AI$705,HLOOKUP(INDIRECT(ADDRESS(2,COLUMN())),OFFSET($BN$2,0,0,ROW()-1,60),ROW()-1,FALSE))</f>
        <v>31133.777440000002</v>
      </c>
      <c r="AJ200">
        <f ca="1">IF(AND(ISNUMBER($AJ$705),$B$511=1),$AJ$705,HLOOKUP(INDIRECT(ADDRESS(2,COLUMN())),OFFSET($BN$2,0,0,ROW()-1,60),ROW()-1,FALSE))</f>
        <v>31086.346860000001</v>
      </c>
      <c r="AK200">
        <f ca="1">IF(AND(ISNUMBER($AK$705),$B$511=1),$AK$705,HLOOKUP(INDIRECT(ADDRESS(2,COLUMN())),OFFSET($BN$2,0,0,ROW()-1,60),ROW()-1,FALSE))</f>
        <v>30840.248670000001</v>
      </c>
      <c r="AL200">
        <f ca="1">IF(AND(ISNUMBER($AL$705),$B$511=1),$AL$705,HLOOKUP(INDIRECT(ADDRESS(2,COLUMN())),OFFSET($BN$2,0,0,ROW()-1,60),ROW()-1,FALSE))</f>
        <v>30519.41589</v>
      </c>
      <c r="AM200">
        <f ca="1">IF(AND(ISNUMBER($AM$705),$B$511=1),$AM$705,HLOOKUP(INDIRECT(ADDRESS(2,COLUMN())),OFFSET($BN$2,0,0,ROW()-1,60),ROW()-1,FALSE))</f>
        <v>29906.468069999999</v>
      </c>
      <c r="AN200">
        <f ca="1">IF(AND(ISNUMBER($AN$705),$B$511=1),$AN$705,HLOOKUP(INDIRECT(ADDRESS(2,COLUMN())),OFFSET($BN$2,0,0,ROW()-1,60),ROW()-1,FALSE))</f>
        <v>29125.00534</v>
      </c>
      <c r="AO200">
        <f ca="1">IF(AND(ISNUMBER($AO$705),$B$511=1),$AO$705,HLOOKUP(INDIRECT(ADDRESS(2,COLUMN())),OFFSET($BN$2,0,0,ROW()-1,60),ROW()-1,FALSE))</f>
        <v>27848.67139</v>
      </c>
      <c r="AP200">
        <f ca="1">IF(AND(ISNUMBER($AP$705),$B$511=1),$AP$705,HLOOKUP(INDIRECT(ADDRESS(2,COLUMN())),OFFSET($BN$2,0,0,ROW()-1,60),ROW()-1,FALSE))</f>
        <v>26623.399130000002</v>
      </c>
      <c r="AQ200">
        <f ca="1">IF(AND(ISNUMBER($AQ$705),$B$511=1),$AQ$705,HLOOKUP(INDIRECT(ADDRESS(2,COLUMN())),OFFSET($BN$2,0,0,ROW()-1,60),ROW()-1,FALSE))</f>
        <v>26204.223529999999</v>
      </c>
      <c r="AR200">
        <f ca="1">IF(AND(ISNUMBER($AR$705),$B$511=1),$AR$705,HLOOKUP(INDIRECT(ADDRESS(2,COLUMN())),OFFSET($BN$2,0,0,ROW()-1,60),ROW()-1,FALSE))</f>
        <v>25957.993060000001</v>
      </c>
      <c r="AS200">
        <f ca="1">IF(AND(ISNUMBER($AS$705),$B$511=1),$AS$705,HLOOKUP(INDIRECT(ADDRESS(2,COLUMN())),OFFSET($BN$2,0,0,ROW()-1,60),ROW()-1,FALSE))</f>
        <v>27169.624230000001</v>
      </c>
      <c r="AT200">
        <f ca="1">IF(AND(ISNUMBER($AT$705),$B$511=1),$AT$705,HLOOKUP(INDIRECT(ADDRESS(2,COLUMN())),OFFSET($BN$2,0,0,ROW()-1,60),ROW()-1,FALSE))</f>
        <v>30024.247449999999</v>
      </c>
      <c r="AU200">
        <f ca="1">IF(AND(ISNUMBER($AU$705),$B$511=1),$AU$705,HLOOKUP(INDIRECT(ADDRESS(2,COLUMN())),OFFSET($BN$2,0,0,ROW()-1,60),ROW()-1,FALSE))</f>
        <v>31608.189180000001</v>
      </c>
      <c r="AV200">
        <f ca="1">IF(AND(ISNUMBER($AV$705),$B$511=1),$AV$705,HLOOKUP(INDIRECT(ADDRESS(2,COLUMN())),OFFSET($BN$2,0,0,ROW()-1,60),ROW()-1,FALSE))</f>
        <v>32486.267159999999</v>
      </c>
      <c r="AW200">
        <f ca="1">IF(AND(ISNUMBER($AW$705),$B$511=1),$AW$705,HLOOKUP(INDIRECT(ADDRESS(2,COLUMN())),OFFSET($BN$2,0,0,ROW()-1,60),ROW()-1,FALSE))</f>
        <v>32014.805670000002</v>
      </c>
      <c r="AX200">
        <f ca="1">IF(AND(ISNUMBER($AX$705),$B$511=1),$AX$705,HLOOKUP(INDIRECT(ADDRESS(2,COLUMN())),OFFSET($BN$2,0,0,ROW()-1,60),ROW()-1,FALSE))</f>
        <v>30751.574540000001</v>
      </c>
      <c r="AY200">
        <f ca="1">IF(AND(ISNUMBER($AY$705),$B$511=1),$AY$705,HLOOKUP(INDIRECT(ADDRESS(2,COLUMN())),OFFSET($BN$2,0,0,ROW()-1,60),ROW()-1,FALSE))</f>
        <v>29783.61753</v>
      </c>
      <c r="AZ200">
        <f ca="1">IF(AND(ISNUMBER($AZ$705),$B$511=1),$AZ$705,HLOOKUP(INDIRECT(ADDRESS(2,COLUMN())),OFFSET($BN$2,0,0,ROW()-1,60),ROW()-1,FALSE))</f>
        <v>28682.629410000001</v>
      </c>
      <c r="BA200">
        <f ca="1">IF(AND(ISNUMBER($BA$705),$B$511=1),$BA$705,HLOOKUP(INDIRECT(ADDRESS(2,COLUMN())),OFFSET($BN$2,0,0,ROW()-1,60),ROW()-1,FALSE))</f>
        <v>27796.753649999999</v>
      </c>
      <c r="BB200">
        <f ca="1">IF(AND(ISNUMBER($BB$705),$B$511=1),$BB$705,HLOOKUP(INDIRECT(ADDRESS(2,COLUMN())),OFFSET($BN$2,0,0,ROW()-1,60),ROW()-1,FALSE))</f>
        <v>27065.024570000001</v>
      </c>
      <c r="BC200">
        <f ca="1">IF(AND(ISNUMBER($BC$705),$B$511=1),$BC$705,HLOOKUP(INDIRECT(ADDRESS(2,COLUMN())),OFFSET($BN$2,0,0,ROW()-1,60),ROW()-1,FALSE))</f>
        <v>26071.331040000001</v>
      </c>
      <c r="BD200">
        <f ca="1">IF(AND(ISNUMBER($BD$705),$B$511=1),$BD$705,HLOOKUP(INDIRECT(ADDRESS(2,COLUMN())),OFFSET($BN$2,0,0,ROW()-1,60),ROW()-1,FALSE))</f>
        <v>25442.530500000001</v>
      </c>
      <c r="BE200">
        <f ca="1">IF(AND(ISNUMBER($BE$705),$B$511=1),$BE$705,HLOOKUP(INDIRECT(ADDRESS(2,COLUMN())),OFFSET($BN$2,0,0,ROW()-1,60),ROW()-1,FALSE))</f>
        <v>25011.233960000001</v>
      </c>
      <c r="BF200">
        <f ca="1">IF(AND(ISNUMBER($BF$705),$B$511=1),$BF$705,HLOOKUP(INDIRECT(ADDRESS(2,COLUMN())),OFFSET($BN$2,0,0,ROW()-1,60),ROW()-1,FALSE))</f>
        <v>24291.314729999998</v>
      </c>
      <c r="BG200">
        <f ca="1">IF(AND(ISNUMBER($BG$705),$B$511=1),$BG$705,HLOOKUP(INDIRECT(ADDRESS(2,COLUMN())),OFFSET($BN$2,0,0,ROW()-1,60),ROW()-1,FALSE))</f>
        <v>23460.06395</v>
      </c>
      <c r="BH200">
        <f ca="1">IF(AND(ISNUMBER($BH$705),$B$511=1),$BH$705,HLOOKUP(INDIRECT(ADDRESS(2,COLUMN())),OFFSET($BN$2,0,0,ROW()-1,60),ROW()-1,FALSE))</f>
        <v>23102.301589999999</v>
      </c>
      <c r="BI200">
        <f ca="1">IF(AND(ISNUMBER($BI$705),$B$511=1),$BI$705,HLOOKUP(INDIRECT(ADDRESS(2,COLUMN())),OFFSET($BN$2,0,0,ROW()-1,60),ROW()-1,FALSE))</f>
        <v>22606.797119999999</v>
      </c>
      <c r="BJ200">
        <f ca="1">IF(AND(ISNUMBER($BJ$705),$B$511=1),$BJ$705,HLOOKUP(INDIRECT(ADDRESS(2,COLUMN())),OFFSET($BN$2,0,0,ROW()-1,60),ROW()-1,FALSE))</f>
        <v>22028.164489999999</v>
      </c>
      <c r="BK200">
        <f ca="1">IF(AND(ISNUMBER($BK$705),$B$511=1),$BK$705,HLOOKUP(INDIRECT(ADDRESS(2,COLUMN())),OFFSET($BN$2,0,0,ROW()-1,60),ROW()-1,FALSE))</f>
        <v>21510.833429999999</v>
      </c>
      <c r="BL200">
        <f ca="1">IF(AND(ISNUMBER($BL$705),$B$511=1),$BL$705,HLOOKUP(INDIRECT(ADDRESS(2,COLUMN())),OFFSET($BN$2,0,0,ROW()-1,60),ROW()-1,FALSE))</f>
        <v>20904.21142</v>
      </c>
      <c r="BM200">
        <f ca="1">IF(AND(ISNUMBER($BM$705),$B$511=1),$BM$705,HLOOKUP(INDIRECT(ADDRESS(2,COLUMN())),OFFSET($BN$2,0,0,ROW()-1,60),ROW()-1,FALSE))</f>
        <v>19990.12701</v>
      </c>
      <c r="BN200" t="str">
        <f>""</f>
        <v/>
      </c>
      <c r="BO200">
        <f>35068.10022</f>
        <v>35068.10022</v>
      </c>
      <c r="BP200">
        <f>34918.07364</f>
        <v>34918.073640000002</v>
      </c>
      <c r="BQ200">
        <f>35139.39976</f>
        <v>35139.39976</v>
      </c>
      <c r="BR200">
        <f>33912.02491</f>
        <v>33912.02491</v>
      </c>
      <c r="BS200">
        <f>32487.1062</f>
        <v>32487.106199999998</v>
      </c>
      <c r="BT200">
        <f>31485.18421</f>
        <v>31485.184209999999</v>
      </c>
      <c r="BU200">
        <f>30166.07397</f>
        <v>30166.073970000001</v>
      </c>
      <c r="BV200">
        <f>29319.71291</f>
        <v>29319.712909999998</v>
      </c>
      <c r="BW200">
        <f>28370.7033</f>
        <v>28370.703300000001</v>
      </c>
      <c r="BX200">
        <f>28086.3464</f>
        <v>28086.346399999999</v>
      </c>
      <c r="BY200">
        <f>27164.38171</f>
        <v>27164.381710000001</v>
      </c>
      <c r="BZ200">
        <f>26515.93294</f>
        <v>26515.932939999999</v>
      </c>
      <c r="CA200">
        <f>26676.36135</f>
        <v>26676.361349999999</v>
      </c>
      <c r="CB200">
        <f>26357.31399</f>
        <v>26357.313989999999</v>
      </c>
      <c r="CC200">
        <f>26949.69565</f>
        <v>26949.695650000001</v>
      </c>
      <c r="CD200">
        <f>27567.98131</f>
        <v>27567.981309999999</v>
      </c>
      <c r="CE200">
        <f>28462.40363</f>
        <v>28462.403630000001</v>
      </c>
      <c r="CF200">
        <f>29318.43371</f>
        <v>29318.433710000001</v>
      </c>
      <c r="CG200">
        <f>29431.48849</f>
        <v>29431.48849</v>
      </c>
      <c r="CH200">
        <f>29340.01014</f>
        <v>29340.010139999999</v>
      </c>
      <c r="CI200">
        <f>29054.6808</f>
        <v>29054.680799999998</v>
      </c>
      <c r="CJ200">
        <f>29554.48237</f>
        <v>29554.482370000002</v>
      </c>
      <c r="CK200">
        <f>30043.92005</f>
        <v>30043.920050000001</v>
      </c>
      <c r="CL200">
        <f>31203.5692</f>
        <v>31203.569200000002</v>
      </c>
      <c r="CM200">
        <f>31804.04062</f>
        <v>31804.04062</v>
      </c>
      <c r="CN200">
        <f>31885.14339</f>
        <v>31885.143390000001</v>
      </c>
      <c r="CO200">
        <f>32455.34698</f>
        <v>32455.346979999998</v>
      </c>
      <c r="CP200">
        <f>31838.96135</f>
        <v>31838.961350000001</v>
      </c>
      <c r="CQ200">
        <f>31133.77744</f>
        <v>31133.777440000002</v>
      </c>
      <c r="CR200">
        <f>31086.34686</f>
        <v>31086.346860000001</v>
      </c>
      <c r="CS200">
        <f>30840.24867</f>
        <v>30840.248670000001</v>
      </c>
      <c r="CT200">
        <f>30519.41589</f>
        <v>30519.41589</v>
      </c>
      <c r="CU200">
        <f>29906.46807</f>
        <v>29906.468069999999</v>
      </c>
      <c r="CV200">
        <f>29125.00534</f>
        <v>29125.00534</v>
      </c>
      <c r="CW200">
        <f>27848.67139</f>
        <v>27848.67139</v>
      </c>
      <c r="CX200">
        <f>26623.39913</f>
        <v>26623.399130000002</v>
      </c>
      <c r="CY200">
        <f>26204.22353</f>
        <v>26204.223529999999</v>
      </c>
      <c r="CZ200">
        <f>25957.99306</f>
        <v>25957.993060000001</v>
      </c>
      <c r="DA200">
        <f>27169.62423</f>
        <v>27169.624230000001</v>
      </c>
      <c r="DB200">
        <f>30024.24745</f>
        <v>30024.247449999999</v>
      </c>
      <c r="DC200">
        <f>31608.18918</f>
        <v>31608.189180000001</v>
      </c>
      <c r="DD200">
        <f>32486.26716</f>
        <v>32486.267159999999</v>
      </c>
      <c r="DE200">
        <f>32014.80567</f>
        <v>32014.805670000002</v>
      </c>
      <c r="DF200">
        <f>30751.57454</f>
        <v>30751.574540000001</v>
      </c>
      <c r="DG200">
        <f>29783.61753</f>
        <v>29783.61753</v>
      </c>
      <c r="DH200">
        <f>28682.62941</f>
        <v>28682.629410000001</v>
      </c>
      <c r="DI200">
        <f>27796.75365</f>
        <v>27796.753649999999</v>
      </c>
      <c r="DJ200">
        <f>27065.02457</f>
        <v>27065.024570000001</v>
      </c>
      <c r="DK200">
        <f>26071.33104</f>
        <v>26071.331040000001</v>
      </c>
      <c r="DL200">
        <f>25442.5305</f>
        <v>25442.530500000001</v>
      </c>
      <c r="DM200">
        <f>25011.23396</f>
        <v>25011.233960000001</v>
      </c>
      <c r="DN200">
        <f>24291.31473</f>
        <v>24291.314729999998</v>
      </c>
      <c r="DO200">
        <f>23460.06395</f>
        <v>23460.06395</v>
      </c>
      <c r="DP200">
        <f>23102.30159</f>
        <v>23102.301589999999</v>
      </c>
      <c r="DQ200">
        <f>22606.79712</f>
        <v>22606.797119999999</v>
      </c>
      <c r="DR200">
        <f>22028.16449</f>
        <v>22028.164489999999</v>
      </c>
      <c r="DS200">
        <f>21510.83343</f>
        <v>21510.833429999999</v>
      </c>
      <c r="DT200">
        <f>20904.21142</f>
        <v>20904.21142</v>
      </c>
      <c r="DU200">
        <f>19990.12701</f>
        <v>19990.12701</v>
      </c>
    </row>
    <row r="201" spans="1:125" x14ac:dyDescent="0.25">
      <c r="A201" t="str">
        <f>"    Tata Motors Ltd"</f>
        <v xml:space="preserve">    Tata Motors Ltd</v>
      </c>
      <c r="B201" t="str">
        <f>"TTMT IN Equity"</f>
        <v>TTMT IN Equity</v>
      </c>
      <c r="C201" t="str">
        <f t="shared" si="12"/>
        <v>RR800</v>
      </c>
      <c r="D201" t="str">
        <f t="shared" si="13"/>
        <v>TRAIL_12M_NET_SALES</v>
      </c>
      <c r="E201" t="str">
        <f t="shared" si="14"/>
        <v>Dynamic</v>
      </c>
      <c r="F201" t="str">
        <f ca="1">IF(AND(ISNUMBER($F$706),$B$511=1),$F$706,HLOOKUP(INDIRECT(ADDRESS(2,COLUMN())),OFFSET($BN$2,0,0,ROW()-1,60),ROW()-1,FALSE))</f>
        <v/>
      </c>
      <c r="G201">
        <f ca="1">IF(AND(ISNUMBER($G$706),$B$511=1),$G$706,HLOOKUP(INDIRECT(ADDRESS(2,COLUMN())),OFFSET($BN$2,0,0,ROW()-1,60),ROW()-1,FALSE))</f>
        <v>44755.19745</v>
      </c>
      <c r="H201">
        <f ca="1">IF(AND(ISNUMBER($H$706),$B$511=1),$H$706,HLOOKUP(INDIRECT(ADDRESS(2,COLUMN())),OFFSET($BN$2,0,0,ROW()-1,60),ROW()-1,FALSE))</f>
        <v>45670.890229999997</v>
      </c>
      <c r="I201">
        <f ca="1">IF(AND(ISNUMBER($I$706),$B$511=1),$I$706,HLOOKUP(INDIRECT(ADDRESS(2,COLUMN())),OFFSET($BN$2,0,0,ROW()-1,60),ROW()-1,FALSE))</f>
        <v>46497.857830000001</v>
      </c>
      <c r="J201">
        <f ca="1">IF(AND(ISNUMBER($J$706),$B$511=1),$J$706,HLOOKUP(INDIRECT(ADDRESS(2,COLUMN())),OFFSET($BN$2,0,0,ROW()-1,60),ROW()-1,FALSE))</f>
        <v>45608.736620000003</v>
      </c>
      <c r="K201">
        <f ca="1">IF(AND(ISNUMBER($K$706),$B$511=1),$K$706,HLOOKUP(INDIRECT(ADDRESS(2,COLUMN())),OFFSET($BN$2,0,0,ROW()-1,60),ROW()-1,FALSE))</f>
        <v>43026.088259999997</v>
      </c>
      <c r="L201">
        <f ca="1">IF(AND(ISNUMBER($L$706),$B$511=1),$L$706,HLOOKUP(INDIRECT(ADDRESS(2,COLUMN())),OFFSET($BN$2,0,0,ROW()-1,60),ROW()-1,FALSE))</f>
        <v>41050.411959999998</v>
      </c>
      <c r="M201">
        <f ca="1">IF(AND(ISNUMBER($M$706),$B$511=1),$M$706,HLOOKUP(INDIRECT(ADDRESS(2,COLUMN())),OFFSET($BN$2,0,0,ROW()-1,60),ROW()-1,FALSE))</f>
        <v>39876.423029999998</v>
      </c>
      <c r="N201">
        <f ca="1">IF(AND(ISNUMBER($N$706),$B$511=1),$N$706,HLOOKUP(INDIRECT(ADDRESS(2,COLUMN())),OFFSET($BN$2,0,0,ROW()-1,60),ROW()-1,FALSE))</f>
        <v>40467.399969999999</v>
      </c>
      <c r="O201">
        <f ca="1">IF(AND(ISNUMBER($O$706),$B$511=1),$O$706,HLOOKUP(INDIRECT(ADDRESS(2,COLUMN())),OFFSET($BN$2,0,0,ROW()-1,60),ROW()-1,FALSE))</f>
        <v>40724.080990000002</v>
      </c>
      <c r="P201">
        <f ca="1">IF(AND(ISNUMBER($P$706),$B$511=1),$P$706,HLOOKUP(INDIRECT(ADDRESS(2,COLUMN())),OFFSET($BN$2,0,0,ROW()-1,60),ROW()-1,FALSE))</f>
        <v>41625.295789999996</v>
      </c>
      <c r="Q201">
        <f ca="1">IF(AND(ISNUMBER($Q$706),$B$511=1),$Q$706,HLOOKUP(INDIRECT(ADDRESS(2,COLUMN())),OFFSET($BN$2,0,0,ROW()-1,60),ROW()-1,FALSE))</f>
        <v>41331.89342</v>
      </c>
      <c r="R201">
        <f ca="1">IF(AND(ISNUMBER($R$706),$B$511=1),$R$706,HLOOKUP(INDIRECT(ADDRESS(2,COLUMN())),OFFSET($BN$2,0,0,ROW()-1,60),ROW()-1,FALSE))</f>
        <v>40961.236109999998</v>
      </c>
      <c r="S201">
        <f ca="1">IF(AND(ISNUMBER($S$706),$B$511=1),$S$706,HLOOKUP(INDIRECT(ADDRESS(2,COLUMN())),OFFSET($BN$2,0,0,ROW()-1,60),ROW()-1,FALSE))</f>
        <v>39880.199280000001</v>
      </c>
      <c r="T201">
        <f ca="1">IF(AND(ISNUMBER($T$706),$B$511=1),$T$706,HLOOKUP(INDIRECT(ADDRESS(2,COLUMN())),OFFSET($BN$2,0,0,ROW()-1,60),ROW()-1,FALSE))</f>
        <v>40610.70321</v>
      </c>
      <c r="U201">
        <f ca="1">IF(AND(ISNUMBER($U$706),$B$511=1),$U$706,HLOOKUP(INDIRECT(ADDRESS(2,COLUMN())),OFFSET($BN$2,0,0,ROW()-1,60),ROW()-1,FALSE))</f>
        <v>41204.28817</v>
      </c>
      <c r="V201">
        <f ca="1">IF(AND(ISNUMBER($V$706),$B$511=1),$V$706,HLOOKUP(INDIRECT(ADDRESS(2,COLUMN())),OFFSET($BN$2,0,0,ROW()-1,60),ROW()-1,FALSE))</f>
        <v>42656.33251</v>
      </c>
      <c r="W201">
        <f ca="1">IF(AND(ISNUMBER($W$706),$B$511=1),$W$706,HLOOKUP(INDIRECT(ADDRESS(2,COLUMN())),OFFSET($BN$2,0,0,ROW()-1,60),ROW()-1,FALSE))</f>
        <v>42314.514360000001</v>
      </c>
      <c r="X201">
        <f ca="1">IF(AND(ISNUMBER($X$706),$B$511=1),$X$706,HLOOKUP(INDIRECT(ADDRESS(2,COLUMN())),OFFSET($BN$2,0,0,ROW()-1,60),ROW()-1,FALSE))</f>
        <v>41386.117729999998</v>
      </c>
      <c r="Y201">
        <f ca="1">IF(AND(ISNUMBER($Y$706),$B$511=1),$Y$706,HLOOKUP(INDIRECT(ADDRESS(2,COLUMN())),OFFSET($BN$2,0,0,ROW()-1,60),ROW()-1,FALSE))</f>
        <v>40415.818780000001</v>
      </c>
      <c r="Z201">
        <f ca="1">IF(AND(ISNUMBER($Z$706),$B$511=1),$Z$706,HLOOKUP(INDIRECT(ADDRESS(2,COLUMN())),OFFSET($BN$2,0,0,ROW()-1,60),ROW()-1,FALSE))</f>
        <v>38205.626080000002</v>
      </c>
      <c r="AA201">
        <f ca="1">IF(AND(ISNUMBER($AA$706),$B$511=1),$AA$706,HLOOKUP(INDIRECT(ADDRESS(2,COLUMN())),OFFSET($BN$2,0,0,ROW()-1,60),ROW()-1,FALSE))</f>
        <v>37961.970309999997</v>
      </c>
      <c r="AB201">
        <f ca="1">IF(AND(ISNUMBER($AB$706),$B$511=1),$AB$706,HLOOKUP(INDIRECT(ADDRESS(2,COLUMN())),OFFSET($BN$2,0,0,ROW()-1,60),ROW()-1,FALSE))</f>
        <v>36144.573199999999</v>
      </c>
      <c r="AC201">
        <f ca="1">IF(AND(ISNUMBER($AC$706),$B$511=1),$AC$706,HLOOKUP(INDIRECT(ADDRESS(2,COLUMN())),OFFSET($BN$2,0,0,ROW()-1,60),ROW()-1,FALSE))</f>
        <v>34885.447560000001</v>
      </c>
      <c r="AD201">
        <f ca="1">IF(AND(ISNUMBER($AD$706),$B$511=1),$AD$706,HLOOKUP(INDIRECT(ADDRESS(2,COLUMN())),OFFSET($BN$2,0,0,ROW()-1,60),ROW()-1,FALSE))</f>
        <v>34506.704290000001</v>
      </c>
      <c r="AE201">
        <f ca="1">IF(AND(ISNUMBER($AE$706),$B$511=1),$AE$706,HLOOKUP(INDIRECT(ADDRESS(2,COLUMN())),OFFSET($BN$2,0,0,ROW()-1,60),ROW()-1,FALSE))</f>
        <v>34191.870260000003</v>
      </c>
      <c r="AF201">
        <f ca="1">IF(AND(ISNUMBER($AF$706),$B$511=1),$AF$706,HLOOKUP(INDIRECT(ADDRESS(2,COLUMN())),OFFSET($BN$2,0,0,ROW()-1,60),ROW()-1,FALSE))</f>
        <v>34582.19068</v>
      </c>
      <c r="AG201">
        <f ca="1">IF(AND(ISNUMBER($AG$706),$B$511=1),$AG$706,HLOOKUP(INDIRECT(ADDRESS(2,COLUMN())),OFFSET($BN$2,0,0,ROW()-1,60),ROW()-1,FALSE))</f>
        <v>34915.17482</v>
      </c>
      <c r="AH201">
        <f ca="1">IF(AND(ISNUMBER($AH$706),$B$511=1),$AH$706,HLOOKUP(INDIRECT(ADDRESS(2,COLUMN())),OFFSET($BN$2,0,0,ROW()-1,60),ROW()-1,FALSE))</f>
        <v>34584.313710000002</v>
      </c>
      <c r="AI201">
        <f ca="1">IF(AND(ISNUMBER($AI$706),$B$511=1),$AI$706,HLOOKUP(INDIRECT(ADDRESS(2,COLUMN())),OFFSET($BN$2,0,0,ROW()-1,60),ROW()-1,FALSE))</f>
        <v>31719.566760000002</v>
      </c>
      <c r="AJ201">
        <f ca="1">IF(AND(ISNUMBER($AJ$706),$B$511=1),$AJ$706,HLOOKUP(INDIRECT(ADDRESS(2,COLUMN())),OFFSET($BN$2,0,0,ROW()-1,60),ROW()-1,FALSE))</f>
        <v>29651.24051</v>
      </c>
      <c r="AK201">
        <f ca="1">IF(AND(ISNUMBER($AK$706),$B$511=1),$AK$706,HLOOKUP(INDIRECT(ADDRESS(2,COLUMN())),OFFSET($BN$2,0,0,ROW()-1,60),ROW()-1,FALSE))</f>
        <v>27900.613249999999</v>
      </c>
      <c r="AL201">
        <f ca="1">IF(AND(ISNUMBER($AL$706),$B$511=1),$AL$706,HLOOKUP(INDIRECT(ADDRESS(2,COLUMN())),OFFSET($BN$2,0,0,ROW()-1,60),ROW()-1,FALSE))</f>
        <v>26334.42093</v>
      </c>
      <c r="AM201">
        <f ca="1">IF(AND(ISNUMBER($AM$706),$B$511=1),$AM$706,HLOOKUP(INDIRECT(ADDRESS(2,COLUMN())),OFFSET($BN$2,0,0,ROW()-1,60),ROW()-1,FALSE))</f>
        <v>24995.291980000002</v>
      </c>
      <c r="AN201">
        <f ca="1">IF(AND(ISNUMBER($AN$706),$B$511=1),$AN$706,HLOOKUP(INDIRECT(ADDRESS(2,COLUMN())),OFFSET($BN$2,0,0,ROW()-1,60),ROW()-1,FALSE))</f>
        <v>23549.700929999999</v>
      </c>
      <c r="AO201">
        <f ca="1">IF(AND(ISNUMBER($AO$706),$B$511=1),$AO$706,HLOOKUP(INDIRECT(ADDRESS(2,COLUMN())),OFFSET($BN$2,0,0,ROW()-1,60),ROW()-1,FALSE))</f>
        <v>21664.989710000002</v>
      </c>
      <c r="AP201">
        <f ca="1">IF(AND(ISNUMBER($AP$706),$B$511=1),$AP$706,HLOOKUP(INDIRECT(ADDRESS(2,COLUMN())),OFFSET($BN$2,0,0,ROW()-1,60),ROW()-1,FALSE))</f>
        <v>19095.923579999999</v>
      </c>
      <c r="AQ201">
        <f ca="1">IF(AND(ISNUMBER($AQ$706),$B$511=1),$AQ$706,HLOOKUP(INDIRECT(ADDRESS(2,COLUMN())),OFFSET($BN$2,0,0,ROW()-1,60),ROW()-1,FALSE))</f>
        <v>16204.61564</v>
      </c>
      <c r="AR201">
        <f ca="1">IF(AND(ISNUMBER($AR$706),$B$511=1),$AR$706,HLOOKUP(INDIRECT(ADDRESS(2,COLUMN())),OFFSET($BN$2,0,0,ROW()-1,60),ROW()-1,FALSE))</f>
        <v>14289.29285</v>
      </c>
      <c r="AS201">
        <f ca="1">IF(AND(ISNUMBER($AS$706),$B$511=1),$AS$706,HLOOKUP(INDIRECT(ADDRESS(2,COLUMN())),OFFSET($BN$2,0,0,ROW()-1,60),ROW()-1,FALSE))</f>
        <v>15100.23827</v>
      </c>
      <c r="AT201">
        <f ca="1">IF(AND(ISNUMBER($AT$706),$B$511=1),$AT$706,HLOOKUP(INDIRECT(ADDRESS(2,COLUMN())),OFFSET($BN$2,0,0,ROW()-1,60),ROW()-1,FALSE))</f>
        <v>15310.61924</v>
      </c>
      <c r="AU201" t="str">
        <f ca="1">IF(AND(ISNUMBER($AU$706),$B$511=1),$AU$706,HLOOKUP(INDIRECT(ADDRESS(2,COLUMN())),OFFSET($BN$2,0,0,ROW()-1,60),ROW()-1,FALSE))</f>
        <v/>
      </c>
      <c r="AV201" t="str">
        <f ca="1">IF(AND(ISNUMBER($AV$706),$B$511=1),$AV$706,HLOOKUP(INDIRECT(ADDRESS(2,COLUMN())),OFFSET($BN$2,0,0,ROW()-1,60),ROW()-1,FALSE))</f>
        <v/>
      </c>
      <c r="AW201" t="str">
        <f ca="1">IF(AND(ISNUMBER($AW$706),$B$511=1),$AW$706,HLOOKUP(INDIRECT(ADDRESS(2,COLUMN())),OFFSET($BN$2,0,0,ROW()-1,60),ROW()-1,FALSE))</f>
        <v/>
      </c>
      <c r="AX201" t="str">
        <f ca="1">IF(AND(ISNUMBER($AX$706),$B$511=1),$AX$706,HLOOKUP(INDIRECT(ADDRESS(2,COLUMN())),OFFSET($BN$2,0,0,ROW()-1,60),ROW()-1,FALSE))</f>
        <v/>
      </c>
      <c r="AY201" t="str">
        <f ca="1">IF(AND(ISNUMBER($AY$706),$B$511=1),$AY$706,HLOOKUP(INDIRECT(ADDRESS(2,COLUMN())),OFFSET($BN$2,0,0,ROW()-1,60),ROW()-1,FALSE))</f>
        <v/>
      </c>
      <c r="AZ201" t="str">
        <f ca="1">IF(AND(ISNUMBER($AZ$706),$B$511=1),$AZ$706,HLOOKUP(INDIRECT(ADDRESS(2,COLUMN())),OFFSET($BN$2,0,0,ROW()-1,60),ROW()-1,FALSE))</f>
        <v/>
      </c>
      <c r="BA201" t="str">
        <f ca="1">IF(AND(ISNUMBER($BA$706),$B$511=1),$BA$706,HLOOKUP(INDIRECT(ADDRESS(2,COLUMN())),OFFSET($BN$2,0,0,ROW()-1,60),ROW()-1,FALSE))</f>
        <v/>
      </c>
      <c r="BB201" t="str">
        <f ca="1">IF(AND(ISNUMBER($BB$706),$B$511=1),$BB$706,HLOOKUP(INDIRECT(ADDRESS(2,COLUMN())),OFFSET($BN$2,0,0,ROW()-1,60),ROW()-1,FALSE))</f>
        <v/>
      </c>
      <c r="BC201" t="str">
        <f ca="1">IF(AND(ISNUMBER($BC$706),$B$511=1),$BC$706,HLOOKUP(INDIRECT(ADDRESS(2,COLUMN())),OFFSET($BN$2,0,0,ROW()-1,60),ROW()-1,FALSE))</f>
        <v/>
      </c>
      <c r="BD201" t="str">
        <f ca="1">IF(AND(ISNUMBER($BD$706),$B$511=1),$BD$706,HLOOKUP(INDIRECT(ADDRESS(2,COLUMN())),OFFSET($BN$2,0,0,ROW()-1,60),ROW()-1,FALSE))</f>
        <v/>
      </c>
      <c r="BE201" t="str">
        <f ca="1">IF(AND(ISNUMBER($BE$706),$B$511=1),$BE$706,HLOOKUP(INDIRECT(ADDRESS(2,COLUMN())),OFFSET($BN$2,0,0,ROW()-1,60),ROW()-1,FALSE))</f>
        <v/>
      </c>
      <c r="BF201" t="str">
        <f ca="1">IF(AND(ISNUMBER($BF$706),$B$511=1),$BF$706,HLOOKUP(INDIRECT(ADDRESS(2,COLUMN())),OFFSET($BN$2,0,0,ROW()-1,60),ROW()-1,FALSE))</f>
        <v/>
      </c>
      <c r="BG201" t="str">
        <f ca="1">IF(AND(ISNUMBER($BG$706),$B$511=1),$BG$706,HLOOKUP(INDIRECT(ADDRESS(2,COLUMN())),OFFSET($BN$2,0,0,ROW()-1,60),ROW()-1,FALSE))</f>
        <v/>
      </c>
      <c r="BH201" t="str">
        <f ca="1">IF(AND(ISNUMBER($BH$706),$B$511=1),$BH$706,HLOOKUP(INDIRECT(ADDRESS(2,COLUMN())),OFFSET($BN$2,0,0,ROW()-1,60),ROW()-1,FALSE))</f>
        <v/>
      </c>
      <c r="BI201" t="str">
        <f ca="1">IF(AND(ISNUMBER($BI$706),$B$511=1),$BI$706,HLOOKUP(INDIRECT(ADDRESS(2,COLUMN())),OFFSET($BN$2,0,0,ROW()-1,60),ROW()-1,FALSE))</f>
        <v/>
      </c>
      <c r="BJ201" t="str">
        <f ca="1">IF(AND(ISNUMBER($BJ$706),$B$511=1),$BJ$706,HLOOKUP(INDIRECT(ADDRESS(2,COLUMN())),OFFSET($BN$2,0,0,ROW()-1,60),ROW()-1,FALSE))</f>
        <v/>
      </c>
      <c r="BK201" t="str">
        <f ca="1">IF(AND(ISNUMBER($BK$706),$B$511=1),$BK$706,HLOOKUP(INDIRECT(ADDRESS(2,COLUMN())),OFFSET($BN$2,0,0,ROW()-1,60),ROW()-1,FALSE))</f>
        <v/>
      </c>
      <c r="BL201" t="str">
        <f ca="1">IF(AND(ISNUMBER($BL$706),$B$511=1),$BL$706,HLOOKUP(INDIRECT(ADDRESS(2,COLUMN())),OFFSET($BN$2,0,0,ROW()-1,60),ROW()-1,FALSE))</f>
        <v/>
      </c>
      <c r="BM201" t="str">
        <f ca="1">IF(AND(ISNUMBER($BM$706),$B$511=1),$BM$706,HLOOKUP(INDIRECT(ADDRESS(2,COLUMN())),OFFSET($BN$2,0,0,ROW()-1,60),ROW()-1,FALSE))</f>
        <v/>
      </c>
      <c r="BN201" t="str">
        <f>""</f>
        <v/>
      </c>
      <c r="BO201">
        <f>44755.19745</f>
        <v>44755.19745</v>
      </c>
      <c r="BP201">
        <f>45670.89023</f>
        <v>45670.890229999997</v>
      </c>
      <c r="BQ201">
        <f>46497.85783</f>
        <v>46497.857830000001</v>
      </c>
      <c r="BR201">
        <f>45608.73662</f>
        <v>45608.736620000003</v>
      </c>
      <c r="BS201">
        <f>43026.08826</f>
        <v>43026.088259999997</v>
      </c>
      <c r="BT201">
        <f>41050.41196</f>
        <v>41050.411959999998</v>
      </c>
      <c r="BU201">
        <f>39876.42303</f>
        <v>39876.423029999998</v>
      </c>
      <c r="BV201">
        <f>40467.39997</f>
        <v>40467.399969999999</v>
      </c>
      <c r="BW201">
        <f>40724.08099</f>
        <v>40724.080990000002</v>
      </c>
      <c r="BX201">
        <f>41625.29579</f>
        <v>41625.295789999996</v>
      </c>
      <c r="BY201">
        <f>41331.89342</f>
        <v>41331.89342</v>
      </c>
      <c r="BZ201">
        <f>40961.23611</f>
        <v>40961.236109999998</v>
      </c>
      <c r="CA201">
        <f>39880.19928</f>
        <v>39880.199280000001</v>
      </c>
      <c r="CB201">
        <f>40610.70321</f>
        <v>40610.70321</v>
      </c>
      <c r="CC201">
        <f>41204.28817</f>
        <v>41204.28817</v>
      </c>
      <c r="CD201">
        <f>42656.33251</f>
        <v>42656.33251</v>
      </c>
      <c r="CE201">
        <f>42314.51436</f>
        <v>42314.514360000001</v>
      </c>
      <c r="CF201">
        <f>41386.11773</f>
        <v>41386.117729999998</v>
      </c>
      <c r="CG201">
        <f>40415.81878</f>
        <v>40415.818780000001</v>
      </c>
      <c r="CH201">
        <f>38205.62608</f>
        <v>38205.626080000002</v>
      </c>
      <c r="CI201">
        <f>37961.97031</f>
        <v>37961.970309999997</v>
      </c>
      <c r="CJ201">
        <f>36144.5732</f>
        <v>36144.573199999999</v>
      </c>
      <c r="CK201">
        <f>34885.44756</f>
        <v>34885.447560000001</v>
      </c>
      <c r="CL201">
        <f>34506.70429</f>
        <v>34506.704290000001</v>
      </c>
      <c r="CM201">
        <f>34191.87026</f>
        <v>34191.870260000003</v>
      </c>
      <c r="CN201">
        <f>34582.1906799999</f>
        <v>34582.19068</v>
      </c>
      <c r="CO201">
        <f>34915.17482</f>
        <v>34915.17482</v>
      </c>
      <c r="CP201">
        <f>34584.31371</f>
        <v>34584.313710000002</v>
      </c>
      <c r="CQ201">
        <f>31719.56676</f>
        <v>31719.566760000002</v>
      </c>
      <c r="CR201">
        <f>29651.24051</f>
        <v>29651.24051</v>
      </c>
      <c r="CS201">
        <f>27900.61325</f>
        <v>27900.613249999999</v>
      </c>
      <c r="CT201">
        <f>26334.42093</f>
        <v>26334.42093</v>
      </c>
      <c r="CU201">
        <f>24995.29198</f>
        <v>24995.291980000002</v>
      </c>
      <c r="CV201">
        <f>23549.70093</f>
        <v>23549.700929999999</v>
      </c>
      <c r="CW201">
        <f>21664.98971</f>
        <v>21664.989710000002</v>
      </c>
      <c r="CX201">
        <f>19095.92358</f>
        <v>19095.923579999999</v>
      </c>
      <c r="CY201">
        <f>16204.61564</f>
        <v>16204.61564</v>
      </c>
      <c r="CZ201">
        <f>14289.29285</f>
        <v>14289.29285</v>
      </c>
      <c r="DA201">
        <f>15100.23827</f>
        <v>15100.23827</v>
      </c>
      <c r="DB201">
        <f>15310.61924</f>
        <v>15310.61924</v>
      </c>
      <c r="DC201" t="str">
        <f>""</f>
        <v/>
      </c>
      <c r="DD201" t="str">
        <f>""</f>
        <v/>
      </c>
      <c r="DE201" t="str">
        <f>""</f>
        <v/>
      </c>
      <c r="DF201" t="str">
        <f>""</f>
        <v/>
      </c>
      <c r="DG201" t="str">
        <f>""</f>
        <v/>
      </c>
      <c r="DH201" t="str">
        <f>""</f>
        <v/>
      </c>
      <c r="DI201" t="str">
        <f>""</f>
        <v/>
      </c>
      <c r="DJ201" t="str">
        <f>""</f>
        <v/>
      </c>
      <c r="DK201" t="str">
        <f>""</f>
        <v/>
      </c>
      <c r="DL201" t="str">
        <f>""</f>
        <v/>
      </c>
      <c r="DM201" t="str">
        <f>""</f>
        <v/>
      </c>
      <c r="DN201" t="str">
        <f>""</f>
        <v/>
      </c>
      <c r="DO201" t="str">
        <f>""</f>
        <v/>
      </c>
      <c r="DP201" t="str">
        <f>""</f>
        <v/>
      </c>
      <c r="DQ201" t="str">
        <f>""</f>
        <v/>
      </c>
      <c r="DR201" t="str">
        <f>""</f>
        <v/>
      </c>
      <c r="DS201" t="str">
        <f>""</f>
        <v/>
      </c>
      <c r="DT201" t="str">
        <f>""</f>
        <v/>
      </c>
      <c r="DU201" t="str">
        <f>""</f>
        <v/>
      </c>
    </row>
    <row r="202" spans="1:125" x14ac:dyDescent="0.25">
      <c r="A202" t="str">
        <f>"    Tesla Inc"</f>
        <v xml:space="preserve">    Tesla Inc</v>
      </c>
      <c r="B202" t="str">
        <f>"TSLA US Equity"</f>
        <v>TSLA US Equity</v>
      </c>
      <c r="C202" t="str">
        <f t="shared" si="12"/>
        <v>RR800</v>
      </c>
      <c r="D202" t="str">
        <f t="shared" si="13"/>
        <v>TRAIL_12M_NET_SALES</v>
      </c>
      <c r="E202" t="str">
        <f t="shared" si="14"/>
        <v>Dynamic</v>
      </c>
      <c r="F202" t="str">
        <f ca="1">IF(AND(ISNUMBER($F$707),$B$511=1),$F$707,HLOOKUP(INDIRECT(ADDRESS(2,COLUMN())),OFFSET($BN$2,0,0,ROW()-1,60),ROW()-1,FALSE))</f>
        <v/>
      </c>
      <c r="G202">
        <f ca="1">IF(AND(ISNUMBER($G$707),$B$511=1),$G$707,HLOOKUP(INDIRECT(ADDRESS(2,COLUMN())),OFFSET($BN$2,0,0,ROW()-1,60),ROW()-1,FALSE))</f>
        <v>21461.268</v>
      </c>
      <c r="H202">
        <f ca="1">IF(AND(ISNUMBER($H$707),$B$511=1),$H$707,HLOOKUP(INDIRECT(ADDRESS(2,COLUMN())),OFFSET($BN$2,0,0,ROW()-1,60),ROW()-1,FALSE))</f>
        <v>17523.644</v>
      </c>
      <c r="I202">
        <f ca="1">IF(AND(ISNUMBER($I$707),$B$511=1),$I$707,HLOOKUP(INDIRECT(ADDRESS(2,COLUMN())),OFFSET($BN$2,0,0,ROW()-1,60),ROW()-1,FALSE))</f>
        <v>13683.906000000001</v>
      </c>
      <c r="J202">
        <f ca="1">IF(AND(ISNUMBER($J$707),$B$511=1),$J$707,HLOOKUP(INDIRECT(ADDRESS(2,COLUMN())),OFFSET($BN$2,0,0,ROW()-1,60),ROW()-1,FALSE))</f>
        <v>12471.232</v>
      </c>
      <c r="K202">
        <f ca="1">IF(AND(ISNUMBER($K$707),$B$511=1),$K$707,HLOOKUP(INDIRECT(ADDRESS(2,COLUMN())),OFFSET($BN$2,0,0,ROW()-1,60),ROW()-1,FALSE))</f>
        <v>11758.751</v>
      </c>
      <c r="L202">
        <f ca="1">IF(AND(ISNUMBER($L$707),$B$511=1),$L$707,HLOOKUP(INDIRECT(ADDRESS(2,COLUMN())),OFFSET($BN$2,0,0,ROW()-1,60),ROW()-1,FALSE))</f>
        <v>10755.133</v>
      </c>
      <c r="M202">
        <f ca="1">IF(AND(ISNUMBER($M$707),$B$511=1),$M$707,HLOOKUP(INDIRECT(ADDRESS(2,COLUMN())),OFFSET($BN$2,0,0,ROW()-1,60),ROW()-1,FALSE))</f>
        <v>10068.894</v>
      </c>
      <c r="N202">
        <f ca="1">IF(AND(ISNUMBER($N$707),$B$511=1),$N$707,HLOOKUP(INDIRECT(ADDRESS(2,COLUMN())),OFFSET($BN$2,0,0,ROW()-1,60),ROW()-1,FALSE))</f>
        <v>8549.3539999999994</v>
      </c>
      <c r="O202">
        <f ca="1">IF(AND(ISNUMBER($O$707),$B$511=1),$O$707,HLOOKUP(INDIRECT(ADDRESS(2,COLUMN())),OFFSET($BN$2,0,0,ROW()-1,60),ROW()-1,FALSE))</f>
        <v>7000.1319999999996</v>
      </c>
      <c r="P202">
        <f ca="1">IF(AND(ISNUMBER($P$707),$B$511=1),$P$707,HLOOKUP(INDIRECT(ADDRESS(2,COLUMN())),OFFSET($BN$2,0,0,ROW()-1,60),ROW()-1,FALSE))</f>
        <v>5929.88</v>
      </c>
      <c r="Q202">
        <f ca="1">IF(AND(ISNUMBER($Q$707),$B$511=1),$Q$707,HLOOKUP(INDIRECT(ADDRESS(2,COLUMN())),OFFSET($BN$2,0,0,ROW()-1,60),ROW()-1,FALSE))</f>
        <v>4568.2330000000002</v>
      </c>
      <c r="R202">
        <f ca="1">IF(AND(ISNUMBER($R$707),$B$511=1),$R$707,HLOOKUP(INDIRECT(ADDRESS(2,COLUMN())),OFFSET($BN$2,0,0,ROW()-1,60),ROW()-1,FALSE))</f>
        <v>4253.192</v>
      </c>
      <c r="S202">
        <f ca="1">IF(AND(ISNUMBER($S$707),$B$511=1),$S$707,HLOOKUP(INDIRECT(ADDRESS(2,COLUMN())),OFFSET($BN$2,0,0,ROW()-1,60),ROW()-1,FALSE))</f>
        <v>4046.0239999999999</v>
      </c>
      <c r="T202">
        <f ca="1">IF(AND(ISNUMBER($T$707),$B$511=1),$T$707,HLOOKUP(INDIRECT(ADDRESS(2,COLUMN())),OFFSET($BN$2,0,0,ROW()-1,60),ROW()-1,FALSE))</f>
        <v>3788.306</v>
      </c>
      <c r="U202">
        <f ca="1">IF(AND(ISNUMBER($U$707),$B$511=1),$U$707,HLOOKUP(INDIRECT(ADDRESS(2,COLUMN())),OFFSET($BN$2,0,0,ROW()-1,60),ROW()-1,FALSE))</f>
        <v>3703.3209999999999</v>
      </c>
      <c r="V202">
        <f ca="1">IF(AND(ISNUMBER($V$707),$B$511=1),$V$707,HLOOKUP(INDIRECT(ADDRESS(2,COLUMN())),OFFSET($BN$2,0,0,ROW()-1,60),ROW()-1,FALSE))</f>
        <v>3517.694</v>
      </c>
      <c r="W202">
        <f ca="1">IF(AND(ISNUMBER($W$707),$B$511=1),$W$707,HLOOKUP(INDIRECT(ADDRESS(2,COLUMN())),OFFSET($BN$2,0,0,ROW()-1,60),ROW()-1,FALSE))</f>
        <v>3198.3560000000002</v>
      </c>
      <c r="X202">
        <f ca="1">IF(AND(ISNUMBER($X$707),$B$511=1),$X$707,HLOOKUP(INDIRECT(ADDRESS(2,COLUMN())),OFFSET($BN$2,0,0,ROW()-1,60),ROW()-1,FALSE))</f>
        <v>2856.9140000000002</v>
      </c>
      <c r="Y202">
        <f ca="1">IF(AND(ISNUMBER($Y$707),$B$511=1),$Y$707,HLOOKUP(INDIRECT(ADDRESS(2,COLUMN())),OFFSET($BN$2,0,0,ROW()-1,60),ROW()-1,FALSE))</f>
        <v>2436.4560000000001</v>
      </c>
      <c r="Z202">
        <f ca="1">IF(AND(ISNUMBER($Z$707),$B$511=1),$Z$707,HLOOKUP(INDIRECT(ADDRESS(2,COLUMN())),OFFSET($BN$2,0,0,ROW()-1,60),ROW()-1,FALSE))</f>
        <v>2072.2460000000001</v>
      </c>
      <c r="AA202">
        <f ca="1">IF(AND(ISNUMBER($AA$707),$B$511=1),$AA$707,HLOOKUP(INDIRECT(ADDRESS(2,COLUMN())),OFFSET($BN$2,0,0,ROW()-1,60),ROW()-1,FALSE))</f>
        <v>2013.4960000000001</v>
      </c>
      <c r="AB202">
        <f ca="1">IF(AND(ISNUMBER($AB$707),$B$511=1),$AB$707,HLOOKUP(INDIRECT(ADDRESS(2,COLUMN())),OFFSET($BN$2,0,0,ROW()-1,60),ROW()-1,FALSE))</f>
        <v>1704.6089999999999</v>
      </c>
      <c r="AC202">
        <f ca="1">IF(AND(ISNUMBER($AC$707),$B$511=1),$AC$707,HLOOKUP(INDIRECT(ADDRESS(2,COLUMN())),OFFSET($BN$2,0,0,ROW()-1,60),ROW()-1,FALSE))</f>
        <v>1323.367</v>
      </c>
      <c r="AD202">
        <f ca="1">IF(AND(ISNUMBER($AD$707),$B$511=1),$AD$707,HLOOKUP(INDIRECT(ADDRESS(2,COLUMN())),OFFSET($BN$2,0,0,ROW()-1,60),ROW()-1,FALSE))</f>
        <v>944.88099999999997</v>
      </c>
      <c r="AE202">
        <f ca="1">IF(AND(ISNUMBER($AE$707),$B$511=1),$AE$707,HLOOKUP(INDIRECT(ADDRESS(2,COLUMN())),OFFSET($BN$2,0,0,ROW()-1,60),ROW()-1,FALSE))</f>
        <v>413.25599999999997</v>
      </c>
      <c r="AF202">
        <f ca="1">IF(AND(ISNUMBER($AF$707),$B$511=1),$AF$707,HLOOKUP(INDIRECT(ADDRESS(2,COLUMN())),OFFSET($BN$2,0,0,ROW()-1,60),ROW()-1,FALSE))</f>
        <v>146.29900000000001</v>
      </c>
      <c r="AG202">
        <f ca="1">IF(AND(ISNUMBER($AG$707),$B$511=1),$AG$707,HLOOKUP(INDIRECT(ADDRESS(2,COLUMN())),OFFSET($BN$2,0,0,ROW()-1,60),ROW()-1,FALSE))</f>
        <v>153.86099999999999</v>
      </c>
      <c r="AH202">
        <f ca="1">IF(AND(ISNUMBER($AH$707),$B$511=1),$AH$707,HLOOKUP(INDIRECT(ADDRESS(2,COLUMN())),OFFSET($BN$2,0,0,ROW()-1,60),ROW()-1,FALSE))</f>
        <v>185.37899999999999</v>
      </c>
      <c r="AI202">
        <f ca="1">IF(AND(ISNUMBER($AI$707),$B$511=1),$AI$707,HLOOKUP(INDIRECT(ADDRESS(2,COLUMN())),OFFSET($BN$2,0,0,ROW()-1,60),ROW()-1,FALSE))</f>
        <v>204.24199999999999</v>
      </c>
      <c r="AJ202">
        <f ca="1">IF(AND(ISNUMBER($AJ$707),$B$511=1),$AJ$707,HLOOKUP(INDIRECT(ADDRESS(2,COLUMN())),OFFSET($BN$2,0,0,ROW()-1,60),ROW()-1,FALSE))</f>
        <v>201.15299999999999</v>
      </c>
      <c r="AK202">
        <f ca="1">IF(AND(ISNUMBER($AK$707),$B$511=1),$AK$707,HLOOKUP(INDIRECT(ADDRESS(2,COLUMN())),OFFSET($BN$2,0,0,ROW()-1,60),ROW()-1,FALSE))</f>
        <v>174.72800000000001</v>
      </c>
      <c r="AL202">
        <f ca="1">IF(AND(ISNUMBER($AL$707),$B$511=1),$AL$707,HLOOKUP(INDIRECT(ADDRESS(2,COLUMN())),OFFSET($BN$2,0,0,ROW()-1,60),ROW()-1,FALSE))</f>
        <v>144.96199999999999</v>
      </c>
      <c r="AM202">
        <f ca="1">IF(AND(ISNUMBER($AM$707),$B$511=1),$AM$707,HLOOKUP(INDIRECT(ADDRESS(2,COLUMN())),OFFSET($BN$2,0,0,ROW()-1,60),ROW()-1,FALSE))</f>
        <v>116.744</v>
      </c>
      <c r="AN202">
        <f ca="1">IF(AND(ISNUMBER($AN$707),$B$511=1),$AN$707,HLOOKUP(INDIRECT(ADDRESS(2,COLUMN())),OFFSET($BN$2,0,0,ROW()-1,60),ROW()-1,FALSE))</f>
        <v>99.043000000000006</v>
      </c>
      <c r="AO202" t="str">
        <f ca="1">IF(AND(ISNUMBER($AO$707),$B$511=1),$AO$707,HLOOKUP(INDIRECT(ADDRESS(2,COLUMN())),OFFSET($BN$2,0,0,ROW()-1,60),ROW()-1,FALSE))</f>
        <v/>
      </c>
      <c r="AP202" t="str">
        <f ca="1">IF(AND(ISNUMBER($AP$707),$B$511=1),$AP$707,HLOOKUP(INDIRECT(ADDRESS(2,COLUMN())),OFFSET($BN$2,0,0,ROW()-1,60),ROW()-1,FALSE))</f>
        <v/>
      </c>
      <c r="AQ202" t="str">
        <f ca="1">IF(AND(ISNUMBER($AQ$707),$B$511=1),$AQ$707,HLOOKUP(INDIRECT(ADDRESS(2,COLUMN())),OFFSET($BN$2,0,0,ROW()-1,60),ROW()-1,FALSE))</f>
        <v/>
      </c>
      <c r="AR202" t="str">
        <f ca="1">IF(AND(ISNUMBER($AR$707),$B$511=1),$AR$707,HLOOKUP(INDIRECT(ADDRESS(2,COLUMN())),OFFSET($BN$2,0,0,ROW()-1,60),ROW()-1,FALSE))</f>
        <v/>
      </c>
      <c r="AS202" t="str">
        <f ca="1">IF(AND(ISNUMBER($AS$707),$B$511=1),$AS$707,HLOOKUP(INDIRECT(ADDRESS(2,COLUMN())),OFFSET($BN$2,0,0,ROW()-1,60),ROW()-1,FALSE))</f>
        <v/>
      </c>
      <c r="AT202" t="str">
        <f ca="1">IF(AND(ISNUMBER($AT$707),$B$511=1),$AT$707,HLOOKUP(INDIRECT(ADDRESS(2,COLUMN())),OFFSET($BN$2,0,0,ROW()-1,60),ROW()-1,FALSE))</f>
        <v/>
      </c>
      <c r="AU202" t="str">
        <f ca="1">IF(AND(ISNUMBER($AU$707),$B$511=1),$AU$707,HLOOKUP(INDIRECT(ADDRESS(2,COLUMN())),OFFSET($BN$2,0,0,ROW()-1,60),ROW()-1,FALSE))</f>
        <v/>
      </c>
      <c r="AV202" t="str">
        <f ca="1">IF(AND(ISNUMBER($AV$707),$B$511=1),$AV$707,HLOOKUP(INDIRECT(ADDRESS(2,COLUMN())),OFFSET($BN$2,0,0,ROW()-1,60),ROW()-1,FALSE))</f>
        <v/>
      </c>
      <c r="AW202" t="str">
        <f ca="1">IF(AND(ISNUMBER($AW$707),$B$511=1),$AW$707,HLOOKUP(INDIRECT(ADDRESS(2,COLUMN())),OFFSET($BN$2,0,0,ROW()-1,60),ROW()-1,FALSE))</f>
        <v/>
      </c>
      <c r="AX202" t="str">
        <f ca="1">IF(AND(ISNUMBER($AX$707),$B$511=1),$AX$707,HLOOKUP(INDIRECT(ADDRESS(2,COLUMN())),OFFSET($BN$2,0,0,ROW()-1,60),ROW()-1,FALSE))</f>
        <v/>
      </c>
      <c r="AY202" t="str">
        <f ca="1">IF(AND(ISNUMBER($AY$707),$B$511=1),$AY$707,HLOOKUP(INDIRECT(ADDRESS(2,COLUMN())),OFFSET($BN$2,0,0,ROW()-1,60),ROW()-1,FALSE))</f>
        <v/>
      </c>
      <c r="AZ202" t="str">
        <f ca="1">IF(AND(ISNUMBER($AZ$707),$B$511=1),$AZ$707,HLOOKUP(INDIRECT(ADDRESS(2,COLUMN())),OFFSET($BN$2,0,0,ROW()-1,60),ROW()-1,FALSE))</f>
        <v/>
      </c>
      <c r="BA202" t="str">
        <f ca="1">IF(AND(ISNUMBER($BA$707),$B$511=1),$BA$707,HLOOKUP(INDIRECT(ADDRESS(2,COLUMN())),OFFSET($BN$2,0,0,ROW()-1,60),ROW()-1,FALSE))</f>
        <v/>
      </c>
      <c r="BB202" t="str">
        <f ca="1">IF(AND(ISNUMBER($BB$707),$B$511=1),$BB$707,HLOOKUP(INDIRECT(ADDRESS(2,COLUMN())),OFFSET($BN$2,0,0,ROW()-1,60),ROW()-1,FALSE))</f>
        <v/>
      </c>
      <c r="BC202" t="str">
        <f ca="1">IF(AND(ISNUMBER($BC$707),$B$511=1),$BC$707,HLOOKUP(INDIRECT(ADDRESS(2,COLUMN())),OFFSET($BN$2,0,0,ROW()-1,60),ROW()-1,FALSE))</f>
        <v/>
      </c>
      <c r="BD202" t="str">
        <f ca="1">IF(AND(ISNUMBER($BD$707),$B$511=1),$BD$707,HLOOKUP(INDIRECT(ADDRESS(2,COLUMN())),OFFSET($BN$2,0,0,ROW()-1,60),ROW()-1,FALSE))</f>
        <v/>
      </c>
      <c r="BE202" t="str">
        <f ca="1">IF(AND(ISNUMBER($BE$707),$B$511=1),$BE$707,HLOOKUP(INDIRECT(ADDRESS(2,COLUMN())),OFFSET($BN$2,0,0,ROW()-1,60),ROW()-1,FALSE))</f>
        <v/>
      </c>
      <c r="BF202" t="str">
        <f ca="1">IF(AND(ISNUMBER($BF$707),$B$511=1),$BF$707,HLOOKUP(INDIRECT(ADDRESS(2,COLUMN())),OFFSET($BN$2,0,0,ROW()-1,60),ROW()-1,FALSE))</f>
        <v/>
      </c>
      <c r="BG202" t="str">
        <f ca="1">IF(AND(ISNUMBER($BG$707),$B$511=1),$BG$707,HLOOKUP(INDIRECT(ADDRESS(2,COLUMN())),OFFSET($BN$2,0,0,ROW()-1,60),ROW()-1,FALSE))</f>
        <v/>
      </c>
      <c r="BH202" t="str">
        <f ca="1">IF(AND(ISNUMBER($BH$707),$B$511=1),$BH$707,HLOOKUP(INDIRECT(ADDRESS(2,COLUMN())),OFFSET($BN$2,0,0,ROW()-1,60),ROW()-1,FALSE))</f>
        <v/>
      </c>
      <c r="BI202" t="str">
        <f ca="1">IF(AND(ISNUMBER($BI$707),$B$511=1),$BI$707,HLOOKUP(INDIRECT(ADDRESS(2,COLUMN())),OFFSET($BN$2,0,0,ROW()-1,60),ROW()-1,FALSE))</f>
        <v/>
      </c>
      <c r="BJ202" t="str">
        <f ca="1">IF(AND(ISNUMBER($BJ$707),$B$511=1),$BJ$707,HLOOKUP(INDIRECT(ADDRESS(2,COLUMN())),OFFSET($BN$2,0,0,ROW()-1,60),ROW()-1,FALSE))</f>
        <v/>
      </c>
      <c r="BK202" t="str">
        <f ca="1">IF(AND(ISNUMBER($BK$707),$B$511=1),$BK$707,HLOOKUP(INDIRECT(ADDRESS(2,COLUMN())),OFFSET($BN$2,0,0,ROW()-1,60),ROW()-1,FALSE))</f>
        <v/>
      </c>
      <c r="BL202" t="str">
        <f ca="1">IF(AND(ISNUMBER($BL$707),$B$511=1),$BL$707,HLOOKUP(INDIRECT(ADDRESS(2,COLUMN())),OFFSET($BN$2,0,0,ROW()-1,60),ROW()-1,FALSE))</f>
        <v/>
      </c>
      <c r="BM202" t="str">
        <f ca="1">IF(AND(ISNUMBER($BM$707),$B$511=1),$BM$707,HLOOKUP(INDIRECT(ADDRESS(2,COLUMN())),OFFSET($BN$2,0,0,ROW()-1,60),ROW()-1,FALSE))</f>
        <v/>
      </c>
      <c r="BN202" t="str">
        <f>""</f>
        <v/>
      </c>
      <c r="BO202">
        <f>21461.268</f>
        <v>21461.268</v>
      </c>
      <c r="BP202">
        <f>17523.644</f>
        <v>17523.644</v>
      </c>
      <c r="BQ202">
        <f>13683.906</f>
        <v>13683.906000000001</v>
      </c>
      <c r="BR202">
        <f>12471.232</f>
        <v>12471.232</v>
      </c>
      <c r="BS202">
        <f>11758.751</f>
        <v>11758.751</v>
      </c>
      <c r="BT202">
        <f>10755.133</f>
        <v>10755.133</v>
      </c>
      <c r="BU202">
        <f>10068.894</f>
        <v>10068.894</v>
      </c>
      <c r="BV202">
        <f>8549.354</f>
        <v>8549.3539999999994</v>
      </c>
      <c r="BW202">
        <f>7000.132</f>
        <v>7000.1319999999996</v>
      </c>
      <c r="BX202">
        <f>5929.88</f>
        <v>5929.88</v>
      </c>
      <c r="BY202">
        <f>4568.233</f>
        <v>4568.2330000000002</v>
      </c>
      <c r="BZ202">
        <f>4253.192</f>
        <v>4253.192</v>
      </c>
      <c r="CA202">
        <f>4046.024</f>
        <v>4046.0239999999999</v>
      </c>
      <c r="CB202">
        <f>3788.306</f>
        <v>3788.306</v>
      </c>
      <c r="CC202">
        <f>3703.321</f>
        <v>3703.3209999999999</v>
      </c>
      <c r="CD202">
        <f>3517.694</f>
        <v>3517.694</v>
      </c>
      <c r="CE202">
        <f>3198.356</f>
        <v>3198.3560000000002</v>
      </c>
      <c r="CF202">
        <f>2856.914</f>
        <v>2856.9140000000002</v>
      </c>
      <c r="CG202">
        <f>2436.456</f>
        <v>2436.4560000000001</v>
      </c>
      <c r="CH202">
        <f>2072.246</f>
        <v>2072.2460000000001</v>
      </c>
      <c r="CI202">
        <f>2013.496</f>
        <v>2013.4960000000001</v>
      </c>
      <c r="CJ202">
        <f>1704.609</f>
        <v>1704.6089999999999</v>
      </c>
      <c r="CK202">
        <f>1323.367</f>
        <v>1323.367</v>
      </c>
      <c r="CL202">
        <f>944.881</f>
        <v>944.88099999999997</v>
      </c>
      <c r="CM202">
        <f>413.256</f>
        <v>413.25599999999997</v>
      </c>
      <c r="CN202">
        <f>146.299</f>
        <v>146.29900000000001</v>
      </c>
      <c r="CO202">
        <f>153.861</f>
        <v>153.86099999999999</v>
      </c>
      <c r="CP202">
        <f>185.379</f>
        <v>185.37899999999999</v>
      </c>
      <c r="CQ202">
        <f>204.242</f>
        <v>204.24199999999999</v>
      </c>
      <c r="CR202">
        <f>201.153</f>
        <v>201.15299999999999</v>
      </c>
      <c r="CS202">
        <f>174.728</f>
        <v>174.72800000000001</v>
      </c>
      <c r="CT202">
        <f>144.962</f>
        <v>144.96199999999999</v>
      </c>
      <c r="CU202">
        <f>116.744</f>
        <v>116.744</v>
      </c>
      <c r="CV202">
        <f>99.043</f>
        <v>99.043000000000006</v>
      </c>
      <c r="CW202" t="str">
        <f>""</f>
        <v/>
      </c>
      <c r="CX202" t="str">
        <f>""</f>
        <v/>
      </c>
      <c r="CY202" t="str">
        <f>""</f>
        <v/>
      </c>
      <c r="CZ202" t="str">
        <f>""</f>
        <v/>
      </c>
      <c r="DA202" t="str">
        <f>""</f>
        <v/>
      </c>
      <c r="DB202" t="str">
        <f>""</f>
        <v/>
      </c>
      <c r="DC202" t="str">
        <f>""</f>
        <v/>
      </c>
      <c r="DD202" t="str">
        <f>""</f>
        <v/>
      </c>
      <c r="DE202" t="str">
        <f>""</f>
        <v/>
      </c>
      <c r="DF202" t="str">
        <f>""</f>
        <v/>
      </c>
      <c r="DG202" t="str">
        <f>""</f>
        <v/>
      </c>
      <c r="DH202" t="str">
        <f>""</f>
        <v/>
      </c>
      <c r="DI202" t="str">
        <f>""</f>
        <v/>
      </c>
      <c r="DJ202" t="str">
        <f>""</f>
        <v/>
      </c>
      <c r="DK202" t="str">
        <f>""</f>
        <v/>
      </c>
      <c r="DL202" t="str">
        <f>""</f>
        <v/>
      </c>
      <c r="DM202" t="str">
        <f>""</f>
        <v/>
      </c>
      <c r="DN202" t="str">
        <f>""</f>
        <v/>
      </c>
      <c r="DO202" t="str">
        <f>""</f>
        <v/>
      </c>
      <c r="DP202" t="str">
        <f>""</f>
        <v/>
      </c>
      <c r="DQ202" t="str">
        <f>""</f>
        <v/>
      </c>
      <c r="DR202" t="str">
        <f>""</f>
        <v/>
      </c>
      <c r="DS202" t="str">
        <f>""</f>
        <v/>
      </c>
      <c r="DT202" t="str">
        <f>""</f>
        <v/>
      </c>
      <c r="DU202" t="str">
        <f>""</f>
        <v/>
      </c>
    </row>
    <row r="203" spans="1:125" x14ac:dyDescent="0.25">
      <c r="A203" t="str">
        <f>"    Tianjin Faw Xiali Automobile Co Ltd"</f>
        <v xml:space="preserve">    Tianjin Faw Xiali Automobile Co Ltd</v>
      </c>
      <c r="B203" t="str">
        <f>"000927 CH Equity"</f>
        <v>000927 CH Equity</v>
      </c>
      <c r="C203" t="str">
        <f t="shared" si="12"/>
        <v>RR800</v>
      </c>
      <c r="D203" t="str">
        <f t="shared" si="13"/>
        <v>TRAIL_12M_NET_SALES</v>
      </c>
      <c r="E203" t="str">
        <f t="shared" si="14"/>
        <v>Dynamic</v>
      </c>
      <c r="F203" t="str">
        <f ca="1">IF(AND(ISNUMBER($F$708),$B$511=1),$F$708,HLOOKUP(INDIRECT(ADDRESS(2,COLUMN())),OFFSET($BN$2,0,0,ROW()-1,60),ROW()-1,FALSE))</f>
        <v/>
      </c>
      <c r="G203" t="str">
        <f ca="1">IF(AND(ISNUMBER($G$708),$B$511=1),$G$708,HLOOKUP(INDIRECT(ADDRESS(2,COLUMN())),OFFSET($BN$2,0,0,ROW()-1,60),ROW()-1,FALSE))</f>
        <v/>
      </c>
      <c r="H203">
        <f ca="1">IF(AND(ISNUMBER($H$708),$B$511=1),$H$708,HLOOKUP(INDIRECT(ADDRESS(2,COLUMN())),OFFSET($BN$2,0,0,ROW()-1,60),ROW()-1,FALSE))</f>
        <v>206.2435581</v>
      </c>
      <c r="I203">
        <f ca="1">IF(AND(ISNUMBER($I$708),$B$511=1),$I$708,HLOOKUP(INDIRECT(ADDRESS(2,COLUMN())),OFFSET($BN$2,0,0,ROW()-1,60),ROW()-1,FALSE))</f>
        <v>231.194468</v>
      </c>
      <c r="J203">
        <f ca="1">IF(AND(ISNUMBER($J$708),$B$511=1),$J$708,HLOOKUP(INDIRECT(ADDRESS(2,COLUMN())),OFFSET($BN$2,0,0,ROW()-1,60),ROW()-1,FALSE))</f>
        <v>215.01841110000001</v>
      </c>
      <c r="K203">
        <f ca="1">IF(AND(ISNUMBER($K$708),$B$511=1),$K$708,HLOOKUP(INDIRECT(ADDRESS(2,COLUMN())),OFFSET($BN$2,0,0,ROW()-1,60),ROW()-1,FALSE))</f>
        <v>207.3698703</v>
      </c>
      <c r="L203">
        <f ca="1">IF(AND(ISNUMBER($L$708),$B$511=1),$L$708,HLOOKUP(INDIRECT(ADDRESS(2,COLUMN())),OFFSET($BN$2,0,0,ROW()-1,60),ROW()-1,FALSE))</f>
        <v>219.31030269999999</v>
      </c>
      <c r="M203">
        <f ca="1">IF(AND(ISNUMBER($M$708),$B$511=1),$M$708,HLOOKUP(INDIRECT(ADDRESS(2,COLUMN())),OFFSET($BN$2,0,0,ROW()-1,60),ROW()-1,FALSE))</f>
        <v>233.21346790000001</v>
      </c>
      <c r="N203">
        <f ca="1">IF(AND(ISNUMBER($N$708),$B$511=1),$N$708,HLOOKUP(INDIRECT(ADDRESS(2,COLUMN())),OFFSET($BN$2,0,0,ROW()-1,60),ROW()-1,FALSE))</f>
        <v>260.0359459</v>
      </c>
      <c r="O203">
        <f ca="1">IF(AND(ISNUMBER($O$708),$B$511=1),$O$708,HLOOKUP(INDIRECT(ADDRESS(2,COLUMN())),OFFSET($BN$2,0,0,ROW()-1,60),ROW()-1,FALSE))</f>
        <v>295.29596950000001</v>
      </c>
      <c r="P203">
        <f ca="1">IF(AND(ISNUMBER($P$708),$B$511=1),$P$708,HLOOKUP(INDIRECT(ADDRESS(2,COLUMN())),OFFSET($BN$2,0,0,ROW()-1,60),ROW()-1,FALSE))</f>
        <v>331.0624899</v>
      </c>
      <c r="Q203">
        <f ca="1">IF(AND(ISNUMBER($Q$708),$B$511=1),$Q$708,HLOOKUP(INDIRECT(ADDRESS(2,COLUMN())),OFFSET($BN$2,0,0,ROW()-1,60),ROW()-1,FALSE))</f>
        <v>357.93390199999999</v>
      </c>
      <c r="R203">
        <f ca="1">IF(AND(ISNUMBER($R$708),$B$511=1),$R$708,HLOOKUP(INDIRECT(ADDRESS(2,COLUMN())),OFFSET($BN$2,0,0,ROW()-1,60),ROW()-1,FALSE))</f>
        <v>429.17496460000001</v>
      </c>
      <c r="S203">
        <f ca="1">IF(AND(ISNUMBER($S$708),$B$511=1),$S$708,HLOOKUP(INDIRECT(ADDRESS(2,COLUMN())),OFFSET($BN$2,0,0,ROW()-1,60),ROW()-1,FALSE))</f>
        <v>527.15213589999996</v>
      </c>
      <c r="T203">
        <f ca="1">IF(AND(ISNUMBER($T$708),$B$511=1),$T$708,HLOOKUP(INDIRECT(ADDRESS(2,COLUMN())),OFFSET($BN$2,0,0,ROW()-1,60),ROW()-1,FALSE))</f>
        <v>569.41989639999997</v>
      </c>
      <c r="U203">
        <f ca="1">IF(AND(ISNUMBER($U$708),$B$511=1),$U$708,HLOOKUP(INDIRECT(ADDRESS(2,COLUMN())),OFFSET($BN$2,0,0,ROW()-1,60),ROW()-1,FALSE))</f>
        <v>581.04704449999997</v>
      </c>
      <c r="V203">
        <f ca="1">IF(AND(ISNUMBER($V$708),$B$511=1),$V$708,HLOOKUP(INDIRECT(ADDRESS(2,COLUMN())),OFFSET($BN$2,0,0,ROW()-1,60),ROW()-1,FALSE))</f>
        <v>550.44624020000003</v>
      </c>
      <c r="W203">
        <f ca="1">IF(AND(ISNUMBER($W$708),$B$511=1),$W$708,HLOOKUP(INDIRECT(ADDRESS(2,COLUMN())),OFFSET($BN$2,0,0,ROW()-1,60),ROW()-1,FALSE))</f>
        <v>511.99688120000002</v>
      </c>
      <c r="X203">
        <f ca="1">IF(AND(ISNUMBER($X$708),$B$511=1),$X$708,HLOOKUP(INDIRECT(ADDRESS(2,COLUMN())),OFFSET($BN$2,0,0,ROW()-1,60),ROW()-1,FALSE))</f>
        <v>593.17427299999997</v>
      </c>
      <c r="Y203">
        <f ca="1">IF(AND(ISNUMBER($Y$708),$B$511=1),$Y$708,HLOOKUP(INDIRECT(ADDRESS(2,COLUMN())),OFFSET($BN$2,0,0,ROW()-1,60),ROW()-1,FALSE))</f>
        <v>659.96288990000005</v>
      </c>
      <c r="Z203">
        <f ca="1">IF(AND(ISNUMBER($Z$708),$B$511=1),$Z$708,HLOOKUP(INDIRECT(ADDRESS(2,COLUMN())),OFFSET($BN$2,0,0,ROW()-1,60),ROW()-1,FALSE))</f>
        <v>770.38252379999994</v>
      </c>
      <c r="AA203">
        <f ca="1">IF(AND(ISNUMBER($AA$708),$B$511=1),$AA$708,HLOOKUP(INDIRECT(ADDRESS(2,COLUMN())),OFFSET($BN$2,0,0,ROW()-1,60),ROW()-1,FALSE))</f>
        <v>895.48282610000001</v>
      </c>
      <c r="AB203">
        <f ca="1">IF(AND(ISNUMBER($AB$708),$B$511=1),$AB$708,HLOOKUP(INDIRECT(ADDRESS(2,COLUMN())),OFFSET($BN$2,0,0,ROW()-1,60),ROW()-1,FALSE))</f>
        <v>969.04576550000002</v>
      </c>
      <c r="AC203">
        <f ca="1">IF(AND(ISNUMBER($AC$708),$B$511=1),$AC$708,HLOOKUP(INDIRECT(ADDRESS(2,COLUMN())),OFFSET($BN$2,0,0,ROW()-1,60),ROW()-1,FALSE))</f>
        <v>1022.969688</v>
      </c>
      <c r="AD203">
        <f ca="1">IF(AND(ISNUMBER($AD$708),$B$511=1),$AD$708,HLOOKUP(INDIRECT(ADDRESS(2,COLUMN())),OFFSET($BN$2,0,0,ROW()-1,60),ROW()-1,FALSE))</f>
        <v>1115.4265339999999</v>
      </c>
      <c r="AE203">
        <f ca="1">IF(AND(ISNUMBER($AE$708),$B$511=1),$AE$708,HLOOKUP(INDIRECT(ADDRESS(2,COLUMN())),OFFSET($BN$2,0,0,ROW()-1,60),ROW()-1,FALSE))</f>
        <v>1165.7284709999999</v>
      </c>
      <c r="AF203">
        <f ca="1">IF(AND(ISNUMBER($AF$708),$B$511=1),$AF$708,HLOOKUP(INDIRECT(ADDRESS(2,COLUMN())),OFFSET($BN$2,0,0,ROW()-1,60),ROW()-1,FALSE))</f>
        <v>1243.381989</v>
      </c>
      <c r="AG203">
        <f ca="1">IF(AND(ISNUMBER($AG$708),$B$511=1),$AG$708,HLOOKUP(INDIRECT(ADDRESS(2,COLUMN())),OFFSET($BN$2,0,0,ROW()-1,60),ROW()-1,FALSE))</f>
        <v>1317.4307429999999</v>
      </c>
      <c r="AH203">
        <f ca="1">IF(AND(ISNUMBER($AH$708),$B$511=1),$AH$708,HLOOKUP(INDIRECT(ADDRESS(2,COLUMN())),OFFSET($BN$2,0,0,ROW()-1,60),ROW()-1,FALSE))</f>
        <v>1373.3655590000001</v>
      </c>
      <c r="AI203">
        <f ca="1">IF(AND(ISNUMBER($AI$708),$B$511=1),$AI$708,HLOOKUP(INDIRECT(ADDRESS(2,COLUMN())),OFFSET($BN$2,0,0,ROW()-1,60),ROW()-1,FALSE))</f>
        <v>1509.1224549999999</v>
      </c>
      <c r="AJ203">
        <f ca="1">IF(AND(ISNUMBER($AJ$708),$B$511=1),$AJ$708,HLOOKUP(INDIRECT(ADDRESS(2,COLUMN())),OFFSET($BN$2,0,0,ROW()-1,60),ROW()-1,FALSE))</f>
        <v>1603.6699140000001</v>
      </c>
      <c r="AK203">
        <f ca="1">IF(AND(ISNUMBER($AK$708),$B$511=1),$AK$708,HLOOKUP(INDIRECT(ADDRESS(2,COLUMN())),OFFSET($BN$2,0,0,ROW()-1,60),ROW()-1,FALSE))</f>
        <v>1548.606556</v>
      </c>
      <c r="AL203">
        <f ca="1">IF(AND(ISNUMBER($AL$708),$B$511=1),$AL$708,HLOOKUP(INDIRECT(ADDRESS(2,COLUMN())),OFFSET($BN$2,0,0,ROW()-1,60),ROW()-1,FALSE))</f>
        <v>1498.050389</v>
      </c>
      <c r="AM203">
        <f ca="1">IF(AND(ISNUMBER($AM$708),$B$511=1),$AM$708,HLOOKUP(INDIRECT(ADDRESS(2,COLUMN())),OFFSET($BN$2,0,0,ROW()-1,60),ROW()-1,FALSE))</f>
        <v>1432.7733390000001</v>
      </c>
      <c r="AN203">
        <f ca="1">IF(AND(ISNUMBER($AN$708),$B$511=1),$AN$708,HLOOKUP(INDIRECT(ADDRESS(2,COLUMN())),OFFSET($BN$2,0,0,ROW()-1,60),ROW()-1,FALSE))</f>
        <v>1277.1458270000001</v>
      </c>
      <c r="AO203">
        <f ca="1">IF(AND(ISNUMBER($AO$708),$B$511=1),$AO$708,HLOOKUP(INDIRECT(ADDRESS(2,COLUMN())),OFFSET($BN$2,0,0,ROW()-1,60),ROW()-1,FALSE))</f>
        <v>1300.1105709999999</v>
      </c>
      <c r="AP203">
        <f ca="1">IF(AND(ISNUMBER($AP$708),$B$511=1),$AP$708,HLOOKUP(INDIRECT(ADDRESS(2,COLUMN())),OFFSET($BN$2,0,0,ROW()-1,60),ROW()-1,FALSE))</f>
        <v>1314.980902</v>
      </c>
      <c r="AQ203">
        <f ca="1">IF(AND(ISNUMBER($AQ$708),$B$511=1),$AQ$708,HLOOKUP(INDIRECT(ADDRESS(2,COLUMN())),OFFSET($BN$2,0,0,ROW()-1,60),ROW()-1,FALSE))</f>
        <v>1231.1317059999999</v>
      </c>
      <c r="AR203">
        <f ca="1">IF(AND(ISNUMBER($AR$708),$B$511=1),$AR$708,HLOOKUP(INDIRECT(ADDRESS(2,COLUMN())),OFFSET($BN$2,0,0,ROW()-1,60),ROW()-1,FALSE))</f>
        <v>1150.7850719999999</v>
      </c>
      <c r="AS203">
        <f ca="1">IF(AND(ISNUMBER($AS$708),$B$511=1),$AS$708,HLOOKUP(INDIRECT(ADDRESS(2,COLUMN())),OFFSET($BN$2,0,0,ROW()-1,60),ROW()-1,FALSE))</f>
        <v>1086.2754110000001</v>
      </c>
      <c r="AT203">
        <f ca="1">IF(AND(ISNUMBER($AT$708),$B$511=1),$AT$708,HLOOKUP(INDIRECT(ADDRESS(2,COLUMN())),OFFSET($BN$2,0,0,ROW()-1,60),ROW()-1,FALSE))</f>
        <v>1018.174721</v>
      </c>
      <c r="AU203">
        <f ca="1">IF(AND(ISNUMBER($AU$708),$B$511=1),$AU$708,HLOOKUP(INDIRECT(ADDRESS(2,COLUMN())),OFFSET($BN$2,0,0,ROW()-1,60),ROW()-1,FALSE))</f>
        <v>1020.954639</v>
      </c>
      <c r="AV203">
        <f ca="1">IF(AND(ISNUMBER($AV$708),$B$511=1),$AV$708,HLOOKUP(INDIRECT(ADDRESS(2,COLUMN())),OFFSET($BN$2,0,0,ROW()-1,60),ROW()-1,FALSE))</f>
        <v>1037.41444</v>
      </c>
      <c r="AW203">
        <f ca="1">IF(AND(ISNUMBER($AW$708),$B$511=1),$AW$708,HLOOKUP(INDIRECT(ADDRESS(2,COLUMN())),OFFSET($BN$2,0,0,ROW()-1,60),ROW()-1,FALSE))</f>
        <v>1061.893274</v>
      </c>
      <c r="AX203">
        <f ca="1">IF(AND(ISNUMBER($AX$708),$B$511=1),$AX$708,HLOOKUP(INDIRECT(ADDRESS(2,COLUMN())),OFFSET($BN$2,0,0,ROW()-1,60),ROW()-1,FALSE))</f>
        <v>1030.606685</v>
      </c>
      <c r="AY203">
        <f ca="1">IF(AND(ISNUMBER($AY$708),$B$511=1),$AY$708,HLOOKUP(INDIRECT(ADDRESS(2,COLUMN())),OFFSET($BN$2,0,0,ROW()-1,60),ROW()-1,FALSE))</f>
        <v>1001.98262</v>
      </c>
      <c r="AZ203">
        <f ca="1">IF(AND(ISNUMBER($AZ$708),$B$511=1),$AZ$708,HLOOKUP(INDIRECT(ADDRESS(2,COLUMN())),OFFSET($BN$2,0,0,ROW()-1,60),ROW()-1,FALSE))</f>
        <v>1067.251389</v>
      </c>
      <c r="BA203">
        <f ca="1">IF(AND(ISNUMBER($BA$708),$B$511=1),$BA$708,HLOOKUP(INDIRECT(ADDRESS(2,COLUMN())),OFFSET($BN$2,0,0,ROW()-1,60),ROW()-1,FALSE))</f>
        <v>1050.357655</v>
      </c>
      <c r="BB203">
        <f ca="1">IF(AND(ISNUMBER($BB$708),$B$511=1),$BB$708,HLOOKUP(INDIRECT(ADDRESS(2,COLUMN())),OFFSET($BN$2,0,0,ROW()-1,60),ROW()-1,FALSE))</f>
        <v>1087.7013240000001</v>
      </c>
      <c r="BC203">
        <f ca="1">IF(AND(ISNUMBER($BC$708),$B$511=1),$BC$708,HLOOKUP(INDIRECT(ADDRESS(2,COLUMN())),OFFSET($BN$2,0,0,ROW()-1,60),ROW()-1,FALSE))</f>
        <v>1052.6354409999999</v>
      </c>
      <c r="BD203">
        <f ca="1">IF(AND(ISNUMBER($BD$708),$B$511=1),$BD$708,HLOOKUP(INDIRECT(ADDRESS(2,COLUMN())),OFFSET($BN$2,0,0,ROW()-1,60),ROW()-1,FALSE))</f>
        <v>961.85782589999997</v>
      </c>
      <c r="BE203">
        <f ca="1">IF(AND(ISNUMBER($BE$708),$B$511=1),$BE$708,HLOOKUP(INDIRECT(ADDRESS(2,COLUMN())),OFFSET($BN$2,0,0,ROW()-1,60),ROW()-1,FALSE))</f>
        <v>938.53609849999998</v>
      </c>
      <c r="BF203">
        <f ca="1">IF(AND(ISNUMBER($BF$708),$B$511=1),$BF$708,HLOOKUP(INDIRECT(ADDRESS(2,COLUMN())),OFFSET($BN$2,0,0,ROW()-1,60),ROW()-1,FALSE))</f>
        <v>903.41799379999998</v>
      </c>
      <c r="BG203">
        <f ca="1">IF(AND(ISNUMBER($BG$708),$B$511=1),$BG$708,HLOOKUP(INDIRECT(ADDRESS(2,COLUMN())),OFFSET($BN$2,0,0,ROW()-1,60),ROW()-1,FALSE))</f>
        <v>831.53084790000003</v>
      </c>
      <c r="BH203">
        <f ca="1">IF(AND(ISNUMBER($BH$708),$B$511=1),$BH$708,HLOOKUP(INDIRECT(ADDRESS(2,COLUMN())),OFFSET($BN$2,0,0,ROW()-1,60),ROW()-1,FALSE))</f>
        <v>754.53022020000003</v>
      </c>
      <c r="BI203">
        <f ca="1">IF(AND(ISNUMBER($BI$708),$B$511=1),$BI$708,HLOOKUP(INDIRECT(ADDRESS(2,COLUMN())),OFFSET($BN$2,0,0,ROW()-1,60),ROW()-1,FALSE))</f>
        <v>679.69403990000001</v>
      </c>
      <c r="BJ203">
        <f ca="1">IF(AND(ISNUMBER($BJ$708),$B$511=1),$BJ$708,HLOOKUP(INDIRECT(ADDRESS(2,COLUMN())),OFFSET($BN$2,0,0,ROW()-1,60),ROW()-1,FALSE))</f>
        <v>633.24824760000001</v>
      </c>
      <c r="BK203">
        <f ca="1">IF(AND(ISNUMBER($BK$708),$B$511=1),$BK$708,HLOOKUP(INDIRECT(ADDRESS(2,COLUMN())),OFFSET($BN$2,0,0,ROW()-1,60),ROW()-1,FALSE))</f>
        <v>643.34851890000004</v>
      </c>
      <c r="BL203">
        <f ca="1">IF(AND(ISNUMBER($BL$708),$B$511=1),$BL$708,HLOOKUP(INDIRECT(ADDRESS(2,COLUMN())),OFFSET($BN$2,0,0,ROW()-1,60),ROW()-1,FALSE))</f>
        <v>651.28623330000005</v>
      </c>
      <c r="BM203">
        <f ca="1">IF(AND(ISNUMBER($BM$708),$B$511=1),$BM$708,HLOOKUP(INDIRECT(ADDRESS(2,COLUMN())),OFFSET($BN$2,0,0,ROW()-1,60),ROW()-1,FALSE))</f>
        <v>675.36298520000003</v>
      </c>
      <c r="BN203" t="str">
        <f>""</f>
        <v/>
      </c>
      <c r="BO203" t="str">
        <f>""</f>
        <v/>
      </c>
      <c r="BP203">
        <f>206.2435581</f>
        <v>206.2435581</v>
      </c>
      <c r="BQ203">
        <f>231.194468</f>
        <v>231.194468</v>
      </c>
      <c r="BR203">
        <f>215.0184111</f>
        <v>215.01841110000001</v>
      </c>
      <c r="BS203">
        <f>207.3698703</f>
        <v>207.3698703</v>
      </c>
      <c r="BT203">
        <f>219.3103027</f>
        <v>219.31030269999999</v>
      </c>
      <c r="BU203">
        <f>233.2134679</f>
        <v>233.21346790000001</v>
      </c>
      <c r="BV203">
        <f>260.0359459</f>
        <v>260.0359459</v>
      </c>
      <c r="BW203">
        <f>295.2959695</f>
        <v>295.29596950000001</v>
      </c>
      <c r="BX203">
        <f>331.0624899</f>
        <v>331.0624899</v>
      </c>
      <c r="BY203">
        <f>357.933902</f>
        <v>357.93390199999999</v>
      </c>
      <c r="BZ203">
        <f>429.1749646</f>
        <v>429.17496460000001</v>
      </c>
      <c r="CA203">
        <f>527.1521359</f>
        <v>527.15213589999996</v>
      </c>
      <c r="CB203">
        <f>569.4198964</f>
        <v>569.41989639999997</v>
      </c>
      <c r="CC203">
        <f>581.0470445</f>
        <v>581.04704449999997</v>
      </c>
      <c r="CD203">
        <f>550.4462402</f>
        <v>550.44624020000003</v>
      </c>
      <c r="CE203">
        <f>511.9968812</f>
        <v>511.99688120000002</v>
      </c>
      <c r="CF203">
        <f>593.174273</f>
        <v>593.17427299999997</v>
      </c>
      <c r="CG203">
        <f>659.9628899</f>
        <v>659.96288990000005</v>
      </c>
      <c r="CH203">
        <f>770.3825238</f>
        <v>770.38252379999994</v>
      </c>
      <c r="CI203">
        <f>895.4828261</f>
        <v>895.48282610000001</v>
      </c>
      <c r="CJ203">
        <f>969.0457655</f>
        <v>969.04576550000002</v>
      </c>
      <c r="CK203">
        <f>1022.969688</f>
        <v>1022.969688</v>
      </c>
      <c r="CL203">
        <f>1115.426534</f>
        <v>1115.4265339999999</v>
      </c>
      <c r="CM203">
        <f>1165.728471</f>
        <v>1165.7284709999999</v>
      </c>
      <c r="CN203">
        <f>1243.381989</f>
        <v>1243.381989</v>
      </c>
      <c r="CO203">
        <f>1317.430743</f>
        <v>1317.4307429999999</v>
      </c>
      <c r="CP203">
        <f>1373.365559</f>
        <v>1373.3655590000001</v>
      </c>
      <c r="CQ203">
        <f>1509.122455</f>
        <v>1509.1224549999999</v>
      </c>
      <c r="CR203">
        <f>1603.669914</f>
        <v>1603.6699140000001</v>
      </c>
      <c r="CS203">
        <f>1548.606556</f>
        <v>1548.606556</v>
      </c>
      <c r="CT203">
        <f>1498.050389</f>
        <v>1498.050389</v>
      </c>
      <c r="CU203">
        <f>1432.773339</f>
        <v>1432.7733390000001</v>
      </c>
      <c r="CV203">
        <f>1277.145827</f>
        <v>1277.1458270000001</v>
      </c>
      <c r="CW203">
        <f>1300.110571</f>
        <v>1300.1105709999999</v>
      </c>
      <c r="CX203">
        <f>1314.980902</f>
        <v>1314.980902</v>
      </c>
      <c r="CY203">
        <f>1231.131706</f>
        <v>1231.1317059999999</v>
      </c>
      <c r="CZ203">
        <f>1150.785072</f>
        <v>1150.7850719999999</v>
      </c>
      <c r="DA203">
        <f>1086.275411</f>
        <v>1086.2754110000001</v>
      </c>
      <c r="DB203">
        <f>1018.174721</f>
        <v>1018.174721</v>
      </c>
      <c r="DC203">
        <f>1020.954639</f>
        <v>1020.954639</v>
      </c>
      <c r="DD203">
        <f>1037.41444</f>
        <v>1037.41444</v>
      </c>
      <c r="DE203">
        <f>1061.893274</f>
        <v>1061.893274</v>
      </c>
      <c r="DF203">
        <f>1030.606685</f>
        <v>1030.606685</v>
      </c>
      <c r="DG203">
        <f>1001.98262</f>
        <v>1001.98262</v>
      </c>
      <c r="DH203">
        <f>1067.251389</f>
        <v>1067.251389</v>
      </c>
      <c r="DI203">
        <f>1050.357655</f>
        <v>1050.357655</v>
      </c>
      <c r="DJ203">
        <f>1087.701324</f>
        <v>1087.7013240000001</v>
      </c>
      <c r="DK203">
        <f>1052.635441</f>
        <v>1052.6354409999999</v>
      </c>
      <c r="DL203">
        <f>961.8578259</f>
        <v>961.85782589999997</v>
      </c>
      <c r="DM203">
        <f>938.5360985</f>
        <v>938.53609849999998</v>
      </c>
      <c r="DN203">
        <f>903.4179938</f>
        <v>903.41799379999998</v>
      </c>
      <c r="DO203">
        <f>831.5308479</f>
        <v>831.53084790000003</v>
      </c>
      <c r="DP203">
        <f>754.5302202</f>
        <v>754.53022020000003</v>
      </c>
      <c r="DQ203">
        <f>679.6940399</f>
        <v>679.69403990000001</v>
      </c>
      <c r="DR203">
        <f>633.2482476</f>
        <v>633.24824760000001</v>
      </c>
      <c r="DS203">
        <f>643.3485189</f>
        <v>643.34851890000004</v>
      </c>
      <c r="DT203">
        <f>651.2862333</f>
        <v>651.28623330000005</v>
      </c>
      <c r="DU203">
        <f>675.3629852</f>
        <v>675.36298520000003</v>
      </c>
    </row>
    <row r="204" spans="1:125" x14ac:dyDescent="0.25">
      <c r="A204" t="str">
        <f>"    Tofas Turk Otomobil Fabrikasi AS"</f>
        <v xml:space="preserve">    Tofas Turk Otomobil Fabrikasi AS</v>
      </c>
      <c r="B204" t="str">
        <f>"TOASOTRY EO Equity"</f>
        <v>TOASOTRY EO Equity</v>
      </c>
      <c r="C204" t="str">
        <f t="shared" si="12"/>
        <v>RR800</v>
      </c>
      <c r="D204" t="str">
        <f t="shared" si="13"/>
        <v>TRAIL_12M_NET_SALES</v>
      </c>
      <c r="E204" t="str">
        <f t="shared" si="14"/>
        <v>Dynamic</v>
      </c>
      <c r="F204" t="str">
        <f ca="1">IF(AND(ISNUMBER($F$709),$B$511=1),$F$709,HLOOKUP(INDIRECT(ADDRESS(2,COLUMN())),OFFSET($BN$2,0,0,ROW()-1,60),ROW()-1,FALSE))</f>
        <v/>
      </c>
      <c r="G204">
        <f ca="1">IF(AND(ISNUMBER($G$709),$B$511=1),$G$709,HLOOKUP(INDIRECT(ADDRESS(2,COLUMN())),OFFSET($BN$2,0,0,ROW()-1,60),ROW()-1,FALSE))</f>
        <v>4072.8978440000001</v>
      </c>
      <c r="H204">
        <f ca="1">IF(AND(ISNUMBER($H$709),$B$511=1),$H$709,HLOOKUP(INDIRECT(ADDRESS(2,COLUMN())),OFFSET($BN$2,0,0,ROW()-1,60),ROW()-1,FALSE))</f>
        <v>4524.4277810000003</v>
      </c>
      <c r="I204">
        <f ca="1">IF(AND(ISNUMBER($I$709),$B$511=1),$I$709,HLOOKUP(INDIRECT(ADDRESS(2,COLUMN())),OFFSET($BN$2,0,0,ROW()-1,60),ROW()-1,FALSE))</f>
        <v>4887.5874720000002</v>
      </c>
      <c r="J204">
        <f ca="1">IF(AND(ISNUMBER($J$709),$B$511=1),$J$709,HLOOKUP(INDIRECT(ADDRESS(2,COLUMN())),OFFSET($BN$2,0,0,ROW()-1,60),ROW()-1,FALSE))</f>
        <v>4966.1114230000003</v>
      </c>
      <c r="K204">
        <f ca="1">IF(AND(ISNUMBER($K$709),$B$511=1),$K$709,HLOOKUP(INDIRECT(ADDRESS(2,COLUMN())),OFFSET($BN$2,0,0,ROW()-1,60),ROW()-1,FALSE))</f>
        <v>4905.8078640000003</v>
      </c>
      <c r="L204">
        <f ca="1">IF(AND(ISNUMBER($L$709),$B$511=1),$L$709,HLOOKUP(INDIRECT(ADDRESS(2,COLUMN())),OFFSET($BN$2,0,0,ROW()-1,60),ROW()-1,FALSE))</f>
        <v>4998.8766260000002</v>
      </c>
      <c r="M204">
        <f ca="1">IF(AND(ISNUMBER($M$709),$B$511=1),$M$709,HLOOKUP(INDIRECT(ADDRESS(2,COLUMN())),OFFSET($BN$2,0,0,ROW()-1,60),ROW()-1,FALSE))</f>
        <v>5024.1226909999996</v>
      </c>
      <c r="N204">
        <f ca="1">IF(AND(ISNUMBER($N$709),$B$511=1),$N$709,HLOOKUP(INDIRECT(ADDRESS(2,COLUMN())),OFFSET($BN$2,0,0,ROW()-1,60),ROW()-1,FALSE))</f>
        <v>5032.4682329999996</v>
      </c>
      <c r="O204">
        <f ca="1">IF(AND(ISNUMBER($O$709),$B$511=1),$O$709,HLOOKUP(INDIRECT(ADDRESS(2,COLUMN())),OFFSET($BN$2,0,0,ROW()-1,60),ROW()-1,FALSE))</f>
        <v>4845.9273860000003</v>
      </c>
      <c r="P204">
        <f ca="1">IF(AND(ISNUMBER($P$709),$B$511=1),$P$709,HLOOKUP(INDIRECT(ADDRESS(2,COLUMN())),OFFSET($BN$2,0,0,ROW()-1,60),ROW()-1,FALSE))</f>
        <v>4369.2545259999997</v>
      </c>
      <c r="Q204">
        <f ca="1">IF(AND(ISNUMBER($Q$709),$B$511=1),$Q$709,HLOOKUP(INDIRECT(ADDRESS(2,COLUMN())),OFFSET($BN$2,0,0,ROW()-1,60),ROW()-1,FALSE))</f>
        <v>4113.0591960000002</v>
      </c>
      <c r="R204">
        <f ca="1">IF(AND(ISNUMBER($R$709),$B$511=1),$R$709,HLOOKUP(INDIRECT(ADDRESS(2,COLUMN())),OFFSET($BN$2,0,0,ROW()-1,60),ROW()-1,FALSE))</f>
        <v>3801.4924999999998</v>
      </c>
      <c r="S204">
        <f ca="1">IF(AND(ISNUMBER($S$709),$B$511=1),$S$709,HLOOKUP(INDIRECT(ADDRESS(2,COLUMN())),OFFSET($BN$2,0,0,ROW()-1,60),ROW()-1,FALSE))</f>
        <v>3750.750231</v>
      </c>
      <c r="T204">
        <f ca="1">IF(AND(ISNUMBER($T$709),$B$511=1),$T$709,HLOOKUP(INDIRECT(ADDRESS(2,COLUMN())),OFFSET($BN$2,0,0,ROW()-1,60),ROW()-1,FALSE))</f>
        <v>3715.9106839999999</v>
      </c>
      <c r="U204">
        <f ca="1">IF(AND(ISNUMBER($U$709),$B$511=1),$U$709,HLOOKUP(INDIRECT(ADDRESS(2,COLUMN())),OFFSET($BN$2,0,0,ROW()-1,60),ROW()-1,FALSE))</f>
        <v>3726.3916840000002</v>
      </c>
      <c r="V204">
        <f ca="1">IF(AND(ISNUMBER($V$709),$B$511=1),$V$709,HLOOKUP(INDIRECT(ADDRESS(2,COLUMN())),OFFSET($BN$2,0,0,ROW()-1,60),ROW()-1,FALSE))</f>
        <v>3610.2697640000001</v>
      </c>
      <c r="W204">
        <f ca="1">IF(AND(ISNUMBER($W$709),$B$511=1),$W$709,HLOOKUP(INDIRECT(ADDRESS(2,COLUMN())),OFFSET($BN$2,0,0,ROW()-1,60),ROW()-1,FALSE))</f>
        <v>3487.1722770000001</v>
      </c>
      <c r="X204">
        <f ca="1">IF(AND(ISNUMBER($X$709),$B$511=1),$X$709,HLOOKUP(INDIRECT(ADDRESS(2,COLUMN())),OFFSET($BN$2,0,0,ROW()-1,60),ROW()-1,FALSE))</f>
        <v>3409.8085299999998</v>
      </c>
      <c r="Y204">
        <f ca="1">IF(AND(ISNUMBER($Y$709),$B$511=1),$Y$709,HLOOKUP(INDIRECT(ADDRESS(2,COLUMN())),OFFSET($BN$2,0,0,ROW()-1,60),ROW()-1,FALSE))</f>
        <v>3480.636109</v>
      </c>
      <c r="Z204">
        <f ca="1">IF(AND(ISNUMBER($Z$709),$B$511=1),$Z$709,HLOOKUP(INDIRECT(ADDRESS(2,COLUMN())),OFFSET($BN$2,0,0,ROW()-1,60),ROW()-1,FALSE))</f>
        <v>3586.7314310000002</v>
      </c>
      <c r="AA204">
        <f ca="1">IF(AND(ISNUMBER($AA$709),$B$511=1),$AA$709,HLOOKUP(INDIRECT(ADDRESS(2,COLUMN())),OFFSET($BN$2,0,0,ROW()-1,60),ROW()-1,FALSE))</f>
        <v>3797.4876060000001</v>
      </c>
      <c r="AB204">
        <f ca="1">IF(AND(ISNUMBER($AB$709),$B$511=1),$AB$709,HLOOKUP(INDIRECT(ADDRESS(2,COLUMN())),OFFSET($BN$2,0,0,ROW()-1,60),ROW()-1,FALSE))</f>
        <v>3851.455747</v>
      </c>
      <c r="AC204">
        <f ca="1">IF(AND(ISNUMBER($AC$709),$B$511=1),$AC$709,HLOOKUP(INDIRECT(ADDRESS(2,COLUMN())),OFFSET($BN$2,0,0,ROW()-1,60),ROW()-1,FALSE))</f>
        <v>3870.050158</v>
      </c>
      <c r="AD204">
        <f ca="1">IF(AND(ISNUMBER($AD$709),$B$511=1),$AD$709,HLOOKUP(INDIRECT(ADDRESS(2,COLUMN())),OFFSET($BN$2,0,0,ROW()-1,60),ROW()-1,FALSE))</f>
        <v>3939.338452</v>
      </c>
      <c r="AE204">
        <f ca="1">IF(AND(ISNUMBER($AE$709),$B$511=1),$AE$709,HLOOKUP(INDIRECT(ADDRESS(2,COLUMN())),OFFSET($BN$2,0,0,ROW()-1,60),ROW()-1,FALSE))</f>
        <v>3829.9151660000002</v>
      </c>
      <c r="AF204">
        <f ca="1">IF(AND(ISNUMBER($AF$709),$B$511=1),$AF$709,HLOOKUP(INDIRECT(ADDRESS(2,COLUMN())),OFFSET($BN$2,0,0,ROW()-1,60),ROW()-1,FALSE))</f>
        <v>3800.2791390000002</v>
      </c>
      <c r="AG204">
        <f ca="1">IF(AND(ISNUMBER($AG$709),$B$511=1),$AG$709,HLOOKUP(INDIRECT(ADDRESS(2,COLUMN())),OFFSET($BN$2,0,0,ROW()-1,60),ROW()-1,FALSE))</f>
        <v>3903.2651000000001</v>
      </c>
      <c r="AH204">
        <f ca="1">IF(AND(ISNUMBER($AH$709),$B$511=1),$AH$709,HLOOKUP(INDIRECT(ADDRESS(2,COLUMN())),OFFSET($BN$2,0,0,ROW()-1,60),ROW()-1,FALSE))</f>
        <v>4147.8199400000003</v>
      </c>
      <c r="AI204">
        <f ca="1">IF(AND(ISNUMBER($AI$709),$B$511=1),$AI$709,HLOOKUP(INDIRECT(ADDRESS(2,COLUMN())),OFFSET($BN$2,0,0,ROW()-1,60),ROW()-1,FALSE))</f>
        <v>4455.4880979999998</v>
      </c>
      <c r="AJ204">
        <f ca="1">IF(AND(ISNUMBER($AJ$709),$B$511=1),$AJ$709,HLOOKUP(INDIRECT(ADDRESS(2,COLUMN())),OFFSET($BN$2,0,0,ROW()-1,60),ROW()-1,FALSE))</f>
        <v>4818.5298540000003</v>
      </c>
      <c r="AK204">
        <f ca="1">IF(AND(ISNUMBER($AK$709),$B$511=1),$AK$709,HLOOKUP(INDIRECT(ADDRESS(2,COLUMN())),OFFSET($BN$2,0,0,ROW()-1,60),ROW()-1,FALSE))</f>
        <v>4761.2668599999997</v>
      </c>
      <c r="AL204">
        <f ca="1">IF(AND(ISNUMBER($AL$709),$B$511=1),$AL$709,HLOOKUP(INDIRECT(ADDRESS(2,COLUMN())),OFFSET($BN$2,0,0,ROW()-1,60),ROW()-1,FALSE))</f>
        <v>4456.8212640000002</v>
      </c>
      <c r="AM204">
        <f ca="1">IF(AND(ISNUMBER($AM$709),$B$511=1),$AM$709,HLOOKUP(INDIRECT(ADDRESS(2,COLUMN())),OFFSET($BN$2,0,0,ROW()-1,60),ROW()-1,FALSE))</f>
        <v>4311.3988909999998</v>
      </c>
      <c r="AN204">
        <f ca="1">IF(AND(ISNUMBER($AN$709),$B$511=1),$AN$709,HLOOKUP(INDIRECT(ADDRESS(2,COLUMN())),OFFSET($BN$2,0,0,ROW()-1,60),ROW()-1,FALSE))</f>
        <v>3980.9043310000002</v>
      </c>
      <c r="AO204">
        <f ca="1">IF(AND(ISNUMBER($AO$709),$B$511=1),$AO$709,HLOOKUP(INDIRECT(ADDRESS(2,COLUMN())),OFFSET($BN$2,0,0,ROW()-1,60),ROW()-1,FALSE))</f>
        <v>3958.8126849999999</v>
      </c>
      <c r="AP204">
        <f ca="1">IF(AND(ISNUMBER($AP$709),$B$511=1),$AP$709,HLOOKUP(INDIRECT(ADDRESS(2,COLUMN())),OFFSET($BN$2,0,0,ROW()-1,60),ROW()-1,FALSE))</f>
        <v>3883.5722449999998</v>
      </c>
      <c r="AQ204">
        <f ca="1">IF(AND(ISNUMBER($AQ$709),$B$511=1),$AQ$709,HLOOKUP(INDIRECT(ADDRESS(2,COLUMN())),OFFSET($BN$2,0,0,ROW()-1,60),ROW()-1,FALSE))</f>
        <v>3359.3108480000001</v>
      </c>
      <c r="AR204">
        <f ca="1">IF(AND(ISNUMBER($AR$709),$B$511=1),$AR$709,HLOOKUP(INDIRECT(ADDRESS(2,COLUMN())),OFFSET($BN$2,0,0,ROW()-1,60),ROW()-1,FALSE))</f>
        <v>2955.9010020000001</v>
      </c>
      <c r="AS204">
        <f ca="1">IF(AND(ISNUMBER($AS$709),$B$511=1),$AS$709,HLOOKUP(INDIRECT(ADDRESS(2,COLUMN())),OFFSET($BN$2,0,0,ROW()-1,60),ROW()-1,FALSE))</f>
        <v>2993.7873789999999</v>
      </c>
      <c r="AT204">
        <f ca="1">IF(AND(ISNUMBER($AT$709),$B$511=1),$AT$709,HLOOKUP(INDIRECT(ADDRESS(2,COLUMN())),OFFSET($BN$2,0,0,ROW()-1,60),ROW()-1,FALSE))</f>
        <v>3146.427733</v>
      </c>
      <c r="AU204">
        <f ca="1">IF(AND(ISNUMBER($AU$709),$B$511=1),$AU$709,HLOOKUP(INDIRECT(ADDRESS(2,COLUMN())),OFFSET($BN$2,0,0,ROW()-1,60),ROW()-1,FALSE))</f>
        <v>3718.0294389999999</v>
      </c>
      <c r="AV204">
        <f ca="1">IF(AND(ISNUMBER($AV$709),$B$511=1),$AV$709,HLOOKUP(INDIRECT(ADDRESS(2,COLUMN())),OFFSET($BN$2,0,0,ROW()-1,60),ROW()-1,FALSE))</f>
        <v>4136.8363300000001</v>
      </c>
      <c r="AW204">
        <f ca="1">IF(AND(ISNUMBER($AW$709),$B$511=1),$AW$709,HLOOKUP(INDIRECT(ADDRESS(2,COLUMN())),OFFSET($BN$2,0,0,ROW()-1,60),ROW()-1,FALSE))</f>
        <v>3844.4589759999999</v>
      </c>
      <c r="AX204">
        <f ca="1">IF(AND(ISNUMBER($AX$709),$B$511=1),$AX$709,HLOOKUP(INDIRECT(ADDRESS(2,COLUMN())),OFFSET($BN$2,0,0,ROW()-1,60),ROW()-1,FALSE))</f>
        <v>3327.0139100000001</v>
      </c>
      <c r="AY204">
        <f ca="1">IF(AND(ISNUMBER($AY$709),$B$511=1),$AY$709,HLOOKUP(INDIRECT(ADDRESS(2,COLUMN())),OFFSET($BN$2,0,0,ROW()-1,60),ROW()-1,FALSE))</f>
        <v>2746.4684940000002</v>
      </c>
      <c r="AZ204">
        <f ca="1">IF(AND(ISNUMBER($AZ$709),$B$511=1),$AZ$709,HLOOKUP(INDIRECT(ADDRESS(2,COLUMN())),OFFSET($BN$2,0,0,ROW()-1,60),ROW()-1,FALSE))</f>
        <v>2394.0725160000002</v>
      </c>
      <c r="BA204">
        <f ca="1">IF(AND(ISNUMBER($BA$709),$B$511=1),$BA$709,HLOOKUP(INDIRECT(ADDRESS(2,COLUMN())),OFFSET($BN$2,0,0,ROW()-1,60),ROW()-1,FALSE))</f>
        <v>2229.1301290000001</v>
      </c>
      <c r="BB204">
        <f ca="1">IF(AND(ISNUMBER($BB$709),$B$511=1),$BB$709,HLOOKUP(INDIRECT(ADDRESS(2,COLUMN())),OFFSET($BN$2,0,0,ROW()-1,60),ROW()-1,FALSE))</f>
        <v>2178.1001780000001</v>
      </c>
      <c r="BC204">
        <f ca="1">IF(AND(ISNUMBER($BC$709),$B$511=1),$BC$709,HLOOKUP(INDIRECT(ADDRESS(2,COLUMN())),OFFSET($BN$2,0,0,ROW()-1,60),ROW()-1,FALSE))</f>
        <v>2133.1905980000001</v>
      </c>
      <c r="BD204">
        <f ca="1">IF(AND(ISNUMBER($BD$709),$B$511=1),$BD$709,HLOOKUP(INDIRECT(ADDRESS(2,COLUMN())),OFFSET($BN$2,0,0,ROW()-1,60),ROW()-1,FALSE))</f>
        <v>2076.3154880000002</v>
      </c>
      <c r="BE204">
        <f ca="1">IF(AND(ISNUMBER($BE$709),$B$511=1),$BE$709,HLOOKUP(INDIRECT(ADDRESS(2,COLUMN())),OFFSET($BN$2,0,0,ROW()-1,60),ROW()-1,FALSE))</f>
        <v>2032.078166</v>
      </c>
      <c r="BF204">
        <f ca="1">IF(AND(ISNUMBER($BF$709),$B$511=1),$BF$709,HLOOKUP(INDIRECT(ADDRESS(2,COLUMN())),OFFSET($BN$2,0,0,ROW()-1,60),ROW()-1,FALSE))</f>
        <v>1939.4885139999999</v>
      </c>
      <c r="BG204">
        <f ca="1">IF(AND(ISNUMBER($BG$709),$B$511=1),$BG$709,HLOOKUP(INDIRECT(ADDRESS(2,COLUMN())),OFFSET($BN$2,0,0,ROW()-1,60),ROW()-1,FALSE))</f>
        <v>1888.258681</v>
      </c>
      <c r="BH204">
        <f ca="1">IF(AND(ISNUMBER($BH$709),$B$511=1),$BH$709,HLOOKUP(INDIRECT(ADDRESS(2,COLUMN())),OFFSET($BN$2,0,0,ROW()-1,60),ROW()-1,FALSE))</f>
        <v>1776.420521</v>
      </c>
      <c r="BI204">
        <f ca="1">IF(AND(ISNUMBER($BI$709),$B$511=1),$BI$709,HLOOKUP(INDIRECT(ADDRESS(2,COLUMN())),OFFSET($BN$2,0,0,ROW()-1,60),ROW()-1,FALSE))</f>
        <v>1715.5131249999999</v>
      </c>
      <c r="BJ204">
        <f ca="1">IF(AND(ISNUMBER($BJ$709),$B$511=1),$BJ$709,HLOOKUP(INDIRECT(ADDRESS(2,COLUMN())),OFFSET($BN$2,0,0,ROW()-1,60),ROW()-1,FALSE))</f>
        <v>1761.511066</v>
      </c>
      <c r="BK204">
        <f ca="1">IF(AND(ISNUMBER($BK$709),$B$511=1),$BK$709,HLOOKUP(INDIRECT(ADDRESS(2,COLUMN())),OFFSET($BN$2,0,0,ROW()-1,60),ROW()-1,FALSE))</f>
        <v>1851.904053</v>
      </c>
      <c r="BL204">
        <f ca="1">IF(AND(ISNUMBER($BL$709),$B$511=1),$BL$709,HLOOKUP(INDIRECT(ADDRESS(2,COLUMN())),OFFSET($BN$2,0,0,ROW()-1,60),ROW()-1,FALSE))</f>
        <v>2004.367483</v>
      </c>
      <c r="BM204">
        <f ca="1">IF(AND(ISNUMBER($BM$709),$B$511=1),$BM$709,HLOOKUP(INDIRECT(ADDRESS(2,COLUMN())),OFFSET($BN$2,0,0,ROW()-1,60),ROW()-1,FALSE))</f>
        <v>1997.5397949999999</v>
      </c>
      <c r="BN204" t="str">
        <f>""</f>
        <v/>
      </c>
      <c r="BO204">
        <f>4072.897844</f>
        <v>4072.8978440000001</v>
      </c>
      <c r="BP204">
        <f>4524.427781</f>
        <v>4524.4277810000003</v>
      </c>
      <c r="BQ204">
        <f>4887.587472</f>
        <v>4887.5874720000002</v>
      </c>
      <c r="BR204">
        <f>4966.111423</f>
        <v>4966.1114230000003</v>
      </c>
      <c r="BS204">
        <f>4905.807864</f>
        <v>4905.8078640000003</v>
      </c>
      <c r="BT204">
        <f>4998.876626</f>
        <v>4998.8766260000002</v>
      </c>
      <c r="BU204">
        <f>5024.122691</f>
        <v>5024.1226909999996</v>
      </c>
      <c r="BV204">
        <f>5032.468233</f>
        <v>5032.4682329999996</v>
      </c>
      <c r="BW204">
        <f>4845.927386</f>
        <v>4845.9273860000003</v>
      </c>
      <c r="BX204">
        <f>4369.254526</f>
        <v>4369.2545259999997</v>
      </c>
      <c r="BY204">
        <f>4113.059196</f>
        <v>4113.0591960000002</v>
      </c>
      <c r="BZ204">
        <f>3801.4925</f>
        <v>3801.4924999999998</v>
      </c>
      <c r="CA204">
        <f>3750.750231</f>
        <v>3750.750231</v>
      </c>
      <c r="CB204">
        <f>3715.910684</f>
        <v>3715.9106839999999</v>
      </c>
      <c r="CC204">
        <f>3726.391684</f>
        <v>3726.3916840000002</v>
      </c>
      <c r="CD204">
        <f>3610.269764</f>
        <v>3610.2697640000001</v>
      </c>
      <c r="CE204">
        <f>3487.172277</f>
        <v>3487.1722770000001</v>
      </c>
      <c r="CF204">
        <f>3409.80853</f>
        <v>3409.8085299999998</v>
      </c>
      <c r="CG204">
        <f>3480.636109</f>
        <v>3480.636109</v>
      </c>
      <c r="CH204">
        <f>3586.731431</f>
        <v>3586.7314310000002</v>
      </c>
      <c r="CI204">
        <f>3797.487606</f>
        <v>3797.4876060000001</v>
      </c>
      <c r="CJ204">
        <f>3851.455747</f>
        <v>3851.455747</v>
      </c>
      <c r="CK204">
        <f>3870.050158</f>
        <v>3870.050158</v>
      </c>
      <c r="CL204">
        <f>3939.338452</f>
        <v>3939.338452</v>
      </c>
      <c r="CM204">
        <f>3829.915166</f>
        <v>3829.9151660000002</v>
      </c>
      <c r="CN204">
        <f>3800.279139</f>
        <v>3800.2791390000002</v>
      </c>
      <c r="CO204">
        <f>3903.2651</f>
        <v>3903.2651000000001</v>
      </c>
      <c r="CP204">
        <f>4147.81994</f>
        <v>4147.8199400000003</v>
      </c>
      <c r="CQ204">
        <f>4455.488098</f>
        <v>4455.4880979999998</v>
      </c>
      <c r="CR204">
        <f>4818.529854</f>
        <v>4818.5298540000003</v>
      </c>
      <c r="CS204">
        <f>4761.26686</f>
        <v>4761.2668599999997</v>
      </c>
      <c r="CT204">
        <f>4456.821264</f>
        <v>4456.8212640000002</v>
      </c>
      <c r="CU204">
        <f>4311.398891</f>
        <v>4311.3988909999998</v>
      </c>
      <c r="CV204">
        <f>3980.904331</f>
        <v>3980.9043310000002</v>
      </c>
      <c r="CW204">
        <f>3958.812685</f>
        <v>3958.8126849999999</v>
      </c>
      <c r="CX204">
        <f>3883.572245</f>
        <v>3883.5722449999998</v>
      </c>
      <c r="CY204">
        <f>3359.310848</f>
        <v>3359.3108480000001</v>
      </c>
      <c r="CZ204">
        <f>2955.901002</f>
        <v>2955.9010020000001</v>
      </c>
      <c r="DA204">
        <f>2993.787379</f>
        <v>2993.7873789999999</v>
      </c>
      <c r="DB204">
        <f>3146.427733</f>
        <v>3146.427733</v>
      </c>
      <c r="DC204">
        <f>3718.029439</f>
        <v>3718.0294389999999</v>
      </c>
      <c r="DD204">
        <f>4136.83633</f>
        <v>4136.8363300000001</v>
      </c>
      <c r="DE204">
        <f>3844.458976</f>
        <v>3844.4589759999999</v>
      </c>
      <c r="DF204">
        <f>3327.01391</f>
        <v>3327.0139100000001</v>
      </c>
      <c r="DG204">
        <f>2746.468494</f>
        <v>2746.4684940000002</v>
      </c>
      <c r="DH204">
        <f>2394.072516</f>
        <v>2394.0725160000002</v>
      </c>
      <c r="DI204">
        <f>2229.130129</f>
        <v>2229.1301290000001</v>
      </c>
      <c r="DJ204">
        <f>2178.100178</f>
        <v>2178.1001780000001</v>
      </c>
      <c r="DK204">
        <f>2133.190598</f>
        <v>2133.1905980000001</v>
      </c>
      <c r="DL204">
        <f>2076.315488</f>
        <v>2076.3154880000002</v>
      </c>
      <c r="DM204">
        <f>2032.078166</f>
        <v>2032.078166</v>
      </c>
      <c r="DN204">
        <f>1939.488514</f>
        <v>1939.4885139999999</v>
      </c>
      <c r="DO204">
        <f>1888.258681</f>
        <v>1888.258681</v>
      </c>
      <c r="DP204">
        <f>1776.420521</f>
        <v>1776.420521</v>
      </c>
      <c r="DQ204">
        <f>1715.513125</f>
        <v>1715.5131249999999</v>
      </c>
      <c r="DR204">
        <f>1761.511066</f>
        <v>1761.511066</v>
      </c>
      <c r="DS204">
        <f>1851.904053</f>
        <v>1851.904053</v>
      </c>
      <c r="DT204">
        <f>2004.367483</f>
        <v>2004.367483</v>
      </c>
      <c r="DU204">
        <f>1997.539795</f>
        <v>1997.5397949999999</v>
      </c>
    </row>
    <row r="205" spans="1:125" x14ac:dyDescent="0.25">
      <c r="A205" t="str">
        <f>"    Toyota Motor Corp"</f>
        <v xml:space="preserve">    Toyota Motor Corp</v>
      </c>
      <c r="B205" t="str">
        <f>"7203 JP Equity"</f>
        <v>7203 JP Equity</v>
      </c>
      <c r="C205" t="str">
        <f t="shared" si="12"/>
        <v>RR800</v>
      </c>
      <c r="D205" t="str">
        <f t="shared" si="13"/>
        <v>TRAIL_12M_NET_SALES</v>
      </c>
      <c r="E205" t="str">
        <f t="shared" si="14"/>
        <v>Dynamic</v>
      </c>
      <c r="F205" t="str">
        <f ca="1">IF(AND(ISNUMBER($F$710),$B$511=1),$F$710,HLOOKUP(INDIRECT(ADDRESS(2,COLUMN())),OFFSET($BN$2,0,0,ROW()-1,60),ROW()-1,FALSE))</f>
        <v/>
      </c>
      <c r="G205">
        <f ca="1">IF(AND(ISNUMBER($G$710),$B$511=1),$G$710,HLOOKUP(INDIRECT(ADDRESS(2,COLUMN())),OFFSET($BN$2,0,0,ROW()-1,60),ROW()-1,FALSE))</f>
        <v>272289.81790000002</v>
      </c>
      <c r="H205">
        <f ca="1">IF(AND(ISNUMBER($H$710),$B$511=1),$H$710,HLOOKUP(INDIRECT(ADDRESS(2,COLUMN())),OFFSET($BN$2,0,0,ROW()-1,60),ROW()-1,FALSE))</f>
        <v>270449.78850000002</v>
      </c>
      <c r="I205">
        <f ca="1">IF(AND(ISNUMBER($I$710),$B$511=1),$I$710,HLOOKUP(INDIRECT(ADDRESS(2,COLUMN())),OFFSET($BN$2,0,0,ROW()-1,60),ROW()-1,FALSE))</f>
        <v>269251.80670000002</v>
      </c>
      <c r="J205">
        <f ca="1">IF(AND(ISNUMBER($J$710),$B$511=1),$J$710,HLOOKUP(INDIRECT(ADDRESS(2,COLUMN())),OFFSET($BN$2,0,0,ROW()-1,60),ROW()-1,FALSE))</f>
        <v>265174.50140000001</v>
      </c>
      <c r="K205">
        <f ca="1">IF(AND(ISNUMBER($K$710),$B$511=1),$K$710,HLOOKUP(INDIRECT(ADDRESS(2,COLUMN())),OFFSET($BN$2,0,0,ROW()-1,60),ROW()-1,FALSE))</f>
        <v>260786.6716</v>
      </c>
      <c r="L205">
        <f ca="1">IF(AND(ISNUMBER($L$710),$B$511=1),$L$710,HLOOKUP(INDIRECT(ADDRESS(2,COLUMN())),OFFSET($BN$2,0,0,ROW()-1,60),ROW()-1,FALSE))</f>
        <v>258215.07329999999</v>
      </c>
      <c r="M205">
        <f ca="1">IF(AND(ISNUMBER($M$710),$B$511=1),$M$710,HLOOKUP(INDIRECT(ADDRESS(2,COLUMN())),OFFSET($BN$2,0,0,ROW()-1,60),ROW()-1,FALSE))</f>
        <v>257648.47649999999</v>
      </c>
      <c r="N205">
        <f ca="1">IF(AND(ISNUMBER($N$710),$B$511=1),$N$710,HLOOKUP(INDIRECT(ADDRESS(2,COLUMN())),OFFSET($BN$2,0,0,ROW()-1,60),ROW()-1,FALSE))</f>
        <v>255286.65520000001</v>
      </c>
      <c r="O205">
        <f ca="1">IF(AND(ISNUMBER($O$710),$B$511=1),$O$710,HLOOKUP(INDIRECT(ADDRESS(2,COLUMN())),OFFSET($BN$2,0,0,ROW()-1,60),ROW()-1,FALSE))</f>
        <v>250110.00049999999</v>
      </c>
      <c r="P205">
        <f ca="1">IF(AND(ISNUMBER($P$710),$B$511=1),$P$710,HLOOKUP(INDIRECT(ADDRESS(2,COLUMN())),OFFSET($BN$2,0,0,ROW()-1,60),ROW()-1,FALSE))</f>
        <v>246172.2219</v>
      </c>
      <c r="Q205">
        <f ca="1">IF(AND(ISNUMBER($Q$710),$B$511=1),$Q$710,HLOOKUP(INDIRECT(ADDRESS(2,COLUMN())),OFFSET($BN$2,0,0,ROW()-1,60),ROW()-1,FALSE))</f>
        <v>240596.58429999999</v>
      </c>
      <c r="R205">
        <f ca="1">IF(AND(ISNUMBER($R$710),$B$511=1),$R$710,HLOOKUP(INDIRECT(ADDRESS(2,COLUMN())),OFFSET($BN$2,0,0,ROW()-1,60),ROW()-1,FALSE))</f>
        <v>236785.89</v>
      </c>
      <c r="S205">
        <f ca="1">IF(AND(ISNUMBER($S$710),$B$511=1),$S$710,HLOOKUP(INDIRECT(ADDRESS(2,COLUMN())),OFFSET($BN$2,0,0,ROW()-1,60),ROW()-1,FALSE))</f>
        <v>235936.74770000001</v>
      </c>
      <c r="T205">
        <f ca="1">IF(AND(ISNUMBER($T$710),$B$511=1),$T$710,HLOOKUP(INDIRECT(ADDRESS(2,COLUMN())),OFFSET($BN$2,0,0,ROW()-1,60),ROW()-1,FALSE))</f>
        <v>238204.26699999999</v>
      </c>
      <c r="U205">
        <f ca="1">IF(AND(ISNUMBER($U$710),$B$511=1),$U$710,HLOOKUP(INDIRECT(ADDRESS(2,COLUMN())),OFFSET($BN$2,0,0,ROW()-1,60),ROW()-1,FALSE))</f>
        <v>243687.91</v>
      </c>
      <c r="V205">
        <f ca="1">IF(AND(ISNUMBER($V$710),$B$511=1),$V$710,HLOOKUP(INDIRECT(ADDRESS(2,COLUMN())),OFFSET($BN$2,0,0,ROW()-1,60),ROW()-1,FALSE))</f>
        <v>248983.74280000001</v>
      </c>
      <c r="W205">
        <f ca="1">IF(AND(ISNUMBER($W$710),$B$511=1),$W$710,HLOOKUP(INDIRECT(ADDRESS(2,COLUMN())),OFFSET($BN$2,0,0,ROW()-1,60),ROW()-1,FALSE))</f>
        <v>252704.78039999999</v>
      </c>
      <c r="X205">
        <f ca="1">IF(AND(ISNUMBER($X$710),$B$511=1),$X$710,HLOOKUP(INDIRECT(ADDRESS(2,COLUMN())),OFFSET($BN$2,0,0,ROW()-1,60),ROW()-1,FALSE))</f>
        <v>255171.47579999999</v>
      </c>
      <c r="Y205">
        <f ca="1">IF(AND(ISNUMBER($Y$710),$B$511=1),$Y$710,HLOOKUP(INDIRECT(ADDRESS(2,COLUMN())),OFFSET($BN$2,0,0,ROW()-1,60),ROW()-1,FALSE))</f>
        <v>255686.7715</v>
      </c>
      <c r="Z205">
        <f ca="1">IF(AND(ISNUMBER($Z$710),$B$511=1),$Z$710,HLOOKUP(INDIRECT(ADDRESS(2,COLUMN())),OFFSET($BN$2,0,0,ROW()-1,60),ROW()-1,FALSE))</f>
        <v>256541.99280000001</v>
      </c>
      <c r="AA205">
        <f ca="1">IF(AND(ISNUMBER($AA$710),$B$511=1),$AA$710,HLOOKUP(INDIRECT(ADDRESS(2,COLUMN())),OFFSET($BN$2,0,0,ROW()-1,60),ROW()-1,FALSE))</f>
        <v>256133.7893</v>
      </c>
      <c r="AB205">
        <f ca="1">IF(AND(ISNUMBER($AB$710),$B$511=1),$AB$710,HLOOKUP(INDIRECT(ADDRESS(2,COLUMN())),OFFSET($BN$2,0,0,ROW()-1,60),ROW()-1,FALSE))</f>
        <v>257283.6041</v>
      </c>
      <c r="AC205">
        <f ca="1">IF(AND(ISNUMBER($AC$710),$B$511=1),$AC$710,HLOOKUP(INDIRECT(ADDRESS(2,COLUMN())),OFFSET($BN$2,0,0,ROW()-1,60),ROW()-1,FALSE))</f>
        <v>262724.34879999998</v>
      </c>
      <c r="AD205">
        <f ca="1">IF(AND(ISNUMBER($AD$710),$B$511=1),$AD$710,HLOOKUP(INDIRECT(ADDRESS(2,COLUMN())),OFFSET($BN$2,0,0,ROW()-1,60),ROW()-1,FALSE))</f>
        <v>267027.49969999999</v>
      </c>
      <c r="AE205">
        <f ca="1">IF(AND(ISNUMBER($AE$710),$B$511=1),$AE$710,HLOOKUP(INDIRECT(ADDRESS(2,COLUMN())),OFFSET($BN$2,0,0,ROW()-1,60),ROW()-1,FALSE))</f>
        <v>274916.54639999999</v>
      </c>
      <c r="AF205">
        <f ca="1">IF(AND(ISNUMBER($AF$710),$B$511=1),$AF$710,HLOOKUP(INDIRECT(ADDRESS(2,COLUMN())),OFFSET($BN$2,0,0,ROW()-1,60),ROW()-1,FALSE))</f>
        <v>272507.40379999997</v>
      </c>
      <c r="AG205">
        <f ca="1">IF(AND(ISNUMBER($AG$710),$B$511=1),$AG$710,HLOOKUP(INDIRECT(ADDRESS(2,COLUMN())),OFFSET($BN$2,0,0,ROW()-1,60),ROW()-1,FALSE))</f>
        <v>262790.12030000001</v>
      </c>
      <c r="AH205">
        <f ca="1">IF(AND(ISNUMBER($AH$710),$B$511=1),$AH$710,HLOOKUP(INDIRECT(ADDRESS(2,COLUMN())),OFFSET($BN$2,0,0,ROW()-1,60),ROW()-1,FALSE))</f>
        <v>235525.63769999999</v>
      </c>
      <c r="AI205">
        <f ca="1">IF(AND(ISNUMBER($AI$710),$B$511=1),$AI$710,HLOOKUP(INDIRECT(ADDRESS(2,COLUMN())),OFFSET($BN$2,0,0,ROW()-1,60),ROW()-1,FALSE))</f>
        <v>220118.86249999999</v>
      </c>
      <c r="AJ205">
        <f ca="1">IF(AND(ISNUMBER($AJ$710),$B$511=1),$AJ$710,HLOOKUP(INDIRECT(ADDRESS(2,COLUMN())),OFFSET($BN$2,0,0,ROW()-1,60),ROW()-1,FALSE))</f>
        <v>214165.83609999999</v>
      </c>
      <c r="AK205">
        <f ca="1">IF(AND(ISNUMBER($AK$710),$B$511=1),$AK$710,HLOOKUP(INDIRECT(ADDRESS(2,COLUMN())),OFFSET($BN$2,0,0,ROW()-1,60),ROW()-1,FALSE))</f>
        <v>211640.35680000001</v>
      </c>
      <c r="AL205">
        <f ca="1">IF(AND(ISNUMBER($AL$710),$B$511=1),$AL$710,HLOOKUP(INDIRECT(ADDRESS(2,COLUMN())),OFFSET($BN$2,0,0,ROW()-1,60),ROW()-1,FALSE))</f>
        <v>222250.0135</v>
      </c>
      <c r="AM205">
        <f ca="1">IF(AND(ISNUMBER($AM$710),$B$511=1),$AM$710,HLOOKUP(INDIRECT(ADDRESS(2,COLUMN())),OFFSET($BN$2,0,0,ROW()-1,60),ROW()-1,FALSE))</f>
        <v>224269.72289999999</v>
      </c>
      <c r="AN205">
        <f ca="1">IF(AND(ISNUMBER($AN$710),$B$511=1),$AN$710,HLOOKUP(INDIRECT(ADDRESS(2,COLUMN())),OFFSET($BN$2,0,0,ROW()-1,60),ROW()-1,FALSE))</f>
        <v>226314.23759999999</v>
      </c>
      <c r="AO205">
        <f ca="1">IF(AND(ISNUMBER($AO$710),$B$511=1),$AO$710,HLOOKUP(INDIRECT(ADDRESS(2,COLUMN())),OFFSET($BN$2,0,0,ROW()-1,60),ROW()-1,FALSE))</f>
        <v>218429.946</v>
      </c>
      <c r="AP205">
        <f ca="1">IF(AND(ISNUMBER($AP$710),$B$511=1),$AP$710,HLOOKUP(INDIRECT(ADDRESS(2,COLUMN())),OFFSET($BN$2,0,0,ROW()-1,60),ROW()-1,FALSE))</f>
        <v>204344.53169999999</v>
      </c>
      <c r="AQ205">
        <f ca="1">IF(AND(ISNUMBER($AQ$710),$B$511=1),$AQ$710,HLOOKUP(INDIRECT(ADDRESS(2,COLUMN())),OFFSET($BN$2,0,0,ROW()-1,60),ROW()-1,FALSE))</f>
        <v>184114.0141</v>
      </c>
      <c r="AR205">
        <f ca="1">IF(AND(ISNUMBER($AR$710),$B$511=1),$AR$710,HLOOKUP(INDIRECT(ADDRESS(2,COLUMN())),OFFSET($BN$2,0,0,ROW()-1,60),ROW()-1,FALSE))</f>
        <v>175924.76180000001</v>
      </c>
      <c r="AS205">
        <f ca="1">IF(AND(ISNUMBER($AS$710),$B$511=1),$AS$710,HLOOKUP(INDIRECT(ADDRESS(2,COLUMN())),OFFSET($BN$2,0,0,ROW()-1,60),ROW()-1,FALSE))</f>
        <v>184585.30910000001</v>
      </c>
      <c r="AT205">
        <f ca="1">IF(AND(ISNUMBER($AT$710),$B$511=1),$AT$710,HLOOKUP(INDIRECT(ADDRESS(2,COLUMN())),OFFSET($BN$2,0,0,ROW()-1,60),ROW()-1,FALSE))</f>
        <v>205127.47719999999</v>
      </c>
      <c r="AU205">
        <f ca="1">IF(AND(ISNUMBER($AU$710),$B$511=1),$AU$710,HLOOKUP(INDIRECT(ADDRESS(2,COLUMN())),OFFSET($BN$2,0,0,ROW()-1,60),ROW()-1,FALSE))</f>
        <v>228544.63449999999</v>
      </c>
      <c r="AV205">
        <f ca="1">IF(AND(ISNUMBER($AV$710),$B$511=1),$AV$710,HLOOKUP(INDIRECT(ADDRESS(2,COLUMN())),OFFSET($BN$2,0,0,ROW()-1,60),ROW()-1,FALSE))</f>
        <v>236824.57879999999</v>
      </c>
      <c r="AW205">
        <f ca="1">IF(AND(ISNUMBER($AW$710),$B$511=1),$AW$710,HLOOKUP(INDIRECT(ADDRESS(2,COLUMN())),OFFSET($BN$2,0,0,ROW()-1,60),ROW()-1,FALSE))</f>
        <v>236421.50700000001</v>
      </c>
      <c r="AX205">
        <f ca="1">IF(AND(ISNUMBER($AX$710),$B$511=1),$AX$710,HLOOKUP(INDIRECT(ADDRESS(2,COLUMN())),OFFSET($BN$2,0,0,ROW()-1,60),ROW()-1,FALSE))</f>
        <v>230822.0471</v>
      </c>
      <c r="AY205">
        <f ca="1">IF(AND(ISNUMBER($AY$710),$B$511=1),$AY$710,HLOOKUP(INDIRECT(ADDRESS(2,COLUMN())),OFFSET($BN$2,0,0,ROW()-1,60),ROW()-1,FALSE))</f>
        <v>221429.70540000001</v>
      </c>
      <c r="AZ205">
        <f ca="1">IF(AND(ISNUMBER($AZ$710),$B$511=1),$AZ$710,HLOOKUP(INDIRECT(ADDRESS(2,COLUMN())),OFFSET($BN$2,0,0,ROW()-1,60),ROW()-1,FALSE))</f>
        <v>214385.79670000001</v>
      </c>
      <c r="BA205">
        <f ca="1">IF(AND(ISNUMBER($BA$710),$B$511=1),$BA$710,HLOOKUP(INDIRECT(ADDRESS(2,COLUMN())),OFFSET($BN$2,0,0,ROW()-1,60),ROW()-1,FALSE))</f>
        <v>209529.8443</v>
      </c>
      <c r="BB205">
        <f ca="1">IF(AND(ISNUMBER($BB$710),$B$511=1),$BB$710,HLOOKUP(INDIRECT(ADDRESS(2,COLUMN())),OFFSET($BN$2,0,0,ROW()-1,60),ROW()-1,FALSE))</f>
        <v>204874.67920000001</v>
      </c>
      <c r="BC205">
        <f ca="1">IF(AND(ISNUMBER($BC$710),$B$511=1),$BC$710,HLOOKUP(INDIRECT(ADDRESS(2,COLUMN())),OFFSET($BN$2,0,0,ROW()-1,60),ROW()-1,FALSE))</f>
        <v>200953.296</v>
      </c>
      <c r="BD205">
        <f ca="1">IF(AND(ISNUMBER($BD$710),$B$511=1),$BD$710,HLOOKUP(INDIRECT(ADDRESS(2,COLUMN())),OFFSET($BN$2,0,0,ROW()-1,60),ROW()-1,FALSE))</f>
        <v>194173.40479999999</v>
      </c>
      <c r="BE205">
        <f ca="1">IF(AND(ISNUMBER($BE$710),$B$511=1),$BE$710,HLOOKUP(INDIRECT(ADDRESS(2,COLUMN())),OFFSET($BN$2,0,0,ROW()-1,60),ROW()-1,FALSE))</f>
        <v>188889.53140000001</v>
      </c>
      <c r="BF205">
        <f ca="1">IF(AND(ISNUMBER($BF$710),$B$511=1),$BF$710,HLOOKUP(INDIRECT(ADDRESS(2,COLUMN())),OFFSET($BN$2,0,0,ROW()-1,60),ROW()-1,FALSE))</f>
        <v>186063.32509999999</v>
      </c>
      <c r="BG205">
        <f ca="1">IF(AND(ISNUMBER($BG$710),$B$511=1),$BG$710,HLOOKUP(INDIRECT(ADDRESS(2,COLUMN())),OFFSET($BN$2,0,0,ROW()-1,60),ROW()-1,FALSE))</f>
        <v>183429.63370000001</v>
      </c>
      <c r="BH205">
        <f ca="1">IF(AND(ISNUMBER($BH$710),$B$511=1),$BH$710,HLOOKUP(INDIRECT(ADDRESS(2,COLUMN())),OFFSET($BN$2,0,0,ROW()-1,60),ROW()-1,FALSE))</f>
        <v>181732.14170000001</v>
      </c>
      <c r="BI205">
        <f ca="1">IF(AND(ISNUMBER($BI$710),$B$511=1),$BI$710,HLOOKUP(INDIRECT(ADDRESS(2,COLUMN())),OFFSET($BN$2,0,0,ROW()-1,60),ROW()-1,FALSE))</f>
        <v>177990.46350000001</v>
      </c>
      <c r="BJ205">
        <f ca="1">IF(AND(ISNUMBER($BJ$710),$B$511=1),$BJ$710,HLOOKUP(INDIRECT(ADDRESS(2,COLUMN())),OFFSET($BN$2,0,0,ROW()-1,60),ROW()-1,FALSE))</f>
        <v>172751.554</v>
      </c>
      <c r="BK205">
        <f ca="1">IF(AND(ISNUMBER($BK$710),$B$511=1),$BK$710,HLOOKUP(INDIRECT(ADDRESS(2,COLUMN())),OFFSET($BN$2,0,0,ROW()-1,60),ROW()-1,FALSE))</f>
        <v>169849.01240000001</v>
      </c>
      <c r="BL205">
        <f ca="1">IF(AND(ISNUMBER($BL$710),$B$511=1),$BL$710,HLOOKUP(INDIRECT(ADDRESS(2,COLUMN())),OFFSET($BN$2,0,0,ROW()-1,60),ROW()-1,FALSE))</f>
        <v>166221.09039999999</v>
      </c>
      <c r="BM205">
        <f ca="1">IF(AND(ISNUMBER($BM$710),$B$511=1),$BM$710,HLOOKUP(INDIRECT(ADDRESS(2,COLUMN())),OFFSET($BN$2,0,0,ROW()-1,60),ROW()-1,FALSE))</f>
        <v>160125.26639999999</v>
      </c>
      <c r="BN205" t="str">
        <f>""</f>
        <v/>
      </c>
      <c r="BO205">
        <f>272289.8179</f>
        <v>272289.81790000002</v>
      </c>
      <c r="BP205">
        <f>270449.7885</f>
        <v>270449.78850000002</v>
      </c>
      <c r="BQ205">
        <f>269251.8067</f>
        <v>269251.80670000002</v>
      </c>
      <c r="BR205">
        <f>265174.5014</f>
        <v>265174.50140000001</v>
      </c>
      <c r="BS205">
        <f>260786.6716</f>
        <v>260786.6716</v>
      </c>
      <c r="BT205">
        <f>258215.0733</f>
        <v>258215.07329999999</v>
      </c>
      <c r="BU205">
        <f>257648.4765</f>
        <v>257648.47649999999</v>
      </c>
      <c r="BV205">
        <f>255286.6552</f>
        <v>255286.65520000001</v>
      </c>
      <c r="BW205">
        <f>250110.0005</f>
        <v>250110.00049999999</v>
      </c>
      <c r="BX205">
        <f>246172.2219</f>
        <v>246172.2219</v>
      </c>
      <c r="BY205">
        <f>240596.5843</f>
        <v>240596.58429999999</v>
      </c>
      <c r="BZ205">
        <f>236785.89</f>
        <v>236785.89</v>
      </c>
      <c r="CA205">
        <f>235936.7477</f>
        <v>235936.74770000001</v>
      </c>
      <c r="CB205">
        <f>238204.267</f>
        <v>238204.26699999999</v>
      </c>
      <c r="CC205">
        <f>243687.91</f>
        <v>243687.91</v>
      </c>
      <c r="CD205">
        <f>248983.7428</f>
        <v>248983.74280000001</v>
      </c>
      <c r="CE205">
        <f>252704.7804</f>
        <v>252704.78039999999</v>
      </c>
      <c r="CF205">
        <f>255171.4758</f>
        <v>255171.47579999999</v>
      </c>
      <c r="CG205">
        <f>255686.7715</f>
        <v>255686.7715</v>
      </c>
      <c r="CH205">
        <f>256541.9928</f>
        <v>256541.99280000001</v>
      </c>
      <c r="CI205">
        <f>256133.7893</f>
        <v>256133.7893</v>
      </c>
      <c r="CJ205">
        <f>257283.6041</f>
        <v>257283.6041</v>
      </c>
      <c r="CK205">
        <f>262724.3488</f>
        <v>262724.34879999998</v>
      </c>
      <c r="CL205">
        <f>267027.4997</f>
        <v>267027.49969999999</v>
      </c>
      <c r="CM205">
        <f>274916.5464</f>
        <v>274916.54639999999</v>
      </c>
      <c r="CN205">
        <f>272507.4038</f>
        <v>272507.40379999997</v>
      </c>
      <c r="CO205">
        <f>262790.1203</f>
        <v>262790.12030000001</v>
      </c>
      <c r="CP205">
        <f>235525.6377</f>
        <v>235525.63769999999</v>
      </c>
      <c r="CQ205">
        <f>220118.8625</f>
        <v>220118.86249999999</v>
      </c>
      <c r="CR205">
        <f>214165.8361</f>
        <v>214165.83609999999</v>
      </c>
      <c r="CS205">
        <f>211640.3568</f>
        <v>211640.35680000001</v>
      </c>
      <c r="CT205">
        <f>222250.0135</f>
        <v>222250.0135</v>
      </c>
      <c r="CU205">
        <f>224269.7229</f>
        <v>224269.72289999999</v>
      </c>
      <c r="CV205">
        <f>226314.2376</f>
        <v>226314.23759999999</v>
      </c>
      <c r="CW205">
        <f>218429.946</f>
        <v>218429.946</v>
      </c>
      <c r="CX205">
        <f>204344.5317</f>
        <v>204344.53169999999</v>
      </c>
      <c r="CY205">
        <f>184114.0141</f>
        <v>184114.0141</v>
      </c>
      <c r="CZ205">
        <f>175924.7618</f>
        <v>175924.76180000001</v>
      </c>
      <c r="DA205">
        <f>184585.3091</f>
        <v>184585.30910000001</v>
      </c>
      <c r="DB205">
        <f>205127.4772</f>
        <v>205127.47719999999</v>
      </c>
      <c r="DC205">
        <f>228544.6345</f>
        <v>228544.63449999999</v>
      </c>
      <c r="DD205">
        <f>236824.5788</f>
        <v>236824.57879999999</v>
      </c>
      <c r="DE205">
        <f>236421.507</f>
        <v>236421.50700000001</v>
      </c>
      <c r="DF205">
        <f>230822.0471</f>
        <v>230822.0471</v>
      </c>
      <c r="DG205">
        <f>221429.7054</f>
        <v>221429.70540000001</v>
      </c>
      <c r="DH205">
        <f>214385.7967</f>
        <v>214385.79670000001</v>
      </c>
      <c r="DI205">
        <f>209529.8443</f>
        <v>209529.8443</v>
      </c>
      <c r="DJ205">
        <f>204874.6792</f>
        <v>204874.67920000001</v>
      </c>
      <c r="DK205">
        <f>200953.296</f>
        <v>200953.296</v>
      </c>
      <c r="DL205">
        <f>194173.4048</f>
        <v>194173.40479999999</v>
      </c>
      <c r="DM205">
        <f>188889.5314</f>
        <v>188889.53140000001</v>
      </c>
      <c r="DN205">
        <f>186063.3251</f>
        <v>186063.32509999999</v>
      </c>
      <c r="DO205">
        <f>183429.6337</f>
        <v>183429.63370000001</v>
      </c>
      <c r="DP205">
        <f>181732.1417</f>
        <v>181732.14170000001</v>
      </c>
      <c r="DQ205">
        <f>177990.4635</f>
        <v>177990.46350000001</v>
      </c>
      <c r="DR205">
        <f>172751.554</f>
        <v>172751.554</v>
      </c>
      <c r="DS205">
        <f>169849.0124</f>
        <v>169849.01240000001</v>
      </c>
      <c r="DT205">
        <f>166221.0904</f>
        <v>166221.09039999999</v>
      </c>
      <c r="DU205">
        <f>160125.2664</f>
        <v>160125.26639999999</v>
      </c>
    </row>
    <row r="206" spans="1:125" x14ac:dyDescent="0.25">
      <c r="A206" t="str">
        <f>"    Volkswagen AG"</f>
        <v xml:space="preserve">    Volkswagen AG</v>
      </c>
      <c r="B206" t="str">
        <f>"VOW GR Equity"</f>
        <v>VOW GR Equity</v>
      </c>
      <c r="C206" t="str">
        <f t="shared" si="12"/>
        <v>RR800</v>
      </c>
      <c r="D206" t="str">
        <f t="shared" si="13"/>
        <v>TRAIL_12M_NET_SALES</v>
      </c>
      <c r="E206" t="str">
        <f t="shared" si="14"/>
        <v>Dynamic</v>
      </c>
      <c r="F206" t="str">
        <f ca="1">IF(AND(ISNUMBER($F$711),$B$511=1),$F$711,HLOOKUP(INDIRECT(ADDRESS(2,COLUMN())),OFFSET($BN$2,0,0,ROW()-1,60),ROW()-1,FALSE))</f>
        <v/>
      </c>
      <c r="G206">
        <f ca="1">IF(AND(ISNUMBER($G$711),$B$511=1),$G$711,HLOOKUP(INDIRECT(ADDRESS(2,COLUMN())),OFFSET($BN$2,0,0,ROW()-1,60),ROW()-1,FALSE))</f>
        <v>278566.98570000002</v>
      </c>
      <c r="H206">
        <f ca="1">IF(AND(ISNUMBER($H$711),$B$511=1),$H$711,HLOOKUP(INDIRECT(ADDRESS(2,COLUMN())),OFFSET($BN$2,0,0,ROW()-1,60),ROW()-1,FALSE))</f>
        <v>279034.56359999999</v>
      </c>
      <c r="I206">
        <f ca="1">IF(AND(ISNUMBER($I$711),$B$511=1),$I$711,HLOOKUP(INDIRECT(ADDRESS(2,COLUMN())),OFFSET($BN$2,0,0,ROW()-1,60),ROW()-1,FALSE))</f>
        <v>279163.31099999999</v>
      </c>
      <c r="J206">
        <f ca="1">IF(AND(ISNUMBER($J$711),$B$511=1),$J$711,HLOOKUP(INDIRECT(ADDRESS(2,COLUMN())),OFFSET($BN$2,0,0,ROW()-1,60),ROW()-1,FALSE))</f>
        <v>271495.10350000003</v>
      </c>
      <c r="K206">
        <f ca="1">IF(AND(ISNUMBER($K$711),$B$511=1),$K$711,HLOOKUP(INDIRECT(ADDRESS(2,COLUMN())),OFFSET($BN$2,0,0,ROW()-1,60),ROW()-1,FALSE))</f>
        <v>259703.71900000001</v>
      </c>
      <c r="L206">
        <f ca="1">IF(AND(ISNUMBER($L$711),$B$511=1),$L$711,HLOOKUP(INDIRECT(ADDRESS(2,COLUMN())),OFFSET($BN$2,0,0,ROW()-1,60),ROW()-1,FALSE))</f>
        <v>251227.0638</v>
      </c>
      <c r="M206">
        <f ca="1">IF(AND(ISNUMBER($M$711),$B$511=1),$M$711,HLOOKUP(INDIRECT(ADDRESS(2,COLUMN())),OFFSET($BN$2,0,0,ROW()-1,60),ROW()-1,FALSE))</f>
        <v>244946.62789999999</v>
      </c>
      <c r="N206">
        <f ca="1">IF(AND(ISNUMBER($N$711),$B$511=1),$N$711,HLOOKUP(INDIRECT(ADDRESS(2,COLUMN())),OFFSET($BN$2,0,0,ROW()-1,60),ROW()-1,FALSE))</f>
        <v>244149.348</v>
      </c>
      <c r="O206">
        <f ca="1">IF(AND(ISNUMBER($O$711),$B$511=1),$O$711,HLOOKUP(INDIRECT(ADDRESS(2,COLUMN())),OFFSET($BN$2,0,0,ROW()-1,60),ROW()-1,FALSE))</f>
        <v>240477.34640000001</v>
      </c>
      <c r="P206">
        <f ca="1">IF(AND(ISNUMBER($P$711),$B$511=1),$P$711,HLOOKUP(INDIRECT(ADDRESS(2,COLUMN())),OFFSET($BN$2,0,0,ROW()-1,60),ROW()-1,FALSE))</f>
        <v>236609.83540000001</v>
      </c>
      <c r="Q206">
        <f ca="1">IF(AND(ISNUMBER($Q$711),$B$511=1),$Q$711,HLOOKUP(INDIRECT(ADDRESS(2,COLUMN())),OFFSET($BN$2,0,0,ROW()-1,60),ROW()-1,FALSE))</f>
        <v>235817.12729999999</v>
      </c>
      <c r="R206">
        <f ca="1">IF(AND(ISNUMBER($R$711),$B$511=1),$R$711,HLOOKUP(INDIRECT(ADDRESS(2,COLUMN())),OFFSET($BN$2,0,0,ROW()-1,60),ROW()-1,FALSE))</f>
        <v>233592.8934</v>
      </c>
      <c r="S206">
        <f ca="1">IF(AND(ISNUMBER($S$711),$B$511=1),$S$711,HLOOKUP(INDIRECT(ADDRESS(2,COLUMN())),OFFSET($BN$2,0,0,ROW()-1,60),ROW()-1,FALSE))</f>
        <v>236754.2548</v>
      </c>
      <c r="T206">
        <f ca="1">IF(AND(ISNUMBER($T$711),$B$511=1),$T$711,HLOOKUP(INDIRECT(ADDRESS(2,COLUMN())),OFFSET($BN$2,0,0,ROW()-1,60),ROW()-1,FALSE))</f>
        <v>247002.75320000001</v>
      </c>
      <c r="U206">
        <f ca="1">IF(AND(ISNUMBER($U$711),$B$511=1),$U$711,HLOOKUP(INDIRECT(ADDRESS(2,COLUMN())),OFFSET($BN$2,0,0,ROW()-1,60),ROW()-1,FALSE))</f>
        <v>255501.4106</v>
      </c>
      <c r="V206">
        <f ca="1">IF(AND(ISNUMBER($V$711),$B$511=1),$V$711,HLOOKUP(INDIRECT(ADDRESS(2,COLUMN())),OFFSET($BN$2,0,0,ROW()-1,60),ROW()-1,FALSE))</f>
        <v>263077.49089999998</v>
      </c>
      <c r="W206">
        <f ca="1">IF(AND(ISNUMBER($W$711),$B$511=1),$W$711,HLOOKUP(INDIRECT(ADDRESS(2,COLUMN())),OFFSET($BN$2,0,0,ROW()-1,60),ROW()-1,FALSE))</f>
        <v>268963.90749999997</v>
      </c>
      <c r="X206">
        <f ca="1">IF(AND(ISNUMBER($X$711),$B$511=1),$X$711,HLOOKUP(INDIRECT(ADDRESS(2,COLUMN())),OFFSET($BN$2,0,0,ROW()-1,60),ROW()-1,FALSE))</f>
        <v>270118.33720000001</v>
      </c>
      <c r="Y206">
        <f ca="1">IF(AND(ISNUMBER($Y$711),$B$511=1),$Y$711,HLOOKUP(INDIRECT(ADDRESS(2,COLUMN())),OFFSET($BN$2,0,0,ROW()-1,60),ROW()-1,FALSE))</f>
        <v>267474.85749999998</v>
      </c>
      <c r="Z206">
        <f ca="1">IF(AND(ISNUMBER($Z$711),$B$511=1),$Z$711,HLOOKUP(INDIRECT(ADDRESS(2,COLUMN())),OFFSET($BN$2,0,0,ROW()-1,60),ROW()-1,FALSE))</f>
        <v>265805.34240000002</v>
      </c>
      <c r="AA206">
        <f ca="1">IF(AND(ISNUMBER($AA$711),$B$511=1),$AA$711,HLOOKUP(INDIRECT(ADDRESS(2,COLUMN())),OFFSET($BN$2,0,0,ROW()-1,60),ROW()-1,FALSE))</f>
        <v>261687.97949999999</v>
      </c>
      <c r="AB206">
        <f ca="1">IF(AND(ISNUMBER($AB$711),$B$511=1),$AB$711,HLOOKUP(INDIRECT(ADDRESS(2,COLUMN())),OFFSET($BN$2,0,0,ROW()-1,60),ROW()-1,FALSE))</f>
        <v>254713.51120000001</v>
      </c>
      <c r="AC206">
        <f ca="1">IF(AND(ISNUMBER($AC$711),$B$511=1),$AC$711,HLOOKUP(INDIRECT(ADDRESS(2,COLUMN())),OFFSET($BN$2,0,0,ROW()-1,60),ROW()-1,FALSE))</f>
        <v>253539.1771</v>
      </c>
      <c r="AD206">
        <f ca="1">IF(AND(ISNUMBER($AD$711),$B$511=1),$AD$711,HLOOKUP(INDIRECT(ADDRESS(2,COLUMN())),OFFSET($BN$2,0,0,ROW()-1,60),ROW()-1,FALSE))</f>
        <v>247169.4025</v>
      </c>
      <c r="AE206">
        <f ca="1">IF(AND(ISNUMBER($AE$711),$B$511=1),$AE$711,HLOOKUP(INDIRECT(ADDRESS(2,COLUMN())),OFFSET($BN$2,0,0,ROW()-1,60),ROW()-1,FALSE))</f>
        <v>247756.49849999999</v>
      </c>
      <c r="AF206">
        <f ca="1">IF(AND(ISNUMBER($AF$711),$B$511=1),$AF$711,HLOOKUP(INDIRECT(ADDRESS(2,COLUMN())),OFFSET($BN$2,0,0,ROW()-1,60),ROW()-1,FALSE))</f>
        <v>243154.9663</v>
      </c>
      <c r="AG206">
        <f ca="1">IF(AND(ISNUMBER($AG$711),$B$511=1),$AG$711,HLOOKUP(INDIRECT(ADDRESS(2,COLUMN())),OFFSET($BN$2,0,0,ROW()-1,60),ROW()-1,FALSE))</f>
        <v>236939.39230000001</v>
      </c>
      <c r="AH206">
        <f ca="1">IF(AND(ISNUMBER($AH$711),$B$511=1),$AH$711,HLOOKUP(INDIRECT(ADDRESS(2,COLUMN())),OFFSET($BN$2,0,0,ROW()-1,60),ROW()-1,FALSE))</f>
        <v>233145.86379999999</v>
      </c>
      <c r="AI206">
        <f ca="1">IF(AND(ISNUMBER($AI$711),$B$511=1),$AI$711,HLOOKUP(INDIRECT(ADDRESS(2,COLUMN())),OFFSET($BN$2,0,0,ROW()-1,60),ROW()-1,FALSE))</f>
        <v>221861.1789</v>
      </c>
      <c r="AJ206">
        <f ca="1">IF(AND(ISNUMBER($AJ$711),$B$511=1),$AJ$711,HLOOKUP(INDIRECT(ADDRESS(2,COLUMN())),OFFSET($BN$2,0,0,ROW()-1,60),ROW()-1,FALSE))</f>
        <v>210063.38740000001</v>
      </c>
      <c r="AK206">
        <f ca="1">IF(AND(ISNUMBER($AK$711),$B$511=1),$AK$711,HLOOKUP(INDIRECT(ADDRESS(2,COLUMN())),OFFSET($BN$2,0,0,ROW()-1,60),ROW()-1,FALSE))</f>
        <v>194884.34589999999</v>
      </c>
      <c r="AL206">
        <f ca="1">IF(AND(ISNUMBER($AL$711),$B$511=1),$AL$711,HLOOKUP(INDIRECT(ADDRESS(2,COLUMN())),OFFSET($BN$2,0,0,ROW()-1,60),ROW()-1,FALSE))</f>
        <v>179527.4246</v>
      </c>
      <c r="AM206">
        <f ca="1">IF(AND(ISNUMBER($AM$711),$B$511=1),$AM$711,HLOOKUP(INDIRECT(ADDRESS(2,COLUMN())),OFFSET($BN$2,0,0,ROW()-1,60),ROW()-1,FALSE))</f>
        <v>168315.11379999999</v>
      </c>
      <c r="AN206">
        <f ca="1">IF(AND(ISNUMBER($AN$711),$B$511=1),$AN$711,HLOOKUP(INDIRECT(ADDRESS(2,COLUMN())),OFFSET($BN$2,0,0,ROW()-1,60),ROW()-1,FALSE))</f>
        <v>163572.79870000001</v>
      </c>
      <c r="AO206">
        <f ca="1">IF(AND(ISNUMBER($AO$711),$B$511=1),$AO$711,HLOOKUP(INDIRECT(ADDRESS(2,COLUMN())),OFFSET($BN$2,0,0,ROW()-1,60),ROW()-1,FALSE))</f>
        <v>161122.65270000001</v>
      </c>
      <c r="AP206">
        <f ca="1">IF(AND(ISNUMBER($AP$711),$B$511=1),$AP$711,HLOOKUP(INDIRECT(ADDRESS(2,COLUMN())),OFFSET($BN$2,0,0,ROW()-1,60),ROW()-1,FALSE))</f>
        <v>155281.07449999999</v>
      </c>
      <c r="AQ206">
        <f ca="1">IF(AND(ISNUMBER($AQ$711),$B$511=1),$AQ$711,HLOOKUP(INDIRECT(ADDRESS(2,COLUMN())),OFFSET($BN$2,0,0,ROW()-1,60),ROW()-1,FALSE))</f>
        <v>146676.61170000001</v>
      </c>
      <c r="AR206">
        <f ca="1">IF(AND(ISNUMBER($AR$711),$B$511=1),$AR$711,HLOOKUP(INDIRECT(ADDRESS(2,COLUMN())),OFFSET($BN$2,0,0,ROW()-1,60),ROW()-1,FALSE))</f>
        <v>143002.761</v>
      </c>
      <c r="AS206">
        <f ca="1">IF(AND(ISNUMBER($AS$711),$B$511=1),$AS$711,HLOOKUP(INDIRECT(ADDRESS(2,COLUMN())),OFFSET($BN$2,0,0,ROW()-1,60),ROW()-1,FALSE))</f>
        <v>149033.4191</v>
      </c>
      <c r="AT206">
        <f ca="1">IF(AND(ISNUMBER($AT$711),$B$511=1),$AT$711,HLOOKUP(INDIRECT(ADDRESS(2,COLUMN())),OFFSET($BN$2,0,0,ROW()-1,60),ROW()-1,FALSE))</f>
        <v>157681.89129999999</v>
      </c>
      <c r="AU206">
        <f ca="1">IF(AND(ISNUMBER($AU$711),$B$511=1),$AU$711,HLOOKUP(INDIRECT(ADDRESS(2,COLUMN())),OFFSET($BN$2,0,0,ROW()-1,60),ROW()-1,FALSE))</f>
        <v>167398.98180000001</v>
      </c>
      <c r="AV206">
        <f ca="1">IF(AND(ISNUMBER($AV$711),$B$511=1),$AV$711,HLOOKUP(INDIRECT(ADDRESS(2,COLUMN())),OFFSET($BN$2,0,0,ROW()-1,60),ROW()-1,FALSE))</f>
        <v>170409.7567</v>
      </c>
      <c r="AW206">
        <f ca="1">IF(AND(ISNUMBER($AW$711),$B$511=1),$AW$711,HLOOKUP(INDIRECT(ADDRESS(2,COLUMN())),OFFSET($BN$2,0,0,ROW()-1,60),ROW()-1,FALSE))</f>
        <v>162617.37899999999</v>
      </c>
      <c r="AX206">
        <f ca="1">IF(AND(ISNUMBER($AX$711),$B$511=1),$AX$711,HLOOKUP(INDIRECT(ADDRESS(2,COLUMN())),OFFSET($BN$2,0,0,ROW()-1,60),ROW()-1,FALSE))</f>
        <v>154910.83559999999</v>
      </c>
      <c r="AY206">
        <f ca="1">IF(AND(ISNUMBER($AY$711),$B$511=1),$AY$711,HLOOKUP(INDIRECT(ADDRESS(2,COLUMN())),OFFSET($BN$2,0,0,ROW()-1,60),ROW()-1,FALSE))</f>
        <v>149275.83439999999</v>
      </c>
      <c r="AZ206">
        <f ca="1">IF(AND(ISNUMBER($AZ$711),$B$511=1),$AZ$711,HLOOKUP(INDIRECT(ADDRESS(2,COLUMN())),OFFSET($BN$2,0,0,ROW()-1,60),ROW()-1,FALSE))</f>
        <v>144804.62169999999</v>
      </c>
      <c r="BA206">
        <f ca="1">IF(AND(ISNUMBER($BA$711),$B$511=1),$BA$711,HLOOKUP(INDIRECT(ADDRESS(2,COLUMN())),OFFSET($BN$2,0,0,ROW()-1,60),ROW()-1,FALSE))</f>
        <v>140815.72709999999</v>
      </c>
      <c r="BB206">
        <f ca="1">IF(AND(ISNUMBER($BB$711),$B$511=1),$BB$711,HLOOKUP(INDIRECT(ADDRESS(2,COLUMN())),OFFSET($BN$2,0,0,ROW()-1,60),ROW()-1,FALSE))</f>
        <v>136259.25450000001</v>
      </c>
      <c r="BC206">
        <f ca="1">IF(AND(ISNUMBER($BC$711),$B$511=1),$BC$711,HLOOKUP(INDIRECT(ADDRESS(2,COLUMN())),OFFSET($BN$2,0,0,ROW()-1,60),ROW()-1,FALSE))</f>
        <v>131763.73180000001</v>
      </c>
      <c r="BD206">
        <f ca="1">IF(AND(ISNUMBER($BD$711),$B$511=1),$BD$711,HLOOKUP(INDIRECT(ADDRESS(2,COLUMN())),OFFSET($BN$2,0,0,ROW()-1,60),ROW()-1,FALSE))</f>
        <v>125713.63129999999</v>
      </c>
      <c r="BE206">
        <f ca="1">IF(AND(ISNUMBER($BE$711),$B$511=1),$BE$711,HLOOKUP(INDIRECT(ADDRESS(2,COLUMN())),OFFSET($BN$2,0,0,ROW()-1,60),ROW()-1,FALSE))</f>
        <v>122282.56449999999</v>
      </c>
      <c r="BF206">
        <f ca="1">IF(AND(ISNUMBER($BF$711),$B$511=1),$BF$711,HLOOKUP(INDIRECT(ADDRESS(2,COLUMN())),OFFSET($BN$2,0,0,ROW()-1,60),ROW()-1,FALSE))</f>
        <v>119895.0235</v>
      </c>
      <c r="BG206">
        <f ca="1">IF(AND(ISNUMBER($BG$711),$B$511=1),$BG$711,HLOOKUP(INDIRECT(ADDRESS(2,COLUMN())),OFFSET($BN$2,0,0,ROW()-1,60),ROW()-1,FALSE))</f>
        <v>116951.45909999999</v>
      </c>
      <c r="BH206">
        <f ca="1">IF(AND(ISNUMBER($BH$711),$B$511=1),$BH$711,HLOOKUP(INDIRECT(ADDRESS(2,COLUMN())),OFFSET($BN$2,0,0,ROW()-1,60),ROW()-1,FALSE))</f>
        <v>116401.2264</v>
      </c>
      <c r="BI206">
        <f ca="1">IF(AND(ISNUMBER($BI$711),$B$511=1),$BI$711,HLOOKUP(INDIRECT(ADDRESS(2,COLUMN())),OFFSET($BN$2,0,0,ROW()-1,60),ROW()-1,FALSE))</f>
        <v>113569.7261</v>
      </c>
      <c r="BJ206">
        <f ca="1">IF(AND(ISNUMBER($BJ$711),$B$511=1),$BJ$711,HLOOKUP(INDIRECT(ADDRESS(2,COLUMN())),OFFSET($BN$2,0,0,ROW()-1,60),ROW()-1,FALSE))</f>
        <v>111024.7093</v>
      </c>
      <c r="BK206">
        <f ca="1">IF(AND(ISNUMBER($BK$711),$B$511=1),$BK$711,HLOOKUP(INDIRECT(ADDRESS(2,COLUMN())),OFFSET($BN$2,0,0,ROW()-1,60),ROW()-1,FALSE))</f>
        <v>110689.27559999999</v>
      </c>
      <c r="BL206">
        <f ca="1">IF(AND(ISNUMBER($BL$711),$B$511=1),$BL$711,HLOOKUP(INDIRECT(ADDRESS(2,COLUMN())),OFFSET($BN$2,0,0,ROW()-1,60),ROW()-1,FALSE))</f>
        <v>110347.8735</v>
      </c>
      <c r="BM206">
        <f ca="1">IF(AND(ISNUMBER($BM$711),$B$511=1),$BM$711,HLOOKUP(INDIRECT(ADDRESS(2,COLUMN())),OFFSET($BN$2,0,0,ROW()-1,60),ROW()-1,FALSE))</f>
        <v>108266.8622</v>
      </c>
      <c r="BN206" t="str">
        <f>""</f>
        <v/>
      </c>
      <c r="BO206">
        <f>278566.9857</f>
        <v>278566.98570000002</v>
      </c>
      <c r="BP206">
        <f>279034.5636</f>
        <v>279034.56359999999</v>
      </c>
      <c r="BQ206">
        <f>279163.311</f>
        <v>279163.31099999999</v>
      </c>
      <c r="BR206">
        <f>271495.1035</f>
        <v>271495.10350000003</v>
      </c>
      <c r="BS206">
        <f>259703.719</f>
        <v>259703.71900000001</v>
      </c>
      <c r="BT206">
        <f>251227.0638</f>
        <v>251227.0638</v>
      </c>
      <c r="BU206">
        <f>244946.6279</f>
        <v>244946.62789999999</v>
      </c>
      <c r="BV206">
        <f>244149.348</f>
        <v>244149.348</v>
      </c>
      <c r="BW206">
        <f>240477.3464</f>
        <v>240477.34640000001</v>
      </c>
      <c r="BX206">
        <f>236609.8354</f>
        <v>236609.83540000001</v>
      </c>
      <c r="BY206">
        <f>235817.1273</f>
        <v>235817.12729999999</v>
      </c>
      <c r="BZ206">
        <f>233592.8934</f>
        <v>233592.8934</v>
      </c>
      <c r="CA206">
        <f>236754.2548</f>
        <v>236754.2548</v>
      </c>
      <c r="CB206">
        <f>247002.7532</f>
        <v>247002.75320000001</v>
      </c>
      <c r="CC206">
        <f>255501.4106</f>
        <v>255501.4106</v>
      </c>
      <c r="CD206">
        <f>263077.4909</f>
        <v>263077.49089999998</v>
      </c>
      <c r="CE206">
        <f>268963.9075</f>
        <v>268963.90749999997</v>
      </c>
      <c r="CF206">
        <f>270118.3372</f>
        <v>270118.33720000001</v>
      </c>
      <c r="CG206">
        <f>267474.8575</f>
        <v>267474.85749999998</v>
      </c>
      <c r="CH206">
        <f>265805.3424</f>
        <v>265805.34240000002</v>
      </c>
      <c r="CI206">
        <f>261687.9795</f>
        <v>261687.97949999999</v>
      </c>
      <c r="CJ206">
        <f>254713.5112</f>
        <v>254713.51120000001</v>
      </c>
      <c r="CK206">
        <f>253539.1771</f>
        <v>253539.1771</v>
      </c>
      <c r="CL206">
        <f>247169.4025</f>
        <v>247169.4025</v>
      </c>
      <c r="CM206">
        <f>247756.4985</f>
        <v>247756.49849999999</v>
      </c>
      <c r="CN206">
        <f>243154.9663</f>
        <v>243154.9663</v>
      </c>
      <c r="CO206">
        <f>236939.3923</f>
        <v>236939.39230000001</v>
      </c>
      <c r="CP206">
        <f>233145.8638</f>
        <v>233145.86379999999</v>
      </c>
      <c r="CQ206">
        <f>221861.1789</f>
        <v>221861.1789</v>
      </c>
      <c r="CR206">
        <f>210063.3874</f>
        <v>210063.38740000001</v>
      </c>
      <c r="CS206">
        <f>194884.3459</f>
        <v>194884.34589999999</v>
      </c>
      <c r="CT206">
        <f>179527.4246</f>
        <v>179527.4246</v>
      </c>
      <c r="CU206">
        <f>168315.1138</f>
        <v>168315.11379999999</v>
      </c>
      <c r="CV206">
        <f>163572.7987</f>
        <v>163572.79870000001</v>
      </c>
      <c r="CW206">
        <f>161122.6527</f>
        <v>161122.65270000001</v>
      </c>
      <c r="CX206">
        <f>155281.0745</f>
        <v>155281.07449999999</v>
      </c>
      <c r="CY206">
        <f>146676.6117</f>
        <v>146676.61170000001</v>
      </c>
      <c r="CZ206">
        <f>143002.761</f>
        <v>143002.761</v>
      </c>
      <c r="DA206">
        <f>149033.4191</f>
        <v>149033.4191</v>
      </c>
      <c r="DB206">
        <f>157681.8913</f>
        <v>157681.89129999999</v>
      </c>
      <c r="DC206">
        <f>167398.9818</f>
        <v>167398.98180000001</v>
      </c>
      <c r="DD206">
        <f>170409.7567</f>
        <v>170409.7567</v>
      </c>
      <c r="DE206">
        <f>162617.379</f>
        <v>162617.37899999999</v>
      </c>
      <c r="DF206">
        <f>154910.8356</f>
        <v>154910.83559999999</v>
      </c>
      <c r="DG206">
        <f>149275.8344</f>
        <v>149275.83439999999</v>
      </c>
      <c r="DH206">
        <f>144804.6217</f>
        <v>144804.62169999999</v>
      </c>
      <c r="DI206">
        <f>140815.7271</f>
        <v>140815.72709999999</v>
      </c>
      <c r="DJ206">
        <f>136259.2545</f>
        <v>136259.25450000001</v>
      </c>
      <c r="DK206">
        <f>131763.7318</f>
        <v>131763.73180000001</v>
      </c>
      <c r="DL206">
        <f>125713.6313</f>
        <v>125713.63129999999</v>
      </c>
      <c r="DM206">
        <f>122282.5645</f>
        <v>122282.56449999999</v>
      </c>
      <c r="DN206">
        <f>119895.0235</f>
        <v>119895.0235</v>
      </c>
      <c r="DO206">
        <f>116951.4591</f>
        <v>116951.45909999999</v>
      </c>
      <c r="DP206">
        <f>116401.2264</f>
        <v>116401.2264</v>
      </c>
      <c r="DQ206">
        <f>113569.7261</f>
        <v>113569.7261</v>
      </c>
      <c r="DR206">
        <f>111024.7093</f>
        <v>111024.7093</v>
      </c>
      <c r="DS206">
        <f>110689.2756</f>
        <v>110689.27559999999</v>
      </c>
      <c r="DT206">
        <f>110347.8735</f>
        <v>110347.8735</v>
      </c>
      <c r="DU206">
        <f>108266.8622</f>
        <v>108266.8622</v>
      </c>
    </row>
    <row r="207" spans="1:125" x14ac:dyDescent="0.25">
      <c r="A207" t="str">
        <f>"    Yulon Motor Co Ltd"</f>
        <v xml:space="preserve">    Yulon Motor Co Ltd</v>
      </c>
      <c r="B207" t="str">
        <f>"2201 TT Equity"</f>
        <v>2201 TT Equity</v>
      </c>
      <c r="C207" t="str">
        <f t="shared" si="12"/>
        <v>RR800</v>
      </c>
      <c r="D207" t="str">
        <f t="shared" si="13"/>
        <v>TRAIL_12M_NET_SALES</v>
      </c>
      <c r="E207" t="str">
        <f t="shared" si="14"/>
        <v>Dynamic</v>
      </c>
      <c r="F207" t="str">
        <f ca="1">IF(AND(ISNUMBER($F$712),$B$511=1),$F$712,HLOOKUP(INDIRECT(ADDRESS(2,COLUMN())),OFFSET($BN$2,0,0,ROW()-1,60),ROW()-1,FALSE))</f>
        <v/>
      </c>
      <c r="G207" t="str">
        <f ca="1">IF(AND(ISNUMBER($G$712),$B$511=1),$G$712,HLOOKUP(INDIRECT(ADDRESS(2,COLUMN())),OFFSET($BN$2,0,0,ROW()-1,60),ROW()-1,FALSE))</f>
        <v/>
      </c>
      <c r="H207">
        <f ca="1">IF(AND(ISNUMBER($H$712),$B$511=1),$H$712,HLOOKUP(INDIRECT(ADDRESS(2,COLUMN())),OFFSET($BN$2,0,0,ROW()-1,60),ROW()-1,FALSE))</f>
        <v>3021.353689</v>
      </c>
      <c r="I207">
        <f ca="1">IF(AND(ISNUMBER($I$712),$B$511=1),$I$712,HLOOKUP(INDIRECT(ADDRESS(2,COLUMN())),OFFSET($BN$2,0,0,ROW()-1,60),ROW()-1,FALSE))</f>
        <v>3069.7366780000002</v>
      </c>
      <c r="J207">
        <f ca="1">IF(AND(ISNUMBER($J$712),$B$511=1),$J$712,HLOOKUP(INDIRECT(ADDRESS(2,COLUMN())),OFFSET($BN$2,0,0,ROW()-1,60),ROW()-1,FALSE))</f>
        <v>3101.1856339999999</v>
      </c>
      <c r="K207">
        <f ca="1">IF(AND(ISNUMBER($K$712),$B$511=1),$K$712,HLOOKUP(INDIRECT(ADDRESS(2,COLUMN())),OFFSET($BN$2,0,0,ROW()-1,60),ROW()-1,FALSE))</f>
        <v>3093.862603</v>
      </c>
      <c r="L207">
        <f ca="1">IF(AND(ISNUMBER($L$712),$B$511=1),$L$712,HLOOKUP(INDIRECT(ADDRESS(2,COLUMN())),OFFSET($BN$2,0,0,ROW()-1,60),ROW()-1,FALSE))</f>
        <v>3214.5220119999999</v>
      </c>
      <c r="M207">
        <f ca="1">IF(AND(ISNUMBER($M$712),$B$511=1),$M$712,HLOOKUP(INDIRECT(ADDRESS(2,COLUMN())),OFFSET($BN$2,0,0,ROW()-1,60),ROW()-1,FALSE))</f>
        <v>3319.981769</v>
      </c>
      <c r="N207">
        <f ca="1">IF(AND(ISNUMBER($N$712),$B$511=1),$N$712,HLOOKUP(INDIRECT(ADDRESS(2,COLUMN())),OFFSET($BN$2,0,0,ROW()-1,60),ROW()-1,FALSE))</f>
        <v>3389.1712779999998</v>
      </c>
      <c r="O207">
        <f ca="1">IF(AND(ISNUMBER($O$712),$B$511=1),$O$712,HLOOKUP(INDIRECT(ADDRESS(2,COLUMN())),OFFSET($BN$2,0,0,ROW()-1,60),ROW()-1,FALSE))</f>
        <v>3481.1223479999999</v>
      </c>
      <c r="P207">
        <f ca="1">IF(AND(ISNUMBER($P$712),$B$511=1),$P$712,HLOOKUP(INDIRECT(ADDRESS(2,COLUMN())),OFFSET($BN$2,0,0,ROW()-1,60),ROW()-1,FALSE))</f>
        <v>3550.5657900000001</v>
      </c>
      <c r="Q207">
        <f ca="1">IF(AND(ISNUMBER($Q$712),$B$511=1),$Q$712,HLOOKUP(INDIRECT(ADDRESS(2,COLUMN())),OFFSET($BN$2,0,0,ROW()-1,60),ROW()-1,FALSE))</f>
        <v>3657.851913</v>
      </c>
      <c r="R207">
        <f ca="1">IF(AND(ISNUMBER($R$712),$B$511=1),$R$712,HLOOKUP(INDIRECT(ADDRESS(2,COLUMN())),OFFSET($BN$2,0,0,ROW()-1,60),ROW()-1,FALSE))</f>
        <v>3746.797129</v>
      </c>
      <c r="S207">
        <f ca="1">IF(AND(ISNUMBER($S$712),$B$511=1),$S$712,HLOOKUP(INDIRECT(ADDRESS(2,COLUMN())),OFFSET($BN$2,0,0,ROW()-1,60),ROW()-1,FALSE))</f>
        <v>3859.5465610000001</v>
      </c>
      <c r="T207">
        <f ca="1">IF(AND(ISNUMBER($T$712),$B$511=1),$T$712,HLOOKUP(INDIRECT(ADDRESS(2,COLUMN())),OFFSET($BN$2,0,0,ROW()-1,60),ROW()-1,FALSE))</f>
        <v>3921.3382259999998</v>
      </c>
      <c r="U207">
        <f ca="1">IF(AND(ISNUMBER($U$712),$B$511=1),$U$712,HLOOKUP(INDIRECT(ADDRESS(2,COLUMN())),OFFSET($BN$2,0,0,ROW()-1,60),ROW()-1,FALSE))</f>
        <v>4096.4312049999999</v>
      </c>
      <c r="V207">
        <f ca="1">IF(AND(ISNUMBER($V$712),$B$511=1),$V$712,HLOOKUP(INDIRECT(ADDRESS(2,COLUMN())),OFFSET($BN$2,0,0,ROW()-1,60),ROW()-1,FALSE))</f>
        <v>4120.6328450000001</v>
      </c>
      <c r="W207">
        <f ca="1">IF(AND(ISNUMBER($W$712),$B$511=1),$W$712,HLOOKUP(INDIRECT(ADDRESS(2,COLUMN())),OFFSET($BN$2,0,0,ROW()-1,60),ROW()-1,FALSE))</f>
        <v>3979.0391930000001</v>
      </c>
      <c r="X207">
        <f ca="1">IF(AND(ISNUMBER($X$712),$B$511=1),$X$712,HLOOKUP(INDIRECT(ADDRESS(2,COLUMN())),OFFSET($BN$2,0,0,ROW()-1,60),ROW()-1,FALSE))</f>
        <v>3845.1877079999999</v>
      </c>
      <c r="Y207">
        <f ca="1">IF(AND(ISNUMBER($Y$712),$B$511=1),$Y$712,HLOOKUP(INDIRECT(ADDRESS(2,COLUMN())),OFFSET($BN$2,0,0,ROW()-1,60),ROW()-1,FALSE))</f>
        <v>3542.8074029999998</v>
      </c>
      <c r="Z207">
        <f ca="1">IF(AND(ISNUMBER($Z$712),$B$511=1),$Z$712,HLOOKUP(INDIRECT(ADDRESS(2,COLUMN())),OFFSET($BN$2,0,0,ROW()-1,60),ROW()-1,FALSE))</f>
        <v>3306.9873210000001</v>
      </c>
      <c r="AA207">
        <f ca="1">IF(AND(ISNUMBER($AA$712),$B$511=1),$AA$712,HLOOKUP(INDIRECT(ADDRESS(2,COLUMN())),OFFSET($BN$2,0,0,ROW()-1,60),ROW()-1,FALSE))</f>
        <v>3127.135393</v>
      </c>
      <c r="AB207">
        <f ca="1">IF(AND(ISNUMBER($AB$712),$B$511=1),$AB$712,HLOOKUP(INDIRECT(ADDRESS(2,COLUMN())),OFFSET($BN$2,0,0,ROW()-1,60),ROW()-1,FALSE))</f>
        <v>2804.07186</v>
      </c>
      <c r="AC207">
        <f ca="1">IF(AND(ISNUMBER($AC$712),$B$511=1),$AC$712,HLOOKUP(INDIRECT(ADDRESS(2,COLUMN())),OFFSET($BN$2,0,0,ROW()-1,60),ROW()-1,FALSE))</f>
        <v>2686.5828430000001</v>
      </c>
      <c r="AD207">
        <f ca="1">IF(AND(ISNUMBER($AD$712),$B$511=1),$AD$712,HLOOKUP(INDIRECT(ADDRESS(2,COLUMN())),OFFSET($BN$2,0,0,ROW()-1,60),ROW()-1,FALSE))</f>
        <v>2608.8331560000001</v>
      </c>
      <c r="AE207">
        <f ca="1">IF(AND(ISNUMBER($AE$712),$B$511=1),$AE$712,HLOOKUP(INDIRECT(ADDRESS(2,COLUMN())),OFFSET($BN$2,0,0,ROW()-1,60),ROW()-1,FALSE))</f>
        <v>2716.6514929999998</v>
      </c>
      <c r="AF207">
        <f ca="1">IF(AND(ISNUMBER($AF$712),$B$511=1),$AF$712,HLOOKUP(INDIRECT(ADDRESS(2,COLUMN())),OFFSET($BN$2,0,0,ROW()-1,60),ROW()-1,FALSE))</f>
        <v>2834.9477860000002</v>
      </c>
      <c r="AG207">
        <f ca="1">IF(AND(ISNUMBER($AG$712),$B$511=1),$AG$712,HLOOKUP(INDIRECT(ADDRESS(2,COLUMN())),OFFSET($BN$2,0,0,ROW()-1,60),ROW()-1,FALSE))</f>
        <v>2759.1886180000001</v>
      </c>
      <c r="AH207">
        <f ca="1">IF(AND(ISNUMBER($AH$712),$B$511=1),$AH$712,HLOOKUP(INDIRECT(ADDRESS(2,COLUMN())),OFFSET($BN$2,0,0,ROW()-1,60),ROW()-1,FALSE))</f>
        <v>2692.8829909999999</v>
      </c>
      <c r="AI207">
        <f ca="1">IF(AND(ISNUMBER($AI$712),$B$511=1),$AI$712,HLOOKUP(INDIRECT(ADDRESS(2,COLUMN())),OFFSET($BN$2,0,0,ROW()-1,60),ROW()-1,FALSE))</f>
        <v>2605.7743180000002</v>
      </c>
      <c r="AJ207">
        <f ca="1">IF(AND(ISNUMBER($AJ$712),$B$511=1),$AJ$712,HLOOKUP(INDIRECT(ADDRESS(2,COLUMN())),OFFSET($BN$2,0,0,ROW()-1,60),ROW()-1,FALSE))</f>
        <v>2444.8633500000001</v>
      </c>
      <c r="AK207">
        <f ca="1">IF(AND(ISNUMBER($AK$712),$B$511=1),$AK$712,HLOOKUP(INDIRECT(ADDRESS(2,COLUMN())),OFFSET($BN$2,0,0,ROW()-1,60),ROW()-1,FALSE))</f>
        <v>2403.5743929999999</v>
      </c>
      <c r="AL207">
        <f ca="1">IF(AND(ISNUMBER($AL$712),$B$511=1),$AL$712,HLOOKUP(INDIRECT(ADDRESS(2,COLUMN())),OFFSET($BN$2,0,0,ROW()-1,60),ROW()-1,FALSE))</f>
        <v>2291.393763</v>
      </c>
      <c r="AM207">
        <f ca="1">IF(AND(ISNUMBER($AM$712),$B$511=1),$AM$712,HLOOKUP(INDIRECT(ADDRESS(2,COLUMN())),OFFSET($BN$2,0,0,ROW()-1,60),ROW()-1,FALSE))</f>
        <v>2049.8253209999998</v>
      </c>
      <c r="AN207">
        <f ca="1">IF(AND(ISNUMBER($AN$712),$B$511=1),$AN$712,HLOOKUP(INDIRECT(ADDRESS(2,COLUMN())),OFFSET($BN$2,0,0,ROW()-1,60),ROW()-1,FALSE))</f>
        <v>2022.776057</v>
      </c>
      <c r="AO207">
        <f ca="1">IF(AND(ISNUMBER($AO$712),$B$511=1),$AO$712,HLOOKUP(INDIRECT(ADDRESS(2,COLUMN())),OFFSET($BN$2,0,0,ROW()-1,60),ROW()-1,FALSE))</f>
        <v>1823.505128</v>
      </c>
      <c r="AP207">
        <f ca="1">IF(AND(ISNUMBER($AP$712),$B$511=1),$AP$712,HLOOKUP(INDIRECT(ADDRESS(2,COLUMN())),OFFSET($BN$2,0,0,ROW()-1,60),ROW()-1,FALSE))</f>
        <v>1690.09239</v>
      </c>
      <c r="AQ207">
        <f ca="1">IF(AND(ISNUMBER($AQ$712),$B$511=1),$AQ$712,HLOOKUP(INDIRECT(ADDRESS(2,COLUMN())),OFFSET($BN$2,0,0,ROW()-1,60),ROW()-1,FALSE))</f>
        <v>1478.1521789999999</v>
      </c>
      <c r="AR207">
        <f ca="1">IF(AND(ISNUMBER($AR$712),$B$511=1),$AR$712,HLOOKUP(INDIRECT(ADDRESS(2,COLUMN())),OFFSET($BN$2,0,0,ROW()-1,60),ROW()-1,FALSE))</f>
        <v>1188.303208</v>
      </c>
      <c r="AS207">
        <f ca="1">IF(AND(ISNUMBER($AS$712),$B$511=1),$AS$712,HLOOKUP(INDIRECT(ADDRESS(2,COLUMN())),OFFSET($BN$2,0,0,ROW()-1,60),ROW()-1,FALSE))</f>
        <v>1108.1334629999999</v>
      </c>
      <c r="AT207">
        <f ca="1">IF(AND(ISNUMBER($AT$712),$B$511=1),$AT$712,HLOOKUP(INDIRECT(ADDRESS(2,COLUMN())),OFFSET($BN$2,0,0,ROW()-1,60),ROW()-1,FALSE))</f>
        <v>1068.7824410000001</v>
      </c>
      <c r="AU207">
        <f ca="1">IF(AND(ISNUMBER($AU$712),$B$511=1),$AU$712,HLOOKUP(INDIRECT(ADDRESS(2,COLUMN())),OFFSET($BN$2,0,0,ROW()-1,60),ROW()-1,FALSE))</f>
        <v>1137.902977</v>
      </c>
      <c r="AV207" t="str">
        <f ca="1">IF(AND(ISNUMBER($AV$712),$B$511=1),$AV$712,HLOOKUP(INDIRECT(ADDRESS(2,COLUMN())),OFFSET($BN$2,0,0,ROW()-1,60),ROW()-1,FALSE))</f>
        <v/>
      </c>
      <c r="AW207" t="str">
        <f ca="1">IF(AND(ISNUMBER($AW$712),$B$511=1),$AW$712,HLOOKUP(INDIRECT(ADDRESS(2,COLUMN())),OFFSET($BN$2,0,0,ROW()-1,60),ROW()-1,FALSE))</f>
        <v/>
      </c>
      <c r="AX207" t="str">
        <f ca="1">IF(AND(ISNUMBER($AX$712),$B$511=1),$AX$712,HLOOKUP(INDIRECT(ADDRESS(2,COLUMN())),OFFSET($BN$2,0,0,ROW()-1,60),ROW()-1,FALSE))</f>
        <v/>
      </c>
      <c r="AY207" t="str">
        <f ca="1">IF(AND(ISNUMBER($AY$712),$B$511=1),$AY$712,HLOOKUP(INDIRECT(ADDRESS(2,COLUMN())),OFFSET($BN$2,0,0,ROW()-1,60),ROW()-1,FALSE))</f>
        <v/>
      </c>
      <c r="AZ207" t="str">
        <f ca="1">IF(AND(ISNUMBER($AZ$712),$B$511=1),$AZ$712,HLOOKUP(INDIRECT(ADDRESS(2,COLUMN())),OFFSET($BN$2,0,0,ROW()-1,60),ROW()-1,FALSE))</f>
        <v/>
      </c>
      <c r="BA207" t="str">
        <f ca="1">IF(AND(ISNUMBER($BA$712),$B$511=1),$BA$712,HLOOKUP(INDIRECT(ADDRESS(2,COLUMN())),OFFSET($BN$2,0,0,ROW()-1,60),ROW()-1,FALSE))</f>
        <v/>
      </c>
      <c r="BB207" t="str">
        <f ca="1">IF(AND(ISNUMBER($BB$712),$B$511=1),$BB$712,HLOOKUP(INDIRECT(ADDRESS(2,COLUMN())),OFFSET($BN$2,0,0,ROW()-1,60),ROW()-1,FALSE))</f>
        <v/>
      </c>
      <c r="BC207" t="str">
        <f ca="1">IF(AND(ISNUMBER($BC$712),$B$511=1),$BC$712,HLOOKUP(INDIRECT(ADDRESS(2,COLUMN())),OFFSET($BN$2,0,0,ROW()-1,60),ROW()-1,FALSE))</f>
        <v/>
      </c>
      <c r="BD207" t="str">
        <f ca="1">IF(AND(ISNUMBER($BD$712),$B$511=1),$BD$712,HLOOKUP(INDIRECT(ADDRESS(2,COLUMN())),OFFSET($BN$2,0,0,ROW()-1,60),ROW()-1,FALSE))</f>
        <v/>
      </c>
      <c r="BE207" t="str">
        <f ca="1">IF(AND(ISNUMBER($BE$712),$B$511=1),$BE$712,HLOOKUP(INDIRECT(ADDRESS(2,COLUMN())),OFFSET($BN$2,0,0,ROW()-1,60),ROW()-1,FALSE))</f>
        <v/>
      </c>
      <c r="BF207" t="str">
        <f ca="1">IF(AND(ISNUMBER($BF$712),$B$511=1),$BF$712,HLOOKUP(INDIRECT(ADDRESS(2,COLUMN())),OFFSET($BN$2,0,0,ROW()-1,60),ROW()-1,FALSE))</f>
        <v/>
      </c>
      <c r="BG207" t="str">
        <f ca="1">IF(AND(ISNUMBER($BG$712),$B$511=1),$BG$712,HLOOKUP(INDIRECT(ADDRESS(2,COLUMN())),OFFSET($BN$2,0,0,ROW()-1,60),ROW()-1,FALSE))</f>
        <v/>
      </c>
      <c r="BH207" t="str">
        <f ca="1">IF(AND(ISNUMBER($BH$712),$B$511=1),$BH$712,HLOOKUP(INDIRECT(ADDRESS(2,COLUMN())),OFFSET($BN$2,0,0,ROW()-1,60),ROW()-1,FALSE))</f>
        <v/>
      </c>
      <c r="BI207" t="str">
        <f ca="1">IF(AND(ISNUMBER($BI$712),$B$511=1),$BI$712,HLOOKUP(INDIRECT(ADDRESS(2,COLUMN())),OFFSET($BN$2,0,0,ROW()-1,60),ROW()-1,FALSE))</f>
        <v/>
      </c>
      <c r="BJ207" t="str">
        <f ca="1">IF(AND(ISNUMBER($BJ$712),$B$511=1),$BJ$712,HLOOKUP(INDIRECT(ADDRESS(2,COLUMN())),OFFSET($BN$2,0,0,ROW()-1,60),ROW()-1,FALSE))</f>
        <v/>
      </c>
      <c r="BK207" t="str">
        <f ca="1">IF(AND(ISNUMBER($BK$712),$B$511=1),$BK$712,HLOOKUP(INDIRECT(ADDRESS(2,COLUMN())),OFFSET($BN$2,0,0,ROW()-1,60),ROW()-1,FALSE))</f>
        <v/>
      </c>
      <c r="BL207" t="str">
        <f ca="1">IF(AND(ISNUMBER($BL$712),$B$511=1),$BL$712,HLOOKUP(INDIRECT(ADDRESS(2,COLUMN())),OFFSET($BN$2,0,0,ROW()-1,60),ROW()-1,FALSE))</f>
        <v/>
      </c>
      <c r="BM207" t="str">
        <f ca="1">IF(AND(ISNUMBER($BM$712),$B$511=1),$BM$712,HLOOKUP(INDIRECT(ADDRESS(2,COLUMN())),OFFSET($BN$2,0,0,ROW()-1,60),ROW()-1,FALSE))</f>
        <v/>
      </c>
      <c r="BN207" t="str">
        <f>""</f>
        <v/>
      </c>
      <c r="BO207" t="str">
        <f>""</f>
        <v/>
      </c>
      <c r="BP207">
        <f>3021.353689</f>
        <v>3021.353689</v>
      </c>
      <c r="BQ207">
        <f>3069.736678</f>
        <v>3069.7366780000002</v>
      </c>
      <c r="BR207">
        <f>3101.185634</f>
        <v>3101.1856339999999</v>
      </c>
      <c r="BS207">
        <f>3093.862603</f>
        <v>3093.862603</v>
      </c>
      <c r="BT207">
        <f>3214.522012</f>
        <v>3214.5220119999999</v>
      </c>
      <c r="BU207">
        <f>3319.981769</f>
        <v>3319.981769</v>
      </c>
      <c r="BV207">
        <f>3389.171278</f>
        <v>3389.1712779999998</v>
      </c>
      <c r="BW207">
        <f>3481.122348</f>
        <v>3481.1223479999999</v>
      </c>
      <c r="BX207">
        <f>3550.56579</f>
        <v>3550.5657900000001</v>
      </c>
      <c r="BY207">
        <f>3657.851913</f>
        <v>3657.851913</v>
      </c>
      <c r="BZ207">
        <f>3746.797129</f>
        <v>3746.797129</v>
      </c>
      <c r="CA207">
        <f>3859.546561</f>
        <v>3859.5465610000001</v>
      </c>
      <c r="CB207">
        <f>3921.338226</f>
        <v>3921.3382259999998</v>
      </c>
      <c r="CC207">
        <f>4096.431205</f>
        <v>4096.4312049999999</v>
      </c>
      <c r="CD207">
        <f>4120.632845</f>
        <v>4120.6328450000001</v>
      </c>
      <c r="CE207">
        <f>3979.039193</f>
        <v>3979.0391930000001</v>
      </c>
      <c r="CF207">
        <f>3845.187708</f>
        <v>3845.1877079999999</v>
      </c>
      <c r="CG207">
        <f>3542.807403</f>
        <v>3542.8074029999998</v>
      </c>
      <c r="CH207">
        <f>3306.987321</f>
        <v>3306.9873210000001</v>
      </c>
      <c r="CI207">
        <f>3127.135393</f>
        <v>3127.135393</v>
      </c>
      <c r="CJ207">
        <f>2804.07186</f>
        <v>2804.07186</v>
      </c>
      <c r="CK207">
        <f>2686.582843</f>
        <v>2686.5828430000001</v>
      </c>
      <c r="CL207">
        <f>2608.833156</f>
        <v>2608.8331560000001</v>
      </c>
      <c r="CM207">
        <f>2716.651493</f>
        <v>2716.6514929999998</v>
      </c>
      <c r="CN207">
        <f>2834.947786</f>
        <v>2834.9477860000002</v>
      </c>
      <c r="CO207">
        <f>2759.188618</f>
        <v>2759.1886180000001</v>
      </c>
      <c r="CP207">
        <f>2692.882991</f>
        <v>2692.8829909999999</v>
      </c>
      <c r="CQ207">
        <f>2605.774318</f>
        <v>2605.7743180000002</v>
      </c>
      <c r="CR207">
        <f>2444.86335</f>
        <v>2444.8633500000001</v>
      </c>
      <c r="CS207">
        <f>2403.574393</f>
        <v>2403.5743929999999</v>
      </c>
      <c r="CT207">
        <f>2291.393763</f>
        <v>2291.393763</v>
      </c>
      <c r="CU207">
        <f>2049.825321</f>
        <v>2049.8253209999998</v>
      </c>
      <c r="CV207">
        <f>2022.776057</f>
        <v>2022.776057</v>
      </c>
      <c r="CW207">
        <f>1823.505128</f>
        <v>1823.505128</v>
      </c>
      <c r="CX207">
        <f>1690.09239</f>
        <v>1690.09239</v>
      </c>
      <c r="CY207">
        <f>1478.152179</f>
        <v>1478.1521789999999</v>
      </c>
      <c r="CZ207">
        <f>1188.303208</f>
        <v>1188.303208</v>
      </c>
      <c r="DA207">
        <f>1108.133463</f>
        <v>1108.1334629999999</v>
      </c>
      <c r="DB207">
        <f>1068.782441</f>
        <v>1068.7824410000001</v>
      </c>
      <c r="DC207">
        <f>1137.902977</f>
        <v>1137.902977</v>
      </c>
      <c r="DD207" t="str">
        <f>""</f>
        <v/>
      </c>
      <c r="DE207" t="str">
        <f>""</f>
        <v/>
      </c>
      <c r="DF207" t="str">
        <f>""</f>
        <v/>
      </c>
      <c r="DG207" t="str">
        <f>""</f>
        <v/>
      </c>
      <c r="DH207" t="str">
        <f>""</f>
        <v/>
      </c>
      <c r="DI207" t="str">
        <f>""</f>
        <v/>
      </c>
      <c r="DJ207" t="str">
        <f>""</f>
        <v/>
      </c>
      <c r="DK207" t="str">
        <f>""</f>
        <v/>
      </c>
      <c r="DL207" t="str">
        <f>""</f>
        <v/>
      </c>
      <c r="DM207" t="str">
        <f>""</f>
        <v/>
      </c>
      <c r="DN207" t="str">
        <f>""</f>
        <v/>
      </c>
      <c r="DO207" t="str">
        <f>""</f>
        <v/>
      </c>
      <c r="DP207" t="str">
        <f>""</f>
        <v/>
      </c>
      <c r="DQ207" t="str">
        <f>""</f>
        <v/>
      </c>
      <c r="DR207" t="str">
        <f>""</f>
        <v/>
      </c>
      <c r="DS207" t="str">
        <f>""</f>
        <v/>
      </c>
      <c r="DT207" t="str">
        <f>""</f>
        <v/>
      </c>
      <c r="DU207" t="str">
        <f>""</f>
        <v/>
      </c>
    </row>
    <row r="208" spans="1:125" x14ac:dyDescent="0.25">
      <c r="A208" t="str">
        <f>"T12M Free Cash Flow"</f>
        <v>T12M Free Cash Flow</v>
      </c>
      <c r="B208" t="str">
        <f>""</f>
        <v/>
      </c>
      <c r="E208" t="str">
        <f>"Average"</f>
        <v>Average</v>
      </c>
      <c r="F208" t="str">
        <f ca="1">IF(ISERROR(IF(AVERAGE($F$209:$F$248) = 0, "", AVERAGE($F$209:$F$248))), "", (IF(AVERAGE($F$209:$F$248) = 0, "", AVERAGE($F$209:$F$248))))</f>
        <v/>
      </c>
      <c r="G208">
        <f ca="1">IF(ISERROR(IF(AVERAGE($G$209:$G$248) = 0, "", AVERAGE($G$209:$G$248))), "", (IF(AVERAGE($G$209:$G$248) = 0, "", AVERAGE($G$209:$G$248))))</f>
        <v>4115.4326583923075</v>
      </c>
      <c r="H208">
        <f ca="1">IF(ISERROR(IF(AVERAGE($H$209:$H$248) = 0, "", AVERAGE($H$209:$H$248))), "", (IF(AVERAGE($H$209:$H$248) = 0, "", AVERAGE($H$209:$H$248))))</f>
        <v>937.83972707407395</v>
      </c>
      <c r="I208">
        <f ca="1">IF(ISERROR(IF(AVERAGE($I$209:$I$248) = 0, "", AVERAGE($I$209:$I$248))), "", (IF(AVERAGE($I$209:$I$248) = 0, "", AVERAGE($I$209:$I$248))))</f>
        <v>1272.5471661715551</v>
      </c>
      <c r="J208">
        <f ca="1">IF(ISERROR(IF(AVERAGE($J$209:$J$248) = 0, "", AVERAGE($J$209:$J$248))), "", (IF(AVERAGE($J$209:$J$248) = 0, "", AVERAGE($J$209:$J$248))))</f>
        <v>1295.8638160644289</v>
      </c>
      <c r="K208">
        <f ca="1">IF(ISERROR(IF(AVERAGE($K$209:$K$248) = 0, "", AVERAGE($K$209:$K$248))), "", (IF(AVERAGE($K$209:$K$248) = 0, "", AVERAGE($K$209:$K$248))))</f>
        <v>1232.9264380796428</v>
      </c>
      <c r="L208">
        <f ca="1">IF(ISERROR(IF(AVERAGE($L$209:$L$248) = 0, "", AVERAGE($L$209:$L$248))), "", (IF(AVERAGE($L$209:$L$248) = 0, "", AVERAGE($L$209:$L$248))))</f>
        <v>1216.1389526753569</v>
      </c>
      <c r="M208">
        <f ca="1">IF(ISERROR(IF(AVERAGE($M$209:$M$248) = 0, "", AVERAGE($M$209:$M$248))), "", (IF(AVERAGE($M$209:$M$248) = 0, "", AVERAGE($M$209:$M$248))))</f>
        <v>1313.8764194457146</v>
      </c>
      <c r="N208">
        <f ca="1">IF(ISERROR(IF(AVERAGE($N$209:$N$248) = 0, "", AVERAGE($N$209:$N$248))), "", (IF(AVERAGE($N$209:$N$248) = 0, "", AVERAGE($N$209:$N$248))))</f>
        <v>1924.1275387157143</v>
      </c>
      <c r="O208">
        <f ca="1">IF(ISERROR(IF(AVERAGE($O$209:$O$248) = 0, "", AVERAGE($O$209:$O$248))), "", (IF(AVERAGE($O$209:$O$248) = 0, "", AVERAGE($O$209:$O$248))))</f>
        <v>1812.162475074643</v>
      </c>
      <c r="P208">
        <f ca="1">IF(ISERROR(IF(AVERAGE($P$209:$P$248) = 0, "", AVERAGE($P$209:$P$248))), "", (IF(AVERAGE($P$209:$P$248) = 0, "", AVERAGE($P$209:$P$248))))</f>
        <v>2144.7241539807405</v>
      </c>
      <c r="Q208">
        <f ca="1">IF(ISERROR(IF(AVERAGE($Q$209:$Q$248) = 0, "", AVERAGE($Q$209:$Q$248))), "", (IF(AVERAGE($Q$209:$Q$248) = 0, "", AVERAGE($Q$209:$Q$248))))</f>
        <v>1997.67755603</v>
      </c>
      <c r="R208">
        <f ca="1">IF(ISERROR(IF(AVERAGE($R$209:$R$248) = 0, "", AVERAGE($R$209:$R$248))), "", (IF(AVERAGE($R$209:$R$248) = 0, "", AVERAGE($R$209:$R$248))))</f>
        <v>1410.7411893503702</v>
      </c>
      <c r="S208">
        <f ca="1">IF(ISERROR(IF(AVERAGE($S$209:$S$248) = 0, "", AVERAGE($S$209:$S$248))), "", (IF(AVERAGE($S$209:$S$248) = 0, "", AVERAGE($S$209:$S$248))))</f>
        <v>1544.5418425648147</v>
      </c>
      <c r="T208">
        <f ca="1">IF(ISERROR(IF(AVERAGE($T$209:$T$248) = 0, "", AVERAGE($T$209:$T$248))), "", (IF(AVERAGE($T$209:$T$248) = 0, "", AVERAGE($T$209:$T$248))))</f>
        <v>1131.8236506560713</v>
      </c>
      <c r="U208">
        <f ca="1">IF(ISERROR(IF(AVERAGE($U$209:$U$248) = 0, "", AVERAGE($U$209:$U$248))), "", (IF(AVERAGE($U$209:$U$248) = 0, "", AVERAGE($U$209:$U$248))))</f>
        <v>964.21408013321434</v>
      </c>
      <c r="V208">
        <f ca="1">IF(ISERROR(IF(AVERAGE($V$209:$V$248) = 0, "", AVERAGE($V$209:$V$248))), "", (IF(AVERAGE($V$209:$V$248) = 0, "", AVERAGE($V$209:$V$248))))</f>
        <v>783.26766485428573</v>
      </c>
      <c r="W208">
        <f ca="1">IF(ISERROR(IF(AVERAGE($W$209:$W$248) = 0, "", AVERAGE($W$209:$W$248))), "", (IF(AVERAGE($W$209:$W$248) = 0, "", AVERAGE($W$209:$W$248))))</f>
        <v>902.70161867035733</v>
      </c>
      <c r="X208">
        <f ca="1">IF(ISERROR(IF(AVERAGE($X$209:$X$248) = 0, "", AVERAGE($X$209:$X$248))), "", (IF(AVERAGE($X$209:$X$248) = 0, "", AVERAGE($X$209:$X$248))))</f>
        <v>1132.1917802229632</v>
      </c>
      <c r="Y208">
        <f ca="1">IF(ISERROR(IF(AVERAGE($Y$209:$Y$248) = 0, "", AVERAGE($Y$209:$Y$248))), "", (IF(AVERAGE($Y$209:$Y$248) = 0, "", AVERAGE($Y$209:$Y$248))))</f>
        <v>1312.8540979487036</v>
      </c>
      <c r="Z208">
        <f ca="1">IF(ISERROR(IF(AVERAGE($Z$209:$Z$248) = 0, "", AVERAGE($Z$209:$Z$248))), "", (IF(AVERAGE($Z$209:$Z$248) = 0, "", AVERAGE($Z$209:$Z$248))))</f>
        <v>1767.8861181281111</v>
      </c>
      <c r="AA208">
        <f ca="1">IF(ISERROR(IF(AVERAGE($AA$209:$AA$248) = 0, "", AVERAGE($AA$209:$AA$248))), "", (IF(AVERAGE($AA$209:$AA$248) = 0, "", AVERAGE($AA$209:$AA$248))))</f>
        <v>1657.8475259595186</v>
      </c>
      <c r="AB208">
        <f ca="1">IF(ISERROR(IF(AVERAGE($AB$209:$AB$248) = 0, "", AVERAGE($AB$209:$AB$248))), "", (IF(AVERAGE($AB$209:$AB$248) = 0, "", AVERAGE($AB$209:$AB$248))))</f>
        <v>1578.5251319303704</v>
      </c>
      <c r="AC208">
        <f ca="1">IF(ISERROR(IF(AVERAGE($AC$209:$AC$248) = 0, "", AVERAGE($AC$209:$AC$248))), "", (IF(AVERAGE($AC$209:$AC$248) = 0, "", AVERAGE($AC$209:$AC$248))))</f>
        <v>1220.4435319494444</v>
      </c>
      <c r="AD208">
        <f ca="1">IF(ISERROR(IF(AVERAGE($AD$209:$AD$248) = 0, "", AVERAGE($AD$209:$AD$248))), "", (IF(AVERAGE($AD$209:$AD$248) = 0, "", AVERAGE($AD$209:$AD$248))))</f>
        <v>830.92378390325916</v>
      </c>
      <c r="AE208">
        <f ca="1">IF(ISERROR(IF(AVERAGE($AE$209:$AE$248) = 0, "", AVERAGE($AE$209:$AE$248))), "", (IF(AVERAGE($AE$209:$AE$248) = 0, "", AVERAGE($AE$209:$AE$248))))</f>
        <v>780.62844254748143</v>
      </c>
      <c r="AF208">
        <f ca="1">IF(ISERROR(IF(AVERAGE($AF$209:$AF$248) = 0, "", AVERAGE($AF$209:$AF$248))), "", (IF(AVERAGE($AF$209:$AF$248) = 0, "", AVERAGE($AF$209:$AF$248))))</f>
        <v>924.80556982879989</v>
      </c>
      <c r="AG208">
        <f ca="1">IF(ISERROR(IF(AVERAGE($AG$209:$AG$248) = 0, "", AVERAGE($AG$209:$AG$248))), "", (IF(AVERAGE($AG$209:$AG$248) = 0, "", AVERAGE($AG$209:$AG$248))))</f>
        <v>996.60421793520004</v>
      </c>
      <c r="AH208">
        <f ca="1">IF(ISERROR(IF(AVERAGE($AH$209:$AH$248) = 0, "", AVERAGE($AH$209:$AH$248))), "", (IF(AVERAGE($AH$209:$AH$248) = 0, "", AVERAGE($AH$209:$AH$248))))</f>
        <v>1158.5427009758334</v>
      </c>
      <c r="AI208">
        <f ca="1">IF(ISERROR(IF(AVERAGE($AI$209:$AI$248) = 0, "", AVERAGE($AI$209:$AI$248))), "", (IF(AVERAGE($AI$209:$AI$248) = 0, "", AVERAGE($AI$209:$AI$248))))</f>
        <v>1287.51626701175</v>
      </c>
      <c r="AJ208">
        <f ca="1">IF(ISERROR(IF(AVERAGE($AJ$209:$AJ$248) = 0, "", AVERAGE($AJ$209:$AJ$248))), "", (IF(AVERAGE($AJ$209:$AJ$248) = 0, "", AVERAGE($AJ$209:$AJ$248))))</f>
        <v>1201.26016588325</v>
      </c>
      <c r="AK208">
        <f ca="1">IF(ISERROR(IF(AVERAGE($AK$209:$AK$248) = 0, "", AVERAGE($AK$209:$AK$248))), "", (IF(AVERAGE($AK$209:$AK$248) = 0, "", AVERAGE($AK$209:$AK$248))))</f>
        <v>1790.6548322833335</v>
      </c>
      <c r="AL208">
        <f ca="1">IF(ISERROR(IF(AVERAGE($AL$209:$AL$248) = 0, "", AVERAGE($AL$209:$AL$248))), "", (IF(AVERAGE($AL$209:$AL$248) = 0, "", AVERAGE($AL$209:$AL$248))))</f>
        <v>2339.4632113279999</v>
      </c>
      <c r="AM208">
        <f ca="1">IF(ISERROR(IF(AVERAGE($AM$209:$AM$248) = 0, "", AVERAGE($AM$209:$AM$248))), "", (IF(AVERAGE($AM$209:$AM$248) = 0, "", AVERAGE($AM$209:$AM$248))))</f>
        <v>2592.8309441107695</v>
      </c>
      <c r="AN208">
        <f ca="1">IF(ISERROR(IF(AVERAGE($AN$209:$AN$248) = 0, "", AVERAGE($AN$209:$AN$248))), "", (IF(AVERAGE($AN$209:$AN$248) = 0, "", AVERAGE($AN$209:$AN$248))))</f>
        <v>3764.2877925211251</v>
      </c>
      <c r="AO208">
        <f ca="1">IF(ISERROR(IF(AVERAGE($AO$209:$AO$248) = 0, "", AVERAGE($AO$209:$AO$248))), "", (IF(AVERAGE($AO$209:$AO$248) = 0, "", AVERAGE($AO$209:$AO$248))))</f>
        <v>4292.0353401469565</v>
      </c>
      <c r="AP208">
        <f ca="1">IF(ISERROR(IF(AVERAGE($AP$209:$AP$248) = 0, "", AVERAGE($AP$209:$AP$248))), "", (IF(AVERAGE($AP$209:$AP$248) = 0, "", AVERAGE($AP$209:$AP$248))))</f>
        <v>3714.8834647821741</v>
      </c>
      <c r="AQ208">
        <f ca="1">IF(ISERROR(IF(AVERAGE($AQ$209:$AQ$248) = 0, "", AVERAGE($AQ$209:$AQ$248))), "", (IF(AVERAGE($AQ$209:$AQ$248) = 0, "", AVERAGE($AQ$209:$AQ$248))))</f>
        <v>2557.8351895316086</v>
      </c>
      <c r="AR208">
        <f ca="1">IF(ISERROR(IF(AVERAGE($AR$209:$AR$248) = 0, "", AVERAGE($AR$209:$AR$248))), "", (IF(AVERAGE($AR$209:$AR$248) = 0, "", AVERAGE($AR$209:$AR$248))))</f>
        <v>1018.5129382976189</v>
      </c>
      <c r="AS208">
        <f ca="1">IF(ISERROR(IF(AVERAGE($AS$209:$AS$248) = 0, "", AVERAGE($AS$209:$AS$248))), "", (IF(AVERAGE($AS$209:$AS$248) = 0, "", AVERAGE($AS$209:$AS$248))))</f>
        <v>272.03603346095224</v>
      </c>
      <c r="AT208">
        <f ca="1">IF(ISERROR(IF(AVERAGE($AT$209:$AT$248) = 0, "", AVERAGE($AT$209:$AT$248))), "", (IF(AVERAGE($AT$209:$AT$248) = 0, "", AVERAGE($AT$209:$AT$248))))</f>
        <v>-47.614040032380892</v>
      </c>
      <c r="AU208">
        <f ca="1">IF(ISERROR(IF(AVERAGE($AU$209:$AU$248) = 0, "", AVERAGE($AU$209:$AU$248))), "", (IF(AVERAGE($AU$209:$AU$248) = 0, "", AVERAGE($AU$209:$AU$248))))</f>
        <v>27.145129586375003</v>
      </c>
      <c r="AV208">
        <f ca="1">IF(ISERROR(IF(AVERAGE($AV$209:$AV$248) = 0, "", AVERAGE($AV$209:$AV$248))), "", (IF(AVERAGE($AV$209:$AV$248) = 0, "", AVERAGE($AV$209:$AV$248))))</f>
        <v>2423.4999837249998</v>
      </c>
      <c r="AW208">
        <f ca="1">IF(ISERROR(IF(AVERAGE($AW$209:$AW$248) = 0, "", AVERAGE($AW$209:$AW$248))), "", (IF(AVERAGE($AW$209:$AW$248) = 0, "", AVERAGE($AW$209:$AW$248))))</f>
        <v>2040.0460618018567</v>
      </c>
      <c r="AX208">
        <f ca="1">IF(ISERROR(IF(AVERAGE($AX$209:$AX$248) = 0, "", AVERAGE($AX$209:$AX$248))), "", (IF(AVERAGE($AX$209:$AX$248) = 0, "", AVERAGE($AX$209:$AX$248))))</f>
        <v>2123.6770259236432</v>
      </c>
      <c r="AY208">
        <f ca="1">IF(ISERROR(IF(AVERAGE($AY$209:$AY$248) = 0, "", AVERAGE($AY$209:$AY$248))), "", (IF(AVERAGE($AY$209:$AY$248) = 0, "", AVERAGE($AY$209:$AY$248))))</f>
        <v>2288.0547705414283</v>
      </c>
      <c r="AZ208">
        <f ca="1">IF(ISERROR(IF(AVERAGE($AZ$209:$AZ$248) = 0, "", AVERAGE($AZ$209:$AZ$248))), "", (IF(AVERAGE($AZ$209:$AZ$248) = 0, "", AVERAGE($AZ$209:$AZ$248))))</f>
        <v>1108.5388804392855</v>
      </c>
      <c r="BA208">
        <f ca="1">IF(ISERROR(IF(AVERAGE($BA$209:$BA$248) = 0, "", AVERAGE($BA$209:$BA$248))), "", (IF(AVERAGE($BA$209:$BA$248) = 0, "", AVERAGE($BA$209:$BA$248))))</f>
        <v>684.78615427</v>
      </c>
      <c r="BB208">
        <f ca="1">IF(ISERROR(IF(AVERAGE($BB$209:$BB$248) = 0, "", AVERAGE($BB$209:$BB$248))), "", (IF(AVERAGE($BB$209:$BB$248) = 0, "", AVERAGE($BB$209:$BB$248))))</f>
        <v>796.66384396785702</v>
      </c>
      <c r="BC208">
        <f ca="1">IF(ISERROR(IF(AVERAGE($BC$209:$BC$248) = 0, "", AVERAGE($BC$209:$BC$248))), "", (IF(AVERAGE($BC$209:$BC$248) = 0, "", AVERAGE($BC$209:$BC$248))))</f>
        <v>407.79028764785704</v>
      </c>
      <c r="BD208">
        <f ca="1">IF(ISERROR(IF(AVERAGE($BD$209:$BD$248) = 0, "", AVERAGE($BD$209:$BD$248))), "", (IF(AVERAGE($BD$209:$BD$248) = 0, "", AVERAGE($BD$209:$BD$248))))</f>
        <v>696.39425261500003</v>
      </c>
      <c r="BE208">
        <f ca="1">IF(ISERROR(IF(AVERAGE($BE$209:$BE$248) = 0, "", AVERAGE($BE$209:$BE$248))), "", (IF(AVERAGE($BE$209:$BE$248) = 0, "", AVERAGE($BE$209:$BE$248))))</f>
        <v>737.53709759642857</v>
      </c>
      <c r="BF208">
        <f ca="1">IF(ISERROR(IF(AVERAGE($BF$209:$BF$248) = 0, "", AVERAGE($BF$209:$BF$248))), "", (IF(AVERAGE($BF$209:$BF$248) = 0, "", AVERAGE($BF$209:$BF$248))))</f>
        <v>-36.860017979285722</v>
      </c>
      <c r="BG208">
        <f ca="1">IF(ISERROR(IF(AVERAGE($BG$209:$BG$248) = 0, "", AVERAGE($BG$209:$BG$248))), "", (IF(AVERAGE($BG$209:$BG$248) = 0, "", AVERAGE($BG$209:$BG$248))))</f>
        <v>-65.660708917857065</v>
      </c>
      <c r="BH208">
        <f ca="1">IF(ISERROR(IF(AVERAGE($BH$209:$BH$248) = 0, "", AVERAGE($BH$209:$BH$248))), "", (IF(AVERAGE($BH$209:$BH$248) = 0, "", AVERAGE($BH$209:$BH$248))))</f>
        <v>-439.25865810181773</v>
      </c>
      <c r="BI208">
        <f ca="1">IF(ISERROR(IF(AVERAGE($BI$209:$BI$248) = 0, "", AVERAGE($BI$209:$BI$248))), "", (IF(AVERAGE($BI$209:$BI$248) = 0, "", AVERAGE($BI$209:$BI$248))))</f>
        <v>-656.00202727700002</v>
      </c>
      <c r="BJ208">
        <f ca="1">IF(ISERROR(IF(AVERAGE($BJ$209:$BJ$248) = 0, "", AVERAGE($BJ$209:$BJ$248))), "", (IF(AVERAGE($BJ$209:$BJ$248) = 0, "", AVERAGE($BJ$209:$BJ$248))))</f>
        <v>54.666917443999999</v>
      </c>
      <c r="BK208">
        <f ca="1">IF(ISERROR(IF(AVERAGE($BK$209:$BK$248) = 0, "", AVERAGE($BK$209:$BK$248))), "", (IF(AVERAGE($BK$209:$BK$248) = 0, "", AVERAGE($BK$209:$BK$248))))</f>
        <v>120.96849216425034</v>
      </c>
      <c r="BL208">
        <f ca="1">IF(ISERROR(IF(AVERAGE($BL$209:$BL$248) = 0, "", AVERAGE($BL$209:$BL$248))), "", (IF(AVERAGE($BL$209:$BL$248) = 0, "", AVERAGE($BL$209:$BL$248))))</f>
        <v>-947.62369177428536</v>
      </c>
      <c r="BM208">
        <f ca="1">IF(ISERROR(IF(AVERAGE($BM$209:$BM$248) = 0, "", AVERAGE($BM$209:$BM$248))), "", (IF(AVERAGE($BM$209:$BM$248) = 0, "", AVERAGE($BM$209:$BM$248))))</f>
        <v>-40.602053648428637</v>
      </c>
      <c r="BN208" t="str">
        <f>""</f>
        <v/>
      </c>
      <c r="BO208">
        <f>4115.432658</f>
        <v>4115.4326579999997</v>
      </c>
      <c r="BP208">
        <f>937.8397271</f>
        <v>937.8397271</v>
      </c>
      <c r="BQ208">
        <f>1272.547166</f>
        <v>1272.5471660000001</v>
      </c>
      <c r="BR208">
        <f>1295.863816</f>
        <v>1295.863816</v>
      </c>
      <c r="BS208">
        <f>1232.926438</f>
        <v>1232.926438</v>
      </c>
      <c r="BT208">
        <f>1216.138953</f>
        <v>1216.1389529999999</v>
      </c>
      <c r="BU208">
        <f>1313.876419</f>
        <v>1313.8764189999999</v>
      </c>
      <c r="BV208">
        <f>1924.127539</f>
        <v>1924.1275390000001</v>
      </c>
      <c r="BW208">
        <f>1812.162475</f>
        <v>1812.1624750000001</v>
      </c>
      <c r="BX208">
        <f>2144.724154</f>
        <v>2144.724154</v>
      </c>
      <c r="BY208">
        <f>1997.677556</f>
        <v>1997.6775560000001</v>
      </c>
      <c r="BZ208">
        <f>1410.741189</f>
        <v>1410.7411890000001</v>
      </c>
      <c r="CA208">
        <f>1544.541843</f>
        <v>1544.541843</v>
      </c>
      <c r="CB208">
        <f>1131.823651</f>
        <v>1131.8236509999999</v>
      </c>
      <c r="CC208">
        <f>964.2140801</f>
        <v>964.21408010000005</v>
      </c>
      <c r="CD208">
        <f>783.267665</f>
        <v>783.26766499999997</v>
      </c>
      <c r="CE208">
        <f>902.7016185</f>
        <v>902.7016185</v>
      </c>
      <c r="CF208">
        <f>1132.19178</f>
        <v>1132.1917800000001</v>
      </c>
      <c r="CG208">
        <f>1312.854098</f>
        <v>1312.854098</v>
      </c>
      <c r="CH208">
        <f>1767.886118</f>
        <v>1767.8861179999999</v>
      </c>
      <c r="CI208">
        <f>1657.847526</f>
        <v>1657.847526</v>
      </c>
      <c r="CJ208">
        <f>1578.525132</f>
        <v>1578.525132</v>
      </c>
      <c r="CK208">
        <f>1220.443532</f>
        <v>1220.443532</v>
      </c>
      <c r="CL208">
        <f>830.923784</f>
        <v>830.92378399999996</v>
      </c>
      <c r="CM208">
        <f>780.6284425</f>
        <v>780.62844250000001</v>
      </c>
      <c r="CN208">
        <f>924.8055698</f>
        <v>924.80556979999994</v>
      </c>
      <c r="CO208">
        <f>996.6042182</f>
        <v>996.60421819999999</v>
      </c>
      <c r="CP208">
        <f>1158.542701</f>
        <v>1158.5427010000001</v>
      </c>
      <c r="CQ208">
        <f>1287.516267</f>
        <v>1287.516267</v>
      </c>
      <c r="CR208">
        <f>1201.260166</f>
        <v>1201.260166</v>
      </c>
      <c r="CS208">
        <f>1790.654832</f>
        <v>1790.6548319999999</v>
      </c>
      <c r="CT208">
        <f>2339.463211</f>
        <v>2339.4632109999998</v>
      </c>
      <c r="CU208">
        <f>2592.830944</f>
        <v>2592.8309439999998</v>
      </c>
      <c r="CV208">
        <f>3764.287792</f>
        <v>3764.2877920000001</v>
      </c>
      <c r="CW208">
        <f>4292.03534</f>
        <v>4292.0353400000004</v>
      </c>
      <c r="CX208">
        <f>3714.883465</f>
        <v>3714.8834649999999</v>
      </c>
      <c r="CY208">
        <f>2557.83519</f>
        <v>2557.8351899999998</v>
      </c>
      <c r="CZ208">
        <f>1018.512938</f>
        <v>1018.512938</v>
      </c>
      <c r="DA208">
        <f>272.0360335</f>
        <v>272.03603349999997</v>
      </c>
      <c r="DB208">
        <f>-47.61404016</f>
        <v>-47.614040160000002</v>
      </c>
      <c r="DC208">
        <f>27.14512977</f>
        <v>27.14512977</v>
      </c>
      <c r="DD208">
        <f>2423.499984</f>
        <v>2423.499984</v>
      </c>
      <c r="DE208">
        <f>2040.046062</f>
        <v>2040.0460619999999</v>
      </c>
      <c r="DF208">
        <f>2123.677026</f>
        <v>2123.6770259999998</v>
      </c>
      <c r="DG208">
        <f>2288.05477</f>
        <v>2288.0547700000002</v>
      </c>
      <c r="DH208">
        <f>1108.538881</f>
        <v>1108.5388809999999</v>
      </c>
      <c r="DI208">
        <f>684.7861545</f>
        <v>684.78615449999995</v>
      </c>
      <c r="DJ208">
        <f>796.6638439</f>
        <v>796.66384389999996</v>
      </c>
      <c r="DK208">
        <f>407.7902876</f>
        <v>407.7902876</v>
      </c>
      <c r="DL208">
        <f>696.3942529</f>
        <v>696.39425289999997</v>
      </c>
      <c r="DM208">
        <f>737.5370976</f>
        <v>737.53709760000004</v>
      </c>
      <c r="DN208">
        <f>-36.86001775</f>
        <v>-36.860017749999997</v>
      </c>
      <c r="DO208">
        <f>-65.66070879</f>
        <v>-65.660708790000001</v>
      </c>
      <c r="DP208">
        <f>-439.2586583</f>
        <v>-439.25865829999998</v>
      </c>
      <c r="DQ208">
        <f>-656.0020274</f>
        <v>-656.00202739999997</v>
      </c>
      <c r="DR208">
        <f>54.66691713</f>
        <v>54.666917130000002</v>
      </c>
      <c r="DS208">
        <f>120.9684925</f>
        <v>120.9684925</v>
      </c>
      <c r="DT208">
        <f>-947.6236911</f>
        <v>-947.62369109999997</v>
      </c>
      <c r="DU208">
        <f>-40.60205366</f>
        <v>-40.602053660000003</v>
      </c>
    </row>
    <row r="209" spans="1:125" x14ac:dyDescent="0.25">
      <c r="A209" t="str">
        <f>"    AUDI AG"</f>
        <v xml:space="preserve">    AUDI AG</v>
      </c>
      <c r="B209" t="str">
        <f>"NSU GR Equity"</f>
        <v>NSU GR Equity</v>
      </c>
      <c r="C209" t="str">
        <f t="shared" ref="C209:C248" si="15">"RR843"</f>
        <v>RR843</v>
      </c>
      <c r="D209" t="str">
        <f t="shared" ref="D209:D248" si="16">"TRAIL_12M_FREE_CASH_FLOW"</f>
        <v>TRAIL_12M_FREE_CASH_FLOW</v>
      </c>
      <c r="E209" t="str">
        <f t="shared" ref="E209:E248" si="17">"Dynamic"</f>
        <v>Dynamic</v>
      </c>
      <c r="F209" t="str">
        <f ca="1">IF(AND(ISNUMBER($F$713),$B$511=1),$F$713,HLOOKUP(INDIRECT(ADDRESS(2,COLUMN())),OFFSET($BN$2,0,0,ROW()-1,60),ROW()-1,FALSE))</f>
        <v/>
      </c>
      <c r="G209" t="str">
        <f ca="1">IF(AND(ISNUMBER($G$713),$B$511=1),$G$713,HLOOKUP(INDIRECT(ADDRESS(2,COLUMN())),OFFSET($BN$2,0,0,ROW()-1,60),ROW()-1,FALSE))</f>
        <v/>
      </c>
      <c r="H209" t="str">
        <f ca="1">IF(AND(ISNUMBER($H$713),$B$511=1),$H$713,HLOOKUP(INDIRECT(ADDRESS(2,COLUMN())),OFFSET($BN$2,0,0,ROW()-1,60),ROW()-1,FALSE))</f>
        <v/>
      </c>
      <c r="I209" t="str">
        <f ca="1">IF(AND(ISNUMBER($I$713),$B$511=1),$I$713,HLOOKUP(INDIRECT(ADDRESS(2,COLUMN())),OFFSET($BN$2,0,0,ROW()-1,60),ROW()-1,FALSE))</f>
        <v/>
      </c>
      <c r="J209" t="str">
        <f ca="1">IF(AND(ISNUMBER($J$713),$B$511=1),$J$713,HLOOKUP(INDIRECT(ADDRESS(2,COLUMN())),OFFSET($BN$2,0,0,ROW()-1,60),ROW()-1,FALSE))</f>
        <v/>
      </c>
      <c r="K209" t="str">
        <f ca="1">IF(AND(ISNUMBER($K$713),$B$511=1),$K$713,HLOOKUP(INDIRECT(ADDRESS(2,COLUMN())),OFFSET($BN$2,0,0,ROW()-1,60),ROW()-1,FALSE))</f>
        <v/>
      </c>
      <c r="L209" t="str">
        <f ca="1">IF(AND(ISNUMBER($L$713),$B$511=1),$L$713,HLOOKUP(INDIRECT(ADDRESS(2,COLUMN())),OFFSET($BN$2,0,0,ROW()-1,60),ROW()-1,FALSE))</f>
        <v/>
      </c>
      <c r="M209" t="str">
        <f ca="1">IF(AND(ISNUMBER($M$713),$B$511=1),$M$713,HLOOKUP(INDIRECT(ADDRESS(2,COLUMN())),OFFSET($BN$2,0,0,ROW()-1,60),ROW()-1,FALSE))</f>
        <v/>
      </c>
      <c r="N209" t="str">
        <f ca="1">IF(AND(ISNUMBER($N$713),$B$511=1),$N$713,HLOOKUP(INDIRECT(ADDRESS(2,COLUMN())),OFFSET($BN$2,0,0,ROW()-1,60),ROW()-1,FALSE))</f>
        <v/>
      </c>
      <c r="O209" t="str">
        <f ca="1">IF(AND(ISNUMBER($O$713),$B$511=1),$O$713,HLOOKUP(INDIRECT(ADDRESS(2,COLUMN())),OFFSET($BN$2,0,0,ROW()-1,60),ROW()-1,FALSE))</f>
        <v/>
      </c>
      <c r="P209" t="str">
        <f ca="1">IF(AND(ISNUMBER($P$713),$B$511=1),$P$713,HLOOKUP(INDIRECT(ADDRESS(2,COLUMN())),OFFSET($BN$2,0,0,ROW()-1,60),ROW()-1,FALSE))</f>
        <v/>
      </c>
      <c r="Q209" t="str">
        <f ca="1">IF(AND(ISNUMBER($Q$713),$B$511=1),$Q$713,HLOOKUP(INDIRECT(ADDRESS(2,COLUMN())),OFFSET($BN$2,0,0,ROW()-1,60),ROW()-1,FALSE))</f>
        <v/>
      </c>
      <c r="R209" t="str">
        <f ca="1">IF(AND(ISNUMBER($R$713),$B$511=1),$R$713,HLOOKUP(INDIRECT(ADDRESS(2,COLUMN())),OFFSET($BN$2,0,0,ROW()-1,60),ROW()-1,FALSE))</f>
        <v/>
      </c>
      <c r="S209" t="str">
        <f ca="1">IF(AND(ISNUMBER($S$713),$B$511=1),$S$713,HLOOKUP(INDIRECT(ADDRESS(2,COLUMN())),OFFSET($BN$2,0,0,ROW()-1,60),ROW()-1,FALSE))</f>
        <v/>
      </c>
      <c r="T209" t="str">
        <f ca="1">IF(AND(ISNUMBER($T$713),$B$511=1),$T$713,HLOOKUP(INDIRECT(ADDRESS(2,COLUMN())),OFFSET($BN$2,0,0,ROW()-1,60),ROW()-1,FALSE))</f>
        <v/>
      </c>
      <c r="U209" t="str">
        <f ca="1">IF(AND(ISNUMBER($U$713),$B$511=1),$U$713,HLOOKUP(INDIRECT(ADDRESS(2,COLUMN())),OFFSET($BN$2,0,0,ROW()-1,60),ROW()-1,FALSE))</f>
        <v/>
      </c>
      <c r="V209" t="str">
        <f ca="1">IF(AND(ISNUMBER($V$713),$B$511=1),$V$713,HLOOKUP(INDIRECT(ADDRESS(2,COLUMN())),OFFSET($BN$2,0,0,ROW()-1,60),ROW()-1,FALSE))</f>
        <v/>
      </c>
      <c r="W209" t="str">
        <f ca="1">IF(AND(ISNUMBER($W$713),$B$511=1),$W$713,HLOOKUP(INDIRECT(ADDRESS(2,COLUMN())),OFFSET($BN$2,0,0,ROW()-1,60),ROW()-1,FALSE))</f>
        <v/>
      </c>
      <c r="X209" t="str">
        <f ca="1">IF(AND(ISNUMBER($X$713),$B$511=1),$X$713,HLOOKUP(INDIRECT(ADDRESS(2,COLUMN())),OFFSET($BN$2,0,0,ROW()-1,60),ROW()-1,FALSE))</f>
        <v/>
      </c>
      <c r="Y209" t="str">
        <f ca="1">IF(AND(ISNUMBER($Y$713),$B$511=1),$Y$713,HLOOKUP(INDIRECT(ADDRESS(2,COLUMN())),OFFSET($BN$2,0,0,ROW()-1,60),ROW()-1,FALSE))</f>
        <v/>
      </c>
      <c r="Z209" t="str">
        <f ca="1">IF(AND(ISNUMBER($Z$713),$B$511=1),$Z$713,HLOOKUP(INDIRECT(ADDRESS(2,COLUMN())),OFFSET($BN$2,0,0,ROW()-1,60),ROW()-1,FALSE))</f>
        <v/>
      </c>
      <c r="AA209" t="str">
        <f ca="1">IF(AND(ISNUMBER($AA$713),$B$511=1),$AA$713,HLOOKUP(INDIRECT(ADDRESS(2,COLUMN())),OFFSET($BN$2,0,0,ROW()-1,60),ROW()-1,FALSE))</f>
        <v/>
      </c>
      <c r="AB209" t="str">
        <f ca="1">IF(AND(ISNUMBER($AB$713),$B$511=1),$AB$713,HLOOKUP(INDIRECT(ADDRESS(2,COLUMN())),OFFSET($BN$2,0,0,ROW()-1,60),ROW()-1,FALSE))</f>
        <v/>
      </c>
      <c r="AC209" t="str">
        <f ca="1">IF(AND(ISNUMBER($AC$713),$B$511=1),$AC$713,HLOOKUP(INDIRECT(ADDRESS(2,COLUMN())),OFFSET($BN$2,0,0,ROW()-1,60),ROW()-1,FALSE))</f>
        <v/>
      </c>
      <c r="AD209" t="str">
        <f ca="1">IF(AND(ISNUMBER($AD$713),$B$511=1),$AD$713,HLOOKUP(INDIRECT(ADDRESS(2,COLUMN())),OFFSET($BN$2,0,0,ROW()-1,60),ROW()-1,FALSE))</f>
        <v/>
      </c>
      <c r="AE209" t="str">
        <f ca="1">IF(AND(ISNUMBER($AE$713),$B$511=1),$AE$713,HLOOKUP(INDIRECT(ADDRESS(2,COLUMN())),OFFSET($BN$2,0,0,ROW()-1,60),ROW()-1,FALSE))</f>
        <v/>
      </c>
      <c r="AF209" t="str">
        <f ca="1">IF(AND(ISNUMBER($AF$713),$B$511=1),$AF$713,HLOOKUP(INDIRECT(ADDRESS(2,COLUMN())),OFFSET($BN$2,0,0,ROW()-1,60),ROW()-1,FALSE))</f>
        <v/>
      </c>
      <c r="AG209" t="str">
        <f ca="1">IF(AND(ISNUMBER($AG$713),$B$511=1),$AG$713,HLOOKUP(INDIRECT(ADDRESS(2,COLUMN())),OFFSET($BN$2,0,0,ROW()-1,60),ROW()-1,FALSE))</f>
        <v/>
      </c>
      <c r="AH209" t="str">
        <f ca="1">IF(AND(ISNUMBER($AH$713),$B$511=1),$AH$713,HLOOKUP(INDIRECT(ADDRESS(2,COLUMN())),OFFSET($BN$2,0,0,ROW()-1,60),ROW()-1,FALSE))</f>
        <v/>
      </c>
      <c r="AI209" t="str">
        <f ca="1">IF(AND(ISNUMBER($AI$713),$B$511=1),$AI$713,HLOOKUP(INDIRECT(ADDRESS(2,COLUMN())),OFFSET($BN$2,0,0,ROW()-1,60),ROW()-1,FALSE))</f>
        <v/>
      </c>
      <c r="AJ209" t="str">
        <f ca="1">IF(AND(ISNUMBER($AJ$713),$B$511=1),$AJ$713,HLOOKUP(INDIRECT(ADDRESS(2,COLUMN())),OFFSET($BN$2,0,0,ROW()-1,60),ROW()-1,FALSE))</f>
        <v/>
      </c>
      <c r="AK209" t="str">
        <f ca="1">IF(AND(ISNUMBER($AK$713),$B$511=1),$AK$713,HLOOKUP(INDIRECT(ADDRESS(2,COLUMN())),OFFSET($BN$2,0,0,ROW()-1,60),ROW()-1,FALSE))</f>
        <v/>
      </c>
      <c r="AL209" t="str">
        <f ca="1">IF(AND(ISNUMBER($AL$713),$B$511=1),$AL$713,HLOOKUP(INDIRECT(ADDRESS(2,COLUMN())),OFFSET($BN$2,0,0,ROW()-1,60),ROW()-1,FALSE))</f>
        <v/>
      </c>
      <c r="AM209" t="str">
        <f ca="1">IF(AND(ISNUMBER($AM$713),$B$511=1),$AM$713,HLOOKUP(INDIRECT(ADDRESS(2,COLUMN())),OFFSET($BN$2,0,0,ROW()-1,60),ROW()-1,FALSE))</f>
        <v/>
      </c>
      <c r="AN209" t="str">
        <f ca="1">IF(AND(ISNUMBER($AN$713),$B$511=1),$AN$713,HLOOKUP(INDIRECT(ADDRESS(2,COLUMN())),OFFSET($BN$2,0,0,ROW()-1,60),ROW()-1,FALSE))</f>
        <v/>
      </c>
      <c r="AO209" t="str">
        <f ca="1">IF(AND(ISNUMBER($AO$713),$B$511=1),$AO$713,HLOOKUP(INDIRECT(ADDRESS(2,COLUMN())),OFFSET($BN$2,0,0,ROW()-1,60),ROW()-1,FALSE))</f>
        <v/>
      </c>
      <c r="AP209" t="str">
        <f ca="1">IF(AND(ISNUMBER($AP$713),$B$511=1),$AP$713,HLOOKUP(INDIRECT(ADDRESS(2,COLUMN())),OFFSET($BN$2,0,0,ROW()-1,60),ROW()-1,FALSE))</f>
        <v/>
      </c>
      <c r="AQ209" t="str">
        <f ca="1">IF(AND(ISNUMBER($AQ$713),$B$511=1),$AQ$713,HLOOKUP(INDIRECT(ADDRESS(2,COLUMN())),OFFSET($BN$2,0,0,ROW()-1,60),ROW()-1,FALSE))</f>
        <v/>
      </c>
      <c r="AR209" t="str">
        <f ca="1">IF(AND(ISNUMBER($AR$713),$B$511=1),$AR$713,HLOOKUP(INDIRECT(ADDRESS(2,COLUMN())),OFFSET($BN$2,0,0,ROW()-1,60),ROW()-1,FALSE))</f>
        <v/>
      </c>
      <c r="AS209" t="str">
        <f ca="1">IF(AND(ISNUMBER($AS$713),$B$511=1),$AS$713,HLOOKUP(INDIRECT(ADDRESS(2,COLUMN())),OFFSET($BN$2,0,0,ROW()-1,60),ROW()-1,FALSE))</f>
        <v/>
      </c>
      <c r="AT209" t="str">
        <f ca="1">IF(AND(ISNUMBER($AT$713),$B$511=1),$AT$713,HLOOKUP(INDIRECT(ADDRESS(2,COLUMN())),OFFSET($BN$2,0,0,ROW()-1,60),ROW()-1,FALSE))</f>
        <v/>
      </c>
      <c r="AU209" t="str">
        <f ca="1">IF(AND(ISNUMBER($AU$713),$B$511=1),$AU$713,HLOOKUP(INDIRECT(ADDRESS(2,COLUMN())),OFFSET($BN$2,0,0,ROW()-1,60),ROW()-1,FALSE))</f>
        <v/>
      </c>
      <c r="AV209" t="str">
        <f ca="1">IF(AND(ISNUMBER($AV$713),$B$511=1),$AV$713,HLOOKUP(INDIRECT(ADDRESS(2,COLUMN())),OFFSET($BN$2,0,0,ROW()-1,60),ROW()-1,FALSE))</f>
        <v/>
      </c>
      <c r="AW209" t="str">
        <f ca="1">IF(AND(ISNUMBER($AW$713),$B$511=1),$AW$713,HLOOKUP(INDIRECT(ADDRESS(2,COLUMN())),OFFSET($BN$2,0,0,ROW()-1,60),ROW()-1,FALSE))</f>
        <v/>
      </c>
      <c r="AX209" t="str">
        <f ca="1">IF(AND(ISNUMBER($AX$713),$B$511=1),$AX$713,HLOOKUP(INDIRECT(ADDRESS(2,COLUMN())),OFFSET($BN$2,0,0,ROW()-1,60),ROW()-1,FALSE))</f>
        <v/>
      </c>
      <c r="AY209" t="str">
        <f ca="1">IF(AND(ISNUMBER($AY$713),$B$511=1),$AY$713,HLOOKUP(INDIRECT(ADDRESS(2,COLUMN())),OFFSET($BN$2,0,0,ROW()-1,60),ROW()-1,FALSE))</f>
        <v/>
      </c>
      <c r="AZ209" t="str">
        <f ca="1">IF(AND(ISNUMBER($AZ$713),$B$511=1),$AZ$713,HLOOKUP(INDIRECT(ADDRESS(2,COLUMN())),OFFSET($BN$2,0,0,ROW()-1,60),ROW()-1,FALSE))</f>
        <v/>
      </c>
      <c r="BA209" t="str">
        <f ca="1">IF(AND(ISNUMBER($BA$713),$B$511=1),$BA$713,HLOOKUP(INDIRECT(ADDRESS(2,COLUMN())),OFFSET($BN$2,0,0,ROW()-1,60),ROW()-1,FALSE))</f>
        <v/>
      </c>
      <c r="BB209" t="str">
        <f ca="1">IF(AND(ISNUMBER($BB$713),$B$511=1),$BB$713,HLOOKUP(INDIRECT(ADDRESS(2,COLUMN())),OFFSET($BN$2,0,0,ROW()-1,60),ROW()-1,FALSE))</f>
        <v/>
      </c>
      <c r="BC209" t="str">
        <f ca="1">IF(AND(ISNUMBER($BC$713),$B$511=1),$BC$713,HLOOKUP(INDIRECT(ADDRESS(2,COLUMN())),OFFSET($BN$2,0,0,ROW()-1,60),ROW()-1,FALSE))</f>
        <v/>
      </c>
      <c r="BD209" t="str">
        <f ca="1">IF(AND(ISNUMBER($BD$713),$B$511=1),$BD$713,HLOOKUP(INDIRECT(ADDRESS(2,COLUMN())),OFFSET($BN$2,0,0,ROW()-1,60),ROW()-1,FALSE))</f>
        <v/>
      </c>
      <c r="BE209" t="str">
        <f ca="1">IF(AND(ISNUMBER($BE$713),$B$511=1),$BE$713,HLOOKUP(INDIRECT(ADDRESS(2,COLUMN())),OFFSET($BN$2,0,0,ROW()-1,60),ROW()-1,FALSE))</f>
        <v/>
      </c>
      <c r="BF209" t="str">
        <f ca="1">IF(AND(ISNUMBER($BF$713),$B$511=1),$BF$713,HLOOKUP(INDIRECT(ADDRESS(2,COLUMN())),OFFSET($BN$2,0,0,ROW()-1,60),ROW()-1,FALSE))</f>
        <v/>
      </c>
      <c r="BG209" t="str">
        <f ca="1">IF(AND(ISNUMBER($BG$713),$B$511=1),$BG$713,HLOOKUP(INDIRECT(ADDRESS(2,COLUMN())),OFFSET($BN$2,0,0,ROW()-1,60),ROW()-1,FALSE))</f>
        <v/>
      </c>
      <c r="BH209" t="str">
        <f ca="1">IF(AND(ISNUMBER($BH$713),$B$511=1),$BH$713,HLOOKUP(INDIRECT(ADDRESS(2,COLUMN())),OFFSET($BN$2,0,0,ROW()-1,60),ROW()-1,FALSE))</f>
        <v/>
      </c>
      <c r="BI209" t="str">
        <f ca="1">IF(AND(ISNUMBER($BI$713),$B$511=1),$BI$713,HLOOKUP(INDIRECT(ADDRESS(2,COLUMN())),OFFSET($BN$2,0,0,ROW()-1,60),ROW()-1,FALSE))</f>
        <v/>
      </c>
      <c r="BJ209" t="str">
        <f ca="1">IF(AND(ISNUMBER($BJ$713),$B$511=1),$BJ$713,HLOOKUP(INDIRECT(ADDRESS(2,COLUMN())),OFFSET($BN$2,0,0,ROW()-1,60),ROW()-1,FALSE))</f>
        <v/>
      </c>
      <c r="BK209" t="str">
        <f ca="1">IF(AND(ISNUMBER($BK$713),$B$511=1),$BK$713,HLOOKUP(INDIRECT(ADDRESS(2,COLUMN())),OFFSET($BN$2,0,0,ROW()-1,60),ROW()-1,FALSE))</f>
        <v/>
      </c>
      <c r="BL209" t="str">
        <f ca="1">IF(AND(ISNUMBER($BL$713),$B$511=1),$BL$713,HLOOKUP(INDIRECT(ADDRESS(2,COLUMN())),OFFSET($BN$2,0,0,ROW()-1,60),ROW()-1,FALSE))</f>
        <v/>
      </c>
      <c r="BM209" t="str">
        <f ca="1">IF(AND(ISNUMBER($BM$713),$B$511=1),$BM$713,HLOOKUP(INDIRECT(ADDRESS(2,COLUMN())),OFFSET($BN$2,0,0,ROW()-1,60),ROW()-1,FALSE))</f>
        <v/>
      </c>
      <c r="BN209" t="str">
        <f>""</f>
        <v/>
      </c>
      <c r="BO209" t="str">
        <f>""</f>
        <v/>
      </c>
      <c r="BP209" t="str">
        <f>""</f>
        <v/>
      </c>
      <c r="BQ209" t="str">
        <f>""</f>
        <v/>
      </c>
      <c r="BR209" t="str">
        <f>""</f>
        <v/>
      </c>
      <c r="BS209" t="str">
        <f>""</f>
        <v/>
      </c>
      <c r="BT209" t="str">
        <f>""</f>
        <v/>
      </c>
      <c r="BU209" t="str">
        <f>""</f>
        <v/>
      </c>
      <c r="BV209" t="str">
        <f>""</f>
        <v/>
      </c>
      <c r="BW209" t="str">
        <f>""</f>
        <v/>
      </c>
      <c r="BX209" t="str">
        <f>""</f>
        <v/>
      </c>
      <c r="BY209" t="str">
        <f>""</f>
        <v/>
      </c>
      <c r="BZ209" t="str">
        <f>""</f>
        <v/>
      </c>
      <c r="CA209" t="str">
        <f>""</f>
        <v/>
      </c>
      <c r="CB209" t="str">
        <f>""</f>
        <v/>
      </c>
      <c r="CC209" t="str">
        <f>""</f>
        <v/>
      </c>
      <c r="CD209" t="str">
        <f>""</f>
        <v/>
      </c>
      <c r="CE209" t="str">
        <f>""</f>
        <v/>
      </c>
      <c r="CF209" t="str">
        <f>""</f>
        <v/>
      </c>
      <c r="CG209" t="str">
        <f>""</f>
        <v/>
      </c>
      <c r="CH209" t="str">
        <f>""</f>
        <v/>
      </c>
      <c r="CI209" t="str">
        <f>""</f>
        <v/>
      </c>
      <c r="CJ209" t="str">
        <f>""</f>
        <v/>
      </c>
      <c r="CK209" t="str">
        <f>""</f>
        <v/>
      </c>
      <c r="CL209" t="str">
        <f>""</f>
        <v/>
      </c>
      <c r="CM209" t="str">
        <f>""</f>
        <v/>
      </c>
      <c r="CN209" t="str">
        <f>""</f>
        <v/>
      </c>
      <c r="CO209" t="str">
        <f>""</f>
        <v/>
      </c>
      <c r="CP209" t="str">
        <f>""</f>
        <v/>
      </c>
      <c r="CQ209" t="str">
        <f>""</f>
        <v/>
      </c>
      <c r="CR209" t="str">
        <f>""</f>
        <v/>
      </c>
      <c r="CS209" t="str">
        <f>""</f>
        <v/>
      </c>
      <c r="CT209" t="str">
        <f>""</f>
        <v/>
      </c>
      <c r="CU209" t="str">
        <f>""</f>
        <v/>
      </c>
      <c r="CV209" t="str">
        <f>""</f>
        <v/>
      </c>
      <c r="CW209" t="str">
        <f>""</f>
        <v/>
      </c>
      <c r="CX209" t="str">
        <f>""</f>
        <v/>
      </c>
      <c r="CY209" t="str">
        <f>""</f>
        <v/>
      </c>
      <c r="CZ209" t="str">
        <f>""</f>
        <v/>
      </c>
      <c r="DA209" t="str">
        <f>""</f>
        <v/>
      </c>
      <c r="DB209" t="str">
        <f>""</f>
        <v/>
      </c>
      <c r="DC209" t="str">
        <f>""</f>
        <v/>
      </c>
      <c r="DD209" t="str">
        <f>""</f>
        <v/>
      </c>
      <c r="DE209" t="str">
        <f>""</f>
        <v/>
      </c>
      <c r="DF209" t="str">
        <f>""</f>
        <v/>
      </c>
      <c r="DG209" t="str">
        <f>""</f>
        <v/>
      </c>
      <c r="DH209" t="str">
        <f>""</f>
        <v/>
      </c>
      <c r="DI209" t="str">
        <f>""</f>
        <v/>
      </c>
      <c r="DJ209" t="str">
        <f>""</f>
        <v/>
      </c>
      <c r="DK209" t="str">
        <f>""</f>
        <v/>
      </c>
      <c r="DL209" t="str">
        <f>""</f>
        <v/>
      </c>
      <c r="DM209" t="str">
        <f>""</f>
        <v/>
      </c>
      <c r="DN209" t="str">
        <f>""</f>
        <v/>
      </c>
      <c r="DO209" t="str">
        <f>""</f>
        <v/>
      </c>
      <c r="DP209" t="str">
        <f>""</f>
        <v/>
      </c>
      <c r="DQ209" t="str">
        <f>""</f>
        <v/>
      </c>
      <c r="DR209" t="str">
        <f>""</f>
        <v/>
      </c>
      <c r="DS209" t="str">
        <f>""</f>
        <v/>
      </c>
      <c r="DT209" t="str">
        <f>""</f>
        <v/>
      </c>
      <c r="DU209" t="str">
        <f>""</f>
        <v/>
      </c>
    </row>
    <row r="210" spans="1:125" x14ac:dyDescent="0.25">
      <c r="A210" t="str">
        <f>"    Avtovaz PJSC"</f>
        <v xml:space="preserve">    Avtovaz PJSC</v>
      </c>
      <c r="B210" t="str">
        <f>"AVAZ RM Equity"</f>
        <v>AVAZ RM Equity</v>
      </c>
      <c r="C210" t="str">
        <f t="shared" si="15"/>
        <v>RR843</v>
      </c>
      <c r="D210" t="str">
        <f t="shared" si="16"/>
        <v>TRAIL_12M_FREE_CASH_FLOW</v>
      </c>
      <c r="E210" t="str">
        <f t="shared" si="17"/>
        <v>Dynamic</v>
      </c>
      <c r="F210" t="str">
        <f ca="1">IF(AND(ISNUMBER($F$714),$B$511=1),$F$714,HLOOKUP(INDIRECT(ADDRESS(2,COLUMN())),OFFSET($BN$2,0,0,ROW()-1,60),ROW()-1,FALSE))</f>
        <v/>
      </c>
      <c r="G210" t="str">
        <f ca="1">IF(AND(ISNUMBER($G$714),$B$511=1),$G$714,HLOOKUP(INDIRECT(ADDRESS(2,COLUMN())),OFFSET($BN$2,0,0,ROW()-1,60),ROW()-1,FALSE))</f>
        <v/>
      </c>
      <c r="H210" t="str">
        <f ca="1">IF(AND(ISNUMBER($H$714),$B$511=1),$H$714,HLOOKUP(INDIRECT(ADDRESS(2,COLUMN())),OFFSET($BN$2,0,0,ROW()-1,60),ROW()-1,FALSE))</f>
        <v/>
      </c>
      <c r="I210" t="str">
        <f ca="1">IF(AND(ISNUMBER($I$714),$B$511=1),$I$714,HLOOKUP(INDIRECT(ADDRESS(2,COLUMN())),OFFSET($BN$2,0,0,ROW()-1,60),ROW()-1,FALSE))</f>
        <v/>
      </c>
      <c r="J210" t="str">
        <f ca="1">IF(AND(ISNUMBER($J$714),$B$511=1),$J$714,HLOOKUP(INDIRECT(ADDRESS(2,COLUMN())),OFFSET($BN$2,0,0,ROW()-1,60),ROW()-1,FALSE))</f>
        <v/>
      </c>
      <c r="K210" t="str">
        <f ca="1">IF(AND(ISNUMBER($K$714),$B$511=1),$K$714,HLOOKUP(INDIRECT(ADDRESS(2,COLUMN())),OFFSET($BN$2,0,0,ROW()-1,60),ROW()-1,FALSE))</f>
        <v/>
      </c>
      <c r="L210" t="str">
        <f ca="1">IF(AND(ISNUMBER($L$714),$B$511=1),$L$714,HLOOKUP(INDIRECT(ADDRESS(2,COLUMN())),OFFSET($BN$2,0,0,ROW()-1,60),ROW()-1,FALSE))</f>
        <v/>
      </c>
      <c r="M210" t="str">
        <f ca="1">IF(AND(ISNUMBER($M$714),$B$511=1),$M$714,HLOOKUP(INDIRECT(ADDRESS(2,COLUMN())),OFFSET($BN$2,0,0,ROW()-1,60),ROW()-1,FALSE))</f>
        <v/>
      </c>
      <c r="N210" t="str">
        <f ca="1">IF(AND(ISNUMBER($N$714),$B$511=1),$N$714,HLOOKUP(INDIRECT(ADDRESS(2,COLUMN())),OFFSET($BN$2,0,0,ROW()-1,60),ROW()-1,FALSE))</f>
        <v/>
      </c>
      <c r="O210" t="str">
        <f ca="1">IF(AND(ISNUMBER($O$714),$B$511=1),$O$714,HLOOKUP(INDIRECT(ADDRESS(2,COLUMN())),OFFSET($BN$2,0,0,ROW()-1,60),ROW()-1,FALSE))</f>
        <v/>
      </c>
      <c r="P210" t="str">
        <f ca="1">IF(AND(ISNUMBER($P$714),$B$511=1),$P$714,HLOOKUP(INDIRECT(ADDRESS(2,COLUMN())),OFFSET($BN$2,0,0,ROW()-1,60),ROW()-1,FALSE))</f>
        <v/>
      </c>
      <c r="Q210" t="str">
        <f ca="1">IF(AND(ISNUMBER($Q$714),$B$511=1),$Q$714,HLOOKUP(INDIRECT(ADDRESS(2,COLUMN())),OFFSET($BN$2,0,0,ROW()-1,60),ROW()-1,FALSE))</f>
        <v/>
      </c>
      <c r="R210" t="str">
        <f ca="1">IF(AND(ISNUMBER($R$714),$B$511=1),$R$714,HLOOKUP(INDIRECT(ADDRESS(2,COLUMN())),OFFSET($BN$2,0,0,ROW()-1,60),ROW()-1,FALSE))</f>
        <v/>
      </c>
      <c r="S210" t="str">
        <f ca="1">IF(AND(ISNUMBER($S$714),$B$511=1),$S$714,HLOOKUP(INDIRECT(ADDRESS(2,COLUMN())),OFFSET($BN$2,0,0,ROW()-1,60),ROW()-1,FALSE))</f>
        <v/>
      </c>
      <c r="T210" t="str">
        <f ca="1">IF(AND(ISNUMBER($T$714),$B$511=1),$T$714,HLOOKUP(INDIRECT(ADDRESS(2,COLUMN())),OFFSET($BN$2,0,0,ROW()-1,60),ROW()-1,FALSE))</f>
        <v/>
      </c>
      <c r="U210" t="str">
        <f ca="1">IF(AND(ISNUMBER($U$714),$B$511=1),$U$714,HLOOKUP(INDIRECT(ADDRESS(2,COLUMN())),OFFSET($BN$2,0,0,ROW()-1,60),ROW()-1,FALSE))</f>
        <v/>
      </c>
      <c r="V210" t="str">
        <f ca="1">IF(AND(ISNUMBER($V$714),$B$511=1),$V$714,HLOOKUP(INDIRECT(ADDRESS(2,COLUMN())),OFFSET($BN$2,0,0,ROW()-1,60),ROW()-1,FALSE))</f>
        <v/>
      </c>
      <c r="W210" t="str">
        <f ca="1">IF(AND(ISNUMBER($W$714),$B$511=1),$W$714,HLOOKUP(INDIRECT(ADDRESS(2,COLUMN())),OFFSET($BN$2,0,0,ROW()-1,60),ROW()-1,FALSE))</f>
        <v/>
      </c>
      <c r="X210" t="str">
        <f ca="1">IF(AND(ISNUMBER($X$714),$B$511=1),$X$714,HLOOKUP(INDIRECT(ADDRESS(2,COLUMN())),OFFSET($BN$2,0,0,ROW()-1,60),ROW()-1,FALSE))</f>
        <v/>
      </c>
      <c r="Y210" t="str">
        <f ca="1">IF(AND(ISNUMBER($Y$714),$B$511=1),$Y$714,HLOOKUP(INDIRECT(ADDRESS(2,COLUMN())),OFFSET($BN$2,0,0,ROW()-1,60),ROW()-1,FALSE))</f>
        <v/>
      </c>
      <c r="Z210" t="str">
        <f ca="1">IF(AND(ISNUMBER($Z$714),$B$511=1),$Z$714,HLOOKUP(INDIRECT(ADDRESS(2,COLUMN())),OFFSET($BN$2,0,0,ROW()-1,60),ROW()-1,FALSE))</f>
        <v/>
      </c>
      <c r="AA210" t="str">
        <f ca="1">IF(AND(ISNUMBER($AA$714),$B$511=1),$AA$714,HLOOKUP(INDIRECT(ADDRESS(2,COLUMN())),OFFSET($BN$2,0,0,ROW()-1,60),ROW()-1,FALSE))</f>
        <v/>
      </c>
      <c r="AB210" t="str">
        <f ca="1">IF(AND(ISNUMBER($AB$714),$B$511=1),$AB$714,HLOOKUP(INDIRECT(ADDRESS(2,COLUMN())),OFFSET($BN$2,0,0,ROW()-1,60),ROW()-1,FALSE))</f>
        <v/>
      </c>
      <c r="AC210" t="str">
        <f ca="1">IF(AND(ISNUMBER($AC$714),$B$511=1),$AC$714,HLOOKUP(INDIRECT(ADDRESS(2,COLUMN())),OFFSET($BN$2,0,0,ROW()-1,60),ROW()-1,FALSE))</f>
        <v/>
      </c>
      <c r="AD210" t="str">
        <f ca="1">IF(AND(ISNUMBER($AD$714),$B$511=1),$AD$714,HLOOKUP(INDIRECT(ADDRESS(2,COLUMN())),OFFSET($BN$2,0,0,ROW()-1,60),ROW()-1,FALSE))</f>
        <v/>
      </c>
      <c r="AE210" t="str">
        <f ca="1">IF(AND(ISNUMBER($AE$714),$B$511=1),$AE$714,HLOOKUP(INDIRECT(ADDRESS(2,COLUMN())),OFFSET($BN$2,0,0,ROW()-1,60),ROW()-1,FALSE))</f>
        <v/>
      </c>
      <c r="AF210" t="str">
        <f ca="1">IF(AND(ISNUMBER($AF$714),$B$511=1),$AF$714,HLOOKUP(INDIRECT(ADDRESS(2,COLUMN())),OFFSET($BN$2,0,0,ROW()-1,60),ROW()-1,FALSE))</f>
        <v/>
      </c>
      <c r="AG210" t="str">
        <f ca="1">IF(AND(ISNUMBER($AG$714),$B$511=1),$AG$714,HLOOKUP(INDIRECT(ADDRESS(2,COLUMN())),OFFSET($BN$2,0,0,ROW()-1,60),ROW()-1,FALSE))</f>
        <v/>
      </c>
      <c r="AH210" t="str">
        <f ca="1">IF(AND(ISNUMBER($AH$714),$B$511=1),$AH$714,HLOOKUP(INDIRECT(ADDRESS(2,COLUMN())),OFFSET($BN$2,0,0,ROW()-1,60),ROW()-1,FALSE))</f>
        <v/>
      </c>
      <c r="AI210" t="str">
        <f ca="1">IF(AND(ISNUMBER($AI$714),$B$511=1),$AI$714,HLOOKUP(INDIRECT(ADDRESS(2,COLUMN())),OFFSET($BN$2,0,0,ROW()-1,60),ROW()-1,FALSE))</f>
        <v/>
      </c>
      <c r="AJ210" t="str">
        <f ca="1">IF(AND(ISNUMBER($AJ$714),$B$511=1),$AJ$714,HLOOKUP(INDIRECT(ADDRESS(2,COLUMN())),OFFSET($BN$2,0,0,ROW()-1,60),ROW()-1,FALSE))</f>
        <v/>
      </c>
      <c r="AK210" t="str">
        <f ca="1">IF(AND(ISNUMBER($AK$714),$B$511=1),$AK$714,HLOOKUP(INDIRECT(ADDRESS(2,COLUMN())),OFFSET($BN$2,0,0,ROW()-1,60),ROW()-1,FALSE))</f>
        <v/>
      </c>
      <c r="AL210" t="str">
        <f ca="1">IF(AND(ISNUMBER($AL$714),$B$511=1),$AL$714,HLOOKUP(INDIRECT(ADDRESS(2,COLUMN())),OFFSET($BN$2,0,0,ROW()-1,60),ROW()-1,FALSE))</f>
        <v/>
      </c>
      <c r="AM210" t="str">
        <f ca="1">IF(AND(ISNUMBER($AM$714),$B$511=1),$AM$714,HLOOKUP(INDIRECT(ADDRESS(2,COLUMN())),OFFSET($BN$2,0,0,ROW()-1,60),ROW()-1,FALSE))</f>
        <v/>
      </c>
      <c r="AN210" t="str">
        <f ca="1">IF(AND(ISNUMBER($AN$714),$B$511=1),$AN$714,HLOOKUP(INDIRECT(ADDRESS(2,COLUMN())),OFFSET($BN$2,0,0,ROW()-1,60),ROW()-1,FALSE))</f>
        <v/>
      </c>
      <c r="AO210" t="str">
        <f ca="1">IF(AND(ISNUMBER($AO$714),$B$511=1),$AO$714,HLOOKUP(INDIRECT(ADDRESS(2,COLUMN())),OFFSET($BN$2,0,0,ROW()-1,60),ROW()-1,FALSE))</f>
        <v/>
      </c>
      <c r="AP210" t="str">
        <f ca="1">IF(AND(ISNUMBER($AP$714),$B$511=1),$AP$714,HLOOKUP(INDIRECT(ADDRESS(2,COLUMN())),OFFSET($BN$2,0,0,ROW()-1,60),ROW()-1,FALSE))</f>
        <v/>
      </c>
      <c r="AQ210" t="str">
        <f ca="1">IF(AND(ISNUMBER($AQ$714),$B$511=1),$AQ$714,HLOOKUP(INDIRECT(ADDRESS(2,COLUMN())),OFFSET($BN$2,0,0,ROW()-1,60),ROW()-1,FALSE))</f>
        <v/>
      </c>
      <c r="AR210" t="str">
        <f ca="1">IF(AND(ISNUMBER($AR$714),$B$511=1),$AR$714,HLOOKUP(INDIRECT(ADDRESS(2,COLUMN())),OFFSET($BN$2,0,0,ROW()-1,60),ROW()-1,FALSE))</f>
        <v/>
      </c>
      <c r="AS210" t="str">
        <f ca="1">IF(AND(ISNUMBER($AS$714),$B$511=1),$AS$714,HLOOKUP(INDIRECT(ADDRESS(2,COLUMN())),OFFSET($BN$2,0,0,ROW()-1,60),ROW()-1,FALSE))</f>
        <v/>
      </c>
      <c r="AT210" t="str">
        <f ca="1">IF(AND(ISNUMBER($AT$714),$B$511=1),$AT$714,HLOOKUP(INDIRECT(ADDRESS(2,COLUMN())),OFFSET($BN$2,0,0,ROW()-1,60),ROW()-1,FALSE))</f>
        <v/>
      </c>
      <c r="AU210" t="str">
        <f ca="1">IF(AND(ISNUMBER($AU$714),$B$511=1),$AU$714,HLOOKUP(INDIRECT(ADDRESS(2,COLUMN())),OFFSET($BN$2,0,0,ROW()-1,60),ROW()-1,FALSE))</f>
        <v/>
      </c>
      <c r="AV210" t="str">
        <f ca="1">IF(AND(ISNUMBER($AV$714),$B$511=1),$AV$714,HLOOKUP(INDIRECT(ADDRESS(2,COLUMN())),OFFSET($BN$2,0,0,ROW()-1,60),ROW()-1,FALSE))</f>
        <v/>
      </c>
      <c r="AW210" t="str">
        <f ca="1">IF(AND(ISNUMBER($AW$714),$B$511=1),$AW$714,HLOOKUP(INDIRECT(ADDRESS(2,COLUMN())),OFFSET($BN$2,0,0,ROW()-1,60),ROW()-1,FALSE))</f>
        <v/>
      </c>
      <c r="AX210" t="str">
        <f ca="1">IF(AND(ISNUMBER($AX$714),$B$511=1),$AX$714,HLOOKUP(INDIRECT(ADDRESS(2,COLUMN())),OFFSET($BN$2,0,0,ROW()-1,60),ROW()-1,FALSE))</f>
        <v/>
      </c>
      <c r="AY210" t="str">
        <f ca="1">IF(AND(ISNUMBER($AY$714),$B$511=1),$AY$714,HLOOKUP(INDIRECT(ADDRESS(2,COLUMN())),OFFSET($BN$2,0,0,ROW()-1,60),ROW()-1,FALSE))</f>
        <v/>
      </c>
      <c r="AZ210" t="str">
        <f ca="1">IF(AND(ISNUMBER($AZ$714),$B$511=1),$AZ$714,HLOOKUP(INDIRECT(ADDRESS(2,COLUMN())),OFFSET($BN$2,0,0,ROW()-1,60),ROW()-1,FALSE))</f>
        <v/>
      </c>
      <c r="BA210" t="str">
        <f ca="1">IF(AND(ISNUMBER($BA$714),$B$511=1),$BA$714,HLOOKUP(INDIRECT(ADDRESS(2,COLUMN())),OFFSET($BN$2,0,0,ROW()-1,60),ROW()-1,FALSE))</f>
        <v/>
      </c>
      <c r="BB210" t="str">
        <f ca="1">IF(AND(ISNUMBER($BB$714),$B$511=1),$BB$714,HLOOKUP(INDIRECT(ADDRESS(2,COLUMN())),OFFSET($BN$2,0,0,ROW()-1,60),ROW()-1,FALSE))</f>
        <v/>
      </c>
      <c r="BC210" t="str">
        <f ca="1">IF(AND(ISNUMBER($BC$714),$B$511=1),$BC$714,HLOOKUP(INDIRECT(ADDRESS(2,COLUMN())),OFFSET($BN$2,0,0,ROW()-1,60),ROW()-1,FALSE))</f>
        <v/>
      </c>
      <c r="BD210" t="str">
        <f ca="1">IF(AND(ISNUMBER($BD$714),$B$511=1),$BD$714,HLOOKUP(INDIRECT(ADDRESS(2,COLUMN())),OFFSET($BN$2,0,0,ROW()-1,60),ROW()-1,FALSE))</f>
        <v/>
      </c>
      <c r="BE210" t="str">
        <f ca="1">IF(AND(ISNUMBER($BE$714),$B$511=1),$BE$714,HLOOKUP(INDIRECT(ADDRESS(2,COLUMN())),OFFSET($BN$2,0,0,ROW()-1,60),ROW()-1,FALSE))</f>
        <v/>
      </c>
      <c r="BF210" t="str">
        <f ca="1">IF(AND(ISNUMBER($BF$714),$B$511=1),$BF$714,HLOOKUP(INDIRECT(ADDRESS(2,COLUMN())),OFFSET($BN$2,0,0,ROW()-1,60),ROW()-1,FALSE))</f>
        <v/>
      </c>
      <c r="BG210" t="str">
        <f ca="1">IF(AND(ISNUMBER($BG$714),$B$511=1),$BG$714,HLOOKUP(INDIRECT(ADDRESS(2,COLUMN())),OFFSET($BN$2,0,0,ROW()-1,60),ROW()-1,FALSE))</f>
        <v/>
      </c>
      <c r="BH210" t="str">
        <f ca="1">IF(AND(ISNUMBER($BH$714),$B$511=1),$BH$714,HLOOKUP(INDIRECT(ADDRESS(2,COLUMN())),OFFSET($BN$2,0,0,ROW()-1,60),ROW()-1,FALSE))</f>
        <v/>
      </c>
      <c r="BI210" t="str">
        <f ca="1">IF(AND(ISNUMBER($BI$714),$B$511=1),$BI$714,HLOOKUP(INDIRECT(ADDRESS(2,COLUMN())),OFFSET($BN$2,0,0,ROW()-1,60),ROW()-1,FALSE))</f>
        <v/>
      </c>
      <c r="BJ210" t="str">
        <f ca="1">IF(AND(ISNUMBER($BJ$714),$B$511=1),$BJ$714,HLOOKUP(INDIRECT(ADDRESS(2,COLUMN())),OFFSET($BN$2,0,0,ROW()-1,60),ROW()-1,FALSE))</f>
        <v/>
      </c>
      <c r="BK210" t="str">
        <f ca="1">IF(AND(ISNUMBER($BK$714),$B$511=1),$BK$714,HLOOKUP(INDIRECT(ADDRESS(2,COLUMN())),OFFSET($BN$2,0,0,ROW()-1,60),ROW()-1,FALSE))</f>
        <v/>
      </c>
      <c r="BL210" t="str">
        <f ca="1">IF(AND(ISNUMBER($BL$714),$B$511=1),$BL$714,HLOOKUP(INDIRECT(ADDRESS(2,COLUMN())),OFFSET($BN$2,0,0,ROW()-1,60),ROW()-1,FALSE))</f>
        <v/>
      </c>
      <c r="BM210" t="str">
        <f ca="1">IF(AND(ISNUMBER($BM$714),$B$511=1),$BM$714,HLOOKUP(INDIRECT(ADDRESS(2,COLUMN())),OFFSET($BN$2,0,0,ROW()-1,60),ROW()-1,FALSE))</f>
        <v/>
      </c>
      <c r="BN210" t="str">
        <f>""</f>
        <v/>
      </c>
      <c r="BO210" t="str">
        <f>""</f>
        <v/>
      </c>
      <c r="BP210" t="str">
        <f>""</f>
        <v/>
      </c>
      <c r="BQ210" t="str">
        <f>""</f>
        <v/>
      </c>
      <c r="BR210" t="str">
        <f>""</f>
        <v/>
      </c>
      <c r="BS210" t="str">
        <f>""</f>
        <v/>
      </c>
      <c r="BT210" t="str">
        <f>""</f>
        <v/>
      </c>
      <c r="BU210" t="str">
        <f>""</f>
        <v/>
      </c>
      <c r="BV210" t="str">
        <f>""</f>
        <v/>
      </c>
      <c r="BW210" t="str">
        <f>""</f>
        <v/>
      </c>
      <c r="BX210" t="str">
        <f>""</f>
        <v/>
      </c>
      <c r="BY210" t="str">
        <f>""</f>
        <v/>
      </c>
      <c r="BZ210" t="str">
        <f>""</f>
        <v/>
      </c>
      <c r="CA210" t="str">
        <f>""</f>
        <v/>
      </c>
      <c r="CB210" t="str">
        <f>""</f>
        <v/>
      </c>
      <c r="CC210" t="str">
        <f>""</f>
        <v/>
      </c>
      <c r="CD210" t="str">
        <f>""</f>
        <v/>
      </c>
      <c r="CE210" t="str">
        <f>""</f>
        <v/>
      </c>
      <c r="CF210" t="str">
        <f>""</f>
        <v/>
      </c>
      <c r="CG210" t="str">
        <f>""</f>
        <v/>
      </c>
      <c r="CH210" t="str">
        <f>""</f>
        <v/>
      </c>
      <c r="CI210" t="str">
        <f>""</f>
        <v/>
      </c>
      <c r="CJ210" t="str">
        <f>""</f>
        <v/>
      </c>
      <c r="CK210" t="str">
        <f>""</f>
        <v/>
      </c>
      <c r="CL210" t="str">
        <f>""</f>
        <v/>
      </c>
      <c r="CM210" t="str">
        <f>""</f>
        <v/>
      </c>
      <c r="CN210" t="str">
        <f>""</f>
        <v/>
      </c>
      <c r="CO210" t="str">
        <f>""</f>
        <v/>
      </c>
      <c r="CP210" t="str">
        <f>""</f>
        <v/>
      </c>
      <c r="CQ210" t="str">
        <f>""</f>
        <v/>
      </c>
      <c r="CR210" t="str">
        <f>""</f>
        <v/>
      </c>
      <c r="CS210" t="str">
        <f>""</f>
        <v/>
      </c>
      <c r="CT210" t="str">
        <f>""</f>
        <v/>
      </c>
      <c r="CU210" t="str">
        <f>""</f>
        <v/>
      </c>
      <c r="CV210" t="str">
        <f>""</f>
        <v/>
      </c>
      <c r="CW210" t="str">
        <f>""</f>
        <v/>
      </c>
      <c r="CX210" t="str">
        <f>""</f>
        <v/>
      </c>
      <c r="CY210" t="str">
        <f>""</f>
        <v/>
      </c>
      <c r="CZ210" t="str">
        <f>""</f>
        <v/>
      </c>
      <c r="DA210" t="str">
        <f>""</f>
        <v/>
      </c>
      <c r="DB210" t="str">
        <f>""</f>
        <v/>
      </c>
      <c r="DC210" t="str">
        <f>""</f>
        <v/>
      </c>
      <c r="DD210" t="str">
        <f>""</f>
        <v/>
      </c>
      <c r="DE210" t="str">
        <f>""</f>
        <v/>
      </c>
      <c r="DF210" t="str">
        <f>""</f>
        <v/>
      </c>
      <c r="DG210" t="str">
        <f>""</f>
        <v/>
      </c>
      <c r="DH210" t="str">
        <f>""</f>
        <v/>
      </c>
      <c r="DI210" t="str">
        <f>""</f>
        <v/>
      </c>
      <c r="DJ210" t="str">
        <f>""</f>
        <v/>
      </c>
      <c r="DK210" t="str">
        <f>""</f>
        <v/>
      </c>
      <c r="DL210" t="str">
        <f>""</f>
        <v/>
      </c>
      <c r="DM210" t="str">
        <f>""</f>
        <v/>
      </c>
      <c r="DN210" t="str">
        <f>""</f>
        <v/>
      </c>
      <c r="DO210" t="str">
        <f>""</f>
        <v/>
      </c>
      <c r="DP210" t="str">
        <f>""</f>
        <v/>
      </c>
      <c r="DQ210" t="str">
        <f>""</f>
        <v/>
      </c>
      <c r="DR210" t="str">
        <f>""</f>
        <v/>
      </c>
      <c r="DS210" t="str">
        <f>""</f>
        <v/>
      </c>
      <c r="DT210" t="str">
        <f>""</f>
        <v/>
      </c>
      <c r="DU210" t="str">
        <f>""</f>
        <v/>
      </c>
    </row>
    <row r="211" spans="1:125" x14ac:dyDescent="0.25">
      <c r="A211" t="str">
        <f>"    Bayerische Motoren Werke AG"</f>
        <v xml:space="preserve">    Bayerische Motoren Werke AG</v>
      </c>
      <c r="B211" t="str">
        <f>"BMW GR Equity"</f>
        <v>BMW GR Equity</v>
      </c>
      <c r="C211" t="str">
        <f t="shared" si="15"/>
        <v>RR843</v>
      </c>
      <c r="D211" t="str">
        <f t="shared" si="16"/>
        <v>TRAIL_12M_FREE_CASH_FLOW</v>
      </c>
      <c r="E211" t="str">
        <f t="shared" si="17"/>
        <v>Dynamic</v>
      </c>
      <c r="F211" t="str">
        <f ca="1">IF(AND(ISNUMBER($F$715),$B$511=1),$F$715,HLOOKUP(INDIRECT(ADDRESS(2,COLUMN())),OFFSET($BN$2,0,0,ROW()-1,60),ROW()-1,FALSE))</f>
        <v/>
      </c>
      <c r="G211" t="str">
        <f ca="1">IF(AND(ISNUMBER($G$715),$B$511=1),$G$715,HLOOKUP(INDIRECT(ADDRESS(2,COLUMN())),OFFSET($BN$2,0,0,ROW()-1,60),ROW()-1,FALSE))</f>
        <v/>
      </c>
      <c r="H211">
        <f ca="1">IF(AND(ISNUMBER($H$715),$B$511=1),$H$715,HLOOKUP(INDIRECT(ADDRESS(2,COLUMN())),OFFSET($BN$2,0,0,ROW()-1,60),ROW()-1,FALSE))</f>
        <v>-4252.2545650000002</v>
      </c>
      <c r="I211">
        <f ca="1">IF(AND(ISNUMBER($I$715),$B$511=1),$I$715,HLOOKUP(INDIRECT(ADDRESS(2,COLUMN())),OFFSET($BN$2,0,0,ROW()-1,60),ROW()-1,FALSE))</f>
        <v>-2937.0913350000001</v>
      </c>
      <c r="J211">
        <f ca="1">IF(AND(ISNUMBER($J$715),$B$511=1),$J$715,HLOOKUP(INDIRECT(ADDRESS(2,COLUMN())),OFFSET($BN$2,0,0,ROW()-1,60),ROW()-1,FALSE))</f>
        <v>-3506.1459369999998</v>
      </c>
      <c r="K211">
        <f ca="1">IF(AND(ISNUMBER($K$715),$B$511=1),$K$715,HLOOKUP(INDIRECT(ADDRESS(2,COLUMN())),OFFSET($BN$2,0,0,ROW()-1,60),ROW()-1,FALSE))</f>
        <v>-3467.114634</v>
      </c>
      <c r="L211">
        <f ca="1">IF(AND(ISNUMBER($L$715),$B$511=1),$L$715,HLOOKUP(INDIRECT(ADDRESS(2,COLUMN())),OFFSET($BN$2,0,0,ROW()-1,60),ROW()-1,FALSE))</f>
        <v>-1135.7142550000001</v>
      </c>
      <c r="M211">
        <f ca="1">IF(AND(ISNUMBER($M$715),$B$511=1),$M$715,HLOOKUP(INDIRECT(ADDRESS(2,COLUMN())),OFFSET($BN$2,0,0,ROW()-1,60),ROW()-1,FALSE))</f>
        <v>-2981.6897170000002</v>
      </c>
      <c r="N211">
        <f ca="1">IF(AND(ISNUMBER($N$715),$B$511=1),$N$715,HLOOKUP(INDIRECT(ADDRESS(2,COLUMN())),OFFSET($BN$2,0,0,ROW()-1,60),ROW()-1,FALSE))</f>
        <v>-2959.4192880000001</v>
      </c>
      <c r="O211">
        <f ca="1">IF(AND(ISNUMBER($O$715),$B$511=1),$O$715,HLOOKUP(INDIRECT(ADDRESS(2,COLUMN())),OFFSET($BN$2,0,0,ROW()-1,60),ROW()-1,FALSE))</f>
        <v>-3063.7017810000002</v>
      </c>
      <c r="P211">
        <f ca="1">IF(AND(ISNUMBER($P$715),$B$511=1),$P$715,HLOOKUP(INDIRECT(ADDRESS(2,COLUMN())),OFFSET($BN$2,0,0,ROW()-1,60),ROW()-1,FALSE))</f>
        <v>-4689.7324639999997</v>
      </c>
      <c r="Q211">
        <f ca="1">IF(AND(ISNUMBER($Q$715),$B$511=1),$Q$715,HLOOKUP(INDIRECT(ADDRESS(2,COLUMN())),OFFSET($BN$2,0,0,ROW()-1,60),ROW()-1,FALSE))</f>
        <v>-4759.6097060000002</v>
      </c>
      <c r="R211">
        <f ca="1">IF(AND(ISNUMBER($R$715),$B$511=1),$R$715,HLOOKUP(INDIRECT(ADDRESS(2,COLUMN())),OFFSET($BN$2,0,0,ROW()-1,60),ROW()-1,FALSE))</f>
        <v>-6816.0387769999998</v>
      </c>
      <c r="S211">
        <f ca="1">IF(AND(ISNUMBER($S$715),$B$511=1),$S$715,HLOOKUP(INDIRECT(ADDRESS(2,COLUMN())),OFFSET($BN$2,0,0,ROW()-1,60),ROW()-1,FALSE))</f>
        <v>-5764.2332829999996</v>
      </c>
      <c r="T211">
        <f ca="1">IF(AND(ISNUMBER($T$715),$B$511=1),$T$715,HLOOKUP(INDIRECT(ADDRESS(2,COLUMN())),OFFSET($BN$2,0,0,ROW()-1,60),ROW()-1,FALSE))</f>
        <v>-5204.2179509999996</v>
      </c>
      <c r="U211">
        <f ca="1">IF(AND(ISNUMBER($U$715),$B$511=1),$U$715,HLOOKUP(INDIRECT(ADDRESS(2,COLUMN())),OFFSET($BN$2,0,0,ROW()-1,60),ROW()-1,FALSE))</f>
        <v>-4845.994291</v>
      </c>
      <c r="V211">
        <f ca="1">IF(AND(ISNUMBER($V$715),$B$511=1),$V$715,HLOOKUP(INDIRECT(ADDRESS(2,COLUMN())),OFFSET($BN$2,0,0,ROW()-1,60),ROW()-1,FALSE))</f>
        <v>-4168.865546</v>
      </c>
      <c r="W211">
        <f ca="1">IF(AND(ISNUMBER($W$715),$B$511=1),$W$715,HLOOKUP(INDIRECT(ADDRESS(2,COLUMN())),OFFSET($BN$2,0,0,ROW()-1,60),ROW()-1,FALSE))</f>
        <v>-4410.5728710000003</v>
      </c>
      <c r="X211">
        <f ca="1">IF(AND(ISNUMBER($X$715),$B$511=1),$X$715,HLOOKUP(INDIRECT(ADDRESS(2,COLUMN())),OFFSET($BN$2,0,0,ROW()-1,60),ROW()-1,FALSE))</f>
        <v>-3848.4813380000001</v>
      </c>
      <c r="Y211">
        <f ca="1">IF(AND(ISNUMBER($Y$715),$B$511=1),$Y$715,HLOOKUP(INDIRECT(ADDRESS(2,COLUMN())),OFFSET($BN$2,0,0,ROW()-1,60),ROW()-1,FALSE))</f>
        <v>-4416.5529230000002</v>
      </c>
      <c r="Z211">
        <f ca="1">IF(AND(ISNUMBER($Z$715),$B$511=1),$Z$715,HLOOKUP(INDIRECT(ADDRESS(2,COLUMN())),OFFSET($BN$2,0,0,ROW()-1,60),ROW()-1,FALSE))</f>
        <v>-2657.0881850000001</v>
      </c>
      <c r="AA211">
        <f ca="1">IF(AND(ISNUMBER($AA$715),$B$511=1),$AA$715,HLOOKUP(INDIRECT(ADDRESS(2,COLUMN())),OFFSET($BN$2,0,0,ROW()-1,60),ROW()-1,FALSE))</f>
        <v>-3541.2782900000002</v>
      </c>
      <c r="AB211">
        <f ca="1">IF(AND(ISNUMBER($AB$715),$B$511=1),$AB$715,HLOOKUP(INDIRECT(ADDRESS(2,COLUMN())),OFFSET($BN$2,0,0,ROW()-1,60),ROW()-1,FALSE))</f>
        <v>-2621.6244099999999</v>
      </c>
      <c r="AC211">
        <f ca="1">IF(AND(ISNUMBER($AC$715),$B$511=1),$AC$715,HLOOKUP(INDIRECT(ADDRESS(2,COLUMN())),OFFSET($BN$2,0,0,ROW()-1,60),ROW()-1,FALSE))</f>
        <v>-3168.1724450000002</v>
      </c>
      <c r="AD211">
        <f ca="1">IF(AND(ISNUMBER($AD$715),$B$511=1),$AD$715,HLOOKUP(INDIRECT(ADDRESS(2,COLUMN())),OFFSET($BN$2,0,0,ROW()-1,60),ROW()-1,FALSE))</f>
        <v>-3136.0464740000002</v>
      </c>
      <c r="AE211">
        <f ca="1">IF(AND(ISNUMBER($AE$715),$B$511=1),$AE$715,HLOOKUP(INDIRECT(ADDRESS(2,COLUMN())),OFFSET($BN$2,0,0,ROW()-1,60),ROW()-1,FALSE))</f>
        <v>-282.89164019999998</v>
      </c>
      <c r="AF211">
        <f ca="1">IF(AND(ISNUMBER($AF$715),$B$511=1),$AF$715,HLOOKUP(INDIRECT(ADDRESS(2,COLUMN())),OFFSET($BN$2,0,0,ROW()-1,60),ROW()-1,FALSE))</f>
        <v>-2535.6231659999999</v>
      </c>
      <c r="AG211">
        <f ca="1">IF(AND(ISNUMBER($AG$715),$B$511=1),$AG$715,HLOOKUP(INDIRECT(ADDRESS(2,COLUMN())),OFFSET($BN$2,0,0,ROW()-1,60),ROW()-1,FALSE))</f>
        <v>994.90227909999999</v>
      </c>
      <c r="AH211">
        <f ca="1">IF(AND(ISNUMBER($AH$715),$B$511=1),$AH$715,HLOOKUP(INDIRECT(ADDRESS(2,COLUMN())),OFFSET($BN$2,0,0,ROW()-1,60),ROW()-1,FALSE))</f>
        <v>2779.3846549999998</v>
      </c>
      <c r="AI211">
        <f ca="1">IF(AND(ISNUMBER($AI$715),$B$511=1),$AI$715,HLOOKUP(INDIRECT(ADDRESS(2,COLUMN())),OFFSET($BN$2,0,0,ROW()-1,60),ROW()-1,FALSE))</f>
        <v>2791.7662799999998</v>
      </c>
      <c r="AJ211">
        <f ca="1">IF(AND(ISNUMBER($AJ$715),$B$511=1),$AJ$715,HLOOKUP(INDIRECT(ADDRESS(2,COLUMN())),OFFSET($BN$2,0,0,ROW()-1,60),ROW()-1,FALSE))</f>
        <v>-1327.820201</v>
      </c>
      <c r="AK211">
        <f ca="1">IF(AND(ISNUMBER($AK$715),$B$511=1),$AK$715,HLOOKUP(INDIRECT(ADDRESS(2,COLUMN())),OFFSET($BN$2,0,0,ROW()-1,60),ROW()-1,FALSE))</f>
        <v>-260.60258809999999</v>
      </c>
      <c r="AL211">
        <f ca="1">IF(AND(ISNUMBER($AL$715),$B$511=1),$AL$715,HLOOKUP(INDIRECT(ADDRESS(2,COLUMN())),OFFSET($BN$2,0,0,ROW()-1,60),ROW()-1,FALSE))</f>
        <v>1660.3554790000001</v>
      </c>
      <c r="AM211">
        <f ca="1">IF(AND(ISNUMBER($AM$715),$B$511=1),$AM$715,HLOOKUP(INDIRECT(ADDRESS(2,COLUMN())),OFFSET($BN$2,0,0,ROW()-1,60),ROW()-1,FALSE))</f>
        <v>1178.0306840000001</v>
      </c>
      <c r="AN211">
        <f ca="1">IF(AND(ISNUMBER($AN$715),$B$511=1),$AN$715,HLOOKUP(INDIRECT(ADDRESS(2,COLUMN())),OFFSET($BN$2,0,0,ROW()-1,60),ROW()-1,FALSE))</f>
        <v>11134.931759999999</v>
      </c>
      <c r="AO211">
        <f ca="1">IF(AND(ISNUMBER($AO$715),$B$511=1),$AO$715,HLOOKUP(INDIRECT(ADDRESS(2,COLUMN())),OFFSET($BN$2,0,0,ROW()-1,60),ROW()-1,FALSE))</f>
        <v>10366.372719999999</v>
      </c>
      <c r="AP211">
        <f ca="1">IF(AND(ISNUMBER($AP$715),$B$511=1),$AP$715,HLOOKUP(INDIRECT(ADDRESS(2,COLUMN())),OFFSET($BN$2,0,0,ROW()-1,60),ROW()-1,FALSE))</f>
        <v>8858.6626539999997</v>
      </c>
      <c r="AQ211">
        <f ca="1">IF(AND(ISNUMBER($AQ$715),$B$511=1),$AQ$715,HLOOKUP(INDIRECT(ADDRESS(2,COLUMN())),OFFSET($BN$2,0,0,ROW()-1,60),ROW()-1,FALSE))</f>
        <v>9169.8156459999991</v>
      </c>
      <c r="AR211">
        <f ca="1">IF(AND(ISNUMBER($AR$715),$B$511=1),$AR$715,HLOOKUP(INDIRECT(ADDRESS(2,COLUMN())),OFFSET($BN$2,0,0,ROW()-1,60),ROW()-1,FALSE))</f>
        <v>7214.2314299999998</v>
      </c>
      <c r="AS211">
        <f ca="1">IF(AND(ISNUMBER($AS$715),$B$511=1),$AS$715,HLOOKUP(INDIRECT(ADDRESS(2,COLUMN())),OFFSET($BN$2,0,0,ROW()-1,60),ROW()-1,FALSE))</f>
        <v>13634.271049999999</v>
      </c>
      <c r="AT211">
        <f ca="1">IF(AND(ISNUMBER($AT$715),$B$511=1),$AT$715,HLOOKUP(INDIRECT(ADDRESS(2,COLUMN())),OFFSET($BN$2,0,0,ROW()-1,60),ROW()-1,FALSE))</f>
        <v>15921.32533</v>
      </c>
      <c r="AU211">
        <f ca="1">IF(AND(ISNUMBER($AU$715),$B$511=1),$AU$715,HLOOKUP(INDIRECT(ADDRESS(2,COLUMN())),OFFSET($BN$2,0,0,ROW()-1,60),ROW()-1,FALSE))</f>
        <v>15804.706690000001</v>
      </c>
      <c r="AV211">
        <f ca="1">IF(AND(ISNUMBER($AV$715),$B$511=1),$AV$715,HLOOKUP(INDIRECT(ADDRESS(2,COLUMN())),OFFSET($BN$2,0,0,ROW()-1,60),ROW()-1,FALSE))</f>
        <v>19325.561580000001</v>
      </c>
      <c r="AW211">
        <f ca="1">IF(AND(ISNUMBER($AW$715),$B$511=1),$AW$715,HLOOKUP(INDIRECT(ADDRESS(2,COLUMN())),OFFSET($BN$2,0,0,ROW()-1,60),ROW()-1,FALSE))</f>
        <v>12162.653120000001</v>
      </c>
      <c r="AX211">
        <f ca="1">IF(AND(ISNUMBER($AX$715),$B$511=1),$AX$715,HLOOKUP(INDIRECT(ADDRESS(2,COLUMN())),OFFSET($BN$2,0,0,ROW()-1,60),ROW()-1,FALSE))</f>
        <v>10086.85454</v>
      </c>
      <c r="AY211">
        <f ca="1">IF(AND(ISNUMBER($AY$715),$B$511=1),$AY$715,HLOOKUP(INDIRECT(ADDRESS(2,COLUMN())),OFFSET($BN$2,0,0,ROW()-1,60),ROW()-1,FALSE))</f>
        <v>10317.99963</v>
      </c>
      <c r="AZ211">
        <f ca="1">IF(AND(ISNUMBER($AZ$715),$B$511=1),$AZ$715,HLOOKUP(INDIRECT(ADDRESS(2,COLUMN())),OFFSET($BN$2,0,0,ROW()-1,60),ROW()-1,FALSE))</f>
        <v>6504.0503140000001</v>
      </c>
      <c r="BA211">
        <f ca="1">IF(AND(ISNUMBER($BA$715),$B$511=1),$BA$715,HLOOKUP(INDIRECT(ADDRESS(2,COLUMN())),OFFSET($BN$2,0,0,ROW()-1,60),ROW()-1,FALSE))</f>
        <v>6197.5373579999996</v>
      </c>
      <c r="BB211">
        <f ca="1">IF(AND(ISNUMBER($BB$715),$B$511=1),$BB$715,HLOOKUP(INDIRECT(ADDRESS(2,COLUMN())),OFFSET($BN$2,0,0,ROW()-1,60),ROW()-1,FALSE))</f>
        <v>7015.853983</v>
      </c>
      <c r="BC211">
        <f ca="1">IF(AND(ISNUMBER($BC$715),$B$511=1),$BC$715,HLOOKUP(INDIRECT(ADDRESS(2,COLUMN())),OFFSET($BN$2,0,0,ROW()-1,60),ROW()-1,FALSE))</f>
        <v>7119.9529759999996</v>
      </c>
      <c r="BD211">
        <f ca="1">IF(AND(ISNUMBER($BD$715),$B$511=1),$BD$715,HLOOKUP(INDIRECT(ADDRESS(2,COLUMN())),OFFSET($BN$2,0,0,ROW()-1,60),ROW()-1,FALSE))</f>
        <v>7401.4371350000001</v>
      </c>
      <c r="BE211">
        <f ca="1">IF(AND(ISNUMBER($BE$715),$B$511=1),$BE$715,HLOOKUP(INDIRECT(ADDRESS(2,COLUMN())),OFFSET($BN$2,0,0,ROW()-1,60),ROW()-1,FALSE))</f>
        <v>9094.310716</v>
      </c>
      <c r="BF211">
        <f ca="1">IF(AND(ISNUMBER($BF$715),$B$511=1),$BF$715,HLOOKUP(INDIRECT(ADDRESS(2,COLUMN())),OFFSET($BN$2,0,0,ROW()-1,60),ROW()-1,FALSE))</f>
        <v>8356.4157520000008</v>
      </c>
      <c r="BG211">
        <f ca="1">IF(AND(ISNUMBER($BG$715),$B$511=1),$BG$715,HLOOKUP(INDIRECT(ADDRESS(2,COLUMN())),OFFSET($BN$2,0,0,ROW()-1,60),ROW()-1,FALSE))</f>
        <v>8480.5858250000001</v>
      </c>
      <c r="BH211" t="str">
        <f ca="1">IF(AND(ISNUMBER($BH$715),$B$511=1),$BH$715,HLOOKUP(INDIRECT(ADDRESS(2,COLUMN())),OFFSET($BN$2,0,0,ROW()-1,60),ROW()-1,FALSE))</f>
        <v/>
      </c>
      <c r="BI211" t="str">
        <f ca="1">IF(AND(ISNUMBER($BI$715),$B$511=1),$BI$715,HLOOKUP(INDIRECT(ADDRESS(2,COLUMN())),OFFSET($BN$2,0,0,ROW()-1,60),ROW()-1,FALSE))</f>
        <v/>
      </c>
      <c r="BJ211" t="str">
        <f ca="1">IF(AND(ISNUMBER($BJ$715),$B$511=1),$BJ$715,HLOOKUP(INDIRECT(ADDRESS(2,COLUMN())),OFFSET($BN$2,0,0,ROW()-1,60),ROW()-1,FALSE))</f>
        <v/>
      </c>
      <c r="BK211" t="str">
        <f ca="1">IF(AND(ISNUMBER($BK$715),$B$511=1),$BK$715,HLOOKUP(INDIRECT(ADDRESS(2,COLUMN())),OFFSET($BN$2,0,0,ROW()-1,60),ROW()-1,FALSE))</f>
        <v/>
      </c>
      <c r="BL211" t="str">
        <f ca="1">IF(AND(ISNUMBER($BL$715),$B$511=1),$BL$715,HLOOKUP(INDIRECT(ADDRESS(2,COLUMN())),OFFSET($BN$2,0,0,ROW()-1,60),ROW()-1,FALSE))</f>
        <v/>
      </c>
      <c r="BM211" t="str">
        <f ca="1">IF(AND(ISNUMBER($BM$715),$B$511=1),$BM$715,HLOOKUP(INDIRECT(ADDRESS(2,COLUMN())),OFFSET($BN$2,0,0,ROW()-1,60),ROW()-1,FALSE))</f>
        <v/>
      </c>
      <c r="BN211" t="str">
        <f>""</f>
        <v/>
      </c>
      <c r="BO211" t="str">
        <f>""</f>
        <v/>
      </c>
      <c r="BP211">
        <f>-4252.254565</f>
        <v>-4252.2545650000002</v>
      </c>
      <c r="BQ211">
        <f>-2937.091335</f>
        <v>-2937.0913350000001</v>
      </c>
      <c r="BR211">
        <f>-3506.145937</f>
        <v>-3506.1459369999998</v>
      </c>
      <c r="BS211">
        <f>-3467.114634</f>
        <v>-3467.114634</v>
      </c>
      <c r="BT211">
        <f>-1135.714255</f>
        <v>-1135.7142550000001</v>
      </c>
      <c r="BU211">
        <f>-2981.689717</f>
        <v>-2981.6897170000002</v>
      </c>
      <c r="BV211">
        <f>-2959.419288</f>
        <v>-2959.4192880000001</v>
      </c>
      <c r="BW211">
        <f>-3063.701781</f>
        <v>-3063.7017810000002</v>
      </c>
      <c r="BX211">
        <f>-4689.732464</f>
        <v>-4689.7324639999997</v>
      </c>
      <c r="BY211">
        <f>-4759.609706</f>
        <v>-4759.6097060000002</v>
      </c>
      <c r="BZ211">
        <f>-6816.038777</f>
        <v>-6816.0387769999998</v>
      </c>
      <c r="CA211">
        <f>-5764.233283</f>
        <v>-5764.2332829999996</v>
      </c>
      <c r="CB211">
        <f>-5204.217951</f>
        <v>-5204.2179509999996</v>
      </c>
      <c r="CC211">
        <f>-4845.994291</f>
        <v>-4845.994291</v>
      </c>
      <c r="CD211">
        <f>-4168.865546</f>
        <v>-4168.865546</v>
      </c>
      <c r="CE211">
        <f>-4410.572871</f>
        <v>-4410.5728710000003</v>
      </c>
      <c r="CF211">
        <f>-3848.481338</f>
        <v>-3848.4813380000001</v>
      </c>
      <c r="CG211">
        <f>-4416.552923</f>
        <v>-4416.5529230000002</v>
      </c>
      <c r="CH211">
        <f>-2657.088185</f>
        <v>-2657.0881850000001</v>
      </c>
      <c r="CI211">
        <f>-3541.27829</f>
        <v>-3541.2782900000002</v>
      </c>
      <c r="CJ211">
        <f>-2621.62441</f>
        <v>-2621.6244099999999</v>
      </c>
      <c r="CK211">
        <f>-3168.172445</f>
        <v>-3168.1724450000002</v>
      </c>
      <c r="CL211">
        <f>-3136.046474</f>
        <v>-3136.0464740000002</v>
      </c>
      <c r="CM211">
        <f>-282.8916402</f>
        <v>-282.89164019999998</v>
      </c>
      <c r="CN211">
        <f>-2535.623166</f>
        <v>-2535.6231659999999</v>
      </c>
      <c r="CO211">
        <f>994.9022791</f>
        <v>994.90227909999999</v>
      </c>
      <c r="CP211">
        <f>2779.384655</f>
        <v>2779.3846549999998</v>
      </c>
      <c r="CQ211">
        <f>2791.76628</f>
        <v>2791.7662799999998</v>
      </c>
      <c r="CR211">
        <f>-1327.820201</f>
        <v>-1327.820201</v>
      </c>
      <c r="CS211">
        <f>-260.6025881</f>
        <v>-260.60258809999999</v>
      </c>
      <c r="CT211">
        <f>1660.355479</f>
        <v>1660.3554790000001</v>
      </c>
      <c r="CU211">
        <f>1178.030684</f>
        <v>1178.0306840000001</v>
      </c>
      <c r="CV211">
        <f>11134.93176</f>
        <v>11134.931759999999</v>
      </c>
      <c r="CW211">
        <f>10366.37272</f>
        <v>10366.372719999999</v>
      </c>
      <c r="CX211">
        <f>8858.662654</f>
        <v>8858.6626539999997</v>
      </c>
      <c r="CY211">
        <f>9169.815646</f>
        <v>9169.8156459999991</v>
      </c>
      <c r="CZ211">
        <f>7214.23143</f>
        <v>7214.2314299999998</v>
      </c>
      <c r="DA211">
        <f>13634.27105</f>
        <v>13634.271049999999</v>
      </c>
      <c r="DB211">
        <f>15921.32533</f>
        <v>15921.32533</v>
      </c>
      <c r="DC211">
        <f>15804.70669</f>
        <v>15804.706690000001</v>
      </c>
      <c r="DD211">
        <f>19325.56158</f>
        <v>19325.561580000001</v>
      </c>
      <c r="DE211">
        <f>12162.65312</f>
        <v>12162.653120000001</v>
      </c>
      <c r="DF211">
        <f>10086.85454</f>
        <v>10086.85454</v>
      </c>
      <c r="DG211">
        <f>10317.99963</f>
        <v>10317.99963</v>
      </c>
      <c r="DH211">
        <f>6504.050314</f>
        <v>6504.0503140000001</v>
      </c>
      <c r="DI211">
        <f>6197.537358</f>
        <v>6197.5373579999996</v>
      </c>
      <c r="DJ211">
        <f>7015.853983</f>
        <v>7015.853983</v>
      </c>
      <c r="DK211">
        <f>7119.952976</f>
        <v>7119.9529759999996</v>
      </c>
      <c r="DL211">
        <f>7401.437135</f>
        <v>7401.4371350000001</v>
      </c>
      <c r="DM211">
        <f>9094.310716</f>
        <v>9094.310716</v>
      </c>
      <c r="DN211">
        <f>8356.415752</f>
        <v>8356.4157520000008</v>
      </c>
      <c r="DO211">
        <f>8480.585825</f>
        <v>8480.5858250000001</v>
      </c>
      <c r="DP211" t="str">
        <f>""</f>
        <v/>
      </c>
      <c r="DQ211" t="str">
        <f>""</f>
        <v/>
      </c>
      <c r="DR211" t="str">
        <f>""</f>
        <v/>
      </c>
      <c r="DS211" t="str">
        <f>""</f>
        <v/>
      </c>
      <c r="DT211" t="str">
        <f>""</f>
        <v/>
      </c>
      <c r="DU211" t="str">
        <f>""</f>
        <v/>
      </c>
    </row>
    <row r="212" spans="1:125" x14ac:dyDescent="0.25">
      <c r="A212" t="str">
        <f>"    Brilliance China Automotive Holdings Ltd"</f>
        <v xml:space="preserve">    Brilliance China Automotive Holdings Ltd</v>
      </c>
      <c r="B212" t="str">
        <f>"1114 HK Equity"</f>
        <v>1114 HK Equity</v>
      </c>
      <c r="C212" t="str">
        <f t="shared" si="15"/>
        <v>RR843</v>
      </c>
      <c r="D212" t="str">
        <f t="shared" si="16"/>
        <v>TRAIL_12M_FREE_CASH_FLOW</v>
      </c>
      <c r="E212" t="str">
        <f t="shared" si="17"/>
        <v>Dynamic</v>
      </c>
      <c r="F212" t="str">
        <f ca="1">IF(AND(ISNUMBER($F$716),$B$511=1),$F$716,HLOOKUP(INDIRECT(ADDRESS(2,COLUMN())),OFFSET($BN$2,0,0,ROW()-1,60),ROW()-1,FALSE))</f>
        <v/>
      </c>
      <c r="G212" t="str">
        <f ca="1">IF(AND(ISNUMBER($G$716),$B$511=1),$G$716,HLOOKUP(INDIRECT(ADDRESS(2,COLUMN())),OFFSET($BN$2,0,0,ROW()-1,60),ROW()-1,FALSE))</f>
        <v/>
      </c>
      <c r="H212" t="str">
        <f ca="1">IF(AND(ISNUMBER($H$716),$B$511=1),$H$716,HLOOKUP(INDIRECT(ADDRESS(2,COLUMN())),OFFSET($BN$2,0,0,ROW()-1,60),ROW()-1,FALSE))</f>
        <v/>
      </c>
      <c r="I212" t="str">
        <f ca="1">IF(AND(ISNUMBER($I$716),$B$511=1),$I$716,HLOOKUP(INDIRECT(ADDRESS(2,COLUMN())),OFFSET($BN$2,0,0,ROW()-1,60),ROW()-1,FALSE))</f>
        <v/>
      </c>
      <c r="J212" t="str">
        <f ca="1">IF(AND(ISNUMBER($J$716),$B$511=1),$J$716,HLOOKUP(INDIRECT(ADDRESS(2,COLUMN())),OFFSET($BN$2,0,0,ROW()-1,60),ROW()-1,FALSE))</f>
        <v/>
      </c>
      <c r="K212" t="str">
        <f ca="1">IF(AND(ISNUMBER($K$716),$B$511=1),$K$716,HLOOKUP(INDIRECT(ADDRESS(2,COLUMN())),OFFSET($BN$2,0,0,ROW()-1,60),ROW()-1,FALSE))</f>
        <v/>
      </c>
      <c r="L212" t="str">
        <f ca="1">IF(AND(ISNUMBER($L$716),$B$511=1),$L$716,HLOOKUP(INDIRECT(ADDRESS(2,COLUMN())),OFFSET($BN$2,0,0,ROW()-1,60),ROW()-1,FALSE))</f>
        <v/>
      </c>
      <c r="M212" t="str">
        <f ca="1">IF(AND(ISNUMBER($M$716),$B$511=1),$M$716,HLOOKUP(INDIRECT(ADDRESS(2,COLUMN())),OFFSET($BN$2,0,0,ROW()-1,60),ROW()-1,FALSE))</f>
        <v/>
      </c>
      <c r="N212" t="str">
        <f ca="1">IF(AND(ISNUMBER($N$716),$B$511=1),$N$716,HLOOKUP(INDIRECT(ADDRESS(2,COLUMN())),OFFSET($BN$2,0,0,ROW()-1,60),ROW()-1,FALSE))</f>
        <v/>
      </c>
      <c r="O212" t="str">
        <f ca="1">IF(AND(ISNUMBER($O$716),$B$511=1),$O$716,HLOOKUP(INDIRECT(ADDRESS(2,COLUMN())),OFFSET($BN$2,0,0,ROW()-1,60),ROW()-1,FALSE))</f>
        <v/>
      </c>
      <c r="P212" t="str">
        <f ca="1">IF(AND(ISNUMBER($P$716),$B$511=1),$P$716,HLOOKUP(INDIRECT(ADDRESS(2,COLUMN())),OFFSET($BN$2,0,0,ROW()-1,60),ROW()-1,FALSE))</f>
        <v/>
      </c>
      <c r="Q212" t="str">
        <f ca="1">IF(AND(ISNUMBER($Q$716),$B$511=1),$Q$716,HLOOKUP(INDIRECT(ADDRESS(2,COLUMN())),OFFSET($BN$2,0,0,ROW()-1,60),ROW()-1,FALSE))</f>
        <v/>
      </c>
      <c r="R212" t="str">
        <f ca="1">IF(AND(ISNUMBER($R$716),$B$511=1),$R$716,HLOOKUP(INDIRECT(ADDRESS(2,COLUMN())),OFFSET($BN$2,0,0,ROW()-1,60),ROW()-1,FALSE))</f>
        <v/>
      </c>
      <c r="S212" t="str">
        <f ca="1">IF(AND(ISNUMBER($S$716),$B$511=1),$S$716,HLOOKUP(INDIRECT(ADDRESS(2,COLUMN())),OFFSET($BN$2,0,0,ROW()-1,60),ROW()-1,FALSE))</f>
        <v/>
      </c>
      <c r="T212" t="str">
        <f ca="1">IF(AND(ISNUMBER($T$716),$B$511=1),$T$716,HLOOKUP(INDIRECT(ADDRESS(2,COLUMN())),OFFSET($BN$2,0,0,ROW()-1,60),ROW()-1,FALSE))</f>
        <v/>
      </c>
      <c r="U212" t="str">
        <f ca="1">IF(AND(ISNUMBER($U$716),$B$511=1),$U$716,HLOOKUP(INDIRECT(ADDRESS(2,COLUMN())),OFFSET($BN$2,0,0,ROW()-1,60),ROW()-1,FALSE))</f>
        <v/>
      </c>
      <c r="V212" t="str">
        <f ca="1">IF(AND(ISNUMBER($V$716),$B$511=1),$V$716,HLOOKUP(INDIRECT(ADDRESS(2,COLUMN())),OFFSET($BN$2,0,0,ROW()-1,60),ROW()-1,FALSE))</f>
        <v/>
      </c>
      <c r="W212" t="str">
        <f ca="1">IF(AND(ISNUMBER($W$716),$B$511=1),$W$716,HLOOKUP(INDIRECT(ADDRESS(2,COLUMN())),OFFSET($BN$2,0,0,ROW()-1,60),ROW()-1,FALSE))</f>
        <v/>
      </c>
      <c r="X212" t="str">
        <f ca="1">IF(AND(ISNUMBER($X$716),$B$511=1),$X$716,HLOOKUP(INDIRECT(ADDRESS(2,COLUMN())),OFFSET($BN$2,0,0,ROW()-1,60),ROW()-1,FALSE))</f>
        <v/>
      </c>
      <c r="Y212" t="str">
        <f ca="1">IF(AND(ISNUMBER($Y$716),$B$511=1),$Y$716,HLOOKUP(INDIRECT(ADDRESS(2,COLUMN())),OFFSET($BN$2,0,0,ROW()-1,60),ROW()-1,FALSE))</f>
        <v/>
      </c>
      <c r="Z212" t="str">
        <f ca="1">IF(AND(ISNUMBER($Z$716),$B$511=1),$Z$716,HLOOKUP(INDIRECT(ADDRESS(2,COLUMN())),OFFSET($BN$2,0,0,ROW()-1,60),ROW()-1,FALSE))</f>
        <v/>
      </c>
      <c r="AA212" t="str">
        <f ca="1">IF(AND(ISNUMBER($AA$716),$B$511=1),$AA$716,HLOOKUP(INDIRECT(ADDRESS(2,COLUMN())),OFFSET($BN$2,0,0,ROW()-1,60),ROW()-1,FALSE))</f>
        <v/>
      </c>
      <c r="AB212" t="str">
        <f ca="1">IF(AND(ISNUMBER($AB$716),$B$511=1),$AB$716,HLOOKUP(INDIRECT(ADDRESS(2,COLUMN())),OFFSET($BN$2,0,0,ROW()-1,60),ROW()-1,FALSE))</f>
        <v/>
      </c>
      <c r="AC212" t="str">
        <f ca="1">IF(AND(ISNUMBER($AC$716),$B$511=1),$AC$716,HLOOKUP(INDIRECT(ADDRESS(2,COLUMN())),OFFSET($BN$2,0,0,ROW()-1,60),ROW()-1,FALSE))</f>
        <v/>
      </c>
      <c r="AD212" t="str">
        <f ca="1">IF(AND(ISNUMBER($AD$716),$B$511=1),$AD$716,HLOOKUP(INDIRECT(ADDRESS(2,COLUMN())),OFFSET($BN$2,0,0,ROW()-1,60),ROW()-1,FALSE))</f>
        <v/>
      </c>
      <c r="AE212" t="str">
        <f ca="1">IF(AND(ISNUMBER($AE$716),$B$511=1),$AE$716,HLOOKUP(INDIRECT(ADDRESS(2,COLUMN())),OFFSET($BN$2,0,0,ROW()-1,60),ROW()-1,FALSE))</f>
        <v/>
      </c>
      <c r="AF212" t="str">
        <f ca="1">IF(AND(ISNUMBER($AF$716),$B$511=1),$AF$716,HLOOKUP(INDIRECT(ADDRESS(2,COLUMN())),OFFSET($BN$2,0,0,ROW()-1,60),ROW()-1,FALSE))</f>
        <v/>
      </c>
      <c r="AG212" t="str">
        <f ca="1">IF(AND(ISNUMBER($AG$716),$B$511=1),$AG$716,HLOOKUP(INDIRECT(ADDRESS(2,COLUMN())),OFFSET($BN$2,0,0,ROW()-1,60),ROW()-1,FALSE))</f>
        <v/>
      </c>
      <c r="AH212" t="str">
        <f ca="1">IF(AND(ISNUMBER($AH$716),$B$511=1),$AH$716,HLOOKUP(INDIRECT(ADDRESS(2,COLUMN())),OFFSET($BN$2,0,0,ROW()-1,60),ROW()-1,FALSE))</f>
        <v/>
      </c>
      <c r="AI212" t="str">
        <f ca="1">IF(AND(ISNUMBER($AI$716),$B$511=1),$AI$716,HLOOKUP(INDIRECT(ADDRESS(2,COLUMN())),OFFSET($BN$2,0,0,ROW()-1,60),ROW()-1,FALSE))</f>
        <v/>
      </c>
      <c r="AJ212" t="str">
        <f ca="1">IF(AND(ISNUMBER($AJ$716),$B$511=1),$AJ$716,HLOOKUP(INDIRECT(ADDRESS(2,COLUMN())),OFFSET($BN$2,0,0,ROW()-1,60),ROW()-1,FALSE))</f>
        <v/>
      </c>
      <c r="AK212" t="str">
        <f ca="1">IF(AND(ISNUMBER($AK$716),$B$511=1),$AK$716,HLOOKUP(INDIRECT(ADDRESS(2,COLUMN())),OFFSET($BN$2,0,0,ROW()-1,60),ROW()-1,FALSE))</f>
        <v/>
      </c>
      <c r="AL212" t="str">
        <f ca="1">IF(AND(ISNUMBER($AL$716),$B$511=1),$AL$716,HLOOKUP(INDIRECT(ADDRESS(2,COLUMN())),OFFSET($BN$2,0,0,ROW()-1,60),ROW()-1,FALSE))</f>
        <v/>
      </c>
      <c r="AM212" t="str">
        <f ca="1">IF(AND(ISNUMBER($AM$716),$B$511=1),$AM$716,HLOOKUP(INDIRECT(ADDRESS(2,COLUMN())),OFFSET($BN$2,0,0,ROW()-1,60),ROW()-1,FALSE))</f>
        <v/>
      </c>
      <c r="AN212" t="str">
        <f ca="1">IF(AND(ISNUMBER($AN$716),$B$511=1),$AN$716,HLOOKUP(INDIRECT(ADDRESS(2,COLUMN())),OFFSET($BN$2,0,0,ROW()-1,60),ROW()-1,FALSE))</f>
        <v/>
      </c>
      <c r="AO212" t="str">
        <f ca="1">IF(AND(ISNUMBER($AO$716),$B$511=1),$AO$716,HLOOKUP(INDIRECT(ADDRESS(2,COLUMN())),OFFSET($BN$2,0,0,ROW()-1,60),ROW()-1,FALSE))</f>
        <v/>
      </c>
      <c r="AP212" t="str">
        <f ca="1">IF(AND(ISNUMBER($AP$716),$B$511=1),$AP$716,HLOOKUP(INDIRECT(ADDRESS(2,COLUMN())),OFFSET($BN$2,0,0,ROW()-1,60),ROW()-1,FALSE))</f>
        <v/>
      </c>
      <c r="AQ212" t="str">
        <f ca="1">IF(AND(ISNUMBER($AQ$716),$B$511=1),$AQ$716,HLOOKUP(INDIRECT(ADDRESS(2,COLUMN())),OFFSET($BN$2,0,0,ROW()-1,60),ROW()-1,FALSE))</f>
        <v/>
      </c>
      <c r="AR212" t="str">
        <f ca="1">IF(AND(ISNUMBER($AR$716),$B$511=1),$AR$716,HLOOKUP(INDIRECT(ADDRESS(2,COLUMN())),OFFSET($BN$2,0,0,ROW()-1,60),ROW()-1,FALSE))</f>
        <v/>
      </c>
      <c r="AS212" t="str">
        <f ca="1">IF(AND(ISNUMBER($AS$716),$B$511=1),$AS$716,HLOOKUP(INDIRECT(ADDRESS(2,COLUMN())),OFFSET($BN$2,0,0,ROW()-1,60),ROW()-1,FALSE))</f>
        <v/>
      </c>
      <c r="AT212" t="str">
        <f ca="1">IF(AND(ISNUMBER($AT$716),$B$511=1),$AT$716,HLOOKUP(INDIRECT(ADDRESS(2,COLUMN())),OFFSET($BN$2,0,0,ROW()-1,60),ROW()-1,FALSE))</f>
        <v/>
      </c>
      <c r="AU212" t="str">
        <f ca="1">IF(AND(ISNUMBER($AU$716),$B$511=1),$AU$716,HLOOKUP(INDIRECT(ADDRESS(2,COLUMN())),OFFSET($BN$2,0,0,ROW()-1,60),ROW()-1,FALSE))</f>
        <v/>
      </c>
      <c r="AV212" t="str">
        <f ca="1">IF(AND(ISNUMBER($AV$716),$B$511=1),$AV$716,HLOOKUP(INDIRECT(ADDRESS(2,COLUMN())),OFFSET($BN$2,0,0,ROW()-1,60),ROW()-1,FALSE))</f>
        <v/>
      </c>
      <c r="AW212" t="str">
        <f ca="1">IF(AND(ISNUMBER($AW$716),$B$511=1),$AW$716,HLOOKUP(INDIRECT(ADDRESS(2,COLUMN())),OFFSET($BN$2,0,0,ROW()-1,60),ROW()-1,FALSE))</f>
        <v/>
      </c>
      <c r="AX212" t="str">
        <f ca="1">IF(AND(ISNUMBER($AX$716),$B$511=1),$AX$716,HLOOKUP(INDIRECT(ADDRESS(2,COLUMN())),OFFSET($BN$2,0,0,ROW()-1,60),ROW()-1,FALSE))</f>
        <v/>
      </c>
      <c r="AY212" t="str">
        <f ca="1">IF(AND(ISNUMBER($AY$716),$B$511=1),$AY$716,HLOOKUP(INDIRECT(ADDRESS(2,COLUMN())),OFFSET($BN$2,0,0,ROW()-1,60),ROW()-1,FALSE))</f>
        <v/>
      </c>
      <c r="AZ212" t="str">
        <f ca="1">IF(AND(ISNUMBER($AZ$716),$B$511=1),$AZ$716,HLOOKUP(INDIRECT(ADDRESS(2,COLUMN())),OFFSET($BN$2,0,0,ROW()-1,60),ROW()-1,FALSE))</f>
        <v/>
      </c>
      <c r="BA212" t="str">
        <f ca="1">IF(AND(ISNUMBER($BA$716),$B$511=1),$BA$716,HLOOKUP(INDIRECT(ADDRESS(2,COLUMN())),OFFSET($BN$2,0,0,ROW()-1,60),ROW()-1,FALSE))</f>
        <v/>
      </c>
      <c r="BB212" t="str">
        <f ca="1">IF(AND(ISNUMBER($BB$716),$B$511=1),$BB$716,HLOOKUP(INDIRECT(ADDRESS(2,COLUMN())),OFFSET($BN$2,0,0,ROW()-1,60),ROW()-1,FALSE))</f>
        <v/>
      </c>
      <c r="BC212" t="str">
        <f ca="1">IF(AND(ISNUMBER($BC$716),$B$511=1),$BC$716,HLOOKUP(INDIRECT(ADDRESS(2,COLUMN())),OFFSET($BN$2,0,0,ROW()-1,60),ROW()-1,FALSE))</f>
        <v/>
      </c>
      <c r="BD212" t="str">
        <f ca="1">IF(AND(ISNUMBER($BD$716),$B$511=1),$BD$716,HLOOKUP(INDIRECT(ADDRESS(2,COLUMN())),OFFSET($BN$2,0,0,ROW()-1,60),ROW()-1,FALSE))</f>
        <v/>
      </c>
      <c r="BE212" t="str">
        <f ca="1">IF(AND(ISNUMBER($BE$716),$B$511=1),$BE$716,HLOOKUP(INDIRECT(ADDRESS(2,COLUMN())),OFFSET($BN$2,0,0,ROW()-1,60),ROW()-1,FALSE))</f>
        <v/>
      </c>
      <c r="BF212" t="str">
        <f ca="1">IF(AND(ISNUMBER($BF$716),$B$511=1),$BF$716,HLOOKUP(INDIRECT(ADDRESS(2,COLUMN())),OFFSET($BN$2,0,0,ROW()-1,60),ROW()-1,FALSE))</f>
        <v/>
      </c>
      <c r="BG212" t="str">
        <f ca="1">IF(AND(ISNUMBER($BG$716),$B$511=1),$BG$716,HLOOKUP(INDIRECT(ADDRESS(2,COLUMN())),OFFSET($BN$2,0,0,ROW()-1,60),ROW()-1,FALSE))</f>
        <v/>
      </c>
      <c r="BH212" t="str">
        <f ca="1">IF(AND(ISNUMBER($BH$716),$B$511=1),$BH$716,HLOOKUP(INDIRECT(ADDRESS(2,COLUMN())),OFFSET($BN$2,0,0,ROW()-1,60),ROW()-1,FALSE))</f>
        <v/>
      </c>
      <c r="BI212" t="str">
        <f ca="1">IF(AND(ISNUMBER($BI$716),$B$511=1),$BI$716,HLOOKUP(INDIRECT(ADDRESS(2,COLUMN())),OFFSET($BN$2,0,0,ROW()-1,60),ROW()-1,FALSE))</f>
        <v/>
      </c>
      <c r="BJ212" t="str">
        <f ca="1">IF(AND(ISNUMBER($BJ$716),$B$511=1),$BJ$716,HLOOKUP(INDIRECT(ADDRESS(2,COLUMN())),OFFSET($BN$2,0,0,ROW()-1,60),ROW()-1,FALSE))</f>
        <v/>
      </c>
      <c r="BK212" t="str">
        <f ca="1">IF(AND(ISNUMBER($BK$716),$B$511=1),$BK$716,HLOOKUP(INDIRECT(ADDRESS(2,COLUMN())),OFFSET($BN$2,0,0,ROW()-1,60),ROW()-1,FALSE))</f>
        <v/>
      </c>
      <c r="BL212" t="str">
        <f ca="1">IF(AND(ISNUMBER($BL$716),$B$511=1),$BL$716,HLOOKUP(INDIRECT(ADDRESS(2,COLUMN())),OFFSET($BN$2,0,0,ROW()-1,60),ROW()-1,FALSE))</f>
        <v/>
      </c>
      <c r="BM212" t="str">
        <f ca="1">IF(AND(ISNUMBER($BM$716),$B$511=1),$BM$716,HLOOKUP(INDIRECT(ADDRESS(2,COLUMN())),OFFSET($BN$2,0,0,ROW()-1,60),ROW()-1,FALSE))</f>
        <v/>
      </c>
      <c r="BN212" t="str">
        <f>""</f>
        <v/>
      </c>
      <c r="BO212" t="str">
        <f>""</f>
        <v/>
      </c>
      <c r="BP212" t="str">
        <f>""</f>
        <v/>
      </c>
      <c r="BQ212" t="str">
        <f>""</f>
        <v/>
      </c>
      <c r="BR212" t="str">
        <f>""</f>
        <v/>
      </c>
      <c r="BS212" t="str">
        <f>""</f>
        <v/>
      </c>
      <c r="BT212" t="str">
        <f>""</f>
        <v/>
      </c>
      <c r="BU212" t="str">
        <f>""</f>
        <v/>
      </c>
      <c r="BV212" t="str">
        <f>""</f>
        <v/>
      </c>
      <c r="BW212" t="str">
        <f>""</f>
        <v/>
      </c>
      <c r="BX212" t="str">
        <f>""</f>
        <v/>
      </c>
      <c r="BY212" t="str">
        <f>""</f>
        <v/>
      </c>
      <c r="BZ212" t="str">
        <f>""</f>
        <v/>
      </c>
      <c r="CA212" t="str">
        <f>""</f>
        <v/>
      </c>
      <c r="CB212" t="str">
        <f>""</f>
        <v/>
      </c>
      <c r="CC212" t="str">
        <f>""</f>
        <v/>
      </c>
      <c r="CD212" t="str">
        <f>""</f>
        <v/>
      </c>
      <c r="CE212" t="str">
        <f>""</f>
        <v/>
      </c>
      <c r="CF212" t="str">
        <f>""</f>
        <v/>
      </c>
      <c r="CG212" t="str">
        <f>""</f>
        <v/>
      </c>
      <c r="CH212" t="str">
        <f>""</f>
        <v/>
      </c>
      <c r="CI212" t="str">
        <f>""</f>
        <v/>
      </c>
      <c r="CJ212" t="str">
        <f>""</f>
        <v/>
      </c>
      <c r="CK212" t="str">
        <f>""</f>
        <v/>
      </c>
      <c r="CL212" t="str">
        <f>""</f>
        <v/>
      </c>
      <c r="CM212" t="str">
        <f>""</f>
        <v/>
      </c>
      <c r="CN212" t="str">
        <f>""</f>
        <v/>
      </c>
      <c r="CO212" t="str">
        <f>""</f>
        <v/>
      </c>
      <c r="CP212" t="str">
        <f>""</f>
        <v/>
      </c>
      <c r="CQ212" t="str">
        <f>""</f>
        <v/>
      </c>
      <c r="CR212" t="str">
        <f>""</f>
        <v/>
      </c>
      <c r="CS212" t="str">
        <f>""</f>
        <v/>
      </c>
      <c r="CT212" t="str">
        <f>""</f>
        <v/>
      </c>
      <c r="CU212" t="str">
        <f>""</f>
        <v/>
      </c>
      <c r="CV212" t="str">
        <f>""</f>
        <v/>
      </c>
      <c r="CW212" t="str">
        <f>""</f>
        <v/>
      </c>
      <c r="CX212" t="str">
        <f>""</f>
        <v/>
      </c>
      <c r="CY212" t="str">
        <f>""</f>
        <v/>
      </c>
      <c r="CZ212" t="str">
        <f>""</f>
        <v/>
      </c>
      <c r="DA212" t="str">
        <f>""</f>
        <v/>
      </c>
      <c r="DB212" t="str">
        <f>""</f>
        <v/>
      </c>
      <c r="DC212" t="str">
        <f>""</f>
        <v/>
      </c>
      <c r="DD212" t="str">
        <f>""</f>
        <v/>
      </c>
      <c r="DE212" t="str">
        <f>""</f>
        <v/>
      </c>
      <c r="DF212" t="str">
        <f>""</f>
        <v/>
      </c>
      <c r="DG212" t="str">
        <f>""</f>
        <v/>
      </c>
      <c r="DH212" t="str">
        <f>""</f>
        <v/>
      </c>
      <c r="DI212" t="str">
        <f>""</f>
        <v/>
      </c>
      <c r="DJ212" t="str">
        <f>""</f>
        <v/>
      </c>
      <c r="DK212" t="str">
        <f>""</f>
        <v/>
      </c>
      <c r="DL212" t="str">
        <f>""</f>
        <v/>
      </c>
      <c r="DM212" t="str">
        <f>""</f>
        <v/>
      </c>
      <c r="DN212" t="str">
        <f>""</f>
        <v/>
      </c>
      <c r="DO212" t="str">
        <f>""</f>
        <v/>
      </c>
      <c r="DP212" t="str">
        <f>""</f>
        <v/>
      </c>
      <c r="DQ212" t="str">
        <f>""</f>
        <v/>
      </c>
      <c r="DR212" t="str">
        <f>""</f>
        <v/>
      </c>
      <c r="DS212" t="str">
        <f>""</f>
        <v/>
      </c>
      <c r="DT212" t="str">
        <f>""</f>
        <v/>
      </c>
      <c r="DU212" t="str">
        <f>""</f>
        <v/>
      </c>
    </row>
    <row r="213" spans="1:125" x14ac:dyDescent="0.25">
      <c r="A213" t="str">
        <f>"    BYD Co Ltd"</f>
        <v xml:space="preserve">    BYD Co Ltd</v>
      </c>
      <c r="B213" t="str">
        <f>"1211 HK Equity"</f>
        <v>1211 HK Equity</v>
      </c>
      <c r="C213" t="str">
        <f t="shared" si="15"/>
        <v>RR843</v>
      </c>
      <c r="D213" t="str">
        <f t="shared" si="16"/>
        <v>TRAIL_12M_FREE_CASH_FLOW</v>
      </c>
      <c r="E213" t="str">
        <f t="shared" si="17"/>
        <v>Dynamic</v>
      </c>
      <c r="F213" t="str">
        <f ca="1">IF(AND(ISNUMBER($F$717),$B$511=1),$F$717,HLOOKUP(INDIRECT(ADDRESS(2,COLUMN())),OFFSET($BN$2,0,0,ROW()-1,60),ROW()-1,FALSE))</f>
        <v/>
      </c>
      <c r="G213" t="str">
        <f ca="1">IF(AND(ISNUMBER($G$717),$B$511=1),$G$717,HLOOKUP(INDIRECT(ADDRESS(2,COLUMN())),OFFSET($BN$2,0,0,ROW()-1,60),ROW()-1,FALSE))</f>
        <v/>
      </c>
      <c r="H213">
        <f ca="1">IF(AND(ISNUMBER($H$717),$B$511=1),$H$717,HLOOKUP(INDIRECT(ADDRESS(2,COLUMN())),OFFSET($BN$2,0,0,ROW()-1,60),ROW()-1,FALSE))</f>
        <v>-1248.464903</v>
      </c>
      <c r="I213">
        <f ca="1">IF(AND(ISNUMBER($I$717),$B$511=1),$I$717,HLOOKUP(INDIRECT(ADDRESS(2,COLUMN())),OFFSET($BN$2,0,0,ROW()-1,60),ROW()-1,FALSE))</f>
        <v>-1670.5778379999999</v>
      </c>
      <c r="J213">
        <f ca="1">IF(AND(ISNUMBER($J$717),$B$511=1),$J$717,HLOOKUP(INDIRECT(ADDRESS(2,COLUMN())),OFFSET($BN$2,0,0,ROW()-1,60),ROW()-1,FALSE))</f>
        <v>-1439.666592</v>
      </c>
      <c r="K213">
        <f ca="1">IF(AND(ISNUMBER($K$717),$B$511=1),$K$717,HLOOKUP(INDIRECT(ADDRESS(2,COLUMN())),OFFSET($BN$2,0,0,ROW()-1,60),ROW()-1,FALSE))</f>
        <v>-1598.0906600000001</v>
      </c>
      <c r="L213">
        <f ca="1">IF(AND(ISNUMBER($L$717),$B$511=1),$L$717,HLOOKUP(INDIRECT(ADDRESS(2,COLUMN())),OFFSET($BN$2,0,0,ROW()-1,60),ROW()-1,FALSE))</f>
        <v>-2179.2098860000001</v>
      </c>
      <c r="M213">
        <f ca="1">IF(AND(ISNUMBER($M$717),$B$511=1),$M$717,HLOOKUP(INDIRECT(ADDRESS(2,COLUMN())),OFFSET($BN$2,0,0,ROW()-1,60),ROW()-1,FALSE))</f>
        <v>-2889.1440130000001</v>
      </c>
      <c r="N213">
        <f ca="1">IF(AND(ISNUMBER($N$717),$B$511=1),$N$717,HLOOKUP(INDIRECT(ADDRESS(2,COLUMN())),OFFSET($BN$2,0,0,ROW()-1,60),ROW()-1,FALSE))</f>
        <v>-2790.4965470000002</v>
      </c>
      <c r="O213">
        <f ca="1">IF(AND(ISNUMBER($O$717),$B$511=1),$O$717,HLOOKUP(INDIRECT(ADDRESS(2,COLUMN())),OFFSET($BN$2,0,0,ROW()-1,60),ROW()-1,FALSE))</f>
        <v>-2563.3125829999999</v>
      </c>
      <c r="P213">
        <f ca="1">IF(AND(ISNUMBER($P$717),$B$511=1),$P$717,HLOOKUP(INDIRECT(ADDRESS(2,COLUMN())),OFFSET($BN$2,0,0,ROW()-1,60),ROW()-1,FALSE))</f>
        <v>-1899.00729</v>
      </c>
      <c r="Q213">
        <f ca="1">IF(AND(ISNUMBER($Q$717),$B$511=1),$Q$717,HLOOKUP(INDIRECT(ADDRESS(2,COLUMN())),OFFSET($BN$2,0,0,ROW()-1,60),ROW()-1,FALSE))</f>
        <v>-2417.257169</v>
      </c>
      <c r="R213">
        <f ca="1">IF(AND(ISNUMBER($R$717),$B$511=1),$R$717,HLOOKUP(INDIRECT(ADDRESS(2,COLUMN())),OFFSET($BN$2,0,0,ROW()-1,60),ROW()-1,FALSE))</f>
        <v>-2463.1297260000001</v>
      </c>
      <c r="S213">
        <f ca="1">IF(AND(ISNUMBER($S$717),$B$511=1),$S$717,HLOOKUP(INDIRECT(ADDRESS(2,COLUMN())),OFFSET($BN$2,0,0,ROW()-1,60),ROW()-1,FALSE))</f>
        <v>-1622.6800929999999</v>
      </c>
      <c r="T213">
        <f ca="1">IF(AND(ISNUMBER($T$717),$B$511=1),$T$717,HLOOKUP(INDIRECT(ADDRESS(2,COLUMN())),OFFSET($BN$2,0,0,ROW()-1,60),ROW()-1,FALSE))</f>
        <v>-2066.6781120000001</v>
      </c>
      <c r="U213">
        <f ca="1">IF(AND(ISNUMBER($U$717),$B$511=1),$U$717,HLOOKUP(INDIRECT(ADDRESS(2,COLUMN())),OFFSET($BN$2,0,0,ROW()-1,60),ROW()-1,FALSE))</f>
        <v>-1379.733054</v>
      </c>
      <c r="V213">
        <f ca="1">IF(AND(ISNUMBER($V$717),$B$511=1),$V$717,HLOOKUP(INDIRECT(ADDRESS(2,COLUMN())),OFFSET($BN$2,0,0,ROW()-1,60),ROW()-1,FALSE))</f>
        <v>-1050.4055189999999</v>
      </c>
      <c r="W213">
        <f ca="1">IF(AND(ISNUMBER($W$717),$B$511=1),$W$717,HLOOKUP(INDIRECT(ADDRESS(2,COLUMN())),OFFSET($BN$2,0,0,ROW()-1,60),ROW()-1,FALSE))</f>
        <v>-1652.2269490000001</v>
      </c>
      <c r="X213">
        <f ca="1">IF(AND(ISNUMBER($X$717),$B$511=1),$X$717,HLOOKUP(INDIRECT(ADDRESS(2,COLUMN())),OFFSET($BN$2,0,0,ROW()-1,60),ROW()-1,FALSE))</f>
        <v>-1625.042539</v>
      </c>
      <c r="Y213">
        <f ca="1">IF(AND(ISNUMBER($Y$717),$B$511=1),$Y$717,HLOOKUP(INDIRECT(ADDRESS(2,COLUMN())),OFFSET($BN$2,0,0,ROW()-1,60),ROW()-1,FALSE))</f>
        <v>-1408.034267</v>
      </c>
      <c r="Z213">
        <f ca="1">IF(AND(ISNUMBER($Z$717),$B$511=1),$Z$717,HLOOKUP(INDIRECT(ADDRESS(2,COLUMN())),OFFSET($BN$2,0,0,ROW()-1,60),ROW()-1,FALSE))</f>
        <v>-1037.2063479999999</v>
      </c>
      <c r="AA213">
        <f ca="1">IF(AND(ISNUMBER($AA$717),$B$511=1),$AA$717,HLOOKUP(INDIRECT(ADDRESS(2,COLUMN())),OFFSET($BN$2,0,0,ROW()-1,60),ROW()-1,FALSE))</f>
        <v>-743.33375479999995</v>
      </c>
      <c r="AB213">
        <f ca="1">IF(AND(ISNUMBER($AB$717),$B$511=1),$AB$717,HLOOKUP(INDIRECT(ADDRESS(2,COLUMN())),OFFSET($BN$2,0,0,ROW()-1,60),ROW()-1,FALSE))</f>
        <v>-375.11816249999998</v>
      </c>
      <c r="AC213">
        <f ca="1">IF(AND(ISNUMBER($AC$717),$B$511=1),$AC$717,HLOOKUP(INDIRECT(ADDRESS(2,COLUMN())),OFFSET($BN$2,0,0,ROW()-1,60),ROW()-1,FALSE))</f>
        <v>-381.82986449999999</v>
      </c>
      <c r="AD213">
        <f ca="1">IF(AND(ISNUMBER($AD$717),$B$511=1),$AD$717,HLOOKUP(INDIRECT(ADDRESS(2,COLUMN())),OFFSET($BN$2,0,0,ROW()-1,60),ROW()-1,FALSE))</f>
        <v>-381.64274979999999</v>
      </c>
      <c r="AE213">
        <f ca="1">IF(AND(ISNUMBER($AE$717),$B$511=1),$AE$717,HLOOKUP(INDIRECT(ADDRESS(2,COLUMN())),OFFSET($BN$2,0,0,ROW()-1,60),ROW()-1,FALSE))</f>
        <v>6.4084838370000003</v>
      </c>
      <c r="AF213">
        <f ca="1">IF(AND(ISNUMBER($AF$717),$B$511=1),$AF$717,HLOOKUP(INDIRECT(ADDRESS(2,COLUMN())),OFFSET($BN$2,0,0,ROW()-1,60),ROW()-1,FALSE))</f>
        <v>-210.5060392</v>
      </c>
      <c r="AG213">
        <f ca="1">IF(AND(ISNUMBER($AG$717),$B$511=1),$AG$717,HLOOKUP(INDIRECT(ADDRESS(2,COLUMN())),OFFSET($BN$2,0,0,ROW()-1,60),ROW()-1,FALSE))</f>
        <v>-269.94210679999998</v>
      </c>
      <c r="AH213" t="str">
        <f ca="1">IF(AND(ISNUMBER($AH$717),$B$511=1),$AH$717,HLOOKUP(INDIRECT(ADDRESS(2,COLUMN())),OFFSET($BN$2,0,0,ROW()-1,60),ROW()-1,FALSE))</f>
        <v/>
      </c>
      <c r="AI213" t="str">
        <f ca="1">IF(AND(ISNUMBER($AI$717),$B$511=1),$AI$717,HLOOKUP(INDIRECT(ADDRESS(2,COLUMN())),OFFSET($BN$2,0,0,ROW()-1,60),ROW()-1,FALSE))</f>
        <v/>
      </c>
      <c r="AJ213" t="str">
        <f ca="1">IF(AND(ISNUMBER($AJ$717),$B$511=1),$AJ$717,HLOOKUP(INDIRECT(ADDRESS(2,COLUMN())),OFFSET($BN$2,0,0,ROW()-1,60),ROW()-1,FALSE))</f>
        <v/>
      </c>
      <c r="AK213" t="str">
        <f ca="1">IF(AND(ISNUMBER($AK$717),$B$511=1),$AK$717,HLOOKUP(INDIRECT(ADDRESS(2,COLUMN())),OFFSET($BN$2,0,0,ROW()-1,60),ROW()-1,FALSE))</f>
        <v/>
      </c>
      <c r="AL213" t="str">
        <f ca="1">IF(AND(ISNUMBER($AL$717),$B$511=1),$AL$717,HLOOKUP(INDIRECT(ADDRESS(2,COLUMN())),OFFSET($BN$2,0,0,ROW()-1,60),ROW()-1,FALSE))</f>
        <v/>
      </c>
      <c r="AM213" t="str">
        <f ca="1">IF(AND(ISNUMBER($AM$717),$B$511=1),$AM$717,HLOOKUP(INDIRECT(ADDRESS(2,COLUMN())),OFFSET($BN$2,0,0,ROW()-1,60),ROW()-1,FALSE))</f>
        <v/>
      </c>
      <c r="AN213" t="str">
        <f ca="1">IF(AND(ISNUMBER($AN$717),$B$511=1),$AN$717,HLOOKUP(INDIRECT(ADDRESS(2,COLUMN())),OFFSET($BN$2,0,0,ROW()-1,60),ROW()-1,FALSE))</f>
        <v/>
      </c>
      <c r="AO213" t="str">
        <f ca="1">IF(AND(ISNUMBER($AO$717),$B$511=1),$AO$717,HLOOKUP(INDIRECT(ADDRESS(2,COLUMN())),OFFSET($BN$2,0,0,ROW()-1,60),ROW()-1,FALSE))</f>
        <v/>
      </c>
      <c r="AP213" t="str">
        <f ca="1">IF(AND(ISNUMBER($AP$717),$B$511=1),$AP$717,HLOOKUP(INDIRECT(ADDRESS(2,COLUMN())),OFFSET($BN$2,0,0,ROW()-1,60),ROW()-1,FALSE))</f>
        <v/>
      </c>
      <c r="AQ213" t="str">
        <f ca="1">IF(AND(ISNUMBER($AQ$717),$B$511=1),$AQ$717,HLOOKUP(INDIRECT(ADDRESS(2,COLUMN())),OFFSET($BN$2,0,0,ROW()-1,60),ROW()-1,FALSE))</f>
        <v/>
      </c>
      <c r="AR213" t="str">
        <f ca="1">IF(AND(ISNUMBER($AR$717),$B$511=1),$AR$717,HLOOKUP(INDIRECT(ADDRESS(2,COLUMN())),OFFSET($BN$2,0,0,ROW()-1,60),ROW()-1,FALSE))</f>
        <v/>
      </c>
      <c r="AS213" t="str">
        <f ca="1">IF(AND(ISNUMBER($AS$717),$B$511=1),$AS$717,HLOOKUP(INDIRECT(ADDRESS(2,COLUMN())),OFFSET($BN$2,0,0,ROW()-1,60),ROW()-1,FALSE))</f>
        <v/>
      </c>
      <c r="AT213" t="str">
        <f ca="1">IF(AND(ISNUMBER($AT$717),$B$511=1),$AT$717,HLOOKUP(INDIRECT(ADDRESS(2,COLUMN())),OFFSET($BN$2,0,0,ROW()-1,60),ROW()-1,FALSE))</f>
        <v/>
      </c>
      <c r="AU213" t="str">
        <f ca="1">IF(AND(ISNUMBER($AU$717),$B$511=1),$AU$717,HLOOKUP(INDIRECT(ADDRESS(2,COLUMN())),OFFSET($BN$2,0,0,ROW()-1,60),ROW()-1,FALSE))</f>
        <v/>
      </c>
      <c r="AV213" t="str">
        <f ca="1">IF(AND(ISNUMBER($AV$717),$B$511=1),$AV$717,HLOOKUP(INDIRECT(ADDRESS(2,COLUMN())),OFFSET($BN$2,0,0,ROW()-1,60),ROW()-1,FALSE))</f>
        <v/>
      </c>
      <c r="AW213" t="str">
        <f ca="1">IF(AND(ISNUMBER($AW$717),$B$511=1),$AW$717,HLOOKUP(INDIRECT(ADDRESS(2,COLUMN())),OFFSET($BN$2,0,0,ROW()-1,60),ROW()-1,FALSE))</f>
        <v/>
      </c>
      <c r="AX213" t="str">
        <f ca="1">IF(AND(ISNUMBER($AX$717),$B$511=1),$AX$717,HLOOKUP(INDIRECT(ADDRESS(2,COLUMN())),OFFSET($BN$2,0,0,ROW()-1,60),ROW()-1,FALSE))</f>
        <v/>
      </c>
      <c r="AY213" t="str">
        <f ca="1">IF(AND(ISNUMBER($AY$717),$B$511=1),$AY$717,HLOOKUP(INDIRECT(ADDRESS(2,COLUMN())),OFFSET($BN$2,0,0,ROW()-1,60),ROW()-1,FALSE))</f>
        <v/>
      </c>
      <c r="AZ213" t="str">
        <f ca="1">IF(AND(ISNUMBER($AZ$717),$B$511=1),$AZ$717,HLOOKUP(INDIRECT(ADDRESS(2,COLUMN())),OFFSET($BN$2,0,0,ROW()-1,60),ROW()-1,FALSE))</f>
        <v/>
      </c>
      <c r="BA213" t="str">
        <f ca="1">IF(AND(ISNUMBER($BA$717),$B$511=1),$BA$717,HLOOKUP(INDIRECT(ADDRESS(2,COLUMN())),OFFSET($BN$2,0,0,ROW()-1,60),ROW()-1,FALSE))</f>
        <v/>
      </c>
      <c r="BB213" t="str">
        <f ca="1">IF(AND(ISNUMBER($BB$717),$B$511=1),$BB$717,HLOOKUP(INDIRECT(ADDRESS(2,COLUMN())),OFFSET($BN$2,0,0,ROW()-1,60),ROW()-1,FALSE))</f>
        <v/>
      </c>
      <c r="BC213" t="str">
        <f ca="1">IF(AND(ISNUMBER($BC$717),$B$511=1),$BC$717,HLOOKUP(INDIRECT(ADDRESS(2,COLUMN())),OFFSET($BN$2,0,0,ROW()-1,60),ROW()-1,FALSE))</f>
        <v/>
      </c>
      <c r="BD213" t="str">
        <f ca="1">IF(AND(ISNUMBER($BD$717),$B$511=1),$BD$717,HLOOKUP(INDIRECT(ADDRESS(2,COLUMN())),OFFSET($BN$2,0,0,ROW()-1,60),ROW()-1,FALSE))</f>
        <v/>
      </c>
      <c r="BE213" t="str">
        <f ca="1">IF(AND(ISNUMBER($BE$717),$B$511=1),$BE$717,HLOOKUP(INDIRECT(ADDRESS(2,COLUMN())),OFFSET($BN$2,0,0,ROW()-1,60),ROW()-1,FALSE))</f>
        <v/>
      </c>
      <c r="BF213" t="str">
        <f ca="1">IF(AND(ISNUMBER($BF$717),$B$511=1),$BF$717,HLOOKUP(INDIRECT(ADDRESS(2,COLUMN())),OFFSET($BN$2,0,0,ROW()-1,60),ROW()-1,FALSE))</f>
        <v/>
      </c>
      <c r="BG213" t="str">
        <f ca="1">IF(AND(ISNUMBER($BG$717),$B$511=1),$BG$717,HLOOKUP(INDIRECT(ADDRESS(2,COLUMN())),OFFSET($BN$2,0,0,ROW()-1,60),ROW()-1,FALSE))</f>
        <v/>
      </c>
      <c r="BH213" t="str">
        <f ca="1">IF(AND(ISNUMBER($BH$717),$B$511=1),$BH$717,HLOOKUP(INDIRECT(ADDRESS(2,COLUMN())),OFFSET($BN$2,0,0,ROW()-1,60),ROW()-1,FALSE))</f>
        <v/>
      </c>
      <c r="BI213" t="str">
        <f ca="1">IF(AND(ISNUMBER($BI$717),$B$511=1),$BI$717,HLOOKUP(INDIRECT(ADDRESS(2,COLUMN())),OFFSET($BN$2,0,0,ROW()-1,60),ROW()-1,FALSE))</f>
        <v/>
      </c>
      <c r="BJ213" t="str">
        <f ca="1">IF(AND(ISNUMBER($BJ$717),$B$511=1),$BJ$717,HLOOKUP(INDIRECT(ADDRESS(2,COLUMN())),OFFSET($BN$2,0,0,ROW()-1,60),ROW()-1,FALSE))</f>
        <v/>
      </c>
      <c r="BK213" t="str">
        <f ca="1">IF(AND(ISNUMBER($BK$717),$B$511=1),$BK$717,HLOOKUP(INDIRECT(ADDRESS(2,COLUMN())),OFFSET($BN$2,0,0,ROW()-1,60),ROW()-1,FALSE))</f>
        <v/>
      </c>
      <c r="BL213" t="str">
        <f ca="1">IF(AND(ISNUMBER($BL$717),$B$511=1),$BL$717,HLOOKUP(INDIRECT(ADDRESS(2,COLUMN())),OFFSET($BN$2,0,0,ROW()-1,60),ROW()-1,FALSE))</f>
        <v/>
      </c>
      <c r="BM213" t="str">
        <f ca="1">IF(AND(ISNUMBER($BM$717),$B$511=1),$BM$717,HLOOKUP(INDIRECT(ADDRESS(2,COLUMN())),OFFSET($BN$2,0,0,ROW()-1,60),ROW()-1,FALSE))</f>
        <v/>
      </c>
      <c r="BN213" t="str">
        <f>""</f>
        <v/>
      </c>
      <c r="BO213" t="str">
        <f>""</f>
        <v/>
      </c>
      <c r="BP213">
        <f>-1248.464903</f>
        <v>-1248.464903</v>
      </c>
      <c r="BQ213">
        <f>-1670.577838</f>
        <v>-1670.5778379999999</v>
      </c>
      <c r="BR213">
        <f>-1439.666592</f>
        <v>-1439.666592</v>
      </c>
      <c r="BS213">
        <f>-1598.09066</f>
        <v>-1598.0906600000001</v>
      </c>
      <c r="BT213">
        <f>-2179.209886</f>
        <v>-2179.2098860000001</v>
      </c>
      <c r="BU213">
        <f>-2889.144013</f>
        <v>-2889.1440130000001</v>
      </c>
      <c r="BV213">
        <f>-2790.496547</f>
        <v>-2790.4965470000002</v>
      </c>
      <c r="BW213">
        <f>-2563.312583</f>
        <v>-2563.3125829999999</v>
      </c>
      <c r="BX213">
        <f>-1899.00729</f>
        <v>-1899.00729</v>
      </c>
      <c r="BY213">
        <f>-2417.257169</f>
        <v>-2417.257169</v>
      </c>
      <c r="BZ213">
        <f>-2463.129726</f>
        <v>-2463.1297260000001</v>
      </c>
      <c r="CA213">
        <f>-1622.680093</f>
        <v>-1622.6800929999999</v>
      </c>
      <c r="CB213">
        <f>-2066.678112</f>
        <v>-2066.6781120000001</v>
      </c>
      <c r="CC213">
        <f>-1379.733054</f>
        <v>-1379.733054</v>
      </c>
      <c r="CD213">
        <f>-1050.405519</f>
        <v>-1050.4055189999999</v>
      </c>
      <c r="CE213">
        <f>-1652.226949</f>
        <v>-1652.2269490000001</v>
      </c>
      <c r="CF213">
        <f>-1625.042539</f>
        <v>-1625.042539</v>
      </c>
      <c r="CG213">
        <f>-1408.034267</f>
        <v>-1408.034267</v>
      </c>
      <c r="CH213">
        <f>-1037.206348</f>
        <v>-1037.2063479999999</v>
      </c>
      <c r="CI213">
        <f>-743.3337548</f>
        <v>-743.33375479999995</v>
      </c>
      <c r="CJ213">
        <f>-375.1181625</f>
        <v>-375.11816249999998</v>
      </c>
      <c r="CK213">
        <f>-381.8298645</f>
        <v>-381.82986449999999</v>
      </c>
      <c r="CL213">
        <f>-381.6427498</f>
        <v>-381.64274979999999</v>
      </c>
      <c r="CM213">
        <f>6.408483837</f>
        <v>6.4084838370000003</v>
      </c>
      <c r="CN213">
        <f>-210.5060392</f>
        <v>-210.5060392</v>
      </c>
      <c r="CO213">
        <f>-269.9421068</f>
        <v>-269.94210679999998</v>
      </c>
      <c r="CP213" t="str">
        <f>""</f>
        <v/>
      </c>
      <c r="CQ213" t="str">
        <f>""</f>
        <v/>
      </c>
      <c r="CR213" t="str">
        <f>""</f>
        <v/>
      </c>
      <c r="CS213" t="str">
        <f>""</f>
        <v/>
      </c>
      <c r="CT213" t="str">
        <f>""</f>
        <v/>
      </c>
      <c r="CU213" t="str">
        <f>""</f>
        <v/>
      </c>
      <c r="CV213" t="str">
        <f>""</f>
        <v/>
      </c>
      <c r="CW213" t="str">
        <f>""</f>
        <v/>
      </c>
      <c r="CX213" t="str">
        <f>""</f>
        <v/>
      </c>
      <c r="CY213" t="str">
        <f>""</f>
        <v/>
      </c>
      <c r="CZ213" t="str">
        <f>""</f>
        <v/>
      </c>
      <c r="DA213" t="str">
        <f>""</f>
        <v/>
      </c>
      <c r="DB213" t="str">
        <f>""</f>
        <v/>
      </c>
      <c r="DC213" t="str">
        <f>""</f>
        <v/>
      </c>
      <c r="DD213" t="str">
        <f>""</f>
        <v/>
      </c>
      <c r="DE213" t="str">
        <f>""</f>
        <v/>
      </c>
      <c r="DF213" t="str">
        <f>""</f>
        <v/>
      </c>
      <c r="DG213" t="str">
        <f>""</f>
        <v/>
      </c>
      <c r="DH213" t="str">
        <f>""</f>
        <v/>
      </c>
      <c r="DI213" t="str">
        <f>""</f>
        <v/>
      </c>
      <c r="DJ213" t="str">
        <f>""</f>
        <v/>
      </c>
      <c r="DK213" t="str">
        <f>""</f>
        <v/>
      </c>
      <c r="DL213" t="str">
        <f>""</f>
        <v/>
      </c>
      <c r="DM213" t="str">
        <f>""</f>
        <v/>
      </c>
      <c r="DN213" t="str">
        <f>""</f>
        <v/>
      </c>
      <c r="DO213" t="str">
        <f>""</f>
        <v/>
      </c>
      <c r="DP213" t="str">
        <f>""</f>
        <v/>
      </c>
      <c r="DQ213" t="str">
        <f>""</f>
        <v/>
      </c>
      <c r="DR213" t="str">
        <f>""</f>
        <v/>
      </c>
      <c r="DS213" t="str">
        <f>""</f>
        <v/>
      </c>
      <c r="DT213" t="str">
        <f>""</f>
        <v/>
      </c>
      <c r="DU213" t="str">
        <f>""</f>
        <v/>
      </c>
    </row>
    <row r="214" spans="1:125" x14ac:dyDescent="0.25">
      <c r="A214" t="str">
        <f>"    Chongqing Changan Automobile Co Ltd"</f>
        <v xml:space="preserve">    Chongqing Changan Automobile Co Ltd</v>
      </c>
      <c r="B214" t="str">
        <f>"200625 CH Equity"</f>
        <v>200625 CH Equity</v>
      </c>
      <c r="C214" t="str">
        <f t="shared" si="15"/>
        <v>RR843</v>
      </c>
      <c r="D214" t="str">
        <f t="shared" si="16"/>
        <v>TRAIL_12M_FREE_CASH_FLOW</v>
      </c>
      <c r="E214" t="str">
        <f t="shared" si="17"/>
        <v>Dynamic</v>
      </c>
      <c r="F214" t="str">
        <f ca="1">IF(AND(ISNUMBER($F$718),$B$511=1),$F$718,HLOOKUP(INDIRECT(ADDRESS(2,COLUMN())),OFFSET($BN$2,0,0,ROW()-1,60),ROW()-1,FALSE))</f>
        <v/>
      </c>
      <c r="G214" t="str">
        <f ca="1">IF(AND(ISNUMBER($G$718),$B$511=1),$G$718,HLOOKUP(INDIRECT(ADDRESS(2,COLUMN())),OFFSET($BN$2,0,0,ROW()-1,60),ROW()-1,FALSE))</f>
        <v/>
      </c>
      <c r="H214">
        <f ca="1">IF(AND(ISNUMBER($H$718),$B$511=1),$H$718,HLOOKUP(INDIRECT(ADDRESS(2,COLUMN())),OFFSET($BN$2,0,0,ROW()-1,60),ROW()-1,FALSE))</f>
        <v>-660.56153689999996</v>
      </c>
      <c r="I214">
        <f ca="1">IF(AND(ISNUMBER($I$718),$B$511=1),$I$718,HLOOKUP(INDIRECT(ADDRESS(2,COLUMN())),OFFSET($BN$2,0,0,ROW()-1,60),ROW()-1,FALSE))</f>
        <v>-338.45097909999998</v>
      </c>
      <c r="J214">
        <f ca="1">IF(AND(ISNUMBER($J$718),$B$511=1),$J$718,HLOOKUP(INDIRECT(ADDRESS(2,COLUMN())),OFFSET($BN$2,0,0,ROW()-1,60),ROW()-1,FALSE))</f>
        <v>190.13052490000001</v>
      </c>
      <c r="K214">
        <f ca="1">IF(AND(ISNUMBER($K$718),$B$511=1),$K$718,HLOOKUP(INDIRECT(ADDRESS(2,COLUMN())),OFFSET($BN$2,0,0,ROW()-1,60),ROW()-1,FALSE))</f>
        <v>582.02249389999997</v>
      </c>
      <c r="L214">
        <f ca="1">IF(AND(ISNUMBER($L$718),$B$511=1),$L$718,HLOOKUP(INDIRECT(ADDRESS(2,COLUMN())),OFFSET($BN$2,0,0,ROW()-1,60),ROW()-1,FALSE))</f>
        <v>456.83211699999998</v>
      </c>
      <c r="M214">
        <f ca="1">IF(AND(ISNUMBER($M$718),$B$511=1),$M$718,HLOOKUP(INDIRECT(ADDRESS(2,COLUMN())),OFFSET($BN$2,0,0,ROW()-1,60),ROW()-1,FALSE))</f>
        <v>1276.3290549999999</v>
      </c>
      <c r="N214">
        <f ca="1">IF(AND(ISNUMBER($N$718),$B$511=1),$N$718,HLOOKUP(INDIRECT(ADDRESS(2,COLUMN())),OFFSET($BN$2,0,0,ROW()-1,60),ROW()-1,FALSE))</f>
        <v>1541.8102819999999</v>
      </c>
      <c r="O214">
        <f ca="1">IF(AND(ISNUMBER($O$718),$B$511=1),$O$718,HLOOKUP(INDIRECT(ADDRESS(2,COLUMN())),OFFSET($BN$2,0,0,ROW()-1,60),ROW()-1,FALSE))</f>
        <v>1102.001624</v>
      </c>
      <c r="P214">
        <f ca="1">IF(AND(ISNUMBER($P$718),$B$511=1),$P$718,HLOOKUP(INDIRECT(ADDRESS(2,COLUMN())),OFFSET($BN$2,0,0,ROW()-1,60),ROW()-1,FALSE))</f>
        <v>1298.666974</v>
      </c>
      <c r="Q214">
        <f ca="1">IF(AND(ISNUMBER($Q$718),$B$511=1),$Q$718,HLOOKUP(INDIRECT(ADDRESS(2,COLUMN())),OFFSET($BN$2,0,0,ROW()-1,60),ROW()-1,FALSE))</f>
        <v>1817.3516159999999</v>
      </c>
      <c r="R214">
        <f ca="1">IF(AND(ISNUMBER($R$718),$B$511=1),$R$718,HLOOKUP(INDIRECT(ADDRESS(2,COLUMN())),OFFSET($BN$2,0,0,ROW()-1,60),ROW()-1,FALSE))</f>
        <v>1410.3911029999999</v>
      </c>
      <c r="S214">
        <f ca="1">IF(AND(ISNUMBER($S$718),$B$511=1),$S$718,HLOOKUP(INDIRECT(ADDRESS(2,COLUMN())),OFFSET($BN$2,0,0,ROW()-1,60),ROW()-1,FALSE))</f>
        <v>1693.4036289999999</v>
      </c>
      <c r="T214">
        <f ca="1">IF(AND(ISNUMBER($T$718),$B$511=1),$T$718,HLOOKUP(INDIRECT(ADDRESS(2,COLUMN())),OFFSET($BN$2,0,0,ROW()-1,60),ROW()-1,FALSE))</f>
        <v>1888.134039</v>
      </c>
      <c r="U214">
        <f ca="1">IF(AND(ISNUMBER($U$718),$B$511=1),$U$718,HLOOKUP(INDIRECT(ADDRESS(2,COLUMN())),OFFSET($BN$2,0,0,ROW()-1,60),ROW()-1,FALSE))</f>
        <v>1228.953074</v>
      </c>
      <c r="V214">
        <f ca="1">IF(AND(ISNUMBER($V$718),$B$511=1),$V$718,HLOOKUP(INDIRECT(ADDRESS(2,COLUMN())),OFFSET($BN$2,0,0,ROW()-1,60),ROW()-1,FALSE))</f>
        <v>1836.909083</v>
      </c>
      <c r="W214">
        <f ca="1">IF(AND(ISNUMBER($W$718),$B$511=1),$W$718,HLOOKUP(INDIRECT(ADDRESS(2,COLUMN())),OFFSET($BN$2,0,0,ROW()-1,60),ROW()-1,FALSE))</f>
        <v>1466.6432400000001</v>
      </c>
      <c r="X214">
        <f ca="1">IF(AND(ISNUMBER($X$718),$B$511=1),$X$718,HLOOKUP(INDIRECT(ADDRESS(2,COLUMN())),OFFSET($BN$2,0,0,ROW()-1,60),ROW()-1,FALSE))</f>
        <v>957.78436929999998</v>
      </c>
      <c r="Y214">
        <f ca="1">IF(AND(ISNUMBER($Y$718),$B$511=1),$Y$718,HLOOKUP(INDIRECT(ADDRESS(2,COLUMN())),OFFSET($BN$2,0,0,ROW()-1,60),ROW()-1,FALSE))</f>
        <v>552.68386520000001</v>
      </c>
      <c r="Z214">
        <f ca="1">IF(AND(ISNUMBER($Z$718),$B$511=1),$Z$718,HLOOKUP(INDIRECT(ADDRESS(2,COLUMN())),OFFSET($BN$2,0,0,ROW()-1,60),ROW()-1,FALSE))</f>
        <v>-106.58728290000001</v>
      </c>
      <c r="AA214">
        <f ca="1">IF(AND(ISNUMBER($AA$718),$B$511=1),$AA$718,HLOOKUP(INDIRECT(ADDRESS(2,COLUMN())),OFFSET($BN$2,0,0,ROW()-1,60),ROW()-1,FALSE))</f>
        <v>58.686609529999998</v>
      </c>
      <c r="AB214">
        <f ca="1">IF(AND(ISNUMBER($AB$718),$B$511=1),$AB$718,HLOOKUP(INDIRECT(ADDRESS(2,COLUMN())),OFFSET($BN$2,0,0,ROW()-1,60),ROW()-1,FALSE))</f>
        <v>345.6774241</v>
      </c>
      <c r="AC214">
        <f ca="1">IF(AND(ISNUMBER($AC$718),$B$511=1),$AC$718,HLOOKUP(INDIRECT(ADDRESS(2,COLUMN())),OFFSET($BN$2,0,0,ROW()-1,60),ROW()-1,FALSE))</f>
        <v>480.0249748</v>
      </c>
      <c r="AD214">
        <f ca="1">IF(AND(ISNUMBER($AD$718),$B$511=1),$AD$718,HLOOKUP(INDIRECT(ADDRESS(2,COLUMN())),OFFSET($BN$2,0,0,ROW()-1,60),ROW()-1,FALSE))</f>
        <v>-1.8469138270000001</v>
      </c>
      <c r="AE214">
        <f ca="1">IF(AND(ISNUMBER($AE$718),$B$511=1),$AE$718,HLOOKUP(INDIRECT(ADDRESS(2,COLUMN())),OFFSET($BN$2,0,0,ROW()-1,60),ROW()-1,FALSE))</f>
        <v>-416.90403759999998</v>
      </c>
      <c r="AF214">
        <f ca="1">IF(AND(ISNUMBER($AF$718),$B$511=1),$AF$718,HLOOKUP(INDIRECT(ADDRESS(2,COLUMN())),OFFSET($BN$2,0,0,ROW()-1,60),ROW()-1,FALSE))</f>
        <v>-1033.1286259999999</v>
      </c>
      <c r="AG214">
        <f ca="1">IF(AND(ISNUMBER($AG$718),$B$511=1),$AG$718,HLOOKUP(INDIRECT(ADDRESS(2,COLUMN())),OFFSET($BN$2,0,0,ROW()-1,60),ROW()-1,FALSE))</f>
        <v>-1020.858308</v>
      </c>
      <c r="AH214">
        <f ca="1">IF(AND(ISNUMBER($AH$718),$B$511=1),$AH$718,HLOOKUP(INDIRECT(ADDRESS(2,COLUMN())),OFFSET($BN$2,0,0,ROW()-1,60),ROW()-1,FALSE))</f>
        <v>-944.3179222</v>
      </c>
      <c r="AI214">
        <f ca="1">IF(AND(ISNUMBER($AI$718),$B$511=1),$AI$718,HLOOKUP(INDIRECT(ADDRESS(2,COLUMN())),OFFSET($BN$2,0,0,ROW()-1,60),ROW()-1,FALSE))</f>
        <v>-599.00819879999995</v>
      </c>
      <c r="AJ214">
        <f ca="1">IF(AND(ISNUMBER($AJ$718),$B$511=1),$AJ$718,HLOOKUP(INDIRECT(ADDRESS(2,COLUMN())),OFFSET($BN$2,0,0,ROW()-1,60),ROW()-1,FALSE))</f>
        <v>-351.70011190000002</v>
      </c>
      <c r="AK214">
        <f ca="1">IF(AND(ISNUMBER($AK$718),$B$511=1),$AK$718,HLOOKUP(INDIRECT(ADDRESS(2,COLUMN())),OFFSET($BN$2,0,0,ROW()-1,60),ROW()-1,FALSE))</f>
        <v>-73.503828630000001</v>
      </c>
      <c r="AL214">
        <f ca="1">IF(AND(ISNUMBER($AL$718),$B$511=1),$AL$718,HLOOKUP(INDIRECT(ADDRESS(2,COLUMN())),OFFSET($BN$2,0,0,ROW()-1,60),ROW()-1,FALSE))</f>
        <v>346.04528579999999</v>
      </c>
      <c r="AM214">
        <f ca="1">IF(AND(ISNUMBER($AM$718),$B$511=1),$AM$718,HLOOKUP(INDIRECT(ADDRESS(2,COLUMN())),OFFSET($BN$2,0,0,ROW()-1,60),ROW()-1,FALSE))</f>
        <v>253.62212339999999</v>
      </c>
      <c r="AN214">
        <f ca="1">IF(AND(ISNUMBER($AN$718),$B$511=1),$AN$718,HLOOKUP(INDIRECT(ADDRESS(2,COLUMN())),OFFSET($BN$2,0,0,ROW()-1,60),ROW()-1,FALSE))</f>
        <v>462.19427689999998</v>
      </c>
      <c r="AO214">
        <f ca="1">IF(AND(ISNUMBER($AO$718),$B$511=1),$AO$718,HLOOKUP(INDIRECT(ADDRESS(2,COLUMN())),OFFSET($BN$2,0,0,ROW()-1,60),ROW()-1,FALSE))</f>
        <v>506.06490480000002</v>
      </c>
      <c r="AP214">
        <f ca="1">IF(AND(ISNUMBER($AP$718),$B$511=1),$AP$718,HLOOKUP(INDIRECT(ADDRESS(2,COLUMN())),OFFSET($BN$2,0,0,ROW()-1,60),ROW()-1,FALSE))</f>
        <v>267.6502271</v>
      </c>
      <c r="AQ214">
        <f ca="1">IF(AND(ISNUMBER($AQ$718),$B$511=1),$AQ$718,HLOOKUP(INDIRECT(ADDRESS(2,COLUMN())),OFFSET($BN$2,0,0,ROW()-1,60),ROW()-1,FALSE))</f>
        <v>309.06173749999999</v>
      </c>
      <c r="AR214">
        <f ca="1">IF(AND(ISNUMBER($AR$718),$B$511=1),$AR$718,HLOOKUP(INDIRECT(ADDRESS(2,COLUMN())),OFFSET($BN$2,0,0,ROW()-1,60),ROW()-1,FALSE))</f>
        <v>334.15540090000002</v>
      </c>
      <c r="AS214">
        <f ca="1">IF(AND(ISNUMBER($AS$718),$B$511=1),$AS$718,HLOOKUP(INDIRECT(ADDRESS(2,COLUMN())),OFFSET($BN$2,0,0,ROW()-1,60),ROW()-1,FALSE))</f>
        <v>190.69836419999999</v>
      </c>
      <c r="AT214">
        <f ca="1">IF(AND(ISNUMBER($AT$718),$B$511=1),$AT$718,HLOOKUP(INDIRECT(ADDRESS(2,COLUMN())),OFFSET($BN$2,0,0,ROW()-1,60),ROW()-1,FALSE))</f>
        <v>173.16126779999999</v>
      </c>
      <c r="AU214">
        <f ca="1">IF(AND(ISNUMBER($AU$718),$B$511=1),$AU$718,HLOOKUP(INDIRECT(ADDRESS(2,COLUMN())),OFFSET($BN$2,0,0,ROW()-1,60),ROW()-1,FALSE))</f>
        <v>46.779729959999997</v>
      </c>
      <c r="AV214">
        <f ca="1">IF(AND(ISNUMBER($AV$718),$B$511=1),$AV$718,HLOOKUP(INDIRECT(ADDRESS(2,COLUMN())),OFFSET($BN$2,0,0,ROW()-1,60),ROW()-1,FALSE))</f>
        <v>33.168811910000002</v>
      </c>
      <c r="AW214">
        <f ca="1">IF(AND(ISNUMBER($AW$718),$B$511=1),$AW$718,HLOOKUP(INDIRECT(ADDRESS(2,COLUMN())),OFFSET($BN$2,0,0,ROW()-1,60),ROW()-1,FALSE))</f>
        <v>-40.065859109999998</v>
      </c>
      <c r="AX214">
        <f ca="1">IF(AND(ISNUMBER($AX$718),$B$511=1),$AX$718,HLOOKUP(INDIRECT(ADDRESS(2,COLUMN())),OFFSET($BN$2,0,0,ROW()-1,60),ROW()-1,FALSE))</f>
        <v>0.119194119</v>
      </c>
      <c r="AY214">
        <f ca="1">IF(AND(ISNUMBER($AY$718),$B$511=1),$AY$718,HLOOKUP(INDIRECT(ADDRESS(2,COLUMN())),OFFSET($BN$2,0,0,ROW()-1,60),ROW()-1,FALSE))</f>
        <v>109.1661004</v>
      </c>
      <c r="AZ214">
        <f ca="1">IF(AND(ISNUMBER($AZ$718),$B$511=1),$AZ$718,HLOOKUP(INDIRECT(ADDRESS(2,COLUMN())),OFFSET($BN$2,0,0,ROW()-1,60),ROW()-1,FALSE))</f>
        <v>211.10287489999999</v>
      </c>
      <c r="BA214">
        <f ca="1">IF(AND(ISNUMBER($BA$718),$B$511=1),$BA$718,HLOOKUP(INDIRECT(ADDRESS(2,COLUMN())),OFFSET($BN$2,0,0,ROW()-1,60),ROW()-1,FALSE))</f>
        <v>235.1635225</v>
      </c>
      <c r="BB214">
        <f ca="1">IF(AND(ISNUMBER($BB$718),$B$511=1),$BB$718,HLOOKUP(INDIRECT(ADDRESS(2,COLUMN())),OFFSET($BN$2,0,0,ROW()-1,60),ROW()-1,FALSE))</f>
        <v>22.027273869999998</v>
      </c>
      <c r="BC214">
        <f ca="1">IF(AND(ISNUMBER($BC$718),$B$511=1),$BC$718,HLOOKUP(INDIRECT(ADDRESS(2,COLUMN())),OFFSET($BN$2,0,0,ROW()-1,60),ROW()-1,FALSE))</f>
        <v>-98.806903410000004</v>
      </c>
      <c r="BD214">
        <f ca="1">IF(AND(ISNUMBER($BD$718),$B$511=1),$BD$718,HLOOKUP(INDIRECT(ADDRESS(2,COLUMN())),OFFSET($BN$2,0,0,ROW()-1,60),ROW()-1,FALSE))</f>
        <v>-132.89070380000001</v>
      </c>
      <c r="BE214">
        <f ca="1">IF(AND(ISNUMBER($BE$718),$B$511=1),$BE$718,HLOOKUP(INDIRECT(ADDRESS(2,COLUMN())),OFFSET($BN$2,0,0,ROW()-1,60),ROW()-1,FALSE))</f>
        <v>-204.09460780000001</v>
      </c>
      <c r="BF214">
        <f ca="1">IF(AND(ISNUMBER($BF$718),$B$511=1),$BF$718,HLOOKUP(INDIRECT(ADDRESS(2,COLUMN())),OFFSET($BN$2,0,0,ROW()-1,60),ROW()-1,FALSE))</f>
        <v>-227.87777259999999</v>
      </c>
      <c r="BG214">
        <f ca="1">IF(AND(ISNUMBER($BG$718),$B$511=1),$BG$718,HLOOKUP(INDIRECT(ADDRESS(2,COLUMN())),OFFSET($BN$2,0,0,ROW()-1,60),ROW()-1,FALSE))</f>
        <v>-56.94176993</v>
      </c>
      <c r="BH214">
        <f ca="1">IF(AND(ISNUMBER($BH$718),$B$511=1),$BH$718,HLOOKUP(INDIRECT(ADDRESS(2,COLUMN())),OFFSET($BN$2,0,0,ROW()-1,60),ROW()-1,FALSE))</f>
        <v>-73.322622179999996</v>
      </c>
      <c r="BI214" t="str">
        <f ca="1">IF(AND(ISNUMBER($BI$718),$B$511=1),$BI$718,HLOOKUP(INDIRECT(ADDRESS(2,COLUMN())),OFFSET($BN$2,0,0,ROW()-1,60),ROW()-1,FALSE))</f>
        <v/>
      </c>
      <c r="BJ214" t="str">
        <f ca="1">IF(AND(ISNUMBER($BJ$718),$B$511=1),$BJ$718,HLOOKUP(INDIRECT(ADDRESS(2,COLUMN())),OFFSET($BN$2,0,0,ROW()-1,60),ROW()-1,FALSE))</f>
        <v/>
      </c>
      <c r="BK214" t="str">
        <f ca="1">IF(AND(ISNUMBER($BK$718),$B$511=1),$BK$718,HLOOKUP(INDIRECT(ADDRESS(2,COLUMN())),OFFSET($BN$2,0,0,ROW()-1,60),ROW()-1,FALSE))</f>
        <v/>
      </c>
      <c r="BL214" t="str">
        <f ca="1">IF(AND(ISNUMBER($BL$718),$B$511=1),$BL$718,HLOOKUP(INDIRECT(ADDRESS(2,COLUMN())),OFFSET($BN$2,0,0,ROW()-1,60),ROW()-1,FALSE))</f>
        <v/>
      </c>
      <c r="BM214" t="str">
        <f ca="1">IF(AND(ISNUMBER($BM$718),$B$511=1),$BM$718,HLOOKUP(INDIRECT(ADDRESS(2,COLUMN())),OFFSET($BN$2,0,0,ROW()-1,60),ROW()-1,FALSE))</f>
        <v/>
      </c>
      <c r="BN214" t="str">
        <f>""</f>
        <v/>
      </c>
      <c r="BO214" t="str">
        <f>""</f>
        <v/>
      </c>
      <c r="BP214">
        <f>-660.5615369</f>
        <v>-660.56153689999996</v>
      </c>
      <c r="BQ214">
        <f>-338.4509791</f>
        <v>-338.45097909999998</v>
      </c>
      <c r="BR214">
        <f>190.1305249</f>
        <v>190.13052490000001</v>
      </c>
      <c r="BS214">
        <f>582.0224939</f>
        <v>582.02249389999997</v>
      </c>
      <c r="BT214">
        <f>456.832117</f>
        <v>456.83211699999998</v>
      </c>
      <c r="BU214">
        <f>1276.329055</f>
        <v>1276.3290549999999</v>
      </c>
      <c r="BV214">
        <f>1541.810282</f>
        <v>1541.8102819999999</v>
      </c>
      <c r="BW214">
        <f>1102.001624</f>
        <v>1102.001624</v>
      </c>
      <c r="BX214">
        <f>1298.666974</f>
        <v>1298.666974</v>
      </c>
      <c r="BY214">
        <f>1817.351616</f>
        <v>1817.3516159999999</v>
      </c>
      <c r="BZ214">
        <f>1410.391103</f>
        <v>1410.3911029999999</v>
      </c>
      <c r="CA214">
        <f>1693.403629</f>
        <v>1693.4036289999999</v>
      </c>
      <c r="CB214">
        <f>1888.134039</f>
        <v>1888.134039</v>
      </c>
      <c r="CC214">
        <f>1228.953074</f>
        <v>1228.953074</v>
      </c>
      <c r="CD214">
        <f>1836.909083</f>
        <v>1836.909083</v>
      </c>
      <c r="CE214">
        <f>1466.64324</f>
        <v>1466.6432400000001</v>
      </c>
      <c r="CF214">
        <f>957.7843693</f>
        <v>957.78436929999998</v>
      </c>
      <c r="CG214">
        <f>552.6838652</f>
        <v>552.68386520000001</v>
      </c>
      <c r="CH214">
        <f>-106.5872829</f>
        <v>-106.58728290000001</v>
      </c>
      <c r="CI214">
        <f>58.68660953</f>
        <v>58.686609529999998</v>
      </c>
      <c r="CJ214">
        <f>345.6774241</f>
        <v>345.6774241</v>
      </c>
      <c r="CK214">
        <f>480.0249748</f>
        <v>480.0249748</v>
      </c>
      <c r="CL214">
        <f>-1.846913827</f>
        <v>-1.8469138270000001</v>
      </c>
      <c r="CM214">
        <f>-416.9040376</f>
        <v>-416.90403759999998</v>
      </c>
      <c r="CN214">
        <f>-1033.128626</f>
        <v>-1033.1286259999999</v>
      </c>
      <c r="CO214">
        <f>-1020.858308</f>
        <v>-1020.858308</v>
      </c>
      <c r="CP214">
        <f>-944.3179222</f>
        <v>-944.3179222</v>
      </c>
      <c r="CQ214">
        <f>-599.0081988</f>
        <v>-599.00819879999995</v>
      </c>
      <c r="CR214">
        <f>-351.7001119</f>
        <v>-351.70011190000002</v>
      </c>
      <c r="CS214">
        <f>-73.50382863</f>
        <v>-73.503828630000001</v>
      </c>
      <c r="CT214">
        <f>346.0452858</f>
        <v>346.04528579999999</v>
      </c>
      <c r="CU214">
        <f>253.6221234</f>
        <v>253.62212339999999</v>
      </c>
      <c r="CV214">
        <f>462.1942769</f>
        <v>462.19427689999998</v>
      </c>
      <c r="CW214">
        <f>506.0649048</f>
        <v>506.06490480000002</v>
      </c>
      <c r="CX214">
        <f>267.6502271</f>
        <v>267.6502271</v>
      </c>
      <c r="CY214">
        <f>309.0617375</f>
        <v>309.06173749999999</v>
      </c>
      <c r="CZ214">
        <f>334.1554009</f>
        <v>334.15540090000002</v>
      </c>
      <c r="DA214">
        <f>190.6983642</f>
        <v>190.69836419999999</v>
      </c>
      <c r="DB214">
        <f>173.1612678</f>
        <v>173.16126779999999</v>
      </c>
      <c r="DC214">
        <f>46.77972996</f>
        <v>46.779729959999997</v>
      </c>
      <c r="DD214">
        <f>33.16881191</f>
        <v>33.168811910000002</v>
      </c>
      <c r="DE214">
        <f>-40.06585911</f>
        <v>-40.065859109999998</v>
      </c>
      <c r="DF214">
        <f>0.119194119</f>
        <v>0.119194119</v>
      </c>
      <c r="DG214">
        <f>109.1661004</f>
        <v>109.1661004</v>
      </c>
      <c r="DH214">
        <f>211.1028749</f>
        <v>211.10287489999999</v>
      </c>
      <c r="DI214">
        <f>235.1635225</f>
        <v>235.1635225</v>
      </c>
      <c r="DJ214">
        <f>22.02727387</f>
        <v>22.027273869999998</v>
      </c>
      <c r="DK214">
        <f>-98.80690341</f>
        <v>-98.806903410000004</v>
      </c>
      <c r="DL214">
        <f>-132.8907038</f>
        <v>-132.89070380000001</v>
      </c>
      <c r="DM214">
        <f>-204.0946078</f>
        <v>-204.09460780000001</v>
      </c>
      <c r="DN214">
        <f>-227.8777726</f>
        <v>-227.87777259999999</v>
      </c>
      <c r="DO214">
        <f>-56.94176993</f>
        <v>-56.94176993</v>
      </c>
      <c r="DP214">
        <f>-73.32262218</f>
        <v>-73.322622179999996</v>
      </c>
      <c r="DQ214" t="str">
        <f>""</f>
        <v/>
      </c>
      <c r="DR214" t="str">
        <f>""</f>
        <v/>
      </c>
      <c r="DS214" t="str">
        <f>""</f>
        <v/>
      </c>
      <c r="DT214" t="str">
        <f>""</f>
        <v/>
      </c>
      <c r="DU214" t="str">
        <f>""</f>
        <v/>
      </c>
    </row>
    <row r="215" spans="1:125" x14ac:dyDescent="0.25">
      <c r="A215" t="str">
        <f>"    Daihatsu Motor Co Ltd"</f>
        <v xml:space="preserve">    Daihatsu Motor Co Ltd</v>
      </c>
      <c r="B215" t="str">
        <f>"7262 JP Equity"</f>
        <v>7262 JP Equity</v>
      </c>
      <c r="C215" t="str">
        <f t="shared" si="15"/>
        <v>RR843</v>
      </c>
      <c r="D215" t="str">
        <f t="shared" si="16"/>
        <v>TRAIL_12M_FREE_CASH_FLOW</v>
      </c>
      <c r="E215" t="str">
        <f t="shared" si="17"/>
        <v>Dynamic</v>
      </c>
      <c r="F215" t="str">
        <f ca="1">IF(AND(ISNUMBER($F$719),$B$511=1),$F$719,HLOOKUP(INDIRECT(ADDRESS(2,COLUMN())),OFFSET($BN$2,0,0,ROW()-1,60),ROW()-1,FALSE))</f>
        <v/>
      </c>
      <c r="G215" t="str">
        <f ca="1">IF(AND(ISNUMBER($G$719),$B$511=1),$G$719,HLOOKUP(INDIRECT(ADDRESS(2,COLUMN())),OFFSET($BN$2,0,0,ROW()-1,60),ROW()-1,FALSE))</f>
        <v/>
      </c>
      <c r="H215" t="str">
        <f ca="1">IF(AND(ISNUMBER($H$719),$B$511=1),$H$719,HLOOKUP(INDIRECT(ADDRESS(2,COLUMN())),OFFSET($BN$2,0,0,ROW()-1,60),ROW()-1,FALSE))</f>
        <v/>
      </c>
      <c r="I215" t="str">
        <f ca="1">IF(AND(ISNUMBER($I$719),$B$511=1),$I$719,HLOOKUP(INDIRECT(ADDRESS(2,COLUMN())),OFFSET($BN$2,0,0,ROW()-1,60),ROW()-1,FALSE))</f>
        <v/>
      </c>
      <c r="J215" t="str">
        <f ca="1">IF(AND(ISNUMBER($J$719),$B$511=1),$J$719,HLOOKUP(INDIRECT(ADDRESS(2,COLUMN())),OFFSET($BN$2,0,0,ROW()-1,60),ROW()-1,FALSE))</f>
        <v/>
      </c>
      <c r="K215" t="str">
        <f ca="1">IF(AND(ISNUMBER($K$719),$B$511=1),$K$719,HLOOKUP(INDIRECT(ADDRESS(2,COLUMN())),OFFSET($BN$2,0,0,ROW()-1,60),ROW()-1,FALSE))</f>
        <v/>
      </c>
      <c r="L215" t="str">
        <f ca="1">IF(AND(ISNUMBER($L$719),$B$511=1),$L$719,HLOOKUP(INDIRECT(ADDRESS(2,COLUMN())),OFFSET($BN$2,0,0,ROW()-1,60),ROW()-1,FALSE))</f>
        <v/>
      </c>
      <c r="M215" t="str">
        <f ca="1">IF(AND(ISNUMBER($M$719),$B$511=1),$M$719,HLOOKUP(INDIRECT(ADDRESS(2,COLUMN())),OFFSET($BN$2,0,0,ROW()-1,60),ROW()-1,FALSE))</f>
        <v/>
      </c>
      <c r="N215" t="str">
        <f ca="1">IF(AND(ISNUMBER($N$719),$B$511=1),$N$719,HLOOKUP(INDIRECT(ADDRESS(2,COLUMN())),OFFSET($BN$2,0,0,ROW()-1,60),ROW()-1,FALSE))</f>
        <v/>
      </c>
      <c r="O215" t="str">
        <f ca="1">IF(AND(ISNUMBER($O$719),$B$511=1),$O$719,HLOOKUP(INDIRECT(ADDRESS(2,COLUMN())),OFFSET($BN$2,0,0,ROW()-1,60),ROW()-1,FALSE))</f>
        <v/>
      </c>
      <c r="P215" t="str">
        <f ca="1">IF(AND(ISNUMBER($P$719),$B$511=1),$P$719,HLOOKUP(INDIRECT(ADDRESS(2,COLUMN())),OFFSET($BN$2,0,0,ROW()-1,60),ROW()-1,FALSE))</f>
        <v/>
      </c>
      <c r="Q215" t="str">
        <f ca="1">IF(AND(ISNUMBER($Q$719),$B$511=1),$Q$719,HLOOKUP(INDIRECT(ADDRESS(2,COLUMN())),OFFSET($BN$2,0,0,ROW()-1,60),ROW()-1,FALSE))</f>
        <v/>
      </c>
      <c r="R215" t="str">
        <f ca="1">IF(AND(ISNUMBER($R$719),$B$511=1),$R$719,HLOOKUP(INDIRECT(ADDRESS(2,COLUMN())),OFFSET($BN$2,0,0,ROW()-1,60),ROW()-1,FALSE))</f>
        <v/>
      </c>
      <c r="S215" t="str">
        <f ca="1">IF(AND(ISNUMBER($S$719),$B$511=1),$S$719,HLOOKUP(INDIRECT(ADDRESS(2,COLUMN())),OFFSET($BN$2,0,0,ROW()-1,60),ROW()-1,FALSE))</f>
        <v/>
      </c>
      <c r="T215" t="str">
        <f ca="1">IF(AND(ISNUMBER($T$719),$B$511=1),$T$719,HLOOKUP(INDIRECT(ADDRESS(2,COLUMN())),OFFSET($BN$2,0,0,ROW()-1,60),ROW()-1,FALSE))</f>
        <v/>
      </c>
      <c r="U215" t="str">
        <f ca="1">IF(AND(ISNUMBER($U$719),$B$511=1),$U$719,HLOOKUP(INDIRECT(ADDRESS(2,COLUMN())),OFFSET($BN$2,0,0,ROW()-1,60),ROW()-1,FALSE))</f>
        <v/>
      </c>
      <c r="V215" t="str">
        <f ca="1">IF(AND(ISNUMBER($V$719),$B$511=1),$V$719,HLOOKUP(INDIRECT(ADDRESS(2,COLUMN())),OFFSET($BN$2,0,0,ROW()-1,60),ROW()-1,FALSE))</f>
        <v/>
      </c>
      <c r="W215" t="str">
        <f ca="1">IF(AND(ISNUMBER($W$719),$B$511=1),$W$719,HLOOKUP(INDIRECT(ADDRESS(2,COLUMN())),OFFSET($BN$2,0,0,ROW()-1,60),ROW()-1,FALSE))</f>
        <v/>
      </c>
      <c r="X215" t="str">
        <f ca="1">IF(AND(ISNUMBER($X$719),$B$511=1),$X$719,HLOOKUP(INDIRECT(ADDRESS(2,COLUMN())),OFFSET($BN$2,0,0,ROW()-1,60),ROW()-1,FALSE))</f>
        <v/>
      </c>
      <c r="Y215" t="str">
        <f ca="1">IF(AND(ISNUMBER($Y$719),$B$511=1),$Y$719,HLOOKUP(INDIRECT(ADDRESS(2,COLUMN())),OFFSET($BN$2,0,0,ROW()-1,60),ROW()-1,FALSE))</f>
        <v/>
      </c>
      <c r="Z215" t="str">
        <f ca="1">IF(AND(ISNUMBER($Z$719),$B$511=1),$Z$719,HLOOKUP(INDIRECT(ADDRESS(2,COLUMN())),OFFSET($BN$2,0,0,ROW()-1,60),ROW()-1,FALSE))</f>
        <v/>
      </c>
      <c r="AA215" t="str">
        <f ca="1">IF(AND(ISNUMBER($AA$719),$B$511=1),$AA$719,HLOOKUP(INDIRECT(ADDRESS(2,COLUMN())),OFFSET($BN$2,0,0,ROW()-1,60),ROW()-1,FALSE))</f>
        <v/>
      </c>
      <c r="AB215" t="str">
        <f ca="1">IF(AND(ISNUMBER($AB$719),$B$511=1),$AB$719,HLOOKUP(INDIRECT(ADDRESS(2,COLUMN())),OFFSET($BN$2,0,0,ROW()-1,60),ROW()-1,FALSE))</f>
        <v/>
      </c>
      <c r="AC215" t="str">
        <f ca="1">IF(AND(ISNUMBER($AC$719),$B$511=1),$AC$719,HLOOKUP(INDIRECT(ADDRESS(2,COLUMN())),OFFSET($BN$2,0,0,ROW()-1,60),ROW()-1,FALSE))</f>
        <v/>
      </c>
      <c r="AD215" t="str">
        <f ca="1">IF(AND(ISNUMBER($AD$719),$B$511=1),$AD$719,HLOOKUP(INDIRECT(ADDRESS(2,COLUMN())),OFFSET($BN$2,0,0,ROW()-1,60),ROW()-1,FALSE))</f>
        <v/>
      </c>
      <c r="AE215" t="str">
        <f ca="1">IF(AND(ISNUMBER($AE$719),$B$511=1),$AE$719,HLOOKUP(INDIRECT(ADDRESS(2,COLUMN())),OFFSET($BN$2,0,0,ROW()-1,60),ROW()-1,FALSE))</f>
        <v/>
      </c>
      <c r="AF215" t="str">
        <f ca="1">IF(AND(ISNUMBER($AF$719),$B$511=1),$AF$719,HLOOKUP(INDIRECT(ADDRESS(2,COLUMN())),OFFSET($BN$2,0,0,ROW()-1,60),ROW()-1,FALSE))</f>
        <v/>
      </c>
      <c r="AG215" t="str">
        <f ca="1">IF(AND(ISNUMBER($AG$719),$B$511=1),$AG$719,HLOOKUP(INDIRECT(ADDRESS(2,COLUMN())),OFFSET($BN$2,0,0,ROW()-1,60),ROW()-1,FALSE))</f>
        <v/>
      </c>
      <c r="AH215" t="str">
        <f ca="1">IF(AND(ISNUMBER($AH$719),$B$511=1),$AH$719,HLOOKUP(INDIRECT(ADDRESS(2,COLUMN())),OFFSET($BN$2,0,0,ROW()-1,60),ROW()-1,FALSE))</f>
        <v/>
      </c>
      <c r="AI215" t="str">
        <f ca="1">IF(AND(ISNUMBER($AI$719),$B$511=1),$AI$719,HLOOKUP(INDIRECT(ADDRESS(2,COLUMN())),OFFSET($BN$2,0,0,ROW()-1,60),ROW()-1,FALSE))</f>
        <v/>
      </c>
      <c r="AJ215" t="str">
        <f ca="1">IF(AND(ISNUMBER($AJ$719),$B$511=1),$AJ$719,HLOOKUP(INDIRECT(ADDRESS(2,COLUMN())),OFFSET($BN$2,0,0,ROW()-1,60),ROW()-1,FALSE))</f>
        <v/>
      </c>
      <c r="AK215" t="str">
        <f ca="1">IF(AND(ISNUMBER($AK$719),$B$511=1),$AK$719,HLOOKUP(INDIRECT(ADDRESS(2,COLUMN())),OFFSET($BN$2,0,0,ROW()-1,60),ROW()-1,FALSE))</f>
        <v/>
      </c>
      <c r="AL215">
        <f ca="1">IF(AND(ISNUMBER($AL$719),$B$511=1),$AL$719,HLOOKUP(INDIRECT(ADDRESS(2,COLUMN())),OFFSET($BN$2,0,0,ROW()-1,60),ROW()-1,FALSE))</f>
        <v>1224.8407159999999</v>
      </c>
      <c r="AM215">
        <f ca="1">IF(AND(ISNUMBER($AM$719),$B$511=1),$AM$719,HLOOKUP(INDIRECT(ADDRESS(2,COLUMN())),OFFSET($BN$2,0,0,ROW()-1,60),ROW()-1,FALSE))</f>
        <v>1479.6832770000001</v>
      </c>
      <c r="AN215">
        <f ca="1">IF(AND(ISNUMBER($AN$719),$B$511=1),$AN$719,HLOOKUP(INDIRECT(ADDRESS(2,COLUMN())),OFFSET($BN$2,0,0,ROW()-1,60),ROW()-1,FALSE))</f>
        <v>1772.5683180000001</v>
      </c>
      <c r="AO215">
        <f ca="1">IF(AND(ISNUMBER($AO$719),$B$511=1),$AO$719,HLOOKUP(INDIRECT(ADDRESS(2,COLUMN())),OFFSET($BN$2,0,0,ROW()-1,60),ROW()-1,FALSE))</f>
        <v>1499.3921869999999</v>
      </c>
      <c r="AP215">
        <f ca="1">IF(AND(ISNUMBER($AP$719),$B$511=1),$AP$719,HLOOKUP(INDIRECT(ADDRESS(2,COLUMN())),OFFSET($BN$2,0,0,ROW()-1,60),ROW()-1,FALSE))</f>
        <v>916.12816420000001</v>
      </c>
      <c r="AQ215">
        <f ca="1">IF(AND(ISNUMBER($AQ$719),$B$511=1),$AQ$719,HLOOKUP(INDIRECT(ADDRESS(2,COLUMN())),OFFSET($BN$2,0,0,ROW()-1,60),ROW()-1,FALSE))</f>
        <v>273.82468990000001</v>
      </c>
      <c r="AR215">
        <f ca="1">IF(AND(ISNUMBER($AR$719),$B$511=1),$AR$719,HLOOKUP(INDIRECT(ADDRESS(2,COLUMN())),OFFSET($BN$2,0,0,ROW()-1,60),ROW()-1,FALSE))</f>
        <v>-227.76714430000001</v>
      </c>
      <c r="AS215">
        <f ca="1">IF(AND(ISNUMBER($AS$719),$B$511=1),$AS$719,HLOOKUP(INDIRECT(ADDRESS(2,COLUMN())),OFFSET($BN$2,0,0,ROW()-1,60),ROW()-1,FALSE))</f>
        <v>-261.05619389999998</v>
      </c>
      <c r="AT215">
        <f ca="1">IF(AND(ISNUMBER($AT$719),$B$511=1),$AT$719,HLOOKUP(INDIRECT(ADDRESS(2,COLUMN())),OFFSET($BN$2,0,0,ROW()-1,60),ROW()-1,FALSE))</f>
        <v>-110.93902009999999</v>
      </c>
      <c r="AU215">
        <f ca="1">IF(AND(ISNUMBER($AU$719),$B$511=1),$AU$719,HLOOKUP(INDIRECT(ADDRESS(2,COLUMN())),OFFSET($BN$2,0,0,ROW()-1,60),ROW()-1,FALSE))</f>
        <v>75.323717779999996</v>
      </c>
      <c r="AV215">
        <f ca="1">IF(AND(ISNUMBER($AV$719),$B$511=1),$AV$719,HLOOKUP(INDIRECT(ADDRESS(2,COLUMN())),OFFSET($BN$2,0,0,ROW()-1,60),ROW()-1,FALSE))</f>
        <v>-128.1696819</v>
      </c>
      <c r="AW215">
        <f ca="1">IF(AND(ISNUMBER($AW$719),$B$511=1),$AW$719,HLOOKUP(INDIRECT(ADDRESS(2,COLUMN())),OFFSET($BN$2,0,0,ROW()-1,60),ROW()-1,FALSE))</f>
        <v>-124.772728</v>
      </c>
      <c r="AX215">
        <f ca="1">IF(AND(ISNUMBER($AX$719),$B$511=1),$AX$719,HLOOKUP(INDIRECT(ADDRESS(2,COLUMN())),OFFSET($BN$2,0,0,ROW()-1,60),ROW()-1,FALSE))</f>
        <v>-190.2646771</v>
      </c>
      <c r="AY215">
        <f ca="1">IF(AND(ISNUMBER($AY$719),$B$511=1),$AY$719,HLOOKUP(INDIRECT(ADDRESS(2,COLUMN())),OFFSET($BN$2,0,0,ROW()-1,60),ROW()-1,FALSE))</f>
        <v>-75.306367969999997</v>
      </c>
      <c r="AZ215">
        <f ca="1">IF(AND(ISNUMBER($AZ$719),$B$511=1),$AZ$719,HLOOKUP(INDIRECT(ADDRESS(2,COLUMN())),OFFSET($BN$2,0,0,ROW()-1,60),ROW()-1,FALSE))</f>
        <v>-57.464694940000001</v>
      </c>
      <c r="BA215">
        <f ca="1">IF(AND(ISNUMBER($BA$719),$B$511=1),$BA$719,HLOOKUP(INDIRECT(ADDRESS(2,COLUMN())),OFFSET($BN$2,0,0,ROW()-1,60),ROW()-1,FALSE))</f>
        <v>89.144164480000001</v>
      </c>
      <c r="BB215">
        <f ca="1">IF(AND(ISNUMBER($BB$719),$B$511=1),$BB$719,HLOOKUP(INDIRECT(ADDRESS(2,COLUMN())),OFFSET($BN$2,0,0,ROW()-1,60),ROW()-1,FALSE))</f>
        <v>63.862688679999998</v>
      </c>
      <c r="BC215">
        <f ca="1">IF(AND(ISNUMBER($BC$719),$B$511=1),$BC$719,HLOOKUP(INDIRECT(ADDRESS(2,COLUMN())),OFFSET($BN$2,0,0,ROW()-1,60),ROW()-1,FALSE))</f>
        <v>-38.103057100000001</v>
      </c>
      <c r="BD215">
        <f ca="1">IF(AND(ISNUMBER($BD$719),$B$511=1),$BD$719,HLOOKUP(INDIRECT(ADDRESS(2,COLUMN())),OFFSET($BN$2,0,0,ROW()-1,60),ROW()-1,FALSE))</f>
        <v>-27.780086619999999</v>
      </c>
      <c r="BE215">
        <f ca="1">IF(AND(ISNUMBER($BE$719),$B$511=1),$BE$719,HLOOKUP(INDIRECT(ADDRESS(2,COLUMN())),OFFSET($BN$2,0,0,ROW()-1,60),ROW()-1,FALSE))</f>
        <v>-228.2096469</v>
      </c>
      <c r="BF215">
        <f ca="1">IF(AND(ISNUMBER($BF$719),$B$511=1),$BF$719,HLOOKUP(INDIRECT(ADDRESS(2,COLUMN())),OFFSET($BN$2,0,0,ROW()-1,60),ROW()-1,FALSE))</f>
        <v>-147.63428519999999</v>
      </c>
      <c r="BG215">
        <f ca="1">IF(AND(ISNUMBER($BG$719),$B$511=1),$BG$719,HLOOKUP(INDIRECT(ADDRESS(2,COLUMN())),OFFSET($BN$2,0,0,ROW()-1,60),ROW()-1,FALSE))</f>
        <v>-98.507153860000003</v>
      </c>
      <c r="BH215">
        <f ca="1">IF(AND(ISNUMBER($BH$719),$B$511=1),$BH$719,HLOOKUP(INDIRECT(ADDRESS(2,COLUMN())),OFFSET($BN$2,0,0,ROW()-1,60),ROW()-1,FALSE))</f>
        <v>96.599033160000005</v>
      </c>
      <c r="BI215">
        <f ca="1">IF(AND(ISNUMBER($BI$719),$B$511=1),$BI$719,HLOOKUP(INDIRECT(ADDRESS(2,COLUMN())),OFFSET($BN$2,0,0,ROW()-1,60),ROW()-1,FALSE))</f>
        <v>259.61744670000002</v>
      </c>
      <c r="BJ215">
        <f ca="1">IF(AND(ISNUMBER($BJ$719),$B$511=1),$BJ$719,HLOOKUP(INDIRECT(ADDRESS(2,COLUMN())),OFFSET($BN$2,0,0,ROW()-1,60),ROW()-1,FALSE))</f>
        <v>162.8573265</v>
      </c>
      <c r="BK215" t="str">
        <f ca="1">IF(AND(ISNUMBER($BK$719),$B$511=1),$BK$719,HLOOKUP(INDIRECT(ADDRESS(2,COLUMN())),OFFSET($BN$2,0,0,ROW()-1,60),ROW()-1,FALSE))</f>
        <v/>
      </c>
      <c r="BL215" t="str">
        <f ca="1">IF(AND(ISNUMBER($BL$719),$B$511=1),$BL$719,HLOOKUP(INDIRECT(ADDRESS(2,COLUMN())),OFFSET($BN$2,0,0,ROW()-1,60),ROW()-1,FALSE))</f>
        <v/>
      </c>
      <c r="BM215" t="str">
        <f ca="1">IF(AND(ISNUMBER($BM$719),$B$511=1),$BM$719,HLOOKUP(INDIRECT(ADDRESS(2,COLUMN())),OFFSET($BN$2,0,0,ROW()-1,60),ROW()-1,FALSE))</f>
        <v/>
      </c>
      <c r="BN215" t="str">
        <f>""</f>
        <v/>
      </c>
      <c r="BO215" t="str">
        <f>""</f>
        <v/>
      </c>
      <c r="BP215" t="str">
        <f>""</f>
        <v/>
      </c>
      <c r="BQ215" t="str">
        <f>""</f>
        <v/>
      </c>
      <c r="BR215" t="str">
        <f>""</f>
        <v/>
      </c>
      <c r="BS215" t="str">
        <f>""</f>
        <v/>
      </c>
      <c r="BT215" t="str">
        <f>""</f>
        <v/>
      </c>
      <c r="BU215" t="str">
        <f>""</f>
        <v/>
      </c>
      <c r="BV215" t="str">
        <f>""</f>
        <v/>
      </c>
      <c r="BW215" t="str">
        <f>""</f>
        <v/>
      </c>
      <c r="BX215" t="str">
        <f>""</f>
        <v/>
      </c>
      <c r="BY215" t="str">
        <f>""</f>
        <v/>
      </c>
      <c r="BZ215" t="str">
        <f>""</f>
        <v/>
      </c>
      <c r="CA215" t="str">
        <f>""</f>
        <v/>
      </c>
      <c r="CB215" t="str">
        <f>""</f>
        <v/>
      </c>
      <c r="CC215" t="str">
        <f>""</f>
        <v/>
      </c>
      <c r="CD215" t="str">
        <f>""</f>
        <v/>
      </c>
      <c r="CE215" t="str">
        <f>""</f>
        <v/>
      </c>
      <c r="CF215" t="str">
        <f>""</f>
        <v/>
      </c>
      <c r="CG215" t="str">
        <f>""</f>
        <v/>
      </c>
      <c r="CH215" t="str">
        <f>""</f>
        <v/>
      </c>
      <c r="CI215" t="str">
        <f>""</f>
        <v/>
      </c>
      <c r="CJ215" t="str">
        <f>""</f>
        <v/>
      </c>
      <c r="CK215" t="str">
        <f>""</f>
        <v/>
      </c>
      <c r="CL215" t="str">
        <f>""</f>
        <v/>
      </c>
      <c r="CM215" t="str">
        <f>""</f>
        <v/>
      </c>
      <c r="CN215" t="str">
        <f>""</f>
        <v/>
      </c>
      <c r="CO215" t="str">
        <f>""</f>
        <v/>
      </c>
      <c r="CP215" t="str">
        <f>""</f>
        <v/>
      </c>
      <c r="CQ215" t="str">
        <f>""</f>
        <v/>
      </c>
      <c r="CR215" t="str">
        <f>""</f>
        <v/>
      </c>
      <c r="CS215" t="str">
        <f>""</f>
        <v/>
      </c>
      <c r="CT215">
        <f>1224.840716</f>
        <v>1224.8407159999999</v>
      </c>
      <c r="CU215">
        <f>1479.683277</f>
        <v>1479.6832770000001</v>
      </c>
      <c r="CV215">
        <f>1772.568318</f>
        <v>1772.5683180000001</v>
      </c>
      <c r="CW215">
        <f>1499.392187</f>
        <v>1499.3921869999999</v>
      </c>
      <c r="CX215">
        <f>916.1281642</f>
        <v>916.12816420000001</v>
      </c>
      <c r="CY215">
        <f>273.8246899</f>
        <v>273.82468990000001</v>
      </c>
      <c r="CZ215">
        <f>-227.7671443</f>
        <v>-227.76714430000001</v>
      </c>
      <c r="DA215">
        <f>-261.0561939</f>
        <v>-261.05619389999998</v>
      </c>
      <c r="DB215">
        <f>-110.9390201</f>
        <v>-110.93902009999999</v>
      </c>
      <c r="DC215">
        <f>75.32371778</f>
        <v>75.323717779999996</v>
      </c>
      <c r="DD215">
        <f>-128.1696819</f>
        <v>-128.1696819</v>
      </c>
      <c r="DE215">
        <f>-124.772728</f>
        <v>-124.772728</v>
      </c>
      <c r="DF215">
        <f>-190.2646771</f>
        <v>-190.2646771</v>
      </c>
      <c r="DG215">
        <f>-75.30636797</f>
        <v>-75.306367969999997</v>
      </c>
      <c r="DH215">
        <f>-57.46469494</f>
        <v>-57.464694940000001</v>
      </c>
      <c r="DI215">
        <f>89.14416448</f>
        <v>89.144164480000001</v>
      </c>
      <c r="DJ215">
        <f>63.86268868</f>
        <v>63.862688679999998</v>
      </c>
      <c r="DK215">
        <f>-38.1030571</f>
        <v>-38.103057100000001</v>
      </c>
      <c r="DL215">
        <f>-27.78008662</f>
        <v>-27.780086619999999</v>
      </c>
      <c r="DM215">
        <f>-228.2096469</f>
        <v>-228.2096469</v>
      </c>
      <c r="DN215">
        <f>-147.6342852</f>
        <v>-147.63428519999999</v>
      </c>
      <c r="DO215">
        <f>-98.50715386</f>
        <v>-98.507153860000003</v>
      </c>
      <c r="DP215">
        <f>96.59903316</f>
        <v>96.599033160000005</v>
      </c>
      <c r="DQ215">
        <f>259.6174467</f>
        <v>259.61744670000002</v>
      </c>
      <c r="DR215">
        <f>162.8573265</f>
        <v>162.8573265</v>
      </c>
      <c r="DS215" t="str">
        <f>""</f>
        <v/>
      </c>
      <c r="DT215" t="str">
        <f>""</f>
        <v/>
      </c>
      <c r="DU215" t="str">
        <f>""</f>
        <v/>
      </c>
    </row>
    <row r="216" spans="1:125" x14ac:dyDescent="0.25">
      <c r="A216" t="str">
        <f>"    Daimler AG"</f>
        <v xml:space="preserve">    Daimler AG</v>
      </c>
      <c r="B216" t="str">
        <f>"DAI GR Equity"</f>
        <v>DAI GR Equity</v>
      </c>
      <c r="C216" t="str">
        <f t="shared" si="15"/>
        <v>RR843</v>
      </c>
      <c r="D216" t="str">
        <f t="shared" si="16"/>
        <v>TRAIL_12M_FREE_CASH_FLOW</v>
      </c>
      <c r="E216" t="str">
        <f t="shared" si="17"/>
        <v>Dynamic</v>
      </c>
      <c r="F216" t="str">
        <f ca="1">IF(AND(ISNUMBER($F$720),$B$511=1),$F$720,HLOOKUP(INDIRECT(ADDRESS(2,COLUMN())),OFFSET($BN$2,0,0,ROW()-1,60),ROW()-1,FALSE))</f>
        <v/>
      </c>
      <c r="G216">
        <f ca="1">IF(AND(ISNUMBER($G$720),$B$511=1),$G$720,HLOOKUP(INDIRECT(ADDRESS(2,COLUMN())),OFFSET($BN$2,0,0,ROW()-1,60),ROW()-1,FALSE))</f>
        <v>-8493.4648610000004</v>
      </c>
      <c r="H216">
        <f ca="1">IF(AND(ISNUMBER($H$720),$B$511=1),$H$720,HLOOKUP(INDIRECT(ADDRESS(2,COLUMN())),OFFSET($BN$2,0,0,ROW()-1,60),ROW()-1,FALSE))</f>
        <v>-16462.605930000002</v>
      </c>
      <c r="I216">
        <f ca="1">IF(AND(ISNUMBER($I$720),$B$511=1),$I$720,HLOOKUP(INDIRECT(ADDRESS(2,COLUMN())),OFFSET($BN$2,0,0,ROW()-1,60),ROW()-1,FALSE))</f>
        <v>-12104.01476</v>
      </c>
      <c r="J216">
        <f ca="1">IF(AND(ISNUMBER($J$720),$B$511=1),$J$720,HLOOKUP(INDIRECT(ADDRESS(2,COLUMN())),OFFSET($BN$2,0,0,ROW()-1,60),ROW()-1,FALSE))</f>
        <v>-11315.66165</v>
      </c>
      <c r="K216">
        <f ca="1">IF(AND(ISNUMBER($K$720),$B$511=1),$K$720,HLOOKUP(INDIRECT(ADDRESS(2,COLUMN())),OFFSET($BN$2,0,0,ROW()-1,60),ROW()-1,FALSE))</f>
        <v>-9485.1399380000003</v>
      </c>
      <c r="L216">
        <f ca="1">IF(AND(ISNUMBER($L$720),$B$511=1),$L$720,HLOOKUP(INDIRECT(ADDRESS(2,COLUMN())),OFFSET($BN$2,0,0,ROW()-1,60),ROW()-1,FALSE))</f>
        <v>-2296.8384599999999</v>
      </c>
      <c r="M216">
        <f ca="1">IF(AND(ISNUMBER($M$720),$B$511=1),$M$720,HLOOKUP(INDIRECT(ADDRESS(2,COLUMN())),OFFSET($BN$2,0,0,ROW()-1,60),ROW()-1,FALSE))</f>
        <v>-2760.3796579999998</v>
      </c>
      <c r="N216">
        <f ca="1">IF(AND(ISNUMBER($N$720),$B$511=1),$N$720,HLOOKUP(INDIRECT(ADDRESS(2,COLUMN())),OFFSET($BN$2,0,0,ROW()-1,60),ROW()-1,FALSE))</f>
        <v>-1686.5507769999999</v>
      </c>
      <c r="O216">
        <f ca="1">IF(AND(ISNUMBER($O$720),$B$511=1),$O$720,HLOOKUP(INDIRECT(ADDRESS(2,COLUMN())),OFFSET($BN$2,0,0,ROW()-1,60),ROW()-1,FALSE))</f>
        <v>-2410.672861</v>
      </c>
      <c r="P216">
        <f ca="1">IF(AND(ISNUMBER($P$720),$B$511=1),$P$720,HLOOKUP(INDIRECT(ADDRESS(2,COLUMN())),OFFSET($BN$2,0,0,ROW()-1,60),ROW()-1,FALSE))</f>
        <v>-3967.5514400000002</v>
      </c>
      <c r="Q216">
        <f ca="1">IF(AND(ISNUMBER($Q$720),$B$511=1),$Q$720,HLOOKUP(INDIRECT(ADDRESS(2,COLUMN())),OFFSET($BN$2,0,0,ROW()-1,60),ROW()-1,FALSE))</f>
        <v>-4013.700722</v>
      </c>
      <c r="R216">
        <f ca="1">IF(AND(ISNUMBER($R$720),$B$511=1),$R$720,HLOOKUP(INDIRECT(ADDRESS(2,COLUMN())),OFFSET($BN$2,0,0,ROW()-1,60),ROW()-1,FALSE))</f>
        <v>-6187.6644960000003</v>
      </c>
      <c r="S216">
        <f ca="1">IF(AND(ISNUMBER($S$720),$B$511=1),$S$720,HLOOKUP(INDIRECT(ADDRESS(2,COLUMN())),OFFSET($BN$2,0,0,ROW()-1,60),ROW()-1,FALSE))</f>
        <v>-5386.8330679999999</v>
      </c>
      <c r="T216">
        <f ca="1">IF(AND(ISNUMBER($T$720),$B$511=1),$T$720,HLOOKUP(INDIRECT(ADDRESS(2,COLUMN())),OFFSET($BN$2,0,0,ROW()-1,60),ROW()-1,FALSE))</f>
        <v>-9037.8769570000004</v>
      </c>
      <c r="U216">
        <f ca="1">IF(AND(ISNUMBER($U$720),$B$511=1),$U$720,HLOOKUP(INDIRECT(ADDRESS(2,COLUMN())),OFFSET($BN$2,0,0,ROW()-1,60),ROW()-1,FALSE))</f>
        <v>-8107.9293909999997</v>
      </c>
      <c r="V216">
        <f ca="1">IF(AND(ISNUMBER($V$720),$B$511=1),$V$720,HLOOKUP(INDIRECT(ADDRESS(2,COLUMN())),OFFSET($BN$2,0,0,ROW()-1,60),ROW()-1,FALSE))</f>
        <v>-7509.2864179999997</v>
      </c>
      <c r="W216">
        <f ca="1">IF(AND(ISNUMBER($W$720),$B$511=1),$W$720,HLOOKUP(INDIRECT(ADDRESS(2,COLUMN())),OFFSET($BN$2,0,0,ROW()-1,60),ROW()-1,FALSE))</f>
        <v>-8127.6761530000003</v>
      </c>
      <c r="X216">
        <f ca="1">IF(AND(ISNUMBER($X$720),$B$511=1),$X$720,HLOOKUP(INDIRECT(ADDRESS(2,COLUMN())),OFFSET($BN$2,0,0,ROW()-1,60),ROW()-1,FALSE))</f>
        <v>-2192.9287169999998</v>
      </c>
      <c r="Y216">
        <f ca="1">IF(AND(ISNUMBER($Y$720),$B$511=1),$Y$720,HLOOKUP(INDIRECT(ADDRESS(2,COLUMN())),OFFSET($BN$2,0,0,ROW()-1,60),ROW()-1,FALSE))</f>
        <v>-2187.245257</v>
      </c>
      <c r="Z216">
        <f ca="1">IF(AND(ISNUMBER($Z$720),$B$511=1),$Z$720,HLOOKUP(INDIRECT(ADDRESS(2,COLUMN())),OFFSET($BN$2,0,0,ROW()-1,60),ROW()-1,FALSE))</f>
        <v>-557.69358469999997</v>
      </c>
      <c r="AA216">
        <f ca="1">IF(AND(ISNUMBER($AA$720),$B$511=1),$AA$720,HLOOKUP(INDIRECT(ADDRESS(2,COLUMN())),OFFSET($BN$2,0,0,ROW()-1,60),ROW()-1,FALSE))</f>
        <v>-2244.8463280000001</v>
      </c>
      <c r="AB216">
        <f ca="1">IF(AND(ISNUMBER($AB$720),$B$511=1),$AB$720,HLOOKUP(INDIRECT(ADDRESS(2,COLUMN())),OFFSET($BN$2,0,0,ROW()-1,60),ROW()-1,FALSE))</f>
        <v>-2886.6735250000002</v>
      </c>
      <c r="AC216">
        <f ca="1">IF(AND(ISNUMBER($AC$720),$B$511=1),$AC$720,HLOOKUP(INDIRECT(ADDRESS(2,COLUMN())),OFFSET($BN$2,0,0,ROW()-1,60),ROW()-1,FALSE))</f>
        <v>-5354.4572280000002</v>
      </c>
      <c r="AD216">
        <f ca="1">IF(AND(ISNUMBER($AD$720),$B$511=1),$AD$720,HLOOKUP(INDIRECT(ADDRESS(2,COLUMN())),OFFSET($BN$2,0,0,ROW()-1,60),ROW()-1,FALSE))</f>
        <v>-6485.8850279999997</v>
      </c>
      <c r="AE216">
        <f ca="1">IF(AND(ISNUMBER($AE$720),$B$511=1),$AE$720,HLOOKUP(INDIRECT(ADDRESS(2,COLUMN())),OFFSET($BN$2,0,0,ROW()-1,60),ROW()-1,FALSE))</f>
        <v>-7621.357962</v>
      </c>
      <c r="AF216">
        <f ca="1">IF(AND(ISNUMBER($AF$720),$B$511=1),$AF$720,HLOOKUP(INDIRECT(ADDRESS(2,COLUMN())),OFFSET($BN$2,0,0,ROW()-1,60),ROW()-1,FALSE))</f>
        <v>-8156.0597699999998</v>
      </c>
      <c r="AG216">
        <f ca="1">IF(AND(ISNUMBER($AG$720),$B$511=1),$AG$720,HLOOKUP(INDIRECT(ADDRESS(2,COLUMN())),OFFSET($BN$2,0,0,ROW()-1,60),ROW()-1,FALSE))</f>
        <v>-7698.1065980000003</v>
      </c>
      <c r="AH216">
        <f ca="1">IF(AND(ISNUMBER($AH$720),$B$511=1),$AH$720,HLOOKUP(INDIRECT(ADDRESS(2,COLUMN())),OFFSET($BN$2,0,0,ROW()-1,60),ROW()-1,FALSE))</f>
        <v>-7016.6716239999996</v>
      </c>
      <c r="AI216">
        <f ca="1">IF(AND(ISNUMBER($AI$720),$B$511=1),$AI$720,HLOOKUP(INDIRECT(ADDRESS(2,COLUMN())),OFFSET($BN$2,0,0,ROW()-1,60),ROW()-1,FALSE))</f>
        <v>-6758.7199609999998</v>
      </c>
      <c r="AJ216">
        <f ca="1">IF(AND(ISNUMBER($AJ$720),$B$511=1),$AJ$720,HLOOKUP(INDIRECT(ADDRESS(2,COLUMN())),OFFSET($BN$2,0,0,ROW()-1,60),ROW()-1,FALSE))</f>
        <v>-4842.6383800000003</v>
      </c>
      <c r="AK216">
        <f ca="1">IF(AND(ISNUMBER($AK$720),$B$511=1),$AK$720,HLOOKUP(INDIRECT(ADDRESS(2,COLUMN())),OFFSET($BN$2,0,0,ROW()-1,60),ROW()-1,FALSE))</f>
        <v>347.92492129999999</v>
      </c>
      <c r="AL216">
        <f ca="1">IF(AND(ISNUMBER($AL$720),$B$511=1),$AL$720,HLOOKUP(INDIRECT(ADDRESS(2,COLUMN())),OFFSET($BN$2,0,0,ROW()-1,60),ROW()-1,FALSE))</f>
        <v>3168.5668310000001</v>
      </c>
      <c r="AM216">
        <f ca="1">IF(AND(ISNUMBER($AM$720),$B$511=1),$AM$720,HLOOKUP(INDIRECT(ADDRESS(2,COLUMN())),OFFSET($BN$2,0,0,ROW()-1,60),ROW()-1,FALSE))</f>
        <v>6488.4550380000001</v>
      </c>
      <c r="AN216">
        <f ca="1">IF(AND(ISNUMBER($AN$720),$B$511=1),$AN$720,HLOOKUP(INDIRECT(ADDRESS(2,COLUMN())),OFFSET($BN$2,0,0,ROW()-1,60),ROW()-1,FALSE))</f>
        <v>9043.0622700000004</v>
      </c>
      <c r="AO216">
        <f ca="1">IF(AND(ISNUMBER($AO$720),$B$511=1),$AO$720,HLOOKUP(INDIRECT(ADDRESS(2,COLUMN())),OFFSET($BN$2,0,0,ROW()-1,60),ROW()-1,FALSE))</f>
        <v>9144.671343</v>
      </c>
      <c r="AP216">
        <f ca="1">IF(AND(ISNUMBER($AP$720),$B$511=1),$AP$720,HLOOKUP(INDIRECT(ADDRESS(2,COLUMN())),OFFSET($BN$2,0,0,ROW()-1,60),ROW()-1,FALSE))</f>
        <v>11195.619140000001</v>
      </c>
      <c r="AQ216">
        <f ca="1">IF(AND(ISNUMBER($AQ$720),$B$511=1),$AQ$720,HLOOKUP(INDIRECT(ADDRESS(2,COLUMN())),OFFSET($BN$2,0,0,ROW()-1,60),ROW()-1,FALSE))</f>
        <v>11905.700419999999</v>
      </c>
      <c r="AR216">
        <f ca="1">IF(AND(ISNUMBER($AR$720),$B$511=1),$AR$720,HLOOKUP(INDIRECT(ADDRESS(2,COLUMN())),OFFSET($BN$2,0,0,ROW()-1,60),ROW()-1,FALSE))</f>
        <v>7332.1198850000001</v>
      </c>
      <c r="AS216">
        <f ca="1">IF(AND(ISNUMBER($AS$720),$B$511=1),$AS$720,HLOOKUP(INDIRECT(ADDRESS(2,COLUMN())),OFFSET($BN$2,0,0,ROW()-1,60),ROW()-1,FALSE))</f>
        <v>3936.3171980000002</v>
      </c>
      <c r="AT216">
        <f ca="1">IF(AND(ISNUMBER($AT$720),$B$511=1),$AT$720,HLOOKUP(INDIRECT(ADDRESS(2,COLUMN())),OFFSET($BN$2,0,0,ROW()-1,60),ROW()-1,FALSE))</f>
        <v>492.42679570000001</v>
      </c>
      <c r="AU216">
        <f ca="1">IF(AND(ISNUMBER($AU$720),$B$511=1),$AU$720,HLOOKUP(INDIRECT(ADDRESS(2,COLUMN())),OFFSET($BN$2,0,0,ROW()-1,60),ROW()-1,FALSE))</f>
        <v>-520.6948506</v>
      </c>
      <c r="AV216">
        <f ca="1">IF(AND(ISNUMBER($AV$720),$B$511=1),$AV$720,HLOOKUP(INDIRECT(ADDRESS(2,COLUMN())),OFFSET($BN$2,0,0,ROW()-1,60),ROW()-1,FALSE))</f>
        <v>3012.244334</v>
      </c>
      <c r="AW216">
        <f ca="1">IF(AND(ISNUMBER($AW$720),$B$511=1),$AW$720,HLOOKUP(INDIRECT(ADDRESS(2,COLUMN())),OFFSET($BN$2,0,0,ROW()-1,60),ROW()-1,FALSE))</f>
        <v>3487.8629110000002</v>
      </c>
      <c r="AX216">
        <f ca="1">IF(AND(ISNUMBER($AX$720),$B$511=1),$AX$720,HLOOKUP(INDIRECT(ADDRESS(2,COLUMN())),OFFSET($BN$2,0,0,ROW()-1,60),ROW()-1,FALSE))</f>
        <v>45.366035859999997</v>
      </c>
      <c r="AY216">
        <f ca="1">IF(AND(ISNUMBER($AY$720),$B$511=1),$AY$720,HLOOKUP(INDIRECT(ADDRESS(2,COLUMN())),OFFSET($BN$2,0,0,ROW()-1,60),ROW()-1,FALSE))</f>
        <v>1899.926596</v>
      </c>
      <c r="AZ216">
        <f ca="1">IF(AND(ISNUMBER($AZ$720),$B$511=1),$AZ$720,HLOOKUP(INDIRECT(ADDRESS(2,COLUMN())),OFFSET($BN$2,0,0,ROW()-1,60),ROW()-1,FALSE))</f>
        <v>-246.2143049</v>
      </c>
      <c r="BA216">
        <f ca="1">IF(AND(ISNUMBER($BA$720),$B$511=1),$BA$720,HLOOKUP(INDIRECT(ADDRESS(2,COLUMN())),OFFSET($BN$2,0,0,ROW()-1,60),ROW()-1,FALSE))</f>
        <v>-3290.727801</v>
      </c>
      <c r="BB216">
        <f ca="1">IF(AND(ISNUMBER($BB$720),$B$511=1),$BB$720,HLOOKUP(INDIRECT(ADDRESS(2,COLUMN())),OFFSET($BN$2,0,0,ROW()-1,60),ROW()-1,FALSE))</f>
        <v>-4604.5151070000002</v>
      </c>
      <c r="BC216">
        <f ca="1">IF(AND(ISNUMBER($BC$720),$B$511=1),$BC$720,HLOOKUP(INDIRECT(ADDRESS(2,COLUMN())),OFFSET($BN$2,0,0,ROW()-1,60),ROW()-1,FALSE))</f>
        <v>-9231.9418499999992</v>
      </c>
      <c r="BD216">
        <f ca="1">IF(AND(ISNUMBER($BD$720),$B$511=1),$BD$720,HLOOKUP(INDIRECT(ADDRESS(2,COLUMN())),OFFSET($BN$2,0,0,ROW()-1,60),ROW()-1,FALSE))</f>
        <v>-14214.403389999999</v>
      </c>
      <c r="BE216">
        <f ca="1">IF(AND(ISNUMBER($BE$720),$B$511=1),$BE$720,HLOOKUP(INDIRECT(ADDRESS(2,COLUMN())),OFFSET($BN$2,0,0,ROW()-1,60),ROW()-1,FALSE))</f>
        <v>-14525.330809999999</v>
      </c>
      <c r="BF216">
        <f ca="1">IF(AND(ISNUMBER($BF$720),$B$511=1),$BF$720,HLOOKUP(INDIRECT(ADDRESS(2,COLUMN())),OFFSET($BN$2,0,0,ROW()-1,60),ROW()-1,FALSE))</f>
        <v>-16289.10534</v>
      </c>
      <c r="BG216">
        <f ca="1">IF(AND(ISNUMBER($BG$720),$B$511=1),$BG$720,HLOOKUP(INDIRECT(ADDRESS(2,COLUMN())),OFFSET($BN$2,0,0,ROW()-1,60),ROW()-1,FALSE))</f>
        <v>-18370.86997</v>
      </c>
      <c r="BH216">
        <f ca="1">IF(AND(ISNUMBER($BH$720),$B$511=1),$BH$720,HLOOKUP(INDIRECT(ADDRESS(2,COLUMN())),OFFSET($BN$2,0,0,ROW()-1,60),ROW()-1,FALSE))</f>
        <v>-18863.329269999998</v>
      </c>
      <c r="BI216">
        <f ca="1">IF(AND(ISNUMBER($BI$720),$B$511=1),$BI$720,HLOOKUP(INDIRECT(ADDRESS(2,COLUMN())),OFFSET($BN$2,0,0,ROW()-1,60),ROW()-1,FALSE))</f>
        <v>-26134.105319999999</v>
      </c>
      <c r="BJ216">
        <f ca="1">IF(AND(ISNUMBER($BJ$720),$B$511=1),$BJ$720,HLOOKUP(INDIRECT(ADDRESS(2,COLUMN())),OFFSET($BN$2,0,0,ROW()-1,60),ROW()-1,FALSE))</f>
        <v>-24443.843830000002</v>
      </c>
      <c r="BK216">
        <f ca="1">IF(AND(ISNUMBER($BK$720),$B$511=1),$BK$720,HLOOKUP(INDIRECT(ADDRESS(2,COLUMN())),OFFSET($BN$2,0,0,ROW()-1,60),ROW()-1,FALSE))</f>
        <v>-22497.931519999998</v>
      </c>
      <c r="BL216">
        <f ca="1">IF(AND(ISNUMBER($BL$720),$B$511=1),$BL$720,HLOOKUP(INDIRECT(ADDRESS(2,COLUMN())),OFFSET($BN$2,0,0,ROW()-1,60),ROW()-1,FALSE))</f>
        <v>-18896.918129999998</v>
      </c>
      <c r="BM216">
        <f ca="1">IF(AND(ISNUMBER($BM$720),$B$511=1),$BM$720,HLOOKUP(INDIRECT(ADDRESS(2,COLUMN())),OFFSET($BN$2,0,0,ROW()-1,60),ROW()-1,FALSE))</f>
        <v>-12251.17798</v>
      </c>
      <c r="BN216" t="str">
        <f>""</f>
        <v/>
      </c>
      <c r="BO216">
        <f>-8493.464861</f>
        <v>-8493.4648610000004</v>
      </c>
      <c r="BP216">
        <f>-16462.60593</f>
        <v>-16462.605930000002</v>
      </c>
      <c r="BQ216">
        <f>-12104.01476</f>
        <v>-12104.01476</v>
      </c>
      <c r="BR216">
        <f>-11315.66165</f>
        <v>-11315.66165</v>
      </c>
      <c r="BS216">
        <f>-9485.139938</f>
        <v>-9485.1399380000003</v>
      </c>
      <c r="BT216">
        <f>-2296.83846</f>
        <v>-2296.8384599999999</v>
      </c>
      <c r="BU216">
        <f>-2760.379658</f>
        <v>-2760.3796579999998</v>
      </c>
      <c r="BV216">
        <f>-1686.550777</f>
        <v>-1686.5507769999999</v>
      </c>
      <c r="BW216">
        <f>-2410.672861</f>
        <v>-2410.672861</v>
      </c>
      <c r="BX216">
        <f>-3967.55144</f>
        <v>-3967.5514400000002</v>
      </c>
      <c r="BY216">
        <f>-4013.700722</f>
        <v>-4013.700722</v>
      </c>
      <c r="BZ216">
        <f>-6187.664496</f>
        <v>-6187.6644960000003</v>
      </c>
      <c r="CA216">
        <f>-5386.833068</f>
        <v>-5386.8330679999999</v>
      </c>
      <c r="CB216">
        <f>-9037.876957</f>
        <v>-9037.8769570000004</v>
      </c>
      <c r="CC216">
        <f>-8107.929391</f>
        <v>-8107.9293909999997</v>
      </c>
      <c r="CD216">
        <f>-7509.286418</f>
        <v>-7509.2864179999997</v>
      </c>
      <c r="CE216">
        <f>-8127.676153</f>
        <v>-8127.6761530000003</v>
      </c>
      <c r="CF216">
        <f>-2192.928717</f>
        <v>-2192.9287169999998</v>
      </c>
      <c r="CG216">
        <f>-2187.245257</f>
        <v>-2187.245257</v>
      </c>
      <c r="CH216">
        <f>-557.6935847</f>
        <v>-557.69358469999997</v>
      </c>
      <c r="CI216">
        <f>-2244.846328</f>
        <v>-2244.8463280000001</v>
      </c>
      <c r="CJ216">
        <f>-2886.673525</f>
        <v>-2886.6735250000002</v>
      </c>
      <c r="CK216">
        <f>-5354.457228</f>
        <v>-5354.4572280000002</v>
      </c>
      <c r="CL216">
        <f>-6485.885028</f>
        <v>-6485.8850279999997</v>
      </c>
      <c r="CM216">
        <f>-7621.357962</f>
        <v>-7621.357962</v>
      </c>
      <c r="CN216">
        <f>-8156.05977</f>
        <v>-8156.0597699999998</v>
      </c>
      <c r="CO216">
        <f>-7698.106598</f>
        <v>-7698.1065980000003</v>
      </c>
      <c r="CP216">
        <f>-7016.671624</f>
        <v>-7016.6716239999996</v>
      </c>
      <c r="CQ216">
        <f>-6758.719961</f>
        <v>-6758.7199609999998</v>
      </c>
      <c r="CR216">
        <f>-4842.63838</f>
        <v>-4842.6383800000003</v>
      </c>
      <c r="CS216">
        <f>347.9249213</f>
        <v>347.92492129999999</v>
      </c>
      <c r="CT216">
        <f>3168.566831</f>
        <v>3168.5668310000001</v>
      </c>
      <c r="CU216">
        <f>6488.455038</f>
        <v>6488.4550380000001</v>
      </c>
      <c r="CV216">
        <f>9043.06227</f>
        <v>9043.0622700000004</v>
      </c>
      <c r="CW216">
        <f>9144.671343</f>
        <v>9144.671343</v>
      </c>
      <c r="CX216">
        <f>11195.61914</f>
        <v>11195.619140000001</v>
      </c>
      <c r="CY216">
        <f>11905.70042</f>
        <v>11905.700419999999</v>
      </c>
      <c r="CZ216">
        <f>7332.119885</f>
        <v>7332.1198850000001</v>
      </c>
      <c r="DA216">
        <f>3936.317198</f>
        <v>3936.3171980000002</v>
      </c>
      <c r="DB216">
        <f>492.4267957</f>
        <v>492.42679570000001</v>
      </c>
      <c r="DC216">
        <f>-520.6948506</f>
        <v>-520.6948506</v>
      </c>
      <c r="DD216">
        <f>3012.244334</f>
        <v>3012.244334</v>
      </c>
      <c r="DE216">
        <f>3487.862911</f>
        <v>3487.8629110000002</v>
      </c>
      <c r="DF216">
        <f>45.36603586</f>
        <v>45.366035859999997</v>
      </c>
      <c r="DG216">
        <f>1899.926596</f>
        <v>1899.926596</v>
      </c>
      <c r="DH216">
        <f>-246.2143049</f>
        <v>-246.2143049</v>
      </c>
      <c r="DI216">
        <f>-3290.727801</f>
        <v>-3290.727801</v>
      </c>
      <c r="DJ216">
        <f>-4604.515107</f>
        <v>-4604.5151070000002</v>
      </c>
      <c r="DK216">
        <f>-9231.94185</f>
        <v>-9231.9418499999992</v>
      </c>
      <c r="DL216">
        <f>-14214.40339</f>
        <v>-14214.403389999999</v>
      </c>
      <c r="DM216">
        <f>-14525.33081</f>
        <v>-14525.330809999999</v>
      </c>
      <c r="DN216">
        <f>-16289.10534</f>
        <v>-16289.10534</v>
      </c>
      <c r="DO216">
        <f>-18370.86997</f>
        <v>-18370.86997</v>
      </c>
      <c r="DP216">
        <f>-18863.32927</f>
        <v>-18863.329269999998</v>
      </c>
      <c r="DQ216">
        <f>-26134.10532</f>
        <v>-26134.105319999999</v>
      </c>
      <c r="DR216">
        <f>-24443.84383</f>
        <v>-24443.843830000002</v>
      </c>
      <c r="DS216">
        <f>-22497.93152</f>
        <v>-22497.931519999998</v>
      </c>
      <c r="DT216">
        <f>-18896.91813</f>
        <v>-18896.918129999998</v>
      </c>
      <c r="DU216">
        <f>-12251.17798</f>
        <v>-12251.17798</v>
      </c>
    </row>
    <row r="217" spans="1:125" x14ac:dyDescent="0.25">
      <c r="A217" t="str">
        <f>"    Dongfeng Motor Group Co Ltd"</f>
        <v xml:space="preserve">    Dongfeng Motor Group Co Ltd</v>
      </c>
      <c r="B217" t="str">
        <f>"489 HK Equity"</f>
        <v>489 HK Equity</v>
      </c>
      <c r="C217" t="str">
        <f t="shared" si="15"/>
        <v>RR843</v>
      </c>
      <c r="D217" t="str">
        <f t="shared" si="16"/>
        <v>TRAIL_12M_FREE_CASH_FLOW</v>
      </c>
      <c r="E217" t="str">
        <f t="shared" si="17"/>
        <v>Dynamic</v>
      </c>
      <c r="F217" t="str">
        <f ca="1">IF(AND(ISNUMBER($F$721),$B$511=1),$F$721,HLOOKUP(INDIRECT(ADDRESS(2,COLUMN())),OFFSET($BN$2,0,0,ROW()-1,60),ROW()-1,FALSE))</f>
        <v/>
      </c>
      <c r="G217" t="str">
        <f ca="1">IF(AND(ISNUMBER($G$721),$B$511=1),$G$721,HLOOKUP(INDIRECT(ADDRESS(2,COLUMN())),OFFSET($BN$2,0,0,ROW()-1,60),ROW()-1,FALSE))</f>
        <v/>
      </c>
      <c r="H217" t="str">
        <f ca="1">IF(AND(ISNUMBER($H$721),$B$511=1),$H$721,HLOOKUP(INDIRECT(ADDRESS(2,COLUMN())),OFFSET($BN$2,0,0,ROW()-1,60),ROW()-1,FALSE))</f>
        <v/>
      </c>
      <c r="I217" t="str">
        <f ca="1">IF(AND(ISNUMBER($I$721),$B$511=1),$I$721,HLOOKUP(INDIRECT(ADDRESS(2,COLUMN())),OFFSET($BN$2,0,0,ROW()-1,60),ROW()-1,FALSE))</f>
        <v/>
      </c>
      <c r="J217" t="str">
        <f ca="1">IF(AND(ISNUMBER($J$721),$B$511=1),$J$721,HLOOKUP(INDIRECT(ADDRESS(2,COLUMN())),OFFSET($BN$2,0,0,ROW()-1,60),ROW()-1,FALSE))</f>
        <v/>
      </c>
      <c r="K217" t="str">
        <f ca="1">IF(AND(ISNUMBER($K$721),$B$511=1),$K$721,HLOOKUP(INDIRECT(ADDRESS(2,COLUMN())),OFFSET($BN$2,0,0,ROW()-1,60),ROW()-1,FALSE))</f>
        <v/>
      </c>
      <c r="L217" t="str">
        <f ca="1">IF(AND(ISNUMBER($L$721),$B$511=1),$L$721,HLOOKUP(INDIRECT(ADDRESS(2,COLUMN())),OFFSET($BN$2,0,0,ROW()-1,60),ROW()-1,FALSE))</f>
        <v/>
      </c>
      <c r="M217" t="str">
        <f ca="1">IF(AND(ISNUMBER($M$721),$B$511=1),$M$721,HLOOKUP(INDIRECT(ADDRESS(2,COLUMN())),OFFSET($BN$2,0,0,ROW()-1,60),ROW()-1,FALSE))</f>
        <v/>
      </c>
      <c r="N217" t="str">
        <f ca="1">IF(AND(ISNUMBER($N$721),$B$511=1),$N$721,HLOOKUP(INDIRECT(ADDRESS(2,COLUMN())),OFFSET($BN$2,0,0,ROW()-1,60),ROW()-1,FALSE))</f>
        <v/>
      </c>
      <c r="O217" t="str">
        <f ca="1">IF(AND(ISNUMBER($O$721),$B$511=1),$O$721,HLOOKUP(INDIRECT(ADDRESS(2,COLUMN())),OFFSET($BN$2,0,0,ROW()-1,60),ROW()-1,FALSE))</f>
        <v/>
      </c>
      <c r="P217" t="str">
        <f ca="1">IF(AND(ISNUMBER($P$721),$B$511=1),$P$721,HLOOKUP(INDIRECT(ADDRESS(2,COLUMN())),OFFSET($BN$2,0,0,ROW()-1,60),ROW()-1,FALSE))</f>
        <v/>
      </c>
      <c r="Q217" t="str">
        <f ca="1">IF(AND(ISNUMBER($Q$721),$B$511=1),$Q$721,HLOOKUP(INDIRECT(ADDRESS(2,COLUMN())),OFFSET($BN$2,0,0,ROW()-1,60),ROW()-1,FALSE))</f>
        <v/>
      </c>
      <c r="R217" t="str">
        <f ca="1">IF(AND(ISNUMBER($R$721),$B$511=1),$R$721,HLOOKUP(INDIRECT(ADDRESS(2,COLUMN())),OFFSET($BN$2,0,0,ROW()-1,60),ROW()-1,FALSE))</f>
        <v/>
      </c>
      <c r="S217" t="str">
        <f ca="1">IF(AND(ISNUMBER($S$721),$B$511=1),$S$721,HLOOKUP(INDIRECT(ADDRESS(2,COLUMN())),OFFSET($BN$2,0,0,ROW()-1,60),ROW()-1,FALSE))</f>
        <v/>
      </c>
      <c r="T217" t="str">
        <f ca="1">IF(AND(ISNUMBER($T$721),$B$511=1),$T$721,HLOOKUP(INDIRECT(ADDRESS(2,COLUMN())),OFFSET($BN$2,0,0,ROW()-1,60),ROW()-1,FALSE))</f>
        <v/>
      </c>
      <c r="U217" t="str">
        <f ca="1">IF(AND(ISNUMBER($U$721),$B$511=1),$U$721,HLOOKUP(INDIRECT(ADDRESS(2,COLUMN())),OFFSET($BN$2,0,0,ROW()-1,60),ROW()-1,FALSE))</f>
        <v/>
      </c>
      <c r="V217" t="str">
        <f ca="1">IF(AND(ISNUMBER($V$721),$B$511=1),$V$721,HLOOKUP(INDIRECT(ADDRESS(2,COLUMN())),OFFSET($BN$2,0,0,ROW()-1,60),ROW()-1,FALSE))</f>
        <v/>
      </c>
      <c r="W217" t="str">
        <f ca="1">IF(AND(ISNUMBER($W$721),$B$511=1),$W$721,HLOOKUP(INDIRECT(ADDRESS(2,COLUMN())),OFFSET($BN$2,0,0,ROW()-1,60),ROW()-1,FALSE))</f>
        <v/>
      </c>
      <c r="X217" t="str">
        <f ca="1">IF(AND(ISNUMBER($X$721),$B$511=1),$X$721,HLOOKUP(INDIRECT(ADDRESS(2,COLUMN())),OFFSET($BN$2,0,0,ROW()-1,60),ROW()-1,FALSE))</f>
        <v/>
      </c>
      <c r="Y217" t="str">
        <f ca="1">IF(AND(ISNUMBER($Y$721),$B$511=1),$Y$721,HLOOKUP(INDIRECT(ADDRESS(2,COLUMN())),OFFSET($BN$2,0,0,ROW()-1,60),ROW()-1,FALSE))</f>
        <v/>
      </c>
      <c r="Z217" t="str">
        <f ca="1">IF(AND(ISNUMBER($Z$721),$B$511=1),$Z$721,HLOOKUP(INDIRECT(ADDRESS(2,COLUMN())),OFFSET($BN$2,0,0,ROW()-1,60),ROW()-1,FALSE))</f>
        <v/>
      </c>
      <c r="AA217" t="str">
        <f ca="1">IF(AND(ISNUMBER($AA$721),$B$511=1),$AA$721,HLOOKUP(INDIRECT(ADDRESS(2,COLUMN())),OFFSET($BN$2,0,0,ROW()-1,60),ROW()-1,FALSE))</f>
        <v/>
      </c>
      <c r="AB217" t="str">
        <f ca="1">IF(AND(ISNUMBER($AB$721),$B$511=1),$AB$721,HLOOKUP(INDIRECT(ADDRESS(2,COLUMN())),OFFSET($BN$2,0,0,ROW()-1,60),ROW()-1,FALSE))</f>
        <v/>
      </c>
      <c r="AC217" t="str">
        <f ca="1">IF(AND(ISNUMBER($AC$721),$B$511=1),$AC$721,HLOOKUP(INDIRECT(ADDRESS(2,COLUMN())),OFFSET($BN$2,0,0,ROW()-1,60),ROW()-1,FALSE))</f>
        <v/>
      </c>
      <c r="AD217" t="str">
        <f ca="1">IF(AND(ISNUMBER($AD$721),$B$511=1),$AD$721,HLOOKUP(INDIRECT(ADDRESS(2,COLUMN())),OFFSET($BN$2,0,0,ROW()-1,60),ROW()-1,FALSE))</f>
        <v/>
      </c>
      <c r="AE217" t="str">
        <f ca="1">IF(AND(ISNUMBER($AE$721),$B$511=1),$AE$721,HLOOKUP(INDIRECT(ADDRESS(2,COLUMN())),OFFSET($BN$2,0,0,ROW()-1,60),ROW()-1,FALSE))</f>
        <v/>
      </c>
      <c r="AF217" t="str">
        <f ca="1">IF(AND(ISNUMBER($AF$721),$B$511=1),$AF$721,HLOOKUP(INDIRECT(ADDRESS(2,COLUMN())),OFFSET($BN$2,0,0,ROW()-1,60),ROW()-1,FALSE))</f>
        <v/>
      </c>
      <c r="AG217" t="str">
        <f ca="1">IF(AND(ISNUMBER($AG$721),$B$511=1),$AG$721,HLOOKUP(INDIRECT(ADDRESS(2,COLUMN())),OFFSET($BN$2,0,0,ROW()-1,60),ROW()-1,FALSE))</f>
        <v/>
      </c>
      <c r="AH217" t="str">
        <f ca="1">IF(AND(ISNUMBER($AH$721),$B$511=1),$AH$721,HLOOKUP(INDIRECT(ADDRESS(2,COLUMN())),OFFSET($BN$2,0,0,ROW()-1,60),ROW()-1,FALSE))</f>
        <v/>
      </c>
      <c r="AI217" t="str">
        <f ca="1">IF(AND(ISNUMBER($AI$721),$B$511=1),$AI$721,HLOOKUP(INDIRECT(ADDRESS(2,COLUMN())),OFFSET($BN$2,0,0,ROW()-1,60),ROW()-1,FALSE))</f>
        <v/>
      </c>
      <c r="AJ217" t="str">
        <f ca="1">IF(AND(ISNUMBER($AJ$721),$B$511=1),$AJ$721,HLOOKUP(INDIRECT(ADDRESS(2,COLUMN())),OFFSET($BN$2,0,0,ROW()-1,60),ROW()-1,FALSE))</f>
        <v/>
      </c>
      <c r="AK217" t="str">
        <f ca="1">IF(AND(ISNUMBER($AK$721),$B$511=1),$AK$721,HLOOKUP(INDIRECT(ADDRESS(2,COLUMN())),OFFSET($BN$2,0,0,ROW()-1,60),ROW()-1,FALSE))</f>
        <v/>
      </c>
      <c r="AL217" t="str">
        <f ca="1">IF(AND(ISNUMBER($AL$721),$B$511=1),$AL$721,HLOOKUP(INDIRECT(ADDRESS(2,COLUMN())),OFFSET($BN$2,0,0,ROW()-1,60),ROW()-1,FALSE))</f>
        <v/>
      </c>
      <c r="AM217" t="str">
        <f ca="1">IF(AND(ISNUMBER($AM$721),$B$511=1),$AM$721,HLOOKUP(INDIRECT(ADDRESS(2,COLUMN())),OFFSET($BN$2,0,0,ROW()-1,60),ROW()-1,FALSE))</f>
        <v/>
      </c>
      <c r="AN217" t="str">
        <f ca="1">IF(AND(ISNUMBER($AN$721),$B$511=1),$AN$721,HLOOKUP(INDIRECT(ADDRESS(2,COLUMN())),OFFSET($BN$2,0,0,ROW()-1,60),ROW()-1,FALSE))</f>
        <v/>
      </c>
      <c r="AO217" t="str">
        <f ca="1">IF(AND(ISNUMBER($AO$721),$B$511=1),$AO$721,HLOOKUP(INDIRECT(ADDRESS(2,COLUMN())),OFFSET($BN$2,0,0,ROW()-1,60),ROW()-1,FALSE))</f>
        <v/>
      </c>
      <c r="AP217" t="str">
        <f ca="1">IF(AND(ISNUMBER($AP$721),$B$511=1),$AP$721,HLOOKUP(INDIRECT(ADDRESS(2,COLUMN())),OFFSET($BN$2,0,0,ROW()-1,60),ROW()-1,FALSE))</f>
        <v/>
      </c>
      <c r="AQ217" t="str">
        <f ca="1">IF(AND(ISNUMBER($AQ$721),$B$511=1),$AQ$721,HLOOKUP(INDIRECT(ADDRESS(2,COLUMN())),OFFSET($BN$2,0,0,ROW()-1,60),ROW()-1,FALSE))</f>
        <v/>
      </c>
      <c r="AR217" t="str">
        <f ca="1">IF(AND(ISNUMBER($AR$721),$B$511=1),$AR$721,HLOOKUP(INDIRECT(ADDRESS(2,COLUMN())),OFFSET($BN$2,0,0,ROW()-1,60),ROW()-1,FALSE))</f>
        <v/>
      </c>
      <c r="AS217" t="str">
        <f ca="1">IF(AND(ISNUMBER($AS$721),$B$511=1),$AS$721,HLOOKUP(INDIRECT(ADDRESS(2,COLUMN())),OFFSET($BN$2,0,0,ROW()-1,60),ROW()-1,FALSE))</f>
        <v/>
      </c>
      <c r="AT217" t="str">
        <f ca="1">IF(AND(ISNUMBER($AT$721),$B$511=1),$AT$721,HLOOKUP(INDIRECT(ADDRESS(2,COLUMN())),OFFSET($BN$2,0,0,ROW()-1,60),ROW()-1,FALSE))</f>
        <v/>
      </c>
      <c r="AU217" t="str">
        <f ca="1">IF(AND(ISNUMBER($AU$721),$B$511=1),$AU$721,HLOOKUP(INDIRECT(ADDRESS(2,COLUMN())),OFFSET($BN$2,0,0,ROW()-1,60),ROW()-1,FALSE))</f>
        <v/>
      </c>
      <c r="AV217" t="str">
        <f ca="1">IF(AND(ISNUMBER($AV$721),$B$511=1),$AV$721,HLOOKUP(INDIRECT(ADDRESS(2,COLUMN())),OFFSET($BN$2,0,0,ROW()-1,60),ROW()-1,FALSE))</f>
        <v/>
      </c>
      <c r="AW217" t="str">
        <f ca="1">IF(AND(ISNUMBER($AW$721),$B$511=1),$AW$721,HLOOKUP(INDIRECT(ADDRESS(2,COLUMN())),OFFSET($BN$2,0,0,ROW()-1,60),ROW()-1,FALSE))</f>
        <v/>
      </c>
      <c r="AX217" t="str">
        <f ca="1">IF(AND(ISNUMBER($AX$721),$B$511=1),$AX$721,HLOOKUP(INDIRECT(ADDRESS(2,COLUMN())),OFFSET($BN$2,0,0,ROW()-1,60),ROW()-1,FALSE))</f>
        <v/>
      </c>
      <c r="AY217" t="str">
        <f ca="1">IF(AND(ISNUMBER($AY$721),$B$511=1),$AY$721,HLOOKUP(INDIRECT(ADDRESS(2,COLUMN())),OFFSET($BN$2,0,0,ROW()-1,60),ROW()-1,FALSE))</f>
        <v/>
      </c>
      <c r="AZ217" t="str">
        <f ca="1">IF(AND(ISNUMBER($AZ$721),$B$511=1),$AZ$721,HLOOKUP(INDIRECT(ADDRESS(2,COLUMN())),OFFSET($BN$2,0,0,ROW()-1,60),ROW()-1,FALSE))</f>
        <v/>
      </c>
      <c r="BA217" t="str">
        <f ca="1">IF(AND(ISNUMBER($BA$721),$B$511=1),$BA$721,HLOOKUP(INDIRECT(ADDRESS(2,COLUMN())),OFFSET($BN$2,0,0,ROW()-1,60),ROW()-1,FALSE))</f>
        <v/>
      </c>
      <c r="BB217" t="str">
        <f ca="1">IF(AND(ISNUMBER($BB$721),$B$511=1),$BB$721,HLOOKUP(INDIRECT(ADDRESS(2,COLUMN())),OFFSET($BN$2,0,0,ROW()-1,60),ROW()-1,FALSE))</f>
        <v/>
      </c>
      <c r="BC217" t="str">
        <f ca="1">IF(AND(ISNUMBER($BC$721),$B$511=1),$BC$721,HLOOKUP(INDIRECT(ADDRESS(2,COLUMN())),OFFSET($BN$2,0,0,ROW()-1,60),ROW()-1,FALSE))</f>
        <v/>
      </c>
      <c r="BD217" t="str">
        <f ca="1">IF(AND(ISNUMBER($BD$721),$B$511=1),$BD$721,HLOOKUP(INDIRECT(ADDRESS(2,COLUMN())),OFFSET($BN$2,0,0,ROW()-1,60),ROW()-1,FALSE))</f>
        <v/>
      </c>
      <c r="BE217" t="str">
        <f ca="1">IF(AND(ISNUMBER($BE$721),$B$511=1),$BE$721,HLOOKUP(INDIRECT(ADDRESS(2,COLUMN())),OFFSET($BN$2,0,0,ROW()-1,60),ROW()-1,FALSE))</f>
        <v/>
      </c>
      <c r="BF217" t="str">
        <f ca="1">IF(AND(ISNUMBER($BF$721),$B$511=1),$BF$721,HLOOKUP(INDIRECT(ADDRESS(2,COLUMN())),OFFSET($BN$2,0,0,ROW()-1,60),ROW()-1,FALSE))</f>
        <v/>
      </c>
      <c r="BG217" t="str">
        <f ca="1">IF(AND(ISNUMBER($BG$721),$B$511=1),$BG$721,HLOOKUP(INDIRECT(ADDRESS(2,COLUMN())),OFFSET($BN$2,0,0,ROW()-1,60),ROW()-1,FALSE))</f>
        <v/>
      </c>
      <c r="BH217" t="str">
        <f ca="1">IF(AND(ISNUMBER($BH$721),$B$511=1),$BH$721,HLOOKUP(INDIRECT(ADDRESS(2,COLUMN())),OFFSET($BN$2,0,0,ROW()-1,60),ROW()-1,FALSE))</f>
        <v/>
      </c>
      <c r="BI217" t="str">
        <f ca="1">IF(AND(ISNUMBER($BI$721),$B$511=1),$BI$721,HLOOKUP(INDIRECT(ADDRESS(2,COLUMN())),OFFSET($BN$2,0,0,ROW()-1,60),ROW()-1,FALSE))</f>
        <v/>
      </c>
      <c r="BJ217" t="str">
        <f ca="1">IF(AND(ISNUMBER($BJ$721),$B$511=1),$BJ$721,HLOOKUP(INDIRECT(ADDRESS(2,COLUMN())),OFFSET($BN$2,0,0,ROW()-1,60),ROW()-1,FALSE))</f>
        <v/>
      </c>
      <c r="BK217" t="str">
        <f ca="1">IF(AND(ISNUMBER($BK$721),$B$511=1),$BK$721,HLOOKUP(INDIRECT(ADDRESS(2,COLUMN())),OFFSET($BN$2,0,0,ROW()-1,60),ROW()-1,FALSE))</f>
        <v/>
      </c>
      <c r="BL217" t="str">
        <f ca="1">IF(AND(ISNUMBER($BL$721),$B$511=1),$BL$721,HLOOKUP(INDIRECT(ADDRESS(2,COLUMN())),OFFSET($BN$2,0,0,ROW()-1,60),ROW()-1,FALSE))</f>
        <v/>
      </c>
      <c r="BM217" t="str">
        <f ca="1">IF(AND(ISNUMBER($BM$721),$B$511=1),$BM$721,HLOOKUP(INDIRECT(ADDRESS(2,COLUMN())),OFFSET($BN$2,0,0,ROW()-1,60),ROW()-1,FALSE))</f>
        <v/>
      </c>
      <c r="BN217" t="str">
        <f>""</f>
        <v/>
      </c>
      <c r="BO217" t="str">
        <f>""</f>
        <v/>
      </c>
      <c r="BP217" t="str">
        <f>""</f>
        <v/>
      </c>
      <c r="BQ217" t="str">
        <f>""</f>
        <v/>
      </c>
      <c r="BR217" t="str">
        <f>""</f>
        <v/>
      </c>
      <c r="BS217" t="str">
        <f>""</f>
        <v/>
      </c>
      <c r="BT217" t="str">
        <f>""</f>
        <v/>
      </c>
      <c r="BU217" t="str">
        <f>""</f>
        <v/>
      </c>
      <c r="BV217" t="str">
        <f>""</f>
        <v/>
      </c>
      <c r="BW217" t="str">
        <f>""</f>
        <v/>
      </c>
      <c r="BX217" t="str">
        <f>""</f>
        <v/>
      </c>
      <c r="BY217" t="str">
        <f>""</f>
        <v/>
      </c>
      <c r="BZ217" t="str">
        <f>""</f>
        <v/>
      </c>
      <c r="CA217" t="str">
        <f>""</f>
        <v/>
      </c>
      <c r="CB217" t="str">
        <f>""</f>
        <v/>
      </c>
      <c r="CC217" t="str">
        <f>""</f>
        <v/>
      </c>
      <c r="CD217" t="str">
        <f>""</f>
        <v/>
      </c>
      <c r="CE217" t="str">
        <f>""</f>
        <v/>
      </c>
      <c r="CF217" t="str">
        <f>""</f>
        <v/>
      </c>
      <c r="CG217" t="str">
        <f>""</f>
        <v/>
      </c>
      <c r="CH217" t="str">
        <f>""</f>
        <v/>
      </c>
      <c r="CI217" t="str">
        <f>""</f>
        <v/>
      </c>
      <c r="CJ217" t="str">
        <f>""</f>
        <v/>
      </c>
      <c r="CK217" t="str">
        <f>""</f>
        <v/>
      </c>
      <c r="CL217" t="str">
        <f>""</f>
        <v/>
      </c>
      <c r="CM217" t="str">
        <f>""</f>
        <v/>
      </c>
      <c r="CN217" t="str">
        <f>""</f>
        <v/>
      </c>
      <c r="CO217" t="str">
        <f>""</f>
        <v/>
      </c>
      <c r="CP217" t="str">
        <f>""</f>
        <v/>
      </c>
      <c r="CQ217" t="str">
        <f>""</f>
        <v/>
      </c>
      <c r="CR217" t="str">
        <f>""</f>
        <v/>
      </c>
      <c r="CS217" t="str">
        <f>""</f>
        <v/>
      </c>
      <c r="CT217" t="str">
        <f>""</f>
        <v/>
      </c>
      <c r="CU217" t="str">
        <f>""</f>
        <v/>
      </c>
      <c r="CV217" t="str">
        <f>""</f>
        <v/>
      </c>
      <c r="CW217" t="str">
        <f>""</f>
        <v/>
      </c>
      <c r="CX217" t="str">
        <f>""</f>
        <v/>
      </c>
      <c r="CY217" t="str">
        <f>""</f>
        <v/>
      </c>
      <c r="CZ217" t="str">
        <f>""</f>
        <v/>
      </c>
      <c r="DA217" t="str">
        <f>""</f>
        <v/>
      </c>
      <c r="DB217" t="str">
        <f>""</f>
        <v/>
      </c>
      <c r="DC217" t="str">
        <f>""</f>
        <v/>
      </c>
      <c r="DD217" t="str">
        <f>""</f>
        <v/>
      </c>
      <c r="DE217" t="str">
        <f>""</f>
        <v/>
      </c>
      <c r="DF217" t="str">
        <f>""</f>
        <v/>
      </c>
      <c r="DG217" t="str">
        <f>""</f>
        <v/>
      </c>
      <c r="DH217" t="str">
        <f>""</f>
        <v/>
      </c>
      <c r="DI217" t="str">
        <f>""</f>
        <v/>
      </c>
      <c r="DJ217" t="str">
        <f>""</f>
        <v/>
      </c>
      <c r="DK217" t="str">
        <f>""</f>
        <v/>
      </c>
      <c r="DL217" t="str">
        <f>""</f>
        <v/>
      </c>
      <c r="DM217" t="str">
        <f>""</f>
        <v/>
      </c>
      <c r="DN217" t="str">
        <f>""</f>
        <v/>
      </c>
      <c r="DO217" t="str">
        <f>""</f>
        <v/>
      </c>
      <c r="DP217" t="str">
        <f>""</f>
        <v/>
      </c>
      <c r="DQ217" t="str">
        <f>""</f>
        <v/>
      </c>
      <c r="DR217" t="str">
        <f>""</f>
        <v/>
      </c>
      <c r="DS217" t="str">
        <f>""</f>
        <v/>
      </c>
      <c r="DT217" t="str">
        <f>""</f>
        <v/>
      </c>
      <c r="DU217" t="str">
        <f>""</f>
        <v/>
      </c>
    </row>
    <row r="218" spans="1:125" x14ac:dyDescent="0.25">
      <c r="A218" t="str">
        <f>"    DRB-Hicom Bhd"</f>
        <v xml:space="preserve">    DRB-Hicom Bhd</v>
      </c>
      <c r="B218" t="str">
        <f>"DRB MK Equity"</f>
        <v>DRB MK Equity</v>
      </c>
      <c r="C218" t="str">
        <f t="shared" si="15"/>
        <v>RR843</v>
      </c>
      <c r="D218" t="str">
        <f t="shared" si="16"/>
        <v>TRAIL_12M_FREE_CASH_FLOW</v>
      </c>
      <c r="E218" t="str">
        <f t="shared" si="17"/>
        <v>Dynamic</v>
      </c>
      <c r="F218" t="str">
        <f ca="1">IF(AND(ISNUMBER($F$722),$B$511=1),$F$722,HLOOKUP(INDIRECT(ADDRESS(2,COLUMN())),OFFSET($BN$2,0,0,ROW()-1,60),ROW()-1,FALSE))</f>
        <v/>
      </c>
      <c r="G218" t="str">
        <f ca="1">IF(AND(ISNUMBER($G$722),$B$511=1),$G$722,HLOOKUP(INDIRECT(ADDRESS(2,COLUMN())),OFFSET($BN$2,0,0,ROW()-1,60),ROW()-1,FALSE))</f>
        <v/>
      </c>
      <c r="H218">
        <f ca="1">IF(AND(ISNUMBER($H$722),$B$511=1),$H$722,HLOOKUP(INDIRECT(ADDRESS(2,COLUMN())),OFFSET($BN$2,0,0,ROW()-1,60),ROW()-1,FALSE))</f>
        <v>404.9004046</v>
      </c>
      <c r="I218">
        <f ca="1">IF(AND(ISNUMBER($I$722),$B$511=1),$I$722,HLOOKUP(INDIRECT(ADDRESS(2,COLUMN())),OFFSET($BN$2,0,0,ROW()-1,60),ROW()-1,FALSE))</f>
        <v>135.90407690000001</v>
      </c>
      <c r="J218">
        <f ca="1">IF(AND(ISNUMBER($J$722),$B$511=1),$J$722,HLOOKUP(INDIRECT(ADDRESS(2,COLUMN())),OFFSET($BN$2,0,0,ROW()-1,60),ROW()-1,FALSE))</f>
        <v>66.373248869999998</v>
      </c>
      <c r="K218">
        <f ca="1">IF(AND(ISNUMBER($K$722),$B$511=1),$K$722,HLOOKUP(INDIRECT(ADDRESS(2,COLUMN())),OFFSET($BN$2,0,0,ROW()-1,60),ROW()-1,FALSE))</f>
        <v>102.91581600000001</v>
      </c>
      <c r="L218">
        <f ca="1">IF(AND(ISNUMBER($L$722),$B$511=1),$L$722,HLOOKUP(INDIRECT(ADDRESS(2,COLUMN())),OFFSET($BN$2,0,0,ROW()-1,60),ROW()-1,FALSE))</f>
        <v>-206.58733129999999</v>
      </c>
      <c r="M218">
        <f ca="1">IF(AND(ISNUMBER($M$722),$B$511=1),$M$722,HLOOKUP(INDIRECT(ADDRESS(2,COLUMN())),OFFSET($BN$2,0,0,ROW()-1,60),ROW()-1,FALSE))</f>
        <v>-349.6855731</v>
      </c>
      <c r="N218">
        <f ca="1">IF(AND(ISNUMBER($N$722),$B$511=1),$N$722,HLOOKUP(INDIRECT(ADDRESS(2,COLUMN())),OFFSET($BN$2,0,0,ROW()-1,60),ROW()-1,FALSE))</f>
        <v>-139.7798019</v>
      </c>
      <c r="O218">
        <f ca="1">IF(AND(ISNUMBER($O$722),$B$511=1),$O$722,HLOOKUP(INDIRECT(ADDRESS(2,COLUMN())),OFFSET($BN$2,0,0,ROW()-1,60),ROW()-1,FALSE))</f>
        <v>-414.78294790000001</v>
      </c>
      <c r="P218">
        <f ca="1">IF(AND(ISNUMBER($P$722),$B$511=1),$P$722,HLOOKUP(INDIRECT(ADDRESS(2,COLUMN())),OFFSET($BN$2,0,0,ROW()-1,60),ROW()-1,FALSE))</f>
        <v>-177.6135745</v>
      </c>
      <c r="Q218">
        <f ca="1">IF(AND(ISNUMBER($Q$722),$B$511=1),$Q$722,HLOOKUP(INDIRECT(ADDRESS(2,COLUMN())),OFFSET($BN$2,0,0,ROW()-1,60),ROW()-1,FALSE))</f>
        <v>32.918870470000002</v>
      </c>
      <c r="R218">
        <f ca="1">IF(AND(ISNUMBER($R$722),$B$511=1),$R$722,HLOOKUP(INDIRECT(ADDRESS(2,COLUMN())),OFFSET($BN$2,0,0,ROW()-1,60),ROW()-1,FALSE))</f>
        <v>-300.23987740000001</v>
      </c>
      <c r="S218">
        <f ca="1">IF(AND(ISNUMBER($S$722),$B$511=1),$S$722,HLOOKUP(INDIRECT(ADDRESS(2,COLUMN())),OFFSET($BN$2,0,0,ROW()-1,60),ROW()-1,FALSE))</f>
        <v>-385.10292149999998</v>
      </c>
      <c r="T218">
        <f ca="1">IF(AND(ISNUMBER($T$722),$B$511=1),$T$722,HLOOKUP(INDIRECT(ADDRESS(2,COLUMN())),OFFSET($BN$2,0,0,ROW()-1,60),ROW()-1,FALSE))</f>
        <v>-634.40494790000002</v>
      </c>
      <c r="U218">
        <f ca="1">IF(AND(ISNUMBER($U$722),$B$511=1),$U$722,HLOOKUP(INDIRECT(ADDRESS(2,COLUMN())),OFFSET($BN$2,0,0,ROW()-1,60),ROW()-1,FALSE))</f>
        <v>-540.95495979999998</v>
      </c>
      <c r="V218">
        <f ca="1">IF(AND(ISNUMBER($V$722),$B$511=1),$V$722,HLOOKUP(INDIRECT(ADDRESS(2,COLUMN())),OFFSET($BN$2,0,0,ROW()-1,60),ROW()-1,FALSE))</f>
        <v>-20.37695411</v>
      </c>
      <c r="W218">
        <f ca="1">IF(AND(ISNUMBER($W$722),$B$511=1),$W$722,HLOOKUP(INDIRECT(ADDRESS(2,COLUMN())),OFFSET($BN$2,0,0,ROW()-1,60),ROW()-1,FALSE))</f>
        <v>101.6115616</v>
      </c>
      <c r="X218">
        <f ca="1">IF(AND(ISNUMBER($X$722),$B$511=1),$X$722,HLOOKUP(INDIRECT(ADDRESS(2,COLUMN())),OFFSET($BN$2,0,0,ROW()-1,60),ROW()-1,FALSE))</f>
        <v>-327.80277910000001</v>
      </c>
      <c r="Y218">
        <f ca="1">IF(AND(ISNUMBER($Y$722),$B$511=1),$Y$722,HLOOKUP(INDIRECT(ADDRESS(2,COLUMN())),OFFSET($BN$2,0,0,ROW()-1,60),ROW()-1,FALSE))</f>
        <v>-318.34991209999998</v>
      </c>
      <c r="Z218">
        <f ca="1">IF(AND(ISNUMBER($Z$722),$B$511=1),$Z$722,HLOOKUP(INDIRECT(ADDRESS(2,COLUMN())),OFFSET($BN$2,0,0,ROW()-1,60),ROW()-1,FALSE))</f>
        <v>-784.29938030000005</v>
      </c>
      <c r="AA218">
        <f ca="1">IF(AND(ISNUMBER($AA$722),$B$511=1),$AA$722,HLOOKUP(INDIRECT(ADDRESS(2,COLUMN())),OFFSET($BN$2,0,0,ROW()-1,60),ROW()-1,FALSE))</f>
        <v>287.36947579999998</v>
      </c>
      <c r="AB218">
        <f ca="1">IF(AND(ISNUMBER($AB$722),$B$511=1),$AB$722,HLOOKUP(INDIRECT(ADDRESS(2,COLUMN())),OFFSET($BN$2,0,0,ROW()-1,60),ROW()-1,FALSE))</f>
        <v>855.56288219999999</v>
      </c>
      <c r="AC218">
        <f ca="1">IF(AND(ISNUMBER($AC$722),$B$511=1),$AC$722,HLOOKUP(INDIRECT(ADDRESS(2,COLUMN())),OFFSET($BN$2,0,0,ROW()-1,60),ROW()-1,FALSE))</f>
        <v>663.73453930000005</v>
      </c>
      <c r="AD218">
        <f ca="1">IF(AND(ISNUMBER($AD$722),$B$511=1),$AD$722,HLOOKUP(INDIRECT(ADDRESS(2,COLUMN())),OFFSET($BN$2,0,0,ROW()-1,60),ROW()-1,FALSE))</f>
        <v>-133.50412159999999</v>
      </c>
      <c r="AE218">
        <f ca="1">IF(AND(ISNUMBER($AE$722),$B$511=1),$AE$722,HLOOKUP(INDIRECT(ADDRESS(2,COLUMN())),OFFSET($BN$2,0,0,ROW()-1,60),ROW()-1,FALSE))</f>
        <v>-608.05593950000002</v>
      </c>
      <c r="AF218">
        <f ca="1">IF(AND(ISNUMBER($AF$722),$B$511=1),$AF$722,HLOOKUP(INDIRECT(ADDRESS(2,COLUMN())),OFFSET($BN$2,0,0,ROW()-1,60),ROW()-1,FALSE))</f>
        <v>-146.6089326</v>
      </c>
      <c r="AG218">
        <f ca="1">IF(AND(ISNUMBER($AG$722),$B$511=1),$AG$722,HLOOKUP(INDIRECT(ADDRESS(2,COLUMN())),OFFSET($BN$2,0,0,ROW()-1,60),ROW()-1,FALSE))</f>
        <v>-774.32396180000001</v>
      </c>
      <c r="AH218">
        <f ca="1">IF(AND(ISNUMBER($AH$722),$B$511=1),$AH$722,HLOOKUP(INDIRECT(ADDRESS(2,COLUMN())),OFFSET($BN$2,0,0,ROW()-1,60),ROW()-1,FALSE))</f>
        <v>-228.28034690000001</v>
      </c>
      <c r="AI218">
        <f ca="1">IF(AND(ISNUMBER($AI$722),$B$511=1),$AI$722,HLOOKUP(INDIRECT(ADDRESS(2,COLUMN())),OFFSET($BN$2,0,0,ROW()-1,60),ROW()-1,FALSE))</f>
        <v>-342.14912320000002</v>
      </c>
      <c r="AJ218">
        <f ca="1">IF(AND(ISNUMBER($AJ$722),$B$511=1),$AJ$722,HLOOKUP(INDIRECT(ADDRESS(2,COLUMN())),OFFSET($BN$2,0,0,ROW()-1,60),ROW()-1,FALSE))</f>
        <v>-1224.387205</v>
      </c>
      <c r="AK218">
        <f ca="1">IF(AND(ISNUMBER($AK$722),$B$511=1),$AK$722,HLOOKUP(INDIRECT(ADDRESS(2,COLUMN())),OFFSET($BN$2,0,0,ROW()-1,60),ROW()-1,FALSE))</f>
        <v>-906.78575190000004</v>
      </c>
      <c r="AL218">
        <f ca="1">IF(AND(ISNUMBER($AL$722),$B$511=1),$AL$722,HLOOKUP(INDIRECT(ADDRESS(2,COLUMN())),OFFSET($BN$2,0,0,ROW()-1,60),ROW()-1,FALSE))</f>
        <v>-598.77517550000005</v>
      </c>
      <c r="AM218">
        <f ca="1">IF(AND(ISNUMBER($AM$722),$B$511=1),$AM$722,HLOOKUP(INDIRECT(ADDRESS(2,COLUMN())),OFFSET($BN$2,0,0,ROW()-1,60),ROW()-1,FALSE))</f>
        <v>-813.86863519999997</v>
      </c>
      <c r="AN218">
        <f ca="1">IF(AND(ISNUMBER($AN$722),$B$511=1),$AN$722,HLOOKUP(INDIRECT(ADDRESS(2,COLUMN())),OFFSET($BN$2,0,0,ROW()-1,60),ROW()-1,FALSE))</f>
        <v>-454.56388700000002</v>
      </c>
      <c r="AO218">
        <f ca="1">IF(AND(ISNUMBER($AO$722),$B$511=1),$AO$722,HLOOKUP(INDIRECT(ADDRESS(2,COLUMN())),OFFSET($BN$2,0,0,ROW()-1,60),ROW()-1,FALSE))</f>
        <v>270.35713349999997</v>
      </c>
      <c r="AP218">
        <f ca="1">IF(AND(ISNUMBER($AP$722),$B$511=1),$AP$722,HLOOKUP(INDIRECT(ADDRESS(2,COLUMN())),OFFSET($BN$2,0,0,ROW()-1,60),ROW()-1,FALSE))</f>
        <v>660.00378669999998</v>
      </c>
      <c r="AQ218">
        <f ca="1">IF(AND(ISNUMBER($AQ$722),$B$511=1),$AQ$722,HLOOKUP(INDIRECT(ADDRESS(2,COLUMN())),OFFSET($BN$2,0,0,ROW()-1,60),ROW()-1,FALSE))</f>
        <v>-50.120613519999999</v>
      </c>
      <c r="AR218">
        <f ca="1">IF(AND(ISNUMBER($AR$722),$B$511=1),$AR$722,HLOOKUP(INDIRECT(ADDRESS(2,COLUMN())),OFFSET($BN$2,0,0,ROW()-1,60),ROW()-1,FALSE))</f>
        <v>-138.5043842</v>
      </c>
      <c r="AS218">
        <f ca="1">IF(AND(ISNUMBER($AS$722),$B$511=1),$AS$722,HLOOKUP(INDIRECT(ADDRESS(2,COLUMN())),OFFSET($BN$2,0,0,ROW()-1,60),ROW()-1,FALSE))</f>
        <v>-479.40692919999998</v>
      </c>
      <c r="AT218">
        <f ca="1">IF(AND(ISNUMBER($AT$722),$B$511=1),$AT$722,HLOOKUP(INDIRECT(ADDRESS(2,COLUMN())),OFFSET($BN$2,0,0,ROW()-1,60),ROW()-1,FALSE))</f>
        <v>-549.67205479999996</v>
      </c>
      <c r="AU218">
        <f ca="1">IF(AND(ISNUMBER($AU$722),$B$511=1),$AU$722,HLOOKUP(INDIRECT(ADDRESS(2,COLUMN())),OFFSET($BN$2,0,0,ROW()-1,60),ROW()-1,FALSE))</f>
        <v>-3.658292528</v>
      </c>
      <c r="AV218">
        <f ca="1">IF(AND(ISNUMBER($AV$722),$B$511=1),$AV$722,HLOOKUP(INDIRECT(ADDRESS(2,COLUMN())),OFFSET($BN$2,0,0,ROW()-1,60),ROW()-1,FALSE))</f>
        <v>-10.751339059999999</v>
      </c>
      <c r="AW218">
        <f ca="1">IF(AND(ISNUMBER($AW$722),$B$511=1),$AW$722,HLOOKUP(INDIRECT(ADDRESS(2,COLUMN())),OFFSET($BN$2,0,0,ROW()-1,60),ROW()-1,FALSE))</f>
        <v>8.7371521380000008</v>
      </c>
      <c r="AX218">
        <f ca="1">IF(AND(ISNUMBER($AX$722),$B$511=1),$AX$722,HLOOKUP(INDIRECT(ADDRESS(2,COLUMN())),OFFSET($BN$2,0,0,ROW()-1,60),ROW()-1,FALSE))</f>
        <v>169.4995653</v>
      </c>
      <c r="AY218">
        <f ca="1">IF(AND(ISNUMBER($AY$722),$B$511=1),$AY$722,HLOOKUP(INDIRECT(ADDRESS(2,COLUMN())),OFFSET($BN$2,0,0,ROW()-1,60),ROW()-1,FALSE))</f>
        <v>188.4933087</v>
      </c>
      <c r="AZ218">
        <f ca="1">IF(AND(ISNUMBER($AZ$722),$B$511=1),$AZ$722,HLOOKUP(INDIRECT(ADDRESS(2,COLUMN())),OFFSET($BN$2,0,0,ROW()-1,60),ROW()-1,FALSE))</f>
        <v>249.80521719999999</v>
      </c>
      <c r="BA218">
        <f ca="1">IF(AND(ISNUMBER($BA$722),$B$511=1),$BA$722,HLOOKUP(INDIRECT(ADDRESS(2,COLUMN())),OFFSET($BN$2,0,0,ROW()-1,60),ROW()-1,FALSE))</f>
        <v>210.91239049999999</v>
      </c>
      <c r="BB218">
        <f ca="1">IF(AND(ISNUMBER($BB$722),$B$511=1),$BB$722,HLOOKUP(INDIRECT(ADDRESS(2,COLUMN())),OFFSET($BN$2,0,0,ROW()-1,60),ROW()-1,FALSE))</f>
        <v>149.77433389999999</v>
      </c>
      <c r="BC218">
        <f ca="1">IF(AND(ISNUMBER($BC$722),$B$511=1),$BC$722,HLOOKUP(INDIRECT(ADDRESS(2,COLUMN())),OFFSET($BN$2,0,0,ROW()-1,60),ROW()-1,FALSE))</f>
        <v>155.7239434</v>
      </c>
      <c r="BD218">
        <f ca="1">IF(AND(ISNUMBER($BD$722),$B$511=1),$BD$722,HLOOKUP(INDIRECT(ADDRESS(2,COLUMN())),OFFSET($BN$2,0,0,ROW()-1,60),ROW()-1,FALSE))</f>
        <v>73.906542860000002</v>
      </c>
      <c r="BE218">
        <f ca="1">IF(AND(ISNUMBER($BE$722),$B$511=1),$BE$722,HLOOKUP(INDIRECT(ADDRESS(2,COLUMN())),OFFSET($BN$2,0,0,ROW()-1,60),ROW()-1,FALSE))</f>
        <v>29.467777170000002</v>
      </c>
      <c r="BF218">
        <f ca="1">IF(AND(ISNUMBER($BF$722),$B$511=1),$BF$722,HLOOKUP(INDIRECT(ADDRESS(2,COLUMN())),OFFSET($BN$2,0,0,ROW()-1,60),ROW()-1,FALSE))</f>
        <v>48.923366790000003</v>
      </c>
      <c r="BG218">
        <f ca="1">IF(AND(ISNUMBER($BG$722),$B$511=1),$BG$722,HLOOKUP(INDIRECT(ADDRESS(2,COLUMN())),OFFSET($BN$2,0,0,ROW()-1,60),ROW()-1,FALSE))</f>
        <v>52.42593093</v>
      </c>
      <c r="BH218">
        <f ca="1">IF(AND(ISNUMBER($BH$722),$B$511=1),$BH$722,HLOOKUP(INDIRECT(ADDRESS(2,COLUMN())),OFFSET($BN$2,0,0,ROW()-1,60),ROW()-1,FALSE))</f>
        <v>121.0615432</v>
      </c>
      <c r="BI218">
        <f ca="1">IF(AND(ISNUMBER($BI$722),$B$511=1),$BI$722,HLOOKUP(INDIRECT(ADDRESS(2,COLUMN())),OFFSET($BN$2,0,0,ROW()-1,60),ROW()-1,FALSE))</f>
        <v>161.2502648</v>
      </c>
      <c r="BJ218">
        <f ca="1">IF(AND(ISNUMBER($BJ$722),$B$511=1),$BJ$722,HLOOKUP(INDIRECT(ADDRESS(2,COLUMN())),OFFSET($BN$2,0,0,ROW()-1,60),ROW()-1,FALSE))</f>
        <v>168.53947489999999</v>
      </c>
      <c r="BK218">
        <f ca="1">IF(AND(ISNUMBER($BK$722),$B$511=1),$BK$722,HLOOKUP(INDIRECT(ADDRESS(2,COLUMN())),OFFSET($BN$2,0,0,ROW()-1,60),ROW()-1,FALSE))</f>
        <v>142.8684193</v>
      </c>
      <c r="BL218">
        <f ca="1">IF(AND(ISNUMBER($BL$722),$B$511=1),$BL$722,HLOOKUP(INDIRECT(ADDRESS(2,COLUMN())),OFFSET($BN$2,0,0,ROW()-1,60),ROW()-1,FALSE))</f>
        <v>106.65552630000001</v>
      </c>
      <c r="BM218">
        <f ca="1">IF(AND(ISNUMBER($BM$722),$B$511=1),$BM$722,HLOOKUP(INDIRECT(ADDRESS(2,COLUMN())),OFFSET($BN$2,0,0,ROW()-1,60),ROW()-1,FALSE))</f>
        <v>65.332367450000007</v>
      </c>
      <c r="BN218" t="str">
        <f>""</f>
        <v/>
      </c>
      <c r="BO218" t="str">
        <f>""</f>
        <v/>
      </c>
      <c r="BP218">
        <f>404.9004046</f>
        <v>404.9004046</v>
      </c>
      <c r="BQ218">
        <f>135.9040769</f>
        <v>135.90407690000001</v>
      </c>
      <c r="BR218">
        <f>66.37324887</f>
        <v>66.373248869999998</v>
      </c>
      <c r="BS218">
        <f>102.915816</f>
        <v>102.91581600000001</v>
      </c>
      <c r="BT218">
        <f>-206.5873313</f>
        <v>-206.58733129999999</v>
      </c>
      <c r="BU218">
        <f>-349.6855731</f>
        <v>-349.6855731</v>
      </c>
      <c r="BV218">
        <f>-139.7798019</f>
        <v>-139.7798019</v>
      </c>
      <c r="BW218">
        <f>-414.7829479</f>
        <v>-414.78294790000001</v>
      </c>
      <c r="BX218">
        <f>-177.6135745</f>
        <v>-177.6135745</v>
      </c>
      <c r="BY218">
        <f>32.91887047</f>
        <v>32.918870470000002</v>
      </c>
      <c r="BZ218">
        <f>-300.2398774</f>
        <v>-300.23987740000001</v>
      </c>
      <c r="CA218">
        <f>-385.1029215</f>
        <v>-385.10292149999998</v>
      </c>
      <c r="CB218">
        <f>-634.4049479</f>
        <v>-634.40494790000002</v>
      </c>
      <c r="CC218">
        <f>-540.9549598</f>
        <v>-540.95495979999998</v>
      </c>
      <c r="CD218">
        <f>-20.37695411</f>
        <v>-20.37695411</v>
      </c>
      <c r="CE218">
        <f>101.6115616</f>
        <v>101.6115616</v>
      </c>
      <c r="CF218">
        <f>-327.8027791</f>
        <v>-327.80277910000001</v>
      </c>
      <c r="CG218">
        <f>-318.3499121</f>
        <v>-318.34991209999998</v>
      </c>
      <c r="CH218">
        <f>-784.2993803</f>
        <v>-784.29938030000005</v>
      </c>
      <c r="CI218">
        <f>287.3694758</f>
        <v>287.36947579999998</v>
      </c>
      <c r="CJ218">
        <f>855.5628822</f>
        <v>855.56288219999999</v>
      </c>
      <c r="CK218">
        <f>663.7345393</f>
        <v>663.73453930000005</v>
      </c>
      <c r="CL218">
        <f>-133.5041216</f>
        <v>-133.50412159999999</v>
      </c>
      <c r="CM218">
        <f>-608.0559395</f>
        <v>-608.05593950000002</v>
      </c>
      <c r="CN218">
        <f>-146.6089326</f>
        <v>-146.6089326</v>
      </c>
      <c r="CO218">
        <f>-774.3239618</f>
        <v>-774.32396180000001</v>
      </c>
      <c r="CP218">
        <f>-228.2803469</f>
        <v>-228.28034690000001</v>
      </c>
      <c r="CQ218">
        <f>-342.1491232</f>
        <v>-342.14912320000002</v>
      </c>
      <c r="CR218">
        <f>-1224.387205</f>
        <v>-1224.387205</v>
      </c>
      <c r="CS218">
        <f>-906.7857519</f>
        <v>-906.78575190000004</v>
      </c>
      <c r="CT218">
        <f>-598.7751755</f>
        <v>-598.77517550000005</v>
      </c>
      <c r="CU218">
        <f>-813.8686352</f>
        <v>-813.86863519999997</v>
      </c>
      <c r="CV218">
        <f>-454.563887</f>
        <v>-454.56388700000002</v>
      </c>
      <c r="CW218">
        <f>270.3571335</f>
        <v>270.35713349999997</v>
      </c>
      <c r="CX218">
        <f>660.0037867</f>
        <v>660.00378669999998</v>
      </c>
      <c r="CY218">
        <f>-50.12061352</f>
        <v>-50.120613519999999</v>
      </c>
      <c r="CZ218">
        <f>-138.5043842</f>
        <v>-138.5043842</v>
      </c>
      <c r="DA218">
        <f>-479.4069292</f>
        <v>-479.40692919999998</v>
      </c>
      <c r="DB218">
        <f>-549.6720548</f>
        <v>-549.67205479999996</v>
      </c>
      <c r="DC218">
        <f>-3.658292528</f>
        <v>-3.658292528</v>
      </c>
      <c r="DD218">
        <f>-10.75133906</f>
        <v>-10.751339059999999</v>
      </c>
      <c r="DE218">
        <f>8.737152138</f>
        <v>8.7371521380000008</v>
      </c>
      <c r="DF218">
        <f>169.4995653</f>
        <v>169.4995653</v>
      </c>
      <c r="DG218">
        <f>188.4933087</f>
        <v>188.4933087</v>
      </c>
      <c r="DH218">
        <f>249.8052172</f>
        <v>249.80521719999999</v>
      </c>
      <c r="DI218">
        <f>210.9123905</f>
        <v>210.91239049999999</v>
      </c>
      <c r="DJ218">
        <f>149.7743339</f>
        <v>149.77433389999999</v>
      </c>
      <c r="DK218">
        <f>155.7239434</f>
        <v>155.7239434</v>
      </c>
      <c r="DL218">
        <f>73.90654286</f>
        <v>73.906542860000002</v>
      </c>
      <c r="DM218">
        <f>29.46777717</f>
        <v>29.467777170000002</v>
      </c>
      <c r="DN218">
        <f>48.92336679</f>
        <v>48.923366790000003</v>
      </c>
      <c r="DO218">
        <f>52.42593093</f>
        <v>52.42593093</v>
      </c>
      <c r="DP218">
        <f>121.0615432</f>
        <v>121.0615432</v>
      </c>
      <c r="DQ218">
        <f>161.2502648</f>
        <v>161.2502648</v>
      </c>
      <c r="DR218">
        <f>168.5394749</f>
        <v>168.53947489999999</v>
      </c>
      <c r="DS218">
        <f>142.8684193</f>
        <v>142.8684193</v>
      </c>
      <c r="DT218">
        <f>106.6555263</f>
        <v>106.65552630000001</v>
      </c>
      <c r="DU218">
        <f>65.33236745</f>
        <v>65.332367450000007</v>
      </c>
    </row>
    <row r="219" spans="1:125" x14ac:dyDescent="0.25">
      <c r="A219" t="str">
        <f>"    FAW CAR Co Ltd"</f>
        <v xml:space="preserve">    FAW CAR Co Ltd</v>
      </c>
      <c r="B219" t="str">
        <f>"000800 CH Equity"</f>
        <v>000800 CH Equity</v>
      </c>
      <c r="C219" t="str">
        <f t="shared" si="15"/>
        <v>RR843</v>
      </c>
      <c r="D219" t="str">
        <f t="shared" si="16"/>
        <v>TRAIL_12M_FREE_CASH_FLOW</v>
      </c>
      <c r="E219" t="str">
        <f t="shared" si="17"/>
        <v>Dynamic</v>
      </c>
      <c r="F219" t="str">
        <f ca="1">IF(AND(ISNUMBER($F$723),$B$511=1),$F$723,HLOOKUP(INDIRECT(ADDRESS(2,COLUMN())),OFFSET($BN$2,0,0,ROW()-1,60),ROW()-1,FALSE))</f>
        <v/>
      </c>
      <c r="G219" t="str">
        <f ca="1">IF(AND(ISNUMBER($G$723),$B$511=1),$G$723,HLOOKUP(INDIRECT(ADDRESS(2,COLUMN())),OFFSET($BN$2,0,0,ROW()-1,60),ROW()-1,FALSE))</f>
        <v/>
      </c>
      <c r="H219">
        <f ca="1">IF(AND(ISNUMBER($H$723),$B$511=1),$H$723,HLOOKUP(INDIRECT(ADDRESS(2,COLUMN())),OFFSET($BN$2,0,0,ROW()-1,60),ROW()-1,FALSE))</f>
        <v>161.56994019999999</v>
      </c>
      <c r="I219">
        <f ca="1">IF(AND(ISNUMBER($I$723),$B$511=1),$I$723,HLOOKUP(INDIRECT(ADDRESS(2,COLUMN())),OFFSET($BN$2,0,0,ROW()-1,60),ROW()-1,FALSE))</f>
        <v>331.13194750000002</v>
      </c>
      <c r="J219">
        <f ca="1">IF(AND(ISNUMBER($J$723),$B$511=1),$J$723,HLOOKUP(INDIRECT(ADDRESS(2,COLUMN())),OFFSET($BN$2,0,0,ROW()-1,60),ROW()-1,FALSE))</f>
        <v>313.07124060000001</v>
      </c>
      <c r="K219">
        <f ca="1">IF(AND(ISNUMBER($K$723),$B$511=1),$K$723,HLOOKUP(INDIRECT(ADDRESS(2,COLUMN())),OFFSET($BN$2,0,0,ROW()-1,60),ROW()-1,FALSE))</f>
        <v>297.36748649999998</v>
      </c>
      <c r="L219">
        <f ca="1">IF(AND(ISNUMBER($L$723),$B$511=1),$L$723,HLOOKUP(INDIRECT(ADDRESS(2,COLUMN())),OFFSET($BN$2,0,0,ROW()-1,60),ROW()-1,FALSE))</f>
        <v>297.78949349999999</v>
      </c>
      <c r="M219">
        <f ca="1">IF(AND(ISNUMBER($M$723),$B$511=1),$M$723,HLOOKUP(INDIRECT(ADDRESS(2,COLUMN())),OFFSET($BN$2,0,0,ROW()-1,60),ROW()-1,FALSE))</f>
        <v>122.5471905</v>
      </c>
      <c r="N219">
        <f ca="1">IF(AND(ISNUMBER($N$723),$B$511=1),$N$723,HLOOKUP(INDIRECT(ADDRESS(2,COLUMN())),OFFSET($BN$2,0,0,ROW()-1,60),ROW()-1,FALSE))</f>
        <v>142.93973869999999</v>
      </c>
      <c r="O219">
        <f ca="1">IF(AND(ISNUMBER($O$723),$B$511=1),$O$723,HLOOKUP(INDIRECT(ADDRESS(2,COLUMN())),OFFSET($BN$2,0,0,ROW()-1,60),ROW()-1,FALSE))</f>
        <v>-35.130786669999999</v>
      </c>
      <c r="P219">
        <f ca="1">IF(AND(ISNUMBER($P$723),$B$511=1),$P$723,HLOOKUP(INDIRECT(ADDRESS(2,COLUMN())),OFFSET($BN$2,0,0,ROW()-1,60),ROW()-1,FALSE))</f>
        <v>-106.8745363</v>
      </c>
      <c r="Q219">
        <f ca="1">IF(AND(ISNUMBER($Q$723),$B$511=1),$Q$723,HLOOKUP(INDIRECT(ADDRESS(2,COLUMN())),OFFSET($BN$2,0,0,ROW()-1,60),ROW()-1,FALSE))</f>
        <v>-55.65942338</v>
      </c>
      <c r="R219">
        <f ca="1">IF(AND(ISNUMBER($R$723),$B$511=1),$R$723,HLOOKUP(INDIRECT(ADDRESS(2,COLUMN())),OFFSET($BN$2,0,0,ROW()-1,60),ROW()-1,FALSE))</f>
        <v>-78.085386830000004</v>
      </c>
      <c r="S219">
        <f ca="1">IF(AND(ISNUMBER($S$723),$B$511=1),$S$723,HLOOKUP(INDIRECT(ADDRESS(2,COLUMN())),OFFSET($BN$2,0,0,ROW()-1,60),ROW()-1,FALSE))</f>
        <v>45.248199649999997</v>
      </c>
      <c r="T219">
        <f ca="1">IF(AND(ISNUMBER($T$723),$B$511=1),$T$723,HLOOKUP(INDIRECT(ADDRESS(2,COLUMN())),OFFSET($BN$2,0,0,ROW()-1,60),ROW()-1,FALSE))</f>
        <v>-104.3333198</v>
      </c>
      <c r="U219">
        <f ca="1">IF(AND(ISNUMBER($U$723),$B$511=1),$U$723,HLOOKUP(INDIRECT(ADDRESS(2,COLUMN())),OFFSET($BN$2,0,0,ROW()-1,60),ROW()-1,FALSE))</f>
        <v>-108.6059065</v>
      </c>
      <c r="V219">
        <f ca="1">IF(AND(ISNUMBER($V$723),$B$511=1),$V$723,HLOOKUP(INDIRECT(ADDRESS(2,COLUMN())),OFFSET($BN$2,0,0,ROW()-1,60),ROW()-1,FALSE))</f>
        <v>-79.222572069999998</v>
      </c>
      <c r="W219">
        <f ca="1">IF(AND(ISNUMBER($W$723),$B$511=1),$W$723,HLOOKUP(INDIRECT(ADDRESS(2,COLUMN())),OFFSET($BN$2,0,0,ROW()-1,60),ROW()-1,FALSE))</f>
        <v>-90.972753330000003</v>
      </c>
      <c r="X219">
        <f ca="1">IF(AND(ISNUMBER($X$723),$B$511=1),$X$723,HLOOKUP(INDIRECT(ADDRESS(2,COLUMN())),OFFSET($BN$2,0,0,ROW()-1,60),ROW()-1,FALSE))</f>
        <v>-47.02127565</v>
      </c>
      <c r="Y219">
        <f ca="1">IF(AND(ISNUMBER($Y$723),$B$511=1),$Y$723,HLOOKUP(INDIRECT(ADDRESS(2,COLUMN())),OFFSET($BN$2,0,0,ROW()-1,60),ROW()-1,FALSE))</f>
        <v>-4.4673329849999996</v>
      </c>
      <c r="Z219">
        <f ca="1">IF(AND(ISNUMBER($Z$723),$B$511=1),$Z$723,HLOOKUP(INDIRECT(ADDRESS(2,COLUMN())),OFFSET($BN$2,0,0,ROW()-1,60),ROW()-1,FALSE))</f>
        <v>71.373727410000001</v>
      </c>
      <c r="AA219">
        <f ca="1">IF(AND(ISNUMBER($AA$723),$B$511=1),$AA$723,HLOOKUP(INDIRECT(ADDRESS(2,COLUMN())),OFFSET($BN$2,0,0,ROW()-1,60),ROW()-1,FALSE))</f>
        <v>-2.8000889670000002</v>
      </c>
      <c r="AB219">
        <f ca="1">IF(AND(ISNUMBER($AB$723),$B$511=1),$AB$723,HLOOKUP(INDIRECT(ADDRESS(2,COLUMN())),OFFSET($BN$2,0,0,ROW()-1,60),ROW()-1,FALSE))</f>
        <v>-25.46397434</v>
      </c>
      <c r="AC219">
        <f ca="1">IF(AND(ISNUMBER($AC$723),$B$511=1),$AC$723,HLOOKUP(INDIRECT(ADDRESS(2,COLUMN())),OFFSET($BN$2,0,0,ROW()-1,60),ROW()-1,FALSE))</f>
        <v>-283.18317050000002</v>
      </c>
      <c r="AD219">
        <f ca="1">IF(AND(ISNUMBER($AD$723),$B$511=1),$AD$723,HLOOKUP(INDIRECT(ADDRESS(2,COLUMN())),OFFSET($BN$2,0,0,ROW()-1,60),ROW()-1,FALSE))</f>
        <v>-237.73060570000001</v>
      </c>
      <c r="AE219">
        <f ca="1">IF(AND(ISNUMBER($AE$723),$B$511=1),$AE$723,HLOOKUP(INDIRECT(ADDRESS(2,COLUMN())),OFFSET($BN$2,0,0,ROW()-1,60),ROW()-1,FALSE))</f>
        <v>-163.02096330000001</v>
      </c>
      <c r="AF219">
        <f ca="1">IF(AND(ISNUMBER($AF$723),$B$511=1),$AF$723,HLOOKUP(INDIRECT(ADDRESS(2,COLUMN())),OFFSET($BN$2,0,0,ROW()-1,60),ROW()-1,FALSE))</f>
        <v>-60.329273149999999</v>
      </c>
      <c r="AG219">
        <f ca="1">IF(AND(ISNUMBER($AG$723),$B$511=1),$AG$723,HLOOKUP(INDIRECT(ADDRESS(2,COLUMN())),OFFSET($BN$2,0,0,ROW()-1,60),ROW()-1,FALSE))</f>
        <v>-14.188607960000001</v>
      </c>
      <c r="AH219">
        <f ca="1">IF(AND(ISNUMBER($AH$723),$B$511=1),$AH$723,HLOOKUP(INDIRECT(ADDRESS(2,COLUMN())),OFFSET($BN$2,0,0,ROW()-1,60),ROW()-1,FALSE))</f>
        <v>-147.83287379999999</v>
      </c>
      <c r="AI219">
        <f ca="1">IF(AND(ISNUMBER($AI$723),$B$511=1),$AI$723,HLOOKUP(INDIRECT(ADDRESS(2,COLUMN())),OFFSET($BN$2,0,0,ROW()-1,60),ROW()-1,FALSE))</f>
        <v>-375.45250979999997</v>
      </c>
      <c r="AJ219">
        <f ca="1">IF(AND(ISNUMBER($AJ$723),$B$511=1),$AJ$723,HLOOKUP(INDIRECT(ADDRESS(2,COLUMN())),OFFSET($BN$2,0,0,ROW()-1,60),ROW()-1,FALSE))</f>
        <v>-658.00163780000003</v>
      </c>
      <c r="AK219">
        <f ca="1">IF(AND(ISNUMBER($AK$723),$B$511=1),$AK$723,HLOOKUP(INDIRECT(ADDRESS(2,COLUMN())),OFFSET($BN$2,0,0,ROW()-1,60),ROW()-1,FALSE))</f>
        <v>-247.1273387</v>
      </c>
      <c r="AL219">
        <f ca="1">IF(AND(ISNUMBER($AL$723),$B$511=1),$AL$723,HLOOKUP(INDIRECT(ADDRESS(2,COLUMN())),OFFSET($BN$2,0,0,ROW()-1,60),ROW()-1,FALSE))</f>
        <v>-222.90802239999999</v>
      </c>
      <c r="AM219">
        <f ca="1">IF(AND(ISNUMBER($AM$723),$B$511=1),$AM$723,HLOOKUP(INDIRECT(ADDRESS(2,COLUMN())),OFFSET($BN$2,0,0,ROW()-1,60),ROW()-1,FALSE))</f>
        <v>182.10333199999999</v>
      </c>
      <c r="AN219">
        <f ca="1">IF(AND(ISNUMBER($AN$723),$B$511=1),$AN$723,HLOOKUP(INDIRECT(ADDRESS(2,COLUMN())),OFFSET($BN$2,0,0,ROW()-1,60),ROW()-1,FALSE))</f>
        <v>313.8873127</v>
      </c>
      <c r="AO219">
        <f ca="1">IF(AND(ISNUMBER($AO$723),$B$511=1),$AO$723,HLOOKUP(INDIRECT(ADDRESS(2,COLUMN())),OFFSET($BN$2,0,0,ROW()-1,60),ROW()-1,FALSE))</f>
        <v>133.09860570000001</v>
      </c>
      <c r="AP219">
        <f ca="1">IF(AND(ISNUMBER($AP$723),$B$511=1),$AP$723,HLOOKUP(INDIRECT(ADDRESS(2,COLUMN())),OFFSET($BN$2,0,0,ROW()-1,60),ROW()-1,FALSE))</f>
        <v>181.3753002</v>
      </c>
      <c r="AQ219">
        <f ca="1">IF(AND(ISNUMBER($AQ$723),$B$511=1),$AQ$723,HLOOKUP(INDIRECT(ADDRESS(2,COLUMN())),OFFSET($BN$2,0,0,ROW()-1,60),ROW()-1,FALSE))</f>
        <v>186.29873319999999</v>
      </c>
      <c r="AR219">
        <f ca="1">IF(AND(ISNUMBER($AR$723),$B$511=1),$AR$723,HLOOKUP(INDIRECT(ADDRESS(2,COLUMN())),OFFSET($BN$2,0,0,ROW()-1,60),ROW()-1,FALSE))</f>
        <v>339.67302039999998</v>
      </c>
      <c r="AS219">
        <f ca="1">IF(AND(ISNUMBER($AS$723),$B$511=1),$AS$723,HLOOKUP(INDIRECT(ADDRESS(2,COLUMN())),OFFSET($BN$2,0,0,ROW()-1,60),ROW()-1,FALSE))</f>
        <v>242.32208009999999</v>
      </c>
      <c r="AT219">
        <f ca="1">IF(AND(ISNUMBER($AT$723),$B$511=1),$AT$723,HLOOKUP(INDIRECT(ADDRESS(2,COLUMN())),OFFSET($BN$2,0,0,ROW()-1,60),ROW()-1,FALSE))</f>
        <v>149.06968760000001</v>
      </c>
      <c r="AU219">
        <f ca="1">IF(AND(ISNUMBER($AU$723),$B$511=1),$AU$723,HLOOKUP(INDIRECT(ADDRESS(2,COLUMN())),OFFSET($BN$2,0,0,ROW()-1,60),ROW()-1,FALSE))</f>
        <v>58.689538890000001</v>
      </c>
      <c r="AV219">
        <f ca="1">IF(AND(ISNUMBER($AV$723),$B$511=1),$AV$723,HLOOKUP(INDIRECT(ADDRESS(2,COLUMN())),OFFSET($BN$2,0,0,ROW()-1,60),ROW()-1,FALSE))</f>
        <v>-24.745171890000002</v>
      </c>
      <c r="AW219">
        <f ca="1">IF(AND(ISNUMBER($AW$723),$B$511=1),$AW$723,HLOOKUP(INDIRECT(ADDRESS(2,COLUMN())),OFFSET($BN$2,0,0,ROW()-1,60),ROW()-1,FALSE))</f>
        <v>8.7445986080000004</v>
      </c>
      <c r="AX219">
        <f ca="1">IF(AND(ISNUMBER($AX$723),$B$511=1),$AX$723,HLOOKUP(INDIRECT(ADDRESS(2,COLUMN())),OFFSET($BN$2,0,0,ROW()-1,60),ROW()-1,FALSE))</f>
        <v>38.943603629999998</v>
      </c>
      <c r="AY219">
        <f ca="1">IF(AND(ISNUMBER($AY$723),$B$511=1),$AY$723,HLOOKUP(INDIRECT(ADDRESS(2,COLUMN())),OFFSET($BN$2,0,0,ROW()-1,60),ROW()-1,FALSE))</f>
        <v>-20.535667629999999</v>
      </c>
      <c r="AZ219">
        <f ca="1">IF(AND(ISNUMBER($AZ$723),$B$511=1),$AZ$723,HLOOKUP(INDIRECT(ADDRESS(2,COLUMN())),OFFSET($BN$2,0,0,ROW()-1,60),ROW()-1,FALSE))</f>
        <v>45.194328769999998</v>
      </c>
      <c r="BA219">
        <f ca="1">IF(AND(ISNUMBER($BA$723),$B$511=1),$BA$723,HLOOKUP(INDIRECT(ADDRESS(2,COLUMN())),OFFSET($BN$2,0,0,ROW()-1,60),ROW()-1,FALSE))</f>
        <v>57.258506400000002</v>
      </c>
      <c r="BB219">
        <f ca="1">IF(AND(ISNUMBER($BB$723),$B$511=1),$BB$723,HLOOKUP(INDIRECT(ADDRESS(2,COLUMN())),OFFSET($BN$2,0,0,ROW()-1,60),ROW()-1,FALSE))</f>
        <v>14.086918000000001</v>
      </c>
      <c r="BC219">
        <f ca="1">IF(AND(ISNUMBER($BC$723),$B$511=1),$BC$723,HLOOKUP(INDIRECT(ADDRESS(2,COLUMN())),OFFSET($BN$2,0,0,ROW()-1,60),ROW()-1,FALSE))</f>
        <v>-11.25327542</v>
      </c>
      <c r="BD219">
        <f ca="1">IF(AND(ISNUMBER($BD$723),$B$511=1),$BD$723,HLOOKUP(INDIRECT(ADDRESS(2,COLUMN())),OFFSET($BN$2,0,0,ROW()-1,60),ROW()-1,FALSE))</f>
        <v>-31.684328879999999</v>
      </c>
      <c r="BE219">
        <f ca="1">IF(AND(ISNUMBER($BE$723),$B$511=1),$BE$723,HLOOKUP(INDIRECT(ADDRESS(2,COLUMN())),OFFSET($BN$2,0,0,ROW()-1,60),ROW()-1,FALSE))</f>
        <v>-67.800778320000006</v>
      </c>
      <c r="BF219">
        <f ca="1">IF(AND(ISNUMBER($BF$723),$B$511=1),$BF$723,HLOOKUP(INDIRECT(ADDRESS(2,COLUMN())),OFFSET($BN$2,0,0,ROW()-1,60),ROW()-1,FALSE))</f>
        <v>164.67455129999999</v>
      </c>
      <c r="BG219">
        <f ca="1">IF(AND(ISNUMBER($BG$723),$B$511=1),$BG$723,HLOOKUP(INDIRECT(ADDRESS(2,COLUMN())),OFFSET($BN$2,0,0,ROW()-1,60),ROW()-1,FALSE))</f>
        <v>287.52756040000003</v>
      </c>
      <c r="BH219">
        <f ca="1">IF(AND(ISNUMBER($BH$723),$B$511=1),$BH$723,HLOOKUP(INDIRECT(ADDRESS(2,COLUMN())),OFFSET($BN$2,0,0,ROW()-1,60),ROW()-1,FALSE))</f>
        <v>207.13890929999999</v>
      </c>
      <c r="BI219">
        <f ca="1">IF(AND(ISNUMBER($BI$723),$B$511=1),$BI$723,HLOOKUP(INDIRECT(ADDRESS(2,COLUMN())),OFFSET($BN$2,0,0,ROW()-1,60),ROW()-1,FALSE))</f>
        <v>99.20867543</v>
      </c>
      <c r="BJ219">
        <f ca="1">IF(AND(ISNUMBER($BJ$723),$B$511=1),$BJ$723,HLOOKUP(INDIRECT(ADDRESS(2,COLUMN())),OFFSET($BN$2,0,0,ROW()-1,60),ROW()-1,FALSE))</f>
        <v>-118.1805055</v>
      </c>
      <c r="BK219">
        <f ca="1">IF(AND(ISNUMBER($BK$723),$B$511=1),$BK$723,HLOOKUP(INDIRECT(ADDRESS(2,COLUMN())),OFFSET($BN$2,0,0,ROW()-1,60),ROW()-1,FALSE))</f>
        <v>-350.7527892</v>
      </c>
      <c r="BL219">
        <f ca="1">IF(AND(ISNUMBER($BL$723),$B$511=1),$BL$723,HLOOKUP(INDIRECT(ADDRESS(2,COLUMN())),OFFSET($BN$2,0,0,ROW()-1,60),ROW()-1,FALSE))</f>
        <v>-209.1014074</v>
      </c>
      <c r="BM219">
        <f ca="1">IF(AND(ISNUMBER($BM$723),$B$511=1),$BM$723,HLOOKUP(INDIRECT(ADDRESS(2,COLUMN())),OFFSET($BN$2,0,0,ROW()-1,60),ROW()-1,FALSE))</f>
        <v>-8.502296029</v>
      </c>
      <c r="BN219" t="str">
        <f>""</f>
        <v/>
      </c>
      <c r="BO219" t="str">
        <f>""</f>
        <v/>
      </c>
      <c r="BP219">
        <f>161.5699402</f>
        <v>161.56994019999999</v>
      </c>
      <c r="BQ219">
        <f>331.1319475</f>
        <v>331.13194750000002</v>
      </c>
      <c r="BR219">
        <f>313.0712406</f>
        <v>313.07124060000001</v>
      </c>
      <c r="BS219">
        <f>297.3674865</f>
        <v>297.36748649999998</v>
      </c>
      <c r="BT219">
        <f>297.7894935</f>
        <v>297.78949349999999</v>
      </c>
      <c r="BU219">
        <f>122.5471905</f>
        <v>122.5471905</v>
      </c>
      <c r="BV219">
        <f>142.9397387</f>
        <v>142.93973869999999</v>
      </c>
      <c r="BW219">
        <f>-35.13078667</f>
        <v>-35.130786669999999</v>
      </c>
      <c r="BX219">
        <f>-106.8745363</f>
        <v>-106.8745363</v>
      </c>
      <c r="BY219">
        <f>-55.65942338</f>
        <v>-55.65942338</v>
      </c>
      <c r="BZ219">
        <f>-78.08538683</f>
        <v>-78.085386830000004</v>
      </c>
      <c r="CA219">
        <f>45.24819965</f>
        <v>45.248199649999997</v>
      </c>
      <c r="CB219">
        <f>-104.3333198</f>
        <v>-104.3333198</v>
      </c>
      <c r="CC219">
        <f>-108.6059065</f>
        <v>-108.6059065</v>
      </c>
      <c r="CD219">
        <f>-79.22257207</f>
        <v>-79.222572069999998</v>
      </c>
      <c r="CE219">
        <f>-90.97275333</f>
        <v>-90.972753330000003</v>
      </c>
      <c r="CF219">
        <f>-47.02127565</f>
        <v>-47.02127565</v>
      </c>
      <c r="CG219">
        <f>-4.467332985</f>
        <v>-4.4673329849999996</v>
      </c>
      <c r="CH219">
        <f>71.37372741</f>
        <v>71.373727410000001</v>
      </c>
      <c r="CI219">
        <f>-2.800088967</f>
        <v>-2.8000889670000002</v>
      </c>
      <c r="CJ219">
        <f>-25.46397434</f>
        <v>-25.46397434</v>
      </c>
      <c r="CK219">
        <f>-283.1831705</f>
        <v>-283.18317050000002</v>
      </c>
      <c r="CL219">
        <f>-237.7306057</f>
        <v>-237.73060570000001</v>
      </c>
      <c r="CM219">
        <f>-163.0209633</f>
        <v>-163.02096330000001</v>
      </c>
      <c r="CN219">
        <f>-60.32927315</f>
        <v>-60.329273149999999</v>
      </c>
      <c r="CO219">
        <f>-14.18860796</f>
        <v>-14.188607960000001</v>
      </c>
      <c r="CP219">
        <f>-147.8328738</f>
        <v>-147.83287379999999</v>
      </c>
      <c r="CQ219">
        <f>-375.4525098</f>
        <v>-375.45250979999997</v>
      </c>
      <c r="CR219">
        <f>-658.0016378</f>
        <v>-658.00163780000003</v>
      </c>
      <c r="CS219">
        <f>-247.1273387</f>
        <v>-247.1273387</v>
      </c>
      <c r="CT219">
        <f>-222.9080224</f>
        <v>-222.90802239999999</v>
      </c>
      <c r="CU219">
        <f>182.103332</f>
        <v>182.10333199999999</v>
      </c>
      <c r="CV219">
        <f>313.8873127</f>
        <v>313.8873127</v>
      </c>
      <c r="CW219">
        <f>133.0986057</f>
        <v>133.09860570000001</v>
      </c>
      <c r="CX219">
        <f>181.3753002</f>
        <v>181.3753002</v>
      </c>
      <c r="CY219">
        <f>186.2987332</f>
        <v>186.29873319999999</v>
      </c>
      <c r="CZ219">
        <f>339.6730204</f>
        <v>339.67302039999998</v>
      </c>
      <c r="DA219">
        <f>242.3220801</f>
        <v>242.32208009999999</v>
      </c>
      <c r="DB219">
        <f>149.0696876</f>
        <v>149.06968760000001</v>
      </c>
      <c r="DC219">
        <f>58.68953889</f>
        <v>58.689538890000001</v>
      </c>
      <c r="DD219">
        <f>-24.74517189</f>
        <v>-24.745171890000002</v>
      </c>
      <c r="DE219">
        <f>8.744598608</f>
        <v>8.7445986080000004</v>
      </c>
      <c r="DF219">
        <f>38.94360363</f>
        <v>38.943603629999998</v>
      </c>
      <c r="DG219">
        <f>-20.53566763</f>
        <v>-20.535667629999999</v>
      </c>
      <c r="DH219">
        <f>45.19432877</f>
        <v>45.194328769999998</v>
      </c>
      <c r="DI219">
        <f>57.2585064</f>
        <v>57.258506400000002</v>
      </c>
      <c r="DJ219">
        <f>14.086918</f>
        <v>14.086918000000001</v>
      </c>
      <c r="DK219">
        <f>-11.25327542</f>
        <v>-11.25327542</v>
      </c>
      <c r="DL219">
        <f>-31.68432888</f>
        <v>-31.684328879999999</v>
      </c>
      <c r="DM219">
        <f>-67.80077832</f>
        <v>-67.800778320000006</v>
      </c>
      <c r="DN219">
        <f>164.6745513</f>
        <v>164.67455129999999</v>
      </c>
      <c r="DO219">
        <f>287.5275604</f>
        <v>287.52756040000003</v>
      </c>
      <c r="DP219">
        <f>207.1389093</f>
        <v>207.13890929999999</v>
      </c>
      <c r="DQ219">
        <f>99.20867543</f>
        <v>99.20867543</v>
      </c>
      <c r="DR219">
        <f>-118.1805055</f>
        <v>-118.1805055</v>
      </c>
      <c r="DS219">
        <f>-350.7527892</f>
        <v>-350.7527892</v>
      </c>
      <c r="DT219">
        <f>-209.1014074</f>
        <v>-209.1014074</v>
      </c>
      <c r="DU219">
        <f>-8.502296029</f>
        <v>-8.502296029</v>
      </c>
    </row>
    <row r="220" spans="1:125" x14ac:dyDescent="0.25">
      <c r="A220" t="str">
        <f>"    Fiat Chrysler Automobiles NV"</f>
        <v xml:space="preserve">    Fiat Chrysler Automobiles NV</v>
      </c>
      <c r="B220" t="str">
        <f>"FCAU US Equity"</f>
        <v>FCAU US Equity</v>
      </c>
      <c r="C220" t="str">
        <f t="shared" si="15"/>
        <v>RR843</v>
      </c>
      <c r="D220" t="str">
        <f t="shared" si="16"/>
        <v>TRAIL_12M_FREE_CASH_FLOW</v>
      </c>
      <c r="E220" t="str">
        <f t="shared" si="17"/>
        <v>Dynamic</v>
      </c>
      <c r="F220" t="str">
        <f ca="1">IF(AND(ISNUMBER($F$724),$B$511=1),$F$724,HLOOKUP(INDIRECT(ADDRESS(2,COLUMN())),OFFSET($BN$2,0,0,ROW()-1,60),ROW()-1,FALSE))</f>
        <v/>
      </c>
      <c r="G220">
        <f ca="1">IF(AND(ISNUMBER($G$724),$B$511=1),$G$724,HLOOKUP(INDIRECT(ADDRESS(2,COLUMN())),OFFSET($BN$2,0,0,ROW()-1,60),ROW()-1,FALSE))</f>
        <v>5381.2023230000004</v>
      </c>
      <c r="H220">
        <f ca="1">IF(AND(ISNUMBER($H$724),$B$511=1),$H$724,HLOOKUP(INDIRECT(ADDRESS(2,COLUMN())),OFFSET($BN$2,0,0,ROW()-1,60),ROW()-1,FALSE))</f>
        <v>4741.5257369999999</v>
      </c>
      <c r="I220">
        <f ca="1">IF(AND(ISNUMBER($I$724),$B$511=1),$I$724,HLOOKUP(INDIRECT(ADDRESS(2,COLUMN())),OFFSET($BN$2,0,0,ROW()-1,60),ROW()-1,FALSE))</f>
        <v>5618.7834240000002</v>
      </c>
      <c r="J220">
        <f ca="1">IF(AND(ISNUMBER($J$724),$B$511=1),$J$724,HLOOKUP(INDIRECT(ADDRESS(2,COLUMN())),OFFSET($BN$2,0,0,ROW()-1,60),ROW()-1,FALSE))</f>
        <v>4596.0363770000004</v>
      </c>
      <c r="K220">
        <f ca="1">IF(AND(ISNUMBER($K$724),$B$511=1),$K$724,HLOOKUP(INDIRECT(ADDRESS(2,COLUMN())),OFFSET($BN$2,0,0,ROW()-1,60),ROW()-1,FALSE))</f>
        <v>2575.7645379999999</v>
      </c>
      <c r="L220">
        <f ca="1">IF(AND(ISNUMBER($L$724),$B$511=1),$L$724,HLOOKUP(INDIRECT(ADDRESS(2,COLUMN())),OFFSET($BN$2,0,0,ROW()-1,60),ROW()-1,FALSE))</f>
        <v>2901.1533410000002</v>
      </c>
      <c r="M220">
        <f ca="1">IF(AND(ISNUMBER($M$724),$B$511=1),$M$724,HLOOKUP(INDIRECT(ADDRESS(2,COLUMN())),OFFSET($BN$2,0,0,ROW()-1,60),ROW()-1,FALSE))</f>
        <v>1177.4131239999999</v>
      </c>
      <c r="N220">
        <f ca="1">IF(AND(ISNUMBER($N$724),$B$511=1),$N$724,HLOOKUP(INDIRECT(ADDRESS(2,COLUMN())),OFFSET($BN$2,0,0,ROW()-1,60),ROW()-1,FALSE))</f>
        <v>2387.7257589999999</v>
      </c>
      <c r="O220">
        <f ca="1">IF(AND(ISNUMBER($O$724),$B$511=1),$O$724,HLOOKUP(INDIRECT(ADDRESS(2,COLUMN())),OFFSET($BN$2,0,0,ROW()-1,60),ROW()-1,FALSE))</f>
        <v>1969.0482179999999</v>
      </c>
      <c r="P220">
        <f ca="1">IF(AND(ISNUMBER($P$724),$B$511=1),$P$724,HLOOKUP(INDIRECT(ADDRESS(2,COLUMN())),OFFSET($BN$2,0,0,ROW()-1,60),ROW()-1,FALSE))</f>
        <v>1465.471955</v>
      </c>
      <c r="Q220">
        <f ca="1">IF(AND(ISNUMBER($Q$724),$B$511=1),$Q$724,HLOOKUP(INDIRECT(ADDRESS(2,COLUMN())),OFFSET($BN$2,0,0,ROW()-1,60),ROW()-1,FALSE))</f>
        <v>1979.1007709999999</v>
      </c>
      <c r="R220">
        <f ca="1">IF(AND(ISNUMBER($R$724),$B$511=1),$R$724,HLOOKUP(INDIRECT(ADDRESS(2,COLUMN())),OFFSET($BN$2,0,0,ROW()-1,60),ROW()-1,FALSE))</f>
        <v>1018.209292</v>
      </c>
      <c r="S220">
        <f ca="1">IF(AND(ISNUMBER($S$724),$B$511=1),$S$724,HLOOKUP(INDIRECT(ADDRESS(2,COLUMN())),OFFSET($BN$2,0,0,ROW()-1,60),ROW()-1,FALSE))</f>
        <v>1034.520589</v>
      </c>
      <c r="T220">
        <f ca="1">IF(AND(ISNUMBER($T$724),$B$511=1),$T$724,HLOOKUP(INDIRECT(ADDRESS(2,COLUMN())),OFFSET($BN$2,0,0,ROW()-1,60),ROW()-1,FALSE))</f>
        <v>811.0767932</v>
      </c>
      <c r="U220">
        <f ca="1">IF(AND(ISNUMBER($U$724),$B$511=1),$U$724,HLOOKUP(INDIRECT(ADDRESS(2,COLUMN())),OFFSET($BN$2,0,0,ROW()-1,60),ROW()-1,FALSE))</f>
        <v>-301.89738569999997</v>
      </c>
      <c r="V220">
        <f ca="1">IF(AND(ISNUMBER($V$724),$B$511=1),$V$724,HLOOKUP(INDIRECT(ADDRESS(2,COLUMN())),OFFSET($BN$2,0,0,ROW()-1,60),ROW()-1,FALSE))</f>
        <v>-797.99647860000005</v>
      </c>
      <c r="W220">
        <f ca="1">IF(AND(ISNUMBER($W$724),$B$511=1),$W$724,HLOOKUP(INDIRECT(ADDRESS(2,COLUMN())),OFFSET($BN$2,0,0,ROW()-1,60),ROW()-1,FALSE))</f>
        <v>484.89731870000003</v>
      </c>
      <c r="X220" t="str">
        <f ca="1">IF(AND(ISNUMBER($X$724),$B$511=1),$X$724,HLOOKUP(INDIRECT(ADDRESS(2,COLUMN())),OFFSET($BN$2,0,0,ROW()-1,60),ROW()-1,FALSE))</f>
        <v/>
      </c>
      <c r="Y220" t="str">
        <f ca="1">IF(AND(ISNUMBER($Y$724),$B$511=1),$Y$724,HLOOKUP(INDIRECT(ADDRESS(2,COLUMN())),OFFSET($BN$2,0,0,ROW()-1,60),ROW()-1,FALSE))</f>
        <v/>
      </c>
      <c r="Z220" t="str">
        <f ca="1">IF(AND(ISNUMBER($Z$724),$B$511=1),$Z$724,HLOOKUP(INDIRECT(ADDRESS(2,COLUMN())),OFFSET($BN$2,0,0,ROW()-1,60),ROW()-1,FALSE))</f>
        <v/>
      </c>
      <c r="AA220" t="str">
        <f ca="1">IF(AND(ISNUMBER($AA$724),$B$511=1),$AA$724,HLOOKUP(INDIRECT(ADDRESS(2,COLUMN())),OFFSET($BN$2,0,0,ROW()-1,60),ROW()-1,FALSE))</f>
        <v/>
      </c>
      <c r="AB220" t="str">
        <f ca="1">IF(AND(ISNUMBER($AB$724),$B$511=1),$AB$724,HLOOKUP(INDIRECT(ADDRESS(2,COLUMN())),OFFSET($BN$2,0,0,ROW()-1,60),ROW()-1,FALSE))</f>
        <v/>
      </c>
      <c r="AC220" t="str">
        <f ca="1">IF(AND(ISNUMBER($AC$724),$B$511=1),$AC$724,HLOOKUP(INDIRECT(ADDRESS(2,COLUMN())),OFFSET($BN$2,0,0,ROW()-1,60),ROW()-1,FALSE))</f>
        <v/>
      </c>
      <c r="AD220" t="str">
        <f ca="1">IF(AND(ISNUMBER($AD$724),$B$511=1),$AD$724,HLOOKUP(INDIRECT(ADDRESS(2,COLUMN())),OFFSET($BN$2,0,0,ROW()-1,60),ROW()-1,FALSE))</f>
        <v/>
      </c>
      <c r="AE220" t="str">
        <f ca="1">IF(AND(ISNUMBER($AE$724),$B$511=1),$AE$724,HLOOKUP(INDIRECT(ADDRESS(2,COLUMN())),OFFSET($BN$2,0,0,ROW()-1,60),ROW()-1,FALSE))</f>
        <v/>
      </c>
      <c r="AF220" t="str">
        <f ca="1">IF(AND(ISNUMBER($AF$724),$B$511=1),$AF$724,HLOOKUP(INDIRECT(ADDRESS(2,COLUMN())),OFFSET($BN$2,0,0,ROW()-1,60),ROW()-1,FALSE))</f>
        <v/>
      </c>
      <c r="AG220" t="str">
        <f ca="1">IF(AND(ISNUMBER($AG$724),$B$511=1),$AG$724,HLOOKUP(INDIRECT(ADDRESS(2,COLUMN())),OFFSET($BN$2,0,0,ROW()-1,60),ROW()-1,FALSE))</f>
        <v/>
      </c>
      <c r="AH220" t="str">
        <f ca="1">IF(AND(ISNUMBER($AH$724),$B$511=1),$AH$724,HLOOKUP(INDIRECT(ADDRESS(2,COLUMN())),OFFSET($BN$2,0,0,ROW()-1,60),ROW()-1,FALSE))</f>
        <v/>
      </c>
      <c r="AI220" t="str">
        <f ca="1">IF(AND(ISNUMBER($AI$724),$B$511=1),$AI$724,HLOOKUP(INDIRECT(ADDRESS(2,COLUMN())),OFFSET($BN$2,0,0,ROW()-1,60),ROW()-1,FALSE))</f>
        <v/>
      </c>
      <c r="AJ220" t="str">
        <f ca="1">IF(AND(ISNUMBER($AJ$724),$B$511=1),$AJ$724,HLOOKUP(INDIRECT(ADDRESS(2,COLUMN())),OFFSET($BN$2,0,0,ROW()-1,60),ROW()-1,FALSE))</f>
        <v/>
      </c>
      <c r="AK220" t="str">
        <f ca="1">IF(AND(ISNUMBER($AK$724),$B$511=1),$AK$724,HLOOKUP(INDIRECT(ADDRESS(2,COLUMN())),OFFSET($BN$2,0,0,ROW()-1,60),ROW()-1,FALSE))</f>
        <v/>
      </c>
      <c r="AL220" t="str">
        <f ca="1">IF(AND(ISNUMBER($AL$724),$B$511=1),$AL$724,HLOOKUP(INDIRECT(ADDRESS(2,COLUMN())),OFFSET($BN$2,0,0,ROW()-1,60),ROW()-1,FALSE))</f>
        <v/>
      </c>
      <c r="AM220" t="str">
        <f ca="1">IF(AND(ISNUMBER($AM$724),$B$511=1),$AM$724,HLOOKUP(INDIRECT(ADDRESS(2,COLUMN())),OFFSET($BN$2,0,0,ROW()-1,60),ROW()-1,FALSE))</f>
        <v/>
      </c>
      <c r="AN220" t="str">
        <f ca="1">IF(AND(ISNUMBER($AN$724),$B$511=1),$AN$724,HLOOKUP(INDIRECT(ADDRESS(2,COLUMN())),OFFSET($BN$2,0,0,ROW()-1,60),ROW()-1,FALSE))</f>
        <v/>
      </c>
      <c r="AO220" t="str">
        <f ca="1">IF(AND(ISNUMBER($AO$724),$B$511=1),$AO$724,HLOOKUP(INDIRECT(ADDRESS(2,COLUMN())),OFFSET($BN$2,0,0,ROW()-1,60),ROW()-1,FALSE))</f>
        <v/>
      </c>
      <c r="AP220" t="str">
        <f ca="1">IF(AND(ISNUMBER($AP$724),$B$511=1),$AP$724,HLOOKUP(INDIRECT(ADDRESS(2,COLUMN())),OFFSET($BN$2,0,0,ROW()-1,60),ROW()-1,FALSE))</f>
        <v/>
      </c>
      <c r="AQ220" t="str">
        <f ca="1">IF(AND(ISNUMBER($AQ$724),$B$511=1),$AQ$724,HLOOKUP(INDIRECT(ADDRESS(2,COLUMN())),OFFSET($BN$2,0,0,ROW()-1,60),ROW()-1,FALSE))</f>
        <v/>
      </c>
      <c r="AR220" t="str">
        <f ca="1">IF(AND(ISNUMBER($AR$724),$B$511=1),$AR$724,HLOOKUP(INDIRECT(ADDRESS(2,COLUMN())),OFFSET($BN$2,0,0,ROW()-1,60),ROW()-1,FALSE))</f>
        <v/>
      </c>
      <c r="AS220" t="str">
        <f ca="1">IF(AND(ISNUMBER($AS$724),$B$511=1),$AS$724,HLOOKUP(INDIRECT(ADDRESS(2,COLUMN())),OFFSET($BN$2,0,0,ROW()-1,60),ROW()-1,FALSE))</f>
        <v/>
      </c>
      <c r="AT220" t="str">
        <f ca="1">IF(AND(ISNUMBER($AT$724),$B$511=1),$AT$724,HLOOKUP(INDIRECT(ADDRESS(2,COLUMN())),OFFSET($BN$2,0,0,ROW()-1,60),ROW()-1,FALSE))</f>
        <v/>
      </c>
      <c r="AU220" t="str">
        <f ca="1">IF(AND(ISNUMBER($AU$724),$B$511=1),$AU$724,HLOOKUP(INDIRECT(ADDRESS(2,COLUMN())),OFFSET($BN$2,0,0,ROW()-1,60),ROW()-1,FALSE))</f>
        <v/>
      </c>
      <c r="AV220" t="str">
        <f ca="1">IF(AND(ISNUMBER($AV$724),$B$511=1),$AV$724,HLOOKUP(INDIRECT(ADDRESS(2,COLUMN())),OFFSET($BN$2,0,0,ROW()-1,60),ROW()-1,FALSE))</f>
        <v/>
      </c>
      <c r="AW220" t="str">
        <f ca="1">IF(AND(ISNUMBER($AW$724),$B$511=1),$AW$724,HLOOKUP(INDIRECT(ADDRESS(2,COLUMN())),OFFSET($BN$2,0,0,ROW()-1,60),ROW()-1,FALSE))</f>
        <v/>
      </c>
      <c r="AX220" t="str">
        <f ca="1">IF(AND(ISNUMBER($AX$724),$B$511=1),$AX$724,HLOOKUP(INDIRECT(ADDRESS(2,COLUMN())),OFFSET($BN$2,0,0,ROW()-1,60),ROW()-1,FALSE))</f>
        <v/>
      </c>
      <c r="AY220" t="str">
        <f ca="1">IF(AND(ISNUMBER($AY$724),$B$511=1),$AY$724,HLOOKUP(INDIRECT(ADDRESS(2,COLUMN())),OFFSET($BN$2,0,0,ROW()-1,60),ROW()-1,FALSE))</f>
        <v/>
      </c>
      <c r="AZ220" t="str">
        <f ca="1">IF(AND(ISNUMBER($AZ$724),$B$511=1),$AZ$724,HLOOKUP(INDIRECT(ADDRESS(2,COLUMN())),OFFSET($BN$2,0,0,ROW()-1,60),ROW()-1,FALSE))</f>
        <v/>
      </c>
      <c r="BA220" t="str">
        <f ca="1">IF(AND(ISNUMBER($BA$724),$B$511=1),$BA$724,HLOOKUP(INDIRECT(ADDRESS(2,COLUMN())),OFFSET($BN$2,0,0,ROW()-1,60),ROW()-1,FALSE))</f>
        <v/>
      </c>
      <c r="BB220" t="str">
        <f ca="1">IF(AND(ISNUMBER($BB$724),$B$511=1),$BB$724,HLOOKUP(INDIRECT(ADDRESS(2,COLUMN())),OFFSET($BN$2,0,0,ROW()-1,60),ROW()-1,FALSE))</f>
        <v/>
      </c>
      <c r="BC220" t="str">
        <f ca="1">IF(AND(ISNUMBER($BC$724),$B$511=1),$BC$724,HLOOKUP(INDIRECT(ADDRESS(2,COLUMN())),OFFSET($BN$2,0,0,ROW()-1,60),ROW()-1,FALSE))</f>
        <v/>
      </c>
      <c r="BD220" t="str">
        <f ca="1">IF(AND(ISNUMBER($BD$724),$B$511=1),$BD$724,HLOOKUP(INDIRECT(ADDRESS(2,COLUMN())),OFFSET($BN$2,0,0,ROW()-1,60),ROW()-1,FALSE))</f>
        <v/>
      </c>
      <c r="BE220" t="str">
        <f ca="1">IF(AND(ISNUMBER($BE$724),$B$511=1),$BE$724,HLOOKUP(INDIRECT(ADDRESS(2,COLUMN())),OFFSET($BN$2,0,0,ROW()-1,60),ROW()-1,FALSE))</f>
        <v/>
      </c>
      <c r="BF220" t="str">
        <f ca="1">IF(AND(ISNUMBER($BF$724),$B$511=1),$BF$724,HLOOKUP(INDIRECT(ADDRESS(2,COLUMN())),OFFSET($BN$2,0,0,ROW()-1,60),ROW()-1,FALSE))</f>
        <v/>
      </c>
      <c r="BG220" t="str">
        <f ca="1">IF(AND(ISNUMBER($BG$724),$B$511=1),$BG$724,HLOOKUP(INDIRECT(ADDRESS(2,COLUMN())),OFFSET($BN$2,0,0,ROW()-1,60),ROW()-1,FALSE))</f>
        <v/>
      </c>
      <c r="BH220" t="str">
        <f ca="1">IF(AND(ISNUMBER($BH$724),$B$511=1),$BH$724,HLOOKUP(INDIRECT(ADDRESS(2,COLUMN())),OFFSET($BN$2,0,0,ROW()-1,60),ROW()-1,FALSE))</f>
        <v/>
      </c>
      <c r="BI220" t="str">
        <f ca="1">IF(AND(ISNUMBER($BI$724),$B$511=1),$BI$724,HLOOKUP(INDIRECT(ADDRESS(2,COLUMN())),OFFSET($BN$2,0,0,ROW()-1,60),ROW()-1,FALSE))</f>
        <v/>
      </c>
      <c r="BJ220" t="str">
        <f ca="1">IF(AND(ISNUMBER($BJ$724),$B$511=1),$BJ$724,HLOOKUP(INDIRECT(ADDRESS(2,COLUMN())),OFFSET($BN$2,0,0,ROW()-1,60),ROW()-1,FALSE))</f>
        <v/>
      </c>
      <c r="BK220" t="str">
        <f ca="1">IF(AND(ISNUMBER($BK$724),$B$511=1),$BK$724,HLOOKUP(INDIRECT(ADDRESS(2,COLUMN())),OFFSET($BN$2,0,0,ROW()-1,60),ROW()-1,FALSE))</f>
        <v/>
      </c>
      <c r="BL220" t="str">
        <f ca="1">IF(AND(ISNUMBER($BL$724),$B$511=1),$BL$724,HLOOKUP(INDIRECT(ADDRESS(2,COLUMN())),OFFSET($BN$2,0,0,ROW()-1,60),ROW()-1,FALSE))</f>
        <v/>
      </c>
      <c r="BM220" t="str">
        <f ca="1">IF(AND(ISNUMBER($BM$724),$B$511=1),$BM$724,HLOOKUP(INDIRECT(ADDRESS(2,COLUMN())),OFFSET($BN$2,0,0,ROW()-1,60),ROW()-1,FALSE))</f>
        <v/>
      </c>
      <c r="BN220" t="str">
        <f>""</f>
        <v/>
      </c>
      <c r="BO220">
        <f>5381.202323</f>
        <v>5381.2023230000004</v>
      </c>
      <c r="BP220">
        <f>4741.525737</f>
        <v>4741.5257369999999</v>
      </c>
      <c r="BQ220">
        <f>5618.783424</f>
        <v>5618.7834240000002</v>
      </c>
      <c r="BR220">
        <f>4596.036377</f>
        <v>4596.0363770000004</v>
      </c>
      <c r="BS220">
        <f>2575.764538</f>
        <v>2575.7645379999999</v>
      </c>
      <c r="BT220">
        <f>2901.153341</f>
        <v>2901.1533410000002</v>
      </c>
      <c r="BU220">
        <f>1177.413124</f>
        <v>1177.4131239999999</v>
      </c>
      <c r="BV220">
        <f>2387.725759</f>
        <v>2387.7257589999999</v>
      </c>
      <c r="BW220">
        <f>1969.048218</f>
        <v>1969.0482179999999</v>
      </c>
      <c r="BX220">
        <f>1465.471955</f>
        <v>1465.471955</v>
      </c>
      <c r="BY220">
        <f>1979.100771</f>
        <v>1979.1007709999999</v>
      </c>
      <c r="BZ220">
        <f>1018.209292</f>
        <v>1018.209292</v>
      </c>
      <c r="CA220">
        <f>1034.520589</f>
        <v>1034.520589</v>
      </c>
      <c r="CB220">
        <f>811.0767932</f>
        <v>811.0767932</v>
      </c>
      <c r="CC220">
        <f>-301.8973857</f>
        <v>-301.89738569999997</v>
      </c>
      <c r="CD220">
        <f>-797.9964786</f>
        <v>-797.99647860000005</v>
      </c>
      <c r="CE220">
        <f>484.8973187</f>
        <v>484.89731870000003</v>
      </c>
      <c r="CF220" t="str">
        <f>""</f>
        <v/>
      </c>
      <c r="CG220" t="str">
        <f>""</f>
        <v/>
      </c>
      <c r="CH220" t="str">
        <f>""</f>
        <v/>
      </c>
      <c r="CI220" t="str">
        <f>""</f>
        <v/>
      </c>
      <c r="CJ220" t="str">
        <f>""</f>
        <v/>
      </c>
      <c r="CK220" t="str">
        <f>""</f>
        <v/>
      </c>
      <c r="CL220" t="str">
        <f>""</f>
        <v/>
      </c>
      <c r="CM220" t="str">
        <f>""</f>
        <v/>
      </c>
      <c r="CN220" t="str">
        <f>""</f>
        <v/>
      </c>
      <c r="CO220" t="str">
        <f>""</f>
        <v/>
      </c>
      <c r="CP220" t="str">
        <f>""</f>
        <v/>
      </c>
      <c r="CQ220" t="str">
        <f>""</f>
        <v/>
      </c>
      <c r="CR220" t="str">
        <f>""</f>
        <v/>
      </c>
      <c r="CS220" t="str">
        <f>""</f>
        <v/>
      </c>
      <c r="CT220" t="str">
        <f>""</f>
        <v/>
      </c>
      <c r="CU220" t="str">
        <f>""</f>
        <v/>
      </c>
      <c r="CV220" t="str">
        <f>""</f>
        <v/>
      </c>
      <c r="CW220" t="str">
        <f>""</f>
        <v/>
      </c>
      <c r="CX220" t="str">
        <f>""</f>
        <v/>
      </c>
      <c r="CY220" t="str">
        <f>""</f>
        <v/>
      </c>
      <c r="CZ220" t="str">
        <f>""</f>
        <v/>
      </c>
      <c r="DA220" t="str">
        <f>""</f>
        <v/>
      </c>
      <c r="DB220" t="str">
        <f>""</f>
        <v/>
      </c>
      <c r="DC220" t="str">
        <f>""</f>
        <v/>
      </c>
      <c r="DD220" t="str">
        <f>""</f>
        <v/>
      </c>
      <c r="DE220" t="str">
        <f>""</f>
        <v/>
      </c>
      <c r="DF220" t="str">
        <f>""</f>
        <v/>
      </c>
      <c r="DG220" t="str">
        <f>""</f>
        <v/>
      </c>
      <c r="DH220" t="str">
        <f>""</f>
        <v/>
      </c>
      <c r="DI220" t="str">
        <f>""</f>
        <v/>
      </c>
      <c r="DJ220" t="str">
        <f>""</f>
        <v/>
      </c>
      <c r="DK220" t="str">
        <f>""</f>
        <v/>
      </c>
      <c r="DL220" t="str">
        <f>""</f>
        <v/>
      </c>
      <c r="DM220" t="str">
        <f>""</f>
        <v/>
      </c>
      <c r="DN220" t="str">
        <f>""</f>
        <v/>
      </c>
      <c r="DO220" t="str">
        <f>""</f>
        <v/>
      </c>
      <c r="DP220" t="str">
        <f>""</f>
        <v/>
      </c>
      <c r="DQ220" t="str">
        <f>""</f>
        <v/>
      </c>
      <c r="DR220" t="str">
        <f>""</f>
        <v/>
      </c>
      <c r="DS220" t="str">
        <f>""</f>
        <v/>
      </c>
      <c r="DT220" t="str">
        <f>""</f>
        <v/>
      </c>
      <c r="DU220" t="str">
        <f>""</f>
        <v/>
      </c>
    </row>
    <row r="221" spans="1:125" x14ac:dyDescent="0.25">
      <c r="A221" t="str">
        <f>"    Ford Motor Co"</f>
        <v xml:space="preserve">    Ford Motor Co</v>
      </c>
      <c r="B221" t="str">
        <f>"F US Equity"</f>
        <v>F US Equity</v>
      </c>
      <c r="C221" t="str">
        <f t="shared" si="15"/>
        <v>RR843</v>
      </c>
      <c r="D221" t="str">
        <f t="shared" si="16"/>
        <v>TRAIL_12M_FREE_CASH_FLOW</v>
      </c>
      <c r="E221" t="str">
        <f t="shared" si="17"/>
        <v>Dynamic</v>
      </c>
      <c r="F221" t="str">
        <f ca="1">IF(AND(ISNUMBER($F$725),$B$511=1),$F$725,HLOOKUP(INDIRECT(ADDRESS(2,COLUMN())),OFFSET($BN$2,0,0,ROW()-1,60),ROW()-1,FALSE))</f>
        <v/>
      </c>
      <c r="G221">
        <f ca="1">IF(AND(ISNUMBER($G$725),$B$511=1),$G$725,HLOOKUP(INDIRECT(ADDRESS(2,COLUMN())),OFFSET($BN$2,0,0,ROW()-1,60),ROW()-1,FALSE))</f>
        <v>7237</v>
      </c>
      <c r="H221">
        <f ca="1">IF(AND(ISNUMBER($H$725),$B$511=1),$H$725,HLOOKUP(INDIRECT(ADDRESS(2,COLUMN())),OFFSET($BN$2,0,0,ROW()-1,60),ROW()-1,FALSE))</f>
        <v>9030</v>
      </c>
      <c r="I221">
        <f ca="1">IF(AND(ISNUMBER($I$725),$B$511=1),$I$725,HLOOKUP(INDIRECT(ADDRESS(2,COLUMN())),OFFSET($BN$2,0,0,ROW()-1,60),ROW()-1,FALSE))</f>
        <v>9158</v>
      </c>
      <c r="J221">
        <f ca="1">IF(AND(ISNUMBER($J$725),$B$511=1),$J$725,HLOOKUP(INDIRECT(ADDRESS(2,COLUMN())),OFFSET($BN$2,0,0,ROW()-1,60),ROW()-1,FALSE))</f>
        <v>10152</v>
      </c>
      <c r="K221">
        <f ca="1">IF(AND(ISNUMBER($K$725),$B$511=1),$K$725,HLOOKUP(INDIRECT(ADDRESS(2,COLUMN())),OFFSET($BN$2,0,0,ROW()-1,60),ROW()-1,FALSE))</f>
        <v>11047</v>
      </c>
      <c r="L221">
        <f ca="1">IF(AND(ISNUMBER($L$725),$B$511=1),$L$725,HLOOKUP(INDIRECT(ADDRESS(2,COLUMN())),OFFSET($BN$2,0,0,ROW()-1,60),ROW()-1,FALSE))</f>
        <v>10731</v>
      </c>
      <c r="M221">
        <f ca="1">IF(AND(ISNUMBER($M$725),$B$511=1),$M$725,HLOOKUP(INDIRECT(ADDRESS(2,COLUMN())),OFFSET($BN$2,0,0,ROW()-1,60),ROW()-1,FALSE))</f>
        <v>10860</v>
      </c>
      <c r="N221">
        <f ca="1">IF(AND(ISNUMBER($N$725),$B$511=1),$N$725,HLOOKUP(INDIRECT(ADDRESS(2,COLUMN())),OFFSET($BN$2,0,0,ROW()-1,60),ROW()-1,FALSE))</f>
        <v>12850</v>
      </c>
      <c r="O221">
        <f ca="1">IF(AND(ISNUMBER($O$725),$B$511=1),$O$725,HLOOKUP(INDIRECT(ADDRESS(2,COLUMN())),OFFSET($BN$2,0,0,ROW()-1,60),ROW()-1,FALSE))</f>
        <v>12858</v>
      </c>
      <c r="P221">
        <f ca="1">IF(AND(ISNUMBER($P$725),$B$511=1),$P$725,HLOOKUP(INDIRECT(ADDRESS(2,COLUMN())),OFFSET($BN$2,0,0,ROW()-1,60),ROW()-1,FALSE))</f>
        <v>12450</v>
      </c>
      <c r="Q221">
        <f ca="1">IF(AND(ISNUMBER($Q$725),$B$511=1),$Q$725,HLOOKUP(INDIRECT(ADDRESS(2,COLUMN())),OFFSET($BN$2,0,0,ROW()-1,60),ROW()-1,FALSE))</f>
        <v>13625</v>
      </c>
      <c r="R221">
        <f ca="1">IF(AND(ISNUMBER($R$725),$B$511=1),$R$725,HLOOKUP(INDIRECT(ADDRESS(2,COLUMN())),OFFSET($BN$2,0,0,ROW()-1,60),ROW()-1,FALSE))</f>
        <v>10738</v>
      </c>
      <c r="S221">
        <f ca="1">IF(AND(ISNUMBER($S$725),$B$511=1),$S$725,HLOOKUP(INDIRECT(ADDRESS(2,COLUMN())),OFFSET($BN$2,0,0,ROW()-1,60),ROW()-1,FALSE))</f>
        <v>9030</v>
      </c>
      <c r="T221">
        <f ca="1">IF(AND(ISNUMBER($T$725),$B$511=1),$T$725,HLOOKUP(INDIRECT(ADDRESS(2,COLUMN())),OFFSET($BN$2,0,0,ROW()-1,60),ROW()-1,FALSE))</f>
        <v>8734</v>
      </c>
      <c r="U221">
        <f ca="1">IF(AND(ISNUMBER($U$725),$B$511=1),$U$725,HLOOKUP(INDIRECT(ADDRESS(2,COLUMN())),OFFSET($BN$2,0,0,ROW()-1,60),ROW()-1,FALSE))</f>
        <v>5901</v>
      </c>
      <c r="V221">
        <f ca="1">IF(AND(ISNUMBER($V$725),$B$511=1),$V$725,HLOOKUP(INDIRECT(ADDRESS(2,COLUMN())),OFFSET($BN$2,0,0,ROW()-1,60),ROW()-1,FALSE))</f>
        <v>5766</v>
      </c>
      <c r="W221">
        <f ca="1">IF(AND(ISNUMBER($W$725),$B$511=1),$W$725,HLOOKUP(INDIRECT(ADDRESS(2,COLUMN())),OFFSET($BN$2,0,0,ROW()-1,60),ROW()-1,FALSE))</f>
        <v>7044</v>
      </c>
      <c r="X221">
        <f ca="1">IF(AND(ISNUMBER($X$725),$B$511=1),$X$725,HLOOKUP(INDIRECT(ADDRESS(2,COLUMN())),OFFSET($BN$2,0,0,ROW()-1,60),ROW()-1,FALSE))</f>
        <v>5407</v>
      </c>
      <c r="Y221">
        <f ca="1">IF(AND(ISNUMBER($Y$725),$B$511=1),$Y$725,HLOOKUP(INDIRECT(ADDRESS(2,COLUMN())),OFFSET($BN$2,0,0,ROW()-1,60),ROW()-1,FALSE))</f>
        <v>5459</v>
      </c>
      <c r="Z221">
        <f ca="1">IF(AND(ISNUMBER($Z$725),$B$511=1),$Z$725,HLOOKUP(INDIRECT(ADDRESS(2,COLUMN())),OFFSET($BN$2,0,0,ROW()-1,60),ROW()-1,FALSE))</f>
        <v>5762</v>
      </c>
      <c r="AA221">
        <f ca="1">IF(AND(ISNUMBER($AA$725),$B$511=1),$AA$725,HLOOKUP(INDIRECT(ADDRESS(2,COLUMN())),OFFSET($BN$2,0,0,ROW()-1,60),ROW()-1,FALSE))</f>
        <v>3902</v>
      </c>
      <c r="AB221">
        <f ca="1">IF(AND(ISNUMBER($AB$725),$B$511=1),$AB$725,HLOOKUP(INDIRECT(ADDRESS(2,COLUMN())),OFFSET($BN$2,0,0,ROW()-1,60),ROW()-1,FALSE))</f>
        <v>4948</v>
      </c>
      <c r="AC221">
        <f ca="1">IF(AND(ISNUMBER($AC$725),$B$511=1),$AC$725,HLOOKUP(INDIRECT(ADDRESS(2,COLUMN())),OFFSET($BN$2,0,0,ROW()-1,60),ROW()-1,FALSE))</f>
        <v>4236</v>
      </c>
      <c r="AD221">
        <f ca="1">IF(AND(ISNUMBER($AD$725),$B$511=1),$AD$725,HLOOKUP(INDIRECT(ADDRESS(2,COLUMN())),OFFSET($BN$2,0,0,ROW()-1,60),ROW()-1,FALSE))</f>
        <v>2854</v>
      </c>
      <c r="AE221">
        <f ca="1">IF(AND(ISNUMBER($AE$725),$B$511=1),$AE$725,HLOOKUP(INDIRECT(ADDRESS(2,COLUMN())),OFFSET($BN$2,0,0,ROW()-1,60),ROW()-1,FALSE))</f>
        <v>3557</v>
      </c>
      <c r="AF221">
        <f ca="1">IF(AND(ISNUMBER($AF$725),$B$511=1),$AF$725,HLOOKUP(INDIRECT(ADDRESS(2,COLUMN())),OFFSET($BN$2,0,0,ROW()-1,60),ROW()-1,FALSE))</f>
        <v>4772</v>
      </c>
      <c r="AG221">
        <f ca="1">IF(AND(ISNUMBER($AG$725),$B$511=1),$AG$725,HLOOKUP(INDIRECT(ADDRESS(2,COLUMN())),OFFSET($BN$2,0,0,ROW()-1,60),ROW()-1,FALSE))</f>
        <v>4622</v>
      </c>
      <c r="AH221">
        <f ca="1">IF(AND(ISNUMBER($AH$725),$B$511=1),$AH$725,HLOOKUP(INDIRECT(ADDRESS(2,COLUMN())),OFFSET($BN$2,0,0,ROW()-1,60),ROW()-1,FALSE))</f>
        <v>5462</v>
      </c>
      <c r="AI221">
        <f ca="1">IF(AND(ISNUMBER($AI$725),$B$511=1),$AI$725,HLOOKUP(INDIRECT(ADDRESS(2,COLUMN())),OFFSET($BN$2,0,0,ROW()-1,60),ROW()-1,FALSE))</f>
        <v>7480</v>
      </c>
      <c r="AJ221">
        <f ca="1">IF(AND(ISNUMBER($AJ$725),$B$511=1),$AJ$725,HLOOKUP(INDIRECT(ADDRESS(2,COLUMN())),OFFSET($BN$2,0,0,ROW()-1,60),ROW()-1,FALSE))</f>
        <v>7732</v>
      </c>
      <c r="AK221">
        <f ca="1">IF(AND(ISNUMBER($AK$725),$B$511=1),$AK$725,HLOOKUP(INDIRECT(ADDRESS(2,COLUMN())),OFFSET($BN$2,0,0,ROW()-1,60),ROW()-1,FALSE))</f>
        <v>8790</v>
      </c>
      <c r="AL221">
        <f ca="1">IF(AND(ISNUMBER($AL$725),$B$511=1),$AL$725,HLOOKUP(INDIRECT(ADDRESS(2,COLUMN())),OFFSET($BN$2,0,0,ROW()-1,60),ROW()-1,FALSE))</f>
        <v>8115</v>
      </c>
      <c r="AM221">
        <f ca="1">IF(AND(ISNUMBER($AM$725),$B$511=1),$AM$725,HLOOKUP(INDIRECT(ADDRESS(2,COLUMN())),OFFSET($BN$2,0,0,ROW()-1,60),ROW()-1,FALSE))</f>
        <v>6069</v>
      </c>
      <c r="AN221">
        <f ca="1">IF(AND(ISNUMBER($AN$725),$B$511=1),$AN$725,HLOOKUP(INDIRECT(ADDRESS(2,COLUMN())),OFFSET($BN$2,0,0,ROW()-1,60),ROW()-1,FALSE))</f>
        <v>11642</v>
      </c>
      <c r="AO221">
        <f ca="1">IF(AND(ISNUMBER($AO$725),$B$511=1),$AO$725,HLOOKUP(INDIRECT(ADDRESS(2,COLUMN())),OFFSET($BN$2,0,0,ROW()-1,60),ROW()-1,FALSE))</f>
        <v>13082</v>
      </c>
      <c r="AP221">
        <f ca="1">IF(AND(ISNUMBER($AP$725),$B$511=1),$AP$725,HLOOKUP(INDIRECT(ADDRESS(2,COLUMN())),OFFSET($BN$2,0,0,ROW()-1,60),ROW()-1,FALSE))</f>
        <v>10620</v>
      </c>
      <c r="AQ221">
        <f ca="1">IF(AND(ISNUMBER($AQ$725),$B$511=1),$AQ$725,HLOOKUP(INDIRECT(ADDRESS(2,COLUMN())),OFFSET($BN$2,0,0,ROW()-1,60),ROW()-1,FALSE))</f>
        <v>8029</v>
      </c>
      <c r="AR221">
        <f ca="1">IF(AND(ISNUMBER($AR$725),$B$511=1),$AR$725,HLOOKUP(INDIRECT(ADDRESS(2,COLUMN())),OFFSET($BN$2,0,0,ROW()-1,60),ROW()-1,FALSE))</f>
        <v>-11046</v>
      </c>
      <c r="AS221">
        <f ca="1">IF(AND(ISNUMBER($AS$725),$B$511=1),$AS$725,HLOOKUP(INDIRECT(ADDRESS(2,COLUMN())),OFFSET($BN$2,0,0,ROW()-1,60),ROW()-1,FALSE))</f>
        <v>-12411</v>
      </c>
      <c r="AT221">
        <f ca="1">IF(AND(ISNUMBER($AT$725),$B$511=1),$AT$725,HLOOKUP(INDIRECT(ADDRESS(2,COLUMN())),OFFSET($BN$2,0,0,ROW()-1,60),ROW()-1,FALSE))</f>
        <v>-13303</v>
      </c>
      <c r="AU221">
        <f ca="1">IF(AND(ISNUMBER($AU$725),$B$511=1),$AU$725,HLOOKUP(INDIRECT(ADDRESS(2,COLUMN())),OFFSET($BN$2,0,0,ROW()-1,60),ROW()-1,FALSE))</f>
        <v>-10058</v>
      </c>
      <c r="AV221">
        <f ca="1">IF(AND(ISNUMBER($AV$725),$B$511=1),$AV$725,HLOOKUP(INDIRECT(ADDRESS(2,COLUMN())),OFFSET($BN$2,0,0,ROW()-1,60),ROW()-1,FALSE))</f>
        <v>4721</v>
      </c>
      <c r="AW221">
        <f ca="1">IF(AND(ISNUMBER($AW$725),$B$511=1),$AW$725,HLOOKUP(INDIRECT(ADDRESS(2,COLUMN())),OFFSET($BN$2,0,0,ROW()-1,60),ROW()-1,FALSE))</f>
        <v>6029</v>
      </c>
      <c r="AX221">
        <f ca="1">IF(AND(ISNUMBER($AX$725),$B$511=1),$AX$725,HLOOKUP(INDIRECT(ADDRESS(2,COLUMN())),OFFSET($BN$2,0,0,ROW()-1,60),ROW()-1,FALSE))</f>
        <v>10014</v>
      </c>
      <c r="AY221">
        <f ca="1">IF(AND(ISNUMBER($AY$725),$B$511=1),$AY$725,HLOOKUP(INDIRECT(ADDRESS(2,COLUMN())),OFFSET($BN$2,0,0,ROW()-1,60),ROW()-1,FALSE))</f>
        <v>9149</v>
      </c>
      <c r="AZ221">
        <f ca="1">IF(AND(ISNUMBER($AZ$725),$B$511=1),$AZ$725,HLOOKUP(INDIRECT(ADDRESS(2,COLUMN())),OFFSET($BN$2,0,0,ROW()-1,60),ROW()-1,FALSE))</f>
        <v>-1986</v>
      </c>
      <c r="BA221">
        <f ca="1">IF(AND(ISNUMBER($BA$725),$B$511=1),$BA$725,HLOOKUP(INDIRECT(ADDRESS(2,COLUMN())),OFFSET($BN$2,0,0,ROW()-1,60),ROW()-1,FALSE))</f>
        <v>-5701</v>
      </c>
      <c r="BB221">
        <f ca="1">IF(AND(ISNUMBER($BB$725),$B$511=1),$BB$725,HLOOKUP(INDIRECT(ADDRESS(2,COLUMN())),OFFSET($BN$2,0,0,ROW()-1,60),ROW()-1,FALSE))</f>
        <v>-1619</v>
      </c>
      <c r="BC221">
        <f ca="1">IF(AND(ISNUMBER($BC$725),$B$511=1),$BC$725,HLOOKUP(INDIRECT(ADDRESS(2,COLUMN())),OFFSET($BN$2,0,0,ROW()-1,60),ROW()-1,FALSE))</f>
        <v>-3715</v>
      </c>
      <c r="BD221">
        <f ca="1">IF(AND(ISNUMBER($BD$725),$B$511=1),$BD$725,HLOOKUP(INDIRECT(ADDRESS(2,COLUMN())),OFFSET($BN$2,0,0,ROW()-1,60),ROW()-1,FALSE))</f>
        <v>4823</v>
      </c>
      <c r="BE221">
        <f ca="1">IF(AND(ISNUMBER($BE$725),$B$511=1),$BE$725,HLOOKUP(INDIRECT(ADDRESS(2,COLUMN())),OFFSET($BN$2,0,0,ROW()-1,60),ROW()-1,FALSE))</f>
        <v>4565</v>
      </c>
      <c r="BF221">
        <f ca="1">IF(AND(ISNUMBER($BF$725),$B$511=1),$BF$725,HLOOKUP(INDIRECT(ADDRESS(2,COLUMN())),OFFSET($BN$2,0,0,ROW()-1,60),ROW()-1,FALSE))</f>
        <v>-2093</v>
      </c>
      <c r="BG221">
        <f ca="1">IF(AND(ISNUMBER($BG$725),$B$511=1),$BG$725,HLOOKUP(INDIRECT(ADDRESS(2,COLUMN())),OFFSET($BN$2,0,0,ROW()-1,60),ROW()-1,FALSE))</f>
        <v>1575</v>
      </c>
      <c r="BH221">
        <f ca="1">IF(AND(ISNUMBER($BH$725),$B$511=1),$BH$725,HLOOKUP(INDIRECT(ADDRESS(2,COLUMN())),OFFSET($BN$2,0,0,ROW()-1,60),ROW()-1,FALSE))</f>
        <v>6713</v>
      </c>
      <c r="BI221">
        <f ca="1">IF(AND(ISNUMBER($BI$725),$B$511=1),$BI$725,HLOOKUP(INDIRECT(ADDRESS(2,COLUMN())),OFFSET($BN$2,0,0,ROW()-1,60),ROW()-1,FALSE))</f>
        <v>12517</v>
      </c>
      <c r="BJ221">
        <f ca="1">IF(AND(ISNUMBER($BJ$725),$B$511=1),$BJ$725,HLOOKUP(INDIRECT(ADDRESS(2,COLUMN())),OFFSET($BN$2,0,0,ROW()-1,60),ROW()-1,FALSE))</f>
        <v>17508</v>
      </c>
      <c r="BK221">
        <f ca="1">IF(AND(ISNUMBER($BK$725),$B$511=1),$BK$725,HLOOKUP(INDIRECT(ADDRESS(2,COLUMN())),OFFSET($BN$2,0,0,ROW()-1,60),ROW()-1,FALSE))</f>
        <v>19699</v>
      </c>
      <c r="BL221">
        <f ca="1">IF(AND(ISNUMBER($BL$725),$B$511=1),$BL$725,HLOOKUP(INDIRECT(ADDRESS(2,COLUMN())),OFFSET($BN$2,0,0,ROW()-1,60),ROW()-1,FALSE))</f>
        <v>11554</v>
      </c>
      <c r="BM221">
        <f ca="1">IF(AND(ISNUMBER($BM$725),$B$511=1),$BM$725,HLOOKUP(INDIRECT(ADDRESS(2,COLUMN())),OFFSET($BN$2,0,0,ROW()-1,60),ROW()-1,FALSE))</f>
        <v>11229</v>
      </c>
      <c r="BN221" t="str">
        <f>""</f>
        <v/>
      </c>
      <c r="BO221">
        <f>7237</f>
        <v>7237</v>
      </c>
      <c r="BP221">
        <f>9030</f>
        <v>9030</v>
      </c>
      <c r="BQ221">
        <f>9158</f>
        <v>9158</v>
      </c>
      <c r="BR221">
        <f>10152</f>
        <v>10152</v>
      </c>
      <c r="BS221">
        <f>11047</f>
        <v>11047</v>
      </c>
      <c r="BT221">
        <f>10731</f>
        <v>10731</v>
      </c>
      <c r="BU221">
        <f>10860</f>
        <v>10860</v>
      </c>
      <c r="BV221">
        <f>12850</f>
        <v>12850</v>
      </c>
      <c r="BW221">
        <f>12858</f>
        <v>12858</v>
      </c>
      <c r="BX221">
        <f>12450</f>
        <v>12450</v>
      </c>
      <c r="BY221">
        <f>13625</f>
        <v>13625</v>
      </c>
      <c r="BZ221">
        <f>10738</f>
        <v>10738</v>
      </c>
      <c r="CA221">
        <f>9030</f>
        <v>9030</v>
      </c>
      <c r="CB221">
        <f>8734</f>
        <v>8734</v>
      </c>
      <c r="CC221">
        <f>5901</f>
        <v>5901</v>
      </c>
      <c r="CD221">
        <f>5766</f>
        <v>5766</v>
      </c>
      <c r="CE221">
        <f>7044</f>
        <v>7044</v>
      </c>
      <c r="CF221">
        <f>5407</f>
        <v>5407</v>
      </c>
      <c r="CG221">
        <f>5459</f>
        <v>5459</v>
      </c>
      <c r="CH221">
        <f>5762</f>
        <v>5762</v>
      </c>
      <c r="CI221">
        <f>3902</f>
        <v>3902</v>
      </c>
      <c r="CJ221">
        <f>4948</f>
        <v>4948</v>
      </c>
      <c r="CK221">
        <f>4236</f>
        <v>4236</v>
      </c>
      <c r="CL221">
        <f>2854</f>
        <v>2854</v>
      </c>
      <c r="CM221">
        <f>3557</f>
        <v>3557</v>
      </c>
      <c r="CN221">
        <f>4772</f>
        <v>4772</v>
      </c>
      <c r="CO221">
        <f>4622</f>
        <v>4622</v>
      </c>
      <c r="CP221">
        <f>5462</f>
        <v>5462</v>
      </c>
      <c r="CQ221">
        <f>7480</f>
        <v>7480</v>
      </c>
      <c r="CR221">
        <f>7732</f>
        <v>7732</v>
      </c>
      <c r="CS221">
        <f>8790</f>
        <v>8790</v>
      </c>
      <c r="CT221">
        <f>8115</f>
        <v>8115</v>
      </c>
      <c r="CU221">
        <f>6069</f>
        <v>6069</v>
      </c>
      <c r="CV221">
        <f>11642</f>
        <v>11642</v>
      </c>
      <c r="CW221">
        <f>13082</f>
        <v>13082</v>
      </c>
      <c r="CX221">
        <f>10620</f>
        <v>10620</v>
      </c>
      <c r="CY221">
        <f>8029</f>
        <v>8029</v>
      </c>
      <c r="CZ221">
        <f>-11046</f>
        <v>-11046</v>
      </c>
      <c r="DA221">
        <f>-12411</f>
        <v>-12411</v>
      </c>
      <c r="DB221">
        <f>-13303</f>
        <v>-13303</v>
      </c>
      <c r="DC221">
        <f>-10058</f>
        <v>-10058</v>
      </c>
      <c r="DD221">
        <f>4721</f>
        <v>4721</v>
      </c>
      <c r="DE221">
        <f>6029</f>
        <v>6029</v>
      </c>
      <c r="DF221">
        <f>10014</f>
        <v>10014</v>
      </c>
      <c r="DG221">
        <f>9149</f>
        <v>9149</v>
      </c>
      <c r="DH221">
        <f>-1986</f>
        <v>-1986</v>
      </c>
      <c r="DI221">
        <f>-5701</f>
        <v>-5701</v>
      </c>
      <c r="DJ221">
        <f>-1619</f>
        <v>-1619</v>
      </c>
      <c r="DK221">
        <f>-3715</f>
        <v>-3715</v>
      </c>
      <c r="DL221">
        <f>4823</f>
        <v>4823</v>
      </c>
      <c r="DM221">
        <f>4565</f>
        <v>4565</v>
      </c>
      <c r="DN221">
        <f>-2093</f>
        <v>-2093</v>
      </c>
      <c r="DO221">
        <f>1575</f>
        <v>1575</v>
      </c>
      <c r="DP221">
        <f>6713</f>
        <v>6713</v>
      </c>
      <c r="DQ221">
        <f>12517</f>
        <v>12517</v>
      </c>
      <c r="DR221">
        <f>17508</f>
        <v>17508</v>
      </c>
      <c r="DS221">
        <f>19699</f>
        <v>19699</v>
      </c>
      <c r="DT221">
        <f>11554</f>
        <v>11554</v>
      </c>
      <c r="DU221">
        <f>11229</f>
        <v>11229</v>
      </c>
    </row>
    <row r="222" spans="1:125" x14ac:dyDescent="0.25">
      <c r="A222" t="str">
        <f>"    Ford Otomotiv Sanayi AS"</f>
        <v xml:space="preserve">    Ford Otomotiv Sanayi AS</v>
      </c>
      <c r="B222" t="str">
        <f>"FROTOTRY EO Equity"</f>
        <v>FROTOTRY EO Equity</v>
      </c>
      <c r="C222" t="str">
        <f t="shared" si="15"/>
        <v>RR843</v>
      </c>
      <c r="D222" t="str">
        <f t="shared" si="16"/>
        <v>TRAIL_12M_FREE_CASH_FLOW</v>
      </c>
      <c r="E222" t="str">
        <f t="shared" si="17"/>
        <v>Dynamic</v>
      </c>
      <c r="F222" t="str">
        <f ca="1">IF(AND(ISNUMBER($F$726),$B$511=1),$F$726,HLOOKUP(INDIRECT(ADDRESS(2,COLUMN())),OFFSET($BN$2,0,0,ROW()-1,60),ROW()-1,FALSE))</f>
        <v/>
      </c>
      <c r="G222">
        <f ca="1">IF(AND(ISNUMBER($G$726),$B$511=1),$G$726,HLOOKUP(INDIRECT(ADDRESS(2,COLUMN())),OFFSET($BN$2,0,0,ROW()-1,60),ROW()-1,FALSE))</f>
        <v>285.55526579999997</v>
      </c>
      <c r="H222">
        <f ca="1">IF(AND(ISNUMBER($H$726),$B$511=1),$H$726,HLOOKUP(INDIRECT(ADDRESS(2,COLUMN())),OFFSET($BN$2,0,0,ROW()-1,60),ROW()-1,FALSE))</f>
        <v>398.04754029999998</v>
      </c>
      <c r="I222">
        <f ca="1">IF(AND(ISNUMBER($I$726),$B$511=1),$I$726,HLOOKUP(INDIRECT(ADDRESS(2,COLUMN())),OFFSET($BN$2,0,0,ROW()-1,60),ROW()-1,FALSE))</f>
        <v>399.80329790000002</v>
      </c>
      <c r="J222">
        <f ca="1">IF(AND(ISNUMBER($J$726),$B$511=1),$J$726,HLOOKUP(INDIRECT(ADDRESS(2,COLUMN())),OFFSET($BN$2,0,0,ROW()-1,60),ROW()-1,FALSE))</f>
        <v>417.11618120000003</v>
      </c>
      <c r="K222">
        <f ca="1">IF(AND(ISNUMBER($K$726),$B$511=1),$K$726,HLOOKUP(INDIRECT(ADDRESS(2,COLUMN())),OFFSET($BN$2,0,0,ROW()-1,60),ROW()-1,FALSE))</f>
        <v>435.87079829999999</v>
      </c>
      <c r="L222">
        <f ca="1">IF(AND(ISNUMBER($L$726),$B$511=1),$L$726,HLOOKUP(INDIRECT(ADDRESS(2,COLUMN())),OFFSET($BN$2,0,0,ROW()-1,60),ROW()-1,FALSE))</f>
        <v>478.9483348</v>
      </c>
      <c r="M222">
        <f ca="1">IF(AND(ISNUMBER($M$726),$B$511=1),$M$726,HLOOKUP(INDIRECT(ADDRESS(2,COLUMN())),OFFSET($BN$2,0,0,ROW()-1,60),ROW()-1,FALSE))</f>
        <v>554.14256680000005</v>
      </c>
      <c r="N222">
        <f ca="1">IF(AND(ISNUMBER($N$726),$B$511=1),$N$726,HLOOKUP(INDIRECT(ADDRESS(2,COLUMN())),OFFSET($BN$2,0,0,ROW()-1,60),ROW()-1,FALSE))</f>
        <v>500.27399339999999</v>
      </c>
      <c r="O222">
        <f ca="1">IF(AND(ISNUMBER($O$726),$B$511=1),$O$726,HLOOKUP(INDIRECT(ADDRESS(2,COLUMN())),OFFSET($BN$2,0,0,ROW()-1,60),ROW()-1,FALSE))</f>
        <v>388.10390810000001</v>
      </c>
      <c r="P222">
        <f ca="1">IF(AND(ISNUMBER($P$726),$B$511=1),$P$726,HLOOKUP(INDIRECT(ADDRESS(2,COLUMN())),OFFSET($BN$2,0,0,ROW()-1,60),ROW()-1,FALSE))</f>
        <v>276.31893229999997</v>
      </c>
      <c r="Q222">
        <f ca="1">IF(AND(ISNUMBER($Q$726),$B$511=1),$Q$726,HLOOKUP(INDIRECT(ADDRESS(2,COLUMN())),OFFSET($BN$2,0,0,ROW()-1,60),ROW()-1,FALSE))</f>
        <v>410.19443009999998</v>
      </c>
      <c r="R222">
        <f ca="1">IF(AND(ISNUMBER($R$726),$B$511=1),$R$726,HLOOKUP(INDIRECT(ADDRESS(2,COLUMN())),OFFSET($BN$2,0,0,ROW()-1,60),ROW()-1,FALSE))</f>
        <v>271.80054810000001</v>
      </c>
      <c r="S222">
        <f ca="1">IF(AND(ISNUMBER($S$726),$B$511=1),$S$726,HLOOKUP(INDIRECT(ADDRESS(2,COLUMN())),OFFSET($BN$2,0,0,ROW()-1,60),ROW()-1,FALSE))</f>
        <v>344.6243278</v>
      </c>
      <c r="T222">
        <f ca="1">IF(AND(ISNUMBER($T$726),$B$511=1),$T$726,HLOOKUP(INDIRECT(ADDRESS(2,COLUMN())),OFFSET($BN$2,0,0,ROW()-1,60),ROW()-1,FALSE))</f>
        <v>265.94864030000002</v>
      </c>
      <c r="U222">
        <f ca="1">IF(AND(ISNUMBER($U$726),$B$511=1),$U$726,HLOOKUP(INDIRECT(ADDRESS(2,COLUMN())),OFFSET($BN$2,0,0,ROW()-1,60),ROW()-1,FALSE))</f>
        <v>-149.20425109999999</v>
      </c>
      <c r="V222">
        <f ca="1">IF(AND(ISNUMBER($V$726),$B$511=1),$V$726,HLOOKUP(INDIRECT(ADDRESS(2,COLUMN())),OFFSET($BN$2,0,0,ROW()-1,60),ROW()-1,FALSE))</f>
        <v>-26.83006692</v>
      </c>
      <c r="W222">
        <f ca="1">IF(AND(ISNUMBER($W$726),$B$511=1),$W$726,HLOOKUP(INDIRECT(ADDRESS(2,COLUMN())),OFFSET($BN$2,0,0,ROW()-1,60),ROW()-1,FALSE))</f>
        <v>28.633200819999999</v>
      </c>
      <c r="X222">
        <f ca="1">IF(AND(ISNUMBER($X$726),$B$511=1),$X$726,HLOOKUP(INDIRECT(ADDRESS(2,COLUMN())),OFFSET($BN$2,0,0,ROW()-1,60),ROW()-1,FALSE))</f>
        <v>-357.1465513</v>
      </c>
      <c r="Y222">
        <f ca="1">IF(AND(ISNUMBER($Y$726),$B$511=1),$Y$726,HLOOKUP(INDIRECT(ADDRESS(2,COLUMN())),OFFSET($BN$2,0,0,ROW()-1,60),ROW()-1,FALSE))</f>
        <v>-148.5665233</v>
      </c>
      <c r="Z222">
        <f ca="1">IF(AND(ISNUMBER($Z$726),$B$511=1),$Z$726,HLOOKUP(INDIRECT(ADDRESS(2,COLUMN())),OFFSET($BN$2,0,0,ROW()-1,60),ROW()-1,FALSE))</f>
        <v>-255.95468750000001</v>
      </c>
      <c r="AA222">
        <f ca="1">IF(AND(ISNUMBER($AA$726),$B$511=1),$AA$726,HLOOKUP(INDIRECT(ADDRESS(2,COLUMN())),OFFSET($BN$2,0,0,ROW()-1,60),ROW()-1,FALSE))</f>
        <v>-0.54325224599999999</v>
      </c>
      <c r="AB222">
        <f ca="1">IF(AND(ISNUMBER($AB$726),$B$511=1),$AB$726,HLOOKUP(INDIRECT(ADDRESS(2,COLUMN())),OFFSET($BN$2,0,0,ROW()-1,60),ROW()-1,FALSE))</f>
        <v>238.83155780000001</v>
      </c>
      <c r="AC222">
        <f ca="1">IF(AND(ISNUMBER($AC$726),$B$511=1),$AC$726,HLOOKUP(INDIRECT(ADDRESS(2,COLUMN())),OFFSET($BN$2,0,0,ROW()-1,60),ROW()-1,FALSE))</f>
        <v>90.992879270000003</v>
      </c>
      <c r="AD222">
        <f ca="1">IF(AND(ISNUMBER($AD$726),$B$511=1),$AD$726,HLOOKUP(INDIRECT(ADDRESS(2,COLUMN())),OFFSET($BN$2,0,0,ROW()-1,60),ROW()-1,FALSE))</f>
        <v>95.825005619999999</v>
      </c>
      <c r="AE222">
        <f ca="1">IF(AND(ISNUMBER($AE$726),$B$511=1),$AE$726,HLOOKUP(INDIRECT(ADDRESS(2,COLUMN())),OFFSET($BN$2,0,0,ROW()-1,60),ROW()-1,FALSE))</f>
        <v>-18.55136323</v>
      </c>
      <c r="AF222">
        <f ca="1">IF(AND(ISNUMBER($AF$726),$B$511=1),$AF$726,HLOOKUP(INDIRECT(ADDRESS(2,COLUMN())),OFFSET($BN$2,0,0,ROW()-1,60),ROW()-1,FALSE))</f>
        <v>-25.413578189999999</v>
      </c>
      <c r="AG222">
        <f ca="1">IF(AND(ISNUMBER($AG$726),$B$511=1),$AG$726,HLOOKUP(INDIRECT(ADDRESS(2,COLUMN())),OFFSET($BN$2,0,0,ROW()-1,60),ROW()-1,FALSE))</f>
        <v>139.0124271</v>
      </c>
      <c r="AH222">
        <f ca="1">IF(AND(ISNUMBER($AH$726),$B$511=1),$AH$726,HLOOKUP(INDIRECT(ADDRESS(2,COLUMN())),OFFSET($BN$2,0,0,ROW()-1,60),ROW()-1,FALSE))</f>
        <v>171.76079770000001</v>
      </c>
      <c r="AI222">
        <f ca="1">IF(AND(ISNUMBER($AI$726),$B$511=1),$AI$726,HLOOKUP(INDIRECT(ADDRESS(2,COLUMN())),OFFSET($BN$2,0,0,ROW()-1,60),ROW()-1,FALSE))</f>
        <v>340.32205260000001</v>
      </c>
      <c r="AJ222">
        <f ca="1">IF(AND(ISNUMBER($AJ$726),$B$511=1),$AJ$726,HLOOKUP(INDIRECT(ADDRESS(2,COLUMN())),OFFSET($BN$2,0,0,ROW()-1,60),ROW()-1,FALSE))</f>
        <v>336.12737390000001</v>
      </c>
      <c r="AK222">
        <f ca="1">IF(AND(ISNUMBER($AK$726),$B$511=1),$AK$726,HLOOKUP(INDIRECT(ADDRESS(2,COLUMN())),OFFSET($BN$2,0,0,ROW()-1,60),ROW()-1,FALSE))</f>
        <v>420.89999039999998</v>
      </c>
      <c r="AL222">
        <f ca="1">IF(AND(ISNUMBER($AL$726),$B$511=1),$AL$726,HLOOKUP(INDIRECT(ADDRESS(2,COLUMN())),OFFSET($BN$2,0,0,ROW()-1,60),ROW()-1,FALSE))</f>
        <v>436.38638900000001</v>
      </c>
      <c r="AM222">
        <f ca="1">IF(AND(ISNUMBER($AM$726),$B$511=1),$AM$726,HLOOKUP(INDIRECT(ADDRESS(2,COLUMN())),OFFSET($BN$2,0,0,ROW()-1,60),ROW()-1,FALSE))</f>
        <v>265.3793842</v>
      </c>
      <c r="AN222">
        <f ca="1">IF(AND(ISNUMBER($AN$726),$B$511=1),$AN$726,HLOOKUP(INDIRECT(ADDRESS(2,COLUMN())),OFFSET($BN$2,0,0,ROW()-1,60),ROW()-1,FALSE))</f>
        <v>383.1943058</v>
      </c>
      <c r="AO222">
        <f ca="1">IF(AND(ISNUMBER($AO$726),$B$511=1),$AO$726,HLOOKUP(INDIRECT(ADDRESS(2,COLUMN())),OFFSET($BN$2,0,0,ROW()-1,60),ROW()-1,FALSE))</f>
        <v>251.28722690000001</v>
      </c>
      <c r="AP222">
        <f ca="1">IF(AND(ISNUMBER($AP$726),$B$511=1),$AP$726,HLOOKUP(INDIRECT(ADDRESS(2,COLUMN())),OFFSET($BN$2,0,0,ROW()-1,60),ROW()-1,FALSE))</f>
        <v>324.66299199999997</v>
      </c>
      <c r="AQ222">
        <f ca="1">IF(AND(ISNUMBER($AQ$726),$B$511=1),$AQ$726,HLOOKUP(INDIRECT(ADDRESS(2,COLUMN())),OFFSET($BN$2,0,0,ROW()-1,60),ROW()-1,FALSE))</f>
        <v>316.08702269999998</v>
      </c>
      <c r="AR222">
        <f ca="1">IF(AND(ISNUMBER($AR$726),$B$511=1),$AR$726,HLOOKUP(INDIRECT(ADDRESS(2,COLUMN())),OFFSET($BN$2,0,0,ROW()-1,60),ROW()-1,FALSE))</f>
        <v>177.73331329999999</v>
      </c>
      <c r="AS222">
        <f ca="1">IF(AND(ISNUMBER($AS$726),$B$511=1),$AS$726,HLOOKUP(INDIRECT(ADDRESS(2,COLUMN())),OFFSET($BN$2,0,0,ROW()-1,60),ROW()-1,FALSE))</f>
        <v>484.51653809999999</v>
      </c>
      <c r="AT222">
        <f ca="1">IF(AND(ISNUMBER($AT$726),$B$511=1),$AT$726,HLOOKUP(INDIRECT(ADDRESS(2,COLUMN())),OFFSET($BN$2,0,0,ROW()-1,60),ROW()-1,FALSE))</f>
        <v>469.73453469999998</v>
      </c>
      <c r="AU222">
        <f ca="1">IF(AND(ISNUMBER($AU$726),$B$511=1),$AU$726,HLOOKUP(INDIRECT(ADDRESS(2,COLUMN())),OFFSET($BN$2,0,0,ROW()-1,60),ROW()-1,FALSE))</f>
        <v>351.1292052</v>
      </c>
      <c r="AV222">
        <f ca="1">IF(AND(ISNUMBER($AV$726),$B$511=1),$AV$726,HLOOKUP(INDIRECT(ADDRESS(2,COLUMN())),OFFSET($BN$2,0,0,ROW()-1,60),ROW()-1,FALSE))</f>
        <v>624.02878239999995</v>
      </c>
      <c r="AW222">
        <f ca="1">IF(AND(ISNUMBER($AW$726),$B$511=1),$AW$726,HLOOKUP(INDIRECT(ADDRESS(2,COLUMN())),OFFSET($BN$2,0,0,ROW()-1,60),ROW()-1,FALSE))</f>
        <v>450.45793079999999</v>
      </c>
      <c r="AX222">
        <f ca="1">IF(AND(ISNUMBER($AX$726),$B$511=1),$AX$726,HLOOKUP(INDIRECT(ADDRESS(2,COLUMN())),OFFSET($BN$2,0,0,ROW()-1,60),ROW()-1,FALSE))</f>
        <v>580.22013430000004</v>
      </c>
      <c r="AY222">
        <f ca="1">IF(AND(ISNUMBER($AY$726),$B$511=1),$AY$726,HLOOKUP(INDIRECT(ADDRESS(2,COLUMN())),OFFSET($BN$2,0,0,ROW()-1,60),ROW()-1,FALSE))</f>
        <v>444.77399700000001</v>
      </c>
      <c r="AZ222">
        <f ca="1">IF(AND(ISNUMBER($AZ$726),$B$511=1),$AZ$726,HLOOKUP(INDIRECT(ADDRESS(2,COLUMN())),OFFSET($BN$2,0,0,ROW()-1,60),ROW()-1,FALSE))</f>
        <v>314.81138579999998</v>
      </c>
      <c r="BA222">
        <f ca="1">IF(AND(ISNUMBER($BA$726),$B$511=1),$BA$726,HLOOKUP(INDIRECT(ADDRESS(2,COLUMN())),OFFSET($BN$2,0,0,ROW()-1,60),ROW()-1,FALSE))</f>
        <v>201.265263</v>
      </c>
      <c r="BB222">
        <f ca="1">IF(AND(ISNUMBER($BB$726),$B$511=1),$BB$726,HLOOKUP(INDIRECT(ADDRESS(2,COLUMN())),OFFSET($BN$2,0,0,ROW()-1,60),ROW()-1,FALSE))</f>
        <v>124.5364888</v>
      </c>
      <c r="BC222">
        <f ca="1">IF(AND(ISNUMBER($BC$726),$B$511=1),$BC$726,HLOOKUP(INDIRECT(ADDRESS(2,COLUMN())),OFFSET($BN$2,0,0,ROW()-1,60),ROW()-1,FALSE))</f>
        <v>240.68070090000001</v>
      </c>
      <c r="BD222">
        <f ca="1">IF(AND(ISNUMBER($BD$726),$B$511=1),$BD$726,HLOOKUP(INDIRECT(ADDRESS(2,COLUMN())),OFFSET($BN$2,0,0,ROW()-1,60),ROW()-1,FALSE))</f>
        <v>196.62626209999999</v>
      </c>
      <c r="BE222">
        <f ca="1">IF(AND(ISNUMBER($BE$726),$B$511=1),$BE$726,HLOOKUP(INDIRECT(ADDRESS(2,COLUMN())),OFFSET($BN$2,0,0,ROW()-1,60),ROW()-1,FALSE))</f>
        <v>285.44342410000002</v>
      </c>
      <c r="BF222">
        <f ca="1">IF(AND(ISNUMBER($BF$726),$B$511=1),$BF$726,HLOOKUP(INDIRECT(ADDRESS(2,COLUMN())),OFFSET($BN$2,0,0,ROW()-1,60),ROW()-1,FALSE))</f>
        <v>444.50612910000001</v>
      </c>
      <c r="BG222">
        <f ca="1">IF(AND(ISNUMBER($BG$726),$B$511=1),$BG$726,HLOOKUP(INDIRECT(ADDRESS(2,COLUMN())),OFFSET($BN$2,0,0,ROW()-1,60),ROW()-1,FALSE))</f>
        <v>329.36121059999999</v>
      </c>
      <c r="BH222" t="str">
        <f ca="1">IF(AND(ISNUMBER($BH$726),$B$511=1),$BH$726,HLOOKUP(INDIRECT(ADDRESS(2,COLUMN())),OFFSET($BN$2,0,0,ROW()-1,60),ROW()-1,FALSE))</f>
        <v/>
      </c>
      <c r="BI222" t="str">
        <f ca="1">IF(AND(ISNUMBER($BI$726),$B$511=1),$BI$726,HLOOKUP(INDIRECT(ADDRESS(2,COLUMN())),OFFSET($BN$2,0,0,ROW()-1,60),ROW()-1,FALSE))</f>
        <v/>
      </c>
      <c r="BJ222" t="str">
        <f ca="1">IF(AND(ISNUMBER($BJ$726),$B$511=1),$BJ$726,HLOOKUP(INDIRECT(ADDRESS(2,COLUMN())),OFFSET($BN$2,0,0,ROW()-1,60),ROW()-1,FALSE))</f>
        <v/>
      </c>
      <c r="BK222" t="str">
        <f ca="1">IF(AND(ISNUMBER($BK$726),$B$511=1),$BK$726,HLOOKUP(INDIRECT(ADDRESS(2,COLUMN())),OFFSET($BN$2,0,0,ROW()-1,60),ROW()-1,FALSE))</f>
        <v/>
      </c>
      <c r="BL222" t="str">
        <f ca="1">IF(AND(ISNUMBER($BL$726),$B$511=1),$BL$726,HLOOKUP(INDIRECT(ADDRESS(2,COLUMN())),OFFSET($BN$2,0,0,ROW()-1,60),ROW()-1,FALSE))</f>
        <v/>
      </c>
      <c r="BM222" t="str">
        <f ca="1">IF(AND(ISNUMBER($BM$726),$B$511=1),$BM$726,HLOOKUP(INDIRECT(ADDRESS(2,COLUMN())),OFFSET($BN$2,0,0,ROW()-1,60),ROW()-1,FALSE))</f>
        <v/>
      </c>
      <c r="BN222" t="str">
        <f>""</f>
        <v/>
      </c>
      <c r="BO222">
        <f>285.5552658</f>
        <v>285.55526579999997</v>
      </c>
      <c r="BP222">
        <f>398.0475403</f>
        <v>398.04754029999998</v>
      </c>
      <c r="BQ222">
        <f>399.8032979</f>
        <v>399.80329790000002</v>
      </c>
      <c r="BR222">
        <f>417.1161812</f>
        <v>417.11618120000003</v>
      </c>
      <c r="BS222">
        <f>435.8707983</f>
        <v>435.87079829999999</v>
      </c>
      <c r="BT222">
        <f>478.9483348</f>
        <v>478.9483348</v>
      </c>
      <c r="BU222">
        <f>554.1425668</f>
        <v>554.14256680000005</v>
      </c>
      <c r="BV222">
        <f>500.2739934</f>
        <v>500.27399339999999</v>
      </c>
      <c r="BW222">
        <f>388.1039081</f>
        <v>388.10390810000001</v>
      </c>
      <c r="BX222">
        <f>276.3189323</f>
        <v>276.31893229999997</v>
      </c>
      <c r="BY222">
        <f>410.1944301</f>
        <v>410.19443009999998</v>
      </c>
      <c r="BZ222">
        <f>271.8005481</f>
        <v>271.80054810000001</v>
      </c>
      <c r="CA222">
        <f>344.6243278</f>
        <v>344.6243278</v>
      </c>
      <c r="CB222">
        <f>265.9486403</f>
        <v>265.94864030000002</v>
      </c>
      <c r="CC222">
        <f>-149.2042511</f>
        <v>-149.20425109999999</v>
      </c>
      <c r="CD222">
        <f>-26.83006692</f>
        <v>-26.83006692</v>
      </c>
      <c r="CE222">
        <f>28.63320082</f>
        <v>28.633200819999999</v>
      </c>
      <c r="CF222">
        <f>-357.1465513</f>
        <v>-357.1465513</v>
      </c>
      <c r="CG222">
        <f>-148.5665233</f>
        <v>-148.5665233</v>
      </c>
      <c r="CH222">
        <f>-255.9546875</f>
        <v>-255.95468750000001</v>
      </c>
      <c r="CI222">
        <f>-0.543252246</f>
        <v>-0.54325224599999999</v>
      </c>
      <c r="CJ222">
        <f>238.8315578</f>
        <v>238.83155780000001</v>
      </c>
      <c r="CK222">
        <f>90.99287927</f>
        <v>90.992879270000003</v>
      </c>
      <c r="CL222">
        <f>95.82500562</f>
        <v>95.825005619999999</v>
      </c>
      <c r="CM222">
        <f>-18.55136323</f>
        <v>-18.55136323</v>
      </c>
      <c r="CN222">
        <f>-25.41357819</f>
        <v>-25.413578189999999</v>
      </c>
      <c r="CO222">
        <f>139.0124271</f>
        <v>139.0124271</v>
      </c>
      <c r="CP222">
        <f>171.7607977</f>
        <v>171.76079770000001</v>
      </c>
      <c r="CQ222">
        <f>340.3220526</f>
        <v>340.32205260000001</v>
      </c>
      <c r="CR222">
        <f>336.1273739</f>
        <v>336.12737390000001</v>
      </c>
      <c r="CS222">
        <f>420.8999904</f>
        <v>420.89999039999998</v>
      </c>
      <c r="CT222">
        <f>436.386389</f>
        <v>436.38638900000001</v>
      </c>
      <c r="CU222">
        <f>265.3793842</f>
        <v>265.3793842</v>
      </c>
      <c r="CV222">
        <f>383.1943058</f>
        <v>383.1943058</v>
      </c>
      <c r="CW222">
        <f>251.2872269</f>
        <v>251.28722690000001</v>
      </c>
      <c r="CX222">
        <f>324.662992</f>
        <v>324.66299199999997</v>
      </c>
      <c r="CY222">
        <f>316.0870227</f>
        <v>316.08702269999998</v>
      </c>
      <c r="CZ222">
        <f>177.7333133</f>
        <v>177.73331329999999</v>
      </c>
      <c r="DA222">
        <f>484.5165381</f>
        <v>484.51653809999999</v>
      </c>
      <c r="DB222">
        <f>469.7345347</f>
        <v>469.73453469999998</v>
      </c>
      <c r="DC222">
        <f>351.1292052</f>
        <v>351.1292052</v>
      </c>
      <c r="DD222">
        <f>624.0287824</f>
        <v>624.02878239999995</v>
      </c>
      <c r="DE222">
        <f>450.4579308</f>
        <v>450.45793079999999</v>
      </c>
      <c r="DF222">
        <f>580.2201343</f>
        <v>580.22013430000004</v>
      </c>
      <c r="DG222">
        <f>444.773997</f>
        <v>444.77399700000001</v>
      </c>
      <c r="DH222">
        <f>314.8113858</f>
        <v>314.81138579999998</v>
      </c>
      <c r="DI222">
        <f>201.265263</f>
        <v>201.265263</v>
      </c>
      <c r="DJ222">
        <f>124.5364888</f>
        <v>124.5364888</v>
      </c>
      <c r="DK222">
        <f>240.6807009</f>
        <v>240.68070090000001</v>
      </c>
      <c r="DL222">
        <f>196.6262621</f>
        <v>196.62626209999999</v>
      </c>
      <c r="DM222">
        <f>285.4434241</f>
        <v>285.44342410000002</v>
      </c>
      <c r="DN222">
        <f>444.5061291</f>
        <v>444.50612910000001</v>
      </c>
      <c r="DO222">
        <f>329.3612106</f>
        <v>329.36121059999999</v>
      </c>
      <c r="DP222" t="str">
        <f>""</f>
        <v/>
      </c>
      <c r="DQ222" t="str">
        <f>""</f>
        <v/>
      </c>
      <c r="DR222" t="str">
        <f>""</f>
        <v/>
      </c>
      <c r="DS222" t="str">
        <f>""</f>
        <v/>
      </c>
      <c r="DT222" t="str">
        <f>""</f>
        <v/>
      </c>
      <c r="DU222" t="str">
        <f>""</f>
        <v/>
      </c>
    </row>
    <row r="223" spans="1:125" x14ac:dyDescent="0.25">
      <c r="A223" t="str">
        <f>"    GAZ PJSC"</f>
        <v xml:space="preserve">    GAZ PJSC</v>
      </c>
      <c r="B223" t="str">
        <f>"GAZA RM Equity"</f>
        <v>GAZA RM Equity</v>
      </c>
      <c r="C223" t="str">
        <f t="shared" si="15"/>
        <v>RR843</v>
      </c>
      <c r="D223" t="str">
        <f t="shared" si="16"/>
        <v>TRAIL_12M_FREE_CASH_FLOW</v>
      </c>
      <c r="E223" t="str">
        <f t="shared" si="17"/>
        <v>Dynamic</v>
      </c>
      <c r="F223" t="str">
        <f ca="1">IF(AND(ISNUMBER($F$727),$B$511=1),$F$727,HLOOKUP(INDIRECT(ADDRESS(2,COLUMN())),OFFSET($BN$2,0,0,ROW()-1,60),ROW()-1,FALSE))</f>
        <v/>
      </c>
      <c r="G223" t="str">
        <f ca="1">IF(AND(ISNUMBER($G$727),$B$511=1),$G$727,HLOOKUP(INDIRECT(ADDRESS(2,COLUMN())),OFFSET($BN$2,0,0,ROW()-1,60),ROW()-1,FALSE))</f>
        <v/>
      </c>
      <c r="H223" t="str">
        <f ca="1">IF(AND(ISNUMBER($H$727),$B$511=1),$H$727,HLOOKUP(INDIRECT(ADDRESS(2,COLUMN())),OFFSET($BN$2,0,0,ROW()-1,60),ROW()-1,FALSE))</f>
        <v/>
      </c>
      <c r="I223" t="str">
        <f ca="1">IF(AND(ISNUMBER($I$727),$B$511=1),$I$727,HLOOKUP(INDIRECT(ADDRESS(2,COLUMN())),OFFSET($BN$2,0,0,ROW()-1,60),ROW()-1,FALSE))</f>
        <v/>
      </c>
      <c r="J223" t="str">
        <f ca="1">IF(AND(ISNUMBER($J$727),$B$511=1),$J$727,HLOOKUP(INDIRECT(ADDRESS(2,COLUMN())),OFFSET($BN$2,0,0,ROW()-1,60),ROW()-1,FALSE))</f>
        <v/>
      </c>
      <c r="K223" t="str">
        <f ca="1">IF(AND(ISNUMBER($K$727),$B$511=1),$K$727,HLOOKUP(INDIRECT(ADDRESS(2,COLUMN())),OFFSET($BN$2,0,0,ROW()-1,60),ROW()-1,FALSE))</f>
        <v/>
      </c>
      <c r="L223" t="str">
        <f ca="1">IF(AND(ISNUMBER($L$727),$B$511=1),$L$727,HLOOKUP(INDIRECT(ADDRESS(2,COLUMN())),OFFSET($BN$2,0,0,ROW()-1,60),ROW()-1,FALSE))</f>
        <v/>
      </c>
      <c r="M223" t="str">
        <f ca="1">IF(AND(ISNUMBER($M$727),$B$511=1),$M$727,HLOOKUP(INDIRECT(ADDRESS(2,COLUMN())),OFFSET($BN$2,0,0,ROW()-1,60),ROW()-1,FALSE))</f>
        <v/>
      </c>
      <c r="N223" t="str">
        <f ca="1">IF(AND(ISNUMBER($N$727),$B$511=1),$N$727,HLOOKUP(INDIRECT(ADDRESS(2,COLUMN())),OFFSET($BN$2,0,0,ROW()-1,60),ROW()-1,FALSE))</f>
        <v/>
      </c>
      <c r="O223" t="str">
        <f ca="1">IF(AND(ISNUMBER($O$727),$B$511=1),$O$727,HLOOKUP(INDIRECT(ADDRESS(2,COLUMN())),OFFSET($BN$2,0,0,ROW()-1,60),ROW()-1,FALSE))</f>
        <v/>
      </c>
      <c r="P223" t="str">
        <f ca="1">IF(AND(ISNUMBER($P$727),$B$511=1),$P$727,HLOOKUP(INDIRECT(ADDRESS(2,COLUMN())),OFFSET($BN$2,0,0,ROW()-1,60),ROW()-1,FALSE))</f>
        <v/>
      </c>
      <c r="Q223" t="str">
        <f ca="1">IF(AND(ISNUMBER($Q$727),$B$511=1),$Q$727,HLOOKUP(INDIRECT(ADDRESS(2,COLUMN())),OFFSET($BN$2,0,0,ROW()-1,60),ROW()-1,FALSE))</f>
        <v/>
      </c>
      <c r="R223" t="str">
        <f ca="1">IF(AND(ISNUMBER($R$727),$B$511=1),$R$727,HLOOKUP(INDIRECT(ADDRESS(2,COLUMN())),OFFSET($BN$2,0,0,ROW()-1,60),ROW()-1,FALSE))</f>
        <v/>
      </c>
      <c r="S223" t="str">
        <f ca="1">IF(AND(ISNUMBER($S$727),$B$511=1),$S$727,HLOOKUP(INDIRECT(ADDRESS(2,COLUMN())),OFFSET($BN$2,0,0,ROW()-1,60),ROW()-1,FALSE))</f>
        <v/>
      </c>
      <c r="T223" t="str">
        <f ca="1">IF(AND(ISNUMBER($T$727),$B$511=1),$T$727,HLOOKUP(INDIRECT(ADDRESS(2,COLUMN())),OFFSET($BN$2,0,0,ROW()-1,60),ROW()-1,FALSE))</f>
        <v/>
      </c>
      <c r="U223" t="str">
        <f ca="1">IF(AND(ISNUMBER($U$727),$B$511=1),$U$727,HLOOKUP(INDIRECT(ADDRESS(2,COLUMN())),OFFSET($BN$2,0,0,ROW()-1,60),ROW()-1,FALSE))</f>
        <v/>
      </c>
      <c r="V223" t="str">
        <f ca="1">IF(AND(ISNUMBER($V$727),$B$511=1),$V$727,HLOOKUP(INDIRECT(ADDRESS(2,COLUMN())),OFFSET($BN$2,0,0,ROW()-1,60),ROW()-1,FALSE))</f>
        <v/>
      </c>
      <c r="W223" t="str">
        <f ca="1">IF(AND(ISNUMBER($W$727),$B$511=1),$W$727,HLOOKUP(INDIRECT(ADDRESS(2,COLUMN())),OFFSET($BN$2,0,0,ROW()-1,60),ROW()-1,FALSE))</f>
        <v/>
      </c>
      <c r="X223" t="str">
        <f ca="1">IF(AND(ISNUMBER($X$727),$B$511=1),$X$727,HLOOKUP(INDIRECT(ADDRESS(2,COLUMN())),OFFSET($BN$2,0,0,ROW()-1,60),ROW()-1,FALSE))</f>
        <v/>
      </c>
      <c r="Y223" t="str">
        <f ca="1">IF(AND(ISNUMBER($Y$727),$B$511=1),$Y$727,HLOOKUP(INDIRECT(ADDRESS(2,COLUMN())),OFFSET($BN$2,0,0,ROW()-1,60),ROW()-1,FALSE))</f>
        <v/>
      </c>
      <c r="Z223" t="str">
        <f ca="1">IF(AND(ISNUMBER($Z$727),$B$511=1),$Z$727,HLOOKUP(INDIRECT(ADDRESS(2,COLUMN())),OFFSET($BN$2,0,0,ROW()-1,60),ROW()-1,FALSE))</f>
        <v/>
      </c>
      <c r="AA223" t="str">
        <f ca="1">IF(AND(ISNUMBER($AA$727),$B$511=1),$AA$727,HLOOKUP(INDIRECT(ADDRESS(2,COLUMN())),OFFSET($BN$2,0,0,ROW()-1,60),ROW()-1,FALSE))</f>
        <v/>
      </c>
      <c r="AB223" t="str">
        <f ca="1">IF(AND(ISNUMBER($AB$727),$B$511=1),$AB$727,HLOOKUP(INDIRECT(ADDRESS(2,COLUMN())),OFFSET($BN$2,0,0,ROW()-1,60),ROW()-1,FALSE))</f>
        <v/>
      </c>
      <c r="AC223" t="str">
        <f ca="1">IF(AND(ISNUMBER($AC$727),$B$511=1),$AC$727,HLOOKUP(INDIRECT(ADDRESS(2,COLUMN())),OFFSET($BN$2,0,0,ROW()-1,60),ROW()-1,FALSE))</f>
        <v/>
      </c>
      <c r="AD223" t="str">
        <f ca="1">IF(AND(ISNUMBER($AD$727),$B$511=1),$AD$727,HLOOKUP(INDIRECT(ADDRESS(2,COLUMN())),OFFSET($BN$2,0,0,ROW()-1,60),ROW()-1,FALSE))</f>
        <v/>
      </c>
      <c r="AE223" t="str">
        <f ca="1">IF(AND(ISNUMBER($AE$727),$B$511=1),$AE$727,HLOOKUP(INDIRECT(ADDRESS(2,COLUMN())),OFFSET($BN$2,0,0,ROW()-1,60),ROW()-1,FALSE))</f>
        <v/>
      </c>
      <c r="AF223" t="str">
        <f ca="1">IF(AND(ISNUMBER($AF$727),$B$511=1),$AF$727,HLOOKUP(INDIRECT(ADDRESS(2,COLUMN())),OFFSET($BN$2,0,0,ROW()-1,60),ROW()-1,FALSE))</f>
        <v/>
      </c>
      <c r="AG223" t="str">
        <f ca="1">IF(AND(ISNUMBER($AG$727),$B$511=1),$AG$727,HLOOKUP(INDIRECT(ADDRESS(2,COLUMN())),OFFSET($BN$2,0,0,ROW()-1,60),ROW()-1,FALSE))</f>
        <v/>
      </c>
      <c r="AH223" t="str">
        <f ca="1">IF(AND(ISNUMBER($AH$727),$B$511=1),$AH$727,HLOOKUP(INDIRECT(ADDRESS(2,COLUMN())),OFFSET($BN$2,0,0,ROW()-1,60),ROW()-1,FALSE))</f>
        <v/>
      </c>
      <c r="AI223" t="str">
        <f ca="1">IF(AND(ISNUMBER($AI$727),$B$511=1),$AI$727,HLOOKUP(INDIRECT(ADDRESS(2,COLUMN())),OFFSET($BN$2,0,0,ROW()-1,60),ROW()-1,FALSE))</f>
        <v/>
      </c>
      <c r="AJ223" t="str">
        <f ca="1">IF(AND(ISNUMBER($AJ$727),$B$511=1),$AJ$727,HLOOKUP(INDIRECT(ADDRESS(2,COLUMN())),OFFSET($BN$2,0,0,ROW()-1,60),ROW()-1,FALSE))</f>
        <v/>
      </c>
      <c r="AK223" t="str">
        <f ca="1">IF(AND(ISNUMBER($AK$727),$B$511=1),$AK$727,HLOOKUP(INDIRECT(ADDRESS(2,COLUMN())),OFFSET($BN$2,0,0,ROW()-1,60),ROW()-1,FALSE))</f>
        <v/>
      </c>
      <c r="AL223" t="str">
        <f ca="1">IF(AND(ISNUMBER($AL$727),$B$511=1),$AL$727,HLOOKUP(INDIRECT(ADDRESS(2,COLUMN())),OFFSET($BN$2,0,0,ROW()-1,60),ROW()-1,FALSE))</f>
        <v/>
      </c>
      <c r="AM223" t="str">
        <f ca="1">IF(AND(ISNUMBER($AM$727),$B$511=1),$AM$727,HLOOKUP(INDIRECT(ADDRESS(2,COLUMN())),OFFSET($BN$2,0,0,ROW()-1,60),ROW()-1,FALSE))</f>
        <v/>
      </c>
      <c r="AN223" t="str">
        <f ca="1">IF(AND(ISNUMBER($AN$727),$B$511=1),$AN$727,HLOOKUP(INDIRECT(ADDRESS(2,COLUMN())),OFFSET($BN$2,0,0,ROW()-1,60),ROW()-1,FALSE))</f>
        <v/>
      </c>
      <c r="AO223" t="str">
        <f ca="1">IF(AND(ISNUMBER($AO$727),$B$511=1),$AO$727,HLOOKUP(INDIRECT(ADDRESS(2,COLUMN())),OFFSET($BN$2,0,0,ROW()-1,60),ROW()-1,FALSE))</f>
        <v/>
      </c>
      <c r="AP223" t="str">
        <f ca="1">IF(AND(ISNUMBER($AP$727),$B$511=1),$AP$727,HLOOKUP(INDIRECT(ADDRESS(2,COLUMN())),OFFSET($BN$2,0,0,ROW()-1,60),ROW()-1,FALSE))</f>
        <v/>
      </c>
      <c r="AQ223" t="str">
        <f ca="1">IF(AND(ISNUMBER($AQ$727),$B$511=1),$AQ$727,HLOOKUP(INDIRECT(ADDRESS(2,COLUMN())),OFFSET($BN$2,0,0,ROW()-1,60),ROW()-1,FALSE))</f>
        <v/>
      </c>
      <c r="AR223" t="str">
        <f ca="1">IF(AND(ISNUMBER($AR$727),$B$511=1),$AR$727,HLOOKUP(INDIRECT(ADDRESS(2,COLUMN())),OFFSET($BN$2,0,0,ROW()-1,60),ROW()-1,FALSE))</f>
        <v/>
      </c>
      <c r="AS223" t="str">
        <f ca="1">IF(AND(ISNUMBER($AS$727),$B$511=1),$AS$727,HLOOKUP(INDIRECT(ADDRESS(2,COLUMN())),OFFSET($BN$2,0,0,ROW()-1,60),ROW()-1,FALSE))</f>
        <v/>
      </c>
      <c r="AT223" t="str">
        <f ca="1">IF(AND(ISNUMBER($AT$727),$B$511=1),$AT$727,HLOOKUP(INDIRECT(ADDRESS(2,COLUMN())),OFFSET($BN$2,0,0,ROW()-1,60),ROW()-1,FALSE))</f>
        <v/>
      </c>
      <c r="AU223" t="str">
        <f ca="1">IF(AND(ISNUMBER($AU$727),$B$511=1),$AU$727,HLOOKUP(INDIRECT(ADDRESS(2,COLUMN())),OFFSET($BN$2,0,0,ROW()-1,60),ROW()-1,FALSE))</f>
        <v/>
      </c>
      <c r="AV223" t="str">
        <f ca="1">IF(AND(ISNUMBER($AV$727),$B$511=1),$AV$727,HLOOKUP(INDIRECT(ADDRESS(2,COLUMN())),OFFSET($BN$2,0,0,ROW()-1,60),ROW()-1,FALSE))</f>
        <v/>
      </c>
      <c r="AW223" t="str">
        <f ca="1">IF(AND(ISNUMBER($AW$727),$B$511=1),$AW$727,HLOOKUP(INDIRECT(ADDRESS(2,COLUMN())),OFFSET($BN$2,0,0,ROW()-1,60),ROW()-1,FALSE))</f>
        <v/>
      </c>
      <c r="AX223" t="str">
        <f ca="1">IF(AND(ISNUMBER($AX$727),$B$511=1),$AX$727,HLOOKUP(INDIRECT(ADDRESS(2,COLUMN())),OFFSET($BN$2,0,0,ROW()-1,60),ROW()-1,FALSE))</f>
        <v/>
      </c>
      <c r="AY223" t="str">
        <f ca="1">IF(AND(ISNUMBER($AY$727),$B$511=1),$AY$727,HLOOKUP(INDIRECT(ADDRESS(2,COLUMN())),OFFSET($BN$2,0,0,ROW()-1,60),ROW()-1,FALSE))</f>
        <v/>
      </c>
      <c r="AZ223" t="str">
        <f ca="1">IF(AND(ISNUMBER($AZ$727),$B$511=1),$AZ$727,HLOOKUP(INDIRECT(ADDRESS(2,COLUMN())),OFFSET($BN$2,0,0,ROW()-1,60),ROW()-1,FALSE))</f>
        <v/>
      </c>
      <c r="BA223" t="str">
        <f ca="1">IF(AND(ISNUMBER($BA$727),$B$511=1),$BA$727,HLOOKUP(INDIRECT(ADDRESS(2,COLUMN())),OFFSET($BN$2,0,0,ROW()-1,60),ROW()-1,FALSE))</f>
        <v/>
      </c>
      <c r="BB223" t="str">
        <f ca="1">IF(AND(ISNUMBER($BB$727),$B$511=1),$BB$727,HLOOKUP(INDIRECT(ADDRESS(2,COLUMN())),OFFSET($BN$2,0,0,ROW()-1,60),ROW()-1,FALSE))</f>
        <v/>
      </c>
      <c r="BC223" t="str">
        <f ca="1">IF(AND(ISNUMBER($BC$727),$B$511=1),$BC$727,HLOOKUP(INDIRECT(ADDRESS(2,COLUMN())),OFFSET($BN$2,0,0,ROW()-1,60),ROW()-1,FALSE))</f>
        <v/>
      </c>
      <c r="BD223" t="str">
        <f ca="1">IF(AND(ISNUMBER($BD$727),$B$511=1),$BD$727,HLOOKUP(INDIRECT(ADDRESS(2,COLUMN())),OFFSET($BN$2,0,0,ROW()-1,60),ROW()-1,FALSE))</f>
        <v/>
      </c>
      <c r="BE223" t="str">
        <f ca="1">IF(AND(ISNUMBER($BE$727),$B$511=1),$BE$727,HLOOKUP(INDIRECT(ADDRESS(2,COLUMN())),OFFSET($BN$2,0,0,ROW()-1,60),ROW()-1,FALSE))</f>
        <v/>
      </c>
      <c r="BF223" t="str">
        <f ca="1">IF(AND(ISNUMBER($BF$727),$B$511=1),$BF$727,HLOOKUP(INDIRECT(ADDRESS(2,COLUMN())),OFFSET($BN$2,0,0,ROW()-1,60),ROW()-1,FALSE))</f>
        <v/>
      </c>
      <c r="BG223" t="str">
        <f ca="1">IF(AND(ISNUMBER($BG$727),$B$511=1),$BG$727,HLOOKUP(INDIRECT(ADDRESS(2,COLUMN())),OFFSET($BN$2,0,0,ROW()-1,60),ROW()-1,FALSE))</f>
        <v/>
      </c>
      <c r="BH223" t="str">
        <f ca="1">IF(AND(ISNUMBER($BH$727),$B$511=1),$BH$727,HLOOKUP(INDIRECT(ADDRESS(2,COLUMN())),OFFSET($BN$2,0,0,ROW()-1,60),ROW()-1,FALSE))</f>
        <v/>
      </c>
      <c r="BI223" t="str">
        <f ca="1">IF(AND(ISNUMBER($BI$727),$B$511=1),$BI$727,HLOOKUP(INDIRECT(ADDRESS(2,COLUMN())),OFFSET($BN$2,0,0,ROW()-1,60),ROW()-1,FALSE))</f>
        <v/>
      </c>
      <c r="BJ223" t="str">
        <f ca="1">IF(AND(ISNUMBER($BJ$727),$B$511=1),$BJ$727,HLOOKUP(INDIRECT(ADDRESS(2,COLUMN())),OFFSET($BN$2,0,0,ROW()-1,60),ROW()-1,FALSE))</f>
        <v/>
      </c>
      <c r="BK223" t="str">
        <f ca="1">IF(AND(ISNUMBER($BK$727),$B$511=1),$BK$727,HLOOKUP(INDIRECT(ADDRESS(2,COLUMN())),OFFSET($BN$2,0,0,ROW()-1,60),ROW()-1,FALSE))</f>
        <v/>
      </c>
      <c r="BL223" t="str">
        <f ca="1">IF(AND(ISNUMBER($BL$727),$B$511=1),$BL$727,HLOOKUP(INDIRECT(ADDRESS(2,COLUMN())),OFFSET($BN$2,0,0,ROW()-1,60),ROW()-1,FALSE))</f>
        <v/>
      </c>
      <c r="BM223" t="str">
        <f ca="1">IF(AND(ISNUMBER($BM$727),$B$511=1),$BM$727,HLOOKUP(INDIRECT(ADDRESS(2,COLUMN())),OFFSET($BN$2,0,0,ROW()-1,60),ROW()-1,FALSE))</f>
        <v/>
      </c>
      <c r="BN223" t="str">
        <f>""</f>
        <v/>
      </c>
      <c r="BO223" t="str">
        <f>""</f>
        <v/>
      </c>
      <c r="BP223" t="str">
        <f>""</f>
        <v/>
      </c>
      <c r="BQ223" t="str">
        <f>""</f>
        <v/>
      </c>
      <c r="BR223" t="str">
        <f>""</f>
        <v/>
      </c>
      <c r="BS223" t="str">
        <f>""</f>
        <v/>
      </c>
      <c r="BT223" t="str">
        <f>""</f>
        <v/>
      </c>
      <c r="BU223" t="str">
        <f>""</f>
        <v/>
      </c>
      <c r="BV223" t="str">
        <f>""</f>
        <v/>
      </c>
      <c r="BW223" t="str">
        <f>""</f>
        <v/>
      </c>
      <c r="BX223" t="str">
        <f>""</f>
        <v/>
      </c>
      <c r="BY223" t="str">
        <f>""</f>
        <v/>
      </c>
      <c r="BZ223" t="str">
        <f>""</f>
        <v/>
      </c>
      <c r="CA223" t="str">
        <f>""</f>
        <v/>
      </c>
      <c r="CB223" t="str">
        <f>""</f>
        <v/>
      </c>
      <c r="CC223" t="str">
        <f>""</f>
        <v/>
      </c>
      <c r="CD223" t="str">
        <f>""</f>
        <v/>
      </c>
      <c r="CE223" t="str">
        <f>""</f>
        <v/>
      </c>
      <c r="CF223" t="str">
        <f>""</f>
        <v/>
      </c>
      <c r="CG223" t="str">
        <f>""</f>
        <v/>
      </c>
      <c r="CH223" t="str">
        <f>""</f>
        <v/>
      </c>
      <c r="CI223" t="str">
        <f>""</f>
        <v/>
      </c>
      <c r="CJ223" t="str">
        <f>""</f>
        <v/>
      </c>
      <c r="CK223" t="str">
        <f>""</f>
        <v/>
      </c>
      <c r="CL223" t="str">
        <f>""</f>
        <v/>
      </c>
      <c r="CM223" t="str">
        <f>""</f>
        <v/>
      </c>
      <c r="CN223" t="str">
        <f>""</f>
        <v/>
      </c>
      <c r="CO223" t="str">
        <f>""</f>
        <v/>
      </c>
      <c r="CP223" t="str">
        <f>""</f>
        <v/>
      </c>
      <c r="CQ223" t="str">
        <f>""</f>
        <v/>
      </c>
      <c r="CR223" t="str">
        <f>""</f>
        <v/>
      </c>
      <c r="CS223" t="str">
        <f>""</f>
        <v/>
      </c>
      <c r="CT223" t="str">
        <f>""</f>
        <v/>
      </c>
      <c r="CU223" t="str">
        <f>""</f>
        <v/>
      </c>
      <c r="CV223" t="str">
        <f>""</f>
        <v/>
      </c>
      <c r="CW223" t="str">
        <f>""</f>
        <v/>
      </c>
      <c r="CX223" t="str">
        <f>""</f>
        <v/>
      </c>
      <c r="CY223" t="str">
        <f>""</f>
        <v/>
      </c>
      <c r="CZ223" t="str">
        <f>""</f>
        <v/>
      </c>
      <c r="DA223" t="str">
        <f>""</f>
        <v/>
      </c>
      <c r="DB223" t="str">
        <f>""</f>
        <v/>
      </c>
      <c r="DC223" t="str">
        <f>""</f>
        <v/>
      </c>
      <c r="DD223" t="str">
        <f>""</f>
        <v/>
      </c>
      <c r="DE223" t="str">
        <f>""</f>
        <v/>
      </c>
      <c r="DF223" t="str">
        <f>""</f>
        <v/>
      </c>
      <c r="DG223" t="str">
        <f>""</f>
        <v/>
      </c>
      <c r="DH223" t="str">
        <f>""</f>
        <v/>
      </c>
      <c r="DI223" t="str">
        <f>""</f>
        <v/>
      </c>
      <c r="DJ223" t="str">
        <f>""</f>
        <v/>
      </c>
      <c r="DK223" t="str">
        <f>""</f>
        <v/>
      </c>
      <c r="DL223" t="str">
        <f>""</f>
        <v/>
      </c>
      <c r="DM223" t="str">
        <f>""</f>
        <v/>
      </c>
      <c r="DN223" t="str">
        <f>""</f>
        <v/>
      </c>
      <c r="DO223" t="str">
        <f>""</f>
        <v/>
      </c>
      <c r="DP223" t="str">
        <f>""</f>
        <v/>
      </c>
      <c r="DQ223" t="str">
        <f>""</f>
        <v/>
      </c>
      <c r="DR223" t="str">
        <f>""</f>
        <v/>
      </c>
      <c r="DS223" t="str">
        <f>""</f>
        <v/>
      </c>
      <c r="DT223" t="str">
        <f>""</f>
        <v/>
      </c>
      <c r="DU223" t="str">
        <f>""</f>
        <v/>
      </c>
    </row>
    <row r="224" spans="1:125" x14ac:dyDescent="0.25">
      <c r="A224" t="str">
        <f>"    Geely Automobile Holdings Ltd"</f>
        <v xml:space="preserve">    Geely Automobile Holdings Ltd</v>
      </c>
      <c r="B224" t="str">
        <f>"175 HK Equity"</f>
        <v>175 HK Equity</v>
      </c>
      <c r="C224" t="str">
        <f t="shared" si="15"/>
        <v>RR843</v>
      </c>
      <c r="D224" t="str">
        <f t="shared" si="16"/>
        <v>TRAIL_12M_FREE_CASH_FLOW</v>
      </c>
      <c r="E224" t="str">
        <f t="shared" si="17"/>
        <v>Dynamic</v>
      </c>
      <c r="F224" t="str">
        <f ca="1">IF(AND(ISNUMBER($F$728),$B$511=1),$F$728,HLOOKUP(INDIRECT(ADDRESS(2,COLUMN())),OFFSET($BN$2,0,0,ROW()-1,60),ROW()-1,FALSE))</f>
        <v/>
      </c>
      <c r="G224" t="str">
        <f ca="1">IF(AND(ISNUMBER($G$728),$B$511=1),$G$728,HLOOKUP(INDIRECT(ADDRESS(2,COLUMN())),OFFSET($BN$2,0,0,ROW()-1,60),ROW()-1,FALSE))</f>
        <v/>
      </c>
      <c r="H224" t="str">
        <f ca="1">IF(AND(ISNUMBER($H$728),$B$511=1),$H$728,HLOOKUP(INDIRECT(ADDRESS(2,COLUMN())),OFFSET($BN$2,0,0,ROW()-1,60),ROW()-1,FALSE))</f>
        <v/>
      </c>
      <c r="I224" t="str">
        <f ca="1">IF(AND(ISNUMBER($I$728),$B$511=1),$I$728,HLOOKUP(INDIRECT(ADDRESS(2,COLUMN())),OFFSET($BN$2,0,0,ROW()-1,60),ROW()-1,FALSE))</f>
        <v/>
      </c>
      <c r="J224" t="str">
        <f ca="1">IF(AND(ISNUMBER($J$728),$B$511=1),$J$728,HLOOKUP(INDIRECT(ADDRESS(2,COLUMN())),OFFSET($BN$2,0,0,ROW()-1,60),ROW()-1,FALSE))</f>
        <v/>
      </c>
      <c r="K224" t="str">
        <f ca="1">IF(AND(ISNUMBER($K$728),$B$511=1),$K$728,HLOOKUP(INDIRECT(ADDRESS(2,COLUMN())),OFFSET($BN$2,0,0,ROW()-1,60),ROW()-1,FALSE))</f>
        <v/>
      </c>
      <c r="L224" t="str">
        <f ca="1">IF(AND(ISNUMBER($L$728),$B$511=1),$L$728,HLOOKUP(INDIRECT(ADDRESS(2,COLUMN())),OFFSET($BN$2,0,0,ROW()-1,60),ROW()-1,FALSE))</f>
        <v/>
      </c>
      <c r="M224" t="str">
        <f ca="1">IF(AND(ISNUMBER($M$728),$B$511=1),$M$728,HLOOKUP(INDIRECT(ADDRESS(2,COLUMN())),OFFSET($BN$2,0,0,ROW()-1,60),ROW()-1,FALSE))</f>
        <v/>
      </c>
      <c r="N224" t="str">
        <f ca="1">IF(AND(ISNUMBER($N$728),$B$511=1),$N$728,HLOOKUP(INDIRECT(ADDRESS(2,COLUMN())),OFFSET($BN$2,0,0,ROW()-1,60),ROW()-1,FALSE))</f>
        <v/>
      </c>
      <c r="O224" t="str">
        <f ca="1">IF(AND(ISNUMBER($O$728),$B$511=1),$O$728,HLOOKUP(INDIRECT(ADDRESS(2,COLUMN())),OFFSET($BN$2,0,0,ROW()-1,60),ROW()-1,FALSE))</f>
        <v/>
      </c>
      <c r="P224" t="str">
        <f ca="1">IF(AND(ISNUMBER($P$728),$B$511=1),$P$728,HLOOKUP(INDIRECT(ADDRESS(2,COLUMN())),OFFSET($BN$2,0,0,ROW()-1,60),ROW()-1,FALSE))</f>
        <v/>
      </c>
      <c r="Q224" t="str">
        <f ca="1">IF(AND(ISNUMBER($Q$728),$B$511=1),$Q$728,HLOOKUP(INDIRECT(ADDRESS(2,COLUMN())),OFFSET($BN$2,0,0,ROW()-1,60),ROW()-1,FALSE))</f>
        <v/>
      </c>
      <c r="R224" t="str">
        <f ca="1">IF(AND(ISNUMBER($R$728),$B$511=1),$R$728,HLOOKUP(INDIRECT(ADDRESS(2,COLUMN())),OFFSET($BN$2,0,0,ROW()-1,60),ROW()-1,FALSE))</f>
        <v/>
      </c>
      <c r="S224" t="str">
        <f ca="1">IF(AND(ISNUMBER($S$728),$B$511=1),$S$728,HLOOKUP(INDIRECT(ADDRESS(2,COLUMN())),OFFSET($BN$2,0,0,ROW()-1,60),ROW()-1,FALSE))</f>
        <v/>
      </c>
      <c r="T224" t="str">
        <f ca="1">IF(AND(ISNUMBER($T$728),$B$511=1),$T$728,HLOOKUP(INDIRECT(ADDRESS(2,COLUMN())),OFFSET($BN$2,0,0,ROW()-1,60),ROW()-1,FALSE))</f>
        <v/>
      </c>
      <c r="U224" t="str">
        <f ca="1">IF(AND(ISNUMBER($U$728),$B$511=1),$U$728,HLOOKUP(INDIRECT(ADDRESS(2,COLUMN())),OFFSET($BN$2,0,0,ROW()-1,60),ROW()-1,FALSE))</f>
        <v/>
      </c>
      <c r="V224" t="str">
        <f ca="1">IF(AND(ISNUMBER($V$728),$B$511=1),$V$728,HLOOKUP(INDIRECT(ADDRESS(2,COLUMN())),OFFSET($BN$2,0,0,ROW()-1,60),ROW()-1,FALSE))</f>
        <v/>
      </c>
      <c r="W224" t="str">
        <f ca="1">IF(AND(ISNUMBER($W$728),$B$511=1),$W$728,HLOOKUP(INDIRECT(ADDRESS(2,COLUMN())),OFFSET($BN$2,0,0,ROW()-1,60),ROW()-1,FALSE))</f>
        <v/>
      </c>
      <c r="X224" t="str">
        <f ca="1">IF(AND(ISNUMBER($X$728),$B$511=1),$X$728,HLOOKUP(INDIRECT(ADDRESS(2,COLUMN())),OFFSET($BN$2,0,0,ROW()-1,60),ROW()-1,FALSE))</f>
        <v/>
      </c>
      <c r="Y224" t="str">
        <f ca="1">IF(AND(ISNUMBER($Y$728),$B$511=1),$Y$728,HLOOKUP(INDIRECT(ADDRESS(2,COLUMN())),OFFSET($BN$2,0,0,ROW()-1,60),ROW()-1,FALSE))</f>
        <v/>
      </c>
      <c r="Z224" t="str">
        <f ca="1">IF(AND(ISNUMBER($Z$728),$B$511=1),$Z$728,HLOOKUP(INDIRECT(ADDRESS(2,COLUMN())),OFFSET($BN$2,0,0,ROW()-1,60),ROW()-1,FALSE))</f>
        <v/>
      </c>
      <c r="AA224" t="str">
        <f ca="1">IF(AND(ISNUMBER($AA$728),$B$511=1),$AA$728,HLOOKUP(INDIRECT(ADDRESS(2,COLUMN())),OFFSET($BN$2,0,0,ROW()-1,60),ROW()-1,FALSE))</f>
        <v/>
      </c>
      <c r="AB224" t="str">
        <f ca="1">IF(AND(ISNUMBER($AB$728),$B$511=1),$AB$728,HLOOKUP(INDIRECT(ADDRESS(2,COLUMN())),OFFSET($BN$2,0,0,ROW()-1,60),ROW()-1,FALSE))</f>
        <v/>
      </c>
      <c r="AC224" t="str">
        <f ca="1">IF(AND(ISNUMBER($AC$728),$B$511=1),$AC$728,HLOOKUP(INDIRECT(ADDRESS(2,COLUMN())),OFFSET($BN$2,0,0,ROW()-1,60),ROW()-1,FALSE))</f>
        <v/>
      </c>
      <c r="AD224" t="str">
        <f ca="1">IF(AND(ISNUMBER($AD$728),$B$511=1),$AD$728,HLOOKUP(INDIRECT(ADDRESS(2,COLUMN())),OFFSET($BN$2,0,0,ROW()-1,60),ROW()-1,FALSE))</f>
        <v/>
      </c>
      <c r="AE224" t="str">
        <f ca="1">IF(AND(ISNUMBER($AE$728),$B$511=1),$AE$728,HLOOKUP(INDIRECT(ADDRESS(2,COLUMN())),OFFSET($BN$2,0,0,ROW()-1,60),ROW()-1,FALSE))</f>
        <v/>
      </c>
      <c r="AF224" t="str">
        <f ca="1">IF(AND(ISNUMBER($AF$728),$B$511=1),$AF$728,HLOOKUP(INDIRECT(ADDRESS(2,COLUMN())),OFFSET($BN$2,0,0,ROW()-1,60),ROW()-1,FALSE))</f>
        <v/>
      </c>
      <c r="AG224" t="str">
        <f ca="1">IF(AND(ISNUMBER($AG$728),$B$511=1),$AG$728,HLOOKUP(INDIRECT(ADDRESS(2,COLUMN())),OFFSET($BN$2,0,0,ROW()-1,60),ROW()-1,FALSE))</f>
        <v/>
      </c>
      <c r="AH224" t="str">
        <f ca="1">IF(AND(ISNUMBER($AH$728),$B$511=1),$AH$728,HLOOKUP(INDIRECT(ADDRESS(2,COLUMN())),OFFSET($BN$2,0,0,ROW()-1,60),ROW()-1,FALSE))</f>
        <v/>
      </c>
      <c r="AI224" t="str">
        <f ca="1">IF(AND(ISNUMBER($AI$728),$B$511=1),$AI$728,HLOOKUP(INDIRECT(ADDRESS(2,COLUMN())),OFFSET($BN$2,0,0,ROW()-1,60),ROW()-1,FALSE))</f>
        <v/>
      </c>
      <c r="AJ224" t="str">
        <f ca="1">IF(AND(ISNUMBER($AJ$728),$B$511=1),$AJ$728,HLOOKUP(INDIRECT(ADDRESS(2,COLUMN())),OFFSET($BN$2,0,0,ROW()-1,60),ROW()-1,FALSE))</f>
        <v/>
      </c>
      <c r="AK224" t="str">
        <f ca="1">IF(AND(ISNUMBER($AK$728),$B$511=1),$AK$728,HLOOKUP(INDIRECT(ADDRESS(2,COLUMN())),OFFSET($BN$2,0,0,ROW()-1,60),ROW()-1,FALSE))</f>
        <v/>
      </c>
      <c r="AL224" t="str">
        <f ca="1">IF(AND(ISNUMBER($AL$728),$B$511=1),$AL$728,HLOOKUP(INDIRECT(ADDRESS(2,COLUMN())),OFFSET($BN$2,0,0,ROW()-1,60),ROW()-1,FALSE))</f>
        <v/>
      </c>
      <c r="AM224" t="str">
        <f ca="1">IF(AND(ISNUMBER($AM$728),$B$511=1),$AM$728,HLOOKUP(INDIRECT(ADDRESS(2,COLUMN())),OFFSET($BN$2,0,0,ROW()-1,60),ROW()-1,FALSE))</f>
        <v/>
      </c>
      <c r="AN224" t="str">
        <f ca="1">IF(AND(ISNUMBER($AN$728),$B$511=1),$AN$728,HLOOKUP(INDIRECT(ADDRESS(2,COLUMN())),OFFSET($BN$2,0,0,ROW()-1,60),ROW()-1,FALSE))</f>
        <v/>
      </c>
      <c r="AO224" t="str">
        <f ca="1">IF(AND(ISNUMBER($AO$728),$B$511=1),$AO$728,HLOOKUP(INDIRECT(ADDRESS(2,COLUMN())),OFFSET($BN$2,0,0,ROW()-1,60),ROW()-1,FALSE))</f>
        <v/>
      </c>
      <c r="AP224" t="str">
        <f ca="1">IF(AND(ISNUMBER($AP$728),$B$511=1),$AP$728,HLOOKUP(INDIRECT(ADDRESS(2,COLUMN())),OFFSET($BN$2,0,0,ROW()-1,60),ROW()-1,FALSE))</f>
        <v/>
      </c>
      <c r="AQ224" t="str">
        <f ca="1">IF(AND(ISNUMBER($AQ$728),$B$511=1),$AQ$728,HLOOKUP(INDIRECT(ADDRESS(2,COLUMN())),OFFSET($BN$2,0,0,ROW()-1,60),ROW()-1,FALSE))</f>
        <v/>
      </c>
      <c r="AR224" t="str">
        <f ca="1">IF(AND(ISNUMBER($AR$728),$B$511=1),$AR$728,HLOOKUP(INDIRECT(ADDRESS(2,COLUMN())),OFFSET($BN$2,0,0,ROW()-1,60),ROW()-1,FALSE))</f>
        <v/>
      </c>
      <c r="AS224" t="str">
        <f ca="1">IF(AND(ISNUMBER($AS$728),$B$511=1),$AS$728,HLOOKUP(INDIRECT(ADDRESS(2,COLUMN())),OFFSET($BN$2,0,0,ROW()-1,60),ROW()-1,FALSE))</f>
        <v/>
      </c>
      <c r="AT224" t="str">
        <f ca="1">IF(AND(ISNUMBER($AT$728),$B$511=1),$AT$728,HLOOKUP(INDIRECT(ADDRESS(2,COLUMN())),OFFSET($BN$2,0,0,ROW()-1,60),ROW()-1,FALSE))</f>
        <v/>
      </c>
      <c r="AU224" t="str">
        <f ca="1">IF(AND(ISNUMBER($AU$728),$B$511=1),$AU$728,HLOOKUP(INDIRECT(ADDRESS(2,COLUMN())),OFFSET($BN$2,0,0,ROW()-1,60),ROW()-1,FALSE))</f>
        <v/>
      </c>
      <c r="AV224" t="str">
        <f ca="1">IF(AND(ISNUMBER($AV$728),$B$511=1),$AV$728,HLOOKUP(INDIRECT(ADDRESS(2,COLUMN())),OFFSET($BN$2,0,0,ROW()-1,60),ROW()-1,FALSE))</f>
        <v/>
      </c>
      <c r="AW224" t="str">
        <f ca="1">IF(AND(ISNUMBER($AW$728),$B$511=1),$AW$728,HLOOKUP(INDIRECT(ADDRESS(2,COLUMN())),OFFSET($BN$2,0,0,ROW()-1,60),ROW()-1,FALSE))</f>
        <v/>
      </c>
      <c r="AX224" t="str">
        <f ca="1">IF(AND(ISNUMBER($AX$728),$B$511=1),$AX$728,HLOOKUP(INDIRECT(ADDRESS(2,COLUMN())),OFFSET($BN$2,0,0,ROW()-1,60),ROW()-1,FALSE))</f>
        <v/>
      </c>
      <c r="AY224" t="str">
        <f ca="1">IF(AND(ISNUMBER($AY$728),$B$511=1),$AY$728,HLOOKUP(INDIRECT(ADDRESS(2,COLUMN())),OFFSET($BN$2,0,0,ROW()-1,60),ROW()-1,FALSE))</f>
        <v/>
      </c>
      <c r="AZ224" t="str">
        <f ca="1">IF(AND(ISNUMBER($AZ$728),$B$511=1),$AZ$728,HLOOKUP(INDIRECT(ADDRESS(2,COLUMN())),OFFSET($BN$2,0,0,ROW()-1,60),ROW()-1,FALSE))</f>
        <v/>
      </c>
      <c r="BA224" t="str">
        <f ca="1">IF(AND(ISNUMBER($BA$728),$B$511=1),$BA$728,HLOOKUP(INDIRECT(ADDRESS(2,COLUMN())),OFFSET($BN$2,0,0,ROW()-1,60),ROW()-1,FALSE))</f>
        <v/>
      </c>
      <c r="BB224" t="str">
        <f ca="1">IF(AND(ISNUMBER($BB$728),$B$511=1),$BB$728,HLOOKUP(INDIRECT(ADDRESS(2,COLUMN())),OFFSET($BN$2,0,0,ROW()-1,60),ROW()-1,FALSE))</f>
        <v/>
      </c>
      <c r="BC224" t="str">
        <f ca="1">IF(AND(ISNUMBER($BC$728),$B$511=1),$BC$728,HLOOKUP(INDIRECT(ADDRESS(2,COLUMN())),OFFSET($BN$2,0,0,ROW()-1,60),ROW()-1,FALSE))</f>
        <v/>
      </c>
      <c r="BD224" t="str">
        <f ca="1">IF(AND(ISNUMBER($BD$728),$B$511=1),$BD$728,HLOOKUP(INDIRECT(ADDRESS(2,COLUMN())),OFFSET($BN$2,0,0,ROW()-1,60),ROW()-1,FALSE))</f>
        <v/>
      </c>
      <c r="BE224" t="str">
        <f ca="1">IF(AND(ISNUMBER($BE$728),$B$511=1),$BE$728,HLOOKUP(INDIRECT(ADDRESS(2,COLUMN())),OFFSET($BN$2,0,0,ROW()-1,60),ROW()-1,FALSE))</f>
        <v/>
      </c>
      <c r="BF224" t="str">
        <f ca="1">IF(AND(ISNUMBER($BF$728),$B$511=1),$BF$728,HLOOKUP(INDIRECT(ADDRESS(2,COLUMN())),OFFSET($BN$2,0,0,ROW()-1,60),ROW()-1,FALSE))</f>
        <v/>
      </c>
      <c r="BG224" t="str">
        <f ca="1">IF(AND(ISNUMBER($BG$728),$B$511=1),$BG$728,HLOOKUP(INDIRECT(ADDRESS(2,COLUMN())),OFFSET($BN$2,0,0,ROW()-1,60),ROW()-1,FALSE))</f>
        <v/>
      </c>
      <c r="BH224" t="str">
        <f ca="1">IF(AND(ISNUMBER($BH$728),$B$511=1),$BH$728,HLOOKUP(INDIRECT(ADDRESS(2,COLUMN())),OFFSET($BN$2,0,0,ROW()-1,60),ROW()-1,FALSE))</f>
        <v/>
      </c>
      <c r="BI224" t="str">
        <f ca="1">IF(AND(ISNUMBER($BI$728),$B$511=1),$BI$728,HLOOKUP(INDIRECT(ADDRESS(2,COLUMN())),OFFSET($BN$2,0,0,ROW()-1,60),ROW()-1,FALSE))</f>
        <v/>
      </c>
      <c r="BJ224" t="str">
        <f ca="1">IF(AND(ISNUMBER($BJ$728),$B$511=1),$BJ$728,HLOOKUP(INDIRECT(ADDRESS(2,COLUMN())),OFFSET($BN$2,0,0,ROW()-1,60),ROW()-1,FALSE))</f>
        <v/>
      </c>
      <c r="BK224" t="str">
        <f ca="1">IF(AND(ISNUMBER($BK$728),$B$511=1),$BK$728,HLOOKUP(INDIRECT(ADDRESS(2,COLUMN())),OFFSET($BN$2,0,0,ROW()-1,60),ROW()-1,FALSE))</f>
        <v/>
      </c>
      <c r="BL224" t="str">
        <f ca="1">IF(AND(ISNUMBER($BL$728),$B$511=1),$BL$728,HLOOKUP(INDIRECT(ADDRESS(2,COLUMN())),OFFSET($BN$2,0,0,ROW()-1,60),ROW()-1,FALSE))</f>
        <v/>
      </c>
      <c r="BM224" t="str">
        <f ca="1">IF(AND(ISNUMBER($BM$728),$B$511=1),$BM$728,HLOOKUP(INDIRECT(ADDRESS(2,COLUMN())),OFFSET($BN$2,0,0,ROW()-1,60),ROW()-1,FALSE))</f>
        <v/>
      </c>
      <c r="BN224" t="str">
        <f>""</f>
        <v/>
      </c>
      <c r="BO224" t="str">
        <f>""</f>
        <v/>
      </c>
      <c r="BP224" t="str">
        <f>""</f>
        <v/>
      </c>
      <c r="BQ224" t="str">
        <f>""</f>
        <v/>
      </c>
      <c r="BR224" t="str">
        <f>""</f>
        <v/>
      </c>
      <c r="BS224" t="str">
        <f>""</f>
        <v/>
      </c>
      <c r="BT224" t="str">
        <f>""</f>
        <v/>
      </c>
      <c r="BU224" t="str">
        <f>""</f>
        <v/>
      </c>
      <c r="BV224" t="str">
        <f>""</f>
        <v/>
      </c>
      <c r="BW224" t="str">
        <f>""</f>
        <v/>
      </c>
      <c r="BX224" t="str">
        <f>""</f>
        <v/>
      </c>
      <c r="BY224" t="str">
        <f>""</f>
        <v/>
      </c>
      <c r="BZ224" t="str">
        <f>""</f>
        <v/>
      </c>
      <c r="CA224" t="str">
        <f>""</f>
        <v/>
      </c>
      <c r="CB224" t="str">
        <f>""</f>
        <v/>
      </c>
      <c r="CC224" t="str">
        <f>""</f>
        <v/>
      </c>
      <c r="CD224" t="str">
        <f>""</f>
        <v/>
      </c>
      <c r="CE224" t="str">
        <f>""</f>
        <v/>
      </c>
      <c r="CF224" t="str">
        <f>""</f>
        <v/>
      </c>
      <c r="CG224" t="str">
        <f>""</f>
        <v/>
      </c>
      <c r="CH224" t="str">
        <f>""</f>
        <v/>
      </c>
      <c r="CI224" t="str">
        <f>""</f>
        <v/>
      </c>
      <c r="CJ224" t="str">
        <f>""</f>
        <v/>
      </c>
      <c r="CK224" t="str">
        <f>""</f>
        <v/>
      </c>
      <c r="CL224" t="str">
        <f>""</f>
        <v/>
      </c>
      <c r="CM224" t="str">
        <f>""</f>
        <v/>
      </c>
      <c r="CN224" t="str">
        <f>""</f>
        <v/>
      </c>
      <c r="CO224" t="str">
        <f>""</f>
        <v/>
      </c>
      <c r="CP224" t="str">
        <f>""</f>
        <v/>
      </c>
      <c r="CQ224" t="str">
        <f>""</f>
        <v/>
      </c>
      <c r="CR224" t="str">
        <f>""</f>
        <v/>
      </c>
      <c r="CS224" t="str">
        <f>""</f>
        <v/>
      </c>
      <c r="CT224" t="str">
        <f>""</f>
        <v/>
      </c>
      <c r="CU224" t="str">
        <f>""</f>
        <v/>
      </c>
      <c r="CV224" t="str">
        <f>""</f>
        <v/>
      </c>
      <c r="CW224" t="str">
        <f>""</f>
        <v/>
      </c>
      <c r="CX224" t="str">
        <f>""</f>
        <v/>
      </c>
      <c r="CY224" t="str">
        <f>""</f>
        <v/>
      </c>
      <c r="CZ224" t="str">
        <f>""</f>
        <v/>
      </c>
      <c r="DA224" t="str">
        <f>""</f>
        <v/>
      </c>
      <c r="DB224" t="str">
        <f>""</f>
        <v/>
      </c>
      <c r="DC224" t="str">
        <f>""</f>
        <v/>
      </c>
      <c r="DD224" t="str">
        <f>""</f>
        <v/>
      </c>
      <c r="DE224" t="str">
        <f>""</f>
        <v/>
      </c>
      <c r="DF224" t="str">
        <f>""</f>
        <v/>
      </c>
      <c r="DG224" t="str">
        <f>""</f>
        <v/>
      </c>
      <c r="DH224" t="str">
        <f>""</f>
        <v/>
      </c>
      <c r="DI224" t="str">
        <f>""</f>
        <v/>
      </c>
      <c r="DJ224" t="str">
        <f>""</f>
        <v/>
      </c>
      <c r="DK224" t="str">
        <f>""</f>
        <v/>
      </c>
      <c r="DL224" t="str">
        <f>""</f>
        <v/>
      </c>
      <c r="DM224" t="str">
        <f>""</f>
        <v/>
      </c>
      <c r="DN224" t="str">
        <f>""</f>
        <v/>
      </c>
      <c r="DO224" t="str">
        <f>""</f>
        <v/>
      </c>
      <c r="DP224" t="str">
        <f>""</f>
        <v/>
      </c>
      <c r="DQ224" t="str">
        <f>""</f>
        <v/>
      </c>
      <c r="DR224" t="str">
        <f>""</f>
        <v/>
      </c>
      <c r="DS224" t="str">
        <f>""</f>
        <v/>
      </c>
      <c r="DT224" t="str">
        <f>""</f>
        <v/>
      </c>
      <c r="DU224" t="str">
        <f>""</f>
        <v/>
      </c>
    </row>
    <row r="225" spans="1:125" x14ac:dyDescent="0.25">
      <c r="A225" t="str">
        <f>"    General Motors Co"</f>
        <v xml:space="preserve">    General Motors Co</v>
      </c>
      <c r="B225" t="str">
        <f>"GM US Equity"</f>
        <v>GM US Equity</v>
      </c>
      <c r="C225" t="str">
        <f t="shared" si="15"/>
        <v>RR843</v>
      </c>
      <c r="D225" t="str">
        <f t="shared" si="16"/>
        <v>TRAIL_12M_FREE_CASH_FLOW</v>
      </c>
      <c r="E225" t="str">
        <f t="shared" si="17"/>
        <v>Dynamic</v>
      </c>
      <c r="F225" t="str">
        <f ca="1">IF(AND(ISNUMBER($F$729),$B$511=1),$F$729,HLOOKUP(INDIRECT(ADDRESS(2,COLUMN())),OFFSET($BN$2,0,0,ROW()-1,60),ROW()-1,FALSE))</f>
        <v/>
      </c>
      <c r="G225">
        <f ca="1">IF(AND(ISNUMBER($G$729),$B$511=1),$G$729,HLOOKUP(INDIRECT(ADDRESS(2,COLUMN())),OFFSET($BN$2,0,0,ROW()-1,60),ROW()-1,FALSE))</f>
        <v>6495</v>
      </c>
      <c r="H225">
        <f ca="1">IF(AND(ISNUMBER($H$729),$B$511=1),$H$729,HLOOKUP(INDIRECT(ADDRESS(2,COLUMN())),OFFSET($BN$2,0,0,ROW()-1,60),ROW()-1,FALSE))</f>
        <v>7452</v>
      </c>
      <c r="I225">
        <f ca="1">IF(AND(ISNUMBER($I$729),$B$511=1),$I$729,HLOOKUP(INDIRECT(ADDRESS(2,COLUMN())),OFFSET($BN$2,0,0,ROW()-1,60),ROW()-1,FALSE))</f>
        <v>6704</v>
      </c>
      <c r="J225">
        <f ca="1">IF(AND(ISNUMBER($J$729),$B$511=1),$J$729,HLOOKUP(INDIRECT(ADDRESS(2,COLUMN())),OFFSET($BN$2,0,0,ROW()-1,60),ROW()-1,FALSE))</f>
        <v>6740</v>
      </c>
      <c r="K225">
        <f ca="1">IF(AND(ISNUMBER($K$729),$B$511=1),$K$729,HLOOKUP(INDIRECT(ADDRESS(2,COLUMN())),OFFSET($BN$2,0,0,ROW()-1,60),ROW()-1,FALSE))</f>
        <v>8875</v>
      </c>
      <c r="L225">
        <f ca="1">IF(AND(ISNUMBER($L$729),$B$511=1),$L$729,HLOOKUP(INDIRECT(ADDRESS(2,COLUMN())),OFFSET($BN$2,0,0,ROW()-1,60),ROW()-1,FALSE))</f>
        <v>5823</v>
      </c>
      <c r="M225">
        <f ca="1">IF(AND(ISNUMBER($M$729),$B$511=1),$M$729,HLOOKUP(INDIRECT(ADDRESS(2,COLUMN())),OFFSET($BN$2,0,0,ROW()-1,60),ROW()-1,FALSE))</f>
        <v>9553</v>
      </c>
      <c r="N225">
        <f ca="1">IF(AND(ISNUMBER($N$729),$B$511=1),$N$729,HLOOKUP(INDIRECT(ADDRESS(2,COLUMN())),OFFSET($BN$2,0,0,ROW()-1,60),ROW()-1,FALSE))</f>
        <v>10927</v>
      </c>
      <c r="O225">
        <f ca="1">IF(AND(ISNUMBER($O$729),$B$511=1),$O$729,HLOOKUP(INDIRECT(ADDRESS(2,COLUMN())),OFFSET($BN$2,0,0,ROW()-1,60),ROW()-1,FALSE))</f>
        <v>8223</v>
      </c>
      <c r="P225">
        <f ca="1">IF(AND(ISNUMBER($P$729),$B$511=1),$P$729,HLOOKUP(INDIRECT(ADDRESS(2,COLUMN())),OFFSET($BN$2,0,0,ROW()-1,60),ROW()-1,FALSE))</f>
        <v>6159</v>
      </c>
      <c r="Q225">
        <f ca="1">IF(AND(ISNUMBER($Q$729),$B$511=1),$Q$729,HLOOKUP(INDIRECT(ADDRESS(2,COLUMN())),OFFSET($BN$2,0,0,ROW()-1,60),ROW()-1,FALSE))</f>
        <v>3188</v>
      </c>
      <c r="R225">
        <f ca="1">IF(AND(ISNUMBER($R$729),$B$511=1),$R$729,HLOOKUP(INDIRECT(ADDRESS(2,COLUMN())),OFFSET($BN$2,0,0,ROW()-1,60),ROW()-1,FALSE))</f>
        <v>2733</v>
      </c>
      <c r="S225">
        <f ca="1">IF(AND(ISNUMBER($S$729),$B$511=1),$S$729,HLOOKUP(INDIRECT(ADDRESS(2,COLUMN())),OFFSET($BN$2,0,0,ROW()-1,60),ROW()-1,FALSE))</f>
        <v>3817</v>
      </c>
      <c r="T225">
        <f ca="1">IF(AND(ISNUMBER($T$729),$B$511=1),$T$729,HLOOKUP(INDIRECT(ADDRESS(2,COLUMN())),OFFSET($BN$2,0,0,ROW()-1,60),ROW()-1,FALSE))</f>
        <v>5310</v>
      </c>
      <c r="U225">
        <f ca="1">IF(AND(ISNUMBER($U$729),$B$511=1),$U$729,HLOOKUP(INDIRECT(ADDRESS(2,COLUMN())),OFFSET($BN$2,0,0,ROW()-1,60),ROW()-1,FALSE))</f>
        <v>3261</v>
      </c>
      <c r="V225">
        <f ca="1">IF(AND(ISNUMBER($V$729),$B$511=1),$V$729,HLOOKUP(INDIRECT(ADDRESS(2,COLUMN())),OFFSET($BN$2,0,0,ROW()-1,60),ROW()-1,FALSE))</f>
        <v>1444</v>
      </c>
      <c r="W225">
        <f ca="1">IF(AND(ISNUMBER($W$729),$B$511=1),$W$729,HLOOKUP(INDIRECT(ADDRESS(2,COLUMN())),OFFSET($BN$2,0,0,ROW()-1,60),ROW()-1,FALSE))</f>
        <v>2970</v>
      </c>
      <c r="X225">
        <f ca="1">IF(AND(ISNUMBER($X$729),$B$511=1),$X$729,HLOOKUP(INDIRECT(ADDRESS(2,COLUMN())),OFFSET($BN$2,0,0,ROW()-1,60),ROW()-1,FALSE))</f>
        <v>3078</v>
      </c>
      <c r="Y225">
        <f ca="1">IF(AND(ISNUMBER($Y$729),$B$511=1),$Y$729,HLOOKUP(INDIRECT(ADDRESS(2,COLUMN())),OFFSET($BN$2,0,0,ROW()-1,60),ROW()-1,FALSE))</f>
        <v>5567</v>
      </c>
      <c r="Z225">
        <f ca="1">IF(AND(ISNUMBER($Z$729),$B$511=1),$Z$729,HLOOKUP(INDIRECT(ADDRESS(2,COLUMN())),OFFSET($BN$2,0,0,ROW()-1,60),ROW()-1,FALSE))</f>
        <v>6403</v>
      </c>
      <c r="AA225">
        <f ca="1">IF(AND(ISNUMBER($AA$729),$B$511=1),$AA$729,HLOOKUP(INDIRECT(ADDRESS(2,COLUMN())),OFFSET($BN$2,0,0,ROW()-1,60),ROW()-1,FALSE))</f>
        <v>5065</v>
      </c>
      <c r="AB225">
        <f ca="1">IF(AND(ISNUMBER($AB$729),$B$511=1),$AB$729,HLOOKUP(INDIRECT(ADDRESS(2,COLUMN())),OFFSET($BN$2,0,0,ROW()-1,60),ROW()-1,FALSE))</f>
        <v>2509</v>
      </c>
      <c r="AC225">
        <f ca="1">IF(AND(ISNUMBER($AC$729),$B$511=1),$AC$729,HLOOKUP(INDIRECT(ADDRESS(2,COLUMN())),OFFSET($BN$2,0,0,ROW()-1,60),ROW()-1,FALSE))</f>
        <v>2034</v>
      </c>
      <c r="AD225">
        <f ca="1">IF(AND(ISNUMBER($AD$729),$B$511=1),$AD$729,HLOOKUP(INDIRECT(ADDRESS(2,COLUMN())),OFFSET($BN$2,0,0,ROW()-1,60),ROW()-1,FALSE))</f>
        <v>911</v>
      </c>
      <c r="AE225">
        <f ca="1">IF(AND(ISNUMBER($AE$729),$B$511=1),$AE$729,HLOOKUP(INDIRECT(ADDRESS(2,COLUMN())),OFFSET($BN$2,0,0,ROW()-1,60),ROW()-1,FALSE))</f>
        <v>2537</v>
      </c>
      <c r="AF225">
        <f ca="1">IF(AND(ISNUMBER($AF$729),$B$511=1),$AF$729,HLOOKUP(INDIRECT(ADDRESS(2,COLUMN())),OFFSET($BN$2,0,0,ROW()-1,60),ROW()-1,FALSE))</f>
        <v>3084</v>
      </c>
      <c r="AG225">
        <f ca="1">IF(AND(ISNUMBER($AG$729),$B$511=1),$AG$729,HLOOKUP(INDIRECT(ADDRESS(2,COLUMN())),OFFSET($BN$2,0,0,ROW()-1,60),ROW()-1,FALSE))</f>
        <v>2106</v>
      </c>
      <c r="AH225">
        <f ca="1">IF(AND(ISNUMBER($AH$729),$B$511=1),$AH$729,HLOOKUP(INDIRECT(ADDRESS(2,COLUMN())),OFFSET($BN$2,0,0,ROW()-1,60),ROW()-1,FALSE))</f>
        <v>4117</v>
      </c>
      <c r="AI225">
        <f ca="1">IF(AND(ISNUMBER($AI$729),$B$511=1),$AI$729,HLOOKUP(INDIRECT(ADDRESS(2,COLUMN())),OFFSET($BN$2,0,0,ROW()-1,60),ROW()-1,FALSE))</f>
        <v>1913</v>
      </c>
      <c r="AJ225">
        <f ca="1">IF(AND(ISNUMBER($AJ$729),$B$511=1),$AJ$729,HLOOKUP(INDIRECT(ADDRESS(2,COLUMN())),OFFSET($BN$2,0,0,ROW()-1,60),ROW()-1,FALSE))</f>
        <v>22</v>
      </c>
      <c r="AK225">
        <f ca="1">IF(AND(ISNUMBER($AK$729),$B$511=1),$AK$729,HLOOKUP(INDIRECT(ADDRESS(2,COLUMN())),OFFSET($BN$2,0,0,ROW()-1,60),ROW()-1,FALSE))</f>
        <v>925</v>
      </c>
      <c r="AL225">
        <f ca="1">IF(AND(ISNUMBER($AL$729),$B$511=1),$AL$729,HLOOKUP(INDIRECT(ADDRESS(2,COLUMN())),OFFSET($BN$2,0,0,ROW()-1,60),ROW()-1,FALSE))</f>
        <v>-129</v>
      </c>
      <c r="AM225">
        <f ca="1">IF(AND(ISNUMBER($AM$729),$B$511=1),$AM$729,HLOOKUP(INDIRECT(ADDRESS(2,COLUMN())),OFFSET($BN$2,0,0,ROW()-1,60),ROW()-1,FALSE))</f>
        <v>2580</v>
      </c>
      <c r="AN225">
        <f ca="1">IF(AND(ISNUMBER($AN$729),$B$511=1),$AN$729,HLOOKUP(INDIRECT(ADDRESS(2,COLUMN())),OFFSET($BN$2,0,0,ROW()-1,60),ROW()-1,FALSE))</f>
        <v>2331</v>
      </c>
      <c r="AO225">
        <f ca="1">IF(AND(ISNUMBER($AO$729),$B$511=1),$AO$729,HLOOKUP(INDIRECT(ADDRESS(2,COLUMN())),OFFSET($BN$2,0,0,ROW()-1,60),ROW()-1,FALSE))</f>
        <v>-554</v>
      </c>
      <c r="AP225">
        <f ca="1">IF(AND(ISNUMBER($AP$729),$B$511=1),$AP$729,HLOOKUP(INDIRECT(ADDRESS(2,COLUMN())),OFFSET($BN$2,0,0,ROW()-1,60),ROW()-1,FALSE))</f>
        <v>-10652</v>
      </c>
      <c r="AQ225">
        <f ca="1">IF(AND(ISNUMBER($AQ$729),$B$511=1),$AQ$729,HLOOKUP(INDIRECT(ADDRESS(2,COLUMN())),OFFSET($BN$2,0,0,ROW()-1,60),ROW()-1,FALSE))</f>
        <v>-22618</v>
      </c>
      <c r="AR225" t="str">
        <f ca="1">IF(AND(ISNUMBER($AR$729),$B$511=1),$AR$729,HLOOKUP(INDIRECT(ADDRESS(2,COLUMN())),OFFSET($BN$2,0,0,ROW()-1,60),ROW()-1,FALSE))</f>
        <v/>
      </c>
      <c r="AS225" t="str">
        <f ca="1">IF(AND(ISNUMBER($AS$729),$B$511=1),$AS$729,HLOOKUP(INDIRECT(ADDRESS(2,COLUMN())),OFFSET($BN$2,0,0,ROW()-1,60),ROW()-1,FALSE))</f>
        <v/>
      </c>
      <c r="AT225" t="str">
        <f ca="1">IF(AND(ISNUMBER($AT$729),$B$511=1),$AT$729,HLOOKUP(INDIRECT(ADDRESS(2,COLUMN())),OFFSET($BN$2,0,0,ROW()-1,60),ROW()-1,FALSE))</f>
        <v/>
      </c>
      <c r="AU225" t="str">
        <f ca="1">IF(AND(ISNUMBER($AU$729),$B$511=1),$AU$729,HLOOKUP(INDIRECT(ADDRESS(2,COLUMN())),OFFSET($BN$2,0,0,ROW()-1,60),ROW()-1,FALSE))</f>
        <v/>
      </c>
      <c r="AV225" t="str">
        <f ca="1">IF(AND(ISNUMBER($AV$729),$B$511=1),$AV$729,HLOOKUP(INDIRECT(ADDRESS(2,COLUMN())),OFFSET($BN$2,0,0,ROW()-1,60),ROW()-1,FALSE))</f>
        <v/>
      </c>
      <c r="AW225" t="str">
        <f ca="1">IF(AND(ISNUMBER($AW$729),$B$511=1),$AW$729,HLOOKUP(INDIRECT(ADDRESS(2,COLUMN())),OFFSET($BN$2,0,0,ROW()-1,60),ROW()-1,FALSE))</f>
        <v/>
      </c>
      <c r="AX225" t="str">
        <f ca="1">IF(AND(ISNUMBER($AX$729),$B$511=1),$AX$729,HLOOKUP(INDIRECT(ADDRESS(2,COLUMN())),OFFSET($BN$2,0,0,ROW()-1,60),ROW()-1,FALSE))</f>
        <v/>
      </c>
      <c r="AY225" t="str">
        <f ca="1">IF(AND(ISNUMBER($AY$729),$B$511=1),$AY$729,HLOOKUP(INDIRECT(ADDRESS(2,COLUMN())),OFFSET($BN$2,0,0,ROW()-1,60),ROW()-1,FALSE))</f>
        <v/>
      </c>
      <c r="AZ225" t="str">
        <f ca="1">IF(AND(ISNUMBER($AZ$729),$B$511=1),$AZ$729,HLOOKUP(INDIRECT(ADDRESS(2,COLUMN())),OFFSET($BN$2,0,0,ROW()-1,60),ROW()-1,FALSE))</f>
        <v/>
      </c>
      <c r="BA225" t="str">
        <f ca="1">IF(AND(ISNUMBER($BA$729),$B$511=1),$BA$729,HLOOKUP(INDIRECT(ADDRESS(2,COLUMN())),OFFSET($BN$2,0,0,ROW()-1,60),ROW()-1,FALSE))</f>
        <v/>
      </c>
      <c r="BB225" t="str">
        <f ca="1">IF(AND(ISNUMBER($BB$729),$B$511=1),$BB$729,HLOOKUP(INDIRECT(ADDRESS(2,COLUMN())),OFFSET($BN$2,0,0,ROW()-1,60),ROW()-1,FALSE))</f>
        <v/>
      </c>
      <c r="BC225" t="str">
        <f ca="1">IF(AND(ISNUMBER($BC$729),$B$511=1),$BC$729,HLOOKUP(INDIRECT(ADDRESS(2,COLUMN())),OFFSET($BN$2,0,0,ROW()-1,60),ROW()-1,FALSE))</f>
        <v/>
      </c>
      <c r="BD225" t="str">
        <f ca="1">IF(AND(ISNUMBER($BD$729),$B$511=1),$BD$729,HLOOKUP(INDIRECT(ADDRESS(2,COLUMN())),OFFSET($BN$2,0,0,ROW()-1,60),ROW()-1,FALSE))</f>
        <v/>
      </c>
      <c r="BE225" t="str">
        <f ca="1">IF(AND(ISNUMBER($BE$729),$B$511=1),$BE$729,HLOOKUP(INDIRECT(ADDRESS(2,COLUMN())),OFFSET($BN$2,0,0,ROW()-1,60),ROW()-1,FALSE))</f>
        <v/>
      </c>
      <c r="BF225" t="str">
        <f ca="1">IF(AND(ISNUMBER($BF$729),$B$511=1),$BF$729,HLOOKUP(INDIRECT(ADDRESS(2,COLUMN())),OFFSET($BN$2,0,0,ROW()-1,60),ROW()-1,FALSE))</f>
        <v/>
      </c>
      <c r="BG225" t="str">
        <f ca="1">IF(AND(ISNUMBER($BG$729),$B$511=1),$BG$729,HLOOKUP(INDIRECT(ADDRESS(2,COLUMN())),OFFSET($BN$2,0,0,ROW()-1,60),ROW()-1,FALSE))</f>
        <v/>
      </c>
      <c r="BH225" t="str">
        <f ca="1">IF(AND(ISNUMBER($BH$729),$B$511=1),$BH$729,HLOOKUP(INDIRECT(ADDRESS(2,COLUMN())),OFFSET($BN$2,0,0,ROW()-1,60),ROW()-1,FALSE))</f>
        <v/>
      </c>
      <c r="BI225" t="str">
        <f ca="1">IF(AND(ISNUMBER($BI$729),$B$511=1),$BI$729,HLOOKUP(INDIRECT(ADDRESS(2,COLUMN())),OFFSET($BN$2,0,0,ROW()-1,60),ROW()-1,FALSE))</f>
        <v/>
      </c>
      <c r="BJ225" t="str">
        <f ca="1">IF(AND(ISNUMBER($BJ$729),$B$511=1),$BJ$729,HLOOKUP(INDIRECT(ADDRESS(2,COLUMN())),OFFSET($BN$2,0,0,ROW()-1,60),ROW()-1,FALSE))</f>
        <v/>
      </c>
      <c r="BK225" t="str">
        <f ca="1">IF(AND(ISNUMBER($BK$729),$B$511=1),$BK$729,HLOOKUP(INDIRECT(ADDRESS(2,COLUMN())),OFFSET($BN$2,0,0,ROW()-1,60),ROW()-1,FALSE))</f>
        <v/>
      </c>
      <c r="BL225" t="str">
        <f ca="1">IF(AND(ISNUMBER($BL$729),$B$511=1),$BL$729,HLOOKUP(INDIRECT(ADDRESS(2,COLUMN())),OFFSET($BN$2,0,0,ROW()-1,60),ROW()-1,FALSE))</f>
        <v/>
      </c>
      <c r="BM225" t="str">
        <f ca="1">IF(AND(ISNUMBER($BM$729),$B$511=1),$BM$729,HLOOKUP(INDIRECT(ADDRESS(2,COLUMN())),OFFSET($BN$2,0,0,ROW()-1,60),ROW()-1,FALSE))</f>
        <v/>
      </c>
      <c r="BN225" t="str">
        <f>""</f>
        <v/>
      </c>
      <c r="BO225">
        <f>6495</f>
        <v>6495</v>
      </c>
      <c r="BP225">
        <f>7452</f>
        <v>7452</v>
      </c>
      <c r="BQ225">
        <f>6704</f>
        <v>6704</v>
      </c>
      <c r="BR225">
        <f>6740</f>
        <v>6740</v>
      </c>
      <c r="BS225">
        <f>8875</f>
        <v>8875</v>
      </c>
      <c r="BT225">
        <f>5823</f>
        <v>5823</v>
      </c>
      <c r="BU225">
        <f>9553</f>
        <v>9553</v>
      </c>
      <c r="BV225">
        <f>10927</f>
        <v>10927</v>
      </c>
      <c r="BW225">
        <f>8223</f>
        <v>8223</v>
      </c>
      <c r="BX225">
        <f>6159</f>
        <v>6159</v>
      </c>
      <c r="BY225">
        <f>3188</f>
        <v>3188</v>
      </c>
      <c r="BZ225">
        <f>2733</f>
        <v>2733</v>
      </c>
      <c r="CA225">
        <f>3817</f>
        <v>3817</v>
      </c>
      <c r="CB225">
        <f>5310</f>
        <v>5310</v>
      </c>
      <c r="CC225">
        <f>3261</f>
        <v>3261</v>
      </c>
      <c r="CD225">
        <f>1444</f>
        <v>1444</v>
      </c>
      <c r="CE225">
        <f>2970</f>
        <v>2970</v>
      </c>
      <c r="CF225">
        <f>3078</f>
        <v>3078</v>
      </c>
      <c r="CG225">
        <f>5567</f>
        <v>5567</v>
      </c>
      <c r="CH225">
        <f>6403</f>
        <v>6403</v>
      </c>
      <c r="CI225">
        <f>5065</f>
        <v>5065</v>
      </c>
      <c r="CJ225">
        <f>2509</f>
        <v>2509</v>
      </c>
      <c r="CK225">
        <f>2034</f>
        <v>2034</v>
      </c>
      <c r="CL225">
        <f>911</f>
        <v>911</v>
      </c>
      <c r="CM225">
        <f>2537</f>
        <v>2537</v>
      </c>
      <c r="CN225">
        <f>3084</f>
        <v>3084</v>
      </c>
      <c r="CO225">
        <f>2106</f>
        <v>2106</v>
      </c>
      <c r="CP225">
        <f>4117</f>
        <v>4117</v>
      </c>
      <c r="CQ225">
        <f>1913</f>
        <v>1913</v>
      </c>
      <c r="CR225">
        <f>22</f>
        <v>22</v>
      </c>
      <c r="CS225">
        <f>925</f>
        <v>925</v>
      </c>
      <c r="CT225">
        <f>-129</f>
        <v>-129</v>
      </c>
      <c r="CU225">
        <f>2580</f>
        <v>2580</v>
      </c>
      <c r="CV225">
        <f>2331</f>
        <v>2331</v>
      </c>
      <c r="CW225">
        <f>-554</f>
        <v>-554</v>
      </c>
      <c r="CX225">
        <f>-10652</f>
        <v>-10652</v>
      </c>
      <c r="CY225">
        <f>-22618</f>
        <v>-22618</v>
      </c>
      <c r="CZ225" t="str">
        <f>""</f>
        <v/>
      </c>
      <c r="DA225" t="str">
        <f>""</f>
        <v/>
      </c>
      <c r="DB225" t="str">
        <f>""</f>
        <v/>
      </c>
      <c r="DC225" t="str">
        <f>""</f>
        <v/>
      </c>
      <c r="DD225" t="str">
        <f>""</f>
        <v/>
      </c>
      <c r="DE225" t="str">
        <f>""</f>
        <v/>
      </c>
      <c r="DF225" t="str">
        <f>""</f>
        <v/>
      </c>
      <c r="DG225" t="str">
        <f>""</f>
        <v/>
      </c>
      <c r="DH225" t="str">
        <f>""</f>
        <v/>
      </c>
      <c r="DI225" t="str">
        <f>""</f>
        <v/>
      </c>
      <c r="DJ225" t="str">
        <f>""</f>
        <v/>
      </c>
      <c r="DK225" t="str">
        <f>""</f>
        <v/>
      </c>
      <c r="DL225" t="str">
        <f>""</f>
        <v/>
      </c>
      <c r="DM225" t="str">
        <f>""</f>
        <v/>
      </c>
      <c r="DN225" t="str">
        <f>""</f>
        <v/>
      </c>
      <c r="DO225" t="str">
        <f>""</f>
        <v/>
      </c>
      <c r="DP225" t="str">
        <f>""</f>
        <v/>
      </c>
      <c r="DQ225" t="str">
        <f>""</f>
        <v/>
      </c>
      <c r="DR225" t="str">
        <f>""</f>
        <v/>
      </c>
      <c r="DS225" t="str">
        <f>""</f>
        <v/>
      </c>
      <c r="DT225" t="str">
        <f>""</f>
        <v/>
      </c>
      <c r="DU225" t="str">
        <f>""</f>
        <v/>
      </c>
    </row>
    <row r="226" spans="1:125" x14ac:dyDescent="0.25">
      <c r="A226" t="str">
        <f>"    Great Wall Motor Co Ltd"</f>
        <v xml:space="preserve">    Great Wall Motor Co Ltd</v>
      </c>
      <c r="B226" t="str">
        <f>"2333 HK Equity"</f>
        <v>2333 HK Equity</v>
      </c>
      <c r="C226" t="str">
        <f t="shared" si="15"/>
        <v>RR843</v>
      </c>
      <c r="D226" t="str">
        <f t="shared" si="16"/>
        <v>TRAIL_12M_FREE_CASH_FLOW</v>
      </c>
      <c r="E226" t="str">
        <f t="shared" si="17"/>
        <v>Dynamic</v>
      </c>
      <c r="F226" t="str">
        <f ca="1">IF(AND(ISNUMBER($F$730),$B$511=1),$F$730,HLOOKUP(INDIRECT(ADDRESS(2,COLUMN())),OFFSET($BN$2,0,0,ROW()-1,60),ROW()-1,FALSE))</f>
        <v/>
      </c>
      <c r="G226" t="str">
        <f ca="1">IF(AND(ISNUMBER($G$730),$B$511=1),$G$730,HLOOKUP(INDIRECT(ADDRESS(2,COLUMN())),OFFSET($BN$2,0,0,ROW()-1,60),ROW()-1,FALSE))</f>
        <v/>
      </c>
      <c r="H226">
        <f ca="1">IF(AND(ISNUMBER($H$730),$B$511=1),$H$730,HLOOKUP(INDIRECT(ADDRESS(2,COLUMN())),OFFSET($BN$2,0,0,ROW()-1,60),ROW()-1,FALSE))</f>
        <v>26.03999537</v>
      </c>
      <c r="I226">
        <f ca="1">IF(AND(ISNUMBER($I$730),$B$511=1),$I$730,HLOOKUP(INDIRECT(ADDRESS(2,COLUMN())),OFFSET($BN$2,0,0,ROW()-1,60),ROW()-1,FALSE))</f>
        <v>-397.95507199999997</v>
      </c>
      <c r="J226">
        <f ca="1">IF(AND(ISNUMBER($J$730),$B$511=1),$J$730,HLOOKUP(INDIRECT(ADDRESS(2,COLUMN())),OFFSET($BN$2,0,0,ROW()-1,60),ROW()-1,FALSE))</f>
        <v>-727.23568139999998</v>
      </c>
      <c r="K226">
        <f ca="1">IF(AND(ISNUMBER($K$730),$B$511=1),$K$730,HLOOKUP(INDIRECT(ADDRESS(2,COLUMN())),OFFSET($BN$2,0,0,ROW()-1,60),ROW()-1,FALSE))</f>
        <v>-1280.283588</v>
      </c>
      <c r="L226">
        <f ca="1">IF(AND(ISNUMBER($L$730),$B$511=1),$L$730,HLOOKUP(INDIRECT(ADDRESS(2,COLUMN())),OFFSET($BN$2,0,0,ROW()-1,60),ROW()-1,FALSE))</f>
        <v>-155.8267443</v>
      </c>
      <c r="M226">
        <f ca="1">IF(AND(ISNUMBER($M$730),$B$511=1),$M$730,HLOOKUP(INDIRECT(ADDRESS(2,COLUMN())),OFFSET($BN$2,0,0,ROW()-1,60),ROW()-1,FALSE))</f>
        <v>605.37201970000001</v>
      </c>
      <c r="N226">
        <f ca="1">IF(AND(ISNUMBER($N$730),$B$511=1),$N$730,HLOOKUP(INDIRECT(ADDRESS(2,COLUMN())),OFFSET($BN$2,0,0,ROW()-1,60),ROW()-1,FALSE))</f>
        <v>-719.72420469999997</v>
      </c>
      <c r="O226">
        <f ca="1">IF(AND(ISNUMBER($O$730),$B$511=1),$O$730,HLOOKUP(INDIRECT(ADDRESS(2,COLUMN())),OFFSET($BN$2,0,0,ROW()-1,60),ROW()-1,FALSE))</f>
        <v>67.401972860000001</v>
      </c>
      <c r="P226">
        <f ca="1">IF(AND(ISNUMBER($P$730),$B$511=1),$P$730,HLOOKUP(INDIRECT(ADDRESS(2,COLUMN())),OFFSET($BN$2,0,0,ROW()-1,60),ROW()-1,FALSE))</f>
        <v>211.55212610000001</v>
      </c>
      <c r="Q226">
        <f ca="1">IF(AND(ISNUMBER($Q$730),$B$511=1),$Q$730,HLOOKUP(INDIRECT(ADDRESS(2,COLUMN())),OFFSET($BN$2,0,0,ROW()-1,60),ROW()-1,FALSE))</f>
        <v>126.4605844</v>
      </c>
      <c r="R226">
        <f ca="1">IF(AND(ISNUMBER($R$730),$B$511=1),$R$730,HLOOKUP(INDIRECT(ADDRESS(2,COLUMN())),OFFSET($BN$2,0,0,ROW()-1,60),ROW()-1,FALSE))</f>
        <v>270.10452579999998</v>
      </c>
      <c r="S226">
        <f ca="1">IF(AND(ISNUMBER($S$730),$B$511=1),$S$730,HLOOKUP(INDIRECT(ADDRESS(2,COLUMN())),OFFSET($BN$2,0,0,ROW()-1,60),ROW()-1,FALSE))</f>
        <v>560.3926841</v>
      </c>
      <c r="T226">
        <f ca="1">IF(AND(ISNUMBER($T$730),$B$511=1),$T$730,HLOOKUP(INDIRECT(ADDRESS(2,COLUMN())),OFFSET($BN$2,0,0,ROW()-1,60),ROW()-1,FALSE))</f>
        <v>555.47599349999996</v>
      </c>
      <c r="U226">
        <f ca="1">IF(AND(ISNUMBER($U$730),$B$511=1),$U$730,HLOOKUP(INDIRECT(ADDRESS(2,COLUMN())),OFFSET($BN$2,0,0,ROW()-1,60),ROW()-1,FALSE))</f>
        <v>139.57883219999999</v>
      </c>
      <c r="V226">
        <f ca="1">IF(AND(ISNUMBER($V$730),$B$511=1),$V$730,HLOOKUP(INDIRECT(ADDRESS(2,COLUMN())),OFFSET($BN$2,0,0,ROW()-1,60),ROW()-1,FALSE))</f>
        <v>-540.67305190000002</v>
      </c>
      <c r="W226">
        <f ca="1">IF(AND(ISNUMBER($W$730),$B$511=1),$W$730,HLOOKUP(INDIRECT(ADDRESS(2,COLUMN())),OFFSET($BN$2,0,0,ROW()-1,60),ROW()-1,FALSE))</f>
        <v>-588.59876810000003</v>
      </c>
      <c r="X226">
        <f ca="1">IF(AND(ISNUMBER($X$730),$B$511=1),$X$730,HLOOKUP(INDIRECT(ADDRESS(2,COLUMN())),OFFSET($BN$2,0,0,ROW()-1,60),ROW()-1,FALSE))</f>
        <v>-430.60724850000003</v>
      </c>
      <c r="Y226">
        <f ca="1">IF(AND(ISNUMBER($Y$730),$B$511=1),$Y$730,HLOOKUP(INDIRECT(ADDRESS(2,COLUMN())),OFFSET($BN$2,0,0,ROW()-1,60),ROW()-1,FALSE))</f>
        <v>-133.8304632</v>
      </c>
      <c r="Z226">
        <f ca="1">IF(AND(ISNUMBER($Z$730),$B$511=1),$Z$730,HLOOKUP(INDIRECT(ADDRESS(2,COLUMN())),OFFSET($BN$2,0,0,ROW()-1,60),ROW()-1,FALSE))</f>
        <v>251.530258</v>
      </c>
      <c r="AA226">
        <f ca="1">IF(AND(ISNUMBER($AA$730),$B$511=1),$AA$730,HLOOKUP(INDIRECT(ADDRESS(2,COLUMN())),OFFSET($BN$2,0,0,ROW()-1,60),ROW()-1,FALSE))</f>
        <v>317.91114520000002</v>
      </c>
      <c r="AB226">
        <f ca="1">IF(AND(ISNUMBER($AB$730),$B$511=1),$AB$730,HLOOKUP(INDIRECT(ADDRESS(2,COLUMN())),OFFSET($BN$2,0,0,ROW()-1,60),ROW()-1,FALSE))</f>
        <v>423.50866819999999</v>
      </c>
      <c r="AC226">
        <f ca="1">IF(AND(ISNUMBER($AC$730),$B$511=1),$AC$730,HLOOKUP(INDIRECT(ADDRESS(2,COLUMN())),OFFSET($BN$2,0,0,ROW()-1,60),ROW()-1,FALSE))</f>
        <v>369.66821579999998</v>
      </c>
      <c r="AD226">
        <f ca="1">IF(AND(ISNUMBER($AD$730),$B$511=1),$AD$730,HLOOKUP(INDIRECT(ADDRESS(2,COLUMN())),OFFSET($BN$2,0,0,ROW()-1,60),ROW()-1,FALSE))</f>
        <v>-17.275897659999998</v>
      </c>
      <c r="AE226">
        <f ca="1">IF(AND(ISNUMBER($AE$730),$B$511=1),$AE$730,HLOOKUP(INDIRECT(ADDRESS(2,COLUMN())),OFFSET($BN$2,0,0,ROW()-1,60),ROW()-1,FALSE))</f>
        <v>-159.1592689</v>
      </c>
      <c r="AF226" t="str">
        <f ca="1">IF(AND(ISNUMBER($AF$730),$B$511=1),$AF$730,HLOOKUP(INDIRECT(ADDRESS(2,COLUMN())),OFFSET($BN$2,0,0,ROW()-1,60),ROW()-1,FALSE))</f>
        <v/>
      </c>
      <c r="AG226" t="str">
        <f ca="1">IF(AND(ISNUMBER($AG$730),$B$511=1),$AG$730,HLOOKUP(INDIRECT(ADDRESS(2,COLUMN())),OFFSET($BN$2,0,0,ROW()-1,60),ROW()-1,FALSE))</f>
        <v/>
      </c>
      <c r="AH226" t="str">
        <f ca="1">IF(AND(ISNUMBER($AH$730),$B$511=1),$AH$730,HLOOKUP(INDIRECT(ADDRESS(2,COLUMN())),OFFSET($BN$2,0,0,ROW()-1,60),ROW()-1,FALSE))</f>
        <v/>
      </c>
      <c r="AI226" t="str">
        <f ca="1">IF(AND(ISNUMBER($AI$730),$B$511=1),$AI$730,HLOOKUP(INDIRECT(ADDRESS(2,COLUMN())),OFFSET($BN$2,0,0,ROW()-1,60),ROW()-1,FALSE))</f>
        <v/>
      </c>
      <c r="AJ226" t="str">
        <f ca="1">IF(AND(ISNUMBER($AJ$730),$B$511=1),$AJ$730,HLOOKUP(INDIRECT(ADDRESS(2,COLUMN())),OFFSET($BN$2,0,0,ROW()-1,60),ROW()-1,FALSE))</f>
        <v/>
      </c>
      <c r="AK226" t="str">
        <f ca="1">IF(AND(ISNUMBER($AK$730),$B$511=1),$AK$730,HLOOKUP(INDIRECT(ADDRESS(2,COLUMN())),OFFSET($BN$2,0,0,ROW()-1,60),ROW()-1,FALSE))</f>
        <v/>
      </c>
      <c r="AL226" t="str">
        <f ca="1">IF(AND(ISNUMBER($AL$730),$B$511=1),$AL$730,HLOOKUP(INDIRECT(ADDRESS(2,COLUMN())),OFFSET($BN$2,0,0,ROW()-1,60),ROW()-1,FALSE))</f>
        <v/>
      </c>
      <c r="AM226" t="str">
        <f ca="1">IF(AND(ISNUMBER($AM$730),$B$511=1),$AM$730,HLOOKUP(INDIRECT(ADDRESS(2,COLUMN())),OFFSET($BN$2,0,0,ROW()-1,60),ROW()-1,FALSE))</f>
        <v/>
      </c>
      <c r="AN226" t="str">
        <f ca="1">IF(AND(ISNUMBER($AN$730),$B$511=1),$AN$730,HLOOKUP(INDIRECT(ADDRESS(2,COLUMN())),OFFSET($BN$2,0,0,ROW()-1,60),ROW()-1,FALSE))</f>
        <v/>
      </c>
      <c r="AO226" t="str">
        <f ca="1">IF(AND(ISNUMBER($AO$730),$B$511=1),$AO$730,HLOOKUP(INDIRECT(ADDRESS(2,COLUMN())),OFFSET($BN$2,0,0,ROW()-1,60),ROW()-1,FALSE))</f>
        <v/>
      </c>
      <c r="AP226" t="str">
        <f ca="1">IF(AND(ISNUMBER($AP$730),$B$511=1),$AP$730,HLOOKUP(INDIRECT(ADDRESS(2,COLUMN())),OFFSET($BN$2,0,0,ROW()-1,60),ROW()-1,FALSE))</f>
        <v/>
      </c>
      <c r="AQ226" t="str">
        <f ca="1">IF(AND(ISNUMBER($AQ$730),$B$511=1),$AQ$730,HLOOKUP(INDIRECT(ADDRESS(2,COLUMN())),OFFSET($BN$2,0,0,ROW()-1,60),ROW()-1,FALSE))</f>
        <v/>
      </c>
      <c r="AR226" t="str">
        <f ca="1">IF(AND(ISNUMBER($AR$730),$B$511=1),$AR$730,HLOOKUP(INDIRECT(ADDRESS(2,COLUMN())),OFFSET($BN$2,0,0,ROW()-1,60),ROW()-1,FALSE))</f>
        <v/>
      </c>
      <c r="AS226" t="str">
        <f ca="1">IF(AND(ISNUMBER($AS$730),$B$511=1),$AS$730,HLOOKUP(INDIRECT(ADDRESS(2,COLUMN())),OFFSET($BN$2,0,0,ROW()-1,60),ROW()-1,FALSE))</f>
        <v/>
      </c>
      <c r="AT226" t="str">
        <f ca="1">IF(AND(ISNUMBER($AT$730),$B$511=1),$AT$730,HLOOKUP(INDIRECT(ADDRESS(2,COLUMN())),OFFSET($BN$2,0,0,ROW()-1,60),ROW()-1,FALSE))</f>
        <v/>
      </c>
      <c r="AU226" t="str">
        <f ca="1">IF(AND(ISNUMBER($AU$730),$B$511=1),$AU$730,HLOOKUP(INDIRECT(ADDRESS(2,COLUMN())),OFFSET($BN$2,0,0,ROW()-1,60),ROW()-1,FALSE))</f>
        <v/>
      </c>
      <c r="AV226" t="str">
        <f ca="1">IF(AND(ISNUMBER($AV$730),$B$511=1),$AV$730,HLOOKUP(INDIRECT(ADDRESS(2,COLUMN())),OFFSET($BN$2,0,0,ROW()-1,60),ROW()-1,FALSE))</f>
        <v/>
      </c>
      <c r="AW226" t="str">
        <f ca="1">IF(AND(ISNUMBER($AW$730),$B$511=1),$AW$730,HLOOKUP(INDIRECT(ADDRESS(2,COLUMN())),OFFSET($BN$2,0,0,ROW()-1,60),ROW()-1,FALSE))</f>
        <v/>
      </c>
      <c r="AX226" t="str">
        <f ca="1">IF(AND(ISNUMBER($AX$730),$B$511=1),$AX$730,HLOOKUP(INDIRECT(ADDRESS(2,COLUMN())),OFFSET($BN$2,0,0,ROW()-1,60),ROW()-1,FALSE))</f>
        <v/>
      </c>
      <c r="AY226" t="str">
        <f ca="1">IF(AND(ISNUMBER($AY$730),$B$511=1),$AY$730,HLOOKUP(INDIRECT(ADDRESS(2,COLUMN())),OFFSET($BN$2,0,0,ROW()-1,60),ROW()-1,FALSE))</f>
        <v/>
      </c>
      <c r="AZ226" t="str">
        <f ca="1">IF(AND(ISNUMBER($AZ$730),$B$511=1),$AZ$730,HLOOKUP(INDIRECT(ADDRESS(2,COLUMN())),OFFSET($BN$2,0,0,ROW()-1,60),ROW()-1,FALSE))</f>
        <v/>
      </c>
      <c r="BA226" t="str">
        <f ca="1">IF(AND(ISNUMBER($BA$730),$B$511=1),$BA$730,HLOOKUP(INDIRECT(ADDRESS(2,COLUMN())),OFFSET($BN$2,0,0,ROW()-1,60),ROW()-1,FALSE))</f>
        <v/>
      </c>
      <c r="BB226" t="str">
        <f ca="1">IF(AND(ISNUMBER($BB$730),$B$511=1),$BB$730,HLOOKUP(INDIRECT(ADDRESS(2,COLUMN())),OFFSET($BN$2,0,0,ROW()-1,60),ROW()-1,FALSE))</f>
        <v/>
      </c>
      <c r="BC226" t="str">
        <f ca="1">IF(AND(ISNUMBER($BC$730),$B$511=1),$BC$730,HLOOKUP(INDIRECT(ADDRESS(2,COLUMN())),OFFSET($BN$2,0,0,ROW()-1,60),ROW()-1,FALSE))</f>
        <v/>
      </c>
      <c r="BD226" t="str">
        <f ca="1">IF(AND(ISNUMBER($BD$730),$B$511=1),$BD$730,HLOOKUP(INDIRECT(ADDRESS(2,COLUMN())),OFFSET($BN$2,0,0,ROW()-1,60),ROW()-1,FALSE))</f>
        <v/>
      </c>
      <c r="BE226" t="str">
        <f ca="1">IF(AND(ISNUMBER($BE$730),$B$511=1),$BE$730,HLOOKUP(INDIRECT(ADDRESS(2,COLUMN())),OFFSET($BN$2,0,0,ROW()-1,60),ROW()-1,FALSE))</f>
        <v/>
      </c>
      <c r="BF226" t="str">
        <f ca="1">IF(AND(ISNUMBER($BF$730),$B$511=1),$BF$730,HLOOKUP(INDIRECT(ADDRESS(2,COLUMN())),OFFSET($BN$2,0,0,ROW()-1,60),ROW()-1,FALSE))</f>
        <v/>
      </c>
      <c r="BG226" t="str">
        <f ca="1">IF(AND(ISNUMBER($BG$730),$B$511=1),$BG$730,HLOOKUP(INDIRECT(ADDRESS(2,COLUMN())),OFFSET($BN$2,0,0,ROW()-1,60),ROW()-1,FALSE))</f>
        <v/>
      </c>
      <c r="BH226" t="str">
        <f ca="1">IF(AND(ISNUMBER($BH$730),$B$511=1),$BH$730,HLOOKUP(INDIRECT(ADDRESS(2,COLUMN())),OFFSET($BN$2,0,0,ROW()-1,60),ROW()-1,FALSE))</f>
        <v/>
      </c>
      <c r="BI226" t="str">
        <f ca="1">IF(AND(ISNUMBER($BI$730),$B$511=1),$BI$730,HLOOKUP(INDIRECT(ADDRESS(2,COLUMN())),OFFSET($BN$2,0,0,ROW()-1,60),ROW()-1,FALSE))</f>
        <v/>
      </c>
      <c r="BJ226" t="str">
        <f ca="1">IF(AND(ISNUMBER($BJ$730),$B$511=1),$BJ$730,HLOOKUP(INDIRECT(ADDRESS(2,COLUMN())),OFFSET($BN$2,0,0,ROW()-1,60),ROW()-1,FALSE))</f>
        <v/>
      </c>
      <c r="BK226" t="str">
        <f ca="1">IF(AND(ISNUMBER($BK$730),$B$511=1),$BK$730,HLOOKUP(INDIRECT(ADDRESS(2,COLUMN())),OFFSET($BN$2,0,0,ROW()-1,60),ROW()-1,FALSE))</f>
        <v/>
      </c>
      <c r="BL226" t="str">
        <f ca="1">IF(AND(ISNUMBER($BL$730),$B$511=1),$BL$730,HLOOKUP(INDIRECT(ADDRESS(2,COLUMN())),OFFSET($BN$2,0,0,ROW()-1,60),ROW()-1,FALSE))</f>
        <v/>
      </c>
      <c r="BM226" t="str">
        <f ca="1">IF(AND(ISNUMBER($BM$730),$B$511=1),$BM$730,HLOOKUP(INDIRECT(ADDRESS(2,COLUMN())),OFFSET($BN$2,0,0,ROW()-1,60),ROW()-1,FALSE))</f>
        <v/>
      </c>
      <c r="BN226" t="str">
        <f>""</f>
        <v/>
      </c>
      <c r="BO226" t="str">
        <f>""</f>
        <v/>
      </c>
      <c r="BP226">
        <f>26.03999537</f>
        <v>26.03999537</v>
      </c>
      <c r="BQ226">
        <f>-397.955072</f>
        <v>-397.95507199999997</v>
      </c>
      <c r="BR226">
        <f>-727.2356814</f>
        <v>-727.23568139999998</v>
      </c>
      <c r="BS226">
        <f>-1280.283588</f>
        <v>-1280.283588</v>
      </c>
      <c r="BT226">
        <f>-155.8267443</f>
        <v>-155.8267443</v>
      </c>
      <c r="BU226">
        <f>605.3720197</f>
        <v>605.37201970000001</v>
      </c>
      <c r="BV226">
        <f>-719.7242047</f>
        <v>-719.72420469999997</v>
      </c>
      <c r="BW226">
        <f>67.40197286</f>
        <v>67.401972860000001</v>
      </c>
      <c r="BX226">
        <f>211.5521261</f>
        <v>211.55212610000001</v>
      </c>
      <c r="BY226">
        <f>126.4605844</f>
        <v>126.4605844</v>
      </c>
      <c r="BZ226">
        <f>270.1045258</f>
        <v>270.10452579999998</v>
      </c>
      <c r="CA226">
        <f>560.3926841</f>
        <v>560.3926841</v>
      </c>
      <c r="CB226">
        <f>555.4759935</f>
        <v>555.47599349999996</v>
      </c>
      <c r="CC226">
        <f>139.5788322</f>
        <v>139.57883219999999</v>
      </c>
      <c r="CD226">
        <f>-540.6730519</f>
        <v>-540.67305190000002</v>
      </c>
      <c r="CE226">
        <f>-588.5987681</f>
        <v>-588.59876810000003</v>
      </c>
      <c r="CF226">
        <f>-430.6072485</f>
        <v>-430.60724850000003</v>
      </c>
      <c r="CG226">
        <f>-133.8304632</f>
        <v>-133.8304632</v>
      </c>
      <c r="CH226">
        <f>251.530258</f>
        <v>251.530258</v>
      </c>
      <c r="CI226">
        <f>317.9111452</f>
        <v>317.91114520000002</v>
      </c>
      <c r="CJ226">
        <f>423.5086682</f>
        <v>423.50866819999999</v>
      </c>
      <c r="CK226">
        <f>369.6682158</f>
        <v>369.66821579999998</v>
      </c>
      <c r="CL226">
        <f>-17.27589766</f>
        <v>-17.275897659999998</v>
      </c>
      <c r="CM226">
        <f>-159.1592689</f>
        <v>-159.1592689</v>
      </c>
      <c r="CN226" t="str">
        <f>""</f>
        <v/>
      </c>
      <c r="CO226" t="str">
        <f>""</f>
        <v/>
      </c>
      <c r="CP226" t="str">
        <f>""</f>
        <v/>
      </c>
      <c r="CQ226" t="str">
        <f>""</f>
        <v/>
      </c>
      <c r="CR226" t="str">
        <f>""</f>
        <v/>
      </c>
      <c r="CS226" t="str">
        <f>""</f>
        <v/>
      </c>
      <c r="CT226" t="str">
        <f>""</f>
        <v/>
      </c>
      <c r="CU226" t="str">
        <f>""</f>
        <v/>
      </c>
      <c r="CV226" t="str">
        <f>""</f>
        <v/>
      </c>
      <c r="CW226" t="str">
        <f>""</f>
        <v/>
      </c>
      <c r="CX226" t="str">
        <f>""</f>
        <v/>
      </c>
      <c r="CY226" t="str">
        <f>""</f>
        <v/>
      </c>
      <c r="CZ226" t="str">
        <f>""</f>
        <v/>
      </c>
      <c r="DA226" t="str">
        <f>""</f>
        <v/>
      </c>
      <c r="DB226" t="str">
        <f>""</f>
        <v/>
      </c>
      <c r="DC226" t="str">
        <f>""</f>
        <v/>
      </c>
      <c r="DD226" t="str">
        <f>""</f>
        <v/>
      </c>
      <c r="DE226" t="str">
        <f>""</f>
        <v/>
      </c>
      <c r="DF226" t="str">
        <f>""</f>
        <v/>
      </c>
      <c r="DG226" t="str">
        <f>""</f>
        <v/>
      </c>
      <c r="DH226" t="str">
        <f>""</f>
        <v/>
      </c>
      <c r="DI226" t="str">
        <f>""</f>
        <v/>
      </c>
      <c r="DJ226" t="str">
        <f>""</f>
        <v/>
      </c>
      <c r="DK226" t="str">
        <f>""</f>
        <v/>
      </c>
      <c r="DL226" t="str">
        <f>""</f>
        <v/>
      </c>
      <c r="DM226" t="str">
        <f>""</f>
        <v/>
      </c>
      <c r="DN226" t="str">
        <f>""</f>
        <v/>
      </c>
      <c r="DO226" t="str">
        <f>""</f>
        <v/>
      </c>
      <c r="DP226" t="str">
        <f>""</f>
        <v/>
      </c>
      <c r="DQ226" t="str">
        <f>""</f>
        <v/>
      </c>
      <c r="DR226" t="str">
        <f>""</f>
        <v/>
      </c>
      <c r="DS226" t="str">
        <f>""</f>
        <v/>
      </c>
      <c r="DT226" t="str">
        <f>""</f>
        <v/>
      </c>
      <c r="DU226" t="str">
        <f>""</f>
        <v/>
      </c>
    </row>
    <row r="227" spans="1:125" x14ac:dyDescent="0.25">
      <c r="A227" t="str">
        <f>"    Guangzhou Automobile Group Co Ltd"</f>
        <v xml:space="preserve">    Guangzhou Automobile Group Co Ltd</v>
      </c>
      <c r="B227" t="str">
        <f>"2238 HK Equity"</f>
        <v>2238 HK Equity</v>
      </c>
      <c r="C227" t="str">
        <f t="shared" si="15"/>
        <v>RR843</v>
      </c>
      <c r="D227" t="str">
        <f t="shared" si="16"/>
        <v>TRAIL_12M_FREE_CASH_FLOW</v>
      </c>
      <c r="E227" t="str">
        <f t="shared" si="17"/>
        <v>Dynamic</v>
      </c>
      <c r="F227" t="str">
        <f ca="1">IF(AND(ISNUMBER($F$731),$B$511=1),$F$731,HLOOKUP(INDIRECT(ADDRESS(2,COLUMN())),OFFSET($BN$2,0,0,ROW()-1,60),ROW()-1,FALSE))</f>
        <v/>
      </c>
      <c r="G227" t="str">
        <f ca="1">IF(AND(ISNUMBER($G$731),$B$511=1),$G$731,HLOOKUP(INDIRECT(ADDRESS(2,COLUMN())),OFFSET($BN$2,0,0,ROW()-1,60),ROW()-1,FALSE))</f>
        <v/>
      </c>
      <c r="H227">
        <f ca="1">IF(AND(ISNUMBER($H$731),$B$511=1),$H$731,HLOOKUP(INDIRECT(ADDRESS(2,COLUMN())),OFFSET($BN$2,0,0,ROW()-1,60),ROW()-1,FALSE))</f>
        <v>-131.5244998</v>
      </c>
      <c r="I227">
        <f ca="1">IF(AND(ISNUMBER($I$731),$B$511=1),$I$731,HLOOKUP(INDIRECT(ADDRESS(2,COLUMN())),OFFSET($BN$2,0,0,ROW()-1,60),ROW()-1,FALSE))</f>
        <v>412.88691249999999</v>
      </c>
      <c r="J227">
        <f ca="1">IF(AND(ISNUMBER($J$731),$B$511=1),$J$731,HLOOKUP(INDIRECT(ADDRESS(2,COLUMN())),OFFSET($BN$2,0,0,ROW()-1,60),ROW()-1,FALSE))</f>
        <v>863.38970970000003</v>
      </c>
      <c r="K227">
        <f ca="1">IF(AND(ISNUMBER($K$731),$B$511=1),$K$731,HLOOKUP(INDIRECT(ADDRESS(2,COLUMN())),OFFSET($BN$2,0,0,ROW()-1,60),ROW()-1,FALSE))</f>
        <v>1697.062238</v>
      </c>
      <c r="L227">
        <f ca="1">IF(AND(ISNUMBER($L$731),$B$511=1),$L$731,HLOOKUP(INDIRECT(ADDRESS(2,COLUMN())),OFFSET($BN$2,0,0,ROW()-1,60),ROW()-1,FALSE))</f>
        <v>276.40938890000001</v>
      </c>
      <c r="M227">
        <f ca="1">IF(AND(ISNUMBER($M$731),$B$511=1),$M$731,HLOOKUP(INDIRECT(ADDRESS(2,COLUMN())),OFFSET($BN$2,0,0,ROW()-1,60),ROW()-1,FALSE))</f>
        <v>737.7600741</v>
      </c>
      <c r="N227">
        <f ca="1">IF(AND(ISNUMBER($N$731),$B$511=1),$N$731,HLOOKUP(INDIRECT(ADDRESS(2,COLUMN())),OFFSET($BN$2,0,0,ROW()-1,60),ROW()-1,FALSE))</f>
        <v>1007.628948</v>
      </c>
      <c r="O227">
        <f ca="1">IF(AND(ISNUMBER($O$731),$B$511=1),$O$731,HLOOKUP(INDIRECT(ADDRESS(2,COLUMN())),OFFSET($BN$2,0,0,ROW()-1,60),ROW()-1,FALSE))</f>
        <v>718.91080309999995</v>
      </c>
      <c r="P227">
        <f ca="1">IF(AND(ISNUMBER($P$731),$B$511=1),$P$731,HLOOKUP(INDIRECT(ADDRESS(2,COLUMN())),OFFSET($BN$2,0,0,ROW()-1,60),ROW()-1,FALSE))</f>
        <v>1207.486394</v>
      </c>
      <c r="Q227">
        <f ca="1">IF(AND(ISNUMBER($Q$731),$B$511=1),$Q$731,HLOOKUP(INDIRECT(ADDRESS(2,COLUMN())),OFFSET($BN$2,0,0,ROW()-1,60),ROW()-1,FALSE))</f>
        <v>1122.463493</v>
      </c>
      <c r="R227">
        <f ca="1">IF(AND(ISNUMBER($R$731),$B$511=1),$R$731,HLOOKUP(INDIRECT(ADDRESS(2,COLUMN())),OFFSET($BN$2,0,0,ROW()-1,60),ROW()-1,FALSE))</f>
        <v>897.27768019999996</v>
      </c>
      <c r="S227">
        <f ca="1">IF(AND(ISNUMBER($S$731),$B$511=1),$S$731,HLOOKUP(INDIRECT(ADDRESS(2,COLUMN())),OFFSET($BN$2,0,0,ROW()-1,60),ROW()-1,FALSE))</f>
        <v>705.99766290000002</v>
      </c>
      <c r="T227">
        <f ca="1">IF(AND(ISNUMBER($T$731),$B$511=1),$T$731,HLOOKUP(INDIRECT(ADDRESS(2,COLUMN())),OFFSET($BN$2,0,0,ROW()-1,60),ROW()-1,FALSE))</f>
        <v>638.03617780000002</v>
      </c>
      <c r="U227">
        <f ca="1">IF(AND(ISNUMBER($U$731),$B$511=1),$U$731,HLOOKUP(INDIRECT(ADDRESS(2,COLUMN())),OFFSET($BN$2,0,0,ROW()-1,60),ROW()-1,FALSE))</f>
        <v>293.63432169999999</v>
      </c>
      <c r="V227">
        <f ca="1">IF(AND(ISNUMBER($V$731),$B$511=1),$V$731,HLOOKUP(INDIRECT(ADDRESS(2,COLUMN())),OFFSET($BN$2,0,0,ROW()-1,60),ROW()-1,FALSE))</f>
        <v>143.45739409999999</v>
      </c>
      <c r="W227">
        <f ca="1">IF(AND(ISNUMBER($W$731),$B$511=1),$W$731,HLOOKUP(INDIRECT(ADDRESS(2,COLUMN())),OFFSET($BN$2,0,0,ROW()-1,60),ROW()-1,FALSE))</f>
        <v>199.69265799999999</v>
      </c>
      <c r="X227">
        <f ca="1">IF(AND(ISNUMBER($X$731),$B$511=1),$X$731,HLOOKUP(INDIRECT(ADDRESS(2,COLUMN())),OFFSET($BN$2,0,0,ROW()-1,60),ROW()-1,FALSE))</f>
        <v>-86.65026254</v>
      </c>
      <c r="Y227">
        <f ca="1">IF(AND(ISNUMBER($Y$731),$B$511=1),$Y$731,HLOOKUP(INDIRECT(ADDRESS(2,COLUMN())),OFFSET($BN$2,0,0,ROW()-1,60),ROW()-1,FALSE))</f>
        <v>24.72742036</v>
      </c>
      <c r="Z227">
        <f ca="1">IF(AND(ISNUMBER($Z$731),$B$511=1),$Z$731,HLOOKUP(INDIRECT(ADDRESS(2,COLUMN())),OFFSET($BN$2,0,0,ROW()-1,60),ROW()-1,FALSE))</f>
        <v>169.05962980000001</v>
      </c>
      <c r="AA227">
        <f ca="1">IF(AND(ISNUMBER($AA$731),$B$511=1),$AA$731,HLOOKUP(INDIRECT(ADDRESS(2,COLUMN())),OFFSET($BN$2,0,0,ROW()-1,60),ROW()-1,FALSE))</f>
        <v>283.4557676</v>
      </c>
      <c r="AB227">
        <f ca="1">IF(AND(ISNUMBER($AB$731),$B$511=1),$AB$731,HLOOKUP(INDIRECT(ADDRESS(2,COLUMN())),OFFSET($BN$2,0,0,ROW()-1,60),ROW()-1,FALSE))</f>
        <v>400.64519869999998</v>
      </c>
      <c r="AC227">
        <f ca="1">IF(AND(ISNUMBER($AC$731),$B$511=1),$AC$731,HLOOKUP(INDIRECT(ADDRESS(2,COLUMN())),OFFSET($BN$2,0,0,ROW()-1,60),ROW()-1,FALSE))</f>
        <v>336.94054290000003</v>
      </c>
      <c r="AD227">
        <f ca="1">IF(AND(ISNUMBER($AD$731),$B$511=1),$AD$731,HLOOKUP(INDIRECT(ADDRESS(2,COLUMN())),OFFSET($BN$2,0,0,ROW()-1,60),ROW()-1,FALSE))</f>
        <v>239.75733320000001</v>
      </c>
      <c r="AE227">
        <f ca="1">IF(AND(ISNUMBER($AE$731),$B$511=1),$AE$731,HLOOKUP(INDIRECT(ADDRESS(2,COLUMN())),OFFSET($BN$2,0,0,ROW()-1,60),ROW()-1,FALSE))</f>
        <v>187.9668868</v>
      </c>
      <c r="AF227">
        <f ca="1">IF(AND(ISNUMBER($AF$731),$B$511=1),$AF$731,HLOOKUP(INDIRECT(ADDRESS(2,COLUMN())),OFFSET($BN$2,0,0,ROW()-1,60),ROW()-1,FALSE))</f>
        <v>420.71767299999999</v>
      </c>
      <c r="AG227">
        <f ca="1">IF(AND(ISNUMBER($AG$731),$B$511=1),$AG$731,HLOOKUP(INDIRECT(ADDRESS(2,COLUMN())),OFFSET($BN$2,0,0,ROW()-1,60),ROW()-1,FALSE))</f>
        <v>340.62112680000001</v>
      </c>
      <c r="AH227">
        <f ca="1">IF(AND(ISNUMBER($AH$731),$B$511=1),$AH$731,HLOOKUP(INDIRECT(ADDRESS(2,COLUMN())),OFFSET($BN$2,0,0,ROW()-1,60),ROW()-1,FALSE))</f>
        <v>373.48096170000002</v>
      </c>
      <c r="AI227">
        <f ca="1">IF(AND(ISNUMBER($AI$731),$B$511=1),$AI$731,HLOOKUP(INDIRECT(ADDRESS(2,COLUMN())),OFFSET($BN$2,0,0,ROW()-1,60),ROW()-1,FALSE))</f>
        <v>482.74275349999999</v>
      </c>
      <c r="AJ227">
        <f ca="1">IF(AND(ISNUMBER($AJ$731),$B$511=1),$AJ$731,HLOOKUP(INDIRECT(ADDRESS(2,COLUMN())),OFFSET($BN$2,0,0,ROW()-1,60),ROW()-1,FALSE))</f>
        <v>144.71579600000001</v>
      </c>
      <c r="AK227">
        <f ca="1">IF(AND(ISNUMBER($AK$731),$B$511=1),$AK$731,HLOOKUP(INDIRECT(ADDRESS(2,COLUMN())),OFFSET($BN$2,0,0,ROW()-1,60),ROW()-1,FALSE))</f>
        <v>616.083755</v>
      </c>
      <c r="AL227">
        <f ca="1">IF(AND(ISNUMBER($AL$731),$B$511=1),$AL$731,HLOOKUP(INDIRECT(ADDRESS(2,COLUMN())),OFFSET($BN$2,0,0,ROW()-1,60),ROW()-1,FALSE))</f>
        <v>410.28700659999998</v>
      </c>
      <c r="AM227">
        <f ca="1">IF(AND(ISNUMBER($AM$731),$B$511=1),$AM$731,HLOOKUP(INDIRECT(ADDRESS(2,COLUMN())),OFFSET($BN$2,0,0,ROW()-1,60),ROW()-1,FALSE))</f>
        <v>321.69098170000001</v>
      </c>
      <c r="AN227">
        <f ca="1">IF(AND(ISNUMBER($AN$731),$B$511=1),$AN$731,HLOOKUP(INDIRECT(ADDRESS(2,COLUMN())),OFFSET($BN$2,0,0,ROW()-1,60),ROW()-1,FALSE))</f>
        <v>756.57774900000004</v>
      </c>
      <c r="AO227">
        <f ca="1">IF(AND(ISNUMBER($AO$731),$B$511=1),$AO$731,HLOOKUP(INDIRECT(ADDRESS(2,COLUMN())),OFFSET($BN$2,0,0,ROW()-1,60),ROW()-1,FALSE))</f>
        <v>330.60397069999999</v>
      </c>
      <c r="AP227">
        <f ca="1">IF(AND(ISNUMBER($AP$731),$B$511=1),$AP$731,HLOOKUP(INDIRECT(ADDRESS(2,COLUMN())),OFFSET($BN$2,0,0,ROW()-1,60),ROW()-1,FALSE))</f>
        <v>404.82856770000001</v>
      </c>
      <c r="AQ227">
        <f ca="1">IF(AND(ISNUMBER($AQ$731),$B$511=1),$AQ$731,HLOOKUP(INDIRECT(ADDRESS(2,COLUMN())),OFFSET($BN$2,0,0,ROW()-1,60),ROW()-1,FALSE))</f>
        <v>438.46430500000002</v>
      </c>
      <c r="AR227" t="str">
        <f ca="1">IF(AND(ISNUMBER($AR$731),$B$511=1),$AR$731,HLOOKUP(INDIRECT(ADDRESS(2,COLUMN())),OFFSET($BN$2,0,0,ROW()-1,60),ROW()-1,FALSE))</f>
        <v/>
      </c>
      <c r="AS227" t="str">
        <f ca="1">IF(AND(ISNUMBER($AS$731),$B$511=1),$AS$731,HLOOKUP(INDIRECT(ADDRESS(2,COLUMN())),OFFSET($BN$2,0,0,ROW()-1,60),ROW()-1,FALSE))</f>
        <v/>
      </c>
      <c r="AT227" t="str">
        <f ca="1">IF(AND(ISNUMBER($AT$731),$B$511=1),$AT$731,HLOOKUP(INDIRECT(ADDRESS(2,COLUMN())),OFFSET($BN$2,0,0,ROW()-1,60),ROW()-1,FALSE))</f>
        <v/>
      </c>
      <c r="AU227" t="str">
        <f ca="1">IF(AND(ISNUMBER($AU$731),$B$511=1),$AU$731,HLOOKUP(INDIRECT(ADDRESS(2,COLUMN())),OFFSET($BN$2,0,0,ROW()-1,60),ROW()-1,FALSE))</f>
        <v/>
      </c>
      <c r="AV227" t="str">
        <f ca="1">IF(AND(ISNUMBER($AV$731),$B$511=1),$AV$731,HLOOKUP(INDIRECT(ADDRESS(2,COLUMN())),OFFSET($BN$2,0,0,ROW()-1,60),ROW()-1,FALSE))</f>
        <v/>
      </c>
      <c r="AW227" t="str">
        <f ca="1">IF(AND(ISNUMBER($AW$731),$B$511=1),$AW$731,HLOOKUP(INDIRECT(ADDRESS(2,COLUMN())),OFFSET($BN$2,0,0,ROW()-1,60),ROW()-1,FALSE))</f>
        <v/>
      </c>
      <c r="AX227" t="str">
        <f ca="1">IF(AND(ISNUMBER($AX$731),$B$511=1),$AX$731,HLOOKUP(INDIRECT(ADDRESS(2,COLUMN())),OFFSET($BN$2,0,0,ROW()-1,60),ROW()-1,FALSE))</f>
        <v/>
      </c>
      <c r="AY227" t="str">
        <f ca="1">IF(AND(ISNUMBER($AY$731),$B$511=1),$AY$731,HLOOKUP(INDIRECT(ADDRESS(2,COLUMN())),OFFSET($BN$2,0,0,ROW()-1,60),ROW()-1,FALSE))</f>
        <v/>
      </c>
      <c r="AZ227" t="str">
        <f ca="1">IF(AND(ISNUMBER($AZ$731),$B$511=1),$AZ$731,HLOOKUP(INDIRECT(ADDRESS(2,COLUMN())),OFFSET($BN$2,0,0,ROW()-1,60),ROW()-1,FALSE))</f>
        <v/>
      </c>
      <c r="BA227" t="str">
        <f ca="1">IF(AND(ISNUMBER($BA$731),$B$511=1),$BA$731,HLOOKUP(INDIRECT(ADDRESS(2,COLUMN())),OFFSET($BN$2,0,0,ROW()-1,60),ROW()-1,FALSE))</f>
        <v/>
      </c>
      <c r="BB227" t="str">
        <f ca="1">IF(AND(ISNUMBER($BB$731),$B$511=1),$BB$731,HLOOKUP(INDIRECT(ADDRESS(2,COLUMN())),OFFSET($BN$2,0,0,ROW()-1,60),ROW()-1,FALSE))</f>
        <v/>
      </c>
      <c r="BC227" t="str">
        <f ca="1">IF(AND(ISNUMBER($BC$731),$B$511=1),$BC$731,HLOOKUP(INDIRECT(ADDRESS(2,COLUMN())),OFFSET($BN$2,0,0,ROW()-1,60),ROW()-1,FALSE))</f>
        <v/>
      </c>
      <c r="BD227" t="str">
        <f ca="1">IF(AND(ISNUMBER($BD$731),$B$511=1),$BD$731,HLOOKUP(INDIRECT(ADDRESS(2,COLUMN())),OFFSET($BN$2,0,0,ROW()-1,60),ROW()-1,FALSE))</f>
        <v/>
      </c>
      <c r="BE227" t="str">
        <f ca="1">IF(AND(ISNUMBER($BE$731),$B$511=1),$BE$731,HLOOKUP(INDIRECT(ADDRESS(2,COLUMN())),OFFSET($BN$2,0,0,ROW()-1,60),ROW()-1,FALSE))</f>
        <v/>
      </c>
      <c r="BF227" t="str">
        <f ca="1">IF(AND(ISNUMBER($BF$731),$B$511=1),$BF$731,HLOOKUP(INDIRECT(ADDRESS(2,COLUMN())),OFFSET($BN$2,0,0,ROW()-1,60),ROW()-1,FALSE))</f>
        <v/>
      </c>
      <c r="BG227" t="str">
        <f ca="1">IF(AND(ISNUMBER($BG$731),$B$511=1),$BG$731,HLOOKUP(INDIRECT(ADDRESS(2,COLUMN())),OFFSET($BN$2,0,0,ROW()-1,60),ROW()-1,FALSE))</f>
        <v/>
      </c>
      <c r="BH227" t="str">
        <f ca="1">IF(AND(ISNUMBER($BH$731),$B$511=1),$BH$731,HLOOKUP(INDIRECT(ADDRESS(2,COLUMN())),OFFSET($BN$2,0,0,ROW()-1,60),ROW()-1,FALSE))</f>
        <v/>
      </c>
      <c r="BI227" t="str">
        <f ca="1">IF(AND(ISNUMBER($BI$731),$B$511=1),$BI$731,HLOOKUP(INDIRECT(ADDRESS(2,COLUMN())),OFFSET($BN$2,0,0,ROW()-1,60),ROW()-1,FALSE))</f>
        <v/>
      </c>
      <c r="BJ227" t="str">
        <f ca="1">IF(AND(ISNUMBER($BJ$731),$B$511=1),$BJ$731,HLOOKUP(INDIRECT(ADDRESS(2,COLUMN())),OFFSET($BN$2,0,0,ROW()-1,60),ROW()-1,FALSE))</f>
        <v/>
      </c>
      <c r="BK227" t="str">
        <f ca="1">IF(AND(ISNUMBER($BK$731),$B$511=1),$BK$731,HLOOKUP(INDIRECT(ADDRESS(2,COLUMN())),OFFSET($BN$2,0,0,ROW()-1,60),ROW()-1,FALSE))</f>
        <v/>
      </c>
      <c r="BL227" t="str">
        <f ca="1">IF(AND(ISNUMBER($BL$731),$B$511=1),$BL$731,HLOOKUP(INDIRECT(ADDRESS(2,COLUMN())),OFFSET($BN$2,0,0,ROW()-1,60),ROW()-1,FALSE))</f>
        <v/>
      </c>
      <c r="BM227" t="str">
        <f ca="1">IF(AND(ISNUMBER($BM$731),$B$511=1),$BM$731,HLOOKUP(INDIRECT(ADDRESS(2,COLUMN())),OFFSET($BN$2,0,0,ROW()-1,60),ROW()-1,FALSE))</f>
        <v/>
      </c>
      <c r="BN227" t="str">
        <f>""</f>
        <v/>
      </c>
      <c r="BO227" t="str">
        <f>""</f>
        <v/>
      </c>
      <c r="BP227">
        <f>-131.5244998</f>
        <v>-131.5244998</v>
      </c>
      <c r="BQ227">
        <f>412.8869125</f>
        <v>412.88691249999999</v>
      </c>
      <c r="BR227">
        <f>863.3897097</f>
        <v>863.38970970000003</v>
      </c>
      <c r="BS227">
        <f>1697.062238</f>
        <v>1697.062238</v>
      </c>
      <c r="BT227">
        <f>276.4093889</f>
        <v>276.40938890000001</v>
      </c>
      <c r="BU227">
        <f>737.7600741</f>
        <v>737.7600741</v>
      </c>
      <c r="BV227">
        <f>1007.628948</f>
        <v>1007.628948</v>
      </c>
      <c r="BW227">
        <f>718.9108031</f>
        <v>718.91080309999995</v>
      </c>
      <c r="BX227">
        <f>1207.486394</f>
        <v>1207.486394</v>
      </c>
      <c r="BY227">
        <f>1122.463493</f>
        <v>1122.463493</v>
      </c>
      <c r="BZ227">
        <f>897.2776802</f>
        <v>897.27768019999996</v>
      </c>
      <c r="CA227">
        <f>705.9976629</f>
        <v>705.99766290000002</v>
      </c>
      <c r="CB227">
        <f>638.0361778</f>
        <v>638.03617780000002</v>
      </c>
      <c r="CC227">
        <f>293.6343217</f>
        <v>293.63432169999999</v>
      </c>
      <c r="CD227">
        <f>143.4573941</f>
        <v>143.45739409999999</v>
      </c>
      <c r="CE227">
        <f>199.692658</f>
        <v>199.69265799999999</v>
      </c>
      <c r="CF227">
        <f>-86.65026254</f>
        <v>-86.65026254</v>
      </c>
      <c r="CG227">
        <f>24.72742036</f>
        <v>24.72742036</v>
      </c>
      <c r="CH227">
        <f>169.0596298</f>
        <v>169.05962980000001</v>
      </c>
      <c r="CI227">
        <f>283.4557676</f>
        <v>283.4557676</v>
      </c>
      <c r="CJ227">
        <f>400.6451987</f>
        <v>400.64519869999998</v>
      </c>
      <c r="CK227">
        <f>336.9405429</f>
        <v>336.94054290000003</v>
      </c>
      <c r="CL227">
        <f>239.7573332</f>
        <v>239.75733320000001</v>
      </c>
      <c r="CM227">
        <f>187.9668868</f>
        <v>187.9668868</v>
      </c>
      <c r="CN227">
        <f>420.717673</f>
        <v>420.71767299999999</v>
      </c>
      <c r="CO227">
        <f>340.6211268</f>
        <v>340.62112680000001</v>
      </c>
      <c r="CP227">
        <f>373.4809617</f>
        <v>373.48096170000002</v>
      </c>
      <c r="CQ227">
        <f>482.7427535</f>
        <v>482.74275349999999</v>
      </c>
      <c r="CR227">
        <f>144.715796</f>
        <v>144.71579600000001</v>
      </c>
      <c r="CS227">
        <f>616.083755</f>
        <v>616.083755</v>
      </c>
      <c r="CT227">
        <f>410.2870066</f>
        <v>410.28700659999998</v>
      </c>
      <c r="CU227">
        <f>321.6909817</f>
        <v>321.69098170000001</v>
      </c>
      <c r="CV227">
        <f>756.577749</f>
        <v>756.57774900000004</v>
      </c>
      <c r="CW227">
        <f>330.6039707</f>
        <v>330.60397069999999</v>
      </c>
      <c r="CX227">
        <f>404.8285677</f>
        <v>404.82856770000001</v>
      </c>
      <c r="CY227">
        <f>438.464305</f>
        <v>438.46430500000002</v>
      </c>
      <c r="CZ227" t="str">
        <f>""</f>
        <v/>
      </c>
      <c r="DA227" t="str">
        <f>""</f>
        <v/>
      </c>
      <c r="DB227" t="str">
        <f>""</f>
        <v/>
      </c>
      <c r="DC227" t="str">
        <f>""</f>
        <v/>
      </c>
      <c r="DD227" t="str">
        <f>""</f>
        <v/>
      </c>
      <c r="DE227" t="str">
        <f>""</f>
        <v/>
      </c>
      <c r="DF227" t="str">
        <f>""</f>
        <v/>
      </c>
      <c r="DG227" t="str">
        <f>""</f>
        <v/>
      </c>
      <c r="DH227" t="str">
        <f>""</f>
        <v/>
      </c>
      <c r="DI227" t="str">
        <f>""</f>
        <v/>
      </c>
      <c r="DJ227" t="str">
        <f>""</f>
        <v/>
      </c>
      <c r="DK227" t="str">
        <f>""</f>
        <v/>
      </c>
      <c r="DL227" t="str">
        <f>""</f>
        <v/>
      </c>
      <c r="DM227" t="str">
        <f>""</f>
        <v/>
      </c>
      <c r="DN227" t="str">
        <f>""</f>
        <v/>
      </c>
      <c r="DO227" t="str">
        <f>""</f>
        <v/>
      </c>
      <c r="DP227" t="str">
        <f>""</f>
        <v/>
      </c>
      <c r="DQ227" t="str">
        <f>""</f>
        <v/>
      </c>
      <c r="DR227" t="str">
        <f>""</f>
        <v/>
      </c>
      <c r="DS227" t="str">
        <f>""</f>
        <v/>
      </c>
      <c r="DT227" t="str">
        <f>""</f>
        <v/>
      </c>
      <c r="DU227" t="str">
        <f>""</f>
        <v/>
      </c>
    </row>
    <row r="228" spans="1:125" x14ac:dyDescent="0.25">
      <c r="A228" t="str">
        <f>"    Honda Motor Co Ltd"</f>
        <v xml:space="preserve">    Honda Motor Co Ltd</v>
      </c>
      <c r="B228" t="str">
        <f>"7267 JP Equity"</f>
        <v>7267 JP Equity</v>
      </c>
      <c r="C228" t="str">
        <f t="shared" si="15"/>
        <v>RR843</v>
      </c>
      <c r="D228" t="str">
        <f t="shared" si="16"/>
        <v>TRAIL_12M_FREE_CASH_FLOW</v>
      </c>
      <c r="E228" t="str">
        <f t="shared" si="17"/>
        <v>Dynamic</v>
      </c>
      <c r="F228" t="str">
        <f ca="1">IF(AND(ISNUMBER($F$732),$B$511=1),$F$732,HLOOKUP(INDIRECT(ADDRESS(2,COLUMN())),OFFSET($BN$2,0,0,ROW()-1,60),ROW()-1,FALSE))</f>
        <v/>
      </c>
      <c r="G228">
        <f ca="1">IF(AND(ISNUMBER($G$732),$B$511=1),$G$732,HLOOKUP(INDIRECT(ADDRESS(2,COLUMN())),OFFSET($BN$2,0,0,ROW()-1,60),ROW()-1,FALSE))</f>
        <v>4075.947416</v>
      </c>
      <c r="H228">
        <f ca="1">IF(AND(ISNUMBER($H$732),$B$511=1),$H$732,HLOOKUP(INDIRECT(ADDRESS(2,COLUMN())),OFFSET($BN$2,0,0,ROW()-1,60),ROW()-1,FALSE))</f>
        <v>4432.6426490000003</v>
      </c>
      <c r="I228">
        <f ca="1">IF(AND(ISNUMBER($I$732),$B$511=1),$I$732,HLOOKUP(INDIRECT(ADDRESS(2,COLUMN())),OFFSET($BN$2,0,0,ROW()-1,60),ROW()-1,FALSE))</f>
        <v>5346.656379</v>
      </c>
      <c r="J228">
        <f ca="1">IF(AND(ISNUMBER($J$732),$B$511=1),$J$732,HLOOKUP(INDIRECT(ADDRESS(2,COLUMN())),OFFSET($BN$2,0,0,ROW()-1,60),ROW()-1,FALSE))</f>
        <v>5163.3260890000001</v>
      </c>
      <c r="K228">
        <f ca="1">IF(AND(ISNUMBER($K$732),$B$511=1),$K$732,HLOOKUP(INDIRECT(ADDRESS(2,COLUMN())),OFFSET($BN$2,0,0,ROW()-1,60),ROW()-1,FALSE))</f>
        <v>5538.084519</v>
      </c>
      <c r="L228">
        <f ca="1">IF(AND(ISNUMBER($L$732),$B$511=1),$L$732,HLOOKUP(INDIRECT(ADDRESS(2,COLUMN())),OFFSET($BN$2,0,0,ROW()-1,60),ROW()-1,FALSE))</f>
        <v>4262.9781480000001</v>
      </c>
      <c r="M228">
        <f ca="1">IF(AND(ISNUMBER($M$732),$B$511=1),$M$732,HLOOKUP(INDIRECT(ADDRESS(2,COLUMN())),OFFSET($BN$2,0,0,ROW()-1,60),ROW()-1,FALSE))</f>
        <v>3708.963694</v>
      </c>
      <c r="N228">
        <f ca="1">IF(AND(ISNUMBER($N$732),$B$511=1),$N$732,HLOOKUP(INDIRECT(ADDRESS(2,COLUMN())),OFFSET($BN$2,0,0,ROW()-1,60),ROW()-1,FALSE))</f>
        <v>3616.3830240000002</v>
      </c>
      <c r="O228">
        <f ca="1">IF(AND(ISNUMBER($O$732),$B$511=1),$O$732,HLOOKUP(INDIRECT(ADDRESS(2,COLUMN())),OFFSET($BN$2,0,0,ROW()-1,60),ROW()-1,FALSE))</f>
        <v>3288.6417419999998</v>
      </c>
      <c r="P228">
        <f ca="1">IF(AND(ISNUMBER($P$732),$B$511=1),$P$732,HLOOKUP(INDIRECT(ADDRESS(2,COLUMN())),OFFSET($BN$2,0,0,ROW()-1,60),ROW()-1,FALSE))</f>
        <v>4828.2893990000002</v>
      </c>
      <c r="Q228">
        <f ca="1">IF(AND(ISNUMBER($Q$732),$B$511=1),$Q$732,HLOOKUP(INDIRECT(ADDRESS(2,COLUMN())),OFFSET($BN$2,0,0,ROW()-1,60),ROW()-1,FALSE))</f>
        <v>4863.7660939999996</v>
      </c>
      <c r="R228">
        <f ca="1">IF(AND(ISNUMBER($R$732),$B$511=1),$R$732,HLOOKUP(INDIRECT(ADDRESS(2,COLUMN())),OFFSET($BN$2,0,0,ROW()-1,60),ROW()-1,FALSE))</f>
        <v>6300.9728219999997</v>
      </c>
      <c r="S228">
        <f ca="1">IF(AND(ISNUMBER($S$732),$B$511=1),$S$732,HLOOKUP(INDIRECT(ADDRESS(2,COLUMN())),OFFSET($BN$2,0,0,ROW()-1,60),ROW()-1,FALSE))</f>
        <v>6127.180703</v>
      </c>
      <c r="T228">
        <f ca="1">IF(AND(ISNUMBER($T$732),$B$511=1),$T$732,HLOOKUP(INDIRECT(ADDRESS(2,COLUMN())),OFFSET($BN$2,0,0,ROW()-1,60),ROW()-1,FALSE))</f>
        <v>6093.878369</v>
      </c>
      <c r="U228">
        <f ca="1">IF(AND(ISNUMBER($U$732),$B$511=1),$U$732,HLOOKUP(INDIRECT(ADDRESS(2,COLUMN())),OFFSET($BN$2,0,0,ROW()-1,60),ROW()-1,FALSE))</f>
        <v>5627.4639719999996</v>
      </c>
      <c r="V228">
        <f ca="1">IF(AND(ISNUMBER($V$732),$B$511=1),$V$732,HLOOKUP(INDIRECT(ADDRESS(2,COLUMN())),OFFSET($BN$2,0,0,ROW()-1,60),ROW()-1,FALSE))</f>
        <v>3414.4696060000001</v>
      </c>
      <c r="W228">
        <f ca="1">IF(AND(ISNUMBER($W$732),$B$511=1),$W$732,HLOOKUP(INDIRECT(ADDRESS(2,COLUMN())),OFFSET($BN$2,0,0,ROW()-1,60),ROW()-1,FALSE))</f>
        <v>1980.264465</v>
      </c>
      <c r="X228">
        <f ca="1">IF(AND(ISNUMBER($X$732),$B$511=1),$X$732,HLOOKUP(INDIRECT(ADDRESS(2,COLUMN())),OFFSET($BN$2,0,0,ROW()-1,60),ROW()-1,FALSE))</f>
        <v>1737.7064419999999</v>
      </c>
      <c r="Y228">
        <f ca="1">IF(AND(ISNUMBER($Y$732),$B$511=1),$Y$732,HLOOKUP(INDIRECT(ADDRESS(2,COLUMN())),OFFSET($BN$2,0,0,ROW()-1,60),ROW()-1,FALSE))</f>
        <v>3446.5712100000001</v>
      </c>
      <c r="Z228">
        <f ca="1">IF(AND(ISNUMBER($Z$732),$B$511=1),$Z$732,HLOOKUP(INDIRECT(ADDRESS(2,COLUMN())),OFFSET($BN$2,0,0,ROW()-1,60),ROW()-1,FALSE))</f>
        <v>4814.502673</v>
      </c>
      <c r="AA228">
        <f ca="1">IF(AND(ISNUMBER($AA$732),$B$511=1),$AA$732,HLOOKUP(INDIRECT(ADDRESS(2,COLUMN())),OFFSET($BN$2,0,0,ROW()-1,60),ROW()-1,FALSE))</f>
        <v>4931.8829299999998</v>
      </c>
      <c r="AB228">
        <f ca="1">IF(AND(ISNUMBER($AB$732),$B$511=1),$AB$732,HLOOKUP(INDIRECT(ADDRESS(2,COLUMN())),OFFSET($BN$2,0,0,ROW()-1,60),ROW()-1,FALSE))</f>
        <v>5308.6484300000002</v>
      </c>
      <c r="AC228">
        <f ca="1">IF(AND(ISNUMBER($AC$732),$B$511=1),$AC$732,HLOOKUP(INDIRECT(ADDRESS(2,COLUMN())),OFFSET($BN$2,0,0,ROW()-1,60),ROW()-1,FALSE))</f>
        <v>2610.3021079999999</v>
      </c>
      <c r="AD228">
        <f ca="1">IF(AND(ISNUMBER($AD$732),$B$511=1),$AD$732,HLOOKUP(INDIRECT(ADDRESS(2,COLUMN())),OFFSET($BN$2,0,0,ROW()-1,60),ROW()-1,FALSE))</f>
        <v>2104.1666169999999</v>
      </c>
      <c r="AE228">
        <f ca="1">IF(AND(ISNUMBER($AE$732),$B$511=1),$AE$732,HLOOKUP(INDIRECT(ADDRESS(2,COLUMN())),OFFSET($BN$2,0,0,ROW()-1,60),ROW()-1,FALSE))</f>
        <v>1811.1575330000001</v>
      </c>
      <c r="AF228">
        <f ca="1">IF(AND(ISNUMBER($AF$732),$B$511=1),$AF$732,HLOOKUP(INDIRECT(ADDRESS(2,COLUMN())),OFFSET($BN$2,0,0,ROW()-1,60),ROW()-1,FALSE))</f>
        <v>280.99518399999999</v>
      </c>
      <c r="AG228">
        <f ca="1">IF(AND(ISNUMBER($AG$732),$B$511=1),$AG$732,HLOOKUP(INDIRECT(ADDRESS(2,COLUMN())),OFFSET($BN$2,0,0,ROW()-1,60),ROW()-1,FALSE))</f>
        <v>3216.9493240000002</v>
      </c>
      <c r="AH228">
        <f ca="1">IF(AND(ISNUMBER($AH$732),$B$511=1),$AH$732,HLOOKUP(INDIRECT(ADDRESS(2,COLUMN())),OFFSET($BN$2,0,0,ROW()-1,60),ROW()-1,FALSE))</f>
        <v>4311.7686670000003</v>
      </c>
      <c r="AI228">
        <f ca="1">IF(AND(ISNUMBER($AI$732),$B$511=1),$AI$732,HLOOKUP(INDIRECT(ADDRESS(2,COLUMN())),OFFSET($BN$2,0,0,ROW()-1,60),ROW()-1,FALSE))</f>
        <v>5756.9129279999997</v>
      </c>
      <c r="AJ228">
        <f ca="1">IF(AND(ISNUMBER($AJ$732),$B$511=1),$AJ$732,HLOOKUP(INDIRECT(ADDRESS(2,COLUMN())),OFFSET($BN$2,0,0,ROW()-1,60),ROW()-1,FALSE))</f>
        <v>6808.3413069999997</v>
      </c>
      <c r="AK228">
        <f ca="1">IF(AND(ISNUMBER($AK$732),$B$511=1),$AK$732,HLOOKUP(INDIRECT(ADDRESS(2,COLUMN())),OFFSET($BN$2,0,0,ROW()-1,60),ROW()-1,FALSE))</f>
        <v>7178.6359380000004</v>
      </c>
      <c r="AL228">
        <f ca="1">IF(AND(ISNUMBER($AL$732),$B$511=1),$AL$732,HLOOKUP(INDIRECT(ADDRESS(2,COLUMN())),OFFSET($BN$2,0,0,ROW()-1,60),ROW()-1,FALSE))</f>
        <v>8802.7849910000004</v>
      </c>
      <c r="AM228">
        <f ca="1">IF(AND(ISNUMBER($AM$732),$B$511=1),$AM$732,HLOOKUP(INDIRECT(ADDRESS(2,COLUMN())),OFFSET($BN$2,0,0,ROW()-1,60),ROW()-1,FALSE))</f>
        <v>9191.8732110000001</v>
      </c>
      <c r="AN228">
        <f ca="1">IF(AND(ISNUMBER($AN$732),$B$511=1),$AN$732,HLOOKUP(INDIRECT(ADDRESS(2,COLUMN())),OFFSET($BN$2,0,0,ROW()-1,60),ROW()-1,FALSE))</f>
        <v>10380.340389999999</v>
      </c>
      <c r="AO228">
        <f ca="1">IF(AND(ISNUMBER($AO$732),$B$511=1),$AO$732,HLOOKUP(INDIRECT(ADDRESS(2,COLUMN())),OFFSET($BN$2,0,0,ROW()-1,60),ROW()-1,FALSE))</f>
        <v>12670.94975</v>
      </c>
      <c r="AP228">
        <f ca="1">IF(AND(ISNUMBER($AP$732),$B$511=1),$AP$732,HLOOKUP(INDIRECT(ADDRESS(2,COLUMN())),OFFSET($BN$2,0,0,ROW()-1,60),ROW()-1,FALSE))</f>
        <v>12420.46889</v>
      </c>
      <c r="AQ228">
        <f ca="1">IF(AND(ISNUMBER($AQ$732),$B$511=1),$AQ$732,HLOOKUP(INDIRECT(ADDRESS(2,COLUMN())),OFFSET($BN$2,0,0,ROW()-1,60),ROW()-1,FALSE))</f>
        <v>7902.6526679999997</v>
      </c>
      <c r="AR228">
        <f ca="1">IF(AND(ISNUMBER($AR$732),$B$511=1),$AR$732,HLOOKUP(INDIRECT(ADDRESS(2,COLUMN())),OFFSET($BN$2,0,0,ROW()-1,60),ROW()-1,FALSE))</f>
        <v>3642.6431170000001</v>
      </c>
      <c r="AS228">
        <f ca="1">IF(AND(ISNUMBER($AS$732),$B$511=1),$AS$732,HLOOKUP(INDIRECT(ADDRESS(2,COLUMN())),OFFSET($BN$2,0,0,ROW()-1,60),ROW()-1,FALSE))</f>
        <v>-1289.314541</v>
      </c>
      <c r="AT228">
        <f ca="1">IF(AND(ISNUMBER($AT$732),$B$511=1),$AT$732,HLOOKUP(INDIRECT(ADDRESS(2,COLUMN())),OFFSET($BN$2,0,0,ROW()-1,60),ROW()-1,FALSE))</f>
        <v>-2513.4287650000001</v>
      </c>
      <c r="AU228">
        <f ca="1">IF(AND(ISNUMBER($AU$732),$B$511=1),$AU$732,HLOOKUP(INDIRECT(ADDRESS(2,COLUMN())),OFFSET($BN$2,0,0,ROW()-1,60),ROW()-1,FALSE))</f>
        <v>-658.59993489999999</v>
      </c>
      <c r="AV228">
        <f ca="1">IF(AND(ISNUMBER($AV$732),$B$511=1),$AV$732,HLOOKUP(INDIRECT(ADDRESS(2,COLUMN())),OFFSET($BN$2,0,0,ROW()-1,60),ROW()-1,FALSE))</f>
        <v>324.03691029999999</v>
      </c>
      <c r="AW228">
        <f ca="1">IF(AND(ISNUMBER($AW$732),$B$511=1),$AW$732,HLOOKUP(INDIRECT(ADDRESS(2,COLUMN())),OFFSET($BN$2,0,0,ROW()-1,60),ROW()-1,FALSE))</f>
        <v>-321.96859929999999</v>
      </c>
      <c r="AX228">
        <f ca="1">IF(AND(ISNUMBER($AX$732),$B$511=1),$AX$732,HLOOKUP(INDIRECT(ADDRESS(2,COLUMN())),OFFSET($BN$2,0,0,ROW()-1,60),ROW()-1,FALSE))</f>
        <v>-1049.8097210000001</v>
      </c>
      <c r="AY228">
        <f ca="1">IF(AND(ISNUMBER($AY$732),$B$511=1),$AY$732,HLOOKUP(INDIRECT(ADDRESS(2,COLUMN())),OFFSET($BN$2,0,0,ROW()-1,60),ROW()-1,FALSE))</f>
        <v>-1262.027632</v>
      </c>
      <c r="AZ228">
        <f ca="1">IF(AND(ISNUMBER($AZ$732),$B$511=1),$AZ$732,HLOOKUP(INDIRECT(ADDRESS(2,COLUMN())),OFFSET($BN$2,0,0,ROW()-1,60),ROW()-1,FALSE))</f>
        <v>-1809.5154689999999</v>
      </c>
      <c r="BA228">
        <f ca="1">IF(AND(ISNUMBER($BA$732),$B$511=1),$BA$732,HLOOKUP(INDIRECT(ADDRESS(2,COLUMN())),OFFSET($BN$2,0,0,ROW()-1,60),ROW()-1,FALSE))</f>
        <v>-424.6856684</v>
      </c>
      <c r="BB228">
        <f ca="1">IF(AND(ISNUMBER($BB$732),$B$511=1),$BB$732,HLOOKUP(INDIRECT(ADDRESS(2,COLUMN())),OFFSET($BN$2,0,0,ROW()-1,60),ROW()-1,FALSE))</f>
        <v>-515.24742319999996</v>
      </c>
      <c r="BC228">
        <f ca="1">IF(AND(ISNUMBER($BC$732),$B$511=1),$BC$732,HLOOKUP(INDIRECT(ADDRESS(2,COLUMN())),OFFSET($BN$2,0,0,ROW()-1,60),ROW()-1,FALSE))</f>
        <v>759.37819160000004</v>
      </c>
      <c r="BD228">
        <f ca="1">IF(AND(ISNUMBER($BD$732),$B$511=1),$BD$732,HLOOKUP(INDIRECT(ADDRESS(2,COLUMN())),OFFSET($BN$2,0,0,ROW()-1,60),ROW()-1,FALSE))</f>
        <v>1432.3402329999999</v>
      </c>
      <c r="BE228">
        <f ca="1">IF(AND(ISNUMBER($BE$732),$B$511=1),$BE$732,HLOOKUP(INDIRECT(ADDRESS(2,COLUMN())),OFFSET($BN$2,0,0,ROW()-1,60),ROW()-1,FALSE))</f>
        <v>1245.1875520000001</v>
      </c>
      <c r="BF228">
        <f ca="1">IF(AND(ISNUMBER($BF$732),$B$511=1),$BF$732,HLOOKUP(INDIRECT(ADDRESS(2,COLUMN())),OFFSET($BN$2,0,0,ROW()-1,60),ROW()-1,FALSE))</f>
        <v>1066.828411</v>
      </c>
      <c r="BG228">
        <f ca="1">IF(AND(ISNUMBER($BG$732),$B$511=1),$BG$732,HLOOKUP(INDIRECT(ADDRESS(2,COLUMN())),OFFSET($BN$2,0,0,ROW()-1,60),ROW()-1,FALSE))</f>
        <v>1441.782391</v>
      </c>
      <c r="BH228">
        <f ca="1">IF(AND(ISNUMBER($BH$732),$B$511=1),$BH$732,HLOOKUP(INDIRECT(ADDRESS(2,COLUMN())),OFFSET($BN$2,0,0,ROW()-1,60),ROW()-1,FALSE))</f>
        <v>3144.2360210000002</v>
      </c>
      <c r="BI228">
        <f ca="1">IF(AND(ISNUMBER($BI$732),$B$511=1),$BI$732,HLOOKUP(INDIRECT(ADDRESS(2,COLUMN())),OFFSET($BN$2,0,0,ROW()-1,60),ROW()-1,FALSE))</f>
        <v>3264.2821469999999</v>
      </c>
      <c r="BJ228">
        <f ca="1">IF(AND(ISNUMBER($BJ$732),$B$511=1),$BJ$732,HLOOKUP(INDIRECT(ADDRESS(2,COLUMN())),OFFSET($BN$2,0,0,ROW()-1,60),ROW()-1,FALSE))</f>
        <v>3470.0557829999998</v>
      </c>
      <c r="BK228" t="str">
        <f ca="1">IF(AND(ISNUMBER($BK$732),$B$511=1),$BK$732,HLOOKUP(INDIRECT(ADDRESS(2,COLUMN())),OFFSET($BN$2,0,0,ROW()-1,60),ROW()-1,FALSE))</f>
        <v/>
      </c>
      <c r="BL228" t="str">
        <f ca="1">IF(AND(ISNUMBER($BL$732),$B$511=1),$BL$732,HLOOKUP(INDIRECT(ADDRESS(2,COLUMN())),OFFSET($BN$2,0,0,ROW()-1,60),ROW()-1,FALSE))</f>
        <v/>
      </c>
      <c r="BM228" t="str">
        <f ca="1">IF(AND(ISNUMBER($BM$732),$B$511=1),$BM$732,HLOOKUP(INDIRECT(ADDRESS(2,COLUMN())),OFFSET($BN$2,0,0,ROW()-1,60),ROW()-1,FALSE))</f>
        <v/>
      </c>
      <c r="BN228" t="str">
        <f>""</f>
        <v/>
      </c>
      <c r="BO228">
        <f>4075.947416</f>
        <v>4075.947416</v>
      </c>
      <c r="BP228">
        <f>4432.642649</f>
        <v>4432.6426490000003</v>
      </c>
      <c r="BQ228">
        <f>5346.656379</f>
        <v>5346.656379</v>
      </c>
      <c r="BR228">
        <f>5163.326089</f>
        <v>5163.3260890000001</v>
      </c>
      <c r="BS228">
        <f>5538.084519</f>
        <v>5538.084519</v>
      </c>
      <c r="BT228">
        <f>4262.978148</f>
        <v>4262.9781480000001</v>
      </c>
      <c r="BU228">
        <f>3708.963694</f>
        <v>3708.963694</v>
      </c>
      <c r="BV228">
        <f>3616.383024</f>
        <v>3616.3830240000002</v>
      </c>
      <c r="BW228">
        <f>3288.641742</f>
        <v>3288.6417419999998</v>
      </c>
      <c r="BX228">
        <f>4828.289399</f>
        <v>4828.2893990000002</v>
      </c>
      <c r="BY228">
        <f>4863.766094</f>
        <v>4863.7660939999996</v>
      </c>
      <c r="BZ228">
        <f>6300.972822</f>
        <v>6300.9728219999997</v>
      </c>
      <c r="CA228">
        <f>6127.180703</f>
        <v>6127.180703</v>
      </c>
      <c r="CB228">
        <f>6093.878369</f>
        <v>6093.878369</v>
      </c>
      <c r="CC228">
        <f>5627.463972</f>
        <v>5627.4639719999996</v>
      </c>
      <c r="CD228">
        <f>3414.469606</f>
        <v>3414.4696060000001</v>
      </c>
      <c r="CE228">
        <f>1980.264465</f>
        <v>1980.264465</v>
      </c>
      <c r="CF228">
        <f>1737.706442</f>
        <v>1737.7064419999999</v>
      </c>
      <c r="CG228">
        <f>3446.57121</f>
        <v>3446.5712100000001</v>
      </c>
      <c r="CH228">
        <f>4814.502673</f>
        <v>4814.502673</v>
      </c>
      <c r="CI228">
        <f>4931.88293</f>
        <v>4931.8829299999998</v>
      </c>
      <c r="CJ228">
        <f>5308.64843</f>
        <v>5308.6484300000002</v>
      </c>
      <c r="CK228">
        <f>2610.302108</f>
        <v>2610.3021079999999</v>
      </c>
      <c r="CL228">
        <f>2104.166617</f>
        <v>2104.1666169999999</v>
      </c>
      <c r="CM228">
        <f>1811.157533</f>
        <v>1811.1575330000001</v>
      </c>
      <c r="CN228">
        <f>280.995184</f>
        <v>280.99518399999999</v>
      </c>
      <c r="CO228">
        <f>3216.949324</f>
        <v>3216.9493240000002</v>
      </c>
      <c r="CP228">
        <f>4311.768667</f>
        <v>4311.7686670000003</v>
      </c>
      <c r="CQ228">
        <f>5756.912928</f>
        <v>5756.9129279999997</v>
      </c>
      <c r="CR228">
        <f>6808.341307</f>
        <v>6808.3413069999997</v>
      </c>
      <c r="CS228">
        <f>7178.635938</f>
        <v>7178.6359380000004</v>
      </c>
      <c r="CT228">
        <f>8802.784991</f>
        <v>8802.7849910000004</v>
      </c>
      <c r="CU228">
        <f>9191.873211</f>
        <v>9191.8732110000001</v>
      </c>
      <c r="CV228">
        <f>10380.34039</f>
        <v>10380.340389999999</v>
      </c>
      <c r="CW228">
        <f>12670.94975</f>
        <v>12670.94975</v>
      </c>
      <c r="CX228">
        <f>12420.46889</f>
        <v>12420.46889</v>
      </c>
      <c r="CY228">
        <f>7902.652668</f>
        <v>7902.6526679999997</v>
      </c>
      <c r="CZ228">
        <f>3642.643117</f>
        <v>3642.6431170000001</v>
      </c>
      <c r="DA228">
        <f>-1289.314541</f>
        <v>-1289.314541</v>
      </c>
      <c r="DB228">
        <f>-2513.428765</f>
        <v>-2513.4287650000001</v>
      </c>
      <c r="DC228">
        <f>-658.5999349</f>
        <v>-658.59993489999999</v>
      </c>
      <c r="DD228">
        <f>324.0369103</f>
        <v>324.03691029999999</v>
      </c>
      <c r="DE228">
        <f>-321.9685993</f>
        <v>-321.96859929999999</v>
      </c>
      <c r="DF228">
        <f>-1049.809721</f>
        <v>-1049.8097210000001</v>
      </c>
      <c r="DG228">
        <f>-1262.027632</f>
        <v>-1262.027632</v>
      </c>
      <c r="DH228">
        <f>-1809.515469</f>
        <v>-1809.5154689999999</v>
      </c>
      <c r="DI228">
        <f>-424.6856684</f>
        <v>-424.6856684</v>
      </c>
      <c r="DJ228">
        <f>-515.2474232</f>
        <v>-515.24742319999996</v>
      </c>
      <c r="DK228">
        <f>759.3781916</f>
        <v>759.37819160000004</v>
      </c>
      <c r="DL228">
        <f>1432.340233</f>
        <v>1432.3402329999999</v>
      </c>
      <c r="DM228">
        <f>1245.187552</f>
        <v>1245.1875520000001</v>
      </c>
      <c r="DN228">
        <f>1066.828411</f>
        <v>1066.828411</v>
      </c>
      <c r="DO228">
        <f>1441.782391</f>
        <v>1441.782391</v>
      </c>
      <c r="DP228">
        <f>3144.236021</f>
        <v>3144.2360210000002</v>
      </c>
      <c r="DQ228">
        <f>3264.282147</f>
        <v>3264.2821469999999</v>
      </c>
      <c r="DR228">
        <f>3470.055783</f>
        <v>3470.0557829999998</v>
      </c>
      <c r="DS228" t="str">
        <f>""</f>
        <v/>
      </c>
      <c r="DT228" t="str">
        <f>""</f>
        <v/>
      </c>
      <c r="DU228" t="str">
        <f>""</f>
        <v/>
      </c>
    </row>
    <row r="229" spans="1:125" x14ac:dyDescent="0.25">
      <c r="A229" t="str">
        <f>"    Hyundai Motor Co"</f>
        <v xml:space="preserve">    Hyundai Motor Co</v>
      </c>
      <c r="B229" t="str">
        <f>"005380 KS Equity"</f>
        <v>005380 KS Equity</v>
      </c>
      <c r="C229" t="str">
        <f t="shared" si="15"/>
        <v>RR843</v>
      </c>
      <c r="D229" t="str">
        <f t="shared" si="16"/>
        <v>TRAIL_12M_FREE_CASH_FLOW</v>
      </c>
      <c r="E229" t="str">
        <f t="shared" si="17"/>
        <v>Dynamic</v>
      </c>
      <c r="F229" t="str">
        <f ca="1">IF(AND(ISNUMBER($F$733),$B$511=1),$F$733,HLOOKUP(INDIRECT(ADDRESS(2,COLUMN())),OFFSET($BN$2,0,0,ROW()-1,60),ROW()-1,FALSE))</f>
        <v/>
      </c>
      <c r="G229" t="str">
        <f ca="1">IF(AND(ISNUMBER($G$733),$B$511=1),$G$733,HLOOKUP(INDIRECT(ADDRESS(2,COLUMN())),OFFSET($BN$2,0,0,ROW()-1,60),ROW()-1,FALSE))</f>
        <v/>
      </c>
      <c r="H229">
        <f ca="1">IF(AND(ISNUMBER($H$733),$B$511=1),$H$733,HLOOKUP(INDIRECT(ADDRESS(2,COLUMN())),OFFSET($BN$2,0,0,ROW()-1,60),ROW()-1,FALSE))</f>
        <v>1833.851645</v>
      </c>
      <c r="I229">
        <f ca="1">IF(AND(ISNUMBER($I$733),$B$511=1),$I$733,HLOOKUP(INDIRECT(ADDRESS(2,COLUMN())),OFFSET($BN$2,0,0,ROW()-1,60),ROW()-1,FALSE))</f>
        <v>1388.5123940000001</v>
      </c>
      <c r="J229">
        <f ca="1">IF(AND(ISNUMBER($J$733),$B$511=1),$J$733,HLOOKUP(INDIRECT(ADDRESS(2,COLUMN())),OFFSET($BN$2,0,0,ROW()-1,60),ROW()-1,FALSE))</f>
        <v>845.95631019999996</v>
      </c>
      <c r="K229">
        <f ca="1">IF(AND(ISNUMBER($K$733),$B$511=1),$K$733,HLOOKUP(INDIRECT(ADDRESS(2,COLUMN())),OFFSET($BN$2,0,0,ROW()-1,60),ROW()-1,FALSE))</f>
        <v>767.51368290000005</v>
      </c>
      <c r="L229">
        <f ca="1">IF(AND(ISNUMBER($L$733),$B$511=1),$L$733,HLOOKUP(INDIRECT(ADDRESS(2,COLUMN())),OFFSET($BN$2,0,0,ROW()-1,60),ROW()-1,FALSE))</f>
        <v>-214.12922459999999</v>
      </c>
      <c r="M229">
        <f ca="1">IF(AND(ISNUMBER($M$733),$B$511=1),$M$733,HLOOKUP(INDIRECT(ADDRESS(2,COLUMN())),OFFSET($BN$2,0,0,ROW()-1,60),ROW()-1,FALSE))</f>
        <v>-155.90887050000001</v>
      </c>
      <c r="N229">
        <f ca="1">IF(AND(ISNUMBER($N$733),$B$511=1),$N$733,HLOOKUP(INDIRECT(ADDRESS(2,COLUMN())),OFFSET($BN$2,0,0,ROW()-1,60),ROW()-1,FALSE))</f>
        <v>52.248439339999997</v>
      </c>
      <c r="O229">
        <f ca="1">IF(AND(ISNUMBER($O$733),$B$511=1),$O$733,HLOOKUP(INDIRECT(ADDRESS(2,COLUMN())),OFFSET($BN$2,0,0,ROW()-1,60),ROW()-1,FALSE))</f>
        <v>-1702.407361</v>
      </c>
      <c r="P229">
        <f ca="1">IF(AND(ISNUMBER($P$733),$B$511=1),$P$733,HLOOKUP(INDIRECT(ADDRESS(2,COLUMN())),OFFSET($BN$2,0,0,ROW()-1,60),ROW()-1,FALSE))</f>
        <v>-2991.0767289999999</v>
      </c>
      <c r="Q229">
        <f ca="1">IF(AND(ISNUMBER($Q$733),$B$511=1),$Q$733,HLOOKUP(INDIRECT(ADDRESS(2,COLUMN())),OFFSET($BN$2,0,0,ROW()-1,60),ROW()-1,FALSE))</f>
        <v>-5038.0234229999996</v>
      </c>
      <c r="R229">
        <f ca="1">IF(AND(ISNUMBER($R$733),$B$511=1),$R$733,HLOOKUP(INDIRECT(ADDRESS(2,COLUMN())),OFFSET($BN$2,0,0,ROW()-1,60),ROW()-1,FALSE))</f>
        <v>-6589.0679870000004</v>
      </c>
      <c r="S229">
        <f ca="1">IF(AND(ISNUMBER($S$733),$B$511=1),$S$733,HLOOKUP(INDIRECT(ADDRESS(2,COLUMN())),OFFSET($BN$2,0,0,ROW()-1,60),ROW()-1,FALSE))</f>
        <v>-6094.6011150000004</v>
      </c>
      <c r="T229">
        <f ca="1">IF(AND(ISNUMBER($T$733),$B$511=1),$T$733,HLOOKUP(INDIRECT(ADDRESS(2,COLUMN())),OFFSET($BN$2,0,0,ROW()-1,60),ROW()-1,FALSE))</f>
        <v>-7486.1390510000001</v>
      </c>
      <c r="U229">
        <f ca="1">IF(AND(ISNUMBER($U$733),$B$511=1),$U$733,HLOOKUP(INDIRECT(ADDRESS(2,COLUMN())),OFFSET($BN$2,0,0,ROW()-1,60),ROW()-1,FALSE))</f>
        <v>-5679.0754340000003</v>
      </c>
      <c r="V229">
        <f ca="1">IF(AND(ISNUMBER($V$733),$B$511=1),$V$733,HLOOKUP(INDIRECT(ADDRESS(2,COLUMN())),OFFSET($BN$2,0,0,ROW()-1,60),ROW()-1,FALSE))</f>
        <v>-3684.5618829999999</v>
      </c>
      <c r="W229">
        <f ca="1">IF(AND(ISNUMBER($W$733),$B$511=1),$W$733,HLOOKUP(INDIRECT(ADDRESS(2,COLUMN())),OFFSET($BN$2,0,0,ROW()-1,60),ROW()-1,FALSE))</f>
        <v>-1171.4496939999999</v>
      </c>
      <c r="X229">
        <f ca="1">IF(AND(ISNUMBER($X$733),$B$511=1),$X$733,HLOOKUP(INDIRECT(ADDRESS(2,COLUMN())),OFFSET($BN$2,0,0,ROW()-1,60),ROW()-1,FALSE))</f>
        <v>-2002.3626400000001</v>
      </c>
      <c r="Y229">
        <f ca="1">IF(AND(ISNUMBER($Y$733),$B$511=1),$Y$733,HLOOKUP(INDIRECT(ADDRESS(2,COLUMN())),OFFSET($BN$2,0,0,ROW()-1,60),ROW()-1,FALSE))</f>
        <v>-2853.245308</v>
      </c>
      <c r="Z229">
        <f ca="1">IF(AND(ISNUMBER($Z$733),$B$511=1),$Z$733,HLOOKUP(INDIRECT(ADDRESS(2,COLUMN())),OFFSET($BN$2,0,0,ROW()-1,60),ROW()-1,FALSE))</f>
        <v>-1056.9094210000001</v>
      </c>
      <c r="AA229">
        <f ca="1">IF(AND(ISNUMBER($AA$733),$B$511=1),$AA$733,HLOOKUP(INDIRECT(ADDRESS(2,COLUMN())),OFFSET($BN$2,0,0,ROW()-1,60),ROW()-1,FALSE))</f>
        <v>-1793.852752</v>
      </c>
      <c r="AB229">
        <f ca="1">IF(AND(ISNUMBER($AB$733),$B$511=1),$AB$733,HLOOKUP(INDIRECT(ADDRESS(2,COLUMN())),OFFSET($BN$2,0,0,ROW()-1,60),ROW()-1,FALSE))</f>
        <v>1377.282477</v>
      </c>
      <c r="AC229">
        <f ca="1">IF(AND(ISNUMBER($AC$733),$B$511=1),$AC$733,HLOOKUP(INDIRECT(ADDRESS(2,COLUMN())),OFFSET($BN$2,0,0,ROW()-1,60),ROW()-1,FALSE))</f>
        <v>3464.471035</v>
      </c>
      <c r="AD229">
        <f ca="1">IF(AND(ISNUMBER($AD$733),$B$511=1),$AD$733,HLOOKUP(INDIRECT(ADDRESS(2,COLUMN())),OFFSET($BN$2,0,0,ROW()-1,60),ROW()-1,FALSE))</f>
        <v>2003.8490650000001</v>
      </c>
      <c r="AE229">
        <f ca="1">IF(AND(ISNUMBER($AE$733),$B$511=1),$AE$733,HLOOKUP(INDIRECT(ADDRESS(2,COLUMN())),OFFSET($BN$2,0,0,ROW()-1,60),ROW()-1,FALSE))</f>
        <v>2078.083944</v>
      </c>
      <c r="AF229">
        <f ca="1">IF(AND(ISNUMBER($AF$733),$B$511=1),$AF$733,HLOOKUP(INDIRECT(ADDRESS(2,COLUMN())),OFFSET($BN$2,0,0,ROW()-1,60),ROW()-1,FALSE))</f>
        <v>2550.9801360000001</v>
      </c>
      <c r="AG229">
        <f ca="1">IF(AND(ISNUMBER($AG$733),$B$511=1),$AG$733,HLOOKUP(INDIRECT(ADDRESS(2,COLUMN())),OFFSET($BN$2,0,0,ROW()-1,60),ROW()-1,FALSE))</f>
        <v>1218.9648079999999</v>
      </c>
      <c r="AH229">
        <f ca="1">IF(AND(ISNUMBER($AH$733),$B$511=1),$AH$733,HLOOKUP(INDIRECT(ADDRESS(2,COLUMN())),OFFSET($BN$2,0,0,ROW()-1,60),ROW()-1,FALSE))</f>
        <v>1529.0180769999999</v>
      </c>
      <c r="AI229">
        <f ca="1">IF(AND(ISNUMBER($AI$733),$B$511=1),$AI$733,HLOOKUP(INDIRECT(ADDRESS(2,COLUMN())),OFFSET($BN$2,0,0,ROW()-1,60),ROW()-1,FALSE))</f>
        <v>1113.9730870000001</v>
      </c>
      <c r="AJ229">
        <f ca="1">IF(AND(ISNUMBER($AJ$733),$B$511=1),$AJ$733,HLOOKUP(INDIRECT(ADDRESS(2,COLUMN())),OFFSET($BN$2,0,0,ROW()-1,60),ROW()-1,FALSE))</f>
        <v>1133.0833210000001</v>
      </c>
      <c r="AK229">
        <f ca="1">IF(AND(ISNUMBER($AK$733),$B$511=1),$AK$733,HLOOKUP(INDIRECT(ADDRESS(2,COLUMN())),OFFSET($BN$2,0,0,ROW()-1,60),ROW()-1,FALSE))</f>
        <v>1265.59961</v>
      </c>
      <c r="AL229">
        <f ca="1">IF(AND(ISNUMBER($AL$733),$B$511=1),$AL$733,HLOOKUP(INDIRECT(ADDRESS(2,COLUMN())),OFFSET($BN$2,0,0,ROW()-1,60),ROW()-1,FALSE))</f>
        <v>1765.1040660000001</v>
      </c>
      <c r="AM229">
        <f ca="1">IF(AND(ISNUMBER($AM$733),$B$511=1),$AM$733,HLOOKUP(INDIRECT(ADDRESS(2,COLUMN())),OFFSET($BN$2,0,0,ROW()-1,60),ROW()-1,FALSE))</f>
        <v>2017.286167</v>
      </c>
      <c r="AN229" t="str">
        <f ca="1">IF(AND(ISNUMBER($AN$733),$B$511=1),$AN$733,HLOOKUP(INDIRECT(ADDRESS(2,COLUMN())),OFFSET($BN$2,0,0,ROW()-1,60),ROW()-1,FALSE))</f>
        <v/>
      </c>
      <c r="AO229" t="str">
        <f ca="1">IF(AND(ISNUMBER($AO$733),$B$511=1),$AO$733,HLOOKUP(INDIRECT(ADDRESS(2,COLUMN())),OFFSET($BN$2,0,0,ROW()-1,60),ROW()-1,FALSE))</f>
        <v/>
      </c>
      <c r="AP229" t="str">
        <f ca="1">IF(AND(ISNUMBER($AP$733),$B$511=1),$AP$733,HLOOKUP(INDIRECT(ADDRESS(2,COLUMN())),OFFSET($BN$2,0,0,ROW()-1,60),ROW()-1,FALSE))</f>
        <v/>
      </c>
      <c r="AQ229" t="str">
        <f ca="1">IF(AND(ISNUMBER($AQ$733),$B$511=1),$AQ$733,HLOOKUP(INDIRECT(ADDRESS(2,COLUMN())),OFFSET($BN$2,0,0,ROW()-1,60),ROW()-1,FALSE))</f>
        <v/>
      </c>
      <c r="AR229" t="str">
        <f ca="1">IF(AND(ISNUMBER($AR$733),$B$511=1),$AR$733,HLOOKUP(INDIRECT(ADDRESS(2,COLUMN())),OFFSET($BN$2,0,0,ROW()-1,60),ROW()-1,FALSE))</f>
        <v/>
      </c>
      <c r="AS229" t="str">
        <f ca="1">IF(AND(ISNUMBER($AS$733),$B$511=1),$AS$733,HLOOKUP(INDIRECT(ADDRESS(2,COLUMN())),OFFSET($BN$2,0,0,ROW()-1,60),ROW()-1,FALSE))</f>
        <v/>
      </c>
      <c r="AT229" t="str">
        <f ca="1">IF(AND(ISNUMBER($AT$733),$B$511=1),$AT$733,HLOOKUP(INDIRECT(ADDRESS(2,COLUMN())),OFFSET($BN$2,0,0,ROW()-1,60),ROW()-1,FALSE))</f>
        <v/>
      </c>
      <c r="AU229" t="str">
        <f ca="1">IF(AND(ISNUMBER($AU$733),$B$511=1),$AU$733,HLOOKUP(INDIRECT(ADDRESS(2,COLUMN())),OFFSET($BN$2,0,0,ROW()-1,60),ROW()-1,FALSE))</f>
        <v/>
      </c>
      <c r="AV229" t="str">
        <f ca="1">IF(AND(ISNUMBER($AV$733),$B$511=1),$AV$733,HLOOKUP(INDIRECT(ADDRESS(2,COLUMN())),OFFSET($BN$2,0,0,ROW()-1,60),ROW()-1,FALSE))</f>
        <v/>
      </c>
      <c r="AW229" t="str">
        <f ca="1">IF(AND(ISNUMBER($AW$733),$B$511=1),$AW$733,HLOOKUP(INDIRECT(ADDRESS(2,COLUMN())),OFFSET($BN$2,0,0,ROW()-1,60),ROW()-1,FALSE))</f>
        <v/>
      </c>
      <c r="AX229" t="str">
        <f ca="1">IF(AND(ISNUMBER($AX$733),$B$511=1),$AX$733,HLOOKUP(INDIRECT(ADDRESS(2,COLUMN())),OFFSET($BN$2,0,0,ROW()-1,60),ROW()-1,FALSE))</f>
        <v/>
      </c>
      <c r="AY229" t="str">
        <f ca="1">IF(AND(ISNUMBER($AY$733),$B$511=1),$AY$733,HLOOKUP(INDIRECT(ADDRESS(2,COLUMN())),OFFSET($BN$2,0,0,ROW()-1,60),ROW()-1,FALSE))</f>
        <v/>
      </c>
      <c r="AZ229" t="str">
        <f ca="1">IF(AND(ISNUMBER($AZ$733),$B$511=1),$AZ$733,HLOOKUP(INDIRECT(ADDRESS(2,COLUMN())),OFFSET($BN$2,0,0,ROW()-1,60),ROW()-1,FALSE))</f>
        <v/>
      </c>
      <c r="BA229" t="str">
        <f ca="1">IF(AND(ISNUMBER($BA$733),$B$511=1),$BA$733,HLOOKUP(INDIRECT(ADDRESS(2,COLUMN())),OFFSET($BN$2,0,0,ROW()-1,60),ROW()-1,FALSE))</f>
        <v/>
      </c>
      <c r="BB229" t="str">
        <f ca="1">IF(AND(ISNUMBER($BB$733),$B$511=1),$BB$733,HLOOKUP(INDIRECT(ADDRESS(2,COLUMN())),OFFSET($BN$2,0,0,ROW()-1,60),ROW()-1,FALSE))</f>
        <v/>
      </c>
      <c r="BC229" t="str">
        <f ca="1">IF(AND(ISNUMBER($BC$733),$B$511=1),$BC$733,HLOOKUP(INDIRECT(ADDRESS(2,COLUMN())),OFFSET($BN$2,0,0,ROW()-1,60),ROW()-1,FALSE))</f>
        <v/>
      </c>
      <c r="BD229" t="str">
        <f ca="1">IF(AND(ISNUMBER($BD$733),$B$511=1),$BD$733,HLOOKUP(INDIRECT(ADDRESS(2,COLUMN())),OFFSET($BN$2,0,0,ROW()-1,60),ROW()-1,FALSE))</f>
        <v/>
      </c>
      <c r="BE229" t="str">
        <f ca="1">IF(AND(ISNUMBER($BE$733),$B$511=1),$BE$733,HLOOKUP(INDIRECT(ADDRESS(2,COLUMN())),OFFSET($BN$2,0,0,ROW()-1,60),ROW()-1,FALSE))</f>
        <v/>
      </c>
      <c r="BF229" t="str">
        <f ca="1">IF(AND(ISNUMBER($BF$733),$B$511=1),$BF$733,HLOOKUP(INDIRECT(ADDRESS(2,COLUMN())),OFFSET($BN$2,0,0,ROW()-1,60),ROW()-1,FALSE))</f>
        <v/>
      </c>
      <c r="BG229" t="str">
        <f ca="1">IF(AND(ISNUMBER($BG$733),$B$511=1),$BG$733,HLOOKUP(INDIRECT(ADDRESS(2,COLUMN())),OFFSET($BN$2,0,0,ROW()-1,60),ROW()-1,FALSE))</f>
        <v/>
      </c>
      <c r="BH229" t="str">
        <f ca="1">IF(AND(ISNUMBER($BH$733),$B$511=1),$BH$733,HLOOKUP(INDIRECT(ADDRESS(2,COLUMN())),OFFSET($BN$2,0,0,ROW()-1,60),ROW()-1,FALSE))</f>
        <v/>
      </c>
      <c r="BI229" t="str">
        <f ca="1">IF(AND(ISNUMBER($BI$733),$B$511=1),$BI$733,HLOOKUP(INDIRECT(ADDRESS(2,COLUMN())),OFFSET($BN$2,0,0,ROW()-1,60),ROW()-1,FALSE))</f>
        <v/>
      </c>
      <c r="BJ229" t="str">
        <f ca="1">IF(AND(ISNUMBER($BJ$733),$B$511=1),$BJ$733,HLOOKUP(INDIRECT(ADDRESS(2,COLUMN())),OFFSET($BN$2,0,0,ROW()-1,60),ROW()-1,FALSE))</f>
        <v/>
      </c>
      <c r="BK229" t="str">
        <f ca="1">IF(AND(ISNUMBER($BK$733),$B$511=1),$BK$733,HLOOKUP(INDIRECT(ADDRESS(2,COLUMN())),OFFSET($BN$2,0,0,ROW()-1,60),ROW()-1,FALSE))</f>
        <v/>
      </c>
      <c r="BL229" t="str">
        <f ca="1">IF(AND(ISNUMBER($BL$733),$B$511=1),$BL$733,HLOOKUP(INDIRECT(ADDRESS(2,COLUMN())),OFFSET($BN$2,0,0,ROW()-1,60),ROW()-1,FALSE))</f>
        <v/>
      </c>
      <c r="BM229" t="str">
        <f ca="1">IF(AND(ISNUMBER($BM$733),$B$511=1),$BM$733,HLOOKUP(INDIRECT(ADDRESS(2,COLUMN())),OFFSET($BN$2,0,0,ROW()-1,60),ROW()-1,FALSE))</f>
        <v/>
      </c>
      <c r="BN229" t="str">
        <f>""</f>
        <v/>
      </c>
      <c r="BO229" t="str">
        <f>""</f>
        <v/>
      </c>
      <c r="BP229">
        <f>1833.851645</f>
        <v>1833.851645</v>
      </c>
      <c r="BQ229">
        <f>1388.512394</f>
        <v>1388.5123940000001</v>
      </c>
      <c r="BR229">
        <f>845.9563102</f>
        <v>845.95631019999996</v>
      </c>
      <c r="BS229">
        <f>767.5136829</f>
        <v>767.51368290000005</v>
      </c>
      <c r="BT229">
        <f>-214.1292246</f>
        <v>-214.12922459999999</v>
      </c>
      <c r="BU229">
        <f>-155.9088705</f>
        <v>-155.90887050000001</v>
      </c>
      <c r="BV229">
        <f>52.24843934</f>
        <v>52.248439339999997</v>
      </c>
      <c r="BW229">
        <f>-1702.407361</f>
        <v>-1702.407361</v>
      </c>
      <c r="BX229">
        <f>-2991.076729</f>
        <v>-2991.0767289999999</v>
      </c>
      <c r="BY229">
        <f>-5038.023423</f>
        <v>-5038.0234229999996</v>
      </c>
      <c r="BZ229">
        <f>-6589.067987</f>
        <v>-6589.0679870000004</v>
      </c>
      <c r="CA229">
        <f>-6094.601115</f>
        <v>-6094.6011150000004</v>
      </c>
      <c r="CB229">
        <f>-7486.139051</f>
        <v>-7486.1390510000001</v>
      </c>
      <c r="CC229">
        <f>-5679.075434</f>
        <v>-5679.0754340000003</v>
      </c>
      <c r="CD229">
        <f>-3684.561883</f>
        <v>-3684.5618829999999</v>
      </c>
      <c r="CE229">
        <f>-1171.449694</f>
        <v>-1171.4496939999999</v>
      </c>
      <c r="CF229">
        <f>-2002.36264</f>
        <v>-2002.3626400000001</v>
      </c>
      <c r="CG229">
        <f>-2853.245308</f>
        <v>-2853.245308</v>
      </c>
      <c r="CH229">
        <f>-1056.909421</f>
        <v>-1056.9094210000001</v>
      </c>
      <c r="CI229">
        <f>-1793.852752</f>
        <v>-1793.852752</v>
      </c>
      <c r="CJ229">
        <f>1377.282477</f>
        <v>1377.282477</v>
      </c>
      <c r="CK229">
        <f>3464.471035</f>
        <v>3464.471035</v>
      </c>
      <c r="CL229">
        <f>2003.849065</f>
        <v>2003.8490650000001</v>
      </c>
      <c r="CM229">
        <f>2078.083944</f>
        <v>2078.083944</v>
      </c>
      <c r="CN229">
        <f>2550.980136</f>
        <v>2550.9801360000001</v>
      </c>
      <c r="CO229">
        <f>1218.964808</f>
        <v>1218.9648079999999</v>
      </c>
      <c r="CP229">
        <f>1529.018077</f>
        <v>1529.0180769999999</v>
      </c>
      <c r="CQ229">
        <f>1113.973087</f>
        <v>1113.9730870000001</v>
      </c>
      <c r="CR229">
        <f>1133.083321</f>
        <v>1133.0833210000001</v>
      </c>
      <c r="CS229">
        <f>1265.59961</f>
        <v>1265.59961</v>
      </c>
      <c r="CT229">
        <f>1765.104066</f>
        <v>1765.1040660000001</v>
      </c>
      <c r="CU229">
        <f>2017.286167</f>
        <v>2017.286167</v>
      </c>
      <c r="CV229" t="str">
        <f>""</f>
        <v/>
      </c>
      <c r="CW229" t="str">
        <f>""</f>
        <v/>
      </c>
      <c r="CX229" t="str">
        <f>""</f>
        <v/>
      </c>
      <c r="CY229" t="str">
        <f>""</f>
        <v/>
      </c>
      <c r="CZ229" t="str">
        <f>""</f>
        <v/>
      </c>
      <c r="DA229" t="str">
        <f>""</f>
        <v/>
      </c>
      <c r="DB229" t="str">
        <f>""</f>
        <v/>
      </c>
      <c r="DC229" t="str">
        <f>""</f>
        <v/>
      </c>
      <c r="DD229" t="str">
        <f>""</f>
        <v/>
      </c>
      <c r="DE229" t="str">
        <f>""</f>
        <v/>
      </c>
      <c r="DF229" t="str">
        <f>""</f>
        <v/>
      </c>
      <c r="DG229" t="str">
        <f>""</f>
        <v/>
      </c>
      <c r="DH229" t="str">
        <f>""</f>
        <v/>
      </c>
      <c r="DI229" t="str">
        <f>""</f>
        <v/>
      </c>
      <c r="DJ229" t="str">
        <f>""</f>
        <v/>
      </c>
      <c r="DK229" t="str">
        <f>""</f>
        <v/>
      </c>
      <c r="DL229" t="str">
        <f>""</f>
        <v/>
      </c>
      <c r="DM229" t="str">
        <f>""</f>
        <v/>
      </c>
      <c r="DN229" t="str">
        <f>""</f>
        <v/>
      </c>
      <c r="DO229" t="str">
        <f>""</f>
        <v/>
      </c>
      <c r="DP229" t="str">
        <f>""</f>
        <v/>
      </c>
      <c r="DQ229" t="str">
        <f>""</f>
        <v/>
      </c>
      <c r="DR229" t="str">
        <f>""</f>
        <v/>
      </c>
      <c r="DS229" t="str">
        <f>""</f>
        <v/>
      </c>
      <c r="DT229" t="str">
        <f>""</f>
        <v/>
      </c>
      <c r="DU229" t="str">
        <f>""</f>
        <v/>
      </c>
    </row>
    <row r="230" spans="1:125" x14ac:dyDescent="0.25">
      <c r="A230" t="str">
        <f>"    Kia Motors Corp"</f>
        <v xml:space="preserve">    Kia Motors Corp</v>
      </c>
      <c r="B230" t="str">
        <f>"000270 KS Equity"</f>
        <v>000270 KS Equity</v>
      </c>
      <c r="C230" t="str">
        <f t="shared" si="15"/>
        <v>RR843</v>
      </c>
      <c r="D230" t="str">
        <f t="shared" si="16"/>
        <v>TRAIL_12M_FREE_CASH_FLOW</v>
      </c>
      <c r="E230" t="str">
        <f t="shared" si="17"/>
        <v>Dynamic</v>
      </c>
      <c r="F230" t="str">
        <f ca="1">IF(AND(ISNUMBER($F$734),$B$511=1),$F$734,HLOOKUP(INDIRECT(ADDRESS(2,COLUMN())),OFFSET($BN$2,0,0,ROW()-1,60),ROW()-1,FALSE))</f>
        <v/>
      </c>
      <c r="G230" t="str">
        <f ca="1">IF(AND(ISNUMBER($G$734),$B$511=1),$G$734,HLOOKUP(INDIRECT(ADDRESS(2,COLUMN())),OFFSET($BN$2,0,0,ROW()-1,60),ROW()-1,FALSE))</f>
        <v/>
      </c>
      <c r="H230">
        <f ca="1">IF(AND(ISNUMBER($H$734),$B$511=1),$H$734,HLOOKUP(INDIRECT(ADDRESS(2,COLUMN())),OFFSET($BN$2,0,0,ROW()-1,60),ROW()-1,FALSE))</f>
        <v>2117.4348230000001</v>
      </c>
      <c r="I230">
        <f ca="1">IF(AND(ISNUMBER($I$734),$B$511=1),$I$734,HLOOKUP(INDIRECT(ADDRESS(2,COLUMN())),OFFSET($BN$2,0,0,ROW()-1,60),ROW()-1,FALSE))</f>
        <v>2507.009333</v>
      </c>
      <c r="J230">
        <f ca="1">IF(AND(ISNUMBER($J$734),$B$511=1),$J$734,HLOOKUP(INDIRECT(ADDRESS(2,COLUMN())),OFFSET($BN$2,0,0,ROW()-1,60),ROW()-1,FALSE))</f>
        <v>1582.7631289999999</v>
      </c>
      <c r="K230">
        <f ca="1">IF(AND(ISNUMBER($K$734),$B$511=1),$K$734,HLOOKUP(INDIRECT(ADDRESS(2,COLUMN())),OFFSET($BN$2,0,0,ROW()-1,60),ROW()-1,FALSE))</f>
        <v>800.52817330000005</v>
      </c>
      <c r="L230">
        <f ca="1">IF(AND(ISNUMBER($L$734),$B$511=1),$L$734,HLOOKUP(INDIRECT(ADDRESS(2,COLUMN())),OFFSET($BN$2,0,0,ROW()-1,60),ROW()-1,FALSE))</f>
        <v>725.63522339999997</v>
      </c>
      <c r="M230">
        <f ca="1">IF(AND(ISNUMBER($M$734),$B$511=1),$M$734,HLOOKUP(INDIRECT(ADDRESS(2,COLUMN())),OFFSET($BN$2,0,0,ROW()-1,60),ROW()-1,FALSE))</f>
        <v>385.4721462</v>
      </c>
      <c r="N230">
        <f ca="1">IF(AND(ISNUMBER($N$734),$B$511=1),$N$734,HLOOKUP(INDIRECT(ADDRESS(2,COLUMN())),OFFSET($BN$2,0,0,ROW()-1,60),ROW()-1,FALSE))</f>
        <v>2105.0003280000001</v>
      </c>
      <c r="O230">
        <f ca="1">IF(AND(ISNUMBER($O$734),$B$511=1),$O$734,HLOOKUP(INDIRECT(ADDRESS(2,COLUMN())),OFFSET($BN$2,0,0,ROW()-1,60),ROW()-1,FALSE))</f>
        <v>1480.053236</v>
      </c>
      <c r="P230">
        <f ca="1">IF(AND(ISNUMBER($P$734),$B$511=1),$P$734,HLOOKUP(INDIRECT(ADDRESS(2,COLUMN())),OFFSET($BN$2,0,0,ROW()-1,60),ROW()-1,FALSE))</f>
        <v>1669.424675</v>
      </c>
      <c r="Q230">
        <f ca="1">IF(AND(ISNUMBER($Q$734),$B$511=1),$Q$734,HLOOKUP(INDIRECT(ADDRESS(2,COLUMN())),OFFSET($BN$2,0,0,ROW()-1,60),ROW()-1,FALSE))</f>
        <v>1410.4342859999999</v>
      </c>
      <c r="R230">
        <f ca="1">IF(AND(ISNUMBER($R$734),$B$511=1),$R$734,HLOOKUP(INDIRECT(ADDRESS(2,COLUMN())),OFFSET($BN$2,0,0,ROW()-1,60),ROW()-1,FALSE))</f>
        <v>-518.74443120000001</v>
      </c>
      <c r="S230">
        <f ca="1">IF(AND(ISNUMBER($S$734),$B$511=1),$S$734,HLOOKUP(INDIRECT(ADDRESS(2,COLUMN())),OFFSET($BN$2,0,0,ROW()-1,60),ROW()-1,FALSE))</f>
        <v>-476.86733070000002</v>
      </c>
      <c r="T230">
        <f ca="1">IF(AND(ISNUMBER($T$734),$B$511=1),$T$734,HLOOKUP(INDIRECT(ADDRESS(2,COLUMN())),OFFSET($BN$2,0,0,ROW()-1,60),ROW()-1,FALSE))</f>
        <v>11.66991005</v>
      </c>
      <c r="U230">
        <f ca="1">IF(AND(ISNUMBER($U$734),$B$511=1),$U$734,HLOOKUP(INDIRECT(ADDRESS(2,COLUMN())),OFFSET($BN$2,0,0,ROW()-1,60),ROW()-1,FALSE))</f>
        <v>202.29180059999999</v>
      </c>
      <c r="V230">
        <f ca="1">IF(AND(ISNUMBER($V$734),$B$511=1),$V$734,HLOOKUP(INDIRECT(ADDRESS(2,COLUMN())),OFFSET($BN$2,0,0,ROW()-1,60),ROW()-1,FALSE))</f>
        <v>15.770782840000001</v>
      </c>
      <c r="W230">
        <f ca="1">IF(AND(ISNUMBER($W$734),$B$511=1),$W$734,HLOOKUP(INDIRECT(ADDRESS(2,COLUMN())),OFFSET($BN$2,0,0,ROW()-1,60),ROW()-1,FALSE))</f>
        <v>887.61900279999998</v>
      </c>
      <c r="X230">
        <f ca="1">IF(AND(ISNUMBER($X$734),$B$511=1),$X$734,HLOOKUP(INDIRECT(ADDRESS(2,COLUMN())),OFFSET($BN$2,0,0,ROW()-1,60),ROW()-1,FALSE))</f>
        <v>1896.809808</v>
      </c>
      <c r="Y230">
        <f ca="1">IF(AND(ISNUMBER($Y$734),$B$511=1),$Y$734,HLOOKUP(INDIRECT(ADDRESS(2,COLUMN())),OFFSET($BN$2,0,0,ROW()-1,60),ROW()-1,FALSE))</f>
        <v>1750.0759660000001</v>
      </c>
      <c r="Z230">
        <f ca="1">IF(AND(ISNUMBER($Z$734),$B$511=1),$Z$734,HLOOKUP(INDIRECT(ADDRESS(2,COLUMN())),OFFSET($BN$2,0,0,ROW()-1,60),ROW()-1,FALSE))</f>
        <v>3227.6893690000002</v>
      </c>
      <c r="AA230">
        <f ca="1">IF(AND(ISNUMBER($AA$734),$B$511=1),$AA$734,HLOOKUP(INDIRECT(ADDRESS(2,COLUMN())),OFFSET($BN$2,0,0,ROW()-1,60),ROW()-1,FALSE))</f>
        <v>3275.9993129999998</v>
      </c>
      <c r="AB230">
        <f ca="1">IF(AND(ISNUMBER($AB$734),$B$511=1),$AB$734,HLOOKUP(INDIRECT(ADDRESS(2,COLUMN())),OFFSET($BN$2,0,0,ROW()-1,60),ROW()-1,FALSE))</f>
        <v>2225.3792509999998</v>
      </c>
      <c r="AC230">
        <f ca="1">IF(AND(ISNUMBER($AC$734),$B$511=1),$AC$734,HLOOKUP(INDIRECT(ADDRESS(2,COLUMN())),OFFSET($BN$2,0,0,ROW()-1,60),ROW()-1,FALSE))</f>
        <v>2410.9751329999999</v>
      </c>
      <c r="AD230">
        <f ca="1">IF(AND(ISNUMBER($AD$734),$B$511=1),$AD$734,HLOOKUP(INDIRECT(ADDRESS(2,COLUMN())),OFFSET($BN$2,0,0,ROW()-1,60),ROW()-1,FALSE))</f>
        <v>1964.9000820000001</v>
      </c>
      <c r="AE230">
        <f ca="1">IF(AND(ISNUMBER($AE$734),$B$511=1),$AE$734,HLOOKUP(INDIRECT(ADDRESS(2,COLUMN())),OFFSET($BN$2,0,0,ROW()-1,60),ROW()-1,FALSE))</f>
        <v>2461.0134159999998</v>
      </c>
      <c r="AF230">
        <f ca="1">IF(AND(ISNUMBER($AF$734),$B$511=1),$AF$734,HLOOKUP(INDIRECT(ADDRESS(2,COLUMN())),OFFSET($BN$2,0,0,ROW()-1,60),ROW()-1,FALSE))</f>
        <v>3222.5861570000002</v>
      </c>
      <c r="AG230">
        <f ca="1">IF(AND(ISNUMBER($AG$734),$B$511=1),$AG$734,HLOOKUP(INDIRECT(ADDRESS(2,COLUMN())),OFFSET($BN$2,0,0,ROW()-1,60),ROW()-1,FALSE))</f>
        <v>3365.7833070000001</v>
      </c>
      <c r="AH230">
        <f ca="1">IF(AND(ISNUMBER($AH$734),$B$511=1),$AH$734,HLOOKUP(INDIRECT(ADDRESS(2,COLUMN())),OFFSET($BN$2,0,0,ROW()-1,60),ROW()-1,FALSE))</f>
        <v>2992.961816</v>
      </c>
      <c r="AI230">
        <f ca="1">IF(AND(ISNUMBER($AI$734),$B$511=1),$AI$734,HLOOKUP(INDIRECT(ADDRESS(2,COLUMN())),OFFSET($BN$2,0,0,ROW()-1,60),ROW()-1,FALSE))</f>
        <v>2971.3625790000001</v>
      </c>
      <c r="AJ230">
        <f ca="1">IF(AND(ISNUMBER($AJ$734),$B$511=1),$AJ$734,HLOOKUP(INDIRECT(ADDRESS(2,COLUMN())),OFFSET($BN$2,0,0,ROW()-1,60),ROW()-1,FALSE))</f>
        <v>3316.5908669999999</v>
      </c>
      <c r="AK230">
        <f ca="1">IF(AND(ISNUMBER($AK$734),$B$511=1),$AK$734,HLOOKUP(INDIRECT(ADDRESS(2,COLUMN())),OFFSET($BN$2,0,0,ROW()-1,60),ROW()-1,FALSE))</f>
        <v>3376.9956099999999</v>
      </c>
      <c r="AL230">
        <f ca="1">IF(AND(ISNUMBER($AL$734),$B$511=1),$AL$734,HLOOKUP(INDIRECT(ADDRESS(2,COLUMN())),OFFSET($BN$2,0,0,ROW()-1,60),ROW()-1,FALSE))</f>
        <v>3862.9669560000002</v>
      </c>
      <c r="AM230">
        <f ca="1">IF(AND(ISNUMBER($AM$734),$B$511=1),$AM$734,HLOOKUP(INDIRECT(ADDRESS(2,COLUMN())),OFFSET($BN$2,0,0,ROW()-1,60),ROW()-1,FALSE))</f>
        <v>3776.8860610000002</v>
      </c>
      <c r="AN230" t="str">
        <f ca="1">IF(AND(ISNUMBER($AN$734),$B$511=1),$AN$734,HLOOKUP(INDIRECT(ADDRESS(2,COLUMN())),OFFSET($BN$2,0,0,ROW()-1,60),ROW()-1,FALSE))</f>
        <v/>
      </c>
      <c r="AO230" t="str">
        <f ca="1">IF(AND(ISNUMBER($AO$734),$B$511=1),$AO$734,HLOOKUP(INDIRECT(ADDRESS(2,COLUMN())),OFFSET($BN$2,0,0,ROW()-1,60),ROW()-1,FALSE))</f>
        <v/>
      </c>
      <c r="AP230" t="str">
        <f ca="1">IF(AND(ISNUMBER($AP$734),$B$511=1),$AP$734,HLOOKUP(INDIRECT(ADDRESS(2,COLUMN())),OFFSET($BN$2,0,0,ROW()-1,60),ROW()-1,FALSE))</f>
        <v/>
      </c>
      <c r="AQ230" t="str">
        <f ca="1">IF(AND(ISNUMBER($AQ$734),$B$511=1),$AQ$734,HLOOKUP(INDIRECT(ADDRESS(2,COLUMN())),OFFSET($BN$2,0,0,ROW()-1,60),ROW()-1,FALSE))</f>
        <v/>
      </c>
      <c r="AR230" t="str">
        <f ca="1">IF(AND(ISNUMBER($AR$734),$B$511=1),$AR$734,HLOOKUP(INDIRECT(ADDRESS(2,COLUMN())),OFFSET($BN$2,0,0,ROW()-1,60),ROW()-1,FALSE))</f>
        <v/>
      </c>
      <c r="AS230" t="str">
        <f ca="1">IF(AND(ISNUMBER($AS$734),$B$511=1),$AS$734,HLOOKUP(INDIRECT(ADDRESS(2,COLUMN())),OFFSET($BN$2,0,0,ROW()-1,60),ROW()-1,FALSE))</f>
        <v/>
      </c>
      <c r="AT230" t="str">
        <f ca="1">IF(AND(ISNUMBER($AT$734),$B$511=1),$AT$734,HLOOKUP(INDIRECT(ADDRESS(2,COLUMN())),OFFSET($BN$2,0,0,ROW()-1,60),ROW()-1,FALSE))</f>
        <v/>
      </c>
      <c r="AU230" t="str">
        <f ca="1">IF(AND(ISNUMBER($AU$734),$B$511=1),$AU$734,HLOOKUP(INDIRECT(ADDRESS(2,COLUMN())),OFFSET($BN$2,0,0,ROW()-1,60),ROW()-1,FALSE))</f>
        <v/>
      </c>
      <c r="AV230" t="str">
        <f ca="1">IF(AND(ISNUMBER($AV$734),$B$511=1),$AV$734,HLOOKUP(INDIRECT(ADDRESS(2,COLUMN())),OFFSET($BN$2,0,0,ROW()-1,60),ROW()-1,FALSE))</f>
        <v/>
      </c>
      <c r="AW230" t="str">
        <f ca="1">IF(AND(ISNUMBER($AW$734),$B$511=1),$AW$734,HLOOKUP(INDIRECT(ADDRESS(2,COLUMN())),OFFSET($BN$2,0,0,ROW()-1,60),ROW()-1,FALSE))</f>
        <v/>
      </c>
      <c r="AX230" t="str">
        <f ca="1">IF(AND(ISNUMBER($AX$734),$B$511=1),$AX$734,HLOOKUP(INDIRECT(ADDRESS(2,COLUMN())),OFFSET($BN$2,0,0,ROW()-1,60),ROW()-1,FALSE))</f>
        <v/>
      </c>
      <c r="AY230" t="str">
        <f ca="1">IF(AND(ISNUMBER($AY$734),$B$511=1),$AY$734,HLOOKUP(INDIRECT(ADDRESS(2,COLUMN())),OFFSET($BN$2,0,0,ROW()-1,60),ROW()-1,FALSE))</f>
        <v/>
      </c>
      <c r="AZ230" t="str">
        <f ca="1">IF(AND(ISNUMBER($AZ$734),$B$511=1),$AZ$734,HLOOKUP(INDIRECT(ADDRESS(2,COLUMN())),OFFSET($BN$2,0,0,ROW()-1,60),ROW()-1,FALSE))</f>
        <v/>
      </c>
      <c r="BA230" t="str">
        <f ca="1">IF(AND(ISNUMBER($BA$734),$B$511=1),$BA$734,HLOOKUP(INDIRECT(ADDRESS(2,COLUMN())),OFFSET($BN$2,0,0,ROW()-1,60),ROW()-1,FALSE))</f>
        <v/>
      </c>
      <c r="BB230" t="str">
        <f ca="1">IF(AND(ISNUMBER($BB$734),$B$511=1),$BB$734,HLOOKUP(INDIRECT(ADDRESS(2,COLUMN())),OFFSET($BN$2,0,0,ROW()-1,60),ROW()-1,FALSE))</f>
        <v/>
      </c>
      <c r="BC230" t="str">
        <f ca="1">IF(AND(ISNUMBER($BC$734),$B$511=1),$BC$734,HLOOKUP(INDIRECT(ADDRESS(2,COLUMN())),OFFSET($BN$2,0,0,ROW()-1,60),ROW()-1,FALSE))</f>
        <v/>
      </c>
      <c r="BD230" t="str">
        <f ca="1">IF(AND(ISNUMBER($BD$734),$B$511=1),$BD$734,HLOOKUP(INDIRECT(ADDRESS(2,COLUMN())),OFFSET($BN$2,0,0,ROW()-1,60),ROW()-1,FALSE))</f>
        <v/>
      </c>
      <c r="BE230" t="str">
        <f ca="1">IF(AND(ISNUMBER($BE$734),$B$511=1),$BE$734,HLOOKUP(INDIRECT(ADDRESS(2,COLUMN())),OFFSET($BN$2,0,0,ROW()-1,60),ROW()-1,FALSE))</f>
        <v/>
      </c>
      <c r="BF230" t="str">
        <f ca="1">IF(AND(ISNUMBER($BF$734),$B$511=1),$BF$734,HLOOKUP(INDIRECT(ADDRESS(2,COLUMN())),OFFSET($BN$2,0,0,ROW()-1,60),ROW()-1,FALSE))</f>
        <v/>
      </c>
      <c r="BG230" t="str">
        <f ca="1">IF(AND(ISNUMBER($BG$734),$B$511=1),$BG$734,HLOOKUP(INDIRECT(ADDRESS(2,COLUMN())),OFFSET($BN$2,0,0,ROW()-1,60),ROW()-1,FALSE))</f>
        <v/>
      </c>
      <c r="BH230" t="str">
        <f ca="1">IF(AND(ISNUMBER($BH$734),$B$511=1),$BH$734,HLOOKUP(INDIRECT(ADDRESS(2,COLUMN())),OFFSET($BN$2,0,0,ROW()-1,60),ROW()-1,FALSE))</f>
        <v/>
      </c>
      <c r="BI230" t="str">
        <f ca="1">IF(AND(ISNUMBER($BI$734),$B$511=1),$BI$734,HLOOKUP(INDIRECT(ADDRESS(2,COLUMN())),OFFSET($BN$2,0,0,ROW()-1,60),ROW()-1,FALSE))</f>
        <v/>
      </c>
      <c r="BJ230" t="str">
        <f ca="1">IF(AND(ISNUMBER($BJ$734),$B$511=1),$BJ$734,HLOOKUP(INDIRECT(ADDRESS(2,COLUMN())),OFFSET($BN$2,0,0,ROW()-1,60),ROW()-1,FALSE))</f>
        <v/>
      </c>
      <c r="BK230" t="str">
        <f ca="1">IF(AND(ISNUMBER($BK$734),$B$511=1),$BK$734,HLOOKUP(INDIRECT(ADDRESS(2,COLUMN())),OFFSET($BN$2,0,0,ROW()-1,60),ROW()-1,FALSE))</f>
        <v/>
      </c>
      <c r="BL230" t="str">
        <f ca="1">IF(AND(ISNUMBER($BL$734),$B$511=1),$BL$734,HLOOKUP(INDIRECT(ADDRESS(2,COLUMN())),OFFSET($BN$2,0,0,ROW()-1,60),ROW()-1,FALSE))</f>
        <v/>
      </c>
      <c r="BM230" t="str">
        <f ca="1">IF(AND(ISNUMBER($BM$734),$B$511=1),$BM$734,HLOOKUP(INDIRECT(ADDRESS(2,COLUMN())),OFFSET($BN$2,0,0,ROW()-1,60),ROW()-1,FALSE))</f>
        <v/>
      </c>
      <c r="BN230" t="str">
        <f>""</f>
        <v/>
      </c>
      <c r="BO230" t="str">
        <f>""</f>
        <v/>
      </c>
      <c r="BP230">
        <f>2117.434823</f>
        <v>2117.4348230000001</v>
      </c>
      <c r="BQ230">
        <f>2507.009333</f>
        <v>2507.009333</v>
      </c>
      <c r="BR230">
        <f>1582.763129</f>
        <v>1582.7631289999999</v>
      </c>
      <c r="BS230">
        <f>800.5281733</f>
        <v>800.52817330000005</v>
      </c>
      <c r="BT230">
        <f>725.6352234</f>
        <v>725.63522339999997</v>
      </c>
      <c r="BU230">
        <f>385.4721462</f>
        <v>385.4721462</v>
      </c>
      <c r="BV230">
        <f>2105.000328</f>
        <v>2105.0003280000001</v>
      </c>
      <c r="BW230">
        <f>1480.053236</f>
        <v>1480.053236</v>
      </c>
      <c r="BX230">
        <f>1669.424675</f>
        <v>1669.424675</v>
      </c>
      <c r="BY230">
        <f>1410.434286</f>
        <v>1410.4342859999999</v>
      </c>
      <c r="BZ230">
        <f>-518.7444312</f>
        <v>-518.74443120000001</v>
      </c>
      <c r="CA230">
        <f>-476.8673307</f>
        <v>-476.86733070000002</v>
      </c>
      <c r="CB230">
        <f>11.66991005</f>
        <v>11.66991005</v>
      </c>
      <c r="CC230">
        <f>202.2918006</f>
        <v>202.29180059999999</v>
      </c>
      <c r="CD230">
        <f>15.77078284</f>
        <v>15.770782840000001</v>
      </c>
      <c r="CE230">
        <f>887.6190028</f>
        <v>887.61900279999998</v>
      </c>
      <c r="CF230">
        <f>1896.809808</f>
        <v>1896.809808</v>
      </c>
      <c r="CG230">
        <f>1750.075966</f>
        <v>1750.0759660000001</v>
      </c>
      <c r="CH230">
        <f>3227.689369</f>
        <v>3227.6893690000002</v>
      </c>
      <c r="CI230">
        <f>3275.999313</f>
        <v>3275.9993129999998</v>
      </c>
      <c r="CJ230">
        <f>2225.379251</f>
        <v>2225.3792509999998</v>
      </c>
      <c r="CK230">
        <f>2410.975133</f>
        <v>2410.9751329999999</v>
      </c>
      <c r="CL230">
        <f>1964.900082</f>
        <v>1964.9000820000001</v>
      </c>
      <c r="CM230">
        <f>2461.013416</f>
        <v>2461.0134159999998</v>
      </c>
      <c r="CN230">
        <f>3222.586157</f>
        <v>3222.5861570000002</v>
      </c>
      <c r="CO230">
        <f>3365.783307</f>
        <v>3365.7833070000001</v>
      </c>
      <c r="CP230">
        <f>2992.961816</f>
        <v>2992.961816</v>
      </c>
      <c r="CQ230">
        <f>2971.362579</f>
        <v>2971.3625790000001</v>
      </c>
      <c r="CR230">
        <f>3316.590867</f>
        <v>3316.5908669999999</v>
      </c>
      <c r="CS230">
        <f>3376.99561</f>
        <v>3376.9956099999999</v>
      </c>
      <c r="CT230">
        <f>3862.966956</f>
        <v>3862.9669560000002</v>
      </c>
      <c r="CU230">
        <f>3776.886061</f>
        <v>3776.8860610000002</v>
      </c>
      <c r="CV230" t="str">
        <f>""</f>
        <v/>
      </c>
      <c r="CW230" t="str">
        <f>""</f>
        <v/>
      </c>
      <c r="CX230" t="str">
        <f>""</f>
        <v/>
      </c>
      <c r="CY230" t="str">
        <f>""</f>
        <v/>
      </c>
      <c r="CZ230" t="str">
        <f>""</f>
        <v/>
      </c>
      <c r="DA230" t="str">
        <f>""</f>
        <v/>
      </c>
      <c r="DB230" t="str">
        <f>""</f>
        <v/>
      </c>
      <c r="DC230" t="str">
        <f>""</f>
        <v/>
      </c>
      <c r="DD230" t="str">
        <f>""</f>
        <v/>
      </c>
      <c r="DE230" t="str">
        <f>""</f>
        <v/>
      </c>
      <c r="DF230" t="str">
        <f>""</f>
        <v/>
      </c>
      <c r="DG230" t="str">
        <f>""</f>
        <v/>
      </c>
      <c r="DH230" t="str">
        <f>""</f>
        <v/>
      </c>
      <c r="DI230" t="str">
        <f>""</f>
        <v/>
      </c>
      <c r="DJ230" t="str">
        <f>""</f>
        <v/>
      </c>
      <c r="DK230" t="str">
        <f>""</f>
        <v/>
      </c>
      <c r="DL230" t="str">
        <f>""</f>
        <v/>
      </c>
      <c r="DM230" t="str">
        <f>""</f>
        <v/>
      </c>
      <c r="DN230" t="str">
        <f>""</f>
        <v/>
      </c>
      <c r="DO230" t="str">
        <f>""</f>
        <v/>
      </c>
      <c r="DP230" t="str">
        <f>""</f>
        <v/>
      </c>
      <c r="DQ230" t="str">
        <f>""</f>
        <v/>
      </c>
      <c r="DR230" t="str">
        <f>""</f>
        <v/>
      </c>
      <c r="DS230" t="str">
        <f>""</f>
        <v/>
      </c>
      <c r="DT230" t="str">
        <f>""</f>
        <v/>
      </c>
      <c r="DU230" t="str">
        <f>""</f>
        <v/>
      </c>
    </row>
    <row r="231" spans="1:125" x14ac:dyDescent="0.25">
      <c r="A231" t="str">
        <f>"    Mazda Motor Corp"</f>
        <v xml:space="preserve">    Mazda Motor Corp</v>
      </c>
      <c r="B231" t="str">
        <f>"7261 JP Equity"</f>
        <v>7261 JP Equity</v>
      </c>
      <c r="C231" t="str">
        <f t="shared" si="15"/>
        <v>RR843</v>
      </c>
      <c r="D231" t="str">
        <f t="shared" si="16"/>
        <v>TRAIL_12M_FREE_CASH_FLOW</v>
      </c>
      <c r="E231" t="str">
        <f t="shared" si="17"/>
        <v>Dynamic</v>
      </c>
      <c r="F231" t="str">
        <f ca="1">IF(AND(ISNUMBER($F$735),$B$511=1),$F$735,HLOOKUP(INDIRECT(ADDRESS(2,COLUMN())),OFFSET($BN$2,0,0,ROW()-1,60),ROW()-1,FALSE))</f>
        <v/>
      </c>
      <c r="G231">
        <f ca="1">IF(AND(ISNUMBER($G$735),$B$511=1),$G$735,HLOOKUP(INDIRECT(ADDRESS(2,COLUMN())),OFFSET($BN$2,0,0,ROW()-1,60),ROW()-1,FALSE))</f>
        <v>601.76624409999999</v>
      </c>
      <c r="H231">
        <f ca="1">IF(AND(ISNUMBER($H$735),$B$511=1),$H$735,HLOOKUP(INDIRECT(ADDRESS(2,COLUMN())),OFFSET($BN$2,0,0,ROW()-1,60),ROW()-1,FALSE))</f>
        <v>882.20855080000001</v>
      </c>
      <c r="I231">
        <f ca="1">IF(AND(ISNUMBER($I$735),$B$511=1),$I$735,HLOOKUP(INDIRECT(ADDRESS(2,COLUMN())),OFFSET($BN$2,0,0,ROW()-1,60),ROW()-1,FALSE))</f>
        <v>945.93364559999998</v>
      </c>
      <c r="J231">
        <f ca="1">IF(AND(ISNUMBER($J$735),$B$511=1),$J$735,HLOOKUP(INDIRECT(ADDRESS(2,COLUMN())),OFFSET($BN$2,0,0,ROW()-1,60),ROW()-1,FALSE))</f>
        <v>1089.706666</v>
      </c>
      <c r="K231">
        <f ca="1">IF(AND(ISNUMBER($K$735),$B$511=1),$K$735,HLOOKUP(INDIRECT(ADDRESS(2,COLUMN())),OFFSET($BN$2,0,0,ROW()-1,60),ROW()-1,FALSE))</f>
        <v>947.29606809999996</v>
      </c>
      <c r="L231">
        <f ca="1">IF(AND(ISNUMBER($L$735),$B$511=1),$L$735,HLOOKUP(INDIRECT(ADDRESS(2,COLUMN())),OFFSET($BN$2,0,0,ROW()-1,60),ROW()-1,FALSE))</f>
        <v>728.5047204</v>
      </c>
      <c r="M231">
        <f ca="1">IF(AND(ISNUMBER($M$735),$B$511=1),$M$735,HLOOKUP(INDIRECT(ADDRESS(2,COLUMN())),OFFSET($BN$2,0,0,ROW()-1,60),ROW()-1,FALSE))</f>
        <v>711.59015139999997</v>
      </c>
      <c r="N231">
        <f ca="1">IF(AND(ISNUMBER($N$735),$B$511=1),$N$735,HLOOKUP(INDIRECT(ADDRESS(2,COLUMN())),OFFSET($BN$2,0,0,ROW()-1,60),ROW()-1,FALSE))</f>
        <v>756.5208983</v>
      </c>
      <c r="O231">
        <f ca="1">IF(AND(ISNUMBER($O$735),$B$511=1),$O$735,HLOOKUP(INDIRECT(ADDRESS(2,COLUMN())),OFFSET($BN$2,0,0,ROW()-1,60),ROW()-1,FALSE))</f>
        <v>895.91238490000001</v>
      </c>
      <c r="P231">
        <f ca="1">IF(AND(ISNUMBER($P$735),$B$511=1),$P$735,HLOOKUP(INDIRECT(ADDRESS(2,COLUMN())),OFFSET($BN$2,0,0,ROW()-1,60),ROW()-1,FALSE))</f>
        <v>1144.781223</v>
      </c>
      <c r="Q231">
        <f ca="1">IF(AND(ISNUMBER($Q$735),$B$511=1),$Q$735,HLOOKUP(INDIRECT(ADDRESS(2,COLUMN())),OFFSET($BN$2,0,0,ROW()-1,60),ROW()-1,FALSE))</f>
        <v>1305.6843980000001</v>
      </c>
      <c r="R231">
        <f ca="1">IF(AND(ISNUMBER($R$735),$B$511=1),$R$735,HLOOKUP(INDIRECT(ADDRESS(2,COLUMN())),OFFSET($BN$2,0,0,ROW()-1,60),ROW()-1,FALSE))</f>
        <v>1532.8202510000001</v>
      </c>
      <c r="S231">
        <f ca="1">IF(AND(ISNUMBER($S$735),$B$511=1),$S$735,HLOOKUP(INDIRECT(ADDRESS(2,COLUMN())),OFFSET($BN$2,0,0,ROW()-1,60),ROW()-1,FALSE))</f>
        <v>1475.5779030000001</v>
      </c>
      <c r="T231">
        <f ca="1">IF(AND(ISNUMBER($T$735),$B$511=1),$T$735,HLOOKUP(INDIRECT(ADDRESS(2,COLUMN())),OFFSET($BN$2,0,0,ROW()-1,60),ROW()-1,FALSE))</f>
        <v>1284.983412</v>
      </c>
      <c r="U231">
        <f ca="1">IF(AND(ISNUMBER($U$735),$B$511=1),$U$735,HLOOKUP(INDIRECT(ADDRESS(2,COLUMN())),OFFSET($BN$2,0,0,ROW()-1,60),ROW()-1,FALSE))</f>
        <v>1020.098785</v>
      </c>
      <c r="V231">
        <f ca="1">IF(AND(ISNUMBER($V$735),$B$511=1),$V$735,HLOOKUP(INDIRECT(ADDRESS(2,COLUMN())),OFFSET($BN$2,0,0,ROW()-1,60),ROW()-1,FALSE))</f>
        <v>741.33276350000006</v>
      </c>
      <c r="W231">
        <f ca="1">IF(AND(ISNUMBER($W$735),$B$511=1),$W$735,HLOOKUP(INDIRECT(ADDRESS(2,COLUMN())),OFFSET($BN$2,0,0,ROW()-1,60),ROW()-1,FALSE))</f>
        <v>589.35100839999996</v>
      </c>
      <c r="X231">
        <f ca="1">IF(AND(ISNUMBER($X$735),$B$511=1),$X$735,HLOOKUP(INDIRECT(ADDRESS(2,COLUMN())),OFFSET($BN$2,0,0,ROW()-1,60),ROW()-1,FALSE))</f>
        <v>845.61406160000001</v>
      </c>
      <c r="Y231">
        <f ca="1">IF(AND(ISNUMBER($Y$735),$B$511=1),$Y$735,HLOOKUP(INDIRECT(ADDRESS(2,COLUMN())),OFFSET($BN$2,0,0,ROW()-1,60),ROW()-1,FALSE))</f>
        <v>583.55786720000003</v>
      </c>
      <c r="Z231">
        <f ca="1">IF(AND(ISNUMBER($Z$735),$B$511=1),$Z$735,HLOOKUP(INDIRECT(ADDRESS(2,COLUMN())),OFFSET($BN$2,0,0,ROW()-1,60),ROW()-1,FALSE))</f>
        <v>255.1149806</v>
      </c>
      <c r="AA231">
        <f ca="1">IF(AND(ISNUMBER($AA$735),$B$511=1),$AA$735,HLOOKUP(INDIRECT(ADDRESS(2,COLUMN())),OFFSET($BN$2,0,0,ROW()-1,60),ROW()-1,FALSE))</f>
        <v>336.81702360000003</v>
      </c>
      <c r="AB231">
        <f ca="1">IF(AND(ISNUMBER($AB$735),$B$511=1),$AB$735,HLOOKUP(INDIRECT(ADDRESS(2,COLUMN())),OFFSET($BN$2,0,0,ROW()-1,60),ROW()-1,FALSE))</f>
        <v>-124.3236326</v>
      </c>
      <c r="AC231">
        <f ca="1">IF(AND(ISNUMBER($AC$735),$B$511=1),$AC$735,HLOOKUP(INDIRECT(ADDRESS(2,COLUMN())),OFFSET($BN$2,0,0,ROW()-1,60),ROW()-1,FALSE))</f>
        <v>-203.85429199999999</v>
      </c>
      <c r="AD231">
        <f ca="1">IF(AND(ISNUMBER($AD$735),$B$511=1),$AD$735,HLOOKUP(INDIRECT(ADDRESS(2,COLUMN())),OFFSET($BN$2,0,0,ROW()-1,60),ROW()-1,FALSE))</f>
        <v>-252.52661900000001</v>
      </c>
      <c r="AE231">
        <f ca="1">IF(AND(ISNUMBER($AE$735),$B$511=1),$AE$735,HLOOKUP(INDIRECT(ADDRESS(2,COLUMN())),OFFSET($BN$2,0,0,ROW()-1,60),ROW()-1,FALSE))</f>
        <v>-315.11255219999998</v>
      </c>
      <c r="AF231">
        <f ca="1">IF(AND(ISNUMBER($AF$735),$B$511=1),$AF$735,HLOOKUP(INDIRECT(ADDRESS(2,COLUMN())),OFFSET($BN$2,0,0,ROW()-1,60),ROW()-1,FALSE))</f>
        <v>-884.09751400000005</v>
      </c>
      <c r="AG231">
        <f ca="1">IF(AND(ISNUMBER($AG$735),$B$511=1),$AG$735,HLOOKUP(INDIRECT(ADDRESS(2,COLUMN())),OFFSET($BN$2,0,0,ROW()-1,60),ROW()-1,FALSE))</f>
        <v>-770.19863740000005</v>
      </c>
      <c r="AH231">
        <f ca="1">IF(AND(ISNUMBER($AH$735),$B$511=1),$AH$735,HLOOKUP(INDIRECT(ADDRESS(2,COLUMN())),OFFSET($BN$2,0,0,ROW()-1,60),ROW()-1,FALSE))</f>
        <v>-897.584383</v>
      </c>
      <c r="AI231">
        <f ca="1">IF(AND(ISNUMBER($AI$735),$B$511=1),$AI$735,HLOOKUP(INDIRECT(ADDRESS(2,COLUMN())),OFFSET($BN$2,0,0,ROW()-1,60),ROW()-1,FALSE))</f>
        <v>-1029.419883</v>
      </c>
      <c r="AJ231">
        <f ca="1">IF(AND(ISNUMBER($AJ$735),$B$511=1),$AJ$735,HLOOKUP(INDIRECT(ADDRESS(2,COLUMN())),OFFSET($BN$2,0,0,ROW()-1,60),ROW()-1,FALSE))</f>
        <v>-856.9664444</v>
      </c>
      <c r="AK231">
        <f ca="1">IF(AND(ISNUMBER($AK$735),$B$511=1),$AK$735,HLOOKUP(INDIRECT(ADDRESS(2,COLUMN())),OFFSET($BN$2,0,0,ROW()-1,60),ROW()-1,FALSE))</f>
        <v>-785.10851400000001</v>
      </c>
      <c r="AL231">
        <f ca="1">IF(AND(ISNUMBER($AL$735),$B$511=1),$AL$735,HLOOKUP(INDIRECT(ADDRESS(2,COLUMN())),OFFSET($BN$2,0,0,ROW()-1,60),ROW()-1,FALSE))</f>
        <v>-197.8097396</v>
      </c>
      <c r="AM231">
        <f ca="1">IF(AND(ISNUMBER($AM$735),$B$511=1),$AM$735,HLOOKUP(INDIRECT(ADDRESS(2,COLUMN())),OFFSET($BN$2,0,0,ROW()-1,60),ROW()-1,FALSE))</f>
        <v>19.717229750000001</v>
      </c>
      <c r="AN231">
        <f ca="1">IF(AND(ISNUMBER($AN$735),$B$511=1),$AN$735,HLOOKUP(INDIRECT(ADDRESS(2,COLUMN())),OFFSET($BN$2,0,0,ROW()-1,60),ROW()-1,FALSE))</f>
        <v>921.6139412</v>
      </c>
      <c r="AO231">
        <f ca="1">IF(AND(ISNUMBER($AO$735),$B$511=1),$AO$735,HLOOKUP(INDIRECT(ADDRESS(2,COLUMN())),OFFSET($BN$2,0,0,ROW()-1,60),ROW()-1,FALSE))</f>
        <v>1116.4705240000001</v>
      </c>
      <c r="AP231">
        <f ca="1">IF(AND(ISNUMBER($AP$735),$B$511=1),$AP$735,HLOOKUP(INDIRECT(ADDRESS(2,COLUMN())),OFFSET($BN$2,0,0,ROW()-1,60),ROW()-1,FALSE))</f>
        <v>980.4583427</v>
      </c>
      <c r="AQ231">
        <f ca="1">IF(AND(ISNUMBER($AQ$735),$B$511=1),$AQ$735,HLOOKUP(INDIRECT(ADDRESS(2,COLUMN())),OFFSET($BN$2,0,0,ROW()-1,60),ROW()-1,FALSE))</f>
        <v>1112.2797210000001</v>
      </c>
      <c r="AR231">
        <f ca="1">IF(AND(ISNUMBER($AR$735),$B$511=1),$AR$735,HLOOKUP(INDIRECT(ADDRESS(2,COLUMN())),OFFSET($BN$2,0,0,ROW()-1,60),ROW()-1,FALSE))</f>
        <v>-912.06834070000002</v>
      </c>
      <c r="AS231">
        <f ca="1">IF(AND(ISNUMBER($AS$735),$B$511=1),$AS$735,HLOOKUP(INDIRECT(ADDRESS(2,COLUMN())),OFFSET($BN$2,0,0,ROW()-1,60),ROW()-1,FALSE))</f>
        <v>-1148.6472530000001</v>
      </c>
      <c r="AT231">
        <f ca="1">IF(AND(ISNUMBER($AT$735),$B$511=1),$AT$735,HLOOKUP(INDIRECT(ADDRESS(2,COLUMN())),OFFSET($BN$2,0,0,ROW()-1,60),ROW()-1,FALSE))</f>
        <v>-1163.335961</v>
      </c>
      <c r="AU231" t="str">
        <f ca="1">IF(AND(ISNUMBER($AU$735),$B$511=1),$AU$735,HLOOKUP(INDIRECT(ADDRESS(2,COLUMN())),OFFSET($BN$2,0,0,ROW()-1,60),ROW()-1,FALSE))</f>
        <v/>
      </c>
      <c r="AV231" t="str">
        <f ca="1">IF(AND(ISNUMBER($AV$735),$B$511=1),$AV$735,HLOOKUP(INDIRECT(ADDRESS(2,COLUMN())),OFFSET($BN$2,0,0,ROW()-1,60),ROW()-1,FALSE))</f>
        <v/>
      </c>
      <c r="AW231" t="str">
        <f ca="1">IF(AND(ISNUMBER($AW$735),$B$511=1),$AW$735,HLOOKUP(INDIRECT(ADDRESS(2,COLUMN())),OFFSET($BN$2,0,0,ROW()-1,60),ROW()-1,FALSE))</f>
        <v/>
      </c>
      <c r="AX231" t="str">
        <f ca="1">IF(AND(ISNUMBER($AX$735),$B$511=1),$AX$735,HLOOKUP(INDIRECT(ADDRESS(2,COLUMN())),OFFSET($BN$2,0,0,ROW()-1,60),ROW()-1,FALSE))</f>
        <v/>
      </c>
      <c r="AY231" t="str">
        <f ca="1">IF(AND(ISNUMBER($AY$735),$B$511=1),$AY$735,HLOOKUP(INDIRECT(ADDRESS(2,COLUMN())),OFFSET($BN$2,0,0,ROW()-1,60),ROW()-1,FALSE))</f>
        <v/>
      </c>
      <c r="AZ231" t="str">
        <f ca="1">IF(AND(ISNUMBER($AZ$735),$B$511=1),$AZ$735,HLOOKUP(INDIRECT(ADDRESS(2,COLUMN())),OFFSET($BN$2,0,0,ROW()-1,60),ROW()-1,FALSE))</f>
        <v/>
      </c>
      <c r="BA231" t="str">
        <f ca="1">IF(AND(ISNUMBER($BA$735),$B$511=1),$BA$735,HLOOKUP(INDIRECT(ADDRESS(2,COLUMN())),OFFSET($BN$2,0,0,ROW()-1,60),ROW()-1,FALSE))</f>
        <v/>
      </c>
      <c r="BB231" t="str">
        <f ca="1">IF(AND(ISNUMBER($BB$735),$B$511=1),$BB$735,HLOOKUP(INDIRECT(ADDRESS(2,COLUMN())),OFFSET($BN$2,0,0,ROW()-1,60),ROW()-1,FALSE))</f>
        <v/>
      </c>
      <c r="BC231" t="str">
        <f ca="1">IF(AND(ISNUMBER($BC$735),$B$511=1),$BC$735,HLOOKUP(INDIRECT(ADDRESS(2,COLUMN())),OFFSET($BN$2,0,0,ROW()-1,60),ROW()-1,FALSE))</f>
        <v/>
      </c>
      <c r="BD231" t="str">
        <f ca="1">IF(AND(ISNUMBER($BD$735),$B$511=1),$BD$735,HLOOKUP(INDIRECT(ADDRESS(2,COLUMN())),OFFSET($BN$2,0,0,ROW()-1,60),ROW()-1,FALSE))</f>
        <v/>
      </c>
      <c r="BE231" t="str">
        <f ca="1">IF(AND(ISNUMBER($BE$735),$B$511=1),$BE$735,HLOOKUP(INDIRECT(ADDRESS(2,COLUMN())),OFFSET($BN$2,0,0,ROW()-1,60),ROW()-1,FALSE))</f>
        <v/>
      </c>
      <c r="BF231" t="str">
        <f ca="1">IF(AND(ISNUMBER($BF$735),$B$511=1),$BF$735,HLOOKUP(INDIRECT(ADDRESS(2,COLUMN())),OFFSET($BN$2,0,0,ROW()-1,60),ROW()-1,FALSE))</f>
        <v/>
      </c>
      <c r="BG231" t="str">
        <f ca="1">IF(AND(ISNUMBER($BG$735),$B$511=1),$BG$735,HLOOKUP(INDIRECT(ADDRESS(2,COLUMN())),OFFSET($BN$2,0,0,ROW()-1,60),ROW()-1,FALSE))</f>
        <v/>
      </c>
      <c r="BH231" t="str">
        <f ca="1">IF(AND(ISNUMBER($BH$735),$B$511=1),$BH$735,HLOOKUP(INDIRECT(ADDRESS(2,COLUMN())),OFFSET($BN$2,0,0,ROW()-1,60),ROW()-1,FALSE))</f>
        <v/>
      </c>
      <c r="BI231" t="str">
        <f ca="1">IF(AND(ISNUMBER($BI$735),$B$511=1),$BI$735,HLOOKUP(INDIRECT(ADDRESS(2,COLUMN())),OFFSET($BN$2,0,0,ROW()-1,60),ROW()-1,FALSE))</f>
        <v/>
      </c>
      <c r="BJ231" t="str">
        <f ca="1">IF(AND(ISNUMBER($BJ$735),$B$511=1),$BJ$735,HLOOKUP(INDIRECT(ADDRESS(2,COLUMN())),OFFSET($BN$2,0,0,ROW()-1,60),ROW()-1,FALSE))</f>
        <v/>
      </c>
      <c r="BK231" t="str">
        <f ca="1">IF(AND(ISNUMBER($BK$735),$B$511=1),$BK$735,HLOOKUP(INDIRECT(ADDRESS(2,COLUMN())),OFFSET($BN$2,0,0,ROW()-1,60),ROW()-1,FALSE))</f>
        <v/>
      </c>
      <c r="BL231" t="str">
        <f ca="1">IF(AND(ISNUMBER($BL$735),$B$511=1),$BL$735,HLOOKUP(INDIRECT(ADDRESS(2,COLUMN())),OFFSET($BN$2,0,0,ROW()-1,60),ROW()-1,FALSE))</f>
        <v/>
      </c>
      <c r="BM231" t="str">
        <f ca="1">IF(AND(ISNUMBER($BM$735),$B$511=1),$BM$735,HLOOKUP(INDIRECT(ADDRESS(2,COLUMN())),OFFSET($BN$2,0,0,ROW()-1,60),ROW()-1,FALSE))</f>
        <v/>
      </c>
      <c r="BN231" t="str">
        <f>""</f>
        <v/>
      </c>
      <c r="BO231">
        <f>601.7662441</f>
        <v>601.76624409999999</v>
      </c>
      <c r="BP231">
        <f>882.2085508</f>
        <v>882.20855080000001</v>
      </c>
      <c r="BQ231">
        <f>945.9336456</f>
        <v>945.93364559999998</v>
      </c>
      <c r="BR231">
        <f>1089.706666</f>
        <v>1089.706666</v>
      </c>
      <c r="BS231">
        <f>947.2960681</f>
        <v>947.29606809999996</v>
      </c>
      <c r="BT231">
        <f>728.5047204</f>
        <v>728.5047204</v>
      </c>
      <c r="BU231">
        <f>711.5901514</f>
        <v>711.59015139999997</v>
      </c>
      <c r="BV231">
        <f>756.5208983</f>
        <v>756.5208983</v>
      </c>
      <c r="BW231">
        <f>895.9123849</f>
        <v>895.91238490000001</v>
      </c>
      <c r="BX231">
        <f>1144.781223</f>
        <v>1144.781223</v>
      </c>
      <c r="BY231">
        <f>1305.684398</f>
        <v>1305.6843980000001</v>
      </c>
      <c r="BZ231">
        <f>1532.820251</f>
        <v>1532.8202510000001</v>
      </c>
      <c r="CA231">
        <f>1475.577903</f>
        <v>1475.5779030000001</v>
      </c>
      <c r="CB231">
        <f>1284.983412</f>
        <v>1284.983412</v>
      </c>
      <c r="CC231">
        <f>1020.098785</f>
        <v>1020.098785</v>
      </c>
      <c r="CD231">
        <f>741.3327635</f>
        <v>741.33276350000006</v>
      </c>
      <c r="CE231">
        <f>589.3510084</f>
        <v>589.35100839999996</v>
      </c>
      <c r="CF231">
        <f>845.6140616</f>
        <v>845.61406160000001</v>
      </c>
      <c r="CG231">
        <f>583.5578672</f>
        <v>583.55786720000003</v>
      </c>
      <c r="CH231">
        <f>255.1149806</f>
        <v>255.1149806</v>
      </c>
      <c r="CI231">
        <f>336.8170236</f>
        <v>336.81702360000003</v>
      </c>
      <c r="CJ231">
        <f>-124.3236326</f>
        <v>-124.3236326</v>
      </c>
      <c r="CK231">
        <f>-203.854292</f>
        <v>-203.85429199999999</v>
      </c>
      <c r="CL231">
        <f>-252.526619</f>
        <v>-252.52661900000001</v>
      </c>
      <c r="CM231">
        <f>-315.1125522</f>
        <v>-315.11255219999998</v>
      </c>
      <c r="CN231">
        <f>-884.097514</f>
        <v>-884.09751400000005</v>
      </c>
      <c r="CO231">
        <f>-770.1986374</f>
        <v>-770.19863740000005</v>
      </c>
      <c r="CP231">
        <f>-897.584383</f>
        <v>-897.584383</v>
      </c>
      <c r="CQ231">
        <f>-1029.419883</f>
        <v>-1029.419883</v>
      </c>
      <c r="CR231">
        <f>-856.9664444</f>
        <v>-856.9664444</v>
      </c>
      <c r="CS231">
        <f>-785.108514</f>
        <v>-785.10851400000001</v>
      </c>
      <c r="CT231">
        <f>-197.8097396</f>
        <v>-197.8097396</v>
      </c>
      <c r="CU231">
        <f>19.71722975</f>
        <v>19.717229750000001</v>
      </c>
      <c r="CV231">
        <f>921.6139412</f>
        <v>921.6139412</v>
      </c>
      <c r="CW231">
        <f>1116.470524</f>
        <v>1116.4705240000001</v>
      </c>
      <c r="CX231">
        <f>980.4583427</f>
        <v>980.4583427</v>
      </c>
      <c r="CY231">
        <f>1112.279721</f>
        <v>1112.2797210000001</v>
      </c>
      <c r="CZ231">
        <f>-912.0683407</f>
        <v>-912.06834070000002</v>
      </c>
      <c r="DA231">
        <f>-1148.647253</f>
        <v>-1148.6472530000001</v>
      </c>
      <c r="DB231">
        <f>-1163.335961</f>
        <v>-1163.335961</v>
      </c>
      <c r="DC231" t="str">
        <f>""</f>
        <v/>
      </c>
      <c r="DD231" t="str">
        <f>""</f>
        <v/>
      </c>
      <c r="DE231" t="str">
        <f>""</f>
        <v/>
      </c>
      <c r="DF231" t="str">
        <f>""</f>
        <v/>
      </c>
      <c r="DG231" t="str">
        <f>""</f>
        <v/>
      </c>
      <c r="DH231" t="str">
        <f>""</f>
        <v/>
      </c>
      <c r="DI231" t="str">
        <f>""</f>
        <v/>
      </c>
      <c r="DJ231" t="str">
        <f>""</f>
        <v/>
      </c>
      <c r="DK231" t="str">
        <f>""</f>
        <v/>
      </c>
      <c r="DL231" t="str">
        <f>""</f>
        <v/>
      </c>
      <c r="DM231" t="str">
        <f>""</f>
        <v/>
      </c>
      <c r="DN231" t="str">
        <f>""</f>
        <v/>
      </c>
      <c r="DO231" t="str">
        <f>""</f>
        <v/>
      </c>
      <c r="DP231" t="str">
        <f>""</f>
        <v/>
      </c>
      <c r="DQ231" t="str">
        <f>""</f>
        <v/>
      </c>
      <c r="DR231" t="str">
        <f>""</f>
        <v/>
      </c>
      <c r="DS231" t="str">
        <f>""</f>
        <v/>
      </c>
      <c r="DT231" t="str">
        <f>""</f>
        <v/>
      </c>
      <c r="DU231" t="str">
        <f>""</f>
        <v/>
      </c>
    </row>
    <row r="232" spans="1:125" x14ac:dyDescent="0.25">
      <c r="A232" t="str">
        <f>"    Mitsubishi Motors Corp"</f>
        <v xml:space="preserve">    Mitsubishi Motors Corp</v>
      </c>
      <c r="B232" t="str">
        <f>"7211 JP Equity"</f>
        <v>7211 JP Equity</v>
      </c>
      <c r="C232" t="str">
        <f t="shared" si="15"/>
        <v>RR843</v>
      </c>
      <c r="D232" t="str">
        <f t="shared" si="16"/>
        <v>TRAIL_12M_FREE_CASH_FLOW</v>
      </c>
      <c r="E232" t="str">
        <f t="shared" si="17"/>
        <v>Dynamic</v>
      </c>
      <c r="F232" t="str">
        <f ca="1">IF(AND(ISNUMBER($F$736),$B$511=1),$F$736,HLOOKUP(INDIRECT(ADDRESS(2,COLUMN())),OFFSET($BN$2,0,0,ROW()-1,60),ROW()-1,FALSE))</f>
        <v/>
      </c>
      <c r="G232" t="str">
        <f ca="1">IF(AND(ISNUMBER($G$736),$B$511=1),$G$736,HLOOKUP(INDIRECT(ADDRESS(2,COLUMN())),OFFSET($BN$2,0,0,ROW()-1,60),ROW()-1,FALSE))</f>
        <v/>
      </c>
      <c r="H232" t="str">
        <f ca="1">IF(AND(ISNUMBER($H$736),$B$511=1),$H$736,HLOOKUP(INDIRECT(ADDRESS(2,COLUMN())),OFFSET($BN$2,0,0,ROW()-1,60),ROW()-1,FALSE))</f>
        <v/>
      </c>
      <c r="I232" t="str">
        <f ca="1">IF(AND(ISNUMBER($I$736),$B$511=1),$I$736,HLOOKUP(INDIRECT(ADDRESS(2,COLUMN())),OFFSET($BN$2,0,0,ROW()-1,60),ROW()-1,FALSE))</f>
        <v/>
      </c>
      <c r="J232" t="str">
        <f ca="1">IF(AND(ISNUMBER($J$736),$B$511=1),$J$736,HLOOKUP(INDIRECT(ADDRESS(2,COLUMN())),OFFSET($BN$2,0,0,ROW()-1,60),ROW()-1,FALSE))</f>
        <v/>
      </c>
      <c r="K232" t="str">
        <f ca="1">IF(AND(ISNUMBER($K$736),$B$511=1),$K$736,HLOOKUP(INDIRECT(ADDRESS(2,COLUMN())),OFFSET($BN$2,0,0,ROW()-1,60),ROW()-1,FALSE))</f>
        <v/>
      </c>
      <c r="L232" t="str">
        <f ca="1">IF(AND(ISNUMBER($L$736),$B$511=1),$L$736,HLOOKUP(INDIRECT(ADDRESS(2,COLUMN())),OFFSET($BN$2,0,0,ROW()-1,60),ROW()-1,FALSE))</f>
        <v/>
      </c>
      <c r="M232" t="str">
        <f ca="1">IF(AND(ISNUMBER($M$736),$B$511=1),$M$736,HLOOKUP(INDIRECT(ADDRESS(2,COLUMN())),OFFSET($BN$2,0,0,ROW()-1,60),ROW()-1,FALSE))</f>
        <v/>
      </c>
      <c r="N232" t="str">
        <f ca="1">IF(AND(ISNUMBER($N$736),$B$511=1),$N$736,HLOOKUP(INDIRECT(ADDRESS(2,COLUMN())),OFFSET($BN$2,0,0,ROW()-1,60),ROW()-1,FALSE))</f>
        <v/>
      </c>
      <c r="O232" t="str">
        <f ca="1">IF(AND(ISNUMBER($O$736),$B$511=1),$O$736,HLOOKUP(INDIRECT(ADDRESS(2,COLUMN())),OFFSET($BN$2,0,0,ROW()-1,60),ROW()-1,FALSE))</f>
        <v/>
      </c>
      <c r="P232" t="str">
        <f ca="1">IF(AND(ISNUMBER($P$736),$B$511=1),$P$736,HLOOKUP(INDIRECT(ADDRESS(2,COLUMN())),OFFSET($BN$2,0,0,ROW()-1,60),ROW()-1,FALSE))</f>
        <v/>
      </c>
      <c r="Q232" t="str">
        <f ca="1">IF(AND(ISNUMBER($Q$736),$B$511=1),$Q$736,HLOOKUP(INDIRECT(ADDRESS(2,COLUMN())),OFFSET($BN$2,0,0,ROW()-1,60),ROW()-1,FALSE))</f>
        <v/>
      </c>
      <c r="R232" t="str">
        <f ca="1">IF(AND(ISNUMBER($R$736),$B$511=1),$R$736,HLOOKUP(INDIRECT(ADDRESS(2,COLUMN())),OFFSET($BN$2,0,0,ROW()-1,60),ROW()-1,FALSE))</f>
        <v/>
      </c>
      <c r="S232" t="str">
        <f ca="1">IF(AND(ISNUMBER($S$736),$B$511=1),$S$736,HLOOKUP(INDIRECT(ADDRESS(2,COLUMN())),OFFSET($BN$2,0,0,ROW()-1,60),ROW()-1,FALSE))</f>
        <v/>
      </c>
      <c r="T232" t="str">
        <f ca="1">IF(AND(ISNUMBER($T$736),$B$511=1),$T$736,HLOOKUP(INDIRECT(ADDRESS(2,COLUMN())),OFFSET($BN$2,0,0,ROW()-1,60),ROW()-1,FALSE))</f>
        <v/>
      </c>
      <c r="U232" t="str">
        <f ca="1">IF(AND(ISNUMBER($U$736),$B$511=1),$U$736,HLOOKUP(INDIRECT(ADDRESS(2,COLUMN())),OFFSET($BN$2,0,0,ROW()-1,60),ROW()-1,FALSE))</f>
        <v/>
      </c>
      <c r="V232" t="str">
        <f ca="1">IF(AND(ISNUMBER($V$736),$B$511=1),$V$736,HLOOKUP(INDIRECT(ADDRESS(2,COLUMN())),OFFSET($BN$2,0,0,ROW()-1,60),ROW()-1,FALSE))</f>
        <v/>
      </c>
      <c r="W232" t="str">
        <f ca="1">IF(AND(ISNUMBER($W$736),$B$511=1),$W$736,HLOOKUP(INDIRECT(ADDRESS(2,COLUMN())),OFFSET($BN$2,0,0,ROW()-1,60),ROW()-1,FALSE))</f>
        <v/>
      </c>
      <c r="X232" t="str">
        <f ca="1">IF(AND(ISNUMBER($X$736),$B$511=1),$X$736,HLOOKUP(INDIRECT(ADDRESS(2,COLUMN())),OFFSET($BN$2,0,0,ROW()-1,60),ROW()-1,FALSE))</f>
        <v/>
      </c>
      <c r="Y232" t="str">
        <f ca="1">IF(AND(ISNUMBER($Y$736),$B$511=1),$Y$736,HLOOKUP(INDIRECT(ADDRESS(2,COLUMN())),OFFSET($BN$2,0,0,ROW()-1,60),ROW()-1,FALSE))</f>
        <v/>
      </c>
      <c r="Z232" t="str">
        <f ca="1">IF(AND(ISNUMBER($Z$736),$B$511=1),$Z$736,HLOOKUP(INDIRECT(ADDRESS(2,COLUMN())),OFFSET($BN$2,0,0,ROW()-1,60),ROW()-1,FALSE))</f>
        <v/>
      </c>
      <c r="AA232" t="str">
        <f ca="1">IF(AND(ISNUMBER($AA$736),$B$511=1),$AA$736,HLOOKUP(INDIRECT(ADDRESS(2,COLUMN())),OFFSET($BN$2,0,0,ROW()-1,60),ROW()-1,FALSE))</f>
        <v/>
      </c>
      <c r="AB232" t="str">
        <f ca="1">IF(AND(ISNUMBER($AB$736),$B$511=1),$AB$736,HLOOKUP(INDIRECT(ADDRESS(2,COLUMN())),OFFSET($BN$2,0,0,ROW()-1,60),ROW()-1,FALSE))</f>
        <v/>
      </c>
      <c r="AC232" t="str">
        <f ca="1">IF(AND(ISNUMBER($AC$736),$B$511=1),$AC$736,HLOOKUP(INDIRECT(ADDRESS(2,COLUMN())),OFFSET($BN$2,0,0,ROW()-1,60),ROW()-1,FALSE))</f>
        <v/>
      </c>
      <c r="AD232" t="str">
        <f ca="1">IF(AND(ISNUMBER($AD$736),$B$511=1),$AD$736,HLOOKUP(INDIRECT(ADDRESS(2,COLUMN())),OFFSET($BN$2,0,0,ROW()-1,60),ROW()-1,FALSE))</f>
        <v/>
      </c>
      <c r="AE232" t="str">
        <f ca="1">IF(AND(ISNUMBER($AE$736),$B$511=1),$AE$736,HLOOKUP(INDIRECT(ADDRESS(2,COLUMN())),OFFSET($BN$2,0,0,ROW()-1,60),ROW()-1,FALSE))</f>
        <v/>
      </c>
      <c r="AF232" t="str">
        <f ca="1">IF(AND(ISNUMBER($AF$736),$B$511=1),$AF$736,HLOOKUP(INDIRECT(ADDRESS(2,COLUMN())),OFFSET($BN$2,0,0,ROW()-1,60),ROW()-1,FALSE))</f>
        <v/>
      </c>
      <c r="AG232" t="str">
        <f ca="1">IF(AND(ISNUMBER($AG$736),$B$511=1),$AG$736,HLOOKUP(INDIRECT(ADDRESS(2,COLUMN())),OFFSET($BN$2,0,0,ROW()-1,60),ROW()-1,FALSE))</f>
        <v/>
      </c>
      <c r="AH232" t="str">
        <f ca="1">IF(AND(ISNUMBER($AH$736),$B$511=1),$AH$736,HLOOKUP(INDIRECT(ADDRESS(2,COLUMN())),OFFSET($BN$2,0,0,ROW()-1,60),ROW()-1,FALSE))</f>
        <v/>
      </c>
      <c r="AI232" t="str">
        <f ca="1">IF(AND(ISNUMBER($AI$736),$B$511=1),$AI$736,HLOOKUP(INDIRECT(ADDRESS(2,COLUMN())),OFFSET($BN$2,0,0,ROW()-1,60),ROW()-1,FALSE))</f>
        <v/>
      </c>
      <c r="AJ232" t="str">
        <f ca="1">IF(AND(ISNUMBER($AJ$736),$B$511=1),$AJ$736,HLOOKUP(INDIRECT(ADDRESS(2,COLUMN())),OFFSET($BN$2,0,0,ROW()-1,60),ROW()-1,FALSE))</f>
        <v/>
      </c>
      <c r="AK232" t="str">
        <f ca="1">IF(AND(ISNUMBER($AK$736),$B$511=1),$AK$736,HLOOKUP(INDIRECT(ADDRESS(2,COLUMN())),OFFSET($BN$2,0,0,ROW()-1,60),ROW()-1,FALSE))</f>
        <v/>
      </c>
      <c r="AL232">
        <f ca="1">IF(AND(ISNUMBER($AL$736),$B$511=1),$AL$736,HLOOKUP(INDIRECT(ADDRESS(2,COLUMN())),OFFSET($BN$2,0,0,ROW()-1,60),ROW()-1,FALSE))</f>
        <v>591.46340780000003</v>
      </c>
      <c r="AM232">
        <f ca="1">IF(AND(ISNUMBER($AM$736),$B$511=1),$AM$736,HLOOKUP(INDIRECT(ADDRESS(2,COLUMN())),OFFSET($BN$2,0,0,ROW()-1,60),ROW()-1,FALSE))</f>
        <v>1102.3028099999999</v>
      </c>
      <c r="AN232">
        <f ca="1">IF(AND(ISNUMBER($AN$736),$B$511=1),$AN$736,HLOOKUP(INDIRECT(ADDRESS(2,COLUMN())),OFFSET($BN$2,0,0,ROW()-1,60),ROW()-1,FALSE))</f>
        <v>1313.4655359999999</v>
      </c>
      <c r="AO232">
        <f ca="1">IF(AND(ISNUMBER($AO$736),$B$511=1),$AO$736,HLOOKUP(INDIRECT(ADDRESS(2,COLUMN())),OFFSET($BN$2,0,0,ROW()-1,60),ROW()-1,FALSE))</f>
        <v>1008.428867</v>
      </c>
      <c r="AP232">
        <f ca="1">IF(AND(ISNUMBER($AP$736),$B$511=1),$AP$736,HLOOKUP(INDIRECT(ADDRESS(2,COLUMN())),OFFSET($BN$2,0,0,ROW()-1,60),ROW()-1,FALSE))</f>
        <v>608.54882420000001</v>
      </c>
      <c r="AQ232">
        <f ca="1">IF(AND(ISNUMBER($AQ$736),$B$511=1),$AQ$736,HLOOKUP(INDIRECT(ADDRESS(2,COLUMN())),OFFSET($BN$2,0,0,ROW()-1,60),ROW()-1,FALSE))</f>
        <v>-720.62620509999999</v>
      </c>
      <c r="AR232">
        <f ca="1">IF(AND(ISNUMBER($AR$736),$B$511=1),$AR$736,HLOOKUP(INDIRECT(ADDRESS(2,COLUMN())),OFFSET($BN$2,0,0,ROW()-1,60),ROW()-1,FALSE))</f>
        <v>-1915.188815</v>
      </c>
      <c r="AS232">
        <f ca="1">IF(AND(ISNUMBER($AS$736),$B$511=1),$AS$736,HLOOKUP(INDIRECT(ADDRESS(2,COLUMN())),OFFSET($BN$2,0,0,ROW()-1,60),ROW()-1,FALSE))</f>
        <v>-2184.8481360000001</v>
      </c>
      <c r="AT232">
        <f ca="1">IF(AND(ISNUMBER($AT$736),$B$511=1),$AT$736,HLOOKUP(INDIRECT(ADDRESS(2,COLUMN())),OFFSET($BN$2,0,0,ROW()-1,60),ROW()-1,FALSE))</f>
        <v>-1875.60184</v>
      </c>
      <c r="AU232" t="str">
        <f ca="1">IF(AND(ISNUMBER($AU$736),$B$511=1),$AU$736,HLOOKUP(INDIRECT(ADDRESS(2,COLUMN())),OFFSET($BN$2,0,0,ROW()-1,60),ROW()-1,FALSE))</f>
        <v/>
      </c>
      <c r="AV232" t="str">
        <f ca="1">IF(AND(ISNUMBER($AV$736),$B$511=1),$AV$736,HLOOKUP(INDIRECT(ADDRESS(2,COLUMN())),OFFSET($BN$2,0,0,ROW()-1,60),ROW()-1,FALSE))</f>
        <v/>
      </c>
      <c r="AW232" t="str">
        <f ca="1">IF(AND(ISNUMBER($AW$736),$B$511=1),$AW$736,HLOOKUP(INDIRECT(ADDRESS(2,COLUMN())),OFFSET($BN$2,0,0,ROW()-1,60),ROW()-1,FALSE))</f>
        <v/>
      </c>
      <c r="AX232" t="str">
        <f ca="1">IF(AND(ISNUMBER($AX$736),$B$511=1),$AX$736,HLOOKUP(INDIRECT(ADDRESS(2,COLUMN())),OFFSET($BN$2,0,0,ROW()-1,60),ROW()-1,FALSE))</f>
        <v/>
      </c>
      <c r="AY232" t="str">
        <f ca="1">IF(AND(ISNUMBER($AY$736),$B$511=1),$AY$736,HLOOKUP(INDIRECT(ADDRESS(2,COLUMN())),OFFSET($BN$2,0,0,ROW()-1,60),ROW()-1,FALSE))</f>
        <v/>
      </c>
      <c r="AZ232" t="str">
        <f ca="1">IF(AND(ISNUMBER($AZ$736),$B$511=1),$AZ$736,HLOOKUP(INDIRECT(ADDRESS(2,COLUMN())),OFFSET($BN$2,0,0,ROW()-1,60),ROW()-1,FALSE))</f>
        <v/>
      </c>
      <c r="BA232" t="str">
        <f ca="1">IF(AND(ISNUMBER($BA$736),$B$511=1),$BA$736,HLOOKUP(INDIRECT(ADDRESS(2,COLUMN())),OFFSET($BN$2,0,0,ROW()-1,60),ROW()-1,FALSE))</f>
        <v/>
      </c>
      <c r="BB232" t="str">
        <f ca="1">IF(AND(ISNUMBER($BB$736),$B$511=1),$BB$736,HLOOKUP(INDIRECT(ADDRESS(2,COLUMN())),OFFSET($BN$2,0,0,ROW()-1,60),ROW()-1,FALSE))</f>
        <v/>
      </c>
      <c r="BC232" t="str">
        <f ca="1">IF(AND(ISNUMBER($BC$736),$B$511=1),$BC$736,HLOOKUP(INDIRECT(ADDRESS(2,COLUMN())),OFFSET($BN$2,0,0,ROW()-1,60),ROW()-1,FALSE))</f>
        <v/>
      </c>
      <c r="BD232" t="str">
        <f ca="1">IF(AND(ISNUMBER($BD$736),$B$511=1),$BD$736,HLOOKUP(INDIRECT(ADDRESS(2,COLUMN())),OFFSET($BN$2,0,0,ROW()-1,60),ROW()-1,FALSE))</f>
        <v/>
      </c>
      <c r="BE232" t="str">
        <f ca="1">IF(AND(ISNUMBER($BE$736),$B$511=1),$BE$736,HLOOKUP(INDIRECT(ADDRESS(2,COLUMN())),OFFSET($BN$2,0,0,ROW()-1,60),ROW()-1,FALSE))</f>
        <v/>
      </c>
      <c r="BF232" t="str">
        <f ca="1">IF(AND(ISNUMBER($BF$736),$B$511=1),$BF$736,HLOOKUP(INDIRECT(ADDRESS(2,COLUMN())),OFFSET($BN$2,0,0,ROW()-1,60),ROW()-1,FALSE))</f>
        <v/>
      </c>
      <c r="BG232" t="str">
        <f ca="1">IF(AND(ISNUMBER($BG$736),$B$511=1),$BG$736,HLOOKUP(INDIRECT(ADDRESS(2,COLUMN())),OFFSET($BN$2,0,0,ROW()-1,60),ROW()-1,FALSE))</f>
        <v/>
      </c>
      <c r="BH232" t="str">
        <f ca="1">IF(AND(ISNUMBER($BH$736),$B$511=1),$BH$736,HLOOKUP(INDIRECT(ADDRESS(2,COLUMN())),OFFSET($BN$2,0,0,ROW()-1,60),ROW()-1,FALSE))</f>
        <v/>
      </c>
      <c r="BI232" t="str">
        <f ca="1">IF(AND(ISNUMBER($BI$736),$B$511=1),$BI$736,HLOOKUP(INDIRECT(ADDRESS(2,COLUMN())),OFFSET($BN$2,0,0,ROW()-1,60),ROW()-1,FALSE))</f>
        <v/>
      </c>
      <c r="BJ232" t="str">
        <f ca="1">IF(AND(ISNUMBER($BJ$736),$B$511=1),$BJ$736,HLOOKUP(INDIRECT(ADDRESS(2,COLUMN())),OFFSET($BN$2,0,0,ROW()-1,60),ROW()-1,FALSE))</f>
        <v/>
      </c>
      <c r="BK232" t="str">
        <f ca="1">IF(AND(ISNUMBER($BK$736),$B$511=1),$BK$736,HLOOKUP(INDIRECT(ADDRESS(2,COLUMN())),OFFSET($BN$2,0,0,ROW()-1,60),ROW()-1,FALSE))</f>
        <v/>
      </c>
      <c r="BL232" t="str">
        <f ca="1">IF(AND(ISNUMBER($BL$736),$B$511=1),$BL$736,HLOOKUP(INDIRECT(ADDRESS(2,COLUMN())),OFFSET($BN$2,0,0,ROW()-1,60),ROW()-1,FALSE))</f>
        <v/>
      </c>
      <c r="BM232" t="str">
        <f ca="1">IF(AND(ISNUMBER($BM$736),$B$511=1),$BM$736,HLOOKUP(INDIRECT(ADDRESS(2,COLUMN())),OFFSET($BN$2,0,0,ROW()-1,60),ROW()-1,FALSE))</f>
        <v/>
      </c>
      <c r="BN232" t="str">
        <f>""</f>
        <v/>
      </c>
      <c r="BO232" t="str">
        <f>""</f>
        <v/>
      </c>
      <c r="BP232" t="str">
        <f>""</f>
        <v/>
      </c>
      <c r="BQ232" t="str">
        <f>""</f>
        <v/>
      </c>
      <c r="BR232" t="str">
        <f>""</f>
        <v/>
      </c>
      <c r="BS232" t="str">
        <f>""</f>
        <v/>
      </c>
      <c r="BT232" t="str">
        <f>""</f>
        <v/>
      </c>
      <c r="BU232" t="str">
        <f>""</f>
        <v/>
      </c>
      <c r="BV232" t="str">
        <f>""</f>
        <v/>
      </c>
      <c r="BW232" t="str">
        <f>""</f>
        <v/>
      </c>
      <c r="BX232" t="str">
        <f>""</f>
        <v/>
      </c>
      <c r="BY232" t="str">
        <f>""</f>
        <v/>
      </c>
      <c r="BZ232" t="str">
        <f>""</f>
        <v/>
      </c>
      <c r="CA232" t="str">
        <f>""</f>
        <v/>
      </c>
      <c r="CB232" t="str">
        <f>""</f>
        <v/>
      </c>
      <c r="CC232" t="str">
        <f>""</f>
        <v/>
      </c>
      <c r="CD232" t="str">
        <f>""</f>
        <v/>
      </c>
      <c r="CE232" t="str">
        <f>""</f>
        <v/>
      </c>
      <c r="CF232" t="str">
        <f>""</f>
        <v/>
      </c>
      <c r="CG232" t="str">
        <f>""</f>
        <v/>
      </c>
      <c r="CH232" t="str">
        <f>""</f>
        <v/>
      </c>
      <c r="CI232" t="str">
        <f>""</f>
        <v/>
      </c>
      <c r="CJ232" t="str">
        <f>""</f>
        <v/>
      </c>
      <c r="CK232" t="str">
        <f>""</f>
        <v/>
      </c>
      <c r="CL232" t="str">
        <f>""</f>
        <v/>
      </c>
      <c r="CM232" t="str">
        <f>""</f>
        <v/>
      </c>
      <c r="CN232" t="str">
        <f>""</f>
        <v/>
      </c>
      <c r="CO232" t="str">
        <f>""</f>
        <v/>
      </c>
      <c r="CP232" t="str">
        <f>""</f>
        <v/>
      </c>
      <c r="CQ232" t="str">
        <f>""</f>
        <v/>
      </c>
      <c r="CR232" t="str">
        <f>""</f>
        <v/>
      </c>
      <c r="CS232" t="str">
        <f>""</f>
        <v/>
      </c>
      <c r="CT232">
        <f>591.4634078</f>
        <v>591.46340780000003</v>
      </c>
      <c r="CU232">
        <f>1102.30281</f>
        <v>1102.3028099999999</v>
      </c>
      <c r="CV232">
        <f>1313.465536</f>
        <v>1313.4655359999999</v>
      </c>
      <c r="CW232">
        <f>1008.428867</f>
        <v>1008.428867</v>
      </c>
      <c r="CX232">
        <f>608.5488242</f>
        <v>608.54882420000001</v>
      </c>
      <c r="CY232">
        <f>-720.6262051</f>
        <v>-720.62620509999999</v>
      </c>
      <c r="CZ232">
        <f>-1915.188815</f>
        <v>-1915.188815</v>
      </c>
      <c r="DA232">
        <f>-2184.848136</f>
        <v>-2184.8481360000001</v>
      </c>
      <c r="DB232">
        <f>-1875.60184</f>
        <v>-1875.60184</v>
      </c>
      <c r="DC232" t="str">
        <f>""</f>
        <v/>
      </c>
      <c r="DD232" t="str">
        <f>""</f>
        <v/>
      </c>
      <c r="DE232" t="str">
        <f>""</f>
        <v/>
      </c>
      <c r="DF232" t="str">
        <f>""</f>
        <v/>
      </c>
      <c r="DG232" t="str">
        <f>""</f>
        <v/>
      </c>
      <c r="DH232" t="str">
        <f>""</f>
        <v/>
      </c>
      <c r="DI232" t="str">
        <f>""</f>
        <v/>
      </c>
      <c r="DJ232" t="str">
        <f>""</f>
        <v/>
      </c>
      <c r="DK232" t="str">
        <f>""</f>
        <v/>
      </c>
      <c r="DL232" t="str">
        <f>""</f>
        <v/>
      </c>
      <c r="DM232" t="str">
        <f>""</f>
        <v/>
      </c>
      <c r="DN232" t="str">
        <f>""</f>
        <v/>
      </c>
      <c r="DO232" t="str">
        <f>""</f>
        <v/>
      </c>
      <c r="DP232" t="str">
        <f>""</f>
        <v/>
      </c>
      <c r="DQ232" t="str">
        <f>""</f>
        <v/>
      </c>
      <c r="DR232" t="str">
        <f>""</f>
        <v/>
      </c>
      <c r="DS232" t="str">
        <f>""</f>
        <v/>
      </c>
      <c r="DT232" t="str">
        <f>""</f>
        <v/>
      </c>
      <c r="DU232" t="str">
        <f>""</f>
        <v/>
      </c>
    </row>
    <row r="233" spans="1:125" x14ac:dyDescent="0.25">
      <c r="A233" t="str">
        <f>"    Nissan Motor Co Ltd"</f>
        <v xml:space="preserve">    Nissan Motor Co Ltd</v>
      </c>
      <c r="B233" t="str">
        <f>"7201 JP Equity"</f>
        <v>7201 JP Equity</v>
      </c>
      <c r="C233" t="str">
        <f t="shared" si="15"/>
        <v>RR843</v>
      </c>
      <c r="D233" t="str">
        <f t="shared" si="16"/>
        <v>TRAIL_12M_FREE_CASH_FLOW</v>
      </c>
      <c r="E233" t="str">
        <f t="shared" si="17"/>
        <v>Dynamic</v>
      </c>
      <c r="F233" t="str">
        <f ca="1">IF(AND(ISNUMBER($F$737),$B$511=1),$F$737,HLOOKUP(INDIRECT(ADDRESS(2,COLUMN())),OFFSET($BN$2,0,0,ROW()-1,60),ROW()-1,FALSE))</f>
        <v/>
      </c>
      <c r="G233">
        <f ca="1">IF(AND(ISNUMBER($G$737),$B$511=1),$G$737,HLOOKUP(INDIRECT(ADDRESS(2,COLUMN())),OFFSET($BN$2,0,0,ROW()-1,60),ROW()-1,FALSE))</f>
        <v>10658.70613</v>
      </c>
      <c r="H233">
        <f ca="1">IF(AND(ISNUMBER($H$737),$B$511=1),$H$737,HLOOKUP(INDIRECT(ADDRESS(2,COLUMN())),OFFSET($BN$2,0,0,ROW()-1,60),ROW()-1,FALSE))</f>
        <v>7804.3998780000002</v>
      </c>
      <c r="I233">
        <f ca="1">IF(AND(ISNUMBER($I$737),$B$511=1),$I$737,HLOOKUP(INDIRECT(ADDRESS(2,COLUMN())),OFFSET($BN$2,0,0,ROW()-1,60),ROW()-1,FALSE))</f>
        <v>8081.1166739999999</v>
      </c>
      <c r="J233">
        <f ca="1">IF(AND(ISNUMBER($J$737),$B$511=1),$J$737,HLOOKUP(INDIRECT(ADDRESS(2,COLUMN())),OFFSET($BN$2,0,0,ROW()-1,60),ROW()-1,FALSE))</f>
        <v>6069.4473459999999</v>
      </c>
      <c r="K233">
        <f ca="1">IF(AND(ISNUMBER($K$737),$B$511=1),$K$737,HLOOKUP(INDIRECT(ADDRESS(2,COLUMN())),OFFSET($BN$2,0,0,ROW()-1,60),ROW()-1,FALSE))</f>
        <v>3697.5504510000001</v>
      </c>
      <c r="L233">
        <f ca="1">IF(AND(ISNUMBER($L$737),$B$511=1),$L$737,HLOOKUP(INDIRECT(ADDRESS(2,COLUMN())),OFFSET($BN$2,0,0,ROW()-1,60),ROW()-1,FALSE))</f>
        <v>5976.3426289999998</v>
      </c>
      <c r="M233">
        <f ca="1">IF(AND(ISNUMBER($M$737),$B$511=1),$M$737,HLOOKUP(INDIRECT(ADDRESS(2,COLUMN())),OFFSET($BN$2,0,0,ROW()-1,60),ROW()-1,FALSE))</f>
        <v>5879.3476350000001</v>
      </c>
      <c r="N233">
        <f ca="1">IF(AND(ISNUMBER($N$737),$B$511=1),$N$737,HLOOKUP(INDIRECT(ADDRESS(2,COLUMN())),OFFSET($BN$2,0,0,ROW()-1,60),ROW()-1,FALSE))</f>
        <v>7693.8643430000002</v>
      </c>
      <c r="O233">
        <f ca="1">IF(AND(ISNUMBER($O$737),$B$511=1),$O$737,HLOOKUP(INDIRECT(ADDRESS(2,COLUMN())),OFFSET($BN$2,0,0,ROW()-1,60),ROW()-1,FALSE))</f>
        <v>6741.5588289999996</v>
      </c>
      <c r="P233">
        <f ca="1">IF(AND(ISNUMBER($P$737),$B$511=1),$P$737,HLOOKUP(INDIRECT(ADDRESS(2,COLUMN())),OFFSET($BN$2,0,0,ROW()-1,60),ROW()-1,FALSE))</f>
        <v>5749.7620470000002</v>
      </c>
      <c r="Q233">
        <f ca="1">IF(AND(ISNUMBER($Q$737),$B$511=1),$Q$737,HLOOKUP(INDIRECT(ADDRESS(2,COLUMN())),OFFSET($BN$2,0,0,ROW()-1,60),ROW()-1,FALSE))</f>
        <v>5333.1103940000003</v>
      </c>
      <c r="R233">
        <f ca="1">IF(AND(ISNUMBER($R$737),$B$511=1),$R$737,HLOOKUP(INDIRECT(ADDRESS(2,COLUMN())),OFFSET($BN$2,0,0,ROW()-1,60),ROW()-1,FALSE))</f>
        <v>3299.31585</v>
      </c>
      <c r="S233">
        <f ca="1">IF(AND(ISNUMBER($S$737),$B$511=1),$S$737,HLOOKUP(INDIRECT(ADDRESS(2,COLUMN())),OFFSET($BN$2,0,0,ROW()-1,60),ROW()-1,FALSE))</f>
        <v>2315.2483950000001</v>
      </c>
      <c r="T233">
        <f ca="1">IF(AND(ISNUMBER($T$737),$B$511=1),$T$737,HLOOKUP(INDIRECT(ADDRESS(2,COLUMN())),OFFSET($BN$2,0,0,ROW()-1,60),ROW()-1,FALSE))</f>
        <v>2046.4957870000001</v>
      </c>
      <c r="U233">
        <f ca="1">IF(AND(ISNUMBER($U$737),$B$511=1),$U$737,HLOOKUP(INDIRECT(ADDRESS(2,COLUMN())),OFFSET($BN$2,0,0,ROW()-1,60),ROW()-1,FALSE))</f>
        <v>2616.3228859999999</v>
      </c>
      <c r="V233">
        <f ca="1">IF(AND(ISNUMBER($V$737),$B$511=1),$V$737,HLOOKUP(INDIRECT(ADDRESS(2,COLUMN())),OFFSET($BN$2,0,0,ROW()-1,60),ROW()-1,FALSE))</f>
        <v>1640.8349229999999</v>
      </c>
      <c r="W233">
        <f ca="1">IF(AND(ISNUMBER($W$737),$B$511=1),$W$737,HLOOKUP(INDIRECT(ADDRESS(2,COLUMN())),OFFSET($BN$2,0,0,ROW()-1,60),ROW()-1,FALSE))</f>
        <v>3356.3006770000002</v>
      </c>
      <c r="X233">
        <f ca="1">IF(AND(ISNUMBER($X$737),$B$511=1),$X$737,HLOOKUP(INDIRECT(ADDRESS(2,COLUMN())),OFFSET($BN$2,0,0,ROW()-1,60),ROW()-1,FALSE))</f>
        <v>2185.5955359999998</v>
      </c>
      <c r="Y233">
        <f ca="1">IF(AND(ISNUMBER($Y$737),$B$511=1),$Y$737,HLOOKUP(INDIRECT(ADDRESS(2,COLUMN())),OFFSET($BN$2,0,0,ROW()-1,60),ROW()-1,FALSE))</f>
        <v>1035.546433</v>
      </c>
      <c r="Z233">
        <f ca="1">IF(AND(ISNUMBER($Z$737),$B$511=1),$Z$737,HLOOKUP(INDIRECT(ADDRESS(2,COLUMN())),OFFSET($BN$2,0,0,ROW()-1,60),ROW()-1,FALSE))</f>
        <v>1760.5619710000001</v>
      </c>
      <c r="AA233">
        <f ca="1">IF(AND(ISNUMBER($AA$737),$B$511=1),$AA$737,HLOOKUP(INDIRECT(ADDRESS(2,COLUMN())),OFFSET($BN$2,0,0,ROW()-1,60),ROW()-1,FALSE))</f>
        <v>1112.9985240000001</v>
      </c>
      <c r="AB233">
        <f ca="1">IF(AND(ISNUMBER($AB$737),$B$511=1),$AB$737,HLOOKUP(INDIRECT(ADDRESS(2,COLUMN())),OFFSET($BN$2,0,0,ROW()-1,60),ROW()-1,FALSE))</f>
        <v>1401.5483389999999</v>
      </c>
      <c r="AC233">
        <f ca="1">IF(AND(ISNUMBER($AC$737),$B$511=1),$AC$737,HLOOKUP(INDIRECT(ADDRESS(2,COLUMN())),OFFSET($BN$2,0,0,ROW()-1,60),ROW()-1,FALSE))</f>
        <v>-105.09923620000001</v>
      </c>
      <c r="AD233">
        <f ca="1">IF(AND(ISNUMBER($AD$737),$B$511=1),$AD$737,HLOOKUP(INDIRECT(ADDRESS(2,COLUMN())),OFFSET($BN$2,0,0,ROW()-1,60),ROW()-1,FALSE))</f>
        <v>-525.7965825</v>
      </c>
      <c r="AE233">
        <f ca="1">IF(AND(ISNUMBER($AE$737),$B$511=1),$AE$737,HLOOKUP(INDIRECT(ADDRESS(2,COLUMN())),OFFSET($BN$2,0,0,ROW()-1,60),ROW()-1,FALSE))</f>
        <v>-1825.975445</v>
      </c>
      <c r="AF233">
        <f ca="1">IF(AND(ISNUMBER($AF$737),$B$511=1),$AF$737,HLOOKUP(INDIRECT(ADDRESS(2,COLUMN())),OFFSET($BN$2,0,0,ROW()-1,60),ROW()-1,FALSE))</f>
        <v>-669.14793550000002</v>
      </c>
      <c r="AG233">
        <f ca="1">IF(AND(ISNUMBER($AG$737),$B$511=1),$AG$737,HLOOKUP(INDIRECT(ADDRESS(2,COLUMN())),OFFSET($BN$2,0,0,ROW()-1,60),ROW()-1,FALSE))</f>
        <v>954.35637129999998</v>
      </c>
      <c r="AH233">
        <f ca="1">IF(AND(ISNUMBER($AH$737),$B$511=1),$AH$737,HLOOKUP(INDIRECT(ADDRESS(2,COLUMN())),OFFSET($BN$2,0,0,ROW()-1,60),ROW()-1,FALSE))</f>
        <v>3747.31531</v>
      </c>
      <c r="AI233">
        <f ca="1">IF(AND(ISNUMBER($AI$737),$B$511=1),$AI$737,HLOOKUP(INDIRECT(ADDRESS(2,COLUMN())),OFFSET($BN$2,0,0,ROW()-1,60),ROW()-1,FALSE))</f>
        <v>3524.183481</v>
      </c>
      <c r="AJ233">
        <f ca="1">IF(AND(ISNUMBER($AJ$737),$B$511=1),$AJ$737,HLOOKUP(INDIRECT(ADDRESS(2,COLUMN())),OFFSET($BN$2,0,0,ROW()-1,60),ROW()-1,FALSE))</f>
        <v>4662.0141100000001</v>
      </c>
      <c r="AK233">
        <f ca="1">IF(AND(ISNUMBER($AK$737),$B$511=1),$AK$737,HLOOKUP(INDIRECT(ADDRESS(2,COLUMN())),OFFSET($BN$2,0,0,ROW()-1,60),ROW()-1,FALSE))</f>
        <v>4435.9980690000002</v>
      </c>
      <c r="AL233">
        <f ca="1">IF(AND(ISNUMBER($AL$737),$B$511=1),$AL$737,HLOOKUP(INDIRECT(ADDRESS(2,COLUMN())),OFFSET($BN$2,0,0,ROW()-1,60),ROW()-1,FALSE))</f>
        <v>4511.4194090000001</v>
      </c>
      <c r="AM233">
        <f ca="1">IF(AND(ISNUMBER($AM$737),$B$511=1),$AM$737,HLOOKUP(INDIRECT(ADDRESS(2,COLUMN())),OFFSET($BN$2,0,0,ROW()-1,60),ROW()-1,FALSE))</f>
        <v>4817.4470019999999</v>
      </c>
      <c r="AN233">
        <f ca="1">IF(AND(ISNUMBER($AN$737),$B$511=1),$AN$737,HLOOKUP(INDIRECT(ADDRESS(2,COLUMN())),OFFSET($BN$2,0,0,ROW()-1,60),ROW()-1,FALSE))</f>
        <v>5271.6751029999996</v>
      </c>
      <c r="AO233">
        <f ca="1">IF(AND(ISNUMBER($AO$737),$B$511=1),$AO$737,HLOOKUP(INDIRECT(ADDRESS(2,COLUMN())),OFFSET($BN$2,0,0,ROW()-1,60),ROW()-1,FALSE))</f>
        <v>8577.2791410000009</v>
      </c>
      <c r="AP233">
        <f ca="1">IF(AND(ISNUMBER($AP$737),$B$511=1),$AP$737,HLOOKUP(INDIRECT(ADDRESS(2,COLUMN())),OFFSET($BN$2,0,0,ROW()-1,60),ROW()-1,FALSE))</f>
        <v>9720.5422920000001</v>
      </c>
      <c r="AQ233">
        <f ca="1">IF(AND(ISNUMBER($AQ$737),$B$511=1),$AQ$737,HLOOKUP(INDIRECT(ADDRESS(2,COLUMN())),OFFSET($BN$2,0,0,ROW()-1,60),ROW()-1,FALSE))</f>
        <v>11540.79422</v>
      </c>
      <c r="AR233">
        <f ca="1">IF(AND(ISNUMBER($AR$737),$B$511=1),$AR$737,HLOOKUP(INDIRECT(ADDRESS(2,COLUMN())),OFFSET($BN$2,0,0,ROW()-1,60),ROW()-1,FALSE))</f>
        <v>10762.042299999999</v>
      </c>
      <c r="AS233">
        <f ca="1">IF(AND(ISNUMBER($AS$737),$B$511=1),$AS$737,HLOOKUP(INDIRECT(ADDRESS(2,COLUMN())),OFFSET($BN$2,0,0,ROW()-1,60),ROW()-1,FALSE))</f>
        <v>8282.7730210000009</v>
      </c>
      <c r="AT233">
        <f ca="1">IF(AND(ISNUMBER($AT$737),$B$511=1),$AT$737,HLOOKUP(INDIRECT(ADDRESS(2,COLUMN())),OFFSET($BN$2,0,0,ROW()-1,60),ROW()-1,FALSE))</f>
        <v>5041.9051900000004</v>
      </c>
      <c r="AU233" t="str">
        <f ca="1">IF(AND(ISNUMBER($AU$737),$B$511=1),$AU$737,HLOOKUP(INDIRECT(ADDRESS(2,COLUMN())),OFFSET($BN$2,0,0,ROW()-1,60),ROW()-1,FALSE))</f>
        <v/>
      </c>
      <c r="AV233" t="str">
        <f ca="1">IF(AND(ISNUMBER($AV$737),$B$511=1),$AV$737,HLOOKUP(INDIRECT(ADDRESS(2,COLUMN())),OFFSET($BN$2,0,0,ROW()-1,60),ROW()-1,FALSE))</f>
        <v/>
      </c>
      <c r="AW233" t="str">
        <f ca="1">IF(AND(ISNUMBER($AW$737),$B$511=1),$AW$737,HLOOKUP(INDIRECT(ADDRESS(2,COLUMN())),OFFSET($BN$2,0,0,ROW()-1,60),ROW()-1,FALSE))</f>
        <v/>
      </c>
      <c r="AX233" t="str">
        <f ca="1">IF(AND(ISNUMBER($AX$737),$B$511=1),$AX$737,HLOOKUP(INDIRECT(ADDRESS(2,COLUMN())),OFFSET($BN$2,0,0,ROW()-1,60),ROW()-1,FALSE))</f>
        <v/>
      </c>
      <c r="AY233" t="str">
        <f ca="1">IF(AND(ISNUMBER($AY$737),$B$511=1),$AY$737,HLOOKUP(INDIRECT(ADDRESS(2,COLUMN())),OFFSET($BN$2,0,0,ROW()-1,60),ROW()-1,FALSE))</f>
        <v/>
      </c>
      <c r="AZ233" t="str">
        <f ca="1">IF(AND(ISNUMBER($AZ$737),$B$511=1),$AZ$737,HLOOKUP(INDIRECT(ADDRESS(2,COLUMN())),OFFSET($BN$2,0,0,ROW()-1,60),ROW()-1,FALSE))</f>
        <v/>
      </c>
      <c r="BA233" t="str">
        <f ca="1">IF(AND(ISNUMBER($BA$737),$B$511=1),$BA$737,HLOOKUP(INDIRECT(ADDRESS(2,COLUMN())),OFFSET($BN$2,0,0,ROW()-1,60),ROW()-1,FALSE))</f>
        <v/>
      </c>
      <c r="BB233" t="str">
        <f ca="1">IF(AND(ISNUMBER($BB$737),$B$511=1),$BB$737,HLOOKUP(INDIRECT(ADDRESS(2,COLUMN())),OFFSET($BN$2,0,0,ROW()-1,60),ROW()-1,FALSE))</f>
        <v/>
      </c>
      <c r="BC233" t="str">
        <f ca="1">IF(AND(ISNUMBER($BC$737),$B$511=1),$BC$737,HLOOKUP(INDIRECT(ADDRESS(2,COLUMN())),OFFSET($BN$2,0,0,ROW()-1,60),ROW()-1,FALSE))</f>
        <v/>
      </c>
      <c r="BD233" t="str">
        <f ca="1">IF(AND(ISNUMBER($BD$737),$B$511=1),$BD$737,HLOOKUP(INDIRECT(ADDRESS(2,COLUMN())),OFFSET($BN$2,0,0,ROW()-1,60),ROW()-1,FALSE))</f>
        <v/>
      </c>
      <c r="BE233" t="str">
        <f ca="1">IF(AND(ISNUMBER($BE$737),$B$511=1),$BE$737,HLOOKUP(INDIRECT(ADDRESS(2,COLUMN())),OFFSET($BN$2,0,0,ROW()-1,60),ROW()-1,FALSE))</f>
        <v/>
      </c>
      <c r="BF233" t="str">
        <f ca="1">IF(AND(ISNUMBER($BF$737),$B$511=1),$BF$737,HLOOKUP(INDIRECT(ADDRESS(2,COLUMN())),OFFSET($BN$2,0,0,ROW()-1,60),ROW()-1,FALSE))</f>
        <v/>
      </c>
      <c r="BG233" t="str">
        <f ca="1">IF(AND(ISNUMBER($BG$737),$B$511=1),$BG$737,HLOOKUP(INDIRECT(ADDRESS(2,COLUMN())),OFFSET($BN$2,0,0,ROW()-1,60),ROW()-1,FALSE))</f>
        <v/>
      </c>
      <c r="BH233" t="str">
        <f ca="1">IF(AND(ISNUMBER($BH$737),$B$511=1),$BH$737,HLOOKUP(INDIRECT(ADDRESS(2,COLUMN())),OFFSET($BN$2,0,0,ROW()-1,60),ROW()-1,FALSE))</f>
        <v/>
      </c>
      <c r="BI233" t="str">
        <f ca="1">IF(AND(ISNUMBER($BI$737),$B$511=1),$BI$737,HLOOKUP(INDIRECT(ADDRESS(2,COLUMN())),OFFSET($BN$2,0,0,ROW()-1,60),ROW()-1,FALSE))</f>
        <v/>
      </c>
      <c r="BJ233" t="str">
        <f ca="1">IF(AND(ISNUMBER($BJ$737),$B$511=1),$BJ$737,HLOOKUP(INDIRECT(ADDRESS(2,COLUMN())),OFFSET($BN$2,0,0,ROW()-1,60),ROW()-1,FALSE))</f>
        <v/>
      </c>
      <c r="BK233" t="str">
        <f ca="1">IF(AND(ISNUMBER($BK$737),$B$511=1),$BK$737,HLOOKUP(INDIRECT(ADDRESS(2,COLUMN())),OFFSET($BN$2,0,0,ROW()-1,60),ROW()-1,FALSE))</f>
        <v/>
      </c>
      <c r="BL233" t="str">
        <f ca="1">IF(AND(ISNUMBER($BL$737),$B$511=1),$BL$737,HLOOKUP(INDIRECT(ADDRESS(2,COLUMN())),OFFSET($BN$2,0,0,ROW()-1,60),ROW()-1,FALSE))</f>
        <v/>
      </c>
      <c r="BM233" t="str">
        <f ca="1">IF(AND(ISNUMBER($BM$737),$B$511=1),$BM$737,HLOOKUP(INDIRECT(ADDRESS(2,COLUMN())),OFFSET($BN$2,0,0,ROW()-1,60),ROW()-1,FALSE))</f>
        <v/>
      </c>
      <c r="BN233" t="str">
        <f>""</f>
        <v/>
      </c>
      <c r="BO233">
        <f>10658.70613</f>
        <v>10658.70613</v>
      </c>
      <c r="BP233">
        <f>7804.399878</f>
        <v>7804.3998780000002</v>
      </c>
      <c r="BQ233">
        <f>8081.116674</f>
        <v>8081.1166739999999</v>
      </c>
      <c r="BR233">
        <f>6069.447346</f>
        <v>6069.4473459999999</v>
      </c>
      <c r="BS233">
        <f>3697.550451</f>
        <v>3697.5504510000001</v>
      </c>
      <c r="BT233">
        <f>5976.342629</f>
        <v>5976.3426289999998</v>
      </c>
      <c r="BU233">
        <f>5879.347635</f>
        <v>5879.3476350000001</v>
      </c>
      <c r="BV233">
        <f>7693.864343</f>
        <v>7693.8643430000002</v>
      </c>
      <c r="BW233">
        <f>6741.558829</f>
        <v>6741.5588289999996</v>
      </c>
      <c r="BX233">
        <f>5749.762047</f>
        <v>5749.7620470000002</v>
      </c>
      <c r="BY233">
        <f>5333.110394</f>
        <v>5333.1103940000003</v>
      </c>
      <c r="BZ233">
        <f>3299.31585</f>
        <v>3299.31585</v>
      </c>
      <c r="CA233">
        <f>2315.248395</f>
        <v>2315.2483950000001</v>
      </c>
      <c r="CB233">
        <f>2046.495787</f>
        <v>2046.4957870000001</v>
      </c>
      <c r="CC233">
        <f>2616.322886</f>
        <v>2616.3228859999999</v>
      </c>
      <c r="CD233">
        <f>1640.834923</f>
        <v>1640.8349229999999</v>
      </c>
      <c r="CE233">
        <f>3356.300677</f>
        <v>3356.3006770000002</v>
      </c>
      <c r="CF233">
        <f>2185.595536</f>
        <v>2185.5955359999998</v>
      </c>
      <c r="CG233">
        <f>1035.546433</f>
        <v>1035.546433</v>
      </c>
      <c r="CH233">
        <f>1760.561971</f>
        <v>1760.5619710000001</v>
      </c>
      <c r="CI233">
        <f>1112.998524</f>
        <v>1112.9985240000001</v>
      </c>
      <c r="CJ233">
        <f>1401.548339</f>
        <v>1401.5483389999999</v>
      </c>
      <c r="CK233">
        <f>-105.0992362</f>
        <v>-105.09923620000001</v>
      </c>
      <c r="CL233">
        <f>-525.7965825</f>
        <v>-525.7965825</v>
      </c>
      <c r="CM233">
        <f>-1825.975445</f>
        <v>-1825.975445</v>
      </c>
      <c r="CN233">
        <f>-669.1479355</f>
        <v>-669.14793550000002</v>
      </c>
      <c r="CO233">
        <f>954.3563713</f>
        <v>954.35637129999998</v>
      </c>
      <c r="CP233">
        <f>3747.31531</f>
        <v>3747.31531</v>
      </c>
      <c r="CQ233">
        <f>3524.183481</f>
        <v>3524.183481</v>
      </c>
      <c r="CR233">
        <f>4662.01411</f>
        <v>4662.0141100000001</v>
      </c>
      <c r="CS233">
        <f>4435.998069</f>
        <v>4435.9980690000002</v>
      </c>
      <c r="CT233">
        <f>4511.419409</f>
        <v>4511.4194090000001</v>
      </c>
      <c r="CU233">
        <f>4817.447002</f>
        <v>4817.4470019999999</v>
      </c>
      <c r="CV233">
        <f>5271.675103</f>
        <v>5271.6751029999996</v>
      </c>
      <c r="CW233">
        <f>8577.279141</f>
        <v>8577.2791410000009</v>
      </c>
      <c r="CX233">
        <f>9720.542292</f>
        <v>9720.5422920000001</v>
      </c>
      <c r="CY233">
        <f>11540.79422</f>
        <v>11540.79422</v>
      </c>
      <c r="CZ233">
        <f>10762.0423</f>
        <v>10762.042299999999</v>
      </c>
      <c r="DA233">
        <f>8282.773021</f>
        <v>8282.7730210000009</v>
      </c>
      <c r="DB233">
        <f>5041.90519</f>
        <v>5041.9051900000004</v>
      </c>
      <c r="DC233" t="str">
        <f>""</f>
        <v/>
      </c>
      <c r="DD233" t="str">
        <f>""</f>
        <v/>
      </c>
      <c r="DE233" t="str">
        <f>""</f>
        <v/>
      </c>
      <c r="DF233" t="str">
        <f>""</f>
        <v/>
      </c>
      <c r="DG233" t="str">
        <f>""</f>
        <v/>
      </c>
      <c r="DH233" t="str">
        <f>""</f>
        <v/>
      </c>
      <c r="DI233" t="str">
        <f>""</f>
        <v/>
      </c>
      <c r="DJ233" t="str">
        <f>""</f>
        <v/>
      </c>
      <c r="DK233" t="str">
        <f>""</f>
        <v/>
      </c>
      <c r="DL233" t="str">
        <f>""</f>
        <v/>
      </c>
      <c r="DM233" t="str">
        <f>""</f>
        <v/>
      </c>
      <c r="DN233" t="str">
        <f>""</f>
        <v/>
      </c>
      <c r="DO233" t="str">
        <f>""</f>
        <v/>
      </c>
      <c r="DP233" t="str">
        <f>""</f>
        <v/>
      </c>
      <c r="DQ233" t="str">
        <f>""</f>
        <v/>
      </c>
      <c r="DR233" t="str">
        <f>""</f>
        <v/>
      </c>
      <c r="DS233" t="str">
        <f>""</f>
        <v/>
      </c>
      <c r="DT233" t="str">
        <f>""</f>
        <v/>
      </c>
      <c r="DU233" t="str">
        <f>""</f>
        <v/>
      </c>
    </row>
    <row r="234" spans="1:125" x14ac:dyDescent="0.25">
      <c r="A234" t="str">
        <f>"    Peugeot SA"</f>
        <v xml:space="preserve">    Peugeot SA</v>
      </c>
      <c r="B234" t="str">
        <f>"UG FP Equity"</f>
        <v>UG FP Equity</v>
      </c>
      <c r="C234" t="str">
        <f t="shared" si="15"/>
        <v>RR843</v>
      </c>
      <c r="D234" t="str">
        <f t="shared" si="16"/>
        <v>TRAIL_12M_FREE_CASH_FLOW</v>
      </c>
      <c r="E234" t="str">
        <f t="shared" si="17"/>
        <v>Dynamic</v>
      </c>
      <c r="F234" t="str">
        <f ca="1">IF(AND(ISNUMBER($F$738),$B$511=1),$F$738,HLOOKUP(INDIRECT(ADDRESS(2,COLUMN())),OFFSET($BN$2,0,0,ROW()-1,60),ROW()-1,FALSE))</f>
        <v/>
      </c>
      <c r="G234" t="str">
        <f ca="1">IF(AND(ISNUMBER($G$738),$B$511=1),$G$738,HLOOKUP(INDIRECT(ADDRESS(2,COLUMN())),OFFSET($BN$2,0,0,ROW()-1,60),ROW()-1,FALSE))</f>
        <v/>
      </c>
      <c r="H234" t="str">
        <f ca="1">IF(AND(ISNUMBER($H$738),$B$511=1),$H$738,HLOOKUP(INDIRECT(ADDRESS(2,COLUMN())),OFFSET($BN$2,0,0,ROW()-1,60),ROW()-1,FALSE))</f>
        <v/>
      </c>
      <c r="I234" t="str">
        <f ca="1">IF(AND(ISNUMBER($I$738),$B$511=1),$I$738,HLOOKUP(INDIRECT(ADDRESS(2,COLUMN())),OFFSET($BN$2,0,0,ROW()-1,60),ROW()-1,FALSE))</f>
        <v/>
      </c>
      <c r="J234" t="str">
        <f ca="1">IF(AND(ISNUMBER($J$738),$B$511=1),$J$738,HLOOKUP(INDIRECT(ADDRESS(2,COLUMN())),OFFSET($BN$2,0,0,ROW()-1,60),ROW()-1,FALSE))</f>
        <v/>
      </c>
      <c r="K234" t="str">
        <f ca="1">IF(AND(ISNUMBER($K$738),$B$511=1),$K$738,HLOOKUP(INDIRECT(ADDRESS(2,COLUMN())),OFFSET($BN$2,0,0,ROW()-1,60),ROW()-1,FALSE))</f>
        <v/>
      </c>
      <c r="L234" t="str">
        <f ca="1">IF(AND(ISNUMBER($L$738),$B$511=1),$L$738,HLOOKUP(INDIRECT(ADDRESS(2,COLUMN())),OFFSET($BN$2,0,0,ROW()-1,60),ROW()-1,FALSE))</f>
        <v/>
      </c>
      <c r="M234" t="str">
        <f ca="1">IF(AND(ISNUMBER($M$738),$B$511=1),$M$738,HLOOKUP(INDIRECT(ADDRESS(2,COLUMN())),OFFSET($BN$2,0,0,ROW()-1,60),ROW()-1,FALSE))</f>
        <v/>
      </c>
      <c r="N234" t="str">
        <f ca="1">IF(AND(ISNUMBER($N$738),$B$511=1),$N$738,HLOOKUP(INDIRECT(ADDRESS(2,COLUMN())),OFFSET($BN$2,0,0,ROW()-1,60),ROW()-1,FALSE))</f>
        <v/>
      </c>
      <c r="O234" t="str">
        <f ca="1">IF(AND(ISNUMBER($O$738),$B$511=1),$O$738,HLOOKUP(INDIRECT(ADDRESS(2,COLUMN())),OFFSET($BN$2,0,0,ROW()-1,60),ROW()-1,FALSE))</f>
        <v/>
      </c>
      <c r="P234" t="str">
        <f ca="1">IF(AND(ISNUMBER($P$738),$B$511=1),$P$738,HLOOKUP(INDIRECT(ADDRESS(2,COLUMN())),OFFSET($BN$2,0,0,ROW()-1,60),ROW()-1,FALSE))</f>
        <v/>
      </c>
      <c r="Q234" t="str">
        <f ca="1">IF(AND(ISNUMBER($Q$738),$B$511=1),$Q$738,HLOOKUP(INDIRECT(ADDRESS(2,COLUMN())),OFFSET($BN$2,0,0,ROW()-1,60),ROW()-1,FALSE))</f>
        <v/>
      </c>
      <c r="R234" t="str">
        <f ca="1">IF(AND(ISNUMBER($R$738),$B$511=1),$R$738,HLOOKUP(INDIRECT(ADDRESS(2,COLUMN())),OFFSET($BN$2,0,0,ROW()-1,60),ROW()-1,FALSE))</f>
        <v/>
      </c>
      <c r="S234" t="str">
        <f ca="1">IF(AND(ISNUMBER($S$738),$B$511=1),$S$738,HLOOKUP(INDIRECT(ADDRESS(2,COLUMN())),OFFSET($BN$2,0,0,ROW()-1,60),ROW()-1,FALSE))</f>
        <v/>
      </c>
      <c r="T234" t="str">
        <f ca="1">IF(AND(ISNUMBER($T$738),$B$511=1),$T$738,HLOOKUP(INDIRECT(ADDRESS(2,COLUMN())),OFFSET($BN$2,0,0,ROW()-1,60),ROW()-1,FALSE))</f>
        <v/>
      </c>
      <c r="U234" t="str">
        <f ca="1">IF(AND(ISNUMBER($U$738),$B$511=1),$U$738,HLOOKUP(INDIRECT(ADDRESS(2,COLUMN())),OFFSET($BN$2,0,0,ROW()-1,60),ROW()-1,FALSE))</f>
        <v/>
      </c>
      <c r="V234" t="str">
        <f ca="1">IF(AND(ISNUMBER($V$738),$B$511=1),$V$738,HLOOKUP(INDIRECT(ADDRESS(2,COLUMN())),OFFSET($BN$2,0,0,ROW()-1,60),ROW()-1,FALSE))</f>
        <v/>
      </c>
      <c r="W234" t="str">
        <f ca="1">IF(AND(ISNUMBER($W$738),$B$511=1),$W$738,HLOOKUP(INDIRECT(ADDRESS(2,COLUMN())),OFFSET($BN$2,0,0,ROW()-1,60),ROW()-1,FALSE))</f>
        <v/>
      </c>
      <c r="X234" t="str">
        <f ca="1">IF(AND(ISNUMBER($X$738),$B$511=1),$X$738,HLOOKUP(INDIRECT(ADDRESS(2,COLUMN())),OFFSET($BN$2,0,0,ROW()-1,60),ROW()-1,FALSE))</f>
        <v/>
      </c>
      <c r="Y234" t="str">
        <f ca="1">IF(AND(ISNUMBER($Y$738),$B$511=1),$Y$738,HLOOKUP(INDIRECT(ADDRESS(2,COLUMN())),OFFSET($BN$2,0,0,ROW()-1,60),ROW()-1,FALSE))</f>
        <v/>
      </c>
      <c r="Z234" t="str">
        <f ca="1">IF(AND(ISNUMBER($Z$738),$B$511=1),$Z$738,HLOOKUP(INDIRECT(ADDRESS(2,COLUMN())),OFFSET($BN$2,0,0,ROW()-1,60),ROW()-1,FALSE))</f>
        <v/>
      </c>
      <c r="AA234" t="str">
        <f ca="1">IF(AND(ISNUMBER($AA$738),$B$511=1),$AA$738,HLOOKUP(INDIRECT(ADDRESS(2,COLUMN())),OFFSET($BN$2,0,0,ROW()-1,60),ROW()-1,FALSE))</f>
        <v/>
      </c>
      <c r="AB234" t="str">
        <f ca="1">IF(AND(ISNUMBER($AB$738),$B$511=1),$AB$738,HLOOKUP(INDIRECT(ADDRESS(2,COLUMN())),OFFSET($BN$2,0,0,ROW()-1,60),ROW()-1,FALSE))</f>
        <v/>
      </c>
      <c r="AC234" t="str">
        <f ca="1">IF(AND(ISNUMBER($AC$738),$B$511=1),$AC$738,HLOOKUP(INDIRECT(ADDRESS(2,COLUMN())),OFFSET($BN$2,0,0,ROW()-1,60),ROW()-1,FALSE))</f>
        <v/>
      </c>
      <c r="AD234" t="str">
        <f ca="1">IF(AND(ISNUMBER($AD$738),$B$511=1),$AD$738,HLOOKUP(INDIRECT(ADDRESS(2,COLUMN())),OFFSET($BN$2,0,0,ROW()-1,60),ROW()-1,FALSE))</f>
        <v/>
      </c>
      <c r="AE234" t="str">
        <f ca="1">IF(AND(ISNUMBER($AE$738),$B$511=1),$AE$738,HLOOKUP(INDIRECT(ADDRESS(2,COLUMN())),OFFSET($BN$2,0,0,ROW()-1,60),ROW()-1,FALSE))</f>
        <v/>
      </c>
      <c r="AF234" t="str">
        <f ca="1">IF(AND(ISNUMBER($AF$738),$B$511=1),$AF$738,HLOOKUP(INDIRECT(ADDRESS(2,COLUMN())),OFFSET($BN$2,0,0,ROW()-1,60),ROW()-1,FALSE))</f>
        <v/>
      </c>
      <c r="AG234" t="str">
        <f ca="1">IF(AND(ISNUMBER($AG$738),$B$511=1),$AG$738,HLOOKUP(INDIRECT(ADDRESS(2,COLUMN())),OFFSET($BN$2,0,0,ROW()-1,60),ROW()-1,FALSE))</f>
        <v/>
      </c>
      <c r="AH234" t="str">
        <f ca="1">IF(AND(ISNUMBER($AH$738),$B$511=1),$AH$738,HLOOKUP(INDIRECT(ADDRESS(2,COLUMN())),OFFSET($BN$2,0,0,ROW()-1,60),ROW()-1,FALSE))</f>
        <v/>
      </c>
      <c r="AI234" t="str">
        <f ca="1">IF(AND(ISNUMBER($AI$738),$B$511=1),$AI$738,HLOOKUP(INDIRECT(ADDRESS(2,COLUMN())),OFFSET($BN$2,0,0,ROW()-1,60),ROW()-1,FALSE))</f>
        <v/>
      </c>
      <c r="AJ234" t="str">
        <f ca="1">IF(AND(ISNUMBER($AJ$738),$B$511=1),$AJ$738,HLOOKUP(INDIRECT(ADDRESS(2,COLUMN())),OFFSET($BN$2,0,0,ROW()-1,60),ROW()-1,FALSE))</f>
        <v/>
      </c>
      <c r="AK234" t="str">
        <f ca="1">IF(AND(ISNUMBER($AK$738),$B$511=1),$AK$738,HLOOKUP(INDIRECT(ADDRESS(2,COLUMN())),OFFSET($BN$2,0,0,ROW()-1,60),ROW()-1,FALSE))</f>
        <v/>
      </c>
      <c r="AL234" t="str">
        <f ca="1">IF(AND(ISNUMBER($AL$738),$B$511=1),$AL$738,HLOOKUP(INDIRECT(ADDRESS(2,COLUMN())),OFFSET($BN$2,0,0,ROW()-1,60),ROW()-1,FALSE))</f>
        <v/>
      </c>
      <c r="AM234" t="str">
        <f ca="1">IF(AND(ISNUMBER($AM$738),$B$511=1),$AM$738,HLOOKUP(INDIRECT(ADDRESS(2,COLUMN())),OFFSET($BN$2,0,0,ROW()-1,60),ROW()-1,FALSE))</f>
        <v/>
      </c>
      <c r="AN234" t="str">
        <f ca="1">IF(AND(ISNUMBER($AN$738),$B$511=1),$AN$738,HLOOKUP(INDIRECT(ADDRESS(2,COLUMN())),OFFSET($BN$2,0,0,ROW()-1,60),ROW()-1,FALSE))</f>
        <v/>
      </c>
      <c r="AO234" t="str">
        <f ca="1">IF(AND(ISNUMBER($AO$738),$B$511=1),$AO$738,HLOOKUP(INDIRECT(ADDRESS(2,COLUMN())),OFFSET($BN$2,0,0,ROW()-1,60),ROW()-1,FALSE))</f>
        <v/>
      </c>
      <c r="AP234" t="str">
        <f ca="1">IF(AND(ISNUMBER($AP$738),$B$511=1),$AP$738,HLOOKUP(INDIRECT(ADDRESS(2,COLUMN())),OFFSET($BN$2,0,0,ROW()-1,60),ROW()-1,FALSE))</f>
        <v/>
      </c>
      <c r="AQ234" t="str">
        <f ca="1">IF(AND(ISNUMBER($AQ$738),$B$511=1),$AQ$738,HLOOKUP(INDIRECT(ADDRESS(2,COLUMN())),OFFSET($BN$2,0,0,ROW()-1,60),ROW()-1,FALSE))</f>
        <v/>
      </c>
      <c r="AR234" t="str">
        <f ca="1">IF(AND(ISNUMBER($AR$738),$B$511=1),$AR$738,HLOOKUP(INDIRECT(ADDRESS(2,COLUMN())),OFFSET($BN$2,0,0,ROW()-1,60),ROW()-1,FALSE))</f>
        <v/>
      </c>
      <c r="AS234" t="str">
        <f ca="1">IF(AND(ISNUMBER($AS$738),$B$511=1),$AS$738,HLOOKUP(INDIRECT(ADDRESS(2,COLUMN())),OFFSET($BN$2,0,0,ROW()-1,60),ROW()-1,FALSE))</f>
        <v/>
      </c>
      <c r="AT234" t="str">
        <f ca="1">IF(AND(ISNUMBER($AT$738),$B$511=1),$AT$738,HLOOKUP(INDIRECT(ADDRESS(2,COLUMN())),OFFSET($BN$2,0,0,ROW()-1,60),ROW()-1,FALSE))</f>
        <v/>
      </c>
      <c r="AU234" t="str">
        <f ca="1">IF(AND(ISNUMBER($AU$738),$B$511=1),$AU$738,HLOOKUP(INDIRECT(ADDRESS(2,COLUMN())),OFFSET($BN$2,0,0,ROW()-1,60),ROW()-1,FALSE))</f>
        <v/>
      </c>
      <c r="AV234" t="str">
        <f ca="1">IF(AND(ISNUMBER($AV$738),$B$511=1),$AV$738,HLOOKUP(INDIRECT(ADDRESS(2,COLUMN())),OFFSET($BN$2,0,0,ROW()-1,60),ROW()-1,FALSE))</f>
        <v/>
      </c>
      <c r="AW234" t="str">
        <f ca="1">IF(AND(ISNUMBER($AW$738),$B$511=1),$AW$738,HLOOKUP(INDIRECT(ADDRESS(2,COLUMN())),OFFSET($BN$2,0,0,ROW()-1,60),ROW()-1,FALSE))</f>
        <v/>
      </c>
      <c r="AX234" t="str">
        <f ca="1">IF(AND(ISNUMBER($AX$738),$B$511=1),$AX$738,HLOOKUP(INDIRECT(ADDRESS(2,COLUMN())),OFFSET($BN$2,0,0,ROW()-1,60),ROW()-1,FALSE))</f>
        <v/>
      </c>
      <c r="AY234" t="str">
        <f ca="1">IF(AND(ISNUMBER($AY$738),$B$511=1),$AY$738,HLOOKUP(INDIRECT(ADDRESS(2,COLUMN())),OFFSET($BN$2,0,0,ROW()-1,60),ROW()-1,FALSE))</f>
        <v/>
      </c>
      <c r="AZ234" t="str">
        <f ca="1">IF(AND(ISNUMBER($AZ$738),$B$511=1),$AZ$738,HLOOKUP(INDIRECT(ADDRESS(2,COLUMN())),OFFSET($BN$2,0,0,ROW()-1,60),ROW()-1,FALSE))</f>
        <v/>
      </c>
      <c r="BA234" t="str">
        <f ca="1">IF(AND(ISNUMBER($BA$738),$B$511=1),$BA$738,HLOOKUP(INDIRECT(ADDRESS(2,COLUMN())),OFFSET($BN$2,0,0,ROW()-1,60),ROW()-1,FALSE))</f>
        <v/>
      </c>
      <c r="BB234" t="str">
        <f ca="1">IF(AND(ISNUMBER($BB$738),$B$511=1),$BB$738,HLOOKUP(INDIRECT(ADDRESS(2,COLUMN())),OFFSET($BN$2,0,0,ROW()-1,60),ROW()-1,FALSE))</f>
        <v/>
      </c>
      <c r="BC234" t="str">
        <f ca="1">IF(AND(ISNUMBER($BC$738),$B$511=1),$BC$738,HLOOKUP(INDIRECT(ADDRESS(2,COLUMN())),OFFSET($BN$2,0,0,ROW()-1,60),ROW()-1,FALSE))</f>
        <v/>
      </c>
      <c r="BD234" t="str">
        <f ca="1">IF(AND(ISNUMBER($BD$738),$B$511=1),$BD$738,HLOOKUP(INDIRECT(ADDRESS(2,COLUMN())),OFFSET($BN$2,0,0,ROW()-1,60),ROW()-1,FALSE))</f>
        <v/>
      </c>
      <c r="BE234" t="str">
        <f ca="1">IF(AND(ISNUMBER($BE$738),$B$511=1),$BE$738,HLOOKUP(INDIRECT(ADDRESS(2,COLUMN())),OFFSET($BN$2,0,0,ROW()-1,60),ROW()-1,FALSE))</f>
        <v/>
      </c>
      <c r="BF234" t="str">
        <f ca="1">IF(AND(ISNUMBER($BF$738),$B$511=1),$BF$738,HLOOKUP(INDIRECT(ADDRESS(2,COLUMN())),OFFSET($BN$2,0,0,ROW()-1,60),ROW()-1,FALSE))</f>
        <v/>
      </c>
      <c r="BG234" t="str">
        <f ca="1">IF(AND(ISNUMBER($BG$738),$B$511=1),$BG$738,HLOOKUP(INDIRECT(ADDRESS(2,COLUMN())),OFFSET($BN$2,0,0,ROW()-1,60),ROW()-1,FALSE))</f>
        <v/>
      </c>
      <c r="BH234" t="str">
        <f ca="1">IF(AND(ISNUMBER($BH$738),$B$511=1),$BH$738,HLOOKUP(INDIRECT(ADDRESS(2,COLUMN())),OFFSET($BN$2,0,0,ROW()-1,60),ROW()-1,FALSE))</f>
        <v/>
      </c>
      <c r="BI234" t="str">
        <f ca="1">IF(AND(ISNUMBER($BI$738),$B$511=1),$BI$738,HLOOKUP(INDIRECT(ADDRESS(2,COLUMN())),OFFSET($BN$2,0,0,ROW()-1,60),ROW()-1,FALSE))</f>
        <v/>
      </c>
      <c r="BJ234" t="str">
        <f ca="1">IF(AND(ISNUMBER($BJ$738),$B$511=1),$BJ$738,HLOOKUP(INDIRECT(ADDRESS(2,COLUMN())),OFFSET($BN$2,0,0,ROW()-1,60),ROW()-1,FALSE))</f>
        <v/>
      </c>
      <c r="BK234" t="str">
        <f ca="1">IF(AND(ISNUMBER($BK$738),$B$511=1),$BK$738,HLOOKUP(INDIRECT(ADDRESS(2,COLUMN())),OFFSET($BN$2,0,0,ROW()-1,60),ROW()-1,FALSE))</f>
        <v/>
      </c>
      <c r="BL234" t="str">
        <f ca="1">IF(AND(ISNUMBER($BL$738),$B$511=1),$BL$738,HLOOKUP(INDIRECT(ADDRESS(2,COLUMN())),OFFSET($BN$2,0,0,ROW()-1,60),ROW()-1,FALSE))</f>
        <v/>
      </c>
      <c r="BM234" t="str">
        <f ca="1">IF(AND(ISNUMBER($BM$738),$B$511=1),$BM$738,HLOOKUP(INDIRECT(ADDRESS(2,COLUMN())),OFFSET($BN$2,0,0,ROW()-1,60),ROW()-1,FALSE))</f>
        <v/>
      </c>
      <c r="BN234" t="str">
        <f>""</f>
        <v/>
      </c>
      <c r="BO234" t="str">
        <f>""</f>
        <v/>
      </c>
      <c r="BP234" t="str">
        <f>""</f>
        <v/>
      </c>
      <c r="BQ234" t="str">
        <f>""</f>
        <v/>
      </c>
      <c r="BR234" t="str">
        <f>""</f>
        <v/>
      </c>
      <c r="BS234" t="str">
        <f>""</f>
        <v/>
      </c>
      <c r="BT234" t="str">
        <f>""</f>
        <v/>
      </c>
      <c r="BU234" t="str">
        <f>""</f>
        <v/>
      </c>
      <c r="BV234" t="str">
        <f>""</f>
        <v/>
      </c>
      <c r="BW234" t="str">
        <f>""</f>
        <v/>
      </c>
      <c r="BX234" t="str">
        <f>""</f>
        <v/>
      </c>
      <c r="BY234" t="str">
        <f>""</f>
        <v/>
      </c>
      <c r="BZ234" t="str">
        <f>""</f>
        <v/>
      </c>
      <c r="CA234" t="str">
        <f>""</f>
        <v/>
      </c>
      <c r="CB234" t="str">
        <f>""</f>
        <v/>
      </c>
      <c r="CC234" t="str">
        <f>""</f>
        <v/>
      </c>
      <c r="CD234" t="str">
        <f>""</f>
        <v/>
      </c>
      <c r="CE234" t="str">
        <f>""</f>
        <v/>
      </c>
      <c r="CF234" t="str">
        <f>""</f>
        <v/>
      </c>
      <c r="CG234" t="str">
        <f>""</f>
        <v/>
      </c>
      <c r="CH234" t="str">
        <f>""</f>
        <v/>
      </c>
      <c r="CI234" t="str">
        <f>""</f>
        <v/>
      </c>
      <c r="CJ234" t="str">
        <f>""</f>
        <v/>
      </c>
      <c r="CK234" t="str">
        <f>""</f>
        <v/>
      </c>
      <c r="CL234" t="str">
        <f>""</f>
        <v/>
      </c>
      <c r="CM234" t="str">
        <f>""</f>
        <v/>
      </c>
      <c r="CN234" t="str">
        <f>""</f>
        <v/>
      </c>
      <c r="CO234" t="str">
        <f>""</f>
        <v/>
      </c>
      <c r="CP234" t="str">
        <f>""</f>
        <v/>
      </c>
      <c r="CQ234" t="str">
        <f>""</f>
        <v/>
      </c>
      <c r="CR234" t="str">
        <f>""</f>
        <v/>
      </c>
      <c r="CS234" t="str">
        <f>""</f>
        <v/>
      </c>
      <c r="CT234" t="str">
        <f>""</f>
        <v/>
      </c>
      <c r="CU234" t="str">
        <f>""</f>
        <v/>
      </c>
      <c r="CV234" t="str">
        <f>""</f>
        <v/>
      </c>
      <c r="CW234" t="str">
        <f>""</f>
        <v/>
      </c>
      <c r="CX234" t="str">
        <f>""</f>
        <v/>
      </c>
      <c r="CY234" t="str">
        <f>""</f>
        <v/>
      </c>
      <c r="CZ234" t="str">
        <f>""</f>
        <v/>
      </c>
      <c r="DA234" t="str">
        <f>""</f>
        <v/>
      </c>
      <c r="DB234" t="str">
        <f>""</f>
        <v/>
      </c>
      <c r="DC234" t="str">
        <f>""</f>
        <v/>
      </c>
      <c r="DD234" t="str">
        <f>""</f>
        <v/>
      </c>
      <c r="DE234" t="str">
        <f>""</f>
        <v/>
      </c>
      <c r="DF234" t="str">
        <f>""</f>
        <v/>
      </c>
      <c r="DG234" t="str">
        <f>""</f>
        <v/>
      </c>
      <c r="DH234" t="str">
        <f>""</f>
        <v/>
      </c>
      <c r="DI234" t="str">
        <f>""</f>
        <v/>
      </c>
      <c r="DJ234" t="str">
        <f>""</f>
        <v/>
      </c>
      <c r="DK234" t="str">
        <f>""</f>
        <v/>
      </c>
      <c r="DL234" t="str">
        <f>""</f>
        <v/>
      </c>
      <c r="DM234" t="str">
        <f>""</f>
        <v/>
      </c>
      <c r="DN234" t="str">
        <f>""</f>
        <v/>
      </c>
      <c r="DO234" t="str">
        <f>""</f>
        <v/>
      </c>
      <c r="DP234" t="str">
        <f>""</f>
        <v/>
      </c>
      <c r="DQ234" t="str">
        <f>""</f>
        <v/>
      </c>
      <c r="DR234" t="str">
        <f>""</f>
        <v/>
      </c>
      <c r="DS234" t="str">
        <f>""</f>
        <v/>
      </c>
      <c r="DT234" t="str">
        <f>""</f>
        <v/>
      </c>
      <c r="DU234" t="str">
        <f>""</f>
        <v/>
      </c>
    </row>
    <row r="235" spans="1:125" x14ac:dyDescent="0.25">
      <c r="A235" t="str">
        <f>"    Renault SA"</f>
        <v xml:space="preserve">    Renault SA</v>
      </c>
      <c r="B235" t="str">
        <f>"RNO FP Equity"</f>
        <v>RNO FP Equity</v>
      </c>
      <c r="C235" t="str">
        <f t="shared" si="15"/>
        <v>RR843</v>
      </c>
      <c r="D235" t="str">
        <f t="shared" si="16"/>
        <v>TRAIL_12M_FREE_CASH_FLOW</v>
      </c>
      <c r="E235" t="str">
        <f t="shared" si="17"/>
        <v>Dynamic</v>
      </c>
      <c r="F235" t="str">
        <f ca="1">IF(AND(ISNUMBER($F$739),$B$511=1),$F$739,HLOOKUP(INDIRECT(ADDRESS(2,COLUMN())),OFFSET($BN$2,0,0,ROW()-1,60),ROW()-1,FALSE))</f>
        <v/>
      </c>
      <c r="G235" t="str">
        <f ca="1">IF(AND(ISNUMBER($G$739),$B$511=1),$G$739,HLOOKUP(INDIRECT(ADDRESS(2,COLUMN())),OFFSET($BN$2,0,0,ROW()-1,60),ROW()-1,FALSE))</f>
        <v/>
      </c>
      <c r="H235" t="str">
        <f ca="1">IF(AND(ISNUMBER($H$739),$B$511=1),$H$739,HLOOKUP(INDIRECT(ADDRESS(2,COLUMN())),OFFSET($BN$2,0,0,ROW()-1,60),ROW()-1,FALSE))</f>
        <v/>
      </c>
      <c r="I235" t="str">
        <f ca="1">IF(AND(ISNUMBER($I$739),$B$511=1),$I$739,HLOOKUP(INDIRECT(ADDRESS(2,COLUMN())),OFFSET($BN$2,0,0,ROW()-1,60),ROW()-1,FALSE))</f>
        <v/>
      </c>
      <c r="J235" t="str">
        <f ca="1">IF(AND(ISNUMBER($J$739),$B$511=1),$J$739,HLOOKUP(INDIRECT(ADDRESS(2,COLUMN())),OFFSET($BN$2,0,0,ROW()-1,60),ROW()-1,FALSE))</f>
        <v/>
      </c>
      <c r="K235" t="str">
        <f ca="1">IF(AND(ISNUMBER($K$739),$B$511=1),$K$739,HLOOKUP(INDIRECT(ADDRESS(2,COLUMN())),OFFSET($BN$2,0,0,ROW()-1,60),ROW()-1,FALSE))</f>
        <v/>
      </c>
      <c r="L235" t="str">
        <f ca="1">IF(AND(ISNUMBER($L$739),$B$511=1),$L$739,HLOOKUP(INDIRECT(ADDRESS(2,COLUMN())),OFFSET($BN$2,0,0,ROW()-1,60),ROW()-1,FALSE))</f>
        <v/>
      </c>
      <c r="M235" t="str">
        <f ca="1">IF(AND(ISNUMBER($M$739),$B$511=1),$M$739,HLOOKUP(INDIRECT(ADDRESS(2,COLUMN())),OFFSET($BN$2,0,0,ROW()-1,60),ROW()-1,FALSE))</f>
        <v/>
      </c>
      <c r="N235" t="str">
        <f ca="1">IF(AND(ISNUMBER($N$739),$B$511=1),$N$739,HLOOKUP(INDIRECT(ADDRESS(2,COLUMN())),OFFSET($BN$2,0,0,ROW()-1,60),ROW()-1,FALSE))</f>
        <v/>
      </c>
      <c r="O235" t="str">
        <f ca="1">IF(AND(ISNUMBER($O$739),$B$511=1),$O$739,HLOOKUP(INDIRECT(ADDRESS(2,COLUMN())),OFFSET($BN$2,0,0,ROW()-1,60),ROW()-1,FALSE))</f>
        <v/>
      </c>
      <c r="P235" t="str">
        <f ca="1">IF(AND(ISNUMBER($P$739),$B$511=1),$P$739,HLOOKUP(INDIRECT(ADDRESS(2,COLUMN())),OFFSET($BN$2,0,0,ROW()-1,60),ROW()-1,FALSE))</f>
        <v/>
      </c>
      <c r="Q235" t="str">
        <f ca="1">IF(AND(ISNUMBER($Q$739),$B$511=1),$Q$739,HLOOKUP(INDIRECT(ADDRESS(2,COLUMN())),OFFSET($BN$2,0,0,ROW()-1,60),ROW()-1,FALSE))</f>
        <v/>
      </c>
      <c r="R235" t="str">
        <f ca="1">IF(AND(ISNUMBER($R$739),$B$511=1),$R$739,HLOOKUP(INDIRECT(ADDRESS(2,COLUMN())),OFFSET($BN$2,0,0,ROW()-1,60),ROW()-1,FALSE))</f>
        <v/>
      </c>
      <c r="S235" t="str">
        <f ca="1">IF(AND(ISNUMBER($S$739),$B$511=1),$S$739,HLOOKUP(INDIRECT(ADDRESS(2,COLUMN())),OFFSET($BN$2,0,0,ROW()-1,60),ROW()-1,FALSE))</f>
        <v/>
      </c>
      <c r="T235" t="str">
        <f ca="1">IF(AND(ISNUMBER($T$739),$B$511=1),$T$739,HLOOKUP(INDIRECT(ADDRESS(2,COLUMN())),OFFSET($BN$2,0,0,ROW()-1,60),ROW()-1,FALSE))</f>
        <v/>
      </c>
      <c r="U235" t="str">
        <f ca="1">IF(AND(ISNUMBER($U$739),$B$511=1),$U$739,HLOOKUP(INDIRECT(ADDRESS(2,COLUMN())),OFFSET($BN$2,0,0,ROW()-1,60),ROW()-1,FALSE))</f>
        <v/>
      </c>
      <c r="V235" t="str">
        <f ca="1">IF(AND(ISNUMBER($V$739),$B$511=1),$V$739,HLOOKUP(INDIRECT(ADDRESS(2,COLUMN())),OFFSET($BN$2,0,0,ROW()-1,60),ROW()-1,FALSE))</f>
        <v/>
      </c>
      <c r="W235" t="str">
        <f ca="1">IF(AND(ISNUMBER($W$739),$B$511=1),$W$739,HLOOKUP(INDIRECT(ADDRESS(2,COLUMN())),OFFSET($BN$2,0,0,ROW()-1,60),ROW()-1,FALSE))</f>
        <v/>
      </c>
      <c r="X235" t="str">
        <f ca="1">IF(AND(ISNUMBER($X$739),$B$511=1),$X$739,HLOOKUP(INDIRECT(ADDRESS(2,COLUMN())),OFFSET($BN$2,0,0,ROW()-1,60),ROW()-1,FALSE))</f>
        <v/>
      </c>
      <c r="Y235" t="str">
        <f ca="1">IF(AND(ISNUMBER($Y$739),$B$511=1),$Y$739,HLOOKUP(INDIRECT(ADDRESS(2,COLUMN())),OFFSET($BN$2,0,0,ROW()-1,60),ROW()-1,FALSE))</f>
        <v/>
      </c>
      <c r="Z235" t="str">
        <f ca="1">IF(AND(ISNUMBER($Z$739),$B$511=1),$Z$739,HLOOKUP(INDIRECT(ADDRESS(2,COLUMN())),OFFSET($BN$2,0,0,ROW()-1,60),ROW()-1,FALSE))</f>
        <v/>
      </c>
      <c r="AA235" t="str">
        <f ca="1">IF(AND(ISNUMBER($AA$739),$B$511=1),$AA$739,HLOOKUP(INDIRECT(ADDRESS(2,COLUMN())),OFFSET($BN$2,0,0,ROW()-1,60),ROW()-1,FALSE))</f>
        <v/>
      </c>
      <c r="AB235" t="str">
        <f ca="1">IF(AND(ISNUMBER($AB$739),$B$511=1),$AB$739,HLOOKUP(INDIRECT(ADDRESS(2,COLUMN())),OFFSET($BN$2,0,0,ROW()-1,60),ROW()-1,FALSE))</f>
        <v/>
      </c>
      <c r="AC235" t="str">
        <f ca="1">IF(AND(ISNUMBER($AC$739),$B$511=1),$AC$739,HLOOKUP(INDIRECT(ADDRESS(2,COLUMN())),OFFSET($BN$2,0,0,ROW()-1,60),ROW()-1,FALSE))</f>
        <v/>
      </c>
      <c r="AD235" t="str">
        <f ca="1">IF(AND(ISNUMBER($AD$739),$B$511=1),$AD$739,HLOOKUP(INDIRECT(ADDRESS(2,COLUMN())),OFFSET($BN$2,0,0,ROW()-1,60),ROW()-1,FALSE))</f>
        <v/>
      </c>
      <c r="AE235" t="str">
        <f ca="1">IF(AND(ISNUMBER($AE$739),$B$511=1),$AE$739,HLOOKUP(INDIRECT(ADDRESS(2,COLUMN())),OFFSET($BN$2,0,0,ROW()-1,60),ROW()-1,FALSE))</f>
        <v/>
      </c>
      <c r="AF235" t="str">
        <f ca="1">IF(AND(ISNUMBER($AF$739),$B$511=1),$AF$739,HLOOKUP(INDIRECT(ADDRESS(2,COLUMN())),OFFSET($BN$2,0,0,ROW()-1,60),ROW()-1,FALSE))</f>
        <v/>
      </c>
      <c r="AG235" t="str">
        <f ca="1">IF(AND(ISNUMBER($AG$739),$B$511=1),$AG$739,HLOOKUP(INDIRECT(ADDRESS(2,COLUMN())),OFFSET($BN$2,0,0,ROW()-1,60),ROW()-1,FALSE))</f>
        <v/>
      </c>
      <c r="AH235" t="str">
        <f ca="1">IF(AND(ISNUMBER($AH$739),$B$511=1),$AH$739,HLOOKUP(INDIRECT(ADDRESS(2,COLUMN())),OFFSET($BN$2,0,0,ROW()-1,60),ROW()-1,FALSE))</f>
        <v/>
      </c>
      <c r="AI235" t="str">
        <f ca="1">IF(AND(ISNUMBER($AI$739),$B$511=1),$AI$739,HLOOKUP(INDIRECT(ADDRESS(2,COLUMN())),OFFSET($BN$2,0,0,ROW()-1,60),ROW()-1,FALSE))</f>
        <v/>
      </c>
      <c r="AJ235" t="str">
        <f ca="1">IF(AND(ISNUMBER($AJ$739),$B$511=1),$AJ$739,HLOOKUP(INDIRECT(ADDRESS(2,COLUMN())),OFFSET($BN$2,0,0,ROW()-1,60),ROW()-1,FALSE))</f>
        <v/>
      </c>
      <c r="AK235" t="str">
        <f ca="1">IF(AND(ISNUMBER($AK$739),$B$511=1),$AK$739,HLOOKUP(INDIRECT(ADDRESS(2,COLUMN())),OFFSET($BN$2,0,0,ROW()-1,60),ROW()-1,FALSE))</f>
        <v/>
      </c>
      <c r="AL235" t="str">
        <f ca="1">IF(AND(ISNUMBER($AL$739),$B$511=1),$AL$739,HLOOKUP(INDIRECT(ADDRESS(2,COLUMN())),OFFSET($BN$2,0,0,ROW()-1,60),ROW()-1,FALSE))</f>
        <v/>
      </c>
      <c r="AM235" t="str">
        <f ca="1">IF(AND(ISNUMBER($AM$739),$B$511=1),$AM$739,HLOOKUP(INDIRECT(ADDRESS(2,COLUMN())),OFFSET($BN$2,0,0,ROW()-1,60),ROW()-1,FALSE))</f>
        <v/>
      </c>
      <c r="AN235" t="str">
        <f ca="1">IF(AND(ISNUMBER($AN$739),$B$511=1),$AN$739,HLOOKUP(INDIRECT(ADDRESS(2,COLUMN())),OFFSET($BN$2,0,0,ROW()-1,60),ROW()-1,FALSE))</f>
        <v/>
      </c>
      <c r="AO235" t="str">
        <f ca="1">IF(AND(ISNUMBER($AO$739),$B$511=1),$AO$739,HLOOKUP(INDIRECT(ADDRESS(2,COLUMN())),OFFSET($BN$2,0,0,ROW()-1,60),ROW()-1,FALSE))</f>
        <v/>
      </c>
      <c r="AP235" t="str">
        <f ca="1">IF(AND(ISNUMBER($AP$739),$B$511=1),$AP$739,HLOOKUP(INDIRECT(ADDRESS(2,COLUMN())),OFFSET($BN$2,0,0,ROW()-1,60),ROW()-1,FALSE))</f>
        <v/>
      </c>
      <c r="AQ235" t="str">
        <f ca="1">IF(AND(ISNUMBER($AQ$739),$B$511=1),$AQ$739,HLOOKUP(INDIRECT(ADDRESS(2,COLUMN())),OFFSET($BN$2,0,0,ROW()-1,60),ROW()-1,FALSE))</f>
        <v/>
      </c>
      <c r="AR235" t="str">
        <f ca="1">IF(AND(ISNUMBER($AR$739),$B$511=1),$AR$739,HLOOKUP(INDIRECT(ADDRESS(2,COLUMN())),OFFSET($BN$2,0,0,ROW()-1,60),ROW()-1,FALSE))</f>
        <v/>
      </c>
      <c r="AS235" t="str">
        <f ca="1">IF(AND(ISNUMBER($AS$739),$B$511=1),$AS$739,HLOOKUP(INDIRECT(ADDRESS(2,COLUMN())),OFFSET($BN$2,0,0,ROW()-1,60),ROW()-1,FALSE))</f>
        <v/>
      </c>
      <c r="AT235" t="str">
        <f ca="1">IF(AND(ISNUMBER($AT$739),$B$511=1),$AT$739,HLOOKUP(INDIRECT(ADDRESS(2,COLUMN())),OFFSET($BN$2,0,0,ROW()-1,60),ROW()-1,FALSE))</f>
        <v/>
      </c>
      <c r="AU235" t="str">
        <f ca="1">IF(AND(ISNUMBER($AU$739),$B$511=1),$AU$739,HLOOKUP(INDIRECT(ADDRESS(2,COLUMN())),OFFSET($BN$2,0,0,ROW()-1,60),ROW()-1,FALSE))</f>
        <v/>
      </c>
      <c r="AV235" t="str">
        <f ca="1">IF(AND(ISNUMBER($AV$739),$B$511=1),$AV$739,HLOOKUP(INDIRECT(ADDRESS(2,COLUMN())),OFFSET($BN$2,0,0,ROW()-1,60),ROW()-1,FALSE))</f>
        <v/>
      </c>
      <c r="AW235" t="str">
        <f ca="1">IF(AND(ISNUMBER($AW$739),$B$511=1),$AW$739,HLOOKUP(INDIRECT(ADDRESS(2,COLUMN())),OFFSET($BN$2,0,0,ROW()-1,60),ROW()-1,FALSE))</f>
        <v/>
      </c>
      <c r="AX235" t="str">
        <f ca="1">IF(AND(ISNUMBER($AX$739),$B$511=1),$AX$739,HLOOKUP(INDIRECT(ADDRESS(2,COLUMN())),OFFSET($BN$2,0,0,ROW()-1,60),ROW()-1,FALSE))</f>
        <v/>
      </c>
      <c r="AY235" t="str">
        <f ca="1">IF(AND(ISNUMBER($AY$739),$B$511=1),$AY$739,HLOOKUP(INDIRECT(ADDRESS(2,COLUMN())),OFFSET($BN$2,0,0,ROW()-1,60),ROW()-1,FALSE))</f>
        <v/>
      </c>
      <c r="AZ235" t="str">
        <f ca="1">IF(AND(ISNUMBER($AZ$739),$B$511=1),$AZ$739,HLOOKUP(INDIRECT(ADDRESS(2,COLUMN())),OFFSET($BN$2,0,0,ROW()-1,60),ROW()-1,FALSE))</f>
        <v/>
      </c>
      <c r="BA235" t="str">
        <f ca="1">IF(AND(ISNUMBER($BA$739),$B$511=1),$BA$739,HLOOKUP(INDIRECT(ADDRESS(2,COLUMN())),OFFSET($BN$2,0,0,ROW()-1,60),ROW()-1,FALSE))</f>
        <v/>
      </c>
      <c r="BB235" t="str">
        <f ca="1">IF(AND(ISNUMBER($BB$739),$B$511=1),$BB$739,HLOOKUP(INDIRECT(ADDRESS(2,COLUMN())),OFFSET($BN$2,0,0,ROW()-1,60),ROW()-1,FALSE))</f>
        <v/>
      </c>
      <c r="BC235" t="str">
        <f ca="1">IF(AND(ISNUMBER($BC$739),$B$511=1),$BC$739,HLOOKUP(INDIRECT(ADDRESS(2,COLUMN())),OFFSET($BN$2,0,0,ROW()-1,60),ROW()-1,FALSE))</f>
        <v/>
      </c>
      <c r="BD235" t="str">
        <f ca="1">IF(AND(ISNUMBER($BD$739),$B$511=1),$BD$739,HLOOKUP(INDIRECT(ADDRESS(2,COLUMN())),OFFSET($BN$2,0,0,ROW()-1,60),ROW()-1,FALSE))</f>
        <v/>
      </c>
      <c r="BE235" t="str">
        <f ca="1">IF(AND(ISNUMBER($BE$739),$B$511=1),$BE$739,HLOOKUP(INDIRECT(ADDRESS(2,COLUMN())),OFFSET($BN$2,0,0,ROW()-1,60),ROW()-1,FALSE))</f>
        <v/>
      </c>
      <c r="BF235" t="str">
        <f ca="1">IF(AND(ISNUMBER($BF$739),$B$511=1),$BF$739,HLOOKUP(INDIRECT(ADDRESS(2,COLUMN())),OFFSET($BN$2,0,0,ROW()-1,60),ROW()-1,FALSE))</f>
        <v/>
      </c>
      <c r="BG235" t="str">
        <f ca="1">IF(AND(ISNUMBER($BG$739),$B$511=1),$BG$739,HLOOKUP(INDIRECT(ADDRESS(2,COLUMN())),OFFSET($BN$2,0,0,ROW()-1,60),ROW()-1,FALSE))</f>
        <v/>
      </c>
      <c r="BH235" t="str">
        <f ca="1">IF(AND(ISNUMBER($BH$739),$B$511=1),$BH$739,HLOOKUP(INDIRECT(ADDRESS(2,COLUMN())),OFFSET($BN$2,0,0,ROW()-1,60),ROW()-1,FALSE))</f>
        <v/>
      </c>
      <c r="BI235" t="str">
        <f ca="1">IF(AND(ISNUMBER($BI$739),$B$511=1),$BI$739,HLOOKUP(INDIRECT(ADDRESS(2,COLUMN())),OFFSET($BN$2,0,0,ROW()-1,60),ROW()-1,FALSE))</f>
        <v/>
      </c>
      <c r="BJ235" t="str">
        <f ca="1">IF(AND(ISNUMBER($BJ$739),$B$511=1),$BJ$739,HLOOKUP(INDIRECT(ADDRESS(2,COLUMN())),OFFSET($BN$2,0,0,ROW()-1,60),ROW()-1,FALSE))</f>
        <v/>
      </c>
      <c r="BK235" t="str">
        <f ca="1">IF(AND(ISNUMBER($BK$739),$B$511=1),$BK$739,HLOOKUP(INDIRECT(ADDRESS(2,COLUMN())),OFFSET($BN$2,0,0,ROW()-1,60),ROW()-1,FALSE))</f>
        <v/>
      </c>
      <c r="BL235" t="str">
        <f ca="1">IF(AND(ISNUMBER($BL$739),$B$511=1),$BL$739,HLOOKUP(INDIRECT(ADDRESS(2,COLUMN())),OFFSET($BN$2,0,0,ROW()-1,60),ROW()-1,FALSE))</f>
        <v/>
      </c>
      <c r="BM235" t="str">
        <f ca="1">IF(AND(ISNUMBER($BM$739),$B$511=1),$BM$739,HLOOKUP(INDIRECT(ADDRESS(2,COLUMN())),OFFSET($BN$2,0,0,ROW()-1,60),ROW()-1,FALSE))</f>
        <v/>
      </c>
      <c r="BN235" t="str">
        <f>""</f>
        <v/>
      </c>
      <c r="BO235" t="str">
        <f>""</f>
        <v/>
      </c>
      <c r="BP235" t="str">
        <f>""</f>
        <v/>
      </c>
      <c r="BQ235" t="str">
        <f>""</f>
        <v/>
      </c>
      <c r="BR235" t="str">
        <f>""</f>
        <v/>
      </c>
      <c r="BS235" t="str">
        <f>""</f>
        <v/>
      </c>
      <c r="BT235" t="str">
        <f>""</f>
        <v/>
      </c>
      <c r="BU235" t="str">
        <f>""</f>
        <v/>
      </c>
      <c r="BV235" t="str">
        <f>""</f>
        <v/>
      </c>
      <c r="BW235" t="str">
        <f>""</f>
        <v/>
      </c>
      <c r="BX235" t="str">
        <f>""</f>
        <v/>
      </c>
      <c r="BY235" t="str">
        <f>""</f>
        <v/>
      </c>
      <c r="BZ235" t="str">
        <f>""</f>
        <v/>
      </c>
      <c r="CA235" t="str">
        <f>""</f>
        <v/>
      </c>
      <c r="CB235" t="str">
        <f>""</f>
        <v/>
      </c>
      <c r="CC235" t="str">
        <f>""</f>
        <v/>
      </c>
      <c r="CD235" t="str">
        <f>""</f>
        <v/>
      </c>
      <c r="CE235" t="str">
        <f>""</f>
        <v/>
      </c>
      <c r="CF235" t="str">
        <f>""</f>
        <v/>
      </c>
      <c r="CG235" t="str">
        <f>""</f>
        <v/>
      </c>
      <c r="CH235" t="str">
        <f>""</f>
        <v/>
      </c>
      <c r="CI235" t="str">
        <f>""</f>
        <v/>
      </c>
      <c r="CJ235" t="str">
        <f>""</f>
        <v/>
      </c>
      <c r="CK235" t="str">
        <f>""</f>
        <v/>
      </c>
      <c r="CL235" t="str">
        <f>""</f>
        <v/>
      </c>
      <c r="CM235" t="str">
        <f>""</f>
        <v/>
      </c>
      <c r="CN235" t="str">
        <f>""</f>
        <v/>
      </c>
      <c r="CO235" t="str">
        <f>""</f>
        <v/>
      </c>
      <c r="CP235" t="str">
        <f>""</f>
        <v/>
      </c>
      <c r="CQ235" t="str">
        <f>""</f>
        <v/>
      </c>
      <c r="CR235" t="str">
        <f>""</f>
        <v/>
      </c>
      <c r="CS235" t="str">
        <f>""</f>
        <v/>
      </c>
      <c r="CT235" t="str">
        <f>""</f>
        <v/>
      </c>
      <c r="CU235" t="str">
        <f>""</f>
        <v/>
      </c>
      <c r="CV235" t="str">
        <f>""</f>
        <v/>
      </c>
      <c r="CW235" t="str">
        <f>""</f>
        <v/>
      </c>
      <c r="CX235" t="str">
        <f>""</f>
        <v/>
      </c>
      <c r="CY235" t="str">
        <f>""</f>
        <v/>
      </c>
      <c r="CZ235" t="str">
        <f>""</f>
        <v/>
      </c>
      <c r="DA235" t="str">
        <f>""</f>
        <v/>
      </c>
      <c r="DB235" t="str">
        <f>""</f>
        <v/>
      </c>
      <c r="DC235" t="str">
        <f>""</f>
        <v/>
      </c>
      <c r="DD235" t="str">
        <f>""</f>
        <v/>
      </c>
      <c r="DE235" t="str">
        <f>""</f>
        <v/>
      </c>
      <c r="DF235" t="str">
        <f>""</f>
        <v/>
      </c>
      <c r="DG235" t="str">
        <f>""</f>
        <v/>
      </c>
      <c r="DH235" t="str">
        <f>""</f>
        <v/>
      </c>
      <c r="DI235" t="str">
        <f>""</f>
        <v/>
      </c>
      <c r="DJ235" t="str">
        <f>""</f>
        <v/>
      </c>
      <c r="DK235" t="str">
        <f>""</f>
        <v/>
      </c>
      <c r="DL235" t="str">
        <f>""</f>
        <v/>
      </c>
      <c r="DM235" t="str">
        <f>""</f>
        <v/>
      </c>
      <c r="DN235" t="str">
        <f>""</f>
        <v/>
      </c>
      <c r="DO235" t="str">
        <f>""</f>
        <v/>
      </c>
      <c r="DP235" t="str">
        <f>""</f>
        <v/>
      </c>
      <c r="DQ235" t="str">
        <f>""</f>
        <v/>
      </c>
      <c r="DR235" t="str">
        <f>""</f>
        <v/>
      </c>
      <c r="DS235" t="str">
        <f>""</f>
        <v/>
      </c>
      <c r="DT235" t="str">
        <f>""</f>
        <v/>
      </c>
      <c r="DU235" t="str">
        <f>""</f>
        <v/>
      </c>
    </row>
    <row r="236" spans="1:125" x14ac:dyDescent="0.25">
      <c r="A236" t="str">
        <f>"    SAIC Motor Corp Ltd"</f>
        <v xml:space="preserve">    SAIC Motor Corp Ltd</v>
      </c>
      <c r="B236" t="str">
        <f>"600104 CH Equity"</f>
        <v>600104 CH Equity</v>
      </c>
      <c r="C236" t="str">
        <f t="shared" si="15"/>
        <v>RR843</v>
      </c>
      <c r="D236" t="str">
        <f t="shared" si="16"/>
        <v>TRAIL_12M_FREE_CASH_FLOW</v>
      </c>
      <c r="E236" t="str">
        <f t="shared" si="17"/>
        <v>Dynamic</v>
      </c>
      <c r="F236" t="str">
        <f ca="1">IF(AND(ISNUMBER($F$740),$B$511=1),$F$740,HLOOKUP(INDIRECT(ADDRESS(2,COLUMN())),OFFSET($BN$2,0,0,ROW()-1,60),ROW()-1,FALSE))</f>
        <v/>
      </c>
      <c r="G236" t="str">
        <f ca="1">IF(AND(ISNUMBER($G$740),$B$511=1),$G$740,HLOOKUP(INDIRECT(ADDRESS(2,COLUMN())),OFFSET($BN$2,0,0,ROW()-1,60),ROW()-1,FALSE))</f>
        <v/>
      </c>
      <c r="H236">
        <f ca="1">IF(AND(ISNUMBER($H$740),$B$511=1),$H$740,HLOOKUP(INDIRECT(ADDRESS(2,COLUMN())),OFFSET($BN$2,0,0,ROW()-1,60),ROW()-1,FALSE))</f>
        <v>-7704.6879989999998</v>
      </c>
      <c r="I236">
        <f ca="1">IF(AND(ISNUMBER($I$740),$B$511=1),$I$740,HLOOKUP(INDIRECT(ADDRESS(2,COLUMN())),OFFSET($BN$2,0,0,ROW()-1,60),ROW()-1,FALSE))</f>
        <v>-3601.0130060000001</v>
      </c>
      <c r="J236">
        <f ca="1">IF(AND(ISNUMBER($J$740),$B$511=1),$J$740,HLOOKUP(INDIRECT(ADDRESS(2,COLUMN())),OFFSET($BN$2,0,0,ROW()-1,60),ROW()-1,FALSE))</f>
        <v>1764.0491420000001</v>
      </c>
      <c r="K236">
        <f ca="1">IF(AND(ISNUMBER($K$740),$B$511=1),$K$740,HLOOKUP(INDIRECT(ADDRESS(2,COLUMN())),OFFSET($BN$2,0,0,ROW()-1,60),ROW()-1,FALSE))</f>
        <v>3934.057307</v>
      </c>
      <c r="L236">
        <f ca="1">IF(AND(ISNUMBER($L$740),$B$511=1),$L$740,HLOOKUP(INDIRECT(ADDRESS(2,COLUMN())),OFFSET($BN$2,0,0,ROW()-1,60),ROW()-1,FALSE))</f>
        <v>3433.5548399999998</v>
      </c>
      <c r="M236">
        <f ca="1">IF(AND(ISNUMBER($M$740),$B$511=1),$M$740,HLOOKUP(INDIRECT(ADDRESS(2,COLUMN())),OFFSET($BN$2,0,0,ROW()-1,60),ROW()-1,FALSE))</f>
        <v>5557.2786230000002</v>
      </c>
      <c r="N236">
        <f ca="1">IF(AND(ISNUMBER($N$740),$B$511=1),$N$740,HLOOKUP(INDIRECT(ADDRESS(2,COLUMN())),OFFSET($BN$2,0,0,ROW()-1,60),ROW()-1,FALSE))</f>
        <v>3057.3731630000002</v>
      </c>
      <c r="O236">
        <f ca="1">IF(AND(ISNUMBER($O$740),$B$511=1),$O$740,HLOOKUP(INDIRECT(ADDRESS(2,COLUMN())),OFFSET($BN$2,0,0,ROW()-1,60),ROW()-1,FALSE))</f>
        <v>3356.950362</v>
      </c>
      <c r="P236">
        <f ca="1">IF(AND(ISNUMBER($P$740),$B$511=1),$P$740,HLOOKUP(INDIRECT(ADDRESS(2,COLUMN())),OFFSET($BN$2,0,0,ROW()-1,60),ROW()-1,FALSE))</f>
        <v>7478.0331770000003</v>
      </c>
      <c r="Q236">
        <f ca="1">IF(AND(ISNUMBER($Q$740),$B$511=1),$Q$740,HLOOKUP(INDIRECT(ADDRESS(2,COLUMN())),OFFSET($BN$2,0,0,ROW()-1,60),ROW()-1,FALSE))</f>
        <v>5666.742714</v>
      </c>
      <c r="R236">
        <f ca="1">IF(AND(ISNUMBER($R$740),$B$511=1),$R$740,HLOOKUP(INDIRECT(ADDRESS(2,COLUMN())),OFFSET($BN$2,0,0,ROW()-1,60),ROW()-1,FALSE))</f>
        <v>5103.376413</v>
      </c>
      <c r="S236">
        <f ca="1">IF(AND(ISNUMBER($S$740),$B$511=1),$S$740,HLOOKUP(INDIRECT(ADDRESS(2,COLUMN())),OFFSET($BN$2,0,0,ROW()-1,60),ROW()-1,FALSE))</f>
        <v>6009.7116800000003</v>
      </c>
      <c r="T236">
        <f ca="1">IF(AND(ISNUMBER($T$740),$B$511=1),$T$740,HLOOKUP(INDIRECT(ADDRESS(2,COLUMN())),OFFSET($BN$2,0,0,ROW()-1,60),ROW()-1,FALSE))</f>
        <v>3785.1859169999998</v>
      </c>
      <c r="U236">
        <f ca="1">IF(AND(ISNUMBER($U$740),$B$511=1),$U$740,HLOOKUP(INDIRECT(ADDRESS(2,COLUMN())),OFFSET($BN$2,0,0,ROW()-1,60),ROW()-1,FALSE))</f>
        <v>1433.7106650000001</v>
      </c>
      <c r="V236">
        <f ca="1">IF(AND(ISNUMBER($V$740),$B$511=1),$V$740,HLOOKUP(INDIRECT(ADDRESS(2,COLUMN())),OFFSET($BN$2,0,0,ROW()-1,60),ROW()-1,FALSE))</f>
        <v>1566.0056609999999</v>
      </c>
      <c r="W236">
        <f ca="1">IF(AND(ISNUMBER($W$740),$B$511=1),$W$740,HLOOKUP(INDIRECT(ADDRESS(2,COLUMN())),OFFSET($BN$2,0,0,ROW()-1,60),ROW()-1,FALSE))</f>
        <v>2995.8359289999999</v>
      </c>
      <c r="X236">
        <f ca="1">IF(AND(ISNUMBER($X$740),$B$511=1),$X$740,HLOOKUP(INDIRECT(ADDRESS(2,COLUMN())),OFFSET($BN$2,0,0,ROW()-1,60),ROW()-1,FALSE))</f>
        <v>2555.8932070000001</v>
      </c>
      <c r="Y236">
        <f ca="1">IF(AND(ISNUMBER($Y$740),$B$511=1),$Y$740,HLOOKUP(INDIRECT(ADDRESS(2,COLUMN())),OFFSET($BN$2,0,0,ROW()-1,60),ROW()-1,FALSE))</f>
        <v>2402.0319930000001</v>
      </c>
      <c r="Z236">
        <f ca="1">IF(AND(ISNUMBER($Z$740),$B$511=1),$Z$740,HLOOKUP(INDIRECT(ADDRESS(2,COLUMN())),OFFSET($BN$2,0,0,ROW()-1,60),ROW()-1,FALSE))</f>
        <v>1290.535873</v>
      </c>
      <c r="AA236">
        <f ca="1">IF(AND(ISNUMBER($AA$740),$B$511=1),$AA$740,HLOOKUP(INDIRECT(ADDRESS(2,COLUMN())),OFFSET($BN$2,0,0,ROW()-1,60),ROW()-1,FALSE))</f>
        <v>2911.3161519999999</v>
      </c>
      <c r="AB236">
        <f ca="1">IF(AND(ISNUMBER($AB$740),$B$511=1),$AB$740,HLOOKUP(INDIRECT(ADDRESS(2,COLUMN())),OFFSET($BN$2,0,0,ROW()-1,60),ROW()-1,FALSE))</f>
        <v>636.94990589999998</v>
      </c>
      <c r="AC236">
        <f ca="1">IF(AND(ISNUMBER($AC$740),$B$511=1),$AC$740,HLOOKUP(INDIRECT(ADDRESS(2,COLUMN())),OFFSET($BN$2,0,0,ROW()-1,60),ROW()-1,FALSE))</f>
        <v>3821.0332859999999</v>
      </c>
      <c r="AD236">
        <f ca="1">IF(AND(ISNUMBER($AD$740),$B$511=1),$AD$740,HLOOKUP(INDIRECT(ADDRESS(2,COLUMN())),OFFSET($BN$2,0,0,ROW()-1,60),ROW()-1,FALSE))</f>
        <v>5183.5894950000002</v>
      </c>
      <c r="AE236">
        <f ca="1">IF(AND(ISNUMBER($AE$740),$B$511=1),$AE$740,HLOOKUP(INDIRECT(ADDRESS(2,COLUMN())),OFFSET($BN$2,0,0,ROW()-1,60),ROW()-1,FALSE))</f>
        <v>2989.652004</v>
      </c>
      <c r="AF236">
        <f ca="1">IF(AND(ISNUMBER($AF$740),$B$511=1),$AF$740,HLOOKUP(INDIRECT(ADDRESS(2,COLUMN())),OFFSET($BN$2,0,0,ROW()-1,60),ROW()-1,FALSE))</f>
        <v>5647.8351460000003</v>
      </c>
      <c r="AG236">
        <f ca="1">IF(AND(ISNUMBER($AG$740),$B$511=1),$AG$740,HLOOKUP(INDIRECT(ADDRESS(2,COLUMN())),OFFSET($BN$2,0,0,ROW()-1,60),ROW()-1,FALSE))</f>
        <v>5432.1192890000002</v>
      </c>
      <c r="AH236">
        <f ca="1">IF(AND(ISNUMBER($AH$740),$B$511=1),$AH$740,HLOOKUP(INDIRECT(ADDRESS(2,COLUMN())),OFFSET($BN$2,0,0,ROW()-1,60),ROW()-1,FALSE))</f>
        <v>3744.0649469999998</v>
      </c>
      <c r="AI236">
        <f ca="1">IF(AND(ISNUMBER($AI$740),$B$511=1),$AI$740,HLOOKUP(INDIRECT(ADDRESS(2,COLUMN())),OFFSET($BN$2,0,0,ROW()-1,60),ROW()-1,FALSE))</f>
        <v>3582.6555739999999</v>
      </c>
      <c r="AJ236">
        <f ca="1">IF(AND(ISNUMBER($AJ$740),$B$511=1),$AJ$740,HLOOKUP(INDIRECT(ADDRESS(2,COLUMN())),OFFSET($BN$2,0,0,ROW()-1,60),ROW()-1,FALSE))</f>
        <v>5115.5829990000002</v>
      </c>
      <c r="AK236">
        <f ca="1">IF(AND(ISNUMBER($AK$740),$B$511=1),$AK$740,HLOOKUP(INDIRECT(ADDRESS(2,COLUMN())),OFFSET($BN$2,0,0,ROW()-1,60),ROW()-1,FALSE))</f>
        <v>3834.7122220000001</v>
      </c>
      <c r="AL236">
        <f ca="1">IF(AND(ISNUMBER($AL$740),$B$511=1),$AL$740,HLOOKUP(INDIRECT(ADDRESS(2,COLUMN())),OFFSET($BN$2,0,0,ROW()-1,60),ROW()-1,FALSE))</f>
        <v>2644.6118839999999</v>
      </c>
      <c r="AM236">
        <f ca="1">IF(AND(ISNUMBER($AM$740),$B$511=1),$AM$740,HLOOKUP(INDIRECT(ADDRESS(2,COLUMN())),OFFSET($BN$2,0,0,ROW()-1,60),ROW()-1,FALSE))</f>
        <v>3449.034971</v>
      </c>
      <c r="AN236">
        <f ca="1">IF(AND(ISNUMBER($AN$740),$B$511=1),$AN$740,HLOOKUP(INDIRECT(ADDRESS(2,COLUMN())),OFFSET($BN$2,0,0,ROW()-1,60),ROW()-1,FALSE))</f>
        <v>2129.8144560000001</v>
      </c>
      <c r="AO236">
        <f ca="1">IF(AND(ISNUMBER($AO$740),$B$511=1),$AO$740,HLOOKUP(INDIRECT(ADDRESS(2,COLUMN())),OFFSET($BN$2,0,0,ROW()-1,60),ROW()-1,FALSE))</f>
        <v>1735.5411650000001</v>
      </c>
      <c r="AP236">
        <f ca="1">IF(AND(ISNUMBER($AP$740),$B$511=1),$AP$740,HLOOKUP(INDIRECT(ADDRESS(2,COLUMN())),OFFSET($BN$2,0,0,ROW()-1,60),ROW()-1,FALSE))</f>
        <v>3786.1493839999998</v>
      </c>
      <c r="AQ236">
        <f ca="1">IF(AND(ISNUMBER($AQ$740),$B$511=1),$AQ$740,HLOOKUP(INDIRECT(ADDRESS(2,COLUMN())),OFFSET($BN$2,0,0,ROW()-1,60),ROW()-1,FALSE))</f>
        <v>3135.7591029999999</v>
      </c>
      <c r="AR236">
        <f ca="1">IF(AND(ISNUMBER($AR$740),$B$511=1),$AR$740,HLOOKUP(INDIRECT(ADDRESS(2,COLUMN())),OFFSET($BN$2,0,0,ROW()-1,60),ROW()-1,FALSE))</f>
        <v>9.2306395999999999</v>
      </c>
      <c r="AS236">
        <f ca="1">IF(AND(ISNUMBER($AS$740),$B$511=1),$AS$740,HLOOKUP(INDIRECT(ADDRESS(2,COLUMN())),OFFSET($BN$2,0,0,ROW()-1,60),ROW()-1,FALSE))</f>
        <v>-822.74735639999994</v>
      </c>
      <c r="AT236">
        <f ca="1">IF(AND(ISNUMBER($AT$740),$B$511=1),$AT$740,HLOOKUP(INDIRECT(ADDRESS(2,COLUMN())),OFFSET($BN$2,0,0,ROW()-1,60),ROW()-1,FALSE))</f>
        <v>-1331.76017</v>
      </c>
      <c r="AU236">
        <f ca="1">IF(AND(ISNUMBER($AU$740),$B$511=1),$AU$740,HLOOKUP(INDIRECT(ADDRESS(2,COLUMN())),OFFSET($BN$2,0,0,ROW()-1,60),ROW()-1,FALSE))</f>
        <v>-368.38690650000001</v>
      </c>
      <c r="AV236">
        <f ca="1">IF(AND(ISNUMBER($AV$740),$B$511=1),$AV$740,HLOOKUP(INDIRECT(ADDRESS(2,COLUMN())),OFFSET($BN$2,0,0,ROW()-1,60),ROW()-1,FALSE))</f>
        <v>884.76494690000004</v>
      </c>
      <c r="AW236">
        <f ca="1">IF(AND(ISNUMBER($AW$740),$B$511=1),$AW$740,HLOOKUP(INDIRECT(ADDRESS(2,COLUMN())),OFFSET($BN$2,0,0,ROW()-1,60),ROW()-1,FALSE))</f>
        <v>762.38597560000005</v>
      </c>
      <c r="AX236">
        <f ca="1">IF(AND(ISNUMBER($AX$740),$B$511=1),$AX$740,HLOOKUP(INDIRECT(ADDRESS(2,COLUMN())),OFFSET($BN$2,0,0,ROW()-1,60),ROW()-1,FALSE))</f>
        <v>910.80370440000002</v>
      </c>
      <c r="AY236">
        <f ca="1">IF(AND(ISNUMBER($AY$740),$B$511=1),$AY$740,HLOOKUP(INDIRECT(ADDRESS(2,COLUMN())),OFFSET($BN$2,0,0,ROW()-1,60),ROW()-1,FALSE))</f>
        <v>-103.9581044</v>
      </c>
      <c r="AZ236">
        <f ca="1">IF(AND(ISNUMBER($AZ$740),$B$511=1),$AZ$740,HLOOKUP(INDIRECT(ADDRESS(2,COLUMN())),OFFSET($BN$2,0,0,ROW()-1,60),ROW()-1,FALSE))</f>
        <v>912.72655510000004</v>
      </c>
      <c r="BA236">
        <f ca="1">IF(AND(ISNUMBER($BA$740),$B$511=1),$BA$740,HLOOKUP(INDIRECT(ADDRESS(2,COLUMN())),OFFSET($BN$2,0,0,ROW()-1,60),ROW()-1,FALSE))</f>
        <v>1253.4823409999999</v>
      </c>
      <c r="BB236">
        <f ca="1">IF(AND(ISNUMBER($BB$740),$B$511=1),$BB$740,HLOOKUP(INDIRECT(ADDRESS(2,COLUMN())),OFFSET($BN$2,0,0,ROW()-1,60),ROW()-1,FALSE))</f>
        <v>964.60183289999998</v>
      </c>
      <c r="BC236">
        <f ca="1">IF(AND(ISNUMBER($BC$740),$B$511=1),$BC$740,HLOOKUP(INDIRECT(ADDRESS(2,COLUMN())),OFFSET($BN$2,0,0,ROW()-1,60),ROW()-1,FALSE))</f>
        <v>763.57831050000004</v>
      </c>
      <c r="BD236">
        <f ca="1">IF(AND(ISNUMBER($BD$740),$B$511=1),$BD$740,HLOOKUP(INDIRECT(ADDRESS(2,COLUMN())),OFFSET($BN$2,0,0,ROW()-1,60),ROW()-1,FALSE))</f>
        <v>129.37665519999999</v>
      </c>
      <c r="BE236">
        <f ca="1">IF(AND(ISNUMBER($BE$740),$B$511=1),$BE$740,HLOOKUP(INDIRECT(ADDRESS(2,COLUMN())),OFFSET($BN$2,0,0,ROW()-1,60),ROW()-1,FALSE))</f>
        <v>260.44704250000001</v>
      </c>
      <c r="BF236">
        <f ca="1">IF(AND(ISNUMBER($BF$740),$B$511=1),$BF$740,HLOOKUP(INDIRECT(ADDRESS(2,COLUMN())),OFFSET($BN$2,0,0,ROW()-1,60),ROW()-1,FALSE))</f>
        <v>144.27262440000001</v>
      </c>
      <c r="BG236">
        <f ca="1">IF(AND(ISNUMBER($BG$740),$B$511=1),$BG$740,HLOOKUP(INDIRECT(ADDRESS(2,COLUMN())),OFFSET($BN$2,0,0,ROW()-1,60),ROW()-1,FALSE))</f>
        <v>122.736751</v>
      </c>
      <c r="BH236">
        <f ca="1">IF(AND(ISNUMBER($BH$740),$B$511=1),$BH$740,HLOOKUP(INDIRECT(ADDRESS(2,COLUMN())),OFFSET($BN$2,0,0,ROW()-1,60),ROW()-1,FALSE))</f>
        <v>126.8024358</v>
      </c>
      <c r="BI236">
        <f ca="1">IF(AND(ISNUMBER($BI$740),$B$511=1),$BI$740,HLOOKUP(INDIRECT(ADDRESS(2,COLUMN())),OFFSET($BN$2,0,0,ROW()-1,60),ROW()-1,FALSE))</f>
        <v>-39.811844870000002</v>
      </c>
      <c r="BJ236">
        <f ca="1">IF(AND(ISNUMBER($BJ$740),$B$511=1),$BJ$740,HLOOKUP(INDIRECT(ADDRESS(2,COLUMN())),OFFSET($BN$2,0,0,ROW()-1,60),ROW()-1,FALSE))</f>
        <v>88.013949280000006</v>
      </c>
      <c r="BK236">
        <f ca="1">IF(AND(ISNUMBER($BK$740),$B$511=1),$BK$740,HLOOKUP(INDIRECT(ADDRESS(2,COLUMN())),OFFSET($BN$2,0,0,ROW()-1,60),ROW()-1,FALSE))</f>
        <v>65.837912529999997</v>
      </c>
      <c r="BL236">
        <f ca="1">IF(AND(ISNUMBER($BL$740),$B$511=1),$BL$740,HLOOKUP(INDIRECT(ADDRESS(2,COLUMN())),OFFSET($BN$2,0,0,ROW()-1,60),ROW()-1,FALSE))</f>
        <v>44.656766570000002</v>
      </c>
      <c r="BM236">
        <f ca="1">IF(AND(ISNUMBER($BM$740),$B$511=1),$BM$740,HLOOKUP(INDIRECT(ADDRESS(2,COLUMN())),OFFSET($BN$2,0,0,ROW()-1,60),ROW()-1,FALSE))</f>
        <v>69.689453839999999</v>
      </c>
      <c r="BN236" t="str">
        <f>""</f>
        <v/>
      </c>
      <c r="BO236" t="str">
        <f>""</f>
        <v/>
      </c>
      <c r="BP236">
        <f>-7704.687999</f>
        <v>-7704.6879989999998</v>
      </c>
      <c r="BQ236">
        <f>-3601.013006</f>
        <v>-3601.0130060000001</v>
      </c>
      <c r="BR236">
        <f>1764.049142</f>
        <v>1764.0491420000001</v>
      </c>
      <c r="BS236">
        <f>3934.057307</f>
        <v>3934.057307</v>
      </c>
      <c r="BT236">
        <f>3433.55484</f>
        <v>3433.5548399999998</v>
      </c>
      <c r="BU236">
        <f>5557.278623</f>
        <v>5557.2786230000002</v>
      </c>
      <c r="BV236">
        <f>3057.373163</f>
        <v>3057.3731630000002</v>
      </c>
      <c r="BW236">
        <f>3356.950362</f>
        <v>3356.950362</v>
      </c>
      <c r="BX236">
        <f>7478.033177</f>
        <v>7478.0331770000003</v>
      </c>
      <c r="BY236">
        <f>5666.742714</f>
        <v>5666.742714</v>
      </c>
      <c r="BZ236">
        <f>5103.376413</f>
        <v>5103.376413</v>
      </c>
      <c r="CA236">
        <f>6009.71168</f>
        <v>6009.7116800000003</v>
      </c>
      <c r="CB236">
        <f>3785.185917</f>
        <v>3785.1859169999998</v>
      </c>
      <c r="CC236">
        <f>1433.710665</f>
        <v>1433.7106650000001</v>
      </c>
      <c r="CD236">
        <f>1566.005661</f>
        <v>1566.0056609999999</v>
      </c>
      <c r="CE236">
        <f>2995.835929</f>
        <v>2995.8359289999999</v>
      </c>
      <c r="CF236">
        <f>2555.893207</f>
        <v>2555.8932070000001</v>
      </c>
      <c r="CG236">
        <f>2402.031993</f>
        <v>2402.0319930000001</v>
      </c>
      <c r="CH236">
        <f>1290.535873</f>
        <v>1290.535873</v>
      </c>
      <c r="CI236">
        <f>2911.316152</f>
        <v>2911.3161519999999</v>
      </c>
      <c r="CJ236">
        <f>636.9499059</f>
        <v>636.94990589999998</v>
      </c>
      <c r="CK236">
        <f>3821.033286</f>
        <v>3821.0332859999999</v>
      </c>
      <c r="CL236">
        <f>5183.589495</f>
        <v>5183.5894950000002</v>
      </c>
      <c r="CM236">
        <f>2989.652004</f>
        <v>2989.652004</v>
      </c>
      <c r="CN236">
        <f>5647.835146</f>
        <v>5647.8351460000003</v>
      </c>
      <c r="CO236">
        <f>5432.119289</f>
        <v>5432.1192890000002</v>
      </c>
      <c r="CP236">
        <f>3744.064947</f>
        <v>3744.0649469999998</v>
      </c>
      <c r="CQ236">
        <f>3582.655574</f>
        <v>3582.6555739999999</v>
      </c>
      <c r="CR236">
        <f>5115.582999</f>
        <v>5115.5829990000002</v>
      </c>
      <c r="CS236">
        <f>3834.712222</f>
        <v>3834.7122220000001</v>
      </c>
      <c r="CT236">
        <f>2644.611884</f>
        <v>2644.6118839999999</v>
      </c>
      <c r="CU236">
        <f>3449.034971</f>
        <v>3449.034971</v>
      </c>
      <c r="CV236">
        <f>2129.814456</f>
        <v>2129.8144560000001</v>
      </c>
      <c r="CW236">
        <f>1735.541165</f>
        <v>1735.5411650000001</v>
      </c>
      <c r="CX236">
        <f>3786.149384</f>
        <v>3786.1493839999998</v>
      </c>
      <c r="CY236">
        <f>3135.759103</f>
        <v>3135.7591029999999</v>
      </c>
      <c r="CZ236">
        <f>9.2306396</f>
        <v>9.2306395999999999</v>
      </c>
      <c r="DA236">
        <f>-822.7473564</f>
        <v>-822.74735639999994</v>
      </c>
      <c r="DB236">
        <f>-1331.76017</f>
        <v>-1331.76017</v>
      </c>
      <c r="DC236">
        <f>-368.3869065</f>
        <v>-368.38690650000001</v>
      </c>
      <c r="DD236">
        <f>884.7649469</f>
        <v>884.76494690000004</v>
      </c>
      <c r="DE236">
        <f>762.3859756</f>
        <v>762.38597560000005</v>
      </c>
      <c r="DF236">
        <f>910.8037044</f>
        <v>910.80370440000002</v>
      </c>
      <c r="DG236">
        <f>-103.9581044</f>
        <v>-103.9581044</v>
      </c>
      <c r="DH236">
        <f>912.7265551</f>
        <v>912.72655510000004</v>
      </c>
      <c r="DI236">
        <f>1253.482341</f>
        <v>1253.4823409999999</v>
      </c>
      <c r="DJ236">
        <f>964.6018329</f>
        <v>964.60183289999998</v>
      </c>
      <c r="DK236">
        <f>763.5783105</f>
        <v>763.57831050000004</v>
      </c>
      <c r="DL236">
        <f>129.3766552</f>
        <v>129.37665519999999</v>
      </c>
      <c r="DM236">
        <f>260.4470425</f>
        <v>260.44704250000001</v>
      </c>
      <c r="DN236">
        <f>144.2726244</f>
        <v>144.27262440000001</v>
      </c>
      <c r="DO236">
        <f>122.736751</f>
        <v>122.736751</v>
      </c>
      <c r="DP236">
        <f>126.8024358</f>
        <v>126.8024358</v>
      </c>
      <c r="DQ236">
        <f>-39.81184487</f>
        <v>-39.811844870000002</v>
      </c>
      <c r="DR236">
        <f>88.01394928</f>
        <v>88.013949280000006</v>
      </c>
      <c r="DS236">
        <f>65.83791253</f>
        <v>65.837912529999997</v>
      </c>
      <c r="DT236">
        <f>44.65676657</f>
        <v>44.656766570000002</v>
      </c>
      <c r="DU236">
        <f>69.68945384</f>
        <v>69.689453839999999</v>
      </c>
    </row>
    <row r="237" spans="1:125" x14ac:dyDescent="0.25">
      <c r="A237" t="str">
        <f>"    Sanyang Motor Co Ltd"</f>
        <v xml:space="preserve">    Sanyang Motor Co Ltd</v>
      </c>
      <c r="B237" t="str">
        <f>"2206 TT Equity"</f>
        <v>2206 TT Equity</v>
      </c>
      <c r="C237" t="str">
        <f t="shared" si="15"/>
        <v>RR843</v>
      </c>
      <c r="D237" t="str">
        <f t="shared" si="16"/>
        <v>TRAIL_12M_FREE_CASH_FLOW</v>
      </c>
      <c r="E237" t="str">
        <f t="shared" si="17"/>
        <v>Dynamic</v>
      </c>
      <c r="F237" t="str">
        <f ca="1">IF(AND(ISNUMBER($F$741),$B$511=1),$F$741,HLOOKUP(INDIRECT(ADDRESS(2,COLUMN())),OFFSET($BN$2,0,0,ROW()-1,60),ROW()-1,FALSE))</f>
        <v/>
      </c>
      <c r="G237" t="str">
        <f ca="1">IF(AND(ISNUMBER($G$741),$B$511=1),$G$741,HLOOKUP(INDIRECT(ADDRESS(2,COLUMN())),OFFSET($BN$2,0,0,ROW()-1,60),ROW()-1,FALSE))</f>
        <v/>
      </c>
      <c r="H237">
        <f ca="1">IF(AND(ISNUMBER($H$741),$B$511=1),$H$741,HLOOKUP(INDIRECT(ADDRESS(2,COLUMN())),OFFSET($BN$2,0,0,ROW()-1,60),ROW()-1,FALSE))</f>
        <v>-43.419466989999997</v>
      </c>
      <c r="I237">
        <f ca="1">IF(AND(ISNUMBER($I$741),$B$511=1),$I$741,HLOOKUP(INDIRECT(ADDRESS(2,COLUMN())),OFFSET($BN$2,0,0,ROW()-1,60),ROW()-1,FALSE))</f>
        <v>-8.6080821160000003</v>
      </c>
      <c r="J237">
        <f ca="1">IF(AND(ISNUMBER($J$741),$B$511=1),$J$741,HLOOKUP(INDIRECT(ADDRESS(2,COLUMN())),OFFSET($BN$2,0,0,ROW()-1,60),ROW()-1,FALSE))</f>
        <v>-5.0156800459999999</v>
      </c>
      <c r="K237">
        <f ca="1">IF(AND(ISNUMBER($K$741),$B$511=1),$K$741,HLOOKUP(INDIRECT(ADDRESS(2,COLUMN())),OFFSET($BN$2,0,0,ROW()-1,60),ROW()-1,FALSE))</f>
        <v>40.594610709999998</v>
      </c>
      <c r="L237">
        <f ca="1">IF(AND(ISNUMBER($L$741),$B$511=1),$L$741,HLOOKUP(INDIRECT(ADDRESS(2,COLUMN())),OFFSET($BN$2,0,0,ROW()-1,60),ROW()-1,FALSE))</f>
        <v>108.24467439999999</v>
      </c>
      <c r="M237">
        <f ca="1">IF(AND(ISNUMBER($M$741),$B$511=1),$M$741,HLOOKUP(INDIRECT(ADDRESS(2,COLUMN())),OFFSET($BN$2,0,0,ROW()-1,60),ROW()-1,FALSE))</f>
        <v>93.926339179999999</v>
      </c>
      <c r="N237">
        <f ca="1">IF(AND(ISNUMBER($N$741),$B$511=1),$N$741,HLOOKUP(INDIRECT(ADDRESS(2,COLUMN())),OFFSET($BN$2,0,0,ROW()-1,60),ROW()-1,FALSE))</f>
        <v>120.6480182</v>
      </c>
      <c r="O237">
        <f ca="1">IF(AND(ISNUMBER($O$741),$B$511=1),$O$741,HLOOKUP(INDIRECT(ADDRESS(2,COLUMN())),OFFSET($BN$2,0,0,ROW()-1,60),ROW()-1,FALSE))</f>
        <v>106.09341910000001</v>
      </c>
      <c r="P237">
        <f ca="1">IF(AND(ISNUMBER($P$741),$B$511=1),$P$741,HLOOKUP(INDIRECT(ADDRESS(2,COLUMN())),OFFSET($BN$2,0,0,ROW()-1,60),ROW()-1,FALSE))</f>
        <v>93.699119830000001</v>
      </c>
      <c r="Q237">
        <f ca="1">IF(AND(ISNUMBER($Q$741),$B$511=1),$Q$741,HLOOKUP(INDIRECT(ADDRESS(2,COLUMN())),OFFSET($BN$2,0,0,ROW()-1,60),ROW()-1,FALSE))</f>
        <v>50.199222220000003</v>
      </c>
      <c r="R237">
        <f ca="1">IF(AND(ISNUMBER($R$741),$B$511=1),$R$741,HLOOKUP(INDIRECT(ADDRESS(2,COLUMN())),OFFSET($BN$2,0,0,ROW()-1,60),ROW()-1,FALSE))</f>
        <v>39.712147399999999</v>
      </c>
      <c r="S237">
        <f ca="1">IF(AND(ISNUMBER($S$741),$B$511=1),$S$741,HLOOKUP(INDIRECT(ADDRESS(2,COLUMN())),OFFSET($BN$2,0,0,ROW()-1,60),ROW()-1,FALSE))</f>
        <v>-39.325846319999997</v>
      </c>
      <c r="T237">
        <f ca="1">IF(AND(ISNUMBER($T$741),$B$511=1),$T$741,HLOOKUP(INDIRECT(ADDRESS(2,COLUMN())),OFFSET($BN$2,0,0,ROW()-1,60),ROW()-1,FALSE))</f>
        <v>-71.984772629999995</v>
      </c>
      <c r="U237">
        <f ca="1">IF(AND(ISNUMBER($U$741),$B$511=1),$U$741,HLOOKUP(INDIRECT(ADDRESS(2,COLUMN())),OFFSET($BN$2,0,0,ROW()-1,60),ROW()-1,FALSE))</f>
        <v>-41.93614797</v>
      </c>
      <c r="V237">
        <f ca="1">IF(AND(ISNUMBER($V$741),$B$511=1),$V$741,HLOOKUP(INDIRECT(ADDRESS(2,COLUMN())),OFFSET($BN$2,0,0,ROW()-1,60),ROW()-1,FALSE))</f>
        <v>-50.99847724</v>
      </c>
      <c r="W237">
        <f ca="1">IF(AND(ISNUMBER($W$741),$B$511=1),$W$741,HLOOKUP(INDIRECT(ADDRESS(2,COLUMN())),OFFSET($BN$2,0,0,ROW()-1,60),ROW()-1,FALSE))</f>
        <v>-34.161130929999999</v>
      </c>
      <c r="X237">
        <f ca="1">IF(AND(ISNUMBER($X$741),$B$511=1),$X$741,HLOOKUP(INDIRECT(ADDRESS(2,COLUMN())),OFFSET($BN$2,0,0,ROW()-1,60),ROW()-1,FALSE))</f>
        <v>-64.152827250000001</v>
      </c>
      <c r="Y237">
        <f ca="1">IF(AND(ISNUMBER($Y$741),$B$511=1),$Y$741,HLOOKUP(INDIRECT(ADDRESS(2,COLUMN())),OFFSET($BN$2,0,0,ROW()-1,60),ROW()-1,FALSE))</f>
        <v>-58.471842959999996</v>
      </c>
      <c r="Z237">
        <f ca="1">IF(AND(ISNUMBER($Z$741),$B$511=1),$Z$741,HLOOKUP(INDIRECT(ADDRESS(2,COLUMN())),OFFSET($BN$2,0,0,ROW()-1,60),ROW()-1,FALSE))</f>
        <v>-105.51921280000001</v>
      </c>
      <c r="AA237">
        <f ca="1">IF(AND(ISNUMBER($AA$741),$B$511=1),$AA$741,HLOOKUP(INDIRECT(ADDRESS(2,COLUMN())),OFFSET($BN$2,0,0,ROW()-1,60),ROW()-1,FALSE))</f>
        <v>-74.998210990000004</v>
      </c>
      <c r="AB237">
        <f ca="1">IF(AND(ISNUMBER($AB$741),$B$511=1),$AB$741,HLOOKUP(INDIRECT(ADDRESS(2,COLUMN())),OFFSET($BN$2,0,0,ROW()-1,60),ROW()-1,FALSE))</f>
        <v>-34.201329139999999</v>
      </c>
      <c r="AC237">
        <f ca="1">IF(AND(ISNUMBER($AC$741),$B$511=1),$AC$741,HLOOKUP(INDIRECT(ADDRESS(2,COLUMN())),OFFSET($BN$2,0,0,ROW()-1,60),ROW()-1,FALSE))</f>
        <v>1.5061718550000001</v>
      </c>
      <c r="AD237">
        <f ca="1">IF(AND(ISNUMBER($AD$741),$B$511=1),$AD$741,HLOOKUP(INDIRECT(ADDRESS(2,COLUMN())),OFFSET($BN$2,0,0,ROW()-1,60),ROW()-1,FALSE))</f>
        <v>17.387144249999999</v>
      </c>
      <c r="AE237">
        <f ca="1">IF(AND(ISNUMBER($AE$741),$B$511=1),$AE$741,HLOOKUP(INDIRECT(ADDRESS(2,COLUMN())),OFFSET($BN$2,0,0,ROW()-1,60),ROW()-1,FALSE))</f>
        <v>8.8508818849999997</v>
      </c>
      <c r="AF237">
        <f ca="1">IF(AND(ISNUMBER($AF$741),$B$511=1),$AF$741,HLOOKUP(INDIRECT(ADDRESS(2,COLUMN())),OFFSET($BN$2,0,0,ROW()-1,60),ROW()-1,FALSE))</f>
        <v>-12.089398579999999</v>
      </c>
      <c r="AG237">
        <f ca="1">IF(AND(ISNUMBER($AG$741),$B$511=1),$AG$741,HLOOKUP(INDIRECT(ADDRESS(2,COLUMN())),OFFSET($BN$2,0,0,ROW()-1,60),ROW()-1,FALSE))</f>
        <v>-49.436026660000003</v>
      </c>
      <c r="AH237">
        <f ca="1">IF(AND(ISNUMBER($AH$741),$B$511=1),$AH$741,HLOOKUP(INDIRECT(ADDRESS(2,COLUMN())),OFFSET($BN$2,0,0,ROW()-1,60),ROW()-1,FALSE))</f>
        <v>-21.998771040000001</v>
      </c>
      <c r="AI237">
        <f ca="1">IF(AND(ISNUMBER($AI$741),$B$511=1),$AI$741,HLOOKUP(INDIRECT(ADDRESS(2,COLUMN())),OFFSET($BN$2,0,0,ROW()-1,60),ROW()-1,FALSE))</f>
        <v>1.581519232</v>
      </c>
      <c r="AJ237">
        <f ca="1">IF(AND(ISNUMBER($AJ$741),$B$511=1),$AJ$741,HLOOKUP(INDIRECT(ADDRESS(2,COLUMN())),OFFSET($BN$2,0,0,ROW()-1,60),ROW()-1,FALSE))</f>
        <v>-1.924678552</v>
      </c>
      <c r="AK237">
        <f ca="1">IF(AND(ISNUMBER($AK$741),$B$511=1),$AK$741,HLOOKUP(INDIRECT(ADDRESS(2,COLUMN())),OFFSET($BN$2,0,0,ROW()-1,60),ROW()-1,FALSE))</f>
        <v>36.217432080000002</v>
      </c>
      <c r="AL237">
        <f ca="1">IF(AND(ISNUMBER($AL$741),$B$511=1),$AL$741,HLOOKUP(INDIRECT(ADDRESS(2,COLUMN())),OFFSET($BN$2,0,0,ROW()-1,60),ROW()-1,FALSE))</f>
        <v>-11.611357569999999</v>
      </c>
      <c r="AM237">
        <f ca="1">IF(AND(ISNUMBER($AM$741),$B$511=1),$AM$741,HLOOKUP(INDIRECT(ADDRESS(2,COLUMN())),OFFSET($BN$2,0,0,ROW()-1,60),ROW()-1,FALSE))</f>
        <v>-41.518305169999998</v>
      </c>
      <c r="AN237">
        <f ca="1">IF(AND(ISNUMBER($AN$741),$B$511=1),$AN$741,HLOOKUP(INDIRECT(ADDRESS(2,COLUMN())),OFFSET($BN$2,0,0,ROW()-1,60),ROW()-1,FALSE))</f>
        <v>-22.411186570000002</v>
      </c>
      <c r="AO237">
        <f ca="1">IF(AND(ISNUMBER($AO$741),$B$511=1),$AO$741,HLOOKUP(INDIRECT(ADDRESS(2,COLUMN())),OFFSET($BN$2,0,0,ROW()-1,60),ROW()-1,FALSE))</f>
        <v>11.410281899999999</v>
      </c>
      <c r="AP237">
        <f ca="1">IF(AND(ISNUMBER($AP$741),$B$511=1),$AP$741,HLOOKUP(INDIRECT(ADDRESS(2,COLUMN())),OFFSET($BN$2,0,0,ROW()-1,60),ROW()-1,FALSE))</f>
        <v>44.808754290000003</v>
      </c>
      <c r="AQ237">
        <f ca="1">IF(AND(ISNUMBER($AQ$741),$B$511=1),$AQ$741,HLOOKUP(INDIRECT(ADDRESS(2,COLUMN())),OFFSET($BN$2,0,0,ROW()-1,60),ROW()-1,FALSE))</f>
        <v>38.66562313</v>
      </c>
      <c r="AR237">
        <f ca="1">IF(AND(ISNUMBER($AR$741),$B$511=1),$AR$741,HLOOKUP(INDIRECT(ADDRESS(2,COLUMN())),OFFSET($BN$2,0,0,ROW()-1,60),ROW()-1,FALSE))</f>
        <v>43.456691679999999</v>
      </c>
      <c r="AS237">
        <f ca="1">IF(AND(ISNUMBER($AS$741),$B$511=1),$AS$741,HLOOKUP(INDIRECT(ADDRESS(2,COLUMN())),OFFSET($BN$2,0,0,ROW()-1,60),ROW()-1,FALSE))</f>
        <v>-22.06683786</v>
      </c>
      <c r="AT237">
        <f ca="1">IF(AND(ISNUMBER($AT$741),$B$511=1),$AT$741,HLOOKUP(INDIRECT(ADDRESS(2,COLUMN())),OFFSET($BN$2,0,0,ROW()-1,60),ROW()-1,FALSE))</f>
        <v>-17.699865089999999</v>
      </c>
      <c r="AU237">
        <f ca="1">IF(AND(ISNUMBER($AU$741),$B$511=1),$AU$741,HLOOKUP(INDIRECT(ADDRESS(2,COLUMN())),OFFSET($BN$2,0,0,ROW()-1,60),ROW()-1,FALSE))</f>
        <v>-37.702292870000001</v>
      </c>
      <c r="AV237" t="str">
        <f ca="1">IF(AND(ISNUMBER($AV$741),$B$511=1),$AV$741,HLOOKUP(INDIRECT(ADDRESS(2,COLUMN())),OFFSET($BN$2,0,0,ROW()-1,60),ROW()-1,FALSE))</f>
        <v/>
      </c>
      <c r="AW237" t="str">
        <f ca="1">IF(AND(ISNUMBER($AW$741),$B$511=1),$AW$741,HLOOKUP(INDIRECT(ADDRESS(2,COLUMN())),OFFSET($BN$2,0,0,ROW()-1,60),ROW()-1,FALSE))</f>
        <v/>
      </c>
      <c r="AX237" t="str">
        <f ca="1">IF(AND(ISNUMBER($AX$741),$B$511=1),$AX$741,HLOOKUP(INDIRECT(ADDRESS(2,COLUMN())),OFFSET($BN$2,0,0,ROW()-1,60),ROW()-1,FALSE))</f>
        <v/>
      </c>
      <c r="AY237" t="str">
        <f ca="1">IF(AND(ISNUMBER($AY$741),$B$511=1),$AY$741,HLOOKUP(INDIRECT(ADDRESS(2,COLUMN())),OFFSET($BN$2,0,0,ROW()-1,60),ROW()-1,FALSE))</f>
        <v/>
      </c>
      <c r="AZ237" t="str">
        <f ca="1">IF(AND(ISNUMBER($AZ$741),$B$511=1),$AZ$741,HLOOKUP(INDIRECT(ADDRESS(2,COLUMN())),OFFSET($BN$2,0,0,ROW()-1,60),ROW()-1,FALSE))</f>
        <v/>
      </c>
      <c r="BA237" t="str">
        <f ca="1">IF(AND(ISNUMBER($BA$741),$B$511=1),$BA$741,HLOOKUP(INDIRECT(ADDRESS(2,COLUMN())),OFFSET($BN$2,0,0,ROW()-1,60),ROW()-1,FALSE))</f>
        <v/>
      </c>
      <c r="BB237" t="str">
        <f ca="1">IF(AND(ISNUMBER($BB$741),$B$511=1),$BB$741,HLOOKUP(INDIRECT(ADDRESS(2,COLUMN())),OFFSET($BN$2,0,0,ROW()-1,60),ROW()-1,FALSE))</f>
        <v/>
      </c>
      <c r="BC237" t="str">
        <f ca="1">IF(AND(ISNUMBER($BC$741),$B$511=1),$BC$741,HLOOKUP(INDIRECT(ADDRESS(2,COLUMN())),OFFSET($BN$2,0,0,ROW()-1,60),ROW()-1,FALSE))</f>
        <v/>
      </c>
      <c r="BD237" t="str">
        <f ca="1">IF(AND(ISNUMBER($BD$741),$B$511=1),$BD$741,HLOOKUP(INDIRECT(ADDRESS(2,COLUMN())),OFFSET($BN$2,0,0,ROW()-1,60),ROW()-1,FALSE))</f>
        <v/>
      </c>
      <c r="BE237" t="str">
        <f ca="1">IF(AND(ISNUMBER($BE$741),$B$511=1),$BE$741,HLOOKUP(INDIRECT(ADDRESS(2,COLUMN())),OFFSET($BN$2,0,0,ROW()-1,60),ROW()-1,FALSE))</f>
        <v/>
      </c>
      <c r="BF237" t="str">
        <f ca="1">IF(AND(ISNUMBER($BF$741),$B$511=1),$BF$741,HLOOKUP(INDIRECT(ADDRESS(2,COLUMN())),OFFSET($BN$2,0,0,ROW()-1,60),ROW()-1,FALSE))</f>
        <v/>
      </c>
      <c r="BG237" t="str">
        <f ca="1">IF(AND(ISNUMBER($BG$741),$B$511=1),$BG$741,HLOOKUP(INDIRECT(ADDRESS(2,COLUMN())),OFFSET($BN$2,0,0,ROW()-1,60),ROW()-1,FALSE))</f>
        <v/>
      </c>
      <c r="BH237" t="str">
        <f ca="1">IF(AND(ISNUMBER($BH$741),$B$511=1),$BH$741,HLOOKUP(INDIRECT(ADDRESS(2,COLUMN())),OFFSET($BN$2,0,0,ROW()-1,60),ROW()-1,FALSE))</f>
        <v/>
      </c>
      <c r="BI237" t="str">
        <f ca="1">IF(AND(ISNUMBER($BI$741),$B$511=1),$BI$741,HLOOKUP(INDIRECT(ADDRESS(2,COLUMN())),OFFSET($BN$2,0,0,ROW()-1,60),ROW()-1,FALSE))</f>
        <v/>
      </c>
      <c r="BJ237" t="str">
        <f ca="1">IF(AND(ISNUMBER($BJ$741),$B$511=1),$BJ$741,HLOOKUP(INDIRECT(ADDRESS(2,COLUMN())),OFFSET($BN$2,0,0,ROW()-1,60),ROW()-1,FALSE))</f>
        <v/>
      </c>
      <c r="BK237" t="str">
        <f ca="1">IF(AND(ISNUMBER($BK$741),$B$511=1),$BK$741,HLOOKUP(INDIRECT(ADDRESS(2,COLUMN())),OFFSET($BN$2,0,0,ROW()-1,60),ROW()-1,FALSE))</f>
        <v/>
      </c>
      <c r="BL237" t="str">
        <f ca="1">IF(AND(ISNUMBER($BL$741),$B$511=1),$BL$741,HLOOKUP(INDIRECT(ADDRESS(2,COLUMN())),OFFSET($BN$2,0,0,ROW()-1,60),ROW()-1,FALSE))</f>
        <v/>
      </c>
      <c r="BM237" t="str">
        <f ca="1">IF(AND(ISNUMBER($BM$741),$B$511=1),$BM$741,HLOOKUP(INDIRECT(ADDRESS(2,COLUMN())),OFFSET($BN$2,0,0,ROW()-1,60),ROW()-1,FALSE))</f>
        <v/>
      </c>
      <c r="BN237" t="str">
        <f>""</f>
        <v/>
      </c>
      <c r="BO237" t="str">
        <f>""</f>
        <v/>
      </c>
      <c r="BP237">
        <f>-43.41946699</f>
        <v>-43.419466989999997</v>
      </c>
      <c r="BQ237">
        <f>-8.608082116</f>
        <v>-8.6080821160000003</v>
      </c>
      <c r="BR237">
        <f>-5.015680046</f>
        <v>-5.0156800459999999</v>
      </c>
      <c r="BS237">
        <f>40.59461071</f>
        <v>40.594610709999998</v>
      </c>
      <c r="BT237">
        <f>108.2446744</f>
        <v>108.24467439999999</v>
      </c>
      <c r="BU237">
        <f>93.92633918</f>
        <v>93.926339179999999</v>
      </c>
      <c r="BV237">
        <f>120.6480182</f>
        <v>120.6480182</v>
      </c>
      <c r="BW237">
        <f>106.0934191</f>
        <v>106.09341910000001</v>
      </c>
      <c r="BX237">
        <f>93.69911983</f>
        <v>93.699119830000001</v>
      </c>
      <c r="BY237">
        <f>50.19922222</f>
        <v>50.199222220000003</v>
      </c>
      <c r="BZ237">
        <f>39.7121474</f>
        <v>39.712147399999999</v>
      </c>
      <c r="CA237">
        <f>-39.32584632</f>
        <v>-39.325846319999997</v>
      </c>
      <c r="CB237">
        <f>-71.98477263</f>
        <v>-71.984772629999995</v>
      </c>
      <c r="CC237">
        <f>-41.93614797</f>
        <v>-41.93614797</v>
      </c>
      <c r="CD237">
        <f>-50.99847724</f>
        <v>-50.99847724</v>
      </c>
      <c r="CE237">
        <f>-34.16113093</f>
        <v>-34.161130929999999</v>
      </c>
      <c r="CF237">
        <f>-64.15282725</f>
        <v>-64.152827250000001</v>
      </c>
      <c r="CG237">
        <f>-58.47184296</f>
        <v>-58.471842959999996</v>
      </c>
      <c r="CH237">
        <f>-105.5192128</f>
        <v>-105.51921280000001</v>
      </c>
      <c r="CI237">
        <f>-74.99821099</f>
        <v>-74.998210990000004</v>
      </c>
      <c r="CJ237">
        <f>-34.20132914</f>
        <v>-34.201329139999999</v>
      </c>
      <c r="CK237">
        <f>1.506171855</f>
        <v>1.5061718550000001</v>
      </c>
      <c r="CL237">
        <f>17.38714425</f>
        <v>17.387144249999999</v>
      </c>
      <c r="CM237">
        <f>8.850881885</f>
        <v>8.8508818849999997</v>
      </c>
      <c r="CN237">
        <f>-12.08939858</f>
        <v>-12.089398579999999</v>
      </c>
      <c r="CO237">
        <f>-49.43602666</f>
        <v>-49.436026660000003</v>
      </c>
      <c r="CP237">
        <f>-21.99877104</f>
        <v>-21.998771040000001</v>
      </c>
      <c r="CQ237">
        <f>1.581519232</f>
        <v>1.581519232</v>
      </c>
      <c r="CR237">
        <f>-1.924678552</f>
        <v>-1.924678552</v>
      </c>
      <c r="CS237">
        <f>36.21743208</f>
        <v>36.217432080000002</v>
      </c>
      <c r="CT237">
        <f>-11.61135757</f>
        <v>-11.611357569999999</v>
      </c>
      <c r="CU237">
        <f>-41.51830517</f>
        <v>-41.518305169999998</v>
      </c>
      <c r="CV237">
        <f>-22.41118657</f>
        <v>-22.411186570000002</v>
      </c>
      <c r="CW237">
        <f>11.4102819</f>
        <v>11.410281899999999</v>
      </c>
      <c r="CX237">
        <f>44.80875429</f>
        <v>44.808754290000003</v>
      </c>
      <c r="CY237">
        <f>38.66562313</f>
        <v>38.66562313</v>
      </c>
      <c r="CZ237">
        <f>43.45669168</f>
        <v>43.456691679999999</v>
      </c>
      <c r="DA237">
        <f>-22.06683786</f>
        <v>-22.06683786</v>
      </c>
      <c r="DB237">
        <f>-17.69986509</f>
        <v>-17.699865089999999</v>
      </c>
      <c r="DC237">
        <f>-37.70229287</f>
        <v>-37.702292870000001</v>
      </c>
      <c r="DD237" t="str">
        <f>""</f>
        <v/>
      </c>
      <c r="DE237" t="str">
        <f>""</f>
        <v/>
      </c>
      <c r="DF237" t="str">
        <f>""</f>
        <v/>
      </c>
      <c r="DG237" t="str">
        <f>""</f>
        <v/>
      </c>
      <c r="DH237" t="str">
        <f>""</f>
        <v/>
      </c>
      <c r="DI237" t="str">
        <f>""</f>
        <v/>
      </c>
      <c r="DJ237" t="str">
        <f>""</f>
        <v/>
      </c>
      <c r="DK237" t="str">
        <f>""</f>
        <v/>
      </c>
      <c r="DL237" t="str">
        <f>""</f>
        <v/>
      </c>
      <c r="DM237" t="str">
        <f>""</f>
        <v/>
      </c>
      <c r="DN237" t="str">
        <f>""</f>
        <v/>
      </c>
      <c r="DO237" t="str">
        <f>""</f>
        <v/>
      </c>
      <c r="DP237" t="str">
        <f>""</f>
        <v/>
      </c>
      <c r="DQ237" t="str">
        <f>""</f>
        <v/>
      </c>
      <c r="DR237" t="str">
        <f>""</f>
        <v/>
      </c>
      <c r="DS237" t="str">
        <f>""</f>
        <v/>
      </c>
      <c r="DT237" t="str">
        <f>""</f>
        <v/>
      </c>
      <c r="DU237" t="str">
        <f>""</f>
        <v/>
      </c>
    </row>
    <row r="238" spans="1:125" x14ac:dyDescent="0.25">
      <c r="A238" t="str">
        <f>"    Sollers PJSC"</f>
        <v xml:space="preserve">    Sollers PJSC</v>
      </c>
      <c r="B238" t="str">
        <f>"SVAV RM Equity"</f>
        <v>SVAV RM Equity</v>
      </c>
      <c r="C238" t="str">
        <f t="shared" si="15"/>
        <v>RR843</v>
      </c>
      <c r="D238" t="str">
        <f t="shared" si="16"/>
        <v>TRAIL_12M_FREE_CASH_FLOW</v>
      </c>
      <c r="E238" t="str">
        <f t="shared" si="17"/>
        <v>Dynamic</v>
      </c>
      <c r="F238" t="str">
        <f ca="1">IF(AND(ISNUMBER($F$742),$B$511=1),$F$742,HLOOKUP(INDIRECT(ADDRESS(2,COLUMN())),OFFSET($BN$2,0,0,ROW()-1,60),ROW()-1,FALSE))</f>
        <v/>
      </c>
      <c r="G238" t="str">
        <f ca="1">IF(AND(ISNUMBER($G$742),$B$511=1),$G$742,HLOOKUP(INDIRECT(ADDRESS(2,COLUMN())),OFFSET($BN$2,0,0,ROW()-1,60),ROW()-1,FALSE))</f>
        <v/>
      </c>
      <c r="H238" t="str">
        <f ca="1">IF(AND(ISNUMBER($H$742),$B$511=1),$H$742,HLOOKUP(INDIRECT(ADDRESS(2,COLUMN())),OFFSET($BN$2,0,0,ROW()-1,60),ROW()-1,FALSE))</f>
        <v/>
      </c>
      <c r="I238" t="str">
        <f ca="1">IF(AND(ISNUMBER($I$742),$B$511=1),$I$742,HLOOKUP(INDIRECT(ADDRESS(2,COLUMN())),OFFSET($BN$2,0,0,ROW()-1,60),ROW()-1,FALSE))</f>
        <v/>
      </c>
      <c r="J238" t="str">
        <f ca="1">IF(AND(ISNUMBER($J$742),$B$511=1),$J$742,HLOOKUP(INDIRECT(ADDRESS(2,COLUMN())),OFFSET($BN$2,0,0,ROW()-1,60),ROW()-1,FALSE))</f>
        <v/>
      </c>
      <c r="K238" t="str">
        <f ca="1">IF(AND(ISNUMBER($K$742),$B$511=1),$K$742,HLOOKUP(INDIRECT(ADDRESS(2,COLUMN())),OFFSET($BN$2,0,0,ROW()-1,60),ROW()-1,FALSE))</f>
        <v/>
      </c>
      <c r="L238" t="str">
        <f ca="1">IF(AND(ISNUMBER($L$742),$B$511=1),$L$742,HLOOKUP(INDIRECT(ADDRESS(2,COLUMN())),OFFSET($BN$2,0,0,ROW()-1,60),ROW()-1,FALSE))</f>
        <v/>
      </c>
      <c r="M238" t="str">
        <f ca="1">IF(AND(ISNUMBER($M$742),$B$511=1),$M$742,HLOOKUP(INDIRECT(ADDRESS(2,COLUMN())),OFFSET($BN$2,0,0,ROW()-1,60),ROW()-1,FALSE))</f>
        <v/>
      </c>
      <c r="N238" t="str">
        <f ca="1">IF(AND(ISNUMBER($N$742),$B$511=1),$N$742,HLOOKUP(INDIRECT(ADDRESS(2,COLUMN())),OFFSET($BN$2,0,0,ROW()-1,60),ROW()-1,FALSE))</f>
        <v/>
      </c>
      <c r="O238" t="str">
        <f ca="1">IF(AND(ISNUMBER($O$742),$B$511=1),$O$742,HLOOKUP(INDIRECT(ADDRESS(2,COLUMN())),OFFSET($BN$2,0,0,ROW()-1,60),ROW()-1,FALSE))</f>
        <v/>
      </c>
      <c r="P238" t="str">
        <f ca="1">IF(AND(ISNUMBER($P$742),$B$511=1),$P$742,HLOOKUP(INDIRECT(ADDRESS(2,COLUMN())),OFFSET($BN$2,0,0,ROW()-1,60),ROW()-1,FALSE))</f>
        <v/>
      </c>
      <c r="Q238" t="str">
        <f ca="1">IF(AND(ISNUMBER($Q$742),$B$511=1),$Q$742,HLOOKUP(INDIRECT(ADDRESS(2,COLUMN())),OFFSET($BN$2,0,0,ROW()-1,60),ROW()-1,FALSE))</f>
        <v/>
      </c>
      <c r="R238" t="str">
        <f ca="1">IF(AND(ISNUMBER($R$742),$B$511=1),$R$742,HLOOKUP(INDIRECT(ADDRESS(2,COLUMN())),OFFSET($BN$2,0,0,ROW()-1,60),ROW()-1,FALSE))</f>
        <v/>
      </c>
      <c r="S238" t="str">
        <f ca="1">IF(AND(ISNUMBER($S$742),$B$511=1),$S$742,HLOOKUP(INDIRECT(ADDRESS(2,COLUMN())),OFFSET($BN$2,0,0,ROW()-1,60),ROW()-1,FALSE))</f>
        <v/>
      </c>
      <c r="T238" t="str">
        <f ca="1">IF(AND(ISNUMBER($T$742),$B$511=1),$T$742,HLOOKUP(INDIRECT(ADDRESS(2,COLUMN())),OFFSET($BN$2,0,0,ROW()-1,60),ROW()-1,FALSE))</f>
        <v/>
      </c>
      <c r="U238" t="str">
        <f ca="1">IF(AND(ISNUMBER($U$742),$B$511=1),$U$742,HLOOKUP(INDIRECT(ADDRESS(2,COLUMN())),OFFSET($BN$2,0,0,ROW()-1,60),ROW()-1,FALSE))</f>
        <v/>
      </c>
      <c r="V238" t="str">
        <f ca="1">IF(AND(ISNUMBER($V$742),$B$511=1),$V$742,HLOOKUP(INDIRECT(ADDRESS(2,COLUMN())),OFFSET($BN$2,0,0,ROW()-1,60),ROW()-1,FALSE))</f>
        <v/>
      </c>
      <c r="W238" t="str">
        <f ca="1">IF(AND(ISNUMBER($W$742),$B$511=1),$W$742,HLOOKUP(INDIRECT(ADDRESS(2,COLUMN())),OFFSET($BN$2,0,0,ROW()-1,60),ROW()-1,FALSE))</f>
        <v/>
      </c>
      <c r="X238" t="str">
        <f ca="1">IF(AND(ISNUMBER($X$742),$B$511=1),$X$742,HLOOKUP(INDIRECT(ADDRESS(2,COLUMN())),OFFSET($BN$2,0,0,ROW()-1,60),ROW()-1,FALSE))</f>
        <v/>
      </c>
      <c r="Y238" t="str">
        <f ca="1">IF(AND(ISNUMBER($Y$742),$B$511=1),$Y$742,HLOOKUP(INDIRECT(ADDRESS(2,COLUMN())),OFFSET($BN$2,0,0,ROW()-1,60),ROW()-1,FALSE))</f>
        <v/>
      </c>
      <c r="Z238" t="str">
        <f ca="1">IF(AND(ISNUMBER($Z$742),$B$511=1),$Z$742,HLOOKUP(INDIRECT(ADDRESS(2,COLUMN())),OFFSET($BN$2,0,0,ROW()-1,60),ROW()-1,FALSE))</f>
        <v/>
      </c>
      <c r="AA238" t="str">
        <f ca="1">IF(AND(ISNUMBER($AA$742),$B$511=1),$AA$742,HLOOKUP(INDIRECT(ADDRESS(2,COLUMN())),OFFSET($BN$2,0,0,ROW()-1,60),ROW()-1,FALSE))</f>
        <v/>
      </c>
      <c r="AB238" t="str">
        <f ca="1">IF(AND(ISNUMBER($AB$742),$B$511=1),$AB$742,HLOOKUP(INDIRECT(ADDRESS(2,COLUMN())),OFFSET($BN$2,0,0,ROW()-1,60),ROW()-1,FALSE))</f>
        <v/>
      </c>
      <c r="AC238" t="str">
        <f ca="1">IF(AND(ISNUMBER($AC$742),$B$511=1),$AC$742,HLOOKUP(INDIRECT(ADDRESS(2,COLUMN())),OFFSET($BN$2,0,0,ROW()-1,60),ROW()-1,FALSE))</f>
        <v/>
      </c>
      <c r="AD238" t="str">
        <f ca="1">IF(AND(ISNUMBER($AD$742),$B$511=1),$AD$742,HLOOKUP(INDIRECT(ADDRESS(2,COLUMN())),OFFSET($BN$2,0,0,ROW()-1,60),ROW()-1,FALSE))</f>
        <v/>
      </c>
      <c r="AE238" t="str">
        <f ca="1">IF(AND(ISNUMBER($AE$742),$B$511=1),$AE$742,HLOOKUP(INDIRECT(ADDRESS(2,COLUMN())),OFFSET($BN$2,0,0,ROW()-1,60),ROW()-1,FALSE))</f>
        <v/>
      </c>
      <c r="AF238" t="str">
        <f ca="1">IF(AND(ISNUMBER($AF$742),$B$511=1),$AF$742,HLOOKUP(INDIRECT(ADDRESS(2,COLUMN())),OFFSET($BN$2,0,0,ROW()-1,60),ROW()-1,FALSE))</f>
        <v/>
      </c>
      <c r="AG238" t="str">
        <f ca="1">IF(AND(ISNUMBER($AG$742),$B$511=1),$AG$742,HLOOKUP(INDIRECT(ADDRESS(2,COLUMN())),OFFSET($BN$2,0,0,ROW()-1,60),ROW()-1,FALSE))</f>
        <v/>
      </c>
      <c r="AH238" t="str">
        <f ca="1">IF(AND(ISNUMBER($AH$742),$B$511=1),$AH$742,HLOOKUP(INDIRECT(ADDRESS(2,COLUMN())),OFFSET($BN$2,0,0,ROW()-1,60),ROW()-1,FALSE))</f>
        <v/>
      </c>
      <c r="AI238" t="str">
        <f ca="1">IF(AND(ISNUMBER($AI$742),$B$511=1),$AI$742,HLOOKUP(INDIRECT(ADDRESS(2,COLUMN())),OFFSET($BN$2,0,0,ROW()-1,60),ROW()-1,FALSE))</f>
        <v/>
      </c>
      <c r="AJ238" t="str">
        <f ca="1">IF(AND(ISNUMBER($AJ$742),$B$511=1),$AJ$742,HLOOKUP(INDIRECT(ADDRESS(2,COLUMN())),OFFSET($BN$2,0,0,ROW()-1,60),ROW()-1,FALSE))</f>
        <v/>
      </c>
      <c r="AK238" t="str">
        <f ca="1">IF(AND(ISNUMBER($AK$742),$B$511=1),$AK$742,HLOOKUP(INDIRECT(ADDRESS(2,COLUMN())),OFFSET($BN$2,0,0,ROW()-1,60),ROW()-1,FALSE))</f>
        <v/>
      </c>
      <c r="AL238" t="str">
        <f ca="1">IF(AND(ISNUMBER($AL$742),$B$511=1),$AL$742,HLOOKUP(INDIRECT(ADDRESS(2,COLUMN())),OFFSET($BN$2,0,0,ROW()-1,60),ROW()-1,FALSE))</f>
        <v/>
      </c>
      <c r="AM238" t="str">
        <f ca="1">IF(AND(ISNUMBER($AM$742),$B$511=1),$AM$742,HLOOKUP(INDIRECT(ADDRESS(2,COLUMN())),OFFSET($BN$2,0,0,ROW()-1,60),ROW()-1,FALSE))</f>
        <v/>
      </c>
      <c r="AN238" t="str">
        <f ca="1">IF(AND(ISNUMBER($AN$742),$B$511=1),$AN$742,HLOOKUP(INDIRECT(ADDRESS(2,COLUMN())),OFFSET($BN$2,0,0,ROW()-1,60),ROW()-1,FALSE))</f>
        <v/>
      </c>
      <c r="AO238" t="str">
        <f ca="1">IF(AND(ISNUMBER($AO$742),$B$511=1),$AO$742,HLOOKUP(INDIRECT(ADDRESS(2,COLUMN())),OFFSET($BN$2,0,0,ROW()-1,60),ROW()-1,FALSE))</f>
        <v/>
      </c>
      <c r="AP238" t="str">
        <f ca="1">IF(AND(ISNUMBER($AP$742),$B$511=1),$AP$742,HLOOKUP(INDIRECT(ADDRESS(2,COLUMN())),OFFSET($BN$2,0,0,ROW()-1,60),ROW()-1,FALSE))</f>
        <v/>
      </c>
      <c r="AQ238" t="str">
        <f ca="1">IF(AND(ISNUMBER($AQ$742),$B$511=1),$AQ$742,HLOOKUP(INDIRECT(ADDRESS(2,COLUMN())),OFFSET($BN$2,0,0,ROW()-1,60),ROW()-1,FALSE))</f>
        <v/>
      </c>
      <c r="AR238" t="str">
        <f ca="1">IF(AND(ISNUMBER($AR$742),$B$511=1),$AR$742,HLOOKUP(INDIRECT(ADDRESS(2,COLUMN())),OFFSET($BN$2,0,0,ROW()-1,60),ROW()-1,FALSE))</f>
        <v/>
      </c>
      <c r="AS238" t="str">
        <f ca="1">IF(AND(ISNUMBER($AS$742),$B$511=1),$AS$742,HLOOKUP(INDIRECT(ADDRESS(2,COLUMN())),OFFSET($BN$2,0,0,ROW()-1,60),ROW()-1,FALSE))</f>
        <v/>
      </c>
      <c r="AT238" t="str">
        <f ca="1">IF(AND(ISNUMBER($AT$742),$B$511=1),$AT$742,HLOOKUP(INDIRECT(ADDRESS(2,COLUMN())),OFFSET($BN$2,0,0,ROW()-1,60),ROW()-1,FALSE))</f>
        <v/>
      </c>
      <c r="AU238" t="str">
        <f ca="1">IF(AND(ISNUMBER($AU$742),$B$511=1),$AU$742,HLOOKUP(INDIRECT(ADDRESS(2,COLUMN())),OFFSET($BN$2,0,0,ROW()-1,60),ROW()-1,FALSE))</f>
        <v/>
      </c>
      <c r="AV238" t="str">
        <f ca="1">IF(AND(ISNUMBER($AV$742),$B$511=1),$AV$742,HLOOKUP(INDIRECT(ADDRESS(2,COLUMN())),OFFSET($BN$2,0,0,ROW()-1,60),ROW()-1,FALSE))</f>
        <v/>
      </c>
      <c r="AW238" t="str">
        <f ca="1">IF(AND(ISNUMBER($AW$742),$B$511=1),$AW$742,HLOOKUP(INDIRECT(ADDRESS(2,COLUMN())),OFFSET($BN$2,0,0,ROW()-1,60),ROW()-1,FALSE))</f>
        <v/>
      </c>
      <c r="AX238" t="str">
        <f ca="1">IF(AND(ISNUMBER($AX$742),$B$511=1),$AX$742,HLOOKUP(INDIRECT(ADDRESS(2,COLUMN())),OFFSET($BN$2,0,0,ROW()-1,60),ROW()-1,FALSE))</f>
        <v/>
      </c>
      <c r="AY238" t="str">
        <f ca="1">IF(AND(ISNUMBER($AY$742),$B$511=1),$AY$742,HLOOKUP(INDIRECT(ADDRESS(2,COLUMN())),OFFSET($BN$2,0,0,ROW()-1,60),ROW()-1,FALSE))</f>
        <v/>
      </c>
      <c r="AZ238" t="str">
        <f ca="1">IF(AND(ISNUMBER($AZ$742),$B$511=1),$AZ$742,HLOOKUP(INDIRECT(ADDRESS(2,COLUMN())),OFFSET($BN$2,0,0,ROW()-1,60),ROW()-1,FALSE))</f>
        <v/>
      </c>
      <c r="BA238" t="str">
        <f ca="1">IF(AND(ISNUMBER($BA$742),$B$511=1),$BA$742,HLOOKUP(INDIRECT(ADDRESS(2,COLUMN())),OFFSET($BN$2,0,0,ROW()-1,60),ROW()-1,FALSE))</f>
        <v/>
      </c>
      <c r="BB238" t="str">
        <f ca="1">IF(AND(ISNUMBER($BB$742),$B$511=1),$BB$742,HLOOKUP(INDIRECT(ADDRESS(2,COLUMN())),OFFSET($BN$2,0,0,ROW()-1,60),ROW()-1,FALSE))</f>
        <v/>
      </c>
      <c r="BC238" t="str">
        <f ca="1">IF(AND(ISNUMBER($BC$742),$B$511=1),$BC$742,HLOOKUP(INDIRECT(ADDRESS(2,COLUMN())),OFFSET($BN$2,0,0,ROW()-1,60),ROW()-1,FALSE))</f>
        <v/>
      </c>
      <c r="BD238" t="str">
        <f ca="1">IF(AND(ISNUMBER($BD$742),$B$511=1),$BD$742,HLOOKUP(INDIRECT(ADDRESS(2,COLUMN())),OFFSET($BN$2,0,0,ROW()-1,60),ROW()-1,FALSE))</f>
        <v/>
      </c>
      <c r="BE238" t="str">
        <f ca="1">IF(AND(ISNUMBER($BE$742),$B$511=1),$BE$742,HLOOKUP(INDIRECT(ADDRESS(2,COLUMN())),OFFSET($BN$2,0,0,ROW()-1,60),ROW()-1,FALSE))</f>
        <v/>
      </c>
      <c r="BF238" t="str">
        <f ca="1">IF(AND(ISNUMBER($BF$742),$B$511=1),$BF$742,HLOOKUP(INDIRECT(ADDRESS(2,COLUMN())),OFFSET($BN$2,0,0,ROW()-1,60),ROW()-1,FALSE))</f>
        <v/>
      </c>
      <c r="BG238" t="str">
        <f ca="1">IF(AND(ISNUMBER($BG$742),$B$511=1),$BG$742,HLOOKUP(INDIRECT(ADDRESS(2,COLUMN())),OFFSET($BN$2,0,0,ROW()-1,60),ROW()-1,FALSE))</f>
        <v/>
      </c>
      <c r="BH238" t="str">
        <f ca="1">IF(AND(ISNUMBER($BH$742),$B$511=1),$BH$742,HLOOKUP(INDIRECT(ADDRESS(2,COLUMN())),OFFSET($BN$2,0,0,ROW()-1,60),ROW()-1,FALSE))</f>
        <v/>
      </c>
      <c r="BI238" t="str">
        <f ca="1">IF(AND(ISNUMBER($BI$742),$B$511=1),$BI$742,HLOOKUP(INDIRECT(ADDRESS(2,COLUMN())),OFFSET($BN$2,0,0,ROW()-1,60),ROW()-1,FALSE))</f>
        <v/>
      </c>
      <c r="BJ238" t="str">
        <f ca="1">IF(AND(ISNUMBER($BJ$742),$B$511=1),$BJ$742,HLOOKUP(INDIRECT(ADDRESS(2,COLUMN())),OFFSET($BN$2,0,0,ROW()-1,60),ROW()-1,FALSE))</f>
        <v/>
      </c>
      <c r="BK238" t="str">
        <f ca="1">IF(AND(ISNUMBER($BK$742),$B$511=1),$BK$742,HLOOKUP(INDIRECT(ADDRESS(2,COLUMN())),OFFSET($BN$2,0,0,ROW()-1,60),ROW()-1,FALSE))</f>
        <v/>
      </c>
      <c r="BL238" t="str">
        <f ca="1">IF(AND(ISNUMBER($BL$742),$B$511=1),$BL$742,HLOOKUP(INDIRECT(ADDRESS(2,COLUMN())),OFFSET($BN$2,0,0,ROW()-1,60),ROW()-1,FALSE))</f>
        <v/>
      </c>
      <c r="BM238" t="str">
        <f ca="1">IF(AND(ISNUMBER($BM$742),$B$511=1),$BM$742,HLOOKUP(INDIRECT(ADDRESS(2,COLUMN())),OFFSET($BN$2,0,0,ROW()-1,60),ROW()-1,FALSE))</f>
        <v/>
      </c>
      <c r="BN238" t="str">
        <f>""</f>
        <v/>
      </c>
      <c r="BO238" t="str">
        <f>""</f>
        <v/>
      </c>
      <c r="BP238" t="str">
        <f>""</f>
        <v/>
      </c>
      <c r="BQ238" t="str">
        <f>""</f>
        <v/>
      </c>
      <c r="BR238" t="str">
        <f>""</f>
        <v/>
      </c>
      <c r="BS238" t="str">
        <f>""</f>
        <v/>
      </c>
      <c r="BT238" t="str">
        <f>""</f>
        <v/>
      </c>
      <c r="BU238" t="str">
        <f>""</f>
        <v/>
      </c>
      <c r="BV238" t="str">
        <f>""</f>
        <v/>
      </c>
      <c r="BW238" t="str">
        <f>""</f>
        <v/>
      </c>
      <c r="BX238" t="str">
        <f>""</f>
        <v/>
      </c>
      <c r="BY238" t="str">
        <f>""</f>
        <v/>
      </c>
      <c r="BZ238" t="str">
        <f>""</f>
        <v/>
      </c>
      <c r="CA238" t="str">
        <f>""</f>
        <v/>
      </c>
      <c r="CB238" t="str">
        <f>""</f>
        <v/>
      </c>
      <c r="CC238" t="str">
        <f>""</f>
        <v/>
      </c>
      <c r="CD238" t="str">
        <f>""</f>
        <v/>
      </c>
      <c r="CE238" t="str">
        <f>""</f>
        <v/>
      </c>
      <c r="CF238" t="str">
        <f>""</f>
        <v/>
      </c>
      <c r="CG238" t="str">
        <f>""</f>
        <v/>
      </c>
      <c r="CH238" t="str">
        <f>""</f>
        <v/>
      </c>
      <c r="CI238" t="str">
        <f>""</f>
        <v/>
      </c>
      <c r="CJ238" t="str">
        <f>""</f>
        <v/>
      </c>
      <c r="CK238" t="str">
        <f>""</f>
        <v/>
      </c>
      <c r="CL238" t="str">
        <f>""</f>
        <v/>
      </c>
      <c r="CM238" t="str">
        <f>""</f>
        <v/>
      </c>
      <c r="CN238" t="str">
        <f>""</f>
        <v/>
      </c>
      <c r="CO238" t="str">
        <f>""</f>
        <v/>
      </c>
      <c r="CP238" t="str">
        <f>""</f>
        <v/>
      </c>
      <c r="CQ238" t="str">
        <f>""</f>
        <v/>
      </c>
      <c r="CR238" t="str">
        <f>""</f>
        <v/>
      </c>
      <c r="CS238" t="str">
        <f>""</f>
        <v/>
      </c>
      <c r="CT238" t="str">
        <f>""</f>
        <v/>
      </c>
      <c r="CU238" t="str">
        <f>""</f>
        <v/>
      </c>
      <c r="CV238" t="str">
        <f>""</f>
        <v/>
      </c>
      <c r="CW238" t="str">
        <f>""</f>
        <v/>
      </c>
      <c r="CX238" t="str">
        <f>""</f>
        <v/>
      </c>
      <c r="CY238" t="str">
        <f>""</f>
        <v/>
      </c>
      <c r="CZ238" t="str">
        <f>""</f>
        <v/>
      </c>
      <c r="DA238" t="str">
        <f>""</f>
        <v/>
      </c>
      <c r="DB238" t="str">
        <f>""</f>
        <v/>
      </c>
      <c r="DC238" t="str">
        <f>""</f>
        <v/>
      </c>
      <c r="DD238" t="str">
        <f>""</f>
        <v/>
      </c>
      <c r="DE238" t="str">
        <f>""</f>
        <v/>
      </c>
      <c r="DF238" t="str">
        <f>""</f>
        <v/>
      </c>
      <c r="DG238" t="str">
        <f>""</f>
        <v/>
      </c>
      <c r="DH238" t="str">
        <f>""</f>
        <v/>
      </c>
      <c r="DI238" t="str">
        <f>""</f>
        <v/>
      </c>
      <c r="DJ238" t="str">
        <f>""</f>
        <v/>
      </c>
      <c r="DK238" t="str">
        <f>""</f>
        <v/>
      </c>
      <c r="DL238" t="str">
        <f>""</f>
        <v/>
      </c>
      <c r="DM238" t="str">
        <f>""</f>
        <v/>
      </c>
      <c r="DN238" t="str">
        <f>""</f>
        <v/>
      </c>
      <c r="DO238" t="str">
        <f>""</f>
        <v/>
      </c>
      <c r="DP238" t="str">
        <f>""</f>
        <v/>
      </c>
      <c r="DQ238" t="str">
        <f>""</f>
        <v/>
      </c>
      <c r="DR238" t="str">
        <f>""</f>
        <v/>
      </c>
      <c r="DS238" t="str">
        <f>""</f>
        <v/>
      </c>
      <c r="DT238" t="str">
        <f>""</f>
        <v/>
      </c>
      <c r="DU238" t="str">
        <f>""</f>
        <v/>
      </c>
    </row>
    <row r="239" spans="1:125" x14ac:dyDescent="0.25">
      <c r="A239" t="str">
        <f>"    Ssangyong Motor Co"</f>
        <v xml:space="preserve">    Ssangyong Motor Co</v>
      </c>
      <c r="B239" t="str">
        <f>"003620 KS Equity"</f>
        <v>003620 KS Equity</v>
      </c>
      <c r="C239" t="str">
        <f t="shared" si="15"/>
        <v>RR843</v>
      </c>
      <c r="D239" t="str">
        <f t="shared" si="16"/>
        <v>TRAIL_12M_FREE_CASH_FLOW</v>
      </c>
      <c r="E239" t="str">
        <f t="shared" si="17"/>
        <v>Dynamic</v>
      </c>
      <c r="F239" t="str">
        <f ca="1">IF(AND(ISNUMBER($F$743),$B$511=1),$F$743,HLOOKUP(INDIRECT(ADDRESS(2,COLUMN())),OFFSET($BN$2,0,0,ROW()-1,60),ROW()-1,FALSE))</f>
        <v/>
      </c>
      <c r="G239" t="str">
        <f ca="1">IF(AND(ISNUMBER($G$743),$B$511=1),$G$743,HLOOKUP(INDIRECT(ADDRESS(2,COLUMN())),OFFSET($BN$2,0,0,ROW()-1,60),ROW()-1,FALSE))</f>
        <v/>
      </c>
      <c r="H239">
        <f ca="1">IF(AND(ISNUMBER($H$743),$B$511=1),$H$743,HLOOKUP(INDIRECT(ADDRESS(2,COLUMN())),OFFSET($BN$2,0,0,ROW()-1,60),ROW()-1,FALSE))</f>
        <v>159.76458629999999</v>
      </c>
      <c r="I239">
        <f ca="1">IF(AND(ISNUMBER($I$743),$B$511=1),$I$743,HLOOKUP(INDIRECT(ADDRESS(2,COLUMN())),OFFSET($BN$2,0,0,ROW()-1,60),ROW()-1,FALSE))</f>
        <v>-8.9548272519999994</v>
      </c>
      <c r="J239">
        <f ca="1">IF(AND(ISNUMBER($J$743),$B$511=1),$J$743,HLOOKUP(INDIRECT(ADDRESS(2,COLUMN())),OFFSET($BN$2,0,0,ROW()-1,60),ROW()-1,FALSE))</f>
        <v>90.548360779999996</v>
      </c>
      <c r="K239">
        <f ca="1">IF(AND(ISNUMBER($K$743),$B$511=1),$K$743,HLOOKUP(INDIRECT(ADDRESS(2,COLUMN())),OFFSET($BN$2,0,0,ROW()-1,60),ROW()-1,FALSE))</f>
        <v>41.476069320000001</v>
      </c>
      <c r="L239">
        <f ca="1">IF(AND(ISNUMBER($L$743),$B$511=1),$L$743,HLOOKUP(INDIRECT(ADDRESS(2,COLUMN())),OFFSET($BN$2,0,0,ROW()-1,60),ROW()-1,FALSE))</f>
        <v>77.973893410000002</v>
      </c>
      <c r="M239">
        <f ca="1">IF(AND(ISNUMBER($M$743),$B$511=1),$M$743,HLOOKUP(INDIRECT(ADDRESS(2,COLUMN())),OFFSET($BN$2,0,0,ROW()-1,60),ROW()-1,FALSE))</f>
        <v>106.11573490000001</v>
      </c>
      <c r="N239">
        <f ca="1">IF(AND(ISNUMBER($N$743),$B$511=1),$N$743,HLOOKUP(INDIRECT(ADDRESS(2,COLUMN())),OFFSET($BN$2,0,0,ROW()-1,60),ROW()-1,FALSE))</f>
        <v>171.48946789999999</v>
      </c>
      <c r="O239">
        <f ca="1">IF(AND(ISNUMBER($O$743),$B$511=1),$O$743,HLOOKUP(INDIRECT(ADDRESS(2,COLUMN())),OFFSET($BN$2,0,0,ROW()-1,60),ROW()-1,FALSE))</f>
        <v>100.7847963</v>
      </c>
      <c r="P239">
        <f ca="1">IF(AND(ISNUMBER($P$743),$B$511=1),$P$743,HLOOKUP(INDIRECT(ADDRESS(2,COLUMN())),OFFSET($BN$2,0,0,ROW()-1,60),ROW()-1,FALSE))</f>
        <v>78.404506789999999</v>
      </c>
      <c r="Q239">
        <f ca="1">IF(AND(ISNUMBER($Q$743),$B$511=1),$Q$743,HLOOKUP(INDIRECT(ADDRESS(2,COLUMN())),OFFSET($BN$2,0,0,ROW()-1,60),ROW()-1,FALSE))</f>
        <v>106.5467886</v>
      </c>
      <c r="R239">
        <f ca="1">IF(AND(ISNUMBER($R$743),$B$511=1),$R$743,HLOOKUP(INDIRECT(ADDRESS(2,COLUMN())),OFFSET($BN$2,0,0,ROW()-1,60),ROW()-1,FALSE))</f>
        <v>-67.627006190000003</v>
      </c>
      <c r="S239">
        <f ca="1">IF(AND(ISNUMBER($S$743),$B$511=1),$S$743,HLOOKUP(INDIRECT(ADDRESS(2,COLUMN())),OFFSET($BN$2,0,0,ROW()-1,60),ROW()-1,FALSE))</f>
        <v>44.605610319999997</v>
      </c>
      <c r="T239">
        <f ca="1">IF(AND(ISNUMBER($T$743),$B$511=1),$T$743,HLOOKUP(INDIRECT(ADDRESS(2,COLUMN())),OFFSET($BN$2,0,0,ROW()-1,60),ROW()-1,FALSE))</f>
        <v>-37.425138150000002</v>
      </c>
      <c r="U239">
        <f ca="1">IF(AND(ISNUMBER($U$743),$B$511=1),$U$743,HLOOKUP(INDIRECT(ADDRESS(2,COLUMN())),OFFSET($BN$2,0,0,ROW()-1,60),ROW()-1,FALSE))</f>
        <v>-100.9689455</v>
      </c>
      <c r="V239">
        <f ca="1">IF(AND(ISNUMBER($V$743),$B$511=1),$V$743,HLOOKUP(INDIRECT(ADDRESS(2,COLUMN())),OFFSET($BN$2,0,0,ROW()-1,60),ROW()-1,FALSE))</f>
        <v>-93.721216119999994</v>
      </c>
      <c r="W239">
        <f ca="1">IF(AND(ISNUMBER($W$743),$B$511=1),$W$743,HLOOKUP(INDIRECT(ADDRESS(2,COLUMN())),OFFSET($BN$2,0,0,ROW()-1,60),ROW()-1,FALSE))</f>
        <v>-109.7586098</v>
      </c>
      <c r="X239">
        <f ca="1">IF(AND(ISNUMBER($X$743),$B$511=1),$X$743,HLOOKUP(INDIRECT(ADDRESS(2,COLUMN())),OFFSET($BN$2,0,0,ROW()-1,60),ROW()-1,FALSE))</f>
        <v>-35.038440440000002</v>
      </c>
      <c r="Y239">
        <f ca="1">IF(AND(ISNUMBER($Y$743),$B$511=1),$Y$743,HLOOKUP(INDIRECT(ADDRESS(2,COLUMN())),OFFSET($BN$2,0,0,ROW()-1,60),ROW()-1,FALSE))</f>
        <v>-138.53020910000001</v>
      </c>
      <c r="Z239">
        <f ca="1">IF(AND(ISNUMBER($Z$743),$B$511=1),$Z$743,HLOOKUP(INDIRECT(ADDRESS(2,COLUMN())),OFFSET($BN$2,0,0,ROW()-1,60),ROW()-1,FALSE))</f>
        <v>9.5547388489999996</v>
      </c>
      <c r="AA239">
        <f ca="1">IF(AND(ISNUMBER($AA$743),$B$511=1),$AA$743,HLOOKUP(INDIRECT(ADDRESS(2,COLUMN())),OFFSET($BN$2,0,0,ROW()-1,60),ROW()-1,FALSE))</f>
        <v>111.30416409999999</v>
      </c>
      <c r="AB239">
        <f ca="1">IF(AND(ISNUMBER($AB$743),$B$511=1),$AB$743,HLOOKUP(INDIRECT(ADDRESS(2,COLUMN())),OFFSET($BN$2,0,0,ROW()-1,60),ROW()-1,FALSE))</f>
        <v>30.6459951</v>
      </c>
      <c r="AC239">
        <f ca="1">IF(AND(ISNUMBER($AC$743),$B$511=1),$AC$743,HLOOKUP(INDIRECT(ADDRESS(2,COLUMN())),OFFSET($BN$2,0,0,ROW()-1,60),ROW()-1,FALSE))</f>
        <v>189.70258810000001</v>
      </c>
      <c r="AD239">
        <f ca="1">IF(AND(ISNUMBER($AD$743),$B$511=1),$AD$743,HLOOKUP(INDIRECT(ADDRESS(2,COLUMN())),OFFSET($BN$2,0,0,ROW()-1,60),ROW()-1,FALSE))</f>
        <v>75.628975629999999</v>
      </c>
      <c r="AE239">
        <f ca="1">IF(AND(ISNUMBER($AE$743),$B$511=1),$AE$743,HLOOKUP(INDIRECT(ADDRESS(2,COLUMN())),OFFSET($BN$2,0,0,ROW()-1,60),ROW()-1,FALSE))</f>
        <v>25.105488090000001</v>
      </c>
      <c r="AF239" t="str">
        <f ca="1">IF(AND(ISNUMBER($AF$743),$B$511=1),$AF$743,HLOOKUP(INDIRECT(ADDRESS(2,COLUMN())),OFFSET($BN$2,0,0,ROW()-1,60),ROW()-1,FALSE))</f>
        <v/>
      </c>
      <c r="AG239" t="str">
        <f ca="1">IF(AND(ISNUMBER($AG$743),$B$511=1),$AG$743,HLOOKUP(INDIRECT(ADDRESS(2,COLUMN())),OFFSET($BN$2,0,0,ROW()-1,60),ROW()-1,FALSE))</f>
        <v/>
      </c>
      <c r="AH239" t="str">
        <f ca="1">IF(AND(ISNUMBER($AH$743),$B$511=1),$AH$743,HLOOKUP(INDIRECT(ADDRESS(2,COLUMN())),OFFSET($BN$2,0,0,ROW()-1,60),ROW()-1,FALSE))</f>
        <v/>
      </c>
      <c r="AI239" t="str">
        <f ca="1">IF(AND(ISNUMBER($AI$743),$B$511=1),$AI$743,HLOOKUP(INDIRECT(ADDRESS(2,COLUMN())),OFFSET($BN$2,0,0,ROW()-1,60),ROW()-1,FALSE))</f>
        <v/>
      </c>
      <c r="AJ239" t="str">
        <f ca="1">IF(AND(ISNUMBER($AJ$743),$B$511=1),$AJ$743,HLOOKUP(INDIRECT(ADDRESS(2,COLUMN())),OFFSET($BN$2,0,0,ROW()-1,60),ROW()-1,FALSE))</f>
        <v/>
      </c>
      <c r="AK239" t="str">
        <f ca="1">IF(AND(ISNUMBER($AK$743),$B$511=1),$AK$743,HLOOKUP(INDIRECT(ADDRESS(2,COLUMN())),OFFSET($BN$2,0,0,ROW()-1,60),ROW()-1,FALSE))</f>
        <v/>
      </c>
      <c r="AL239" t="str">
        <f ca="1">IF(AND(ISNUMBER($AL$743),$B$511=1),$AL$743,HLOOKUP(INDIRECT(ADDRESS(2,COLUMN())),OFFSET($BN$2,0,0,ROW()-1,60),ROW()-1,FALSE))</f>
        <v/>
      </c>
      <c r="AM239" t="str">
        <f ca="1">IF(AND(ISNUMBER($AM$743),$B$511=1),$AM$743,HLOOKUP(INDIRECT(ADDRESS(2,COLUMN())),OFFSET($BN$2,0,0,ROW()-1,60),ROW()-1,FALSE))</f>
        <v/>
      </c>
      <c r="AN239" t="str">
        <f ca="1">IF(AND(ISNUMBER($AN$743),$B$511=1),$AN$743,HLOOKUP(INDIRECT(ADDRESS(2,COLUMN())),OFFSET($BN$2,0,0,ROW()-1,60),ROW()-1,FALSE))</f>
        <v/>
      </c>
      <c r="AO239" t="str">
        <f ca="1">IF(AND(ISNUMBER($AO$743),$B$511=1),$AO$743,HLOOKUP(INDIRECT(ADDRESS(2,COLUMN())),OFFSET($BN$2,0,0,ROW()-1,60),ROW()-1,FALSE))</f>
        <v/>
      </c>
      <c r="AP239" t="str">
        <f ca="1">IF(AND(ISNUMBER($AP$743),$B$511=1),$AP$743,HLOOKUP(INDIRECT(ADDRESS(2,COLUMN())),OFFSET($BN$2,0,0,ROW()-1,60),ROW()-1,FALSE))</f>
        <v/>
      </c>
      <c r="AQ239" t="str">
        <f ca="1">IF(AND(ISNUMBER($AQ$743),$B$511=1),$AQ$743,HLOOKUP(INDIRECT(ADDRESS(2,COLUMN())),OFFSET($BN$2,0,0,ROW()-1,60),ROW()-1,FALSE))</f>
        <v/>
      </c>
      <c r="AR239" t="str">
        <f ca="1">IF(AND(ISNUMBER($AR$743),$B$511=1),$AR$743,HLOOKUP(INDIRECT(ADDRESS(2,COLUMN())),OFFSET($BN$2,0,0,ROW()-1,60),ROW()-1,FALSE))</f>
        <v/>
      </c>
      <c r="AS239" t="str">
        <f ca="1">IF(AND(ISNUMBER($AS$743),$B$511=1),$AS$743,HLOOKUP(INDIRECT(ADDRESS(2,COLUMN())),OFFSET($BN$2,0,0,ROW()-1,60),ROW()-1,FALSE))</f>
        <v/>
      </c>
      <c r="AT239" t="str">
        <f ca="1">IF(AND(ISNUMBER($AT$743),$B$511=1),$AT$743,HLOOKUP(INDIRECT(ADDRESS(2,COLUMN())),OFFSET($BN$2,0,0,ROW()-1,60),ROW()-1,FALSE))</f>
        <v/>
      </c>
      <c r="AU239" t="str">
        <f ca="1">IF(AND(ISNUMBER($AU$743),$B$511=1),$AU$743,HLOOKUP(INDIRECT(ADDRESS(2,COLUMN())),OFFSET($BN$2,0,0,ROW()-1,60),ROW()-1,FALSE))</f>
        <v/>
      </c>
      <c r="AV239" t="str">
        <f ca="1">IF(AND(ISNUMBER($AV$743),$B$511=1),$AV$743,HLOOKUP(INDIRECT(ADDRESS(2,COLUMN())),OFFSET($BN$2,0,0,ROW()-1,60),ROW()-1,FALSE))</f>
        <v/>
      </c>
      <c r="AW239" t="str">
        <f ca="1">IF(AND(ISNUMBER($AW$743),$B$511=1),$AW$743,HLOOKUP(INDIRECT(ADDRESS(2,COLUMN())),OFFSET($BN$2,0,0,ROW()-1,60),ROW()-1,FALSE))</f>
        <v/>
      </c>
      <c r="AX239" t="str">
        <f ca="1">IF(AND(ISNUMBER($AX$743),$B$511=1),$AX$743,HLOOKUP(INDIRECT(ADDRESS(2,COLUMN())),OFFSET($BN$2,0,0,ROW()-1,60),ROW()-1,FALSE))</f>
        <v/>
      </c>
      <c r="AY239" t="str">
        <f ca="1">IF(AND(ISNUMBER($AY$743),$B$511=1),$AY$743,HLOOKUP(INDIRECT(ADDRESS(2,COLUMN())),OFFSET($BN$2,0,0,ROW()-1,60),ROW()-1,FALSE))</f>
        <v/>
      </c>
      <c r="AZ239" t="str">
        <f ca="1">IF(AND(ISNUMBER($AZ$743),$B$511=1),$AZ$743,HLOOKUP(INDIRECT(ADDRESS(2,COLUMN())),OFFSET($BN$2,0,0,ROW()-1,60),ROW()-1,FALSE))</f>
        <v/>
      </c>
      <c r="BA239" t="str">
        <f ca="1">IF(AND(ISNUMBER($BA$743),$B$511=1),$BA$743,HLOOKUP(INDIRECT(ADDRESS(2,COLUMN())),OFFSET($BN$2,0,0,ROW()-1,60),ROW()-1,FALSE))</f>
        <v/>
      </c>
      <c r="BB239" t="str">
        <f ca="1">IF(AND(ISNUMBER($BB$743),$B$511=1),$BB$743,HLOOKUP(INDIRECT(ADDRESS(2,COLUMN())),OFFSET($BN$2,0,0,ROW()-1,60),ROW()-1,FALSE))</f>
        <v/>
      </c>
      <c r="BC239" t="str">
        <f ca="1">IF(AND(ISNUMBER($BC$743),$B$511=1),$BC$743,HLOOKUP(INDIRECT(ADDRESS(2,COLUMN())),OFFSET($BN$2,0,0,ROW()-1,60),ROW()-1,FALSE))</f>
        <v/>
      </c>
      <c r="BD239" t="str">
        <f ca="1">IF(AND(ISNUMBER($BD$743),$B$511=1),$BD$743,HLOOKUP(INDIRECT(ADDRESS(2,COLUMN())),OFFSET($BN$2,0,0,ROW()-1,60),ROW()-1,FALSE))</f>
        <v/>
      </c>
      <c r="BE239" t="str">
        <f ca="1">IF(AND(ISNUMBER($BE$743),$B$511=1),$BE$743,HLOOKUP(INDIRECT(ADDRESS(2,COLUMN())),OFFSET($BN$2,0,0,ROW()-1,60),ROW()-1,FALSE))</f>
        <v/>
      </c>
      <c r="BF239" t="str">
        <f ca="1">IF(AND(ISNUMBER($BF$743),$B$511=1),$BF$743,HLOOKUP(INDIRECT(ADDRESS(2,COLUMN())),OFFSET($BN$2,0,0,ROW()-1,60),ROW()-1,FALSE))</f>
        <v/>
      </c>
      <c r="BG239" t="str">
        <f ca="1">IF(AND(ISNUMBER($BG$743),$B$511=1),$BG$743,HLOOKUP(INDIRECT(ADDRESS(2,COLUMN())),OFFSET($BN$2,0,0,ROW()-1,60),ROW()-1,FALSE))</f>
        <v/>
      </c>
      <c r="BH239" t="str">
        <f ca="1">IF(AND(ISNUMBER($BH$743),$B$511=1),$BH$743,HLOOKUP(INDIRECT(ADDRESS(2,COLUMN())),OFFSET($BN$2,0,0,ROW()-1,60),ROW()-1,FALSE))</f>
        <v/>
      </c>
      <c r="BI239" t="str">
        <f ca="1">IF(AND(ISNUMBER($BI$743),$B$511=1),$BI$743,HLOOKUP(INDIRECT(ADDRESS(2,COLUMN())),OFFSET($BN$2,0,0,ROW()-1,60),ROW()-1,FALSE))</f>
        <v/>
      </c>
      <c r="BJ239" t="str">
        <f ca="1">IF(AND(ISNUMBER($BJ$743),$B$511=1),$BJ$743,HLOOKUP(INDIRECT(ADDRESS(2,COLUMN())),OFFSET($BN$2,0,0,ROW()-1,60),ROW()-1,FALSE))</f>
        <v/>
      </c>
      <c r="BK239" t="str">
        <f ca="1">IF(AND(ISNUMBER($BK$743),$B$511=1),$BK$743,HLOOKUP(INDIRECT(ADDRESS(2,COLUMN())),OFFSET($BN$2,0,0,ROW()-1,60),ROW()-1,FALSE))</f>
        <v/>
      </c>
      <c r="BL239" t="str">
        <f ca="1">IF(AND(ISNUMBER($BL$743),$B$511=1),$BL$743,HLOOKUP(INDIRECT(ADDRESS(2,COLUMN())),OFFSET($BN$2,0,0,ROW()-1,60),ROW()-1,FALSE))</f>
        <v/>
      </c>
      <c r="BM239" t="str">
        <f ca="1">IF(AND(ISNUMBER($BM$743),$B$511=1),$BM$743,HLOOKUP(INDIRECT(ADDRESS(2,COLUMN())),OFFSET($BN$2,0,0,ROW()-1,60),ROW()-1,FALSE))</f>
        <v/>
      </c>
      <c r="BN239" t="str">
        <f>""</f>
        <v/>
      </c>
      <c r="BO239" t="str">
        <f>""</f>
        <v/>
      </c>
      <c r="BP239">
        <f>159.7645863</f>
        <v>159.76458629999999</v>
      </c>
      <c r="BQ239">
        <f>-8.954827252</f>
        <v>-8.9548272519999994</v>
      </c>
      <c r="BR239">
        <f>90.54836078</f>
        <v>90.548360779999996</v>
      </c>
      <c r="BS239">
        <f>41.47606932</f>
        <v>41.476069320000001</v>
      </c>
      <c r="BT239">
        <f>77.97389341</f>
        <v>77.973893410000002</v>
      </c>
      <c r="BU239">
        <f>106.1157349</f>
        <v>106.11573490000001</v>
      </c>
      <c r="BV239">
        <f>171.4894679</f>
        <v>171.48946789999999</v>
      </c>
      <c r="BW239">
        <f>100.7847963</f>
        <v>100.7847963</v>
      </c>
      <c r="BX239">
        <f>78.40450679</f>
        <v>78.404506789999999</v>
      </c>
      <c r="BY239">
        <f>106.5467886</f>
        <v>106.5467886</v>
      </c>
      <c r="BZ239">
        <f>-67.62700619</f>
        <v>-67.627006190000003</v>
      </c>
      <c r="CA239">
        <f>44.60561032</f>
        <v>44.605610319999997</v>
      </c>
      <c r="CB239">
        <f>-37.42513815</f>
        <v>-37.425138150000002</v>
      </c>
      <c r="CC239">
        <f>-100.9689455</f>
        <v>-100.9689455</v>
      </c>
      <c r="CD239">
        <f>-93.72121612</f>
        <v>-93.721216119999994</v>
      </c>
      <c r="CE239">
        <f>-109.7586098</f>
        <v>-109.7586098</v>
      </c>
      <c r="CF239">
        <f>-35.03844044</f>
        <v>-35.038440440000002</v>
      </c>
      <c r="CG239">
        <f>-138.5302091</f>
        <v>-138.53020910000001</v>
      </c>
      <c r="CH239">
        <f>9.554738849</f>
        <v>9.5547388489999996</v>
      </c>
      <c r="CI239">
        <f>111.3041641</f>
        <v>111.30416409999999</v>
      </c>
      <c r="CJ239">
        <f>30.6459951</f>
        <v>30.6459951</v>
      </c>
      <c r="CK239">
        <f>189.7025881</f>
        <v>189.70258810000001</v>
      </c>
      <c r="CL239">
        <f>75.62897563</f>
        <v>75.628975629999999</v>
      </c>
      <c r="CM239">
        <f>25.10548809</f>
        <v>25.105488090000001</v>
      </c>
      <c r="CN239" t="str">
        <f>""</f>
        <v/>
      </c>
      <c r="CO239" t="str">
        <f>""</f>
        <v/>
      </c>
      <c r="CP239" t="str">
        <f>""</f>
        <v/>
      </c>
      <c r="CQ239" t="str">
        <f>""</f>
        <v/>
      </c>
      <c r="CR239" t="str">
        <f>""</f>
        <v/>
      </c>
      <c r="CS239" t="str">
        <f>""</f>
        <v/>
      </c>
      <c r="CT239" t="str">
        <f>""</f>
        <v/>
      </c>
      <c r="CU239" t="str">
        <f>""</f>
        <v/>
      </c>
      <c r="CV239" t="str">
        <f>""</f>
        <v/>
      </c>
      <c r="CW239" t="str">
        <f>""</f>
        <v/>
      </c>
      <c r="CX239" t="str">
        <f>""</f>
        <v/>
      </c>
      <c r="CY239" t="str">
        <f>""</f>
        <v/>
      </c>
      <c r="CZ239" t="str">
        <f>""</f>
        <v/>
      </c>
      <c r="DA239" t="str">
        <f>""</f>
        <v/>
      </c>
      <c r="DB239" t="str">
        <f>""</f>
        <v/>
      </c>
      <c r="DC239" t="str">
        <f>""</f>
        <v/>
      </c>
      <c r="DD239" t="str">
        <f>""</f>
        <v/>
      </c>
      <c r="DE239" t="str">
        <f>""</f>
        <v/>
      </c>
      <c r="DF239" t="str">
        <f>""</f>
        <v/>
      </c>
      <c r="DG239" t="str">
        <f>""</f>
        <v/>
      </c>
      <c r="DH239" t="str">
        <f>""</f>
        <v/>
      </c>
      <c r="DI239" t="str">
        <f>""</f>
        <v/>
      </c>
      <c r="DJ239" t="str">
        <f>""</f>
        <v/>
      </c>
      <c r="DK239" t="str">
        <f>""</f>
        <v/>
      </c>
      <c r="DL239" t="str">
        <f>""</f>
        <v/>
      </c>
      <c r="DM239" t="str">
        <f>""</f>
        <v/>
      </c>
      <c r="DN239" t="str">
        <f>""</f>
        <v/>
      </c>
      <c r="DO239" t="str">
        <f>""</f>
        <v/>
      </c>
      <c r="DP239" t="str">
        <f>""</f>
        <v/>
      </c>
      <c r="DQ239" t="str">
        <f>""</f>
        <v/>
      </c>
      <c r="DR239" t="str">
        <f>""</f>
        <v/>
      </c>
      <c r="DS239" t="str">
        <f>""</f>
        <v/>
      </c>
      <c r="DT239" t="str">
        <f>""</f>
        <v/>
      </c>
      <c r="DU239" t="str">
        <f>""</f>
        <v/>
      </c>
    </row>
    <row r="240" spans="1:125" x14ac:dyDescent="0.25">
      <c r="A240" t="str">
        <f>"    Subaru Corp"</f>
        <v xml:space="preserve">    Subaru Corp</v>
      </c>
      <c r="B240" t="str">
        <f>"7270 JP Equity"</f>
        <v>7270 JP Equity</v>
      </c>
      <c r="C240" t="str">
        <f t="shared" si="15"/>
        <v>RR843</v>
      </c>
      <c r="D240" t="str">
        <f t="shared" si="16"/>
        <v>TRAIL_12M_FREE_CASH_FLOW</v>
      </c>
      <c r="E240" t="str">
        <f t="shared" si="17"/>
        <v>Dynamic</v>
      </c>
      <c r="F240" t="str">
        <f ca="1">IF(AND(ISNUMBER($F$744),$B$511=1),$F$744,HLOOKUP(INDIRECT(ADDRESS(2,COLUMN())),OFFSET($BN$2,0,0,ROW()-1,60),ROW()-1,FALSE))</f>
        <v/>
      </c>
      <c r="G240">
        <f ca="1">IF(AND(ISNUMBER($G$744),$B$511=1),$G$744,HLOOKUP(INDIRECT(ADDRESS(2,COLUMN())),OFFSET($BN$2,0,0,ROW()-1,60),ROW()-1,FALSE))</f>
        <v>561.11946120000005</v>
      </c>
      <c r="H240">
        <f ca="1">IF(AND(ISNUMBER($H$744),$B$511=1),$H$744,HLOOKUP(INDIRECT(ADDRESS(2,COLUMN())),OFFSET($BN$2,0,0,ROW()-1,60),ROW()-1,FALSE))</f>
        <v>636.54030850000004</v>
      </c>
      <c r="I240">
        <f ca="1">IF(AND(ISNUMBER($I$744),$B$511=1),$I$744,HLOOKUP(INDIRECT(ADDRESS(2,COLUMN())),OFFSET($BN$2,0,0,ROW()-1,60),ROW()-1,FALSE))</f>
        <v>945.58908610000003</v>
      </c>
      <c r="J240">
        <f ca="1">IF(AND(ISNUMBER($J$744),$B$511=1),$J$744,HLOOKUP(INDIRECT(ADDRESS(2,COLUMN())),OFFSET($BN$2,0,0,ROW()-1,60),ROW()-1,FALSE))</f>
        <v>1953.1989229999999</v>
      </c>
      <c r="K240">
        <f ca="1">IF(AND(ISNUMBER($K$744),$B$511=1),$K$744,HLOOKUP(INDIRECT(ADDRESS(2,COLUMN())),OFFSET($BN$2,0,0,ROW()-1,60),ROW()-1,FALSE))</f>
        <v>2179.036932</v>
      </c>
      <c r="L240">
        <f ca="1">IF(AND(ISNUMBER($L$744),$B$511=1),$L$744,HLOOKUP(INDIRECT(ADDRESS(2,COLUMN())),OFFSET($BN$2,0,0,ROW()-1,60),ROW()-1,FALSE))</f>
        <v>1637.332836</v>
      </c>
      <c r="M240">
        <f ca="1">IF(AND(ISNUMBER($M$744),$B$511=1),$M$744,HLOOKUP(INDIRECT(ADDRESS(2,COLUMN())),OFFSET($BN$2,0,0,ROW()-1,60),ROW()-1,FALSE))</f>
        <v>2324.1794690000002</v>
      </c>
      <c r="N240">
        <f ca="1">IF(AND(ISNUMBER($N$744),$B$511=1),$N$744,HLOOKUP(INDIRECT(ADDRESS(2,COLUMN())),OFFSET($BN$2,0,0,ROW()-1,60),ROW()-1,FALSE))</f>
        <v>1679.9662980000001</v>
      </c>
      <c r="O240">
        <f ca="1">IF(AND(ISNUMBER($O$744),$B$511=1),$O$744,HLOOKUP(INDIRECT(ADDRESS(2,COLUMN())),OFFSET($BN$2,0,0,ROW()-1,60),ROW()-1,FALSE))</f>
        <v>2151.6870760000002</v>
      </c>
      <c r="P240">
        <f ca="1">IF(AND(ISNUMBER($P$744),$B$511=1),$P$744,HLOOKUP(INDIRECT(ADDRESS(2,COLUMN())),OFFSET($BN$2,0,0,ROW()-1,60),ROW()-1,FALSE))</f>
        <v>3521.665872</v>
      </c>
      <c r="Q240">
        <f ca="1">IF(AND(ISNUMBER($Q$744),$B$511=1),$Q$744,HLOOKUP(INDIRECT(ADDRESS(2,COLUMN())),OFFSET($BN$2,0,0,ROW()-1,60),ROW()-1,FALSE))</f>
        <v>3757.0568739999999</v>
      </c>
      <c r="R240">
        <f ca="1">IF(AND(ISNUMBER($R$744),$B$511=1),$R$744,HLOOKUP(INDIRECT(ADDRESS(2,COLUMN())),OFFSET($BN$2,0,0,ROW()-1,60),ROW()-1,FALSE))</f>
        <v>4064.3004129999999</v>
      </c>
      <c r="S240">
        <f ca="1">IF(AND(ISNUMBER($S$744),$B$511=1),$S$744,HLOOKUP(INDIRECT(ADDRESS(2,COLUMN())),OFFSET($BN$2,0,0,ROW()-1,60),ROW()-1,FALSE))</f>
        <v>3692.2709789999999</v>
      </c>
      <c r="T240">
        <f ca="1">IF(AND(ISNUMBER($T$744),$B$511=1),$T$744,HLOOKUP(INDIRECT(ADDRESS(2,COLUMN())),OFFSET($BN$2,0,0,ROW()-1,60),ROW()-1,FALSE))</f>
        <v>2885.7297789999998</v>
      </c>
      <c r="U240">
        <f ca="1">IF(AND(ISNUMBER($U$744),$B$511=1),$U$744,HLOOKUP(INDIRECT(ADDRESS(2,COLUMN())),OFFSET($BN$2,0,0,ROW()-1,60),ROW()-1,FALSE))</f>
        <v>2611.0431159999998</v>
      </c>
      <c r="V240">
        <f ca="1">IF(AND(ISNUMBER($V$744),$B$511=1),$V$744,HLOOKUP(INDIRECT(ADDRESS(2,COLUMN())),OFFSET($BN$2,0,0,ROW()-1,60),ROW()-1,FALSE))</f>
        <v>1795.0457409999999</v>
      </c>
      <c r="W240">
        <f ca="1">IF(AND(ISNUMBER($W$744),$B$511=1),$W$744,HLOOKUP(INDIRECT(ADDRESS(2,COLUMN())),OFFSET($BN$2,0,0,ROW()-1,60),ROW()-1,FALSE))</f>
        <v>1622.6424019999999</v>
      </c>
      <c r="X240">
        <f ca="1">IF(AND(ISNUMBER($X$744),$B$511=1),$X$744,HLOOKUP(INDIRECT(ADDRESS(2,COLUMN())),OFFSET($BN$2,0,0,ROW()-1,60),ROW()-1,FALSE))</f>
        <v>1997.8833509999999</v>
      </c>
      <c r="Y240">
        <f ca="1">IF(AND(ISNUMBER($Y$744),$B$511=1),$Y$744,HLOOKUP(INDIRECT(ADDRESS(2,COLUMN())),OFFSET($BN$2,0,0,ROW()-1,60),ROW()-1,FALSE))</f>
        <v>1749.4361180000001</v>
      </c>
      <c r="Z240">
        <f ca="1">IF(AND(ISNUMBER($Z$744),$B$511=1),$Z$744,HLOOKUP(INDIRECT(ADDRESS(2,COLUMN())),OFFSET($BN$2,0,0,ROW()-1,60),ROW()-1,FALSE))</f>
        <v>2452.5447549999999</v>
      </c>
      <c r="AA240">
        <f ca="1">IF(AND(ISNUMBER($AA$744),$B$511=1),$AA$744,HLOOKUP(INDIRECT(ADDRESS(2,COLUMN())),OFFSET($BN$2,0,0,ROW()-1,60),ROW()-1,FALSE))</f>
        <v>2067.2347490000002</v>
      </c>
      <c r="AB240">
        <f ca="1">IF(AND(ISNUMBER($AB$744),$B$511=1),$AB$744,HLOOKUP(INDIRECT(ADDRESS(2,COLUMN())),OFFSET($BN$2,0,0,ROW()-1,60),ROW()-1,FALSE))</f>
        <v>1537.4801440000001</v>
      </c>
      <c r="AC240">
        <f ca="1">IF(AND(ISNUMBER($AC$744),$B$511=1),$AC$744,HLOOKUP(INDIRECT(ADDRESS(2,COLUMN())),OFFSET($BN$2,0,0,ROW()-1,60),ROW()-1,FALSE))</f>
        <v>1509.33925</v>
      </c>
      <c r="AD240">
        <f ca="1">IF(AND(ISNUMBER($AD$744),$B$511=1),$AD$744,HLOOKUP(INDIRECT(ADDRESS(2,COLUMN())),OFFSET($BN$2,0,0,ROW()-1,60),ROW()-1,FALSE))</f>
        <v>1272.629596</v>
      </c>
      <c r="AE240">
        <f ca="1">IF(AND(ISNUMBER($AE$744),$B$511=1),$AE$744,HLOOKUP(INDIRECT(ADDRESS(2,COLUMN())),OFFSET($BN$2,0,0,ROW()-1,60),ROW()-1,FALSE))</f>
        <v>1428.185964</v>
      </c>
      <c r="AF240">
        <f ca="1">IF(AND(ISNUMBER($AF$744),$B$511=1),$AF$744,HLOOKUP(INDIRECT(ADDRESS(2,COLUMN())),OFFSET($BN$2,0,0,ROW()-1,60),ROW()-1,FALSE))</f>
        <v>1517.5008829999999</v>
      </c>
      <c r="AG240">
        <f ca="1">IF(AND(ISNUMBER($AG$744),$B$511=1),$AG$744,HLOOKUP(INDIRECT(ADDRESS(2,COLUMN())),OFFSET($BN$2,0,0,ROW()-1,60),ROW()-1,FALSE))</f>
        <v>774.04294760000005</v>
      </c>
      <c r="AH240">
        <f ca="1">IF(AND(ISNUMBER($AH$744),$B$511=1),$AH$744,HLOOKUP(INDIRECT(ADDRESS(2,COLUMN())),OFFSET($BN$2,0,0,ROW()-1,60),ROW()-1,FALSE))</f>
        <v>73.584125380000003</v>
      </c>
      <c r="AI240">
        <f ca="1">IF(AND(ISNUMBER($AI$744),$B$511=1),$AI$744,HLOOKUP(INDIRECT(ADDRESS(2,COLUMN())),OFFSET($BN$2,0,0,ROW()-1,60),ROW()-1,FALSE))</f>
        <v>153.46458459999999</v>
      </c>
      <c r="AJ240">
        <f ca="1">IF(AND(ISNUMBER($AJ$744),$B$511=1),$AJ$744,HLOOKUP(INDIRECT(ADDRESS(2,COLUMN())),OFFSET($BN$2,0,0,ROW()-1,60),ROW()-1,FALSE))</f>
        <v>-41.273384249999999</v>
      </c>
      <c r="AK240">
        <f ca="1">IF(AND(ISNUMBER($AK$744),$B$511=1),$AK$744,HLOOKUP(INDIRECT(ADDRESS(2,COLUMN())),OFFSET($BN$2,0,0,ROW()-1,60),ROW()-1,FALSE))</f>
        <v>500.92362200000002</v>
      </c>
      <c r="AL240">
        <f ca="1">IF(AND(ISNUMBER($AL$744),$B$511=1),$AL$744,HLOOKUP(INDIRECT(ADDRESS(2,COLUMN())),OFFSET($BN$2,0,0,ROW()-1,60),ROW()-1,FALSE))</f>
        <v>1093.8217480000001</v>
      </c>
      <c r="AM240">
        <f ca="1">IF(AND(ISNUMBER($AM$744),$B$511=1),$AM$744,HLOOKUP(INDIRECT(ADDRESS(2,COLUMN())),OFFSET($BN$2,0,0,ROW()-1,60),ROW()-1,FALSE))</f>
        <v>1203.1165719999999</v>
      </c>
      <c r="AN240">
        <f ca="1">IF(AND(ISNUMBER($AN$744),$B$511=1),$AN$744,HLOOKUP(INDIRECT(ADDRESS(2,COLUMN())),OFFSET($BN$2,0,0,ROW()-1,60),ROW()-1,FALSE))</f>
        <v>1365.5075400000001</v>
      </c>
      <c r="AO240">
        <f ca="1">IF(AND(ISNUMBER($AO$744),$B$511=1),$AO$744,HLOOKUP(INDIRECT(ADDRESS(2,COLUMN())),OFFSET($BN$2,0,0,ROW()-1,60),ROW()-1,FALSE))</f>
        <v>1418.2243350000001</v>
      </c>
      <c r="AP240">
        <f ca="1">IF(AND(ISNUMBER($AP$744),$B$511=1),$AP$744,HLOOKUP(INDIRECT(ADDRESS(2,COLUMN())),OFFSET($BN$2,0,0,ROW()-1,60),ROW()-1,FALSE))</f>
        <v>1333.2607410000001</v>
      </c>
      <c r="AQ240">
        <f ca="1">IF(AND(ISNUMBER($AQ$744),$B$511=1),$AQ$744,HLOOKUP(INDIRECT(ADDRESS(2,COLUMN())),OFFSET($BN$2,0,0,ROW()-1,60),ROW()-1,FALSE))</f>
        <v>203.15093440000001</v>
      </c>
      <c r="AR240">
        <f ca="1">IF(AND(ISNUMBER($AR$744),$B$511=1),$AR$744,HLOOKUP(INDIRECT(ADDRESS(2,COLUMN())),OFFSET($BN$2,0,0,ROW()-1,60),ROW()-1,FALSE))</f>
        <v>-64.047998910000004</v>
      </c>
      <c r="AS240">
        <f ca="1">IF(AND(ISNUMBER($AS$744),$B$511=1),$AS$744,HLOOKUP(INDIRECT(ADDRESS(2,COLUMN())),OFFSET($BN$2,0,0,ROW()-1,60),ROW()-1,FALSE))</f>
        <v>-487.93202680000002</v>
      </c>
      <c r="AT240">
        <f ca="1">IF(AND(ISNUMBER($AT$744),$B$511=1),$AT$744,HLOOKUP(INDIRECT(ADDRESS(2,COLUMN())),OFFSET($BN$2,0,0,ROW()-1,60),ROW()-1,FALSE))</f>
        <v>-860.54427720000001</v>
      </c>
      <c r="AU240" t="str">
        <f ca="1">IF(AND(ISNUMBER($AU$744),$B$511=1),$AU$744,HLOOKUP(INDIRECT(ADDRESS(2,COLUMN())),OFFSET($BN$2,0,0,ROW()-1,60),ROW()-1,FALSE))</f>
        <v/>
      </c>
      <c r="AV240" t="str">
        <f ca="1">IF(AND(ISNUMBER($AV$744),$B$511=1),$AV$744,HLOOKUP(INDIRECT(ADDRESS(2,COLUMN())),OFFSET($BN$2,0,0,ROW()-1,60),ROW()-1,FALSE))</f>
        <v/>
      </c>
      <c r="AW240" t="str">
        <f ca="1">IF(AND(ISNUMBER($AW$744),$B$511=1),$AW$744,HLOOKUP(INDIRECT(ADDRESS(2,COLUMN())),OFFSET($BN$2,0,0,ROW()-1,60),ROW()-1,FALSE))</f>
        <v/>
      </c>
      <c r="AX240" t="str">
        <f ca="1">IF(AND(ISNUMBER($AX$744),$B$511=1),$AX$744,HLOOKUP(INDIRECT(ADDRESS(2,COLUMN())),OFFSET($BN$2,0,0,ROW()-1,60),ROW()-1,FALSE))</f>
        <v/>
      </c>
      <c r="AY240" t="str">
        <f ca="1">IF(AND(ISNUMBER($AY$744),$B$511=1),$AY$744,HLOOKUP(INDIRECT(ADDRESS(2,COLUMN())),OFFSET($BN$2,0,0,ROW()-1,60),ROW()-1,FALSE))</f>
        <v/>
      </c>
      <c r="AZ240" t="str">
        <f ca="1">IF(AND(ISNUMBER($AZ$744),$B$511=1),$AZ$744,HLOOKUP(INDIRECT(ADDRESS(2,COLUMN())),OFFSET($BN$2,0,0,ROW()-1,60),ROW()-1,FALSE))</f>
        <v/>
      </c>
      <c r="BA240" t="str">
        <f ca="1">IF(AND(ISNUMBER($BA$744),$B$511=1),$BA$744,HLOOKUP(INDIRECT(ADDRESS(2,COLUMN())),OFFSET($BN$2,0,0,ROW()-1,60),ROW()-1,FALSE))</f>
        <v/>
      </c>
      <c r="BB240" t="str">
        <f ca="1">IF(AND(ISNUMBER($BB$744),$B$511=1),$BB$744,HLOOKUP(INDIRECT(ADDRESS(2,COLUMN())),OFFSET($BN$2,0,0,ROW()-1,60),ROW()-1,FALSE))</f>
        <v/>
      </c>
      <c r="BC240" t="str">
        <f ca="1">IF(AND(ISNUMBER($BC$744),$B$511=1),$BC$744,HLOOKUP(INDIRECT(ADDRESS(2,COLUMN())),OFFSET($BN$2,0,0,ROW()-1,60),ROW()-1,FALSE))</f>
        <v/>
      </c>
      <c r="BD240" t="str">
        <f ca="1">IF(AND(ISNUMBER($BD$744),$B$511=1),$BD$744,HLOOKUP(INDIRECT(ADDRESS(2,COLUMN())),OFFSET($BN$2,0,0,ROW()-1,60),ROW()-1,FALSE))</f>
        <v/>
      </c>
      <c r="BE240" t="str">
        <f ca="1">IF(AND(ISNUMBER($BE$744),$B$511=1),$BE$744,HLOOKUP(INDIRECT(ADDRESS(2,COLUMN())),OFFSET($BN$2,0,0,ROW()-1,60),ROW()-1,FALSE))</f>
        <v/>
      </c>
      <c r="BF240" t="str">
        <f ca="1">IF(AND(ISNUMBER($BF$744),$B$511=1),$BF$744,HLOOKUP(INDIRECT(ADDRESS(2,COLUMN())),OFFSET($BN$2,0,0,ROW()-1,60),ROW()-1,FALSE))</f>
        <v/>
      </c>
      <c r="BG240" t="str">
        <f ca="1">IF(AND(ISNUMBER($BG$744),$B$511=1),$BG$744,HLOOKUP(INDIRECT(ADDRESS(2,COLUMN())),OFFSET($BN$2,0,0,ROW()-1,60),ROW()-1,FALSE))</f>
        <v/>
      </c>
      <c r="BH240" t="str">
        <f ca="1">IF(AND(ISNUMBER($BH$744),$B$511=1),$BH$744,HLOOKUP(INDIRECT(ADDRESS(2,COLUMN())),OFFSET($BN$2,0,0,ROW()-1,60),ROW()-1,FALSE))</f>
        <v/>
      </c>
      <c r="BI240" t="str">
        <f ca="1">IF(AND(ISNUMBER($BI$744),$B$511=1),$BI$744,HLOOKUP(INDIRECT(ADDRESS(2,COLUMN())),OFFSET($BN$2,0,0,ROW()-1,60),ROW()-1,FALSE))</f>
        <v/>
      </c>
      <c r="BJ240" t="str">
        <f ca="1">IF(AND(ISNUMBER($BJ$744),$B$511=1),$BJ$744,HLOOKUP(INDIRECT(ADDRESS(2,COLUMN())),OFFSET($BN$2,0,0,ROW()-1,60),ROW()-1,FALSE))</f>
        <v/>
      </c>
      <c r="BK240" t="str">
        <f ca="1">IF(AND(ISNUMBER($BK$744),$B$511=1),$BK$744,HLOOKUP(INDIRECT(ADDRESS(2,COLUMN())),OFFSET($BN$2,0,0,ROW()-1,60),ROW()-1,FALSE))</f>
        <v/>
      </c>
      <c r="BL240" t="str">
        <f ca="1">IF(AND(ISNUMBER($BL$744),$B$511=1),$BL$744,HLOOKUP(INDIRECT(ADDRESS(2,COLUMN())),OFFSET($BN$2,0,0,ROW()-1,60),ROW()-1,FALSE))</f>
        <v/>
      </c>
      <c r="BM240" t="str">
        <f ca="1">IF(AND(ISNUMBER($BM$744),$B$511=1),$BM$744,HLOOKUP(INDIRECT(ADDRESS(2,COLUMN())),OFFSET($BN$2,0,0,ROW()-1,60),ROW()-1,FALSE))</f>
        <v/>
      </c>
      <c r="BN240" t="str">
        <f>""</f>
        <v/>
      </c>
      <c r="BO240">
        <f>561.1194612</f>
        <v>561.11946120000005</v>
      </c>
      <c r="BP240">
        <f>636.5403085</f>
        <v>636.54030850000004</v>
      </c>
      <c r="BQ240">
        <f>945.5890861</f>
        <v>945.58908610000003</v>
      </c>
      <c r="BR240">
        <f>1953.198923</f>
        <v>1953.1989229999999</v>
      </c>
      <c r="BS240">
        <f>2179.036932</f>
        <v>2179.036932</v>
      </c>
      <c r="BT240">
        <f>1637.332836</f>
        <v>1637.332836</v>
      </c>
      <c r="BU240">
        <f>2324.179469</f>
        <v>2324.1794690000002</v>
      </c>
      <c r="BV240">
        <f>1679.966298</f>
        <v>1679.9662980000001</v>
      </c>
      <c r="BW240">
        <f>2151.687076</f>
        <v>2151.6870760000002</v>
      </c>
      <c r="BX240">
        <f>3521.665872</f>
        <v>3521.665872</v>
      </c>
      <c r="BY240">
        <f>3757.056874</f>
        <v>3757.0568739999999</v>
      </c>
      <c r="BZ240">
        <f>4064.300413</f>
        <v>4064.3004129999999</v>
      </c>
      <c r="CA240">
        <f>3692.270979</f>
        <v>3692.2709789999999</v>
      </c>
      <c r="CB240">
        <f>2885.729779</f>
        <v>2885.7297789999998</v>
      </c>
      <c r="CC240">
        <f>2611.043116</f>
        <v>2611.0431159999998</v>
      </c>
      <c r="CD240">
        <f>1795.045741</f>
        <v>1795.0457409999999</v>
      </c>
      <c r="CE240">
        <f>1622.642402</f>
        <v>1622.6424019999999</v>
      </c>
      <c r="CF240">
        <f>1997.883351</f>
        <v>1997.8833509999999</v>
      </c>
      <c r="CG240">
        <f>1749.436118</f>
        <v>1749.4361180000001</v>
      </c>
      <c r="CH240">
        <f>2452.544755</f>
        <v>2452.5447549999999</v>
      </c>
      <c r="CI240">
        <f>2067.234749</f>
        <v>2067.2347490000002</v>
      </c>
      <c r="CJ240">
        <f>1537.480144</f>
        <v>1537.4801440000001</v>
      </c>
      <c r="CK240">
        <f>1509.33925</f>
        <v>1509.33925</v>
      </c>
      <c r="CL240">
        <f>1272.629596</f>
        <v>1272.629596</v>
      </c>
      <c r="CM240">
        <f>1428.185964</f>
        <v>1428.185964</v>
      </c>
      <c r="CN240">
        <f>1517.500883</f>
        <v>1517.5008829999999</v>
      </c>
      <c r="CO240">
        <f>774.0429476</f>
        <v>774.04294760000005</v>
      </c>
      <c r="CP240">
        <f>73.58412538</f>
        <v>73.584125380000003</v>
      </c>
      <c r="CQ240">
        <f>153.4645846</f>
        <v>153.46458459999999</v>
      </c>
      <c r="CR240">
        <f>-41.27338425</f>
        <v>-41.273384249999999</v>
      </c>
      <c r="CS240">
        <f>500.923622</f>
        <v>500.92362200000002</v>
      </c>
      <c r="CT240">
        <f>1093.821748</f>
        <v>1093.8217480000001</v>
      </c>
      <c r="CU240">
        <f>1203.116572</f>
        <v>1203.1165719999999</v>
      </c>
      <c r="CV240">
        <f>1365.50754</f>
        <v>1365.5075400000001</v>
      </c>
      <c r="CW240">
        <f>1418.224335</f>
        <v>1418.2243350000001</v>
      </c>
      <c r="CX240">
        <f>1333.260741</f>
        <v>1333.2607410000001</v>
      </c>
      <c r="CY240">
        <f>203.1509344</f>
        <v>203.15093440000001</v>
      </c>
      <c r="CZ240">
        <f>-64.04799891</f>
        <v>-64.047998910000004</v>
      </c>
      <c r="DA240">
        <f>-487.9320268</f>
        <v>-487.93202680000002</v>
      </c>
      <c r="DB240">
        <f>-860.5442772</f>
        <v>-860.54427720000001</v>
      </c>
      <c r="DC240" t="str">
        <f>""</f>
        <v/>
      </c>
      <c r="DD240" t="str">
        <f>""</f>
        <v/>
      </c>
      <c r="DE240" t="str">
        <f>""</f>
        <v/>
      </c>
      <c r="DF240" t="str">
        <f>""</f>
        <v/>
      </c>
      <c r="DG240" t="str">
        <f>""</f>
        <v/>
      </c>
      <c r="DH240" t="str">
        <f>""</f>
        <v/>
      </c>
      <c r="DI240" t="str">
        <f>""</f>
        <v/>
      </c>
      <c r="DJ240" t="str">
        <f>""</f>
        <v/>
      </c>
      <c r="DK240" t="str">
        <f>""</f>
        <v/>
      </c>
      <c r="DL240" t="str">
        <f>""</f>
        <v/>
      </c>
      <c r="DM240" t="str">
        <f>""</f>
        <v/>
      </c>
      <c r="DN240" t="str">
        <f>""</f>
        <v/>
      </c>
      <c r="DO240" t="str">
        <f>""</f>
        <v/>
      </c>
      <c r="DP240" t="str">
        <f>""</f>
        <v/>
      </c>
      <c r="DQ240" t="str">
        <f>""</f>
        <v/>
      </c>
      <c r="DR240" t="str">
        <f>""</f>
        <v/>
      </c>
      <c r="DS240" t="str">
        <f>""</f>
        <v/>
      </c>
      <c r="DT240" t="str">
        <f>""</f>
        <v/>
      </c>
      <c r="DU240" t="str">
        <f>""</f>
        <v/>
      </c>
    </row>
    <row r="241" spans="1:125" x14ac:dyDescent="0.25">
      <c r="A241" t="str">
        <f>"    Suzuki Motor Corp"</f>
        <v xml:space="preserve">    Suzuki Motor Corp</v>
      </c>
      <c r="B241" t="str">
        <f>"7269 JP Equity"</f>
        <v>7269 JP Equity</v>
      </c>
      <c r="C241" t="str">
        <f t="shared" si="15"/>
        <v>RR843</v>
      </c>
      <c r="D241" t="str">
        <f t="shared" si="16"/>
        <v>TRAIL_12M_FREE_CASH_FLOW</v>
      </c>
      <c r="E241" t="str">
        <f t="shared" si="17"/>
        <v>Dynamic</v>
      </c>
      <c r="F241" t="str">
        <f ca="1">IF(AND(ISNUMBER($F$745),$B$511=1),$F$745,HLOOKUP(INDIRECT(ADDRESS(2,COLUMN())),OFFSET($BN$2,0,0,ROW()-1,60),ROW()-1,FALSE))</f>
        <v/>
      </c>
      <c r="G241">
        <f ca="1">IF(AND(ISNUMBER($G$745),$B$511=1),$G$745,HLOOKUP(INDIRECT(ADDRESS(2,COLUMN())),OFFSET($BN$2,0,0,ROW()-1,60),ROW()-1,FALSE))</f>
        <v>1473.674612</v>
      </c>
      <c r="H241">
        <f ca="1">IF(AND(ISNUMBER($H$745),$B$511=1),$H$745,HLOOKUP(INDIRECT(ADDRESS(2,COLUMN())),OFFSET($BN$2,0,0,ROW()-1,60),ROW()-1,FALSE))</f>
        <v>1752.0367839999999</v>
      </c>
      <c r="I241">
        <f ca="1">IF(AND(ISNUMBER($I$745),$B$511=1),$I$745,HLOOKUP(INDIRECT(ADDRESS(2,COLUMN())),OFFSET($BN$2,0,0,ROW()-1,60),ROW()-1,FALSE))</f>
        <v>2394.0083279999999</v>
      </c>
      <c r="J241">
        <f ca="1">IF(AND(ISNUMBER($J$745),$B$511=1),$J$745,HLOOKUP(INDIRECT(ADDRESS(2,COLUMN())),OFFSET($BN$2,0,0,ROW()-1,60),ROW()-1,FALSE))</f>
        <v>2160.0348730000001</v>
      </c>
      <c r="K241">
        <f ca="1">IF(AND(ISNUMBER($K$745),$B$511=1),$K$745,HLOOKUP(INDIRECT(ADDRESS(2,COLUMN())),OFFSET($BN$2,0,0,ROW()-1,60),ROW()-1,FALSE))</f>
        <v>1799.96153</v>
      </c>
      <c r="L241">
        <f ca="1">IF(AND(ISNUMBER($L$745),$B$511=1),$L$745,HLOOKUP(INDIRECT(ADDRESS(2,COLUMN())),OFFSET($BN$2,0,0,ROW()-1,60),ROW()-1,FALSE))</f>
        <v>2013.4449099999999</v>
      </c>
      <c r="M241">
        <f ca="1">IF(AND(ISNUMBER($M$745),$B$511=1),$M$745,HLOOKUP(INDIRECT(ADDRESS(2,COLUMN())),OFFSET($BN$2,0,0,ROW()-1,60),ROW()-1,FALSE))</f>
        <v>1071.8943099999999</v>
      </c>
      <c r="N241">
        <f ca="1">IF(AND(ISNUMBER($N$745),$B$511=1),$N$745,HLOOKUP(INDIRECT(ADDRESS(2,COLUMN())),OFFSET($BN$2,0,0,ROW()-1,60),ROW()-1,FALSE))</f>
        <v>1611.9939380000001</v>
      </c>
      <c r="O241">
        <f ca="1">IF(AND(ISNUMBER($O$745),$B$511=1),$O$745,HLOOKUP(INDIRECT(ADDRESS(2,COLUMN())),OFFSET($BN$2,0,0,ROW()-1,60),ROW()-1,FALSE))</f>
        <v>1800.4456070000001</v>
      </c>
      <c r="P241">
        <f ca="1">IF(AND(ISNUMBER($P$745),$B$511=1),$P$745,HLOOKUP(INDIRECT(ADDRESS(2,COLUMN())),OFFSET($BN$2,0,0,ROW()-1,60),ROW()-1,FALSE))</f>
        <v>1909.7247990000001</v>
      </c>
      <c r="Q241">
        <f ca="1">IF(AND(ISNUMBER($Q$745),$B$511=1),$Q$745,HLOOKUP(INDIRECT(ADDRESS(2,COLUMN())),OFFSET($BN$2,0,0,ROW()-1,60),ROW()-1,FALSE))</f>
        <v>1340.6854719999999</v>
      </c>
      <c r="R241">
        <f ca="1">IF(AND(ISNUMBER($R$745),$B$511=1),$R$745,HLOOKUP(INDIRECT(ADDRESS(2,COLUMN())),OFFSET($BN$2,0,0,ROW()-1,60),ROW()-1,FALSE))</f>
        <v>1096.4400820000001</v>
      </c>
      <c r="S241">
        <f ca="1">IF(AND(ISNUMBER($S$745),$B$511=1),$S$745,HLOOKUP(INDIRECT(ADDRESS(2,COLUMN())),OFFSET($BN$2,0,0,ROW()-1,60),ROW()-1,FALSE))</f>
        <v>976.7521309</v>
      </c>
      <c r="T241">
        <f ca="1">IF(AND(ISNUMBER($T$745),$B$511=1),$T$745,HLOOKUP(INDIRECT(ADDRESS(2,COLUMN())),OFFSET($BN$2,0,0,ROW()-1,60),ROW()-1,FALSE))</f>
        <v>547.29951189999997</v>
      </c>
      <c r="U241">
        <f ca="1">IF(AND(ISNUMBER($U$745),$B$511=1),$U$745,HLOOKUP(INDIRECT(ADDRESS(2,COLUMN())),OFFSET($BN$2,0,0,ROW()-1,60),ROW()-1,FALSE))</f>
        <v>1081.8099239999999</v>
      </c>
      <c r="V241">
        <f ca="1">IF(AND(ISNUMBER($V$745),$B$511=1),$V$745,HLOOKUP(INDIRECT(ADDRESS(2,COLUMN())),OFFSET($BN$2,0,0,ROW()-1,60),ROW()-1,FALSE))</f>
        <v>569.95287250000001</v>
      </c>
      <c r="W241">
        <f ca="1">IF(AND(ISNUMBER($W$745),$B$511=1),$W$745,HLOOKUP(INDIRECT(ADDRESS(2,COLUMN())),OFFSET($BN$2,0,0,ROW()-1,60),ROW()-1,FALSE))</f>
        <v>245.71601720000001</v>
      </c>
      <c r="X241">
        <f ca="1">IF(AND(ISNUMBER($X$745),$B$511=1),$X$745,HLOOKUP(INDIRECT(ADDRESS(2,COLUMN())),OFFSET($BN$2,0,0,ROW()-1,60),ROW()-1,FALSE))</f>
        <v>534.14870859999996</v>
      </c>
      <c r="Y241">
        <f ca="1">IF(AND(ISNUMBER($Y$745),$B$511=1),$Y$745,HLOOKUP(INDIRECT(ADDRESS(2,COLUMN())),OFFSET($BN$2,0,0,ROW()-1,60),ROW()-1,FALSE))</f>
        <v>771.30894360000002</v>
      </c>
      <c r="Z241">
        <f ca="1">IF(AND(ISNUMBER($Z$745),$B$511=1),$Z$745,HLOOKUP(INDIRECT(ADDRESS(2,COLUMN())),OFFSET($BN$2,0,0,ROW()-1,60),ROW()-1,FALSE))</f>
        <v>1180.025361</v>
      </c>
      <c r="AA241">
        <f ca="1">IF(AND(ISNUMBER($AA$745),$B$511=1),$AA$745,HLOOKUP(INDIRECT(ADDRESS(2,COLUMN())),OFFSET($BN$2,0,0,ROW()-1,60),ROW()-1,FALSE))</f>
        <v>1341.87032</v>
      </c>
      <c r="AB241">
        <f ca="1">IF(AND(ISNUMBER($AB$745),$B$511=1),$AB$745,HLOOKUP(INDIRECT(ADDRESS(2,COLUMN())),OFFSET($BN$2,0,0,ROW()-1,60),ROW()-1,FALSE))</f>
        <v>825.13580820000004</v>
      </c>
      <c r="AC241">
        <f ca="1">IF(AND(ISNUMBER($AC$745),$B$511=1),$AC$745,HLOOKUP(INDIRECT(ADDRESS(2,COLUMN())),OFFSET($BN$2,0,0,ROW()-1,60),ROW()-1,FALSE))</f>
        <v>210.843253</v>
      </c>
      <c r="AD241">
        <f ca="1">IF(AND(ISNUMBER($AD$745),$B$511=1),$AD$745,HLOOKUP(INDIRECT(ADDRESS(2,COLUMN())),OFFSET($BN$2,0,0,ROW()-1,60),ROW()-1,FALSE))</f>
        <v>316.20892850000001</v>
      </c>
      <c r="AE241">
        <f ca="1">IF(AND(ISNUMBER($AE$745),$B$511=1),$AE$745,HLOOKUP(INDIRECT(ADDRESS(2,COLUMN())),OFFSET($BN$2,0,0,ROW()-1,60),ROW()-1,FALSE))</f>
        <v>54.746042160000002</v>
      </c>
      <c r="AF241">
        <f ca="1">IF(AND(ISNUMBER($AF$745),$B$511=1),$AF$745,HLOOKUP(INDIRECT(ADDRESS(2,COLUMN())),OFFSET($BN$2,0,0,ROW()-1,60),ROW()-1,FALSE))</f>
        <v>597.93795699999998</v>
      </c>
      <c r="AG241">
        <f ca="1">IF(AND(ISNUMBER($AG$745),$B$511=1),$AG$745,HLOOKUP(INDIRECT(ADDRESS(2,COLUMN())),OFFSET($BN$2,0,0,ROW()-1,60),ROW()-1,FALSE))</f>
        <v>1471.7852479999999</v>
      </c>
      <c r="AH241">
        <f ca="1">IF(AND(ISNUMBER($AH$745),$B$511=1),$AH$745,HLOOKUP(INDIRECT(ADDRESS(2,COLUMN())),OFFSET($BN$2,0,0,ROW()-1,60),ROW()-1,FALSE))</f>
        <v>1362.5356790000001</v>
      </c>
      <c r="AI241">
        <f ca="1">IF(AND(ISNUMBER($AI$745),$B$511=1),$AI$745,HLOOKUP(INDIRECT(ADDRESS(2,COLUMN())),OFFSET($BN$2,0,0,ROW()-1,60),ROW()-1,FALSE))</f>
        <v>1594.0117809999999</v>
      </c>
      <c r="AJ241">
        <f ca="1">IF(AND(ISNUMBER($AJ$745),$B$511=1),$AJ$745,HLOOKUP(INDIRECT(ADDRESS(2,COLUMN())),OFFSET($BN$2,0,0,ROW()-1,60),ROW()-1,FALSE))</f>
        <v>695.74074250000001</v>
      </c>
      <c r="AK241">
        <f ca="1">IF(AND(ISNUMBER($AK$745),$B$511=1),$AK$745,HLOOKUP(INDIRECT(ADDRESS(2,COLUMN())),OFFSET($BN$2,0,0,ROW()-1,60),ROW()-1,FALSE))</f>
        <v>346.7747377</v>
      </c>
      <c r="AL241">
        <f ca="1">IF(AND(ISNUMBER($AL$745),$B$511=1),$AL$745,HLOOKUP(INDIRECT(ADDRESS(2,COLUMN())),OFFSET($BN$2,0,0,ROW()-1,60),ROW()-1,FALSE))</f>
        <v>1124.8768829999999</v>
      </c>
      <c r="AM241">
        <f ca="1">IF(AND(ISNUMBER($AM$745),$B$511=1),$AM$745,HLOOKUP(INDIRECT(ADDRESS(2,COLUMN())),OFFSET($BN$2,0,0,ROW()-1,60),ROW()-1,FALSE))</f>
        <v>1193.5549719999999</v>
      </c>
      <c r="AN241">
        <f ca="1">IF(AND(ISNUMBER($AN$745),$B$511=1),$AN$745,HLOOKUP(INDIRECT(ADDRESS(2,COLUMN())),OFFSET($BN$2,0,0,ROW()-1,60),ROW()-1,FALSE))</f>
        <v>2588.4555249999999</v>
      </c>
      <c r="AO241">
        <f ca="1">IF(AND(ISNUMBER($AO$745),$B$511=1),$AO$745,HLOOKUP(INDIRECT(ADDRESS(2,COLUMN())),OFFSET($BN$2,0,0,ROW()-1,60),ROW()-1,FALSE))</f>
        <v>2990.4348060000002</v>
      </c>
      <c r="AP241">
        <f ca="1">IF(AND(ISNUMBER($AP$745),$B$511=1),$AP$745,HLOOKUP(INDIRECT(ADDRESS(2,COLUMN())),OFFSET($BN$2,0,0,ROW()-1,60),ROW()-1,FALSE))</f>
        <v>2126.863961</v>
      </c>
      <c r="AQ241">
        <f ca="1">IF(AND(ISNUMBER($AQ$745),$B$511=1),$AQ$745,HLOOKUP(INDIRECT(ADDRESS(2,COLUMN())),OFFSET($BN$2,0,0,ROW()-1,60),ROW()-1,FALSE))</f>
        <v>1033.0566349999999</v>
      </c>
      <c r="AR241">
        <f ca="1">IF(AND(ISNUMBER($AR$745),$B$511=1),$AR$745,HLOOKUP(INDIRECT(ADDRESS(2,COLUMN())),OFFSET($BN$2,0,0,ROW()-1,60),ROW()-1,FALSE))</f>
        <v>-1120.2085509999999</v>
      </c>
      <c r="AS241">
        <f ca="1">IF(AND(ISNUMBER($AS$745),$B$511=1),$AS$745,HLOOKUP(INDIRECT(ADDRESS(2,COLUMN())),OFFSET($BN$2,0,0,ROW()-1,60),ROW()-1,FALSE))</f>
        <v>-1942.6262260000001</v>
      </c>
      <c r="AT241">
        <f ca="1">IF(AND(ISNUMBER($AT$745),$B$511=1),$AT$745,HLOOKUP(INDIRECT(ADDRESS(2,COLUMN())),OFFSET($BN$2,0,0,ROW()-1,60),ROW()-1,FALSE))</f>
        <v>-1692.3920880000001</v>
      </c>
      <c r="AU241">
        <f ca="1">IF(AND(ISNUMBER($AU$745),$B$511=1),$AU$745,HLOOKUP(INDIRECT(ADDRESS(2,COLUMN())),OFFSET($BN$2,0,0,ROW()-1,60),ROW()-1,FALSE))</f>
        <v>-1665.920067</v>
      </c>
      <c r="AV241">
        <f ca="1">IF(AND(ISNUMBER($AV$745),$B$511=1),$AV$745,HLOOKUP(INDIRECT(ADDRESS(2,COLUMN())),OFFSET($BN$2,0,0,ROW()-1,60),ROW()-1,FALSE))</f>
        <v>-319.48034469999999</v>
      </c>
      <c r="AW241">
        <f ca="1">IF(AND(ISNUMBER($AW$745),$B$511=1),$AW$745,HLOOKUP(INDIRECT(ADDRESS(2,COLUMN())),OFFSET($BN$2,0,0,ROW()-1,60),ROW()-1,FALSE))</f>
        <v>-344.95400699999999</v>
      </c>
      <c r="AX241">
        <f ca="1">IF(AND(ISNUMBER($AX$745),$B$511=1),$AX$745,HLOOKUP(INDIRECT(ADDRESS(2,COLUMN())),OFFSET($BN$2,0,0,ROW()-1,60),ROW()-1,FALSE))</f>
        <v>-187.98185219999999</v>
      </c>
      <c r="AY241">
        <f ca="1">IF(AND(ISNUMBER($AY$745),$B$511=1),$AY$745,HLOOKUP(INDIRECT(ADDRESS(2,COLUMN())),OFFSET($BN$2,0,0,ROW()-1,60),ROW()-1,FALSE))</f>
        <v>143.8130639</v>
      </c>
      <c r="AZ241">
        <f ca="1">IF(AND(ISNUMBER($AZ$745),$B$511=1),$AZ$745,HLOOKUP(INDIRECT(ADDRESS(2,COLUMN())),OFFSET($BN$2,0,0,ROW()-1,60),ROW()-1,FALSE))</f>
        <v>146.33647819999999</v>
      </c>
      <c r="BA241">
        <f ca="1">IF(AND(ISNUMBER($BA$745),$B$511=1),$BA$745,HLOOKUP(INDIRECT(ADDRESS(2,COLUMN())),OFFSET($BN$2,0,0,ROW()-1,60),ROW()-1,FALSE))</f>
        <v>255.1641046</v>
      </c>
      <c r="BB241">
        <f ca="1">IF(AND(ISNUMBER($BB$745),$B$511=1),$BB$745,HLOOKUP(INDIRECT(ADDRESS(2,COLUMN())),OFFSET($BN$2,0,0,ROW()-1,60),ROW()-1,FALSE))</f>
        <v>249.20565089999999</v>
      </c>
      <c r="BC241">
        <f ca="1">IF(AND(ISNUMBER($BC$745),$B$511=1),$BC$745,HLOOKUP(INDIRECT(ADDRESS(2,COLUMN())),OFFSET($BN$2,0,0,ROW()-1,60),ROW()-1,FALSE))</f>
        <v>517.60308069999996</v>
      </c>
      <c r="BD241">
        <f ca="1">IF(AND(ISNUMBER($BD$745),$B$511=1),$BD$745,HLOOKUP(INDIRECT(ADDRESS(2,COLUMN())),OFFSET($BN$2,0,0,ROW()-1,60),ROW()-1,FALSE))</f>
        <v>510.77653520000001</v>
      </c>
      <c r="BE241">
        <f ca="1">IF(AND(ISNUMBER($BE$745),$B$511=1),$BE$745,HLOOKUP(INDIRECT(ADDRESS(2,COLUMN())),OFFSET($BN$2,0,0,ROW()-1,60),ROW()-1,FALSE))</f>
        <v>666.32619439999996</v>
      </c>
      <c r="BF241">
        <f ca="1">IF(AND(ISNUMBER($BF$745),$B$511=1),$BF$745,HLOOKUP(INDIRECT(ADDRESS(2,COLUMN())),OFFSET($BN$2,0,0,ROW()-1,60),ROW()-1,FALSE))</f>
        <v>692.28557209999997</v>
      </c>
      <c r="BG241">
        <f ca="1">IF(AND(ISNUMBER($BG$745),$B$511=1),$BG$745,HLOOKUP(INDIRECT(ADDRESS(2,COLUMN())),OFFSET($BN$2,0,0,ROW()-1,60),ROW()-1,FALSE))</f>
        <v>451.22661099999999</v>
      </c>
      <c r="BH241">
        <f ca="1">IF(AND(ISNUMBER($BH$745),$B$511=1),$BH$745,HLOOKUP(INDIRECT(ADDRESS(2,COLUMN())),OFFSET($BN$2,0,0,ROW()-1,60),ROW()-1,FALSE))</f>
        <v>583.27007490000005</v>
      </c>
      <c r="BI241">
        <f ca="1">IF(AND(ISNUMBER($BI$745),$B$511=1),$BI$745,HLOOKUP(INDIRECT(ADDRESS(2,COLUMN())),OFFSET($BN$2,0,0,ROW()-1,60),ROW()-1,FALSE))</f>
        <v>708.79951200000005</v>
      </c>
      <c r="BJ241">
        <f ca="1">IF(AND(ISNUMBER($BJ$745),$B$511=1),$BJ$745,HLOOKUP(INDIRECT(ADDRESS(2,COLUMN())),OFFSET($BN$2,0,0,ROW()-1,60),ROW()-1,FALSE))</f>
        <v>771.14420070000006</v>
      </c>
      <c r="BK241">
        <f ca="1">IF(AND(ISNUMBER($BK$745),$B$511=1),$BK$745,HLOOKUP(INDIRECT(ADDRESS(2,COLUMN())),OFFSET($BN$2,0,0,ROW()-1,60),ROW()-1,FALSE))</f>
        <v>842.48101450000001</v>
      </c>
      <c r="BL241">
        <f ca="1">IF(AND(ISNUMBER($BL$745),$B$511=1),$BL$745,HLOOKUP(INDIRECT(ADDRESS(2,COLUMN())),OFFSET($BN$2,0,0,ROW()-1,60),ROW()-1,FALSE))</f>
        <v>816.70344480000006</v>
      </c>
      <c r="BM241">
        <f ca="1">IF(AND(ISNUMBER($BM$745),$B$511=1),$BM$745,HLOOKUP(INDIRECT(ADDRESS(2,COLUMN())),OFFSET($BN$2,0,0,ROW()-1,60),ROW()-1,FALSE))</f>
        <v>618.71772490000001</v>
      </c>
      <c r="BN241" t="str">
        <f>""</f>
        <v/>
      </c>
      <c r="BO241">
        <f>1473.674612</f>
        <v>1473.674612</v>
      </c>
      <c r="BP241">
        <f>1752.036784</f>
        <v>1752.0367839999999</v>
      </c>
      <c r="BQ241">
        <f>2394.008328</f>
        <v>2394.0083279999999</v>
      </c>
      <c r="BR241">
        <f>2160.034873</f>
        <v>2160.0348730000001</v>
      </c>
      <c r="BS241">
        <f>1799.96153</f>
        <v>1799.96153</v>
      </c>
      <c r="BT241">
        <f>2013.44491</f>
        <v>2013.4449099999999</v>
      </c>
      <c r="BU241">
        <f>1071.89431</f>
        <v>1071.8943099999999</v>
      </c>
      <c r="BV241">
        <f>1611.993938</f>
        <v>1611.9939380000001</v>
      </c>
      <c r="BW241">
        <f>1800.445607</f>
        <v>1800.4456070000001</v>
      </c>
      <c r="BX241">
        <f>1909.724799</f>
        <v>1909.7247990000001</v>
      </c>
      <c r="BY241">
        <f>1340.685472</f>
        <v>1340.6854719999999</v>
      </c>
      <c r="BZ241">
        <f>1096.440082</f>
        <v>1096.4400820000001</v>
      </c>
      <c r="CA241">
        <f>976.7521309</f>
        <v>976.7521309</v>
      </c>
      <c r="CB241">
        <f>547.2995119</f>
        <v>547.29951189999997</v>
      </c>
      <c r="CC241">
        <f>1081.809924</f>
        <v>1081.8099239999999</v>
      </c>
      <c r="CD241">
        <f>569.9528725</f>
        <v>569.95287250000001</v>
      </c>
      <c r="CE241">
        <f>245.7160172</f>
        <v>245.71601720000001</v>
      </c>
      <c r="CF241">
        <f>534.1487086</f>
        <v>534.14870859999996</v>
      </c>
      <c r="CG241">
        <f>771.3089436</f>
        <v>771.30894360000002</v>
      </c>
      <c r="CH241">
        <f>1180.025361</f>
        <v>1180.025361</v>
      </c>
      <c r="CI241">
        <f>1341.87032</f>
        <v>1341.87032</v>
      </c>
      <c r="CJ241">
        <f>825.1358082</f>
        <v>825.13580820000004</v>
      </c>
      <c r="CK241">
        <f>210.843253</f>
        <v>210.843253</v>
      </c>
      <c r="CL241">
        <f>316.2089285</f>
        <v>316.20892850000001</v>
      </c>
      <c r="CM241">
        <f>54.74604216</f>
        <v>54.746042160000002</v>
      </c>
      <c r="CN241">
        <f>597.937957</f>
        <v>597.93795699999998</v>
      </c>
      <c r="CO241">
        <f>1471.785248</f>
        <v>1471.7852479999999</v>
      </c>
      <c r="CP241">
        <f>1362.535679</f>
        <v>1362.5356790000001</v>
      </c>
      <c r="CQ241">
        <f>1594.011781</f>
        <v>1594.0117809999999</v>
      </c>
      <c r="CR241">
        <f>695.7407425</f>
        <v>695.74074250000001</v>
      </c>
      <c r="CS241">
        <f>346.7747377</f>
        <v>346.7747377</v>
      </c>
      <c r="CT241">
        <f>1124.876883</f>
        <v>1124.8768829999999</v>
      </c>
      <c r="CU241">
        <f>1193.554972</f>
        <v>1193.5549719999999</v>
      </c>
      <c r="CV241">
        <f>2588.455525</f>
        <v>2588.4555249999999</v>
      </c>
      <c r="CW241">
        <f>2990.434806</f>
        <v>2990.4348060000002</v>
      </c>
      <c r="CX241">
        <f>2126.863961</f>
        <v>2126.863961</v>
      </c>
      <c r="CY241">
        <f>1033.056635</f>
        <v>1033.0566349999999</v>
      </c>
      <c r="CZ241">
        <f>-1120.208551</f>
        <v>-1120.2085509999999</v>
      </c>
      <c r="DA241">
        <f>-1942.626226</f>
        <v>-1942.6262260000001</v>
      </c>
      <c r="DB241">
        <f>-1692.392088</f>
        <v>-1692.3920880000001</v>
      </c>
      <c r="DC241">
        <f>-1665.920067</f>
        <v>-1665.920067</v>
      </c>
      <c r="DD241">
        <f>-319.4803447</f>
        <v>-319.48034469999999</v>
      </c>
      <c r="DE241">
        <f>-344.954007</f>
        <v>-344.95400699999999</v>
      </c>
      <c r="DF241">
        <f>-187.9818522</f>
        <v>-187.98185219999999</v>
      </c>
      <c r="DG241">
        <f>143.8130639</f>
        <v>143.8130639</v>
      </c>
      <c r="DH241">
        <f>146.3364782</f>
        <v>146.33647819999999</v>
      </c>
      <c r="DI241">
        <f>255.1641046</f>
        <v>255.1641046</v>
      </c>
      <c r="DJ241">
        <f>249.2056509</f>
        <v>249.20565089999999</v>
      </c>
      <c r="DK241">
        <f>517.6030807</f>
        <v>517.60308069999996</v>
      </c>
      <c r="DL241">
        <f>510.7765352</f>
        <v>510.77653520000001</v>
      </c>
      <c r="DM241">
        <f>666.3261944</f>
        <v>666.32619439999996</v>
      </c>
      <c r="DN241">
        <f>692.2855721</f>
        <v>692.28557209999997</v>
      </c>
      <c r="DO241">
        <f>451.226611</f>
        <v>451.22661099999999</v>
      </c>
      <c r="DP241">
        <f>583.2700749</f>
        <v>583.27007490000005</v>
      </c>
      <c r="DQ241">
        <f>708.799512</f>
        <v>708.79951200000005</v>
      </c>
      <c r="DR241">
        <f>771.1442007</f>
        <v>771.14420070000006</v>
      </c>
      <c r="DS241">
        <f>842.4810145</f>
        <v>842.48101450000001</v>
      </c>
      <c r="DT241">
        <f>816.7034448</f>
        <v>816.70344480000006</v>
      </c>
      <c r="DU241">
        <f>618.7177249</f>
        <v>618.71772490000001</v>
      </c>
    </row>
    <row r="242" spans="1:125" x14ac:dyDescent="0.25">
      <c r="A242" t="str">
        <f>"    Tata Motors Ltd"</f>
        <v xml:space="preserve">    Tata Motors Ltd</v>
      </c>
      <c r="B242" t="str">
        <f>"TTMT IN Equity"</f>
        <v>TTMT IN Equity</v>
      </c>
      <c r="C242" t="str">
        <f t="shared" si="15"/>
        <v>RR843</v>
      </c>
      <c r="D242" t="str">
        <f t="shared" si="16"/>
        <v>TRAIL_12M_FREE_CASH_FLOW</v>
      </c>
      <c r="E242" t="str">
        <f t="shared" si="17"/>
        <v>Dynamic</v>
      </c>
      <c r="F242" t="str">
        <f ca="1">IF(AND(ISNUMBER($F$746),$B$511=1),$F$746,HLOOKUP(INDIRECT(ADDRESS(2,COLUMN())),OFFSET($BN$2,0,0,ROW()-1,60),ROW()-1,FALSE))</f>
        <v/>
      </c>
      <c r="G242" t="str">
        <f ca="1">IF(AND(ISNUMBER($G$746),$B$511=1),$G$746,HLOOKUP(INDIRECT(ADDRESS(2,COLUMN())),OFFSET($BN$2,0,0,ROW()-1,60),ROW()-1,FALSE))</f>
        <v/>
      </c>
      <c r="H242" t="str">
        <f ca="1">IF(AND(ISNUMBER($H$746),$B$511=1),$H$746,HLOOKUP(INDIRECT(ADDRESS(2,COLUMN())),OFFSET($BN$2,0,0,ROW()-1,60),ROW()-1,FALSE))</f>
        <v/>
      </c>
      <c r="I242" t="str">
        <f ca="1">IF(AND(ISNUMBER($I$746),$B$511=1),$I$746,HLOOKUP(INDIRECT(ADDRESS(2,COLUMN())),OFFSET($BN$2,0,0,ROW()-1,60),ROW()-1,FALSE))</f>
        <v/>
      </c>
      <c r="J242" t="str">
        <f ca="1">IF(AND(ISNUMBER($J$746),$B$511=1),$J$746,HLOOKUP(INDIRECT(ADDRESS(2,COLUMN())),OFFSET($BN$2,0,0,ROW()-1,60),ROW()-1,FALSE))</f>
        <v/>
      </c>
      <c r="K242" t="str">
        <f ca="1">IF(AND(ISNUMBER($K$746),$B$511=1),$K$746,HLOOKUP(INDIRECT(ADDRESS(2,COLUMN())),OFFSET($BN$2,0,0,ROW()-1,60),ROW()-1,FALSE))</f>
        <v/>
      </c>
      <c r="L242" t="str">
        <f ca="1">IF(AND(ISNUMBER($L$746),$B$511=1),$L$746,HLOOKUP(INDIRECT(ADDRESS(2,COLUMN())),OFFSET($BN$2,0,0,ROW()-1,60),ROW()-1,FALSE))</f>
        <v/>
      </c>
      <c r="M242" t="str">
        <f ca="1">IF(AND(ISNUMBER($M$746),$B$511=1),$M$746,HLOOKUP(INDIRECT(ADDRESS(2,COLUMN())),OFFSET($BN$2,0,0,ROW()-1,60),ROW()-1,FALSE))</f>
        <v/>
      </c>
      <c r="N242" t="str">
        <f ca="1">IF(AND(ISNUMBER($N$746),$B$511=1),$N$746,HLOOKUP(INDIRECT(ADDRESS(2,COLUMN())),OFFSET($BN$2,0,0,ROW()-1,60),ROW()-1,FALSE))</f>
        <v/>
      </c>
      <c r="O242" t="str">
        <f ca="1">IF(AND(ISNUMBER($O$746),$B$511=1),$O$746,HLOOKUP(INDIRECT(ADDRESS(2,COLUMN())),OFFSET($BN$2,0,0,ROW()-1,60),ROW()-1,FALSE))</f>
        <v/>
      </c>
      <c r="P242" t="str">
        <f ca="1">IF(AND(ISNUMBER($P$746),$B$511=1),$P$746,HLOOKUP(INDIRECT(ADDRESS(2,COLUMN())),OFFSET($BN$2,0,0,ROW()-1,60),ROW()-1,FALSE))</f>
        <v/>
      </c>
      <c r="Q242" t="str">
        <f ca="1">IF(AND(ISNUMBER($Q$746),$B$511=1),$Q$746,HLOOKUP(INDIRECT(ADDRESS(2,COLUMN())),OFFSET($BN$2,0,0,ROW()-1,60),ROW()-1,FALSE))</f>
        <v/>
      </c>
      <c r="R242" t="str">
        <f ca="1">IF(AND(ISNUMBER($R$746),$B$511=1),$R$746,HLOOKUP(INDIRECT(ADDRESS(2,COLUMN())),OFFSET($BN$2,0,0,ROW()-1,60),ROW()-1,FALSE))</f>
        <v/>
      </c>
      <c r="S242" t="str">
        <f ca="1">IF(AND(ISNUMBER($S$746),$B$511=1),$S$746,HLOOKUP(INDIRECT(ADDRESS(2,COLUMN())),OFFSET($BN$2,0,0,ROW()-1,60),ROW()-1,FALSE))</f>
        <v/>
      </c>
      <c r="T242" t="str">
        <f ca="1">IF(AND(ISNUMBER($T$746),$B$511=1),$T$746,HLOOKUP(INDIRECT(ADDRESS(2,COLUMN())),OFFSET($BN$2,0,0,ROW()-1,60),ROW()-1,FALSE))</f>
        <v/>
      </c>
      <c r="U242" t="str">
        <f ca="1">IF(AND(ISNUMBER($U$746),$B$511=1),$U$746,HLOOKUP(INDIRECT(ADDRESS(2,COLUMN())),OFFSET($BN$2,0,0,ROW()-1,60),ROW()-1,FALSE))</f>
        <v/>
      </c>
      <c r="V242" t="str">
        <f ca="1">IF(AND(ISNUMBER($V$746),$B$511=1),$V$746,HLOOKUP(INDIRECT(ADDRESS(2,COLUMN())),OFFSET($BN$2,0,0,ROW()-1,60),ROW()-1,FALSE))</f>
        <v/>
      </c>
      <c r="W242" t="str">
        <f ca="1">IF(AND(ISNUMBER($W$746),$B$511=1),$W$746,HLOOKUP(INDIRECT(ADDRESS(2,COLUMN())),OFFSET($BN$2,0,0,ROW()-1,60),ROW()-1,FALSE))</f>
        <v/>
      </c>
      <c r="X242" t="str">
        <f ca="1">IF(AND(ISNUMBER($X$746),$B$511=1),$X$746,HLOOKUP(INDIRECT(ADDRESS(2,COLUMN())),OFFSET($BN$2,0,0,ROW()-1,60),ROW()-1,FALSE))</f>
        <v/>
      </c>
      <c r="Y242" t="str">
        <f ca="1">IF(AND(ISNUMBER($Y$746),$B$511=1),$Y$746,HLOOKUP(INDIRECT(ADDRESS(2,COLUMN())),OFFSET($BN$2,0,0,ROW()-1,60),ROW()-1,FALSE))</f>
        <v/>
      </c>
      <c r="Z242" t="str">
        <f ca="1">IF(AND(ISNUMBER($Z$746),$B$511=1),$Z$746,HLOOKUP(INDIRECT(ADDRESS(2,COLUMN())),OFFSET($BN$2,0,0,ROW()-1,60),ROW()-1,FALSE))</f>
        <v/>
      </c>
      <c r="AA242" t="str">
        <f ca="1">IF(AND(ISNUMBER($AA$746),$B$511=1),$AA$746,HLOOKUP(INDIRECT(ADDRESS(2,COLUMN())),OFFSET($BN$2,0,0,ROW()-1,60),ROW()-1,FALSE))</f>
        <v/>
      </c>
      <c r="AB242" t="str">
        <f ca="1">IF(AND(ISNUMBER($AB$746),$B$511=1),$AB$746,HLOOKUP(INDIRECT(ADDRESS(2,COLUMN())),OFFSET($BN$2,0,0,ROW()-1,60),ROW()-1,FALSE))</f>
        <v/>
      </c>
      <c r="AC242" t="str">
        <f ca="1">IF(AND(ISNUMBER($AC$746),$B$511=1),$AC$746,HLOOKUP(INDIRECT(ADDRESS(2,COLUMN())),OFFSET($BN$2,0,0,ROW()-1,60),ROW()-1,FALSE))</f>
        <v/>
      </c>
      <c r="AD242" t="str">
        <f ca="1">IF(AND(ISNUMBER($AD$746),$B$511=1),$AD$746,HLOOKUP(INDIRECT(ADDRESS(2,COLUMN())),OFFSET($BN$2,0,0,ROW()-1,60),ROW()-1,FALSE))</f>
        <v/>
      </c>
      <c r="AE242" t="str">
        <f ca="1">IF(AND(ISNUMBER($AE$746),$B$511=1),$AE$746,HLOOKUP(INDIRECT(ADDRESS(2,COLUMN())),OFFSET($BN$2,0,0,ROW()-1,60),ROW()-1,FALSE))</f>
        <v/>
      </c>
      <c r="AF242" t="str">
        <f ca="1">IF(AND(ISNUMBER($AF$746),$B$511=1),$AF$746,HLOOKUP(INDIRECT(ADDRESS(2,COLUMN())),OFFSET($BN$2,0,0,ROW()-1,60),ROW()-1,FALSE))</f>
        <v/>
      </c>
      <c r="AG242" t="str">
        <f ca="1">IF(AND(ISNUMBER($AG$746),$B$511=1),$AG$746,HLOOKUP(INDIRECT(ADDRESS(2,COLUMN())),OFFSET($BN$2,0,0,ROW()-1,60),ROW()-1,FALSE))</f>
        <v/>
      </c>
      <c r="AH242" t="str">
        <f ca="1">IF(AND(ISNUMBER($AH$746),$B$511=1),$AH$746,HLOOKUP(INDIRECT(ADDRESS(2,COLUMN())),OFFSET($BN$2,0,0,ROW()-1,60),ROW()-1,FALSE))</f>
        <v/>
      </c>
      <c r="AI242" t="str">
        <f ca="1">IF(AND(ISNUMBER($AI$746),$B$511=1),$AI$746,HLOOKUP(INDIRECT(ADDRESS(2,COLUMN())),OFFSET($BN$2,0,0,ROW()-1,60),ROW()-1,FALSE))</f>
        <v/>
      </c>
      <c r="AJ242" t="str">
        <f ca="1">IF(AND(ISNUMBER($AJ$746),$B$511=1),$AJ$746,HLOOKUP(INDIRECT(ADDRESS(2,COLUMN())),OFFSET($BN$2,0,0,ROW()-1,60),ROW()-1,FALSE))</f>
        <v/>
      </c>
      <c r="AK242" t="str">
        <f ca="1">IF(AND(ISNUMBER($AK$746),$B$511=1),$AK$746,HLOOKUP(INDIRECT(ADDRESS(2,COLUMN())),OFFSET($BN$2,0,0,ROW()-1,60),ROW()-1,FALSE))</f>
        <v/>
      </c>
      <c r="AL242" t="str">
        <f ca="1">IF(AND(ISNUMBER($AL$746),$B$511=1),$AL$746,HLOOKUP(INDIRECT(ADDRESS(2,COLUMN())),OFFSET($BN$2,0,0,ROW()-1,60),ROW()-1,FALSE))</f>
        <v/>
      </c>
      <c r="AM242" t="str">
        <f ca="1">IF(AND(ISNUMBER($AM$746),$B$511=1),$AM$746,HLOOKUP(INDIRECT(ADDRESS(2,COLUMN())),OFFSET($BN$2,0,0,ROW()-1,60),ROW()-1,FALSE))</f>
        <v/>
      </c>
      <c r="AN242" t="str">
        <f ca="1">IF(AND(ISNUMBER($AN$746),$B$511=1),$AN$746,HLOOKUP(INDIRECT(ADDRESS(2,COLUMN())),OFFSET($BN$2,0,0,ROW()-1,60),ROW()-1,FALSE))</f>
        <v/>
      </c>
      <c r="AO242" t="str">
        <f ca="1">IF(AND(ISNUMBER($AO$746),$B$511=1),$AO$746,HLOOKUP(INDIRECT(ADDRESS(2,COLUMN())),OFFSET($BN$2,0,0,ROW()-1,60),ROW()-1,FALSE))</f>
        <v/>
      </c>
      <c r="AP242" t="str">
        <f ca="1">IF(AND(ISNUMBER($AP$746),$B$511=1),$AP$746,HLOOKUP(INDIRECT(ADDRESS(2,COLUMN())),OFFSET($BN$2,0,0,ROW()-1,60),ROW()-1,FALSE))</f>
        <v/>
      </c>
      <c r="AQ242" t="str">
        <f ca="1">IF(AND(ISNUMBER($AQ$746),$B$511=1),$AQ$746,HLOOKUP(INDIRECT(ADDRESS(2,COLUMN())),OFFSET($BN$2,0,0,ROW()-1,60),ROW()-1,FALSE))</f>
        <v/>
      </c>
      <c r="AR242" t="str">
        <f ca="1">IF(AND(ISNUMBER($AR$746),$B$511=1),$AR$746,HLOOKUP(INDIRECT(ADDRESS(2,COLUMN())),OFFSET($BN$2,0,0,ROW()-1,60),ROW()-1,FALSE))</f>
        <v/>
      </c>
      <c r="AS242" t="str">
        <f ca="1">IF(AND(ISNUMBER($AS$746),$B$511=1),$AS$746,HLOOKUP(INDIRECT(ADDRESS(2,COLUMN())),OFFSET($BN$2,0,0,ROW()-1,60),ROW()-1,FALSE))</f>
        <v/>
      </c>
      <c r="AT242" t="str">
        <f ca="1">IF(AND(ISNUMBER($AT$746),$B$511=1),$AT$746,HLOOKUP(INDIRECT(ADDRESS(2,COLUMN())),OFFSET($BN$2,0,0,ROW()-1,60),ROW()-1,FALSE))</f>
        <v/>
      </c>
      <c r="AU242" t="str">
        <f ca="1">IF(AND(ISNUMBER($AU$746),$B$511=1),$AU$746,HLOOKUP(INDIRECT(ADDRESS(2,COLUMN())),OFFSET($BN$2,0,0,ROW()-1,60),ROW()-1,FALSE))</f>
        <v/>
      </c>
      <c r="AV242" t="str">
        <f ca="1">IF(AND(ISNUMBER($AV$746),$B$511=1),$AV$746,HLOOKUP(INDIRECT(ADDRESS(2,COLUMN())),OFFSET($BN$2,0,0,ROW()-1,60),ROW()-1,FALSE))</f>
        <v/>
      </c>
      <c r="AW242" t="str">
        <f ca="1">IF(AND(ISNUMBER($AW$746),$B$511=1),$AW$746,HLOOKUP(INDIRECT(ADDRESS(2,COLUMN())),OFFSET($BN$2,0,0,ROW()-1,60),ROW()-1,FALSE))</f>
        <v/>
      </c>
      <c r="AX242" t="str">
        <f ca="1">IF(AND(ISNUMBER($AX$746),$B$511=1),$AX$746,HLOOKUP(INDIRECT(ADDRESS(2,COLUMN())),OFFSET($BN$2,0,0,ROW()-1,60),ROW()-1,FALSE))</f>
        <v/>
      </c>
      <c r="AY242" t="str">
        <f ca="1">IF(AND(ISNUMBER($AY$746),$B$511=1),$AY$746,HLOOKUP(INDIRECT(ADDRESS(2,COLUMN())),OFFSET($BN$2,0,0,ROW()-1,60),ROW()-1,FALSE))</f>
        <v/>
      </c>
      <c r="AZ242" t="str">
        <f ca="1">IF(AND(ISNUMBER($AZ$746),$B$511=1),$AZ$746,HLOOKUP(INDIRECT(ADDRESS(2,COLUMN())),OFFSET($BN$2,0,0,ROW()-1,60),ROW()-1,FALSE))</f>
        <v/>
      </c>
      <c r="BA242" t="str">
        <f ca="1">IF(AND(ISNUMBER($BA$746),$B$511=1),$BA$746,HLOOKUP(INDIRECT(ADDRESS(2,COLUMN())),OFFSET($BN$2,0,0,ROW()-1,60),ROW()-1,FALSE))</f>
        <v/>
      </c>
      <c r="BB242" t="str">
        <f ca="1">IF(AND(ISNUMBER($BB$746),$B$511=1),$BB$746,HLOOKUP(INDIRECT(ADDRESS(2,COLUMN())),OFFSET($BN$2,0,0,ROW()-1,60),ROW()-1,FALSE))</f>
        <v/>
      </c>
      <c r="BC242" t="str">
        <f ca="1">IF(AND(ISNUMBER($BC$746),$B$511=1),$BC$746,HLOOKUP(INDIRECT(ADDRESS(2,COLUMN())),OFFSET($BN$2,0,0,ROW()-1,60),ROW()-1,FALSE))</f>
        <v/>
      </c>
      <c r="BD242" t="str">
        <f ca="1">IF(AND(ISNUMBER($BD$746),$B$511=1),$BD$746,HLOOKUP(INDIRECT(ADDRESS(2,COLUMN())),OFFSET($BN$2,0,0,ROW()-1,60),ROW()-1,FALSE))</f>
        <v/>
      </c>
      <c r="BE242" t="str">
        <f ca="1">IF(AND(ISNUMBER($BE$746),$B$511=1),$BE$746,HLOOKUP(INDIRECT(ADDRESS(2,COLUMN())),OFFSET($BN$2,0,0,ROW()-1,60),ROW()-1,FALSE))</f>
        <v/>
      </c>
      <c r="BF242" t="str">
        <f ca="1">IF(AND(ISNUMBER($BF$746),$B$511=1),$BF$746,HLOOKUP(INDIRECT(ADDRESS(2,COLUMN())),OFFSET($BN$2,0,0,ROW()-1,60),ROW()-1,FALSE))</f>
        <v/>
      </c>
      <c r="BG242" t="str">
        <f ca="1">IF(AND(ISNUMBER($BG$746),$B$511=1),$BG$746,HLOOKUP(INDIRECT(ADDRESS(2,COLUMN())),OFFSET($BN$2,0,0,ROW()-1,60),ROW()-1,FALSE))</f>
        <v/>
      </c>
      <c r="BH242" t="str">
        <f ca="1">IF(AND(ISNUMBER($BH$746),$B$511=1),$BH$746,HLOOKUP(INDIRECT(ADDRESS(2,COLUMN())),OFFSET($BN$2,0,0,ROW()-1,60),ROW()-1,FALSE))</f>
        <v/>
      </c>
      <c r="BI242" t="str">
        <f ca="1">IF(AND(ISNUMBER($BI$746),$B$511=1),$BI$746,HLOOKUP(INDIRECT(ADDRESS(2,COLUMN())),OFFSET($BN$2,0,0,ROW()-1,60),ROW()-1,FALSE))</f>
        <v/>
      </c>
      <c r="BJ242" t="str">
        <f ca="1">IF(AND(ISNUMBER($BJ$746),$B$511=1),$BJ$746,HLOOKUP(INDIRECT(ADDRESS(2,COLUMN())),OFFSET($BN$2,0,0,ROW()-1,60),ROW()-1,FALSE))</f>
        <v/>
      </c>
      <c r="BK242" t="str">
        <f ca="1">IF(AND(ISNUMBER($BK$746),$B$511=1),$BK$746,HLOOKUP(INDIRECT(ADDRESS(2,COLUMN())),OFFSET($BN$2,0,0,ROW()-1,60),ROW()-1,FALSE))</f>
        <v/>
      </c>
      <c r="BL242" t="str">
        <f ca="1">IF(AND(ISNUMBER($BL$746),$B$511=1),$BL$746,HLOOKUP(INDIRECT(ADDRESS(2,COLUMN())),OFFSET($BN$2,0,0,ROW()-1,60),ROW()-1,FALSE))</f>
        <v/>
      </c>
      <c r="BM242" t="str">
        <f ca="1">IF(AND(ISNUMBER($BM$746),$B$511=1),$BM$746,HLOOKUP(INDIRECT(ADDRESS(2,COLUMN())),OFFSET($BN$2,0,0,ROW()-1,60),ROW()-1,FALSE))</f>
        <v/>
      </c>
      <c r="BN242" t="str">
        <f>""</f>
        <v/>
      </c>
      <c r="BO242" t="str">
        <f>""</f>
        <v/>
      </c>
      <c r="BP242" t="str">
        <f>""</f>
        <v/>
      </c>
      <c r="BQ242" t="str">
        <f>""</f>
        <v/>
      </c>
      <c r="BR242" t="str">
        <f>""</f>
        <v/>
      </c>
      <c r="BS242" t="str">
        <f>""</f>
        <v/>
      </c>
      <c r="BT242" t="str">
        <f>""</f>
        <v/>
      </c>
      <c r="BU242" t="str">
        <f>""</f>
        <v/>
      </c>
      <c r="BV242" t="str">
        <f>""</f>
        <v/>
      </c>
      <c r="BW242" t="str">
        <f>""</f>
        <v/>
      </c>
      <c r="BX242" t="str">
        <f>""</f>
        <v/>
      </c>
      <c r="BY242" t="str">
        <f>""</f>
        <v/>
      </c>
      <c r="BZ242" t="str">
        <f>""</f>
        <v/>
      </c>
      <c r="CA242" t="str">
        <f>""</f>
        <v/>
      </c>
      <c r="CB242" t="str">
        <f>""</f>
        <v/>
      </c>
      <c r="CC242" t="str">
        <f>""</f>
        <v/>
      </c>
      <c r="CD242" t="str">
        <f>""</f>
        <v/>
      </c>
      <c r="CE242" t="str">
        <f>""</f>
        <v/>
      </c>
      <c r="CF242" t="str">
        <f>""</f>
        <v/>
      </c>
      <c r="CG242" t="str">
        <f>""</f>
        <v/>
      </c>
      <c r="CH242" t="str">
        <f>""</f>
        <v/>
      </c>
      <c r="CI242" t="str">
        <f>""</f>
        <v/>
      </c>
      <c r="CJ242" t="str">
        <f>""</f>
        <v/>
      </c>
      <c r="CK242" t="str">
        <f>""</f>
        <v/>
      </c>
      <c r="CL242" t="str">
        <f>""</f>
        <v/>
      </c>
      <c r="CM242" t="str">
        <f>""</f>
        <v/>
      </c>
      <c r="CN242" t="str">
        <f>""</f>
        <v/>
      </c>
      <c r="CO242" t="str">
        <f>""</f>
        <v/>
      </c>
      <c r="CP242" t="str">
        <f>""</f>
        <v/>
      </c>
      <c r="CQ242" t="str">
        <f>""</f>
        <v/>
      </c>
      <c r="CR242" t="str">
        <f>""</f>
        <v/>
      </c>
      <c r="CS242" t="str">
        <f>""</f>
        <v/>
      </c>
      <c r="CT242" t="str">
        <f>""</f>
        <v/>
      </c>
      <c r="CU242" t="str">
        <f>""</f>
        <v/>
      </c>
      <c r="CV242" t="str">
        <f>""</f>
        <v/>
      </c>
      <c r="CW242" t="str">
        <f>""</f>
        <v/>
      </c>
      <c r="CX242" t="str">
        <f>""</f>
        <v/>
      </c>
      <c r="CY242" t="str">
        <f>""</f>
        <v/>
      </c>
      <c r="CZ242" t="str">
        <f>""</f>
        <v/>
      </c>
      <c r="DA242" t="str">
        <f>""</f>
        <v/>
      </c>
      <c r="DB242" t="str">
        <f>""</f>
        <v/>
      </c>
      <c r="DC242" t="str">
        <f>""</f>
        <v/>
      </c>
      <c r="DD242" t="str">
        <f>""</f>
        <v/>
      </c>
      <c r="DE242" t="str">
        <f>""</f>
        <v/>
      </c>
      <c r="DF242" t="str">
        <f>""</f>
        <v/>
      </c>
      <c r="DG242" t="str">
        <f>""</f>
        <v/>
      </c>
      <c r="DH242" t="str">
        <f>""</f>
        <v/>
      </c>
      <c r="DI242" t="str">
        <f>""</f>
        <v/>
      </c>
      <c r="DJ242" t="str">
        <f>""</f>
        <v/>
      </c>
      <c r="DK242" t="str">
        <f>""</f>
        <v/>
      </c>
      <c r="DL242" t="str">
        <f>""</f>
        <v/>
      </c>
      <c r="DM242" t="str">
        <f>""</f>
        <v/>
      </c>
      <c r="DN242" t="str">
        <f>""</f>
        <v/>
      </c>
      <c r="DO242" t="str">
        <f>""</f>
        <v/>
      </c>
      <c r="DP242" t="str">
        <f>""</f>
        <v/>
      </c>
      <c r="DQ242" t="str">
        <f>""</f>
        <v/>
      </c>
      <c r="DR242" t="str">
        <f>""</f>
        <v/>
      </c>
      <c r="DS242" t="str">
        <f>""</f>
        <v/>
      </c>
      <c r="DT242" t="str">
        <f>""</f>
        <v/>
      </c>
      <c r="DU242" t="str">
        <f>""</f>
        <v/>
      </c>
    </row>
    <row r="243" spans="1:125" x14ac:dyDescent="0.25">
      <c r="A243" t="str">
        <f>"    Tesla Inc"</f>
        <v xml:space="preserve">    Tesla Inc</v>
      </c>
      <c r="B243" t="str">
        <f>"TSLA US Equity"</f>
        <v>TSLA US Equity</v>
      </c>
      <c r="C243" t="str">
        <f t="shared" si="15"/>
        <v>RR843</v>
      </c>
      <c r="D243" t="str">
        <f t="shared" si="16"/>
        <v>TRAIL_12M_FREE_CASH_FLOW</v>
      </c>
      <c r="E243" t="str">
        <f t="shared" si="17"/>
        <v>Dynamic</v>
      </c>
      <c r="F243" t="str">
        <f ca="1">IF(AND(ISNUMBER($F$747),$B$511=1),$F$747,HLOOKUP(INDIRECT(ADDRESS(2,COLUMN())),OFFSET($BN$2,0,0,ROW()-1,60),ROW()-1,FALSE))</f>
        <v/>
      </c>
      <c r="G243">
        <f ca="1">IF(AND(ISNUMBER($G$747),$B$511=1),$G$747,HLOOKUP(INDIRECT(ADDRESS(2,COLUMN())),OFFSET($BN$2,0,0,ROW()-1,60),ROW()-1,FALSE))</f>
        <v>-2.9220000000000002</v>
      </c>
      <c r="H243">
        <f ca="1">IF(AND(ISNUMBER($H$747),$B$511=1),$H$747,HLOOKUP(INDIRECT(ADDRESS(2,COLUMN())),OFFSET($BN$2,0,0,ROW()-1,60),ROW()-1,FALSE))</f>
        <v>-1189.3019999999999</v>
      </c>
      <c r="I243">
        <f ca="1">IF(AND(ISNUMBER($I$747),$B$511=1),$I$747,HLOOKUP(INDIRECT(ADDRESS(2,COLUMN())),OFFSET($BN$2,0,0,ROW()-1,60),ROW()-1,FALSE))</f>
        <v>-3379.8110000000001</v>
      </c>
      <c r="J243">
        <f ca="1">IF(AND(ISNUMBER($J$747),$B$511=1),$J$747,HLOOKUP(INDIRECT(ADDRESS(2,COLUMN())),OFFSET($BN$2,0,0,ROW()-1,60),ROW()-1,FALSE))</f>
        <v>-3907.0709999999999</v>
      </c>
      <c r="K243">
        <f ca="1">IF(AND(ISNUMBER($K$747),$B$511=1),$K$747,HLOOKUP(INDIRECT(ADDRESS(2,COLUMN())),OFFSET($BN$2,0,0,ROW()-1,60),ROW()-1,FALSE))</f>
        <v>-3475.4679999999998</v>
      </c>
      <c r="L243">
        <f ca="1">IF(AND(ISNUMBER($L$747),$B$511=1),$L$747,HLOOKUP(INDIRECT(ADDRESS(2,COLUMN())),OFFSET($BN$2,0,0,ROW()-1,60),ROW()-1,FALSE))</f>
        <v>-4168.4920000000002</v>
      </c>
      <c r="M243">
        <f ca="1">IF(AND(ISNUMBER($M$747),$B$511=1),$M$747,HLOOKUP(INDIRECT(ADDRESS(2,COLUMN())),OFFSET($BN$2,0,0,ROW()-1,60),ROW()-1,FALSE))</f>
        <v>-2575.4580000000001</v>
      </c>
      <c r="N243">
        <f ca="1">IF(AND(ISNUMBER($N$747),$B$511=1),$N$747,HLOOKUP(INDIRECT(ADDRESS(2,COLUMN())),OFFSET($BN$2,0,0,ROW()-1,60),ROW()-1,FALSE))</f>
        <v>-1560.6020000000001</v>
      </c>
      <c r="O243">
        <f ca="1">IF(AND(ISNUMBER($O$747),$B$511=1),$O$747,HLOOKUP(INDIRECT(ADDRESS(2,COLUMN())),OFFSET($BN$2,0,0,ROW()-1,60),ROW()-1,FALSE))</f>
        <v>-1404.6310000000001</v>
      </c>
      <c r="P243">
        <f ca="1">IF(AND(ISNUMBER($P$747),$B$511=1),$P$747,HLOOKUP(INDIRECT(ADDRESS(2,COLUMN())),OFFSET($BN$2,0,0,ROW()-1,60),ROW()-1,FALSE))</f>
        <v>-875.88099999999997</v>
      </c>
      <c r="Q243">
        <f ca="1">IF(AND(ISNUMBER($Q$747),$B$511=1),$Q$747,HLOOKUP(INDIRECT(ADDRESS(2,COLUMN())),OFFSET($BN$2,0,0,ROW()-1,60),ROW()-1,FALSE))</f>
        <v>-1647.662</v>
      </c>
      <c r="R243">
        <f ca="1">IF(AND(ISNUMBER($R$747),$B$511=1),$R$747,HLOOKUP(INDIRECT(ADDRESS(2,COLUMN())),OFFSET($BN$2,0,0,ROW()-1,60),ROW()-1,FALSE))</f>
        <v>-2067.9589999999998</v>
      </c>
      <c r="S243">
        <f ca="1">IF(AND(ISNUMBER($S$747),$B$511=1),$S$747,HLOOKUP(INDIRECT(ADDRESS(2,COLUMN())),OFFSET($BN$2,0,0,ROW()-1,60),ROW()-1,FALSE))</f>
        <v>-2159.3490000000002</v>
      </c>
      <c r="T243">
        <f ca="1">IF(AND(ISNUMBER($T$747),$B$511=1),$T$747,HLOOKUP(INDIRECT(ADDRESS(2,COLUMN())),OFFSET($BN$2,0,0,ROW()-1,60),ROW()-1,FALSE))</f>
        <v>-2173.3409999999999</v>
      </c>
      <c r="U243">
        <f ca="1">IF(AND(ISNUMBER($U$747),$B$511=1),$U$747,HLOOKUP(INDIRECT(ADDRESS(2,COLUMN())),OFFSET($BN$2,0,0,ROW()-1,60),ROW()-1,FALSE))</f>
        <v>-1889.769</v>
      </c>
      <c r="V243">
        <f ca="1">IF(AND(ISNUMBER($V$747),$B$511=1),$V$747,HLOOKUP(INDIRECT(ADDRESS(2,COLUMN())),OFFSET($BN$2,0,0,ROW()-1,60),ROW()-1,FALSE))</f>
        <v>-1504.3520000000001</v>
      </c>
      <c r="W243">
        <f ca="1">IF(AND(ISNUMBER($W$747),$B$511=1),$W$747,HLOOKUP(INDIRECT(ADDRESS(2,COLUMN())),OFFSET($BN$2,0,0,ROW()-1,60),ROW()-1,FALSE))</f>
        <v>-1027.222</v>
      </c>
      <c r="X243">
        <f ca="1">IF(AND(ISNUMBER($X$747),$B$511=1),$X$747,HLOOKUP(INDIRECT(ADDRESS(2,COLUMN())),OFFSET($BN$2,0,0,ROW()-1,60),ROW()-1,FALSE))</f>
        <v>-527.60599999999999</v>
      </c>
      <c r="Y243">
        <f ca="1">IF(AND(ISNUMBER($Y$747),$B$511=1),$Y$747,HLOOKUP(INDIRECT(ADDRESS(2,COLUMN())),OFFSET($BN$2,0,0,ROW()-1,60),ROW()-1,FALSE))</f>
        <v>-187.05199999999999</v>
      </c>
      <c r="Z243">
        <f ca="1">IF(AND(ISNUMBER($Z$747),$B$511=1),$Z$747,HLOOKUP(INDIRECT(ADDRESS(2,COLUMN())),OFFSET($BN$2,0,0,ROW()-1,60),ROW()-1,FALSE))</f>
        <v>-80.144000000000005</v>
      </c>
      <c r="AA243">
        <f ca="1">IF(AND(ISNUMBER($AA$747),$B$511=1),$AA$747,HLOOKUP(INDIRECT(ADDRESS(2,COLUMN())),OFFSET($BN$2,0,0,ROW()-1,60),ROW()-1,FALSE))</f>
        <v>6.9320000000000004</v>
      </c>
      <c r="AB243">
        <f ca="1">IF(AND(ISNUMBER($AB$747),$B$511=1),$AB$747,HLOOKUP(INDIRECT(ADDRESS(2,COLUMN())),OFFSET($BN$2,0,0,ROW()-1,60),ROW()-1,FALSE))</f>
        <v>-139.16499999999999</v>
      </c>
      <c r="AC243">
        <f ca="1">IF(AND(ISNUMBER($AC$747),$B$511=1),$AC$747,HLOOKUP(INDIRECT(ADDRESS(2,COLUMN())),OFFSET($BN$2,0,0,ROW()-1,60),ROW()-1,FALSE))</f>
        <v>-330.97199999999998</v>
      </c>
      <c r="AD243">
        <f ca="1">IF(AND(ISNUMBER($AD$747),$B$511=1),$AD$747,HLOOKUP(INDIRECT(ADDRESS(2,COLUMN())),OFFSET($BN$2,0,0,ROW()-1,60),ROW()-1,FALSE))</f>
        <v>-380.88299999999998</v>
      </c>
      <c r="AE243">
        <f ca="1">IF(AND(ISNUMBER($AE$747),$B$511=1),$AE$747,HLOOKUP(INDIRECT(ADDRESS(2,COLUMN())),OFFSET($BN$2,0,0,ROW()-1,60),ROW()-1,FALSE))</f>
        <v>-505.30900000000003</v>
      </c>
      <c r="AF243">
        <f ca="1">IF(AND(ISNUMBER($AF$747),$B$511=1),$AF$747,HLOOKUP(INDIRECT(ADDRESS(2,COLUMN())),OFFSET($BN$2,0,0,ROW()-1,60),ROW()-1,FALSE))</f>
        <v>-485.11599999999999</v>
      </c>
      <c r="AG243">
        <f ca="1">IF(AND(ISNUMBER($AG$747),$B$511=1),$AG$747,HLOOKUP(INDIRECT(ADDRESS(2,COLUMN())),OFFSET($BN$2,0,0,ROW()-1,60),ROW()-1,FALSE))</f>
        <v>-412.02699999999999</v>
      </c>
      <c r="AH243">
        <f ca="1">IF(AND(ISNUMBER($AH$747),$B$511=1),$AH$747,HLOOKUP(INDIRECT(ADDRESS(2,COLUMN())),OFFSET($BN$2,0,0,ROW()-1,60),ROW()-1,FALSE))</f>
        <v>-366.56200000000001</v>
      </c>
      <c r="AI243">
        <f ca="1">IF(AND(ISNUMBER($AI$747),$B$511=1),$AI$747,HLOOKUP(INDIRECT(ADDRESS(2,COLUMN())),OFFSET($BN$2,0,0,ROW()-1,60),ROW()-1,FALSE))</f>
        <v>-312.26100000000002</v>
      </c>
      <c r="AJ243">
        <f ca="1">IF(AND(ISNUMBER($AJ$747),$B$511=1),$AJ$747,HLOOKUP(INDIRECT(ADDRESS(2,COLUMN())),OFFSET($BN$2,0,0,ROW()-1,60),ROW()-1,FALSE))</f>
        <v>-282.34199999999998</v>
      </c>
      <c r="AK243">
        <f ca="1">IF(AND(ISNUMBER($AK$747),$B$511=1),$AK$747,HLOOKUP(INDIRECT(ADDRESS(2,COLUMN())),OFFSET($BN$2,0,0,ROW()-1,60),ROW()-1,FALSE))</f>
        <v>-241.25800000000001</v>
      </c>
      <c r="AL243">
        <f ca="1">IF(AND(ISNUMBER($AL$747),$B$511=1),$AL$747,HLOOKUP(INDIRECT(ADDRESS(2,COLUMN())),OFFSET($BN$2,0,0,ROW()-1,60),ROW()-1,FALSE))</f>
        <v>-198.99199999999999</v>
      </c>
      <c r="AM243">
        <f ca="1">IF(AND(ISNUMBER($AM$747),$B$511=1),$AM$747,HLOOKUP(INDIRECT(ADDRESS(2,COLUMN())),OFFSET($BN$2,0,0,ROW()-1,60),ROW()-1,FALSE))</f>
        <v>-168.02</v>
      </c>
      <c r="AN243">
        <f ca="1">IF(AND(ISNUMBER($AN$747),$B$511=1),$AN$747,HLOOKUP(INDIRECT(ADDRESS(2,COLUMN())),OFFSET($BN$2,0,0,ROW()-1,60),ROW()-1,FALSE))</f>
        <v>-151.79400000000001</v>
      </c>
      <c r="AO243" t="str">
        <f ca="1">IF(AND(ISNUMBER($AO$747),$B$511=1),$AO$747,HLOOKUP(INDIRECT(ADDRESS(2,COLUMN())),OFFSET($BN$2,0,0,ROW()-1,60),ROW()-1,FALSE))</f>
        <v/>
      </c>
      <c r="AP243" t="str">
        <f ca="1">IF(AND(ISNUMBER($AP$747),$B$511=1),$AP$747,HLOOKUP(INDIRECT(ADDRESS(2,COLUMN())),OFFSET($BN$2,0,0,ROW()-1,60),ROW()-1,FALSE))</f>
        <v/>
      </c>
      <c r="AQ243" t="str">
        <f ca="1">IF(AND(ISNUMBER($AQ$747),$B$511=1),$AQ$747,HLOOKUP(INDIRECT(ADDRESS(2,COLUMN())),OFFSET($BN$2,0,0,ROW()-1,60),ROW()-1,FALSE))</f>
        <v/>
      </c>
      <c r="AR243" t="str">
        <f ca="1">IF(AND(ISNUMBER($AR$747),$B$511=1),$AR$747,HLOOKUP(INDIRECT(ADDRESS(2,COLUMN())),OFFSET($BN$2,0,0,ROW()-1,60),ROW()-1,FALSE))</f>
        <v/>
      </c>
      <c r="AS243" t="str">
        <f ca="1">IF(AND(ISNUMBER($AS$747),$B$511=1),$AS$747,HLOOKUP(INDIRECT(ADDRESS(2,COLUMN())),OFFSET($BN$2,0,0,ROW()-1,60),ROW()-1,FALSE))</f>
        <v/>
      </c>
      <c r="AT243" t="str">
        <f ca="1">IF(AND(ISNUMBER($AT$747),$B$511=1),$AT$747,HLOOKUP(INDIRECT(ADDRESS(2,COLUMN())),OFFSET($BN$2,0,0,ROW()-1,60),ROW()-1,FALSE))</f>
        <v/>
      </c>
      <c r="AU243" t="str">
        <f ca="1">IF(AND(ISNUMBER($AU$747),$B$511=1),$AU$747,HLOOKUP(INDIRECT(ADDRESS(2,COLUMN())),OFFSET($BN$2,0,0,ROW()-1,60),ROW()-1,FALSE))</f>
        <v/>
      </c>
      <c r="AV243" t="str">
        <f ca="1">IF(AND(ISNUMBER($AV$747),$B$511=1),$AV$747,HLOOKUP(INDIRECT(ADDRESS(2,COLUMN())),OFFSET($BN$2,0,0,ROW()-1,60),ROW()-1,FALSE))</f>
        <v/>
      </c>
      <c r="AW243" t="str">
        <f ca="1">IF(AND(ISNUMBER($AW$747),$B$511=1),$AW$747,HLOOKUP(INDIRECT(ADDRESS(2,COLUMN())),OFFSET($BN$2,0,0,ROW()-1,60),ROW()-1,FALSE))</f>
        <v/>
      </c>
      <c r="AX243" t="str">
        <f ca="1">IF(AND(ISNUMBER($AX$747),$B$511=1),$AX$747,HLOOKUP(INDIRECT(ADDRESS(2,COLUMN())),OFFSET($BN$2,0,0,ROW()-1,60),ROW()-1,FALSE))</f>
        <v/>
      </c>
      <c r="AY243" t="str">
        <f ca="1">IF(AND(ISNUMBER($AY$747),$B$511=1),$AY$747,HLOOKUP(INDIRECT(ADDRESS(2,COLUMN())),OFFSET($BN$2,0,0,ROW()-1,60),ROW()-1,FALSE))</f>
        <v/>
      </c>
      <c r="AZ243" t="str">
        <f ca="1">IF(AND(ISNUMBER($AZ$747),$B$511=1),$AZ$747,HLOOKUP(INDIRECT(ADDRESS(2,COLUMN())),OFFSET($BN$2,0,0,ROW()-1,60),ROW()-1,FALSE))</f>
        <v/>
      </c>
      <c r="BA243" t="str">
        <f ca="1">IF(AND(ISNUMBER($BA$747),$B$511=1),$BA$747,HLOOKUP(INDIRECT(ADDRESS(2,COLUMN())),OFFSET($BN$2,0,0,ROW()-1,60),ROW()-1,FALSE))</f>
        <v/>
      </c>
      <c r="BB243" t="str">
        <f ca="1">IF(AND(ISNUMBER($BB$747),$B$511=1),$BB$747,HLOOKUP(INDIRECT(ADDRESS(2,COLUMN())),OFFSET($BN$2,0,0,ROW()-1,60),ROW()-1,FALSE))</f>
        <v/>
      </c>
      <c r="BC243" t="str">
        <f ca="1">IF(AND(ISNUMBER($BC$747),$B$511=1),$BC$747,HLOOKUP(INDIRECT(ADDRESS(2,COLUMN())),OFFSET($BN$2,0,0,ROW()-1,60),ROW()-1,FALSE))</f>
        <v/>
      </c>
      <c r="BD243" t="str">
        <f ca="1">IF(AND(ISNUMBER($BD$747),$B$511=1),$BD$747,HLOOKUP(INDIRECT(ADDRESS(2,COLUMN())),OFFSET($BN$2,0,0,ROW()-1,60),ROW()-1,FALSE))</f>
        <v/>
      </c>
      <c r="BE243" t="str">
        <f ca="1">IF(AND(ISNUMBER($BE$747),$B$511=1),$BE$747,HLOOKUP(INDIRECT(ADDRESS(2,COLUMN())),OFFSET($BN$2,0,0,ROW()-1,60),ROW()-1,FALSE))</f>
        <v/>
      </c>
      <c r="BF243" t="str">
        <f ca="1">IF(AND(ISNUMBER($BF$747),$B$511=1),$BF$747,HLOOKUP(INDIRECT(ADDRESS(2,COLUMN())),OFFSET($BN$2,0,0,ROW()-1,60),ROW()-1,FALSE))</f>
        <v/>
      </c>
      <c r="BG243" t="str">
        <f ca="1">IF(AND(ISNUMBER($BG$747),$B$511=1),$BG$747,HLOOKUP(INDIRECT(ADDRESS(2,COLUMN())),OFFSET($BN$2,0,0,ROW()-1,60),ROW()-1,FALSE))</f>
        <v/>
      </c>
      <c r="BH243" t="str">
        <f ca="1">IF(AND(ISNUMBER($BH$747),$B$511=1),$BH$747,HLOOKUP(INDIRECT(ADDRESS(2,COLUMN())),OFFSET($BN$2,0,0,ROW()-1,60),ROW()-1,FALSE))</f>
        <v/>
      </c>
      <c r="BI243" t="str">
        <f ca="1">IF(AND(ISNUMBER($BI$747),$B$511=1),$BI$747,HLOOKUP(INDIRECT(ADDRESS(2,COLUMN())),OFFSET($BN$2,0,0,ROW()-1,60),ROW()-1,FALSE))</f>
        <v/>
      </c>
      <c r="BJ243" t="str">
        <f ca="1">IF(AND(ISNUMBER($BJ$747),$B$511=1),$BJ$747,HLOOKUP(INDIRECT(ADDRESS(2,COLUMN())),OFFSET($BN$2,0,0,ROW()-1,60),ROW()-1,FALSE))</f>
        <v/>
      </c>
      <c r="BK243" t="str">
        <f ca="1">IF(AND(ISNUMBER($BK$747),$B$511=1),$BK$747,HLOOKUP(INDIRECT(ADDRESS(2,COLUMN())),OFFSET($BN$2,0,0,ROW()-1,60),ROW()-1,FALSE))</f>
        <v/>
      </c>
      <c r="BL243" t="str">
        <f ca="1">IF(AND(ISNUMBER($BL$747),$B$511=1),$BL$747,HLOOKUP(INDIRECT(ADDRESS(2,COLUMN())),OFFSET($BN$2,0,0,ROW()-1,60),ROW()-1,FALSE))</f>
        <v/>
      </c>
      <c r="BM243" t="str">
        <f ca="1">IF(AND(ISNUMBER($BM$747),$B$511=1),$BM$747,HLOOKUP(INDIRECT(ADDRESS(2,COLUMN())),OFFSET($BN$2,0,0,ROW()-1,60),ROW()-1,FALSE))</f>
        <v/>
      </c>
      <c r="BN243" t="str">
        <f>""</f>
        <v/>
      </c>
      <c r="BO243">
        <f>-2.922</f>
        <v>-2.9220000000000002</v>
      </c>
      <c r="BP243">
        <f>-1189.302</f>
        <v>-1189.3019999999999</v>
      </c>
      <c r="BQ243">
        <f>-3379.811</f>
        <v>-3379.8110000000001</v>
      </c>
      <c r="BR243">
        <f>-3907.071</f>
        <v>-3907.0709999999999</v>
      </c>
      <c r="BS243">
        <f>-3475.468</f>
        <v>-3475.4679999999998</v>
      </c>
      <c r="BT243">
        <f>-4168.492</f>
        <v>-4168.4920000000002</v>
      </c>
      <c r="BU243">
        <f>-2575.458</f>
        <v>-2575.4580000000001</v>
      </c>
      <c r="BV243">
        <f>-1560.602</f>
        <v>-1560.6020000000001</v>
      </c>
      <c r="BW243">
        <f>-1404.631</f>
        <v>-1404.6310000000001</v>
      </c>
      <c r="BX243">
        <f>-875.881</f>
        <v>-875.88099999999997</v>
      </c>
      <c r="BY243">
        <f>-1647.662</f>
        <v>-1647.662</v>
      </c>
      <c r="BZ243">
        <f>-2067.959</f>
        <v>-2067.9589999999998</v>
      </c>
      <c r="CA243">
        <f>-2159.349</f>
        <v>-2159.3490000000002</v>
      </c>
      <c r="CB243">
        <f>-2173.341</f>
        <v>-2173.3409999999999</v>
      </c>
      <c r="CC243">
        <f>-1889.769</f>
        <v>-1889.769</v>
      </c>
      <c r="CD243">
        <f>-1504.352</f>
        <v>-1504.3520000000001</v>
      </c>
      <c r="CE243">
        <f>-1027.222</f>
        <v>-1027.222</v>
      </c>
      <c r="CF243">
        <f>-527.606</f>
        <v>-527.60599999999999</v>
      </c>
      <c r="CG243">
        <f>-187.052</f>
        <v>-187.05199999999999</v>
      </c>
      <c r="CH243">
        <f>-80.144</f>
        <v>-80.144000000000005</v>
      </c>
      <c r="CI243">
        <f>6.932</f>
        <v>6.9320000000000004</v>
      </c>
      <c r="CJ243">
        <f>-139.165</f>
        <v>-139.16499999999999</v>
      </c>
      <c r="CK243">
        <f>-330.972</f>
        <v>-330.97199999999998</v>
      </c>
      <c r="CL243">
        <f>-380.883</f>
        <v>-380.88299999999998</v>
      </c>
      <c r="CM243">
        <f>-505.309</f>
        <v>-505.30900000000003</v>
      </c>
      <c r="CN243">
        <f>-485.116</f>
        <v>-485.11599999999999</v>
      </c>
      <c r="CO243">
        <f>-412.027</f>
        <v>-412.02699999999999</v>
      </c>
      <c r="CP243">
        <f>-366.562</f>
        <v>-366.56200000000001</v>
      </c>
      <c r="CQ243">
        <f>-312.261</f>
        <v>-312.26100000000002</v>
      </c>
      <c r="CR243">
        <f>-282.342</f>
        <v>-282.34199999999998</v>
      </c>
      <c r="CS243">
        <f>-241.258</f>
        <v>-241.25800000000001</v>
      </c>
      <c r="CT243">
        <f>-198.992</f>
        <v>-198.99199999999999</v>
      </c>
      <c r="CU243">
        <f>-168.02</f>
        <v>-168.02</v>
      </c>
      <c r="CV243">
        <f>-151.794</f>
        <v>-151.79400000000001</v>
      </c>
      <c r="CW243" t="str">
        <f>""</f>
        <v/>
      </c>
      <c r="CX243" t="str">
        <f>""</f>
        <v/>
      </c>
      <c r="CY243" t="str">
        <f>""</f>
        <v/>
      </c>
      <c r="CZ243" t="str">
        <f>""</f>
        <v/>
      </c>
      <c r="DA243" t="str">
        <f>""</f>
        <v/>
      </c>
      <c r="DB243" t="str">
        <f>""</f>
        <v/>
      </c>
      <c r="DC243" t="str">
        <f>""</f>
        <v/>
      </c>
      <c r="DD243" t="str">
        <f>""</f>
        <v/>
      </c>
      <c r="DE243" t="str">
        <f>""</f>
        <v/>
      </c>
      <c r="DF243" t="str">
        <f>""</f>
        <v/>
      </c>
      <c r="DG243" t="str">
        <f>""</f>
        <v/>
      </c>
      <c r="DH243" t="str">
        <f>""</f>
        <v/>
      </c>
      <c r="DI243" t="str">
        <f>""</f>
        <v/>
      </c>
      <c r="DJ243" t="str">
        <f>""</f>
        <v/>
      </c>
      <c r="DK243" t="str">
        <f>""</f>
        <v/>
      </c>
      <c r="DL243" t="str">
        <f>""</f>
        <v/>
      </c>
      <c r="DM243" t="str">
        <f>""</f>
        <v/>
      </c>
      <c r="DN243" t="str">
        <f>""</f>
        <v/>
      </c>
      <c r="DO243" t="str">
        <f>""</f>
        <v/>
      </c>
      <c r="DP243" t="str">
        <f>""</f>
        <v/>
      </c>
      <c r="DQ243" t="str">
        <f>""</f>
        <v/>
      </c>
      <c r="DR243" t="str">
        <f>""</f>
        <v/>
      </c>
      <c r="DS243" t="str">
        <f>""</f>
        <v/>
      </c>
      <c r="DT243" t="str">
        <f>""</f>
        <v/>
      </c>
      <c r="DU243" t="str">
        <f>""</f>
        <v/>
      </c>
    </row>
    <row r="244" spans="1:125" x14ac:dyDescent="0.25">
      <c r="A244" t="str">
        <f>"    Tianjin Faw Xiali Automobile Co Ltd"</f>
        <v xml:space="preserve">    Tianjin Faw Xiali Automobile Co Ltd</v>
      </c>
      <c r="B244" t="str">
        <f>"000927 CH Equity"</f>
        <v>000927 CH Equity</v>
      </c>
      <c r="C244" t="str">
        <f t="shared" si="15"/>
        <v>RR843</v>
      </c>
      <c r="D244" t="str">
        <f t="shared" si="16"/>
        <v>TRAIL_12M_FREE_CASH_FLOW</v>
      </c>
      <c r="E244" t="str">
        <f t="shared" si="17"/>
        <v>Dynamic</v>
      </c>
      <c r="F244" t="str">
        <f ca="1">IF(AND(ISNUMBER($F$748),$B$511=1),$F$748,HLOOKUP(INDIRECT(ADDRESS(2,COLUMN())),OFFSET($BN$2,0,0,ROW()-1,60),ROW()-1,FALSE))</f>
        <v/>
      </c>
      <c r="G244" t="str">
        <f ca="1">IF(AND(ISNUMBER($G$748),$B$511=1),$G$748,HLOOKUP(INDIRECT(ADDRESS(2,COLUMN())),OFFSET($BN$2,0,0,ROW()-1,60),ROW()-1,FALSE))</f>
        <v/>
      </c>
      <c r="H244" t="str">
        <f ca="1">IF(AND(ISNUMBER($H$748),$B$511=1),$H$748,HLOOKUP(INDIRECT(ADDRESS(2,COLUMN())),OFFSET($BN$2,0,0,ROW()-1,60),ROW()-1,FALSE))</f>
        <v/>
      </c>
      <c r="I244" t="str">
        <f ca="1">IF(AND(ISNUMBER($I$748),$B$511=1),$I$748,HLOOKUP(INDIRECT(ADDRESS(2,COLUMN())),OFFSET($BN$2,0,0,ROW()-1,60),ROW()-1,FALSE))</f>
        <v/>
      </c>
      <c r="J244">
        <f ca="1">IF(AND(ISNUMBER($J$748),$B$511=1),$J$748,HLOOKUP(INDIRECT(ADDRESS(2,COLUMN())),OFFSET($BN$2,0,0,ROW()-1,60),ROW()-1,FALSE))</f>
        <v>-271.49027319999999</v>
      </c>
      <c r="K244">
        <f ca="1">IF(AND(ISNUMBER($K$748),$B$511=1),$K$748,HLOOKUP(INDIRECT(ADDRESS(2,COLUMN())),OFFSET($BN$2,0,0,ROW()-1,60),ROW()-1,FALSE))</f>
        <v>-275.78132440000002</v>
      </c>
      <c r="L244">
        <f ca="1">IF(AND(ISNUMBER($L$748),$B$511=1),$L$748,HLOOKUP(INDIRECT(ADDRESS(2,COLUMN())),OFFSET($BN$2,0,0,ROW()-1,60),ROW()-1,FALSE))</f>
        <v>-277.41514619999998</v>
      </c>
      <c r="M244">
        <f ca="1">IF(AND(ISNUMBER($M$748),$B$511=1),$M$748,HLOOKUP(INDIRECT(ADDRESS(2,COLUMN())),OFFSET($BN$2,0,0,ROW()-1,60),ROW()-1,FALSE))</f>
        <v>-329.11331730000001</v>
      </c>
      <c r="N244">
        <f ca="1">IF(AND(ISNUMBER($N$748),$B$511=1),$N$748,HLOOKUP(INDIRECT(ADDRESS(2,COLUMN())),OFFSET($BN$2,0,0,ROW()-1,60),ROW()-1,FALSE))</f>
        <v>-266.25029740000002</v>
      </c>
      <c r="O244">
        <f ca="1">IF(AND(ISNUMBER($O$748),$B$511=1),$O$748,HLOOKUP(INDIRECT(ADDRESS(2,COLUMN())),OFFSET($BN$2,0,0,ROW()-1,60),ROW()-1,FALSE))</f>
        <v>-280.83943069999998</v>
      </c>
      <c r="P244">
        <f ca="1">IF(AND(ISNUMBER($P$748),$B$511=1),$P$748,HLOOKUP(INDIRECT(ADDRESS(2,COLUMN())),OFFSET($BN$2,0,0,ROW()-1,60),ROW()-1,FALSE))</f>
        <v>-290.2594886</v>
      </c>
      <c r="Q244">
        <f ca="1">IF(AND(ISNUMBER($Q$748),$B$511=1),$Q$748,HLOOKUP(INDIRECT(ADDRESS(2,COLUMN())),OFFSET($BN$2,0,0,ROW()-1,60),ROW()-1,FALSE))</f>
        <v>-297.9313042</v>
      </c>
      <c r="R244">
        <f ca="1">IF(AND(ISNUMBER($R$748),$B$511=1),$R$748,HLOOKUP(INDIRECT(ADDRESS(2,COLUMN())),OFFSET($BN$2,0,0,ROW()-1,60),ROW()-1,FALSE))</f>
        <v>-338.6236419</v>
      </c>
      <c r="S244">
        <f ca="1">IF(AND(ISNUMBER($S$748),$B$511=1),$S$748,HLOOKUP(INDIRECT(ADDRESS(2,COLUMN())),OFFSET($BN$2,0,0,ROW()-1,60),ROW()-1,FALSE))</f>
        <v>-275.77903079999999</v>
      </c>
      <c r="T244">
        <f ca="1">IF(AND(ISNUMBER($T$748),$B$511=1),$T$748,HLOOKUP(INDIRECT(ADDRESS(2,COLUMN())),OFFSET($BN$2,0,0,ROW()-1,60),ROW()-1,FALSE))</f>
        <v>-196.69505530000001</v>
      </c>
      <c r="U244">
        <f ca="1">IF(AND(ISNUMBER($U$748),$B$511=1),$U$748,HLOOKUP(INDIRECT(ADDRESS(2,COLUMN())),OFFSET($BN$2,0,0,ROW()-1,60),ROW()-1,FALSE))</f>
        <v>-169.76678620000001</v>
      </c>
      <c r="V244">
        <f ca="1">IF(AND(ISNUMBER($V$748),$B$511=1),$V$748,HLOOKUP(INDIRECT(ADDRESS(2,COLUMN())),OFFSET($BN$2,0,0,ROW()-1,60),ROW()-1,FALSE))</f>
        <v>-84.55204956</v>
      </c>
      <c r="W244">
        <f ca="1">IF(AND(ISNUMBER($W$748),$B$511=1),$W$748,HLOOKUP(INDIRECT(ADDRESS(2,COLUMN())),OFFSET($BN$2,0,0,ROW()-1,60),ROW()-1,FALSE))</f>
        <v>-116.51867110000001</v>
      </c>
      <c r="X244">
        <f ca="1">IF(AND(ISNUMBER($X$748),$B$511=1),$X$748,HLOOKUP(INDIRECT(ADDRESS(2,COLUMN())),OFFSET($BN$2,0,0,ROW()-1,60),ROW()-1,FALSE))</f>
        <v>-139.04453219999999</v>
      </c>
      <c r="Y244">
        <f ca="1">IF(AND(ISNUMBER($Y$748),$B$511=1),$Y$748,HLOOKUP(INDIRECT(ADDRESS(2,COLUMN())),OFFSET($BN$2,0,0,ROW()-1,60),ROW()-1,FALSE))</f>
        <v>-224.98766209999999</v>
      </c>
      <c r="Z244">
        <f ca="1">IF(AND(ISNUMBER($Z$748),$B$511=1),$Z$748,HLOOKUP(INDIRECT(ADDRESS(2,COLUMN())),OFFSET($BN$2,0,0,ROW()-1,60),ROW()-1,FALSE))</f>
        <v>-133.98413769999999</v>
      </c>
      <c r="AA244">
        <f ca="1">IF(AND(ISNUMBER($AA$748),$B$511=1),$AA$748,HLOOKUP(INDIRECT(ADDRESS(2,COLUMN())),OFFSET($BN$2,0,0,ROW()-1,60),ROW()-1,FALSE))</f>
        <v>-95.707263119999993</v>
      </c>
      <c r="AB244">
        <f ca="1">IF(AND(ISNUMBER($AB$748),$B$511=1),$AB$748,HLOOKUP(INDIRECT(ADDRESS(2,COLUMN())),OFFSET($BN$2,0,0,ROW()-1,60),ROW()-1,FALSE))</f>
        <v>-51.338177880000003</v>
      </c>
      <c r="AC244">
        <f ca="1">IF(AND(ISNUMBER($AC$748),$B$511=1),$AC$748,HLOOKUP(INDIRECT(ADDRESS(2,COLUMN())),OFFSET($BN$2,0,0,ROW()-1,60),ROW()-1,FALSE))</f>
        <v>29.1684059</v>
      </c>
      <c r="AD244">
        <f ca="1">IF(AND(ISNUMBER($AD$748),$B$511=1),$AD$748,HLOOKUP(INDIRECT(ADDRESS(2,COLUMN())),OFFSET($BN$2,0,0,ROW()-1,60),ROW()-1,FALSE))</f>
        <v>-0.23852242500000001</v>
      </c>
      <c r="AE244">
        <f ca="1">IF(AND(ISNUMBER($AE$748),$B$511=1),$AE$748,HLOOKUP(INDIRECT(ADDRESS(2,COLUMN())),OFFSET($BN$2,0,0,ROW()-1,60),ROW()-1,FALSE))</f>
        <v>-24.71982306</v>
      </c>
      <c r="AF244">
        <f ca="1">IF(AND(ISNUMBER($AF$748),$B$511=1),$AF$748,HLOOKUP(INDIRECT(ADDRESS(2,COLUMN())),OFFSET($BN$2,0,0,ROW()-1,60),ROW()-1,FALSE))</f>
        <v>-84.512413460000005</v>
      </c>
      <c r="AG244">
        <f ca="1">IF(AND(ISNUMBER($AG$748),$B$511=1),$AG$748,HLOOKUP(INDIRECT(ADDRESS(2,COLUMN())),OFFSET($BN$2,0,0,ROW()-1,60),ROW()-1,FALSE))</f>
        <v>-111.84228589999999</v>
      </c>
      <c r="AH244">
        <f ca="1">IF(AND(ISNUMBER($AH$748),$B$511=1),$AH$748,HLOOKUP(INDIRECT(ADDRESS(2,COLUMN())),OFFSET($BN$2,0,0,ROW()-1,60),ROW()-1,FALSE))</f>
        <v>-53.44704582</v>
      </c>
      <c r="AI244">
        <f ca="1">IF(AND(ISNUMBER($AI$748),$B$511=1),$AI$748,HLOOKUP(INDIRECT(ADDRESS(2,COLUMN())),OFFSET($BN$2,0,0,ROW()-1,60),ROW()-1,FALSE))</f>
        <v>-51.942479849999998</v>
      </c>
      <c r="AJ244">
        <f ca="1">IF(AND(ISNUMBER($AJ$748),$B$511=1),$AJ$748,HLOOKUP(INDIRECT(ADDRESS(2,COLUMN())),OFFSET($BN$2,0,0,ROW()-1,60),ROW()-1,FALSE))</f>
        <v>-113.73712399999999</v>
      </c>
      <c r="AK244">
        <f ca="1">IF(AND(ISNUMBER($AK$748),$B$511=1),$AK$748,HLOOKUP(INDIRECT(ADDRESS(2,COLUMN())),OFFSET($BN$2,0,0,ROW()-1,60),ROW()-1,FALSE))</f>
        <v>-128.12234040000001</v>
      </c>
      <c r="AL244">
        <f ca="1">IF(AND(ISNUMBER($AL$748),$B$511=1),$AL$748,HLOOKUP(INDIRECT(ADDRESS(2,COLUMN())),OFFSET($BN$2,0,0,ROW()-1,60),ROW()-1,FALSE))</f>
        <v>-251.1316645</v>
      </c>
      <c r="AM244">
        <f ca="1">IF(AND(ISNUMBER($AM$748),$B$511=1),$AM$748,HLOOKUP(INDIRECT(ADDRESS(2,COLUMN())),OFFSET($BN$2,0,0,ROW()-1,60),ROW()-1,FALSE))</f>
        <v>-193.20164840000001</v>
      </c>
      <c r="AN244">
        <f ca="1">IF(AND(ISNUMBER($AN$748),$B$511=1),$AN$748,HLOOKUP(INDIRECT(ADDRESS(2,COLUMN())),OFFSET($BN$2,0,0,ROW()-1,60),ROW()-1,FALSE))</f>
        <v>-155.1925263</v>
      </c>
      <c r="AO244">
        <f ca="1">IF(AND(ISNUMBER($AO$748),$B$511=1),$AO$748,HLOOKUP(INDIRECT(ADDRESS(2,COLUMN())),OFFSET($BN$2,0,0,ROW()-1,60),ROW()-1,FALSE))</f>
        <v>15.45321188</v>
      </c>
      <c r="AP244">
        <f ca="1">IF(AND(ISNUMBER($AP$748),$B$511=1),$AP$748,HLOOKUP(INDIRECT(ADDRESS(2,COLUMN())),OFFSET($BN$2,0,0,ROW()-1,60),ROW()-1,FALSE))</f>
        <v>15.5182912</v>
      </c>
      <c r="AQ244">
        <f ca="1">IF(AND(ISNUMBER($AQ$748),$B$511=1),$AQ$748,HLOOKUP(INDIRECT(ADDRESS(2,COLUMN())),OFFSET($BN$2,0,0,ROW()-1,60),ROW()-1,FALSE))</f>
        <v>8.0005900170000004</v>
      </c>
      <c r="AR244">
        <f ca="1">IF(AND(ISNUMBER($AR$748),$B$511=1),$AR$748,HLOOKUP(INDIRECT(ADDRESS(2,COLUMN())),OFFSET($BN$2,0,0,ROW()-1,60),ROW()-1,FALSE))</f>
        <v>79.774978349999998</v>
      </c>
      <c r="AS244">
        <f ca="1">IF(AND(ISNUMBER($AS$748),$B$511=1),$AS$748,HLOOKUP(INDIRECT(ADDRESS(2,COLUMN())),OFFSET($BN$2,0,0,ROW()-1,60),ROW()-1,FALSE))</f>
        <v>-83.920968959999996</v>
      </c>
      <c r="AT244">
        <f ca="1">IF(AND(ISNUMBER($AT$748),$B$511=1),$AT$748,HLOOKUP(INDIRECT(ADDRESS(2,COLUMN())),OFFSET($BN$2,0,0,ROW()-1,60),ROW()-1,FALSE))</f>
        <v>-89.307892289999998</v>
      </c>
      <c r="AU244">
        <f ca="1">IF(AND(ISNUMBER($AU$748),$B$511=1),$AU$748,HLOOKUP(INDIRECT(ADDRESS(2,COLUMN())),OFFSET($BN$2,0,0,ROW()-1,60),ROW()-1,FALSE))</f>
        <v>-89.804706080000003</v>
      </c>
      <c r="AV244">
        <f ca="1">IF(AND(ISNUMBER($AV$748),$B$511=1),$AV$748,HLOOKUP(INDIRECT(ADDRESS(2,COLUMN())),OFFSET($BN$2,0,0,ROW()-1,60),ROW()-1,FALSE))</f>
        <v>-82.985604910000006</v>
      </c>
      <c r="AW244">
        <f ca="1">IF(AND(ISNUMBER($AW$748),$B$511=1),$AW$748,HLOOKUP(INDIRECT(ADDRESS(2,COLUMN())),OFFSET($BN$2,0,0,ROW()-1,60),ROW()-1,FALSE))</f>
        <v>-37.175300710000002</v>
      </c>
      <c r="AX244">
        <f ca="1">IF(AND(ISNUMBER($AX$748),$B$511=1),$AX$748,HLOOKUP(INDIRECT(ADDRESS(2,COLUMN())),OFFSET($BN$2,0,0,ROW()-1,60),ROW()-1,FALSE))</f>
        <v>-2.723843478</v>
      </c>
      <c r="AY244">
        <f ca="1">IF(AND(ISNUMBER($AY$748),$B$511=1),$AY$748,HLOOKUP(INDIRECT(ADDRESS(2,COLUMN())),OFFSET($BN$2,0,0,ROW()-1,60),ROW()-1,FALSE))</f>
        <v>-4.5196247200000004</v>
      </c>
      <c r="AZ244">
        <f ca="1">IF(AND(ISNUMBER($AZ$748),$B$511=1),$AZ$748,HLOOKUP(INDIRECT(ADDRESS(2,COLUMN())),OFFSET($BN$2,0,0,ROW()-1,60),ROW()-1,FALSE))</f>
        <v>-10.966770479999999</v>
      </c>
      <c r="BA244">
        <f ca="1">IF(AND(ISNUMBER($BA$748),$B$511=1),$BA$748,HLOOKUP(INDIRECT(ADDRESS(2,COLUMN())),OFFSET($BN$2,0,0,ROW()-1,60),ROW()-1,FALSE))</f>
        <v>132.44030910000001</v>
      </c>
      <c r="BB244">
        <f ca="1">IF(AND(ISNUMBER($BB$748),$B$511=1),$BB$748,HLOOKUP(INDIRECT(ADDRESS(2,COLUMN())),OFFSET($BN$2,0,0,ROW()-1,60),ROW()-1,FALSE))</f>
        <v>154.8660558</v>
      </c>
      <c r="BC244">
        <f ca="1">IF(AND(ISNUMBER($BC$748),$B$511=1),$BC$748,HLOOKUP(INDIRECT(ADDRESS(2,COLUMN())),OFFSET($BN$2,0,0,ROW()-1,60),ROW()-1,FALSE))</f>
        <v>203.36343429999999</v>
      </c>
      <c r="BD244">
        <f ca="1">IF(AND(ISNUMBER($BD$748),$B$511=1),$BD$748,HLOOKUP(INDIRECT(ADDRESS(2,COLUMN())),OFFSET($BN$2,0,0,ROW()-1,60),ROW()-1,FALSE))</f>
        <v>206.1142346</v>
      </c>
      <c r="BE244">
        <f ca="1">IF(AND(ISNUMBER($BE$748),$B$511=1),$BE$748,HLOOKUP(INDIRECT(ADDRESS(2,COLUMN())),OFFSET($BN$2,0,0,ROW()-1,60),ROW()-1,FALSE))</f>
        <v>137.12046900000001</v>
      </c>
      <c r="BF244">
        <f ca="1">IF(AND(ISNUMBER($BF$748),$B$511=1),$BF$748,HLOOKUP(INDIRECT(ADDRESS(2,COLUMN())),OFFSET($BN$2,0,0,ROW()-1,60),ROW()-1,FALSE))</f>
        <v>118.3919975</v>
      </c>
      <c r="BG244">
        <f ca="1">IF(AND(ISNUMBER($BG$748),$B$511=1),$BG$748,HLOOKUP(INDIRECT(ADDRESS(2,COLUMN())),OFFSET($BN$2,0,0,ROW()-1,60),ROW()-1,FALSE))</f>
        <v>127.3076552</v>
      </c>
      <c r="BH244">
        <f ca="1">IF(AND(ISNUMBER($BH$748),$B$511=1),$BH$748,HLOOKUP(INDIRECT(ADDRESS(2,COLUMN())),OFFSET($BN$2,0,0,ROW()-1,60),ROW()-1,FALSE))</f>
        <v>122.8997337</v>
      </c>
      <c r="BI244">
        <f ca="1">IF(AND(ISNUMBER($BI$748),$B$511=1),$BI$748,HLOOKUP(INDIRECT(ADDRESS(2,COLUMN())),OFFSET($BN$2,0,0,ROW()-1,60),ROW()-1,FALSE))</f>
        <v>84.237018169999999</v>
      </c>
      <c r="BJ244">
        <f ca="1">IF(AND(ISNUMBER($BJ$748),$B$511=1),$BJ$748,HLOOKUP(INDIRECT(ADDRESS(2,COLUMN())),OFFSET($BN$2,0,0,ROW()-1,60),ROW()-1,FALSE))</f>
        <v>27.823025560000001</v>
      </c>
      <c r="BK244">
        <f ca="1">IF(AND(ISNUMBER($BK$748),$B$511=1),$BK$748,HLOOKUP(INDIRECT(ADDRESS(2,COLUMN())),OFFSET($BN$2,0,0,ROW()-1,60),ROW()-1,FALSE))</f>
        <v>0.49425018399999998</v>
      </c>
      <c r="BL244">
        <f ca="1">IF(AND(ISNUMBER($BL$748),$B$511=1),$BL$748,HLOOKUP(INDIRECT(ADDRESS(2,COLUMN())),OFFSET($BN$2,0,0,ROW()-1,60),ROW()-1,FALSE))</f>
        <v>-49.362042690000003</v>
      </c>
      <c r="BM244">
        <f ca="1">IF(AND(ISNUMBER($BM$748),$B$511=1),$BM$748,HLOOKUP(INDIRECT(ADDRESS(2,COLUMN())),OFFSET($BN$2,0,0,ROW()-1,60),ROW()-1,FALSE))</f>
        <v>-7.2736457000000003</v>
      </c>
      <c r="BN244" t="str">
        <f>""</f>
        <v/>
      </c>
      <c r="BO244" t="str">
        <f>""</f>
        <v/>
      </c>
      <c r="BP244" t="str">
        <f>""</f>
        <v/>
      </c>
      <c r="BQ244" t="str">
        <f>""</f>
        <v/>
      </c>
      <c r="BR244">
        <f>-271.4902732</f>
        <v>-271.49027319999999</v>
      </c>
      <c r="BS244">
        <f>-275.7813244</f>
        <v>-275.78132440000002</v>
      </c>
      <c r="BT244">
        <f>-277.4151462</f>
        <v>-277.41514619999998</v>
      </c>
      <c r="BU244">
        <f>-329.1133173</f>
        <v>-329.11331730000001</v>
      </c>
      <c r="BV244">
        <f>-266.2502974</f>
        <v>-266.25029740000002</v>
      </c>
      <c r="BW244">
        <f>-280.8394307</f>
        <v>-280.83943069999998</v>
      </c>
      <c r="BX244">
        <f>-290.2594886</f>
        <v>-290.2594886</v>
      </c>
      <c r="BY244">
        <f>-297.9313042</f>
        <v>-297.9313042</v>
      </c>
      <c r="BZ244">
        <f>-338.6236419</f>
        <v>-338.6236419</v>
      </c>
      <c r="CA244">
        <f>-275.7790308</f>
        <v>-275.77903079999999</v>
      </c>
      <c r="CB244">
        <f>-196.6950553</f>
        <v>-196.69505530000001</v>
      </c>
      <c r="CC244">
        <f>-169.7667862</f>
        <v>-169.76678620000001</v>
      </c>
      <c r="CD244">
        <f>-84.55204956</f>
        <v>-84.55204956</v>
      </c>
      <c r="CE244">
        <f>-116.5186711</f>
        <v>-116.51867110000001</v>
      </c>
      <c r="CF244">
        <f>-139.0445322</f>
        <v>-139.04453219999999</v>
      </c>
      <c r="CG244">
        <f>-224.9876621</f>
        <v>-224.98766209999999</v>
      </c>
      <c r="CH244">
        <f>-133.9841377</f>
        <v>-133.98413769999999</v>
      </c>
      <c r="CI244">
        <f>-95.70726312</f>
        <v>-95.707263119999993</v>
      </c>
      <c r="CJ244">
        <f>-51.33817788</f>
        <v>-51.338177880000003</v>
      </c>
      <c r="CK244">
        <f>29.1684059</f>
        <v>29.1684059</v>
      </c>
      <c r="CL244">
        <f>-0.238522425</f>
        <v>-0.23852242500000001</v>
      </c>
      <c r="CM244">
        <f>-24.71982306</f>
        <v>-24.71982306</v>
      </c>
      <c r="CN244">
        <f>-84.51241346</f>
        <v>-84.512413460000005</v>
      </c>
      <c r="CO244">
        <f>-111.8422859</f>
        <v>-111.84228589999999</v>
      </c>
      <c r="CP244">
        <f>-53.44704582</f>
        <v>-53.44704582</v>
      </c>
      <c r="CQ244">
        <f>-51.94247985</f>
        <v>-51.942479849999998</v>
      </c>
      <c r="CR244">
        <f>-113.737124</f>
        <v>-113.73712399999999</v>
      </c>
      <c r="CS244">
        <f>-128.1223404</f>
        <v>-128.12234040000001</v>
      </c>
      <c r="CT244">
        <f>-251.1316645</f>
        <v>-251.1316645</v>
      </c>
      <c r="CU244">
        <f>-193.2016484</f>
        <v>-193.20164840000001</v>
      </c>
      <c r="CV244">
        <f>-155.1925263</f>
        <v>-155.1925263</v>
      </c>
      <c r="CW244">
        <f>15.45321188</f>
        <v>15.45321188</v>
      </c>
      <c r="CX244">
        <f>15.5182912</f>
        <v>15.5182912</v>
      </c>
      <c r="CY244">
        <f>8.000590017</f>
        <v>8.0005900170000004</v>
      </c>
      <c r="CZ244">
        <f>79.77497835</f>
        <v>79.774978349999998</v>
      </c>
      <c r="DA244">
        <f>-83.92096896</f>
        <v>-83.920968959999996</v>
      </c>
      <c r="DB244">
        <f>-89.30789229</f>
        <v>-89.307892289999998</v>
      </c>
      <c r="DC244">
        <f>-89.80470608</f>
        <v>-89.804706080000003</v>
      </c>
      <c r="DD244">
        <f>-82.98560491</f>
        <v>-82.985604910000006</v>
      </c>
      <c r="DE244">
        <f>-37.17530071</f>
        <v>-37.175300710000002</v>
      </c>
      <c r="DF244">
        <f>-2.723843478</f>
        <v>-2.723843478</v>
      </c>
      <c r="DG244">
        <f>-4.51962472</f>
        <v>-4.5196247200000004</v>
      </c>
      <c r="DH244">
        <f>-10.96677048</f>
        <v>-10.966770479999999</v>
      </c>
      <c r="DI244">
        <f>132.4403091</f>
        <v>132.44030910000001</v>
      </c>
      <c r="DJ244">
        <f>154.8660558</f>
        <v>154.8660558</v>
      </c>
      <c r="DK244">
        <f>203.3634343</f>
        <v>203.36343429999999</v>
      </c>
      <c r="DL244">
        <f>206.1142346</f>
        <v>206.1142346</v>
      </c>
      <c r="DM244">
        <f>137.120469</f>
        <v>137.12046900000001</v>
      </c>
      <c r="DN244">
        <f>118.3919975</f>
        <v>118.3919975</v>
      </c>
      <c r="DO244">
        <f>127.3076552</f>
        <v>127.3076552</v>
      </c>
      <c r="DP244">
        <f>122.8997337</f>
        <v>122.8997337</v>
      </c>
      <c r="DQ244">
        <f>84.23701817</f>
        <v>84.237018169999999</v>
      </c>
      <c r="DR244">
        <f>27.82302556</f>
        <v>27.823025560000001</v>
      </c>
      <c r="DS244">
        <f>0.494250184</f>
        <v>0.49425018399999998</v>
      </c>
      <c r="DT244">
        <f>-49.36204269</f>
        <v>-49.362042690000003</v>
      </c>
      <c r="DU244">
        <f>-7.2736457</f>
        <v>-7.2736457000000003</v>
      </c>
    </row>
    <row r="245" spans="1:125" x14ac:dyDescent="0.25">
      <c r="A245" t="str">
        <f>"    Tofas Turk Otomobil Fabrikasi AS"</f>
        <v xml:space="preserve">    Tofas Turk Otomobil Fabrikasi AS</v>
      </c>
      <c r="B245" t="str">
        <f>"TOASOTRY EO Equity"</f>
        <v>TOASOTRY EO Equity</v>
      </c>
      <c r="C245" t="str">
        <f t="shared" si="15"/>
        <v>RR843</v>
      </c>
      <c r="D245" t="str">
        <f t="shared" si="16"/>
        <v>TRAIL_12M_FREE_CASH_FLOW</v>
      </c>
      <c r="E245" t="str">
        <f t="shared" si="17"/>
        <v>Dynamic</v>
      </c>
      <c r="F245" t="str">
        <f ca="1">IF(AND(ISNUMBER($F$749),$B$511=1),$F$749,HLOOKUP(INDIRECT(ADDRESS(2,COLUMN())),OFFSET($BN$2,0,0,ROW()-1,60),ROW()-1,FALSE))</f>
        <v/>
      </c>
      <c r="G245">
        <f ca="1">IF(AND(ISNUMBER($G$749),$B$511=1),$G$749,HLOOKUP(INDIRECT(ADDRESS(2,COLUMN())),OFFSET($BN$2,0,0,ROW()-1,60),ROW()-1,FALSE))</f>
        <v>223.06324799999999</v>
      </c>
      <c r="H245">
        <f ca="1">IF(AND(ISNUMBER($H$749),$B$511=1),$H$749,HLOOKUP(INDIRECT(ADDRESS(2,COLUMN())),OFFSET($BN$2,0,0,ROW()-1,60),ROW()-1,FALSE))</f>
        <v>-24.011538380000001</v>
      </c>
      <c r="I245">
        <f ca="1">IF(AND(ISNUMBER($I$749),$B$511=1),$I$749,HLOOKUP(INDIRECT(ADDRESS(2,COLUMN())),OFFSET($BN$2,0,0,ROW()-1,60),ROW()-1,FALSE))</f>
        <v>293.76469350000002</v>
      </c>
      <c r="J245">
        <f ca="1">IF(AND(ISNUMBER($J$749),$B$511=1),$J$749,HLOOKUP(INDIRECT(ADDRESS(2,COLUMN())),OFFSET($BN$2,0,0,ROW()-1,60),ROW()-1,FALSE))</f>
        <v>255.27032120000001</v>
      </c>
      <c r="K245">
        <f ca="1">IF(AND(ISNUMBER($K$749),$B$511=1),$K$749,HLOOKUP(INDIRECT(ADDRESS(2,COLUMN())),OFFSET($BN$2,0,0,ROW()-1,60),ROW()-1,FALSE))</f>
        <v>209.98859730000001</v>
      </c>
      <c r="L245">
        <f ca="1">IF(AND(ISNUMBER($L$749),$B$511=1),$L$749,HLOOKUP(INDIRECT(ADDRESS(2,COLUMN())),OFFSET($BN$2,0,0,ROW()-1,60),ROW()-1,FALSE))</f>
        <v>465.9048884</v>
      </c>
      <c r="M245">
        <f ca="1">IF(AND(ISNUMBER($M$749),$B$511=1),$M$749,HLOOKUP(INDIRECT(ADDRESS(2,COLUMN())),OFFSET($BN$2,0,0,ROW()-1,60),ROW()-1,FALSE))</f>
        <v>476.68311670000003</v>
      </c>
      <c r="N245">
        <f ca="1">IF(AND(ISNUMBER($N$749),$B$511=1),$N$749,HLOOKUP(INDIRECT(ADDRESS(2,COLUMN())),OFFSET($BN$2,0,0,ROW()-1,60),ROW()-1,FALSE))</f>
        <v>482.68244349999998</v>
      </c>
      <c r="O245">
        <f ca="1">IF(AND(ISNUMBER($O$749),$B$511=1),$O$749,HLOOKUP(INDIRECT(ADDRESS(2,COLUMN())),OFFSET($BN$2,0,0,ROW()-1,60),ROW()-1,FALSE))</f>
        <v>112.3878521</v>
      </c>
      <c r="P245">
        <f ca="1">IF(AND(ISNUMBER($P$749),$B$511=1),$P$749,HLOOKUP(INDIRECT(ADDRESS(2,COLUMN())),OFFSET($BN$2,0,0,ROW()-1,60),ROW()-1,FALSE))</f>
        <v>20.43471186</v>
      </c>
      <c r="Q245">
        <f ca="1">IF(AND(ISNUMBER($Q$749),$B$511=1),$Q$749,HLOOKUP(INDIRECT(ADDRESS(2,COLUMN())),OFFSET($BN$2,0,0,ROW()-1,60),ROW()-1,FALSE))</f>
        <v>-147.65825340000001</v>
      </c>
      <c r="R245">
        <f ca="1">IF(AND(ISNUMBER($R$749),$B$511=1),$R$749,HLOOKUP(INDIRECT(ADDRESS(2,COLUMN())),OFFSET($BN$2,0,0,ROW()-1,60),ROW()-1,FALSE))</f>
        <v>-21.06848252</v>
      </c>
      <c r="S245">
        <f ca="1">IF(AND(ISNUMBER($S$749),$B$511=1),$S$749,HLOOKUP(INDIRECT(ADDRESS(2,COLUMN())),OFFSET($BN$2,0,0,ROW()-1,60),ROW()-1,FALSE))</f>
        <v>30.305389300000002</v>
      </c>
      <c r="T245">
        <f ca="1">IF(AND(ISNUMBER($T$749),$B$511=1),$T$749,HLOOKUP(INDIRECT(ADDRESS(2,COLUMN())),OFFSET($BN$2,0,0,ROW()-1,60),ROW()-1,FALSE))</f>
        <v>-325.88441460000001</v>
      </c>
      <c r="U245">
        <f ca="1">IF(AND(ISNUMBER($U$749),$B$511=1),$U$749,HLOOKUP(INDIRECT(ADDRESS(2,COLUMN())),OFFSET($BN$2,0,0,ROW()-1,60),ROW()-1,FALSE))</f>
        <v>-247.94166530000001</v>
      </c>
      <c r="V245">
        <f ca="1">IF(AND(ISNUMBER($V$749),$B$511=1),$V$749,HLOOKUP(INDIRECT(ADDRESS(2,COLUMN())),OFFSET($BN$2,0,0,ROW()-1,60),ROW()-1,FALSE))</f>
        <v>-317.54836699999998</v>
      </c>
      <c r="W245">
        <f ca="1">IF(AND(ISNUMBER($W$749),$B$511=1),$W$749,HLOOKUP(INDIRECT(ADDRESS(2,COLUMN())),OFFSET($BN$2,0,0,ROW()-1,60),ROW()-1,FALSE))</f>
        <v>-70.884375289999994</v>
      </c>
      <c r="X245">
        <f ca="1">IF(AND(ISNUMBER($X$749),$B$511=1),$X$749,HLOOKUP(INDIRECT(ADDRESS(2,COLUMN())),OFFSET($BN$2,0,0,ROW()-1,60),ROW()-1,FALSE))</f>
        <v>111.63219839999999</v>
      </c>
      <c r="Y245">
        <f ca="1">IF(AND(ISNUMBER($Y$749),$B$511=1),$Y$749,HLOOKUP(INDIRECT(ADDRESS(2,COLUMN())),OFFSET($BN$2,0,0,ROW()-1,60),ROW()-1,FALSE))</f>
        <v>92.914615499999996</v>
      </c>
      <c r="Z245">
        <f ca="1">IF(AND(ISNUMBER($Z$749),$B$511=1),$Z$749,HLOOKUP(INDIRECT(ADDRESS(2,COLUMN())),OFFSET($BN$2,0,0,ROW()-1,60),ROW()-1,FALSE))</f>
        <v>153.39101120000001</v>
      </c>
      <c r="AA245">
        <f ca="1">IF(AND(ISNUMBER($AA$749),$B$511=1),$AA$749,HLOOKUP(INDIRECT(ADDRESS(2,COLUMN())),OFFSET($BN$2,0,0,ROW()-1,60),ROW()-1,FALSE))</f>
        <v>405.81584550000002</v>
      </c>
      <c r="AB245">
        <f ca="1">IF(AND(ISNUMBER($AB$749),$B$511=1),$AB$749,HLOOKUP(INDIRECT(ADDRESS(2,COLUMN())),OFFSET($BN$2,0,0,ROW()-1,60),ROW()-1,FALSE))</f>
        <v>495.57264320000002</v>
      </c>
      <c r="AC245">
        <f ca="1">IF(AND(ISNUMBER($AC$749),$B$511=1),$AC$749,HLOOKUP(INDIRECT(ADDRESS(2,COLUMN())),OFFSET($BN$2,0,0,ROW()-1,60),ROW()-1,FALSE))</f>
        <v>465.03987519999998</v>
      </c>
      <c r="AD245">
        <f ca="1">IF(AND(ISNUMBER($AD$749),$B$511=1),$AD$749,HLOOKUP(INDIRECT(ADDRESS(2,COLUMN())),OFFSET($BN$2,0,0,ROW()-1,60),ROW()-1,FALSE))</f>
        <v>686.41845920000003</v>
      </c>
      <c r="AE245">
        <f ca="1">IF(AND(ISNUMBER($AE$749),$B$511=1),$AE$749,HLOOKUP(INDIRECT(ADDRESS(2,COLUMN())),OFFSET($BN$2,0,0,ROW()-1,60),ROW()-1,FALSE))</f>
        <v>368.29224859999999</v>
      </c>
      <c r="AF245">
        <f ca="1">IF(AND(ISNUMBER($AF$749),$B$511=1),$AF$749,HLOOKUP(INDIRECT(ADDRESS(2,COLUMN())),OFFSET($BN$2,0,0,ROW()-1,60),ROW()-1,FALSE))</f>
        <v>321.33465790000002</v>
      </c>
      <c r="AG245">
        <f ca="1">IF(AND(ISNUMBER($AG$749),$B$511=1),$AG$749,HLOOKUP(INDIRECT(ADDRESS(2,COLUMN())),OFFSET($BN$2,0,0,ROW()-1,60),ROW()-1,FALSE))</f>
        <v>195.5604329</v>
      </c>
      <c r="AH245">
        <f ca="1">IF(AND(ISNUMBER($AH$749),$B$511=1),$AH$749,HLOOKUP(INDIRECT(ADDRESS(2,COLUMN())),OFFSET($BN$2,0,0,ROW()-1,60),ROW()-1,FALSE))</f>
        <v>-157.1935699</v>
      </c>
      <c r="AI245">
        <f ca="1">IF(AND(ISNUMBER($AI$749),$B$511=1),$AI$749,HLOOKUP(INDIRECT(ADDRESS(2,COLUMN())),OFFSET($BN$2,0,0,ROW()-1,60),ROW()-1,FALSE))</f>
        <v>-140.56499729999999</v>
      </c>
      <c r="AJ245">
        <f ca="1">IF(AND(ISNUMBER($AJ$749),$B$511=1),$AJ$749,HLOOKUP(INDIRECT(ADDRESS(2,COLUMN())),OFFSET($BN$2,0,0,ROW()-1,60),ROW()-1,FALSE))</f>
        <v>-174.7092198</v>
      </c>
      <c r="AK245">
        <f ca="1">IF(AND(ISNUMBER($AK$749),$B$511=1),$AK$749,HLOOKUP(INDIRECT(ADDRESS(2,COLUMN())),OFFSET($BN$2,0,0,ROW()-1,60),ROW()-1,FALSE))</f>
        <v>-18.315125550000001</v>
      </c>
      <c r="AL245">
        <f ca="1">IF(AND(ISNUMBER($AL$749),$B$511=1),$AL$749,HLOOKUP(INDIRECT(ADDRESS(2,COLUMN())),OFFSET($BN$2,0,0,ROW()-1,60),ROW()-1,FALSE))</f>
        <v>-5.9004960019999997</v>
      </c>
      <c r="AM245">
        <f ca="1">IF(AND(ISNUMBER($AM$749),$B$511=1),$AM$749,HLOOKUP(INDIRECT(ADDRESS(2,COLUMN())),OFFSET($BN$2,0,0,ROW()-1,60),ROW()-1,FALSE))</f>
        <v>140.2893498</v>
      </c>
      <c r="AN245">
        <f ca="1">IF(AND(ISNUMBER($AN$749),$B$511=1),$AN$749,HLOOKUP(INDIRECT(ADDRESS(2,COLUMN())),OFFSET($BN$2,0,0,ROW()-1,60),ROW()-1,FALSE))</f>
        <v>273.00308219999999</v>
      </c>
      <c r="AO245">
        <f ca="1">IF(AND(ISNUMBER($AO$749),$B$511=1),$AO$749,HLOOKUP(INDIRECT(ADDRESS(2,COLUMN())),OFFSET($BN$2,0,0,ROW()-1,60),ROW()-1,FALSE))</f>
        <v>216.59544579999999</v>
      </c>
      <c r="AP245">
        <f ca="1">IF(AND(ISNUMBER($AP$749),$B$511=1),$AP$749,HLOOKUP(INDIRECT(ADDRESS(2,COLUMN())),OFFSET($BN$2,0,0,ROW()-1,60),ROW()-1,FALSE))</f>
        <v>452.9717498</v>
      </c>
      <c r="AQ245">
        <f ca="1">IF(AND(ISNUMBER($AQ$749),$B$511=1),$AQ$749,HLOOKUP(INDIRECT(ADDRESS(2,COLUMN())),OFFSET($BN$2,0,0,ROW()-1,60),ROW()-1,FALSE))</f>
        <v>273.65087940000001</v>
      </c>
      <c r="AR245">
        <f ca="1">IF(AND(ISNUMBER($AR$749),$B$511=1),$AR$749,HLOOKUP(INDIRECT(ADDRESS(2,COLUMN())),OFFSET($BN$2,0,0,ROW()-1,60),ROW()-1,FALSE))</f>
        <v>-56.631078469999999</v>
      </c>
      <c r="AS245">
        <f ca="1">IF(AND(ISNUMBER($AS$749),$B$511=1),$AS$749,HLOOKUP(INDIRECT(ADDRESS(2,COLUMN())),OFFSET($BN$2,0,0,ROW()-1,60),ROW()-1,FALSE))</f>
        <v>-133.5113542</v>
      </c>
      <c r="AT245">
        <f ca="1">IF(AND(ISNUMBER($AT$749),$B$511=1),$AT$749,HLOOKUP(INDIRECT(ADDRESS(2,COLUMN())),OFFSET($BN$2,0,0,ROW()-1,60),ROW()-1,FALSE))</f>
        <v>-376.70011119999998</v>
      </c>
      <c r="AU245">
        <f ca="1">IF(AND(ISNUMBER($AU$749),$B$511=1),$AU$749,HLOOKUP(INDIRECT(ADDRESS(2,COLUMN())),OFFSET($BN$2,0,0,ROW()-1,60),ROW()-1,FALSE))</f>
        <v>-458.25431959999997</v>
      </c>
      <c r="AV245">
        <f ca="1">IF(AND(ISNUMBER($AV$749),$B$511=1),$AV$749,HLOOKUP(INDIRECT(ADDRESS(2,COLUMN())),OFFSET($BN$2,0,0,ROW()-1,60),ROW()-1,FALSE))</f>
        <v>-339.92530790000001</v>
      </c>
      <c r="AW245">
        <f ca="1">IF(AND(ISNUMBER($AW$749),$B$511=1),$AW$749,HLOOKUP(INDIRECT(ADDRESS(2,COLUMN())),OFFSET($BN$2,0,0,ROW()-1,60),ROW()-1,FALSE))</f>
        <v>-239.74159280000001</v>
      </c>
      <c r="AX245">
        <f ca="1">IF(AND(ISNUMBER($AX$749),$B$511=1),$AX$749,HLOOKUP(INDIRECT(ADDRESS(2,COLUMN())),OFFSET($BN$2,0,0,ROW()-1,60),ROW()-1,FALSE))</f>
        <v>-288.3887259</v>
      </c>
      <c r="AY245">
        <f ca="1">IF(AND(ISNUMBER($AY$749),$B$511=1),$AY$749,HLOOKUP(INDIRECT(ADDRESS(2,COLUMN())),OFFSET($BN$2,0,0,ROW()-1,60),ROW()-1,FALSE))</f>
        <v>-360.6086517</v>
      </c>
      <c r="AZ245">
        <f ca="1">IF(AND(ISNUMBER($AZ$749),$B$511=1),$AZ$749,HLOOKUP(INDIRECT(ADDRESS(2,COLUMN())),OFFSET($BN$2,0,0,ROW()-1,60),ROW()-1,FALSE))</f>
        <v>-368.98233850000003</v>
      </c>
      <c r="BA245">
        <f ca="1">IF(AND(ISNUMBER($BA$749),$B$511=1),$BA$749,HLOOKUP(INDIRECT(ADDRESS(2,COLUMN())),OFFSET($BN$2,0,0,ROW()-1,60),ROW()-1,FALSE))</f>
        <v>-425.66954040000002</v>
      </c>
      <c r="BB245">
        <f ca="1">IF(AND(ISNUMBER($BB$749),$B$511=1),$BB$749,HLOOKUP(INDIRECT(ADDRESS(2,COLUMN())),OFFSET($BN$2,0,0,ROW()-1,60),ROW()-1,FALSE))</f>
        <v>-233.63618410000001</v>
      </c>
      <c r="BC245">
        <f ca="1">IF(AND(ISNUMBER($BC$749),$B$511=1),$BC$749,HLOOKUP(INDIRECT(ADDRESS(2,COLUMN())),OFFSET($BN$2,0,0,ROW()-1,60),ROW()-1,FALSE))</f>
        <v>-102.6189644</v>
      </c>
      <c r="BD245">
        <f ca="1">IF(AND(ISNUMBER($BD$749),$B$511=1),$BD$749,HLOOKUP(INDIRECT(ADDRESS(2,COLUMN())),OFFSET($BN$2,0,0,ROW()-1,60),ROW()-1,FALSE))</f>
        <v>-59.918119050000001</v>
      </c>
      <c r="BE245">
        <f ca="1">IF(AND(ISNUMBER($BE$749),$B$511=1),$BE$749,HLOOKUP(INDIRECT(ADDRESS(2,COLUMN())),OFFSET($BN$2,0,0,ROW()-1,60),ROW()-1,FALSE))</f>
        <v>127.9567752</v>
      </c>
      <c r="BF245">
        <f ca="1">IF(AND(ISNUMBER($BF$749),$B$511=1),$BF$749,HLOOKUP(INDIRECT(ADDRESS(2,COLUMN())),OFFSET($BN$2,0,0,ROW()-1,60),ROW()-1,FALSE))</f>
        <v>120.0414899</v>
      </c>
      <c r="BG245">
        <f ca="1">IF(AND(ISNUMBER($BG$749),$B$511=1),$BG$749,HLOOKUP(INDIRECT(ADDRESS(2,COLUMN())),OFFSET($BN$2,0,0,ROW()-1,60),ROW()-1,FALSE))</f>
        <v>98.184117810000004</v>
      </c>
      <c r="BH245" t="str">
        <f ca="1">IF(AND(ISNUMBER($BH$749),$B$511=1),$BH$749,HLOOKUP(INDIRECT(ADDRESS(2,COLUMN())),OFFSET($BN$2,0,0,ROW()-1,60),ROW()-1,FALSE))</f>
        <v/>
      </c>
      <c r="BI245" t="str">
        <f ca="1">IF(AND(ISNUMBER($BI$749),$B$511=1),$BI$749,HLOOKUP(INDIRECT(ADDRESS(2,COLUMN())),OFFSET($BN$2,0,0,ROW()-1,60),ROW()-1,FALSE))</f>
        <v/>
      </c>
      <c r="BJ245" t="str">
        <f ca="1">IF(AND(ISNUMBER($BJ$749),$B$511=1),$BJ$749,HLOOKUP(INDIRECT(ADDRESS(2,COLUMN())),OFFSET($BN$2,0,0,ROW()-1,60),ROW()-1,FALSE))</f>
        <v/>
      </c>
      <c r="BK245" t="str">
        <f ca="1">IF(AND(ISNUMBER($BK$749),$B$511=1),$BK$749,HLOOKUP(INDIRECT(ADDRESS(2,COLUMN())),OFFSET($BN$2,0,0,ROW()-1,60),ROW()-1,FALSE))</f>
        <v/>
      </c>
      <c r="BL245" t="str">
        <f ca="1">IF(AND(ISNUMBER($BL$749),$B$511=1),$BL$749,HLOOKUP(INDIRECT(ADDRESS(2,COLUMN())),OFFSET($BN$2,0,0,ROW()-1,60),ROW()-1,FALSE))</f>
        <v/>
      </c>
      <c r="BM245" t="str">
        <f ca="1">IF(AND(ISNUMBER($BM$749),$B$511=1),$BM$749,HLOOKUP(INDIRECT(ADDRESS(2,COLUMN())),OFFSET($BN$2,0,0,ROW()-1,60),ROW()-1,FALSE))</f>
        <v/>
      </c>
      <c r="BN245" t="str">
        <f>""</f>
        <v/>
      </c>
      <c r="BO245">
        <f>223.063248</f>
        <v>223.06324799999999</v>
      </c>
      <c r="BP245">
        <f>-24.01153838</f>
        <v>-24.011538380000001</v>
      </c>
      <c r="BQ245">
        <f>293.7646935</f>
        <v>293.76469350000002</v>
      </c>
      <c r="BR245">
        <f>255.2703212</f>
        <v>255.27032120000001</v>
      </c>
      <c r="BS245">
        <f>209.9885973</f>
        <v>209.98859730000001</v>
      </c>
      <c r="BT245">
        <f>465.9048884</f>
        <v>465.9048884</v>
      </c>
      <c r="BU245">
        <f>476.6831167</f>
        <v>476.68311670000003</v>
      </c>
      <c r="BV245">
        <f>482.6824435</f>
        <v>482.68244349999998</v>
      </c>
      <c r="BW245">
        <f>112.3878521</f>
        <v>112.3878521</v>
      </c>
      <c r="BX245">
        <f>20.43471186</f>
        <v>20.43471186</v>
      </c>
      <c r="BY245">
        <f>-147.6582534</f>
        <v>-147.65825340000001</v>
      </c>
      <c r="BZ245">
        <f>-21.06848252</f>
        <v>-21.06848252</v>
      </c>
      <c r="CA245">
        <f>30.3053893</f>
        <v>30.305389300000002</v>
      </c>
      <c r="CB245">
        <f>-325.8844146</f>
        <v>-325.88441460000001</v>
      </c>
      <c r="CC245">
        <f>-247.9416653</f>
        <v>-247.94166530000001</v>
      </c>
      <c r="CD245">
        <f>-317.548367</f>
        <v>-317.54836699999998</v>
      </c>
      <c r="CE245">
        <f>-70.88437529</f>
        <v>-70.884375289999994</v>
      </c>
      <c r="CF245">
        <f>111.6321984</f>
        <v>111.63219839999999</v>
      </c>
      <c r="CG245">
        <f>92.9146155</f>
        <v>92.914615499999996</v>
      </c>
      <c r="CH245">
        <f>153.3910112</f>
        <v>153.39101120000001</v>
      </c>
      <c r="CI245">
        <f>405.8158455</f>
        <v>405.81584550000002</v>
      </c>
      <c r="CJ245">
        <f>495.5726432</f>
        <v>495.57264320000002</v>
      </c>
      <c r="CK245">
        <f>465.0398752</f>
        <v>465.03987519999998</v>
      </c>
      <c r="CL245">
        <f>686.4184592</f>
        <v>686.41845920000003</v>
      </c>
      <c r="CM245">
        <f>368.2922486</f>
        <v>368.29224859999999</v>
      </c>
      <c r="CN245">
        <f>321.3346579</f>
        <v>321.33465790000002</v>
      </c>
      <c r="CO245">
        <f>195.5604329</f>
        <v>195.5604329</v>
      </c>
      <c r="CP245">
        <f>-157.1935699</f>
        <v>-157.1935699</v>
      </c>
      <c r="CQ245">
        <f>-140.5649973</f>
        <v>-140.56499729999999</v>
      </c>
      <c r="CR245">
        <f>-174.7092198</f>
        <v>-174.7092198</v>
      </c>
      <c r="CS245">
        <f>-18.31512555</f>
        <v>-18.315125550000001</v>
      </c>
      <c r="CT245">
        <f>-5.900496002</f>
        <v>-5.9004960019999997</v>
      </c>
      <c r="CU245">
        <f>140.2893498</f>
        <v>140.2893498</v>
      </c>
      <c r="CV245">
        <f>273.0030822</f>
        <v>273.00308219999999</v>
      </c>
      <c r="CW245">
        <f>216.5954458</f>
        <v>216.59544579999999</v>
      </c>
      <c r="CX245">
        <f>452.9717498</f>
        <v>452.9717498</v>
      </c>
      <c r="CY245">
        <f>273.6508794</f>
        <v>273.65087940000001</v>
      </c>
      <c r="CZ245">
        <f>-56.63107847</f>
        <v>-56.631078469999999</v>
      </c>
      <c r="DA245">
        <f>-133.5113542</f>
        <v>-133.5113542</v>
      </c>
      <c r="DB245">
        <f>-376.7001112</f>
        <v>-376.70011119999998</v>
      </c>
      <c r="DC245">
        <f>-458.2543196</f>
        <v>-458.25431959999997</v>
      </c>
      <c r="DD245">
        <f>-339.9253079</f>
        <v>-339.92530790000001</v>
      </c>
      <c r="DE245">
        <f>-239.7415928</f>
        <v>-239.74159280000001</v>
      </c>
      <c r="DF245">
        <f>-288.3887259</f>
        <v>-288.3887259</v>
      </c>
      <c r="DG245">
        <f>-360.6086517</f>
        <v>-360.6086517</v>
      </c>
      <c r="DH245">
        <f>-368.9823385</f>
        <v>-368.98233850000003</v>
      </c>
      <c r="DI245">
        <f>-425.6695404</f>
        <v>-425.66954040000002</v>
      </c>
      <c r="DJ245">
        <f>-233.6361841</f>
        <v>-233.63618410000001</v>
      </c>
      <c r="DK245">
        <f>-102.6189644</f>
        <v>-102.6189644</v>
      </c>
      <c r="DL245">
        <f>-59.91811905</f>
        <v>-59.918119050000001</v>
      </c>
      <c r="DM245">
        <f>127.9567752</f>
        <v>127.9567752</v>
      </c>
      <c r="DN245">
        <f>120.0414899</f>
        <v>120.0414899</v>
      </c>
      <c r="DO245">
        <f>98.18411781</f>
        <v>98.184117810000004</v>
      </c>
      <c r="DP245" t="str">
        <f>""</f>
        <v/>
      </c>
      <c r="DQ245" t="str">
        <f>""</f>
        <v/>
      </c>
      <c r="DR245" t="str">
        <f>""</f>
        <v/>
      </c>
      <c r="DS245" t="str">
        <f>""</f>
        <v/>
      </c>
      <c r="DT245" t="str">
        <f>""</f>
        <v/>
      </c>
      <c r="DU245" t="str">
        <f>""</f>
        <v/>
      </c>
    </row>
    <row r="246" spans="1:125" x14ac:dyDescent="0.25">
      <c r="A246" t="str">
        <f>"    Toyota Motor Corp"</f>
        <v xml:space="preserve">    Toyota Motor Corp</v>
      </c>
      <c r="B246" t="str">
        <f>"7203 JP Equity"</f>
        <v>7203 JP Equity</v>
      </c>
      <c r="C246" t="str">
        <f t="shared" si="15"/>
        <v>RR843</v>
      </c>
      <c r="D246" t="str">
        <f t="shared" si="16"/>
        <v>TRAIL_12M_FREE_CASH_FLOW</v>
      </c>
      <c r="E246" t="str">
        <f t="shared" si="17"/>
        <v>Dynamic</v>
      </c>
      <c r="F246" t="str">
        <f ca="1">IF(AND(ISNUMBER($F$750),$B$511=1),$F$750,HLOOKUP(INDIRECT(ADDRESS(2,COLUMN())),OFFSET($BN$2,0,0,ROW()-1,60),ROW()-1,FALSE))</f>
        <v/>
      </c>
      <c r="G246">
        <f ca="1">IF(AND(ISNUMBER($G$750),$B$511=1),$G$750,HLOOKUP(INDIRECT(ADDRESS(2,COLUMN())),OFFSET($BN$2,0,0,ROW()-1,60),ROW()-1,FALSE))</f>
        <v>25003.976719999999</v>
      </c>
      <c r="H246">
        <f ca="1">IF(AND(ISNUMBER($H$750),$B$511=1),$H$750,HLOOKUP(INDIRECT(ADDRESS(2,COLUMN())),OFFSET($BN$2,0,0,ROW()-1,60),ROW()-1,FALSE))</f>
        <v>23262.335459999998</v>
      </c>
      <c r="I246">
        <f ca="1">IF(AND(ISNUMBER($I$750),$B$511=1),$I$750,HLOOKUP(INDIRECT(ADDRESS(2,COLUMN())),OFFSET($BN$2,0,0,ROW()-1,60),ROW()-1,FALSE))</f>
        <v>22926.987730000001</v>
      </c>
      <c r="J246">
        <f ca="1">IF(AND(ISNUMBER($J$750),$B$511=1),$J$750,HLOOKUP(INDIRECT(ADDRESS(2,COLUMN())),OFFSET($BN$2,0,0,ROW()-1,60),ROW()-1,FALSE))</f>
        <v>26345.426820000001</v>
      </c>
      <c r="K246">
        <f ca="1">IF(AND(ISNUMBER($K$750),$B$511=1),$K$750,HLOOKUP(INDIRECT(ADDRESS(2,COLUMN())),OFFSET($BN$2,0,0,ROW()-1,60),ROW()-1,FALSE))</f>
        <v>25530.829089999999</v>
      </c>
      <c r="L246">
        <f ca="1">IF(AND(ISNUMBER($L$750),$B$511=1),$L$750,HLOOKUP(INDIRECT(ADDRESS(2,COLUMN())),OFFSET($BN$2,0,0,ROW()-1,60),ROW()-1,FALSE))</f>
        <v>23989.530419999999</v>
      </c>
      <c r="M246">
        <f ca="1">IF(AND(ISNUMBER($M$750),$B$511=1),$M$750,HLOOKUP(INDIRECT(ADDRESS(2,COLUMN())),OFFSET($BN$2,0,0,ROW()-1,60),ROW()-1,FALSE))</f>
        <v>19713.130010000001</v>
      </c>
      <c r="N246">
        <f ca="1">IF(AND(ISNUMBER($N$750),$B$511=1),$N$750,HLOOKUP(INDIRECT(ADDRESS(2,COLUMN())),OFFSET($BN$2,0,0,ROW()-1,60),ROW()-1,FALSE))</f>
        <v>20261.822380000001</v>
      </c>
      <c r="O246">
        <f ca="1">IF(AND(ISNUMBER($O$750),$B$511=1),$O$750,HLOOKUP(INDIRECT(ADDRESS(2,COLUMN())),OFFSET($BN$2,0,0,ROW()-1,60),ROW()-1,FALSE))</f>
        <v>21666.928629999999</v>
      </c>
      <c r="P246">
        <f ca="1">IF(AND(ISNUMBER($P$750),$B$511=1),$P$750,HLOOKUP(INDIRECT(ADDRESS(2,COLUMN())),OFFSET($BN$2,0,0,ROW()-1,60),ROW()-1,FALSE))</f>
        <v>25474.933359999999</v>
      </c>
      <c r="Q246">
        <f ca="1">IF(AND(ISNUMBER($Q$750),$B$511=1),$Q$750,HLOOKUP(INDIRECT(ADDRESS(2,COLUMN())),OFFSET($BN$2,0,0,ROW()-1,60),ROW()-1,FALSE))</f>
        <v>28076.041990000002</v>
      </c>
      <c r="R246">
        <f ca="1">IF(AND(ISNUMBER($R$750),$B$511=1),$R$750,HLOOKUP(INDIRECT(ADDRESS(2,COLUMN())),OFFSET($BN$2,0,0,ROW()-1,60),ROW()-1,FALSE))</f>
        <v>26496.366900000001</v>
      </c>
      <c r="S246">
        <f ca="1">IF(AND(ISNUMBER($S$750),$B$511=1),$S$750,HLOOKUP(INDIRECT(ADDRESS(2,COLUMN())),OFFSET($BN$2,0,0,ROW()-1,60),ROW()-1,FALSE))</f>
        <v>25487.30126</v>
      </c>
      <c r="T246">
        <f ca="1">IF(AND(ISNUMBER($T$750),$B$511=1),$T$750,HLOOKUP(INDIRECT(ADDRESS(2,COLUMN())),OFFSET($BN$2,0,0,ROW()-1,60),ROW()-1,FALSE))</f>
        <v>22592.918669999999</v>
      </c>
      <c r="U246">
        <f ca="1">IF(AND(ISNUMBER($U$750),$B$511=1),$U$750,HLOOKUP(INDIRECT(ADDRESS(2,COLUMN())),OFFSET($BN$2,0,0,ROW()-1,60),ROW()-1,FALSE))</f>
        <v>23407.416740000001</v>
      </c>
      <c r="V246">
        <f ca="1">IF(AND(ISNUMBER($V$750),$B$511=1),$V$750,HLOOKUP(INDIRECT(ADDRESS(2,COLUMN())),OFFSET($BN$2,0,0,ROW()-1,60),ROW()-1,FALSE))</f>
        <v>23216.051080000001</v>
      </c>
      <c r="W246">
        <f ca="1">IF(AND(ISNUMBER($W$750),$B$511=1),$W$750,HLOOKUP(INDIRECT(ADDRESS(2,COLUMN())),OFFSET($BN$2,0,0,ROW()-1,60),ROW()-1,FALSE))</f>
        <v>20819.202700000002</v>
      </c>
      <c r="X246">
        <f ca="1">IF(AND(ISNUMBER($X$750),$B$511=1),$X$750,HLOOKUP(INDIRECT(ADDRESS(2,COLUMN())),OFFSET($BN$2,0,0,ROW()-1,60),ROW()-1,FALSE))</f>
        <v>22850.165120000001</v>
      </c>
      <c r="Y246">
        <f ca="1">IF(AND(ISNUMBER($Y$750),$B$511=1),$Y$750,HLOOKUP(INDIRECT(ADDRESS(2,COLUMN())),OFFSET($BN$2,0,0,ROW()-1,60),ROW()-1,FALSE))</f>
        <v>24722.960770000002</v>
      </c>
      <c r="Z246">
        <f ca="1">IF(AND(ISNUMBER($Z$750),$B$511=1),$Z$750,HLOOKUP(INDIRECT(ADDRESS(2,COLUMN())),OFFSET($BN$2,0,0,ROW()-1,60),ROW()-1,FALSE))</f>
        <v>26720.860290000001</v>
      </c>
      <c r="AA246">
        <f ca="1">IF(AND(ISNUMBER($AA$750),$B$511=1),$AA$750,HLOOKUP(INDIRECT(ADDRESS(2,COLUMN())),OFFSET($BN$2,0,0,ROW()-1,60),ROW()-1,FALSE))</f>
        <v>25455.87372</v>
      </c>
      <c r="AB246">
        <f ca="1">IF(AND(ISNUMBER($AB$750),$B$511=1),$AB$750,HLOOKUP(INDIRECT(ADDRESS(2,COLUMN())),OFFSET($BN$2,0,0,ROW()-1,60),ROW()-1,FALSE))</f>
        <v>24120.15294</v>
      </c>
      <c r="AC246">
        <f ca="1">IF(AND(ISNUMBER($AC$750),$B$511=1),$AC$750,HLOOKUP(INDIRECT(ADDRESS(2,COLUMN())),OFFSET($BN$2,0,0,ROW()-1,60),ROW()-1,FALSE))</f>
        <v>21499.345239999999</v>
      </c>
      <c r="AD246">
        <f ca="1">IF(AND(ISNUMBER($AD$750),$B$511=1),$AD$750,HLOOKUP(INDIRECT(ADDRESS(2,COLUMN())),OFFSET($BN$2,0,0,ROW()-1,60),ROW()-1,FALSE))</f>
        <v>19324.41012</v>
      </c>
      <c r="AE246">
        <f ca="1">IF(AND(ISNUMBER($AE$750),$B$511=1),$AE$750,HLOOKUP(INDIRECT(ADDRESS(2,COLUMN())),OFFSET($BN$2,0,0,ROW()-1,60),ROW()-1,FALSE))</f>
        <v>20046.579020000001</v>
      </c>
      <c r="AF246">
        <f ca="1">IF(AND(ISNUMBER($AF$750),$B$511=1),$AF$750,HLOOKUP(INDIRECT(ADDRESS(2,COLUMN())),OFFSET($BN$2,0,0,ROW()-1,60),ROW()-1,FALSE))</f>
        <v>18255.119549999999</v>
      </c>
      <c r="AG246">
        <f ca="1">IF(AND(ISNUMBER($AG$750),$B$511=1),$AG$750,HLOOKUP(INDIRECT(ADDRESS(2,COLUMN())),OFFSET($BN$2,0,0,ROW()-1,60),ROW()-1,FALSE))</f>
        <v>14058.336880000001</v>
      </c>
      <c r="AH246">
        <f ca="1">IF(AND(ISNUMBER($AH$750),$B$511=1),$AH$750,HLOOKUP(INDIRECT(ADDRESS(2,COLUMN())),OFFSET($BN$2,0,0,ROW()-1,60),ROW()-1,FALSE))</f>
        <v>9237.9128180000007</v>
      </c>
      <c r="AI246">
        <f ca="1">IF(AND(ISNUMBER($AI$750),$B$511=1),$AI$750,HLOOKUP(INDIRECT(ADDRESS(2,COLUMN())),OFFSET($BN$2,0,0,ROW()-1,60),ROW()-1,FALSE))</f>
        <v>8633.6233360000006</v>
      </c>
      <c r="AJ246">
        <f ca="1">IF(AND(ISNUMBER($AJ$750),$B$511=1),$AJ$750,HLOOKUP(INDIRECT(ADDRESS(2,COLUMN())),OFFSET($BN$2,0,0,ROW()-1,60),ROW()-1,FALSE))</f>
        <v>7783.9625530000003</v>
      </c>
      <c r="AK246">
        <f ca="1">IF(AND(ISNUMBER($AK$750),$B$511=1),$AK$750,HLOOKUP(INDIRECT(ADDRESS(2,COLUMN())),OFFSET($BN$2,0,0,ROW()-1,60),ROW()-1,FALSE))</f>
        <v>11042.93831</v>
      </c>
      <c r="AL246">
        <f ca="1">IF(AND(ISNUMBER($AL$750),$B$511=1),$AL$750,HLOOKUP(INDIRECT(ADDRESS(2,COLUMN())),OFFSET($BN$2,0,0,ROW()-1,60),ROW()-1,FALSE))</f>
        <v>16319.5434</v>
      </c>
      <c r="AM246">
        <f ca="1">IF(AND(ISNUMBER($AM$750),$B$511=1),$AM$750,HLOOKUP(INDIRECT(ADDRESS(2,COLUMN())),OFFSET($BN$2,0,0,ROW()-1,60),ROW()-1,FALSE))</f>
        <v>15617.43965</v>
      </c>
      <c r="AN246">
        <f ca="1">IF(AND(ISNUMBER($AN$750),$B$511=1),$AN$750,HLOOKUP(INDIRECT(ADDRESS(2,COLUMN())),OFFSET($BN$2,0,0,ROW()-1,60),ROW()-1,FALSE))</f>
        <v>18531.423480000001</v>
      </c>
      <c r="AO246">
        <f ca="1">IF(AND(ISNUMBER($AO$750),$B$511=1),$AO$750,HLOOKUP(INDIRECT(ADDRESS(2,COLUMN())),OFFSET($BN$2,0,0,ROW()-1,60),ROW()-1,FALSE))</f>
        <v>24426.616399999999</v>
      </c>
      <c r="AP246">
        <f ca="1">IF(AND(ISNUMBER($AP$750),$B$511=1),$AP$750,HLOOKUP(INDIRECT(ADDRESS(2,COLUMN())),OFFSET($BN$2,0,0,ROW()-1,60),ROW()-1,FALSE))</f>
        <v>21069.524450000001</v>
      </c>
      <c r="AQ246">
        <f ca="1">IF(AND(ISNUMBER($AQ$750),$B$511=1),$AQ$750,HLOOKUP(INDIRECT(ADDRESS(2,COLUMN())),OFFSET($BN$2,0,0,ROW()-1,60),ROW()-1,FALSE))</f>
        <v>17027.067849999999</v>
      </c>
      <c r="AR246">
        <f ca="1">IF(AND(ISNUMBER($AR$750),$B$511=1),$AR$750,HLOOKUP(INDIRECT(ADDRESS(2,COLUMN())),OFFSET($BN$2,0,0,ROW()-1,60),ROW()-1,FALSE))</f>
        <v>5674.2254359999997</v>
      </c>
      <c r="AS246">
        <f ca="1">IF(AND(ISNUMBER($AS$750),$B$511=1),$AS$750,HLOOKUP(INDIRECT(ADDRESS(2,COLUMN())),OFFSET($BN$2,0,0,ROW()-1,60),ROW()-1,FALSE))</f>
        <v>-1269.758208</v>
      </c>
      <c r="AT246">
        <f ca="1">IF(AND(ISNUMBER($AT$750),$B$511=1),$AT$750,HLOOKUP(INDIRECT(ADDRESS(2,COLUMN())),OFFSET($BN$2,0,0,ROW()-1,60),ROW()-1,FALSE))</f>
        <v>1122.309606</v>
      </c>
      <c r="AU246" t="str">
        <f ca="1">IF(AND(ISNUMBER($AU$750),$B$511=1),$AU$750,HLOOKUP(INDIRECT(ADDRESS(2,COLUMN())),OFFSET($BN$2,0,0,ROW()-1,60),ROW()-1,FALSE))</f>
        <v/>
      </c>
      <c r="AV246" t="str">
        <f ca="1">IF(AND(ISNUMBER($AV$750),$B$511=1),$AV$750,HLOOKUP(INDIRECT(ADDRESS(2,COLUMN())),OFFSET($BN$2,0,0,ROW()-1,60),ROW()-1,FALSE))</f>
        <v/>
      </c>
      <c r="AW246" t="str">
        <f ca="1">IF(AND(ISNUMBER($AW$750),$B$511=1),$AW$750,HLOOKUP(INDIRECT(ADDRESS(2,COLUMN())),OFFSET($BN$2,0,0,ROW()-1,60),ROW()-1,FALSE))</f>
        <v/>
      </c>
      <c r="AX246" t="str">
        <f ca="1">IF(AND(ISNUMBER($AX$750),$B$511=1),$AX$750,HLOOKUP(INDIRECT(ADDRESS(2,COLUMN())),OFFSET($BN$2,0,0,ROW()-1,60),ROW()-1,FALSE))</f>
        <v/>
      </c>
      <c r="AY246" t="str">
        <f ca="1">IF(AND(ISNUMBER($AY$750),$B$511=1),$AY$750,HLOOKUP(INDIRECT(ADDRESS(2,COLUMN())),OFFSET($BN$2,0,0,ROW()-1,60),ROW()-1,FALSE))</f>
        <v/>
      </c>
      <c r="AZ246" t="str">
        <f ca="1">IF(AND(ISNUMBER($AZ$750),$B$511=1),$AZ$750,HLOOKUP(INDIRECT(ADDRESS(2,COLUMN())),OFFSET($BN$2,0,0,ROW()-1,60),ROW()-1,FALSE))</f>
        <v/>
      </c>
      <c r="BA246" t="str">
        <f ca="1">IF(AND(ISNUMBER($BA$750),$B$511=1),$BA$750,HLOOKUP(INDIRECT(ADDRESS(2,COLUMN())),OFFSET($BN$2,0,0,ROW()-1,60),ROW()-1,FALSE))</f>
        <v/>
      </c>
      <c r="BB246" t="str">
        <f ca="1">IF(AND(ISNUMBER($BB$750),$B$511=1),$BB$750,HLOOKUP(INDIRECT(ADDRESS(2,COLUMN())),OFFSET($BN$2,0,0,ROW()-1,60),ROW()-1,FALSE))</f>
        <v/>
      </c>
      <c r="BC246" t="str">
        <f ca="1">IF(AND(ISNUMBER($BC$750),$B$511=1),$BC$750,HLOOKUP(INDIRECT(ADDRESS(2,COLUMN())),OFFSET($BN$2,0,0,ROW()-1,60),ROW()-1,FALSE))</f>
        <v/>
      </c>
      <c r="BD246" t="str">
        <f ca="1">IF(AND(ISNUMBER($BD$750),$B$511=1),$BD$750,HLOOKUP(INDIRECT(ADDRESS(2,COLUMN())),OFFSET($BN$2,0,0,ROW()-1,60),ROW()-1,FALSE))</f>
        <v/>
      </c>
      <c r="BE246" t="str">
        <f ca="1">IF(AND(ISNUMBER($BE$750),$B$511=1),$BE$750,HLOOKUP(INDIRECT(ADDRESS(2,COLUMN())),OFFSET($BN$2,0,0,ROW()-1,60),ROW()-1,FALSE))</f>
        <v/>
      </c>
      <c r="BF246" t="str">
        <f ca="1">IF(AND(ISNUMBER($BF$750),$B$511=1),$BF$750,HLOOKUP(INDIRECT(ADDRESS(2,COLUMN())),OFFSET($BN$2,0,0,ROW()-1,60),ROW()-1,FALSE))</f>
        <v/>
      </c>
      <c r="BG246" t="str">
        <f ca="1">IF(AND(ISNUMBER($BG$750),$B$511=1),$BG$750,HLOOKUP(INDIRECT(ADDRESS(2,COLUMN())),OFFSET($BN$2,0,0,ROW()-1,60),ROW()-1,FALSE))</f>
        <v/>
      </c>
      <c r="BH246" t="str">
        <f ca="1">IF(AND(ISNUMBER($BH$750),$B$511=1),$BH$750,HLOOKUP(INDIRECT(ADDRESS(2,COLUMN())),OFFSET($BN$2,0,0,ROW()-1,60),ROW()-1,FALSE))</f>
        <v/>
      </c>
      <c r="BI246" t="str">
        <f ca="1">IF(AND(ISNUMBER($BI$750),$B$511=1),$BI$750,HLOOKUP(INDIRECT(ADDRESS(2,COLUMN())),OFFSET($BN$2,0,0,ROW()-1,60),ROW()-1,FALSE))</f>
        <v/>
      </c>
      <c r="BJ246" t="str">
        <f ca="1">IF(AND(ISNUMBER($BJ$750),$B$511=1),$BJ$750,HLOOKUP(INDIRECT(ADDRESS(2,COLUMN())),OFFSET($BN$2,0,0,ROW()-1,60),ROW()-1,FALSE))</f>
        <v/>
      </c>
      <c r="BK246" t="str">
        <f ca="1">IF(AND(ISNUMBER($BK$750),$B$511=1),$BK$750,HLOOKUP(INDIRECT(ADDRESS(2,COLUMN())),OFFSET($BN$2,0,0,ROW()-1,60),ROW()-1,FALSE))</f>
        <v/>
      </c>
      <c r="BL246" t="str">
        <f ca="1">IF(AND(ISNUMBER($BL$750),$B$511=1),$BL$750,HLOOKUP(INDIRECT(ADDRESS(2,COLUMN())),OFFSET($BN$2,0,0,ROW()-1,60),ROW()-1,FALSE))</f>
        <v/>
      </c>
      <c r="BM246" t="str">
        <f ca="1">IF(AND(ISNUMBER($BM$750),$B$511=1),$BM$750,HLOOKUP(INDIRECT(ADDRESS(2,COLUMN())),OFFSET($BN$2,0,0,ROW()-1,60),ROW()-1,FALSE))</f>
        <v/>
      </c>
      <c r="BN246" t="str">
        <f>""</f>
        <v/>
      </c>
      <c r="BO246">
        <f>25003.97672</f>
        <v>25003.976719999999</v>
      </c>
      <c r="BP246">
        <f>23262.33546</f>
        <v>23262.335459999998</v>
      </c>
      <c r="BQ246">
        <f>22926.98773</f>
        <v>22926.987730000001</v>
      </c>
      <c r="BR246">
        <f>26345.42682</f>
        <v>26345.426820000001</v>
      </c>
      <c r="BS246">
        <f>25530.82909</f>
        <v>25530.829089999999</v>
      </c>
      <c r="BT246">
        <f>23989.53042</f>
        <v>23989.530419999999</v>
      </c>
      <c r="BU246">
        <f>19713.13001</f>
        <v>19713.130010000001</v>
      </c>
      <c r="BV246">
        <f>20261.82238</f>
        <v>20261.822380000001</v>
      </c>
      <c r="BW246">
        <f>21666.92863</f>
        <v>21666.928629999999</v>
      </c>
      <c r="BX246">
        <f>25474.93336</f>
        <v>25474.933359999999</v>
      </c>
      <c r="BY246">
        <f>28076.04199</f>
        <v>28076.041990000002</v>
      </c>
      <c r="BZ246">
        <f>26496.3669</f>
        <v>26496.366900000001</v>
      </c>
      <c r="CA246">
        <f>25487.30126</f>
        <v>25487.30126</v>
      </c>
      <c r="CB246">
        <f>22592.91867</f>
        <v>22592.918669999999</v>
      </c>
      <c r="CC246">
        <f>23407.41674</f>
        <v>23407.416740000001</v>
      </c>
      <c r="CD246">
        <f>23216.05108</f>
        <v>23216.051080000001</v>
      </c>
      <c r="CE246">
        <f>20819.2027</f>
        <v>20819.202700000002</v>
      </c>
      <c r="CF246">
        <f>22850.16512</f>
        <v>22850.165120000001</v>
      </c>
      <c r="CG246">
        <f>24722.96077</f>
        <v>24722.960770000002</v>
      </c>
      <c r="CH246">
        <f>26720.86029</f>
        <v>26720.860290000001</v>
      </c>
      <c r="CI246">
        <f>25455.87372</f>
        <v>25455.87372</v>
      </c>
      <c r="CJ246">
        <f>24120.15294</f>
        <v>24120.15294</v>
      </c>
      <c r="CK246">
        <f>21499.34524</f>
        <v>21499.345239999999</v>
      </c>
      <c r="CL246">
        <f>19324.41012</f>
        <v>19324.41012</v>
      </c>
      <c r="CM246">
        <f>20046.57902</f>
        <v>20046.579020000001</v>
      </c>
      <c r="CN246">
        <f>18255.11955</f>
        <v>18255.119549999999</v>
      </c>
      <c r="CO246">
        <f>14058.33688</f>
        <v>14058.336880000001</v>
      </c>
      <c r="CP246">
        <f>9237.912818</f>
        <v>9237.9128180000007</v>
      </c>
      <c r="CQ246">
        <f>8633.623336</f>
        <v>8633.6233360000006</v>
      </c>
      <c r="CR246">
        <f>7783.962553</f>
        <v>7783.9625530000003</v>
      </c>
      <c r="CS246">
        <f>11042.93831</f>
        <v>11042.93831</v>
      </c>
      <c r="CT246">
        <f>16319.5434</f>
        <v>16319.5434</v>
      </c>
      <c r="CU246">
        <f>15617.43965</f>
        <v>15617.43965</v>
      </c>
      <c r="CV246">
        <f>18531.42348</f>
        <v>18531.423480000001</v>
      </c>
      <c r="CW246">
        <f>24426.6164</f>
        <v>24426.616399999999</v>
      </c>
      <c r="CX246">
        <f>21069.52445</f>
        <v>21069.524450000001</v>
      </c>
      <c r="CY246">
        <f>17027.06785</f>
        <v>17027.067849999999</v>
      </c>
      <c r="CZ246">
        <f>5674.225436</f>
        <v>5674.2254359999997</v>
      </c>
      <c r="DA246">
        <f>-1269.758208</f>
        <v>-1269.758208</v>
      </c>
      <c r="DB246">
        <f>1122.309606</f>
        <v>1122.309606</v>
      </c>
      <c r="DC246" t="str">
        <f>""</f>
        <v/>
      </c>
      <c r="DD246" t="str">
        <f>""</f>
        <v/>
      </c>
      <c r="DE246" t="str">
        <f>""</f>
        <v/>
      </c>
      <c r="DF246" t="str">
        <f>""</f>
        <v/>
      </c>
      <c r="DG246" t="str">
        <f>""</f>
        <v/>
      </c>
      <c r="DH246" t="str">
        <f>""</f>
        <v/>
      </c>
      <c r="DI246" t="str">
        <f>""</f>
        <v/>
      </c>
      <c r="DJ246" t="str">
        <f>""</f>
        <v/>
      </c>
      <c r="DK246" t="str">
        <f>""</f>
        <v/>
      </c>
      <c r="DL246" t="str">
        <f>""</f>
        <v/>
      </c>
      <c r="DM246" t="str">
        <f>""</f>
        <v/>
      </c>
      <c r="DN246" t="str">
        <f>""</f>
        <v/>
      </c>
      <c r="DO246" t="str">
        <f>""</f>
        <v/>
      </c>
      <c r="DP246" t="str">
        <f>""</f>
        <v/>
      </c>
      <c r="DQ246" t="str">
        <f>""</f>
        <v/>
      </c>
      <c r="DR246" t="str">
        <f>""</f>
        <v/>
      </c>
      <c r="DS246" t="str">
        <f>""</f>
        <v/>
      </c>
      <c r="DT246" t="str">
        <f>""</f>
        <v/>
      </c>
      <c r="DU246" t="str">
        <f>""</f>
        <v/>
      </c>
    </row>
    <row r="247" spans="1:125" x14ac:dyDescent="0.25">
      <c r="A247" t="str">
        <f>"    Volkswagen AG"</f>
        <v xml:space="preserve">    Volkswagen AG</v>
      </c>
      <c r="B247" t="str">
        <f>"VOW GR Equity"</f>
        <v>VOW GR Equity</v>
      </c>
      <c r="C247" t="str">
        <f t="shared" si="15"/>
        <v>RR843</v>
      </c>
      <c r="D247" t="str">
        <f t="shared" si="16"/>
        <v>TRAIL_12M_FREE_CASH_FLOW</v>
      </c>
      <c r="E247" t="str">
        <f t="shared" si="17"/>
        <v>Dynamic</v>
      </c>
      <c r="F247" t="str">
        <f ca="1">IF(AND(ISNUMBER($F$751),$B$511=1),$F$751,HLOOKUP(INDIRECT(ADDRESS(2,COLUMN())),OFFSET($BN$2,0,0,ROW()-1,60),ROW()-1,FALSE))</f>
        <v/>
      </c>
      <c r="G247" t="str">
        <f ca="1">IF(AND(ISNUMBER($G$751),$B$511=1),$G$751,HLOOKUP(INDIRECT(ADDRESS(2,COLUMN())),OFFSET($BN$2,0,0,ROW()-1,60),ROW()-1,FALSE))</f>
        <v/>
      </c>
      <c r="H247">
        <f ca="1">IF(AND(ISNUMBER($H$751),$B$511=1),$H$751,HLOOKUP(INDIRECT(ADDRESS(2,COLUMN())),OFFSET($BN$2,0,0,ROW()-1,60),ROW()-1,FALSE))</f>
        <v>-6921.2228560000003</v>
      </c>
      <c r="I247">
        <f ca="1">IF(AND(ISNUMBER($I$751),$B$511=1),$I$751,HLOOKUP(INDIRECT(ADDRESS(2,COLUMN())),OFFSET($BN$2,0,0,ROW()-1,60),ROW()-1,FALSE))</f>
        <v>-7843.3824679999998</v>
      </c>
      <c r="J247">
        <f ca="1">IF(AND(ISNUMBER($J$751),$B$511=1),$J$751,HLOOKUP(INDIRECT(ADDRESS(2,COLUMN())),OFFSET($BN$2,0,0,ROW()-1,60),ROW()-1,FALSE))</f>
        <v>-12366.92009</v>
      </c>
      <c r="K247">
        <f ca="1">IF(AND(ISNUMBER($K$751),$B$511=1),$K$751,HLOOKUP(INDIRECT(ADDRESS(2,COLUMN())),OFFSET($BN$2,0,0,ROW()-1,60),ROW()-1,FALSE))</f>
        <v>-16304.137640000001</v>
      </c>
      <c r="L247">
        <f ca="1">IF(AND(ISNUMBER($L$751),$B$511=1),$L$751,HLOOKUP(INDIRECT(ADDRESS(2,COLUMN())),OFFSET($BN$2,0,0,ROW()-1,60),ROW()-1,FALSE))</f>
        <v>-19030.947240000001</v>
      </c>
      <c r="M247">
        <f ca="1">IF(AND(ISNUMBER($M$751),$B$511=1),$M$751,HLOOKUP(INDIRECT(ADDRESS(2,COLUMN())),OFFSET($BN$2,0,0,ROW()-1,60),ROW()-1,FALSE))</f>
        <v>-15584.370929999999</v>
      </c>
      <c r="N247">
        <f ca="1">IF(AND(ISNUMBER($N$751),$B$511=1),$N$751,HLOOKUP(INDIRECT(ADDRESS(2,COLUMN())),OFFSET($BN$2,0,0,ROW()-1,60),ROW()-1,FALSE))</f>
        <v>-6536.6187250000003</v>
      </c>
      <c r="O247">
        <f ca="1">IF(AND(ISNUMBER($O$751),$B$511=1),$O$751,HLOOKUP(INDIRECT(ADDRESS(2,COLUMN())),OFFSET($BN$2,0,0,ROW()-1,60),ROW()-1,FALSE))</f>
        <v>-4119.6163399999996</v>
      </c>
      <c r="P247">
        <f ca="1">IF(AND(ISNUMBER($P$751),$B$511=1),$P$751,HLOOKUP(INDIRECT(ADDRESS(2,COLUMN())),OFFSET($BN$2,0,0,ROW()-1,60),ROW()-1,FALSE))</f>
        <v>-2132.1005919999998</v>
      </c>
      <c r="Q247">
        <f ca="1">IF(AND(ISNUMBER($Q$751),$B$511=1),$Q$751,HLOOKUP(INDIRECT(ADDRESS(2,COLUMN())),OFFSET($BN$2,0,0,ROW()-1,60),ROW()-1,FALSE))</f>
        <v>-1896.961984</v>
      </c>
      <c r="R247">
        <f ca="1">IF(AND(ISNUMBER($R$751),$B$511=1),$R$751,HLOOKUP(INDIRECT(ADDRESS(2,COLUMN())),OFFSET($BN$2,0,0,ROW()-1,60),ROW()-1,FALSE))</f>
        <v>-1733.8271030000001</v>
      </c>
      <c r="S247">
        <f ca="1">IF(AND(ISNUMBER($S$751),$B$511=1),$S$751,HLOOKUP(INDIRECT(ADDRESS(2,COLUMN())),OFFSET($BN$2,0,0,ROW()-1,60),ROW()-1,FALSE))</f>
        <v>517.26029459999995</v>
      </c>
      <c r="T247">
        <f ca="1">IF(AND(ISNUMBER($T$751),$B$511=1),$T$751,HLOOKUP(INDIRECT(ADDRESS(2,COLUMN())),OFFSET($BN$2,0,0,ROW()-1,60),ROW()-1,FALSE))</f>
        <v>2016.2036430000001</v>
      </c>
      <c r="U247">
        <f ca="1">IF(AND(ISNUMBER($U$751),$B$511=1),$U$751,HLOOKUP(INDIRECT(ADDRESS(2,COLUMN())),OFFSET($BN$2,0,0,ROW()-1,60),ROW()-1,FALSE))</f>
        <v>2201.0845250000002</v>
      </c>
      <c r="V247">
        <f ca="1">IF(AND(ISNUMBER($V$751),$B$511=1),$V$751,HLOOKUP(INDIRECT(ADDRESS(2,COLUMN())),OFFSET($BN$2,0,0,ROW()-1,60),ROW()-1,FALSE))</f>
        <v>216.94339880000001</v>
      </c>
      <c r="W247">
        <f ca="1">IF(AND(ISNUMBER($W$751),$B$511=1),$W$751,HLOOKUP(INDIRECT(ADDRESS(2,COLUMN())),OFFSET($BN$2,0,0,ROW()-1,60),ROW()-1,FALSE))</f>
        <v>-1630.0520819999999</v>
      </c>
      <c r="X247">
        <f ca="1">IF(AND(ISNUMBER($X$751),$B$511=1),$X$751,HLOOKUP(INDIRECT(ADDRESS(2,COLUMN())),OFFSET($BN$2,0,0,ROW()-1,60),ROW()-1,FALSE))</f>
        <v>-1376.0084899999999</v>
      </c>
      <c r="Y247">
        <f ca="1">IF(AND(ISNUMBER($Y$751),$B$511=1),$Y$751,HLOOKUP(INDIRECT(ADDRESS(2,COLUMN())),OFFSET($BN$2,0,0,ROW()-1,60),ROW()-1,FALSE))</f>
        <v>-223.8805629</v>
      </c>
      <c r="Z247">
        <f ca="1">IF(AND(ISNUMBER($Z$751),$B$511=1),$Z$751,HLOOKUP(INDIRECT(ADDRESS(2,COLUMN())),OFFSET($BN$2,0,0,ROW()-1,60),ROW()-1,FALSE))</f>
        <v>269.46252529999998</v>
      </c>
      <c r="AA247">
        <f ca="1">IF(AND(ISNUMBER($AA$751),$B$511=1),$AA$751,HLOOKUP(INDIRECT(ADDRESS(2,COLUMN())),OFFSET($BN$2,0,0,ROW()-1,60),ROW()-1,FALSE))</f>
        <v>1605.928527</v>
      </c>
      <c r="AB247">
        <f ca="1">IF(AND(ISNUMBER($AB$751),$B$511=1),$AB$751,HLOOKUP(INDIRECT(ADDRESS(2,COLUMN())),OFFSET($BN$2,0,0,ROW()-1,60),ROW()-1,FALSE))</f>
        <v>1247.8302369999999</v>
      </c>
      <c r="AC247">
        <f ca="1">IF(AND(ISNUMBER($AC$751),$B$511=1),$AC$751,HLOOKUP(INDIRECT(ADDRESS(2,COLUMN())),OFFSET($BN$2,0,0,ROW()-1,60),ROW()-1,FALSE))</f>
        <v>-1593.7886699999999</v>
      </c>
      <c r="AD247">
        <f ca="1">IF(AND(ISNUMBER($AD$751),$B$511=1),$AD$751,HLOOKUP(INDIRECT(ADDRESS(2,COLUMN())),OFFSET($BN$2,0,0,ROW()-1,60),ROW()-1,FALSE))</f>
        <v>-2808.9188340000001</v>
      </c>
      <c r="AE247">
        <f ca="1">IF(AND(ISNUMBER($AE$751),$B$511=1),$AE$751,HLOOKUP(INDIRECT(ADDRESS(2,COLUMN())),OFFSET($BN$2,0,0,ROW()-1,60),ROW()-1,FALSE))</f>
        <v>-4224.0865370000001</v>
      </c>
      <c r="AF247">
        <f ca="1">IF(AND(ISNUMBER($AF$751),$B$511=1),$AF$751,HLOOKUP(INDIRECT(ADDRESS(2,COLUMN())),OFFSET($BN$2,0,0,ROW()-1,60),ROW()-1,FALSE))</f>
        <v>-2935.50639</v>
      </c>
      <c r="AG247">
        <f ca="1">IF(AND(ISNUMBER($AG$751),$B$511=1),$AG$751,HLOOKUP(INDIRECT(ADDRESS(2,COLUMN())),OFFSET($BN$2,0,0,ROW()-1,60),ROW()-1,FALSE))</f>
        <v>-2392.853799</v>
      </c>
      <c r="AH247">
        <f ca="1">IF(AND(ISNUMBER($AH$751),$B$511=1),$AH$751,HLOOKUP(INDIRECT(ADDRESS(2,COLUMN())),OFFSET($BN$2,0,0,ROW()-1,60),ROW()-1,FALSE))</f>
        <v>-1936.0612000000001</v>
      </c>
      <c r="AI247">
        <f ca="1">IF(AND(ISNUMBER($AI$751),$B$511=1),$AI$751,HLOOKUP(INDIRECT(ADDRESS(2,COLUMN())),OFFSET($BN$2,0,0,ROW()-1,60),ROW()-1,FALSE))</f>
        <v>575.06208160000006</v>
      </c>
      <c r="AJ247">
        <f ca="1">IF(AND(ISNUMBER($AJ$751),$B$511=1),$AJ$751,HLOOKUP(INDIRECT(ADDRESS(2,COLUMN())),OFFSET($BN$2,0,0,ROW()-1,60),ROW()-1,FALSE))</f>
        <v>1417.085425</v>
      </c>
      <c r="AK247">
        <f ca="1">IF(AND(ISNUMBER($AK$751),$B$511=1),$AK$751,HLOOKUP(INDIRECT(ADDRESS(2,COLUMN())),OFFSET($BN$2,0,0,ROW()-1,60),ROW()-1,FALSE))</f>
        <v>2854.3487660000001</v>
      </c>
      <c r="AL247">
        <f ca="1">IF(AND(ISNUMBER($AL$751),$B$511=1),$AL$751,HLOOKUP(INDIRECT(ADDRESS(2,COLUMN())),OFFSET($BN$2,0,0,ROW()-1,60),ROW()-1,FALSE))</f>
        <v>6625.5460080000003</v>
      </c>
      <c r="AM247">
        <f ca="1">IF(AND(ISNUMBER($AM$751),$B$511=1),$AM$751,HLOOKUP(INDIRECT(ADDRESS(2,COLUMN())),OFFSET($BN$2,0,0,ROW()-1,60),ROW()-1,FALSE))</f>
        <v>7557.7036090000001</v>
      </c>
      <c r="AN247">
        <f ca="1">IF(AND(ISNUMBER($AN$751),$B$511=1),$AN$751,HLOOKUP(INDIRECT(ADDRESS(2,COLUMN())),OFFSET($BN$2,0,0,ROW()-1,60),ROW()-1,FALSE))</f>
        <v>10504.115089999999</v>
      </c>
      <c r="AO247">
        <f ca="1">IF(AND(ISNUMBER($AO$751),$B$511=1),$AO$751,HLOOKUP(INDIRECT(ADDRESS(2,COLUMN())),OFFSET($BN$2,0,0,ROW()-1,60),ROW()-1,FALSE))</f>
        <v>9734.6501389999994</v>
      </c>
      <c r="AP247">
        <f ca="1">IF(AND(ISNUMBER($AP$751),$B$511=1),$AP$751,HLOOKUP(INDIRECT(ADDRESS(2,COLUMN())),OFFSET($BN$2,0,0,ROW()-1,60),ROW()-1,FALSE))</f>
        <v>10295.0497</v>
      </c>
      <c r="AQ247">
        <f ca="1">IF(AND(ISNUMBER($AQ$751),$B$511=1),$AQ$751,HLOOKUP(INDIRECT(ADDRESS(2,COLUMN())),OFFSET($BN$2,0,0,ROW()-1,60),ROW()-1,FALSE))</f>
        <v>9451.4918570000009</v>
      </c>
      <c r="AR247">
        <f ca="1">IF(AND(ISNUMBER($AR$751),$B$511=1),$AR$751,HLOOKUP(INDIRECT(ADDRESS(2,COLUMN())),OFFSET($BN$2,0,0,ROW()-1,60),ROW()-1,FALSE))</f>
        <v>1626.0476550000001</v>
      </c>
      <c r="AS247">
        <f ca="1">IF(AND(ISNUMBER($AS$751),$B$511=1),$AS$751,HLOOKUP(INDIRECT(ADDRESS(2,COLUMN())),OFFSET($BN$2,0,0,ROW()-1,60),ROW()-1,FALSE))</f>
        <v>1617.9280040000001</v>
      </c>
      <c r="AT247">
        <f ca="1">IF(AND(ISNUMBER($AT$751),$B$511=1),$AT$751,HLOOKUP(INDIRECT(ADDRESS(2,COLUMN())),OFFSET($BN$2,0,0,ROW()-1,60),ROW()-1,FALSE))</f>
        <v>-324.48933360000001</v>
      </c>
      <c r="AU247">
        <f ca="1">IF(AND(ISNUMBER($AU$751),$B$511=1),$AU$751,HLOOKUP(INDIRECT(ADDRESS(2,COLUMN())),OFFSET($BN$2,0,0,ROW()-1,60),ROW()-1,FALSE))</f>
        <v>-1993.0551479999999</v>
      </c>
      <c r="AV247">
        <f ca="1">IF(AND(ISNUMBER($AV$751),$B$511=1),$AV$751,HLOOKUP(INDIRECT(ADDRESS(2,COLUMN())),OFFSET($BN$2,0,0,ROW()-1,60),ROW()-1,FALSE))</f>
        <v>5910.2518570000002</v>
      </c>
      <c r="AW247">
        <f ca="1">IF(AND(ISNUMBER($AW$751),$B$511=1),$AW$751,HLOOKUP(INDIRECT(ADDRESS(2,COLUMN())),OFFSET($BN$2,0,0,ROW()-1,60),ROW()-1,FALSE))</f>
        <v>6759.481264</v>
      </c>
      <c r="AX247">
        <f ca="1">IF(AND(ISNUMBER($AX$751),$B$511=1),$AX$751,HLOOKUP(INDIRECT(ADDRESS(2,COLUMN())),OFFSET($BN$2,0,0,ROW()-1,60),ROW()-1,FALSE))</f>
        <v>9604.8404050000008</v>
      </c>
      <c r="AY247">
        <f ca="1">IF(AND(ISNUMBER($AY$751),$B$511=1),$AY$751,HLOOKUP(INDIRECT(ADDRESS(2,COLUMN())),OFFSET($BN$2,0,0,ROW()-1,60),ROW()-1,FALSE))</f>
        <v>11606.550139999999</v>
      </c>
      <c r="AZ247">
        <f ca="1">IF(AND(ISNUMBER($AZ$751),$B$511=1),$AZ$751,HLOOKUP(INDIRECT(ADDRESS(2,COLUMN())),OFFSET($BN$2,0,0,ROW()-1,60),ROW()-1,FALSE))</f>
        <v>11614.660749999999</v>
      </c>
      <c r="BA247">
        <f ca="1">IF(AND(ISNUMBER($BA$751),$B$511=1),$BA$751,HLOOKUP(INDIRECT(ADDRESS(2,COLUMN())),OFFSET($BN$2,0,0,ROW()-1,60),ROW()-1,FALSE))</f>
        <v>10796.72121</v>
      </c>
      <c r="BB247">
        <f ca="1">IF(AND(ISNUMBER($BB$751),$B$511=1),$BB$751,HLOOKUP(INDIRECT(ADDRESS(2,COLUMN())),OFFSET($BN$2,0,0,ROW()-1,60),ROW()-1,FALSE))</f>
        <v>9366.8773039999996</v>
      </c>
      <c r="BC247">
        <f ca="1">IF(AND(ISNUMBER($BC$751),$B$511=1),$BC$751,HLOOKUP(INDIRECT(ADDRESS(2,COLUMN())),OFFSET($BN$2,0,0,ROW()-1,60),ROW()-1,FALSE))</f>
        <v>9146.5074399999994</v>
      </c>
      <c r="BD247">
        <f ca="1">IF(AND(ISNUMBER($BD$751),$B$511=1),$BD$751,HLOOKUP(INDIRECT(ADDRESS(2,COLUMN())),OFFSET($BN$2,0,0,ROW()-1,60),ROW()-1,FALSE))</f>
        <v>9442.6185669999995</v>
      </c>
      <c r="BE247">
        <f ca="1">IF(AND(ISNUMBER($BE$751),$B$511=1),$BE$751,HLOOKUP(INDIRECT(ADDRESS(2,COLUMN())),OFFSET($BN$2,0,0,ROW()-1,60),ROW()-1,FALSE))</f>
        <v>8939.6952590000001</v>
      </c>
      <c r="BF247">
        <f ca="1">IF(AND(ISNUMBER($BF$751),$B$511=1),$BF$751,HLOOKUP(INDIRECT(ADDRESS(2,COLUMN())),OFFSET($BN$2,0,0,ROW()-1,60),ROW()-1,FALSE))</f>
        <v>7085.2372519999999</v>
      </c>
      <c r="BG247">
        <f ca="1">IF(AND(ISNUMBER($BG$751),$B$511=1),$BG$751,HLOOKUP(INDIRECT(ADDRESS(2,COLUMN())),OFFSET($BN$2,0,0,ROW()-1,60),ROW()-1,FALSE))</f>
        <v>4640.9309160000003</v>
      </c>
      <c r="BH247">
        <f ca="1">IF(AND(ISNUMBER($BH$751),$B$511=1),$BH$751,HLOOKUP(INDIRECT(ADDRESS(2,COLUMN())),OFFSET($BN$2,0,0,ROW()-1,60),ROW()-1,FALSE))</f>
        <v>2989.798902</v>
      </c>
      <c r="BI247">
        <f ca="1">IF(AND(ISNUMBER($BI$751),$B$511=1),$BI$751,HLOOKUP(INDIRECT(ADDRESS(2,COLUMN())),OFFSET($BN$2,0,0,ROW()-1,60),ROW()-1,FALSE))</f>
        <v>2519.5018279999999</v>
      </c>
      <c r="BJ247">
        <f ca="1">IF(AND(ISNUMBER($BJ$751),$B$511=1),$BJ$751,HLOOKUP(INDIRECT(ADDRESS(2,COLUMN())),OFFSET($BN$2,0,0,ROW()-1,60),ROW()-1,FALSE))</f>
        <v>2912.2597500000002</v>
      </c>
      <c r="BK247">
        <f ca="1">IF(AND(ISNUMBER($BK$751),$B$511=1),$BK$751,HLOOKUP(INDIRECT(ADDRESS(2,COLUMN())),OFFSET($BN$2,0,0,ROW()-1,60),ROW()-1,FALSE))</f>
        <v>3065.75065</v>
      </c>
      <c r="BL247" t="str">
        <f ca="1">IF(AND(ISNUMBER($BL$751),$B$511=1),$BL$751,HLOOKUP(INDIRECT(ADDRESS(2,COLUMN())),OFFSET($BN$2,0,0,ROW()-1,60),ROW()-1,FALSE))</f>
        <v/>
      </c>
      <c r="BM247" t="str">
        <f ca="1">IF(AND(ISNUMBER($BM$751),$B$511=1),$BM$751,HLOOKUP(INDIRECT(ADDRESS(2,COLUMN())),OFFSET($BN$2,0,0,ROW()-1,60),ROW()-1,FALSE))</f>
        <v/>
      </c>
      <c r="BN247" t="str">
        <f>""</f>
        <v/>
      </c>
      <c r="BO247" t="str">
        <f>""</f>
        <v/>
      </c>
      <c r="BP247">
        <f>-6921.222856</f>
        <v>-6921.2228560000003</v>
      </c>
      <c r="BQ247">
        <f>-7843.382468</f>
        <v>-7843.3824679999998</v>
      </c>
      <c r="BR247">
        <f>-12366.92009</f>
        <v>-12366.92009</v>
      </c>
      <c r="BS247">
        <f>-16304.13764</f>
        <v>-16304.137640000001</v>
      </c>
      <c r="BT247">
        <f>-19030.94724</f>
        <v>-19030.947240000001</v>
      </c>
      <c r="BU247">
        <f>-15584.37093</f>
        <v>-15584.370929999999</v>
      </c>
      <c r="BV247">
        <f>-6536.618725</f>
        <v>-6536.6187250000003</v>
      </c>
      <c r="BW247">
        <f>-4119.61634</f>
        <v>-4119.6163399999996</v>
      </c>
      <c r="BX247">
        <f>-2132.100592</f>
        <v>-2132.1005919999998</v>
      </c>
      <c r="BY247">
        <f>-1896.961984</f>
        <v>-1896.961984</v>
      </c>
      <c r="BZ247">
        <f>-1733.827103</f>
        <v>-1733.8271030000001</v>
      </c>
      <c r="CA247">
        <f>517.2602946</f>
        <v>517.26029459999995</v>
      </c>
      <c r="CB247">
        <f>2016.203643</f>
        <v>2016.2036430000001</v>
      </c>
      <c r="CC247">
        <f>2201.084525</f>
        <v>2201.0845250000002</v>
      </c>
      <c r="CD247">
        <f>216.9433988</f>
        <v>216.94339880000001</v>
      </c>
      <c r="CE247">
        <f>-1630.052082</f>
        <v>-1630.0520819999999</v>
      </c>
      <c r="CF247">
        <f>-1376.00849</f>
        <v>-1376.0084899999999</v>
      </c>
      <c r="CG247">
        <f>-223.8805629</f>
        <v>-223.8805629</v>
      </c>
      <c r="CH247">
        <f>269.4625253</f>
        <v>269.46252529999998</v>
      </c>
      <c r="CI247">
        <f>1605.928527</f>
        <v>1605.928527</v>
      </c>
      <c r="CJ247">
        <f>1247.830237</f>
        <v>1247.8302369999999</v>
      </c>
      <c r="CK247">
        <f>-1593.78867</f>
        <v>-1593.7886699999999</v>
      </c>
      <c r="CL247">
        <f>-2808.918834</f>
        <v>-2808.9188340000001</v>
      </c>
      <c r="CM247">
        <f>-4224.086537</f>
        <v>-4224.0865370000001</v>
      </c>
      <c r="CN247">
        <f>-2935.50639</f>
        <v>-2935.50639</v>
      </c>
      <c r="CO247">
        <f>-2392.853799</f>
        <v>-2392.853799</v>
      </c>
      <c r="CP247">
        <f>-1936.0612</f>
        <v>-1936.0612000000001</v>
      </c>
      <c r="CQ247">
        <f>575.0620816</f>
        <v>575.06208160000006</v>
      </c>
      <c r="CR247">
        <f>1417.085425</f>
        <v>1417.085425</v>
      </c>
      <c r="CS247">
        <f>2854.348766</f>
        <v>2854.3487660000001</v>
      </c>
      <c r="CT247">
        <f>6625.546008</f>
        <v>6625.5460080000003</v>
      </c>
      <c r="CU247">
        <f>7557.703609</f>
        <v>7557.7036090000001</v>
      </c>
      <c r="CV247">
        <f>10504.11509</f>
        <v>10504.115089999999</v>
      </c>
      <c r="CW247">
        <f>9734.650139</f>
        <v>9734.6501389999994</v>
      </c>
      <c r="CX247">
        <f>10295.0497</f>
        <v>10295.0497</v>
      </c>
      <c r="CY247">
        <f>9451.491857</f>
        <v>9451.4918570000009</v>
      </c>
      <c r="CZ247">
        <f>1626.047655</f>
        <v>1626.0476550000001</v>
      </c>
      <c r="DA247">
        <f>1617.928004</f>
        <v>1617.9280040000001</v>
      </c>
      <c r="DB247">
        <f>-324.4893336</f>
        <v>-324.48933360000001</v>
      </c>
      <c r="DC247">
        <f>-1993.055148</f>
        <v>-1993.0551479999999</v>
      </c>
      <c r="DD247">
        <f>5910.251857</f>
        <v>5910.2518570000002</v>
      </c>
      <c r="DE247">
        <f>6759.481264</f>
        <v>6759.481264</v>
      </c>
      <c r="DF247">
        <f>9604.840405</f>
        <v>9604.8404050000008</v>
      </c>
      <c r="DG247">
        <f>11606.55014</f>
        <v>11606.550139999999</v>
      </c>
      <c r="DH247">
        <f>11614.66075</f>
        <v>11614.660749999999</v>
      </c>
      <c r="DI247">
        <f>10796.72121</f>
        <v>10796.72121</v>
      </c>
      <c r="DJ247">
        <f>9366.877304</f>
        <v>9366.8773039999996</v>
      </c>
      <c r="DK247">
        <f>9146.50744</f>
        <v>9146.5074399999994</v>
      </c>
      <c r="DL247">
        <f>9442.618567</f>
        <v>9442.6185669999995</v>
      </c>
      <c r="DM247">
        <f>8939.695259</f>
        <v>8939.6952590000001</v>
      </c>
      <c r="DN247">
        <f>7085.237252</f>
        <v>7085.2372519999999</v>
      </c>
      <c r="DO247">
        <f>4640.930916</f>
        <v>4640.9309160000003</v>
      </c>
      <c r="DP247">
        <f>2989.798902</f>
        <v>2989.798902</v>
      </c>
      <c r="DQ247">
        <f>2519.501828</f>
        <v>2519.5018279999999</v>
      </c>
      <c r="DR247">
        <f>2912.25975</f>
        <v>2912.2597500000002</v>
      </c>
      <c r="DS247">
        <f>3065.75065</f>
        <v>3065.75065</v>
      </c>
      <c r="DT247" t="str">
        <f>""</f>
        <v/>
      </c>
      <c r="DU247" t="str">
        <f>""</f>
        <v/>
      </c>
    </row>
    <row r="248" spans="1:125" x14ac:dyDescent="0.25">
      <c r="A248" t="str">
        <f>"    Yulon Motor Co Ltd"</f>
        <v xml:space="preserve">    Yulon Motor Co Ltd</v>
      </c>
      <c r="B248" t="str">
        <f>"2201 TT Equity"</f>
        <v>2201 TT Equity</v>
      </c>
      <c r="C248" t="str">
        <f t="shared" si="15"/>
        <v>RR843</v>
      </c>
      <c r="D248" t="str">
        <f t="shared" si="16"/>
        <v>TRAIL_12M_FREE_CASH_FLOW</v>
      </c>
      <c r="E248" t="str">
        <f t="shared" si="17"/>
        <v>Dynamic</v>
      </c>
      <c r="F248" t="str">
        <f ca="1">IF(AND(ISNUMBER($F$752),$B$511=1),$F$752,HLOOKUP(INDIRECT(ADDRESS(2,COLUMN())),OFFSET($BN$2,0,0,ROW()-1,60),ROW()-1,FALSE))</f>
        <v/>
      </c>
      <c r="G248" t="str">
        <f ca="1">IF(AND(ISNUMBER($G$752),$B$511=1),$G$752,HLOOKUP(INDIRECT(ADDRESS(2,COLUMN())),OFFSET($BN$2,0,0,ROW()-1,60),ROW()-1,FALSE))</f>
        <v/>
      </c>
      <c r="H248">
        <f ca="1">IF(AND(ISNUMBER($H$752),$B$511=1),$H$752,HLOOKUP(INDIRECT(ADDRESS(2,COLUMN())),OFFSET($BN$2,0,0,ROW()-1,60),ROW()-1,FALSE))</f>
        <v>-1135.5703759999999</v>
      </c>
      <c r="I248">
        <f ca="1">IF(AND(ISNUMBER($I$752),$B$511=1),$I$752,HLOOKUP(INDIRECT(ADDRESS(2,COLUMN())),OFFSET($BN$2,0,0,ROW()-1,60),ROW()-1,FALSE))</f>
        <v>-941.45506790000002</v>
      </c>
      <c r="J248">
        <f ca="1">IF(AND(ISNUMBER($J$752),$B$511=1),$J$752,HLOOKUP(INDIRECT(ADDRESS(2,COLUMN())),OFFSET($BN$2,0,0,ROW()-1,60),ROW()-1,FALSE))</f>
        <v>-834.45150899999999</v>
      </c>
      <c r="K248">
        <f ca="1">IF(AND(ISNUMBER($K$752),$B$511=1),$K$752,HLOOKUP(INDIRECT(ADDRESS(2,COLUMN())),OFFSET($BN$2,0,0,ROW()-1,60),ROW()-1,FALSE))</f>
        <v>-691.96435069999995</v>
      </c>
      <c r="L248">
        <f ca="1">IF(AND(ISNUMBER($L$752),$B$511=1),$L$752,HLOOKUP(INDIRECT(ADDRESS(2,COLUMN())),OFFSET($BN$2,0,0,ROW()-1,60),ROW()-1,FALSE))</f>
        <v>-667.52889589999995</v>
      </c>
      <c r="M248">
        <f ca="1">IF(AND(ISNUMBER($M$752),$B$511=1),$M$752,HLOOKUP(INDIRECT(ADDRESS(2,COLUMN())),OFFSET($BN$2,0,0,ROW()-1,60),ROW()-1,FALSE))</f>
        <v>-500.85543610000002</v>
      </c>
      <c r="N248">
        <f ca="1">IF(AND(ISNUMBER($N$752),$B$511=1),$N$752,HLOOKUP(INDIRECT(ADDRESS(2,COLUMN())),OFFSET($BN$2,0,0,ROW()-1,60),ROW()-1,FALSE))</f>
        <v>-432.35873729999997</v>
      </c>
      <c r="O248">
        <f ca="1">IF(AND(ISNUMBER($O$752),$B$511=1),$O$752,HLOOKUP(INDIRECT(ADDRESS(2,COLUMN())),OFFSET($BN$2,0,0,ROW()-1,60),ROW()-1,FALSE))</f>
        <v>-292.26606709999999</v>
      </c>
      <c r="P248" t="str">
        <f ca="1">IF(AND(ISNUMBER($P$752),$B$511=1),$P$752,HLOOKUP(INDIRECT(ADDRESS(2,COLUMN())),OFFSET($BN$2,0,0,ROW()-1,60),ROW()-1,FALSE))</f>
        <v/>
      </c>
      <c r="Q248" t="str">
        <f ca="1">IF(AND(ISNUMBER($Q$752),$B$511=1),$Q$752,HLOOKUP(INDIRECT(ADDRESS(2,COLUMN())),OFFSET($BN$2,0,0,ROW()-1,60),ROW()-1,FALSE))</f>
        <v/>
      </c>
      <c r="R248" t="str">
        <f ca="1">IF(AND(ISNUMBER($R$752),$B$511=1),$R$752,HLOOKUP(INDIRECT(ADDRESS(2,COLUMN())),OFFSET($BN$2,0,0,ROW()-1,60),ROW()-1,FALSE))</f>
        <v/>
      </c>
      <c r="S248" t="str">
        <f ca="1">IF(AND(ISNUMBER($S$752),$B$511=1),$S$752,HLOOKUP(INDIRECT(ADDRESS(2,COLUMN())),OFFSET($BN$2,0,0,ROW()-1,60),ROW()-1,FALSE))</f>
        <v/>
      </c>
      <c r="T248">
        <f ca="1">IF(AND(ISNUMBER($T$752),$B$511=1),$T$752,HLOOKUP(INDIRECT(ADDRESS(2,COLUMN())),OFFSET($BN$2,0,0,ROW()-1,60),ROW()-1,FALSE))</f>
        <v>-436.99370499999998</v>
      </c>
      <c r="U248">
        <f ca="1">IF(AND(ISNUMBER($U$752),$B$511=1),$U$752,HLOOKUP(INDIRECT(ADDRESS(2,COLUMN())),OFFSET($BN$2,0,0,ROW()-1,60),ROW()-1,FALSE))</f>
        <v>-463.63717969999999</v>
      </c>
      <c r="V248">
        <f ca="1">IF(AND(ISNUMBER($V$752),$B$511=1),$V$752,HLOOKUP(INDIRECT(ADDRESS(2,COLUMN())),OFFSET($BN$2,0,0,ROW()-1,60),ROW()-1,FALSE))</f>
        <v>-505.88809029999999</v>
      </c>
      <c r="W248">
        <f ca="1">IF(AND(ISNUMBER($W$752),$B$511=1),$W$752,HLOOKUP(INDIRECT(ADDRESS(2,COLUMN())),OFFSET($BN$2,0,0,ROW()-1,60),ROW()-1,FALSE))</f>
        <v>-486.67080019999997</v>
      </c>
      <c r="X248">
        <f ca="1">IF(AND(ISNUMBER($X$752),$B$511=1),$X$752,HLOOKUP(INDIRECT(ADDRESS(2,COLUMN())),OFFSET($BN$2,0,0,ROW()-1,60),ROW()-1,FALSE))</f>
        <v>-529.16109489999997</v>
      </c>
      <c r="Y248">
        <f ca="1">IF(AND(ISNUMBER($Y$752),$B$511=1),$Y$752,HLOOKUP(INDIRECT(ADDRESS(2,COLUMN())),OFFSET($BN$2,0,0,ROW()-1,60),ROW()-1,FALSE))</f>
        <v>-407.54029359999998</v>
      </c>
      <c r="Z248">
        <f ca="1">IF(AND(ISNUMBER($Z$752),$B$511=1),$Z$752,HLOOKUP(INDIRECT(ADDRESS(2,COLUMN())),OFFSET($BN$2,0,0,ROW()-1,60),ROW()-1,FALSE))</f>
        <v>-282.89573380000002</v>
      </c>
      <c r="AA248">
        <f ca="1">IF(AND(ISNUMBER($AA$752),$B$511=1),$AA$752,HLOOKUP(INDIRECT(ADDRESS(2,COLUMN())),OFFSET($BN$2,0,0,ROW()-1,60),ROW()-1,FALSE))</f>
        <v>-219.1531253</v>
      </c>
      <c r="AB248">
        <f ca="1">IF(AND(ISNUMBER($AB$752),$B$511=1),$AB$752,HLOOKUP(INDIRECT(ADDRESS(2,COLUMN())),OFFSET($BN$2,0,0,ROW()-1,60),ROW()-1,FALSE))</f>
        <v>-49.765127819999996</v>
      </c>
      <c r="AC248">
        <f ca="1">IF(AND(ISNUMBER($AC$752),$B$511=1),$AC$752,HLOOKUP(INDIRECT(ADDRESS(2,COLUMN())),OFFSET($BN$2,0,0,ROW()-1,60),ROW()-1,FALSE))</f>
        <v>-49.755229290000003</v>
      </c>
      <c r="AD248">
        <f ca="1">IF(AND(ISNUMBER($AD$752),$B$511=1),$AD$752,HLOOKUP(INDIRECT(ADDRESS(2,COLUMN())),OFFSET($BN$2,0,0,ROW()-1,60),ROW()-1,FALSE))</f>
        <v>-252.53330750000001</v>
      </c>
      <c r="AE248">
        <f ca="1">IF(AND(ISNUMBER($AE$752),$B$511=1),$AE$752,HLOOKUP(INDIRECT(ADDRESS(2,COLUMN())),OFFSET($BN$2,0,0,ROW()-1,60),ROW()-1,FALSE))</f>
        <v>-317.92943159999999</v>
      </c>
      <c r="AF248">
        <f ca="1">IF(AND(ISNUMBER($AF$752),$B$511=1),$AF$752,HLOOKUP(INDIRECT(ADDRESS(2,COLUMN())),OFFSET($BN$2,0,0,ROW()-1,60),ROW()-1,FALSE))</f>
        <v>-312.7290615</v>
      </c>
      <c r="AG248">
        <f ca="1">IF(AND(ISNUMBER($AG$752),$B$511=1),$AG$752,HLOOKUP(INDIRECT(ADDRESS(2,COLUMN())),OFFSET($BN$2,0,0,ROW()-1,60),ROW()-1,FALSE))</f>
        <v>-461.5516609</v>
      </c>
      <c r="AH248">
        <f ca="1">IF(AND(ISNUMBER($AH$752),$B$511=1),$AH$752,HLOOKUP(INDIRECT(ADDRESS(2,COLUMN())),OFFSET($BN$2,0,0,ROW()-1,60),ROW()-1,FALSE))</f>
        <v>-327.81329369999997</v>
      </c>
      <c r="AI248">
        <f ca="1">IF(AND(ISNUMBER($AI$752),$B$511=1),$AI$752,HLOOKUP(INDIRECT(ADDRESS(2,COLUMN())),OFFSET($BN$2,0,0,ROW()-1,60),ROW()-1,FALSE))</f>
        <v>-404.75347629999999</v>
      </c>
      <c r="AJ248">
        <f ca="1">IF(AND(ISNUMBER($AJ$752),$B$511=1),$AJ$752,HLOOKUP(INDIRECT(ADDRESS(2,COLUMN())),OFFSET($BN$2,0,0,ROW()-1,60),ROW()-1,FALSE))</f>
        <v>-461.50012650000002</v>
      </c>
      <c r="AK248">
        <f ca="1">IF(AND(ISNUMBER($AK$752),$B$511=1),$AK$752,HLOOKUP(INDIRECT(ADDRESS(2,COLUMN())),OFFSET($BN$2,0,0,ROW()-1,60),ROW()-1,FALSE))</f>
        <v>-336.5135214</v>
      </c>
      <c r="AL248">
        <f ca="1">IF(AND(ISNUMBER($AL$752),$B$511=1),$AL$752,HLOOKUP(INDIRECT(ADDRESS(2,COLUMN())),OFFSET($BN$2,0,0,ROW()-1,60),ROW()-1,FALSE))</f>
        <v>-261.44851010000002</v>
      </c>
      <c r="AM248">
        <f ca="1">IF(AND(ISNUMBER($AM$752),$B$511=1),$AM$752,HLOOKUP(INDIRECT(ADDRESS(2,COLUMN())),OFFSET($BN$2,0,0,ROW()-1,60),ROW()-1,FALSE))</f>
        <v>-274.40328920000002</v>
      </c>
      <c r="AN248">
        <f ca="1">IF(AND(ISNUMBER($AN$752),$B$511=1),$AN$752,HLOOKUP(INDIRECT(ADDRESS(2,COLUMN())),OFFSET($BN$2,0,0,ROW()-1,60),ROW()-1,FALSE))</f>
        <v>8.0384845770000002</v>
      </c>
      <c r="AO248">
        <f ca="1">IF(AND(ISNUMBER($AO$752),$B$511=1),$AO$752,HLOOKUP(INDIRECT(ADDRESS(2,COLUMN())),OFFSET($BN$2,0,0,ROW()-1,60),ROW()-1,FALSE))</f>
        <v>-235.08933479999999</v>
      </c>
      <c r="AP248">
        <f ca="1">IF(AND(ISNUMBER($AP$752),$B$511=1),$AP$752,HLOOKUP(INDIRECT(ADDRESS(2,COLUMN())),OFFSET($BN$2,0,0,ROW()-1,60),ROW()-1,FALSE))</f>
        <v>-188.77652209999999</v>
      </c>
      <c r="AQ248">
        <f ca="1">IF(AND(ISNUMBER($AQ$752),$B$511=1),$AQ$752,HLOOKUP(INDIRECT(ADDRESS(2,COLUMN())),OFFSET($BN$2,0,0,ROW()-1,60),ROW()-1,FALSE))</f>
        <v>-135.8664574</v>
      </c>
      <c r="AR248">
        <f ca="1">IF(AND(ISNUMBER($AR$752),$B$511=1),$AR$752,HLOOKUP(INDIRECT(ADDRESS(2,COLUMN())),OFFSET($BN$2,0,0,ROW()-1,60),ROW()-1,FALSE))</f>
        <v>-366.14585039999997</v>
      </c>
      <c r="AS248">
        <f ca="1">IF(AND(ISNUMBER($AS$752),$B$511=1),$AS$752,HLOOKUP(INDIRECT(ADDRESS(2,COLUMN())),OFFSET($BN$2,0,0,ROW()-1,60),ROW()-1,FALSE))</f>
        <v>-139.2335214</v>
      </c>
      <c r="AT248">
        <f ca="1">IF(AND(ISNUMBER($AT$752),$B$511=1),$AT$752,HLOOKUP(INDIRECT(ADDRESS(2,COLUMN())),OFFSET($BN$2,0,0,ROW()-1,60),ROW()-1,FALSE))</f>
        <v>-160.95587420000001</v>
      </c>
      <c r="AU248">
        <f ca="1">IF(AND(ISNUMBER($AU$752),$B$511=1),$AU$752,HLOOKUP(INDIRECT(ADDRESS(2,COLUMN())),OFFSET($BN$2,0,0,ROW()-1,60),ROW()-1,FALSE))</f>
        <v>-48.230290369999999</v>
      </c>
      <c r="AV248" t="str">
        <f ca="1">IF(AND(ISNUMBER($AV$752),$B$511=1),$AV$752,HLOOKUP(INDIRECT(ADDRESS(2,COLUMN())),OFFSET($BN$2,0,0,ROW()-1,60),ROW()-1,FALSE))</f>
        <v/>
      </c>
      <c r="AW248" t="str">
        <f ca="1">IF(AND(ISNUMBER($AW$752),$B$511=1),$AW$752,HLOOKUP(INDIRECT(ADDRESS(2,COLUMN())),OFFSET($BN$2,0,0,ROW()-1,60),ROW()-1,FALSE))</f>
        <v/>
      </c>
      <c r="AX248" t="str">
        <f ca="1">IF(AND(ISNUMBER($AX$752),$B$511=1),$AX$752,HLOOKUP(INDIRECT(ADDRESS(2,COLUMN())),OFFSET($BN$2,0,0,ROW()-1,60),ROW()-1,FALSE))</f>
        <v/>
      </c>
      <c r="AY248" t="str">
        <f ca="1">IF(AND(ISNUMBER($AY$752),$B$511=1),$AY$752,HLOOKUP(INDIRECT(ADDRESS(2,COLUMN())),OFFSET($BN$2,0,0,ROW()-1,60),ROW()-1,FALSE))</f>
        <v/>
      </c>
      <c r="AZ248" t="str">
        <f ca="1">IF(AND(ISNUMBER($AZ$752),$B$511=1),$AZ$752,HLOOKUP(INDIRECT(ADDRESS(2,COLUMN())),OFFSET($BN$2,0,0,ROW()-1,60),ROW()-1,FALSE))</f>
        <v/>
      </c>
      <c r="BA248" t="str">
        <f ca="1">IF(AND(ISNUMBER($BA$752),$B$511=1),$BA$752,HLOOKUP(INDIRECT(ADDRESS(2,COLUMN())),OFFSET($BN$2,0,0,ROW()-1,60),ROW()-1,FALSE))</f>
        <v/>
      </c>
      <c r="BB248" t="str">
        <f ca="1">IF(AND(ISNUMBER($BB$752),$B$511=1),$BB$752,HLOOKUP(INDIRECT(ADDRESS(2,COLUMN())),OFFSET($BN$2,0,0,ROW()-1,60),ROW()-1,FALSE))</f>
        <v/>
      </c>
      <c r="BC248" t="str">
        <f ca="1">IF(AND(ISNUMBER($BC$752),$B$511=1),$BC$752,HLOOKUP(INDIRECT(ADDRESS(2,COLUMN())),OFFSET($BN$2,0,0,ROW()-1,60),ROW()-1,FALSE))</f>
        <v/>
      </c>
      <c r="BD248" t="str">
        <f ca="1">IF(AND(ISNUMBER($BD$752),$B$511=1),$BD$752,HLOOKUP(INDIRECT(ADDRESS(2,COLUMN())),OFFSET($BN$2,0,0,ROW()-1,60),ROW()-1,FALSE))</f>
        <v/>
      </c>
      <c r="BE248" t="str">
        <f ca="1">IF(AND(ISNUMBER($BE$752),$B$511=1),$BE$752,HLOOKUP(INDIRECT(ADDRESS(2,COLUMN())),OFFSET($BN$2,0,0,ROW()-1,60),ROW()-1,FALSE))</f>
        <v/>
      </c>
      <c r="BF248" t="str">
        <f ca="1">IF(AND(ISNUMBER($BF$752),$B$511=1),$BF$752,HLOOKUP(INDIRECT(ADDRESS(2,COLUMN())),OFFSET($BN$2,0,0,ROW()-1,60),ROW()-1,FALSE))</f>
        <v/>
      </c>
      <c r="BG248" t="str">
        <f ca="1">IF(AND(ISNUMBER($BG$752),$B$511=1),$BG$752,HLOOKUP(INDIRECT(ADDRESS(2,COLUMN())),OFFSET($BN$2,0,0,ROW()-1,60),ROW()-1,FALSE))</f>
        <v/>
      </c>
      <c r="BH248" t="str">
        <f ca="1">IF(AND(ISNUMBER($BH$752),$B$511=1),$BH$752,HLOOKUP(INDIRECT(ADDRESS(2,COLUMN())),OFFSET($BN$2,0,0,ROW()-1,60),ROW()-1,FALSE))</f>
        <v/>
      </c>
      <c r="BI248" t="str">
        <f ca="1">IF(AND(ISNUMBER($BI$752),$B$511=1),$BI$752,HLOOKUP(INDIRECT(ADDRESS(2,COLUMN())),OFFSET($BN$2,0,0,ROW()-1,60),ROW()-1,FALSE))</f>
        <v/>
      </c>
      <c r="BJ248" t="str">
        <f ca="1">IF(AND(ISNUMBER($BJ$752),$B$511=1),$BJ$752,HLOOKUP(INDIRECT(ADDRESS(2,COLUMN())),OFFSET($BN$2,0,0,ROW()-1,60),ROW()-1,FALSE))</f>
        <v/>
      </c>
      <c r="BK248" t="str">
        <f ca="1">IF(AND(ISNUMBER($BK$752),$B$511=1),$BK$752,HLOOKUP(INDIRECT(ADDRESS(2,COLUMN())),OFFSET($BN$2,0,0,ROW()-1,60),ROW()-1,FALSE))</f>
        <v/>
      </c>
      <c r="BL248" t="str">
        <f ca="1">IF(AND(ISNUMBER($BL$752),$B$511=1),$BL$752,HLOOKUP(INDIRECT(ADDRESS(2,COLUMN())),OFFSET($BN$2,0,0,ROW()-1,60),ROW()-1,FALSE))</f>
        <v/>
      </c>
      <c r="BM248" t="str">
        <f ca="1">IF(AND(ISNUMBER($BM$752),$B$511=1),$BM$752,HLOOKUP(INDIRECT(ADDRESS(2,COLUMN())),OFFSET($BN$2,0,0,ROW()-1,60),ROW()-1,FALSE))</f>
        <v/>
      </c>
      <c r="BN248" t="str">
        <f>""</f>
        <v/>
      </c>
      <c r="BO248" t="str">
        <f>""</f>
        <v/>
      </c>
      <c r="BP248">
        <f>-1135.570376</f>
        <v>-1135.5703759999999</v>
      </c>
      <c r="BQ248">
        <f>-941.4550679</f>
        <v>-941.45506790000002</v>
      </c>
      <c r="BR248">
        <f>-834.451509</f>
        <v>-834.45150899999999</v>
      </c>
      <c r="BS248">
        <f>-691.9643507</f>
        <v>-691.96435069999995</v>
      </c>
      <c r="BT248">
        <f>-667.5288959</f>
        <v>-667.52889589999995</v>
      </c>
      <c r="BU248">
        <f>-500.8554361</f>
        <v>-500.85543610000002</v>
      </c>
      <c r="BV248">
        <f>-432.3587373</f>
        <v>-432.35873729999997</v>
      </c>
      <c r="BW248">
        <f>-292.2660671</f>
        <v>-292.26606709999999</v>
      </c>
      <c r="BX248" t="str">
        <f>""</f>
        <v/>
      </c>
      <c r="BY248" t="str">
        <f>""</f>
        <v/>
      </c>
      <c r="BZ248" t="str">
        <f>""</f>
        <v/>
      </c>
      <c r="CA248" t="str">
        <f>""</f>
        <v/>
      </c>
      <c r="CB248">
        <f>-436.993705</f>
        <v>-436.99370499999998</v>
      </c>
      <c r="CC248">
        <f>-463.6371797</f>
        <v>-463.63717969999999</v>
      </c>
      <c r="CD248">
        <f>-505.8880903</f>
        <v>-505.88809029999999</v>
      </c>
      <c r="CE248">
        <f>-486.6708002</f>
        <v>-486.67080019999997</v>
      </c>
      <c r="CF248">
        <f>-529.1610949</f>
        <v>-529.16109489999997</v>
      </c>
      <c r="CG248">
        <f>-407.5402936</f>
        <v>-407.54029359999998</v>
      </c>
      <c r="CH248">
        <f>-282.8957338</f>
        <v>-282.89573380000002</v>
      </c>
      <c r="CI248">
        <f>-219.1531253</f>
        <v>-219.1531253</v>
      </c>
      <c r="CJ248">
        <f>-49.76512782</f>
        <v>-49.765127819999996</v>
      </c>
      <c r="CK248">
        <f>-49.75522929</f>
        <v>-49.755229290000003</v>
      </c>
      <c r="CL248">
        <f>-252.5333075</f>
        <v>-252.53330750000001</v>
      </c>
      <c r="CM248">
        <f>-317.9294316</f>
        <v>-317.92943159999999</v>
      </c>
      <c r="CN248">
        <f>-312.7290615</f>
        <v>-312.7290615</v>
      </c>
      <c r="CO248">
        <f>-461.5516609</f>
        <v>-461.5516609</v>
      </c>
      <c r="CP248">
        <f>-327.8132937</f>
        <v>-327.81329369999997</v>
      </c>
      <c r="CQ248">
        <f>-404.7534763</f>
        <v>-404.75347629999999</v>
      </c>
      <c r="CR248">
        <f>-461.5001265</f>
        <v>-461.50012650000002</v>
      </c>
      <c r="CS248">
        <f>-336.5135214</f>
        <v>-336.5135214</v>
      </c>
      <c r="CT248">
        <f>-261.4485101</f>
        <v>-261.44851010000002</v>
      </c>
      <c r="CU248">
        <f>-274.4032892</f>
        <v>-274.40328920000002</v>
      </c>
      <c r="CV248">
        <f>8.038484577</f>
        <v>8.0384845770000002</v>
      </c>
      <c r="CW248">
        <f>-235.0893348</f>
        <v>-235.08933479999999</v>
      </c>
      <c r="CX248">
        <f>-188.7765221</f>
        <v>-188.77652209999999</v>
      </c>
      <c r="CY248">
        <f>-135.8664574</f>
        <v>-135.8664574</v>
      </c>
      <c r="CZ248">
        <f>-366.1458504</f>
        <v>-366.14585039999997</v>
      </c>
      <c r="DA248">
        <f>-139.2335214</f>
        <v>-139.2335214</v>
      </c>
      <c r="DB248">
        <f>-160.9558742</f>
        <v>-160.95587420000001</v>
      </c>
      <c r="DC248">
        <f>-48.23029037</f>
        <v>-48.230290369999999</v>
      </c>
      <c r="DD248" t="str">
        <f>""</f>
        <v/>
      </c>
      <c r="DE248" t="str">
        <f>""</f>
        <v/>
      </c>
      <c r="DF248" t="str">
        <f>""</f>
        <v/>
      </c>
      <c r="DG248" t="str">
        <f>""</f>
        <v/>
      </c>
      <c r="DH248" t="str">
        <f>""</f>
        <v/>
      </c>
      <c r="DI248" t="str">
        <f>""</f>
        <v/>
      </c>
      <c r="DJ248" t="str">
        <f>""</f>
        <v/>
      </c>
      <c r="DK248" t="str">
        <f>""</f>
        <v/>
      </c>
      <c r="DL248" t="str">
        <f>""</f>
        <v/>
      </c>
      <c r="DM248" t="str">
        <f>""</f>
        <v/>
      </c>
      <c r="DN248" t="str">
        <f>""</f>
        <v/>
      </c>
      <c r="DO248" t="str">
        <f>""</f>
        <v/>
      </c>
      <c r="DP248" t="str">
        <f>""</f>
        <v/>
      </c>
      <c r="DQ248" t="str">
        <f>""</f>
        <v/>
      </c>
      <c r="DR248" t="str">
        <f>""</f>
        <v/>
      </c>
      <c r="DS248" t="str">
        <f>""</f>
        <v/>
      </c>
      <c r="DT248" t="str">
        <f>""</f>
        <v/>
      </c>
      <c r="DU248" t="str">
        <f>""</f>
        <v/>
      </c>
    </row>
    <row r="249" spans="1:125" x14ac:dyDescent="0.25">
      <c r="A249" t="str">
        <f>"Book Value"</f>
        <v>Book Value</v>
      </c>
      <c r="B249" t="str">
        <f>""</f>
        <v/>
      </c>
      <c r="E249" t="str">
        <f>"Average"</f>
        <v>Average</v>
      </c>
      <c r="F249" t="str">
        <f ca="1">IF(ISERROR(IF(AVERAGE($F$250:$F$289) = 0, "", AVERAGE($F$250:$F$289))), "", (IF(AVERAGE($F$250:$F$289) = 0, "", AVERAGE($F$250:$F$289))))</f>
        <v/>
      </c>
      <c r="G249">
        <f ca="1">IF(ISERROR(IF(AVERAGE($G$250:$G$289) = 0, "", AVERAGE($G$250:$G$289))), "", (IF(AVERAGE($G$250:$G$289) = 0, "", AVERAGE($G$250:$G$289))))</f>
        <v>37650.968092928575</v>
      </c>
      <c r="H249">
        <f ca="1">IF(ISERROR(IF(AVERAGE($H$250:$H$289) = 0, "", AVERAGE($H$250:$H$289))), "", (IF(AVERAGE($H$250:$H$289) = 0, "", AVERAGE($H$250:$H$289))))</f>
        <v>28195.387229632259</v>
      </c>
      <c r="I249">
        <f ca="1">IF(ISERROR(IF(AVERAGE($I$250:$I$289) = 0, "", AVERAGE($I$250:$I$289))), "", (IF(AVERAGE($I$250:$I$289) = 0, "", AVERAGE($I$250:$I$289))))</f>
        <v>28461.483742307671</v>
      </c>
      <c r="J249">
        <f ca="1">IF(ISERROR(IF(AVERAGE($J$250:$J$289) = 0, "", AVERAGE($J$250:$J$289))), "", (IF(AVERAGE($J$250:$J$289) = 0, "", AVERAGE($J$250:$J$289))))</f>
        <v>29248.086054303876</v>
      </c>
      <c r="K249">
        <f ca="1">IF(ISERROR(IF(AVERAGE($K$250:$K$289) = 0, "", AVERAGE($K$250:$K$289))), "", (IF(AVERAGE($K$250:$K$289) = 0, "", AVERAGE($K$250:$K$289))))</f>
        <v>28478.519184106946</v>
      </c>
      <c r="L249">
        <f ca="1">IF(ISERROR(IF(AVERAGE($L$250:$L$289) = 0, "", AVERAGE($L$250:$L$289))), "", (IF(AVERAGE($L$250:$L$289) = 0, "", AVERAGE($L$250:$L$289))))</f>
        <v>26815.481800589034</v>
      </c>
      <c r="M249">
        <f ca="1">IF(ISERROR(IF(AVERAGE($M$250:$M$289) = 0, "", AVERAGE($M$250:$M$289))), "", (IF(AVERAGE($M$250:$M$289) = 0, "", AVERAGE($M$250:$M$289))))</f>
        <v>26480.122099133328</v>
      </c>
      <c r="N249">
        <f ca="1">IF(ISERROR(IF(AVERAGE($N$250:$N$289) = 0, "", AVERAGE($N$250:$N$289))), "", (IF(AVERAGE($N$250:$N$289) = 0, "", AVERAGE($N$250:$N$289))))</f>
        <v>25305.179701822581</v>
      </c>
      <c r="O249">
        <f ca="1">IF(ISERROR(IF(AVERAGE($O$250:$O$289) = 0, "", AVERAGE($O$250:$O$289))), "", (IF(AVERAGE($O$250:$O$289) = 0, "", AVERAGE($O$250:$O$289))))</f>
        <v>24054.492076119997</v>
      </c>
      <c r="P249">
        <f ca="1">IF(ISERROR(IF(AVERAGE($P$250:$P$289) = 0, "", AVERAGE($P$250:$P$289))), "", (IF(AVERAGE($P$250:$P$289) = 0, "", AVERAGE($P$250:$P$289))))</f>
        <v>24427.405203967737</v>
      </c>
      <c r="Q249">
        <f ca="1">IF(ISERROR(IF(AVERAGE($Q$250:$Q$289) = 0, "", AVERAGE($Q$250:$Q$289))), "", (IF(AVERAGE($Q$250:$Q$289) = 0, "", AVERAGE($Q$250:$Q$289))))</f>
        <v>24073.919872263334</v>
      </c>
      <c r="R249">
        <f ca="1">IF(ISERROR(IF(AVERAGE($R$250:$R$289) = 0, "", AVERAGE($R$250:$R$289))), "", (IF(AVERAGE($R$250:$R$289) = 0, "", AVERAGE($R$250:$R$289))))</f>
        <v>22906.451404446874</v>
      </c>
      <c r="S249">
        <f ca="1">IF(ISERROR(IF(AVERAGE($S$250:$S$289) = 0, "", AVERAGE($S$250:$S$289))), "", (IF(AVERAGE($S$250:$S$289) = 0, "", AVERAGE($S$250:$S$289))))</f>
        <v>22349.805538080644</v>
      </c>
      <c r="T249">
        <f ca="1">IF(ISERROR(IF(AVERAGE($T$250:$T$289) = 0, "", AVERAGE($T$250:$T$289))), "", (IF(AVERAGE($T$250:$T$289) = 0, "", AVERAGE($T$250:$T$289))))</f>
        <v>21772.725488890625</v>
      </c>
      <c r="U249">
        <f ca="1">IF(ISERROR(IF(AVERAGE($U$250:$U$289) = 0, "", AVERAGE($U$250:$U$289))), "", (IF(AVERAGE($U$250:$U$289) = 0, "", AVERAGE($U$250:$U$289))))</f>
        <v>22805.177908766665</v>
      </c>
      <c r="V249">
        <f ca="1">IF(ISERROR(IF(AVERAGE($V$250:$V$289) = 0, "", AVERAGE($V$250:$V$289))), "", (IF(AVERAGE($V$250:$V$289) = 0, "", AVERAGE($V$250:$V$289))))</f>
        <v>21460.076718658063</v>
      </c>
      <c r="W249">
        <f ca="1">IF(ISERROR(IF(AVERAGE($W$250:$W$289) = 0, "", AVERAGE($W$250:$W$289))), "", (IF(AVERAGE($W$250:$W$289) = 0, "", AVERAGE($W$250:$W$289))))</f>
        <v>22613.542678783331</v>
      </c>
      <c r="X249">
        <f ca="1">IF(ISERROR(IF(AVERAGE($X$250:$X$289) = 0, "", AVERAGE($X$250:$X$289))), "", (IF(AVERAGE($X$250:$X$289) = 0, "", AVERAGE($X$250:$X$289))))</f>
        <v>22765.181104229032</v>
      </c>
      <c r="Y249">
        <f ca="1">IF(ISERROR(IF(AVERAGE($Y$250:$Y$289) = 0, "", AVERAGE($Y$250:$Y$289))), "", (IF(AVERAGE($Y$250:$Y$289) = 0, "", AVERAGE($Y$250:$Y$289))))</f>
        <v>24142.638376572409</v>
      </c>
      <c r="Z249">
        <f ca="1">IF(ISERROR(IF(AVERAGE($Z$250:$Z$289) = 0, "", AVERAGE($Z$250:$Z$289))), "", (IF(AVERAGE($Z$250:$Z$289) = 0, "", AVERAGE($Z$250:$Z$289))))</f>
        <v>23137.304035773333</v>
      </c>
      <c r="AA249">
        <f ca="1">IF(ISERROR(IF(AVERAGE($AA$250:$AA$289) = 0, "", AVERAGE($AA$250:$AA$289))), "", (IF(AVERAGE($AA$250:$AA$289) = 0, "", AVERAGE($AA$250:$AA$289))))</f>
        <v>23118.185075962065</v>
      </c>
      <c r="AB249">
        <f ca="1">IF(ISERROR(IF(AVERAGE($AB$250:$AB$289) = 0, "", AVERAGE($AB$250:$AB$289))), "", (IF(AVERAGE($AB$250:$AB$289) = 0, "", AVERAGE($AB$250:$AB$289))))</f>
        <v>21611.776105752004</v>
      </c>
      <c r="AC249">
        <f ca="1">IF(ISERROR(IF(AVERAGE($AC$250:$AC$289) = 0, "", AVERAGE($AC$250:$AC$289))), "", (IF(AVERAGE($AC$250:$AC$289) = 0, "", AVERAGE($AC$250:$AC$289))))</f>
        <v>20753.505776655169</v>
      </c>
      <c r="AD249">
        <f ca="1">IF(ISERROR(IF(AVERAGE($AD$250:$AD$289) = 0, "", AVERAGE($AD$250:$AD$289))), "", (IF(AVERAGE($AD$250:$AD$289) = 0, "", AVERAGE($AD$250:$AD$289))))</f>
        <v>19883.178008666666</v>
      </c>
      <c r="AE249">
        <f ca="1">IF(ISERROR(IF(AVERAGE($AE$250:$AE$289) = 0, "", AVERAGE($AE$250:$AE$289))), "", (IF(AVERAGE($AE$250:$AE$289) = 0, "", AVERAGE($AE$250:$AE$289))))</f>
        <v>20209.639730172414</v>
      </c>
      <c r="AF249">
        <f ca="1">IF(ISERROR(IF(AVERAGE($AF$250:$AF$289) = 0, "", AVERAGE($AF$250:$AF$289))), "", (IF(AVERAGE($AF$250:$AF$289) = 0, "", AVERAGE($AF$250:$AF$289))))</f>
        <v>20726.712982334477</v>
      </c>
      <c r="AG249">
        <f ca="1">IF(ISERROR(IF(AVERAGE($AG$250:$AG$289) = 0, "", AVERAGE($AG$250:$AG$289))), "", (IF(AVERAGE($AG$250:$AG$289) = 0, "", AVERAGE($AG$250:$AG$289))))</f>
        <v>19773.450383532148</v>
      </c>
      <c r="AH249">
        <f ca="1">IF(ISERROR(IF(AVERAGE($AH$250:$AH$289) = 0, "", AVERAGE($AH$250:$AH$289))), "", (IF(AVERAGE($AH$250:$AH$289) = 0, "", AVERAGE($AH$250:$AH$289))))</f>
        <v>19234.470195724138</v>
      </c>
      <c r="AI249">
        <f ca="1">IF(ISERROR(IF(AVERAGE($AI$250:$AI$289) = 0, "", AVERAGE($AI$250:$AI$289))), "", (IF(AVERAGE($AI$250:$AI$289) = 0, "", AVERAGE($AI$250:$AI$289))))</f>
        <v>19612.585638359258</v>
      </c>
      <c r="AJ249">
        <f ca="1">IF(ISERROR(IF(AVERAGE($AJ$250:$AJ$289) = 0, "", AVERAGE($AJ$250:$AJ$289))), "", (IF(AVERAGE($AJ$250:$AJ$289) = 0, "", AVERAGE($AJ$250:$AJ$289))))</f>
        <v>18286.32291714138</v>
      </c>
      <c r="AK249">
        <f ca="1">IF(ISERROR(IF(AVERAGE($AK$250:$AK$289) = 0, "", AVERAGE($AK$250:$AK$289))), "", (IF(AVERAGE($AK$250:$AK$289) = 0, "", AVERAGE($AK$250:$AK$289))))</f>
        <v>19904.120509280772</v>
      </c>
      <c r="AL249">
        <f ca="1">IF(ISERROR(IF(AVERAGE($AL$250:$AL$289) = 0, "", AVERAGE($AL$250:$AL$289))), "", (IF(AVERAGE($AL$250:$AL$289) = 0, "", AVERAGE($AL$250:$AL$289))))</f>
        <v>17713.454407250003</v>
      </c>
      <c r="AM249">
        <f ca="1">IF(ISERROR(IF(AVERAGE($AM$250:$AM$289) = 0, "", AVERAGE($AM$250:$AM$289))), "", (IF(AVERAGE($AM$250:$AM$289) = 0, "", AVERAGE($AM$250:$AM$289))))</f>
        <v>17498.972883755556</v>
      </c>
      <c r="AN249">
        <f ca="1">IF(ISERROR(IF(AVERAGE($AN$250:$AN$289) = 0, "", AVERAGE($AN$250:$AN$289))), "", (IF(AVERAGE($AN$250:$AN$289) = 0, "", AVERAGE($AN$250:$AN$289))))</f>
        <v>15939.342834407693</v>
      </c>
      <c r="AO249">
        <f ca="1">IF(ISERROR(IF(AVERAGE($AO$250:$AO$289) = 0, "", AVERAGE($AO$250:$AO$289))), "", (IF(AVERAGE($AO$250:$AO$289) = 0, "", AVERAGE($AO$250:$AO$289))))</f>
        <v>14848.031069815999</v>
      </c>
      <c r="AP249">
        <f ca="1">IF(ISERROR(IF(AVERAGE($AP$250:$AP$289) = 0, "", AVERAGE($AP$250:$AP$289))), "", (IF(AVERAGE($AP$250:$AP$289) = 0, "", AVERAGE($AP$250:$AP$289))))</f>
        <v>14160.950885038463</v>
      </c>
      <c r="AQ249">
        <f ca="1">IF(ISERROR(IF(AVERAGE($AQ$250:$AQ$289) = 0, "", AVERAGE($AQ$250:$AQ$289))), "", (IF(AVERAGE($AQ$250:$AQ$289) = 0, "", AVERAGE($AQ$250:$AQ$289))))</f>
        <v>14205.421449800004</v>
      </c>
      <c r="AR249">
        <f ca="1">IF(ISERROR(IF(AVERAGE($AR$250:$AR$289) = 0, "", AVERAGE($AR$250:$AR$289))), "", (IF(AVERAGE($AR$250:$AR$289) = 0, "", AVERAGE($AR$250:$AR$289))))</f>
        <v>14817.356652045833</v>
      </c>
      <c r="AS249">
        <f ca="1">IF(ISERROR(IF(AVERAGE($AS$250:$AS$289) = 0, "", AVERAGE($AS$250:$AS$289))), "", (IF(AVERAGE($AS$250:$AS$289) = 0, "", AVERAGE($AS$250:$AS$289))))</f>
        <v>14261.261610786361</v>
      </c>
      <c r="AT249">
        <f ca="1">IF(ISERROR(IF(AVERAGE($AT$250:$AT$289) = 0, "", AVERAGE($AT$250:$AT$289))), "", (IF(AVERAGE($AT$250:$AT$289) = 0, "", AVERAGE($AT$250:$AT$289))))</f>
        <v>12881.422260643481</v>
      </c>
      <c r="AU249">
        <f ca="1">IF(ISERROR(IF(AVERAGE($AU$250:$AU$289) = 0, "", AVERAGE($AU$250:$AU$289))), "", (IF(AVERAGE($AU$250:$AU$289) = 0, "", AVERAGE($AU$250:$AU$289))))</f>
        <v>15842.98537359048</v>
      </c>
      <c r="AV249">
        <f ca="1">IF(ISERROR(IF(AVERAGE($AV$250:$AV$289) = 0, "", AVERAGE($AV$250:$AV$289))), "", (IF(AVERAGE($AV$250:$AV$289) = 0, "", AVERAGE($AV$250:$AV$289))))</f>
        <v>16411.589089185716</v>
      </c>
      <c r="AW249">
        <f ca="1">IF(ISERROR(IF(AVERAGE($AW$250:$AW$289) = 0, "", AVERAGE($AW$250:$AW$289))), "", (IF(AVERAGE($AW$250:$AW$289) = 0, "", AVERAGE($AW$250:$AW$289))))</f>
        <v>17404.329903114285</v>
      </c>
      <c r="AX249">
        <f ca="1">IF(ISERROR(IF(AVERAGE($AX$250:$AX$289) = 0, "", AVERAGE($AX$250:$AX$289))), "", (IF(AVERAGE($AX$250:$AX$289) = 0, "", AVERAGE($AX$250:$AX$289))))</f>
        <v>17491.106489022724</v>
      </c>
      <c r="AY249">
        <f ca="1">IF(ISERROR(IF(AVERAGE($AY$250:$AY$289) = 0, "", AVERAGE($AY$250:$AY$289))), "", (IF(AVERAGE($AY$250:$AY$289) = 0, "", AVERAGE($AY$250:$AY$289))))</f>
        <v>18603.750050521056</v>
      </c>
      <c r="AZ249">
        <f ca="1">IF(ISERROR(IF(AVERAGE($AZ$250:$AZ$289) = 0, "", AVERAGE($AZ$250:$AZ$289))), "", (IF(AVERAGE($AZ$250:$AZ$289) = 0, "", AVERAGE($AZ$250:$AZ$289))))</f>
        <v>17631.083265426318</v>
      </c>
      <c r="BA249">
        <f ca="1">IF(ISERROR(IF(AVERAGE($BA$250:$BA$289) = 0, "", AVERAGE($BA$250:$BA$289))), "", (IF(AVERAGE($BA$250:$BA$289) = 0, "", AVERAGE($BA$250:$BA$289))))</f>
        <v>16369.004061489473</v>
      </c>
      <c r="BB249">
        <f ca="1">IF(ISERROR(IF(AVERAGE($BB$250:$BB$289) = 0, "", AVERAGE($BB$250:$BB$289))), "", (IF(AVERAGE($BB$250:$BB$289) = 0, "", AVERAGE($BB$250:$BB$289))))</f>
        <v>16004.661061752631</v>
      </c>
      <c r="BC249">
        <f ca="1">IF(ISERROR(IF(AVERAGE($BC$250:$BC$289) = 0, "", AVERAGE($BC$250:$BC$289))), "", (IF(AVERAGE($BC$250:$BC$289) = 0, "", AVERAGE($BC$250:$BC$289))))</f>
        <v>15213.017054694739</v>
      </c>
      <c r="BD249">
        <f ca="1">IF(ISERROR(IF(AVERAGE($BD$250:$BD$289) = 0, "", AVERAGE($BD$250:$BD$289))), "", (IF(AVERAGE($BD$250:$BD$289) = 0, "", AVERAGE($BD$250:$BD$289))))</f>
        <v>15153.251012426317</v>
      </c>
      <c r="BE249">
        <f ca="1">IF(ISERROR(IF(AVERAGE($BE$250:$BE$289) = 0, "", AVERAGE($BE$250:$BE$289))), "", (IF(AVERAGE($BE$250:$BE$289) = 0, "", AVERAGE($BE$250:$BE$289))))</f>
        <v>15312.898083347367</v>
      </c>
      <c r="BF249">
        <f ca="1">IF(ISERROR(IF(AVERAGE($BF$250:$BF$289) = 0, "", AVERAGE($BF$250:$BF$289))), "", (IF(AVERAGE($BF$250:$BF$289) = 0, "", AVERAGE($BF$250:$BF$289))))</f>
        <v>14613.141381378948</v>
      </c>
      <c r="BG249">
        <f ca="1">IF(ISERROR(IF(AVERAGE($BG$250:$BG$289) = 0, "", AVERAGE($BG$250:$BG$289))), "", (IF(AVERAGE($BG$250:$BG$289) = 0, "", AVERAGE($BG$250:$BG$289))))</f>
        <v>14053.977400336844</v>
      </c>
      <c r="BH249">
        <f ca="1">IF(ISERROR(IF(AVERAGE($BH$250:$BH$289) = 0, "", AVERAGE($BH$250:$BH$289))), "", (IF(AVERAGE($BH$250:$BH$289) = 0, "", AVERAGE($BH$250:$BH$289))))</f>
        <v>14116.104985252632</v>
      </c>
      <c r="BI249">
        <f ca="1">IF(ISERROR(IF(AVERAGE($BI$250:$BI$289) = 0, "", AVERAGE($BI$250:$BI$289))), "", (IF(AVERAGE($BI$250:$BI$289) = 0, "", AVERAGE($BI$250:$BI$289))))</f>
        <v>13959.685576026315</v>
      </c>
      <c r="BJ249">
        <f ca="1">IF(ISERROR(IF(AVERAGE($BJ$250:$BJ$289) = 0, "", AVERAGE($BJ$250:$BJ$289))), "", (IF(AVERAGE($BJ$250:$BJ$289) = 0, "", AVERAGE($BJ$250:$BJ$289))))</f>
        <v>14339.853277547367</v>
      </c>
      <c r="BK249">
        <f ca="1">IF(ISERROR(IF(AVERAGE($BK$250:$BK$289) = 0, "", AVERAGE($BK$250:$BK$289))), "", (IF(AVERAGE($BK$250:$BK$289) = 0, "", AVERAGE($BK$250:$BK$289))))</f>
        <v>14485.11815338421</v>
      </c>
      <c r="BL249">
        <f ca="1">IF(ISERROR(IF(AVERAGE($BL$250:$BL$289) = 0, "", AVERAGE($BL$250:$BL$289))), "", (IF(AVERAGE($BL$250:$BL$289) = 0, "", AVERAGE($BL$250:$BL$289))))</f>
        <v>14131.492249594447</v>
      </c>
      <c r="BM249">
        <f ca="1">IF(ISERROR(IF(AVERAGE($BM$250:$BM$289) = 0, "", AVERAGE($BM$250:$BM$289))), "", (IF(AVERAGE($BM$250:$BM$289) = 0, "", AVERAGE($BM$250:$BM$289))))</f>
        <v>13895.780974155556</v>
      </c>
      <c r="BN249" t="str">
        <f>""</f>
        <v/>
      </c>
      <c r="BO249">
        <f>37650.96809</f>
        <v>37650.968090000002</v>
      </c>
      <c r="BP249">
        <f>28195.38723</f>
        <v>28195.38723</v>
      </c>
      <c r="BQ249">
        <f>28461.48374</f>
        <v>28461.48374</v>
      </c>
      <c r="BR249">
        <f>29248.08606</f>
        <v>29248.086060000001</v>
      </c>
      <c r="BS249">
        <f>28478.51918</f>
        <v>28478.519179999999</v>
      </c>
      <c r="BT249">
        <f>26815.4818</f>
        <v>26815.481800000001</v>
      </c>
      <c r="BU249">
        <f>26480.1221</f>
        <v>26480.122100000001</v>
      </c>
      <c r="BV249">
        <f>25305.1797</f>
        <v>25305.179700000001</v>
      </c>
      <c r="BW249">
        <f>24054.49208</f>
        <v>24054.49208</v>
      </c>
      <c r="BX249">
        <f>24427.4052</f>
        <v>24427.405200000001</v>
      </c>
      <c r="BY249">
        <f>24073.91987</f>
        <v>24073.919870000002</v>
      </c>
      <c r="BZ249">
        <f>22906.45141</f>
        <v>22906.451410000001</v>
      </c>
      <c r="CA249">
        <f>22349.80554</f>
        <v>22349.805540000001</v>
      </c>
      <c r="CB249">
        <f>21772.72549</f>
        <v>21772.725490000001</v>
      </c>
      <c r="CC249">
        <f>22805.17791</f>
        <v>22805.177909999999</v>
      </c>
      <c r="CD249">
        <f>21460.07672</f>
        <v>21460.076720000001</v>
      </c>
      <c r="CE249">
        <f>22613.54268</f>
        <v>22613.542679999999</v>
      </c>
      <c r="CF249">
        <f>22765.18111</f>
        <v>22765.181110000001</v>
      </c>
      <c r="CG249">
        <f>24142.63838</f>
        <v>24142.63838</v>
      </c>
      <c r="CH249">
        <f>23137.3040299999</f>
        <v>23137.304029999999</v>
      </c>
      <c r="CI249">
        <f>23118.18508</f>
        <v>23118.185079999999</v>
      </c>
      <c r="CJ249">
        <f>21611.77611</f>
        <v>21611.776109999999</v>
      </c>
      <c r="CK249">
        <f>20753.50578</f>
        <v>20753.50578</v>
      </c>
      <c r="CL249">
        <f>19883.17801</f>
        <v>19883.17801</v>
      </c>
      <c r="CM249">
        <f>20209.63973</f>
        <v>20209.639729999999</v>
      </c>
      <c r="CN249">
        <f>20726.71298</f>
        <v>20726.71298</v>
      </c>
      <c r="CO249">
        <f>19773.45038</f>
        <v>19773.450379999998</v>
      </c>
      <c r="CP249">
        <f>19234.4702</f>
        <v>19234.4702</v>
      </c>
      <c r="CQ249">
        <f>19612.58564</f>
        <v>19612.585640000001</v>
      </c>
      <c r="CR249">
        <f>18286.32292</f>
        <v>18286.322919999999</v>
      </c>
      <c r="CS249">
        <f>19904.12051</f>
        <v>19904.120510000001</v>
      </c>
      <c r="CT249">
        <f>17713.45441</f>
        <v>17713.454409999998</v>
      </c>
      <c r="CU249">
        <f>17498.97288</f>
        <v>17498.972880000001</v>
      </c>
      <c r="CV249">
        <f>15939.34283</f>
        <v>15939.34283</v>
      </c>
      <c r="CW249">
        <f>14848.03107</f>
        <v>14848.031070000001</v>
      </c>
      <c r="CX249">
        <f>14160.95089</f>
        <v>14160.95089</v>
      </c>
      <c r="CY249">
        <f>14205.42145</f>
        <v>14205.42145</v>
      </c>
      <c r="CZ249">
        <f>14817.35665</f>
        <v>14817.35665</v>
      </c>
      <c r="DA249">
        <f>14261.26161</f>
        <v>14261.26161</v>
      </c>
      <c r="DB249">
        <f>12881.42226</f>
        <v>12881.422259999999</v>
      </c>
      <c r="DC249">
        <f>15842.98537</f>
        <v>15842.98537</v>
      </c>
      <c r="DD249">
        <f>16411.58909</f>
        <v>16411.589090000001</v>
      </c>
      <c r="DE249">
        <f>17404.3299</f>
        <v>17404.329900000001</v>
      </c>
      <c r="DF249">
        <f>17491.10649</f>
        <v>17491.106489999998</v>
      </c>
      <c r="DG249">
        <f>18603.75005</f>
        <v>18603.750049999999</v>
      </c>
      <c r="DH249">
        <f>17631.08326</f>
        <v>17631.083259999999</v>
      </c>
      <c r="DI249">
        <f>16369.00406</f>
        <v>16369.004059999999</v>
      </c>
      <c r="DJ249">
        <f>16004.66106</f>
        <v>16004.66106</v>
      </c>
      <c r="DK249">
        <f>15213.01705</f>
        <v>15213.01705</v>
      </c>
      <c r="DL249">
        <f>15153.25101</f>
        <v>15153.25101</v>
      </c>
      <c r="DM249">
        <f>15312.89808</f>
        <v>15312.898080000001</v>
      </c>
      <c r="DN249">
        <f>14613.14138</f>
        <v>14613.141379999999</v>
      </c>
      <c r="DO249">
        <f>14053.9774</f>
        <v>14053.9774</v>
      </c>
      <c r="DP249">
        <f>14116.10499</f>
        <v>14116.10499</v>
      </c>
      <c r="DQ249">
        <f>13959.68558</f>
        <v>13959.685579999999</v>
      </c>
      <c r="DR249">
        <f>14339.85328</f>
        <v>14339.853279999999</v>
      </c>
      <c r="DS249">
        <f>14485.11815</f>
        <v>14485.11815</v>
      </c>
      <c r="DT249">
        <f>14131.49225</f>
        <v>14131.492249999999</v>
      </c>
      <c r="DU249">
        <f>13895.78097</f>
        <v>13895.78097</v>
      </c>
    </row>
    <row r="250" spans="1:125" x14ac:dyDescent="0.25">
      <c r="A250" t="str">
        <f>"    AUDI AG"</f>
        <v xml:space="preserve">    AUDI AG</v>
      </c>
      <c r="B250" t="str">
        <f>"NSU GR Equity"</f>
        <v>NSU GR Equity</v>
      </c>
      <c r="C250" t="str">
        <f t="shared" ref="C250:C289" si="18">"RR010"</f>
        <v>RR010</v>
      </c>
      <c r="D250" t="str">
        <f t="shared" ref="D250:D289" si="19">"TOT_COMMON_EQY"</f>
        <v>TOT_COMMON_EQY</v>
      </c>
      <c r="E250" t="str">
        <f t="shared" ref="E250:E289" si="20">"Dynamic"</f>
        <v>Dynamic</v>
      </c>
      <c r="F250" t="str">
        <f ca="1">IF(AND(ISNUMBER($F$753),$B$511=1),$F$753,HLOOKUP(INDIRECT(ADDRESS(2,COLUMN())),OFFSET($BN$2,0,0,ROW()-1,60),ROW()-1,FALSE))</f>
        <v/>
      </c>
      <c r="G250" t="str">
        <f ca="1">IF(AND(ISNUMBER($G$753),$B$511=1),$G$753,HLOOKUP(INDIRECT(ADDRESS(2,COLUMN())),OFFSET($BN$2,0,0,ROW()-1,60),ROW()-1,FALSE))</f>
        <v/>
      </c>
      <c r="H250" t="str">
        <f ca="1">IF(AND(ISNUMBER($H$753),$B$511=1),$H$753,HLOOKUP(INDIRECT(ADDRESS(2,COLUMN())),OFFSET($BN$2,0,0,ROW()-1,60),ROW()-1,FALSE))</f>
        <v/>
      </c>
      <c r="I250" t="str">
        <f ca="1">IF(AND(ISNUMBER($I$753),$B$511=1),$I$753,HLOOKUP(INDIRECT(ADDRESS(2,COLUMN())),OFFSET($BN$2,0,0,ROW()-1,60),ROW()-1,FALSE))</f>
        <v/>
      </c>
      <c r="J250" t="str">
        <f ca="1">IF(AND(ISNUMBER($J$753),$B$511=1),$J$753,HLOOKUP(INDIRECT(ADDRESS(2,COLUMN())),OFFSET($BN$2,0,0,ROW()-1,60),ROW()-1,FALSE))</f>
        <v/>
      </c>
      <c r="K250" t="str">
        <f ca="1">IF(AND(ISNUMBER($K$753),$B$511=1),$K$753,HLOOKUP(INDIRECT(ADDRESS(2,COLUMN())),OFFSET($BN$2,0,0,ROW()-1,60),ROW()-1,FALSE))</f>
        <v/>
      </c>
      <c r="L250" t="str">
        <f ca="1">IF(AND(ISNUMBER($L$753),$B$511=1),$L$753,HLOOKUP(INDIRECT(ADDRESS(2,COLUMN())),OFFSET($BN$2,0,0,ROW()-1,60),ROW()-1,FALSE))</f>
        <v/>
      </c>
      <c r="M250" t="str">
        <f ca="1">IF(AND(ISNUMBER($M$753),$B$511=1),$M$753,HLOOKUP(INDIRECT(ADDRESS(2,COLUMN())),OFFSET($BN$2,0,0,ROW()-1,60),ROW()-1,FALSE))</f>
        <v/>
      </c>
      <c r="N250" t="str">
        <f ca="1">IF(AND(ISNUMBER($N$753),$B$511=1),$N$753,HLOOKUP(INDIRECT(ADDRESS(2,COLUMN())),OFFSET($BN$2,0,0,ROW()-1,60),ROW()-1,FALSE))</f>
        <v/>
      </c>
      <c r="O250" t="str">
        <f ca="1">IF(AND(ISNUMBER($O$753),$B$511=1),$O$753,HLOOKUP(INDIRECT(ADDRESS(2,COLUMN())),OFFSET($BN$2,0,0,ROW()-1,60),ROW()-1,FALSE))</f>
        <v/>
      </c>
      <c r="P250" t="str">
        <f ca="1">IF(AND(ISNUMBER($P$753),$B$511=1),$P$753,HLOOKUP(INDIRECT(ADDRESS(2,COLUMN())),OFFSET($BN$2,0,0,ROW()-1,60),ROW()-1,FALSE))</f>
        <v/>
      </c>
      <c r="Q250" t="str">
        <f ca="1">IF(AND(ISNUMBER($Q$753),$B$511=1),$Q$753,HLOOKUP(INDIRECT(ADDRESS(2,COLUMN())),OFFSET($BN$2,0,0,ROW()-1,60),ROW()-1,FALSE))</f>
        <v/>
      </c>
      <c r="R250" t="str">
        <f ca="1">IF(AND(ISNUMBER($R$753),$B$511=1),$R$753,HLOOKUP(INDIRECT(ADDRESS(2,COLUMN())),OFFSET($BN$2,0,0,ROW()-1,60),ROW()-1,FALSE))</f>
        <v/>
      </c>
      <c r="S250" t="str">
        <f ca="1">IF(AND(ISNUMBER($S$753),$B$511=1),$S$753,HLOOKUP(INDIRECT(ADDRESS(2,COLUMN())),OFFSET($BN$2,0,0,ROW()-1,60),ROW()-1,FALSE))</f>
        <v/>
      </c>
      <c r="T250" t="str">
        <f ca="1">IF(AND(ISNUMBER($T$753),$B$511=1),$T$753,HLOOKUP(INDIRECT(ADDRESS(2,COLUMN())),OFFSET($BN$2,0,0,ROW()-1,60),ROW()-1,FALSE))</f>
        <v/>
      </c>
      <c r="U250" t="str">
        <f ca="1">IF(AND(ISNUMBER($U$753),$B$511=1),$U$753,HLOOKUP(INDIRECT(ADDRESS(2,COLUMN())),OFFSET($BN$2,0,0,ROW()-1,60),ROW()-1,FALSE))</f>
        <v/>
      </c>
      <c r="V250" t="str">
        <f ca="1">IF(AND(ISNUMBER($V$753),$B$511=1),$V$753,HLOOKUP(INDIRECT(ADDRESS(2,COLUMN())),OFFSET($BN$2,0,0,ROW()-1,60),ROW()-1,FALSE))</f>
        <v/>
      </c>
      <c r="W250" t="str">
        <f ca="1">IF(AND(ISNUMBER($W$753),$B$511=1),$W$753,HLOOKUP(INDIRECT(ADDRESS(2,COLUMN())),OFFSET($BN$2,0,0,ROW()-1,60),ROW()-1,FALSE))</f>
        <v/>
      </c>
      <c r="X250" t="str">
        <f ca="1">IF(AND(ISNUMBER($X$753),$B$511=1),$X$753,HLOOKUP(INDIRECT(ADDRESS(2,COLUMN())),OFFSET($BN$2,0,0,ROW()-1,60),ROW()-1,FALSE))</f>
        <v/>
      </c>
      <c r="Y250" t="str">
        <f ca="1">IF(AND(ISNUMBER($Y$753),$B$511=1),$Y$753,HLOOKUP(INDIRECT(ADDRESS(2,COLUMN())),OFFSET($BN$2,0,0,ROW()-1,60),ROW()-1,FALSE))</f>
        <v/>
      </c>
      <c r="Z250" t="str">
        <f ca="1">IF(AND(ISNUMBER($Z$753),$B$511=1),$Z$753,HLOOKUP(INDIRECT(ADDRESS(2,COLUMN())),OFFSET($BN$2,0,0,ROW()-1,60),ROW()-1,FALSE))</f>
        <v/>
      </c>
      <c r="AA250" t="str">
        <f ca="1">IF(AND(ISNUMBER($AA$753),$B$511=1),$AA$753,HLOOKUP(INDIRECT(ADDRESS(2,COLUMN())),OFFSET($BN$2,0,0,ROW()-1,60),ROW()-1,FALSE))</f>
        <v/>
      </c>
      <c r="AB250" t="str">
        <f ca="1">IF(AND(ISNUMBER($AB$753),$B$511=1),$AB$753,HLOOKUP(INDIRECT(ADDRESS(2,COLUMN())),OFFSET($BN$2,0,0,ROW()-1,60),ROW()-1,FALSE))</f>
        <v/>
      </c>
      <c r="AC250" t="str">
        <f ca="1">IF(AND(ISNUMBER($AC$753),$B$511=1),$AC$753,HLOOKUP(INDIRECT(ADDRESS(2,COLUMN())),OFFSET($BN$2,0,0,ROW()-1,60),ROW()-1,FALSE))</f>
        <v/>
      </c>
      <c r="AD250" t="str">
        <f ca="1">IF(AND(ISNUMBER($AD$753),$B$511=1),$AD$753,HLOOKUP(INDIRECT(ADDRESS(2,COLUMN())),OFFSET($BN$2,0,0,ROW()-1,60),ROW()-1,FALSE))</f>
        <v/>
      </c>
      <c r="AE250" t="str">
        <f ca="1">IF(AND(ISNUMBER($AE$753),$B$511=1),$AE$753,HLOOKUP(INDIRECT(ADDRESS(2,COLUMN())),OFFSET($BN$2,0,0,ROW()-1,60),ROW()-1,FALSE))</f>
        <v/>
      </c>
      <c r="AF250" t="str">
        <f ca="1">IF(AND(ISNUMBER($AF$753),$B$511=1),$AF$753,HLOOKUP(INDIRECT(ADDRESS(2,COLUMN())),OFFSET($BN$2,0,0,ROW()-1,60),ROW()-1,FALSE))</f>
        <v/>
      </c>
      <c r="AG250" t="str">
        <f ca="1">IF(AND(ISNUMBER($AG$753),$B$511=1),$AG$753,HLOOKUP(INDIRECT(ADDRESS(2,COLUMN())),OFFSET($BN$2,0,0,ROW()-1,60),ROW()-1,FALSE))</f>
        <v/>
      </c>
      <c r="AH250" t="str">
        <f ca="1">IF(AND(ISNUMBER($AH$753),$B$511=1),$AH$753,HLOOKUP(INDIRECT(ADDRESS(2,COLUMN())),OFFSET($BN$2,0,0,ROW()-1,60),ROW()-1,FALSE))</f>
        <v/>
      </c>
      <c r="AI250" t="str">
        <f ca="1">IF(AND(ISNUMBER($AI$753),$B$511=1),$AI$753,HLOOKUP(INDIRECT(ADDRESS(2,COLUMN())),OFFSET($BN$2,0,0,ROW()-1,60),ROW()-1,FALSE))</f>
        <v/>
      </c>
      <c r="AJ250" t="str">
        <f ca="1">IF(AND(ISNUMBER($AJ$753),$B$511=1),$AJ$753,HLOOKUP(INDIRECT(ADDRESS(2,COLUMN())),OFFSET($BN$2,0,0,ROW()-1,60),ROW()-1,FALSE))</f>
        <v/>
      </c>
      <c r="AK250" t="str">
        <f ca="1">IF(AND(ISNUMBER($AK$753),$B$511=1),$AK$753,HLOOKUP(INDIRECT(ADDRESS(2,COLUMN())),OFFSET($BN$2,0,0,ROW()-1,60),ROW()-1,FALSE))</f>
        <v/>
      </c>
      <c r="AL250" t="str">
        <f ca="1">IF(AND(ISNUMBER($AL$753),$B$511=1),$AL$753,HLOOKUP(INDIRECT(ADDRESS(2,COLUMN())),OFFSET($BN$2,0,0,ROW()-1,60),ROW()-1,FALSE))</f>
        <v/>
      </c>
      <c r="AM250" t="str">
        <f ca="1">IF(AND(ISNUMBER($AM$753),$B$511=1),$AM$753,HLOOKUP(INDIRECT(ADDRESS(2,COLUMN())),OFFSET($BN$2,0,0,ROW()-1,60),ROW()-1,FALSE))</f>
        <v/>
      </c>
      <c r="AN250" t="str">
        <f ca="1">IF(AND(ISNUMBER($AN$753),$B$511=1),$AN$753,HLOOKUP(INDIRECT(ADDRESS(2,COLUMN())),OFFSET($BN$2,0,0,ROW()-1,60),ROW()-1,FALSE))</f>
        <v/>
      </c>
      <c r="AO250" t="str">
        <f ca="1">IF(AND(ISNUMBER($AO$753),$B$511=1),$AO$753,HLOOKUP(INDIRECT(ADDRESS(2,COLUMN())),OFFSET($BN$2,0,0,ROW()-1,60),ROW()-1,FALSE))</f>
        <v/>
      </c>
      <c r="AP250" t="str">
        <f ca="1">IF(AND(ISNUMBER($AP$753),$B$511=1),$AP$753,HLOOKUP(INDIRECT(ADDRESS(2,COLUMN())),OFFSET($BN$2,0,0,ROW()-1,60),ROW()-1,FALSE))</f>
        <v/>
      </c>
      <c r="AQ250" t="str">
        <f ca="1">IF(AND(ISNUMBER($AQ$753),$B$511=1),$AQ$753,HLOOKUP(INDIRECT(ADDRESS(2,COLUMN())),OFFSET($BN$2,0,0,ROW()-1,60),ROW()-1,FALSE))</f>
        <v/>
      </c>
      <c r="AR250" t="str">
        <f ca="1">IF(AND(ISNUMBER($AR$753),$B$511=1),$AR$753,HLOOKUP(INDIRECT(ADDRESS(2,COLUMN())),OFFSET($BN$2,0,0,ROW()-1,60),ROW()-1,FALSE))</f>
        <v/>
      </c>
      <c r="AS250" t="str">
        <f ca="1">IF(AND(ISNUMBER($AS$753),$B$511=1),$AS$753,HLOOKUP(INDIRECT(ADDRESS(2,COLUMN())),OFFSET($BN$2,0,0,ROW()-1,60),ROW()-1,FALSE))</f>
        <v/>
      </c>
      <c r="AT250" t="str">
        <f ca="1">IF(AND(ISNUMBER($AT$753),$B$511=1),$AT$753,HLOOKUP(INDIRECT(ADDRESS(2,COLUMN())),OFFSET($BN$2,0,0,ROW()-1,60),ROW()-1,FALSE))</f>
        <v/>
      </c>
      <c r="AU250" t="str">
        <f ca="1">IF(AND(ISNUMBER($AU$753),$B$511=1),$AU$753,HLOOKUP(INDIRECT(ADDRESS(2,COLUMN())),OFFSET($BN$2,0,0,ROW()-1,60),ROW()-1,FALSE))</f>
        <v/>
      </c>
      <c r="AV250" t="str">
        <f ca="1">IF(AND(ISNUMBER($AV$753),$B$511=1),$AV$753,HLOOKUP(INDIRECT(ADDRESS(2,COLUMN())),OFFSET($BN$2,0,0,ROW()-1,60),ROW()-1,FALSE))</f>
        <v/>
      </c>
      <c r="AW250" t="str">
        <f ca="1">IF(AND(ISNUMBER($AW$753),$B$511=1),$AW$753,HLOOKUP(INDIRECT(ADDRESS(2,COLUMN())),OFFSET($BN$2,0,0,ROW()-1,60),ROW()-1,FALSE))</f>
        <v/>
      </c>
      <c r="AX250" t="str">
        <f ca="1">IF(AND(ISNUMBER($AX$753),$B$511=1),$AX$753,HLOOKUP(INDIRECT(ADDRESS(2,COLUMN())),OFFSET($BN$2,0,0,ROW()-1,60),ROW()-1,FALSE))</f>
        <v/>
      </c>
      <c r="AY250" t="str">
        <f ca="1">IF(AND(ISNUMBER($AY$753),$B$511=1),$AY$753,HLOOKUP(INDIRECT(ADDRESS(2,COLUMN())),OFFSET($BN$2,0,0,ROW()-1,60),ROW()-1,FALSE))</f>
        <v/>
      </c>
      <c r="AZ250" t="str">
        <f ca="1">IF(AND(ISNUMBER($AZ$753),$B$511=1),$AZ$753,HLOOKUP(INDIRECT(ADDRESS(2,COLUMN())),OFFSET($BN$2,0,0,ROW()-1,60),ROW()-1,FALSE))</f>
        <v/>
      </c>
      <c r="BA250" t="str">
        <f ca="1">IF(AND(ISNUMBER($BA$753),$B$511=1),$BA$753,HLOOKUP(INDIRECT(ADDRESS(2,COLUMN())),OFFSET($BN$2,0,0,ROW()-1,60),ROW()-1,FALSE))</f>
        <v/>
      </c>
      <c r="BB250" t="str">
        <f ca="1">IF(AND(ISNUMBER($BB$753),$B$511=1),$BB$753,HLOOKUP(INDIRECT(ADDRESS(2,COLUMN())),OFFSET($BN$2,0,0,ROW()-1,60),ROW()-1,FALSE))</f>
        <v/>
      </c>
      <c r="BC250" t="str">
        <f ca="1">IF(AND(ISNUMBER($BC$753),$B$511=1),$BC$753,HLOOKUP(INDIRECT(ADDRESS(2,COLUMN())),OFFSET($BN$2,0,0,ROW()-1,60),ROW()-1,FALSE))</f>
        <v/>
      </c>
      <c r="BD250" t="str">
        <f ca="1">IF(AND(ISNUMBER($BD$753),$B$511=1),$BD$753,HLOOKUP(INDIRECT(ADDRESS(2,COLUMN())),OFFSET($BN$2,0,0,ROW()-1,60),ROW()-1,FALSE))</f>
        <v/>
      </c>
      <c r="BE250" t="str">
        <f ca="1">IF(AND(ISNUMBER($BE$753),$B$511=1),$BE$753,HLOOKUP(INDIRECT(ADDRESS(2,COLUMN())),OFFSET($BN$2,0,0,ROW()-1,60),ROW()-1,FALSE))</f>
        <v/>
      </c>
      <c r="BF250" t="str">
        <f ca="1">IF(AND(ISNUMBER($BF$753),$B$511=1),$BF$753,HLOOKUP(INDIRECT(ADDRESS(2,COLUMN())),OFFSET($BN$2,0,0,ROW()-1,60),ROW()-1,FALSE))</f>
        <v/>
      </c>
      <c r="BG250" t="str">
        <f ca="1">IF(AND(ISNUMBER($BG$753),$B$511=1),$BG$753,HLOOKUP(INDIRECT(ADDRESS(2,COLUMN())),OFFSET($BN$2,0,0,ROW()-1,60),ROW()-1,FALSE))</f>
        <v/>
      </c>
      <c r="BH250" t="str">
        <f ca="1">IF(AND(ISNUMBER($BH$753),$B$511=1),$BH$753,HLOOKUP(INDIRECT(ADDRESS(2,COLUMN())),OFFSET($BN$2,0,0,ROW()-1,60),ROW()-1,FALSE))</f>
        <v/>
      </c>
      <c r="BI250" t="str">
        <f ca="1">IF(AND(ISNUMBER($BI$753),$B$511=1),$BI$753,HLOOKUP(INDIRECT(ADDRESS(2,COLUMN())),OFFSET($BN$2,0,0,ROW()-1,60),ROW()-1,FALSE))</f>
        <v/>
      </c>
      <c r="BJ250" t="str">
        <f ca="1">IF(AND(ISNUMBER($BJ$753),$B$511=1),$BJ$753,HLOOKUP(INDIRECT(ADDRESS(2,COLUMN())),OFFSET($BN$2,0,0,ROW()-1,60),ROW()-1,FALSE))</f>
        <v/>
      </c>
      <c r="BK250" t="str">
        <f ca="1">IF(AND(ISNUMBER($BK$753),$B$511=1),$BK$753,HLOOKUP(INDIRECT(ADDRESS(2,COLUMN())),OFFSET($BN$2,0,0,ROW()-1,60),ROW()-1,FALSE))</f>
        <v/>
      </c>
      <c r="BL250" t="str">
        <f ca="1">IF(AND(ISNUMBER($BL$753),$B$511=1),$BL$753,HLOOKUP(INDIRECT(ADDRESS(2,COLUMN())),OFFSET($BN$2,0,0,ROW()-1,60),ROW()-1,FALSE))</f>
        <v/>
      </c>
      <c r="BM250" t="str">
        <f ca="1">IF(AND(ISNUMBER($BM$753),$B$511=1),$BM$753,HLOOKUP(INDIRECT(ADDRESS(2,COLUMN())),OFFSET($BN$2,0,0,ROW()-1,60),ROW()-1,FALSE))</f>
        <v/>
      </c>
      <c r="BN250" t="str">
        <f>""</f>
        <v/>
      </c>
      <c r="BO250" t="str">
        <f>""</f>
        <v/>
      </c>
      <c r="BP250" t="str">
        <f>""</f>
        <v/>
      </c>
      <c r="BQ250" t="str">
        <f>""</f>
        <v/>
      </c>
      <c r="BR250" t="str">
        <f>""</f>
        <v/>
      </c>
      <c r="BS250" t="str">
        <f>""</f>
        <v/>
      </c>
      <c r="BT250" t="str">
        <f>""</f>
        <v/>
      </c>
      <c r="BU250" t="str">
        <f>""</f>
        <v/>
      </c>
      <c r="BV250" t="str">
        <f>""</f>
        <v/>
      </c>
      <c r="BW250" t="str">
        <f>""</f>
        <v/>
      </c>
      <c r="BX250" t="str">
        <f>""</f>
        <v/>
      </c>
      <c r="BY250" t="str">
        <f>""</f>
        <v/>
      </c>
      <c r="BZ250" t="str">
        <f>""</f>
        <v/>
      </c>
      <c r="CA250" t="str">
        <f>""</f>
        <v/>
      </c>
      <c r="CB250" t="str">
        <f>""</f>
        <v/>
      </c>
      <c r="CC250" t="str">
        <f>""</f>
        <v/>
      </c>
      <c r="CD250" t="str">
        <f>""</f>
        <v/>
      </c>
      <c r="CE250" t="str">
        <f>""</f>
        <v/>
      </c>
      <c r="CF250" t="str">
        <f>""</f>
        <v/>
      </c>
      <c r="CG250" t="str">
        <f>""</f>
        <v/>
      </c>
      <c r="CH250" t="str">
        <f>""</f>
        <v/>
      </c>
      <c r="CI250" t="str">
        <f>""</f>
        <v/>
      </c>
      <c r="CJ250" t="str">
        <f>""</f>
        <v/>
      </c>
      <c r="CK250" t="str">
        <f>""</f>
        <v/>
      </c>
      <c r="CL250" t="str">
        <f>""</f>
        <v/>
      </c>
      <c r="CM250" t="str">
        <f>""</f>
        <v/>
      </c>
      <c r="CN250" t="str">
        <f>""</f>
        <v/>
      </c>
      <c r="CO250" t="str">
        <f>""</f>
        <v/>
      </c>
      <c r="CP250" t="str">
        <f>""</f>
        <v/>
      </c>
      <c r="CQ250" t="str">
        <f>""</f>
        <v/>
      </c>
      <c r="CR250" t="str">
        <f>""</f>
        <v/>
      </c>
      <c r="CS250" t="str">
        <f>""</f>
        <v/>
      </c>
      <c r="CT250" t="str">
        <f>""</f>
        <v/>
      </c>
      <c r="CU250" t="str">
        <f>""</f>
        <v/>
      </c>
      <c r="CV250" t="str">
        <f>""</f>
        <v/>
      </c>
      <c r="CW250" t="str">
        <f>""</f>
        <v/>
      </c>
      <c r="CX250" t="str">
        <f>""</f>
        <v/>
      </c>
      <c r="CY250" t="str">
        <f>""</f>
        <v/>
      </c>
      <c r="CZ250" t="str">
        <f>""</f>
        <v/>
      </c>
      <c r="DA250" t="str">
        <f>""</f>
        <v/>
      </c>
      <c r="DB250" t="str">
        <f>""</f>
        <v/>
      </c>
      <c r="DC250" t="str">
        <f>""</f>
        <v/>
      </c>
      <c r="DD250" t="str">
        <f>""</f>
        <v/>
      </c>
      <c r="DE250" t="str">
        <f>""</f>
        <v/>
      </c>
      <c r="DF250" t="str">
        <f>""</f>
        <v/>
      </c>
      <c r="DG250" t="str">
        <f>""</f>
        <v/>
      </c>
      <c r="DH250" t="str">
        <f>""</f>
        <v/>
      </c>
      <c r="DI250" t="str">
        <f>""</f>
        <v/>
      </c>
      <c r="DJ250" t="str">
        <f>""</f>
        <v/>
      </c>
      <c r="DK250" t="str">
        <f>""</f>
        <v/>
      </c>
      <c r="DL250" t="str">
        <f>""</f>
        <v/>
      </c>
      <c r="DM250" t="str">
        <f>""</f>
        <v/>
      </c>
      <c r="DN250" t="str">
        <f>""</f>
        <v/>
      </c>
      <c r="DO250" t="str">
        <f>""</f>
        <v/>
      </c>
      <c r="DP250" t="str">
        <f>""</f>
        <v/>
      </c>
      <c r="DQ250" t="str">
        <f>""</f>
        <v/>
      </c>
      <c r="DR250" t="str">
        <f>""</f>
        <v/>
      </c>
      <c r="DS250" t="str">
        <f>""</f>
        <v/>
      </c>
      <c r="DT250" t="str">
        <f>""</f>
        <v/>
      </c>
      <c r="DU250" t="str">
        <f>""</f>
        <v/>
      </c>
    </row>
    <row r="251" spans="1:125" x14ac:dyDescent="0.25">
      <c r="A251" t="str">
        <f>"    Avtovaz PJSC"</f>
        <v xml:space="preserve">    Avtovaz PJSC</v>
      </c>
      <c r="B251" t="str">
        <f>"AVAZ RM Equity"</f>
        <v>AVAZ RM Equity</v>
      </c>
      <c r="C251" t="str">
        <f t="shared" si="18"/>
        <v>RR010</v>
      </c>
      <c r="D251" t="str">
        <f t="shared" si="19"/>
        <v>TOT_COMMON_EQY</v>
      </c>
      <c r="E251" t="str">
        <f t="shared" si="20"/>
        <v>Dynamic</v>
      </c>
      <c r="F251" t="str">
        <f ca="1">IF(AND(ISNUMBER($F$754),$B$511=1),$F$754,HLOOKUP(INDIRECT(ADDRESS(2,COLUMN())),OFFSET($BN$2,0,0,ROW()-1,60),ROW()-1,FALSE))</f>
        <v/>
      </c>
      <c r="G251" t="str">
        <f ca="1">IF(AND(ISNUMBER($G$754),$B$511=1),$G$754,HLOOKUP(INDIRECT(ADDRESS(2,COLUMN())),OFFSET($BN$2,0,0,ROW()-1,60),ROW()-1,FALSE))</f>
        <v/>
      </c>
      <c r="H251">
        <f ca="1">IF(AND(ISNUMBER($H$754),$B$511=1),$H$754,HLOOKUP(INDIRECT(ADDRESS(2,COLUMN())),OFFSET($BN$2,0,0,ROW()-1,60),ROW()-1,FALSE))</f>
        <v>-411.91730810000001</v>
      </c>
      <c r="I251">
        <f ca="1">IF(AND(ISNUMBER($I$754),$B$511=1),$I$754,HLOOKUP(INDIRECT(ADDRESS(2,COLUMN())),OFFSET($BN$2,0,0,ROW()-1,60),ROW()-1,FALSE))</f>
        <v>-466.58750209999999</v>
      </c>
      <c r="J251">
        <f ca="1">IF(AND(ISNUMBER($J$754),$B$511=1),$J$754,HLOOKUP(INDIRECT(ADDRESS(2,COLUMN())),OFFSET($BN$2,0,0,ROW()-1,60),ROW()-1,FALSE))</f>
        <v>-435.16043009999999</v>
      </c>
      <c r="K251">
        <f ca="1">IF(AND(ISNUMBER($K$754),$B$511=1),$K$754,HLOOKUP(INDIRECT(ADDRESS(2,COLUMN())),OFFSET($BN$2,0,0,ROW()-1,60),ROW()-1,FALSE))</f>
        <v>-1339.812402</v>
      </c>
      <c r="L251">
        <f ca="1">IF(AND(ISNUMBER($L$754),$B$511=1),$L$754,HLOOKUP(INDIRECT(ADDRESS(2,COLUMN())),OFFSET($BN$2,0,0,ROW()-1,60),ROW()-1,FALSE))</f>
        <v>-1250.755602</v>
      </c>
      <c r="M251">
        <f ca="1">IF(AND(ISNUMBER($M$754),$B$511=1),$M$754,HLOOKUP(INDIRECT(ADDRESS(2,COLUMN())),OFFSET($BN$2,0,0,ROW()-1,60),ROW()-1,FALSE))</f>
        <v>-1215.9346869999999</v>
      </c>
      <c r="N251">
        <f ca="1">IF(AND(ISNUMBER($N$754),$B$511=1),$N$754,HLOOKUP(INDIRECT(ADDRESS(2,COLUMN())),OFFSET($BN$2,0,0,ROW()-1,60),ROW()-1,FALSE))</f>
        <v>-1248.598722</v>
      </c>
      <c r="O251">
        <f ca="1">IF(AND(ISNUMBER($O$754),$B$511=1),$O$754,HLOOKUP(INDIRECT(ADDRESS(2,COLUMN())),OFFSET($BN$2,0,0,ROW()-1,60),ROW()-1,FALSE))</f>
        <v>-1102.14562</v>
      </c>
      <c r="P251">
        <f ca="1">IF(AND(ISNUMBER($P$754),$B$511=1),$P$754,HLOOKUP(INDIRECT(ADDRESS(2,COLUMN())),OFFSET($BN$2,0,0,ROW()-1,60),ROW()-1,FALSE))</f>
        <v>-1170.1344329999999</v>
      </c>
      <c r="Q251">
        <f ca="1">IF(AND(ISNUMBER($Q$754),$B$511=1),$Q$754,HLOOKUP(INDIRECT(ADDRESS(2,COLUMN())),OFFSET($BN$2,0,0,ROW()-1,60),ROW()-1,FALSE))</f>
        <v>-1183.761111</v>
      </c>
      <c r="R251">
        <f ca="1">IF(AND(ISNUMBER($R$754),$B$511=1),$R$754,HLOOKUP(INDIRECT(ADDRESS(2,COLUMN())),OFFSET($BN$2,0,0,ROW()-1,60),ROW()-1,FALSE))</f>
        <v>-849.06446389999996</v>
      </c>
      <c r="S251">
        <f ca="1">IF(AND(ISNUMBER($S$754),$B$511=1),$S$754,HLOOKUP(INDIRECT(ADDRESS(2,COLUMN())),OFFSET($BN$2,0,0,ROW()-1,60),ROW()-1,FALSE))</f>
        <v>-664.20294820000004</v>
      </c>
      <c r="T251">
        <f ca="1">IF(AND(ISNUMBER($T$754),$B$511=1),$T$754,HLOOKUP(INDIRECT(ADDRESS(2,COLUMN())),OFFSET($BN$2,0,0,ROW()-1,60),ROW()-1,FALSE))</f>
        <v>284.19478400000003</v>
      </c>
      <c r="U251" t="str">
        <f ca="1">IF(AND(ISNUMBER($U$754),$B$511=1),$U$754,HLOOKUP(INDIRECT(ADDRESS(2,COLUMN())),OFFSET($BN$2,0,0,ROW()-1,60),ROW()-1,FALSE))</f>
        <v/>
      </c>
      <c r="V251" t="str">
        <f ca="1">IF(AND(ISNUMBER($V$754),$B$511=1),$V$754,HLOOKUP(INDIRECT(ADDRESS(2,COLUMN())),OFFSET($BN$2,0,0,ROW()-1,60),ROW()-1,FALSE))</f>
        <v/>
      </c>
      <c r="W251" t="str">
        <f ca="1">IF(AND(ISNUMBER($W$754),$B$511=1),$W$754,HLOOKUP(INDIRECT(ADDRESS(2,COLUMN())),OFFSET($BN$2,0,0,ROW()-1,60),ROW()-1,FALSE))</f>
        <v/>
      </c>
      <c r="X251" t="str">
        <f ca="1">IF(AND(ISNUMBER($X$754),$B$511=1),$X$754,HLOOKUP(INDIRECT(ADDRESS(2,COLUMN())),OFFSET($BN$2,0,0,ROW()-1,60),ROW()-1,FALSE))</f>
        <v/>
      </c>
      <c r="Y251" t="str">
        <f ca="1">IF(AND(ISNUMBER($Y$754),$B$511=1),$Y$754,HLOOKUP(INDIRECT(ADDRESS(2,COLUMN())),OFFSET($BN$2,0,0,ROW()-1,60),ROW()-1,FALSE))</f>
        <v/>
      </c>
      <c r="Z251" t="str">
        <f ca="1">IF(AND(ISNUMBER($Z$754),$B$511=1),$Z$754,HLOOKUP(INDIRECT(ADDRESS(2,COLUMN())),OFFSET($BN$2,0,0,ROW()-1,60),ROW()-1,FALSE))</f>
        <v/>
      </c>
      <c r="AA251" t="str">
        <f ca="1">IF(AND(ISNUMBER($AA$754),$B$511=1),$AA$754,HLOOKUP(INDIRECT(ADDRESS(2,COLUMN())),OFFSET($BN$2,0,0,ROW()-1,60),ROW()-1,FALSE))</f>
        <v/>
      </c>
      <c r="AB251" t="str">
        <f ca="1">IF(AND(ISNUMBER($AB$754),$B$511=1),$AB$754,HLOOKUP(INDIRECT(ADDRESS(2,COLUMN())),OFFSET($BN$2,0,0,ROW()-1,60),ROW()-1,FALSE))</f>
        <v/>
      </c>
      <c r="AC251" t="str">
        <f ca="1">IF(AND(ISNUMBER($AC$754),$B$511=1),$AC$754,HLOOKUP(INDIRECT(ADDRESS(2,COLUMN())),OFFSET($BN$2,0,0,ROW()-1,60),ROW()-1,FALSE))</f>
        <v/>
      </c>
      <c r="AD251" t="str">
        <f ca="1">IF(AND(ISNUMBER($AD$754),$B$511=1),$AD$754,HLOOKUP(INDIRECT(ADDRESS(2,COLUMN())),OFFSET($BN$2,0,0,ROW()-1,60),ROW()-1,FALSE))</f>
        <v/>
      </c>
      <c r="AE251" t="str">
        <f ca="1">IF(AND(ISNUMBER($AE$754),$B$511=1),$AE$754,HLOOKUP(INDIRECT(ADDRESS(2,COLUMN())),OFFSET($BN$2,0,0,ROW()-1,60),ROW()-1,FALSE))</f>
        <v/>
      </c>
      <c r="AF251" t="str">
        <f ca="1">IF(AND(ISNUMBER($AF$754),$B$511=1),$AF$754,HLOOKUP(INDIRECT(ADDRESS(2,COLUMN())),OFFSET($BN$2,0,0,ROW()-1,60),ROW()-1,FALSE))</f>
        <v/>
      </c>
      <c r="AG251" t="str">
        <f ca="1">IF(AND(ISNUMBER($AG$754),$B$511=1),$AG$754,HLOOKUP(INDIRECT(ADDRESS(2,COLUMN())),OFFSET($BN$2,0,0,ROW()-1,60),ROW()-1,FALSE))</f>
        <v/>
      </c>
      <c r="AH251" t="str">
        <f ca="1">IF(AND(ISNUMBER($AH$754),$B$511=1),$AH$754,HLOOKUP(INDIRECT(ADDRESS(2,COLUMN())),OFFSET($BN$2,0,0,ROW()-1,60),ROW()-1,FALSE))</f>
        <v/>
      </c>
      <c r="AI251" t="str">
        <f ca="1">IF(AND(ISNUMBER($AI$754),$B$511=1),$AI$754,HLOOKUP(INDIRECT(ADDRESS(2,COLUMN())),OFFSET($BN$2,0,0,ROW()-1,60),ROW()-1,FALSE))</f>
        <v/>
      </c>
      <c r="AJ251" t="str">
        <f ca="1">IF(AND(ISNUMBER($AJ$754),$B$511=1),$AJ$754,HLOOKUP(INDIRECT(ADDRESS(2,COLUMN())),OFFSET($BN$2,0,0,ROW()-1,60),ROW()-1,FALSE))</f>
        <v/>
      </c>
      <c r="AK251" t="str">
        <f ca="1">IF(AND(ISNUMBER($AK$754),$B$511=1),$AK$754,HLOOKUP(INDIRECT(ADDRESS(2,COLUMN())),OFFSET($BN$2,0,0,ROW()-1,60),ROW()-1,FALSE))</f>
        <v/>
      </c>
      <c r="AL251" t="str">
        <f ca="1">IF(AND(ISNUMBER($AL$754),$B$511=1),$AL$754,HLOOKUP(INDIRECT(ADDRESS(2,COLUMN())),OFFSET($BN$2,0,0,ROW()-1,60),ROW()-1,FALSE))</f>
        <v/>
      </c>
      <c r="AM251" t="str">
        <f ca="1">IF(AND(ISNUMBER($AM$754),$B$511=1),$AM$754,HLOOKUP(INDIRECT(ADDRESS(2,COLUMN())),OFFSET($BN$2,0,0,ROW()-1,60),ROW()-1,FALSE))</f>
        <v/>
      </c>
      <c r="AN251" t="str">
        <f ca="1">IF(AND(ISNUMBER($AN$754),$B$511=1),$AN$754,HLOOKUP(INDIRECT(ADDRESS(2,COLUMN())),OFFSET($BN$2,0,0,ROW()-1,60),ROW()-1,FALSE))</f>
        <v/>
      </c>
      <c r="AO251" t="str">
        <f ca="1">IF(AND(ISNUMBER($AO$754),$B$511=1),$AO$754,HLOOKUP(INDIRECT(ADDRESS(2,COLUMN())),OFFSET($BN$2,0,0,ROW()-1,60),ROW()-1,FALSE))</f>
        <v/>
      </c>
      <c r="AP251" t="str">
        <f ca="1">IF(AND(ISNUMBER($AP$754),$B$511=1),$AP$754,HLOOKUP(INDIRECT(ADDRESS(2,COLUMN())),OFFSET($BN$2,0,0,ROW()-1,60),ROW()-1,FALSE))</f>
        <v/>
      </c>
      <c r="AQ251" t="str">
        <f ca="1">IF(AND(ISNUMBER($AQ$754),$B$511=1),$AQ$754,HLOOKUP(INDIRECT(ADDRESS(2,COLUMN())),OFFSET($BN$2,0,0,ROW()-1,60),ROW()-1,FALSE))</f>
        <v/>
      </c>
      <c r="AR251" t="str">
        <f ca="1">IF(AND(ISNUMBER($AR$754),$B$511=1),$AR$754,HLOOKUP(INDIRECT(ADDRESS(2,COLUMN())),OFFSET($BN$2,0,0,ROW()-1,60),ROW()-1,FALSE))</f>
        <v/>
      </c>
      <c r="AS251" t="str">
        <f ca="1">IF(AND(ISNUMBER($AS$754),$B$511=1),$AS$754,HLOOKUP(INDIRECT(ADDRESS(2,COLUMN())),OFFSET($BN$2,0,0,ROW()-1,60),ROW()-1,FALSE))</f>
        <v/>
      </c>
      <c r="AT251" t="str">
        <f ca="1">IF(AND(ISNUMBER($AT$754),$B$511=1),$AT$754,HLOOKUP(INDIRECT(ADDRESS(2,COLUMN())),OFFSET($BN$2,0,0,ROW()-1,60),ROW()-1,FALSE))</f>
        <v/>
      </c>
      <c r="AU251" t="str">
        <f ca="1">IF(AND(ISNUMBER($AU$754),$B$511=1),$AU$754,HLOOKUP(INDIRECT(ADDRESS(2,COLUMN())),OFFSET($BN$2,0,0,ROW()-1,60),ROW()-1,FALSE))</f>
        <v/>
      </c>
      <c r="AV251" t="str">
        <f ca="1">IF(AND(ISNUMBER($AV$754),$B$511=1),$AV$754,HLOOKUP(INDIRECT(ADDRESS(2,COLUMN())),OFFSET($BN$2,0,0,ROW()-1,60),ROW()-1,FALSE))</f>
        <v/>
      </c>
      <c r="AW251" t="str">
        <f ca="1">IF(AND(ISNUMBER($AW$754),$B$511=1),$AW$754,HLOOKUP(INDIRECT(ADDRESS(2,COLUMN())),OFFSET($BN$2,0,0,ROW()-1,60),ROW()-1,FALSE))</f>
        <v/>
      </c>
      <c r="AX251" t="str">
        <f ca="1">IF(AND(ISNUMBER($AX$754),$B$511=1),$AX$754,HLOOKUP(INDIRECT(ADDRESS(2,COLUMN())),OFFSET($BN$2,0,0,ROW()-1,60),ROW()-1,FALSE))</f>
        <v/>
      </c>
      <c r="AY251" t="str">
        <f ca="1">IF(AND(ISNUMBER($AY$754),$B$511=1),$AY$754,HLOOKUP(INDIRECT(ADDRESS(2,COLUMN())),OFFSET($BN$2,0,0,ROW()-1,60),ROW()-1,FALSE))</f>
        <v/>
      </c>
      <c r="AZ251" t="str">
        <f ca="1">IF(AND(ISNUMBER($AZ$754),$B$511=1),$AZ$754,HLOOKUP(INDIRECT(ADDRESS(2,COLUMN())),OFFSET($BN$2,0,0,ROW()-1,60),ROW()-1,FALSE))</f>
        <v/>
      </c>
      <c r="BA251" t="str">
        <f ca="1">IF(AND(ISNUMBER($BA$754),$B$511=1),$BA$754,HLOOKUP(INDIRECT(ADDRESS(2,COLUMN())),OFFSET($BN$2,0,0,ROW()-1,60),ROW()-1,FALSE))</f>
        <v/>
      </c>
      <c r="BB251" t="str">
        <f ca="1">IF(AND(ISNUMBER($BB$754),$B$511=1),$BB$754,HLOOKUP(INDIRECT(ADDRESS(2,COLUMN())),OFFSET($BN$2,0,0,ROW()-1,60),ROW()-1,FALSE))</f>
        <v/>
      </c>
      <c r="BC251" t="str">
        <f ca="1">IF(AND(ISNUMBER($BC$754),$B$511=1),$BC$754,HLOOKUP(INDIRECT(ADDRESS(2,COLUMN())),OFFSET($BN$2,0,0,ROW()-1,60),ROW()-1,FALSE))</f>
        <v/>
      </c>
      <c r="BD251" t="str">
        <f ca="1">IF(AND(ISNUMBER($BD$754),$B$511=1),$BD$754,HLOOKUP(INDIRECT(ADDRESS(2,COLUMN())),OFFSET($BN$2,0,0,ROW()-1,60),ROW()-1,FALSE))</f>
        <v/>
      </c>
      <c r="BE251" t="str">
        <f ca="1">IF(AND(ISNUMBER($BE$754),$B$511=1),$BE$754,HLOOKUP(INDIRECT(ADDRESS(2,COLUMN())),OFFSET($BN$2,0,0,ROW()-1,60),ROW()-1,FALSE))</f>
        <v/>
      </c>
      <c r="BF251" t="str">
        <f ca="1">IF(AND(ISNUMBER($BF$754),$B$511=1),$BF$754,HLOOKUP(INDIRECT(ADDRESS(2,COLUMN())),OFFSET($BN$2,0,0,ROW()-1,60),ROW()-1,FALSE))</f>
        <v/>
      </c>
      <c r="BG251" t="str">
        <f ca="1">IF(AND(ISNUMBER($BG$754),$B$511=1),$BG$754,HLOOKUP(INDIRECT(ADDRESS(2,COLUMN())),OFFSET($BN$2,0,0,ROW()-1,60),ROW()-1,FALSE))</f>
        <v/>
      </c>
      <c r="BH251" t="str">
        <f ca="1">IF(AND(ISNUMBER($BH$754),$B$511=1),$BH$754,HLOOKUP(INDIRECT(ADDRESS(2,COLUMN())),OFFSET($BN$2,0,0,ROW()-1,60),ROW()-1,FALSE))</f>
        <v/>
      </c>
      <c r="BI251" t="str">
        <f ca="1">IF(AND(ISNUMBER($BI$754),$B$511=1),$BI$754,HLOOKUP(INDIRECT(ADDRESS(2,COLUMN())),OFFSET($BN$2,0,0,ROW()-1,60),ROW()-1,FALSE))</f>
        <v/>
      </c>
      <c r="BJ251" t="str">
        <f ca="1">IF(AND(ISNUMBER($BJ$754),$B$511=1),$BJ$754,HLOOKUP(INDIRECT(ADDRESS(2,COLUMN())),OFFSET($BN$2,0,0,ROW()-1,60),ROW()-1,FALSE))</f>
        <v/>
      </c>
      <c r="BK251" t="str">
        <f ca="1">IF(AND(ISNUMBER($BK$754),$B$511=1),$BK$754,HLOOKUP(INDIRECT(ADDRESS(2,COLUMN())),OFFSET($BN$2,0,0,ROW()-1,60),ROW()-1,FALSE))</f>
        <v/>
      </c>
      <c r="BL251" t="str">
        <f ca="1">IF(AND(ISNUMBER($BL$754),$B$511=1),$BL$754,HLOOKUP(INDIRECT(ADDRESS(2,COLUMN())),OFFSET($BN$2,0,0,ROW()-1,60),ROW()-1,FALSE))</f>
        <v/>
      </c>
      <c r="BM251" t="str">
        <f ca="1">IF(AND(ISNUMBER($BM$754),$B$511=1),$BM$754,HLOOKUP(INDIRECT(ADDRESS(2,COLUMN())),OFFSET($BN$2,0,0,ROW()-1,60),ROW()-1,FALSE))</f>
        <v/>
      </c>
      <c r="BN251" t="str">
        <f>""</f>
        <v/>
      </c>
      <c r="BO251" t="str">
        <f>""</f>
        <v/>
      </c>
      <c r="BP251">
        <f>-411.9173081</f>
        <v>-411.91730810000001</v>
      </c>
      <c r="BQ251">
        <f>-466.5875021</f>
        <v>-466.58750209999999</v>
      </c>
      <c r="BR251">
        <f>-435.1604301</f>
        <v>-435.16043009999999</v>
      </c>
      <c r="BS251">
        <f>-1339.812402</f>
        <v>-1339.812402</v>
      </c>
      <c r="BT251">
        <f>-1250.755602</f>
        <v>-1250.755602</v>
      </c>
      <c r="BU251">
        <f>-1215.934687</f>
        <v>-1215.9346869999999</v>
      </c>
      <c r="BV251">
        <f>-1248.598722</f>
        <v>-1248.598722</v>
      </c>
      <c r="BW251">
        <f>-1102.14562</f>
        <v>-1102.14562</v>
      </c>
      <c r="BX251">
        <f>-1170.134433</f>
        <v>-1170.1344329999999</v>
      </c>
      <c r="BY251">
        <f>-1183.761111</f>
        <v>-1183.761111</v>
      </c>
      <c r="BZ251">
        <f>-849.0644639</f>
        <v>-849.06446389999996</v>
      </c>
      <c r="CA251">
        <f>-664.2029482</f>
        <v>-664.20294820000004</v>
      </c>
      <c r="CB251">
        <f>284.194784</f>
        <v>284.19478400000003</v>
      </c>
      <c r="CC251" t="str">
        <f>""</f>
        <v/>
      </c>
      <c r="CD251" t="str">
        <f>""</f>
        <v/>
      </c>
      <c r="CE251" t="str">
        <f>""</f>
        <v/>
      </c>
      <c r="CF251" t="str">
        <f>""</f>
        <v/>
      </c>
      <c r="CG251" t="str">
        <f>""</f>
        <v/>
      </c>
      <c r="CH251" t="str">
        <f>""</f>
        <v/>
      </c>
      <c r="CI251" t="str">
        <f>""</f>
        <v/>
      </c>
      <c r="CJ251" t="str">
        <f>""</f>
        <v/>
      </c>
      <c r="CK251" t="str">
        <f>""</f>
        <v/>
      </c>
      <c r="CL251" t="str">
        <f>""</f>
        <v/>
      </c>
      <c r="CM251" t="str">
        <f>""</f>
        <v/>
      </c>
      <c r="CN251" t="str">
        <f>""</f>
        <v/>
      </c>
      <c r="CO251" t="str">
        <f>""</f>
        <v/>
      </c>
      <c r="CP251" t="str">
        <f>""</f>
        <v/>
      </c>
      <c r="CQ251" t="str">
        <f>""</f>
        <v/>
      </c>
      <c r="CR251" t="str">
        <f>""</f>
        <v/>
      </c>
      <c r="CS251" t="str">
        <f>""</f>
        <v/>
      </c>
      <c r="CT251" t="str">
        <f>""</f>
        <v/>
      </c>
      <c r="CU251" t="str">
        <f>""</f>
        <v/>
      </c>
      <c r="CV251" t="str">
        <f>""</f>
        <v/>
      </c>
      <c r="CW251" t="str">
        <f>""</f>
        <v/>
      </c>
      <c r="CX251" t="str">
        <f>""</f>
        <v/>
      </c>
      <c r="CY251" t="str">
        <f>""</f>
        <v/>
      </c>
      <c r="CZ251" t="str">
        <f>""</f>
        <v/>
      </c>
      <c r="DA251" t="str">
        <f>""</f>
        <v/>
      </c>
      <c r="DB251" t="str">
        <f>""</f>
        <v/>
      </c>
      <c r="DC251" t="str">
        <f>""</f>
        <v/>
      </c>
      <c r="DD251" t="str">
        <f>""</f>
        <v/>
      </c>
      <c r="DE251" t="str">
        <f>""</f>
        <v/>
      </c>
      <c r="DF251" t="str">
        <f>""</f>
        <v/>
      </c>
      <c r="DG251" t="str">
        <f>""</f>
        <v/>
      </c>
      <c r="DH251" t="str">
        <f>""</f>
        <v/>
      </c>
      <c r="DI251" t="str">
        <f>""</f>
        <v/>
      </c>
      <c r="DJ251" t="str">
        <f>""</f>
        <v/>
      </c>
      <c r="DK251" t="str">
        <f>""</f>
        <v/>
      </c>
      <c r="DL251" t="str">
        <f>""</f>
        <v/>
      </c>
      <c r="DM251" t="str">
        <f>""</f>
        <v/>
      </c>
      <c r="DN251" t="str">
        <f>""</f>
        <v/>
      </c>
      <c r="DO251" t="str">
        <f>""</f>
        <v/>
      </c>
      <c r="DP251" t="str">
        <f>""</f>
        <v/>
      </c>
      <c r="DQ251" t="str">
        <f>""</f>
        <v/>
      </c>
      <c r="DR251" t="str">
        <f>""</f>
        <v/>
      </c>
      <c r="DS251" t="str">
        <f>""</f>
        <v/>
      </c>
      <c r="DT251" t="str">
        <f>""</f>
        <v/>
      </c>
      <c r="DU251" t="str">
        <f>""</f>
        <v/>
      </c>
    </row>
    <row r="252" spans="1:125" x14ac:dyDescent="0.25">
      <c r="A252" t="str">
        <f>"    Bayerische Motoren Werke AG"</f>
        <v xml:space="preserve">    Bayerische Motoren Werke AG</v>
      </c>
      <c r="B252" t="str">
        <f>"BMW GR Equity"</f>
        <v>BMW GR Equity</v>
      </c>
      <c r="C252" t="str">
        <f t="shared" si="18"/>
        <v>RR010</v>
      </c>
      <c r="D252" t="str">
        <f t="shared" si="19"/>
        <v>TOT_COMMON_EQY</v>
      </c>
      <c r="E252" t="str">
        <f t="shared" si="20"/>
        <v>Dynamic</v>
      </c>
      <c r="F252" t="str">
        <f ca="1">IF(AND(ISNUMBER($F$755),$B$511=1),$F$755,HLOOKUP(INDIRECT(ADDRESS(2,COLUMN())),OFFSET($BN$2,0,0,ROW()-1,60),ROW()-1,FALSE))</f>
        <v/>
      </c>
      <c r="G252" t="str">
        <f ca="1">IF(AND(ISNUMBER($G$755),$B$511=1),$G$755,HLOOKUP(INDIRECT(ADDRESS(2,COLUMN())),OFFSET($BN$2,0,0,ROW()-1,60),ROW()-1,FALSE))</f>
        <v/>
      </c>
      <c r="H252">
        <f ca="1">IF(AND(ISNUMBER($H$755),$B$511=1),$H$755,HLOOKUP(INDIRECT(ADDRESS(2,COLUMN())),OFFSET($BN$2,0,0,ROW()-1,60),ROW()-1,FALSE))</f>
        <v>65473.925000000003</v>
      </c>
      <c r="I252">
        <f ca="1">IF(AND(ISNUMBER($I$755),$B$511=1),$I$755,HLOOKUP(INDIRECT(ADDRESS(2,COLUMN())),OFFSET($BN$2,0,0,ROW()-1,60),ROW()-1,FALSE))</f>
        <v>64551.623699999996</v>
      </c>
      <c r="J252">
        <f ca="1">IF(AND(ISNUMBER($J$755),$B$511=1),$J$755,HLOOKUP(INDIRECT(ADDRESS(2,COLUMN())),OFFSET($BN$2,0,0,ROW()-1,60),ROW()-1,FALSE))</f>
        <v>69041.061600000001</v>
      </c>
      <c r="K252">
        <f ca="1">IF(AND(ISNUMBER($K$755),$B$511=1),$K$755,HLOOKUP(INDIRECT(ADDRESS(2,COLUMN())),OFFSET($BN$2,0,0,ROW()-1,60),ROW()-1,FALSE))</f>
        <v>65053.446400000001</v>
      </c>
      <c r="L252">
        <f ca="1">IF(AND(ISNUMBER($L$755),$B$511=1),$L$755,HLOOKUP(INDIRECT(ADDRESS(2,COLUMN())),OFFSET($BN$2,0,0,ROW()-1,60),ROW()-1,FALSE))</f>
        <v>61822.933700000001</v>
      </c>
      <c r="M252">
        <f ca="1">IF(AND(ISNUMBER($M$755),$B$511=1),$M$755,HLOOKUP(INDIRECT(ADDRESS(2,COLUMN())),OFFSET($BN$2,0,0,ROW()-1,60),ROW()-1,FALSE))</f>
        <v>57319.509899999997</v>
      </c>
      <c r="N252">
        <f ca="1">IF(AND(ISNUMBER($N$755),$B$511=1),$N$755,HLOOKUP(INDIRECT(ADDRESS(2,COLUMN())),OFFSET($BN$2,0,0,ROW()-1,60),ROW()-1,FALSE))</f>
        <v>52753.325199999999</v>
      </c>
      <c r="O252">
        <f ca="1">IF(AND(ISNUMBER($O$755),$B$511=1),$O$755,HLOOKUP(INDIRECT(ADDRESS(2,COLUMN())),OFFSET($BN$2,0,0,ROW()-1,60),ROW()-1,FALSE))</f>
        <v>49684.8076</v>
      </c>
      <c r="P252">
        <f ca="1">IF(AND(ISNUMBER($P$755),$B$511=1),$P$755,HLOOKUP(INDIRECT(ADDRESS(2,COLUMN())),OFFSET($BN$2,0,0,ROW()-1,60),ROW()-1,FALSE))</f>
        <v>50738.209199999998</v>
      </c>
      <c r="Q252">
        <f ca="1">IF(AND(ISNUMBER($Q$755),$B$511=1),$Q$755,HLOOKUP(INDIRECT(ADDRESS(2,COLUMN())),OFFSET($BN$2,0,0,ROW()-1,60),ROW()-1,FALSE))</f>
        <v>48343.610699999997</v>
      </c>
      <c r="R252">
        <f ca="1">IF(AND(ISNUMBER($R$755),$B$511=1),$R$755,HLOOKUP(INDIRECT(ADDRESS(2,COLUMN())),OFFSET($BN$2,0,0,ROW()-1,60),ROW()-1,FALSE))</f>
        <v>50654.554799999998</v>
      </c>
      <c r="S252">
        <f ca="1">IF(AND(ISNUMBER($S$755),$B$511=1),$S$755,HLOOKUP(INDIRECT(ADDRESS(2,COLUMN())),OFFSET($BN$2,0,0,ROW()-1,60),ROW()-1,FALSE))</f>
        <v>46213.097999999998</v>
      </c>
      <c r="T252">
        <f ca="1">IF(AND(ISNUMBER($T$755),$B$511=1),$T$755,HLOOKUP(INDIRECT(ADDRESS(2,COLUMN())),OFFSET($BN$2,0,0,ROW()-1,60),ROW()-1,FALSE))</f>
        <v>45614.732600000003</v>
      </c>
      <c r="U252">
        <f ca="1">IF(AND(ISNUMBER($U$755),$B$511=1),$U$755,HLOOKUP(INDIRECT(ADDRESS(2,COLUMN())),OFFSET($BN$2,0,0,ROW()-1,60),ROW()-1,FALSE))</f>
        <v>42738.296000000002</v>
      </c>
      <c r="V252">
        <f ca="1">IF(AND(ISNUMBER($V$755),$B$511=1),$V$755,HLOOKUP(INDIRECT(ADDRESS(2,COLUMN())),OFFSET($BN$2,0,0,ROW()-1,60),ROW()-1,FALSE))</f>
        <v>38493.1368</v>
      </c>
      <c r="W252">
        <f ca="1">IF(AND(ISNUMBER($W$755),$B$511=1),$W$755,HLOOKUP(INDIRECT(ADDRESS(2,COLUMN())),OFFSET($BN$2,0,0,ROW()-1,60),ROW()-1,FALSE))</f>
        <v>47462.25</v>
      </c>
      <c r="X252">
        <f ca="1">IF(AND(ISNUMBER($X$755),$B$511=1),$X$755,HLOOKUP(INDIRECT(ADDRESS(2,COLUMN())),OFFSET($BN$2,0,0,ROW()-1,60),ROW()-1,FALSE))</f>
        <v>46358.533199999998</v>
      </c>
      <c r="Y252">
        <f ca="1">IF(AND(ISNUMBER($Y$755),$B$511=1),$Y$755,HLOOKUP(INDIRECT(ADDRESS(2,COLUMN())),OFFSET($BN$2,0,0,ROW()-1,60),ROW()-1,FALSE))</f>
        <v>49507.146999999997</v>
      </c>
      <c r="Z252">
        <f ca="1">IF(AND(ISNUMBER($Z$755),$B$511=1),$Z$755,HLOOKUP(INDIRECT(ADDRESS(2,COLUMN())),OFFSET($BN$2,0,0,ROW()-1,60),ROW()-1,FALSE))</f>
        <v>50636.889600000002</v>
      </c>
      <c r="AA252">
        <f ca="1">IF(AND(ISNUMBER($AA$755),$B$511=1),$AA$755,HLOOKUP(INDIRECT(ADDRESS(2,COLUMN())),OFFSET($BN$2,0,0,ROW()-1,60),ROW()-1,FALSE))</f>
        <v>48829.606800000001</v>
      </c>
      <c r="AB252">
        <f ca="1">IF(AND(ISNUMBER($AB$755),$B$511=1),$AB$755,HLOOKUP(INDIRECT(ADDRESS(2,COLUMN())),OFFSET($BN$2,0,0,ROW()-1,60),ROW()-1,FALSE))</f>
        <v>45657.653299999998</v>
      </c>
      <c r="AC252">
        <f ca="1">IF(AND(ISNUMBER($AC$755),$B$511=1),$AC$755,HLOOKUP(INDIRECT(ADDRESS(2,COLUMN())),OFFSET($BN$2,0,0,ROW()-1,60),ROW()-1,FALSE))</f>
        <v>41840.986499999999</v>
      </c>
      <c r="AD252">
        <f ca="1">IF(AND(ISNUMBER($AD$755),$B$511=1),$AD$755,HLOOKUP(INDIRECT(ADDRESS(2,COLUMN())),OFFSET($BN$2,0,0,ROW()-1,60),ROW()-1,FALSE))</f>
        <v>40564.443599999999</v>
      </c>
      <c r="AE252">
        <f ca="1">IF(AND(ISNUMBER($AE$755),$B$511=1),$AE$755,HLOOKUP(INDIRECT(ADDRESS(2,COLUMN())),OFFSET($BN$2,0,0,ROW()-1,60),ROW()-1,FALSE))</f>
        <v>40249.530299999999</v>
      </c>
      <c r="AF252">
        <f ca="1">IF(AND(ISNUMBER($AF$755),$B$511=1),$AF$755,HLOOKUP(INDIRECT(ADDRESS(2,COLUMN())),OFFSET($BN$2,0,0,ROW()-1,60),ROW()-1,FALSE))</f>
        <v>37017.212399999997</v>
      </c>
      <c r="AG252">
        <f ca="1">IF(AND(ISNUMBER($AG$755),$B$511=1),$AG$755,HLOOKUP(INDIRECT(ADDRESS(2,COLUMN())),OFFSET($BN$2,0,0,ROW()-1,60),ROW()-1,FALSE))</f>
        <v>34687.776899999997</v>
      </c>
      <c r="AH252">
        <f ca="1">IF(AND(ISNUMBER($AH$755),$B$511=1),$AH$755,HLOOKUP(INDIRECT(ADDRESS(2,COLUMN())),OFFSET($BN$2,0,0,ROW()-1,60),ROW()-1,FALSE))</f>
        <v>37950.871200000001</v>
      </c>
      <c r="AI252">
        <f ca="1">IF(AND(ISNUMBER($AI$755),$B$511=1),$AI$755,HLOOKUP(INDIRECT(ADDRESS(2,COLUMN())),OFFSET($BN$2,0,0,ROW()-1,60),ROW()-1,FALSE))</f>
        <v>35041.248</v>
      </c>
      <c r="AJ252">
        <f ca="1">IF(AND(ISNUMBER($AJ$755),$B$511=1),$AJ$755,HLOOKUP(INDIRECT(ADDRESS(2,COLUMN())),OFFSET($BN$2,0,0,ROW()-1,60),ROW()-1,FALSE))</f>
        <v>34917.638700000003</v>
      </c>
      <c r="AK252">
        <f ca="1">IF(AND(ISNUMBER($AK$755),$B$511=1),$AK$755,HLOOKUP(INDIRECT(ADDRESS(2,COLUMN())),OFFSET($BN$2,0,0,ROW()-1,60),ROW()-1,FALSE))</f>
        <v>37222.502999999997</v>
      </c>
      <c r="AL252">
        <f ca="1">IF(AND(ISNUMBER($AL$755),$B$511=1),$AL$755,HLOOKUP(INDIRECT(ADDRESS(2,COLUMN())),OFFSET($BN$2,0,0,ROW()-1,60),ROW()-1,FALSE))</f>
        <v>35052.137999999999</v>
      </c>
      <c r="AM252">
        <f ca="1">IF(AND(ISNUMBER($AM$755),$B$511=1),$AM$755,HLOOKUP(INDIRECT(ADDRESS(2,COLUMN())),OFFSET($BN$2,0,0,ROW()-1,60),ROW()-1,FALSE))</f>
        <v>31950.0864</v>
      </c>
      <c r="AN252">
        <f ca="1">IF(AND(ISNUMBER($AN$755),$B$511=1),$AN$755,HLOOKUP(INDIRECT(ADDRESS(2,COLUMN())),OFFSET($BN$2,0,0,ROW()-1,60),ROW()-1,FALSE))</f>
        <v>29559.486000000001</v>
      </c>
      <c r="AO252">
        <f ca="1">IF(AND(ISNUMBER($AO$755),$B$511=1),$AO$755,HLOOKUP(INDIRECT(ADDRESS(2,COLUMN())),OFFSET($BN$2,0,0,ROW()-1,60),ROW()-1,FALSE))</f>
        <v>24760.365699999998</v>
      </c>
      <c r="AP252">
        <f ca="1">IF(AND(ISNUMBER($AP$755),$B$511=1),$AP$755,HLOOKUP(INDIRECT(ADDRESS(2,COLUMN())),OFFSET($BN$2,0,0,ROW()-1,60),ROW()-1,FALSE))</f>
        <v>26921.196899999999</v>
      </c>
      <c r="AQ252">
        <f ca="1">IF(AND(ISNUMBER($AQ$755),$B$511=1),$AQ$755,HLOOKUP(INDIRECT(ADDRESS(2,COLUMN())),OFFSET($BN$2,0,0,ROW()-1,60),ROW()-1,FALSE))</f>
        <v>28521.556199999999</v>
      </c>
      <c r="AR252">
        <f ca="1">IF(AND(ISNUMBER($AR$755),$B$511=1),$AR$755,HLOOKUP(INDIRECT(ADDRESS(2,COLUMN())),OFFSET($BN$2,0,0,ROW()-1,60),ROW()-1,FALSE))</f>
        <v>29177.641800000001</v>
      </c>
      <c r="AS252">
        <f ca="1">IF(AND(ISNUMBER($AS$755),$B$511=1),$AS$755,HLOOKUP(INDIRECT(ADDRESS(2,COLUMN())),OFFSET($BN$2,0,0,ROW()-1,60),ROW()-1,FALSE))</f>
        <v>28312.154999999999</v>
      </c>
      <c r="AT252">
        <f ca="1">IF(AND(ISNUMBER($AT$755),$B$511=1),$AT$755,HLOOKUP(INDIRECT(ADDRESS(2,COLUMN())),OFFSET($BN$2,0,0,ROW()-1,60),ROW()-1,FALSE))</f>
        <v>26266.179499999998</v>
      </c>
      <c r="AU252">
        <f ca="1">IF(AND(ISNUMBER($AU$755),$B$511=1),$AU$755,HLOOKUP(INDIRECT(ADDRESS(2,COLUMN())),OFFSET($BN$2,0,0,ROW()-1,60),ROW()-1,FALSE))</f>
        <v>28275.754499999999</v>
      </c>
      <c r="AV252">
        <f ca="1">IF(AND(ISNUMBER($AV$755),$B$511=1),$AV$755,HLOOKUP(INDIRECT(ADDRESS(2,COLUMN())),OFFSET($BN$2,0,0,ROW()-1,60),ROW()-1,FALSE))</f>
        <v>31225.113399999998</v>
      </c>
      <c r="AW252">
        <f ca="1">IF(AND(ISNUMBER($AW$755),$B$511=1),$AW$755,HLOOKUP(INDIRECT(ADDRESS(2,COLUMN())),OFFSET($BN$2,0,0,ROW()-1,60),ROW()-1,FALSE))</f>
        <v>34628.641600000003</v>
      </c>
      <c r="AX252">
        <f ca="1">IF(AND(ISNUMBER($AX$755),$B$511=1),$AX$755,HLOOKUP(INDIRECT(ADDRESS(2,COLUMN())),OFFSET($BN$2,0,0,ROW()-1,60),ROW()-1,FALSE))</f>
        <v>35677.751199999999</v>
      </c>
      <c r="AY252">
        <f ca="1">IF(AND(ISNUMBER($AY$755),$B$511=1),$AY$755,HLOOKUP(INDIRECT(ADDRESS(2,COLUMN())),OFFSET($BN$2,0,0,ROW()-1,60),ROW()-1,FALSE))</f>
        <v>31693.233899999999</v>
      </c>
      <c r="AZ252">
        <f ca="1">IF(AND(ISNUMBER($AZ$755),$B$511=1),$AZ$755,HLOOKUP(INDIRECT(ADDRESS(2,COLUMN())),OFFSET($BN$2,0,0,ROW()-1,60),ROW()-1,FALSE))</f>
        <v>29762.538</v>
      </c>
      <c r="BA252">
        <f ca="1">IF(AND(ISNUMBER($BA$755),$B$511=1),$BA$755,HLOOKUP(INDIRECT(ADDRESS(2,COLUMN())),OFFSET($BN$2,0,0,ROW()-1,60),ROW()-1,FALSE))</f>
        <v>27208.672399999999</v>
      </c>
      <c r="BB252">
        <f ca="1">IF(AND(ISNUMBER($BB$755),$B$511=1),$BB$755,HLOOKUP(INDIRECT(ADDRESS(2,COLUMN())),OFFSET($BN$2,0,0,ROW()-1,60),ROW()-1,FALSE))</f>
        <v>26228.553599999999</v>
      </c>
      <c r="BC252">
        <f ca="1">IF(AND(ISNUMBER($BC$755),$B$511=1),$BC$755,HLOOKUP(INDIRECT(ADDRESS(2,COLUMN())),OFFSET($BN$2,0,0,ROW()-1,60),ROW()-1,FALSE))</f>
        <v>25225.2814</v>
      </c>
      <c r="BD252">
        <f ca="1">IF(AND(ISNUMBER($BD$755),$B$511=1),$BD$755,HLOOKUP(INDIRECT(ADDRESS(2,COLUMN())),OFFSET($BN$2,0,0,ROW()-1,60),ROW()-1,FALSE))</f>
        <v>23070.759600000001</v>
      </c>
      <c r="BE252">
        <f ca="1">IF(AND(ISNUMBER($BE$755),$B$511=1),$BE$755,HLOOKUP(INDIRECT(ADDRESS(2,COLUMN())),OFFSET($BN$2,0,0,ROW()-1,60),ROW()-1,FALSE))</f>
        <v>23010.442999999999</v>
      </c>
      <c r="BF252">
        <f ca="1">IF(AND(ISNUMBER($BF$755),$B$511=1),$BF$755,HLOOKUP(INDIRECT(ADDRESS(2,COLUMN())),OFFSET($BN$2,0,0,ROW()-1,60),ROW()-1,FALSE))</f>
        <v>20949.486199999999</v>
      </c>
      <c r="BG252">
        <f ca="1">IF(AND(ISNUMBER($BG$755),$B$511=1),$BG$755,HLOOKUP(INDIRECT(ADDRESS(2,COLUMN())),OFFSET($BN$2,0,0,ROW()-1,60),ROW()-1,FALSE))</f>
        <v>20084.150900000001</v>
      </c>
      <c r="BH252">
        <f ca="1">IF(AND(ISNUMBER($BH$755),$B$511=1),$BH$755,HLOOKUP(INDIRECT(ADDRESS(2,COLUMN())),OFFSET($BN$2,0,0,ROW()-1,60),ROW()-1,FALSE))</f>
        <v>21931.893</v>
      </c>
      <c r="BI252">
        <f ca="1">IF(AND(ISNUMBER($BI$755),$B$511=1),$BI$755,HLOOKUP(INDIRECT(ADDRESS(2,COLUMN())),OFFSET($BN$2,0,0,ROW()-1,60),ROW()-1,FALSE))</f>
        <v>21368.888599999998</v>
      </c>
      <c r="BJ252">
        <f ca="1">IF(AND(ISNUMBER($BJ$755),$B$511=1),$BJ$755,HLOOKUP(INDIRECT(ADDRESS(2,COLUMN())),OFFSET($BN$2,0,0,ROW()-1,60),ROW()-1,FALSE))</f>
        <v>22919.643199999999</v>
      </c>
      <c r="BK252">
        <f ca="1">IF(AND(ISNUMBER($BK$755),$B$511=1),$BK$755,HLOOKUP(INDIRECT(ADDRESS(2,COLUMN())),OFFSET($BN$2,0,0,ROW()-1,60),ROW()-1,FALSE))</f>
        <v>22413.490399999999</v>
      </c>
      <c r="BL252">
        <f ca="1">IF(AND(ISNUMBER($BL$755),$B$511=1),$BL$755,HLOOKUP(INDIRECT(ADDRESS(2,COLUMN())),OFFSET($BN$2,0,0,ROW()-1,60),ROW()-1,FALSE))</f>
        <v>20931.2376</v>
      </c>
      <c r="BM252">
        <f ca="1">IF(AND(ISNUMBER($BM$755),$B$511=1),$BM$755,HLOOKUP(INDIRECT(ADDRESS(2,COLUMN())),OFFSET($BN$2,0,0,ROW()-1,60),ROW()-1,FALSE))</f>
        <v>20194.4555</v>
      </c>
      <c r="BN252" t="str">
        <f>""</f>
        <v/>
      </c>
      <c r="BO252" t="str">
        <f>""</f>
        <v/>
      </c>
      <c r="BP252">
        <f>65473.925</f>
        <v>65473.925000000003</v>
      </c>
      <c r="BQ252">
        <f>64551.6237</f>
        <v>64551.623699999996</v>
      </c>
      <c r="BR252">
        <f>69041.0616</f>
        <v>69041.061600000001</v>
      </c>
      <c r="BS252">
        <f>65053.4464</f>
        <v>65053.446400000001</v>
      </c>
      <c r="BT252">
        <f>61822.9337</f>
        <v>61822.933700000001</v>
      </c>
      <c r="BU252">
        <f>57319.5099</f>
        <v>57319.509899999997</v>
      </c>
      <c r="BV252">
        <f>52753.3252</f>
        <v>52753.325199999999</v>
      </c>
      <c r="BW252">
        <f>49684.8076</f>
        <v>49684.8076</v>
      </c>
      <c r="BX252">
        <f>50738.2092</f>
        <v>50738.209199999998</v>
      </c>
      <c r="BY252">
        <f>48343.6107</f>
        <v>48343.610699999997</v>
      </c>
      <c r="BZ252">
        <f>50654.5548</f>
        <v>50654.554799999998</v>
      </c>
      <c r="CA252">
        <f>46213.0979999999</f>
        <v>46213.097999999998</v>
      </c>
      <c r="CB252">
        <f>45614.7326</f>
        <v>45614.732600000003</v>
      </c>
      <c r="CC252">
        <f>42738.296</f>
        <v>42738.296000000002</v>
      </c>
      <c r="CD252">
        <f>38493.1368</f>
        <v>38493.1368</v>
      </c>
      <c r="CE252">
        <f>47462.25</f>
        <v>47462.25</v>
      </c>
      <c r="CF252">
        <f>46358.5332</f>
        <v>46358.533199999998</v>
      </c>
      <c r="CG252">
        <f>49507.147</f>
        <v>49507.146999999997</v>
      </c>
      <c r="CH252">
        <f>50636.8896</f>
        <v>50636.889600000002</v>
      </c>
      <c r="CI252">
        <f>48829.6068</f>
        <v>48829.606800000001</v>
      </c>
      <c r="CJ252">
        <f>45657.6533</f>
        <v>45657.653299999998</v>
      </c>
      <c r="CK252">
        <f>41840.9865</f>
        <v>41840.986499999999</v>
      </c>
      <c r="CL252">
        <f>40564.4436</f>
        <v>40564.443599999999</v>
      </c>
      <c r="CM252">
        <f>40249.5303</f>
        <v>40249.530299999999</v>
      </c>
      <c r="CN252">
        <f>37017.2124</f>
        <v>37017.212399999997</v>
      </c>
      <c r="CO252">
        <f>34687.7769</f>
        <v>34687.776899999997</v>
      </c>
      <c r="CP252">
        <f>37950.8712</f>
        <v>37950.871200000001</v>
      </c>
      <c r="CQ252">
        <f>35041.248</f>
        <v>35041.248</v>
      </c>
      <c r="CR252">
        <f>34917.6387</f>
        <v>34917.638700000003</v>
      </c>
      <c r="CS252">
        <f>37222.503</f>
        <v>37222.502999999997</v>
      </c>
      <c r="CT252">
        <f>35052.138</f>
        <v>35052.137999999999</v>
      </c>
      <c r="CU252">
        <f>31950.0864</f>
        <v>31950.0864</v>
      </c>
      <c r="CV252">
        <f>29559.486</f>
        <v>29559.486000000001</v>
      </c>
      <c r="CW252">
        <f>24760.3657</f>
        <v>24760.365699999998</v>
      </c>
      <c r="CX252">
        <f>26921.1969</f>
        <v>26921.196899999999</v>
      </c>
      <c r="CY252">
        <f>28521.5562</f>
        <v>28521.556199999999</v>
      </c>
      <c r="CZ252">
        <f>29177.6418</f>
        <v>29177.641800000001</v>
      </c>
      <c r="DA252">
        <f>28312.155</f>
        <v>28312.154999999999</v>
      </c>
      <c r="DB252">
        <f>26266.1795</f>
        <v>26266.179499999998</v>
      </c>
      <c r="DC252">
        <f>28275.7545</f>
        <v>28275.754499999999</v>
      </c>
      <c r="DD252">
        <f>31225.1134</f>
        <v>31225.113399999998</v>
      </c>
      <c r="DE252">
        <f>34628.6416</f>
        <v>34628.641600000003</v>
      </c>
      <c r="DF252">
        <f>35677.7512</f>
        <v>35677.751199999999</v>
      </c>
      <c r="DG252">
        <f>31693.2339</f>
        <v>31693.233899999999</v>
      </c>
      <c r="DH252">
        <f>29762.538</f>
        <v>29762.538</v>
      </c>
      <c r="DI252">
        <f>27208.6724</f>
        <v>27208.672399999999</v>
      </c>
      <c r="DJ252">
        <f>26228.5536</f>
        <v>26228.553599999999</v>
      </c>
      <c r="DK252">
        <f>25225.2814</f>
        <v>25225.2814</v>
      </c>
      <c r="DL252">
        <f>23070.7596</f>
        <v>23070.759600000001</v>
      </c>
      <c r="DM252">
        <f>23010.443</f>
        <v>23010.442999999999</v>
      </c>
      <c r="DN252">
        <f>20949.4862</f>
        <v>20949.486199999999</v>
      </c>
      <c r="DO252">
        <f>20084.1509</f>
        <v>20084.150900000001</v>
      </c>
      <c r="DP252">
        <f>21931.893</f>
        <v>21931.893</v>
      </c>
      <c r="DQ252">
        <f>21368.8886</f>
        <v>21368.888599999998</v>
      </c>
      <c r="DR252">
        <f>22919.6432</f>
        <v>22919.643199999999</v>
      </c>
      <c r="DS252">
        <f>22413.4904</f>
        <v>22413.490399999999</v>
      </c>
      <c r="DT252">
        <f>20931.2376</f>
        <v>20931.2376</v>
      </c>
      <c r="DU252">
        <f>20194.4555</f>
        <v>20194.4555</v>
      </c>
    </row>
    <row r="253" spans="1:125" x14ac:dyDescent="0.25">
      <c r="A253" t="str">
        <f>"    Brilliance China Automotive Holdings Ltd"</f>
        <v xml:space="preserve">    Brilliance China Automotive Holdings Ltd</v>
      </c>
      <c r="B253" t="str">
        <f>"1114 HK Equity"</f>
        <v>1114 HK Equity</v>
      </c>
      <c r="C253" t="str">
        <f t="shared" si="18"/>
        <v>RR010</v>
      </c>
      <c r="D253" t="str">
        <f t="shared" si="19"/>
        <v>TOT_COMMON_EQY</v>
      </c>
      <c r="E253" t="str">
        <f t="shared" si="20"/>
        <v>Dynamic</v>
      </c>
      <c r="F253" t="str">
        <f ca="1">IF(AND(ISNUMBER($F$756),$B$511=1),$F$756,HLOOKUP(INDIRECT(ADDRESS(2,COLUMN())),OFFSET($BN$2,0,0,ROW()-1,60),ROW()-1,FALSE))</f>
        <v/>
      </c>
      <c r="G253" t="str">
        <f ca="1">IF(AND(ISNUMBER($G$756),$B$511=1),$G$756,HLOOKUP(INDIRECT(ADDRESS(2,COLUMN())),OFFSET($BN$2,0,0,ROW()-1,60),ROW()-1,FALSE))</f>
        <v/>
      </c>
      <c r="H253" t="str">
        <f ca="1">IF(AND(ISNUMBER($H$756),$B$511=1),$H$756,HLOOKUP(INDIRECT(ADDRESS(2,COLUMN())),OFFSET($BN$2,0,0,ROW()-1,60),ROW()-1,FALSE))</f>
        <v/>
      </c>
      <c r="I253" t="str">
        <f ca="1">IF(AND(ISNUMBER($I$756),$B$511=1),$I$756,HLOOKUP(INDIRECT(ADDRESS(2,COLUMN())),OFFSET($BN$2,0,0,ROW()-1,60),ROW()-1,FALSE))</f>
        <v/>
      </c>
      <c r="J253" t="str">
        <f ca="1">IF(AND(ISNUMBER($J$756),$B$511=1),$J$756,HLOOKUP(INDIRECT(ADDRESS(2,COLUMN())),OFFSET($BN$2,0,0,ROW()-1,60),ROW()-1,FALSE))</f>
        <v/>
      </c>
      <c r="K253" t="str">
        <f ca="1">IF(AND(ISNUMBER($K$756),$B$511=1),$K$756,HLOOKUP(INDIRECT(ADDRESS(2,COLUMN())),OFFSET($BN$2,0,0,ROW()-1,60),ROW()-1,FALSE))</f>
        <v/>
      </c>
      <c r="L253" t="str">
        <f ca="1">IF(AND(ISNUMBER($L$756),$B$511=1),$L$756,HLOOKUP(INDIRECT(ADDRESS(2,COLUMN())),OFFSET($BN$2,0,0,ROW()-1,60),ROW()-1,FALSE))</f>
        <v/>
      </c>
      <c r="M253" t="str">
        <f ca="1">IF(AND(ISNUMBER($M$756),$B$511=1),$M$756,HLOOKUP(INDIRECT(ADDRESS(2,COLUMN())),OFFSET($BN$2,0,0,ROW()-1,60),ROW()-1,FALSE))</f>
        <v/>
      </c>
      <c r="N253" t="str">
        <f ca="1">IF(AND(ISNUMBER($N$756),$B$511=1),$N$756,HLOOKUP(INDIRECT(ADDRESS(2,COLUMN())),OFFSET($BN$2,0,0,ROW()-1,60),ROW()-1,FALSE))</f>
        <v/>
      </c>
      <c r="O253" t="str">
        <f ca="1">IF(AND(ISNUMBER($O$756),$B$511=1),$O$756,HLOOKUP(INDIRECT(ADDRESS(2,COLUMN())),OFFSET($BN$2,0,0,ROW()-1,60),ROW()-1,FALSE))</f>
        <v/>
      </c>
      <c r="P253" t="str">
        <f ca="1">IF(AND(ISNUMBER($P$756),$B$511=1),$P$756,HLOOKUP(INDIRECT(ADDRESS(2,COLUMN())),OFFSET($BN$2,0,0,ROW()-1,60),ROW()-1,FALSE))</f>
        <v/>
      </c>
      <c r="Q253" t="str">
        <f ca="1">IF(AND(ISNUMBER($Q$756),$B$511=1),$Q$756,HLOOKUP(INDIRECT(ADDRESS(2,COLUMN())),OFFSET($BN$2,0,0,ROW()-1,60),ROW()-1,FALSE))</f>
        <v/>
      </c>
      <c r="R253" t="str">
        <f ca="1">IF(AND(ISNUMBER($R$756),$B$511=1),$R$756,HLOOKUP(INDIRECT(ADDRESS(2,COLUMN())),OFFSET($BN$2,0,0,ROW()-1,60),ROW()-1,FALSE))</f>
        <v/>
      </c>
      <c r="S253" t="str">
        <f ca="1">IF(AND(ISNUMBER($S$756),$B$511=1),$S$756,HLOOKUP(INDIRECT(ADDRESS(2,COLUMN())),OFFSET($BN$2,0,0,ROW()-1,60),ROW()-1,FALSE))</f>
        <v/>
      </c>
      <c r="T253" t="str">
        <f ca="1">IF(AND(ISNUMBER($T$756),$B$511=1),$T$756,HLOOKUP(INDIRECT(ADDRESS(2,COLUMN())),OFFSET($BN$2,0,0,ROW()-1,60),ROW()-1,FALSE))</f>
        <v/>
      </c>
      <c r="U253" t="str">
        <f ca="1">IF(AND(ISNUMBER($U$756),$B$511=1),$U$756,HLOOKUP(INDIRECT(ADDRESS(2,COLUMN())),OFFSET($BN$2,0,0,ROW()-1,60),ROW()-1,FALSE))</f>
        <v/>
      </c>
      <c r="V253" t="str">
        <f ca="1">IF(AND(ISNUMBER($V$756),$B$511=1),$V$756,HLOOKUP(INDIRECT(ADDRESS(2,COLUMN())),OFFSET($BN$2,0,0,ROW()-1,60),ROW()-1,FALSE))</f>
        <v/>
      </c>
      <c r="W253" t="str">
        <f ca="1">IF(AND(ISNUMBER($W$756),$B$511=1),$W$756,HLOOKUP(INDIRECT(ADDRESS(2,COLUMN())),OFFSET($BN$2,0,0,ROW()-1,60),ROW()-1,FALSE))</f>
        <v/>
      </c>
      <c r="X253" t="str">
        <f ca="1">IF(AND(ISNUMBER($X$756),$B$511=1),$X$756,HLOOKUP(INDIRECT(ADDRESS(2,COLUMN())),OFFSET($BN$2,0,0,ROW()-1,60),ROW()-1,FALSE))</f>
        <v/>
      </c>
      <c r="Y253" t="str">
        <f ca="1">IF(AND(ISNUMBER($Y$756),$B$511=1),$Y$756,HLOOKUP(INDIRECT(ADDRESS(2,COLUMN())),OFFSET($BN$2,0,0,ROW()-1,60),ROW()-1,FALSE))</f>
        <v/>
      </c>
      <c r="Z253" t="str">
        <f ca="1">IF(AND(ISNUMBER($Z$756),$B$511=1),$Z$756,HLOOKUP(INDIRECT(ADDRESS(2,COLUMN())),OFFSET($BN$2,0,0,ROW()-1,60),ROW()-1,FALSE))</f>
        <v/>
      </c>
      <c r="AA253" t="str">
        <f ca="1">IF(AND(ISNUMBER($AA$756),$B$511=1),$AA$756,HLOOKUP(INDIRECT(ADDRESS(2,COLUMN())),OFFSET($BN$2,0,0,ROW()-1,60),ROW()-1,FALSE))</f>
        <v/>
      </c>
      <c r="AB253" t="str">
        <f ca="1">IF(AND(ISNUMBER($AB$756),$B$511=1),$AB$756,HLOOKUP(INDIRECT(ADDRESS(2,COLUMN())),OFFSET($BN$2,0,0,ROW()-1,60),ROW()-1,FALSE))</f>
        <v/>
      </c>
      <c r="AC253" t="str">
        <f ca="1">IF(AND(ISNUMBER($AC$756),$B$511=1),$AC$756,HLOOKUP(INDIRECT(ADDRESS(2,COLUMN())),OFFSET($BN$2,0,0,ROW()-1,60),ROW()-1,FALSE))</f>
        <v/>
      </c>
      <c r="AD253" t="str">
        <f ca="1">IF(AND(ISNUMBER($AD$756),$B$511=1),$AD$756,HLOOKUP(INDIRECT(ADDRESS(2,COLUMN())),OFFSET($BN$2,0,0,ROW()-1,60),ROW()-1,FALSE))</f>
        <v/>
      </c>
      <c r="AE253" t="str">
        <f ca="1">IF(AND(ISNUMBER($AE$756),$B$511=1),$AE$756,HLOOKUP(INDIRECT(ADDRESS(2,COLUMN())),OFFSET($BN$2,0,0,ROW()-1,60),ROW()-1,FALSE))</f>
        <v/>
      </c>
      <c r="AF253" t="str">
        <f ca="1">IF(AND(ISNUMBER($AF$756),$B$511=1),$AF$756,HLOOKUP(INDIRECT(ADDRESS(2,COLUMN())),OFFSET($BN$2,0,0,ROW()-1,60),ROW()-1,FALSE))</f>
        <v/>
      </c>
      <c r="AG253" t="str">
        <f ca="1">IF(AND(ISNUMBER($AG$756),$B$511=1),$AG$756,HLOOKUP(INDIRECT(ADDRESS(2,COLUMN())),OFFSET($BN$2,0,0,ROW()-1,60),ROW()-1,FALSE))</f>
        <v/>
      </c>
      <c r="AH253" t="str">
        <f ca="1">IF(AND(ISNUMBER($AH$756),$B$511=1),$AH$756,HLOOKUP(INDIRECT(ADDRESS(2,COLUMN())),OFFSET($BN$2,0,0,ROW()-1,60),ROW()-1,FALSE))</f>
        <v/>
      </c>
      <c r="AI253" t="str">
        <f ca="1">IF(AND(ISNUMBER($AI$756),$B$511=1),$AI$756,HLOOKUP(INDIRECT(ADDRESS(2,COLUMN())),OFFSET($BN$2,0,0,ROW()-1,60),ROW()-1,FALSE))</f>
        <v/>
      </c>
      <c r="AJ253" t="str">
        <f ca="1">IF(AND(ISNUMBER($AJ$756),$B$511=1),$AJ$756,HLOOKUP(INDIRECT(ADDRESS(2,COLUMN())),OFFSET($BN$2,0,0,ROW()-1,60),ROW()-1,FALSE))</f>
        <v/>
      </c>
      <c r="AK253" t="str">
        <f ca="1">IF(AND(ISNUMBER($AK$756),$B$511=1),$AK$756,HLOOKUP(INDIRECT(ADDRESS(2,COLUMN())),OFFSET($BN$2,0,0,ROW()-1,60),ROW()-1,FALSE))</f>
        <v/>
      </c>
      <c r="AL253" t="str">
        <f ca="1">IF(AND(ISNUMBER($AL$756),$B$511=1),$AL$756,HLOOKUP(INDIRECT(ADDRESS(2,COLUMN())),OFFSET($BN$2,0,0,ROW()-1,60),ROW()-1,FALSE))</f>
        <v/>
      </c>
      <c r="AM253" t="str">
        <f ca="1">IF(AND(ISNUMBER($AM$756),$B$511=1),$AM$756,HLOOKUP(INDIRECT(ADDRESS(2,COLUMN())),OFFSET($BN$2,0,0,ROW()-1,60),ROW()-1,FALSE))</f>
        <v/>
      </c>
      <c r="AN253" t="str">
        <f ca="1">IF(AND(ISNUMBER($AN$756),$B$511=1),$AN$756,HLOOKUP(INDIRECT(ADDRESS(2,COLUMN())),OFFSET($BN$2,0,0,ROW()-1,60),ROW()-1,FALSE))</f>
        <v/>
      </c>
      <c r="AO253" t="str">
        <f ca="1">IF(AND(ISNUMBER($AO$756),$B$511=1),$AO$756,HLOOKUP(INDIRECT(ADDRESS(2,COLUMN())),OFFSET($BN$2,0,0,ROW()-1,60),ROW()-1,FALSE))</f>
        <v/>
      </c>
      <c r="AP253" t="str">
        <f ca="1">IF(AND(ISNUMBER($AP$756),$B$511=1),$AP$756,HLOOKUP(INDIRECT(ADDRESS(2,COLUMN())),OFFSET($BN$2,0,0,ROW()-1,60),ROW()-1,FALSE))</f>
        <v/>
      </c>
      <c r="AQ253" t="str">
        <f ca="1">IF(AND(ISNUMBER($AQ$756),$B$511=1),$AQ$756,HLOOKUP(INDIRECT(ADDRESS(2,COLUMN())),OFFSET($BN$2,0,0,ROW()-1,60),ROW()-1,FALSE))</f>
        <v/>
      </c>
      <c r="AR253" t="str">
        <f ca="1">IF(AND(ISNUMBER($AR$756),$B$511=1),$AR$756,HLOOKUP(INDIRECT(ADDRESS(2,COLUMN())),OFFSET($BN$2,0,0,ROW()-1,60),ROW()-1,FALSE))</f>
        <v/>
      </c>
      <c r="AS253" t="str">
        <f ca="1">IF(AND(ISNUMBER($AS$756),$B$511=1),$AS$756,HLOOKUP(INDIRECT(ADDRESS(2,COLUMN())),OFFSET($BN$2,0,0,ROW()-1,60),ROW()-1,FALSE))</f>
        <v/>
      </c>
      <c r="AT253" t="str">
        <f ca="1">IF(AND(ISNUMBER($AT$756),$B$511=1),$AT$756,HLOOKUP(INDIRECT(ADDRESS(2,COLUMN())),OFFSET($BN$2,0,0,ROW()-1,60),ROW()-1,FALSE))</f>
        <v/>
      </c>
      <c r="AU253" t="str">
        <f ca="1">IF(AND(ISNUMBER($AU$756),$B$511=1),$AU$756,HLOOKUP(INDIRECT(ADDRESS(2,COLUMN())),OFFSET($BN$2,0,0,ROW()-1,60),ROW()-1,FALSE))</f>
        <v/>
      </c>
      <c r="AV253" t="str">
        <f ca="1">IF(AND(ISNUMBER($AV$756),$B$511=1),$AV$756,HLOOKUP(INDIRECT(ADDRESS(2,COLUMN())),OFFSET($BN$2,0,0,ROW()-1,60),ROW()-1,FALSE))</f>
        <v/>
      </c>
      <c r="AW253" t="str">
        <f ca="1">IF(AND(ISNUMBER($AW$756),$B$511=1),$AW$756,HLOOKUP(INDIRECT(ADDRESS(2,COLUMN())),OFFSET($BN$2,0,0,ROW()-1,60),ROW()-1,FALSE))</f>
        <v/>
      </c>
      <c r="AX253" t="str">
        <f ca="1">IF(AND(ISNUMBER($AX$756),$B$511=1),$AX$756,HLOOKUP(INDIRECT(ADDRESS(2,COLUMN())),OFFSET($BN$2,0,0,ROW()-1,60),ROW()-1,FALSE))</f>
        <v/>
      </c>
      <c r="AY253" t="str">
        <f ca="1">IF(AND(ISNUMBER($AY$756),$B$511=1),$AY$756,HLOOKUP(INDIRECT(ADDRESS(2,COLUMN())),OFFSET($BN$2,0,0,ROW()-1,60),ROW()-1,FALSE))</f>
        <v/>
      </c>
      <c r="AZ253" t="str">
        <f ca="1">IF(AND(ISNUMBER($AZ$756),$B$511=1),$AZ$756,HLOOKUP(INDIRECT(ADDRESS(2,COLUMN())),OFFSET($BN$2,0,0,ROW()-1,60),ROW()-1,FALSE))</f>
        <v/>
      </c>
      <c r="BA253" t="str">
        <f ca="1">IF(AND(ISNUMBER($BA$756),$B$511=1),$BA$756,HLOOKUP(INDIRECT(ADDRESS(2,COLUMN())),OFFSET($BN$2,0,0,ROW()-1,60),ROW()-1,FALSE))</f>
        <v/>
      </c>
      <c r="BB253" t="str">
        <f ca="1">IF(AND(ISNUMBER($BB$756),$B$511=1),$BB$756,HLOOKUP(INDIRECT(ADDRESS(2,COLUMN())),OFFSET($BN$2,0,0,ROW()-1,60),ROW()-1,FALSE))</f>
        <v/>
      </c>
      <c r="BC253" t="str">
        <f ca="1">IF(AND(ISNUMBER($BC$756),$B$511=1),$BC$756,HLOOKUP(INDIRECT(ADDRESS(2,COLUMN())),OFFSET($BN$2,0,0,ROW()-1,60),ROW()-1,FALSE))</f>
        <v/>
      </c>
      <c r="BD253" t="str">
        <f ca="1">IF(AND(ISNUMBER($BD$756),$B$511=1),$BD$756,HLOOKUP(INDIRECT(ADDRESS(2,COLUMN())),OFFSET($BN$2,0,0,ROW()-1,60),ROW()-1,FALSE))</f>
        <v/>
      </c>
      <c r="BE253" t="str">
        <f ca="1">IF(AND(ISNUMBER($BE$756),$B$511=1),$BE$756,HLOOKUP(INDIRECT(ADDRESS(2,COLUMN())),OFFSET($BN$2,0,0,ROW()-1,60),ROW()-1,FALSE))</f>
        <v/>
      </c>
      <c r="BF253" t="str">
        <f ca="1">IF(AND(ISNUMBER($BF$756),$B$511=1),$BF$756,HLOOKUP(INDIRECT(ADDRESS(2,COLUMN())),OFFSET($BN$2,0,0,ROW()-1,60),ROW()-1,FALSE))</f>
        <v/>
      </c>
      <c r="BG253" t="str">
        <f ca="1">IF(AND(ISNUMBER($BG$756),$B$511=1),$BG$756,HLOOKUP(INDIRECT(ADDRESS(2,COLUMN())),OFFSET($BN$2,0,0,ROW()-1,60),ROW()-1,FALSE))</f>
        <v/>
      </c>
      <c r="BH253" t="str">
        <f ca="1">IF(AND(ISNUMBER($BH$756),$B$511=1),$BH$756,HLOOKUP(INDIRECT(ADDRESS(2,COLUMN())),OFFSET($BN$2,0,0,ROW()-1,60),ROW()-1,FALSE))</f>
        <v/>
      </c>
      <c r="BI253" t="str">
        <f ca="1">IF(AND(ISNUMBER($BI$756),$B$511=1),$BI$756,HLOOKUP(INDIRECT(ADDRESS(2,COLUMN())),OFFSET($BN$2,0,0,ROW()-1,60),ROW()-1,FALSE))</f>
        <v/>
      </c>
      <c r="BJ253" t="str">
        <f ca="1">IF(AND(ISNUMBER($BJ$756),$B$511=1),$BJ$756,HLOOKUP(INDIRECT(ADDRESS(2,COLUMN())),OFFSET($BN$2,0,0,ROW()-1,60),ROW()-1,FALSE))</f>
        <v/>
      </c>
      <c r="BK253" t="str">
        <f ca="1">IF(AND(ISNUMBER($BK$756),$B$511=1),$BK$756,HLOOKUP(INDIRECT(ADDRESS(2,COLUMN())),OFFSET($BN$2,0,0,ROW()-1,60),ROW()-1,FALSE))</f>
        <v/>
      </c>
      <c r="BL253" t="str">
        <f ca="1">IF(AND(ISNUMBER($BL$756),$B$511=1),$BL$756,HLOOKUP(INDIRECT(ADDRESS(2,COLUMN())),OFFSET($BN$2,0,0,ROW()-1,60),ROW()-1,FALSE))</f>
        <v/>
      </c>
      <c r="BM253" t="str">
        <f ca="1">IF(AND(ISNUMBER($BM$756),$B$511=1),$BM$756,HLOOKUP(INDIRECT(ADDRESS(2,COLUMN())),OFFSET($BN$2,0,0,ROW()-1,60),ROW()-1,FALSE))</f>
        <v/>
      </c>
      <c r="BN253" t="str">
        <f>""</f>
        <v/>
      </c>
      <c r="BO253" t="str">
        <f>""</f>
        <v/>
      </c>
      <c r="BP253" t="str">
        <f>""</f>
        <v/>
      </c>
      <c r="BQ253" t="str">
        <f>""</f>
        <v/>
      </c>
      <c r="BR253" t="str">
        <f>""</f>
        <v/>
      </c>
      <c r="BS253" t="str">
        <f>""</f>
        <v/>
      </c>
      <c r="BT253" t="str">
        <f>""</f>
        <v/>
      </c>
      <c r="BU253" t="str">
        <f>""</f>
        <v/>
      </c>
      <c r="BV253" t="str">
        <f>""</f>
        <v/>
      </c>
      <c r="BW253" t="str">
        <f>""</f>
        <v/>
      </c>
      <c r="BX253" t="str">
        <f>""</f>
        <v/>
      </c>
      <c r="BY253" t="str">
        <f>""</f>
        <v/>
      </c>
      <c r="BZ253" t="str">
        <f>""</f>
        <v/>
      </c>
      <c r="CA253" t="str">
        <f>""</f>
        <v/>
      </c>
      <c r="CB253" t="str">
        <f>""</f>
        <v/>
      </c>
      <c r="CC253" t="str">
        <f>""</f>
        <v/>
      </c>
      <c r="CD253" t="str">
        <f>""</f>
        <v/>
      </c>
      <c r="CE253" t="str">
        <f>""</f>
        <v/>
      </c>
      <c r="CF253" t="str">
        <f>""</f>
        <v/>
      </c>
      <c r="CG253" t="str">
        <f>""</f>
        <v/>
      </c>
      <c r="CH253" t="str">
        <f>""</f>
        <v/>
      </c>
      <c r="CI253" t="str">
        <f>""</f>
        <v/>
      </c>
      <c r="CJ253" t="str">
        <f>""</f>
        <v/>
      </c>
      <c r="CK253" t="str">
        <f>""</f>
        <v/>
      </c>
      <c r="CL253" t="str">
        <f>""</f>
        <v/>
      </c>
      <c r="CM253" t="str">
        <f>""</f>
        <v/>
      </c>
      <c r="CN253" t="str">
        <f>""</f>
        <v/>
      </c>
      <c r="CO253" t="str">
        <f>""</f>
        <v/>
      </c>
      <c r="CP253" t="str">
        <f>""</f>
        <v/>
      </c>
      <c r="CQ253" t="str">
        <f>""</f>
        <v/>
      </c>
      <c r="CR253" t="str">
        <f>""</f>
        <v/>
      </c>
      <c r="CS253" t="str">
        <f>""</f>
        <v/>
      </c>
      <c r="CT253" t="str">
        <f>""</f>
        <v/>
      </c>
      <c r="CU253" t="str">
        <f>""</f>
        <v/>
      </c>
      <c r="CV253" t="str">
        <f>""</f>
        <v/>
      </c>
      <c r="CW253" t="str">
        <f>""</f>
        <v/>
      </c>
      <c r="CX253" t="str">
        <f>""</f>
        <v/>
      </c>
      <c r="CY253" t="str">
        <f>""</f>
        <v/>
      </c>
      <c r="CZ253" t="str">
        <f>""</f>
        <v/>
      </c>
      <c r="DA253" t="str">
        <f>""</f>
        <v/>
      </c>
      <c r="DB253" t="str">
        <f>""</f>
        <v/>
      </c>
      <c r="DC253" t="str">
        <f>""</f>
        <v/>
      </c>
      <c r="DD253" t="str">
        <f>""</f>
        <v/>
      </c>
      <c r="DE253" t="str">
        <f>""</f>
        <v/>
      </c>
      <c r="DF253" t="str">
        <f>""</f>
        <v/>
      </c>
      <c r="DG253" t="str">
        <f>""</f>
        <v/>
      </c>
      <c r="DH253" t="str">
        <f>""</f>
        <v/>
      </c>
      <c r="DI253" t="str">
        <f>""</f>
        <v/>
      </c>
      <c r="DJ253" t="str">
        <f>""</f>
        <v/>
      </c>
      <c r="DK253" t="str">
        <f>""</f>
        <v/>
      </c>
      <c r="DL253" t="str">
        <f>""</f>
        <v/>
      </c>
      <c r="DM253" t="str">
        <f>""</f>
        <v/>
      </c>
      <c r="DN253" t="str">
        <f>""</f>
        <v/>
      </c>
      <c r="DO253" t="str">
        <f>""</f>
        <v/>
      </c>
      <c r="DP253" t="str">
        <f>""</f>
        <v/>
      </c>
      <c r="DQ253" t="str">
        <f>""</f>
        <v/>
      </c>
      <c r="DR253" t="str">
        <f>""</f>
        <v/>
      </c>
      <c r="DS253" t="str">
        <f>""</f>
        <v/>
      </c>
      <c r="DT253" t="str">
        <f>""</f>
        <v/>
      </c>
      <c r="DU253" t="str">
        <f>""</f>
        <v/>
      </c>
    </row>
    <row r="254" spans="1:125" x14ac:dyDescent="0.25">
      <c r="A254" t="str">
        <f>"    BYD Co Ltd"</f>
        <v xml:space="preserve">    BYD Co Ltd</v>
      </c>
      <c r="B254" t="str">
        <f>"1211 HK Equity"</f>
        <v>1211 HK Equity</v>
      </c>
      <c r="C254" t="str">
        <f t="shared" si="18"/>
        <v>RR010</v>
      </c>
      <c r="D254" t="str">
        <f t="shared" si="19"/>
        <v>TOT_COMMON_EQY</v>
      </c>
      <c r="E254" t="str">
        <f t="shared" si="20"/>
        <v>Dynamic</v>
      </c>
      <c r="F254" t="str">
        <f ca="1">IF(AND(ISNUMBER($F$757),$B$511=1),$F$757,HLOOKUP(INDIRECT(ADDRESS(2,COLUMN())),OFFSET($BN$2,0,0,ROW()-1,60),ROW()-1,FALSE))</f>
        <v/>
      </c>
      <c r="G254" t="str">
        <f ca="1">IF(AND(ISNUMBER($G$757),$B$511=1),$G$757,HLOOKUP(INDIRECT(ADDRESS(2,COLUMN())),OFFSET($BN$2,0,0,ROW()-1,60),ROW()-1,FALSE))</f>
        <v/>
      </c>
      <c r="H254">
        <f ca="1">IF(AND(ISNUMBER($H$757),$B$511=1),$H$757,HLOOKUP(INDIRECT(ADDRESS(2,COLUMN())),OFFSET($BN$2,0,0,ROW()-1,60),ROW()-1,FALSE))</f>
        <v>7363.8824590000004</v>
      </c>
      <c r="I254">
        <f ca="1">IF(AND(ISNUMBER($I$757),$B$511=1),$I$757,HLOOKUP(INDIRECT(ADDRESS(2,COLUMN())),OFFSET($BN$2,0,0,ROW()-1,60),ROW()-1,FALSE))</f>
        <v>7598.0725860000002</v>
      </c>
      <c r="J254">
        <f ca="1">IF(AND(ISNUMBER($J$757),$B$511=1),$J$757,HLOOKUP(INDIRECT(ADDRESS(2,COLUMN())),OFFSET($BN$2,0,0,ROW()-1,60),ROW()-1,FALSE))</f>
        <v>8133.1579199999996</v>
      </c>
      <c r="K254">
        <f ca="1">IF(AND(ISNUMBER($K$757),$B$511=1),$K$757,HLOOKUP(INDIRECT(ADDRESS(2,COLUMN())),OFFSET($BN$2,0,0,ROW()-1,60),ROW()-1,FALSE))</f>
        <v>7854.7334289999999</v>
      </c>
      <c r="L254">
        <f ca="1">IF(AND(ISNUMBER($L$757),$B$511=1),$L$757,HLOOKUP(INDIRECT(ADDRESS(2,COLUMN())),OFFSET($BN$2,0,0,ROW()-1,60),ROW()-1,FALSE))</f>
        <v>7567.1981489999998</v>
      </c>
      <c r="M254">
        <f ca="1">IF(AND(ISNUMBER($M$757),$B$511=1),$M$757,HLOOKUP(INDIRECT(ADDRESS(2,COLUMN())),OFFSET($BN$2,0,0,ROW()-1,60),ROW()-1,FALSE))</f>
        <v>7217.6465980000003</v>
      </c>
      <c r="N254">
        <f ca="1">IF(AND(ISNUMBER($N$757),$B$511=1),$N$757,HLOOKUP(INDIRECT(ADDRESS(2,COLUMN())),OFFSET($BN$2,0,0,ROW()-1,60),ROW()-1,FALSE))</f>
        <v>7009.0490870000003</v>
      </c>
      <c r="O254">
        <f ca="1">IF(AND(ISNUMBER($O$757),$B$511=1),$O$757,HLOOKUP(INDIRECT(ADDRESS(2,COLUMN())),OFFSET($BN$2,0,0,ROW()-1,60),ROW()-1,FALSE))</f>
        <v>6838.930934</v>
      </c>
      <c r="P254">
        <f ca="1">IF(AND(ISNUMBER($P$757),$B$511=1),$P$757,HLOOKUP(INDIRECT(ADDRESS(2,COLUMN())),OFFSET($BN$2,0,0,ROW()-1,60),ROW()-1,FALSE))</f>
        <v>7016.1707390000001</v>
      </c>
      <c r="Q254">
        <f ca="1">IF(AND(ISNUMBER($Q$757),$B$511=1),$Q$757,HLOOKUP(INDIRECT(ADDRESS(2,COLUMN())),OFFSET($BN$2,0,0,ROW()-1,60),ROW()-1,FALSE))</f>
        <v>4663.376561</v>
      </c>
      <c r="R254">
        <f ca="1">IF(AND(ISNUMBER($R$757),$B$511=1),$R$757,HLOOKUP(INDIRECT(ADDRESS(2,COLUMN())),OFFSET($BN$2,0,0,ROW()-1,60),ROW()-1,FALSE))</f>
        <v>4541.4868189999997</v>
      </c>
      <c r="S254">
        <f ca="1">IF(AND(ISNUMBER($S$757),$B$511=1),$S$757,HLOOKUP(INDIRECT(ADDRESS(2,COLUMN())),OFFSET($BN$2,0,0,ROW()-1,60),ROW()-1,FALSE))</f>
        <v>4977.9428129999997</v>
      </c>
      <c r="T254">
        <f ca="1">IF(AND(ISNUMBER($T$757),$B$511=1),$T$757,HLOOKUP(INDIRECT(ADDRESS(2,COLUMN())),OFFSET($BN$2,0,0,ROW()-1,60),ROW()-1,FALSE))</f>
        <v>4290.1700250000004</v>
      </c>
      <c r="U254">
        <f ca="1">IF(AND(ISNUMBER($U$757),$B$511=1),$U$757,HLOOKUP(INDIRECT(ADDRESS(2,COLUMN())),OFFSET($BN$2,0,0,ROW()-1,60),ROW()-1,FALSE))</f>
        <v>4168.6487049999996</v>
      </c>
      <c r="V254">
        <f ca="1">IF(AND(ISNUMBER($V$757),$B$511=1),$V$757,HLOOKUP(INDIRECT(ADDRESS(2,COLUMN())),OFFSET($BN$2,0,0,ROW()-1,60),ROW()-1,FALSE))</f>
        <v>4111.580747</v>
      </c>
      <c r="W254">
        <f ca="1">IF(AND(ISNUMBER($W$757),$B$511=1),$W$757,HLOOKUP(INDIRECT(ADDRESS(2,COLUMN())),OFFSET($BN$2,0,0,ROW()-1,60),ROW()-1,FALSE))</f>
        <v>4086.3480679999998</v>
      </c>
      <c r="X254">
        <f ca="1">IF(AND(ISNUMBER($X$757),$B$511=1),$X$757,HLOOKUP(INDIRECT(ADDRESS(2,COLUMN())),OFFSET($BN$2,0,0,ROW()-1,60),ROW()-1,FALSE))</f>
        <v>4127.0949140000002</v>
      </c>
      <c r="Y254">
        <f ca="1">IF(AND(ISNUMBER($Y$757),$B$511=1),$Y$757,HLOOKUP(INDIRECT(ADDRESS(2,COLUMN())),OFFSET($BN$2,0,0,ROW()-1,60),ROW()-1,FALSE))</f>
        <v>4083.6866960000002</v>
      </c>
      <c r="Z254">
        <f ca="1">IF(AND(ISNUMBER($Z$757),$B$511=1),$Z$757,HLOOKUP(INDIRECT(ADDRESS(2,COLUMN())),OFFSET($BN$2,0,0,ROW()-1,60),ROW()-1,FALSE))</f>
        <v>3493.7544419999999</v>
      </c>
      <c r="AA254">
        <f ca="1">IF(AND(ISNUMBER($AA$757),$B$511=1),$AA$757,HLOOKUP(INDIRECT(ADDRESS(2,COLUMN())),OFFSET($BN$2,0,0,ROW()-1,60),ROW()-1,FALSE))</f>
        <v>3586.9678140000001</v>
      </c>
      <c r="AB254">
        <f ca="1">IF(AND(ISNUMBER($AB$757),$B$511=1),$AB$757,HLOOKUP(INDIRECT(ADDRESS(2,COLUMN())),OFFSET($BN$2,0,0,ROW()-1,60),ROW()-1,FALSE))</f>
        <v>3531.5997969999999</v>
      </c>
      <c r="AC254">
        <f ca="1">IF(AND(ISNUMBER($AC$757),$B$511=1),$AC$757,HLOOKUP(INDIRECT(ADDRESS(2,COLUMN())),OFFSET($BN$2,0,0,ROW()-1,60),ROW()-1,FALSE))</f>
        <v>3518.1013750000002</v>
      </c>
      <c r="AD254">
        <f ca="1">IF(AND(ISNUMBER($AD$757),$B$511=1),$AD$757,HLOOKUP(INDIRECT(ADDRESS(2,COLUMN())),OFFSET($BN$2,0,0,ROW()-1,60),ROW()-1,FALSE))</f>
        <v>3434.799704</v>
      </c>
      <c r="AE254">
        <f ca="1">IF(AND(ISNUMBER($AE$757),$B$511=1),$AE$757,HLOOKUP(INDIRECT(ADDRESS(2,COLUMN())),OFFSET($BN$2,0,0,ROW()-1,60),ROW()-1,FALSE))</f>
        <v>3399.6766640000001</v>
      </c>
      <c r="AF254">
        <f ca="1">IF(AND(ISNUMBER($AF$757),$B$511=1),$AF$757,HLOOKUP(INDIRECT(ADDRESS(2,COLUMN())),OFFSET($BN$2,0,0,ROW()-1,60),ROW()-1,FALSE))</f>
        <v>3365.4815619999999</v>
      </c>
      <c r="AG254">
        <f ca="1">IF(AND(ISNUMBER($AG$757),$B$511=1),$AG$757,HLOOKUP(INDIRECT(ADDRESS(2,COLUMN())),OFFSET($BN$2,0,0,ROW()-1,60),ROW()-1,FALSE))</f>
        <v>3321.7422230000002</v>
      </c>
      <c r="AH254">
        <f ca="1">IF(AND(ISNUMBER($AH$757),$B$511=1),$AH$757,HLOOKUP(INDIRECT(ADDRESS(2,COLUMN())),OFFSET($BN$2,0,0,ROW()-1,60),ROW()-1,FALSE))</f>
        <v>3358.7914770000002</v>
      </c>
      <c r="AI254">
        <f ca="1">IF(AND(ISNUMBER($AI$757),$B$511=1),$AI$757,HLOOKUP(INDIRECT(ADDRESS(2,COLUMN())),OFFSET($BN$2,0,0,ROW()-1,60),ROW()-1,FALSE))</f>
        <v>3353.257615</v>
      </c>
      <c r="AJ254">
        <f ca="1">IF(AND(ISNUMBER($AJ$757),$B$511=1),$AJ$757,HLOOKUP(INDIRECT(ADDRESS(2,COLUMN())),OFFSET($BN$2,0,0,ROW()-1,60),ROW()-1,FALSE))</f>
        <v>3152.4148519999999</v>
      </c>
      <c r="AK254" t="str">
        <f ca="1">IF(AND(ISNUMBER($AK$757),$B$511=1),$AK$757,HLOOKUP(INDIRECT(ADDRESS(2,COLUMN())),OFFSET($BN$2,0,0,ROW()-1,60),ROW()-1,FALSE))</f>
        <v/>
      </c>
      <c r="AL254" t="str">
        <f ca="1">IF(AND(ISNUMBER($AL$757),$B$511=1),$AL$757,HLOOKUP(INDIRECT(ADDRESS(2,COLUMN())),OFFSET($BN$2,0,0,ROW()-1,60),ROW()-1,FALSE))</f>
        <v/>
      </c>
      <c r="AM254">
        <f ca="1">IF(AND(ISNUMBER($AM$757),$B$511=1),$AM$757,HLOOKUP(INDIRECT(ADDRESS(2,COLUMN())),OFFSET($BN$2,0,0,ROW()-1,60),ROW()-1,FALSE))</f>
        <v>2801.3898960000001</v>
      </c>
      <c r="AN254">
        <f ca="1">IF(AND(ISNUMBER($AN$757),$B$511=1),$AN$757,HLOOKUP(INDIRECT(ADDRESS(2,COLUMN())),OFFSET($BN$2,0,0,ROW()-1,60),ROW()-1,FALSE))</f>
        <v>2745.9554560000001</v>
      </c>
      <c r="AO254">
        <f ca="1">IF(AND(ISNUMBER($AO$757),$B$511=1),$AO$757,HLOOKUP(INDIRECT(ADDRESS(2,COLUMN())),OFFSET($BN$2,0,0,ROW()-1,60),ROW()-1,FALSE))</f>
        <v>2707.275341</v>
      </c>
      <c r="AP254">
        <f ca="1">IF(AND(ISNUMBER($AP$757),$B$511=1),$AP$757,HLOOKUP(INDIRECT(ADDRESS(2,COLUMN())),OFFSET($BN$2,0,0,ROW()-1,60),ROW()-1,FALSE))</f>
        <v>2694.4333109999998</v>
      </c>
      <c r="AQ254">
        <f ca="1">IF(AND(ISNUMBER($AQ$757),$B$511=1),$AQ$757,HLOOKUP(INDIRECT(ADDRESS(2,COLUMN())),OFFSET($BN$2,0,0,ROW()-1,60),ROW()-1,FALSE))</f>
        <v>2443.5495310000001</v>
      </c>
      <c r="AR254">
        <f ca="1">IF(AND(ISNUMBER($AR$757),$B$511=1),$AR$757,HLOOKUP(INDIRECT(ADDRESS(2,COLUMN())),OFFSET($BN$2,0,0,ROW()-1,60),ROW()-1,FALSE))</f>
        <v>2226.587317</v>
      </c>
      <c r="AS254" t="str">
        <f ca="1">IF(AND(ISNUMBER($AS$757),$B$511=1),$AS$757,HLOOKUP(INDIRECT(ADDRESS(2,COLUMN())),OFFSET($BN$2,0,0,ROW()-1,60),ROW()-1,FALSE))</f>
        <v/>
      </c>
      <c r="AT254" t="str">
        <f ca="1">IF(AND(ISNUMBER($AT$757),$B$511=1),$AT$757,HLOOKUP(INDIRECT(ADDRESS(2,COLUMN())),OFFSET($BN$2,0,0,ROW()-1,60),ROW()-1,FALSE))</f>
        <v/>
      </c>
      <c r="AU254" t="str">
        <f ca="1">IF(AND(ISNUMBER($AU$757),$B$511=1),$AU$757,HLOOKUP(INDIRECT(ADDRESS(2,COLUMN())),OFFSET($BN$2,0,0,ROW()-1,60),ROW()-1,FALSE))</f>
        <v/>
      </c>
      <c r="AV254" t="str">
        <f ca="1">IF(AND(ISNUMBER($AV$757),$B$511=1),$AV$757,HLOOKUP(INDIRECT(ADDRESS(2,COLUMN())),OFFSET($BN$2,0,0,ROW()-1,60),ROW()-1,FALSE))</f>
        <v/>
      </c>
      <c r="AW254" t="str">
        <f ca="1">IF(AND(ISNUMBER($AW$757),$B$511=1),$AW$757,HLOOKUP(INDIRECT(ADDRESS(2,COLUMN())),OFFSET($BN$2,0,0,ROW()-1,60),ROW()-1,FALSE))</f>
        <v/>
      </c>
      <c r="AX254" t="str">
        <f ca="1">IF(AND(ISNUMBER($AX$757),$B$511=1),$AX$757,HLOOKUP(INDIRECT(ADDRESS(2,COLUMN())),OFFSET($BN$2,0,0,ROW()-1,60),ROW()-1,FALSE))</f>
        <v/>
      </c>
      <c r="AY254" t="str">
        <f ca="1">IF(AND(ISNUMBER($AY$757),$B$511=1),$AY$757,HLOOKUP(INDIRECT(ADDRESS(2,COLUMN())),OFFSET($BN$2,0,0,ROW()-1,60),ROW()-1,FALSE))</f>
        <v/>
      </c>
      <c r="AZ254" t="str">
        <f ca="1">IF(AND(ISNUMBER($AZ$757),$B$511=1),$AZ$757,HLOOKUP(INDIRECT(ADDRESS(2,COLUMN())),OFFSET($BN$2,0,0,ROW()-1,60),ROW()-1,FALSE))</f>
        <v/>
      </c>
      <c r="BA254" t="str">
        <f ca="1">IF(AND(ISNUMBER($BA$757),$B$511=1),$BA$757,HLOOKUP(INDIRECT(ADDRESS(2,COLUMN())),OFFSET($BN$2,0,0,ROW()-1,60),ROW()-1,FALSE))</f>
        <v/>
      </c>
      <c r="BB254" t="str">
        <f ca="1">IF(AND(ISNUMBER($BB$757),$B$511=1),$BB$757,HLOOKUP(INDIRECT(ADDRESS(2,COLUMN())),OFFSET($BN$2,0,0,ROW()-1,60),ROW()-1,FALSE))</f>
        <v/>
      </c>
      <c r="BC254" t="str">
        <f ca="1">IF(AND(ISNUMBER($BC$757),$B$511=1),$BC$757,HLOOKUP(INDIRECT(ADDRESS(2,COLUMN())),OFFSET($BN$2,0,0,ROW()-1,60),ROW()-1,FALSE))</f>
        <v/>
      </c>
      <c r="BD254" t="str">
        <f ca="1">IF(AND(ISNUMBER($BD$757),$B$511=1),$BD$757,HLOOKUP(INDIRECT(ADDRESS(2,COLUMN())),OFFSET($BN$2,0,0,ROW()-1,60),ROW()-1,FALSE))</f>
        <v/>
      </c>
      <c r="BE254" t="str">
        <f ca="1">IF(AND(ISNUMBER($BE$757),$B$511=1),$BE$757,HLOOKUP(INDIRECT(ADDRESS(2,COLUMN())),OFFSET($BN$2,0,0,ROW()-1,60),ROW()-1,FALSE))</f>
        <v/>
      </c>
      <c r="BF254" t="str">
        <f ca="1">IF(AND(ISNUMBER($BF$757),$B$511=1),$BF$757,HLOOKUP(INDIRECT(ADDRESS(2,COLUMN())),OFFSET($BN$2,0,0,ROW()-1,60),ROW()-1,FALSE))</f>
        <v/>
      </c>
      <c r="BG254" t="str">
        <f ca="1">IF(AND(ISNUMBER($BG$757),$B$511=1),$BG$757,HLOOKUP(INDIRECT(ADDRESS(2,COLUMN())),OFFSET($BN$2,0,0,ROW()-1,60),ROW()-1,FALSE))</f>
        <v/>
      </c>
      <c r="BH254" t="str">
        <f ca="1">IF(AND(ISNUMBER($BH$757),$B$511=1),$BH$757,HLOOKUP(INDIRECT(ADDRESS(2,COLUMN())),OFFSET($BN$2,0,0,ROW()-1,60),ROW()-1,FALSE))</f>
        <v/>
      </c>
      <c r="BI254" t="str">
        <f ca="1">IF(AND(ISNUMBER($BI$757),$B$511=1),$BI$757,HLOOKUP(INDIRECT(ADDRESS(2,COLUMN())),OFFSET($BN$2,0,0,ROW()-1,60),ROW()-1,FALSE))</f>
        <v/>
      </c>
      <c r="BJ254" t="str">
        <f ca="1">IF(AND(ISNUMBER($BJ$757),$B$511=1),$BJ$757,HLOOKUP(INDIRECT(ADDRESS(2,COLUMN())),OFFSET($BN$2,0,0,ROW()-1,60),ROW()-1,FALSE))</f>
        <v/>
      </c>
      <c r="BK254" t="str">
        <f ca="1">IF(AND(ISNUMBER($BK$757),$B$511=1),$BK$757,HLOOKUP(INDIRECT(ADDRESS(2,COLUMN())),OFFSET($BN$2,0,0,ROW()-1,60),ROW()-1,FALSE))</f>
        <v/>
      </c>
      <c r="BL254" t="str">
        <f ca="1">IF(AND(ISNUMBER($BL$757),$B$511=1),$BL$757,HLOOKUP(INDIRECT(ADDRESS(2,COLUMN())),OFFSET($BN$2,0,0,ROW()-1,60),ROW()-1,FALSE))</f>
        <v/>
      </c>
      <c r="BM254" t="str">
        <f ca="1">IF(AND(ISNUMBER($BM$757),$B$511=1),$BM$757,HLOOKUP(INDIRECT(ADDRESS(2,COLUMN())),OFFSET($BN$2,0,0,ROW()-1,60),ROW()-1,FALSE))</f>
        <v/>
      </c>
      <c r="BN254" t="str">
        <f>""</f>
        <v/>
      </c>
      <c r="BO254" t="str">
        <f>""</f>
        <v/>
      </c>
      <c r="BP254">
        <f>7363.882459</f>
        <v>7363.8824590000004</v>
      </c>
      <c r="BQ254">
        <f>7598.072586</f>
        <v>7598.0725860000002</v>
      </c>
      <c r="BR254">
        <f>8133.15792</f>
        <v>8133.1579199999996</v>
      </c>
      <c r="BS254">
        <f>7854.733429</f>
        <v>7854.7334289999999</v>
      </c>
      <c r="BT254">
        <f>7567.198149</f>
        <v>7567.1981489999998</v>
      </c>
      <c r="BU254">
        <f>7217.646598</f>
        <v>7217.6465980000003</v>
      </c>
      <c r="BV254">
        <f>7009.049087</f>
        <v>7009.0490870000003</v>
      </c>
      <c r="BW254">
        <f>6838.930934</f>
        <v>6838.930934</v>
      </c>
      <c r="BX254">
        <f>7016.170739</f>
        <v>7016.1707390000001</v>
      </c>
      <c r="BY254">
        <f>4663.376561</f>
        <v>4663.376561</v>
      </c>
      <c r="BZ254">
        <f>4541.486819</f>
        <v>4541.4868189999997</v>
      </c>
      <c r="CA254">
        <f>4977.942813</f>
        <v>4977.9428129999997</v>
      </c>
      <c r="CB254">
        <f>4290.170025</f>
        <v>4290.1700250000004</v>
      </c>
      <c r="CC254">
        <f>4168.648705</f>
        <v>4168.6487049999996</v>
      </c>
      <c r="CD254">
        <f>4111.580747</f>
        <v>4111.580747</v>
      </c>
      <c r="CE254">
        <f>4086.348068</f>
        <v>4086.3480679999998</v>
      </c>
      <c r="CF254">
        <f>4127.094914</f>
        <v>4127.0949140000002</v>
      </c>
      <c r="CG254">
        <f>4083.686696</f>
        <v>4083.6866960000002</v>
      </c>
      <c r="CH254">
        <f>3493.754442</f>
        <v>3493.7544419999999</v>
      </c>
      <c r="CI254">
        <f>3586.967814</f>
        <v>3586.9678140000001</v>
      </c>
      <c r="CJ254">
        <f>3531.599797</f>
        <v>3531.5997969999999</v>
      </c>
      <c r="CK254">
        <f>3518.101375</f>
        <v>3518.1013750000002</v>
      </c>
      <c r="CL254">
        <f>3434.799704</f>
        <v>3434.799704</v>
      </c>
      <c r="CM254">
        <f>3399.676664</f>
        <v>3399.6766640000001</v>
      </c>
      <c r="CN254">
        <f>3365.481562</f>
        <v>3365.4815619999999</v>
      </c>
      <c r="CO254">
        <f>3321.742223</f>
        <v>3321.7422230000002</v>
      </c>
      <c r="CP254">
        <f>3358.791477</f>
        <v>3358.7914770000002</v>
      </c>
      <c r="CQ254">
        <f>3353.257615</f>
        <v>3353.257615</v>
      </c>
      <c r="CR254">
        <f>3152.414852</f>
        <v>3152.4148519999999</v>
      </c>
      <c r="CS254" t="str">
        <f>""</f>
        <v/>
      </c>
      <c r="CT254" t="str">
        <f>""</f>
        <v/>
      </c>
      <c r="CU254">
        <f>2801.389896</f>
        <v>2801.3898960000001</v>
      </c>
      <c r="CV254">
        <f>2745.955456</f>
        <v>2745.9554560000001</v>
      </c>
      <c r="CW254">
        <f>2707.275341</f>
        <v>2707.275341</v>
      </c>
      <c r="CX254">
        <f>2694.433311</f>
        <v>2694.4333109999998</v>
      </c>
      <c r="CY254">
        <f>2443.549531</f>
        <v>2443.5495310000001</v>
      </c>
      <c r="CZ254">
        <f>2226.587317</f>
        <v>2226.587317</v>
      </c>
      <c r="DA254" t="str">
        <f>""</f>
        <v/>
      </c>
      <c r="DB254" t="str">
        <f>""</f>
        <v/>
      </c>
      <c r="DC254" t="str">
        <f>""</f>
        <v/>
      </c>
      <c r="DD254" t="str">
        <f>""</f>
        <v/>
      </c>
      <c r="DE254" t="str">
        <f>""</f>
        <v/>
      </c>
      <c r="DF254" t="str">
        <f>""</f>
        <v/>
      </c>
      <c r="DG254" t="str">
        <f>""</f>
        <v/>
      </c>
      <c r="DH254" t="str">
        <f>""</f>
        <v/>
      </c>
      <c r="DI254" t="str">
        <f>""</f>
        <v/>
      </c>
      <c r="DJ254" t="str">
        <f>""</f>
        <v/>
      </c>
      <c r="DK254" t="str">
        <f>""</f>
        <v/>
      </c>
      <c r="DL254" t="str">
        <f>""</f>
        <v/>
      </c>
      <c r="DM254" t="str">
        <f>""</f>
        <v/>
      </c>
      <c r="DN254" t="str">
        <f>""</f>
        <v/>
      </c>
      <c r="DO254" t="str">
        <f>""</f>
        <v/>
      </c>
      <c r="DP254" t="str">
        <f>""</f>
        <v/>
      </c>
      <c r="DQ254" t="str">
        <f>""</f>
        <v/>
      </c>
      <c r="DR254" t="str">
        <f>""</f>
        <v/>
      </c>
      <c r="DS254" t="str">
        <f>""</f>
        <v/>
      </c>
      <c r="DT254" t="str">
        <f>""</f>
        <v/>
      </c>
      <c r="DU254" t="str">
        <f>""</f>
        <v/>
      </c>
    </row>
    <row r="255" spans="1:125" x14ac:dyDescent="0.25">
      <c r="A255" t="str">
        <f>"    Chongqing Changan Automobile Co Ltd"</f>
        <v xml:space="preserve">    Chongqing Changan Automobile Co Ltd</v>
      </c>
      <c r="B255" t="str">
        <f>"200625 CH Equity"</f>
        <v>200625 CH Equity</v>
      </c>
      <c r="C255" t="str">
        <f t="shared" si="18"/>
        <v>RR010</v>
      </c>
      <c r="D255" t="str">
        <f t="shared" si="19"/>
        <v>TOT_COMMON_EQY</v>
      </c>
      <c r="E255" t="str">
        <f t="shared" si="20"/>
        <v>Dynamic</v>
      </c>
      <c r="F255" t="str">
        <f ca="1">IF(AND(ISNUMBER($F$758),$B$511=1),$F$758,HLOOKUP(INDIRECT(ADDRESS(2,COLUMN())),OFFSET($BN$2,0,0,ROW()-1,60),ROW()-1,FALSE))</f>
        <v/>
      </c>
      <c r="G255" t="str">
        <f ca="1">IF(AND(ISNUMBER($G$758),$B$511=1),$G$758,HLOOKUP(INDIRECT(ADDRESS(2,COLUMN())),OFFSET($BN$2,0,0,ROW()-1,60),ROW()-1,FALSE))</f>
        <v/>
      </c>
      <c r="H255">
        <f ca="1">IF(AND(ISNUMBER($H$758),$B$511=1),$H$758,HLOOKUP(INDIRECT(ADDRESS(2,COLUMN())),OFFSET($BN$2,0,0,ROW()-1,60),ROW()-1,FALSE))</f>
        <v>6826.3432640000001</v>
      </c>
      <c r="I255">
        <f ca="1">IF(AND(ISNUMBER($I$758),$B$511=1),$I$758,HLOOKUP(INDIRECT(ADDRESS(2,COLUMN())),OFFSET($BN$2,0,0,ROW()-1,60),ROW()-1,FALSE))</f>
        <v>7143.1099249999997</v>
      </c>
      <c r="J255">
        <f ca="1">IF(AND(ISNUMBER($J$758),$B$511=1),$J$758,HLOOKUP(INDIRECT(ADDRESS(2,COLUMN())),OFFSET($BN$2,0,0,ROW()-1,60),ROW()-1,FALSE))</f>
        <v>7787.7351179999996</v>
      </c>
      <c r="K255">
        <f ca="1">IF(AND(ISNUMBER($K$758),$B$511=1),$K$758,HLOOKUP(INDIRECT(ADDRESS(2,COLUMN())),OFFSET($BN$2,0,0,ROW()-1,60),ROW()-1,FALSE))</f>
        <v>7315.3351069999999</v>
      </c>
      <c r="L255">
        <f ca="1">IF(AND(ISNUMBER($L$758),$B$511=1),$L$758,HLOOKUP(INDIRECT(ADDRESS(2,COLUMN())),OFFSET($BN$2,0,0,ROW()-1,60),ROW()-1,FALSE))</f>
        <v>6983.9601249999996</v>
      </c>
      <c r="M255">
        <f ca="1">IF(AND(ISNUMBER($M$758),$B$511=1),$M$758,HLOOKUP(INDIRECT(ADDRESS(2,COLUMN())),OFFSET($BN$2,0,0,ROW()-1,60),ROW()-1,FALSE))</f>
        <v>6666.5683740000004</v>
      </c>
      <c r="N255">
        <f ca="1">IF(AND(ISNUMBER($N$758),$B$511=1),$N$758,HLOOKUP(INDIRECT(ADDRESS(2,COLUMN())),OFFSET($BN$2,0,0,ROW()-1,60),ROW()-1,FALSE))</f>
        <v>6684.2216129999997</v>
      </c>
      <c r="O255">
        <f ca="1">IF(AND(ISNUMBER($O$758),$B$511=1),$O$758,HLOOKUP(INDIRECT(ADDRESS(2,COLUMN())),OFFSET($BN$2,0,0,ROW()-1,60),ROW()-1,FALSE))</f>
        <v>6278.9187430000002</v>
      </c>
      <c r="P255">
        <f ca="1">IF(AND(ISNUMBER($P$758),$B$511=1),$P$758,HLOOKUP(INDIRECT(ADDRESS(2,COLUMN())),OFFSET($BN$2,0,0,ROW()-1,60),ROW()-1,FALSE))</f>
        <v>5857.3903280000004</v>
      </c>
      <c r="Q255">
        <f ca="1">IF(AND(ISNUMBER($Q$758),$B$511=1),$Q$758,HLOOKUP(INDIRECT(ADDRESS(2,COLUMN())),OFFSET($BN$2,0,0,ROW()-1,60),ROW()-1,FALSE))</f>
        <v>5529.5420679999997</v>
      </c>
      <c r="R255">
        <f ca="1">IF(AND(ISNUMBER($R$758),$B$511=1),$R$758,HLOOKUP(INDIRECT(ADDRESS(2,COLUMN())),OFFSET($BN$2,0,0,ROW()-1,60),ROW()-1,FALSE))</f>
        <v>5738.0258059999996</v>
      </c>
      <c r="S255">
        <f ca="1">IF(AND(ISNUMBER($S$758),$B$511=1),$S$758,HLOOKUP(INDIRECT(ADDRESS(2,COLUMN())),OFFSET($BN$2,0,0,ROW()-1,60),ROW()-1,FALSE))</f>
        <v>5300.2218220000004</v>
      </c>
      <c r="T255">
        <f ca="1">IF(AND(ISNUMBER($T$758),$B$511=1),$T$758,HLOOKUP(INDIRECT(ADDRESS(2,COLUMN())),OFFSET($BN$2,0,0,ROW()-1,60),ROW()-1,FALSE))</f>
        <v>4890.8382750000001</v>
      </c>
      <c r="U255">
        <f ca="1">IF(AND(ISNUMBER($U$758),$B$511=1),$U$758,HLOOKUP(INDIRECT(ADDRESS(2,COLUMN())),OFFSET($BN$2,0,0,ROW()-1,60),ROW()-1,FALSE))</f>
        <v>4759.9507389999999</v>
      </c>
      <c r="V255">
        <f ca="1">IF(AND(ISNUMBER($V$758),$B$511=1),$V$758,HLOOKUP(INDIRECT(ADDRESS(2,COLUMN())),OFFSET($BN$2,0,0,ROW()-1,60),ROW()-1,FALSE))</f>
        <v>4532.4434799999999</v>
      </c>
      <c r="W255">
        <f ca="1">IF(AND(ISNUMBER($W$758),$B$511=1),$W$758,HLOOKUP(INDIRECT(ADDRESS(2,COLUMN())),OFFSET($BN$2,0,0,ROW()-1,60),ROW()-1,FALSE))</f>
        <v>4130.118657</v>
      </c>
      <c r="X255">
        <f ca="1">IF(AND(ISNUMBER($X$758),$B$511=1),$X$758,HLOOKUP(INDIRECT(ADDRESS(2,COLUMN())),OFFSET($BN$2,0,0,ROW()-1,60),ROW()-1,FALSE))</f>
        <v>3814.6014230000001</v>
      </c>
      <c r="Y255">
        <f ca="1">IF(AND(ISNUMBER($Y$758),$B$511=1),$Y$758,HLOOKUP(INDIRECT(ADDRESS(2,COLUMN())),OFFSET($BN$2,0,0,ROW()-1,60),ROW()-1,FALSE))</f>
        <v>3476.1296000000002</v>
      </c>
      <c r="Z255">
        <f ca="1">IF(AND(ISNUMBER($Z$758),$B$511=1),$Z$758,HLOOKUP(INDIRECT(ADDRESS(2,COLUMN())),OFFSET($BN$2,0,0,ROW()-1,60),ROW()-1,FALSE))</f>
        <v>3332.4262370000001</v>
      </c>
      <c r="AA255">
        <f ca="1">IF(AND(ISNUMBER($AA$758),$B$511=1),$AA$758,HLOOKUP(INDIRECT(ADDRESS(2,COLUMN())),OFFSET($BN$2,0,0,ROW()-1,60),ROW()-1,FALSE))</f>
        <v>3115.6421869999999</v>
      </c>
      <c r="AB255">
        <f ca="1">IF(AND(ISNUMBER($AB$758),$B$511=1),$AB$758,HLOOKUP(INDIRECT(ADDRESS(2,COLUMN())),OFFSET($BN$2,0,0,ROW()-1,60),ROW()-1,FALSE))</f>
        <v>2869.1728520000001</v>
      </c>
      <c r="AC255">
        <f ca="1">IF(AND(ISNUMBER($AC$758),$B$511=1),$AC$758,HLOOKUP(INDIRECT(ADDRESS(2,COLUMN())),OFFSET($BN$2,0,0,ROW()-1,60),ROW()-1,FALSE))</f>
        <v>2703.4664870000001</v>
      </c>
      <c r="AD255">
        <f ca="1">IF(AND(ISNUMBER($AD$758),$B$511=1),$AD$758,HLOOKUP(INDIRECT(ADDRESS(2,COLUMN())),OFFSET($BN$2,0,0,ROW()-1,60),ROW()-1,FALSE))</f>
        <v>2584.766251</v>
      </c>
      <c r="AE255">
        <f ca="1">IF(AND(ISNUMBER($AE$758),$B$511=1),$AE$758,HLOOKUP(INDIRECT(ADDRESS(2,COLUMN())),OFFSET($BN$2,0,0,ROW()-1,60),ROW()-1,FALSE))</f>
        <v>2488.0409540000001</v>
      </c>
      <c r="AF255">
        <f ca="1">IF(AND(ISNUMBER($AF$758),$B$511=1),$AF$758,HLOOKUP(INDIRECT(ADDRESS(2,COLUMN())),OFFSET($BN$2,0,0,ROW()-1,60),ROW()-1,FALSE))</f>
        <v>2362.777619</v>
      </c>
      <c r="AG255">
        <f ca="1">IF(AND(ISNUMBER($AG$758),$B$511=1),$AG$758,HLOOKUP(INDIRECT(ADDRESS(2,COLUMN())),OFFSET($BN$2,0,0,ROW()-1,60),ROW()-1,FALSE))</f>
        <v>2339.9364559999999</v>
      </c>
      <c r="AH255">
        <f ca="1">IF(AND(ISNUMBER($AH$758),$B$511=1),$AH$758,HLOOKUP(INDIRECT(ADDRESS(2,COLUMN())),OFFSET($BN$2,0,0,ROW()-1,60),ROW()-1,FALSE))</f>
        <v>2288.5806360000001</v>
      </c>
      <c r="AI255">
        <f ca="1">IF(AND(ISNUMBER($AI$758),$B$511=1),$AI$758,HLOOKUP(INDIRECT(ADDRESS(2,COLUMN())),OFFSET($BN$2,0,0,ROW()-1,60),ROW()-1,FALSE))</f>
        <v>2339.6719619999999</v>
      </c>
      <c r="AJ255">
        <f ca="1">IF(AND(ISNUMBER($AJ$758),$B$511=1),$AJ$758,HLOOKUP(INDIRECT(ADDRESS(2,COLUMN())),OFFSET($BN$2,0,0,ROW()-1,60),ROW()-1,FALSE))</f>
        <v>2311.078493</v>
      </c>
      <c r="AK255">
        <f ca="1">IF(AND(ISNUMBER($AK$758),$B$511=1),$AK$758,HLOOKUP(INDIRECT(ADDRESS(2,COLUMN())),OFFSET($BN$2,0,0,ROW()-1,60),ROW()-1,FALSE))</f>
        <v>2339.6960330000002</v>
      </c>
      <c r="AL255">
        <f ca="1">IF(AND(ISNUMBER($AL$758),$B$511=1),$AL$758,HLOOKUP(INDIRECT(ADDRESS(2,COLUMN())),OFFSET($BN$2,0,0,ROW()-1,60),ROW()-1,FALSE))</f>
        <v>2259.6726330000001</v>
      </c>
      <c r="AM255">
        <f ca="1">IF(AND(ISNUMBER($AM$758),$B$511=1),$AM$758,HLOOKUP(INDIRECT(ADDRESS(2,COLUMN())),OFFSET($BN$2,0,0,ROW()-1,60),ROW()-1,FALSE))</f>
        <v>1639.035674</v>
      </c>
      <c r="AN255">
        <f ca="1">IF(AND(ISNUMBER($AN$758),$B$511=1),$AN$758,HLOOKUP(INDIRECT(ADDRESS(2,COLUMN())),OFFSET($BN$2,0,0,ROW()-1,60),ROW()-1,FALSE))</f>
        <v>1540.6064180000001</v>
      </c>
      <c r="AO255">
        <f ca="1">IF(AND(ISNUMBER($AO$758),$B$511=1),$AO$758,HLOOKUP(INDIRECT(ADDRESS(2,COLUMN())),OFFSET($BN$2,0,0,ROW()-1,60),ROW()-1,FALSE))</f>
        <v>1461.0438300000001</v>
      </c>
      <c r="AP255">
        <f ca="1">IF(AND(ISNUMBER($AP$758),$B$511=1),$AP$758,HLOOKUP(INDIRECT(ADDRESS(2,COLUMN())),OFFSET($BN$2,0,0,ROW()-1,60),ROW()-1,FALSE))</f>
        <v>1402.767341</v>
      </c>
      <c r="AQ255">
        <f ca="1">IF(AND(ISNUMBER($AQ$758),$B$511=1),$AQ$758,HLOOKUP(INDIRECT(ADDRESS(2,COLUMN())),OFFSET($BN$2,0,0,ROW()-1,60),ROW()-1,FALSE))</f>
        <v>1316.881736</v>
      </c>
      <c r="AR255">
        <f ca="1">IF(AND(ISNUMBER($AR$758),$B$511=1),$AR$758,HLOOKUP(INDIRECT(ADDRESS(2,COLUMN())),OFFSET($BN$2,0,0,ROW()-1,60),ROW()-1,FALSE))</f>
        <v>1226.1456969999999</v>
      </c>
      <c r="AS255">
        <f ca="1">IF(AND(ISNUMBER($AS$758),$B$511=1),$AS$758,HLOOKUP(INDIRECT(ADDRESS(2,COLUMN())),OFFSET($BN$2,0,0,ROW()-1,60),ROW()-1,FALSE))</f>
        <v>1181.7184970000001</v>
      </c>
      <c r="AT255">
        <f ca="1">IF(AND(ISNUMBER($AT$758),$B$511=1),$AT$758,HLOOKUP(INDIRECT(ADDRESS(2,COLUMN())),OFFSET($BN$2,0,0,ROW()-1,60),ROW()-1,FALSE))</f>
        <v>1115.9074210000001</v>
      </c>
      <c r="AU255">
        <f ca="1">IF(AND(ISNUMBER($AU$758),$B$511=1),$AU$758,HLOOKUP(INDIRECT(ADDRESS(2,COLUMN())),OFFSET($BN$2,0,0,ROW()-1,60),ROW()-1,FALSE))</f>
        <v>1112.962393</v>
      </c>
      <c r="AV255">
        <f ca="1">IF(AND(ISNUMBER($AV$758),$B$511=1),$AV$758,HLOOKUP(INDIRECT(ADDRESS(2,COLUMN())),OFFSET($BN$2,0,0,ROW()-1,60),ROW()-1,FALSE))</f>
        <v>1156.3853489999999</v>
      </c>
      <c r="AW255">
        <f ca="1">IF(AND(ISNUMBER($AW$758),$B$511=1),$AW$758,HLOOKUP(INDIRECT(ADDRESS(2,COLUMN())),OFFSET($BN$2,0,0,ROW()-1,60),ROW()-1,FALSE))</f>
        <v>1170.54349</v>
      </c>
      <c r="AX255">
        <f ca="1">IF(AND(ISNUMBER($AX$758),$B$511=1),$AX$758,HLOOKUP(INDIRECT(ADDRESS(2,COLUMN())),OFFSET($BN$2,0,0,ROW()-1,60),ROW()-1,FALSE))</f>
        <v>1118.178177</v>
      </c>
      <c r="AY255">
        <f ca="1">IF(AND(ISNUMBER($AY$758),$B$511=1),$AY$758,HLOOKUP(INDIRECT(ADDRESS(2,COLUMN())),OFFSET($BN$2,0,0,ROW()-1,60),ROW()-1,FALSE))</f>
        <v>1037.8189540000001</v>
      </c>
      <c r="AZ255">
        <f ca="1">IF(AND(ISNUMBER($AZ$758),$B$511=1),$AZ$758,HLOOKUP(INDIRECT(ADDRESS(2,COLUMN())),OFFSET($BN$2,0,0,ROW()-1,60),ROW()-1,FALSE))</f>
        <v>1001.586575</v>
      </c>
      <c r="BA255">
        <f ca="1">IF(AND(ISNUMBER($BA$758),$B$511=1),$BA$758,HLOOKUP(INDIRECT(ADDRESS(2,COLUMN())),OFFSET($BN$2,0,0,ROW()-1,60),ROW()-1,FALSE))</f>
        <v>991.48968920000004</v>
      </c>
      <c r="BB255">
        <f ca="1">IF(AND(ISNUMBER($BB$758),$B$511=1),$BB$758,HLOOKUP(INDIRECT(ADDRESS(2,COLUMN())),OFFSET($BN$2,0,0,ROW()-1,60),ROW()-1,FALSE))</f>
        <v>942.56857730000002</v>
      </c>
      <c r="BC255">
        <f ca="1">IF(AND(ISNUMBER($BC$758),$B$511=1),$BC$758,HLOOKUP(INDIRECT(ADDRESS(2,COLUMN())),OFFSET($BN$2,0,0,ROW()-1,60),ROW()-1,FALSE))</f>
        <v>936.15448160000005</v>
      </c>
      <c r="BD255">
        <f ca="1">IF(AND(ISNUMBER($BD$758),$B$511=1),$BD$758,HLOOKUP(INDIRECT(ADDRESS(2,COLUMN())),OFFSET($BN$2,0,0,ROW()-1,60),ROW()-1,FALSE))</f>
        <v>907.1678647</v>
      </c>
      <c r="BE255">
        <f ca="1">IF(AND(ISNUMBER($BE$758),$B$511=1),$BE$758,HLOOKUP(INDIRECT(ADDRESS(2,COLUMN())),OFFSET($BN$2,0,0,ROW()-1,60),ROW()-1,FALSE))</f>
        <v>896.83457940000005</v>
      </c>
      <c r="BF255">
        <f ca="1">IF(AND(ISNUMBER($BF$758),$B$511=1),$BF$758,HLOOKUP(INDIRECT(ADDRESS(2,COLUMN())),OFFSET($BN$2,0,0,ROW()-1,60),ROW()-1,FALSE))</f>
        <v>865.17157689999999</v>
      </c>
      <c r="BG255">
        <f ca="1">IF(AND(ISNUMBER($BG$758),$B$511=1),$BG$758,HLOOKUP(INDIRECT(ADDRESS(2,COLUMN())),OFFSET($BN$2,0,0,ROW()-1,60),ROW()-1,FALSE))</f>
        <v>834.14497759999995</v>
      </c>
      <c r="BH255">
        <f ca="1">IF(AND(ISNUMBER($BH$758),$B$511=1),$BH$758,HLOOKUP(INDIRECT(ADDRESS(2,COLUMN())),OFFSET($BN$2,0,0,ROW()-1,60),ROW()-1,FALSE))</f>
        <v>825.36035589999994</v>
      </c>
      <c r="BI255">
        <f ca="1">IF(AND(ISNUMBER($BI$758),$B$511=1),$BI$758,HLOOKUP(INDIRECT(ADDRESS(2,COLUMN())),OFFSET($BN$2,0,0,ROW()-1,60),ROW()-1,FALSE))</f>
        <v>816.21776699999998</v>
      </c>
      <c r="BJ255">
        <f ca="1">IF(AND(ISNUMBER($BJ$758),$B$511=1),$BJ$758,HLOOKUP(INDIRECT(ADDRESS(2,COLUMN())),OFFSET($BN$2,0,0,ROW()-1,60),ROW()-1,FALSE))</f>
        <v>871.99072060000003</v>
      </c>
      <c r="BK255">
        <f ca="1">IF(AND(ISNUMBER($BK$758),$B$511=1),$BK$758,HLOOKUP(INDIRECT(ADDRESS(2,COLUMN())),OFFSET($BN$2,0,0,ROW()-1,60),ROW()-1,FALSE))</f>
        <v>843.04412579999996</v>
      </c>
      <c r="BL255" t="str">
        <f ca="1">IF(AND(ISNUMBER($BL$758),$B$511=1),$BL$758,HLOOKUP(INDIRECT(ADDRESS(2,COLUMN())),OFFSET($BN$2,0,0,ROW()-1,60),ROW()-1,FALSE))</f>
        <v/>
      </c>
      <c r="BM255" t="str">
        <f ca="1">IF(AND(ISNUMBER($BM$758),$B$511=1),$BM$758,HLOOKUP(INDIRECT(ADDRESS(2,COLUMN())),OFFSET($BN$2,0,0,ROW()-1,60),ROW()-1,FALSE))</f>
        <v/>
      </c>
      <c r="BN255" t="str">
        <f>""</f>
        <v/>
      </c>
      <c r="BO255" t="str">
        <f>""</f>
        <v/>
      </c>
      <c r="BP255">
        <f>6826.343264</f>
        <v>6826.3432640000001</v>
      </c>
      <c r="BQ255">
        <f>7143.109925</f>
        <v>7143.1099249999997</v>
      </c>
      <c r="BR255">
        <f>7787.735118</f>
        <v>7787.7351179999996</v>
      </c>
      <c r="BS255">
        <f>7315.335107</f>
        <v>7315.3351069999999</v>
      </c>
      <c r="BT255">
        <f>6983.960125</f>
        <v>6983.9601249999996</v>
      </c>
      <c r="BU255">
        <f>6666.568374</f>
        <v>6666.5683740000004</v>
      </c>
      <c r="BV255">
        <f>6684.221613</f>
        <v>6684.2216129999997</v>
      </c>
      <c r="BW255">
        <f>6278.918743</f>
        <v>6278.9187430000002</v>
      </c>
      <c r="BX255">
        <f>5857.390328</f>
        <v>5857.3903280000004</v>
      </c>
      <c r="BY255">
        <f>5529.542068</f>
        <v>5529.5420679999997</v>
      </c>
      <c r="BZ255">
        <f>5738.025806</f>
        <v>5738.0258059999996</v>
      </c>
      <c r="CA255">
        <f>5300.221822</f>
        <v>5300.2218220000004</v>
      </c>
      <c r="CB255">
        <f>4890.838275</f>
        <v>4890.8382750000001</v>
      </c>
      <c r="CC255">
        <f>4759.950739</f>
        <v>4759.9507389999999</v>
      </c>
      <c r="CD255">
        <f>4532.44348</f>
        <v>4532.4434799999999</v>
      </c>
      <c r="CE255">
        <f>4130.118657</f>
        <v>4130.118657</v>
      </c>
      <c r="CF255">
        <f>3814.601423</f>
        <v>3814.6014230000001</v>
      </c>
      <c r="CG255">
        <f>3476.1296</f>
        <v>3476.1296000000002</v>
      </c>
      <c r="CH255">
        <f>3332.426237</f>
        <v>3332.4262370000001</v>
      </c>
      <c r="CI255">
        <f>3115.642187</f>
        <v>3115.6421869999999</v>
      </c>
      <c r="CJ255">
        <f>2869.172852</f>
        <v>2869.1728520000001</v>
      </c>
      <c r="CK255">
        <f>2703.466487</f>
        <v>2703.4664870000001</v>
      </c>
      <c r="CL255">
        <f>2584.766251</f>
        <v>2584.766251</v>
      </c>
      <c r="CM255">
        <f>2488.040954</f>
        <v>2488.0409540000001</v>
      </c>
      <c r="CN255">
        <f>2362.777619</f>
        <v>2362.777619</v>
      </c>
      <c r="CO255">
        <f>2339.936456</f>
        <v>2339.9364559999999</v>
      </c>
      <c r="CP255">
        <f>2288.580636</f>
        <v>2288.5806360000001</v>
      </c>
      <c r="CQ255">
        <f>2339.671962</f>
        <v>2339.6719619999999</v>
      </c>
      <c r="CR255">
        <f>2311.078493</f>
        <v>2311.078493</v>
      </c>
      <c r="CS255">
        <f>2339.696033</f>
        <v>2339.6960330000002</v>
      </c>
      <c r="CT255">
        <f>2259.672633</f>
        <v>2259.6726330000001</v>
      </c>
      <c r="CU255">
        <f>1639.035674</f>
        <v>1639.035674</v>
      </c>
      <c r="CV255">
        <f>1540.606418</f>
        <v>1540.6064180000001</v>
      </c>
      <c r="CW255">
        <f>1461.04383</f>
        <v>1461.0438300000001</v>
      </c>
      <c r="CX255">
        <f>1402.767341</f>
        <v>1402.767341</v>
      </c>
      <c r="CY255">
        <f>1316.881736</f>
        <v>1316.881736</v>
      </c>
      <c r="CZ255">
        <f>1226.145697</f>
        <v>1226.1456969999999</v>
      </c>
      <c r="DA255">
        <f>1181.718497</f>
        <v>1181.7184970000001</v>
      </c>
      <c r="DB255">
        <f>1115.907421</f>
        <v>1115.9074210000001</v>
      </c>
      <c r="DC255">
        <f>1112.962393</f>
        <v>1112.962393</v>
      </c>
      <c r="DD255">
        <f>1156.385349</f>
        <v>1156.3853489999999</v>
      </c>
      <c r="DE255">
        <f>1170.54349</f>
        <v>1170.54349</v>
      </c>
      <c r="DF255">
        <f>1118.178177</f>
        <v>1118.178177</v>
      </c>
      <c r="DG255">
        <f>1037.818954</f>
        <v>1037.8189540000001</v>
      </c>
      <c r="DH255">
        <f>1001.586575</f>
        <v>1001.586575</v>
      </c>
      <c r="DI255">
        <f>991.4896892</f>
        <v>991.48968920000004</v>
      </c>
      <c r="DJ255">
        <f>942.5685773</f>
        <v>942.56857730000002</v>
      </c>
      <c r="DK255">
        <f>936.1544816</f>
        <v>936.15448160000005</v>
      </c>
      <c r="DL255">
        <f>907.1678647</f>
        <v>907.1678647</v>
      </c>
      <c r="DM255">
        <f>896.8345794</f>
        <v>896.83457940000005</v>
      </c>
      <c r="DN255">
        <f>865.1715769</f>
        <v>865.17157689999999</v>
      </c>
      <c r="DO255">
        <f>834.1449776</f>
        <v>834.14497759999995</v>
      </c>
      <c r="DP255">
        <f>825.3603559</f>
        <v>825.36035589999994</v>
      </c>
      <c r="DQ255">
        <f>816.217767</f>
        <v>816.21776699999998</v>
      </c>
      <c r="DR255">
        <f>871.9907206</f>
        <v>871.99072060000003</v>
      </c>
      <c r="DS255">
        <f>843.0441258</f>
        <v>843.04412579999996</v>
      </c>
      <c r="DT255" t="str">
        <f>""</f>
        <v/>
      </c>
      <c r="DU255" t="str">
        <f>""</f>
        <v/>
      </c>
    </row>
    <row r="256" spans="1:125" x14ac:dyDescent="0.25">
      <c r="A256" t="str">
        <f>"    Daihatsu Motor Co Ltd"</f>
        <v xml:space="preserve">    Daihatsu Motor Co Ltd</v>
      </c>
      <c r="B256" t="str">
        <f>"7262 JP Equity"</f>
        <v>7262 JP Equity</v>
      </c>
      <c r="C256" t="str">
        <f t="shared" si="18"/>
        <v>RR010</v>
      </c>
      <c r="D256" t="str">
        <f t="shared" si="19"/>
        <v>TOT_COMMON_EQY</v>
      </c>
      <c r="E256" t="str">
        <f t="shared" si="20"/>
        <v>Dynamic</v>
      </c>
      <c r="F256" t="str">
        <f ca="1">IF(AND(ISNUMBER($F$759),$B$511=1),$F$759,HLOOKUP(INDIRECT(ADDRESS(2,COLUMN())),OFFSET($BN$2,0,0,ROW()-1,60),ROW()-1,FALSE))</f>
        <v/>
      </c>
      <c r="G256" t="str">
        <f ca="1">IF(AND(ISNUMBER($G$759),$B$511=1),$G$759,HLOOKUP(INDIRECT(ADDRESS(2,COLUMN())),OFFSET($BN$2,0,0,ROW()-1,60),ROW()-1,FALSE))</f>
        <v/>
      </c>
      <c r="H256" t="str">
        <f ca="1">IF(AND(ISNUMBER($H$759),$B$511=1),$H$759,HLOOKUP(INDIRECT(ADDRESS(2,COLUMN())),OFFSET($BN$2,0,0,ROW()-1,60),ROW()-1,FALSE))</f>
        <v/>
      </c>
      <c r="I256" t="str">
        <f ca="1">IF(AND(ISNUMBER($I$759),$B$511=1),$I$759,HLOOKUP(INDIRECT(ADDRESS(2,COLUMN())),OFFSET($BN$2,0,0,ROW()-1,60),ROW()-1,FALSE))</f>
        <v/>
      </c>
      <c r="J256" t="str">
        <f ca="1">IF(AND(ISNUMBER($J$759),$B$511=1),$J$759,HLOOKUP(INDIRECT(ADDRESS(2,COLUMN())),OFFSET($BN$2,0,0,ROW()-1,60),ROW()-1,FALSE))</f>
        <v/>
      </c>
      <c r="K256" t="str">
        <f ca="1">IF(AND(ISNUMBER($K$759),$B$511=1),$K$759,HLOOKUP(INDIRECT(ADDRESS(2,COLUMN())),OFFSET($BN$2,0,0,ROW()-1,60),ROW()-1,FALSE))</f>
        <v/>
      </c>
      <c r="L256" t="str">
        <f ca="1">IF(AND(ISNUMBER($L$759),$B$511=1),$L$759,HLOOKUP(INDIRECT(ADDRESS(2,COLUMN())),OFFSET($BN$2,0,0,ROW()-1,60),ROW()-1,FALSE))</f>
        <v/>
      </c>
      <c r="M256" t="str">
        <f ca="1">IF(AND(ISNUMBER($M$759),$B$511=1),$M$759,HLOOKUP(INDIRECT(ADDRESS(2,COLUMN())),OFFSET($BN$2,0,0,ROW()-1,60),ROW()-1,FALSE))</f>
        <v/>
      </c>
      <c r="N256" t="str">
        <f ca="1">IF(AND(ISNUMBER($N$759),$B$511=1),$N$759,HLOOKUP(INDIRECT(ADDRESS(2,COLUMN())),OFFSET($BN$2,0,0,ROW()-1,60),ROW()-1,FALSE))</f>
        <v/>
      </c>
      <c r="O256" t="str">
        <f ca="1">IF(AND(ISNUMBER($O$759),$B$511=1),$O$759,HLOOKUP(INDIRECT(ADDRESS(2,COLUMN())),OFFSET($BN$2,0,0,ROW()-1,60),ROW()-1,FALSE))</f>
        <v/>
      </c>
      <c r="P256" t="str">
        <f ca="1">IF(AND(ISNUMBER($P$759),$B$511=1),$P$759,HLOOKUP(INDIRECT(ADDRESS(2,COLUMN())),OFFSET($BN$2,0,0,ROW()-1,60),ROW()-1,FALSE))</f>
        <v/>
      </c>
      <c r="Q256" t="str">
        <f ca="1">IF(AND(ISNUMBER($Q$759),$B$511=1),$Q$759,HLOOKUP(INDIRECT(ADDRESS(2,COLUMN())),OFFSET($BN$2,0,0,ROW()-1,60),ROW()-1,FALSE))</f>
        <v/>
      </c>
      <c r="R256">
        <f ca="1">IF(AND(ISNUMBER($R$759),$B$511=1),$R$759,HLOOKUP(INDIRECT(ADDRESS(2,COLUMN())),OFFSET($BN$2,0,0,ROW()-1,60),ROW()-1,FALSE))</f>
        <v>5508.64</v>
      </c>
      <c r="S256">
        <f ca="1">IF(AND(ISNUMBER($S$759),$B$511=1),$S$759,HLOOKUP(INDIRECT(ADDRESS(2,COLUMN())),OFFSET($BN$2,0,0,ROW()-1,60),ROW()-1,FALSE))</f>
        <v>5059.5341099999996</v>
      </c>
      <c r="T256">
        <f ca="1">IF(AND(ISNUMBER($T$759),$B$511=1),$T$759,HLOOKUP(INDIRECT(ADDRESS(2,COLUMN())),OFFSET($BN$2,0,0,ROW()-1,60),ROW()-1,FALSE))</f>
        <v>5057.3995150000001</v>
      </c>
      <c r="U256">
        <f ca="1">IF(AND(ISNUMBER($U$759),$B$511=1),$U$759,HLOOKUP(INDIRECT(ADDRESS(2,COLUMN())),OFFSET($BN$2,0,0,ROW()-1,60),ROW()-1,FALSE))</f>
        <v>5033.41795</v>
      </c>
      <c r="V256">
        <f ca="1">IF(AND(ISNUMBER($V$759),$B$511=1),$V$759,HLOOKUP(INDIRECT(ADDRESS(2,COLUMN())),OFFSET($BN$2,0,0,ROW()-1,60),ROW()-1,FALSE))</f>
        <v>5156.390163</v>
      </c>
      <c r="W256">
        <f ca="1">IF(AND(ISNUMBER($W$759),$B$511=1),$W$759,HLOOKUP(INDIRECT(ADDRESS(2,COLUMN())),OFFSET($BN$2,0,0,ROW()-1,60),ROW()-1,FALSE))</f>
        <v>4836.2650199999998</v>
      </c>
      <c r="X256">
        <f ca="1">IF(AND(ISNUMBER($X$759),$B$511=1),$X$759,HLOOKUP(INDIRECT(ADDRESS(2,COLUMN())),OFFSET($BN$2,0,0,ROW()-1,60),ROW()-1,FALSE))</f>
        <v>5212.4019699999999</v>
      </c>
      <c r="Y256">
        <f ca="1">IF(AND(ISNUMBER($Y$759),$B$511=1),$Y$759,HLOOKUP(INDIRECT(ADDRESS(2,COLUMN())),OFFSET($BN$2,0,0,ROW()-1,60),ROW()-1,FALSE))</f>
        <v>5534.7418299999999</v>
      </c>
      <c r="Z256">
        <f ca="1">IF(AND(ISNUMBER($Z$759),$B$511=1),$Z$759,HLOOKUP(INDIRECT(ADDRESS(2,COLUMN())),OFFSET($BN$2,0,0,ROW()-1,60),ROW()-1,FALSE))</f>
        <v>5346.269526</v>
      </c>
      <c r="AA256">
        <f ca="1">IF(AND(ISNUMBER($AA$759),$B$511=1),$AA$759,HLOOKUP(INDIRECT(ADDRESS(2,COLUMN())),OFFSET($BN$2,0,0,ROW()-1,60),ROW()-1,FALSE))</f>
        <v>5028.7098610000003</v>
      </c>
      <c r="AB256">
        <f ca="1">IF(AND(ISNUMBER($AB$759),$B$511=1),$AB$759,HLOOKUP(INDIRECT(ADDRESS(2,COLUMN())),OFFSET($BN$2,0,0,ROW()-1,60),ROW()-1,FALSE))</f>
        <v>5308.2883620000002</v>
      </c>
      <c r="AC256">
        <f ca="1">IF(AND(ISNUMBER($AC$759),$B$511=1),$AC$759,HLOOKUP(INDIRECT(ADDRESS(2,COLUMN())),OFFSET($BN$2,0,0,ROW()-1,60),ROW()-1,FALSE))</f>
        <v>5194.9763409999996</v>
      </c>
      <c r="AD256">
        <f ca="1">IF(AND(ISNUMBER($AD$759),$B$511=1),$AD$759,HLOOKUP(INDIRECT(ADDRESS(2,COLUMN())),OFFSET($BN$2,0,0,ROW()-1,60),ROW()-1,FALSE))</f>
        <v>5313.638293</v>
      </c>
      <c r="AE256">
        <f ca="1">IF(AND(ISNUMBER($AE$759),$B$511=1),$AE$759,HLOOKUP(INDIRECT(ADDRESS(2,COLUMN())),OFFSET($BN$2,0,0,ROW()-1,60),ROW()-1,FALSE))</f>
        <v>5366.4973449999998</v>
      </c>
      <c r="AF256">
        <f ca="1">IF(AND(ISNUMBER($AF$759),$B$511=1),$AF$759,HLOOKUP(INDIRECT(ADDRESS(2,COLUMN())),OFFSET($BN$2,0,0,ROW()-1,60),ROW()-1,FALSE))</f>
        <v>5825.5903490000001</v>
      </c>
      <c r="AG256">
        <f ca="1">IF(AND(ISNUMBER($AG$759),$B$511=1),$AG$759,HLOOKUP(INDIRECT(ADDRESS(2,COLUMN())),OFFSET($BN$2,0,0,ROW()-1,60),ROW()-1,FALSE))</f>
        <v>5441.7794489999997</v>
      </c>
      <c r="AH256">
        <f ca="1">IF(AND(ISNUMBER($AH$759),$B$511=1),$AH$759,HLOOKUP(INDIRECT(ADDRESS(2,COLUMN())),OFFSET($BN$2,0,0,ROW()-1,60),ROW()-1,FALSE))</f>
        <v>5207.3096939999996</v>
      </c>
      <c r="AI256">
        <f ca="1">IF(AND(ISNUMBER($AI$759),$B$511=1),$AI$759,HLOOKUP(INDIRECT(ADDRESS(2,COLUMN())),OFFSET($BN$2,0,0,ROW()-1,60),ROW()-1,FALSE))</f>
        <v>5118.7686709999998</v>
      </c>
      <c r="AJ256">
        <f ca="1">IF(AND(ISNUMBER($AJ$759),$B$511=1),$AJ$759,HLOOKUP(INDIRECT(ADDRESS(2,COLUMN())),OFFSET($BN$2,0,0,ROW()-1,60),ROW()-1,FALSE))</f>
        <v>5063.1578950000003</v>
      </c>
      <c r="AK256">
        <f ca="1">IF(AND(ISNUMBER($AK$759),$B$511=1),$AK$759,HLOOKUP(INDIRECT(ADDRESS(2,COLUMN())),OFFSET($BN$2,0,0,ROW()-1,60),ROW()-1,FALSE))</f>
        <v>4722.6911620000001</v>
      </c>
      <c r="AL256">
        <f ca="1">IF(AND(ISNUMBER($AL$759),$B$511=1),$AL$759,HLOOKUP(INDIRECT(ADDRESS(2,COLUMN())),OFFSET($BN$2,0,0,ROW()-1,60),ROW()-1,FALSE))</f>
        <v>4635.7841360000002</v>
      </c>
      <c r="AM256">
        <f ca="1">IF(AND(ISNUMBER($AM$759),$B$511=1),$AM$759,HLOOKUP(INDIRECT(ADDRESS(2,COLUMN())),OFFSET($BN$2,0,0,ROW()-1,60),ROW()-1,FALSE))</f>
        <v>4560.0566570000001</v>
      </c>
      <c r="AN256">
        <f ca="1">IF(AND(ISNUMBER($AN$759),$B$511=1),$AN$759,HLOOKUP(INDIRECT(ADDRESS(2,COLUMN())),OFFSET($BN$2,0,0,ROW()-1,60),ROW()-1,FALSE))</f>
        <v>4355.907021</v>
      </c>
      <c r="AO256">
        <f ca="1">IF(AND(ISNUMBER($AO$759),$B$511=1),$AO$759,HLOOKUP(INDIRECT(ADDRESS(2,COLUMN())),OFFSET($BN$2,0,0,ROW()-1,60),ROW()-1,FALSE))</f>
        <v>4041.465342</v>
      </c>
      <c r="AP256">
        <f ca="1">IF(AND(ISNUMBER($AP$759),$B$511=1),$AP$759,HLOOKUP(INDIRECT(ADDRESS(2,COLUMN())),OFFSET($BN$2,0,0,ROW()-1,60),ROW()-1,FALSE))</f>
        <v>3667.7440069999998</v>
      </c>
      <c r="AQ256">
        <f ca="1">IF(AND(ISNUMBER($AQ$759),$B$511=1),$AQ$759,HLOOKUP(INDIRECT(ADDRESS(2,COLUMN())),OFFSET($BN$2,0,0,ROW()-1,60),ROW()-1,FALSE))</f>
        <v>3582.7249299999999</v>
      </c>
      <c r="AR256">
        <f ca="1">IF(AND(ISNUMBER($AR$759),$B$511=1),$AR$759,HLOOKUP(INDIRECT(ADDRESS(2,COLUMN())),OFFSET($BN$2,0,0,ROW()-1,60),ROW()-1,FALSE))</f>
        <v>3651.2377339999998</v>
      </c>
      <c r="AS256">
        <f ca="1">IF(AND(ISNUMBER($AS$759),$B$511=1),$AS$759,HLOOKUP(INDIRECT(ADDRESS(2,COLUMN())),OFFSET($BN$2,0,0,ROW()-1,60),ROW()-1,FALSE))</f>
        <v>3416.2375419999998</v>
      </c>
      <c r="AT256">
        <f ca="1">IF(AND(ISNUMBER($AT$759),$B$511=1),$AT$759,HLOOKUP(INDIRECT(ADDRESS(2,COLUMN())),OFFSET($BN$2,0,0,ROW()-1,60),ROW()-1,FALSE))</f>
        <v>3223.1202819999999</v>
      </c>
      <c r="AU256">
        <f ca="1">IF(AND(ISNUMBER($AU$759),$B$511=1),$AU$759,HLOOKUP(INDIRECT(ADDRESS(2,COLUMN())),OFFSET($BN$2,0,0,ROW()-1,60),ROW()-1,FALSE))</f>
        <v>3528.3511400000002</v>
      </c>
      <c r="AV256">
        <f ca="1">IF(AND(ISNUMBER($AV$759),$B$511=1),$AV$759,HLOOKUP(INDIRECT(ADDRESS(2,COLUMN())),OFFSET($BN$2,0,0,ROW()-1,60),ROW()-1,FALSE))</f>
        <v>3183.6519450000001</v>
      </c>
      <c r="AW256">
        <f ca="1">IF(AND(ISNUMBER($AW$759),$B$511=1),$AW$759,HLOOKUP(INDIRECT(ADDRESS(2,COLUMN())),OFFSET($BN$2,0,0,ROW()-1,60),ROW()-1,FALSE))</f>
        <v>3181.2129199999999</v>
      </c>
      <c r="AX256">
        <f ca="1">IF(AND(ISNUMBER($AX$759),$B$511=1),$AX$759,HLOOKUP(INDIRECT(ADDRESS(2,COLUMN())),OFFSET($BN$2,0,0,ROW()-1,60),ROW()-1,FALSE))</f>
        <v>3286.1706389999999</v>
      </c>
      <c r="AY256">
        <f ca="1">IF(AND(ISNUMBER($AY$759),$B$511=1),$AY$759,HLOOKUP(INDIRECT(ADDRESS(2,COLUMN())),OFFSET($BN$2,0,0,ROW()-1,60),ROW()-1,FALSE))</f>
        <v>2890.4374269999998</v>
      </c>
      <c r="AZ256">
        <f ca="1">IF(AND(ISNUMBER($AZ$759),$B$511=1),$AZ$759,HLOOKUP(INDIRECT(ADDRESS(2,COLUMN())),OFFSET($BN$2,0,0,ROW()-1,60),ROW()-1,FALSE))</f>
        <v>2800.3310099999999</v>
      </c>
      <c r="BA256">
        <f ca="1">IF(AND(ISNUMBER($BA$759),$B$511=1),$BA$759,HLOOKUP(INDIRECT(ADDRESS(2,COLUMN())),OFFSET($BN$2,0,0,ROW()-1,60),ROW()-1,FALSE))</f>
        <v>2656.790524</v>
      </c>
      <c r="BB256">
        <f ca="1">IF(AND(ISNUMBER($BB$759),$B$511=1),$BB$759,HLOOKUP(INDIRECT(ADDRESS(2,COLUMN())),OFFSET($BN$2,0,0,ROW()-1,60),ROW()-1,FALSE))</f>
        <v>2721.6259890000001</v>
      </c>
      <c r="BC256">
        <f ca="1">IF(AND(ISNUMBER($BC$759),$B$511=1),$BC$759,HLOOKUP(INDIRECT(ADDRESS(2,COLUMN())),OFFSET($BN$2,0,0,ROW()-1,60),ROW()-1,FALSE))</f>
        <v>2569.2223720000002</v>
      </c>
      <c r="BD256">
        <f ca="1">IF(AND(ISNUMBER($BD$759),$B$511=1),$BD$759,HLOOKUP(INDIRECT(ADDRESS(2,COLUMN())),OFFSET($BN$2,0,0,ROW()-1,60),ROW()-1,FALSE))</f>
        <v>2567.2682599999998</v>
      </c>
      <c r="BE256">
        <f ca="1">IF(AND(ISNUMBER($BE$759),$B$511=1),$BE$759,HLOOKUP(INDIRECT(ADDRESS(2,COLUMN())),OFFSET($BN$2,0,0,ROW()-1,60),ROW()-1,FALSE))</f>
        <v>2613.4183630000002</v>
      </c>
      <c r="BF256">
        <f ca="1">IF(AND(ISNUMBER($BF$759),$B$511=1),$BF$759,HLOOKUP(INDIRECT(ADDRESS(2,COLUMN())),OFFSET($BN$2,0,0,ROW()-1,60),ROW()-1,FALSE))</f>
        <v>2581.3276599999999</v>
      </c>
      <c r="BG256">
        <f ca="1">IF(AND(ISNUMBER($BG$759),$B$511=1),$BG$759,HLOOKUP(INDIRECT(ADDRESS(2,COLUMN())),OFFSET($BN$2,0,0,ROW()-1,60),ROW()-1,FALSE))</f>
        <v>2341.3494959999998</v>
      </c>
      <c r="BH256">
        <f ca="1">IF(AND(ISNUMBER($BH$759),$B$511=1),$BH$759,HLOOKUP(INDIRECT(ADDRESS(2,COLUMN())),OFFSET($BN$2,0,0,ROW()-1,60),ROW()-1,FALSE))</f>
        <v>2294.6988379999998</v>
      </c>
      <c r="BI256">
        <f ca="1">IF(AND(ISNUMBER($BI$759),$B$511=1),$BI$759,HLOOKUP(INDIRECT(ADDRESS(2,COLUMN())),OFFSET($BN$2,0,0,ROW()-1,60),ROW()-1,FALSE))</f>
        <v>2203.0830249999999</v>
      </c>
      <c r="BJ256">
        <f ca="1">IF(AND(ISNUMBER($BJ$759),$B$511=1),$BJ$759,HLOOKUP(INDIRECT(ADDRESS(2,COLUMN())),OFFSET($BN$2,0,0,ROW()-1,60),ROW()-1,FALSE))</f>
        <v>2243.8899249999999</v>
      </c>
      <c r="BK256">
        <f ca="1">IF(AND(ISNUMBER($BK$759),$B$511=1),$BK$759,HLOOKUP(INDIRECT(ADDRESS(2,COLUMN())),OFFSET($BN$2,0,0,ROW()-1,60),ROW()-1,FALSE))</f>
        <v>2250.1121840000001</v>
      </c>
      <c r="BL256">
        <f ca="1">IF(AND(ISNUMBER($BL$759),$B$511=1),$BL$759,HLOOKUP(INDIRECT(ADDRESS(2,COLUMN())),OFFSET($BN$2,0,0,ROW()-1,60),ROW()-1,FALSE))</f>
        <v>2027.599381</v>
      </c>
      <c r="BM256">
        <f ca="1">IF(AND(ISNUMBER($BM$759),$B$511=1),$BM$759,HLOOKUP(INDIRECT(ADDRESS(2,COLUMN())),OFFSET($BN$2,0,0,ROW()-1,60),ROW()-1,FALSE))</f>
        <v>2006.4825820000001</v>
      </c>
      <c r="BN256" t="str">
        <f>""</f>
        <v/>
      </c>
      <c r="BO256" t="str">
        <f>""</f>
        <v/>
      </c>
      <c r="BP256" t="str">
        <f>""</f>
        <v/>
      </c>
      <c r="BQ256" t="str">
        <f>""</f>
        <v/>
      </c>
      <c r="BR256" t="str">
        <f>""</f>
        <v/>
      </c>
      <c r="BS256" t="str">
        <f>""</f>
        <v/>
      </c>
      <c r="BT256" t="str">
        <f>""</f>
        <v/>
      </c>
      <c r="BU256" t="str">
        <f>""</f>
        <v/>
      </c>
      <c r="BV256" t="str">
        <f>""</f>
        <v/>
      </c>
      <c r="BW256" t="str">
        <f>""</f>
        <v/>
      </c>
      <c r="BX256" t="str">
        <f>""</f>
        <v/>
      </c>
      <c r="BY256" t="str">
        <f>""</f>
        <v/>
      </c>
      <c r="BZ256">
        <f>5508.64</f>
        <v>5508.64</v>
      </c>
      <c r="CA256">
        <f>5059.53411</f>
        <v>5059.5341099999996</v>
      </c>
      <c r="CB256">
        <f>5057.399515</f>
        <v>5057.3995150000001</v>
      </c>
      <c r="CC256">
        <f>5033.41795</f>
        <v>5033.41795</v>
      </c>
      <c r="CD256">
        <f>5156.390163</f>
        <v>5156.390163</v>
      </c>
      <c r="CE256">
        <f>4836.26502</f>
        <v>4836.2650199999998</v>
      </c>
      <c r="CF256">
        <f>5212.40197</f>
        <v>5212.4019699999999</v>
      </c>
      <c r="CG256">
        <f>5534.74183</f>
        <v>5534.7418299999999</v>
      </c>
      <c r="CH256">
        <f>5346.269526</f>
        <v>5346.269526</v>
      </c>
      <c r="CI256">
        <f>5028.709861</f>
        <v>5028.7098610000003</v>
      </c>
      <c r="CJ256">
        <f>5308.288362</f>
        <v>5308.2883620000002</v>
      </c>
      <c r="CK256">
        <f>5194.976341</f>
        <v>5194.9763409999996</v>
      </c>
      <c r="CL256">
        <f>5313.638293</f>
        <v>5313.638293</v>
      </c>
      <c r="CM256">
        <f>5366.497345</f>
        <v>5366.4973449999998</v>
      </c>
      <c r="CN256">
        <f>5825.590349</f>
        <v>5825.5903490000001</v>
      </c>
      <c r="CO256">
        <f>5441.779449</f>
        <v>5441.7794489999997</v>
      </c>
      <c r="CP256">
        <f>5207.309694</f>
        <v>5207.3096939999996</v>
      </c>
      <c r="CQ256">
        <f>5118.768671</f>
        <v>5118.7686709999998</v>
      </c>
      <c r="CR256">
        <f>5063.157895</f>
        <v>5063.1578950000003</v>
      </c>
      <c r="CS256">
        <f>4722.691162</f>
        <v>4722.6911620000001</v>
      </c>
      <c r="CT256">
        <f>4635.784136</f>
        <v>4635.7841360000002</v>
      </c>
      <c r="CU256">
        <f>4560.056657</f>
        <v>4560.0566570000001</v>
      </c>
      <c r="CV256">
        <f>4355.907021</f>
        <v>4355.907021</v>
      </c>
      <c r="CW256">
        <f>4041.465342</f>
        <v>4041.465342</v>
      </c>
      <c r="CX256">
        <f>3667.744007</f>
        <v>3667.7440069999998</v>
      </c>
      <c r="CY256">
        <f>3582.72493</f>
        <v>3582.7249299999999</v>
      </c>
      <c r="CZ256">
        <f>3651.237734</f>
        <v>3651.2377339999998</v>
      </c>
      <c r="DA256">
        <f>3416.237542</f>
        <v>3416.2375419999998</v>
      </c>
      <c r="DB256">
        <f>3223.120282</f>
        <v>3223.1202819999999</v>
      </c>
      <c r="DC256">
        <f>3528.35114</f>
        <v>3528.3511400000002</v>
      </c>
      <c r="DD256">
        <f>3183.651945</f>
        <v>3183.6519450000001</v>
      </c>
      <c r="DE256">
        <f>3181.21292</f>
        <v>3181.2129199999999</v>
      </c>
      <c r="DF256">
        <f>3286.170639</f>
        <v>3286.1706389999999</v>
      </c>
      <c r="DG256">
        <f>2890.437427</f>
        <v>2890.4374269999998</v>
      </c>
      <c r="DH256">
        <f>2800.33101</f>
        <v>2800.3310099999999</v>
      </c>
      <c r="DI256">
        <f>2656.790524</f>
        <v>2656.790524</v>
      </c>
      <c r="DJ256">
        <f>2721.625989</f>
        <v>2721.6259890000001</v>
      </c>
      <c r="DK256">
        <f>2569.222372</f>
        <v>2569.2223720000002</v>
      </c>
      <c r="DL256">
        <f>2567.26826</f>
        <v>2567.2682599999998</v>
      </c>
      <c r="DM256">
        <f>2613.418363</f>
        <v>2613.4183630000002</v>
      </c>
      <c r="DN256">
        <f>2581.32766</f>
        <v>2581.3276599999999</v>
      </c>
      <c r="DO256">
        <f>2341.349496</f>
        <v>2341.3494959999998</v>
      </c>
      <c r="DP256">
        <f>2294.698838</f>
        <v>2294.6988379999998</v>
      </c>
      <c r="DQ256">
        <f>2203.083025</f>
        <v>2203.0830249999999</v>
      </c>
      <c r="DR256">
        <f>2243.889925</f>
        <v>2243.8899249999999</v>
      </c>
      <c r="DS256">
        <f>2250.112184</f>
        <v>2250.1121840000001</v>
      </c>
      <c r="DT256">
        <f>2027.599381</f>
        <v>2027.599381</v>
      </c>
      <c r="DU256">
        <f>2006.482582</f>
        <v>2006.4825820000001</v>
      </c>
    </row>
    <row r="257" spans="1:125" x14ac:dyDescent="0.25">
      <c r="A257" t="str">
        <f>"    Daimler AG"</f>
        <v xml:space="preserve">    Daimler AG</v>
      </c>
      <c r="B257" t="str">
        <f>"DAI GR Equity"</f>
        <v>DAI GR Equity</v>
      </c>
      <c r="C257" t="str">
        <f t="shared" si="18"/>
        <v>RR010</v>
      </c>
      <c r="D257" t="str">
        <f t="shared" si="19"/>
        <v>TOT_COMMON_EQY</v>
      </c>
      <c r="E257" t="str">
        <f t="shared" si="20"/>
        <v>Dynamic</v>
      </c>
      <c r="F257" t="str">
        <f ca="1">IF(AND(ISNUMBER($F$760),$B$511=1),$F$760,HLOOKUP(INDIRECT(ADDRESS(2,COLUMN())),OFFSET($BN$2,0,0,ROW()-1,60),ROW()-1,FALSE))</f>
        <v/>
      </c>
      <c r="G257">
        <f ca="1">IF(AND(ISNUMBER($G$760),$B$511=1),$G$760,HLOOKUP(INDIRECT(ADDRESS(2,COLUMN())),OFFSET($BN$2,0,0,ROW()-1,60),ROW()-1,FALSE))</f>
        <v>74056.648400000005</v>
      </c>
      <c r="H257">
        <f ca="1">IF(AND(ISNUMBER($H$760),$B$511=1),$H$760,HLOOKUP(INDIRECT(ADDRESS(2,COLUMN())),OFFSET($BN$2,0,0,ROW()-1,60),ROW()-1,FALSE))</f>
        <v>74592.076400000005</v>
      </c>
      <c r="I257">
        <f ca="1">IF(AND(ISNUMBER($I$760),$B$511=1),$I$760,HLOOKUP(INDIRECT(ADDRESS(2,COLUMN())),OFFSET($BN$2,0,0,ROW()-1,60),ROW()-1,FALSE))</f>
        <v>73520.727400000003</v>
      </c>
      <c r="J257">
        <f ca="1">IF(AND(ISNUMBER($J$760),$B$511=1),$J$760,HLOOKUP(INDIRECT(ADDRESS(2,COLUMN())),OFFSET($BN$2,0,0,ROW()-1,60),ROW()-1,FALSE))</f>
        <v>80755.409700000004</v>
      </c>
      <c r="K257">
        <f ca="1">IF(AND(ISNUMBER($K$760),$B$511=1),$K$760,HLOOKUP(INDIRECT(ADDRESS(2,COLUMN())),OFFSET($BN$2,0,0,ROW()-1,60),ROW()-1,FALSE))</f>
        <v>76783.311799999996</v>
      </c>
      <c r="L257">
        <f ca="1">IF(AND(ISNUMBER($L$760),$B$511=1),$L$760,HLOOKUP(INDIRECT(ADDRESS(2,COLUMN())),OFFSET($BN$2,0,0,ROW()-1,60),ROW()-1,FALSE))</f>
        <v>72662.808900000004</v>
      </c>
      <c r="M257">
        <f ca="1">IF(AND(ISNUMBER($M$760),$B$511=1),$M$760,HLOOKUP(INDIRECT(ADDRESS(2,COLUMN())),OFFSET($BN$2,0,0,ROW()-1,60),ROW()-1,FALSE))</f>
        <v>67999.795299999998</v>
      </c>
      <c r="N257">
        <f ca="1">IF(AND(ISNUMBER($N$760),$B$511=1),$N$760,HLOOKUP(INDIRECT(ADDRESS(2,COLUMN())),OFFSET($BN$2,0,0,ROW()-1,60),ROW()-1,FALSE))</f>
        <v>61435.010399999999</v>
      </c>
      <c r="O257">
        <f ca="1">IF(AND(ISNUMBER($O$760),$B$511=1),$O$760,HLOOKUP(INDIRECT(ADDRESS(2,COLUMN())),OFFSET($BN$2,0,0,ROW()-1,60),ROW()-1,FALSE))</f>
        <v>61119.864999999998</v>
      </c>
      <c r="P257">
        <f ca="1">IF(AND(ISNUMBER($P$760),$B$511=1),$P$760,HLOOKUP(INDIRECT(ADDRESS(2,COLUMN())),OFFSET($BN$2,0,0,ROW()-1,60),ROW()-1,FALSE))</f>
        <v>60284.254800000002</v>
      </c>
      <c r="Q257">
        <f ca="1">IF(AND(ISNUMBER($Q$760),$B$511=1),$Q$760,HLOOKUP(INDIRECT(ADDRESS(2,COLUMN())),OFFSET($BN$2,0,0,ROW()-1,60),ROW()-1,FALSE))</f>
        <v>56870.928</v>
      </c>
      <c r="R257">
        <f ca="1">IF(AND(ISNUMBER($R$760),$B$511=1),$R$760,HLOOKUP(INDIRECT(ADDRESS(2,COLUMN())),OFFSET($BN$2,0,0,ROW()-1,60),ROW()-1,FALSE))</f>
        <v>61105.727099999996</v>
      </c>
      <c r="S257">
        <f ca="1">IF(AND(ISNUMBER($S$760),$B$511=1),$S$760,HLOOKUP(INDIRECT(ADDRESS(2,COLUMN())),OFFSET($BN$2,0,0,ROW()-1,60),ROW()-1,FALSE))</f>
        <v>58199.382599999997</v>
      </c>
      <c r="T257">
        <f ca="1">IF(AND(ISNUMBER($T$760),$B$511=1),$T$760,HLOOKUP(INDIRECT(ADDRESS(2,COLUMN())),OFFSET($BN$2,0,0,ROW()-1,60),ROW()-1,FALSE))</f>
        <v>55743.388200000001</v>
      </c>
      <c r="U257">
        <f ca="1">IF(AND(ISNUMBER($U$760),$B$511=1),$U$760,HLOOKUP(INDIRECT(ADDRESS(2,COLUMN())),OFFSET($BN$2,0,0,ROW()-1,60),ROW()-1,FALSE))</f>
        <v>54074.205199999997</v>
      </c>
      <c r="V257">
        <f ca="1">IF(AND(ISNUMBER($V$760),$B$511=1),$V$760,HLOOKUP(INDIRECT(ADDRESS(2,COLUMN())),OFFSET($BN$2,0,0,ROW()-1,60),ROW()-1,FALSE))</f>
        <v>48856.3848</v>
      </c>
      <c r="W257">
        <f ca="1">IF(AND(ISNUMBER($W$760),$B$511=1),$W$760,HLOOKUP(INDIRECT(ADDRESS(2,COLUMN())),OFFSET($BN$2,0,0,ROW()-1,60),ROW()-1,FALSE))</f>
        <v>52834.65</v>
      </c>
      <c r="X257">
        <f ca="1">IF(AND(ISNUMBER($X$760),$B$511=1),$X$760,HLOOKUP(INDIRECT(ADDRESS(2,COLUMN())),OFFSET($BN$2,0,0,ROW()-1,60),ROW()-1,FALSE))</f>
        <v>55914.897499999999</v>
      </c>
      <c r="Y257">
        <f ca="1">IF(AND(ISNUMBER($Y$760),$B$511=1),$Y$760,HLOOKUP(INDIRECT(ADDRESS(2,COLUMN())),OFFSET($BN$2,0,0,ROW()-1,60),ROW()-1,FALSE))</f>
        <v>57555.498</v>
      </c>
      <c r="Z257">
        <f ca="1">IF(AND(ISNUMBER($Z$760),$B$511=1),$Z$760,HLOOKUP(INDIRECT(ADDRESS(2,COLUMN())),OFFSET($BN$2,0,0,ROW()-1,60),ROW()-1,FALSE))</f>
        <v>58917.993199999997</v>
      </c>
      <c r="AA257">
        <f ca="1">IF(AND(ISNUMBER($AA$760),$B$511=1),$AA$760,HLOOKUP(INDIRECT(ADDRESS(2,COLUMN())),OFFSET($BN$2,0,0,ROW()-1,60),ROW()-1,FALSE))</f>
        <v>58851.451999999997</v>
      </c>
      <c r="AB257">
        <f ca="1">IF(AND(ISNUMBER($AB$760),$B$511=1),$AB$760,HLOOKUP(INDIRECT(ADDRESS(2,COLUMN())),OFFSET($BN$2,0,0,ROW()-1,60),ROW()-1,FALSE))</f>
        <v>55616.469299999997</v>
      </c>
      <c r="AC257">
        <f ca="1">IF(AND(ISNUMBER($AC$760),$B$511=1),$AC$760,HLOOKUP(INDIRECT(ADDRESS(2,COLUMN())),OFFSET($BN$2,0,0,ROW()-1,60),ROW()-1,FALSE))</f>
        <v>51307.326000000001</v>
      </c>
      <c r="AD257">
        <f ca="1">IF(AND(ISNUMBER($AD$760),$B$511=1),$AD$760,HLOOKUP(INDIRECT(ADDRESS(2,COLUMN())),OFFSET($BN$2,0,0,ROW()-1,60),ROW()-1,FALSE))</f>
        <v>49756.948499999999</v>
      </c>
      <c r="AE257">
        <f ca="1">IF(AND(ISNUMBER($AE$760),$B$511=1),$AE$760,HLOOKUP(INDIRECT(ADDRESS(2,COLUMN())),OFFSET($BN$2,0,0,ROW()-1,60),ROW()-1,FALSE))</f>
        <v>50023.228499999997</v>
      </c>
      <c r="AF257">
        <f ca="1">IF(AND(ISNUMBER($AF$760),$B$511=1),$AF$760,HLOOKUP(INDIRECT(ADDRESS(2,COLUMN())),OFFSET($BN$2,0,0,ROW()-1,60),ROW()-1,FALSE))</f>
        <v>53038.819199999998</v>
      </c>
      <c r="AG257">
        <f ca="1">IF(AND(ISNUMBER($AG$760),$B$511=1),$AG$760,HLOOKUP(INDIRECT(ADDRESS(2,COLUMN())),OFFSET($BN$2,0,0,ROW()-1,60),ROW()-1,FALSE))</f>
        <v>50887.382400000002</v>
      </c>
      <c r="AH257">
        <f ca="1">IF(AND(ISNUMBER($AH$760),$B$511=1),$AH$760,HLOOKUP(INDIRECT(ADDRESS(2,COLUMN())),OFFSET($BN$2,0,0,ROW()-1,60),ROW()-1,FALSE))</f>
        <v>55171.815600000002</v>
      </c>
      <c r="AI257">
        <f ca="1">IF(AND(ISNUMBER($AI$760),$B$511=1),$AI$760,HLOOKUP(INDIRECT(ADDRESS(2,COLUMN())),OFFSET($BN$2,0,0,ROW()-1,60),ROW()-1,FALSE))</f>
        <v>51352.703999999998</v>
      </c>
      <c r="AJ257">
        <f ca="1">IF(AND(ISNUMBER($AJ$760),$B$511=1),$AJ$760,HLOOKUP(INDIRECT(ADDRESS(2,COLUMN())),OFFSET($BN$2,0,0,ROW()-1,60),ROW()-1,FALSE))</f>
        <v>51209.757299999997</v>
      </c>
      <c r="AK257">
        <f ca="1">IF(AND(ISNUMBER($AK$760),$B$511=1),$AK$760,HLOOKUP(INDIRECT(ADDRESS(2,COLUMN())),OFFSET($BN$2,0,0,ROW()-1,60),ROW()-1,FALSE))</f>
        <v>53747.942000000003</v>
      </c>
      <c r="AL257">
        <f ca="1">IF(AND(ISNUMBER($AL$760),$B$511=1),$AL$760,HLOOKUP(INDIRECT(ADDRESS(2,COLUMN())),OFFSET($BN$2,0,0,ROW()-1,60),ROW()-1,FALSE))</f>
        <v>52571.112000000001</v>
      </c>
      <c r="AM257">
        <f ca="1">IF(AND(ISNUMBER($AM$760),$B$511=1),$AM$760,HLOOKUP(INDIRECT(ADDRESS(2,COLUMN())),OFFSET($BN$2,0,0,ROW()-1,60),ROW()-1,FALSE))</f>
        <v>48616.1518</v>
      </c>
      <c r="AN257">
        <f ca="1">IF(AND(ISNUMBER($AN$760),$B$511=1),$AN$760,HLOOKUP(INDIRECT(ADDRESS(2,COLUMN())),OFFSET($BN$2,0,0,ROW()-1,60),ROW()-1,FALSE))</f>
        <v>46865.057999999997</v>
      </c>
      <c r="AO257">
        <f ca="1">IF(AND(ISNUMBER($AO$760),$B$511=1),$AO$760,HLOOKUP(INDIRECT(ADDRESS(2,COLUMN())),OFFSET($BN$2,0,0,ROW()-1,60),ROW()-1,FALSE))</f>
        <v>40750.847900000001</v>
      </c>
      <c r="AP257">
        <f ca="1">IF(AND(ISNUMBER($AP$760),$B$511=1),$AP$760,HLOOKUP(INDIRECT(ADDRESS(2,COLUMN())),OFFSET($BN$2,0,0,ROW()-1,60),ROW()-1,FALSE))</f>
        <v>41849.449200000003</v>
      </c>
      <c r="AQ257">
        <f ca="1">IF(AND(ISNUMBER($AQ$760),$B$511=1),$AQ$760,HLOOKUP(INDIRECT(ADDRESS(2,COLUMN())),OFFSET($BN$2,0,0,ROW()-1,60),ROW()-1,FALSE))</f>
        <v>43367.039100000002</v>
      </c>
      <c r="AR257">
        <f ca="1">IF(AND(ISNUMBER($AR$760),$B$511=1),$AR$760,HLOOKUP(INDIRECT(ADDRESS(2,COLUMN())),OFFSET($BN$2,0,0,ROW()-1,60),ROW()-1,FALSE))</f>
        <v>44574.756300000001</v>
      </c>
      <c r="AS257">
        <f ca="1">IF(AND(ISNUMBER($AS$760),$B$511=1),$AS$760,HLOOKUP(INDIRECT(ADDRESS(2,COLUMN())),OFFSET($BN$2,0,0,ROW()-1,60),ROW()-1,FALSE))</f>
        <v>42279.26</v>
      </c>
      <c r="AT257">
        <f ca="1">IF(AND(ISNUMBER($AT$760),$B$511=1),$AT$760,HLOOKUP(INDIRECT(ADDRESS(2,COLUMN())),OFFSET($BN$2,0,0,ROW()-1,60),ROW()-1,FALSE))</f>
        <v>42076.157399999996</v>
      </c>
      <c r="AU257">
        <f ca="1">IF(AND(ISNUMBER($AU$760),$B$511=1),$AU$760,HLOOKUP(INDIRECT(ADDRESS(2,COLUMN())),OFFSET($BN$2,0,0,ROW()-1,60),ROW()-1,FALSE))</f>
        <v>43555.684800000003</v>
      </c>
      <c r="AV257">
        <f ca="1">IF(AND(ISNUMBER($AV$760),$B$511=1),$AV$760,HLOOKUP(INDIRECT(ADDRESS(2,COLUMN())),OFFSET($BN$2,0,0,ROW()-1,60),ROW()-1,FALSE))</f>
        <v>46133.666799999999</v>
      </c>
      <c r="AW257">
        <f ca="1">IF(AND(ISNUMBER($AW$760),$B$511=1),$AW$760,HLOOKUP(INDIRECT(ADDRESS(2,COLUMN())),OFFSET($BN$2,0,0,ROW()-1,60),ROW()-1,FALSE))</f>
        <v>53551.181600000004</v>
      </c>
      <c r="AX257">
        <f ca="1">IF(AND(ISNUMBER($AX$760),$B$511=1),$AX$760,HLOOKUP(INDIRECT(ADDRESS(2,COLUMN())),OFFSET($BN$2,0,0,ROW()-1,60),ROW()-1,FALSE))</f>
        <v>55518.046199999997</v>
      </c>
      <c r="AY257">
        <f ca="1">IF(AND(ISNUMBER($AY$760),$B$511=1),$AY$760,HLOOKUP(INDIRECT(ADDRESS(2,COLUMN())),OFFSET($BN$2,0,0,ROW()-1,60),ROW()-1,FALSE))</f>
        <v>53545.859400000001</v>
      </c>
      <c r="AZ257">
        <f ca="1">IF(AND(ISNUMBER($AZ$760),$B$511=1),$AZ$760,HLOOKUP(INDIRECT(ADDRESS(2,COLUMN())),OFFSET($BN$2,0,0,ROW()-1,60),ROW()-1,FALSE))</f>
        <v>52988.364000000001</v>
      </c>
      <c r="BA257">
        <f ca="1">IF(AND(ISNUMBER($BA$760),$B$511=1),$BA$760,HLOOKUP(INDIRECT(ADDRESS(2,COLUMN())),OFFSET($BN$2,0,0,ROW()-1,60),ROW()-1,FALSE))</f>
        <v>53843.333599999998</v>
      </c>
      <c r="BB257">
        <f ca="1">IF(AND(ISNUMBER($BB$760),$B$511=1),$BB$760,HLOOKUP(INDIRECT(ADDRESS(2,COLUMN())),OFFSET($BN$2,0,0,ROW()-1,60),ROW()-1,FALSE))</f>
        <v>51537.182399999998</v>
      </c>
      <c r="BC257">
        <f ca="1">IF(AND(ISNUMBER($BC$760),$B$511=1),$BC$760,HLOOKUP(INDIRECT(ADDRESS(2,COLUMN())),OFFSET($BN$2,0,0,ROW()-1,60),ROW()-1,FALSE))</f>
        <v>48700.3825</v>
      </c>
      <c r="BD257">
        <f ca="1">IF(AND(ISNUMBER($BD$760),$B$511=1),$BD$760,HLOOKUP(INDIRECT(ADDRESS(2,COLUMN())),OFFSET($BN$2,0,0,ROW()-1,60),ROW()-1,FALSE))</f>
        <v>46759.327400000002</v>
      </c>
      <c r="BE257">
        <f ca="1">IF(AND(ISNUMBER($BE$760),$B$511=1),$BE$760,HLOOKUP(INDIRECT(ADDRESS(2,COLUMN())),OFFSET($BN$2,0,0,ROW()-1,60),ROW()-1,FALSE))</f>
        <v>46469.639499999997</v>
      </c>
      <c r="BF257">
        <f ca="1">IF(AND(ISNUMBER($BF$760),$B$511=1),$BF$760,HLOOKUP(INDIRECT(ADDRESS(2,COLUMN())),OFFSET($BN$2,0,0,ROW()-1,60),ROW()-1,FALSE))</f>
        <v>44334.055800000002</v>
      </c>
      <c r="BG257">
        <f ca="1">IF(AND(ISNUMBER($BG$760),$B$511=1),$BG$760,HLOOKUP(INDIRECT(ADDRESS(2,COLUMN())),OFFSET($BN$2,0,0,ROW()-1,60),ROW()-1,FALSE))</f>
        <v>43130.101699999999</v>
      </c>
      <c r="BH257">
        <f ca="1">IF(AND(ISNUMBER($BH$760),$B$511=1),$BH$760,HLOOKUP(INDIRECT(ADDRESS(2,COLUMN())),OFFSET($BN$2,0,0,ROW()-1,60),ROW()-1,FALSE))</f>
        <v>42661.989000000001</v>
      </c>
      <c r="BI257">
        <f ca="1">IF(AND(ISNUMBER($BI$760),$B$511=1),$BI$760,HLOOKUP(INDIRECT(ADDRESS(2,COLUMN())),OFFSET($BN$2,0,0,ROW()-1,60),ROW()-1,FALSE))</f>
        <v>41178.8606</v>
      </c>
      <c r="BJ257">
        <f ca="1">IF(AND(ISNUMBER($BJ$760),$B$511=1),$BJ$760,HLOOKUP(INDIRECT(ADDRESS(2,COLUMN())),OFFSET($BN$2,0,0,ROW()-1,60),ROW()-1,FALSE))</f>
        <v>44654.011200000001</v>
      </c>
      <c r="BK257">
        <f ca="1">IF(AND(ISNUMBER($BK$760),$B$511=1),$BK$760,HLOOKUP(INDIRECT(ADDRESS(2,COLUMN())),OFFSET($BN$2,0,0,ROW()-1,60),ROW()-1,FALSE))</f>
        <v>45468.179600000003</v>
      </c>
      <c r="BL257">
        <f ca="1">IF(AND(ISNUMBER($BL$760),$B$511=1),$BL$760,HLOOKUP(INDIRECT(ADDRESS(2,COLUMN())),OFFSET($BN$2,0,0,ROW()-1,60),ROW()-1,FALSE))</f>
        <v>42889.027999999998</v>
      </c>
      <c r="BM257">
        <f ca="1">IF(AND(ISNUMBER($BM$760),$B$511=1),$BM$760,HLOOKUP(INDIRECT(ADDRESS(2,COLUMN())),OFFSET($BN$2,0,0,ROW()-1,60),ROW()-1,FALSE))</f>
        <v>41767.6587</v>
      </c>
      <c r="BN257" t="str">
        <f>""</f>
        <v/>
      </c>
      <c r="BO257">
        <f>74056.6484</f>
        <v>74056.648400000005</v>
      </c>
      <c r="BP257">
        <f>74592.0764</f>
        <v>74592.076400000005</v>
      </c>
      <c r="BQ257">
        <f>73520.7274</f>
        <v>73520.727400000003</v>
      </c>
      <c r="BR257">
        <f>80755.4097</f>
        <v>80755.409700000004</v>
      </c>
      <c r="BS257">
        <f>76783.3118</f>
        <v>76783.311799999996</v>
      </c>
      <c r="BT257">
        <f>72662.8089</f>
        <v>72662.808900000004</v>
      </c>
      <c r="BU257">
        <f>67999.7953</f>
        <v>67999.795299999998</v>
      </c>
      <c r="BV257">
        <f>61435.0104</f>
        <v>61435.010399999999</v>
      </c>
      <c r="BW257">
        <f>61119.865</f>
        <v>61119.864999999998</v>
      </c>
      <c r="BX257">
        <f>60284.2548</f>
        <v>60284.254800000002</v>
      </c>
      <c r="BY257">
        <f>56870.928</f>
        <v>56870.928</v>
      </c>
      <c r="BZ257">
        <f>61105.7271</f>
        <v>61105.727099999996</v>
      </c>
      <c r="CA257">
        <f>58199.3826</f>
        <v>58199.382599999997</v>
      </c>
      <c r="CB257">
        <f>55743.3882</f>
        <v>55743.388200000001</v>
      </c>
      <c r="CC257">
        <f>54074.2052</f>
        <v>54074.205199999997</v>
      </c>
      <c r="CD257">
        <f>48856.3848</f>
        <v>48856.3848</v>
      </c>
      <c r="CE257">
        <f>52834.65</f>
        <v>52834.65</v>
      </c>
      <c r="CF257">
        <f>55914.8975</f>
        <v>55914.897499999999</v>
      </c>
      <c r="CG257">
        <f>57555.498</f>
        <v>57555.498</v>
      </c>
      <c r="CH257">
        <f>58917.9932</f>
        <v>58917.993199999997</v>
      </c>
      <c r="CI257">
        <f>58851.452</f>
        <v>58851.451999999997</v>
      </c>
      <c r="CJ257">
        <f>55616.4692999999</f>
        <v>55616.469299999997</v>
      </c>
      <c r="CK257">
        <f>51307.326</f>
        <v>51307.326000000001</v>
      </c>
      <c r="CL257">
        <f>49756.9485</f>
        <v>49756.948499999999</v>
      </c>
      <c r="CM257">
        <f>50023.2285</f>
        <v>50023.228499999997</v>
      </c>
      <c r="CN257">
        <f>53038.8192</f>
        <v>53038.819199999998</v>
      </c>
      <c r="CO257">
        <f>50887.3824</f>
        <v>50887.382400000002</v>
      </c>
      <c r="CP257">
        <f>55171.8156</f>
        <v>55171.815600000002</v>
      </c>
      <c r="CQ257">
        <f>51352.704</f>
        <v>51352.703999999998</v>
      </c>
      <c r="CR257">
        <f>51209.7573</f>
        <v>51209.757299999997</v>
      </c>
      <c r="CS257">
        <f>53747.942</f>
        <v>53747.942000000003</v>
      </c>
      <c r="CT257">
        <f>52571.112</f>
        <v>52571.112000000001</v>
      </c>
      <c r="CU257">
        <f>48616.1518</f>
        <v>48616.1518</v>
      </c>
      <c r="CV257">
        <f>46865.058</f>
        <v>46865.057999999997</v>
      </c>
      <c r="CW257">
        <f>40750.8479</f>
        <v>40750.847900000001</v>
      </c>
      <c r="CX257">
        <f>41849.4492</f>
        <v>41849.449200000003</v>
      </c>
      <c r="CY257">
        <f>43367.0391</f>
        <v>43367.039100000002</v>
      </c>
      <c r="CZ257">
        <f>44574.7563</f>
        <v>44574.756300000001</v>
      </c>
      <c r="DA257">
        <f>42279.26</f>
        <v>42279.26</v>
      </c>
      <c r="DB257">
        <f>42076.1574</f>
        <v>42076.157399999996</v>
      </c>
      <c r="DC257">
        <f>43555.6848</f>
        <v>43555.684800000003</v>
      </c>
      <c r="DD257">
        <f>46133.6668</f>
        <v>46133.666799999999</v>
      </c>
      <c r="DE257">
        <f>53551.1816</f>
        <v>53551.181600000004</v>
      </c>
      <c r="DF257">
        <f>55518.0462</f>
        <v>55518.046199999997</v>
      </c>
      <c r="DG257">
        <f>53545.8594</f>
        <v>53545.859400000001</v>
      </c>
      <c r="DH257">
        <f>52988.364</f>
        <v>52988.364000000001</v>
      </c>
      <c r="DI257">
        <f>53843.3336</f>
        <v>53843.333599999998</v>
      </c>
      <c r="DJ257">
        <f>51537.1824</f>
        <v>51537.182399999998</v>
      </c>
      <c r="DK257">
        <f>48700.3825</f>
        <v>48700.3825</v>
      </c>
      <c r="DL257">
        <f>46759.3274</f>
        <v>46759.327400000002</v>
      </c>
      <c r="DM257">
        <f>46469.6395</f>
        <v>46469.639499999997</v>
      </c>
      <c r="DN257">
        <f>44334.0558</f>
        <v>44334.055800000002</v>
      </c>
      <c r="DO257">
        <f>43130.1016999999</f>
        <v>43130.101699999999</v>
      </c>
      <c r="DP257">
        <f>42661.989</f>
        <v>42661.989000000001</v>
      </c>
      <c r="DQ257">
        <f>41178.8606</f>
        <v>41178.8606</v>
      </c>
      <c r="DR257">
        <f>44654.0112</f>
        <v>44654.011200000001</v>
      </c>
      <c r="DS257">
        <f>45468.1796</f>
        <v>45468.179600000003</v>
      </c>
      <c r="DT257">
        <f>42889.028</f>
        <v>42889.027999999998</v>
      </c>
      <c r="DU257">
        <f>41767.6587</f>
        <v>41767.6587</v>
      </c>
    </row>
    <row r="258" spans="1:125" x14ac:dyDescent="0.25">
      <c r="A258" t="str">
        <f>"    Dongfeng Motor Group Co Ltd"</f>
        <v xml:space="preserve">    Dongfeng Motor Group Co Ltd</v>
      </c>
      <c r="B258" t="str">
        <f>"489 HK Equity"</f>
        <v>489 HK Equity</v>
      </c>
      <c r="C258" t="str">
        <f t="shared" si="18"/>
        <v>RR010</v>
      </c>
      <c r="D258" t="str">
        <f t="shared" si="19"/>
        <v>TOT_COMMON_EQY</v>
      </c>
      <c r="E258" t="str">
        <f t="shared" si="20"/>
        <v>Dynamic</v>
      </c>
      <c r="F258" t="str">
        <f ca="1">IF(AND(ISNUMBER($F$761),$B$511=1),$F$761,HLOOKUP(INDIRECT(ADDRESS(2,COLUMN())),OFFSET($BN$2,0,0,ROW()-1,60),ROW()-1,FALSE))</f>
        <v/>
      </c>
      <c r="G258" t="str">
        <f ca="1">IF(AND(ISNUMBER($G$761),$B$511=1),$G$761,HLOOKUP(INDIRECT(ADDRESS(2,COLUMN())),OFFSET($BN$2,0,0,ROW()-1,60),ROW()-1,FALSE))</f>
        <v/>
      </c>
      <c r="H258" t="str">
        <f ca="1">IF(AND(ISNUMBER($H$761),$B$511=1),$H$761,HLOOKUP(INDIRECT(ADDRESS(2,COLUMN())),OFFSET($BN$2,0,0,ROW()-1,60),ROW()-1,FALSE))</f>
        <v/>
      </c>
      <c r="I258" t="str">
        <f ca="1">IF(AND(ISNUMBER($I$761),$B$511=1),$I$761,HLOOKUP(INDIRECT(ADDRESS(2,COLUMN())),OFFSET($BN$2,0,0,ROW()-1,60),ROW()-1,FALSE))</f>
        <v/>
      </c>
      <c r="J258" t="str">
        <f ca="1">IF(AND(ISNUMBER($J$761),$B$511=1),$J$761,HLOOKUP(INDIRECT(ADDRESS(2,COLUMN())),OFFSET($BN$2,0,0,ROW()-1,60),ROW()-1,FALSE))</f>
        <v/>
      </c>
      <c r="K258" t="str">
        <f ca="1">IF(AND(ISNUMBER($K$761),$B$511=1),$K$761,HLOOKUP(INDIRECT(ADDRESS(2,COLUMN())),OFFSET($BN$2,0,0,ROW()-1,60),ROW()-1,FALSE))</f>
        <v/>
      </c>
      <c r="L258" t="str">
        <f ca="1">IF(AND(ISNUMBER($L$761),$B$511=1),$L$761,HLOOKUP(INDIRECT(ADDRESS(2,COLUMN())),OFFSET($BN$2,0,0,ROW()-1,60),ROW()-1,FALSE))</f>
        <v/>
      </c>
      <c r="M258" t="str">
        <f ca="1">IF(AND(ISNUMBER($M$761),$B$511=1),$M$761,HLOOKUP(INDIRECT(ADDRESS(2,COLUMN())),OFFSET($BN$2,0,0,ROW()-1,60),ROW()-1,FALSE))</f>
        <v/>
      </c>
      <c r="N258" t="str">
        <f ca="1">IF(AND(ISNUMBER($N$761),$B$511=1),$N$761,HLOOKUP(INDIRECT(ADDRESS(2,COLUMN())),OFFSET($BN$2,0,0,ROW()-1,60),ROW()-1,FALSE))</f>
        <v/>
      </c>
      <c r="O258" t="str">
        <f ca="1">IF(AND(ISNUMBER($O$761),$B$511=1),$O$761,HLOOKUP(INDIRECT(ADDRESS(2,COLUMN())),OFFSET($BN$2,0,0,ROW()-1,60),ROW()-1,FALSE))</f>
        <v/>
      </c>
      <c r="P258" t="str">
        <f ca="1">IF(AND(ISNUMBER($P$761),$B$511=1),$P$761,HLOOKUP(INDIRECT(ADDRESS(2,COLUMN())),OFFSET($BN$2,0,0,ROW()-1,60),ROW()-1,FALSE))</f>
        <v/>
      </c>
      <c r="Q258" t="str">
        <f ca="1">IF(AND(ISNUMBER($Q$761),$B$511=1),$Q$761,HLOOKUP(INDIRECT(ADDRESS(2,COLUMN())),OFFSET($BN$2,0,0,ROW()-1,60),ROW()-1,FALSE))</f>
        <v/>
      </c>
      <c r="R258" t="str">
        <f ca="1">IF(AND(ISNUMBER($R$761),$B$511=1),$R$761,HLOOKUP(INDIRECT(ADDRESS(2,COLUMN())),OFFSET($BN$2,0,0,ROW()-1,60),ROW()-1,FALSE))</f>
        <v/>
      </c>
      <c r="S258" t="str">
        <f ca="1">IF(AND(ISNUMBER($S$761),$B$511=1),$S$761,HLOOKUP(INDIRECT(ADDRESS(2,COLUMN())),OFFSET($BN$2,0,0,ROW()-1,60),ROW()-1,FALSE))</f>
        <v/>
      </c>
      <c r="T258" t="str">
        <f ca="1">IF(AND(ISNUMBER($T$761),$B$511=1),$T$761,HLOOKUP(INDIRECT(ADDRESS(2,COLUMN())),OFFSET($BN$2,0,0,ROW()-1,60),ROW()-1,FALSE))</f>
        <v/>
      </c>
      <c r="U258" t="str">
        <f ca="1">IF(AND(ISNUMBER($U$761),$B$511=1),$U$761,HLOOKUP(INDIRECT(ADDRESS(2,COLUMN())),OFFSET($BN$2,0,0,ROW()-1,60),ROW()-1,FALSE))</f>
        <v/>
      </c>
      <c r="V258" t="str">
        <f ca="1">IF(AND(ISNUMBER($V$761),$B$511=1),$V$761,HLOOKUP(INDIRECT(ADDRESS(2,COLUMN())),OFFSET($BN$2,0,0,ROW()-1,60),ROW()-1,FALSE))</f>
        <v/>
      </c>
      <c r="W258" t="str">
        <f ca="1">IF(AND(ISNUMBER($W$761),$B$511=1),$W$761,HLOOKUP(INDIRECT(ADDRESS(2,COLUMN())),OFFSET($BN$2,0,0,ROW()-1,60),ROW()-1,FALSE))</f>
        <v/>
      </c>
      <c r="X258" t="str">
        <f ca="1">IF(AND(ISNUMBER($X$761),$B$511=1),$X$761,HLOOKUP(INDIRECT(ADDRESS(2,COLUMN())),OFFSET($BN$2,0,0,ROW()-1,60),ROW()-1,FALSE))</f>
        <v/>
      </c>
      <c r="Y258" t="str">
        <f ca="1">IF(AND(ISNUMBER($Y$761),$B$511=1),$Y$761,HLOOKUP(INDIRECT(ADDRESS(2,COLUMN())),OFFSET($BN$2,0,0,ROW()-1,60),ROW()-1,FALSE))</f>
        <v/>
      </c>
      <c r="Z258" t="str">
        <f ca="1">IF(AND(ISNUMBER($Z$761),$B$511=1),$Z$761,HLOOKUP(INDIRECT(ADDRESS(2,COLUMN())),OFFSET($BN$2,0,0,ROW()-1,60),ROW()-1,FALSE))</f>
        <v/>
      </c>
      <c r="AA258" t="str">
        <f ca="1">IF(AND(ISNUMBER($AA$761),$B$511=1),$AA$761,HLOOKUP(INDIRECT(ADDRESS(2,COLUMN())),OFFSET($BN$2,0,0,ROW()-1,60),ROW()-1,FALSE))</f>
        <v/>
      </c>
      <c r="AB258" t="str">
        <f ca="1">IF(AND(ISNUMBER($AB$761),$B$511=1),$AB$761,HLOOKUP(INDIRECT(ADDRESS(2,COLUMN())),OFFSET($BN$2,0,0,ROW()-1,60),ROW()-1,FALSE))</f>
        <v/>
      </c>
      <c r="AC258" t="str">
        <f ca="1">IF(AND(ISNUMBER($AC$761),$B$511=1),$AC$761,HLOOKUP(INDIRECT(ADDRESS(2,COLUMN())),OFFSET($BN$2,0,0,ROW()-1,60),ROW()-1,FALSE))</f>
        <v/>
      </c>
      <c r="AD258" t="str">
        <f ca="1">IF(AND(ISNUMBER($AD$761),$B$511=1),$AD$761,HLOOKUP(INDIRECT(ADDRESS(2,COLUMN())),OFFSET($BN$2,0,0,ROW()-1,60),ROW()-1,FALSE))</f>
        <v/>
      </c>
      <c r="AE258" t="str">
        <f ca="1">IF(AND(ISNUMBER($AE$761),$B$511=1),$AE$761,HLOOKUP(INDIRECT(ADDRESS(2,COLUMN())),OFFSET($BN$2,0,0,ROW()-1,60),ROW()-1,FALSE))</f>
        <v/>
      </c>
      <c r="AF258" t="str">
        <f ca="1">IF(AND(ISNUMBER($AF$761),$B$511=1),$AF$761,HLOOKUP(INDIRECT(ADDRESS(2,COLUMN())),OFFSET($BN$2,0,0,ROW()-1,60),ROW()-1,FALSE))</f>
        <v/>
      </c>
      <c r="AG258" t="str">
        <f ca="1">IF(AND(ISNUMBER($AG$761),$B$511=1),$AG$761,HLOOKUP(INDIRECT(ADDRESS(2,COLUMN())),OFFSET($BN$2,0,0,ROW()-1,60),ROW()-1,FALSE))</f>
        <v/>
      </c>
      <c r="AH258" t="str">
        <f ca="1">IF(AND(ISNUMBER($AH$761),$B$511=1),$AH$761,HLOOKUP(INDIRECT(ADDRESS(2,COLUMN())),OFFSET($BN$2,0,0,ROW()-1,60),ROW()-1,FALSE))</f>
        <v/>
      </c>
      <c r="AI258" t="str">
        <f ca="1">IF(AND(ISNUMBER($AI$761),$B$511=1),$AI$761,HLOOKUP(INDIRECT(ADDRESS(2,COLUMN())),OFFSET($BN$2,0,0,ROW()-1,60),ROW()-1,FALSE))</f>
        <v/>
      </c>
      <c r="AJ258" t="str">
        <f ca="1">IF(AND(ISNUMBER($AJ$761),$B$511=1),$AJ$761,HLOOKUP(INDIRECT(ADDRESS(2,COLUMN())),OFFSET($BN$2,0,0,ROW()-1,60),ROW()-1,FALSE))</f>
        <v/>
      </c>
      <c r="AK258" t="str">
        <f ca="1">IF(AND(ISNUMBER($AK$761),$B$511=1),$AK$761,HLOOKUP(INDIRECT(ADDRESS(2,COLUMN())),OFFSET($BN$2,0,0,ROW()-1,60),ROW()-1,FALSE))</f>
        <v/>
      </c>
      <c r="AL258" t="str">
        <f ca="1">IF(AND(ISNUMBER($AL$761),$B$511=1),$AL$761,HLOOKUP(INDIRECT(ADDRESS(2,COLUMN())),OFFSET($BN$2,0,0,ROW()-1,60),ROW()-1,FALSE))</f>
        <v/>
      </c>
      <c r="AM258" t="str">
        <f ca="1">IF(AND(ISNUMBER($AM$761),$B$511=1),$AM$761,HLOOKUP(INDIRECT(ADDRESS(2,COLUMN())),OFFSET($BN$2,0,0,ROW()-1,60),ROW()-1,FALSE))</f>
        <v/>
      </c>
      <c r="AN258" t="str">
        <f ca="1">IF(AND(ISNUMBER($AN$761),$B$511=1),$AN$761,HLOOKUP(INDIRECT(ADDRESS(2,COLUMN())),OFFSET($BN$2,0,0,ROW()-1,60),ROW()-1,FALSE))</f>
        <v/>
      </c>
      <c r="AO258" t="str">
        <f ca="1">IF(AND(ISNUMBER($AO$761),$B$511=1),$AO$761,HLOOKUP(INDIRECT(ADDRESS(2,COLUMN())),OFFSET($BN$2,0,0,ROW()-1,60),ROW()-1,FALSE))</f>
        <v/>
      </c>
      <c r="AP258" t="str">
        <f ca="1">IF(AND(ISNUMBER($AP$761),$B$511=1),$AP$761,HLOOKUP(INDIRECT(ADDRESS(2,COLUMN())),OFFSET($BN$2,0,0,ROW()-1,60),ROW()-1,FALSE))</f>
        <v/>
      </c>
      <c r="AQ258" t="str">
        <f ca="1">IF(AND(ISNUMBER($AQ$761),$B$511=1),$AQ$761,HLOOKUP(INDIRECT(ADDRESS(2,COLUMN())),OFFSET($BN$2,0,0,ROW()-1,60),ROW()-1,FALSE))</f>
        <v/>
      </c>
      <c r="AR258" t="str">
        <f ca="1">IF(AND(ISNUMBER($AR$761),$B$511=1),$AR$761,HLOOKUP(INDIRECT(ADDRESS(2,COLUMN())),OFFSET($BN$2,0,0,ROW()-1,60),ROW()-1,FALSE))</f>
        <v/>
      </c>
      <c r="AS258" t="str">
        <f ca="1">IF(AND(ISNUMBER($AS$761),$B$511=1),$AS$761,HLOOKUP(INDIRECT(ADDRESS(2,COLUMN())),OFFSET($BN$2,0,0,ROW()-1,60),ROW()-1,FALSE))</f>
        <v/>
      </c>
      <c r="AT258" t="str">
        <f ca="1">IF(AND(ISNUMBER($AT$761),$B$511=1),$AT$761,HLOOKUP(INDIRECT(ADDRESS(2,COLUMN())),OFFSET($BN$2,0,0,ROW()-1,60),ROW()-1,FALSE))</f>
        <v/>
      </c>
      <c r="AU258" t="str">
        <f ca="1">IF(AND(ISNUMBER($AU$761),$B$511=1),$AU$761,HLOOKUP(INDIRECT(ADDRESS(2,COLUMN())),OFFSET($BN$2,0,0,ROW()-1,60),ROW()-1,FALSE))</f>
        <v/>
      </c>
      <c r="AV258" t="str">
        <f ca="1">IF(AND(ISNUMBER($AV$761),$B$511=1),$AV$761,HLOOKUP(INDIRECT(ADDRESS(2,COLUMN())),OFFSET($BN$2,0,0,ROW()-1,60),ROW()-1,FALSE))</f>
        <v/>
      </c>
      <c r="AW258" t="str">
        <f ca="1">IF(AND(ISNUMBER($AW$761),$B$511=1),$AW$761,HLOOKUP(INDIRECT(ADDRESS(2,COLUMN())),OFFSET($BN$2,0,0,ROW()-1,60),ROW()-1,FALSE))</f>
        <v/>
      </c>
      <c r="AX258" t="str">
        <f ca="1">IF(AND(ISNUMBER($AX$761),$B$511=1),$AX$761,HLOOKUP(INDIRECT(ADDRESS(2,COLUMN())),OFFSET($BN$2,0,0,ROW()-1,60),ROW()-1,FALSE))</f>
        <v/>
      </c>
      <c r="AY258" t="str">
        <f ca="1">IF(AND(ISNUMBER($AY$761),$B$511=1),$AY$761,HLOOKUP(INDIRECT(ADDRESS(2,COLUMN())),OFFSET($BN$2,0,0,ROW()-1,60),ROW()-1,FALSE))</f>
        <v/>
      </c>
      <c r="AZ258" t="str">
        <f ca="1">IF(AND(ISNUMBER($AZ$761),$B$511=1),$AZ$761,HLOOKUP(INDIRECT(ADDRESS(2,COLUMN())),OFFSET($BN$2,0,0,ROW()-1,60),ROW()-1,FALSE))</f>
        <v/>
      </c>
      <c r="BA258" t="str">
        <f ca="1">IF(AND(ISNUMBER($BA$761),$B$511=1),$BA$761,HLOOKUP(INDIRECT(ADDRESS(2,COLUMN())),OFFSET($BN$2,0,0,ROW()-1,60),ROW()-1,FALSE))</f>
        <v/>
      </c>
      <c r="BB258" t="str">
        <f ca="1">IF(AND(ISNUMBER($BB$761),$B$511=1),$BB$761,HLOOKUP(INDIRECT(ADDRESS(2,COLUMN())),OFFSET($BN$2,0,0,ROW()-1,60),ROW()-1,FALSE))</f>
        <v/>
      </c>
      <c r="BC258" t="str">
        <f ca="1">IF(AND(ISNUMBER($BC$761),$B$511=1),$BC$761,HLOOKUP(INDIRECT(ADDRESS(2,COLUMN())),OFFSET($BN$2,0,0,ROW()-1,60),ROW()-1,FALSE))</f>
        <v/>
      </c>
      <c r="BD258" t="str">
        <f ca="1">IF(AND(ISNUMBER($BD$761),$B$511=1),$BD$761,HLOOKUP(INDIRECT(ADDRESS(2,COLUMN())),OFFSET($BN$2,0,0,ROW()-1,60),ROW()-1,FALSE))</f>
        <v/>
      </c>
      <c r="BE258" t="str">
        <f ca="1">IF(AND(ISNUMBER($BE$761),$B$511=1),$BE$761,HLOOKUP(INDIRECT(ADDRESS(2,COLUMN())),OFFSET($BN$2,0,0,ROW()-1,60),ROW()-1,FALSE))</f>
        <v/>
      </c>
      <c r="BF258" t="str">
        <f ca="1">IF(AND(ISNUMBER($BF$761),$B$511=1),$BF$761,HLOOKUP(INDIRECT(ADDRESS(2,COLUMN())),OFFSET($BN$2,0,0,ROW()-1,60),ROW()-1,FALSE))</f>
        <v/>
      </c>
      <c r="BG258" t="str">
        <f ca="1">IF(AND(ISNUMBER($BG$761),$B$511=1),$BG$761,HLOOKUP(INDIRECT(ADDRESS(2,COLUMN())),OFFSET($BN$2,0,0,ROW()-1,60),ROW()-1,FALSE))</f>
        <v/>
      </c>
      <c r="BH258" t="str">
        <f ca="1">IF(AND(ISNUMBER($BH$761),$B$511=1),$BH$761,HLOOKUP(INDIRECT(ADDRESS(2,COLUMN())),OFFSET($BN$2,0,0,ROW()-1,60),ROW()-1,FALSE))</f>
        <v/>
      </c>
      <c r="BI258" t="str">
        <f ca="1">IF(AND(ISNUMBER($BI$761),$B$511=1),$BI$761,HLOOKUP(INDIRECT(ADDRESS(2,COLUMN())),OFFSET($BN$2,0,0,ROW()-1,60),ROW()-1,FALSE))</f>
        <v/>
      </c>
      <c r="BJ258" t="str">
        <f ca="1">IF(AND(ISNUMBER($BJ$761),$B$511=1),$BJ$761,HLOOKUP(INDIRECT(ADDRESS(2,COLUMN())),OFFSET($BN$2,0,0,ROW()-1,60),ROW()-1,FALSE))</f>
        <v/>
      </c>
      <c r="BK258" t="str">
        <f ca="1">IF(AND(ISNUMBER($BK$761),$B$511=1),$BK$761,HLOOKUP(INDIRECT(ADDRESS(2,COLUMN())),OFFSET($BN$2,0,0,ROW()-1,60),ROW()-1,FALSE))</f>
        <v/>
      </c>
      <c r="BL258" t="str">
        <f ca="1">IF(AND(ISNUMBER($BL$761),$B$511=1),$BL$761,HLOOKUP(INDIRECT(ADDRESS(2,COLUMN())),OFFSET($BN$2,0,0,ROW()-1,60),ROW()-1,FALSE))</f>
        <v/>
      </c>
      <c r="BM258" t="str">
        <f ca="1">IF(AND(ISNUMBER($BM$761),$B$511=1),$BM$761,HLOOKUP(INDIRECT(ADDRESS(2,COLUMN())),OFFSET($BN$2,0,0,ROW()-1,60),ROW()-1,FALSE))</f>
        <v/>
      </c>
      <c r="BN258" t="str">
        <f>""</f>
        <v/>
      </c>
      <c r="BO258" t="str">
        <f>""</f>
        <v/>
      </c>
      <c r="BP258" t="str">
        <f>""</f>
        <v/>
      </c>
      <c r="BQ258" t="str">
        <f>""</f>
        <v/>
      </c>
      <c r="BR258" t="str">
        <f>""</f>
        <v/>
      </c>
      <c r="BS258" t="str">
        <f>""</f>
        <v/>
      </c>
      <c r="BT258" t="str">
        <f>""</f>
        <v/>
      </c>
      <c r="BU258" t="str">
        <f>""</f>
        <v/>
      </c>
      <c r="BV258" t="str">
        <f>""</f>
        <v/>
      </c>
      <c r="BW258" t="str">
        <f>""</f>
        <v/>
      </c>
      <c r="BX258" t="str">
        <f>""</f>
        <v/>
      </c>
      <c r="BY258" t="str">
        <f>""</f>
        <v/>
      </c>
      <c r="BZ258" t="str">
        <f>""</f>
        <v/>
      </c>
      <c r="CA258" t="str">
        <f>""</f>
        <v/>
      </c>
      <c r="CB258" t="str">
        <f>""</f>
        <v/>
      </c>
      <c r="CC258" t="str">
        <f>""</f>
        <v/>
      </c>
      <c r="CD258" t="str">
        <f>""</f>
        <v/>
      </c>
      <c r="CE258" t="str">
        <f>""</f>
        <v/>
      </c>
      <c r="CF258" t="str">
        <f>""</f>
        <v/>
      </c>
      <c r="CG258" t="str">
        <f>""</f>
        <v/>
      </c>
      <c r="CH258" t="str">
        <f>""</f>
        <v/>
      </c>
      <c r="CI258" t="str">
        <f>""</f>
        <v/>
      </c>
      <c r="CJ258" t="str">
        <f>""</f>
        <v/>
      </c>
      <c r="CK258" t="str">
        <f>""</f>
        <v/>
      </c>
      <c r="CL258" t="str">
        <f>""</f>
        <v/>
      </c>
      <c r="CM258" t="str">
        <f>""</f>
        <v/>
      </c>
      <c r="CN258" t="str">
        <f>""</f>
        <v/>
      </c>
      <c r="CO258" t="str">
        <f>""</f>
        <v/>
      </c>
      <c r="CP258" t="str">
        <f>""</f>
        <v/>
      </c>
      <c r="CQ258" t="str">
        <f>""</f>
        <v/>
      </c>
      <c r="CR258" t="str">
        <f>""</f>
        <v/>
      </c>
      <c r="CS258" t="str">
        <f>""</f>
        <v/>
      </c>
      <c r="CT258" t="str">
        <f>""</f>
        <v/>
      </c>
      <c r="CU258" t="str">
        <f>""</f>
        <v/>
      </c>
      <c r="CV258" t="str">
        <f>""</f>
        <v/>
      </c>
      <c r="CW258" t="str">
        <f>""</f>
        <v/>
      </c>
      <c r="CX258" t="str">
        <f>""</f>
        <v/>
      </c>
      <c r="CY258" t="str">
        <f>""</f>
        <v/>
      </c>
      <c r="CZ258" t="str">
        <f>""</f>
        <v/>
      </c>
      <c r="DA258" t="str">
        <f>""</f>
        <v/>
      </c>
      <c r="DB258" t="str">
        <f>""</f>
        <v/>
      </c>
      <c r="DC258" t="str">
        <f>""</f>
        <v/>
      </c>
      <c r="DD258" t="str">
        <f>""</f>
        <v/>
      </c>
      <c r="DE258" t="str">
        <f>""</f>
        <v/>
      </c>
      <c r="DF258" t="str">
        <f>""</f>
        <v/>
      </c>
      <c r="DG258" t="str">
        <f>""</f>
        <v/>
      </c>
      <c r="DH258" t="str">
        <f>""</f>
        <v/>
      </c>
      <c r="DI258" t="str">
        <f>""</f>
        <v/>
      </c>
      <c r="DJ258" t="str">
        <f>""</f>
        <v/>
      </c>
      <c r="DK258" t="str">
        <f>""</f>
        <v/>
      </c>
      <c r="DL258" t="str">
        <f>""</f>
        <v/>
      </c>
      <c r="DM258" t="str">
        <f>""</f>
        <v/>
      </c>
      <c r="DN258" t="str">
        <f>""</f>
        <v/>
      </c>
      <c r="DO258" t="str">
        <f>""</f>
        <v/>
      </c>
      <c r="DP258" t="str">
        <f>""</f>
        <v/>
      </c>
      <c r="DQ258" t="str">
        <f>""</f>
        <v/>
      </c>
      <c r="DR258" t="str">
        <f>""</f>
        <v/>
      </c>
      <c r="DS258" t="str">
        <f>""</f>
        <v/>
      </c>
      <c r="DT258" t="str">
        <f>""</f>
        <v/>
      </c>
      <c r="DU258" t="str">
        <f>""</f>
        <v/>
      </c>
    </row>
    <row r="259" spans="1:125" x14ac:dyDescent="0.25">
      <c r="A259" t="str">
        <f>"    DRB-Hicom Bhd"</f>
        <v xml:space="preserve">    DRB-Hicom Bhd</v>
      </c>
      <c r="B259" t="str">
        <f>"DRB MK Equity"</f>
        <v>DRB MK Equity</v>
      </c>
      <c r="C259" t="str">
        <f t="shared" si="18"/>
        <v>RR010</v>
      </c>
      <c r="D259" t="str">
        <f t="shared" si="19"/>
        <v>TOT_COMMON_EQY</v>
      </c>
      <c r="E259" t="str">
        <f t="shared" si="20"/>
        <v>Dynamic</v>
      </c>
      <c r="F259" t="str">
        <f ca="1">IF(AND(ISNUMBER($F$762),$B$511=1),$F$762,HLOOKUP(INDIRECT(ADDRESS(2,COLUMN())),OFFSET($BN$2,0,0,ROW()-1,60),ROW()-1,FALSE))</f>
        <v/>
      </c>
      <c r="G259" t="str">
        <f ca="1">IF(AND(ISNUMBER($G$762),$B$511=1),$G$762,HLOOKUP(INDIRECT(ADDRESS(2,COLUMN())),OFFSET($BN$2,0,0,ROW()-1,60),ROW()-1,FALSE))</f>
        <v/>
      </c>
      <c r="H259">
        <f ca="1">IF(AND(ISNUMBER($H$762),$B$511=1),$H$762,HLOOKUP(INDIRECT(ADDRESS(2,COLUMN())),OFFSET($BN$2,0,0,ROW()-1,60),ROW()-1,FALSE))</f>
        <v>1574.7480969999999</v>
      </c>
      <c r="I259">
        <f ca="1">IF(AND(ISNUMBER($I$762),$B$511=1),$I$762,HLOOKUP(INDIRECT(ADDRESS(2,COLUMN())),OFFSET($BN$2,0,0,ROW()-1,60),ROW()-1,FALSE))</f>
        <v>1627.085028</v>
      </c>
      <c r="J259">
        <f ca="1">IF(AND(ISNUMBER($J$762),$B$511=1),$J$762,HLOOKUP(INDIRECT(ADDRESS(2,COLUMN())),OFFSET($BN$2,0,0,ROW()-1,60),ROW()-1,FALSE))</f>
        <v>1722.4068890000001</v>
      </c>
      <c r="K259">
        <f ca="1">IF(AND(ISNUMBER($K$762),$B$511=1),$K$762,HLOOKUP(INDIRECT(ADDRESS(2,COLUMN())),OFFSET($BN$2,0,0,ROW()-1,60),ROW()-1,FALSE))</f>
        <v>1666.915103</v>
      </c>
      <c r="L259">
        <f ca="1">IF(AND(ISNUMBER($L$762),$B$511=1),$L$762,HLOOKUP(INDIRECT(ADDRESS(2,COLUMN())),OFFSET($BN$2,0,0,ROW()-1,60),ROW()-1,FALSE))</f>
        <v>1620.2240380000001</v>
      </c>
      <c r="M259">
        <f ca="1">IF(AND(ISNUMBER($M$762),$B$511=1),$M$762,HLOOKUP(INDIRECT(ADDRESS(2,COLUMN())),OFFSET($BN$2,0,0,ROW()-1,60),ROW()-1,FALSE))</f>
        <v>1371.703385</v>
      </c>
      <c r="N259">
        <f ca="1">IF(AND(ISNUMBER($N$762),$B$511=1),$N$762,HLOOKUP(INDIRECT(ADDRESS(2,COLUMN())),OFFSET($BN$2,0,0,ROW()-1,60),ROW()-1,FALSE))</f>
        <v>1361.464919</v>
      </c>
      <c r="O259">
        <f ca="1">IF(AND(ISNUMBER($O$762),$B$511=1),$O$762,HLOOKUP(INDIRECT(ADDRESS(2,COLUMN())),OFFSET($BN$2,0,0,ROW()-1,60),ROW()-1,FALSE))</f>
        <v>1419.0713169999999</v>
      </c>
      <c r="P259">
        <f ca="1">IF(AND(ISNUMBER($P$762),$B$511=1),$P$762,HLOOKUP(INDIRECT(ADDRESS(2,COLUMN())),OFFSET($BN$2,0,0,ROW()-1,60),ROW()-1,FALSE))</f>
        <v>1480.5434729999999</v>
      </c>
      <c r="Q259">
        <f ca="1">IF(AND(ISNUMBER($Q$762),$B$511=1),$Q$762,HLOOKUP(INDIRECT(ADDRESS(2,COLUMN())),OFFSET($BN$2,0,0,ROW()-1,60),ROW()-1,FALSE))</f>
        <v>1592.5529779999999</v>
      </c>
      <c r="R259">
        <f ca="1">IF(AND(ISNUMBER($R$762),$B$511=1),$R$762,HLOOKUP(INDIRECT(ADDRESS(2,COLUMN())),OFFSET($BN$2,0,0,ROW()-1,60),ROW()-1,FALSE))</f>
        <v>1688.969924</v>
      </c>
      <c r="S259">
        <f ca="1">IF(AND(ISNUMBER($S$762),$B$511=1),$S$762,HLOOKUP(INDIRECT(ADDRESS(2,COLUMN())),OFFSET($BN$2,0,0,ROW()-1,60),ROW()-1,FALSE))</f>
        <v>1706.522547</v>
      </c>
      <c r="T259">
        <f ca="1">IF(AND(ISNUMBER($T$762),$B$511=1),$T$762,HLOOKUP(INDIRECT(ADDRESS(2,COLUMN())),OFFSET($BN$2,0,0,ROW()-1,60),ROW()-1,FALSE))</f>
        <v>1722.4407200000001</v>
      </c>
      <c r="U259">
        <f ca="1">IF(AND(ISNUMBER($U$762),$B$511=1),$U$762,HLOOKUP(INDIRECT(ADDRESS(2,COLUMN())),OFFSET($BN$2,0,0,ROW()-1,60),ROW()-1,FALSE))</f>
        <v>2026.913976</v>
      </c>
      <c r="V259">
        <f ca="1">IF(AND(ISNUMBER($V$762),$B$511=1),$V$762,HLOOKUP(INDIRECT(ADDRESS(2,COLUMN())),OFFSET($BN$2,0,0,ROW()-1,60),ROW()-1,FALSE))</f>
        <v>2043.26307</v>
      </c>
      <c r="W259">
        <f ca="1">IF(AND(ISNUMBER($W$762),$B$511=1),$W$762,HLOOKUP(INDIRECT(ADDRESS(2,COLUMN())),OFFSET($BN$2,0,0,ROW()-1,60),ROW()-1,FALSE))</f>
        <v>2135.6610019999998</v>
      </c>
      <c r="X259">
        <f ca="1">IF(AND(ISNUMBER($X$762),$B$511=1),$X$762,HLOOKUP(INDIRECT(ADDRESS(2,COLUMN())),OFFSET($BN$2,0,0,ROW()-1,60),ROW()-1,FALSE))</f>
        <v>2273.9688540000002</v>
      </c>
      <c r="Y259">
        <f ca="1">IF(AND(ISNUMBER($Y$762),$B$511=1),$Y$762,HLOOKUP(INDIRECT(ADDRESS(2,COLUMN())),OFFSET($BN$2,0,0,ROW()-1,60),ROW()-1,FALSE))</f>
        <v>2308.1834610000001</v>
      </c>
      <c r="Z259">
        <f ca="1">IF(AND(ISNUMBER($Z$762),$B$511=1),$Z$762,HLOOKUP(INDIRECT(ADDRESS(2,COLUMN())),OFFSET($BN$2,0,0,ROW()-1,60),ROW()-1,FALSE))</f>
        <v>2245.196684</v>
      </c>
      <c r="AA259">
        <f ca="1">IF(AND(ISNUMBER($AA$762),$B$511=1),$AA$762,HLOOKUP(INDIRECT(ADDRESS(2,COLUMN())),OFFSET($BN$2,0,0,ROW()-1,60),ROW()-1,FALSE))</f>
        <v>2188.6341609999999</v>
      </c>
      <c r="AB259">
        <f ca="1">IF(AND(ISNUMBER($AB$762),$B$511=1),$AB$762,HLOOKUP(INDIRECT(ADDRESS(2,COLUMN())),OFFSET($BN$2,0,0,ROW()-1,60),ROW()-1,FALSE))</f>
        <v>2173.001197</v>
      </c>
      <c r="AC259">
        <f ca="1">IF(AND(ISNUMBER($AC$762),$B$511=1),$AC$762,HLOOKUP(INDIRECT(ADDRESS(2,COLUMN())),OFFSET($BN$2,0,0,ROW()-1,60),ROW()-1,FALSE))</f>
        <v>2218.8536720000002</v>
      </c>
      <c r="AD259">
        <f ca="1">IF(AND(ISNUMBER($AD$762),$B$511=1),$AD$762,HLOOKUP(INDIRECT(ADDRESS(2,COLUMN())),OFFSET($BN$2,0,0,ROW()-1,60),ROW()-1,FALSE))</f>
        <v>2288.8669410000002</v>
      </c>
      <c r="AE259">
        <f ca="1">IF(AND(ISNUMBER($AE$762),$B$511=1),$AE$762,HLOOKUP(INDIRECT(ADDRESS(2,COLUMN())),OFFSET($BN$2,0,0,ROW()-1,60),ROW()-1,FALSE))</f>
        <v>2198.1935800000001</v>
      </c>
      <c r="AF259">
        <f ca="1">IF(AND(ISNUMBER($AF$762),$B$511=1),$AF$762,HLOOKUP(INDIRECT(ADDRESS(2,COLUMN())),OFFSET($BN$2,0,0,ROW()-1,60),ROW()-1,FALSE))</f>
        <v>2064.660879</v>
      </c>
      <c r="AG259">
        <f ca="1">IF(AND(ISNUMBER($AG$762),$B$511=1),$AG$762,HLOOKUP(INDIRECT(ADDRESS(2,COLUMN())),OFFSET($BN$2,0,0,ROW()-1,60),ROW()-1,FALSE))</f>
        <v>1995.1134420000001</v>
      </c>
      <c r="AH259">
        <f ca="1">IF(AND(ISNUMBER($AH$762),$B$511=1),$AH$762,HLOOKUP(INDIRECT(ADDRESS(2,COLUMN())),OFFSET($BN$2,0,0,ROW()-1,60),ROW()-1,FALSE))</f>
        <v>2141.8479430000002</v>
      </c>
      <c r="AI259">
        <f ca="1">IF(AND(ISNUMBER($AI$762),$B$511=1),$AI$762,HLOOKUP(INDIRECT(ADDRESS(2,COLUMN())),OFFSET($BN$2,0,0,ROW()-1,60),ROW()-1,FALSE))</f>
        <v>1631.239223</v>
      </c>
      <c r="AJ259">
        <f ca="1">IF(AND(ISNUMBER($AJ$762),$B$511=1),$AJ$762,HLOOKUP(INDIRECT(ADDRESS(2,COLUMN())),OFFSET($BN$2,0,0,ROW()-1,60),ROW()-1,FALSE))</f>
        <v>1599.1542939999999</v>
      </c>
      <c r="AK259">
        <f ca="1">IF(AND(ISNUMBER($AK$762),$B$511=1),$AK$762,HLOOKUP(INDIRECT(ADDRESS(2,COLUMN())),OFFSET($BN$2,0,0,ROW()-1,60),ROW()-1,FALSE))</f>
        <v>1683.3050539999999</v>
      </c>
      <c r="AL259">
        <f ca="1">IF(AND(ISNUMBER($AL$762),$B$511=1),$AL$762,HLOOKUP(INDIRECT(ADDRESS(2,COLUMN())),OFFSET($BN$2,0,0,ROW()-1,60),ROW()-1,FALSE))</f>
        <v>1646.1226240000001</v>
      </c>
      <c r="AM259">
        <f ca="1">IF(AND(ISNUMBER($AM$762),$B$511=1),$AM$762,HLOOKUP(INDIRECT(ADDRESS(2,COLUMN())),OFFSET($BN$2,0,0,ROW()-1,60),ROW()-1,FALSE))</f>
        <v>1606.690196</v>
      </c>
      <c r="AN259">
        <f ca="1">IF(AND(ISNUMBER($AN$762),$B$511=1),$AN$762,HLOOKUP(INDIRECT(ADDRESS(2,COLUMN())),OFFSET($BN$2,0,0,ROW()-1,60),ROW()-1,FALSE))</f>
        <v>1565.816826</v>
      </c>
      <c r="AO259">
        <f ca="1">IF(AND(ISNUMBER($AO$762),$B$511=1),$AO$762,HLOOKUP(INDIRECT(ADDRESS(2,COLUMN())),OFFSET($BN$2,0,0,ROW()-1,60),ROW()-1,FALSE))</f>
        <v>1459.926213</v>
      </c>
      <c r="AP259">
        <f ca="1">IF(AND(ISNUMBER($AP$762),$B$511=1),$AP$762,HLOOKUP(INDIRECT(ADDRESS(2,COLUMN())),OFFSET($BN$2,0,0,ROW()-1,60),ROW()-1,FALSE))</f>
        <v>1403.9656649999999</v>
      </c>
      <c r="AQ259">
        <f ca="1">IF(AND(ISNUMBER($AQ$762),$B$511=1),$AQ$762,HLOOKUP(INDIRECT(ADDRESS(2,COLUMN())),OFFSET($BN$2,0,0,ROW()-1,60),ROW()-1,FALSE))</f>
        <v>1259.5527770000001</v>
      </c>
      <c r="AR259">
        <f ca="1">IF(AND(ISNUMBER($AR$762),$B$511=1),$AR$762,HLOOKUP(INDIRECT(ADDRESS(2,COLUMN())),OFFSET($BN$2,0,0,ROW()-1,60),ROW()-1,FALSE))</f>
        <v>1221.7897620000001</v>
      </c>
      <c r="AS259">
        <f ca="1">IF(AND(ISNUMBER($AS$762),$B$511=1),$AS$762,HLOOKUP(INDIRECT(ADDRESS(2,COLUMN())),OFFSET($BN$2,0,0,ROW()-1,60),ROW()-1,FALSE))</f>
        <v>1194.182646</v>
      </c>
      <c r="AT259">
        <f ca="1">IF(AND(ISNUMBER($AT$762),$B$511=1),$AT$762,HLOOKUP(INDIRECT(ADDRESS(2,COLUMN())),OFFSET($BN$2,0,0,ROW()-1,60),ROW()-1,FALSE))</f>
        <v>1141.3369909999999</v>
      </c>
      <c r="AU259">
        <f ca="1">IF(AND(ISNUMBER($AU$762),$B$511=1),$AU$762,HLOOKUP(INDIRECT(ADDRESS(2,COLUMN())),OFFSET($BN$2,0,0,ROW()-1,60),ROW()-1,FALSE))</f>
        <v>1219.546243</v>
      </c>
      <c r="AV259">
        <f ca="1">IF(AND(ISNUMBER($AV$762),$B$511=1),$AV$762,HLOOKUP(INDIRECT(ADDRESS(2,COLUMN())),OFFSET($BN$2,0,0,ROW()-1,60),ROW()-1,FALSE))</f>
        <v>1000.304139</v>
      </c>
      <c r="AW259">
        <f ca="1">IF(AND(ISNUMBER($AW$762),$B$511=1),$AW$762,HLOOKUP(INDIRECT(ADDRESS(2,COLUMN())),OFFSET($BN$2,0,0,ROW()-1,60),ROW()-1,FALSE))</f>
        <v>1074.2160670000001</v>
      </c>
      <c r="AX259">
        <f ca="1">IF(AND(ISNUMBER($AX$762),$B$511=1),$AX$762,HLOOKUP(INDIRECT(ADDRESS(2,COLUMN())),OFFSET($BN$2,0,0,ROW()-1,60),ROW()-1,FALSE))</f>
        <v>903.45187039999996</v>
      </c>
      <c r="AY259">
        <f ca="1">IF(AND(ISNUMBER($AY$762),$B$511=1),$AY$762,HLOOKUP(INDIRECT(ADDRESS(2,COLUMN())),OFFSET($BN$2,0,0,ROW()-1,60),ROW()-1,FALSE))</f>
        <v>860.48447090000002</v>
      </c>
      <c r="AZ259">
        <f ca="1">IF(AND(ISNUMBER($AZ$762),$B$511=1),$AZ$762,HLOOKUP(INDIRECT(ADDRESS(2,COLUMN())),OFFSET($BN$2,0,0,ROW()-1,60),ROW()-1,FALSE))</f>
        <v>782.62691470000004</v>
      </c>
      <c r="BA259">
        <f ca="1">IF(AND(ISNUMBER($BA$762),$B$511=1),$BA$762,HLOOKUP(INDIRECT(ADDRESS(2,COLUMN())),OFFSET($BN$2,0,0,ROW()-1,60),ROW()-1,FALSE))</f>
        <v>764.68472120000001</v>
      </c>
      <c r="BB259">
        <f ca="1">IF(AND(ISNUMBER($BB$762),$B$511=1),$BB$762,HLOOKUP(INDIRECT(ADDRESS(2,COLUMN())),OFFSET($BN$2,0,0,ROW()-1,60),ROW()-1,FALSE))</f>
        <v>752.39219089999995</v>
      </c>
      <c r="BC259">
        <f ca="1">IF(AND(ISNUMBER($BC$762),$B$511=1),$BC$762,HLOOKUP(INDIRECT(ADDRESS(2,COLUMN())),OFFSET($BN$2,0,0,ROW()-1,60),ROW()-1,FALSE))</f>
        <v>726.7842971</v>
      </c>
      <c r="BD259">
        <f ca="1">IF(AND(ISNUMBER($BD$762),$B$511=1),$BD$762,HLOOKUP(INDIRECT(ADDRESS(2,COLUMN())),OFFSET($BN$2,0,0,ROW()-1,60),ROW()-1,FALSE))</f>
        <v>681.48210410000002</v>
      </c>
      <c r="BE259">
        <f ca="1">IF(AND(ISNUMBER($BE$762),$B$511=1),$BE$762,HLOOKUP(INDIRECT(ADDRESS(2,COLUMN())),OFFSET($BN$2,0,0,ROW()-1,60),ROW()-1,FALSE))</f>
        <v>681.88896450000004</v>
      </c>
      <c r="BF259">
        <f ca="1">IF(AND(ISNUMBER($BF$762),$B$511=1),$BF$762,HLOOKUP(INDIRECT(ADDRESS(2,COLUMN())),OFFSET($BN$2,0,0,ROW()-1,60),ROW()-1,FALSE))</f>
        <v>663.48537920000001</v>
      </c>
      <c r="BG259">
        <f ca="1">IF(AND(ISNUMBER($BG$762),$B$511=1),$BG$762,HLOOKUP(INDIRECT(ADDRESS(2,COLUMN())),OFFSET($BN$2,0,0,ROW()-1,60),ROW()-1,FALSE))</f>
        <v>675.99974599999996</v>
      </c>
      <c r="BH259">
        <f ca="1">IF(AND(ISNUMBER($BH$762),$B$511=1),$BH$762,HLOOKUP(INDIRECT(ADDRESS(2,COLUMN())),OFFSET($BN$2,0,0,ROW()-1,60),ROW()-1,FALSE))</f>
        <v>719.00771129999998</v>
      </c>
      <c r="BI259">
        <f ca="1">IF(AND(ISNUMBER($BI$762),$B$511=1),$BI$762,HLOOKUP(INDIRECT(ADDRESS(2,COLUMN())),OFFSET($BN$2,0,0,ROW()-1,60),ROW()-1,FALSE))</f>
        <v>894.62131580000005</v>
      </c>
      <c r="BJ259">
        <f ca="1">IF(AND(ISNUMBER($BJ$762),$B$511=1),$BJ$762,HLOOKUP(INDIRECT(ADDRESS(2,COLUMN())),OFFSET($BN$2,0,0,ROW()-1,60),ROW()-1,FALSE))</f>
        <v>697.16186530000004</v>
      </c>
      <c r="BK259">
        <f ca="1">IF(AND(ISNUMBER($BK$762),$B$511=1),$BK$762,HLOOKUP(INDIRECT(ADDRESS(2,COLUMN())),OFFSET($BN$2,0,0,ROW()-1,60),ROW()-1,FALSE))</f>
        <v>698.58000100000004</v>
      </c>
      <c r="BL259">
        <f ca="1">IF(AND(ISNUMBER($BL$762),$B$511=1),$BL$762,HLOOKUP(INDIRECT(ADDRESS(2,COLUMN())),OFFSET($BN$2,0,0,ROW()-1,60),ROW()-1,FALSE))</f>
        <v>688.68867569999998</v>
      </c>
      <c r="BM259">
        <f ca="1">IF(AND(ISNUMBER($BM$762),$B$511=1),$BM$762,HLOOKUP(INDIRECT(ADDRESS(2,COLUMN())),OFFSET($BN$2,0,0,ROW()-1,60),ROW()-1,FALSE))</f>
        <v>675.76525240000001</v>
      </c>
      <c r="BN259" t="str">
        <f>""</f>
        <v/>
      </c>
      <c r="BO259" t="str">
        <f>""</f>
        <v/>
      </c>
      <c r="BP259">
        <f>1574.748097</f>
        <v>1574.7480969999999</v>
      </c>
      <c r="BQ259">
        <f>1627.085028</f>
        <v>1627.085028</v>
      </c>
      <c r="BR259">
        <f>1722.406889</f>
        <v>1722.4068890000001</v>
      </c>
      <c r="BS259">
        <f>1666.915103</f>
        <v>1666.915103</v>
      </c>
      <c r="BT259">
        <f>1620.224038</f>
        <v>1620.2240380000001</v>
      </c>
      <c r="BU259">
        <f>1371.703385</f>
        <v>1371.703385</v>
      </c>
      <c r="BV259">
        <f>1361.464919</f>
        <v>1361.464919</v>
      </c>
      <c r="BW259">
        <f>1419.071317</f>
        <v>1419.0713169999999</v>
      </c>
      <c r="BX259">
        <f>1480.543473</f>
        <v>1480.5434729999999</v>
      </c>
      <c r="BY259">
        <f>1592.552978</f>
        <v>1592.5529779999999</v>
      </c>
      <c r="BZ259">
        <f>1688.969924</f>
        <v>1688.969924</v>
      </c>
      <c r="CA259">
        <f>1706.522547</f>
        <v>1706.522547</v>
      </c>
      <c r="CB259">
        <f>1722.44072</f>
        <v>1722.4407200000001</v>
      </c>
      <c r="CC259">
        <f>2026.913976</f>
        <v>2026.913976</v>
      </c>
      <c r="CD259">
        <f>2043.26307</f>
        <v>2043.26307</v>
      </c>
      <c r="CE259">
        <f>2135.661002</f>
        <v>2135.6610019999998</v>
      </c>
      <c r="CF259">
        <f>2273.968854</f>
        <v>2273.9688540000002</v>
      </c>
      <c r="CG259">
        <f>2308.183461</f>
        <v>2308.1834610000001</v>
      </c>
      <c r="CH259">
        <f>2245.196684</f>
        <v>2245.196684</v>
      </c>
      <c r="CI259">
        <f>2188.634161</f>
        <v>2188.6341609999999</v>
      </c>
      <c r="CJ259">
        <f>2173.001197</f>
        <v>2173.001197</v>
      </c>
      <c r="CK259">
        <f>2218.853672</f>
        <v>2218.8536720000002</v>
      </c>
      <c r="CL259">
        <f>2288.866941</f>
        <v>2288.8669410000002</v>
      </c>
      <c r="CM259">
        <f>2198.19358</f>
        <v>2198.1935800000001</v>
      </c>
      <c r="CN259">
        <f>2064.660879</f>
        <v>2064.660879</v>
      </c>
      <c r="CO259">
        <f>1995.113442</f>
        <v>1995.1134420000001</v>
      </c>
      <c r="CP259">
        <f>2141.847943</f>
        <v>2141.8479430000002</v>
      </c>
      <c r="CQ259">
        <f>1631.239223</f>
        <v>1631.239223</v>
      </c>
      <c r="CR259">
        <f>1599.154294</f>
        <v>1599.1542939999999</v>
      </c>
      <c r="CS259">
        <f>1683.305054</f>
        <v>1683.3050539999999</v>
      </c>
      <c r="CT259">
        <f>1646.122624</f>
        <v>1646.1226240000001</v>
      </c>
      <c r="CU259">
        <f>1606.690196</f>
        <v>1606.690196</v>
      </c>
      <c r="CV259">
        <f>1565.816826</f>
        <v>1565.816826</v>
      </c>
      <c r="CW259">
        <f>1459.926213</f>
        <v>1459.926213</v>
      </c>
      <c r="CX259">
        <f>1403.965665</f>
        <v>1403.9656649999999</v>
      </c>
      <c r="CY259">
        <f>1259.552777</f>
        <v>1259.5527770000001</v>
      </c>
      <c r="CZ259">
        <f>1221.789762</f>
        <v>1221.7897620000001</v>
      </c>
      <c r="DA259">
        <f>1194.182646</f>
        <v>1194.182646</v>
      </c>
      <c r="DB259">
        <f>1141.336991</f>
        <v>1141.3369909999999</v>
      </c>
      <c r="DC259">
        <f>1219.546243</f>
        <v>1219.546243</v>
      </c>
      <c r="DD259">
        <f>1000.304139</f>
        <v>1000.304139</v>
      </c>
      <c r="DE259">
        <f>1074.216067</f>
        <v>1074.2160670000001</v>
      </c>
      <c r="DF259">
        <f>903.4518704</f>
        <v>903.45187039999996</v>
      </c>
      <c r="DG259">
        <f>860.4844709</f>
        <v>860.48447090000002</v>
      </c>
      <c r="DH259">
        <f>782.6269147</f>
        <v>782.62691470000004</v>
      </c>
      <c r="DI259">
        <f>764.6847212</f>
        <v>764.68472120000001</v>
      </c>
      <c r="DJ259">
        <f>752.3921909</f>
        <v>752.39219089999995</v>
      </c>
      <c r="DK259">
        <f>726.7842971</f>
        <v>726.7842971</v>
      </c>
      <c r="DL259">
        <f>681.4821041</f>
        <v>681.48210410000002</v>
      </c>
      <c r="DM259">
        <f>681.8889645</f>
        <v>681.88896450000004</v>
      </c>
      <c r="DN259">
        <f>663.4853792</f>
        <v>663.48537920000001</v>
      </c>
      <c r="DO259">
        <f>675.999746</f>
        <v>675.99974599999996</v>
      </c>
      <c r="DP259">
        <f>719.0077113</f>
        <v>719.00771129999998</v>
      </c>
      <c r="DQ259">
        <f>894.6213158</f>
        <v>894.62131580000005</v>
      </c>
      <c r="DR259">
        <f>697.1618653</f>
        <v>697.16186530000004</v>
      </c>
      <c r="DS259">
        <f>698.580001</f>
        <v>698.58000100000004</v>
      </c>
      <c r="DT259">
        <f>688.6886757</f>
        <v>688.68867569999998</v>
      </c>
      <c r="DU259">
        <f>675.7652524</f>
        <v>675.76525240000001</v>
      </c>
    </row>
    <row r="260" spans="1:125" x14ac:dyDescent="0.25">
      <c r="A260" t="str">
        <f>"    FAW CAR Co Ltd"</f>
        <v xml:space="preserve">    FAW CAR Co Ltd</v>
      </c>
      <c r="B260" t="str">
        <f>"000800 CH Equity"</f>
        <v>000800 CH Equity</v>
      </c>
      <c r="C260" t="str">
        <f t="shared" si="18"/>
        <v>RR010</v>
      </c>
      <c r="D260" t="str">
        <f t="shared" si="19"/>
        <v>TOT_COMMON_EQY</v>
      </c>
      <c r="E260" t="str">
        <f t="shared" si="20"/>
        <v>Dynamic</v>
      </c>
      <c r="F260" t="str">
        <f ca="1">IF(AND(ISNUMBER($F$763),$B$511=1),$F$763,HLOOKUP(INDIRECT(ADDRESS(2,COLUMN())),OFFSET($BN$2,0,0,ROW()-1,60),ROW()-1,FALSE))</f>
        <v/>
      </c>
      <c r="G260" t="str">
        <f ca="1">IF(AND(ISNUMBER($G$763),$B$511=1),$G$763,HLOOKUP(INDIRECT(ADDRESS(2,COLUMN())),OFFSET($BN$2,0,0,ROW()-1,60),ROW()-1,FALSE))</f>
        <v/>
      </c>
      <c r="H260">
        <f ca="1">IF(AND(ISNUMBER($H$763),$B$511=1),$H$763,HLOOKUP(INDIRECT(ADDRESS(2,COLUMN())),OFFSET($BN$2,0,0,ROW()-1,60),ROW()-1,FALSE))</f>
        <v>1174.601881</v>
      </c>
      <c r="I260">
        <f ca="1">IF(AND(ISNUMBER($I$763),$B$511=1),$I$763,HLOOKUP(INDIRECT(ADDRESS(2,COLUMN())),OFFSET($BN$2,0,0,ROW()-1,60),ROW()-1,FALSE))</f>
        <v>1209.137663</v>
      </c>
      <c r="J260">
        <f ca="1">IF(AND(ISNUMBER($J$763),$B$511=1),$J$763,HLOOKUP(INDIRECT(ADDRESS(2,COLUMN())),OFFSET($BN$2,0,0,ROW()-1,60),ROW()-1,FALSE))</f>
        <v>1274.206181</v>
      </c>
      <c r="K260">
        <f ca="1">IF(AND(ISNUMBER($K$763),$B$511=1),$K$763,HLOOKUP(INDIRECT(ADDRESS(2,COLUMN())),OFFSET($BN$2,0,0,ROW()-1,60),ROW()-1,FALSE))</f>
        <v>1225.8602579999999</v>
      </c>
      <c r="L260">
        <f ca="1">IF(AND(ISNUMBER($L$763),$B$511=1),$L$763,HLOOKUP(INDIRECT(ADDRESS(2,COLUMN())),OFFSET($BN$2,0,0,ROW()-1,60),ROW()-1,FALSE))</f>
        <v>1204.2124220000001</v>
      </c>
      <c r="M260">
        <f ca="1">IF(AND(ISNUMBER($M$763),$B$511=1),$M$763,HLOOKUP(INDIRECT(ADDRESS(2,COLUMN())),OFFSET($BN$2,0,0,ROW()-1,60),ROW()-1,FALSE))</f>
        <v>1177.6004310000001</v>
      </c>
      <c r="N260">
        <f ca="1">IF(AND(ISNUMBER($N$763),$B$511=1),$N$763,HLOOKUP(INDIRECT(ADDRESS(2,COLUMN())),OFFSET($BN$2,0,0,ROW()-1,60),ROW()-1,FALSE))</f>
        <v>1142.023702</v>
      </c>
      <c r="O260">
        <f ca="1">IF(AND(ISNUMBER($O$763),$B$511=1),$O$763,HLOOKUP(INDIRECT(ADDRESS(2,COLUMN())),OFFSET($BN$2,0,0,ROW()-1,60),ROW()-1,FALSE))</f>
        <v>1107.9364519999999</v>
      </c>
      <c r="P260">
        <f ca="1">IF(AND(ISNUMBER($P$763),$B$511=1),$P$763,HLOOKUP(INDIRECT(ADDRESS(2,COLUMN())),OFFSET($BN$2,0,0,ROW()-1,60),ROW()-1,FALSE))</f>
        <v>1189.194657</v>
      </c>
      <c r="Q260">
        <f ca="1">IF(AND(ISNUMBER($Q$763),$B$511=1),$Q$763,HLOOKUP(INDIRECT(ADDRESS(2,COLUMN())),OFFSET($BN$2,0,0,ROW()-1,60),ROW()-1,FALSE))</f>
        <v>1174.2046969999999</v>
      </c>
      <c r="R260">
        <f ca="1">IF(AND(ISNUMBER($R$763),$B$511=1),$R$763,HLOOKUP(INDIRECT(ADDRESS(2,COLUMN())),OFFSET($BN$2,0,0,ROW()-1,60),ROW()-1,FALSE))</f>
        <v>1283.99126</v>
      </c>
      <c r="S260">
        <f ca="1">IF(AND(ISNUMBER($S$763),$B$511=1),$S$763,HLOOKUP(INDIRECT(ADDRESS(2,COLUMN())),OFFSET($BN$2,0,0,ROW()-1,60),ROW()-1,FALSE))</f>
        <v>1342.883648</v>
      </c>
      <c r="T260">
        <f ca="1">IF(AND(ISNUMBER($T$763),$B$511=1),$T$763,HLOOKUP(INDIRECT(ADDRESS(2,COLUMN())),OFFSET($BN$2,0,0,ROW()-1,60),ROW()-1,FALSE))</f>
        <v>1377.4100599999999</v>
      </c>
      <c r="U260">
        <f ca="1">IF(AND(ISNUMBER($U$763),$B$511=1),$U$763,HLOOKUP(INDIRECT(ADDRESS(2,COLUMN())),OFFSET($BN$2,0,0,ROW()-1,60),ROW()-1,FALSE))</f>
        <v>1435.607516</v>
      </c>
      <c r="V260">
        <f ca="1">IF(AND(ISNUMBER($V$763),$B$511=1),$V$763,HLOOKUP(INDIRECT(ADDRESS(2,COLUMN())),OFFSET($BN$2,0,0,ROW()-1,60),ROW()-1,FALSE))</f>
        <v>1432.4752000000001</v>
      </c>
      <c r="W260">
        <f ca="1">IF(AND(ISNUMBER($W$763),$B$511=1),$W$763,HLOOKUP(INDIRECT(ADDRESS(2,COLUMN())),OFFSET($BN$2,0,0,ROW()-1,60),ROW()-1,FALSE))</f>
        <v>1397.0308110000001</v>
      </c>
      <c r="X260">
        <f ca="1">IF(AND(ISNUMBER($X$763),$B$511=1),$X$763,HLOOKUP(INDIRECT(ADDRESS(2,COLUMN())),OFFSET($BN$2,0,0,ROW()-1,60),ROW()-1,FALSE))</f>
        <v>1438.362717</v>
      </c>
      <c r="Y260">
        <f ca="1">IF(AND(ISNUMBER($Y$763),$B$511=1),$Y$763,HLOOKUP(INDIRECT(ADDRESS(2,COLUMN())),OFFSET($BN$2,0,0,ROW()-1,60),ROW()-1,FALSE))</f>
        <v>1434.1614119999999</v>
      </c>
      <c r="Z260">
        <f ca="1">IF(AND(ISNUMBER($Z$763),$B$511=1),$Z$763,HLOOKUP(INDIRECT(ADDRESS(2,COLUMN())),OFFSET($BN$2,0,0,ROW()-1,60),ROW()-1,FALSE))</f>
        <v>1427.3575499999999</v>
      </c>
      <c r="AA260">
        <f ca="1">IF(AND(ISNUMBER($AA$763),$B$511=1),$AA$763,HLOOKUP(INDIRECT(ADDRESS(2,COLUMN())),OFFSET($BN$2,0,0,ROW()-1,60),ROW()-1,FALSE))</f>
        <v>1422.1602660000001</v>
      </c>
      <c r="AB260">
        <f ca="1">IF(AND(ISNUMBER($AB$763),$B$511=1),$AB$763,HLOOKUP(INDIRECT(ADDRESS(2,COLUMN())),OFFSET($BN$2,0,0,ROW()-1,60),ROW()-1,FALSE))</f>
        <v>1370.161787</v>
      </c>
      <c r="AC260">
        <f ca="1">IF(AND(ISNUMBER($AC$763),$B$511=1),$AC$763,HLOOKUP(INDIRECT(ADDRESS(2,COLUMN())),OFFSET($BN$2,0,0,ROW()-1,60),ROW()-1,FALSE))</f>
        <v>1341.661744</v>
      </c>
      <c r="AD260">
        <f ca="1">IF(AND(ISNUMBER($AD$763),$B$511=1),$AD$763,HLOOKUP(INDIRECT(ADDRESS(2,COLUMN())),OFFSET($BN$2,0,0,ROW()-1,60),ROW()-1,FALSE))</f>
        <v>1282.242634</v>
      </c>
      <c r="AE260">
        <f ca="1">IF(AND(ISNUMBER($AE$763),$B$511=1),$AE$763,HLOOKUP(INDIRECT(ADDRESS(2,COLUMN())),OFFSET($BN$2,0,0,ROW()-1,60),ROW()-1,FALSE))</f>
        <v>1220.035435</v>
      </c>
      <c r="AF260">
        <f ca="1">IF(AND(ISNUMBER($AF$763),$B$511=1),$AF$763,HLOOKUP(INDIRECT(ADDRESS(2,COLUMN())),OFFSET($BN$2,0,0,ROW()-1,60),ROW()-1,FALSE))</f>
        <v>1281.7762090000001</v>
      </c>
      <c r="AG260">
        <f ca="1">IF(AND(ISNUMBER($AG$763),$B$511=1),$AG$763,HLOOKUP(INDIRECT(ADDRESS(2,COLUMN())),OFFSET($BN$2,0,0,ROW()-1,60),ROW()-1,FALSE))</f>
        <v>1306.92821</v>
      </c>
      <c r="AH260">
        <f ca="1">IF(AND(ISNUMBER($AH$763),$B$511=1),$AH$763,HLOOKUP(INDIRECT(ADDRESS(2,COLUMN())),OFFSET($BN$2,0,0,ROW()-1,60),ROW()-1,FALSE))</f>
        <v>1326.345002</v>
      </c>
      <c r="AI260">
        <f ca="1">IF(AND(ISNUMBER($AI$763),$B$511=1),$AI$763,HLOOKUP(INDIRECT(ADDRESS(2,COLUMN())),OFFSET($BN$2,0,0,ROW()-1,60),ROW()-1,FALSE))</f>
        <v>1327.5985009999999</v>
      </c>
      <c r="AJ260">
        <f ca="1">IF(AND(ISNUMBER($AJ$763),$B$511=1),$AJ$763,HLOOKUP(INDIRECT(ADDRESS(2,COLUMN())),OFFSET($BN$2,0,0,ROW()-1,60),ROW()-1,FALSE))</f>
        <v>1395.857015</v>
      </c>
      <c r="AK260">
        <f ca="1">IF(AND(ISNUMBER($AK$763),$B$511=1),$AK$763,HLOOKUP(INDIRECT(ADDRESS(2,COLUMN())),OFFSET($BN$2,0,0,ROW()-1,60),ROW()-1,FALSE))</f>
        <v>1385.716105</v>
      </c>
      <c r="AL260">
        <f ca="1">IF(AND(ISNUMBER($AL$763),$B$511=1),$AL$763,HLOOKUP(INDIRECT(ADDRESS(2,COLUMN())),OFFSET($BN$2,0,0,ROW()-1,60),ROW()-1,FALSE))</f>
        <v>1378.8633950000001</v>
      </c>
      <c r="AM260">
        <f ca="1">IF(AND(ISNUMBER($AM$763),$B$511=1),$AM$763,HLOOKUP(INDIRECT(ADDRESS(2,COLUMN())),OFFSET($BN$2,0,0,ROW()-1,60),ROW()-1,FALSE))</f>
        <v>1309.557219</v>
      </c>
      <c r="AN260">
        <f ca="1">IF(AND(ISNUMBER($AN$763),$B$511=1),$AN$763,HLOOKUP(INDIRECT(ADDRESS(2,COLUMN())),OFFSET($BN$2,0,0,ROW()-1,60),ROW()-1,FALSE))</f>
        <v>1282.208842</v>
      </c>
      <c r="AO260">
        <f ca="1">IF(AND(ISNUMBER($AO$763),$B$511=1),$AO$763,HLOOKUP(INDIRECT(ADDRESS(2,COLUMN())),OFFSET($BN$2,0,0,ROW()-1,60),ROW()-1,FALSE))</f>
        <v>1219.5194630000001</v>
      </c>
      <c r="AP260">
        <f ca="1">IF(AND(ISNUMBER($AP$763),$B$511=1),$AP$763,HLOOKUP(INDIRECT(ADDRESS(2,COLUMN())),OFFSET($BN$2,0,0,ROW()-1,60),ROW()-1,FALSE))</f>
        <v>1220.2650349999999</v>
      </c>
      <c r="AQ260">
        <f ca="1">IF(AND(ISNUMBER($AQ$763),$B$511=1),$AQ$763,HLOOKUP(INDIRECT(ADDRESS(2,COLUMN())),OFFSET($BN$2,0,0,ROW()-1,60),ROW()-1,FALSE))</f>
        <v>1097.1386460000001</v>
      </c>
      <c r="AR260">
        <f ca="1">IF(AND(ISNUMBER($AR$763),$B$511=1),$AR$763,HLOOKUP(INDIRECT(ADDRESS(2,COLUMN())),OFFSET($BN$2,0,0,ROW()-1,60),ROW()-1,FALSE))</f>
        <v>1011.194077</v>
      </c>
      <c r="AS260">
        <f ca="1">IF(AND(ISNUMBER($AS$763),$B$511=1),$AS$763,HLOOKUP(INDIRECT(ADDRESS(2,COLUMN())),OFFSET($BN$2,0,0,ROW()-1,60),ROW()-1,FALSE))</f>
        <v>957.2807497</v>
      </c>
      <c r="AT260">
        <f ca="1">IF(AND(ISNUMBER($AT$763),$B$511=1),$AT$763,HLOOKUP(INDIRECT(ADDRESS(2,COLUMN())),OFFSET($BN$2,0,0,ROW()-1,60),ROW()-1,FALSE))</f>
        <v>997.82501969999998</v>
      </c>
      <c r="AU260">
        <f ca="1">IF(AND(ISNUMBER($AU$763),$B$511=1),$AU$763,HLOOKUP(INDIRECT(ADDRESS(2,COLUMN())),OFFSET($BN$2,0,0,ROW()-1,60),ROW()-1,FALSE))</f>
        <v>962.11531749999995</v>
      </c>
      <c r="AV260">
        <f ca="1">IF(AND(ISNUMBER($AV$763),$B$511=1),$AV$763,HLOOKUP(INDIRECT(ADDRESS(2,COLUMN())),OFFSET($BN$2,0,0,ROW()-1,60),ROW()-1,FALSE))</f>
        <v>921.36324999999999</v>
      </c>
      <c r="AW260">
        <f ca="1">IF(AND(ISNUMBER($AW$763),$B$511=1),$AW$763,HLOOKUP(INDIRECT(ADDRESS(2,COLUMN())),OFFSET($BN$2,0,0,ROW()-1,60),ROW()-1,FALSE))</f>
        <v>869.99612070000001</v>
      </c>
      <c r="AX260">
        <f ca="1">IF(AND(ISNUMBER($AX$763),$B$511=1),$AX$763,HLOOKUP(INDIRECT(ADDRESS(2,COLUMN())),OFFSET($BN$2,0,0,ROW()-1,60),ROW()-1,FALSE))</f>
        <v>869.18230310000001</v>
      </c>
      <c r="AY260">
        <f ca="1">IF(AND(ISNUMBER($AY$763),$B$511=1),$AY$763,HLOOKUP(INDIRECT(ADDRESS(2,COLUMN())),OFFSET($BN$2,0,0,ROW()-1,60),ROW()-1,FALSE))</f>
        <v>801.4482064</v>
      </c>
      <c r="AZ260">
        <f ca="1">IF(AND(ISNUMBER($AZ$763),$B$511=1),$AZ$763,HLOOKUP(INDIRECT(ADDRESS(2,COLUMN())),OFFSET($BN$2,0,0,ROW()-1,60),ROW()-1,FALSE))</f>
        <v>773.02637849999996</v>
      </c>
      <c r="BA260">
        <f ca="1">IF(AND(ISNUMBER($BA$763),$B$511=1),$BA$763,HLOOKUP(INDIRECT(ADDRESS(2,COLUMN())),OFFSET($BN$2,0,0,ROW()-1,60),ROW()-1,FALSE))</f>
        <v>715.09010899999998</v>
      </c>
      <c r="BB260">
        <f ca="1">IF(AND(ISNUMBER($BB$763),$B$511=1),$BB$763,HLOOKUP(INDIRECT(ADDRESS(2,COLUMN())),OFFSET($BN$2,0,0,ROW()-1,60),ROW()-1,FALSE))</f>
        <v>715.49734090000004</v>
      </c>
      <c r="BC260">
        <f ca="1">IF(AND(ISNUMBER($BC$763),$B$511=1),$BC$763,HLOOKUP(INDIRECT(ADDRESS(2,COLUMN())),OFFSET($BN$2,0,0,ROW()-1,60),ROW()-1,FALSE))</f>
        <v>691.68506170000001</v>
      </c>
      <c r="BD260">
        <f ca="1">IF(AND(ISNUMBER($BD$763),$B$511=1),$BD$763,HLOOKUP(INDIRECT(ADDRESS(2,COLUMN())),OFFSET($BN$2,0,0,ROW()-1,60),ROW()-1,FALSE))</f>
        <v>677.92272600000001</v>
      </c>
      <c r="BE260">
        <f ca="1">IF(AND(ISNUMBER($BE$763),$B$511=1),$BE$763,HLOOKUP(INDIRECT(ADDRESS(2,COLUMN())),OFFSET($BN$2,0,0,ROW()-1,60),ROW()-1,FALSE))</f>
        <v>662.11799120000001</v>
      </c>
      <c r="BF260">
        <f ca="1">IF(AND(ISNUMBER($BF$763),$B$511=1),$BF$763,HLOOKUP(INDIRECT(ADDRESS(2,COLUMN())),OFFSET($BN$2,0,0,ROW()-1,60),ROW()-1,FALSE))</f>
        <v>688.26623710000001</v>
      </c>
      <c r="BG260">
        <f ca="1">IF(AND(ISNUMBER($BG$763),$B$511=1),$BG$763,HLOOKUP(INDIRECT(ADDRESS(2,COLUMN())),OFFSET($BN$2,0,0,ROW()-1,60),ROW()-1,FALSE))</f>
        <v>664.26325310000004</v>
      </c>
      <c r="BH260">
        <f ca="1">IF(AND(ISNUMBER($BH$763),$B$511=1),$BH$763,HLOOKUP(INDIRECT(ADDRESS(2,COLUMN())),OFFSET($BN$2,0,0,ROW()-1,60),ROW()-1,FALSE))</f>
        <v>651.03968550000002</v>
      </c>
      <c r="BI260">
        <f ca="1">IF(AND(ISNUMBER($BI$763),$B$511=1),$BI$763,HLOOKUP(INDIRECT(ADDRESS(2,COLUMN())),OFFSET($BN$2,0,0,ROW()-1,60),ROW()-1,FALSE))</f>
        <v>628.94989580000004</v>
      </c>
      <c r="BJ260">
        <f ca="1">IF(AND(ISNUMBER($BJ$763),$B$511=1),$BJ$763,HLOOKUP(INDIRECT(ADDRESS(2,COLUMN())),OFFSET($BN$2,0,0,ROW()-1,60),ROW()-1,FALSE))</f>
        <v>616.58705399999997</v>
      </c>
      <c r="BK260">
        <f ca="1">IF(AND(ISNUMBER($BK$763),$B$511=1),$BK$763,HLOOKUP(INDIRECT(ADDRESS(2,COLUMN())),OFFSET($BN$2,0,0,ROW()-1,60),ROW()-1,FALSE))</f>
        <v>616.77424710000003</v>
      </c>
      <c r="BL260">
        <f ca="1">IF(AND(ISNUMBER($BL$763),$B$511=1),$BL$763,HLOOKUP(INDIRECT(ADDRESS(2,COLUMN())),OFFSET($BN$2,0,0,ROW()-1,60),ROW()-1,FALSE))</f>
        <v>630.583347</v>
      </c>
      <c r="BM260">
        <f ca="1">IF(AND(ISNUMBER($BM$763),$B$511=1),$BM$763,HLOOKUP(INDIRECT(ADDRESS(2,COLUMN())),OFFSET($BN$2,0,0,ROW()-1,60),ROW()-1,FALSE))</f>
        <v>617.918093</v>
      </c>
      <c r="BN260" t="str">
        <f>""</f>
        <v/>
      </c>
      <c r="BO260" t="str">
        <f>""</f>
        <v/>
      </c>
      <c r="BP260">
        <f>1174.601881</f>
        <v>1174.601881</v>
      </c>
      <c r="BQ260">
        <f>1209.137663</f>
        <v>1209.137663</v>
      </c>
      <c r="BR260">
        <f>1274.206181</f>
        <v>1274.206181</v>
      </c>
      <c r="BS260">
        <f>1225.860258</f>
        <v>1225.8602579999999</v>
      </c>
      <c r="BT260">
        <f>1204.212422</f>
        <v>1204.2124220000001</v>
      </c>
      <c r="BU260">
        <f>1177.600431</f>
        <v>1177.6004310000001</v>
      </c>
      <c r="BV260">
        <f>1142.023702</f>
        <v>1142.023702</v>
      </c>
      <c r="BW260">
        <f>1107.936452</f>
        <v>1107.9364519999999</v>
      </c>
      <c r="BX260">
        <f>1189.194657</f>
        <v>1189.194657</v>
      </c>
      <c r="BY260">
        <f>1174.204697</f>
        <v>1174.2046969999999</v>
      </c>
      <c r="BZ260">
        <f>1283.99126</f>
        <v>1283.99126</v>
      </c>
      <c r="CA260">
        <f>1342.883648</f>
        <v>1342.883648</v>
      </c>
      <c r="CB260">
        <f>1377.41006</f>
        <v>1377.4100599999999</v>
      </c>
      <c r="CC260">
        <f>1435.607516</f>
        <v>1435.607516</v>
      </c>
      <c r="CD260">
        <f>1432.4752</f>
        <v>1432.4752000000001</v>
      </c>
      <c r="CE260">
        <f>1397.030811</f>
        <v>1397.0308110000001</v>
      </c>
      <c r="CF260">
        <f>1438.362717</f>
        <v>1438.362717</v>
      </c>
      <c r="CG260">
        <f>1434.161412</f>
        <v>1434.1614119999999</v>
      </c>
      <c r="CH260">
        <f>1427.35755</f>
        <v>1427.3575499999999</v>
      </c>
      <c r="CI260">
        <f>1422.160266</f>
        <v>1422.1602660000001</v>
      </c>
      <c r="CJ260">
        <f>1370.161787</f>
        <v>1370.161787</v>
      </c>
      <c r="CK260">
        <f>1341.661744</f>
        <v>1341.661744</v>
      </c>
      <c r="CL260">
        <f>1282.242634</f>
        <v>1282.242634</v>
      </c>
      <c r="CM260">
        <f>1220.035435</f>
        <v>1220.035435</v>
      </c>
      <c r="CN260">
        <f>1281.776209</f>
        <v>1281.7762090000001</v>
      </c>
      <c r="CO260">
        <f>1306.92821</f>
        <v>1306.92821</v>
      </c>
      <c r="CP260">
        <f>1326.345002</f>
        <v>1326.345002</v>
      </c>
      <c r="CQ260">
        <f>1327.598501</f>
        <v>1327.5985009999999</v>
      </c>
      <c r="CR260">
        <f>1395.857015</f>
        <v>1395.857015</v>
      </c>
      <c r="CS260">
        <f>1385.716105</f>
        <v>1385.716105</v>
      </c>
      <c r="CT260">
        <f>1378.863395</f>
        <v>1378.8633950000001</v>
      </c>
      <c r="CU260">
        <f>1309.557219</f>
        <v>1309.557219</v>
      </c>
      <c r="CV260">
        <f>1282.208842</f>
        <v>1282.208842</v>
      </c>
      <c r="CW260">
        <f>1219.519463</f>
        <v>1219.5194630000001</v>
      </c>
      <c r="CX260">
        <f>1220.265035</f>
        <v>1220.2650349999999</v>
      </c>
      <c r="CY260">
        <f>1097.138646</f>
        <v>1097.1386460000001</v>
      </c>
      <c r="CZ260">
        <f>1011.194077</f>
        <v>1011.194077</v>
      </c>
      <c r="DA260">
        <f>957.2807497</f>
        <v>957.2807497</v>
      </c>
      <c r="DB260">
        <f>997.8250197</f>
        <v>997.82501969999998</v>
      </c>
      <c r="DC260">
        <f>962.1153175</f>
        <v>962.11531749999995</v>
      </c>
      <c r="DD260">
        <f>921.36325</f>
        <v>921.36324999999999</v>
      </c>
      <c r="DE260">
        <f>869.9961207</f>
        <v>869.99612070000001</v>
      </c>
      <c r="DF260">
        <f>869.1823031</f>
        <v>869.18230310000001</v>
      </c>
      <c r="DG260">
        <f>801.4482064</f>
        <v>801.4482064</v>
      </c>
      <c r="DH260">
        <f>773.0263785</f>
        <v>773.02637849999996</v>
      </c>
      <c r="DI260">
        <f>715.090109</f>
        <v>715.09010899999998</v>
      </c>
      <c r="DJ260">
        <f>715.4973409</f>
        <v>715.49734090000004</v>
      </c>
      <c r="DK260">
        <f>691.6850617</f>
        <v>691.68506170000001</v>
      </c>
      <c r="DL260">
        <f>677.922726</f>
        <v>677.92272600000001</v>
      </c>
      <c r="DM260">
        <f>662.1179912</f>
        <v>662.11799120000001</v>
      </c>
      <c r="DN260">
        <f>688.2662371</f>
        <v>688.26623710000001</v>
      </c>
      <c r="DO260">
        <f>664.2632531</f>
        <v>664.26325310000004</v>
      </c>
      <c r="DP260">
        <f>651.0396855</f>
        <v>651.03968550000002</v>
      </c>
      <c r="DQ260">
        <f>628.9498958</f>
        <v>628.94989580000004</v>
      </c>
      <c r="DR260">
        <f>616.587054</f>
        <v>616.58705399999997</v>
      </c>
      <c r="DS260">
        <f>616.7742471</f>
        <v>616.77424710000003</v>
      </c>
      <c r="DT260">
        <f>630.583347</f>
        <v>630.583347</v>
      </c>
      <c r="DU260">
        <f>617.918093</f>
        <v>617.918093</v>
      </c>
    </row>
    <row r="261" spans="1:125" x14ac:dyDescent="0.25">
      <c r="A261" t="str">
        <f>"    Fiat Chrysler Automobiles NV"</f>
        <v xml:space="preserve">    Fiat Chrysler Automobiles NV</v>
      </c>
      <c r="B261" t="str">
        <f>"FCAU US Equity"</f>
        <v>FCAU US Equity</v>
      </c>
      <c r="C261" t="str">
        <f t="shared" si="18"/>
        <v>RR010</v>
      </c>
      <c r="D261" t="str">
        <f t="shared" si="19"/>
        <v>TOT_COMMON_EQY</v>
      </c>
      <c r="E261" t="str">
        <f t="shared" si="20"/>
        <v>Dynamic</v>
      </c>
      <c r="F261" t="str">
        <f ca="1">IF(AND(ISNUMBER($F$764),$B$511=1),$F$764,HLOOKUP(INDIRECT(ADDRESS(2,COLUMN())),OFFSET($BN$2,0,0,ROW()-1,60),ROW()-1,FALSE))</f>
        <v/>
      </c>
      <c r="G261">
        <f ca="1">IF(AND(ISNUMBER($G$764),$B$511=1),$G$764,HLOOKUP(INDIRECT(ADDRESS(2,COLUMN())),OFFSET($BN$2,0,0,ROW()-1,60),ROW()-1,FALSE))</f>
        <v>28288.7304</v>
      </c>
      <c r="H261">
        <f ca="1">IF(AND(ISNUMBER($H$764),$B$511=1),$H$764,HLOOKUP(INDIRECT(ADDRESS(2,COLUMN())),OFFSET($BN$2,0,0,ROW()-1,60),ROW()-1,FALSE))</f>
        <v>26558.895199999999</v>
      </c>
      <c r="I261">
        <f ca="1">IF(AND(ISNUMBER($I$764),$B$511=1),$I$764,HLOOKUP(INDIRECT(ADDRESS(2,COLUMN())),OFFSET($BN$2,0,0,ROW()-1,60),ROW()-1,FALSE))</f>
        <v>26255.734499999999</v>
      </c>
      <c r="J261">
        <f ca="1">IF(AND(ISNUMBER($J$764),$B$511=1),$J$764,HLOOKUP(INDIRECT(ADDRESS(2,COLUMN())),OFFSET($BN$2,0,0,ROW()-1,60),ROW()-1,FALSE))</f>
        <v>26531.402099999999</v>
      </c>
      <c r="K261">
        <f ca="1">IF(AND(ISNUMBER($K$764),$B$511=1),$K$764,HLOOKUP(INDIRECT(ADDRESS(2,COLUMN())),OFFSET($BN$2,0,0,ROW()-1,60),ROW()-1,FALSE))</f>
        <v>25028.6018</v>
      </c>
      <c r="L261">
        <f ca="1">IF(AND(ISNUMBER($L$764),$B$511=1),$L$764,HLOOKUP(INDIRECT(ADDRESS(2,COLUMN())),OFFSET($BN$2,0,0,ROW()-1,60),ROW()-1,FALSE))</f>
        <v>23964.8112</v>
      </c>
      <c r="M261">
        <f ca="1">IF(AND(ISNUMBER($M$764),$B$511=1),$M$764,HLOOKUP(INDIRECT(ADDRESS(2,COLUMN())),OFFSET($BN$2,0,0,ROW()-1,60),ROW()-1,FALSE))</f>
        <v>22685.6201</v>
      </c>
      <c r="N261">
        <f ca="1">IF(AND(ISNUMBER($N$764),$B$511=1),$N$764,HLOOKUP(INDIRECT(ADDRESS(2,COLUMN())),OFFSET($BN$2,0,0,ROW()-1,60),ROW()-1,FALSE))</f>
        <v>21253.869299999998</v>
      </c>
      <c r="O261">
        <f ca="1">IF(AND(ISNUMBER($O$764),$B$511=1),$O$764,HLOOKUP(INDIRECT(ADDRESS(2,COLUMN())),OFFSET($BN$2,0,0,ROW()-1,60),ROW()-1,FALSE))</f>
        <v>20216.489600000001</v>
      </c>
      <c r="P261">
        <f ca="1">IF(AND(ISNUMBER($P$764),$B$511=1),$P$764,HLOOKUP(INDIRECT(ADDRESS(2,COLUMN())),OFFSET($BN$2,0,0,ROW()-1,60),ROW()-1,FALSE))</f>
        <v>19342.475600000002</v>
      </c>
      <c r="Q261">
        <f ca="1">IF(AND(ISNUMBER($Q$764),$B$511=1),$Q$764,HLOOKUP(INDIRECT(ADDRESS(2,COLUMN())),OFFSET($BN$2,0,0,ROW()-1,60),ROW()-1,FALSE))</f>
        <v>18353.497500000001</v>
      </c>
      <c r="R261">
        <f ca="1">IF(AND(ISNUMBER($R$764),$B$511=1),$R$764,HLOOKUP(INDIRECT(ADDRESS(2,COLUMN())),OFFSET($BN$2,0,0,ROW()-1,60),ROW()-1,FALSE))</f>
        <v>18157.2474</v>
      </c>
      <c r="S261">
        <f ca="1">IF(AND(ISNUMBER($S$764),$B$511=1),$S$764,HLOOKUP(INDIRECT(ADDRESS(2,COLUMN())),OFFSET($BN$2,0,0,ROW()-1,60),ROW()-1,FALSE))</f>
        <v>18260.312999999998</v>
      </c>
      <c r="T261">
        <f ca="1">IF(AND(ISNUMBER($T$764),$B$511=1),$T$764,HLOOKUP(INDIRECT(ADDRESS(2,COLUMN())),OFFSET($BN$2,0,0,ROW()-1,60),ROW()-1,FALSE))</f>
        <v>15875.0854</v>
      </c>
      <c r="U261">
        <f ca="1">IF(AND(ISNUMBER($U$764),$B$511=1),$U$764,HLOOKUP(INDIRECT(ADDRESS(2,COLUMN())),OFFSET($BN$2,0,0,ROW()-1,60),ROW()-1,FALSE))</f>
        <v>16370.3734</v>
      </c>
      <c r="V261">
        <f ca="1">IF(AND(ISNUMBER($V$764),$B$511=1),$V$764,HLOOKUP(INDIRECT(ADDRESS(2,COLUMN())),OFFSET($BN$2,0,0,ROW()-1,60),ROW()-1,FALSE))</f>
        <v>15977.2104</v>
      </c>
      <c r="W261">
        <f ca="1">IF(AND(ISNUMBER($W$764),$B$511=1),$W$764,HLOOKUP(INDIRECT(ADDRESS(2,COLUMN())),OFFSET($BN$2,0,0,ROW()-1,60),ROW()-1,FALSE))</f>
        <v>17017.439999999999</v>
      </c>
      <c r="X261">
        <f ca="1">IF(AND(ISNUMBER($X$764),$B$511=1),$X$764,HLOOKUP(INDIRECT(ADDRESS(2,COLUMN())),OFFSET($BN$2,0,0,ROW()-1,60),ROW()-1,FALSE))</f>
        <v>13150.5777</v>
      </c>
      <c r="Y261" t="str">
        <f ca="1">IF(AND(ISNUMBER($Y$764),$B$511=1),$Y$764,HLOOKUP(INDIRECT(ADDRESS(2,COLUMN())),OFFSET($BN$2,0,0,ROW()-1,60),ROW()-1,FALSE))</f>
        <v/>
      </c>
      <c r="Z261" t="str">
        <f ca="1">IF(AND(ISNUMBER($Z$764),$B$511=1),$Z$764,HLOOKUP(INDIRECT(ADDRESS(2,COLUMN())),OFFSET($BN$2,0,0,ROW()-1,60),ROW()-1,FALSE))</f>
        <v/>
      </c>
      <c r="AA261" t="str">
        <f ca="1">IF(AND(ISNUMBER($AA$764),$B$511=1),$AA$764,HLOOKUP(INDIRECT(ADDRESS(2,COLUMN())),OFFSET($BN$2,0,0,ROW()-1,60),ROW()-1,FALSE))</f>
        <v/>
      </c>
      <c r="AB261" t="str">
        <f ca="1">IF(AND(ISNUMBER($AB$764),$B$511=1),$AB$764,HLOOKUP(INDIRECT(ADDRESS(2,COLUMN())),OFFSET($BN$2,0,0,ROW()-1,60),ROW()-1,FALSE))</f>
        <v/>
      </c>
      <c r="AC261" t="str">
        <f ca="1">IF(AND(ISNUMBER($AC$764),$B$511=1),$AC$764,HLOOKUP(INDIRECT(ADDRESS(2,COLUMN())),OFFSET($BN$2,0,0,ROW()-1,60),ROW()-1,FALSE))</f>
        <v/>
      </c>
      <c r="AD261" t="str">
        <f ca="1">IF(AND(ISNUMBER($AD$764),$B$511=1),$AD$764,HLOOKUP(INDIRECT(ADDRESS(2,COLUMN())),OFFSET($BN$2,0,0,ROW()-1,60),ROW()-1,FALSE))</f>
        <v/>
      </c>
      <c r="AE261" t="str">
        <f ca="1">IF(AND(ISNUMBER($AE$764),$B$511=1),$AE$764,HLOOKUP(INDIRECT(ADDRESS(2,COLUMN())),OFFSET($BN$2,0,0,ROW()-1,60),ROW()-1,FALSE))</f>
        <v/>
      </c>
      <c r="AF261" t="str">
        <f ca="1">IF(AND(ISNUMBER($AF$764),$B$511=1),$AF$764,HLOOKUP(INDIRECT(ADDRESS(2,COLUMN())),OFFSET($BN$2,0,0,ROW()-1,60),ROW()-1,FALSE))</f>
        <v/>
      </c>
      <c r="AG261" t="str">
        <f ca="1">IF(AND(ISNUMBER($AG$764),$B$511=1),$AG$764,HLOOKUP(INDIRECT(ADDRESS(2,COLUMN())),OFFSET($BN$2,0,0,ROW()-1,60),ROW()-1,FALSE))</f>
        <v/>
      </c>
      <c r="AH261" t="str">
        <f ca="1">IF(AND(ISNUMBER($AH$764),$B$511=1),$AH$764,HLOOKUP(INDIRECT(ADDRESS(2,COLUMN())),OFFSET($BN$2,0,0,ROW()-1,60),ROW()-1,FALSE))</f>
        <v/>
      </c>
      <c r="AI261" t="str">
        <f ca="1">IF(AND(ISNUMBER($AI$764),$B$511=1),$AI$764,HLOOKUP(INDIRECT(ADDRESS(2,COLUMN())),OFFSET($BN$2,0,0,ROW()-1,60),ROW()-1,FALSE))</f>
        <v/>
      </c>
      <c r="AJ261" t="str">
        <f ca="1">IF(AND(ISNUMBER($AJ$764),$B$511=1),$AJ$764,HLOOKUP(INDIRECT(ADDRESS(2,COLUMN())),OFFSET($BN$2,0,0,ROW()-1,60),ROW()-1,FALSE))</f>
        <v/>
      </c>
      <c r="AK261" t="str">
        <f ca="1">IF(AND(ISNUMBER($AK$764),$B$511=1),$AK$764,HLOOKUP(INDIRECT(ADDRESS(2,COLUMN())),OFFSET($BN$2,0,0,ROW()-1,60),ROW()-1,FALSE))</f>
        <v/>
      </c>
      <c r="AL261" t="str">
        <f ca="1">IF(AND(ISNUMBER($AL$764),$B$511=1),$AL$764,HLOOKUP(INDIRECT(ADDRESS(2,COLUMN())),OFFSET($BN$2,0,0,ROW()-1,60),ROW()-1,FALSE))</f>
        <v/>
      </c>
      <c r="AM261" t="str">
        <f ca="1">IF(AND(ISNUMBER($AM$764),$B$511=1),$AM$764,HLOOKUP(INDIRECT(ADDRESS(2,COLUMN())),OFFSET($BN$2,0,0,ROW()-1,60),ROW()-1,FALSE))</f>
        <v/>
      </c>
      <c r="AN261" t="str">
        <f ca="1">IF(AND(ISNUMBER($AN$764),$B$511=1),$AN$764,HLOOKUP(INDIRECT(ADDRESS(2,COLUMN())),OFFSET($BN$2,0,0,ROW()-1,60),ROW()-1,FALSE))</f>
        <v/>
      </c>
      <c r="AO261" t="str">
        <f ca="1">IF(AND(ISNUMBER($AO$764),$B$511=1),$AO$764,HLOOKUP(INDIRECT(ADDRESS(2,COLUMN())),OFFSET($BN$2,0,0,ROW()-1,60),ROW()-1,FALSE))</f>
        <v/>
      </c>
      <c r="AP261" t="str">
        <f ca="1">IF(AND(ISNUMBER($AP$764),$B$511=1),$AP$764,HLOOKUP(INDIRECT(ADDRESS(2,COLUMN())),OFFSET($BN$2,0,0,ROW()-1,60),ROW()-1,FALSE))</f>
        <v/>
      </c>
      <c r="AQ261" t="str">
        <f ca="1">IF(AND(ISNUMBER($AQ$764),$B$511=1),$AQ$764,HLOOKUP(INDIRECT(ADDRESS(2,COLUMN())),OFFSET($BN$2,0,0,ROW()-1,60),ROW()-1,FALSE))</f>
        <v/>
      </c>
      <c r="AR261" t="str">
        <f ca="1">IF(AND(ISNUMBER($AR$764),$B$511=1),$AR$764,HLOOKUP(INDIRECT(ADDRESS(2,COLUMN())),OFFSET($BN$2,0,0,ROW()-1,60),ROW()-1,FALSE))</f>
        <v/>
      </c>
      <c r="AS261" t="str">
        <f ca="1">IF(AND(ISNUMBER($AS$764),$B$511=1),$AS$764,HLOOKUP(INDIRECT(ADDRESS(2,COLUMN())),OFFSET($BN$2,0,0,ROW()-1,60),ROW()-1,FALSE))</f>
        <v/>
      </c>
      <c r="AT261" t="str">
        <f ca="1">IF(AND(ISNUMBER($AT$764),$B$511=1),$AT$764,HLOOKUP(INDIRECT(ADDRESS(2,COLUMN())),OFFSET($BN$2,0,0,ROW()-1,60),ROW()-1,FALSE))</f>
        <v/>
      </c>
      <c r="AU261" t="str">
        <f ca="1">IF(AND(ISNUMBER($AU$764),$B$511=1),$AU$764,HLOOKUP(INDIRECT(ADDRESS(2,COLUMN())),OFFSET($BN$2,0,0,ROW()-1,60),ROW()-1,FALSE))</f>
        <v/>
      </c>
      <c r="AV261" t="str">
        <f ca="1">IF(AND(ISNUMBER($AV$764),$B$511=1),$AV$764,HLOOKUP(INDIRECT(ADDRESS(2,COLUMN())),OFFSET($BN$2,0,0,ROW()-1,60),ROW()-1,FALSE))</f>
        <v/>
      </c>
      <c r="AW261" t="str">
        <f ca="1">IF(AND(ISNUMBER($AW$764),$B$511=1),$AW$764,HLOOKUP(INDIRECT(ADDRESS(2,COLUMN())),OFFSET($BN$2,0,0,ROW()-1,60),ROW()-1,FALSE))</f>
        <v/>
      </c>
      <c r="AX261" t="str">
        <f ca="1">IF(AND(ISNUMBER($AX$764),$B$511=1),$AX$764,HLOOKUP(INDIRECT(ADDRESS(2,COLUMN())),OFFSET($BN$2,0,0,ROW()-1,60),ROW()-1,FALSE))</f>
        <v/>
      </c>
      <c r="AY261" t="str">
        <f ca="1">IF(AND(ISNUMBER($AY$764),$B$511=1),$AY$764,HLOOKUP(INDIRECT(ADDRESS(2,COLUMN())),OFFSET($BN$2,0,0,ROW()-1,60),ROW()-1,FALSE))</f>
        <v/>
      </c>
      <c r="AZ261" t="str">
        <f ca="1">IF(AND(ISNUMBER($AZ$764),$B$511=1),$AZ$764,HLOOKUP(INDIRECT(ADDRESS(2,COLUMN())),OFFSET($BN$2,0,0,ROW()-1,60),ROW()-1,FALSE))</f>
        <v/>
      </c>
      <c r="BA261" t="str">
        <f ca="1">IF(AND(ISNUMBER($BA$764),$B$511=1),$BA$764,HLOOKUP(INDIRECT(ADDRESS(2,COLUMN())),OFFSET($BN$2,0,0,ROW()-1,60),ROW()-1,FALSE))</f>
        <v/>
      </c>
      <c r="BB261" t="str">
        <f ca="1">IF(AND(ISNUMBER($BB$764),$B$511=1),$BB$764,HLOOKUP(INDIRECT(ADDRESS(2,COLUMN())),OFFSET($BN$2,0,0,ROW()-1,60),ROW()-1,FALSE))</f>
        <v/>
      </c>
      <c r="BC261" t="str">
        <f ca="1">IF(AND(ISNUMBER($BC$764),$B$511=1),$BC$764,HLOOKUP(INDIRECT(ADDRESS(2,COLUMN())),OFFSET($BN$2,0,0,ROW()-1,60),ROW()-1,FALSE))</f>
        <v/>
      </c>
      <c r="BD261" t="str">
        <f ca="1">IF(AND(ISNUMBER($BD$764),$B$511=1),$BD$764,HLOOKUP(INDIRECT(ADDRESS(2,COLUMN())),OFFSET($BN$2,0,0,ROW()-1,60),ROW()-1,FALSE))</f>
        <v/>
      </c>
      <c r="BE261" t="str">
        <f ca="1">IF(AND(ISNUMBER($BE$764),$B$511=1),$BE$764,HLOOKUP(INDIRECT(ADDRESS(2,COLUMN())),OFFSET($BN$2,0,0,ROW()-1,60),ROW()-1,FALSE))</f>
        <v/>
      </c>
      <c r="BF261" t="str">
        <f ca="1">IF(AND(ISNUMBER($BF$764),$B$511=1),$BF$764,HLOOKUP(INDIRECT(ADDRESS(2,COLUMN())),OFFSET($BN$2,0,0,ROW()-1,60),ROW()-1,FALSE))</f>
        <v/>
      </c>
      <c r="BG261" t="str">
        <f ca="1">IF(AND(ISNUMBER($BG$764),$B$511=1),$BG$764,HLOOKUP(INDIRECT(ADDRESS(2,COLUMN())),OFFSET($BN$2,0,0,ROW()-1,60),ROW()-1,FALSE))</f>
        <v/>
      </c>
      <c r="BH261" t="str">
        <f ca="1">IF(AND(ISNUMBER($BH$764),$B$511=1),$BH$764,HLOOKUP(INDIRECT(ADDRESS(2,COLUMN())),OFFSET($BN$2,0,0,ROW()-1,60),ROW()-1,FALSE))</f>
        <v/>
      </c>
      <c r="BI261" t="str">
        <f ca="1">IF(AND(ISNUMBER($BI$764),$B$511=1),$BI$764,HLOOKUP(INDIRECT(ADDRESS(2,COLUMN())),OFFSET($BN$2,0,0,ROW()-1,60),ROW()-1,FALSE))</f>
        <v/>
      </c>
      <c r="BJ261" t="str">
        <f ca="1">IF(AND(ISNUMBER($BJ$764),$B$511=1),$BJ$764,HLOOKUP(INDIRECT(ADDRESS(2,COLUMN())),OFFSET($BN$2,0,0,ROW()-1,60),ROW()-1,FALSE))</f>
        <v/>
      </c>
      <c r="BK261" t="str">
        <f ca="1">IF(AND(ISNUMBER($BK$764),$B$511=1),$BK$764,HLOOKUP(INDIRECT(ADDRESS(2,COLUMN())),OFFSET($BN$2,0,0,ROW()-1,60),ROW()-1,FALSE))</f>
        <v/>
      </c>
      <c r="BL261" t="str">
        <f ca="1">IF(AND(ISNUMBER($BL$764),$B$511=1),$BL$764,HLOOKUP(INDIRECT(ADDRESS(2,COLUMN())),OFFSET($BN$2,0,0,ROW()-1,60),ROW()-1,FALSE))</f>
        <v/>
      </c>
      <c r="BM261" t="str">
        <f ca="1">IF(AND(ISNUMBER($BM$764),$B$511=1),$BM$764,HLOOKUP(INDIRECT(ADDRESS(2,COLUMN())),OFFSET($BN$2,0,0,ROW()-1,60),ROW()-1,FALSE))</f>
        <v/>
      </c>
      <c r="BN261" t="str">
        <f>""</f>
        <v/>
      </c>
      <c r="BO261">
        <f>28288.7304</f>
        <v>28288.7304</v>
      </c>
      <c r="BP261">
        <f>26558.8952</f>
        <v>26558.895199999999</v>
      </c>
      <c r="BQ261">
        <f>26255.7345</f>
        <v>26255.734499999999</v>
      </c>
      <c r="BR261">
        <f>26531.4021</f>
        <v>26531.402099999999</v>
      </c>
      <c r="BS261">
        <f>25028.6018</f>
        <v>25028.6018</v>
      </c>
      <c r="BT261">
        <f>23964.8112</f>
        <v>23964.8112</v>
      </c>
      <c r="BU261">
        <f>22685.6201</f>
        <v>22685.6201</v>
      </c>
      <c r="BV261">
        <f>21253.8693</f>
        <v>21253.869299999998</v>
      </c>
      <c r="BW261">
        <f>20216.4896</f>
        <v>20216.489600000001</v>
      </c>
      <c r="BX261">
        <f>19342.4756</f>
        <v>19342.475600000002</v>
      </c>
      <c r="BY261">
        <f>18353.4975</f>
        <v>18353.497500000001</v>
      </c>
      <c r="BZ261">
        <f>18157.2474</f>
        <v>18157.2474</v>
      </c>
      <c r="CA261">
        <f>18260.313</f>
        <v>18260.312999999998</v>
      </c>
      <c r="CB261">
        <f>15875.0854</f>
        <v>15875.0854</v>
      </c>
      <c r="CC261">
        <f>16370.3734</f>
        <v>16370.3734</v>
      </c>
      <c r="CD261">
        <f>15977.2104</f>
        <v>15977.2104</v>
      </c>
      <c r="CE261">
        <f>17017.44</f>
        <v>17017.439999999999</v>
      </c>
      <c r="CF261">
        <f>13150.5777</f>
        <v>13150.5777</v>
      </c>
      <c r="CG261" t="str">
        <f>""</f>
        <v/>
      </c>
      <c r="CH261" t="str">
        <f>""</f>
        <v/>
      </c>
      <c r="CI261" t="str">
        <f>""</f>
        <v/>
      </c>
      <c r="CJ261" t="str">
        <f>""</f>
        <v/>
      </c>
      <c r="CK261" t="str">
        <f>""</f>
        <v/>
      </c>
      <c r="CL261" t="str">
        <f>""</f>
        <v/>
      </c>
      <c r="CM261" t="str">
        <f>""</f>
        <v/>
      </c>
      <c r="CN261" t="str">
        <f>""</f>
        <v/>
      </c>
      <c r="CO261" t="str">
        <f>""</f>
        <v/>
      </c>
      <c r="CP261" t="str">
        <f>""</f>
        <v/>
      </c>
      <c r="CQ261" t="str">
        <f>""</f>
        <v/>
      </c>
      <c r="CR261" t="str">
        <f>""</f>
        <v/>
      </c>
      <c r="CS261" t="str">
        <f>""</f>
        <v/>
      </c>
      <c r="CT261" t="str">
        <f>""</f>
        <v/>
      </c>
      <c r="CU261" t="str">
        <f>""</f>
        <v/>
      </c>
      <c r="CV261" t="str">
        <f>""</f>
        <v/>
      </c>
      <c r="CW261" t="str">
        <f>""</f>
        <v/>
      </c>
      <c r="CX261" t="str">
        <f>""</f>
        <v/>
      </c>
      <c r="CY261" t="str">
        <f>""</f>
        <v/>
      </c>
      <c r="CZ261" t="str">
        <f>""</f>
        <v/>
      </c>
      <c r="DA261" t="str">
        <f>""</f>
        <v/>
      </c>
      <c r="DB261" t="str">
        <f>""</f>
        <v/>
      </c>
      <c r="DC261" t="str">
        <f>""</f>
        <v/>
      </c>
      <c r="DD261" t="str">
        <f>""</f>
        <v/>
      </c>
      <c r="DE261" t="str">
        <f>""</f>
        <v/>
      </c>
      <c r="DF261" t="str">
        <f>""</f>
        <v/>
      </c>
      <c r="DG261" t="str">
        <f>""</f>
        <v/>
      </c>
      <c r="DH261" t="str">
        <f>""</f>
        <v/>
      </c>
      <c r="DI261" t="str">
        <f>""</f>
        <v/>
      </c>
      <c r="DJ261" t="str">
        <f>""</f>
        <v/>
      </c>
      <c r="DK261" t="str">
        <f>""</f>
        <v/>
      </c>
      <c r="DL261" t="str">
        <f>""</f>
        <v/>
      </c>
      <c r="DM261" t="str">
        <f>""</f>
        <v/>
      </c>
      <c r="DN261" t="str">
        <f>""</f>
        <v/>
      </c>
      <c r="DO261" t="str">
        <f>""</f>
        <v/>
      </c>
      <c r="DP261" t="str">
        <f>""</f>
        <v/>
      </c>
      <c r="DQ261" t="str">
        <f>""</f>
        <v/>
      </c>
      <c r="DR261" t="str">
        <f>""</f>
        <v/>
      </c>
      <c r="DS261" t="str">
        <f>""</f>
        <v/>
      </c>
      <c r="DT261" t="str">
        <f>""</f>
        <v/>
      </c>
      <c r="DU261" t="str">
        <f>""</f>
        <v/>
      </c>
    </row>
    <row r="262" spans="1:125" x14ac:dyDescent="0.25">
      <c r="A262" t="str">
        <f>"    Ford Motor Co"</f>
        <v xml:space="preserve">    Ford Motor Co</v>
      </c>
      <c r="B262" t="str">
        <f>"F US Equity"</f>
        <v>F US Equity</v>
      </c>
      <c r="C262" t="str">
        <f t="shared" si="18"/>
        <v>RR010</v>
      </c>
      <c r="D262" t="str">
        <f t="shared" si="19"/>
        <v>TOT_COMMON_EQY</v>
      </c>
      <c r="E262" t="str">
        <f t="shared" si="20"/>
        <v>Dynamic</v>
      </c>
      <c r="F262" t="str">
        <f ca="1">IF(AND(ISNUMBER($F$765),$B$511=1),$F$765,HLOOKUP(INDIRECT(ADDRESS(2,COLUMN())),OFFSET($BN$2,0,0,ROW()-1,60),ROW()-1,FALSE))</f>
        <v/>
      </c>
      <c r="G262">
        <f ca="1">IF(AND(ISNUMBER($G$765),$B$511=1),$G$765,HLOOKUP(INDIRECT(ADDRESS(2,COLUMN())),OFFSET($BN$2,0,0,ROW()-1,60),ROW()-1,FALSE))</f>
        <v>35932</v>
      </c>
      <c r="H262">
        <f ca="1">IF(AND(ISNUMBER($H$765),$B$511=1),$H$765,HLOOKUP(INDIRECT(ADDRESS(2,COLUMN())),OFFSET($BN$2,0,0,ROW()-1,60),ROW()-1,FALSE))</f>
        <v>36590</v>
      </c>
      <c r="I262">
        <f ca="1">IF(AND(ISNUMBER($I$765),$B$511=1),$I$765,HLOOKUP(INDIRECT(ADDRESS(2,COLUMN())),OFFSET($BN$2,0,0,ROW()-1,60),ROW()-1,FALSE))</f>
        <v>36441</v>
      </c>
      <c r="J262">
        <f ca="1">IF(AND(ISNUMBER($J$765),$B$511=1),$J$765,HLOOKUP(INDIRECT(ADDRESS(2,COLUMN())),OFFSET($BN$2,0,0,ROW()-1,60),ROW()-1,FALSE))</f>
        <v>36400</v>
      </c>
      <c r="K262">
        <f ca="1">IF(AND(ISNUMBER($K$765),$B$511=1),$K$765,HLOOKUP(INDIRECT(ADDRESS(2,COLUMN())),OFFSET($BN$2,0,0,ROW()-1,60),ROW()-1,FALSE))</f>
        <v>35578</v>
      </c>
      <c r="L262">
        <f ca="1">IF(AND(ISNUMBER($L$765),$B$511=1),$L$765,HLOOKUP(INDIRECT(ADDRESS(2,COLUMN())),OFFSET($BN$2,0,0,ROW()-1,60),ROW()-1,FALSE))</f>
        <v>33238</v>
      </c>
      <c r="M262">
        <f ca="1">IF(AND(ISNUMBER($M$765),$B$511=1),$M$765,HLOOKUP(INDIRECT(ADDRESS(2,COLUMN())),OFFSET($BN$2,0,0,ROW()-1,60),ROW()-1,FALSE))</f>
        <v>32244</v>
      </c>
      <c r="N262">
        <f ca="1">IF(AND(ISNUMBER($N$765),$B$511=1),$N$765,HLOOKUP(INDIRECT(ADDRESS(2,COLUMN())),OFFSET($BN$2,0,0,ROW()-1,60),ROW()-1,FALSE))</f>
        <v>30619</v>
      </c>
      <c r="O262">
        <f ca="1">IF(AND(ISNUMBER($O$765),$B$511=1),$O$765,HLOOKUP(INDIRECT(ADDRESS(2,COLUMN())),OFFSET($BN$2,0,0,ROW()-1,60),ROW()-1,FALSE))</f>
        <v>29170</v>
      </c>
      <c r="P262">
        <f ca="1">IF(AND(ISNUMBER($P$765),$B$511=1),$P$765,HLOOKUP(INDIRECT(ADDRESS(2,COLUMN())),OFFSET($BN$2,0,0,ROW()-1,60),ROW()-1,FALSE))</f>
        <v>31484</v>
      </c>
      <c r="Q262">
        <f ca="1">IF(AND(ISNUMBER($Q$765),$B$511=1),$Q$765,HLOOKUP(INDIRECT(ADDRESS(2,COLUMN())),OFFSET($BN$2,0,0,ROW()-1,60),ROW()-1,FALSE))</f>
        <v>31141</v>
      </c>
      <c r="R262">
        <f ca="1">IF(AND(ISNUMBER($R$765),$B$511=1),$R$765,HLOOKUP(INDIRECT(ADDRESS(2,COLUMN())),OFFSET($BN$2,0,0,ROW()-1,60),ROW()-1,FALSE))</f>
        <v>29605</v>
      </c>
      <c r="S262">
        <f ca="1">IF(AND(ISNUMBER($S$765),$B$511=1),$S$765,HLOOKUP(INDIRECT(ADDRESS(2,COLUMN())),OFFSET($BN$2,0,0,ROW()-1,60),ROW()-1,FALSE))</f>
        <v>28642</v>
      </c>
      <c r="T262">
        <f ca="1">IF(AND(ISNUMBER($T$765),$B$511=1),$T$765,HLOOKUP(INDIRECT(ADDRESS(2,COLUMN())),OFFSET($BN$2,0,0,ROW()-1,60),ROW()-1,FALSE))</f>
        <v>27465</v>
      </c>
      <c r="U262">
        <f ca="1">IF(AND(ISNUMBER($U$765),$B$511=1),$U$765,HLOOKUP(INDIRECT(ADDRESS(2,COLUMN())),OFFSET($BN$2,0,0,ROW()-1,60),ROW()-1,FALSE))</f>
        <v>26334</v>
      </c>
      <c r="V262">
        <f ca="1">IF(AND(ISNUMBER($V$765),$B$511=1),$V$765,HLOOKUP(INDIRECT(ADDRESS(2,COLUMN())),OFFSET($BN$2,0,0,ROW()-1,60),ROW()-1,FALSE))</f>
        <v>24947</v>
      </c>
      <c r="W262">
        <f ca="1">IF(AND(ISNUMBER($W$765),$B$511=1),$W$765,HLOOKUP(INDIRECT(ADDRESS(2,COLUMN())),OFFSET($BN$2,0,0,ROW()-1,60),ROW()-1,FALSE))</f>
        <v>24438</v>
      </c>
      <c r="X262">
        <f ca="1">IF(AND(ISNUMBER($X$765),$B$511=1),$X$765,HLOOKUP(INDIRECT(ADDRESS(2,COLUMN())),OFFSET($BN$2,0,0,ROW()-1,60),ROW()-1,FALSE))</f>
        <v>26136</v>
      </c>
      <c r="Y262">
        <f ca="1">IF(AND(ISNUMBER($Y$765),$B$511=1),$Y$765,HLOOKUP(INDIRECT(ADDRESS(2,COLUMN())),OFFSET($BN$2,0,0,ROW()-1,60),ROW()-1,FALSE))</f>
        <v>26776</v>
      </c>
      <c r="Z262">
        <f ca="1">IF(AND(ISNUMBER($Z$765),$B$511=1),$Z$765,HLOOKUP(INDIRECT(ADDRESS(2,COLUMN())),OFFSET($BN$2,0,0,ROW()-1,60),ROW()-1,FALSE))</f>
        <v>26773</v>
      </c>
      <c r="AA262">
        <f ca="1">IF(AND(ISNUMBER($AA$765),$B$511=1),$AA$765,HLOOKUP(INDIRECT(ADDRESS(2,COLUMN())),OFFSET($BN$2,0,0,ROW()-1,60),ROW()-1,FALSE))</f>
        <v>26112</v>
      </c>
      <c r="AB262">
        <f ca="1">IF(AND(ISNUMBER($AB$765),$B$511=1),$AB$765,HLOOKUP(INDIRECT(ADDRESS(2,COLUMN())),OFFSET($BN$2,0,0,ROW()-1,60),ROW()-1,FALSE))</f>
        <v>20467</v>
      </c>
      <c r="AC262">
        <f ca="1">IF(AND(ISNUMBER($AC$765),$B$511=1),$AC$765,HLOOKUP(INDIRECT(ADDRESS(2,COLUMN())),OFFSET($BN$2,0,0,ROW()-1,60),ROW()-1,FALSE))</f>
        <v>19179</v>
      </c>
      <c r="AD262">
        <f ca="1">IF(AND(ISNUMBER($AD$765),$B$511=1),$AD$765,HLOOKUP(INDIRECT(ADDRESS(2,COLUMN())),OFFSET($BN$2,0,0,ROW()-1,60),ROW()-1,FALSE))</f>
        <v>17595</v>
      </c>
      <c r="AE262">
        <f ca="1">IF(AND(ISNUMBER($AE$765),$B$511=1),$AE$765,HLOOKUP(INDIRECT(ADDRESS(2,COLUMN())),OFFSET($BN$2,0,0,ROW()-1,60),ROW()-1,FALSE))</f>
        <v>15947</v>
      </c>
      <c r="AF262">
        <f ca="1">IF(AND(ISNUMBER($AF$765),$B$511=1),$AF$765,HLOOKUP(INDIRECT(ADDRESS(2,COLUMN())),OFFSET($BN$2,0,0,ROW()-1,60),ROW()-1,FALSE))</f>
        <v>18841</v>
      </c>
      <c r="AG262">
        <f ca="1">IF(AND(ISNUMBER($AG$765),$B$511=1),$AG$765,HLOOKUP(INDIRECT(ADDRESS(2,COLUMN())),OFFSET($BN$2,0,0,ROW()-1,60),ROW()-1,FALSE))</f>
        <v>17036</v>
      </c>
      <c r="AH262">
        <f ca="1">IF(AND(ISNUMBER($AH$765),$B$511=1),$AH$765,HLOOKUP(INDIRECT(ADDRESS(2,COLUMN())),OFFSET($BN$2,0,0,ROW()-1,60),ROW()-1,FALSE))</f>
        <v>16606</v>
      </c>
      <c r="AI262">
        <f ca="1">IF(AND(ISNUMBER($AI$765),$B$511=1),$AI$765,HLOOKUP(INDIRECT(ADDRESS(2,COLUMN())),OFFSET($BN$2,0,0,ROW()-1,60),ROW()-1,FALSE))</f>
        <v>15028</v>
      </c>
      <c r="AJ262">
        <f ca="1">IF(AND(ISNUMBER($AJ$765),$B$511=1),$AJ$765,HLOOKUP(INDIRECT(ADDRESS(2,COLUMN())),OFFSET($BN$2,0,0,ROW()-1,60),ROW()-1,FALSE))</f>
        <v>5982</v>
      </c>
      <c r="AK262">
        <f ca="1">IF(AND(ISNUMBER($AK$765),$B$511=1),$AK$765,HLOOKUP(INDIRECT(ADDRESS(2,COLUMN())),OFFSET($BN$2,0,0,ROW()-1,60),ROW()-1,FALSE))</f>
        <v>5309</v>
      </c>
      <c r="AL262">
        <f ca="1">IF(AND(ISNUMBER($AL$765),$B$511=1),$AL$765,HLOOKUP(INDIRECT(ADDRESS(2,COLUMN())),OFFSET($BN$2,0,0,ROW()-1,60),ROW()-1,FALSE))</f>
        <v>2426</v>
      </c>
      <c r="AM262">
        <f ca="1">IF(AND(ISNUMBER($AM$765),$B$511=1),$AM$765,HLOOKUP(INDIRECT(ADDRESS(2,COLUMN())),OFFSET($BN$2,0,0,ROW()-1,60),ROW()-1,FALSE))</f>
        <v>-673</v>
      </c>
      <c r="AN262">
        <f ca="1">IF(AND(ISNUMBER($AN$765),$B$511=1),$AN$765,HLOOKUP(INDIRECT(ADDRESS(2,COLUMN())),OFFSET($BN$2,0,0,ROW()-1,60),ROW()-1,FALSE))</f>
        <v>-1773</v>
      </c>
      <c r="AO262">
        <f ca="1">IF(AND(ISNUMBER($AO$765),$B$511=1),$AO$765,HLOOKUP(INDIRECT(ADDRESS(2,COLUMN())),OFFSET($BN$2,0,0,ROW()-1,60),ROW()-1,FALSE))</f>
        <v>-3574</v>
      </c>
      <c r="AP262">
        <f ca="1">IF(AND(ISNUMBER($AP$765),$B$511=1),$AP$765,HLOOKUP(INDIRECT(ADDRESS(2,COLUMN())),OFFSET($BN$2,0,0,ROW()-1,60),ROW()-1,FALSE))</f>
        <v>-5475</v>
      </c>
      <c r="AQ262">
        <f ca="1">IF(AND(ISNUMBER($AQ$765),$B$511=1),$AQ$765,HLOOKUP(INDIRECT(ADDRESS(2,COLUMN())),OFFSET($BN$2,0,0,ROW()-1,60),ROW()-1,FALSE))</f>
        <v>-7820</v>
      </c>
      <c r="AR262">
        <f ca="1">IF(AND(ISNUMBER($AR$765),$B$511=1),$AR$765,HLOOKUP(INDIRECT(ADDRESS(2,COLUMN())),OFFSET($BN$2,0,0,ROW()-1,60),ROW()-1,FALSE))</f>
        <v>-8675</v>
      </c>
      <c r="AS262">
        <f ca="1">IF(AND(ISNUMBER($AS$765),$B$511=1),$AS$765,HLOOKUP(INDIRECT(ADDRESS(2,COLUMN())),OFFSET($BN$2,0,0,ROW()-1,60),ROW()-1,FALSE))</f>
        <v>-10743</v>
      </c>
      <c r="AT262">
        <f ca="1">IF(AND(ISNUMBER($AT$765),$B$511=1),$AT$765,HLOOKUP(INDIRECT(ADDRESS(2,COLUMN())),OFFSET($BN$2,0,0,ROW()-1,60),ROW()-1,FALSE))</f>
        <v>-17577</v>
      </c>
      <c r="AU262">
        <f ca="1">IF(AND(ISNUMBER($AU$765),$B$511=1),$AU$765,HLOOKUP(INDIRECT(ADDRESS(2,COLUMN())),OFFSET($BN$2,0,0,ROW()-1,60),ROW()-1,FALSE))</f>
        <v>-18257</v>
      </c>
      <c r="AV262">
        <f ca="1">IF(AND(ISNUMBER($AV$765),$B$511=1),$AV$765,HLOOKUP(INDIRECT(ADDRESS(2,COLUMN())),OFFSET($BN$2,0,0,ROW()-1,60),ROW()-1,FALSE))</f>
        <v>-5998</v>
      </c>
      <c r="AW262">
        <f ca="1">IF(AND(ISNUMBER($AW$765),$B$511=1),$AW$765,HLOOKUP(INDIRECT(ADDRESS(2,COLUMN())),OFFSET($BN$2,0,0,ROW()-1,60),ROW()-1,FALSE))</f>
        <v>-4688</v>
      </c>
      <c r="AX262">
        <f ca="1">IF(AND(ISNUMBER($AX$765),$B$511=1),$AX$765,HLOOKUP(INDIRECT(ADDRESS(2,COLUMN())),OFFSET($BN$2,0,0,ROW()-1,60),ROW()-1,FALSE))</f>
        <v>4883</v>
      </c>
      <c r="AY262">
        <f ca="1">IF(AND(ISNUMBER($AY$765),$B$511=1),$AY$765,HLOOKUP(INDIRECT(ADDRESS(2,COLUMN())),OFFSET($BN$2,0,0,ROW()-1,60),ROW()-1,FALSE))</f>
        <v>3605</v>
      </c>
      <c r="AZ262">
        <f ca="1">IF(AND(ISNUMBER($AZ$765),$B$511=1),$AZ$765,HLOOKUP(INDIRECT(ADDRESS(2,COLUMN())),OFFSET($BN$2,0,0,ROW()-1,60),ROW()-1,FALSE))</f>
        <v>-275</v>
      </c>
      <c r="BA262">
        <f ca="1">IF(AND(ISNUMBER($BA$765),$B$511=1),$BA$765,HLOOKUP(INDIRECT(ADDRESS(2,COLUMN())),OFFSET($BN$2,0,0,ROW()-1,60),ROW()-1,FALSE))</f>
        <v>-2673</v>
      </c>
      <c r="BB262">
        <f ca="1">IF(AND(ISNUMBER($BB$765),$B$511=1),$BB$765,HLOOKUP(INDIRECT(ADDRESS(2,COLUMN())),OFFSET($BN$2,0,0,ROW()-1,60),ROW()-1,FALSE))</f>
        <v>-4580</v>
      </c>
      <c r="BC262">
        <f ca="1">IF(AND(ISNUMBER($BC$765),$B$511=1),$BC$765,HLOOKUP(INDIRECT(ADDRESS(2,COLUMN())),OFFSET($BN$2,0,0,ROW()-1,60),ROW()-1,FALSE))</f>
        <v>-4932</v>
      </c>
      <c r="BD262">
        <f ca="1">IF(AND(ISNUMBER($BD$765),$B$511=1),$BD$765,HLOOKUP(INDIRECT(ADDRESS(2,COLUMN())),OFFSET($BN$2,0,0,ROW()-1,60),ROW()-1,FALSE))</f>
        <v>8169</v>
      </c>
      <c r="BE262">
        <f ca="1">IF(AND(ISNUMBER($BE$765),$B$511=1),$BE$765,HLOOKUP(INDIRECT(ADDRESS(2,COLUMN())),OFFSET($BN$2,0,0,ROW()-1,60),ROW()-1,FALSE))</f>
        <v>14336</v>
      </c>
      <c r="BF262">
        <f ca="1">IF(AND(ISNUMBER($BF$765),$B$511=1),$BF$765,HLOOKUP(INDIRECT(ADDRESS(2,COLUMN())),OFFSET($BN$2,0,0,ROW()-1,60),ROW()-1,FALSE))</f>
        <v>11954</v>
      </c>
      <c r="BG262">
        <f ca="1">IF(AND(ISNUMBER($BG$765),$B$511=1),$BG$765,HLOOKUP(INDIRECT(ADDRESS(2,COLUMN())),OFFSET($BN$2,0,0,ROW()-1,60),ROW()-1,FALSE))</f>
        <v>12874</v>
      </c>
      <c r="BH262">
        <f ca="1">IF(AND(ISNUMBER($BH$765),$B$511=1),$BH$765,HLOOKUP(INDIRECT(ADDRESS(2,COLUMN())),OFFSET($BN$2,0,0,ROW()-1,60),ROW()-1,FALSE))</f>
        <v>12395</v>
      </c>
      <c r="BI262">
        <f ca="1">IF(AND(ISNUMBER($BI$765),$B$511=1),$BI$765,HLOOKUP(INDIRECT(ADDRESS(2,COLUMN())),OFFSET($BN$2,0,0,ROW()-1,60),ROW()-1,FALSE))</f>
        <v>12548</v>
      </c>
      <c r="BJ262">
        <f ca="1">IF(AND(ISNUMBER($BJ$765),$B$511=1),$BJ$765,HLOOKUP(INDIRECT(ADDRESS(2,COLUMN())),OFFSET($BN$2,0,0,ROW()-1,60),ROW()-1,FALSE))</f>
        <v>15670</v>
      </c>
      <c r="BK262">
        <f ca="1">IF(AND(ISNUMBER($BK$765),$B$511=1),$BK$765,HLOOKUP(INDIRECT(ADDRESS(2,COLUMN())),OFFSET($BN$2,0,0,ROW()-1,60),ROW()-1,FALSE))</f>
        <v>13292</v>
      </c>
      <c r="BL262">
        <f ca="1">IF(AND(ISNUMBER($BL$765),$B$511=1),$BL$765,HLOOKUP(INDIRECT(ADDRESS(2,COLUMN())),OFFSET($BN$2,0,0,ROW()-1,60),ROW()-1,FALSE))</f>
        <v>14069</v>
      </c>
      <c r="BM262">
        <f ca="1">IF(AND(ISNUMBER($BM$765),$B$511=1),$BM$765,HLOOKUP(INDIRECT(ADDRESS(2,COLUMN())),OFFSET($BN$2,0,0,ROW()-1,60),ROW()-1,FALSE))</f>
        <v>13561</v>
      </c>
      <c r="BN262" t="str">
        <f>""</f>
        <v/>
      </c>
      <c r="BO262">
        <f>35932</f>
        <v>35932</v>
      </c>
      <c r="BP262">
        <f>36590</f>
        <v>36590</v>
      </c>
      <c r="BQ262">
        <f>36441</f>
        <v>36441</v>
      </c>
      <c r="BR262">
        <f>36400</f>
        <v>36400</v>
      </c>
      <c r="BS262">
        <f>35578</f>
        <v>35578</v>
      </c>
      <c r="BT262">
        <f>33238</f>
        <v>33238</v>
      </c>
      <c r="BU262">
        <f>32244</f>
        <v>32244</v>
      </c>
      <c r="BV262">
        <f>30619</f>
        <v>30619</v>
      </c>
      <c r="BW262">
        <f>29170</f>
        <v>29170</v>
      </c>
      <c r="BX262">
        <f>31484</f>
        <v>31484</v>
      </c>
      <c r="BY262">
        <f>31141</f>
        <v>31141</v>
      </c>
      <c r="BZ262">
        <f>29605</f>
        <v>29605</v>
      </c>
      <c r="CA262">
        <f>28642</f>
        <v>28642</v>
      </c>
      <c r="CB262">
        <f>27465</f>
        <v>27465</v>
      </c>
      <c r="CC262">
        <f>26334</f>
        <v>26334</v>
      </c>
      <c r="CD262">
        <f>24947</f>
        <v>24947</v>
      </c>
      <c r="CE262">
        <f>24438</f>
        <v>24438</v>
      </c>
      <c r="CF262">
        <f>26136</f>
        <v>26136</v>
      </c>
      <c r="CG262">
        <f>26776</f>
        <v>26776</v>
      </c>
      <c r="CH262">
        <f>26773</f>
        <v>26773</v>
      </c>
      <c r="CI262">
        <f>26112</f>
        <v>26112</v>
      </c>
      <c r="CJ262">
        <f>20467</f>
        <v>20467</v>
      </c>
      <c r="CK262">
        <f>19179</f>
        <v>19179</v>
      </c>
      <c r="CL262">
        <f>17595</f>
        <v>17595</v>
      </c>
      <c r="CM262">
        <f>15947</f>
        <v>15947</v>
      </c>
      <c r="CN262">
        <f>18841</f>
        <v>18841</v>
      </c>
      <c r="CO262">
        <f>17036</f>
        <v>17036</v>
      </c>
      <c r="CP262">
        <f>16606</f>
        <v>16606</v>
      </c>
      <c r="CQ262">
        <f>15028</f>
        <v>15028</v>
      </c>
      <c r="CR262">
        <f>5982</f>
        <v>5982</v>
      </c>
      <c r="CS262">
        <f>5309</f>
        <v>5309</v>
      </c>
      <c r="CT262">
        <f>2426</f>
        <v>2426</v>
      </c>
      <c r="CU262">
        <f>-673</f>
        <v>-673</v>
      </c>
      <c r="CV262">
        <f>-1773</f>
        <v>-1773</v>
      </c>
      <c r="CW262">
        <f>-3574</f>
        <v>-3574</v>
      </c>
      <c r="CX262">
        <f>-5475</f>
        <v>-5475</v>
      </c>
      <c r="CY262">
        <f>-7820</f>
        <v>-7820</v>
      </c>
      <c r="CZ262">
        <f>-8675</f>
        <v>-8675</v>
      </c>
      <c r="DA262">
        <f>-10743</f>
        <v>-10743</v>
      </c>
      <c r="DB262">
        <f>-17577</f>
        <v>-17577</v>
      </c>
      <c r="DC262">
        <f>-18257</f>
        <v>-18257</v>
      </c>
      <c r="DD262">
        <f>-5998</f>
        <v>-5998</v>
      </c>
      <c r="DE262">
        <f>-4688</f>
        <v>-4688</v>
      </c>
      <c r="DF262">
        <f>4883</f>
        <v>4883</v>
      </c>
      <c r="DG262">
        <f>3605</f>
        <v>3605</v>
      </c>
      <c r="DH262">
        <f>-275</f>
        <v>-275</v>
      </c>
      <c r="DI262">
        <f>-2673</f>
        <v>-2673</v>
      </c>
      <c r="DJ262">
        <f>-4580</f>
        <v>-4580</v>
      </c>
      <c r="DK262">
        <f>-4932</f>
        <v>-4932</v>
      </c>
      <c r="DL262">
        <f>8169</f>
        <v>8169</v>
      </c>
      <c r="DM262">
        <f>14336</f>
        <v>14336</v>
      </c>
      <c r="DN262">
        <f>11954</f>
        <v>11954</v>
      </c>
      <c r="DO262">
        <f>12874</f>
        <v>12874</v>
      </c>
      <c r="DP262">
        <f>12395</f>
        <v>12395</v>
      </c>
      <c r="DQ262">
        <f>12548</f>
        <v>12548</v>
      </c>
      <c r="DR262">
        <f>15670</f>
        <v>15670</v>
      </c>
      <c r="DS262">
        <f>13292</f>
        <v>13292</v>
      </c>
      <c r="DT262">
        <f>14069</f>
        <v>14069</v>
      </c>
      <c r="DU262">
        <f>13561</f>
        <v>13561</v>
      </c>
    </row>
    <row r="263" spans="1:125" x14ac:dyDescent="0.25">
      <c r="A263" t="str">
        <f>"    Ford Otomotiv Sanayi AS"</f>
        <v xml:space="preserve">    Ford Otomotiv Sanayi AS</v>
      </c>
      <c r="B263" t="str">
        <f>"FROTOTRY EO Equity"</f>
        <v>FROTOTRY EO Equity</v>
      </c>
      <c r="C263" t="str">
        <f t="shared" si="18"/>
        <v>RR010</v>
      </c>
      <c r="D263" t="str">
        <f t="shared" si="19"/>
        <v>TOT_COMMON_EQY</v>
      </c>
      <c r="E263" t="str">
        <f t="shared" si="20"/>
        <v>Dynamic</v>
      </c>
      <c r="F263" t="str">
        <f ca="1">IF(AND(ISNUMBER($F$766),$B$511=1),$F$766,HLOOKUP(INDIRECT(ADDRESS(2,COLUMN())),OFFSET($BN$2,0,0,ROW()-1,60),ROW()-1,FALSE))</f>
        <v/>
      </c>
      <c r="G263">
        <f ca="1">IF(AND(ISNUMBER($G$766),$B$511=1),$G$766,HLOOKUP(INDIRECT(ADDRESS(2,COLUMN())),OFFSET($BN$2,0,0,ROW()-1,60),ROW()-1,FALSE))</f>
        <v>735.85072200000002</v>
      </c>
      <c r="H263">
        <f ca="1">IF(AND(ISNUMBER($H$766),$B$511=1),$H$766,HLOOKUP(INDIRECT(ADDRESS(2,COLUMN())),OFFSET($BN$2,0,0,ROW()-1,60),ROW()-1,FALSE))</f>
        <v>561.27678779999997</v>
      </c>
      <c r="I263">
        <f ca="1">IF(AND(ISNUMBER($I$766),$B$511=1),$I$766,HLOOKUP(INDIRECT(ADDRESS(2,COLUMN())),OFFSET($BN$2,0,0,ROW()-1,60),ROW()-1,FALSE))</f>
        <v>783.642338</v>
      </c>
      <c r="J263">
        <f ca="1">IF(AND(ISNUMBER($J$766),$B$511=1),$J$766,HLOOKUP(INDIRECT(ADDRESS(2,COLUMN())),OFFSET($BN$2,0,0,ROW()-1,60),ROW()-1,FALSE))</f>
        <v>816.00566360000005</v>
      </c>
      <c r="K263">
        <f ca="1">IF(AND(ISNUMBER($K$766),$B$511=1),$K$766,HLOOKUP(INDIRECT(ADDRESS(2,COLUMN())),OFFSET($BN$2,0,0,ROW()-1,60),ROW()-1,FALSE))</f>
        <v>975.88165400000003</v>
      </c>
      <c r="L263">
        <f ca="1">IF(AND(ISNUMBER($L$766),$B$511=1),$L$766,HLOOKUP(INDIRECT(ADDRESS(2,COLUMN())),OFFSET($BN$2,0,0,ROW()-1,60),ROW()-1,FALSE))</f>
        <v>1021.39721</v>
      </c>
      <c r="M263">
        <f ca="1">IF(AND(ISNUMBER($M$766),$B$511=1),$M$766,HLOOKUP(INDIRECT(ADDRESS(2,COLUMN())),OFFSET($BN$2,0,0,ROW()-1,60),ROW()-1,FALSE))</f>
        <v>947.47205099999996</v>
      </c>
      <c r="N263">
        <f ca="1">IF(AND(ISNUMBER($N$766),$B$511=1),$N$766,HLOOKUP(INDIRECT(ADDRESS(2,COLUMN())),OFFSET($BN$2,0,0,ROW()-1,60),ROW()-1,FALSE))</f>
        <v>818.79213540000001</v>
      </c>
      <c r="O263">
        <f ca="1">IF(AND(ISNUMBER($O$766),$B$511=1),$O$766,HLOOKUP(INDIRECT(ADDRESS(2,COLUMN())),OFFSET($BN$2,0,0,ROW()-1,60),ROW()-1,FALSE))</f>
        <v>897.48065559999998</v>
      </c>
      <c r="P263">
        <f ca="1">IF(AND(ISNUMBER($P$766),$B$511=1),$P$766,HLOOKUP(INDIRECT(ADDRESS(2,COLUMN())),OFFSET($BN$2,0,0,ROW()-1,60),ROW()-1,FALSE))</f>
        <v>1099.1622789999999</v>
      </c>
      <c r="Q263">
        <f ca="1">IF(AND(ISNUMBER($Q$766),$B$511=1),$Q$766,HLOOKUP(INDIRECT(ADDRESS(2,COLUMN())),OFFSET($BN$2,0,0,ROW()-1,60),ROW()-1,FALSE))</f>
        <v>1108.5487949999999</v>
      </c>
      <c r="R263">
        <f ca="1">IF(AND(ISNUMBER($R$766),$B$511=1),$R$766,HLOOKUP(INDIRECT(ADDRESS(2,COLUMN())),OFFSET($BN$2,0,0,ROW()-1,60),ROW()-1,FALSE))</f>
        <v>1033.541115</v>
      </c>
      <c r="S263">
        <f ca="1">IF(AND(ISNUMBER($S$766),$B$511=1),$S$766,HLOOKUP(INDIRECT(ADDRESS(2,COLUMN())),OFFSET($BN$2,0,0,ROW()-1,60),ROW()-1,FALSE))</f>
        <v>1048.973379</v>
      </c>
      <c r="T263">
        <f ca="1">IF(AND(ISNUMBER($T$766),$B$511=1),$T$766,HLOOKUP(INDIRECT(ADDRESS(2,COLUMN())),OFFSET($BN$2,0,0,ROW()-1,60),ROW()-1,FALSE))</f>
        <v>937.64479549999999</v>
      </c>
      <c r="U263">
        <f ca="1">IF(AND(ISNUMBER($U$766),$B$511=1),$U$766,HLOOKUP(INDIRECT(ADDRESS(2,COLUMN())),OFFSET($BN$2,0,0,ROW()-1,60),ROW()-1,FALSE))</f>
        <v>1078.233467</v>
      </c>
      <c r="V263">
        <f ca="1">IF(AND(ISNUMBER($V$766),$B$511=1),$V$766,HLOOKUP(INDIRECT(ADDRESS(2,COLUMN())),OFFSET($BN$2,0,0,ROW()-1,60),ROW()-1,FALSE))</f>
        <v>1070.2583090000001</v>
      </c>
      <c r="W263">
        <f ca="1">IF(AND(ISNUMBER($W$766),$B$511=1),$W$766,HLOOKUP(INDIRECT(ADDRESS(2,COLUMN())),OFFSET($BN$2,0,0,ROW()-1,60),ROW()-1,FALSE))</f>
        <v>1178.5116370000001</v>
      </c>
      <c r="X263">
        <f ca="1">IF(AND(ISNUMBER($X$766),$B$511=1),$X$766,HLOOKUP(INDIRECT(ADDRESS(2,COLUMN())),OFFSET($BN$2,0,0,ROW()-1,60),ROW()-1,FALSE))</f>
        <v>1213.541168</v>
      </c>
      <c r="Y263">
        <f ca="1">IF(AND(ISNUMBER($Y$766),$B$511=1),$Y$766,HLOOKUP(INDIRECT(ADDRESS(2,COLUMN())),OFFSET($BN$2,0,0,ROW()-1,60),ROW()-1,FALSE))</f>
        <v>1244.008178</v>
      </c>
      <c r="Z263">
        <f ca="1">IF(AND(ISNUMBER($Z$766),$B$511=1),$Z$766,HLOOKUP(INDIRECT(ADDRESS(2,COLUMN())),OFFSET($BN$2,0,0,ROW()-1,60),ROW()-1,FALSE))</f>
        <v>1133.1009160000001</v>
      </c>
      <c r="AA263">
        <f ca="1">IF(AND(ISNUMBER($AA$766),$B$511=1),$AA$766,HLOOKUP(INDIRECT(ADDRESS(2,COLUMN())),OFFSET($BN$2,0,0,ROW()-1,60),ROW()-1,FALSE))</f>
        <v>1040.281086</v>
      </c>
      <c r="AB263">
        <f ca="1">IF(AND(ISNUMBER($AB$766),$B$511=1),$AB$766,HLOOKUP(INDIRECT(ADDRESS(2,COLUMN())),OFFSET($BN$2,0,0,ROW()-1,60),ROW()-1,FALSE))</f>
        <v>1055.4264579999999</v>
      </c>
      <c r="AC263">
        <f ca="1">IF(AND(ISNUMBER($AC$766),$B$511=1),$AC$766,HLOOKUP(INDIRECT(ADDRESS(2,COLUMN())),OFFSET($BN$2,0,0,ROW()-1,60),ROW()-1,FALSE))</f>
        <v>1083.711415</v>
      </c>
      <c r="AD263">
        <f ca="1">IF(AND(ISNUMBER($AD$766),$B$511=1),$AD$766,HLOOKUP(INDIRECT(ADDRESS(2,COLUMN())),OFFSET($BN$2,0,0,ROW()-1,60),ROW()-1,FALSE))</f>
        <v>1034.064648</v>
      </c>
      <c r="AE263">
        <f ca="1">IF(AND(ISNUMBER($AE$766),$B$511=1),$AE$766,HLOOKUP(INDIRECT(ADDRESS(2,COLUMN())),OFFSET($BN$2,0,0,ROW()-1,60),ROW()-1,FALSE))</f>
        <v>1118.5835070000001</v>
      </c>
      <c r="AF263">
        <f ca="1">IF(AND(ISNUMBER($AF$766),$B$511=1),$AF$766,HLOOKUP(INDIRECT(ADDRESS(2,COLUMN())),OFFSET($BN$2,0,0,ROW()-1,60),ROW()-1,FALSE))</f>
        <v>1127.267251</v>
      </c>
      <c r="AG263">
        <f ca="1">IF(AND(ISNUMBER($AG$766),$B$511=1),$AG$766,HLOOKUP(INDIRECT(ADDRESS(2,COLUMN())),OFFSET($BN$2,0,0,ROW()-1,60),ROW()-1,FALSE))</f>
        <v>1039.091467</v>
      </c>
      <c r="AH263">
        <f ca="1">IF(AND(ISNUMBER($AH$766),$B$511=1),$AH$766,HLOOKUP(INDIRECT(ADDRESS(2,COLUMN())),OFFSET($BN$2,0,0,ROW()-1,60),ROW()-1,FALSE))</f>
        <v>961.48888650000004</v>
      </c>
      <c r="AI263">
        <f ca="1">IF(AND(ISNUMBER($AI$766),$B$511=1),$AI$766,HLOOKUP(INDIRECT(ADDRESS(2,COLUMN())),OFFSET($BN$2,0,0,ROW()-1,60),ROW()-1,FALSE))</f>
        <v>1007.226193</v>
      </c>
      <c r="AJ263">
        <f ca="1">IF(AND(ISNUMBER($AJ$766),$B$511=1),$AJ$766,HLOOKUP(INDIRECT(ADDRESS(2,COLUMN())),OFFSET($BN$2,0,0,ROW()-1,60),ROW()-1,FALSE))</f>
        <v>1057.2978330000001</v>
      </c>
      <c r="AK263">
        <f ca="1">IF(AND(ISNUMBER($AK$766),$B$511=1),$AK$766,HLOOKUP(INDIRECT(ADDRESS(2,COLUMN())),OFFSET($BN$2,0,0,ROW()-1,60),ROW()-1,FALSE))</f>
        <v>1100.299381</v>
      </c>
      <c r="AL263">
        <f ca="1">IF(AND(ISNUMBER($AL$766),$B$511=1),$AL$766,HLOOKUP(INDIRECT(ADDRESS(2,COLUMN())),OFFSET($BN$2,0,0,ROW()-1,60),ROW()-1,FALSE))</f>
        <v>1034.517703</v>
      </c>
      <c r="AM263">
        <f ca="1">IF(AND(ISNUMBER($AM$766),$B$511=1),$AM$766,HLOOKUP(INDIRECT(ADDRESS(2,COLUMN())),OFFSET($BN$2,0,0,ROW()-1,60),ROW()-1,FALSE))</f>
        <v>1136.5393280000001</v>
      </c>
      <c r="AN263">
        <f ca="1">IF(AND(ISNUMBER($AN$766),$B$511=1),$AN$766,HLOOKUP(INDIRECT(ADDRESS(2,COLUMN())),OFFSET($BN$2,0,0,ROW()-1,60),ROW()-1,FALSE))</f>
        <v>1173.289978</v>
      </c>
      <c r="AO263">
        <f ca="1">IF(AND(ISNUMBER($AO$766),$B$511=1),$AO$766,HLOOKUP(INDIRECT(ADDRESS(2,COLUMN())),OFFSET($BN$2,0,0,ROW()-1,60),ROW()-1,FALSE))</f>
        <v>1004.553483</v>
      </c>
      <c r="AP263">
        <f ca="1">IF(AND(ISNUMBER($AP$766),$B$511=1),$AP$766,HLOOKUP(INDIRECT(ADDRESS(2,COLUMN())),OFFSET($BN$2,0,0,ROW()-1,60),ROW()-1,FALSE))</f>
        <v>961.63913400000001</v>
      </c>
      <c r="AQ263">
        <f ca="1">IF(AND(ISNUMBER($AQ$766),$B$511=1),$AQ$766,HLOOKUP(INDIRECT(ADDRESS(2,COLUMN())),OFFSET($BN$2,0,0,ROW()-1,60),ROW()-1,FALSE))</f>
        <v>1104.770716</v>
      </c>
      <c r="AR263">
        <f ca="1">IF(AND(ISNUMBER($AR$766),$B$511=1),$AR$766,HLOOKUP(INDIRECT(ADDRESS(2,COLUMN())),OFFSET($BN$2,0,0,ROW()-1,60),ROW()-1,FALSE))</f>
        <v>1233.5428340000001</v>
      </c>
      <c r="AS263">
        <f ca="1">IF(AND(ISNUMBER($AS$766),$B$511=1),$AS$766,HLOOKUP(INDIRECT(ADDRESS(2,COLUMN())),OFFSET($BN$2,0,0,ROW()-1,60),ROW()-1,FALSE))</f>
        <v>1127.613147</v>
      </c>
      <c r="AT263">
        <f ca="1">IF(AND(ISNUMBER($AT$766),$B$511=1),$AT$766,HLOOKUP(INDIRECT(ADDRESS(2,COLUMN())),OFFSET($BN$2,0,0,ROW()-1,60),ROW()-1,FALSE))</f>
        <v>991.38943700000004</v>
      </c>
      <c r="AU263">
        <f ca="1">IF(AND(ISNUMBER($AU$766),$B$511=1),$AU$766,HLOOKUP(INDIRECT(ADDRESS(2,COLUMN())),OFFSET($BN$2,0,0,ROW()-1,60),ROW()-1,FALSE))</f>
        <v>1113.4125550000001</v>
      </c>
      <c r="AV263">
        <f ca="1">IF(AND(ISNUMBER($AV$766),$B$511=1),$AV$766,HLOOKUP(INDIRECT(ADDRESS(2,COLUMN())),OFFSET($BN$2,0,0,ROW()-1,60),ROW()-1,FALSE))</f>
        <v>1450.8702679999999</v>
      </c>
      <c r="AW263">
        <f ca="1">IF(AND(ISNUMBER($AW$766),$B$511=1),$AW$766,HLOOKUP(INDIRECT(ADDRESS(2,COLUMN())),OFFSET($BN$2,0,0,ROW()-1,60),ROW()-1,FALSE))</f>
        <v>1446.2995980000001</v>
      </c>
      <c r="AX263">
        <f ca="1">IF(AND(ISNUMBER($AX$766),$B$511=1),$AX$766,HLOOKUP(INDIRECT(ADDRESS(2,COLUMN())),OFFSET($BN$2,0,0,ROW()-1,60),ROW()-1,FALSE))</f>
        <v>1416.087401</v>
      </c>
      <c r="AY263">
        <f ca="1">IF(AND(ISNUMBER($AY$766),$B$511=1),$AY$766,HLOOKUP(INDIRECT(ADDRESS(2,COLUMN())),OFFSET($BN$2,0,0,ROW()-1,60),ROW()-1,FALSE))</f>
        <v>1464.5080250000001</v>
      </c>
      <c r="AZ263">
        <f ca="1">IF(AND(ISNUMBER($AZ$766),$B$511=1),$AZ$766,HLOOKUP(INDIRECT(ADDRESS(2,COLUMN())),OFFSET($BN$2,0,0,ROW()-1,60),ROW()-1,FALSE))</f>
        <v>1472.1498919999999</v>
      </c>
      <c r="BA263">
        <f ca="1">IF(AND(ISNUMBER($BA$766),$B$511=1),$BA$766,HLOOKUP(INDIRECT(ADDRESS(2,COLUMN())),OFFSET($BN$2,0,0,ROW()-1,60),ROW()-1,FALSE))</f>
        <v>1259.568225</v>
      </c>
      <c r="BB263">
        <f ca="1">IF(AND(ISNUMBER($BB$766),$B$511=1),$BB$766,HLOOKUP(INDIRECT(ADDRESS(2,COLUMN())),OFFSET($BN$2,0,0,ROW()-1,60),ROW()-1,FALSE))</f>
        <v>1096.601046</v>
      </c>
      <c r="BC263">
        <f ca="1">IF(AND(ISNUMBER($BC$766),$B$511=1),$BC$766,HLOOKUP(INDIRECT(ADDRESS(2,COLUMN())),OFFSET($BN$2,0,0,ROW()-1,60),ROW()-1,FALSE))</f>
        <v>1151.395904</v>
      </c>
      <c r="BD263">
        <f ca="1">IF(AND(ISNUMBER($BD$766),$B$511=1),$BD$766,HLOOKUP(INDIRECT(ADDRESS(2,COLUMN())),OFFSET($BN$2,0,0,ROW()-1,60),ROW()-1,FALSE))</f>
        <v>987.19788470000003</v>
      </c>
      <c r="BE263">
        <f ca="1">IF(AND(ISNUMBER($BE$766),$B$511=1),$BE$766,HLOOKUP(INDIRECT(ADDRESS(2,COLUMN())),OFFSET($BN$2,0,0,ROW()-1,60),ROW()-1,FALSE))</f>
        <v>1073.8577499999999</v>
      </c>
      <c r="BF263">
        <f ca="1">IF(AND(ISNUMBER($BF$766),$B$511=1),$BF$766,HLOOKUP(INDIRECT(ADDRESS(2,COLUMN())),OFFSET($BN$2,0,0,ROW()-1,60),ROW()-1,FALSE))</f>
        <v>1160.1422299999999</v>
      </c>
      <c r="BG263">
        <f ca="1">IF(AND(ISNUMBER($BG$766),$B$511=1),$BG$766,HLOOKUP(INDIRECT(ADDRESS(2,COLUMN())),OFFSET($BN$2,0,0,ROW()-1,60),ROW()-1,FALSE))</f>
        <v>1188.7889110000001</v>
      </c>
      <c r="BH263">
        <f ca="1">IF(AND(ISNUMBER($BH$766),$B$511=1),$BH$766,HLOOKUP(INDIRECT(ADDRESS(2,COLUMN())),OFFSET($BN$2,0,0,ROW()-1,60),ROW()-1,FALSE))</f>
        <v>1132.9452409999999</v>
      </c>
      <c r="BI263">
        <f ca="1">IF(AND(ISNUMBER($BI$766),$B$511=1),$BI$766,HLOOKUP(INDIRECT(ADDRESS(2,COLUMN())),OFFSET($BN$2,0,0,ROW()-1,60),ROW()-1,FALSE))</f>
        <v>1202.699541</v>
      </c>
      <c r="BJ263">
        <f ca="1">IF(AND(ISNUMBER($BJ$766),$B$511=1),$BJ$766,HLOOKUP(INDIRECT(ADDRESS(2,COLUMN())),OFFSET($BN$2,0,0,ROW()-1,60),ROW()-1,FALSE))</f>
        <v>1101.3624239999999</v>
      </c>
      <c r="BK263">
        <f ca="1">IF(AND(ISNUMBER($BK$766),$B$511=1),$BK$766,HLOOKUP(INDIRECT(ADDRESS(2,COLUMN())),OFFSET($BN$2,0,0,ROW()-1,60),ROW()-1,FALSE))</f>
        <v>1183.827174</v>
      </c>
      <c r="BL263">
        <f ca="1">IF(AND(ISNUMBER($BL$766),$B$511=1),$BL$766,HLOOKUP(INDIRECT(ADDRESS(2,COLUMN())),OFFSET($BN$2,0,0,ROW()-1,60),ROW()-1,FALSE))</f>
        <v>1010.531379</v>
      </c>
      <c r="BM263">
        <f ca="1">IF(AND(ISNUMBER($BM$766),$B$511=1),$BM$766,HLOOKUP(INDIRECT(ADDRESS(2,COLUMN())),OFFSET($BN$2,0,0,ROW()-1,60),ROW()-1,FALSE))</f>
        <v>999.74581350000005</v>
      </c>
      <c r="BN263" t="str">
        <f>""</f>
        <v/>
      </c>
      <c r="BO263">
        <f>735.850722</f>
        <v>735.85072200000002</v>
      </c>
      <c r="BP263">
        <f>561.2767878</f>
        <v>561.27678779999997</v>
      </c>
      <c r="BQ263">
        <f>783.642338</f>
        <v>783.642338</v>
      </c>
      <c r="BR263">
        <f>816.0056636</f>
        <v>816.00566360000005</v>
      </c>
      <c r="BS263">
        <f>975.881654</f>
        <v>975.88165400000003</v>
      </c>
      <c r="BT263">
        <f>1021.39721</f>
        <v>1021.39721</v>
      </c>
      <c r="BU263">
        <f>947.472051</f>
        <v>947.47205099999996</v>
      </c>
      <c r="BV263">
        <f>818.7921354</f>
        <v>818.79213540000001</v>
      </c>
      <c r="BW263">
        <f>897.4806556</f>
        <v>897.48065559999998</v>
      </c>
      <c r="BX263">
        <f>1099.162279</f>
        <v>1099.1622789999999</v>
      </c>
      <c r="BY263">
        <f>1108.548795</f>
        <v>1108.5487949999999</v>
      </c>
      <c r="BZ263">
        <f>1033.541115</f>
        <v>1033.541115</v>
      </c>
      <c r="CA263">
        <f>1048.973379</f>
        <v>1048.973379</v>
      </c>
      <c r="CB263">
        <f>937.6447955</f>
        <v>937.64479549999999</v>
      </c>
      <c r="CC263">
        <f>1078.233467</f>
        <v>1078.233467</v>
      </c>
      <c r="CD263">
        <f>1070.258309</f>
        <v>1070.2583090000001</v>
      </c>
      <c r="CE263">
        <f>1178.511637</f>
        <v>1178.5116370000001</v>
      </c>
      <c r="CF263">
        <f>1213.541168</f>
        <v>1213.541168</v>
      </c>
      <c r="CG263">
        <f>1244.008178</f>
        <v>1244.008178</v>
      </c>
      <c r="CH263">
        <f>1133.100916</f>
        <v>1133.1009160000001</v>
      </c>
      <c r="CI263">
        <f>1040.281086</f>
        <v>1040.281086</v>
      </c>
      <c r="CJ263">
        <f>1055.426458</f>
        <v>1055.4264579999999</v>
      </c>
      <c r="CK263">
        <f>1083.711415</f>
        <v>1083.711415</v>
      </c>
      <c r="CL263">
        <f>1034.064648</f>
        <v>1034.064648</v>
      </c>
      <c r="CM263">
        <f>1118.583507</f>
        <v>1118.5835070000001</v>
      </c>
      <c r="CN263">
        <f>1127.267251</f>
        <v>1127.267251</v>
      </c>
      <c r="CO263">
        <f>1039.091467</f>
        <v>1039.091467</v>
      </c>
      <c r="CP263">
        <f>961.4888865</f>
        <v>961.48888650000004</v>
      </c>
      <c r="CQ263">
        <f>1007.226193</f>
        <v>1007.226193</v>
      </c>
      <c r="CR263">
        <f>1057.297833</f>
        <v>1057.2978330000001</v>
      </c>
      <c r="CS263">
        <f>1100.299381</f>
        <v>1100.299381</v>
      </c>
      <c r="CT263">
        <f>1034.517703</f>
        <v>1034.517703</v>
      </c>
      <c r="CU263">
        <f>1136.539328</f>
        <v>1136.5393280000001</v>
      </c>
      <c r="CV263">
        <f>1173.289978</f>
        <v>1173.289978</v>
      </c>
      <c r="CW263">
        <f>1004.553483</f>
        <v>1004.553483</v>
      </c>
      <c r="CX263">
        <f>961.639134</f>
        <v>961.63913400000001</v>
      </c>
      <c r="CY263">
        <f>1104.770716</f>
        <v>1104.770716</v>
      </c>
      <c r="CZ263">
        <f>1233.542834</f>
        <v>1233.5428340000001</v>
      </c>
      <c r="DA263">
        <f>1127.613147</f>
        <v>1127.613147</v>
      </c>
      <c r="DB263">
        <f>991.389437</f>
        <v>991.38943700000004</v>
      </c>
      <c r="DC263">
        <f>1113.412555</f>
        <v>1113.4125550000001</v>
      </c>
      <c r="DD263">
        <f>1450.870268</f>
        <v>1450.8702679999999</v>
      </c>
      <c r="DE263">
        <f>1446.299598</f>
        <v>1446.2995980000001</v>
      </c>
      <c r="DF263">
        <f>1416.087401</f>
        <v>1416.087401</v>
      </c>
      <c r="DG263">
        <f>1464.508025</f>
        <v>1464.5080250000001</v>
      </c>
      <c r="DH263">
        <f>1472.149892</f>
        <v>1472.1498919999999</v>
      </c>
      <c r="DI263">
        <f>1259.568225</f>
        <v>1259.568225</v>
      </c>
      <c r="DJ263">
        <f>1096.601046</f>
        <v>1096.601046</v>
      </c>
      <c r="DK263">
        <f>1151.395904</f>
        <v>1151.395904</v>
      </c>
      <c r="DL263">
        <f>987.1978847</f>
        <v>987.19788470000003</v>
      </c>
      <c r="DM263">
        <f>1073.85775</f>
        <v>1073.8577499999999</v>
      </c>
      <c r="DN263">
        <f>1160.14223</f>
        <v>1160.1422299999999</v>
      </c>
      <c r="DO263">
        <f>1188.788911</f>
        <v>1188.7889110000001</v>
      </c>
      <c r="DP263">
        <f>1132.945241</f>
        <v>1132.9452409999999</v>
      </c>
      <c r="DQ263">
        <f>1202.699541</f>
        <v>1202.699541</v>
      </c>
      <c r="DR263">
        <f>1101.362424</f>
        <v>1101.3624239999999</v>
      </c>
      <c r="DS263">
        <f>1183.827174</f>
        <v>1183.827174</v>
      </c>
      <c r="DT263">
        <f>1010.531379</f>
        <v>1010.531379</v>
      </c>
      <c r="DU263">
        <f>999.7458135</f>
        <v>999.74581350000005</v>
      </c>
    </row>
    <row r="264" spans="1:125" x14ac:dyDescent="0.25">
      <c r="A264" t="str">
        <f>"    GAZ PJSC"</f>
        <v xml:space="preserve">    GAZ PJSC</v>
      </c>
      <c r="B264" t="str">
        <f>"GAZA RM Equity"</f>
        <v>GAZA RM Equity</v>
      </c>
      <c r="C264" t="str">
        <f t="shared" si="18"/>
        <v>RR010</v>
      </c>
      <c r="D264" t="str">
        <f t="shared" si="19"/>
        <v>TOT_COMMON_EQY</v>
      </c>
      <c r="E264" t="str">
        <f t="shared" si="20"/>
        <v>Dynamic</v>
      </c>
      <c r="F264" t="str">
        <f ca="1">IF(AND(ISNUMBER($F$767),$B$511=1),$F$767,HLOOKUP(INDIRECT(ADDRESS(2,COLUMN())),OFFSET($BN$2,0,0,ROW()-1,60),ROW()-1,FALSE))</f>
        <v/>
      </c>
      <c r="G264" t="str">
        <f ca="1">IF(AND(ISNUMBER($G$767),$B$511=1),$G$767,HLOOKUP(INDIRECT(ADDRESS(2,COLUMN())),OFFSET($BN$2,0,0,ROW()-1,60),ROW()-1,FALSE))</f>
        <v/>
      </c>
      <c r="H264" t="str">
        <f ca="1">IF(AND(ISNUMBER($H$767),$B$511=1),$H$767,HLOOKUP(INDIRECT(ADDRESS(2,COLUMN())),OFFSET($BN$2,0,0,ROW()-1,60),ROW()-1,FALSE))</f>
        <v/>
      </c>
      <c r="I264" t="str">
        <f ca="1">IF(AND(ISNUMBER($I$767),$B$511=1),$I$767,HLOOKUP(INDIRECT(ADDRESS(2,COLUMN())),OFFSET($BN$2,0,0,ROW()-1,60),ROW()-1,FALSE))</f>
        <v/>
      </c>
      <c r="J264" t="str">
        <f ca="1">IF(AND(ISNUMBER($J$767),$B$511=1),$J$767,HLOOKUP(INDIRECT(ADDRESS(2,COLUMN())),OFFSET($BN$2,0,0,ROW()-1,60),ROW()-1,FALSE))</f>
        <v/>
      </c>
      <c r="K264" t="str">
        <f ca="1">IF(AND(ISNUMBER($K$767),$B$511=1),$K$767,HLOOKUP(INDIRECT(ADDRESS(2,COLUMN())),OFFSET($BN$2,0,0,ROW()-1,60),ROW()-1,FALSE))</f>
        <v/>
      </c>
      <c r="L264" t="str">
        <f ca="1">IF(AND(ISNUMBER($L$767),$B$511=1),$L$767,HLOOKUP(INDIRECT(ADDRESS(2,COLUMN())),OFFSET($BN$2,0,0,ROW()-1,60),ROW()-1,FALSE))</f>
        <v/>
      </c>
      <c r="M264" t="str">
        <f ca="1">IF(AND(ISNUMBER($M$767),$B$511=1),$M$767,HLOOKUP(INDIRECT(ADDRESS(2,COLUMN())),OFFSET($BN$2,0,0,ROW()-1,60),ROW()-1,FALSE))</f>
        <v/>
      </c>
      <c r="N264" t="str">
        <f ca="1">IF(AND(ISNUMBER($N$767),$B$511=1),$N$767,HLOOKUP(INDIRECT(ADDRESS(2,COLUMN())),OFFSET($BN$2,0,0,ROW()-1,60),ROW()-1,FALSE))</f>
        <v/>
      </c>
      <c r="O264" t="str">
        <f ca="1">IF(AND(ISNUMBER($O$767),$B$511=1),$O$767,HLOOKUP(INDIRECT(ADDRESS(2,COLUMN())),OFFSET($BN$2,0,0,ROW()-1,60),ROW()-1,FALSE))</f>
        <v/>
      </c>
      <c r="P264" t="str">
        <f ca="1">IF(AND(ISNUMBER($P$767),$B$511=1),$P$767,HLOOKUP(INDIRECT(ADDRESS(2,COLUMN())),OFFSET($BN$2,0,0,ROW()-1,60),ROW()-1,FALSE))</f>
        <v/>
      </c>
      <c r="Q264" t="str">
        <f ca="1">IF(AND(ISNUMBER($Q$767),$B$511=1),$Q$767,HLOOKUP(INDIRECT(ADDRESS(2,COLUMN())),OFFSET($BN$2,0,0,ROW()-1,60),ROW()-1,FALSE))</f>
        <v/>
      </c>
      <c r="R264" t="str">
        <f ca="1">IF(AND(ISNUMBER($R$767),$B$511=1),$R$767,HLOOKUP(INDIRECT(ADDRESS(2,COLUMN())),OFFSET($BN$2,0,0,ROW()-1,60),ROW()-1,FALSE))</f>
        <v/>
      </c>
      <c r="S264" t="str">
        <f ca="1">IF(AND(ISNUMBER($S$767),$B$511=1),$S$767,HLOOKUP(INDIRECT(ADDRESS(2,COLUMN())),OFFSET($BN$2,0,0,ROW()-1,60),ROW()-1,FALSE))</f>
        <v/>
      </c>
      <c r="T264" t="str">
        <f ca="1">IF(AND(ISNUMBER($T$767),$B$511=1),$T$767,HLOOKUP(INDIRECT(ADDRESS(2,COLUMN())),OFFSET($BN$2,0,0,ROW()-1,60),ROW()-1,FALSE))</f>
        <v/>
      </c>
      <c r="U264" t="str">
        <f ca="1">IF(AND(ISNUMBER($U$767),$B$511=1),$U$767,HLOOKUP(INDIRECT(ADDRESS(2,COLUMN())),OFFSET($BN$2,0,0,ROW()-1,60),ROW()-1,FALSE))</f>
        <v/>
      </c>
      <c r="V264" t="str">
        <f ca="1">IF(AND(ISNUMBER($V$767),$B$511=1),$V$767,HLOOKUP(INDIRECT(ADDRESS(2,COLUMN())),OFFSET($BN$2,0,0,ROW()-1,60),ROW()-1,FALSE))</f>
        <v/>
      </c>
      <c r="W264" t="str">
        <f ca="1">IF(AND(ISNUMBER($W$767),$B$511=1),$W$767,HLOOKUP(INDIRECT(ADDRESS(2,COLUMN())),OFFSET($BN$2,0,0,ROW()-1,60),ROW()-1,FALSE))</f>
        <v/>
      </c>
      <c r="X264" t="str">
        <f ca="1">IF(AND(ISNUMBER($X$767),$B$511=1),$X$767,HLOOKUP(INDIRECT(ADDRESS(2,COLUMN())),OFFSET($BN$2,0,0,ROW()-1,60),ROW()-1,FALSE))</f>
        <v/>
      </c>
      <c r="Y264" t="str">
        <f ca="1">IF(AND(ISNUMBER($Y$767),$B$511=1),$Y$767,HLOOKUP(INDIRECT(ADDRESS(2,COLUMN())),OFFSET($BN$2,0,0,ROW()-1,60),ROW()-1,FALSE))</f>
        <v/>
      </c>
      <c r="Z264" t="str">
        <f ca="1">IF(AND(ISNUMBER($Z$767),$B$511=1),$Z$767,HLOOKUP(INDIRECT(ADDRESS(2,COLUMN())),OFFSET($BN$2,0,0,ROW()-1,60),ROW()-1,FALSE))</f>
        <v/>
      </c>
      <c r="AA264" t="str">
        <f ca="1">IF(AND(ISNUMBER($AA$767),$B$511=1),$AA$767,HLOOKUP(INDIRECT(ADDRESS(2,COLUMN())),OFFSET($BN$2,0,0,ROW()-1,60),ROW()-1,FALSE))</f>
        <v/>
      </c>
      <c r="AB264" t="str">
        <f ca="1">IF(AND(ISNUMBER($AB$767),$B$511=1),$AB$767,HLOOKUP(INDIRECT(ADDRESS(2,COLUMN())),OFFSET($BN$2,0,0,ROW()-1,60),ROW()-1,FALSE))</f>
        <v/>
      </c>
      <c r="AC264" t="str">
        <f ca="1">IF(AND(ISNUMBER($AC$767),$B$511=1),$AC$767,HLOOKUP(INDIRECT(ADDRESS(2,COLUMN())),OFFSET($BN$2,0,0,ROW()-1,60),ROW()-1,FALSE))</f>
        <v/>
      </c>
      <c r="AD264" t="str">
        <f ca="1">IF(AND(ISNUMBER($AD$767),$B$511=1),$AD$767,HLOOKUP(INDIRECT(ADDRESS(2,COLUMN())),OFFSET($BN$2,0,0,ROW()-1,60),ROW()-1,FALSE))</f>
        <v/>
      </c>
      <c r="AE264" t="str">
        <f ca="1">IF(AND(ISNUMBER($AE$767),$B$511=1),$AE$767,HLOOKUP(INDIRECT(ADDRESS(2,COLUMN())),OFFSET($BN$2,0,0,ROW()-1,60),ROW()-1,FALSE))</f>
        <v/>
      </c>
      <c r="AF264" t="str">
        <f ca="1">IF(AND(ISNUMBER($AF$767),$B$511=1),$AF$767,HLOOKUP(INDIRECT(ADDRESS(2,COLUMN())),OFFSET($BN$2,0,0,ROW()-1,60),ROW()-1,FALSE))</f>
        <v/>
      </c>
      <c r="AG264" t="str">
        <f ca="1">IF(AND(ISNUMBER($AG$767),$B$511=1),$AG$767,HLOOKUP(INDIRECT(ADDRESS(2,COLUMN())),OFFSET($BN$2,0,0,ROW()-1,60),ROW()-1,FALSE))</f>
        <v/>
      </c>
      <c r="AH264" t="str">
        <f ca="1">IF(AND(ISNUMBER($AH$767),$B$511=1),$AH$767,HLOOKUP(INDIRECT(ADDRESS(2,COLUMN())),OFFSET($BN$2,0,0,ROW()-1,60),ROW()-1,FALSE))</f>
        <v/>
      </c>
      <c r="AI264" t="str">
        <f ca="1">IF(AND(ISNUMBER($AI$767),$B$511=1),$AI$767,HLOOKUP(INDIRECT(ADDRESS(2,COLUMN())),OFFSET($BN$2,0,0,ROW()-1,60),ROW()-1,FALSE))</f>
        <v/>
      </c>
      <c r="AJ264" t="str">
        <f ca="1">IF(AND(ISNUMBER($AJ$767),$B$511=1),$AJ$767,HLOOKUP(INDIRECT(ADDRESS(2,COLUMN())),OFFSET($BN$2,0,0,ROW()-1,60),ROW()-1,FALSE))</f>
        <v/>
      </c>
      <c r="AK264" t="str">
        <f ca="1">IF(AND(ISNUMBER($AK$767),$B$511=1),$AK$767,HLOOKUP(INDIRECT(ADDRESS(2,COLUMN())),OFFSET($BN$2,0,0,ROW()-1,60),ROW()-1,FALSE))</f>
        <v/>
      </c>
      <c r="AL264" t="str">
        <f ca="1">IF(AND(ISNUMBER($AL$767),$B$511=1),$AL$767,HLOOKUP(INDIRECT(ADDRESS(2,COLUMN())),OFFSET($BN$2,0,0,ROW()-1,60),ROW()-1,FALSE))</f>
        <v/>
      </c>
      <c r="AM264" t="str">
        <f ca="1">IF(AND(ISNUMBER($AM$767),$B$511=1),$AM$767,HLOOKUP(INDIRECT(ADDRESS(2,COLUMN())),OFFSET($BN$2,0,0,ROW()-1,60),ROW()-1,FALSE))</f>
        <v/>
      </c>
      <c r="AN264" t="str">
        <f ca="1">IF(AND(ISNUMBER($AN$767),$B$511=1),$AN$767,HLOOKUP(INDIRECT(ADDRESS(2,COLUMN())),OFFSET($BN$2,0,0,ROW()-1,60),ROW()-1,FALSE))</f>
        <v/>
      </c>
      <c r="AO264" t="str">
        <f ca="1">IF(AND(ISNUMBER($AO$767),$B$511=1),$AO$767,HLOOKUP(INDIRECT(ADDRESS(2,COLUMN())),OFFSET($BN$2,0,0,ROW()-1,60),ROW()-1,FALSE))</f>
        <v/>
      </c>
      <c r="AP264" t="str">
        <f ca="1">IF(AND(ISNUMBER($AP$767),$B$511=1),$AP$767,HLOOKUP(INDIRECT(ADDRESS(2,COLUMN())),OFFSET($BN$2,0,0,ROW()-1,60),ROW()-1,FALSE))</f>
        <v/>
      </c>
      <c r="AQ264" t="str">
        <f ca="1">IF(AND(ISNUMBER($AQ$767),$B$511=1),$AQ$767,HLOOKUP(INDIRECT(ADDRESS(2,COLUMN())),OFFSET($BN$2,0,0,ROW()-1,60),ROW()-1,FALSE))</f>
        <v/>
      </c>
      <c r="AR264" t="str">
        <f ca="1">IF(AND(ISNUMBER($AR$767),$B$511=1),$AR$767,HLOOKUP(INDIRECT(ADDRESS(2,COLUMN())),OFFSET($BN$2,0,0,ROW()-1,60),ROW()-1,FALSE))</f>
        <v/>
      </c>
      <c r="AS264" t="str">
        <f ca="1">IF(AND(ISNUMBER($AS$767),$B$511=1),$AS$767,HLOOKUP(INDIRECT(ADDRESS(2,COLUMN())),OFFSET($BN$2,0,0,ROW()-1,60),ROW()-1,FALSE))</f>
        <v/>
      </c>
      <c r="AT264" t="str">
        <f ca="1">IF(AND(ISNUMBER($AT$767),$B$511=1),$AT$767,HLOOKUP(INDIRECT(ADDRESS(2,COLUMN())),OFFSET($BN$2,0,0,ROW()-1,60),ROW()-1,FALSE))</f>
        <v/>
      </c>
      <c r="AU264" t="str">
        <f ca="1">IF(AND(ISNUMBER($AU$767),$B$511=1),$AU$767,HLOOKUP(INDIRECT(ADDRESS(2,COLUMN())),OFFSET($BN$2,0,0,ROW()-1,60),ROW()-1,FALSE))</f>
        <v/>
      </c>
      <c r="AV264" t="str">
        <f ca="1">IF(AND(ISNUMBER($AV$767),$B$511=1),$AV$767,HLOOKUP(INDIRECT(ADDRESS(2,COLUMN())),OFFSET($BN$2,0,0,ROW()-1,60),ROW()-1,FALSE))</f>
        <v/>
      </c>
      <c r="AW264" t="str">
        <f ca="1">IF(AND(ISNUMBER($AW$767),$B$511=1),$AW$767,HLOOKUP(INDIRECT(ADDRESS(2,COLUMN())),OFFSET($BN$2,0,0,ROW()-1,60),ROW()-1,FALSE))</f>
        <v/>
      </c>
      <c r="AX264" t="str">
        <f ca="1">IF(AND(ISNUMBER($AX$767),$B$511=1),$AX$767,HLOOKUP(INDIRECT(ADDRESS(2,COLUMN())),OFFSET($BN$2,0,0,ROW()-1,60),ROW()-1,FALSE))</f>
        <v/>
      </c>
      <c r="AY264" t="str">
        <f ca="1">IF(AND(ISNUMBER($AY$767),$B$511=1),$AY$767,HLOOKUP(INDIRECT(ADDRESS(2,COLUMN())),OFFSET($BN$2,0,0,ROW()-1,60),ROW()-1,FALSE))</f>
        <v/>
      </c>
      <c r="AZ264" t="str">
        <f ca="1">IF(AND(ISNUMBER($AZ$767),$B$511=1),$AZ$767,HLOOKUP(INDIRECT(ADDRESS(2,COLUMN())),OFFSET($BN$2,0,0,ROW()-1,60),ROW()-1,FALSE))</f>
        <v/>
      </c>
      <c r="BA264" t="str">
        <f ca="1">IF(AND(ISNUMBER($BA$767),$B$511=1),$BA$767,HLOOKUP(INDIRECT(ADDRESS(2,COLUMN())),OFFSET($BN$2,0,0,ROW()-1,60),ROW()-1,FALSE))</f>
        <v/>
      </c>
      <c r="BB264" t="str">
        <f ca="1">IF(AND(ISNUMBER($BB$767),$B$511=1),$BB$767,HLOOKUP(INDIRECT(ADDRESS(2,COLUMN())),OFFSET($BN$2,0,0,ROW()-1,60),ROW()-1,FALSE))</f>
        <v/>
      </c>
      <c r="BC264" t="str">
        <f ca="1">IF(AND(ISNUMBER($BC$767),$B$511=1),$BC$767,HLOOKUP(INDIRECT(ADDRESS(2,COLUMN())),OFFSET($BN$2,0,0,ROW()-1,60),ROW()-1,FALSE))</f>
        <v/>
      </c>
      <c r="BD264" t="str">
        <f ca="1">IF(AND(ISNUMBER($BD$767),$B$511=1),$BD$767,HLOOKUP(INDIRECT(ADDRESS(2,COLUMN())),OFFSET($BN$2,0,0,ROW()-1,60),ROW()-1,FALSE))</f>
        <v/>
      </c>
      <c r="BE264" t="str">
        <f ca="1">IF(AND(ISNUMBER($BE$767),$B$511=1),$BE$767,HLOOKUP(INDIRECT(ADDRESS(2,COLUMN())),OFFSET($BN$2,0,0,ROW()-1,60),ROW()-1,FALSE))</f>
        <v/>
      </c>
      <c r="BF264" t="str">
        <f ca="1">IF(AND(ISNUMBER($BF$767),$B$511=1),$BF$767,HLOOKUP(INDIRECT(ADDRESS(2,COLUMN())),OFFSET($BN$2,0,0,ROW()-1,60),ROW()-1,FALSE))</f>
        <v/>
      </c>
      <c r="BG264" t="str">
        <f ca="1">IF(AND(ISNUMBER($BG$767),$B$511=1),$BG$767,HLOOKUP(INDIRECT(ADDRESS(2,COLUMN())),OFFSET($BN$2,0,0,ROW()-1,60),ROW()-1,FALSE))</f>
        <v/>
      </c>
      <c r="BH264" t="str">
        <f ca="1">IF(AND(ISNUMBER($BH$767),$B$511=1),$BH$767,HLOOKUP(INDIRECT(ADDRESS(2,COLUMN())),OFFSET($BN$2,0,0,ROW()-1,60),ROW()-1,FALSE))</f>
        <v/>
      </c>
      <c r="BI264" t="str">
        <f ca="1">IF(AND(ISNUMBER($BI$767),$B$511=1),$BI$767,HLOOKUP(INDIRECT(ADDRESS(2,COLUMN())),OFFSET($BN$2,0,0,ROW()-1,60),ROW()-1,FALSE))</f>
        <v/>
      </c>
      <c r="BJ264" t="str">
        <f ca="1">IF(AND(ISNUMBER($BJ$767),$B$511=1),$BJ$767,HLOOKUP(INDIRECT(ADDRESS(2,COLUMN())),OFFSET($BN$2,0,0,ROW()-1,60),ROW()-1,FALSE))</f>
        <v/>
      </c>
      <c r="BK264" t="str">
        <f ca="1">IF(AND(ISNUMBER($BK$767),$B$511=1),$BK$767,HLOOKUP(INDIRECT(ADDRESS(2,COLUMN())),OFFSET($BN$2,0,0,ROW()-1,60),ROW()-1,FALSE))</f>
        <v/>
      </c>
      <c r="BL264" t="str">
        <f ca="1">IF(AND(ISNUMBER($BL$767),$B$511=1),$BL$767,HLOOKUP(INDIRECT(ADDRESS(2,COLUMN())),OFFSET($BN$2,0,0,ROW()-1,60),ROW()-1,FALSE))</f>
        <v/>
      </c>
      <c r="BM264" t="str">
        <f ca="1">IF(AND(ISNUMBER($BM$767),$B$511=1),$BM$767,HLOOKUP(INDIRECT(ADDRESS(2,COLUMN())),OFFSET($BN$2,0,0,ROW()-1,60),ROW()-1,FALSE))</f>
        <v/>
      </c>
      <c r="BN264" t="str">
        <f>""</f>
        <v/>
      </c>
      <c r="BO264" t="str">
        <f>""</f>
        <v/>
      </c>
      <c r="BP264" t="str">
        <f>""</f>
        <v/>
      </c>
      <c r="BQ264" t="str">
        <f>""</f>
        <v/>
      </c>
      <c r="BR264" t="str">
        <f>""</f>
        <v/>
      </c>
      <c r="BS264" t="str">
        <f>""</f>
        <v/>
      </c>
      <c r="BT264" t="str">
        <f>""</f>
        <v/>
      </c>
      <c r="BU264" t="str">
        <f>""</f>
        <v/>
      </c>
      <c r="BV264" t="str">
        <f>""</f>
        <v/>
      </c>
      <c r="BW264" t="str">
        <f>""</f>
        <v/>
      </c>
      <c r="BX264" t="str">
        <f>""</f>
        <v/>
      </c>
      <c r="BY264" t="str">
        <f>""</f>
        <v/>
      </c>
      <c r="BZ264" t="str">
        <f>""</f>
        <v/>
      </c>
      <c r="CA264" t="str">
        <f>""</f>
        <v/>
      </c>
      <c r="CB264" t="str">
        <f>""</f>
        <v/>
      </c>
      <c r="CC264" t="str">
        <f>""</f>
        <v/>
      </c>
      <c r="CD264" t="str">
        <f>""</f>
        <v/>
      </c>
      <c r="CE264" t="str">
        <f>""</f>
        <v/>
      </c>
      <c r="CF264" t="str">
        <f>""</f>
        <v/>
      </c>
      <c r="CG264" t="str">
        <f>""</f>
        <v/>
      </c>
      <c r="CH264" t="str">
        <f>""</f>
        <v/>
      </c>
      <c r="CI264" t="str">
        <f>""</f>
        <v/>
      </c>
      <c r="CJ264" t="str">
        <f>""</f>
        <v/>
      </c>
      <c r="CK264" t="str">
        <f>""</f>
        <v/>
      </c>
      <c r="CL264" t="str">
        <f>""</f>
        <v/>
      </c>
      <c r="CM264" t="str">
        <f>""</f>
        <v/>
      </c>
      <c r="CN264" t="str">
        <f>""</f>
        <v/>
      </c>
      <c r="CO264" t="str">
        <f>""</f>
        <v/>
      </c>
      <c r="CP264" t="str">
        <f>""</f>
        <v/>
      </c>
      <c r="CQ264" t="str">
        <f>""</f>
        <v/>
      </c>
      <c r="CR264" t="str">
        <f>""</f>
        <v/>
      </c>
      <c r="CS264" t="str">
        <f>""</f>
        <v/>
      </c>
      <c r="CT264" t="str">
        <f>""</f>
        <v/>
      </c>
      <c r="CU264" t="str">
        <f>""</f>
        <v/>
      </c>
      <c r="CV264" t="str">
        <f>""</f>
        <v/>
      </c>
      <c r="CW264" t="str">
        <f>""</f>
        <v/>
      </c>
      <c r="CX264" t="str">
        <f>""</f>
        <v/>
      </c>
      <c r="CY264" t="str">
        <f>""</f>
        <v/>
      </c>
      <c r="CZ264" t="str">
        <f>""</f>
        <v/>
      </c>
      <c r="DA264" t="str">
        <f>""</f>
        <v/>
      </c>
      <c r="DB264" t="str">
        <f>""</f>
        <v/>
      </c>
      <c r="DC264" t="str">
        <f>""</f>
        <v/>
      </c>
      <c r="DD264" t="str">
        <f>""</f>
        <v/>
      </c>
      <c r="DE264" t="str">
        <f>""</f>
        <v/>
      </c>
      <c r="DF264" t="str">
        <f>""</f>
        <v/>
      </c>
      <c r="DG264" t="str">
        <f>""</f>
        <v/>
      </c>
      <c r="DH264" t="str">
        <f>""</f>
        <v/>
      </c>
      <c r="DI264" t="str">
        <f>""</f>
        <v/>
      </c>
      <c r="DJ264" t="str">
        <f>""</f>
        <v/>
      </c>
      <c r="DK264" t="str">
        <f>""</f>
        <v/>
      </c>
      <c r="DL264" t="str">
        <f>""</f>
        <v/>
      </c>
      <c r="DM264" t="str">
        <f>""</f>
        <v/>
      </c>
      <c r="DN264" t="str">
        <f>""</f>
        <v/>
      </c>
      <c r="DO264" t="str">
        <f>""</f>
        <v/>
      </c>
      <c r="DP264" t="str">
        <f>""</f>
        <v/>
      </c>
      <c r="DQ264" t="str">
        <f>""</f>
        <v/>
      </c>
      <c r="DR264" t="str">
        <f>""</f>
        <v/>
      </c>
      <c r="DS264" t="str">
        <f>""</f>
        <v/>
      </c>
      <c r="DT264" t="str">
        <f>""</f>
        <v/>
      </c>
      <c r="DU264" t="str">
        <f>""</f>
        <v/>
      </c>
    </row>
    <row r="265" spans="1:125" x14ac:dyDescent="0.25">
      <c r="A265" t="str">
        <f>"    Geely Automobile Holdings Ltd"</f>
        <v xml:space="preserve">    Geely Automobile Holdings Ltd</v>
      </c>
      <c r="B265" t="str">
        <f>"175 HK Equity"</f>
        <v>175 HK Equity</v>
      </c>
      <c r="C265" t="str">
        <f t="shared" si="18"/>
        <v>RR010</v>
      </c>
      <c r="D265" t="str">
        <f t="shared" si="19"/>
        <v>TOT_COMMON_EQY</v>
      </c>
      <c r="E265" t="str">
        <f t="shared" si="20"/>
        <v>Dynamic</v>
      </c>
      <c r="F265" t="str">
        <f ca="1">IF(AND(ISNUMBER($F$768),$B$511=1),$F$768,HLOOKUP(INDIRECT(ADDRESS(2,COLUMN())),OFFSET($BN$2,0,0,ROW()-1,60),ROW()-1,FALSE))</f>
        <v/>
      </c>
      <c r="G265" t="str">
        <f ca="1">IF(AND(ISNUMBER($G$768),$B$511=1),$G$768,HLOOKUP(INDIRECT(ADDRESS(2,COLUMN())),OFFSET($BN$2,0,0,ROW()-1,60),ROW()-1,FALSE))</f>
        <v/>
      </c>
      <c r="H265" t="str">
        <f ca="1">IF(AND(ISNUMBER($H$768),$B$511=1),$H$768,HLOOKUP(INDIRECT(ADDRESS(2,COLUMN())),OFFSET($BN$2,0,0,ROW()-1,60),ROW()-1,FALSE))</f>
        <v/>
      </c>
      <c r="I265" t="str">
        <f ca="1">IF(AND(ISNUMBER($I$768),$B$511=1),$I$768,HLOOKUP(INDIRECT(ADDRESS(2,COLUMN())),OFFSET($BN$2,0,0,ROW()-1,60),ROW()-1,FALSE))</f>
        <v/>
      </c>
      <c r="J265" t="str">
        <f ca="1">IF(AND(ISNUMBER($J$768),$B$511=1),$J$768,HLOOKUP(INDIRECT(ADDRESS(2,COLUMN())),OFFSET($BN$2,0,0,ROW()-1,60),ROW()-1,FALSE))</f>
        <v/>
      </c>
      <c r="K265" t="str">
        <f ca="1">IF(AND(ISNUMBER($K$768),$B$511=1),$K$768,HLOOKUP(INDIRECT(ADDRESS(2,COLUMN())),OFFSET($BN$2,0,0,ROW()-1,60),ROW()-1,FALSE))</f>
        <v/>
      </c>
      <c r="L265" t="str">
        <f ca="1">IF(AND(ISNUMBER($L$768),$B$511=1),$L$768,HLOOKUP(INDIRECT(ADDRESS(2,COLUMN())),OFFSET($BN$2,0,0,ROW()-1,60),ROW()-1,FALSE))</f>
        <v/>
      </c>
      <c r="M265" t="str">
        <f ca="1">IF(AND(ISNUMBER($M$768),$B$511=1),$M$768,HLOOKUP(INDIRECT(ADDRESS(2,COLUMN())),OFFSET($BN$2,0,0,ROW()-1,60),ROW()-1,FALSE))</f>
        <v/>
      </c>
      <c r="N265" t="str">
        <f ca="1">IF(AND(ISNUMBER($N$768),$B$511=1),$N$768,HLOOKUP(INDIRECT(ADDRESS(2,COLUMN())),OFFSET($BN$2,0,0,ROW()-1,60),ROW()-1,FALSE))</f>
        <v/>
      </c>
      <c r="O265" t="str">
        <f ca="1">IF(AND(ISNUMBER($O$768),$B$511=1),$O$768,HLOOKUP(INDIRECT(ADDRESS(2,COLUMN())),OFFSET($BN$2,0,0,ROW()-1,60),ROW()-1,FALSE))</f>
        <v/>
      </c>
      <c r="P265" t="str">
        <f ca="1">IF(AND(ISNUMBER($P$768),$B$511=1),$P$768,HLOOKUP(INDIRECT(ADDRESS(2,COLUMN())),OFFSET($BN$2,0,0,ROW()-1,60),ROW()-1,FALSE))</f>
        <v/>
      </c>
      <c r="Q265" t="str">
        <f ca="1">IF(AND(ISNUMBER($Q$768),$B$511=1),$Q$768,HLOOKUP(INDIRECT(ADDRESS(2,COLUMN())),OFFSET($BN$2,0,0,ROW()-1,60),ROW()-1,FALSE))</f>
        <v/>
      </c>
      <c r="R265" t="str">
        <f ca="1">IF(AND(ISNUMBER($R$768),$B$511=1),$R$768,HLOOKUP(INDIRECT(ADDRESS(2,COLUMN())),OFFSET($BN$2,0,0,ROW()-1,60),ROW()-1,FALSE))</f>
        <v/>
      </c>
      <c r="S265" t="str">
        <f ca="1">IF(AND(ISNUMBER($S$768),$B$511=1),$S$768,HLOOKUP(INDIRECT(ADDRESS(2,COLUMN())),OFFSET($BN$2,0,0,ROW()-1,60),ROW()-1,FALSE))</f>
        <v/>
      </c>
      <c r="T265" t="str">
        <f ca="1">IF(AND(ISNUMBER($T$768),$B$511=1),$T$768,HLOOKUP(INDIRECT(ADDRESS(2,COLUMN())),OFFSET($BN$2,0,0,ROW()-1,60),ROW()-1,FALSE))</f>
        <v/>
      </c>
      <c r="U265" t="str">
        <f ca="1">IF(AND(ISNUMBER($U$768),$B$511=1),$U$768,HLOOKUP(INDIRECT(ADDRESS(2,COLUMN())),OFFSET($BN$2,0,0,ROW()-1,60),ROW()-1,FALSE))</f>
        <v/>
      </c>
      <c r="V265" t="str">
        <f ca="1">IF(AND(ISNUMBER($V$768),$B$511=1),$V$768,HLOOKUP(INDIRECT(ADDRESS(2,COLUMN())),OFFSET($BN$2,0,0,ROW()-1,60),ROW()-1,FALSE))</f>
        <v/>
      </c>
      <c r="W265" t="str">
        <f ca="1">IF(AND(ISNUMBER($W$768),$B$511=1),$W$768,HLOOKUP(INDIRECT(ADDRESS(2,COLUMN())),OFFSET($BN$2,0,0,ROW()-1,60),ROW()-1,FALSE))</f>
        <v/>
      </c>
      <c r="X265" t="str">
        <f ca="1">IF(AND(ISNUMBER($X$768),$B$511=1),$X$768,HLOOKUP(INDIRECT(ADDRESS(2,COLUMN())),OFFSET($BN$2,0,0,ROW()-1,60),ROW()-1,FALSE))</f>
        <v/>
      </c>
      <c r="Y265" t="str">
        <f ca="1">IF(AND(ISNUMBER($Y$768),$B$511=1),$Y$768,HLOOKUP(INDIRECT(ADDRESS(2,COLUMN())),OFFSET($BN$2,0,0,ROW()-1,60),ROW()-1,FALSE))</f>
        <v/>
      </c>
      <c r="Z265" t="str">
        <f ca="1">IF(AND(ISNUMBER($Z$768),$B$511=1),$Z$768,HLOOKUP(INDIRECT(ADDRESS(2,COLUMN())),OFFSET($BN$2,0,0,ROW()-1,60),ROW()-1,FALSE))</f>
        <v/>
      </c>
      <c r="AA265" t="str">
        <f ca="1">IF(AND(ISNUMBER($AA$768),$B$511=1),$AA$768,HLOOKUP(INDIRECT(ADDRESS(2,COLUMN())),OFFSET($BN$2,0,0,ROW()-1,60),ROW()-1,FALSE))</f>
        <v/>
      </c>
      <c r="AB265" t="str">
        <f ca="1">IF(AND(ISNUMBER($AB$768),$B$511=1),$AB$768,HLOOKUP(INDIRECT(ADDRESS(2,COLUMN())),OFFSET($BN$2,0,0,ROW()-1,60),ROW()-1,FALSE))</f>
        <v/>
      </c>
      <c r="AC265" t="str">
        <f ca="1">IF(AND(ISNUMBER($AC$768),$B$511=1),$AC$768,HLOOKUP(INDIRECT(ADDRESS(2,COLUMN())),OFFSET($BN$2,0,0,ROW()-1,60),ROW()-1,FALSE))</f>
        <v/>
      </c>
      <c r="AD265" t="str">
        <f ca="1">IF(AND(ISNUMBER($AD$768),$B$511=1),$AD$768,HLOOKUP(INDIRECT(ADDRESS(2,COLUMN())),OFFSET($BN$2,0,0,ROW()-1,60),ROW()-1,FALSE))</f>
        <v/>
      </c>
      <c r="AE265" t="str">
        <f ca="1">IF(AND(ISNUMBER($AE$768),$B$511=1),$AE$768,HLOOKUP(INDIRECT(ADDRESS(2,COLUMN())),OFFSET($BN$2,0,0,ROW()-1,60),ROW()-1,FALSE))</f>
        <v/>
      </c>
      <c r="AF265" t="str">
        <f ca="1">IF(AND(ISNUMBER($AF$768),$B$511=1),$AF$768,HLOOKUP(INDIRECT(ADDRESS(2,COLUMN())),OFFSET($BN$2,0,0,ROW()-1,60),ROW()-1,FALSE))</f>
        <v/>
      </c>
      <c r="AG265" t="str">
        <f ca="1">IF(AND(ISNUMBER($AG$768),$B$511=1),$AG$768,HLOOKUP(INDIRECT(ADDRESS(2,COLUMN())),OFFSET($BN$2,0,0,ROW()-1,60),ROW()-1,FALSE))</f>
        <v/>
      </c>
      <c r="AH265" t="str">
        <f ca="1">IF(AND(ISNUMBER($AH$768),$B$511=1),$AH$768,HLOOKUP(INDIRECT(ADDRESS(2,COLUMN())),OFFSET($BN$2,0,0,ROW()-1,60),ROW()-1,FALSE))</f>
        <v/>
      </c>
      <c r="AI265" t="str">
        <f ca="1">IF(AND(ISNUMBER($AI$768),$B$511=1),$AI$768,HLOOKUP(INDIRECT(ADDRESS(2,COLUMN())),OFFSET($BN$2,0,0,ROW()-1,60),ROW()-1,FALSE))</f>
        <v/>
      </c>
      <c r="AJ265" t="str">
        <f ca="1">IF(AND(ISNUMBER($AJ$768),$B$511=1),$AJ$768,HLOOKUP(INDIRECT(ADDRESS(2,COLUMN())),OFFSET($BN$2,0,0,ROW()-1,60),ROW()-1,FALSE))</f>
        <v/>
      </c>
      <c r="AK265" t="str">
        <f ca="1">IF(AND(ISNUMBER($AK$768),$B$511=1),$AK$768,HLOOKUP(INDIRECT(ADDRESS(2,COLUMN())),OFFSET($BN$2,0,0,ROW()-1,60),ROW()-1,FALSE))</f>
        <v/>
      </c>
      <c r="AL265" t="str">
        <f ca="1">IF(AND(ISNUMBER($AL$768),$B$511=1),$AL$768,HLOOKUP(INDIRECT(ADDRESS(2,COLUMN())),OFFSET($BN$2,0,0,ROW()-1,60),ROW()-1,FALSE))</f>
        <v/>
      </c>
      <c r="AM265" t="str">
        <f ca="1">IF(AND(ISNUMBER($AM$768),$B$511=1),$AM$768,HLOOKUP(INDIRECT(ADDRESS(2,COLUMN())),OFFSET($BN$2,0,0,ROW()-1,60),ROW()-1,FALSE))</f>
        <v/>
      </c>
      <c r="AN265" t="str">
        <f ca="1">IF(AND(ISNUMBER($AN$768),$B$511=1),$AN$768,HLOOKUP(INDIRECT(ADDRESS(2,COLUMN())),OFFSET($BN$2,0,0,ROW()-1,60),ROW()-1,FALSE))</f>
        <v/>
      </c>
      <c r="AO265" t="str">
        <f ca="1">IF(AND(ISNUMBER($AO$768),$B$511=1),$AO$768,HLOOKUP(INDIRECT(ADDRESS(2,COLUMN())),OFFSET($BN$2,0,0,ROW()-1,60),ROW()-1,FALSE))</f>
        <v/>
      </c>
      <c r="AP265" t="str">
        <f ca="1">IF(AND(ISNUMBER($AP$768),$B$511=1),$AP$768,HLOOKUP(INDIRECT(ADDRESS(2,COLUMN())),OFFSET($BN$2,0,0,ROW()-1,60),ROW()-1,FALSE))</f>
        <v/>
      </c>
      <c r="AQ265" t="str">
        <f ca="1">IF(AND(ISNUMBER($AQ$768),$B$511=1),$AQ$768,HLOOKUP(INDIRECT(ADDRESS(2,COLUMN())),OFFSET($BN$2,0,0,ROW()-1,60),ROW()-1,FALSE))</f>
        <v/>
      </c>
      <c r="AR265" t="str">
        <f ca="1">IF(AND(ISNUMBER($AR$768),$B$511=1),$AR$768,HLOOKUP(INDIRECT(ADDRESS(2,COLUMN())),OFFSET($BN$2,0,0,ROW()-1,60),ROW()-1,FALSE))</f>
        <v/>
      </c>
      <c r="AS265" t="str">
        <f ca="1">IF(AND(ISNUMBER($AS$768),$B$511=1),$AS$768,HLOOKUP(INDIRECT(ADDRESS(2,COLUMN())),OFFSET($BN$2,0,0,ROW()-1,60),ROW()-1,FALSE))</f>
        <v/>
      </c>
      <c r="AT265" t="str">
        <f ca="1">IF(AND(ISNUMBER($AT$768),$B$511=1),$AT$768,HLOOKUP(INDIRECT(ADDRESS(2,COLUMN())),OFFSET($BN$2,0,0,ROW()-1,60),ROW()-1,FALSE))</f>
        <v/>
      </c>
      <c r="AU265" t="str">
        <f ca="1">IF(AND(ISNUMBER($AU$768),$B$511=1),$AU$768,HLOOKUP(INDIRECT(ADDRESS(2,COLUMN())),OFFSET($BN$2,0,0,ROW()-1,60),ROW()-1,FALSE))</f>
        <v/>
      </c>
      <c r="AV265" t="str">
        <f ca="1">IF(AND(ISNUMBER($AV$768),$B$511=1),$AV$768,HLOOKUP(INDIRECT(ADDRESS(2,COLUMN())),OFFSET($BN$2,0,0,ROW()-1,60),ROW()-1,FALSE))</f>
        <v/>
      </c>
      <c r="AW265" t="str">
        <f ca="1">IF(AND(ISNUMBER($AW$768),$B$511=1),$AW$768,HLOOKUP(INDIRECT(ADDRESS(2,COLUMN())),OFFSET($BN$2,0,0,ROW()-1,60),ROW()-1,FALSE))</f>
        <v/>
      </c>
      <c r="AX265" t="str">
        <f ca="1">IF(AND(ISNUMBER($AX$768),$B$511=1),$AX$768,HLOOKUP(INDIRECT(ADDRESS(2,COLUMN())),OFFSET($BN$2,0,0,ROW()-1,60),ROW()-1,FALSE))</f>
        <v/>
      </c>
      <c r="AY265" t="str">
        <f ca="1">IF(AND(ISNUMBER($AY$768),$B$511=1),$AY$768,HLOOKUP(INDIRECT(ADDRESS(2,COLUMN())),OFFSET($BN$2,0,0,ROW()-1,60),ROW()-1,FALSE))</f>
        <v/>
      </c>
      <c r="AZ265" t="str">
        <f ca="1">IF(AND(ISNUMBER($AZ$768),$B$511=1),$AZ$768,HLOOKUP(INDIRECT(ADDRESS(2,COLUMN())),OFFSET($BN$2,0,0,ROW()-1,60),ROW()-1,FALSE))</f>
        <v/>
      </c>
      <c r="BA265" t="str">
        <f ca="1">IF(AND(ISNUMBER($BA$768),$B$511=1),$BA$768,HLOOKUP(INDIRECT(ADDRESS(2,COLUMN())),OFFSET($BN$2,0,0,ROW()-1,60),ROW()-1,FALSE))</f>
        <v/>
      </c>
      <c r="BB265" t="str">
        <f ca="1">IF(AND(ISNUMBER($BB$768),$B$511=1),$BB$768,HLOOKUP(INDIRECT(ADDRESS(2,COLUMN())),OFFSET($BN$2,0,0,ROW()-1,60),ROW()-1,FALSE))</f>
        <v/>
      </c>
      <c r="BC265" t="str">
        <f ca="1">IF(AND(ISNUMBER($BC$768),$B$511=1),$BC$768,HLOOKUP(INDIRECT(ADDRESS(2,COLUMN())),OFFSET($BN$2,0,0,ROW()-1,60),ROW()-1,FALSE))</f>
        <v/>
      </c>
      <c r="BD265" t="str">
        <f ca="1">IF(AND(ISNUMBER($BD$768),$B$511=1),$BD$768,HLOOKUP(INDIRECT(ADDRESS(2,COLUMN())),OFFSET($BN$2,0,0,ROW()-1,60),ROW()-1,FALSE))</f>
        <v/>
      </c>
      <c r="BE265" t="str">
        <f ca="1">IF(AND(ISNUMBER($BE$768),$B$511=1),$BE$768,HLOOKUP(INDIRECT(ADDRESS(2,COLUMN())),OFFSET($BN$2,0,0,ROW()-1,60),ROW()-1,FALSE))</f>
        <v/>
      </c>
      <c r="BF265" t="str">
        <f ca="1">IF(AND(ISNUMBER($BF$768),$B$511=1),$BF$768,HLOOKUP(INDIRECT(ADDRESS(2,COLUMN())),OFFSET($BN$2,0,0,ROW()-1,60),ROW()-1,FALSE))</f>
        <v/>
      </c>
      <c r="BG265" t="str">
        <f ca="1">IF(AND(ISNUMBER($BG$768),$B$511=1),$BG$768,HLOOKUP(INDIRECT(ADDRESS(2,COLUMN())),OFFSET($BN$2,0,0,ROW()-1,60),ROW()-1,FALSE))</f>
        <v/>
      </c>
      <c r="BH265" t="str">
        <f ca="1">IF(AND(ISNUMBER($BH$768),$B$511=1),$BH$768,HLOOKUP(INDIRECT(ADDRESS(2,COLUMN())),OFFSET($BN$2,0,0,ROW()-1,60),ROW()-1,FALSE))</f>
        <v/>
      </c>
      <c r="BI265" t="str">
        <f ca="1">IF(AND(ISNUMBER($BI$768),$B$511=1),$BI$768,HLOOKUP(INDIRECT(ADDRESS(2,COLUMN())),OFFSET($BN$2,0,0,ROW()-1,60),ROW()-1,FALSE))</f>
        <v/>
      </c>
      <c r="BJ265" t="str">
        <f ca="1">IF(AND(ISNUMBER($BJ$768),$B$511=1),$BJ$768,HLOOKUP(INDIRECT(ADDRESS(2,COLUMN())),OFFSET($BN$2,0,0,ROW()-1,60),ROW()-1,FALSE))</f>
        <v/>
      </c>
      <c r="BK265" t="str">
        <f ca="1">IF(AND(ISNUMBER($BK$768),$B$511=1),$BK$768,HLOOKUP(INDIRECT(ADDRESS(2,COLUMN())),OFFSET($BN$2,0,0,ROW()-1,60),ROW()-1,FALSE))</f>
        <v/>
      </c>
      <c r="BL265" t="str">
        <f ca="1">IF(AND(ISNUMBER($BL$768),$B$511=1),$BL$768,HLOOKUP(INDIRECT(ADDRESS(2,COLUMN())),OFFSET($BN$2,0,0,ROW()-1,60),ROW()-1,FALSE))</f>
        <v/>
      </c>
      <c r="BM265" t="str">
        <f ca="1">IF(AND(ISNUMBER($BM$768),$B$511=1),$BM$768,HLOOKUP(INDIRECT(ADDRESS(2,COLUMN())),OFFSET($BN$2,0,0,ROW()-1,60),ROW()-1,FALSE))</f>
        <v/>
      </c>
      <c r="BN265" t="str">
        <f>""</f>
        <v/>
      </c>
      <c r="BO265" t="str">
        <f>""</f>
        <v/>
      </c>
      <c r="BP265" t="str">
        <f>""</f>
        <v/>
      </c>
      <c r="BQ265" t="str">
        <f>""</f>
        <v/>
      </c>
      <c r="BR265" t="str">
        <f>""</f>
        <v/>
      </c>
      <c r="BS265" t="str">
        <f>""</f>
        <v/>
      </c>
      <c r="BT265" t="str">
        <f>""</f>
        <v/>
      </c>
      <c r="BU265" t="str">
        <f>""</f>
        <v/>
      </c>
      <c r="BV265" t="str">
        <f>""</f>
        <v/>
      </c>
      <c r="BW265" t="str">
        <f>""</f>
        <v/>
      </c>
      <c r="BX265" t="str">
        <f>""</f>
        <v/>
      </c>
      <c r="BY265" t="str">
        <f>""</f>
        <v/>
      </c>
      <c r="BZ265" t="str">
        <f>""</f>
        <v/>
      </c>
      <c r="CA265" t="str">
        <f>""</f>
        <v/>
      </c>
      <c r="CB265" t="str">
        <f>""</f>
        <v/>
      </c>
      <c r="CC265" t="str">
        <f>""</f>
        <v/>
      </c>
      <c r="CD265" t="str">
        <f>""</f>
        <v/>
      </c>
      <c r="CE265" t="str">
        <f>""</f>
        <v/>
      </c>
      <c r="CF265" t="str">
        <f>""</f>
        <v/>
      </c>
      <c r="CG265" t="str">
        <f>""</f>
        <v/>
      </c>
      <c r="CH265" t="str">
        <f>""</f>
        <v/>
      </c>
      <c r="CI265" t="str">
        <f>""</f>
        <v/>
      </c>
      <c r="CJ265" t="str">
        <f>""</f>
        <v/>
      </c>
      <c r="CK265" t="str">
        <f>""</f>
        <v/>
      </c>
      <c r="CL265" t="str">
        <f>""</f>
        <v/>
      </c>
      <c r="CM265" t="str">
        <f>""</f>
        <v/>
      </c>
      <c r="CN265" t="str">
        <f>""</f>
        <v/>
      </c>
      <c r="CO265" t="str">
        <f>""</f>
        <v/>
      </c>
      <c r="CP265" t="str">
        <f>""</f>
        <v/>
      </c>
      <c r="CQ265" t="str">
        <f>""</f>
        <v/>
      </c>
      <c r="CR265" t="str">
        <f>""</f>
        <v/>
      </c>
      <c r="CS265" t="str">
        <f>""</f>
        <v/>
      </c>
      <c r="CT265" t="str">
        <f>""</f>
        <v/>
      </c>
      <c r="CU265" t="str">
        <f>""</f>
        <v/>
      </c>
      <c r="CV265" t="str">
        <f>""</f>
        <v/>
      </c>
      <c r="CW265" t="str">
        <f>""</f>
        <v/>
      </c>
      <c r="CX265" t="str">
        <f>""</f>
        <v/>
      </c>
      <c r="CY265" t="str">
        <f>""</f>
        <v/>
      </c>
      <c r="CZ265" t="str">
        <f>""</f>
        <v/>
      </c>
      <c r="DA265" t="str">
        <f>""</f>
        <v/>
      </c>
      <c r="DB265" t="str">
        <f>""</f>
        <v/>
      </c>
      <c r="DC265" t="str">
        <f>""</f>
        <v/>
      </c>
      <c r="DD265" t="str">
        <f>""</f>
        <v/>
      </c>
      <c r="DE265" t="str">
        <f>""</f>
        <v/>
      </c>
      <c r="DF265" t="str">
        <f>""</f>
        <v/>
      </c>
      <c r="DG265" t="str">
        <f>""</f>
        <v/>
      </c>
      <c r="DH265" t="str">
        <f>""</f>
        <v/>
      </c>
      <c r="DI265" t="str">
        <f>""</f>
        <v/>
      </c>
      <c r="DJ265" t="str">
        <f>""</f>
        <v/>
      </c>
      <c r="DK265" t="str">
        <f>""</f>
        <v/>
      </c>
      <c r="DL265" t="str">
        <f>""</f>
        <v/>
      </c>
      <c r="DM265" t="str">
        <f>""</f>
        <v/>
      </c>
      <c r="DN265" t="str">
        <f>""</f>
        <v/>
      </c>
      <c r="DO265" t="str">
        <f>""</f>
        <v/>
      </c>
      <c r="DP265" t="str">
        <f>""</f>
        <v/>
      </c>
      <c r="DQ265" t="str">
        <f>""</f>
        <v/>
      </c>
      <c r="DR265" t="str">
        <f>""</f>
        <v/>
      </c>
      <c r="DS265" t="str">
        <f>""</f>
        <v/>
      </c>
      <c r="DT265" t="str">
        <f>""</f>
        <v/>
      </c>
      <c r="DU265" t="str">
        <f>""</f>
        <v/>
      </c>
    </row>
    <row r="266" spans="1:125" x14ac:dyDescent="0.25">
      <c r="A266" t="str">
        <f>"    General Motors Co"</f>
        <v xml:space="preserve">    General Motors Co</v>
      </c>
      <c r="B266" t="str">
        <f>"GM US Equity"</f>
        <v>GM US Equity</v>
      </c>
      <c r="C266" t="str">
        <f t="shared" si="18"/>
        <v>RR010</v>
      </c>
      <c r="D266" t="str">
        <f t="shared" si="19"/>
        <v>TOT_COMMON_EQY</v>
      </c>
      <c r="E266" t="str">
        <f t="shared" si="20"/>
        <v>Dynamic</v>
      </c>
      <c r="F266" t="str">
        <f ca="1">IF(AND(ISNUMBER($F$769),$B$511=1),$F$769,HLOOKUP(INDIRECT(ADDRESS(2,COLUMN())),OFFSET($BN$2,0,0,ROW()-1,60),ROW()-1,FALSE))</f>
        <v/>
      </c>
      <c r="G266">
        <f ca="1">IF(AND(ISNUMBER($G$769),$B$511=1),$G$769,HLOOKUP(INDIRECT(ADDRESS(2,COLUMN())),OFFSET($BN$2,0,0,ROW()-1,60),ROW()-1,FALSE))</f>
        <v>38860</v>
      </c>
      <c r="H266">
        <f ca="1">IF(AND(ISNUMBER($H$769),$B$511=1),$H$769,HLOOKUP(INDIRECT(ADDRESS(2,COLUMN())),OFFSET($BN$2,0,0,ROW()-1,60),ROW()-1,FALSE))</f>
        <v>38061</v>
      </c>
      <c r="I266">
        <f ca="1">IF(AND(ISNUMBER($I$769),$B$511=1),$I$769,HLOOKUP(INDIRECT(ADDRESS(2,COLUMN())),OFFSET($BN$2,0,0,ROW()-1,60),ROW()-1,FALSE))</f>
        <v>36181</v>
      </c>
      <c r="J266">
        <f ca="1">IF(AND(ISNUMBER($J$769),$B$511=1),$J$769,HLOOKUP(INDIRECT(ADDRESS(2,COLUMN())),OFFSET($BN$2,0,0,ROW()-1,60),ROW()-1,FALSE))</f>
        <v>34298</v>
      </c>
      <c r="K266">
        <f ca="1">IF(AND(ISNUMBER($K$769),$B$511=1),$K$769,HLOOKUP(INDIRECT(ADDRESS(2,COLUMN())),OFFSET($BN$2,0,0,ROW()-1,60),ROW()-1,FALSE))</f>
        <v>35001</v>
      </c>
      <c r="L266">
        <f ca="1">IF(AND(ISNUMBER($L$769),$B$511=1),$L$769,HLOOKUP(INDIRECT(ADDRESS(2,COLUMN())),OFFSET($BN$2,0,0,ROW()-1,60),ROW()-1,FALSE))</f>
        <v>42243</v>
      </c>
      <c r="M266">
        <f ca="1">IF(AND(ISNUMBER($M$769),$B$511=1),$M$769,HLOOKUP(INDIRECT(ADDRESS(2,COLUMN())),OFFSET($BN$2,0,0,ROW()-1,60),ROW()-1,FALSE))</f>
        <v>45521</v>
      </c>
      <c r="N266">
        <f ca="1">IF(AND(ISNUMBER($N$769),$B$511=1),$N$769,HLOOKUP(INDIRECT(ADDRESS(2,COLUMN())),OFFSET($BN$2,0,0,ROW()-1,60),ROW()-1,FALSE))</f>
        <v>45972</v>
      </c>
      <c r="O266">
        <f ca="1">IF(AND(ISNUMBER($O$769),$B$511=1),$O$769,HLOOKUP(INDIRECT(ADDRESS(2,COLUMN())),OFFSET($BN$2,0,0,ROW()-1,60),ROW()-1,FALSE))</f>
        <v>43836</v>
      </c>
      <c r="P266">
        <f ca="1">IF(AND(ISNUMBER($P$769),$B$511=1),$P$769,HLOOKUP(INDIRECT(ADDRESS(2,COLUMN())),OFFSET($BN$2,0,0,ROW()-1,60),ROW()-1,FALSE))</f>
        <v>44720</v>
      </c>
      <c r="Q266">
        <f ca="1">IF(AND(ISNUMBER($Q$769),$B$511=1),$Q$769,HLOOKUP(INDIRECT(ADDRESS(2,COLUMN())),OFFSET($BN$2,0,0,ROW()-1,60),ROW()-1,FALSE))</f>
        <v>43630</v>
      </c>
      <c r="R266">
        <f ca="1">IF(AND(ISNUMBER($R$769),$B$511=1),$R$769,HLOOKUP(INDIRECT(ADDRESS(2,COLUMN())),OFFSET($BN$2,0,0,ROW()-1,60),ROW()-1,FALSE))</f>
        <v>40932</v>
      </c>
      <c r="S266">
        <f ca="1">IF(AND(ISNUMBER($S$769),$B$511=1),$S$769,HLOOKUP(INDIRECT(ADDRESS(2,COLUMN())),OFFSET($BN$2,0,0,ROW()-1,60),ROW()-1,FALSE))</f>
        <v>39871</v>
      </c>
      <c r="T266">
        <f ca="1">IF(AND(ISNUMBER($T$769),$B$511=1),$T$769,HLOOKUP(INDIRECT(ADDRESS(2,COLUMN())),OFFSET($BN$2,0,0,ROW()-1,60),ROW()-1,FALSE))</f>
        <v>34638</v>
      </c>
      <c r="U266">
        <f ca="1">IF(AND(ISNUMBER($U$769),$B$511=1),$U$769,HLOOKUP(INDIRECT(ADDRESS(2,COLUMN())),OFFSET($BN$2,0,0,ROW()-1,60),ROW()-1,FALSE))</f>
        <v>35146</v>
      </c>
      <c r="V266">
        <f ca="1">IF(AND(ISNUMBER($V$769),$B$511=1),$V$769,HLOOKUP(INDIRECT(ADDRESS(2,COLUMN())),OFFSET($BN$2,0,0,ROW()-1,60),ROW()-1,FALSE))</f>
        <v>36329</v>
      </c>
      <c r="W266">
        <f ca="1">IF(AND(ISNUMBER($W$769),$B$511=1),$W$769,HLOOKUP(INDIRECT(ADDRESS(2,COLUMN())),OFFSET($BN$2,0,0,ROW()-1,60),ROW()-1,FALSE))</f>
        <v>35457</v>
      </c>
      <c r="X266">
        <f ca="1">IF(AND(ISNUMBER($X$769),$B$511=1),$X$769,HLOOKUP(INDIRECT(ADDRESS(2,COLUMN())),OFFSET($BN$2,0,0,ROW()-1,60),ROW()-1,FALSE))</f>
        <v>39893</v>
      </c>
      <c r="Y266">
        <f ca="1">IF(AND(ISNUMBER($Y$769),$B$511=1),$Y$769,HLOOKUP(INDIRECT(ADDRESS(2,COLUMN())),OFFSET($BN$2,0,0,ROW()-1,60),ROW()-1,FALSE))</f>
        <v>38885</v>
      </c>
      <c r="Z266">
        <f ca="1">IF(AND(ISNUMBER($Z$769),$B$511=1),$Z$769,HLOOKUP(INDIRECT(ADDRESS(2,COLUMN())),OFFSET($BN$2,0,0,ROW()-1,60),ROW()-1,FALSE))</f>
        <v>39113</v>
      </c>
      <c r="AA266">
        <f ca="1">IF(AND(ISNUMBER($AA$769),$B$511=1),$AA$769,HLOOKUP(INDIRECT(ADDRESS(2,COLUMN())),OFFSET($BN$2,0,0,ROW()-1,60),ROW()-1,FALSE))</f>
        <v>39498</v>
      </c>
      <c r="AB266">
        <f ca="1">IF(AND(ISNUMBER($AB$769),$B$511=1),$AB$769,HLOOKUP(INDIRECT(ADDRESS(2,COLUMN())),OFFSET($BN$2,0,0,ROW()-1,60),ROW()-1,FALSE))</f>
        <v>28814</v>
      </c>
      <c r="AC266">
        <f ca="1">IF(AND(ISNUMBER($AC$769),$B$511=1),$AC$769,HLOOKUP(INDIRECT(ADDRESS(2,COLUMN())),OFFSET($BN$2,0,0,ROW()-1,60),ROW()-1,FALSE))</f>
        <v>27983</v>
      </c>
      <c r="AD266">
        <f ca="1">IF(AND(ISNUMBER($AD$769),$B$511=1),$AD$769,HLOOKUP(INDIRECT(ADDRESS(2,COLUMN())),OFFSET($BN$2,0,0,ROW()-1,60),ROW()-1,FALSE))</f>
        <v>27196</v>
      </c>
      <c r="AE266">
        <f ca="1">IF(AND(ISNUMBER($AE$769),$B$511=1),$AE$769,HLOOKUP(INDIRECT(ADDRESS(2,COLUMN())),OFFSET($BN$2,0,0,ROW()-1,60),ROW()-1,FALSE))</f>
        <v>25853</v>
      </c>
      <c r="AF266">
        <f ca="1">IF(AND(ISNUMBER($AF$769),$B$511=1),$AF$769,HLOOKUP(INDIRECT(ADDRESS(2,COLUMN())),OFFSET($BN$2,0,0,ROW()-1,60),ROW()-1,FALSE))</f>
        <v>31268</v>
      </c>
      <c r="AG266">
        <f ca="1">IF(AND(ISNUMBER($AG$769),$B$511=1),$AG$769,HLOOKUP(INDIRECT(ADDRESS(2,COLUMN())),OFFSET($BN$2,0,0,ROW()-1,60),ROW()-1,FALSE))</f>
        <v>30309</v>
      </c>
      <c r="AH266">
        <f ca="1">IF(AND(ISNUMBER($AH$769),$B$511=1),$AH$769,HLOOKUP(INDIRECT(ADDRESS(2,COLUMN())),OFFSET($BN$2,0,0,ROW()-1,60),ROW()-1,FALSE))</f>
        <v>28865</v>
      </c>
      <c r="AI266">
        <f ca="1">IF(AND(ISNUMBER($AI$769),$B$511=1),$AI$769,HLOOKUP(INDIRECT(ADDRESS(2,COLUMN())),OFFSET($BN$2,0,0,ROW()-1,60),ROW()-1,FALSE))</f>
        <v>27729</v>
      </c>
      <c r="AJ266">
        <f ca="1">IF(AND(ISNUMBER($AJ$769),$B$511=1),$AJ$769,HLOOKUP(INDIRECT(ADDRESS(2,COLUMN())),OFFSET($BN$2,0,0,ROW()-1,60),ROW()-1,FALSE))</f>
        <v>34353</v>
      </c>
      <c r="AK266">
        <f ca="1">IF(AND(ISNUMBER($AK$769),$B$511=1),$AK$769,HLOOKUP(INDIRECT(ADDRESS(2,COLUMN())),OFFSET($BN$2,0,0,ROW()-1,60),ROW()-1,FALSE))</f>
        <v>30727</v>
      </c>
      <c r="AL266">
        <f ca="1">IF(AND(ISNUMBER($AL$769),$B$511=1),$AL$769,HLOOKUP(INDIRECT(ADDRESS(2,COLUMN())),OFFSET($BN$2,0,0,ROW()-1,60),ROW()-1,FALSE))</f>
        <v>27807</v>
      </c>
      <c r="AM266">
        <f ca="1">IF(AND(ISNUMBER($AM$769),$B$511=1),$AM$769,HLOOKUP(INDIRECT(ADDRESS(2,COLUMN())),OFFSET($BN$2,0,0,ROW()-1,60),ROW()-1,FALSE))</f>
        <v>25789</v>
      </c>
      <c r="AN266">
        <f ca="1">IF(AND(ISNUMBER($AN$769),$B$511=1),$AN$769,HLOOKUP(INDIRECT(ADDRESS(2,COLUMN())),OFFSET($BN$2,0,0,ROW()-1,60),ROW()-1,FALSE))</f>
        <v>22747</v>
      </c>
      <c r="AO266">
        <f ca="1">IF(AND(ISNUMBER($AO$769),$B$511=1),$AO$769,HLOOKUP(INDIRECT(ADDRESS(2,COLUMN())),OFFSET($BN$2,0,0,ROW()-1,60),ROW()-1,FALSE))</f>
        <v>23015</v>
      </c>
      <c r="AP266">
        <f ca="1">IF(AND(ISNUMBER($AP$769),$B$511=1),$AP$769,HLOOKUP(INDIRECT(ADDRESS(2,COLUMN())),OFFSET($BN$2,0,0,ROW()-1,60),ROW()-1,FALSE))</f>
        <v>22239</v>
      </c>
      <c r="AQ266">
        <f ca="1">IF(AND(ISNUMBER($AQ$769),$B$511=1),$AQ$769,HLOOKUP(INDIRECT(ADDRESS(2,COLUMN())),OFFSET($BN$2,0,0,ROW()-1,60),ROW()-1,FALSE))</f>
        <v>21249</v>
      </c>
      <c r="AR266">
        <f ca="1">IF(AND(ISNUMBER($AR$769),$B$511=1),$AR$769,HLOOKUP(INDIRECT(ADDRESS(2,COLUMN())),OFFSET($BN$2,0,0,ROW()-1,60),ROW()-1,FALSE))</f>
        <v>18569</v>
      </c>
      <c r="AS266" t="str">
        <f ca="1">IF(AND(ISNUMBER($AS$769),$B$511=1),$AS$769,HLOOKUP(INDIRECT(ADDRESS(2,COLUMN())),OFFSET($BN$2,0,0,ROW()-1,60),ROW()-1,FALSE))</f>
        <v/>
      </c>
      <c r="AT266" t="str">
        <f ca="1">IF(AND(ISNUMBER($AT$769),$B$511=1),$AT$769,HLOOKUP(INDIRECT(ADDRESS(2,COLUMN())),OFFSET($BN$2,0,0,ROW()-1,60),ROW()-1,FALSE))</f>
        <v/>
      </c>
      <c r="AU266" t="str">
        <f ca="1">IF(AND(ISNUMBER($AU$769),$B$511=1),$AU$769,HLOOKUP(INDIRECT(ADDRESS(2,COLUMN())),OFFSET($BN$2,0,0,ROW()-1,60),ROW()-1,FALSE))</f>
        <v/>
      </c>
      <c r="AV266" t="str">
        <f ca="1">IF(AND(ISNUMBER($AV$769),$B$511=1),$AV$769,HLOOKUP(INDIRECT(ADDRESS(2,COLUMN())),OFFSET($BN$2,0,0,ROW()-1,60),ROW()-1,FALSE))</f>
        <v/>
      </c>
      <c r="AW266" t="str">
        <f ca="1">IF(AND(ISNUMBER($AW$769),$B$511=1),$AW$769,HLOOKUP(INDIRECT(ADDRESS(2,COLUMN())),OFFSET($BN$2,0,0,ROW()-1,60),ROW()-1,FALSE))</f>
        <v/>
      </c>
      <c r="AX266" t="str">
        <f ca="1">IF(AND(ISNUMBER($AX$769),$B$511=1),$AX$769,HLOOKUP(INDIRECT(ADDRESS(2,COLUMN())),OFFSET($BN$2,0,0,ROW()-1,60),ROW()-1,FALSE))</f>
        <v/>
      </c>
      <c r="AY266" t="str">
        <f ca="1">IF(AND(ISNUMBER($AY$769),$B$511=1),$AY$769,HLOOKUP(INDIRECT(ADDRESS(2,COLUMN())),OFFSET($BN$2,0,0,ROW()-1,60),ROW()-1,FALSE))</f>
        <v/>
      </c>
      <c r="AZ266" t="str">
        <f ca="1">IF(AND(ISNUMBER($AZ$769),$B$511=1),$AZ$769,HLOOKUP(INDIRECT(ADDRESS(2,COLUMN())),OFFSET($BN$2,0,0,ROW()-1,60),ROW()-1,FALSE))</f>
        <v/>
      </c>
      <c r="BA266" t="str">
        <f ca="1">IF(AND(ISNUMBER($BA$769),$B$511=1),$BA$769,HLOOKUP(INDIRECT(ADDRESS(2,COLUMN())),OFFSET($BN$2,0,0,ROW()-1,60),ROW()-1,FALSE))</f>
        <v/>
      </c>
      <c r="BB266" t="str">
        <f ca="1">IF(AND(ISNUMBER($BB$769),$B$511=1),$BB$769,HLOOKUP(INDIRECT(ADDRESS(2,COLUMN())),OFFSET($BN$2,0,0,ROW()-1,60),ROW()-1,FALSE))</f>
        <v/>
      </c>
      <c r="BC266" t="str">
        <f ca="1">IF(AND(ISNUMBER($BC$769),$B$511=1),$BC$769,HLOOKUP(INDIRECT(ADDRESS(2,COLUMN())),OFFSET($BN$2,0,0,ROW()-1,60),ROW()-1,FALSE))</f>
        <v/>
      </c>
      <c r="BD266" t="str">
        <f ca="1">IF(AND(ISNUMBER($BD$769),$B$511=1),$BD$769,HLOOKUP(INDIRECT(ADDRESS(2,COLUMN())),OFFSET($BN$2,0,0,ROW()-1,60),ROW()-1,FALSE))</f>
        <v/>
      </c>
      <c r="BE266" t="str">
        <f ca="1">IF(AND(ISNUMBER($BE$769),$B$511=1),$BE$769,HLOOKUP(INDIRECT(ADDRESS(2,COLUMN())),OFFSET($BN$2,0,0,ROW()-1,60),ROW()-1,FALSE))</f>
        <v/>
      </c>
      <c r="BF266" t="str">
        <f ca="1">IF(AND(ISNUMBER($BF$769),$B$511=1),$BF$769,HLOOKUP(INDIRECT(ADDRESS(2,COLUMN())),OFFSET($BN$2,0,0,ROW()-1,60),ROW()-1,FALSE))</f>
        <v/>
      </c>
      <c r="BG266" t="str">
        <f ca="1">IF(AND(ISNUMBER($BG$769),$B$511=1),$BG$769,HLOOKUP(INDIRECT(ADDRESS(2,COLUMN())),OFFSET($BN$2,0,0,ROW()-1,60),ROW()-1,FALSE))</f>
        <v/>
      </c>
      <c r="BH266" t="str">
        <f ca="1">IF(AND(ISNUMBER($BH$769),$B$511=1),$BH$769,HLOOKUP(INDIRECT(ADDRESS(2,COLUMN())),OFFSET($BN$2,0,0,ROW()-1,60),ROW()-1,FALSE))</f>
        <v/>
      </c>
      <c r="BI266" t="str">
        <f ca="1">IF(AND(ISNUMBER($BI$769),$B$511=1),$BI$769,HLOOKUP(INDIRECT(ADDRESS(2,COLUMN())),OFFSET($BN$2,0,0,ROW()-1,60),ROW()-1,FALSE))</f>
        <v/>
      </c>
      <c r="BJ266" t="str">
        <f ca="1">IF(AND(ISNUMBER($BJ$769),$B$511=1),$BJ$769,HLOOKUP(INDIRECT(ADDRESS(2,COLUMN())),OFFSET($BN$2,0,0,ROW()-1,60),ROW()-1,FALSE))</f>
        <v/>
      </c>
      <c r="BK266" t="str">
        <f ca="1">IF(AND(ISNUMBER($BK$769),$B$511=1),$BK$769,HLOOKUP(INDIRECT(ADDRESS(2,COLUMN())),OFFSET($BN$2,0,0,ROW()-1,60),ROW()-1,FALSE))</f>
        <v/>
      </c>
      <c r="BL266" t="str">
        <f ca="1">IF(AND(ISNUMBER($BL$769),$B$511=1),$BL$769,HLOOKUP(INDIRECT(ADDRESS(2,COLUMN())),OFFSET($BN$2,0,0,ROW()-1,60),ROW()-1,FALSE))</f>
        <v/>
      </c>
      <c r="BM266" t="str">
        <f ca="1">IF(AND(ISNUMBER($BM$769),$B$511=1),$BM$769,HLOOKUP(INDIRECT(ADDRESS(2,COLUMN())),OFFSET($BN$2,0,0,ROW()-1,60),ROW()-1,FALSE))</f>
        <v/>
      </c>
      <c r="BN266" t="str">
        <f>""</f>
        <v/>
      </c>
      <c r="BO266">
        <f>38860</f>
        <v>38860</v>
      </c>
      <c r="BP266">
        <f>38061</f>
        <v>38061</v>
      </c>
      <c r="BQ266">
        <f>36181</f>
        <v>36181</v>
      </c>
      <c r="BR266">
        <f>34298</f>
        <v>34298</v>
      </c>
      <c r="BS266">
        <f>35001</f>
        <v>35001</v>
      </c>
      <c r="BT266">
        <f>42243</f>
        <v>42243</v>
      </c>
      <c r="BU266">
        <f>45521</f>
        <v>45521</v>
      </c>
      <c r="BV266">
        <f>45972</f>
        <v>45972</v>
      </c>
      <c r="BW266">
        <f>43836</f>
        <v>43836</v>
      </c>
      <c r="BX266">
        <f>44720</f>
        <v>44720</v>
      </c>
      <c r="BY266">
        <f>43630</f>
        <v>43630</v>
      </c>
      <c r="BZ266">
        <f>40932</f>
        <v>40932</v>
      </c>
      <c r="CA266">
        <f>39871</f>
        <v>39871</v>
      </c>
      <c r="CB266">
        <f>34638</f>
        <v>34638</v>
      </c>
      <c r="CC266">
        <f>35146</f>
        <v>35146</v>
      </c>
      <c r="CD266">
        <f>36329</f>
        <v>36329</v>
      </c>
      <c r="CE266">
        <f>35457</f>
        <v>35457</v>
      </c>
      <c r="CF266">
        <f>39893</f>
        <v>39893</v>
      </c>
      <c r="CG266">
        <f>38885</f>
        <v>38885</v>
      </c>
      <c r="CH266">
        <f>39113</f>
        <v>39113</v>
      </c>
      <c r="CI266">
        <f>39498</f>
        <v>39498</v>
      </c>
      <c r="CJ266">
        <f>28814</f>
        <v>28814</v>
      </c>
      <c r="CK266">
        <f>27983</f>
        <v>27983</v>
      </c>
      <c r="CL266">
        <f>27196</f>
        <v>27196</v>
      </c>
      <c r="CM266">
        <f>25853</f>
        <v>25853</v>
      </c>
      <c r="CN266">
        <f>31268</f>
        <v>31268</v>
      </c>
      <c r="CO266">
        <f>30309</f>
        <v>30309</v>
      </c>
      <c r="CP266">
        <f>28865</f>
        <v>28865</v>
      </c>
      <c r="CQ266">
        <f>27729</f>
        <v>27729</v>
      </c>
      <c r="CR266">
        <f>34353</f>
        <v>34353</v>
      </c>
      <c r="CS266">
        <f>30727</f>
        <v>30727</v>
      </c>
      <c r="CT266">
        <f>27807</f>
        <v>27807</v>
      </c>
      <c r="CU266">
        <f>25789</f>
        <v>25789</v>
      </c>
      <c r="CV266">
        <f>22747</f>
        <v>22747</v>
      </c>
      <c r="CW266">
        <f>23015</f>
        <v>23015</v>
      </c>
      <c r="CX266">
        <f>22239</f>
        <v>22239</v>
      </c>
      <c r="CY266">
        <f>21249</f>
        <v>21249</v>
      </c>
      <c r="CZ266">
        <f>18569</f>
        <v>18569</v>
      </c>
      <c r="DA266" t="str">
        <f>""</f>
        <v/>
      </c>
      <c r="DB266" t="str">
        <f>""</f>
        <v/>
      </c>
      <c r="DC266" t="str">
        <f>""</f>
        <v/>
      </c>
      <c r="DD266" t="str">
        <f>""</f>
        <v/>
      </c>
      <c r="DE266" t="str">
        <f>""</f>
        <v/>
      </c>
      <c r="DF266" t="str">
        <f>""</f>
        <v/>
      </c>
      <c r="DG266" t="str">
        <f>""</f>
        <v/>
      </c>
      <c r="DH266" t="str">
        <f>""</f>
        <v/>
      </c>
      <c r="DI266" t="str">
        <f>""</f>
        <v/>
      </c>
      <c r="DJ266" t="str">
        <f>""</f>
        <v/>
      </c>
      <c r="DK266" t="str">
        <f>""</f>
        <v/>
      </c>
      <c r="DL266" t="str">
        <f>""</f>
        <v/>
      </c>
      <c r="DM266" t="str">
        <f>""</f>
        <v/>
      </c>
      <c r="DN266" t="str">
        <f>""</f>
        <v/>
      </c>
      <c r="DO266" t="str">
        <f>""</f>
        <v/>
      </c>
      <c r="DP266" t="str">
        <f>""</f>
        <v/>
      </c>
      <c r="DQ266" t="str">
        <f>""</f>
        <v/>
      </c>
      <c r="DR266" t="str">
        <f>""</f>
        <v/>
      </c>
      <c r="DS266" t="str">
        <f>""</f>
        <v/>
      </c>
      <c r="DT266" t="str">
        <f>""</f>
        <v/>
      </c>
      <c r="DU266" t="str">
        <f>""</f>
        <v/>
      </c>
    </row>
    <row r="267" spans="1:125" x14ac:dyDescent="0.25">
      <c r="A267" t="str">
        <f>"    Great Wall Motor Co Ltd"</f>
        <v xml:space="preserve">    Great Wall Motor Co Ltd</v>
      </c>
      <c r="B267" t="str">
        <f>"2333 HK Equity"</f>
        <v>2333 HK Equity</v>
      </c>
      <c r="C267" t="str">
        <f t="shared" si="18"/>
        <v>RR010</v>
      </c>
      <c r="D267" t="str">
        <f t="shared" si="19"/>
        <v>TOT_COMMON_EQY</v>
      </c>
      <c r="E267" t="str">
        <f t="shared" si="20"/>
        <v>Dynamic</v>
      </c>
      <c r="F267" t="str">
        <f ca="1">IF(AND(ISNUMBER($F$770),$B$511=1),$F$770,HLOOKUP(INDIRECT(ADDRESS(2,COLUMN())),OFFSET($BN$2,0,0,ROW()-1,60),ROW()-1,FALSE))</f>
        <v/>
      </c>
      <c r="G267" t="str">
        <f ca="1">IF(AND(ISNUMBER($G$770),$B$511=1),$G$770,HLOOKUP(INDIRECT(ADDRESS(2,COLUMN())),OFFSET($BN$2,0,0,ROW()-1,60),ROW()-1,FALSE))</f>
        <v/>
      </c>
      <c r="H267">
        <f ca="1">IF(AND(ISNUMBER($H$770),$B$511=1),$H$770,HLOOKUP(INDIRECT(ADDRESS(2,COLUMN())),OFFSET($BN$2,0,0,ROW()-1,60),ROW()-1,FALSE))</f>
        <v>7469.2358670000003</v>
      </c>
      <c r="I267">
        <f ca="1">IF(AND(ISNUMBER($I$770),$B$511=1),$I$770,HLOOKUP(INDIRECT(ADDRESS(2,COLUMN())),OFFSET($BN$2,0,0,ROW()-1,60),ROW()-1,FALSE))</f>
        <v>7721.8505109999996</v>
      </c>
      <c r="J267">
        <f ca="1">IF(AND(ISNUMBER($J$770),$B$511=1),$J$770,HLOOKUP(INDIRECT(ADDRESS(2,COLUMN())),OFFSET($BN$2,0,0,ROW()-1,60),ROW()-1,FALSE))</f>
        <v>8140.6556339999997</v>
      </c>
      <c r="K267">
        <f ca="1">IF(AND(ISNUMBER($K$770),$B$511=1),$K$770,HLOOKUP(INDIRECT(ADDRESS(2,COLUMN())),OFFSET($BN$2,0,0,ROW()-1,60),ROW()-1,FALSE))</f>
        <v>7551.3747990000002</v>
      </c>
      <c r="L267">
        <f ca="1">IF(AND(ISNUMBER($L$770),$B$511=1),$L$770,HLOOKUP(INDIRECT(ADDRESS(2,COLUMN())),OFFSET($BN$2,0,0,ROW()-1,60),ROW()-1,FALSE))</f>
        <v>7077.3784960000003</v>
      </c>
      <c r="M267">
        <f ca="1">IF(AND(ISNUMBER($M$770),$B$511=1),$M$770,HLOOKUP(INDIRECT(ADDRESS(2,COLUMN())),OFFSET($BN$2,0,0,ROW()-1,60),ROW()-1,FALSE))</f>
        <v>6875.7471640000003</v>
      </c>
      <c r="N267">
        <f ca="1">IF(AND(ISNUMBER($N$770),$B$511=1),$N$770,HLOOKUP(INDIRECT(ADDRESS(2,COLUMN())),OFFSET($BN$2,0,0,ROW()-1,60),ROW()-1,FALSE))</f>
        <v>7169.4501870000004</v>
      </c>
      <c r="O267">
        <f ca="1">IF(AND(ISNUMBER($O$770),$B$511=1),$O$770,HLOOKUP(INDIRECT(ADDRESS(2,COLUMN())),OFFSET($BN$2,0,0,ROW()-1,60),ROW()-1,FALSE))</f>
        <v>6815.1075309999997</v>
      </c>
      <c r="P267">
        <f ca="1">IF(AND(ISNUMBER($P$770),$B$511=1),$P$770,HLOOKUP(INDIRECT(ADDRESS(2,COLUMN())),OFFSET($BN$2,0,0,ROW()-1,60),ROW()-1,FALSE))</f>
        <v>6585.1048099999998</v>
      </c>
      <c r="Q267">
        <f ca="1">IF(AND(ISNUMBER($Q$770),$B$511=1),$Q$770,HLOOKUP(INDIRECT(ADDRESS(2,COLUMN())),OFFSET($BN$2,0,0,ROW()-1,60),ROW()-1,FALSE))</f>
        <v>6251.2409939999998</v>
      </c>
      <c r="R267">
        <f ca="1">IF(AND(ISNUMBER($R$770),$B$511=1),$R$770,HLOOKUP(INDIRECT(ADDRESS(2,COLUMN())),OFFSET($BN$2,0,0,ROW()-1,60),ROW()-1,FALSE))</f>
        <v>6317.2729159999999</v>
      </c>
      <c r="S267">
        <f ca="1">IF(AND(ISNUMBER($S$770),$B$511=1),$S$770,HLOOKUP(INDIRECT(ADDRESS(2,COLUMN())),OFFSET($BN$2,0,0,ROW()-1,60),ROW()-1,FALSE))</f>
        <v>5908.4191719999999</v>
      </c>
      <c r="T267">
        <f ca="1">IF(AND(ISNUMBER($T$770),$B$511=1),$T$770,HLOOKUP(INDIRECT(ADDRESS(2,COLUMN())),OFFSET($BN$2,0,0,ROW()-1,60),ROW()-1,FALSE))</f>
        <v>5263.5590780000002</v>
      </c>
      <c r="U267">
        <f ca="1">IF(AND(ISNUMBER($U$770),$B$511=1),$U$770,HLOOKUP(INDIRECT(ADDRESS(2,COLUMN())),OFFSET($BN$2,0,0,ROW()-1,60),ROW()-1,FALSE))</f>
        <v>5765.4595390000004</v>
      </c>
      <c r="V267">
        <f ca="1">IF(AND(ISNUMBER($V$770),$B$511=1),$V$770,HLOOKUP(INDIRECT(ADDRESS(2,COLUMN())),OFFSET($BN$2,0,0,ROW()-1,60),ROW()-1,FALSE))</f>
        <v>5802.5671860000002</v>
      </c>
      <c r="W267">
        <f ca="1">IF(AND(ISNUMBER($W$770),$B$511=1),$W$770,HLOOKUP(INDIRECT(ADDRESS(2,COLUMN())),OFFSET($BN$2,0,0,ROW()-1,60),ROW()-1,FALSE))</f>
        <v>5389.0292989999998</v>
      </c>
      <c r="X267">
        <f ca="1">IF(AND(ISNUMBER($X$770),$B$511=1),$X$770,HLOOKUP(INDIRECT(ADDRESS(2,COLUMN())),OFFSET($BN$2,0,0,ROW()-1,60),ROW()-1,FALSE))</f>
        <v>5061.2191300000004</v>
      </c>
      <c r="Y267">
        <f ca="1">IF(AND(ISNUMBER($Y$770),$B$511=1),$Y$770,HLOOKUP(INDIRECT(ADDRESS(2,COLUMN())),OFFSET($BN$2,0,0,ROW()-1,60),ROW()-1,FALSE))</f>
        <v>4748.1514710000001</v>
      </c>
      <c r="Z267">
        <f ca="1">IF(AND(ISNUMBER($Z$770),$B$511=1),$Z$770,HLOOKUP(INDIRECT(ADDRESS(2,COLUMN())),OFFSET($BN$2,0,0,ROW()-1,60),ROW()-1,FALSE))</f>
        <v>4824.3112920000003</v>
      </c>
      <c r="AA267">
        <f ca="1">IF(AND(ISNUMBER($AA$770),$B$511=1),$AA$770,HLOOKUP(INDIRECT(ADDRESS(2,COLUMN())),OFFSET($BN$2,0,0,ROW()-1,60),ROW()-1,FALSE))</f>
        <v>4625.586217</v>
      </c>
      <c r="AB267">
        <f ca="1">IF(AND(ISNUMBER($AB$770),$B$511=1),$AB$770,HLOOKUP(INDIRECT(ADDRESS(2,COLUMN())),OFFSET($BN$2,0,0,ROW()-1,60),ROW()-1,FALSE))</f>
        <v>4239.5924770000001</v>
      </c>
      <c r="AC267">
        <f ca="1">IF(AND(ISNUMBER($AC$770),$B$511=1),$AC$770,HLOOKUP(INDIRECT(ADDRESS(2,COLUMN())),OFFSET($BN$2,0,0,ROW()-1,60),ROW()-1,FALSE))</f>
        <v>3888.7128699999998</v>
      </c>
      <c r="AD267">
        <f ca="1">IF(AND(ISNUMBER($AD$770),$B$511=1),$AD$770,HLOOKUP(INDIRECT(ADDRESS(2,COLUMN())),OFFSET($BN$2,0,0,ROW()-1,60),ROW()-1,FALSE))</f>
        <v>3769.3349020000001</v>
      </c>
      <c r="AE267">
        <f ca="1">IF(AND(ISNUMBER($AE$770),$B$511=1),$AE$770,HLOOKUP(INDIRECT(ADDRESS(2,COLUMN())),OFFSET($BN$2,0,0,ROW()-1,60),ROW()-1,FALSE))</f>
        <v>3450.5603839999999</v>
      </c>
      <c r="AF267">
        <f ca="1">IF(AND(ISNUMBER($AF$770),$B$511=1),$AF$770,HLOOKUP(INDIRECT(ADDRESS(2,COLUMN())),OFFSET($BN$2,0,0,ROW()-1,60),ROW()-1,FALSE))</f>
        <v>3128.2120679999998</v>
      </c>
      <c r="AG267">
        <f ca="1">IF(AND(ISNUMBER($AG$770),$B$511=1),$AG$770,HLOOKUP(INDIRECT(ADDRESS(2,COLUMN())),OFFSET($BN$2,0,0,ROW()-1,60),ROW()-1,FALSE))</f>
        <v>2859.9585400000001</v>
      </c>
      <c r="AH267">
        <f ca="1">IF(AND(ISNUMBER($AH$770),$B$511=1),$AH$770,HLOOKUP(INDIRECT(ADDRESS(2,COLUMN())),OFFSET($BN$2,0,0,ROW()-1,60),ROW()-1,FALSE))</f>
        <v>2830.972757</v>
      </c>
      <c r="AI267" t="str">
        <f ca="1">IF(AND(ISNUMBER($AI$770),$B$511=1),$AI$770,HLOOKUP(INDIRECT(ADDRESS(2,COLUMN())),OFFSET($BN$2,0,0,ROW()-1,60),ROW()-1,FALSE))</f>
        <v/>
      </c>
      <c r="AJ267">
        <f ca="1">IF(AND(ISNUMBER($AJ$770),$B$511=1),$AJ$770,HLOOKUP(INDIRECT(ADDRESS(2,COLUMN())),OFFSET($BN$2,0,0,ROW()-1,60),ROW()-1,FALSE))</f>
        <v>2485.4807070000002</v>
      </c>
      <c r="AK267" t="str">
        <f ca="1">IF(AND(ISNUMBER($AK$770),$B$511=1),$AK$770,HLOOKUP(INDIRECT(ADDRESS(2,COLUMN())),OFFSET($BN$2,0,0,ROW()-1,60),ROW()-1,FALSE))</f>
        <v/>
      </c>
      <c r="AL267">
        <f ca="1">IF(AND(ISNUMBER($AL$770),$B$511=1),$AL$770,HLOOKUP(INDIRECT(ADDRESS(2,COLUMN())),OFFSET($BN$2,0,0,ROW()-1,60),ROW()-1,FALSE))</f>
        <v>1660.8916810000001</v>
      </c>
      <c r="AM267" t="str">
        <f ca="1">IF(AND(ISNUMBER($AM$770),$B$511=1),$AM$770,HLOOKUP(INDIRECT(ADDRESS(2,COLUMN())),OFFSET($BN$2,0,0,ROW()-1,60),ROW()-1,FALSE))</f>
        <v/>
      </c>
      <c r="AN267" t="str">
        <f ca="1">IF(AND(ISNUMBER($AN$770),$B$511=1),$AN$770,HLOOKUP(INDIRECT(ADDRESS(2,COLUMN())),OFFSET($BN$2,0,0,ROW()-1,60),ROW()-1,FALSE))</f>
        <v/>
      </c>
      <c r="AO267" t="str">
        <f ca="1">IF(AND(ISNUMBER($AO$770),$B$511=1),$AO$770,HLOOKUP(INDIRECT(ADDRESS(2,COLUMN())),OFFSET($BN$2,0,0,ROW()-1,60),ROW()-1,FALSE))</f>
        <v/>
      </c>
      <c r="AP267" t="str">
        <f ca="1">IF(AND(ISNUMBER($AP$770),$B$511=1),$AP$770,HLOOKUP(INDIRECT(ADDRESS(2,COLUMN())),OFFSET($BN$2,0,0,ROW()-1,60),ROW()-1,FALSE))</f>
        <v/>
      </c>
      <c r="AQ267" t="str">
        <f ca="1">IF(AND(ISNUMBER($AQ$770),$B$511=1),$AQ$770,HLOOKUP(INDIRECT(ADDRESS(2,COLUMN())),OFFSET($BN$2,0,0,ROW()-1,60),ROW()-1,FALSE))</f>
        <v/>
      </c>
      <c r="AR267" t="str">
        <f ca="1">IF(AND(ISNUMBER($AR$770),$B$511=1),$AR$770,HLOOKUP(INDIRECT(ADDRESS(2,COLUMN())),OFFSET($BN$2,0,0,ROW()-1,60),ROW()-1,FALSE))</f>
        <v/>
      </c>
      <c r="AS267" t="str">
        <f ca="1">IF(AND(ISNUMBER($AS$770),$B$511=1),$AS$770,HLOOKUP(INDIRECT(ADDRESS(2,COLUMN())),OFFSET($BN$2,0,0,ROW()-1,60),ROW()-1,FALSE))</f>
        <v/>
      </c>
      <c r="AT267" t="str">
        <f ca="1">IF(AND(ISNUMBER($AT$770),$B$511=1),$AT$770,HLOOKUP(INDIRECT(ADDRESS(2,COLUMN())),OFFSET($BN$2,0,0,ROW()-1,60),ROW()-1,FALSE))</f>
        <v/>
      </c>
      <c r="AU267" t="str">
        <f ca="1">IF(AND(ISNUMBER($AU$770),$B$511=1),$AU$770,HLOOKUP(INDIRECT(ADDRESS(2,COLUMN())),OFFSET($BN$2,0,0,ROW()-1,60),ROW()-1,FALSE))</f>
        <v/>
      </c>
      <c r="AV267" t="str">
        <f ca="1">IF(AND(ISNUMBER($AV$770),$B$511=1),$AV$770,HLOOKUP(INDIRECT(ADDRESS(2,COLUMN())),OFFSET($BN$2,0,0,ROW()-1,60),ROW()-1,FALSE))</f>
        <v/>
      </c>
      <c r="AW267" t="str">
        <f ca="1">IF(AND(ISNUMBER($AW$770),$B$511=1),$AW$770,HLOOKUP(INDIRECT(ADDRESS(2,COLUMN())),OFFSET($BN$2,0,0,ROW()-1,60),ROW()-1,FALSE))</f>
        <v/>
      </c>
      <c r="AX267" t="str">
        <f ca="1">IF(AND(ISNUMBER($AX$770),$B$511=1),$AX$770,HLOOKUP(INDIRECT(ADDRESS(2,COLUMN())),OFFSET($BN$2,0,0,ROW()-1,60),ROW()-1,FALSE))</f>
        <v/>
      </c>
      <c r="AY267" t="str">
        <f ca="1">IF(AND(ISNUMBER($AY$770),$B$511=1),$AY$770,HLOOKUP(INDIRECT(ADDRESS(2,COLUMN())),OFFSET($BN$2,0,0,ROW()-1,60),ROW()-1,FALSE))</f>
        <v/>
      </c>
      <c r="AZ267" t="str">
        <f ca="1">IF(AND(ISNUMBER($AZ$770),$B$511=1),$AZ$770,HLOOKUP(INDIRECT(ADDRESS(2,COLUMN())),OFFSET($BN$2,0,0,ROW()-1,60),ROW()-1,FALSE))</f>
        <v/>
      </c>
      <c r="BA267" t="str">
        <f ca="1">IF(AND(ISNUMBER($BA$770),$B$511=1),$BA$770,HLOOKUP(INDIRECT(ADDRESS(2,COLUMN())),OFFSET($BN$2,0,0,ROW()-1,60),ROW()-1,FALSE))</f>
        <v/>
      </c>
      <c r="BB267" t="str">
        <f ca="1">IF(AND(ISNUMBER($BB$770),$B$511=1),$BB$770,HLOOKUP(INDIRECT(ADDRESS(2,COLUMN())),OFFSET($BN$2,0,0,ROW()-1,60),ROW()-1,FALSE))</f>
        <v/>
      </c>
      <c r="BC267" t="str">
        <f ca="1">IF(AND(ISNUMBER($BC$770),$B$511=1),$BC$770,HLOOKUP(INDIRECT(ADDRESS(2,COLUMN())),OFFSET($BN$2,0,0,ROW()-1,60),ROW()-1,FALSE))</f>
        <v/>
      </c>
      <c r="BD267" t="str">
        <f ca="1">IF(AND(ISNUMBER($BD$770),$B$511=1),$BD$770,HLOOKUP(INDIRECT(ADDRESS(2,COLUMN())),OFFSET($BN$2,0,0,ROW()-1,60),ROW()-1,FALSE))</f>
        <v/>
      </c>
      <c r="BE267" t="str">
        <f ca="1">IF(AND(ISNUMBER($BE$770),$B$511=1),$BE$770,HLOOKUP(INDIRECT(ADDRESS(2,COLUMN())),OFFSET($BN$2,0,0,ROW()-1,60),ROW()-1,FALSE))</f>
        <v/>
      </c>
      <c r="BF267" t="str">
        <f ca="1">IF(AND(ISNUMBER($BF$770),$B$511=1),$BF$770,HLOOKUP(INDIRECT(ADDRESS(2,COLUMN())),OFFSET($BN$2,0,0,ROW()-1,60),ROW()-1,FALSE))</f>
        <v/>
      </c>
      <c r="BG267" t="str">
        <f ca="1">IF(AND(ISNUMBER($BG$770),$B$511=1),$BG$770,HLOOKUP(INDIRECT(ADDRESS(2,COLUMN())),OFFSET($BN$2,0,0,ROW()-1,60),ROW()-1,FALSE))</f>
        <v/>
      </c>
      <c r="BH267" t="str">
        <f ca="1">IF(AND(ISNUMBER($BH$770),$B$511=1),$BH$770,HLOOKUP(INDIRECT(ADDRESS(2,COLUMN())),OFFSET($BN$2,0,0,ROW()-1,60),ROW()-1,FALSE))</f>
        <v/>
      </c>
      <c r="BI267" t="str">
        <f ca="1">IF(AND(ISNUMBER($BI$770),$B$511=1),$BI$770,HLOOKUP(INDIRECT(ADDRESS(2,COLUMN())),OFFSET($BN$2,0,0,ROW()-1,60),ROW()-1,FALSE))</f>
        <v/>
      </c>
      <c r="BJ267" t="str">
        <f ca="1">IF(AND(ISNUMBER($BJ$770),$B$511=1),$BJ$770,HLOOKUP(INDIRECT(ADDRESS(2,COLUMN())),OFFSET($BN$2,0,0,ROW()-1,60),ROW()-1,FALSE))</f>
        <v/>
      </c>
      <c r="BK267" t="str">
        <f ca="1">IF(AND(ISNUMBER($BK$770),$B$511=1),$BK$770,HLOOKUP(INDIRECT(ADDRESS(2,COLUMN())),OFFSET($BN$2,0,0,ROW()-1,60),ROW()-1,FALSE))</f>
        <v/>
      </c>
      <c r="BL267" t="str">
        <f ca="1">IF(AND(ISNUMBER($BL$770),$B$511=1),$BL$770,HLOOKUP(INDIRECT(ADDRESS(2,COLUMN())),OFFSET($BN$2,0,0,ROW()-1,60),ROW()-1,FALSE))</f>
        <v/>
      </c>
      <c r="BM267" t="str">
        <f ca="1">IF(AND(ISNUMBER($BM$770),$B$511=1),$BM$770,HLOOKUP(INDIRECT(ADDRESS(2,COLUMN())),OFFSET($BN$2,0,0,ROW()-1,60),ROW()-1,FALSE))</f>
        <v/>
      </c>
      <c r="BN267" t="str">
        <f>""</f>
        <v/>
      </c>
      <c r="BO267" t="str">
        <f>""</f>
        <v/>
      </c>
      <c r="BP267">
        <f>7469.235867</f>
        <v>7469.2358670000003</v>
      </c>
      <c r="BQ267">
        <f>7721.850511</f>
        <v>7721.8505109999996</v>
      </c>
      <c r="BR267">
        <f>8140.655634</f>
        <v>8140.6556339999997</v>
      </c>
      <c r="BS267">
        <f>7551.374799</f>
        <v>7551.3747990000002</v>
      </c>
      <c r="BT267">
        <f>7077.378496</f>
        <v>7077.3784960000003</v>
      </c>
      <c r="BU267">
        <f>6875.747164</f>
        <v>6875.7471640000003</v>
      </c>
      <c r="BV267">
        <f>7169.450187</f>
        <v>7169.4501870000004</v>
      </c>
      <c r="BW267">
        <f>6815.107531</f>
        <v>6815.1075309999997</v>
      </c>
      <c r="BX267">
        <f>6585.10481</f>
        <v>6585.1048099999998</v>
      </c>
      <c r="BY267">
        <f>6251.240994</f>
        <v>6251.2409939999998</v>
      </c>
      <c r="BZ267">
        <f>6317.272916</f>
        <v>6317.2729159999999</v>
      </c>
      <c r="CA267">
        <f>5908.419172</f>
        <v>5908.4191719999999</v>
      </c>
      <c r="CB267">
        <f>5263.559078</f>
        <v>5263.5590780000002</v>
      </c>
      <c r="CC267">
        <f>5765.459539</f>
        <v>5765.4595390000004</v>
      </c>
      <c r="CD267">
        <f>5802.567186</f>
        <v>5802.5671860000002</v>
      </c>
      <c r="CE267">
        <f>5389.029299</f>
        <v>5389.0292989999998</v>
      </c>
      <c r="CF267">
        <f>5061.21913</f>
        <v>5061.2191300000004</v>
      </c>
      <c r="CG267">
        <f>4748.151471</f>
        <v>4748.1514710000001</v>
      </c>
      <c r="CH267">
        <f>4824.311292</f>
        <v>4824.3112920000003</v>
      </c>
      <c r="CI267">
        <f>4625.586217</f>
        <v>4625.586217</v>
      </c>
      <c r="CJ267">
        <f>4239.592477</f>
        <v>4239.5924770000001</v>
      </c>
      <c r="CK267">
        <f>3888.71287</f>
        <v>3888.7128699999998</v>
      </c>
      <c r="CL267">
        <f>3769.334902</f>
        <v>3769.3349020000001</v>
      </c>
      <c r="CM267">
        <f>3450.560384</f>
        <v>3450.5603839999999</v>
      </c>
      <c r="CN267">
        <f>3128.212068</f>
        <v>3128.2120679999998</v>
      </c>
      <c r="CO267">
        <f>2859.95854</f>
        <v>2859.9585400000001</v>
      </c>
      <c r="CP267">
        <f>2830.972757</f>
        <v>2830.972757</v>
      </c>
      <c r="CQ267" t="str">
        <f>""</f>
        <v/>
      </c>
      <c r="CR267">
        <f>2485.480707</f>
        <v>2485.4807070000002</v>
      </c>
      <c r="CS267" t="str">
        <f>""</f>
        <v/>
      </c>
      <c r="CT267">
        <f>1660.891681</f>
        <v>1660.8916810000001</v>
      </c>
      <c r="CU267" t="str">
        <f>""</f>
        <v/>
      </c>
      <c r="CV267" t="str">
        <f>""</f>
        <v/>
      </c>
      <c r="CW267" t="str">
        <f>""</f>
        <v/>
      </c>
      <c r="CX267" t="str">
        <f>""</f>
        <v/>
      </c>
      <c r="CY267" t="str">
        <f>""</f>
        <v/>
      </c>
      <c r="CZ267" t="str">
        <f>""</f>
        <v/>
      </c>
      <c r="DA267" t="str">
        <f>""</f>
        <v/>
      </c>
      <c r="DB267" t="str">
        <f>""</f>
        <v/>
      </c>
      <c r="DC267" t="str">
        <f>""</f>
        <v/>
      </c>
      <c r="DD267" t="str">
        <f>""</f>
        <v/>
      </c>
      <c r="DE267" t="str">
        <f>""</f>
        <v/>
      </c>
      <c r="DF267" t="str">
        <f>""</f>
        <v/>
      </c>
      <c r="DG267" t="str">
        <f>""</f>
        <v/>
      </c>
      <c r="DH267" t="str">
        <f>""</f>
        <v/>
      </c>
      <c r="DI267" t="str">
        <f>""</f>
        <v/>
      </c>
      <c r="DJ267" t="str">
        <f>""</f>
        <v/>
      </c>
      <c r="DK267" t="str">
        <f>""</f>
        <v/>
      </c>
      <c r="DL267" t="str">
        <f>""</f>
        <v/>
      </c>
      <c r="DM267" t="str">
        <f>""</f>
        <v/>
      </c>
      <c r="DN267" t="str">
        <f>""</f>
        <v/>
      </c>
      <c r="DO267" t="str">
        <f>""</f>
        <v/>
      </c>
      <c r="DP267" t="str">
        <f>""</f>
        <v/>
      </c>
      <c r="DQ267" t="str">
        <f>""</f>
        <v/>
      </c>
      <c r="DR267" t="str">
        <f>""</f>
        <v/>
      </c>
      <c r="DS267" t="str">
        <f>""</f>
        <v/>
      </c>
      <c r="DT267" t="str">
        <f>""</f>
        <v/>
      </c>
      <c r="DU267" t="str">
        <f>""</f>
        <v/>
      </c>
    </row>
    <row r="268" spans="1:125" x14ac:dyDescent="0.25">
      <c r="A268" t="str">
        <f>"    Guangzhou Automobile Group Co Ltd"</f>
        <v xml:space="preserve">    Guangzhou Automobile Group Co Ltd</v>
      </c>
      <c r="B268" t="str">
        <f>"2238 HK Equity"</f>
        <v>2238 HK Equity</v>
      </c>
      <c r="C268" t="str">
        <f t="shared" si="18"/>
        <v>RR010</v>
      </c>
      <c r="D268" t="str">
        <f t="shared" si="19"/>
        <v>TOT_COMMON_EQY</v>
      </c>
      <c r="E268" t="str">
        <f t="shared" si="20"/>
        <v>Dynamic</v>
      </c>
      <c r="F268" t="str">
        <f ca="1">IF(AND(ISNUMBER($F$771),$B$511=1),$F$771,HLOOKUP(INDIRECT(ADDRESS(2,COLUMN())),OFFSET($BN$2,0,0,ROW()-1,60),ROW()-1,FALSE))</f>
        <v/>
      </c>
      <c r="G268" t="str">
        <f ca="1">IF(AND(ISNUMBER($G$771),$B$511=1),$G$771,HLOOKUP(INDIRECT(ADDRESS(2,COLUMN())),OFFSET($BN$2,0,0,ROW()-1,60),ROW()-1,FALSE))</f>
        <v/>
      </c>
      <c r="H268">
        <f ca="1">IF(AND(ISNUMBER($H$771),$B$511=1),$H$771,HLOOKUP(INDIRECT(ADDRESS(2,COLUMN())),OFFSET($BN$2,0,0,ROW()-1,60),ROW()-1,FALSE))</f>
        <v>11008.838159999999</v>
      </c>
      <c r="I268">
        <f ca="1">IF(AND(ISNUMBER($I$771),$B$511=1),$I$771,HLOOKUP(INDIRECT(ADDRESS(2,COLUMN())),OFFSET($BN$2,0,0,ROW()-1,60),ROW()-1,FALSE))</f>
        <v>11079.904769999999</v>
      </c>
      <c r="J268">
        <f ca="1">IF(AND(ISNUMBER($J$771),$B$511=1),$J$771,HLOOKUP(INDIRECT(ADDRESS(2,COLUMN())),OFFSET($BN$2,0,0,ROW()-1,60),ROW()-1,FALSE))</f>
        <v>11626.35514</v>
      </c>
      <c r="K268">
        <f ca="1">IF(AND(ISNUMBER($K$771),$B$511=1),$K$771,HLOOKUP(INDIRECT(ADDRESS(2,COLUMN())),OFFSET($BN$2,0,0,ROW()-1,60),ROW()-1,FALSE))</f>
        <v>10661.35578</v>
      </c>
      <c r="L268">
        <f ca="1">IF(AND(ISNUMBER($L$771),$B$511=1),$L$771,HLOOKUP(INDIRECT(ADDRESS(2,COLUMN())),OFFSET($BN$2,0,0,ROW()-1,60),ROW()-1,FALSE))</f>
        <v>7803.0608380000003</v>
      </c>
      <c r="M268">
        <f ca="1">IF(AND(ISNUMBER($M$771),$B$511=1),$M$771,HLOOKUP(INDIRECT(ADDRESS(2,COLUMN())),OFFSET($BN$2,0,0,ROW()-1,60),ROW()-1,FALSE))</f>
        <v>7330.0928309999999</v>
      </c>
      <c r="N268">
        <f ca="1">IF(AND(ISNUMBER($N$771),$B$511=1),$N$771,HLOOKUP(INDIRECT(ADDRESS(2,COLUMN())),OFFSET($BN$2,0,0,ROW()-1,60),ROW()-1,FALSE))</f>
        <v>6913.1382709999998</v>
      </c>
      <c r="O268">
        <f ca="1">IF(AND(ISNUMBER($O$771),$B$511=1),$O$771,HLOOKUP(INDIRECT(ADDRESS(2,COLUMN())),OFFSET($BN$2,0,0,ROW()-1,60),ROW()-1,FALSE))</f>
        <v>6311.8190770000001</v>
      </c>
      <c r="P268">
        <f ca="1">IF(AND(ISNUMBER($P$771),$B$511=1),$P$771,HLOOKUP(INDIRECT(ADDRESS(2,COLUMN())),OFFSET($BN$2,0,0,ROW()-1,60),ROW()-1,FALSE))</f>
        <v>6216.0893219999998</v>
      </c>
      <c r="Q268">
        <f ca="1">IF(AND(ISNUMBER($Q$771),$B$511=1),$Q$771,HLOOKUP(INDIRECT(ADDRESS(2,COLUMN())),OFFSET($BN$2,0,0,ROW()-1,60),ROW()-1,FALSE))</f>
        <v>6287.0531360000004</v>
      </c>
      <c r="R268">
        <f ca="1">IF(AND(ISNUMBER($R$771),$B$511=1),$R$771,HLOOKUP(INDIRECT(ADDRESS(2,COLUMN())),OFFSET($BN$2,0,0,ROW()-1,60),ROW()-1,FALSE))</f>
        <v>6329.3131540000004</v>
      </c>
      <c r="S268">
        <f ca="1">IF(AND(ISNUMBER($S$771),$B$511=1),$S$771,HLOOKUP(INDIRECT(ADDRESS(2,COLUMN())),OFFSET($BN$2,0,0,ROW()-1,60),ROW()-1,FALSE))</f>
        <v>5948.7668350000004</v>
      </c>
      <c r="T268">
        <f ca="1">IF(AND(ISNUMBER($T$771),$B$511=1),$T$771,HLOOKUP(INDIRECT(ADDRESS(2,COLUMN())),OFFSET($BN$2,0,0,ROW()-1,60),ROW()-1,FALSE))</f>
        <v>5812.1833770000003</v>
      </c>
      <c r="U268">
        <f ca="1">IF(AND(ISNUMBER($U$771),$B$511=1),$U$771,HLOOKUP(INDIRECT(ADDRESS(2,COLUMN())),OFFSET($BN$2,0,0,ROW()-1,60),ROW()-1,FALSE))</f>
        <v>5897.3531919999996</v>
      </c>
      <c r="V268">
        <f ca="1">IF(AND(ISNUMBER($V$771),$B$511=1),$V$771,HLOOKUP(INDIRECT(ADDRESS(2,COLUMN())),OFFSET($BN$2,0,0,ROW()-1,60),ROW()-1,FALSE))</f>
        <v>5775.5989939999999</v>
      </c>
      <c r="W268">
        <f ca="1">IF(AND(ISNUMBER($W$771),$B$511=1),$W$771,HLOOKUP(INDIRECT(ADDRESS(2,COLUMN())),OFFSET($BN$2,0,0,ROW()-1,60),ROW()-1,FALSE))</f>
        <v>5702.833576</v>
      </c>
      <c r="X268">
        <f ca="1">IF(AND(ISNUMBER($X$771),$B$511=1),$X$771,HLOOKUP(INDIRECT(ADDRESS(2,COLUMN())),OFFSET($BN$2,0,0,ROW()-1,60),ROW()-1,FALSE))</f>
        <v>5599.8220959999999</v>
      </c>
      <c r="Y268">
        <f ca="1">IF(AND(ISNUMBER($Y$771),$B$511=1),$Y$771,HLOOKUP(INDIRECT(ADDRESS(2,COLUMN())),OFFSET($BN$2,0,0,ROW()-1,60),ROW()-1,FALSE))</f>
        <v>5534.8528710000001</v>
      </c>
      <c r="Z268">
        <f ca="1">IF(AND(ISNUMBER($Z$771),$B$511=1),$Z$771,HLOOKUP(INDIRECT(ADDRESS(2,COLUMN())),OFFSET($BN$2,0,0,ROW()-1,60),ROW()-1,FALSE))</f>
        <v>5484.6028249999999</v>
      </c>
      <c r="AA268">
        <f ca="1">IF(AND(ISNUMBER($AA$771),$B$511=1),$AA$771,HLOOKUP(INDIRECT(ADDRESS(2,COLUMN())),OFFSET($BN$2,0,0,ROW()-1,60),ROW()-1,FALSE))</f>
        <v>5494.978572</v>
      </c>
      <c r="AB268">
        <f ca="1">IF(AND(ISNUMBER($AB$771),$B$511=1),$AB$771,HLOOKUP(INDIRECT(ADDRESS(2,COLUMN())),OFFSET($BN$2,0,0,ROW()-1,60),ROW()-1,FALSE))</f>
        <v>5361.588788</v>
      </c>
      <c r="AC268">
        <f ca="1">IF(AND(ISNUMBER($AC$771),$B$511=1),$AC$771,HLOOKUP(INDIRECT(ADDRESS(2,COLUMN())),OFFSET($BN$2,0,0,ROW()-1,60),ROW()-1,FALSE))</f>
        <v>5242.9718030000004</v>
      </c>
      <c r="AD268">
        <f ca="1">IF(AND(ISNUMBER($AD$771),$B$511=1),$AD$771,HLOOKUP(INDIRECT(ADDRESS(2,COLUMN())),OFFSET($BN$2,0,0,ROW()-1,60),ROW()-1,FALSE))</f>
        <v>5083.116145</v>
      </c>
      <c r="AE268">
        <f ca="1">IF(AND(ISNUMBER($AE$771),$B$511=1),$AE$771,HLOOKUP(INDIRECT(ADDRESS(2,COLUMN())),OFFSET($BN$2,0,0,ROW()-1,60),ROW()-1,FALSE))</f>
        <v>4986.3438690000003</v>
      </c>
      <c r="AF268">
        <f ca="1">IF(AND(ISNUMBER($AF$771),$B$511=1),$AF$771,HLOOKUP(INDIRECT(ADDRESS(2,COLUMN())),OFFSET($BN$2,0,0,ROW()-1,60),ROW()-1,FALSE))</f>
        <v>5053.9127600000002</v>
      </c>
      <c r="AG268">
        <f ca="1">IF(AND(ISNUMBER($AG$771),$B$511=1),$AG$771,HLOOKUP(INDIRECT(ADDRESS(2,COLUMN())),OFFSET($BN$2,0,0,ROW()-1,60),ROW()-1,FALSE))</f>
        <v>5017.3347030000004</v>
      </c>
      <c r="AH268">
        <f ca="1">IF(AND(ISNUMBER($AH$771),$B$511=1),$AH$771,HLOOKUP(INDIRECT(ADDRESS(2,COLUMN())),OFFSET($BN$2,0,0,ROW()-1,60),ROW()-1,FALSE))</f>
        <v>5173.0728230000004</v>
      </c>
      <c r="AI268">
        <f ca="1">IF(AND(ISNUMBER($AI$771),$B$511=1),$AI$771,HLOOKUP(INDIRECT(ADDRESS(2,COLUMN())),OFFSET($BN$2,0,0,ROW()-1,60),ROW()-1,FALSE))</f>
        <v>4628.5971179999997</v>
      </c>
      <c r="AJ268">
        <f ca="1">IF(AND(ISNUMBER($AJ$771),$B$511=1),$AJ$771,HLOOKUP(INDIRECT(ADDRESS(2,COLUMN())),OFFSET($BN$2,0,0,ROW()-1,60),ROW()-1,FALSE))</f>
        <v>4301.6532340000003</v>
      </c>
      <c r="AK268">
        <f ca="1">IF(AND(ISNUMBER($AK$771),$B$511=1),$AK$771,HLOOKUP(INDIRECT(ADDRESS(2,COLUMN())),OFFSET($BN$2,0,0,ROW()-1,60),ROW()-1,FALSE))</f>
        <v>4114.6147810000002</v>
      </c>
      <c r="AL268">
        <f ca="1">IF(AND(ISNUMBER($AL$771),$B$511=1),$AL$771,HLOOKUP(INDIRECT(ADDRESS(2,COLUMN())),OFFSET($BN$2,0,0,ROW()-1,60),ROW()-1,FALSE))</f>
        <v>4123.2876749999996</v>
      </c>
      <c r="AM268">
        <f ca="1">IF(AND(ISNUMBER($AM$771),$B$511=1),$AM$771,HLOOKUP(INDIRECT(ADDRESS(2,COLUMN())),OFFSET($BN$2,0,0,ROW()-1,60),ROW()-1,FALSE))</f>
        <v>3879.00317</v>
      </c>
      <c r="AN268">
        <f ca="1">IF(AND(ISNUMBER($AN$771),$B$511=1),$AN$771,HLOOKUP(INDIRECT(ADDRESS(2,COLUMN())),OFFSET($BN$2,0,0,ROW()-1,60),ROW()-1,FALSE))</f>
        <v>3761.4074009999999</v>
      </c>
      <c r="AO268">
        <f ca="1">IF(AND(ISNUMBER($AO$771),$B$511=1),$AO$771,HLOOKUP(INDIRECT(ADDRESS(2,COLUMN())),OFFSET($BN$2,0,0,ROW()-1,60),ROW()-1,FALSE))</f>
        <v>2258.9741429999999</v>
      </c>
      <c r="AP268">
        <f ca="1">IF(AND(ISNUMBER($AP$771),$B$511=1),$AP$771,HLOOKUP(INDIRECT(ADDRESS(2,COLUMN())),OFFSET($BN$2,0,0,ROW()-1,60),ROW()-1,FALSE))</f>
        <v>2106.605067</v>
      </c>
      <c r="AQ268">
        <f ca="1">IF(AND(ISNUMBER($AQ$771),$B$511=1),$AQ$771,HLOOKUP(INDIRECT(ADDRESS(2,COLUMN())),OFFSET($BN$2,0,0,ROW()-1,60),ROW()-1,FALSE))</f>
        <v>1905.9388469999999</v>
      </c>
      <c r="AR268">
        <f ca="1">IF(AND(ISNUMBER($AR$771),$B$511=1),$AR$771,HLOOKUP(INDIRECT(ADDRESS(2,COLUMN())),OFFSET($BN$2,0,0,ROW()-1,60),ROW()-1,FALSE))</f>
        <v>1821.6021189999999</v>
      </c>
      <c r="AS268">
        <f ca="1">IF(AND(ISNUMBER($AS$771),$B$511=1),$AS$771,HLOOKUP(INDIRECT(ADDRESS(2,COLUMN())),OFFSET($BN$2,0,0,ROW()-1,60),ROW()-1,FALSE))</f>
        <v>1819.6056590000001</v>
      </c>
      <c r="AT268">
        <f ca="1">IF(AND(ISNUMBER($AT$771),$B$511=1),$AT$771,HLOOKUP(INDIRECT(ADDRESS(2,COLUMN())),OFFSET($BN$2,0,0,ROW()-1,60),ROW()-1,FALSE))</f>
        <v>1755.228593</v>
      </c>
      <c r="AU268" t="str">
        <f ca="1">IF(AND(ISNUMBER($AU$771),$B$511=1),$AU$771,HLOOKUP(INDIRECT(ADDRESS(2,COLUMN())),OFFSET($BN$2,0,0,ROW()-1,60),ROW()-1,FALSE))</f>
        <v/>
      </c>
      <c r="AV268" t="str">
        <f ca="1">IF(AND(ISNUMBER($AV$771),$B$511=1),$AV$771,HLOOKUP(INDIRECT(ADDRESS(2,COLUMN())),OFFSET($BN$2,0,0,ROW()-1,60),ROW()-1,FALSE))</f>
        <v/>
      </c>
      <c r="AW268" t="str">
        <f ca="1">IF(AND(ISNUMBER($AW$771),$B$511=1),$AW$771,HLOOKUP(INDIRECT(ADDRESS(2,COLUMN())),OFFSET($BN$2,0,0,ROW()-1,60),ROW()-1,FALSE))</f>
        <v/>
      </c>
      <c r="AX268" t="str">
        <f ca="1">IF(AND(ISNUMBER($AX$771),$B$511=1),$AX$771,HLOOKUP(INDIRECT(ADDRESS(2,COLUMN())),OFFSET($BN$2,0,0,ROW()-1,60),ROW()-1,FALSE))</f>
        <v/>
      </c>
      <c r="AY268" t="str">
        <f ca="1">IF(AND(ISNUMBER($AY$771),$B$511=1),$AY$771,HLOOKUP(INDIRECT(ADDRESS(2,COLUMN())),OFFSET($BN$2,0,0,ROW()-1,60),ROW()-1,FALSE))</f>
        <v/>
      </c>
      <c r="AZ268" t="str">
        <f ca="1">IF(AND(ISNUMBER($AZ$771),$B$511=1),$AZ$771,HLOOKUP(INDIRECT(ADDRESS(2,COLUMN())),OFFSET($BN$2,0,0,ROW()-1,60),ROW()-1,FALSE))</f>
        <v/>
      </c>
      <c r="BA268" t="str">
        <f ca="1">IF(AND(ISNUMBER($BA$771),$B$511=1),$BA$771,HLOOKUP(INDIRECT(ADDRESS(2,COLUMN())),OFFSET($BN$2,0,0,ROW()-1,60),ROW()-1,FALSE))</f>
        <v/>
      </c>
      <c r="BB268" t="str">
        <f ca="1">IF(AND(ISNUMBER($BB$771),$B$511=1),$BB$771,HLOOKUP(INDIRECT(ADDRESS(2,COLUMN())),OFFSET($BN$2,0,0,ROW()-1,60),ROW()-1,FALSE))</f>
        <v/>
      </c>
      <c r="BC268" t="str">
        <f ca="1">IF(AND(ISNUMBER($BC$771),$B$511=1),$BC$771,HLOOKUP(INDIRECT(ADDRESS(2,COLUMN())),OFFSET($BN$2,0,0,ROW()-1,60),ROW()-1,FALSE))</f>
        <v/>
      </c>
      <c r="BD268" t="str">
        <f ca="1">IF(AND(ISNUMBER($BD$771),$B$511=1),$BD$771,HLOOKUP(INDIRECT(ADDRESS(2,COLUMN())),OFFSET($BN$2,0,0,ROW()-1,60),ROW()-1,FALSE))</f>
        <v/>
      </c>
      <c r="BE268" t="str">
        <f ca="1">IF(AND(ISNUMBER($BE$771),$B$511=1),$BE$771,HLOOKUP(INDIRECT(ADDRESS(2,COLUMN())),OFFSET($BN$2,0,0,ROW()-1,60),ROW()-1,FALSE))</f>
        <v/>
      </c>
      <c r="BF268" t="str">
        <f ca="1">IF(AND(ISNUMBER($BF$771),$B$511=1),$BF$771,HLOOKUP(INDIRECT(ADDRESS(2,COLUMN())),OFFSET($BN$2,0,0,ROW()-1,60),ROW()-1,FALSE))</f>
        <v/>
      </c>
      <c r="BG268" t="str">
        <f ca="1">IF(AND(ISNUMBER($BG$771),$B$511=1),$BG$771,HLOOKUP(INDIRECT(ADDRESS(2,COLUMN())),OFFSET($BN$2,0,0,ROW()-1,60),ROW()-1,FALSE))</f>
        <v/>
      </c>
      <c r="BH268" t="str">
        <f ca="1">IF(AND(ISNUMBER($BH$771),$B$511=1),$BH$771,HLOOKUP(INDIRECT(ADDRESS(2,COLUMN())),OFFSET($BN$2,0,0,ROW()-1,60),ROW()-1,FALSE))</f>
        <v/>
      </c>
      <c r="BI268" t="str">
        <f ca="1">IF(AND(ISNUMBER($BI$771),$B$511=1),$BI$771,HLOOKUP(INDIRECT(ADDRESS(2,COLUMN())),OFFSET($BN$2,0,0,ROW()-1,60),ROW()-1,FALSE))</f>
        <v/>
      </c>
      <c r="BJ268" t="str">
        <f ca="1">IF(AND(ISNUMBER($BJ$771),$B$511=1),$BJ$771,HLOOKUP(INDIRECT(ADDRESS(2,COLUMN())),OFFSET($BN$2,0,0,ROW()-1,60),ROW()-1,FALSE))</f>
        <v/>
      </c>
      <c r="BK268" t="str">
        <f ca="1">IF(AND(ISNUMBER($BK$771),$B$511=1),$BK$771,HLOOKUP(INDIRECT(ADDRESS(2,COLUMN())),OFFSET($BN$2,0,0,ROW()-1,60),ROW()-1,FALSE))</f>
        <v/>
      </c>
      <c r="BL268" t="str">
        <f ca="1">IF(AND(ISNUMBER($BL$771),$B$511=1),$BL$771,HLOOKUP(INDIRECT(ADDRESS(2,COLUMN())),OFFSET($BN$2,0,0,ROW()-1,60),ROW()-1,FALSE))</f>
        <v/>
      </c>
      <c r="BM268" t="str">
        <f ca="1">IF(AND(ISNUMBER($BM$771),$B$511=1),$BM$771,HLOOKUP(INDIRECT(ADDRESS(2,COLUMN())),OFFSET($BN$2,0,0,ROW()-1,60),ROW()-1,FALSE))</f>
        <v/>
      </c>
      <c r="BN268" t="str">
        <f>""</f>
        <v/>
      </c>
      <c r="BO268" t="str">
        <f>""</f>
        <v/>
      </c>
      <c r="BP268">
        <f>11008.83816</f>
        <v>11008.838159999999</v>
      </c>
      <c r="BQ268">
        <f>11079.90477</f>
        <v>11079.904769999999</v>
      </c>
      <c r="BR268">
        <f>11626.35514</f>
        <v>11626.35514</v>
      </c>
      <c r="BS268">
        <f>10661.35578</f>
        <v>10661.35578</v>
      </c>
      <c r="BT268">
        <f>7803.060838</f>
        <v>7803.0608380000003</v>
      </c>
      <c r="BU268">
        <f>7330.092831</f>
        <v>7330.0928309999999</v>
      </c>
      <c r="BV268">
        <f>6913.138271</f>
        <v>6913.1382709999998</v>
      </c>
      <c r="BW268">
        <f>6311.819077</f>
        <v>6311.8190770000001</v>
      </c>
      <c r="BX268">
        <f>6216.089322</f>
        <v>6216.0893219999998</v>
      </c>
      <c r="BY268">
        <f>6287.053136</f>
        <v>6287.0531360000004</v>
      </c>
      <c r="BZ268">
        <f>6329.313154</f>
        <v>6329.3131540000004</v>
      </c>
      <c r="CA268">
        <f>5948.766835</f>
        <v>5948.7668350000004</v>
      </c>
      <c r="CB268">
        <f>5812.183377</f>
        <v>5812.1833770000003</v>
      </c>
      <c r="CC268">
        <f>5897.353192</f>
        <v>5897.3531919999996</v>
      </c>
      <c r="CD268">
        <f>5775.598994</f>
        <v>5775.5989939999999</v>
      </c>
      <c r="CE268">
        <f>5702.833576</f>
        <v>5702.833576</v>
      </c>
      <c r="CF268">
        <f>5599.822096</f>
        <v>5599.8220959999999</v>
      </c>
      <c r="CG268">
        <f>5534.852871</f>
        <v>5534.8528710000001</v>
      </c>
      <c r="CH268">
        <f>5484.602825</f>
        <v>5484.6028249999999</v>
      </c>
      <c r="CI268">
        <f>5494.978572</f>
        <v>5494.978572</v>
      </c>
      <c r="CJ268">
        <f>5361.588788</f>
        <v>5361.588788</v>
      </c>
      <c r="CK268">
        <f>5242.971803</f>
        <v>5242.9718030000004</v>
      </c>
      <c r="CL268">
        <f>5083.116145</f>
        <v>5083.116145</v>
      </c>
      <c r="CM268">
        <f>4986.343869</f>
        <v>4986.3438690000003</v>
      </c>
      <c r="CN268">
        <f>5053.91276</f>
        <v>5053.9127600000002</v>
      </c>
      <c r="CO268">
        <f>5017.334703</f>
        <v>5017.3347030000004</v>
      </c>
      <c r="CP268">
        <f>5173.072823</f>
        <v>5173.0728230000004</v>
      </c>
      <c r="CQ268">
        <f>4628.597118</f>
        <v>4628.5971179999997</v>
      </c>
      <c r="CR268">
        <f>4301.653234</f>
        <v>4301.6532340000003</v>
      </c>
      <c r="CS268">
        <f>4114.614781</f>
        <v>4114.6147810000002</v>
      </c>
      <c r="CT268">
        <f>4123.287675</f>
        <v>4123.2876749999996</v>
      </c>
      <c r="CU268">
        <f>3879.00317</f>
        <v>3879.00317</v>
      </c>
      <c r="CV268">
        <f>3761.407401</f>
        <v>3761.4074009999999</v>
      </c>
      <c r="CW268">
        <f>2258.974143</f>
        <v>2258.9741429999999</v>
      </c>
      <c r="CX268">
        <f>2106.605067</f>
        <v>2106.605067</v>
      </c>
      <c r="CY268">
        <f>1905.938847</f>
        <v>1905.9388469999999</v>
      </c>
      <c r="CZ268">
        <f>1821.602119</f>
        <v>1821.6021189999999</v>
      </c>
      <c r="DA268">
        <f>1819.605659</f>
        <v>1819.6056590000001</v>
      </c>
      <c r="DB268">
        <f>1755.228593</f>
        <v>1755.228593</v>
      </c>
      <c r="DC268" t="str">
        <f>""</f>
        <v/>
      </c>
      <c r="DD268" t="str">
        <f>""</f>
        <v/>
      </c>
      <c r="DE268" t="str">
        <f>""</f>
        <v/>
      </c>
      <c r="DF268" t="str">
        <f>""</f>
        <v/>
      </c>
      <c r="DG268" t="str">
        <f>""</f>
        <v/>
      </c>
      <c r="DH268" t="str">
        <f>""</f>
        <v/>
      </c>
      <c r="DI268" t="str">
        <f>""</f>
        <v/>
      </c>
      <c r="DJ268" t="str">
        <f>""</f>
        <v/>
      </c>
      <c r="DK268" t="str">
        <f>""</f>
        <v/>
      </c>
      <c r="DL268" t="str">
        <f>""</f>
        <v/>
      </c>
      <c r="DM268" t="str">
        <f>""</f>
        <v/>
      </c>
      <c r="DN268" t="str">
        <f>""</f>
        <v/>
      </c>
      <c r="DO268" t="str">
        <f>""</f>
        <v/>
      </c>
      <c r="DP268" t="str">
        <f>""</f>
        <v/>
      </c>
      <c r="DQ268" t="str">
        <f>""</f>
        <v/>
      </c>
      <c r="DR268" t="str">
        <f>""</f>
        <v/>
      </c>
      <c r="DS268" t="str">
        <f>""</f>
        <v/>
      </c>
      <c r="DT268" t="str">
        <f>""</f>
        <v/>
      </c>
      <c r="DU268" t="str">
        <f>""</f>
        <v/>
      </c>
    </row>
    <row r="269" spans="1:125" x14ac:dyDescent="0.25">
      <c r="A269" t="str">
        <f>"    Honda Motor Co Ltd"</f>
        <v xml:space="preserve">    Honda Motor Co Ltd</v>
      </c>
      <c r="B269" t="str">
        <f>"7267 JP Equity"</f>
        <v>7267 JP Equity</v>
      </c>
      <c r="C269" t="str">
        <f t="shared" si="18"/>
        <v>RR010</v>
      </c>
      <c r="D269" t="str">
        <f t="shared" si="19"/>
        <v>TOT_COMMON_EQY</v>
      </c>
      <c r="E269" t="str">
        <f t="shared" si="20"/>
        <v>Dynamic</v>
      </c>
      <c r="F269" t="str">
        <f ca="1">IF(AND(ISNUMBER($F$772),$B$511=1),$F$772,HLOOKUP(INDIRECT(ADDRESS(2,COLUMN())),OFFSET($BN$2,0,0,ROW()-1,60),ROW()-1,FALSE))</f>
        <v/>
      </c>
      <c r="G269">
        <f ca="1">IF(AND(ISNUMBER($G$772),$B$511=1),$G$772,HLOOKUP(INDIRECT(ADDRESS(2,COLUMN())),OFFSET($BN$2,0,0,ROW()-1,60),ROW()-1,FALSE))</f>
        <v>75565.748680000004</v>
      </c>
      <c r="H269">
        <f ca="1">IF(AND(ISNUMBER($H$772),$B$511=1),$H$772,HLOOKUP(INDIRECT(ADDRESS(2,COLUMN())),OFFSET($BN$2,0,0,ROW()-1,60),ROW()-1,FALSE))</f>
        <v>73683.233479999995</v>
      </c>
      <c r="I269">
        <f ca="1">IF(AND(ISNUMBER($I$772),$B$511=1),$I$772,HLOOKUP(INDIRECT(ADDRESS(2,COLUMN())),OFFSET($BN$2,0,0,ROW()-1,60),ROW()-1,FALSE))</f>
        <v>73096.506590000005</v>
      </c>
      <c r="J269">
        <f ca="1">IF(AND(ISNUMBER($J$772),$B$511=1),$J$772,HLOOKUP(INDIRECT(ADDRESS(2,COLUMN())),OFFSET($BN$2,0,0,ROW()-1,60),ROW()-1,FALSE))</f>
        <v>74689.681790000002</v>
      </c>
      <c r="K269">
        <f ca="1">IF(AND(ISNUMBER($K$772),$B$511=1),$K$772,HLOOKUP(INDIRECT(ADDRESS(2,COLUMN())),OFFSET($BN$2,0,0,ROW()-1,60),ROW()-1,FALSE))</f>
        <v>72402.664770000003</v>
      </c>
      <c r="L269">
        <f ca="1">IF(AND(ISNUMBER($L$772),$B$511=1),$L$772,HLOOKUP(INDIRECT(ADDRESS(2,COLUMN())),OFFSET($BN$2,0,0,ROW()-1,60),ROW()-1,FALSE))</f>
        <v>68313.523350000003</v>
      </c>
      <c r="M269">
        <f ca="1">IF(AND(ISNUMBER($M$772),$B$511=1),$M$772,HLOOKUP(INDIRECT(ADDRESS(2,COLUMN())),OFFSET($BN$2,0,0,ROW()-1,60),ROW()-1,FALSE))</f>
        <v>66505.509569999995</v>
      </c>
      <c r="N269">
        <f ca="1">IF(AND(ISNUMBER($N$772),$B$511=1),$N$772,HLOOKUP(INDIRECT(ADDRESS(2,COLUMN())),OFFSET($BN$2,0,0,ROW()-1,60),ROW()-1,FALSE))</f>
        <v>65540.346780000007</v>
      </c>
      <c r="O269">
        <f ca="1">IF(AND(ISNUMBER($O$772),$B$511=1),$O$772,HLOOKUP(INDIRECT(ADDRESS(2,COLUMN())),OFFSET($BN$2,0,0,ROW()-1,60),ROW()-1,FALSE))</f>
        <v>62617.755490000003</v>
      </c>
      <c r="P269">
        <f ca="1">IF(AND(ISNUMBER($P$772),$B$511=1),$P$772,HLOOKUP(INDIRECT(ADDRESS(2,COLUMN())),OFFSET($BN$2,0,0,ROW()-1,60),ROW()-1,FALSE))</f>
        <v>64719.865919999997</v>
      </c>
      <c r="Q269">
        <f ca="1">IF(AND(ISNUMBER($Q$772),$B$511=1),$Q$772,HLOOKUP(INDIRECT(ADDRESS(2,COLUMN())),OFFSET($BN$2,0,0,ROW()-1,60),ROW()-1,FALSE))</f>
        <v>62961.362540000002</v>
      </c>
      <c r="R269">
        <f ca="1">IF(AND(ISNUMBER($R$772),$B$511=1),$R$772,HLOOKUP(INDIRECT(ADDRESS(2,COLUMN())),OFFSET($BN$2,0,0,ROW()-1,60),ROW()-1,FALSE))</f>
        <v>60101.626669999998</v>
      </c>
      <c r="S269">
        <f ca="1">IF(AND(ISNUMBER($S$772),$B$511=1),$S$772,HLOOKUP(INDIRECT(ADDRESS(2,COLUMN())),OFFSET($BN$2,0,0,ROW()-1,60),ROW()-1,FALSE))</f>
        <v>60210.465889999999</v>
      </c>
      <c r="T269">
        <f ca="1">IF(AND(ISNUMBER($T$772),$B$511=1),$T$772,HLOOKUP(INDIRECT(ADDRESS(2,COLUMN())),OFFSET($BN$2,0,0,ROW()-1,60),ROW()-1,FALSE))</f>
        <v>59659.154340000001</v>
      </c>
      <c r="U269">
        <f ca="1">IF(AND(ISNUMBER($U$772),$B$511=1),$U$772,HLOOKUP(INDIRECT(ADDRESS(2,COLUMN())),OFFSET($BN$2,0,0,ROW()-1,60),ROW()-1,FALSE))</f>
        <v>60145.799209999997</v>
      </c>
      <c r="V269">
        <f ca="1">IF(AND(ISNUMBER($V$772),$B$511=1),$V$772,HLOOKUP(INDIRECT(ADDRESS(2,COLUMN())),OFFSET($BN$2,0,0,ROW()-1,60),ROW()-1,FALSE))</f>
        <v>56077.115460000001</v>
      </c>
      <c r="W269">
        <f ca="1">IF(AND(ISNUMBER($W$772),$B$511=1),$W$772,HLOOKUP(INDIRECT(ADDRESS(2,COLUMN())),OFFSET($BN$2,0,0,ROW()-1,60),ROW()-1,FALSE))</f>
        <v>56599.457609999998</v>
      </c>
      <c r="X269">
        <f ca="1">IF(AND(ISNUMBER($X$772),$B$511=1),$X$772,HLOOKUP(INDIRECT(ADDRESS(2,COLUMN())),OFFSET($BN$2,0,0,ROW()-1,60),ROW()-1,FALSE))</f>
        <v>57564.408170000002</v>
      </c>
      <c r="Y269">
        <f ca="1">IF(AND(ISNUMBER($Y$772),$B$511=1),$Y$772,HLOOKUP(INDIRECT(ADDRESS(2,COLUMN())),OFFSET($BN$2,0,0,ROW()-1,60),ROW()-1,FALSE))</f>
        <v>59018.777770000001</v>
      </c>
      <c r="Z269">
        <f ca="1">IF(AND(ISNUMBER($Z$772),$B$511=1),$Z$772,HLOOKUP(INDIRECT(ADDRESS(2,COLUMN())),OFFSET($BN$2,0,0,ROW()-1,60),ROW()-1,FALSE))</f>
        <v>57426.787620000003</v>
      </c>
      <c r="AA269">
        <f ca="1">IF(AND(ISNUMBER($AA$772),$B$511=1),$AA$772,HLOOKUP(INDIRECT(ADDRESS(2,COLUMN())),OFFSET($BN$2,0,0,ROW()-1,60),ROW()-1,FALSE))</f>
        <v>54902.080560000002</v>
      </c>
      <c r="AB269">
        <f ca="1">IF(AND(ISNUMBER($AB$772),$B$511=1),$AB$772,HLOOKUP(INDIRECT(ADDRESS(2,COLUMN())),OFFSET($BN$2,0,0,ROW()-1,60),ROW()-1,FALSE))</f>
        <v>55766.286529999998</v>
      </c>
      <c r="AC269">
        <f ca="1">IF(AND(ISNUMBER($AC$772),$B$511=1),$AC$772,HLOOKUP(INDIRECT(ADDRESS(2,COLUMN())),OFFSET($BN$2,0,0,ROW()-1,60),ROW()-1,FALSE))</f>
        <v>53606.664649999999</v>
      </c>
      <c r="AD269">
        <f ca="1">IF(AND(ISNUMBER($AD$772),$B$511=1),$AD$772,HLOOKUP(INDIRECT(ADDRESS(2,COLUMN())),OFFSET($BN$2,0,0,ROW()-1,60),ROW()-1,FALSE))</f>
        <v>53465.049879999999</v>
      </c>
      <c r="AE269">
        <f ca="1">IF(AND(ISNUMBER($AE$772),$B$511=1),$AE$772,HLOOKUP(INDIRECT(ADDRESS(2,COLUMN())),OFFSET($BN$2,0,0,ROW()-1,60),ROW()-1,FALSE))</f>
        <v>54255.091200000003</v>
      </c>
      <c r="AF269">
        <f ca="1">IF(AND(ISNUMBER($AF$772),$B$511=1),$AF$772,HLOOKUP(INDIRECT(ADDRESS(2,COLUMN())),OFFSET($BN$2,0,0,ROW()-1,60),ROW()-1,FALSE))</f>
        <v>56414.386550000003</v>
      </c>
      <c r="AG269">
        <f ca="1">IF(AND(ISNUMBER($AG$772),$B$511=1),$AG$772,HLOOKUP(INDIRECT(ADDRESS(2,COLUMN())),OFFSET($BN$2,0,0,ROW()-1,60),ROW()-1,FALSE))</f>
        <v>55759.29825</v>
      </c>
      <c r="AH269">
        <f ca="1">IF(AND(ISNUMBER($AH$772),$B$511=1),$AH$772,HLOOKUP(INDIRECT(ADDRESS(2,COLUMN())),OFFSET($BN$2,0,0,ROW()-1,60),ROW()-1,FALSE))</f>
        <v>53281.060149999998</v>
      </c>
      <c r="AI269">
        <f ca="1">IF(AND(ISNUMBER($AI$772),$B$511=1),$AI$772,HLOOKUP(INDIRECT(ADDRESS(2,COLUMN())),OFFSET($BN$2,0,0,ROW()-1,60),ROW()-1,FALSE))</f>
        <v>55142.00546</v>
      </c>
      <c r="AJ269">
        <f ca="1">IF(AND(ISNUMBER($AJ$772),$B$511=1),$AJ$772,HLOOKUP(INDIRECT(ADDRESS(2,COLUMN())),OFFSET($BN$2,0,0,ROW()-1,60),ROW()-1,FALSE))</f>
        <v>55707.518799999998</v>
      </c>
      <c r="AK269">
        <f ca="1">IF(AND(ISNUMBER($AK$772),$B$511=1),$AK$772,HLOOKUP(INDIRECT(ADDRESS(2,COLUMN())),OFFSET($BN$2,0,0,ROW()-1,60),ROW()-1,FALSE))</f>
        <v>54907.584410000003</v>
      </c>
      <c r="AL269">
        <f ca="1">IF(AND(ISNUMBER($AL$772),$B$511=1),$AL$772,HLOOKUP(INDIRECT(ADDRESS(2,COLUMN())),OFFSET($BN$2,0,0,ROW()-1,60),ROW()-1,FALSE))</f>
        <v>53724.194130000003</v>
      </c>
      <c r="AM269">
        <f ca="1">IF(AND(ISNUMBER($AM$772),$B$511=1),$AM$772,HLOOKUP(INDIRECT(ADDRESS(2,COLUMN())),OFFSET($BN$2,0,0,ROW()-1,60),ROW()-1,FALSE))</f>
        <v>54052.050750000002</v>
      </c>
      <c r="AN269">
        <f ca="1">IF(AND(ISNUMBER($AN$772),$B$511=1),$AN$772,HLOOKUP(INDIRECT(ADDRESS(2,COLUMN())),OFFSET($BN$2,0,0,ROW()-1,60),ROW()-1,FALSE))</f>
        <v>52460.771630000003</v>
      </c>
      <c r="AO269">
        <f ca="1">IF(AND(ISNUMBER($AO$772),$B$511=1),$AO$772,HLOOKUP(INDIRECT(ADDRESS(2,COLUMN())),OFFSET($BN$2,0,0,ROW()-1,60),ROW()-1,FALSE))</f>
        <v>49818.107929999998</v>
      </c>
      <c r="AP269">
        <f ca="1">IF(AND(ISNUMBER($AP$772),$B$511=1),$AP$772,HLOOKUP(INDIRECT(ADDRESS(2,COLUMN())),OFFSET($BN$2,0,0,ROW()-1,60),ROW()-1,FALSE))</f>
        <v>46325.342470000003</v>
      </c>
      <c r="AQ269">
        <f ca="1">IF(AND(ISNUMBER($AQ$772),$B$511=1),$AQ$772,HLOOKUP(INDIRECT(ADDRESS(2,COLUMN())),OFFSET($BN$2,0,0,ROW()-1,60),ROW()-1,FALSE))</f>
        <v>45087.942880000002</v>
      </c>
      <c r="AR269">
        <f ca="1">IF(AND(ISNUMBER($AR$772),$B$511=1),$AR$772,HLOOKUP(INDIRECT(ADDRESS(2,COLUMN())),OFFSET($BN$2,0,0,ROW()-1,60),ROW()-1,FALSE))</f>
        <v>44945.149420000002</v>
      </c>
      <c r="AS269">
        <f ca="1">IF(AND(ISNUMBER($AS$772),$B$511=1),$AS$772,HLOOKUP(INDIRECT(ADDRESS(2,COLUMN())),OFFSET($BN$2,0,0,ROW()-1,60),ROW()-1,FALSE))</f>
        <v>42159.281560000003</v>
      </c>
      <c r="AT269">
        <f ca="1">IF(AND(ISNUMBER($AT$772),$B$511=1),$AT$772,HLOOKUP(INDIRECT(ADDRESS(2,COLUMN())),OFFSET($BN$2,0,0,ROW()-1,60),ROW()-1,FALSE))</f>
        <v>40335.05788</v>
      </c>
      <c r="AU269">
        <f ca="1">IF(AND(ISNUMBER($AU$772),$B$511=1),$AU$772,HLOOKUP(INDIRECT(ADDRESS(2,COLUMN())),OFFSET($BN$2,0,0,ROW()-1,60),ROW()-1,FALSE))</f>
        <v>46881.121270000003</v>
      </c>
      <c r="AV269">
        <f ca="1">IF(AND(ISNUMBER($AV$772),$B$511=1),$AV$772,HLOOKUP(INDIRECT(ADDRESS(2,COLUMN())),OFFSET($BN$2,0,0,ROW()-1,60),ROW()-1,FALSE))</f>
        <v>44845.18316</v>
      </c>
      <c r="AW269">
        <f ca="1">IF(AND(ISNUMBER($AW$772),$B$511=1),$AW$772,HLOOKUP(INDIRECT(ADDRESS(2,COLUMN())),OFFSET($BN$2,0,0,ROW()-1,60),ROW()-1,FALSE))</f>
        <v>44846.303800000002</v>
      </c>
      <c r="AX269">
        <f ca="1">IF(AND(ISNUMBER($AX$772),$B$511=1),$AX$772,HLOOKUP(INDIRECT(ADDRESS(2,COLUMN())),OFFSET($BN$2,0,0,ROW()-1,60),ROW()-1,FALSE))</f>
        <v>45506.358899999999</v>
      </c>
      <c r="AY269">
        <f ca="1">IF(AND(ISNUMBER($AY$772),$B$511=1),$AY$772,HLOOKUP(INDIRECT(ADDRESS(2,COLUMN())),OFFSET($BN$2,0,0,ROW()-1,60),ROW()-1,FALSE))</f>
        <v>44361.43662</v>
      </c>
      <c r="AZ269">
        <f ca="1">IF(AND(ISNUMBER($AZ$772),$B$511=1),$AZ$772,HLOOKUP(INDIRECT(ADDRESS(2,COLUMN())),OFFSET($BN$2,0,0,ROW()-1,60),ROW()-1,FALSE))</f>
        <v>42131.986060000003</v>
      </c>
      <c r="BA269">
        <f ca="1">IF(AND(ISNUMBER($BA$772),$B$511=1),$BA$772,HLOOKUP(INDIRECT(ADDRESS(2,COLUMN())),OFFSET($BN$2,0,0,ROW()-1,60),ROW()-1,FALSE))</f>
        <v>38556.904110000003</v>
      </c>
      <c r="BB269">
        <f ca="1">IF(AND(ISNUMBER($BB$772),$B$511=1),$BB$772,HLOOKUP(INDIRECT(ADDRESS(2,COLUMN())),OFFSET($BN$2,0,0,ROW()-1,60),ROW()-1,FALSE))</f>
        <v>38120.682030000004</v>
      </c>
      <c r="BC269">
        <f ca="1">IF(AND(ISNUMBER($BC$772),$B$511=1),$BC$772,HLOOKUP(INDIRECT(ADDRESS(2,COLUMN())),OFFSET($BN$2,0,0,ROW()-1,60),ROW()-1,FALSE))</f>
        <v>37770.809670000002</v>
      </c>
      <c r="BD269">
        <f ca="1">IF(AND(ISNUMBER($BD$772),$B$511=1),$BD$772,HLOOKUP(INDIRECT(ADDRESS(2,COLUMN())),OFFSET($BN$2,0,0,ROW()-1,60),ROW()-1,FALSE))</f>
        <v>36915.616000000002</v>
      </c>
      <c r="BE269">
        <f ca="1">IF(AND(ISNUMBER($BE$772),$B$511=1),$BE$772,HLOOKUP(INDIRECT(ADDRESS(2,COLUMN())),OFFSET($BN$2,0,0,ROW()-1,60),ROW()-1,FALSE))</f>
        <v>36698.672279999999</v>
      </c>
      <c r="BF269">
        <f ca="1">IF(AND(ISNUMBER($BF$772),$B$511=1),$BF$772,HLOOKUP(INDIRECT(ADDRESS(2,COLUMN())),OFFSET($BN$2,0,0,ROW()-1,60),ROW()-1,FALSE))</f>
        <v>35112.765959999997</v>
      </c>
      <c r="BG269">
        <f ca="1">IF(AND(ISNUMBER($BG$772),$B$511=1),$BG$772,HLOOKUP(INDIRECT(ADDRESS(2,COLUMN())),OFFSET($BN$2,0,0,ROW()-1,60),ROW()-1,FALSE))</f>
        <v>32370.17038</v>
      </c>
      <c r="BH269">
        <f ca="1">IF(AND(ISNUMBER($BH$772),$B$511=1),$BH$772,HLOOKUP(INDIRECT(ADDRESS(2,COLUMN())),OFFSET($BN$2,0,0,ROW()-1,60),ROW()-1,FALSE))</f>
        <v>31936.121869999999</v>
      </c>
      <c r="BI269">
        <f ca="1">IF(AND(ISNUMBER($BI$772),$B$511=1),$BI$772,HLOOKUP(INDIRECT(ADDRESS(2,COLUMN())),OFFSET($BN$2,0,0,ROW()-1,60),ROW()-1,FALSE))</f>
        <v>30790.615699999998</v>
      </c>
      <c r="BJ269">
        <f ca="1">IF(AND(ISNUMBER($BJ$772),$B$511=1),$BJ$772,HLOOKUP(INDIRECT(ADDRESS(2,COLUMN())),OFFSET($BN$2,0,0,ROW()-1,60),ROW()-1,FALSE))</f>
        <v>30683.71269</v>
      </c>
      <c r="BK269">
        <f ca="1">IF(AND(ISNUMBER($BK$772),$B$511=1),$BK$772,HLOOKUP(INDIRECT(ADDRESS(2,COLUMN())),OFFSET($BN$2,0,0,ROW()-1,60),ROW()-1,FALSE))</f>
        <v>30798.829379999999</v>
      </c>
      <c r="BL269">
        <f ca="1">IF(AND(ISNUMBER($BL$772),$B$511=1),$BL$772,HLOOKUP(INDIRECT(ADDRESS(2,COLUMN())),OFFSET($BN$2,0,0,ROW()-1,60),ROW()-1,FALSE))</f>
        <v>28512.671699999999</v>
      </c>
      <c r="BM269">
        <f ca="1">IF(AND(ISNUMBER($BM$772),$B$511=1),$BM$772,HLOOKUP(INDIRECT(ADDRESS(2,COLUMN())),OFFSET($BN$2,0,0,ROW()-1,60),ROW()-1,FALSE))</f>
        <v>27318.761999999999</v>
      </c>
      <c r="BN269" t="str">
        <f>""</f>
        <v/>
      </c>
      <c r="BO269">
        <f>75565.74868</f>
        <v>75565.748680000004</v>
      </c>
      <c r="BP269">
        <f>73683.23348</f>
        <v>73683.233479999995</v>
      </c>
      <c r="BQ269">
        <f>73096.50659</f>
        <v>73096.506590000005</v>
      </c>
      <c r="BR269">
        <f>74689.68179</f>
        <v>74689.681790000002</v>
      </c>
      <c r="BS269">
        <f>72402.66477</f>
        <v>72402.664770000003</v>
      </c>
      <c r="BT269">
        <f>68313.52335</f>
        <v>68313.523350000003</v>
      </c>
      <c r="BU269">
        <f>66505.50957</f>
        <v>66505.509569999995</v>
      </c>
      <c r="BV269">
        <f>65540.34678</f>
        <v>65540.346780000007</v>
      </c>
      <c r="BW269">
        <f>62617.75549</f>
        <v>62617.755490000003</v>
      </c>
      <c r="BX269">
        <f>64719.86592</f>
        <v>64719.865919999997</v>
      </c>
      <c r="BY269">
        <f>62961.36254</f>
        <v>62961.362540000002</v>
      </c>
      <c r="BZ269">
        <f>60101.62667</f>
        <v>60101.626669999998</v>
      </c>
      <c r="CA269">
        <f>60210.46589</f>
        <v>60210.465889999999</v>
      </c>
      <c r="CB269">
        <f>59659.15434</f>
        <v>59659.154340000001</v>
      </c>
      <c r="CC269">
        <f>60145.79921</f>
        <v>60145.799209999997</v>
      </c>
      <c r="CD269">
        <f>56077.11546</f>
        <v>56077.115460000001</v>
      </c>
      <c r="CE269">
        <f>56599.45761</f>
        <v>56599.457609999998</v>
      </c>
      <c r="CF269">
        <f>57564.40817</f>
        <v>57564.408170000002</v>
      </c>
      <c r="CG269">
        <f>59018.77777</f>
        <v>59018.777770000001</v>
      </c>
      <c r="CH269">
        <f>57426.78762</f>
        <v>57426.787620000003</v>
      </c>
      <c r="CI269">
        <f>54902.08056</f>
        <v>54902.080560000002</v>
      </c>
      <c r="CJ269">
        <f>55766.28653</f>
        <v>55766.286529999998</v>
      </c>
      <c r="CK269">
        <f>53606.66465</f>
        <v>53606.664649999999</v>
      </c>
      <c r="CL269">
        <f>53465.04988</f>
        <v>53465.049879999999</v>
      </c>
      <c r="CM269">
        <f>54255.0912</f>
        <v>54255.091200000003</v>
      </c>
      <c r="CN269">
        <f>56414.38655</f>
        <v>56414.386550000003</v>
      </c>
      <c r="CO269">
        <f>55759.29825</f>
        <v>55759.29825</v>
      </c>
      <c r="CP269">
        <f>53281.06015</f>
        <v>53281.060149999998</v>
      </c>
      <c r="CQ269">
        <f>55142.00546</f>
        <v>55142.00546</v>
      </c>
      <c r="CR269">
        <f>55707.5188</f>
        <v>55707.518799999998</v>
      </c>
      <c r="CS269">
        <f>54907.58441</f>
        <v>54907.584410000003</v>
      </c>
      <c r="CT269">
        <f>53724.19413</f>
        <v>53724.194130000003</v>
      </c>
      <c r="CU269">
        <f>54052.05075</f>
        <v>54052.050750000002</v>
      </c>
      <c r="CV269">
        <f>52460.77163</f>
        <v>52460.771630000003</v>
      </c>
      <c r="CW269">
        <f>49818.10793</f>
        <v>49818.107929999998</v>
      </c>
      <c r="CX269">
        <f>46325.34247</f>
        <v>46325.342470000003</v>
      </c>
      <c r="CY269">
        <f>45087.94288</f>
        <v>45087.942880000002</v>
      </c>
      <c r="CZ269">
        <f>44945.14942</f>
        <v>44945.149420000002</v>
      </c>
      <c r="DA269">
        <f>42159.28156</f>
        <v>42159.281560000003</v>
      </c>
      <c r="DB269">
        <f>40335.05788</f>
        <v>40335.05788</v>
      </c>
      <c r="DC269">
        <f>46881.12127</f>
        <v>46881.121270000003</v>
      </c>
      <c r="DD269">
        <f>44845.18316</f>
        <v>44845.18316</v>
      </c>
      <c r="DE269">
        <f>44846.3038</f>
        <v>44846.303800000002</v>
      </c>
      <c r="DF269">
        <f>45506.3589</f>
        <v>45506.358899999999</v>
      </c>
      <c r="DG269">
        <f>44361.43662</f>
        <v>44361.43662</v>
      </c>
      <c r="DH269">
        <f>42131.98606</f>
        <v>42131.986060000003</v>
      </c>
      <c r="DI269">
        <f>38556.90411</f>
        <v>38556.904110000003</v>
      </c>
      <c r="DJ269">
        <f>38120.68203</f>
        <v>38120.682030000004</v>
      </c>
      <c r="DK269">
        <f>37770.80967</f>
        <v>37770.809670000002</v>
      </c>
      <c r="DL269">
        <f>36915.616</f>
        <v>36915.616000000002</v>
      </c>
      <c r="DM269">
        <f>36698.67228</f>
        <v>36698.672279999999</v>
      </c>
      <c r="DN269">
        <f>35112.76596</f>
        <v>35112.765959999997</v>
      </c>
      <c r="DO269">
        <f>32370.17038</f>
        <v>32370.17038</v>
      </c>
      <c r="DP269">
        <f>31936.12187</f>
        <v>31936.121869999999</v>
      </c>
      <c r="DQ269">
        <f>30790.6157</f>
        <v>30790.615699999998</v>
      </c>
      <c r="DR269">
        <f>30683.71269</f>
        <v>30683.71269</v>
      </c>
      <c r="DS269">
        <f>30798.82938</f>
        <v>30798.829379999999</v>
      </c>
      <c r="DT269">
        <f>28512.6717</f>
        <v>28512.671699999999</v>
      </c>
      <c r="DU269">
        <f>27318.762</f>
        <v>27318.761999999999</v>
      </c>
    </row>
    <row r="270" spans="1:125" x14ac:dyDescent="0.25">
      <c r="A270" t="str">
        <f>"    Hyundai Motor Co"</f>
        <v xml:space="preserve">    Hyundai Motor Co</v>
      </c>
      <c r="B270" t="str">
        <f>"005380 KS Equity"</f>
        <v>005380 KS Equity</v>
      </c>
      <c r="C270" t="str">
        <f t="shared" si="18"/>
        <v>RR010</v>
      </c>
      <c r="D270" t="str">
        <f t="shared" si="19"/>
        <v>TOT_COMMON_EQY</v>
      </c>
      <c r="E270" t="str">
        <f t="shared" si="20"/>
        <v>Dynamic</v>
      </c>
      <c r="F270" t="str">
        <f ca="1">IF(AND(ISNUMBER($F$773),$B$511=1),$F$773,HLOOKUP(INDIRECT(ADDRESS(2,COLUMN())),OFFSET($BN$2,0,0,ROW()-1,60),ROW()-1,FALSE))</f>
        <v/>
      </c>
      <c r="G270" t="str">
        <f ca="1">IF(AND(ISNUMBER($G$773),$B$511=1),$G$773,HLOOKUP(INDIRECT(ADDRESS(2,COLUMN())),OFFSET($BN$2,0,0,ROW()-1,60),ROW()-1,FALSE))</f>
        <v/>
      </c>
      <c r="H270">
        <f ca="1">IF(AND(ISNUMBER($H$773),$B$511=1),$H$773,HLOOKUP(INDIRECT(ADDRESS(2,COLUMN())),OFFSET($BN$2,0,0,ROW()-1,60),ROW()-1,FALSE))</f>
        <v>61797.022230000002</v>
      </c>
      <c r="I270">
        <f ca="1">IF(AND(ISNUMBER($I$773),$B$511=1),$I$773,HLOOKUP(INDIRECT(ADDRESS(2,COLUMN())),OFFSET($BN$2,0,0,ROW()-1,60),ROW()-1,FALSE))</f>
        <v>61913.058900000004</v>
      </c>
      <c r="J270">
        <f ca="1">IF(AND(ISNUMBER($J$773),$B$511=1),$J$773,HLOOKUP(INDIRECT(ADDRESS(2,COLUMN())),OFFSET($BN$2,0,0,ROW()-1,60),ROW()-1,FALSE))</f>
        <v>64639.89933</v>
      </c>
      <c r="K270">
        <f ca="1">IF(AND(ISNUMBER($K$773),$B$511=1),$K$773,HLOOKUP(INDIRECT(ADDRESS(2,COLUMN())),OFFSET($BN$2,0,0,ROW()-1,60),ROW()-1,FALSE))</f>
        <v>64432.916100000002</v>
      </c>
      <c r="L270">
        <f ca="1">IF(AND(ISNUMBER($L$773),$B$511=1),$L$773,HLOOKUP(INDIRECT(ADDRESS(2,COLUMN())),OFFSET($BN$2,0,0,ROW()-1,60),ROW()-1,FALSE))</f>
        <v>60124.968540000002</v>
      </c>
      <c r="M270">
        <f ca="1">IF(AND(ISNUMBER($M$773),$B$511=1),$M$773,HLOOKUP(INDIRECT(ADDRESS(2,COLUMN())),OFFSET($BN$2,0,0,ROW()-1,60),ROW()-1,FALSE))</f>
        <v>59474.427770000002</v>
      </c>
      <c r="N270">
        <f ca="1">IF(AND(ISNUMBER($N$773),$B$511=1),$N$773,HLOOKUP(INDIRECT(ADDRESS(2,COLUMN())),OFFSET($BN$2,0,0,ROW()-1,60),ROW()-1,FALSE))</f>
        <v>59287.571909999999</v>
      </c>
      <c r="O270">
        <f ca="1">IF(AND(ISNUMBER($O$773),$B$511=1),$O$773,HLOOKUP(INDIRECT(ADDRESS(2,COLUMN())),OFFSET($BN$2,0,0,ROW()-1,60),ROW()-1,FALSE))</f>
        <v>55347.020259999998</v>
      </c>
      <c r="P270">
        <f ca="1">IF(AND(ISNUMBER($P$773),$B$511=1),$P$773,HLOOKUP(INDIRECT(ADDRESS(2,COLUMN())),OFFSET($BN$2,0,0,ROW()-1,60),ROW()-1,FALSE))</f>
        <v>58152.596870000001</v>
      </c>
      <c r="Q270">
        <f ca="1">IF(AND(ISNUMBER($Q$773),$B$511=1),$Q$773,HLOOKUP(INDIRECT(ADDRESS(2,COLUMN())),OFFSET($BN$2,0,0,ROW()-1,60),ROW()-1,FALSE))</f>
        <v>55459.262600000002</v>
      </c>
      <c r="R270">
        <f ca="1">IF(AND(ISNUMBER($R$773),$B$511=1),$R$773,HLOOKUP(INDIRECT(ADDRESS(2,COLUMN())),OFFSET($BN$2,0,0,ROW()-1,60),ROW()-1,FALSE))</f>
        <v>54590.279629999997</v>
      </c>
      <c r="S270">
        <f ca="1">IF(AND(ISNUMBER($S$773),$B$511=1),$S$773,HLOOKUP(INDIRECT(ADDRESS(2,COLUMN())),OFFSET($BN$2,0,0,ROW()-1,60),ROW()-1,FALSE))</f>
        <v>52465.788740000004</v>
      </c>
      <c r="T270">
        <f ca="1">IF(AND(ISNUMBER($T$773),$B$511=1),$T$773,HLOOKUP(INDIRECT(ADDRESS(2,COLUMN())),OFFSET($BN$2,0,0,ROW()-1,60),ROW()-1,FALSE))</f>
        <v>51598.733760000003</v>
      </c>
      <c r="U270">
        <f ca="1">IF(AND(ISNUMBER($U$773),$B$511=1),$U$773,HLOOKUP(INDIRECT(ADDRESS(2,COLUMN())),OFFSET($BN$2,0,0,ROW()-1,60),ROW()-1,FALSE))</f>
        <v>53575.439769999997</v>
      </c>
      <c r="V270">
        <f ca="1">IF(AND(ISNUMBER($V$773),$B$511=1),$V$773,HLOOKUP(INDIRECT(ADDRESS(2,COLUMN())),OFFSET($BN$2,0,0,ROW()-1,60),ROW()-1,FALSE))</f>
        <v>52074.712500000001</v>
      </c>
      <c r="W270">
        <f ca="1">IF(AND(ISNUMBER($W$773),$B$511=1),$W$773,HLOOKUP(INDIRECT(ADDRESS(2,COLUMN())),OFFSET($BN$2,0,0,ROW()-1,60),ROW()-1,FALSE))</f>
        <v>52441.512210000001</v>
      </c>
      <c r="X270">
        <f ca="1">IF(AND(ISNUMBER($X$773),$B$511=1),$X$773,HLOOKUP(INDIRECT(ADDRESS(2,COLUMN())),OFFSET($BN$2,0,0,ROW()-1,60),ROW()-1,FALSE))</f>
        <v>53108.153120000003</v>
      </c>
      <c r="Y270">
        <f ca="1">IF(AND(ISNUMBER($Y$773),$B$511=1),$Y$773,HLOOKUP(INDIRECT(ADDRESS(2,COLUMN())),OFFSET($BN$2,0,0,ROW()-1,60),ROW()-1,FALSE))</f>
        <v>53878.243670000003</v>
      </c>
      <c r="Z270">
        <f ca="1">IF(AND(ISNUMBER($Z$773),$B$511=1),$Z$773,HLOOKUP(INDIRECT(ADDRESS(2,COLUMN())),OFFSET($BN$2,0,0,ROW()-1,60),ROW()-1,FALSE))</f>
        <v>49793.404150000002</v>
      </c>
      <c r="AA270">
        <f ca="1">IF(AND(ISNUMBER($AA$773),$B$511=1),$AA$773,HLOOKUP(INDIRECT(ADDRESS(2,COLUMN())),OFFSET($BN$2,0,0,ROW()-1,60),ROW()-1,FALSE))</f>
        <v>49009.900750000001</v>
      </c>
      <c r="AB270">
        <f ca="1">IF(AND(ISNUMBER($AB$773),$B$511=1),$AB$773,HLOOKUP(INDIRECT(ADDRESS(2,COLUMN())),OFFSET($BN$2,0,0,ROW()-1,60),ROW()-1,FALSE))</f>
        <v>46027.346610000001</v>
      </c>
      <c r="AC270">
        <f ca="1">IF(AND(ISNUMBER($AC$773),$B$511=1),$AC$773,HLOOKUP(INDIRECT(ADDRESS(2,COLUMN())),OFFSET($BN$2,0,0,ROW()-1,60),ROW()-1,FALSE))</f>
        <v>41996.224240000003</v>
      </c>
      <c r="AD270">
        <f ca="1">IF(AND(ISNUMBER($AD$773),$B$511=1),$AD$773,HLOOKUP(INDIRECT(ADDRESS(2,COLUMN())),OFFSET($BN$2,0,0,ROW()-1,60),ROW()-1,FALSE))</f>
        <v>40736.91188</v>
      </c>
      <c r="AE270">
        <f ca="1">IF(AND(ISNUMBER($AE$773),$B$511=1),$AE$773,HLOOKUP(INDIRECT(ADDRESS(2,COLUMN())),OFFSET($BN$2,0,0,ROW()-1,60),ROW()-1,FALSE))</f>
        <v>41088.646769999999</v>
      </c>
      <c r="AF270">
        <f ca="1">IF(AND(ISNUMBER($AF$773),$B$511=1),$AF$773,HLOOKUP(INDIRECT(ADDRESS(2,COLUMN())),OFFSET($BN$2,0,0,ROW()-1,60),ROW()-1,FALSE))</f>
        <v>38460.611019999997</v>
      </c>
      <c r="AG270">
        <f ca="1">IF(AND(ISNUMBER($AG$773),$B$511=1),$AG$773,HLOOKUP(INDIRECT(ADDRESS(2,COLUMN())),OFFSET($BN$2,0,0,ROW()-1,60),ROW()-1,FALSE))</f>
        <v>35766.493049999997</v>
      </c>
      <c r="AH270">
        <f ca="1">IF(AND(ISNUMBER($AH$773),$B$511=1),$AH$773,HLOOKUP(INDIRECT(ADDRESS(2,COLUMN())),OFFSET($BN$2,0,0,ROW()-1,60),ROW()-1,FALSE))</f>
        <v>34149.153109999999</v>
      </c>
      <c r="AI270">
        <f ca="1">IF(AND(ISNUMBER($AI$773),$B$511=1),$AI$773,HLOOKUP(INDIRECT(ADDRESS(2,COLUMN())),OFFSET($BN$2,0,0,ROW()-1,60),ROW()-1,FALSE))</f>
        <v>31740.38004</v>
      </c>
      <c r="AJ270">
        <f ca="1">IF(AND(ISNUMBER($AJ$773),$B$511=1),$AJ$773,HLOOKUP(INDIRECT(ADDRESS(2,COLUMN())),OFFSET($BN$2,0,0,ROW()-1,60),ROW()-1,FALSE))</f>
        <v>29737.539479999999</v>
      </c>
      <c r="AK270">
        <f ca="1">IF(AND(ISNUMBER($AK$773),$B$511=1),$AK$773,HLOOKUP(INDIRECT(ADDRESS(2,COLUMN())),OFFSET($BN$2,0,0,ROW()-1,60),ROW()-1,FALSE))</f>
        <v>31203.865819999999</v>
      </c>
      <c r="AL270">
        <f ca="1">IF(AND(ISNUMBER($AL$773),$B$511=1),$AL$773,HLOOKUP(INDIRECT(ADDRESS(2,COLUMN())),OFFSET($BN$2,0,0,ROW()-1,60),ROW()-1,FALSE))</f>
        <v>28489.034930000002</v>
      </c>
      <c r="AM270">
        <f ca="1">IF(AND(ISNUMBER($AM$773),$B$511=1),$AM$773,HLOOKUP(INDIRECT(ADDRESS(2,COLUMN())),OFFSET($BN$2,0,0,ROW()-1,60),ROW()-1,FALSE))</f>
        <v>26446.430629999999</v>
      </c>
      <c r="AN270" t="str">
        <f ca="1">IF(AND(ISNUMBER($AN$773),$B$511=1),$AN$773,HLOOKUP(INDIRECT(ADDRESS(2,COLUMN())),OFFSET($BN$2,0,0,ROW()-1,60),ROW()-1,FALSE))</f>
        <v/>
      </c>
      <c r="AO270" t="str">
        <f ca="1">IF(AND(ISNUMBER($AO$773),$B$511=1),$AO$773,HLOOKUP(INDIRECT(ADDRESS(2,COLUMN())),OFFSET($BN$2,0,0,ROW()-1,60),ROW()-1,FALSE))</f>
        <v/>
      </c>
      <c r="AP270" t="str">
        <f ca="1">IF(AND(ISNUMBER($AP$773),$B$511=1),$AP$773,HLOOKUP(INDIRECT(ADDRESS(2,COLUMN())),OFFSET($BN$2,0,0,ROW()-1,60),ROW()-1,FALSE))</f>
        <v/>
      </c>
      <c r="AQ270" t="str">
        <f ca="1">IF(AND(ISNUMBER($AQ$773),$B$511=1),$AQ$773,HLOOKUP(INDIRECT(ADDRESS(2,COLUMN())),OFFSET($BN$2,0,0,ROW()-1,60),ROW()-1,FALSE))</f>
        <v/>
      </c>
      <c r="AR270" t="str">
        <f ca="1">IF(AND(ISNUMBER($AR$773),$B$511=1),$AR$773,HLOOKUP(INDIRECT(ADDRESS(2,COLUMN())),OFFSET($BN$2,0,0,ROW()-1,60),ROW()-1,FALSE))</f>
        <v/>
      </c>
      <c r="AS270" t="str">
        <f ca="1">IF(AND(ISNUMBER($AS$773),$B$511=1),$AS$773,HLOOKUP(INDIRECT(ADDRESS(2,COLUMN())),OFFSET($BN$2,0,0,ROW()-1,60),ROW()-1,FALSE))</f>
        <v/>
      </c>
      <c r="AT270" t="str">
        <f ca="1">IF(AND(ISNUMBER($AT$773),$B$511=1),$AT$773,HLOOKUP(INDIRECT(ADDRESS(2,COLUMN())),OFFSET($BN$2,0,0,ROW()-1,60),ROW()-1,FALSE))</f>
        <v/>
      </c>
      <c r="AU270" t="str">
        <f ca="1">IF(AND(ISNUMBER($AU$773),$B$511=1),$AU$773,HLOOKUP(INDIRECT(ADDRESS(2,COLUMN())),OFFSET($BN$2,0,0,ROW()-1,60),ROW()-1,FALSE))</f>
        <v/>
      </c>
      <c r="AV270" t="str">
        <f ca="1">IF(AND(ISNUMBER($AV$773),$B$511=1),$AV$773,HLOOKUP(INDIRECT(ADDRESS(2,COLUMN())),OFFSET($BN$2,0,0,ROW()-1,60),ROW()-1,FALSE))</f>
        <v/>
      </c>
      <c r="AW270" t="str">
        <f ca="1">IF(AND(ISNUMBER($AW$773),$B$511=1),$AW$773,HLOOKUP(INDIRECT(ADDRESS(2,COLUMN())),OFFSET($BN$2,0,0,ROW()-1,60),ROW()-1,FALSE))</f>
        <v/>
      </c>
      <c r="AX270" t="str">
        <f ca="1">IF(AND(ISNUMBER($AX$773),$B$511=1),$AX$773,HLOOKUP(INDIRECT(ADDRESS(2,COLUMN())),OFFSET($BN$2,0,0,ROW()-1,60),ROW()-1,FALSE))</f>
        <v/>
      </c>
      <c r="AY270" t="str">
        <f ca="1">IF(AND(ISNUMBER($AY$773),$B$511=1),$AY$773,HLOOKUP(INDIRECT(ADDRESS(2,COLUMN())),OFFSET($BN$2,0,0,ROW()-1,60),ROW()-1,FALSE))</f>
        <v/>
      </c>
      <c r="AZ270" t="str">
        <f ca="1">IF(AND(ISNUMBER($AZ$773),$B$511=1),$AZ$773,HLOOKUP(INDIRECT(ADDRESS(2,COLUMN())),OFFSET($BN$2,0,0,ROW()-1,60),ROW()-1,FALSE))</f>
        <v/>
      </c>
      <c r="BA270" t="str">
        <f ca="1">IF(AND(ISNUMBER($BA$773),$B$511=1),$BA$773,HLOOKUP(INDIRECT(ADDRESS(2,COLUMN())),OFFSET($BN$2,0,0,ROW()-1,60),ROW()-1,FALSE))</f>
        <v/>
      </c>
      <c r="BB270" t="str">
        <f ca="1">IF(AND(ISNUMBER($BB$773),$B$511=1),$BB$773,HLOOKUP(INDIRECT(ADDRESS(2,COLUMN())),OFFSET($BN$2,0,0,ROW()-1,60),ROW()-1,FALSE))</f>
        <v/>
      </c>
      <c r="BC270" t="str">
        <f ca="1">IF(AND(ISNUMBER($BC$773),$B$511=1),$BC$773,HLOOKUP(INDIRECT(ADDRESS(2,COLUMN())),OFFSET($BN$2,0,0,ROW()-1,60),ROW()-1,FALSE))</f>
        <v/>
      </c>
      <c r="BD270" t="str">
        <f ca="1">IF(AND(ISNUMBER($BD$773),$B$511=1),$BD$773,HLOOKUP(INDIRECT(ADDRESS(2,COLUMN())),OFFSET($BN$2,0,0,ROW()-1,60),ROW()-1,FALSE))</f>
        <v/>
      </c>
      <c r="BE270" t="str">
        <f ca="1">IF(AND(ISNUMBER($BE$773),$B$511=1),$BE$773,HLOOKUP(INDIRECT(ADDRESS(2,COLUMN())),OFFSET($BN$2,0,0,ROW()-1,60),ROW()-1,FALSE))</f>
        <v/>
      </c>
      <c r="BF270" t="str">
        <f ca="1">IF(AND(ISNUMBER($BF$773),$B$511=1),$BF$773,HLOOKUP(INDIRECT(ADDRESS(2,COLUMN())),OFFSET($BN$2,0,0,ROW()-1,60),ROW()-1,FALSE))</f>
        <v/>
      </c>
      <c r="BG270" t="str">
        <f ca="1">IF(AND(ISNUMBER($BG$773),$B$511=1),$BG$773,HLOOKUP(INDIRECT(ADDRESS(2,COLUMN())),OFFSET($BN$2,0,0,ROW()-1,60),ROW()-1,FALSE))</f>
        <v/>
      </c>
      <c r="BH270" t="str">
        <f ca="1">IF(AND(ISNUMBER($BH$773),$B$511=1),$BH$773,HLOOKUP(INDIRECT(ADDRESS(2,COLUMN())),OFFSET($BN$2,0,0,ROW()-1,60),ROW()-1,FALSE))</f>
        <v/>
      </c>
      <c r="BI270" t="str">
        <f ca="1">IF(AND(ISNUMBER($BI$773),$B$511=1),$BI$773,HLOOKUP(INDIRECT(ADDRESS(2,COLUMN())),OFFSET($BN$2,0,0,ROW()-1,60),ROW()-1,FALSE))</f>
        <v/>
      </c>
      <c r="BJ270" t="str">
        <f ca="1">IF(AND(ISNUMBER($BJ$773),$B$511=1),$BJ$773,HLOOKUP(INDIRECT(ADDRESS(2,COLUMN())),OFFSET($BN$2,0,0,ROW()-1,60),ROW()-1,FALSE))</f>
        <v/>
      </c>
      <c r="BK270" t="str">
        <f ca="1">IF(AND(ISNUMBER($BK$773),$B$511=1),$BK$773,HLOOKUP(INDIRECT(ADDRESS(2,COLUMN())),OFFSET($BN$2,0,0,ROW()-1,60),ROW()-1,FALSE))</f>
        <v/>
      </c>
      <c r="BL270" t="str">
        <f ca="1">IF(AND(ISNUMBER($BL$773),$B$511=1),$BL$773,HLOOKUP(INDIRECT(ADDRESS(2,COLUMN())),OFFSET($BN$2,0,0,ROW()-1,60),ROW()-1,FALSE))</f>
        <v/>
      </c>
      <c r="BM270" t="str">
        <f ca="1">IF(AND(ISNUMBER($BM$773),$B$511=1),$BM$773,HLOOKUP(INDIRECT(ADDRESS(2,COLUMN())),OFFSET($BN$2,0,0,ROW()-1,60),ROW()-1,FALSE))</f>
        <v/>
      </c>
      <c r="BN270" t="str">
        <f>""</f>
        <v/>
      </c>
      <c r="BO270" t="str">
        <f>""</f>
        <v/>
      </c>
      <c r="BP270">
        <f>61797.02223</f>
        <v>61797.022230000002</v>
      </c>
      <c r="BQ270">
        <f>61913.0589</f>
        <v>61913.058900000004</v>
      </c>
      <c r="BR270">
        <f>64639.89933</f>
        <v>64639.89933</v>
      </c>
      <c r="BS270">
        <f>64432.9161</f>
        <v>64432.916100000002</v>
      </c>
      <c r="BT270">
        <f>60124.96854</f>
        <v>60124.968540000002</v>
      </c>
      <c r="BU270">
        <f>59474.42777</f>
        <v>59474.427770000002</v>
      </c>
      <c r="BV270">
        <f>59287.57191</f>
        <v>59287.571909999999</v>
      </c>
      <c r="BW270">
        <f>55347.02026</f>
        <v>55347.020259999998</v>
      </c>
      <c r="BX270">
        <f>58152.59687</f>
        <v>58152.596870000001</v>
      </c>
      <c r="BY270">
        <f>55459.2626</f>
        <v>55459.262600000002</v>
      </c>
      <c r="BZ270">
        <f>54590.27963</f>
        <v>54590.279629999997</v>
      </c>
      <c r="CA270">
        <f>52465.78874</f>
        <v>52465.788740000004</v>
      </c>
      <c r="CB270">
        <f>51598.73376</f>
        <v>51598.733760000003</v>
      </c>
      <c r="CC270">
        <f>53575.43977</f>
        <v>53575.439769999997</v>
      </c>
      <c r="CD270">
        <f>52074.7125</f>
        <v>52074.712500000001</v>
      </c>
      <c r="CE270">
        <f>52441.51221</f>
        <v>52441.512210000001</v>
      </c>
      <c r="CF270">
        <f>53108.15312</f>
        <v>53108.153120000003</v>
      </c>
      <c r="CG270">
        <f>53878.24367</f>
        <v>53878.243670000003</v>
      </c>
      <c r="CH270">
        <f>49793.40415</f>
        <v>49793.404150000002</v>
      </c>
      <c r="CI270">
        <f>49009.90075</f>
        <v>49009.900750000001</v>
      </c>
      <c r="CJ270">
        <f>46027.34661</f>
        <v>46027.346610000001</v>
      </c>
      <c r="CK270">
        <f>41996.22424</f>
        <v>41996.224240000003</v>
      </c>
      <c r="CL270">
        <f>40736.91188</f>
        <v>40736.91188</v>
      </c>
      <c r="CM270">
        <f>41088.64677</f>
        <v>41088.646769999999</v>
      </c>
      <c r="CN270">
        <f>38460.61102</f>
        <v>38460.611019999997</v>
      </c>
      <c r="CO270">
        <f>35766.49305</f>
        <v>35766.493049999997</v>
      </c>
      <c r="CP270">
        <f>34149.15311</f>
        <v>34149.153109999999</v>
      </c>
      <c r="CQ270">
        <f>31740.38004</f>
        <v>31740.38004</v>
      </c>
      <c r="CR270">
        <f>29737.53948</f>
        <v>29737.539479999999</v>
      </c>
      <c r="CS270">
        <f>31203.86582</f>
        <v>31203.865819999999</v>
      </c>
      <c r="CT270">
        <f>28489.03493</f>
        <v>28489.034930000002</v>
      </c>
      <c r="CU270">
        <f>26446.43063</f>
        <v>26446.430629999999</v>
      </c>
      <c r="CV270" t="str">
        <f>""</f>
        <v/>
      </c>
      <c r="CW270" t="str">
        <f>""</f>
        <v/>
      </c>
      <c r="CX270" t="str">
        <f>""</f>
        <v/>
      </c>
      <c r="CY270" t="str">
        <f>""</f>
        <v/>
      </c>
      <c r="CZ270" t="str">
        <f>""</f>
        <v/>
      </c>
      <c r="DA270" t="str">
        <f>""</f>
        <v/>
      </c>
      <c r="DB270" t="str">
        <f>""</f>
        <v/>
      </c>
      <c r="DC270" t="str">
        <f>""</f>
        <v/>
      </c>
      <c r="DD270" t="str">
        <f>""</f>
        <v/>
      </c>
      <c r="DE270" t="str">
        <f>""</f>
        <v/>
      </c>
      <c r="DF270" t="str">
        <f>""</f>
        <v/>
      </c>
      <c r="DG270" t="str">
        <f>""</f>
        <v/>
      </c>
      <c r="DH270" t="str">
        <f>""</f>
        <v/>
      </c>
      <c r="DI270" t="str">
        <f>""</f>
        <v/>
      </c>
      <c r="DJ270" t="str">
        <f>""</f>
        <v/>
      </c>
      <c r="DK270" t="str">
        <f>""</f>
        <v/>
      </c>
      <c r="DL270" t="str">
        <f>""</f>
        <v/>
      </c>
      <c r="DM270" t="str">
        <f>""</f>
        <v/>
      </c>
      <c r="DN270" t="str">
        <f>""</f>
        <v/>
      </c>
      <c r="DO270" t="str">
        <f>""</f>
        <v/>
      </c>
      <c r="DP270" t="str">
        <f>""</f>
        <v/>
      </c>
      <c r="DQ270" t="str">
        <f>""</f>
        <v/>
      </c>
      <c r="DR270" t="str">
        <f>""</f>
        <v/>
      </c>
      <c r="DS270" t="str">
        <f>""</f>
        <v/>
      </c>
      <c r="DT270" t="str">
        <f>""</f>
        <v/>
      </c>
      <c r="DU270" t="str">
        <f>""</f>
        <v/>
      </c>
    </row>
    <row r="271" spans="1:125" x14ac:dyDescent="0.25">
      <c r="A271" t="str">
        <f>"    Kia Motors Corp"</f>
        <v xml:space="preserve">    Kia Motors Corp</v>
      </c>
      <c r="B271" t="str">
        <f>"000270 KS Equity"</f>
        <v>000270 KS Equity</v>
      </c>
      <c r="C271" t="str">
        <f t="shared" si="18"/>
        <v>RR010</v>
      </c>
      <c r="D271" t="str">
        <f t="shared" si="19"/>
        <v>TOT_COMMON_EQY</v>
      </c>
      <c r="E271" t="str">
        <f t="shared" si="20"/>
        <v>Dynamic</v>
      </c>
      <c r="F271" t="str">
        <f ca="1">IF(AND(ISNUMBER($F$774),$B$511=1),$F$774,HLOOKUP(INDIRECT(ADDRESS(2,COLUMN())),OFFSET($BN$2,0,0,ROW()-1,60),ROW()-1,FALSE))</f>
        <v/>
      </c>
      <c r="G271" t="str">
        <f ca="1">IF(AND(ISNUMBER($G$774),$B$511=1),$G$774,HLOOKUP(INDIRECT(ADDRESS(2,COLUMN())),OFFSET($BN$2,0,0,ROW()-1,60),ROW()-1,FALSE))</f>
        <v/>
      </c>
      <c r="H271">
        <f ca="1">IF(AND(ISNUMBER($H$774),$B$511=1),$H$774,HLOOKUP(INDIRECT(ADDRESS(2,COLUMN())),OFFSET($BN$2,0,0,ROW()-1,60),ROW()-1,FALSE))</f>
        <v>24637.95421</v>
      </c>
      <c r="I271">
        <f ca="1">IF(AND(ISNUMBER($I$774),$B$511=1),$I$774,HLOOKUP(INDIRECT(ADDRESS(2,COLUMN())),OFFSET($BN$2,0,0,ROW()-1,60),ROW()-1,FALSE))</f>
        <v>24457.95624</v>
      </c>
      <c r="J271">
        <f ca="1">IF(AND(ISNUMBER($J$774),$B$511=1),$J$774,HLOOKUP(INDIRECT(ADDRESS(2,COLUMN())),OFFSET($BN$2,0,0,ROW()-1,60),ROW()-1,FALSE))</f>
        <v>25426.88077</v>
      </c>
      <c r="K271">
        <f ca="1">IF(AND(ISNUMBER($K$774),$B$511=1),$K$774,HLOOKUP(INDIRECT(ADDRESS(2,COLUMN())),OFFSET($BN$2,0,0,ROW()-1,60),ROW()-1,FALSE))</f>
        <v>25166.231319999999</v>
      </c>
      <c r="L271">
        <f ca="1">IF(AND(ISNUMBER($L$774),$B$511=1),$L$774,HLOOKUP(INDIRECT(ADDRESS(2,COLUMN())),OFFSET($BN$2,0,0,ROW()-1,60),ROW()-1,FALSE))</f>
        <v>23592.222399999999</v>
      </c>
      <c r="M271">
        <f ca="1">IF(AND(ISNUMBER($M$774),$B$511=1),$M$774,HLOOKUP(INDIRECT(ADDRESS(2,COLUMN())),OFFSET($BN$2,0,0,ROW()-1,60),ROW()-1,FALSE))</f>
        <v>23737.304380000001</v>
      </c>
      <c r="N271">
        <f ca="1">IF(AND(ISNUMBER($N$774),$B$511=1),$N$774,HLOOKUP(INDIRECT(ADDRESS(2,COLUMN())),OFFSET($BN$2,0,0,ROW()-1,60),ROW()-1,FALSE))</f>
        <v>23675.978490000001</v>
      </c>
      <c r="O271">
        <f ca="1">IF(AND(ISNUMBER($O$774),$B$511=1),$O$774,HLOOKUP(INDIRECT(ADDRESS(2,COLUMN())),OFFSET($BN$2,0,0,ROW()-1,60),ROW()-1,FALSE))</f>
        <v>22003.01658</v>
      </c>
      <c r="P271">
        <f ca="1">IF(AND(ISNUMBER($P$774),$B$511=1),$P$774,HLOOKUP(INDIRECT(ADDRESS(2,COLUMN())),OFFSET($BN$2,0,0,ROW()-1,60),ROW()-1,FALSE))</f>
        <v>23269.918140000002</v>
      </c>
      <c r="Q271">
        <f ca="1">IF(AND(ISNUMBER($Q$774),$B$511=1),$Q$774,HLOOKUP(INDIRECT(ADDRESS(2,COLUMN())),OFFSET($BN$2,0,0,ROW()-1,60),ROW()-1,FALSE))</f>
        <v>21929.425599999999</v>
      </c>
      <c r="R271">
        <f ca="1">IF(AND(ISNUMBER($R$774),$B$511=1),$R$774,HLOOKUP(INDIRECT(ADDRESS(2,COLUMN())),OFFSET($BN$2,0,0,ROW()-1,60),ROW()-1,FALSE))</f>
        <v>21533.99986</v>
      </c>
      <c r="S271">
        <f ca="1">IF(AND(ISNUMBER($S$774),$B$511=1),$S$774,HLOOKUP(INDIRECT(ADDRESS(2,COLUMN())),OFFSET($BN$2,0,0,ROW()-1,60),ROW()-1,FALSE))</f>
        <v>20583.934450000001</v>
      </c>
      <c r="T271">
        <f ca="1">IF(AND(ISNUMBER($T$774),$B$511=1),$T$774,HLOOKUP(INDIRECT(ADDRESS(2,COLUMN())),OFFSET($BN$2,0,0,ROW()-1,60),ROW()-1,FALSE))</f>
        <v>20228.52202</v>
      </c>
      <c r="U271">
        <f ca="1">IF(AND(ISNUMBER($U$774),$B$511=1),$U$774,HLOOKUP(INDIRECT(ADDRESS(2,COLUMN())),OFFSET($BN$2,0,0,ROW()-1,60),ROW()-1,FALSE))</f>
        <v>20824.137009999999</v>
      </c>
      <c r="V271">
        <f ca="1">IF(AND(ISNUMBER($V$774),$B$511=1),$V$774,HLOOKUP(INDIRECT(ADDRESS(2,COLUMN())),OFFSET($BN$2,0,0,ROW()-1,60),ROW()-1,FALSE))</f>
        <v>20237.715680000001</v>
      </c>
      <c r="W271">
        <f ca="1">IF(AND(ISNUMBER($W$774),$B$511=1),$W$774,HLOOKUP(INDIRECT(ADDRESS(2,COLUMN())),OFFSET($BN$2,0,0,ROW()-1,60),ROW()-1,FALSE))</f>
        <v>20568.900379999999</v>
      </c>
      <c r="X271">
        <f ca="1">IF(AND(ISNUMBER($X$774),$B$511=1),$X$774,HLOOKUP(INDIRECT(ADDRESS(2,COLUMN())),OFFSET($BN$2,0,0,ROW()-1,60),ROW()-1,FALSE))</f>
        <v>21062.138940000001</v>
      </c>
      <c r="Y271">
        <f ca="1">IF(AND(ISNUMBER($Y$774),$B$511=1),$Y$774,HLOOKUP(INDIRECT(ADDRESS(2,COLUMN())),OFFSET($BN$2,0,0,ROW()-1,60),ROW()-1,FALSE))</f>
        <v>21368.662189999999</v>
      </c>
      <c r="Z271">
        <f ca="1">IF(AND(ISNUMBER($Z$774),$B$511=1),$Z$774,HLOOKUP(INDIRECT(ADDRESS(2,COLUMN())),OFFSET($BN$2,0,0,ROW()-1,60),ROW()-1,FALSE))</f>
        <v>19582.650580000001</v>
      </c>
      <c r="AA271">
        <f ca="1">IF(AND(ISNUMBER($AA$774),$B$511=1),$AA$774,HLOOKUP(INDIRECT(ADDRESS(2,COLUMN())),OFFSET($BN$2,0,0,ROW()-1,60),ROW()-1,FALSE))</f>
        <v>19238.06335</v>
      </c>
      <c r="AB271">
        <f ca="1">IF(AND(ISNUMBER($AB$774),$B$511=1),$AB$774,HLOOKUP(INDIRECT(ADDRESS(2,COLUMN())),OFFSET($BN$2,0,0,ROW()-1,60),ROW()-1,FALSE))</f>
        <v>18083.247780000002</v>
      </c>
      <c r="AC271">
        <f ca="1">IF(AND(ISNUMBER($AC$774),$B$511=1),$AC$774,HLOOKUP(INDIRECT(ADDRESS(2,COLUMN())),OFFSET($BN$2,0,0,ROW()-1,60),ROW()-1,FALSE))</f>
        <v>16315.69822</v>
      </c>
      <c r="AD271">
        <f ca="1">IF(AND(ISNUMBER($AD$774),$B$511=1),$AD$774,HLOOKUP(INDIRECT(ADDRESS(2,COLUMN())),OFFSET($BN$2,0,0,ROW()-1,60),ROW()-1,FALSE))</f>
        <v>15523.51028</v>
      </c>
      <c r="AE271">
        <f ca="1">IF(AND(ISNUMBER($AE$774),$B$511=1),$AE$774,HLOOKUP(INDIRECT(ADDRESS(2,COLUMN())),OFFSET($BN$2,0,0,ROW()-1,60),ROW()-1,FALSE))</f>
        <v>15838.36616</v>
      </c>
      <c r="AF271">
        <f ca="1">IF(AND(ISNUMBER($AF$774),$B$511=1),$AF$774,HLOOKUP(INDIRECT(ADDRESS(2,COLUMN())),OFFSET($BN$2,0,0,ROW()-1,60),ROW()-1,FALSE))</f>
        <v>14736.51096</v>
      </c>
      <c r="AG271">
        <f ca="1">IF(AND(ISNUMBER($AG$774),$B$511=1),$AG$774,HLOOKUP(INDIRECT(ADDRESS(2,COLUMN())),OFFSET($BN$2,0,0,ROW()-1,60),ROW()-1,FALSE))</f>
        <v>13551.42902</v>
      </c>
      <c r="AH271">
        <f ca="1">IF(AND(ISNUMBER($AH$774),$B$511=1),$AH$774,HLOOKUP(INDIRECT(ADDRESS(2,COLUMN())),OFFSET($BN$2,0,0,ROW()-1,60),ROW()-1,FALSE))</f>
        <v>12764.04652</v>
      </c>
      <c r="AI271">
        <f ca="1">IF(AND(ISNUMBER($AI$774),$B$511=1),$AI$774,HLOOKUP(INDIRECT(ADDRESS(2,COLUMN())),OFFSET($BN$2,0,0,ROW()-1,60),ROW()-1,FALSE))</f>
        <v>11657.96918</v>
      </c>
      <c r="AJ271">
        <f ca="1">IF(AND(ISNUMBER($AJ$774),$B$511=1),$AJ$774,HLOOKUP(INDIRECT(ADDRESS(2,COLUMN())),OFFSET($BN$2,0,0,ROW()-1,60),ROW()-1,FALSE))</f>
        <v>10885.20723</v>
      </c>
      <c r="AK271">
        <f ca="1">IF(AND(ISNUMBER($AK$774),$B$511=1),$AK$774,HLOOKUP(INDIRECT(ADDRESS(2,COLUMN())),OFFSET($BN$2,0,0,ROW()-1,60),ROW()-1,FALSE))</f>
        <v>11701.74612</v>
      </c>
      <c r="AL271">
        <f ca="1">IF(AND(ISNUMBER($AL$774),$B$511=1),$AL$774,HLOOKUP(INDIRECT(ADDRESS(2,COLUMN())),OFFSET($BN$2,0,0,ROW()-1,60),ROW()-1,FALSE))</f>
        <v>9923.710889</v>
      </c>
      <c r="AM271">
        <f ca="1">IF(AND(ISNUMBER($AM$774),$B$511=1),$AM$774,HLOOKUP(INDIRECT(ADDRESS(2,COLUMN())),OFFSET($BN$2,0,0,ROW()-1,60),ROW()-1,FALSE))</f>
        <v>8869.6530590000002</v>
      </c>
      <c r="AN271" t="str">
        <f ca="1">IF(AND(ISNUMBER($AN$774),$B$511=1),$AN$774,HLOOKUP(INDIRECT(ADDRESS(2,COLUMN())),OFFSET($BN$2,0,0,ROW()-1,60),ROW()-1,FALSE))</f>
        <v/>
      </c>
      <c r="AO271" t="str">
        <f ca="1">IF(AND(ISNUMBER($AO$774),$B$511=1),$AO$774,HLOOKUP(INDIRECT(ADDRESS(2,COLUMN())),OFFSET($BN$2,0,0,ROW()-1,60),ROW()-1,FALSE))</f>
        <v/>
      </c>
      <c r="AP271" t="str">
        <f ca="1">IF(AND(ISNUMBER($AP$774),$B$511=1),$AP$774,HLOOKUP(INDIRECT(ADDRESS(2,COLUMN())),OFFSET($BN$2,0,0,ROW()-1,60),ROW()-1,FALSE))</f>
        <v/>
      </c>
      <c r="AQ271" t="str">
        <f ca="1">IF(AND(ISNUMBER($AQ$774),$B$511=1),$AQ$774,HLOOKUP(INDIRECT(ADDRESS(2,COLUMN())),OFFSET($BN$2,0,0,ROW()-1,60),ROW()-1,FALSE))</f>
        <v/>
      </c>
      <c r="AR271" t="str">
        <f ca="1">IF(AND(ISNUMBER($AR$774),$B$511=1),$AR$774,HLOOKUP(INDIRECT(ADDRESS(2,COLUMN())),OFFSET($BN$2,0,0,ROW()-1,60),ROW()-1,FALSE))</f>
        <v/>
      </c>
      <c r="AS271" t="str">
        <f ca="1">IF(AND(ISNUMBER($AS$774),$B$511=1),$AS$774,HLOOKUP(INDIRECT(ADDRESS(2,COLUMN())),OFFSET($BN$2,0,0,ROW()-1,60),ROW()-1,FALSE))</f>
        <v/>
      </c>
      <c r="AT271" t="str">
        <f ca="1">IF(AND(ISNUMBER($AT$774),$B$511=1),$AT$774,HLOOKUP(INDIRECT(ADDRESS(2,COLUMN())),OFFSET($BN$2,0,0,ROW()-1,60),ROW()-1,FALSE))</f>
        <v/>
      </c>
      <c r="AU271" t="str">
        <f ca="1">IF(AND(ISNUMBER($AU$774),$B$511=1),$AU$774,HLOOKUP(INDIRECT(ADDRESS(2,COLUMN())),OFFSET($BN$2,0,0,ROW()-1,60),ROW()-1,FALSE))</f>
        <v/>
      </c>
      <c r="AV271" t="str">
        <f ca="1">IF(AND(ISNUMBER($AV$774),$B$511=1),$AV$774,HLOOKUP(INDIRECT(ADDRESS(2,COLUMN())),OFFSET($BN$2,0,0,ROW()-1,60),ROW()-1,FALSE))</f>
        <v/>
      </c>
      <c r="AW271" t="str">
        <f ca="1">IF(AND(ISNUMBER($AW$774),$B$511=1),$AW$774,HLOOKUP(INDIRECT(ADDRESS(2,COLUMN())),OFFSET($BN$2,0,0,ROW()-1,60),ROW()-1,FALSE))</f>
        <v/>
      </c>
      <c r="AX271" t="str">
        <f ca="1">IF(AND(ISNUMBER($AX$774),$B$511=1),$AX$774,HLOOKUP(INDIRECT(ADDRESS(2,COLUMN())),OFFSET($BN$2,0,0,ROW()-1,60),ROW()-1,FALSE))</f>
        <v/>
      </c>
      <c r="AY271" t="str">
        <f ca="1">IF(AND(ISNUMBER($AY$774),$B$511=1),$AY$774,HLOOKUP(INDIRECT(ADDRESS(2,COLUMN())),OFFSET($BN$2,0,0,ROW()-1,60),ROW()-1,FALSE))</f>
        <v/>
      </c>
      <c r="AZ271" t="str">
        <f ca="1">IF(AND(ISNUMBER($AZ$774),$B$511=1),$AZ$774,HLOOKUP(INDIRECT(ADDRESS(2,COLUMN())),OFFSET($BN$2,0,0,ROW()-1,60),ROW()-1,FALSE))</f>
        <v/>
      </c>
      <c r="BA271" t="str">
        <f ca="1">IF(AND(ISNUMBER($BA$774),$B$511=1),$BA$774,HLOOKUP(INDIRECT(ADDRESS(2,COLUMN())),OFFSET($BN$2,0,0,ROW()-1,60),ROW()-1,FALSE))</f>
        <v/>
      </c>
      <c r="BB271" t="str">
        <f ca="1">IF(AND(ISNUMBER($BB$774),$B$511=1),$BB$774,HLOOKUP(INDIRECT(ADDRESS(2,COLUMN())),OFFSET($BN$2,0,0,ROW()-1,60),ROW()-1,FALSE))</f>
        <v/>
      </c>
      <c r="BC271" t="str">
        <f ca="1">IF(AND(ISNUMBER($BC$774),$B$511=1),$BC$774,HLOOKUP(INDIRECT(ADDRESS(2,COLUMN())),OFFSET($BN$2,0,0,ROW()-1,60),ROW()-1,FALSE))</f>
        <v/>
      </c>
      <c r="BD271" t="str">
        <f ca="1">IF(AND(ISNUMBER($BD$774),$B$511=1),$BD$774,HLOOKUP(INDIRECT(ADDRESS(2,COLUMN())),OFFSET($BN$2,0,0,ROW()-1,60),ROW()-1,FALSE))</f>
        <v/>
      </c>
      <c r="BE271" t="str">
        <f ca="1">IF(AND(ISNUMBER($BE$774),$B$511=1),$BE$774,HLOOKUP(INDIRECT(ADDRESS(2,COLUMN())),OFFSET($BN$2,0,0,ROW()-1,60),ROW()-1,FALSE))</f>
        <v/>
      </c>
      <c r="BF271" t="str">
        <f ca="1">IF(AND(ISNUMBER($BF$774),$B$511=1),$BF$774,HLOOKUP(INDIRECT(ADDRESS(2,COLUMN())),OFFSET($BN$2,0,0,ROW()-1,60),ROW()-1,FALSE))</f>
        <v/>
      </c>
      <c r="BG271" t="str">
        <f ca="1">IF(AND(ISNUMBER($BG$774),$B$511=1),$BG$774,HLOOKUP(INDIRECT(ADDRESS(2,COLUMN())),OFFSET($BN$2,0,0,ROW()-1,60),ROW()-1,FALSE))</f>
        <v/>
      </c>
      <c r="BH271" t="str">
        <f ca="1">IF(AND(ISNUMBER($BH$774),$B$511=1),$BH$774,HLOOKUP(INDIRECT(ADDRESS(2,COLUMN())),OFFSET($BN$2,0,0,ROW()-1,60),ROW()-1,FALSE))</f>
        <v/>
      </c>
      <c r="BI271" t="str">
        <f ca="1">IF(AND(ISNUMBER($BI$774),$B$511=1),$BI$774,HLOOKUP(INDIRECT(ADDRESS(2,COLUMN())),OFFSET($BN$2,0,0,ROW()-1,60),ROW()-1,FALSE))</f>
        <v/>
      </c>
      <c r="BJ271" t="str">
        <f ca="1">IF(AND(ISNUMBER($BJ$774),$B$511=1),$BJ$774,HLOOKUP(INDIRECT(ADDRESS(2,COLUMN())),OFFSET($BN$2,0,0,ROW()-1,60),ROW()-1,FALSE))</f>
        <v/>
      </c>
      <c r="BK271" t="str">
        <f ca="1">IF(AND(ISNUMBER($BK$774),$B$511=1),$BK$774,HLOOKUP(INDIRECT(ADDRESS(2,COLUMN())),OFFSET($BN$2,0,0,ROW()-1,60),ROW()-1,FALSE))</f>
        <v/>
      </c>
      <c r="BL271" t="str">
        <f ca="1">IF(AND(ISNUMBER($BL$774),$B$511=1),$BL$774,HLOOKUP(INDIRECT(ADDRESS(2,COLUMN())),OFFSET($BN$2,0,0,ROW()-1,60),ROW()-1,FALSE))</f>
        <v/>
      </c>
      <c r="BM271" t="str">
        <f ca="1">IF(AND(ISNUMBER($BM$774),$B$511=1),$BM$774,HLOOKUP(INDIRECT(ADDRESS(2,COLUMN())),OFFSET($BN$2,0,0,ROW()-1,60),ROW()-1,FALSE))</f>
        <v/>
      </c>
      <c r="BN271" t="str">
        <f>""</f>
        <v/>
      </c>
      <c r="BO271" t="str">
        <f>""</f>
        <v/>
      </c>
      <c r="BP271">
        <f>24637.95421</f>
        <v>24637.95421</v>
      </c>
      <c r="BQ271">
        <f>24457.95624</f>
        <v>24457.95624</v>
      </c>
      <c r="BR271">
        <f>25426.88077</f>
        <v>25426.88077</v>
      </c>
      <c r="BS271">
        <f>25166.23132</f>
        <v>25166.231319999999</v>
      </c>
      <c r="BT271">
        <f>23592.2224</f>
        <v>23592.222399999999</v>
      </c>
      <c r="BU271">
        <f>23737.30438</f>
        <v>23737.304380000001</v>
      </c>
      <c r="BV271">
        <f>23675.97849</f>
        <v>23675.978490000001</v>
      </c>
      <c r="BW271">
        <f>22003.01658</f>
        <v>22003.01658</v>
      </c>
      <c r="BX271">
        <f>23269.91814</f>
        <v>23269.918140000002</v>
      </c>
      <c r="BY271">
        <f>21929.4256</f>
        <v>21929.425599999999</v>
      </c>
      <c r="BZ271">
        <f>21533.99986</f>
        <v>21533.99986</v>
      </c>
      <c r="CA271">
        <f>20583.93445</f>
        <v>20583.934450000001</v>
      </c>
      <c r="CB271">
        <f>20228.52202</f>
        <v>20228.52202</v>
      </c>
      <c r="CC271">
        <f>20824.13701</f>
        <v>20824.137009999999</v>
      </c>
      <c r="CD271">
        <f>20237.71568</f>
        <v>20237.715680000001</v>
      </c>
      <c r="CE271">
        <f>20568.90038</f>
        <v>20568.900379999999</v>
      </c>
      <c r="CF271">
        <f>21062.13894</f>
        <v>21062.138940000001</v>
      </c>
      <c r="CG271">
        <f>21368.66219</f>
        <v>21368.662189999999</v>
      </c>
      <c r="CH271">
        <f>19582.65058</f>
        <v>19582.650580000001</v>
      </c>
      <c r="CI271">
        <f>19238.06335</f>
        <v>19238.06335</v>
      </c>
      <c r="CJ271">
        <f>18083.24778</f>
        <v>18083.247780000002</v>
      </c>
      <c r="CK271">
        <f>16315.69822</f>
        <v>16315.69822</v>
      </c>
      <c r="CL271">
        <f>15523.51028</f>
        <v>15523.51028</v>
      </c>
      <c r="CM271">
        <f>15838.36616</f>
        <v>15838.36616</v>
      </c>
      <c r="CN271">
        <f>14736.51096</f>
        <v>14736.51096</v>
      </c>
      <c r="CO271">
        <f>13551.42902</f>
        <v>13551.42902</v>
      </c>
      <c r="CP271">
        <f>12764.04652</f>
        <v>12764.04652</v>
      </c>
      <c r="CQ271">
        <f>11657.96918</f>
        <v>11657.96918</v>
      </c>
      <c r="CR271">
        <f>10885.20723</f>
        <v>10885.20723</v>
      </c>
      <c r="CS271">
        <f>11701.74612</f>
        <v>11701.74612</v>
      </c>
      <c r="CT271">
        <f>9923.710889</f>
        <v>9923.710889</v>
      </c>
      <c r="CU271">
        <f>8869.653059</f>
        <v>8869.6530590000002</v>
      </c>
      <c r="CV271" t="str">
        <f>""</f>
        <v/>
      </c>
      <c r="CW271" t="str">
        <f>""</f>
        <v/>
      </c>
      <c r="CX271" t="str">
        <f>""</f>
        <v/>
      </c>
      <c r="CY271" t="str">
        <f>""</f>
        <v/>
      </c>
      <c r="CZ271" t="str">
        <f>""</f>
        <v/>
      </c>
      <c r="DA271" t="str">
        <f>""</f>
        <v/>
      </c>
      <c r="DB271" t="str">
        <f>""</f>
        <v/>
      </c>
      <c r="DC271" t="str">
        <f>""</f>
        <v/>
      </c>
      <c r="DD271" t="str">
        <f>""</f>
        <v/>
      </c>
      <c r="DE271" t="str">
        <f>""</f>
        <v/>
      </c>
      <c r="DF271" t="str">
        <f>""</f>
        <v/>
      </c>
      <c r="DG271" t="str">
        <f>""</f>
        <v/>
      </c>
      <c r="DH271" t="str">
        <f>""</f>
        <v/>
      </c>
      <c r="DI271" t="str">
        <f>""</f>
        <v/>
      </c>
      <c r="DJ271" t="str">
        <f>""</f>
        <v/>
      </c>
      <c r="DK271" t="str">
        <f>""</f>
        <v/>
      </c>
      <c r="DL271" t="str">
        <f>""</f>
        <v/>
      </c>
      <c r="DM271" t="str">
        <f>""</f>
        <v/>
      </c>
      <c r="DN271" t="str">
        <f>""</f>
        <v/>
      </c>
      <c r="DO271" t="str">
        <f>""</f>
        <v/>
      </c>
      <c r="DP271" t="str">
        <f>""</f>
        <v/>
      </c>
      <c r="DQ271" t="str">
        <f>""</f>
        <v/>
      </c>
      <c r="DR271" t="str">
        <f>""</f>
        <v/>
      </c>
      <c r="DS271" t="str">
        <f>""</f>
        <v/>
      </c>
      <c r="DT271" t="str">
        <f>""</f>
        <v/>
      </c>
      <c r="DU271" t="str">
        <f>""</f>
        <v/>
      </c>
    </row>
    <row r="272" spans="1:125" x14ac:dyDescent="0.25">
      <c r="A272" t="str">
        <f>"    Mazda Motor Corp"</f>
        <v xml:space="preserve">    Mazda Motor Corp</v>
      </c>
      <c r="B272" t="str">
        <f>"7261 JP Equity"</f>
        <v>7261 JP Equity</v>
      </c>
      <c r="C272" t="str">
        <f t="shared" si="18"/>
        <v>RR010</v>
      </c>
      <c r="D272" t="str">
        <f t="shared" si="19"/>
        <v>TOT_COMMON_EQY</v>
      </c>
      <c r="E272" t="str">
        <f t="shared" si="20"/>
        <v>Dynamic</v>
      </c>
      <c r="F272" t="str">
        <f ca="1">IF(AND(ISNUMBER($F$775),$B$511=1),$F$775,HLOOKUP(INDIRECT(ADDRESS(2,COLUMN())),OFFSET($BN$2,0,0,ROW()-1,60),ROW()-1,FALSE))</f>
        <v/>
      </c>
      <c r="G272">
        <f ca="1">IF(AND(ISNUMBER($G$775),$B$511=1),$G$775,HLOOKUP(INDIRECT(ADDRESS(2,COLUMN())),OFFSET($BN$2,0,0,ROW()-1,60),ROW()-1,FALSE))</f>
        <v>10944.163780000001</v>
      </c>
      <c r="H272">
        <f ca="1">IF(AND(ISNUMBER($H$775),$B$511=1),$H$775,HLOOKUP(INDIRECT(ADDRESS(2,COLUMN())),OFFSET($BN$2,0,0,ROW()-1,60),ROW()-1,FALSE))</f>
        <v>10615.39207</v>
      </c>
      <c r="I272">
        <f ca="1">IF(AND(ISNUMBER($I$775),$B$511=1),$I$775,HLOOKUP(INDIRECT(ADDRESS(2,COLUMN())),OFFSET($BN$2,0,0,ROW()-1,60),ROW()-1,FALSE))</f>
        <v>10825.762769999999</v>
      </c>
      <c r="J272">
        <f ca="1">IF(AND(ISNUMBER($J$775),$B$511=1),$J$775,HLOOKUP(INDIRECT(ADDRESS(2,COLUMN())),OFFSET($BN$2,0,0,ROW()-1,60),ROW()-1,FALSE))</f>
        <v>11232.423269999999</v>
      </c>
      <c r="K272">
        <f ca="1">IF(AND(ISNUMBER($K$775),$B$511=1),$K$775,HLOOKUP(INDIRECT(ADDRESS(2,COLUMN())),OFFSET($BN$2,0,0,ROW()-1,60),ROW()-1,FALSE))</f>
        <v>10426.31018</v>
      </c>
      <c r="L272">
        <f ca="1">IF(AND(ISNUMBER($L$775),$B$511=1),$L$775,HLOOKUP(INDIRECT(ADDRESS(2,COLUMN())),OFFSET($BN$2,0,0,ROW()-1,60),ROW()-1,FALSE))</f>
        <v>9739.6909959999994</v>
      </c>
      <c r="M272">
        <f ca="1">IF(AND(ISNUMBER($M$775),$B$511=1),$M$775,HLOOKUP(INDIRECT(ADDRESS(2,COLUMN())),OFFSET($BN$2,0,0,ROW()-1,60),ROW()-1,FALSE))</f>
        <v>9455.4873160000006</v>
      </c>
      <c r="N272">
        <f ca="1">IF(AND(ISNUMBER($N$775),$B$511=1),$N$775,HLOOKUP(INDIRECT(ADDRESS(2,COLUMN())),OFFSET($BN$2,0,0,ROW()-1,60),ROW()-1,FALSE))</f>
        <v>9338.8913840000005</v>
      </c>
      <c r="O272">
        <f ca="1">IF(AND(ISNUMBER($O$775),$B$511=1),$O$775,HLOOKUP(INDIRECT(ADDRESS(2,COLUMN())),OFFSET($BN$2,0,0,ROW()-1,60),ROW()-1,FALSE))</f>
        <v>8648.3196160000007</v>
      </c>
      <c r="P272">
        <f ca="1">IF(AND(ISNUMBER($P$775),$B$511=1),$P$775,HLOOKUP(INDIRECT(ADDRESS(2,COLUMN())),OFFSET($BN$2,0,0,ROW()-1,60),ROW()-1,FALSE))</f>
        <v>9651.0105490000005</v>
      </c>
      <c r="Q272">
        <f ca="1">IF(AND(ISNUMBER($Q$775),$B$511=1),$Q$775,HLOOKUP(INDIRECT(ADDRESS(2,COLUMN())),OFFSET($BN$2,0,0,ROW()-1,60),ROW()-1,FALSE))</f>
        <v>9255.4220370000003</v>
      </c>
      <c r="R272">
        <f ca="1">IF(AND(ISNUMBER($R$775),$B$511=1),$R$775,HLOOKUP(INDIRECT(ADDRESS(2,COLUMN())),OFFSET($BN$2,0,0,ROW()-1,60),ROW()-1,FALSE))</f>
        <v>8480.1422220000004</v>
      </c>
      <c r="S272">
        <f ca="1">IF(AND(ISNUMBER($S$775),$B$511=1),$S$775,HLOOKUP(INDIRECT(ADDRESS(2,COLUMN())),OFFSET($BN$2,0,0,ROW()-1,60),ROW()-1,FALSE))</f>
        <v>8071.1314480000001</v>
      </c>
      <c r="T272">
        <f ca="1">IF(AND(ISNUMBER($T$775),$B$511=1),$T$775,HLOOKUP(INDIRECT(ADDRESS(2,COLUMN())),OFFSET($BN$2,0,0,ROW()-1,60),ROW()-1,FALSE))</f>
        <v>8968.7975270000006</v>
      </c>
      <c r="U272">
        <f ca="1">IF(AND(ISNUMBER($U$775),$B$511=1),$U$775,HLOOKUP(INDIRECT(ADDRESS(2,COLUMN())),OFFSET($BN$2,0,0,ROW()-1,60),ROW()-1,FALSE))</f>
        <v>7362.1683590000002</v>
      </c>
      <c r="V272">
        <f ca="1">IF(AND(ISNUMBER($V$775),$B$511=1),$V$775,HLOOKUP(INDIRECT(ADDRESS(2,COLUMN())),OFFSET($BN$2,0,0,ROW()-1,60),ROW()-1,FALSE))</f>
        <v>7249.6456859999998</v>
      </c>
      <c r="W272">
        <f ca="1">IF(AND(ISNUMBER($W$775),$B$511=1),$W$775,HLOOKUP(INDIRECT(ADDRESS(2,COLUMN())),OFFSET($BN$2,0,0,ROW()-1,60),ROW()-1,FALSE))</f>
        <v>8033.9369159999997</v>
      </c>
      <c r="X272">
        <f ca="1">IF(AND(ISNUMBER($X$775),$B$511=1),$X$775,HLOOKUP(INDIRECT(ADDRESS(2,COLUMN())),OFFSET($BN$2,0,0,ROW()-1,60),ROW()-1,FALSE))</f>
        <v>6900.1185480000004</v>
      </c>
      <c r="Y272">
        <f ca="1">IF(AND(ISNUMBER($Y$775),$B$511=1),$Y$775,HLOOKUP(INDIRECT(ADDRESS(2,COLUMN())),OFFSET($BN$2,0,0,ROW()-1,60),ROW()-1,FALSE))</f>
        <v>6994.2936120000004</v>
      </c>
      <c r="Z272">
        <f ca="1">IF(AND(ISNUMBER($Z$775),$B$511=1),$Z$775,HLOOKUP(INDIRECT(ADDRESS(2,COLUMN())),OFFSET($BN$2,0,0,ROW()-1,60),ROW()-1,FALSE))</f>
        <v>6410.4201030000004</v>
      </c>
      <c r="AA272">
        <f ca="1">IF(AND(ISNUMBER($AA$775),$B$511=1),$AA$775,HLOOKUP(INDIRECT(ADDRESS(2,COLUMN())),OFFSET($BN$2,0,0,ROW()-1,60),ROW()-1,FALSE))</f>
        <v>5637.7256319999997</v>
      </c>
      <c r="AB272">
        <f ca="1">IF(AND(ISNUMBER($AB$775),$B$511=1),$AB$775,HLOOKUP(INDIRECT(ADDRESS(2,COLUMN())),OFFSET($BN$2,0,0,ROW()-1,60),ROW()-1,FALSE))</f>
        <v>5560.228083</v>
      </c>
      <c r="AC272">
        <f ca="1">IF(AND(ISNUMBER($AC$775),$B$511=1),$AC$775,HLOOKUP(INDIRECT(ADDRESS(2,COLUMN())),OFFSET($BN$2,0,0,ROW()-1,60),ROW()-1,FALSE))</f>
        <v>5242.2732310000001</v>
      </c>
      <c r="AD272">
        <f ca="1">IF(AND(ISNUMBER($AD$775),$B$511=1),$AD$775,HLOOKUP(INDIRECT(ADDRESS(2,COLUMN())),OFFSET($BN$2,0,0,ROW()-1,60),ROW()-1,FALSE))</f>
        <v>5267.6501799999996</v>
      </c>
      <c r="AE272">
        <f ca="1">IF(AND(ISNUMBER($AE$775),$B$511=1),$AE$775,HLOOKUP(INDIRECT(ADDRESS(2,COLUMN())),OFFSET($BN$2,0,0,ROW()-1,60),ROW()-1,FALSE))</f>
        <v>5532.1750169999996</v>
      </c>
      <c r="AF272">
        <f ca="1">IF(AND(ISNUMBER($AF$775),$B$511=1),$AF$775,HLOOKUP(INDIRECT(ADDRESS(2,COLUMN())),OFFSET($BN$2,0,0,ROW()-1,60),ROW()-1,FALSE))</f>
        <v>6142.2869609999998</v>
      </c>
      <c r="AG272">
        <f ca="1">IF(AND(ISNUMBER($AG$775),$B$511=1),$AG$775,HLOOKUP(INDIRECT(ADDRESS(2,COLUMN())),OFFSET($BN$2,0,0,ROW()-1,60),ROW()-1,FALSE))</f>
        <v>5906.2656639999996</v>
      </c>
      <c r="AH272">
        <f ca="1">IF(AND(ISNUMBER($AH$775),$B$511=1),$AH$775,HLOOKUP(INDIRECT(ADDRESS(2,COLUMN())),OFFSET($BN$2,0,0,ROW()-1,60),ROW()-1,FALSE))</f>
        <v>5677.2721769999998</v>
      </c>
      <c r="AI272">
        <f ca="1">IF(AND(ISNUMBER($AI$775),$B$511=1),$AI$775,HLOOKUP(INDIRECT(ADDRESS(2,COLUMN())),OFFSET($BN$2,0,0,ROW()-1,60),ROW()-1,FALSE))</f>
        <v>4206.1566439999997</v>
      </c>
      <c r="AJ272">
        <f ca="1">IF(AND(ISNUMBER($AJ$775),$B$511=1),$AJ$775,HLOOKUP(INDIRECT(ADDRESS(2,COLUMN())),OFFSET($BN$2,0,0,ROW()-1,60),ROW()-1,FALSE))</f>
        <v>5089.616282</v>
      </c>
      <c r="AK272">
        <f ca="1">IF(AND(ISNUMBER($AK$775),$B$511=1),$AK$775,HLOOKUP(INDIRECT(ADDRESS(2,COLUMN())),OFFSET($BN$2,0,0,ROW()-1,60),ROW()-1,FALSE))</f>
        <v>5074.3048660000004</v>
      </c>
      <c r="AL272">
        <f ca="1">IF(AND(ISNUMBER($AL$775),$B$511=1),$AL$775,HLOOKUP(INDIRECT(ADDRESS(2,COLUMN())),OFFSET($BN$2,0,0,ROW()-1,60),ROW()-1,FALSE))</f>
        <v>5182.5667030000004</v>
      </c>
      <c r="AM272">
        <f ca="1">IF(AND(ISNUMBER($AM$775),$B$511=1),$AM$775,HLOOKUP(INDIRECT(ADDRESS(2,COLUMN())),OFFSET($BN$2,0,0,ROW()-1,60),ROW()-1,FALSE))</f>
        <v>6101.4287469999999</v>
      </c>
      <c r="AN272">
        <f ca="1">IF(AND(ISNUMBER($AN$775),$B$511=1),$AN$775,HLOOKUP(INDIRECT(ADDRESS(2,COLUMN())),OFFSET($BN$2,0,0,ROW()-1,60),ROW()-1,FALSE))</f>
        <v>5994.7040500000003</v>
      </c>
      <c r="AO272">
        <f ca="1">IF(AND(ISNUMBER($AO$775),$B$511=1),$AO$775,HLOOKUP(INDIRECT(ADDRESS(2,COLUMN())),OFFSET($BN$2,0,0,ROW()-1,60),ROW()-1,FALSE))</f>
        <v>5644.6263259999996</v>
      </c>
      <c r="AP272">
        <f ca="1">IF(AND(ISNUMBER($AP$775),$B$511=1),$AP$775,HLOOKUP(INDIRECT(ADDRESS(2,COLUMN())),OFFSET($BN$2,0,0,ROW()-1,60),ROW()-1,FALSE))</f>
        <v>5440.4323629999999</v>
      </c>
      <c r="AQ272">
        <f ca="1">IF(AND(ISNUMBER($AQ$775),$B$511=1),$AQ$775,HLOOKUP(INDIRECT(ADDRESS(2,COLUMN())),OFFSET($BN$2,0,0,ROW()-1,60),ROW()-1,FALSE))</f>
        <v>5341.6040370000001</v>
      </c>
      <c r="AR272">
        <f ca="1">IF(AND(ISNUMBER($AR$775),$B$511=1),$AR$775,HLOOKUP(INDIRECT(ADDRESS(2,COLUMN())),OFFSET($BN$2,0,0,ROW()-1,60),ROW()-1,FALSE))</f>
        <v>4516.9826050000001</v>
      </c>
      <c r="AS272">
        <f ca="1">IF(AND(ISNUMBER($AS$775),$B$511=1),$AS$775,HLOOKUP(INDIRECT(ADDRESS(2,COLUMN())),OFFSET($BN$2,0,0,ROW()-1,60),ROW()-1,FALSE))</f>
        <v>4151.0485879999997</v>
      </c>
      <c r="AT272">
        <f ca="1">IF(AND(ISNUMBER($AT$775),$B$511=1),$AT$775,HLOOKUP(INDIRECT(ADDRESS(2,COLUMN())),OFFSET($BN$2,0,0,ROW()-1,60),ROW()-1,FALSE))</f>
        <v>4161.6406639999996</v>
      </c>
      <c r="AU272">
        <f ca="1">IF(AND(ISNUMBER($AU$775),$B$511=1),$AU$775,HLOOKUP(INDIRECT(ADDRESS(2,COLUMN())),OFFSET($BN$2,0,0,ROW()-1,60),ROW()-1,FALSE))</f>
        <v>5734.6183499999997</v>
      </c>
      <c r="AV272">
        <f ca="1">IF(AND(ISNUMBER($AV$775),$B$511=1),$AV$775,HLOOKUP(INDIRECT(ADDRESS(2,COLUMN())),OFFSET($BN$2,0,0,ROW()-1,60),ROW()-1,FALSE))</f>
        <v>5371.663998</v>
      </c>
      <c r="AW272">
        <f ca="1">IF(AND(ISNUMBER($AW$775),$B$511=1),$AW$775,HLOOKUP(INDIRECT(ADDRESS(2,COLUMN())),OFFSET($BN$2,0,0,ROW()-1,60),ROW()-1,FALSE))</f>
        <v>5162.2092480000001</v>
      </c>
      <c r="AX272">
        <f ca="1">IF(AND(ISNUMBER($AX$775),$B$511=1),$AX$775,HLOOKUP(INDIRECT(ADDRESS(2,COLUMN())),OFFSET($BN$2,0,0,ROW()-1,60),ROW()-1,FALSE))</f>
        <v>5531.7344279999998</v>
      </c>
      <c r="AY272">
        <f ca="1">IF(AND(ISNUMBER($AY$775),$B$511=1),$AY$775,HLOOKUP(INDIRECT(ADDRESS(2,COLUMN())),OFFSET($BN$2,0,0,ROW()-1,60),ROW()-1,FALSE))</f>
        <v>4507.1294390000003</v>
      </c>
      <c r="AZ272">
        <f ca="1">IF(AND(ISNUMBER($AZ$775),$B$511=1),$AZ$775,HLOOKUP(INDIRECT(ADDRESS(2,COLUMN())),OFFSET($BN$2,0,0,ROW()-1,60),ROW()-1,FALSE))</f>
        <v>4353.2578400000002</v>
      </c>
      <c r="BA272">
        <f ca="1">IF(AND(ISNUMBER($BA$775),$B$511=1),$BA$775,HLOOKUP(INDIRECT(ADDRESS(2,COLUMN())),OFFSET($BN$2,0,0,ROW()-1,60),ROW()-1,FALSE))</f>
        <v>3836.4514039999999</v>
      </c>
      <c r="BB272">
        <f ca="1">IF(AND(ISNUMBER($BB$775),$B$511=1),$BB$775,HLOOKUP(INDIRECT(ADDRESS(2,COLUMN())),OFFSET($BN$2,0,0,ROW()-1,60),ROW()-1,FALSE))</f>
        <v>4026.447827</v>
      </c>
      <c r="BC272">
        <f ca="1">IF(AND(ISNUMBER($BC$775),$B$511=1),$BC$775,HLOOKUP(INDIRECT(ADDRESS(2,COLUMN())),OFFSET($BN$2,0,0,ROW()-1,60),ROW()-1,FALSE))</f>
        <v>3653.7789720000001</v>
      </c>
      <c r="BD272">
        <f ca="1">IF(AND(ISNUMBER($BD$775),$B$511=1),$BD$775,HLOOKUP(INDIRECT(ADDRESS(2,COLUMN())),OFFSET($BN$2,0,0,ROW()-1,60),ROW()-1,FALSE))</f>
        <v>3516.3616339999999</v>
      </c>
      <c r="BE272">
        <f ca="1">IF(AND(ISNUMBER($BE$775),$B$511=1),$BE$775,HLOOKUP(INDIRECT(ADDRESS(2,COLUMN())),OFFSET($BN$2,0,0,ROW()-1,60),ROW()-1,FALSE))</f>
        <v>3470.2280070000002</v>
      </c>
      <c r="BF272">
        <f ca="1">IF(AND(ISNUMBER($BF$775),$B$511=1),$BF$775,HLOOKUP(INDIRECT(ADDRESS(2,COLUMN())),OFFSET($BN$2,0,0,ROW()-1,60),ROW()-1,FALSE))</f>
        <v>3387.438298</v>
      </c>
      <c r="BG272">
        <f ca="1">IF(AND(ISNUMBER($BG$775),$B$511=1),$BG$775,HLOOKUP(INDIRECT(ADDRESS(2,COLUMN())),OFFSET($BN$2,0,0,ROW()-1,60),ROW()-1,FALSE))</f>
        <v>3005.3572939999999</v>
      </c>
      <c r="BH272">
        <f ca="1">IF(AND(ISNUMBER($BH$775),$B$511=1),$BH$775,HLOOKUP(INDIRECT(ADDRESS(2,COLUMN())),OFFSET($BN$2,0,0,ROW()-1,60),ROW()-1,FALSE))</f>
        <v>2919.7780910000001</v>
      </c>
      <c r="BI272">
        <f ca="1">IF(AND(ISNUMBER($BI$775),$B$511=1),$BI$775,HLOOKUP(INDIRECT(ADDRESS(2,COLUMN())),OFFSET($BN$2,0,0,ROW()-1,60),ROW()-1,FALSE))</f>
        <v>2424.3847470000001</v>
      </c>
      <c r="BJ272">
        <f ca="1">IF(AND(ISNUMBER($BJ$775),$B$511=1),$BJ$775,HLOOKUP(INDIRECT(ADDRESS(2,COLUMN())),OFFSET($BN$2,0,0,ROW()-1,60),ROW()-1,FALSE))</f>
        <v>2498.2742539999999</v>
      </c>
      <c r="BK272">
        <f ca="1">IF(AND(ISNUMBER($BK$775),$B$511=1),$BK$775,HLOOKUP(INDIRECT(ADDRESS(2,COLUMN())),OFFSET($BN$2,0,0,ROW()-1,60),ROW()-1,FALSE))</f>
        <v>2428.1923710000001</v>
      </c>
      <c r="BL272">
        <f ca="1">IF(AND(ISNUMBER($BL$775),$B$511=1),$BL$775,HLOOKUP(INDIRECT(ADDRESS(2,COLUMN())),OFFSET($BN$2,0,0,ROW()-1,60),ROW()-1,FALSE))</f>
        <v>2191.603748</v>
      </c>
      <c r="BM272">
        <f ca="1">IF(AND(ISNUMBER($BM$775),$B$511=1),$BM$775,HLOOKUP(INDIRECT(ADDRESS(2,COLUMN())),OFFSET($BN$2,0,0,ROW()-1,60),ROW()-1,FALSE))</f>
        <v>2115.4887079999999</v>
      </c>
      <c r="BN272" t="str">
        <f>""</f>
        <v/>
      </c>
      <c r="BO272">
        <f>10944.16378</f>
        <v>10944.163780000001</v>
      </c>
      <c r="BP272">
        <f>10615.39207</f>
        <v>10615.39207</v>
      </c>
      <c r="BQ272">
        <f>10825.76277</f>
        <v>10825.762769999999</v>
      </c>
      <c r="BR272">
        <f>11232.42327</f>
        <v>11232.423269999999</v>
      </c>
      <c r="BS272">
        <f>10426.31018</f>
        <v>10426.31018</v>
      </c>
      <c r="BT272">
        <f>9739.690996</f>
        <v>9739.6909959999994</v>
      </c>
      <c r="BU272">
        <f>9455.487316</f>
        <v>9455.4873160000006</v>
      </c>
      <c r="BV272">
        <f>9338.891384</f>
        <v>9338.8913840000005</v>
      </c>
      <c r="BW272">
        <f>8648.319616</f>
        <v>8648.3196160000007</v>
      </c>
      <c r="BX272">
        <f>9651.010549</f>
        <v>9651.0105490000005</v>
      </c>
      <c r="BY272">
        <f>9255.422037</f>
        <v>9255.4220370000003</v>
      </c>
      <c r="BZ272">
        <f>8480.142222</f>
        <v>8480.1422220000004</v>
      </c>
      <c r="CA272">
        <f>8071.131448</f>
        <v>8071.1314480000001</v>
      </c>
      <c r="CB272">
        <f>8968.797527</f>
        <v>8968.7975270000006</v>
      </c>
      <c r="CC272">
        <f>7362.168359</f>
        <v>7362.1683590000002</v>
      </c>
      <c r="CD272">
        <f>7249.645686</f>
        <v>7249.6456859999998</v>
      </c>
      <c r="CE272">
        <f>8033.936916</f>
        <v>8033.9369159999997</v>
      </c>
      <c r="CF272">
        <f>6900.118548</f>
        <v>6900.1185480000004</v>
      </c>
      <c r="CG272">
        <f>6994.293612</f>
        <v>6994.2936120000004</v>
      </c>
      <c r="CH272">
        <f>6410.420103</f>
        <v>6410.4201030000004</v>
      </c>
      <c r="CI272">
        <f>5637.725632</f>
        <v>5637.7256319999997</v>
      </c>
      <c r="CJ272">
        <f>5560.228083</f>
        <v>5560.228083</v>
      </c>
      <c r="CK272">
        <f>5242.273231</f>
        <v>5242.2732310000001</v>
      </c>
      <c r="CL272">
        <f>5267.65018</f>
        <v>5267.6501799999996</v>
      </c>
      <c r="CM272">
        <f>5532.175017</f>
        <v>5532.1750169999996</v>
      </c>
      <c r="CN272">
        <f>6142.286961</f>
        <v>6142.2869609999998</v>
      </c>
      <c r="CO272">
        <f>5906.265664</f>
        <v>5906.2656639999996</v>
      </c>
      <c r="CP272">
        <f>5677.272177</f>
        <v>5677.2721769999998</v>
      </c>
      <c r="CQ272">
        <f>4206.156644</f>
        <v>4206.1566439999997</v>
      </c>
      <c r="CR272">
        <f>5089.616282</f>
        <v>5089.616282</v>
      </c>
      <c r="CS272">
        <f>5074.304866</f>
        <v>5074.3048660000004</v>
      </c>
      <c r="CT272">
        <f>5182.566703</f>
        <v>5182.5667030000004</v>
      </c>
      <c r="CU272">
        <f>6101.428747</f>
        <v>6101.4287469999999</v>
      </c>
      <c r="CV272">
        <f>5994.70405</f>
        <v>5994.7040500000003</v>
      </c>
      <c r="CW272">
        <f>5644.626326</f>
        <v>5644.6263259999996</v>
      </c>
      <c r="CX272">
        <f>5440.43236299999</f>
        <v>5440.4323629999999</v>
      </c>
      <c r="CY272">
        <f>5341.604037</f>
        <v>5341.6040370000001</v>
      </c>
      <c r="CZ272">
        <f>4516.982605</f>
        <v>4516.9826050000001</v>
      </c>
      <c r="DA272">
        <f>4151.048588</f>
        <v>4151.0485879999997</v>
      </c>
      <c r="DB272">
        <f>4161.640664</f>
        <v>4161.6406639999996</v>
      </c>
      <c r="DC272">
        <f>5734.61835</f>
        <v>5734.6183499999997</v>
      </c>
      <c r="DD272">
        <f>5371.663998</f>
        <v>5371.663998</v>
      </c>
      <c r="DE272">
        <f>5162.209248</f>
        <v>5162.2092480000001</v>
      </c>
      <c r="DF272">
        <f>5531.734428</f>
        <v>5531.7344279999998</v>
      </c>
      <c r="DG272">
        <f>4507.129439</f>
        <v>4507.1294390000003</v>
      </c>
      <c r="DH272">
        <f>4353.25784</f>
        <v>4353.2578400000002</v>
      </c>
      <c r="DI272">
        <f>3836.451404</f>
        <v>3836.4514039999999</v>
      </c>
      <c r="DJ272">
        <f>4026.447827</f>
        <v>4026.447827</v>
      </c>
      <c r="DK272">
        <f>3653.778972</f>
        <v>3653.7789720000001</v>
      </c>
      <c r="DL272">
        <f>3516.361634</f>
        <v>3516.3616339999999</v>
      </c>
      <c r="DM272">
        <f>3470.228007</f>
        <v>3470.2280070000002</v>
      </c>
      <c r="DN272">
        <f>3387.438298</f>
        <v>3387.438298</v>
      </c>
      <c r="DO272">
        <f>3005.357294</f>
        <v>3005.3572939999999</v>
      </c>
      <c r="DP272">
        <f>2919.778091</f>
        <v>2919.7780910000001</v>
      </c>
      <c r="DQ272">
        <f>2424.384747</f>
        <v>2424.3847470000001</v>
      </c>
      <c r="DR272">
        <f>2498.274254</f>
        <v>2498.2742539999999</v>
      </c>
      <c r="DS272">
        <f>2428.192371</f>
        <v>2428.1923710000001</v>
      </c>
      <c r="DT272">
        <f>2191.603748</f>
        <v>2191.603748</v>
      </c>
      <c r="DU272">
        <f>2115.488708</f>
        <v>2115.4887079999999</v>
      </c>
    </row>
    <row r="273" spans="1:125" x14ac:dyDescent="0.25">
      <c r="A273" t="str">
        <f>"    Mitsubishi Motors Corp"</f>
        <v xml:space="preserve">    Mitsubishi Motors Corp</v>
      </c>
      <c r="B273" t="str">
        <f>"7211 JP Equity"</f>
        <v>7211 JP Equity</v>
      </c>
      <c r="C273" t="str">
        <f t="shared" si="18"/>
        <v>RR010</v>
      </c>
      <c r="D273" t="str">
        <f t="shared" si="19"/>
        <v>TOT_COMMON_EQY</v>
      </c>
      <c r="E273" t="str">
        <f t="shared" si="20"/>
        <v>Dynamic</v>
      </c>
      <c r="F273" t="str">
        <f ca="1">IF(AND(ISNUMBER($F$776),$B$511=1),$F$776,HLOOKUP(INDIRECT(ADDRESS(2,COLUMN())),OFFSET($BN$2,0,0,ROW()-1,60),ROW()-1,FALSE))</f>
        <v/>
      </c>
      <c r="G273">
        <f ca="1">IF(AND(ISNUMBER($G$776),$B$511=1),$G$776,HLOOKUP(INDIRECT(ADDRESS(2,COLUMN())),OFFSET($BN$2,0,0,ROW()-1,60),ROW()-1,FALSE))</f>
        <v>7364.5996720000003</v>
      </c>
      <c r="H273">
        <f ca="1">IF(AND(ISNUMBER($H$776),$B$511=1),$H$776,HLOOKUP(INDIRECT(ADDRESS(2,COLUMN())),OFFSET($BN$2,0,0,ROW()-1,60),ROW()-1,FALSE))</f>
        <v>7177.7092510000002</v>
      </c>
      <c r="I273">
        <f ca="1">IF(AND(ISNUMBER($I$776),$B$511=1),$I$776,HLOOKUP(INDIRECT(ADDRESS(2,COLUMN())),OFFSET($BN$2,0,0,ROW()-1,60),ROW()-1,FALSE))</f>
        <v>7066.212313</v>
      </c>
      <c r="J273">
        <f ca="1">IF(AND(ISNUMBER($J$776),$B$511=1),$J$776,HLOOKUP(INDIRECT(ADDRESS(2,COLUMN())),OFFSET($BN$2,0,0,ROW()-1,60),ROW()-1,FALSE))</f>
        <v>7353.370363</v>
      </c>
      <c r="K273">
        <f ca="1">IF(AND(ISNUMBER($K$776),$B$511=1),$K$776,HLOOKUP(INDIRECT(ADDRESS(2,COLUMN())),OFFSET($BN$2,0,0,ROW()-1,60),ROW()-1,FALSE))</f>
        <v>6678.8328300000003</v>
      </c>
      <c r="L273">
        <f ca="1">IF(AND(ISNUMBER($L$776),$B$511=1),$L$776,HLOOKUP(INDIRECT(ADDRESS(2,COLUMN())),OFFSET($BN$2,0,0,ROW()-1,60),ROW()-1,FALSE))</f>
        <v>6523.8323570000002</v>
      </c>
      <c r="M273">
        <f ca="1">IF(AND(ISNUMBER($M$776),$B$511=1),$M$776,HLOOKUP(INDIRECT(ADDRESS(2,COLUMN())),OFFSET($BN$2,0,0,ROW()-1,60),ROW()-1,FALSE))</f>
        <v>6267.1918109999997</v>
      </c>
      <c r="N273">
        <f ca="1">IF(AND(ISNUMBER($N$776),$B$511=1),$N$776,HLOOKUP(INDIRECT(ADDRESS(2,COLUMN())),OFFSET($BN$2,0,0,ROW()-1,60),ROW()-1,FALSE))</f>
        <v>6202.9916450000001</v>
      </c>
      <c r="O273">
        <f ca="1">IF(AND(ISNUMBER($O$776),$B$511=1),$O$776,HLOOKUP(INDIRECT(ADDRESS(2,COLUMN())),OFFSET($BN$2,0,0,ROW()-1,60),ROW()-1,FALSE))</f>
        <v>5800.7887520000004</v>
      </c>
      <c r="P273">
        <f ca="1">IF(AND(ISNUMBER($P$776),$B$511=1),$P$776,HLOOKUP(INDIRECT(ADDRESS(2,COLUMN())),OFFSET($BN$2,0,0,ROW()-1,60),ROW()-1,FALSE))</f>
        <v>4051.5626539999998</v>
      </c>
      <c r="Q273">
        <f ca="1">IF(AND(ISNUMBER($Q$776),$B$511=1),$Q$776,HLOOKUP(INDIRECT(ADDRESS(2,COLUMN())),OFFSET($BN$2,0,0,ROW()-1,60),ROW()-1,FALSE))</f>
        <v>4930.564977</v>
      </c>
      <c r="R273">
        <f ca="1">IF(AND(ISNUMBER($R$776),$B$511=1),$R$776,HLOOKUP(INDIRECT(ADDRESS(2,COLUMN())),OFFSET($BN$2,0,0,ROW()-1,60),ROW()-1,FALSE))</f>
        <v>5965.76</v>
      </c>
      <c r="S273">
        <f ca="1">IF(AND(ISNUMBER($S$776),$B$511=1),$S$776,HLOOKUP(INDIRECT(ADDRESS(2,COLUMN())),OFFSET($BN$2,0,0,ROW()-1,60),ROW()-1,FALSE))</f>
        <v>5766.7637269999996</v>
      </c>
      <c r="T273">
        <f ca="1">IF(AND(ISNUMBER($T$776),$B$511=1),$T$776,HLOOKUP(INDIRECT(ADDRESS(2,COLUMN())),OFFSET($BN$2,0,0,ROW()-1,60),ROW()-1,FALSE))</f>
        <v>5643.6199550000001</v>
      </c>
      <c r="U273">
        <f ca="1">IF(AND(ISNUMBER($U$776),$B$511=1),$U$776,HLOOKUP(INDIRECT(ADDRESS(2,COLUMN())),OFFSET($BN$2,0,0,ROW()-1,60),ROW()-1,FALSE))</f>
        <v>5494.6036690000001</v>
      </c>
      <c r="V273">
        <f ca="1">IF(AND(ISNUMBER($V$776),$B$511=1),$V$776,HLOOKUP(INDIRECT(ADDRESS(2,COLUMN())),OFFSET($BN$2,0,0,ROW()-1,60),ROW()-1,FALSE))</f>
        <v>5491.0629429999999</v>
      </c>
      <c r="W273">
        <f ca="1">IF(AND(ISNUMBER($W$776),$B$511=1),$W$776,HLOOKUP(INDIRECT(ADDRESS(2,COLUMN())),OFFSET($BN$2,0,0,ROW()-1,60),ROW()-1,FALSE))</f>
        <v>5409.0120159999997</v>
      </c>
      <c r="X273">
        <f ca="1">IF(AND(ISNUMBER($X$776),$B$511=1),$X$776,HLOOKUP(INDIRECT(ADDRESS(2,COLUMN())),OFFSET($BN$2,0,0,ROW()-1,60),ROW()-1,FALSE))</f>
        <v>5422.5059270000002</v>
      </c>
      <c r="Y273">
        <f ca="1">IF(AND(ISNUMBER($Y$776),$B$511=1),$Y$776,HLOOKUP(INDIRECT(ADDRESS(2,COLUMN())),OFFSET($BN$2,0,0,ROW()-1,60),ROW()-1,FALSE))</f>
        <v>5386.0203380000003</v>
      </c>
      <c r="Z273">
        <f ca="1">IF(AND(ISNUMBER($Z$776),$B$511=1),$Z$776,HLOOKUP(INDIRECT(ADDRESS(2,COLUMN())),OFFSET($BN$2,0,0,ROW()-1,60),ROW()-1,FALSE))</f>
        <v>5244.3193950000004</v>
      </c>
      <c r="AA273">
        <f ca="1">IF(AND(ISNUMBER($AA$776),$B$511=1),$AA$776,HLOOKUP(INDIRECT(ADDRESS(2,COLUMN())),OFFSET($BN$2,0,0,ROW()-1,60),ROW()-1,FALSE))</f>
        <v>521.97415920000003</v>
      </c>
      <c r="AB273">
        <f ca="1">IF(AND(ISNUMBER($AB$776),$B$511=1),$AB$776,HLOOKUP(INDIRECT(ADDRESS(2,COLUMN())),OFFSET($BN$2,0,0,ROW()-1,60),ROW()-1,FALSE))</f>
        <v>52.795031059999999</v>
      </c>
      <c r="AC273">
        <f ca="1">IF(AND(ISNUMBER($AC$776),$B$511=1),$AC$776,HLOOKUP(INDIRECT(ADDRESS(2,COLUMN())),OFFSET($BN$2,0,0,ROW()-1,60),ROW()-1,FALSE))</f>
        <v>-283.70079529999998</v>
      </c>
      <c r="AD273">
        <f ca="1">IF(AND(ISNUMBER($AD$776),$B$511=1),$AD$776,HLOOKUP(INDIRECT(ADDRESS(2,COLUMN())),OFFSET($BN$2,0,0,ROW()-1,60),ROW()-1,FALSE))</f>
        <v>-581.64933140000005</v>
      </c>
      <c r="AE273">
        <f ca="1">IF(AND(ISNUMBER($AE$776),$B$511=1),$AE$776,HLOOKUP(INDIRECT(ADDRESS(2,COLUMN())),OFFSET($BN$2,0,0,ROW()-1,60),ROW()-1,FALSE))</f>
        <v>-1317.3285619999999</v>
      </c>
      <c r="AF273">
        <f ca="1">IF(AND(ISNUMBER($AF$776),$B$511=1),$AF$776,HLOOKUP(INDIRECT(ADDRESS(2,COLUMN())),OFFSET($BN$2,0,0,ROW()-1,60),ROW()-1,FALSE))</f>
        <v>-2077.810575</v>
      </c>
      <c r="AG273">
        <f ca="1">IF(AND(ISNUMBER($AG$776),$B$511=1),$AG$776,HLOOKUP(INDIRECT(ADDRESS(2,COLUMN())),OFFSET($BN$2,0,0,ROW()-1,60),ROW()-1,FALSE))</f>
        <v>-2361.453634</v>
      </c>
      <c r="AH273">
        <f ca="1">IF(AND(ISNUMBER($AH$776),$B$511=1),$AH$776,HLOOKUP(INDIRECT(ADDRESS(2,COLUMN())),OFFSET($BN$2,0,0,ROW()-1,60),ROW()-1,FALSE))</f>
        <v>-2185.6347569999998</v>
      </c>
      <c r="AI273">
        <f ca="1">IF(AND(ISNUMBER($AI$776),$B$511=1),$AI$776,HLOOKUP(INDIRECT(ADDRESS(2,COLUMN())),OFFSET($BN$2,0,0,ROW()-1,60),ROW()-1,FALSE))</f>
        <v>-2759.2934150000001</v>
      </c>
      <c r="AJ273">
        <f ca="1">IF(AND(ISNUMBER($AJ$776),$B$511=1),$AJ$776,HLOOKUP(INDIRECT(ADDRESS(2,COLUMN())),OFFSET($BN$2,0,0,ROW()-1,60),ROW()-1,FALSE))</f>
        <v>-2782.7715840000001</v>
      </c>
      <c r="AK273">
        <f ca="1">IF(AND(ISNUMBER($AK$776),$B$511=1),$AK$776,HLOOKUP(INDIRECT(ADDRESS(2,COLUMN())),OFFSET($BN$2,0,0,ROW()-1,60),ROW()-1,FALSE))</f>
        <v>-2481.7899699999998</v>
      </c>
      <c r="AL273">
        <f ca="1">IF(AND(ISNUMBER($AL$776),$B$511=1),$AL$776,HLOOKUP(INDIRECT(ADDRESS(2,COLUMN())),OFFSET($BN$2,0,0,ROW()-1,60),ROW()-1,FALSE))</f>
        <v>-2393.1667269999998</v>
      </c>
      <c r="AM273">
        <f ca="1">IF(AND(ISNUMBER($AM$776),$B$511=1),$AM$776,HLOOKUP(INDIRECT(ADDRESS(2,COLUMN())),OFFSET($BN$2,0,0,ROW()-1,60),ROW()-1,FALSE))</f>
        <v>-2778.753541</v>
      </c>
      <c r="AN273">
        <f ca="1">IF(AND(ISNUMBER($AN$776),$B$511=1),$AN$776,HLOOKUP(INDIRECT(ADDRESS(2,COLUMN())),OFFSET($BN$2,0,0,ROW()-1,60),ROW()-1,FALSE))</f>
        <v>-2701.9410499999999</v>
      </c>
      <c r="AO273">
        <f ca="1">IF(AND(ISNUMBER($AO$776),$B$511=1),$AO$776,HLOOKUP(INDIRECT(ADDRESS(2,COLUMN())),OFFSET($BN$2,0,0,ROW()-1,60),ROW()-1,FALSE))</f>
        <v>-2679.5777830000002</v>
      </c>
      <c r="AP273">
        <f ca="1">IF(AND(ISNUMBER($AP$776),$B$511=1),$AP$776,HLOOKUP(INDIRECT(ADDRESS(2,COLUMN())),OFFSET($BN$2,0,0,ROW()-1,60),ROW()-1,FALSE))</f>
        <v>-2283.9041099999999</v>
      </c>
      <c r="AQ273">
        <f ca="1">IF(AND(ISNUMBER($AQ$776),$B$511=1),$AQ$776,HLOOKUP(INDIRECT(ADDRESS(2,COLUMN())),OFFSET($BN$2,0,0,ROW()-1,60),ROW()-1,FALSE))</f>
        <v>-2639.360103</v>
      </c>
      <c r="AR273">
        <f ca="1">IF(AND(ISNUMBER($AR$776),$B$511=1),$AR$776,HLOOKUP(INDIRECT(ADDRESS(2,COLUMN())),OFFSET($BN$2,0,0,ROW()-1,60),ROW()-1,FALSE))</f>
        <v>-2919.000892</v>
      </c>
      <c r="AS273">
        <f ca="1">IF(AND(ISNUMBER($AS$776),$B$511=1),$AS$776,HLOOKUP(INDIRECT(ADDRESS(2,COLUMN())),OFFSET($BN$2,0,0,ROW()-1,60),ROW()-1,FALSE))</f>
        <v>-2548.5049829999998</v>
      </c>
      <c r="AT273">
        <f ca="1">IF(AND(ISNUMBER($AT$776),$B$511=1),$AT$776,HLOOKUP(INDIRECT(ADDRESS(2,COLUMN())),OFFSET($BN$2,0,0,ROW()-1,60),ROW()-1,FALSE))</f>
        <v>-2256.08455</v>
      </c>
      <c r="AU273">
        <f ca="1">IF(AND(ISNUMBER($AU$776),$B$511=1),$AU$776,HLOOKUP(INDIRECT(ADDRESS(2,COLUMN())),OFFSET($BN$2,0,0,ROW()-1,60),ROW()-1,FALSE))</f>
        <v>-2117.0943940000002</v>
      </c>
      <c r="AV273">
        <f ca="1">IF(AND(ISNUMBER($AV$776),$B$511=1),$AV$776,HLOOKUP(INDIRECT(ADDRESS(2,COLUMN())),OFFSET($BN$2,0,0,ROW()-1,60),ROW()-1,FALSE))</f>
        <v>-1319.954798</v>
      </c>
      <c r="AW273">
        <f ca="1">IF(AND(ISNUMBER($AW$776),$B$511=1),$AW$776,HLOOKUP(INDIRECT(ADDRESS(2,COLUMN())),OFFSET($BN$2,0,0,ROW()-1,60),ROW()-1,FALSE))</f>
        <v>-1232.9127040000001</v>
      </c>
      <c r="AX273">
        <f ca="1">IF(AND(ISNUMBER($AX$776),$B$511=1),$AX$776,HLOOKUP(INDIRECT(ADDRESS(2,COLUMN())),OFFSET($BN$2,0,0,ROW()-1,60),ROW()-1,FALSE))</f>
        <v>-1203.5349490000001</v>
      </c>
      <c r="AY273">
        <f ca="1">IF(AND(ISNUMBER($AY$776),$B$511=1),$AY$776,HLOOKUP(INDIRECT(ADDRESS(2,COLUMN())),OFFSET($BN$2,0,0,ROW()-1,60),ROW()-1,FALSE))</f>
        <v>-1032.981483</v>
      </c>
      <c r="AZ273">
        <f ca="1">IF(AND(ISNUMBER($AZ$776),$B$511=1),$AZ$776,HLOOKUP(INDIRECT(ADDRESS(2,COLUMN())),OFFSET($BN$2,0,0,ROW()-1,60),ROW()-1,FALSE))</f>
        <v>-1066.1149829999999</v>
      </c>
      <c r="BA273">
        <f ca="1">IF(AND(ISNUMBER($BA$776),$B$511=1),$BA$776,HLOOKUP(INDIRECT(ADDRESS(2,COLUMN())),OFFSET($BN$2,0,0,ROW()-1,60),ROW()-1,FALSE))</f>
        <v>-1197.4363129999999</v>
      </c>
      <c r="BB273">
        <f ca="1">IF(AND(ISNUMBER($BB$776),$B$511=1),$BB$776,HLOOKUP(INDIRECT(ADDRESS(2,COLUMN())),OFFSET($BN$2,0,0,ROW()-1,60),ROW()-1,FALSE))</f>
        <v>-1243.4560759999999</v>
      </c>
      <c r="BC273">
        <f ca="1">IF(AND(ISNUMBER($BC$776),$B$511=1),$BC$776,HLOOKUP(INDIRECT(ADDRESS(2,COLUMN())),OFFSET($BN$2,0,0,ROW()-1,60),ROW()-1,FALSE))</f>
        <v>-1490.812899</v>
      </c>
      <c r="BD273">
        <f ca="1">IF(AND(ISNUMBER($BD$776),$B$511=1),$BD$776,HLOOKUP(INDIRECT(ADDRESS(2,COLUMN())),OFFSET($BN$2,0,0,ROW()-1,60),ROW()-1,FALSE))</f>
        <v>-1603.8722250000001</v>
      </c>
      <c r="BE273">
        <f ca="1">IF(AND(ISNUMBER($BE$776),$B$511=1),$BE$776,HLOOKUP(INDIRECT(ADDRESS(2,COLUMN())),OFFSET($BN$2,0,0,ROW()-1,60),ROW()-1,FALSE))</f>
        <v>-1685.708046</v>
      </c>
      <c r="BF273">
        <f ca="1">IF(AND(ISNUMBER($BF$776),$B$511=1),$BF$776,HLOOKUP(INDIRECT(ADDRESS(2,COLUMN())),OFFSET($BN$2,0,0,ROW()-1,60),ROW()-1,FALSE))</f>
        <v>-1480.1276600000001</v>
      </c>
      <c r="BG273">
        <f ca="1">IF(AND(ISNUMBER($BG$776),$B$511=1),$BG$776,HLOOKUP(INDIRECT(ADDRESS(2,COLUMN())),OFFSET($BN$2,0,0,ROW()-1,60),ROW()-1,FALSE))</f>
        <v>-2247.037382</v>
      </c>
      <c r="BH273">
        <f ca="1">IF(AND(ISNUMBER($BH$776),$B$511=1),$BH$776,HLOOKUP(INDIRECT(ADDRESS(2,COLUMN())),OFFSET($BN$2,0,0,ROW()-1,60),ROW()-1,FALSE))</f>
        <v>-2271.8034520000001</v>
      </c>
      <c r="BI273">
        <f ca="1">IF(AND(ISNUMBER($BI$776),$B$511=1),$BI$776,HLOOKUP(INDIRECT(ADDRESS(2,COLUMN())),OFFSET($BN$2,0,0,ROW()-1,60),ROW()-1,FALSE))</f>
        <v>2719.9405029999998</v>
      </c>
      <c r="BJ273">
        <f ca="1">IF(AND(ISNUMBER($BJ$776),$B$511=1),$BJ$776,HLOOKUP(INDIRECT(ADDRESS(2,COLUMN())),OFFSET($BN$2,0,0,ROW()-1,60),ROW()-1,FALSE))</f>
        <v>-1878.8339550000001</v>
      </c>
      <c r="BK273">
        <f ca="1">IF(AND(ISNUMBER($BK$776),$B$511=1),$BK$776,HLOOKUP(INDIRECT(ADDRESS(2,COLUMN())),OFFSET($BN$2,0,0,ROW()-1,60),ROW()-1,FALSE))</f>
        <v>2826.9924890000002</v>
      </c>
      <c r="BL273">
        <f ca="1">IF(AND(ISNUMBER($BL$776),$B$511=1),$BL$776,HLOOKUP(INDIRECT(ADDRESS(2,COLUMN())),OFFSET($BN$2,0,0,ROW()-1,60),ROW()-1,FALSE))</f>
        <v>-456.54507410000002</v>
      </c>
      <c r="BM273">
        <f ca="1">IF(AND(ISNUMBER($BM$776),$B$511=1),$BM$776,HLOOKUP(INDIRECT(ADDRESS(2,COLUMN())),OFFSET($BN$2,0,0,ROW()-1,60),ROW()-1,FALSE))</f>
        <v>2408.0277959999999</v>
      </c>
      <c r="BN273" t="str">
        <f>""</f>
        <v/>
      </c>
      <c r="BO273">
        <f>7364.599672</f>
        <v>7364.5996720000003</v>
      </c>
      <c r="BP273">
        <f>7177.709251</f>
        <v>7177.7092510000002</v>
      </c>
      <c r="BQ273">
        <f>7066.212313</f>
        <v>7066.212313</v>
      </c>
      <c r="BR273">
        <f>7353.370363</f>
        <v>7353.370363</v>
      </c>
      <c r="BS273">
        <f>6678.83283</f>
        <v>6678.8328300000003</v>
      </c>
      <c r="BT273">
        <f>6523.832357</f>
        <v>6523.8323570000002</v>
      </c>
      <c r="BU273">
        <f>6267.191811</f>
        <v>6267.1918109999997</v>
      </c>
      <c r="BV273">
        <f>6202.991645</f>
        <v>6202.9916450000001</v>
      </c>
      <c r="BW273">
        <f>5800.788752</f>
        <v>5800.7887520000004</v>
      </c>
      <c r="BX273">
        <f>4051.562654</f>
        <v>4051.5626539999998</v>
      </c>
      <c r="BY273">
        <f>4930.564977</f>
        <v>4930.564977</v>
      </c>
      <c r="BZ273">
        <f>5965.76</f>
        <v>5965.76</v>
      </c>
      <c r="CA273">
        <f>5766.763727</f>
        <v>5766.7637269999996</v>
      </c>
      <c r="CB273">
        <f>5643.619955</f>
        <v>5643.6199550000001</v>
      </c>
      <c r="CC273">
        <f>5494.603669</f>
        <v>5494.6036690000001</v>
      </c>
      <c r="CD273">
        <f>5491.062943</f>
        <v>5491.0629429999999</v>
      </c>
      <c r="CE273">
        <f>5409.012016</f>
        <v>5409.0120159999997</v>
      </c>
      <c r="CF273">
        <f>5422.505927</f>
        <v>5422.5059270000002</v>
      </c>
      <c r="CG273">
        <f>5386.020338</f>
        <v>5386.0203380000003</v>
      </c>
      <c r="CH273">
        <f>5244.319395</f>
        <v>5244.3193950000004</v>
      </c>
      <c r="CI273">
        <f>521.9741592</f>
        <v>521.97415920000003</v>
      </c>
      <c r="CJ273">
        <f>52.79503106</f>
        <v>52.795031059999999</v>
      </c>
      <c r="CK273">
        <f>-283.7007953</f>
        <v>-283.70079529999998</v>
      </c>
      <c r="CL273">
        <f>-581.6493314</f>
        <v>-581.64933140000005</v>
      </c>
      <c r="CM273">
        <f>-1317.328562</f>
        <v>-1317.3285619999999</v>
      </c>
      <c r="CN273">
        <f>-2077.810575</f>
        <v>-2077.810575</v>
      </c>
      <c r="CO273">
        <f>-2361.453634</f>
        <v>-2361.453634</v>
      </c>
      <c r="CP273">
        <f>-2185.634757</f>
        <v>-2185.6347569999998</v>
      </c>
      <c r="CQ273">
        <f>-2759.293415</f>
        <v>-2759.2934150000001</v>
      </c>
      <c r="CR273">
        <f>-2782.771584</f>
        <v>-2782.7715840000001</v>
      </c>
      <c r="CS273">
        <f>-2481.78997</f>
        <v>-2481.7899699999998</v>
      </c>
      <c r="CT273">
        <f>-2393.166727</f>
        <v>-2393.1667269999998</v>
      </c>
      <c r="CU273">
        <f>-2778.753541</f>
        <v>-2778.753541</v>
      </c>
      <c r="CV273">
        <f>-2701.94105</f>
        <v>-2701.9410499999999</v>
      </c>
      <c r="CW273">
        <f>-2679.577783</f>
        <v>-2679.5777830000002</v>
      </c>
      <c r="CX273">
        <f>-2283.90411</f>
        <v>-2283.9041099999999</v>
      </c>
      <c r="CY273">
        <f>-2639.360103</f>
        <v>-2639.360103</v>
      </c>
      <c r="CZ273">
        <f>-2919.000892</f>
        <v>-2919.000892</v>
      </c>
      <c r="DA273">
        <f>-2548.504983</f>
        <v>-2548.5049829999998</v>
      </c>
      <c r="DB273">
        <f>-2256.08455</f>
        <v>-2256.08455</v>
      </c>
      <c r="DC273">
        <f>-2117.094394</f>
        <v>-2117.0943940000002</v>
      </c>
      <c r="DD273">
        <f>-1319.954798</f>
        <v>-1319.954798</v>
      </c>
      <c r="DE273">
        <f>-1232.912704</f>
        <v>-1232.9127040000001</v>
      </c>
      <c r="DF273">
        <f>-1203.534949</f>
        <v>-1203.5349490000001</v>
      </c>
      <c r="DG273">
        <f>-1032.981483</f>
        <v>-1032.981483</v>
      </c>
      <c r="DH273">
        <f>-1066.114983</f>
        <v>-1066.1149829999999</v>
      </c>
      <c r="DI273">
        <f>-1197.436313</f>
        <v>-1197.4363129999999</v>
      </c>
      <c r="DJ273">
        <f>-1243.456076</f>
        <v>-1243.4560759999999</v>
      </c>
      <c r="DK273">
        <f>-1490.812899</f>
        <v>-1490.812899</v>
      </c>
      <c r="DL273">
        <f>-1603.872225</f>
        <v>-1603.8722250000001</v>
      </c>
      <c r="DM273">
        <f>-1685.708046</f>
        <v>-1685.708046</v>
      </c>
      <c r="DN273">
        <f>-1480.12766</f>
        <v>-1480.1276600000001</v>
      </c>
      <c r="DO273">
        <f>-2247.037382</f>
        <v>-2247.037382</v>
      </c>
      <c r="DP273">
        <f>-2271.803452</f>
        <v>-2271.8034520000001</v>
      </c>
      <c r="DQ273">
        <f>2719.940503</f>
        <v>2719.9405029999998</v>
      </c>
      <c r="DR273">
        <f>-1878.833955</f>
        <v>-1878.8339550000001</v>
      </c>
      <c r="DS273">
        <f>2826.992489</f>
        <v>2826.9924890000002</v>
      </c>
      <c r="DT273">
        <f>-456.5450741</f>
        <v>-456.54507410000002</v>
      </c>
      <c r="DU273">
        <f>2408.027796</f>
        <v>2408.0277959999999</v>
      </c>
    </row>
    <row r="274" spans="1:125" x14ac:dyDescent="0.25">
      <c r="A274" t="str">
        <f>"    Nissan Motor Co Ltd"</f>
        <v xml:space="preserve">    Nissan Motor Co Ltd</v>
      </c>
      <c r="B274" t="str">
        <f>"7201 JP Equity"</f>
        <v>7201 JP Equity</v>
      </c>
      <c r="C274" t="str">
        <f t="shared" si="18"/>
        <v>RR010</v>
      </c>
      <c r="D274" t="str">
        <f t="shared" si="19"/>
        <v>TOT_COMMON_EQY</v>
      </c>
      <c r="E274" t="str">
        <f t="shared" si="20"/>
        <v>Dynamic</v>
      </c>
      <c r="F274" t="str">
        <f ca="1">IF(AND(ISNUMBER($F$777),$B$511=1),$F$777,HLOOKUP(INDIRECT(ADDRESS(2,COLUMN())),OFFSET($BN$2,0,0,ROW()-1,60),ROW()-1,FALSE))</f>
        <v/>
      </c>
      <c r="G274">
        <f ca="1">IF(AND(ISNUMBER($G$777),$B$511=1),$G$777,HLOOKUP(INDIRECT(ADDRESS(2,COLUMN())),OFFSET($BN$2,0,0,ROW()-1,60),ROW()-1,FALSE))</f>
        <v>48681.925949999997</v>
      </c>
      <c r="H274">
        <f ca="1">IF(AND(ISNUMBER($H$777),$B$511=1),$H$777,HLOOKUP(INDIRECT(ADDRESS(2,COLUMN())),OFFSET($BN$2,0,0,ROW()-1,60),ROW()-1,FALSE))</f>
        <v>48260.167399999998</v>
      </c>
      <c r="I274">
        <f ca="1">IF(AND(ISNUMBER($I$777),$B$511=1),$I$777,HLOOKUP(INDIRECT(ADDRESS(2,COLUMN())),OFFSET($BN$2,0,0,ROW()-1,60),ROW()-1,FALSE))</f>
        <v>47873.966419999997</v>
      </c>
      <c r="J274">
        <f ca="1">IF(AND(ISNUMBER($J$777),$B$511=1),$J$777,HLOOKUP(INDIRECT(ADDRESS(2,COLUMN())),OFFSET($BN$2,0,0,ROW()-1,60),ROW()-1,FALSE))</f>
        <v>50694.982109999997</v>
      </c>
      <c r="K274">
        <f ca="1">IF(AND(ISNUMBER($K$777),$B$511=1),$K$777,HLOOKUP(INDIRECT(ADDRESS(2,COLUMN())),OFFSET($BN$2,0,0,ROW()-1,60),ROW()-1,FALSE))</f>
        <v>47184.082430000002</v>
      </c>
      <c r="L274">
        <f ca="1">IF(AND(ISNUMBER($L$777),$B$511=1),$L$777,HLOOKUP(INDIRECT(ADDRESS(2,COLUMN())),OFFSET($BN$2,0,0,ROW()-1,60),ROW()-1,FALSE))</f>
        <v>45173.423900000002</v>
      </c>
      <c r="M274">
        <f ca="1">IF(AND(ISNUMBER($M$777),$B$511=1),$M$777,HLOOKUP(INDIRECT(ADDRESS(2,COLUMN())),OFFSET($BN$2,0,0,ROW()-1,60),ROW()-1,FALSE))</f>
        <v>43500.987979999998</v>
      </c>
      <c r="N274">
        <f ca="1">IF(AND(ISNUMBER($N$777),$B$511=1),$N$777,HLOOKUP(INDIRECT(ADDRESS(2,COLUMN())),OFFSET($BN$2,0,0,ROW()-1,60),ROW()-1,FALSE))</f>
        <v>43681.951309999997</v>
      </c>
      <c r="O274">
        <f ca="1">IF(AND(ISNUMBER($O$777),$B$511=1),$O$777,HLOOKUP(INDIRECT(ADDRESS(2,COLUMN())),OFFSET($BN$2,0,0,ROW()-1,60),ROW()-1,FALSE))</f>
        <v>38400.660150000003</v>
      </c>
      <c r="P274">
        <f ca="1">IF(AND(ISNUMBER($P$777),$B$511=1),$P$777,HLOOKUP(INDIRECT(ADDRESS(2,COLUMN())),OFFSET($BN$2,0,0,ROW()-1,60),ROW()-1,FALSE))</f>
        <v>41661.372380000001</v>
      </c>
      <c r="Q274">
        <f ca="1">IF(AND(ISNUMBER($Q$777),$B$511=1),$Q$777,HLOOKUP(INDIRECT(ADDRESS(2,COLUMN())),OFFSET($BN$2,0,0,ROW()-1,60),ROW()-1,FALSE))</f>
        <v>42519.779049999997</v>
      </c>
      <c r="R274">
        <f ca="1">IF(AND(ISNUMBER($R$777),$B$511=1),$R$777,HLOOKUP(INDIRECT(ADDRESS(2,COLUMN())),OFFSET($BN$2,0,0,ROW()-1,60),ROW()-1,FALSE))</f>
        <v>41971.262219999997</v>
      </c>
      <c r="S274">
        <f ca="1">IF(AND(ISNUMBER($S$777),$B$511=1),$S$777,HLOOKUP(INDIRECT(ADDRESS(2,COLUMN())),OFFSET($BN$2,0,0,ROW()-1,60),ROW()-1,FALSE))</f>
        <v>41056.01498</v>
      </c>
      <c r="T274">
        <f ca="1">IF(AND(ISNUMBER($T$777),$B$511=1),$T$777,HLOOKUP(INDIRECT(ADDRESS(2,COLUMN())),OFFSET($BN$2,0,0,ROW()-1,60),ROW()-1,FALSE))</f>
        <v>41211.197460000003</v>
      </c>
      <c r="U274">
        <f ca="1">IF(AND(ISNUMBER($U$777),$B$511=1),$U$777,HLOOKUP(INDIRECT(ADDRESS(2,COLUMN())),OFFSET($BN$2,0,0,ROW()-1,60),ROW()-1,FALSE))</f>
        <v>40394.095970000002</v>
      </c>
      <c r="V274">
        <f ca="1">IF(AND(ISNUMBER($V$777),$B$511=1),$V$777,HLOOKUP(INDIRECT(ADDRESS(2,COLUMN())),OFFSET($BN$2,0,0,ROW()-1,60),ROW()-1,FALSE))</f>
        <v>40322.717799999999</v>
      </c>
      <c r="W274">
        <f ca="1">IF(AND(ISNUMBER($W$777),$B$511=1),$W$777,HLOOKUP(INDIRECT(ADDRESS(2,COLUMN())),OFFSET($BN$2,0,0,ROW()-1,60),ROW()-1,FALSE))</f>
        <v>39300.050069999998</v>
      </c>
      <c r="X274">
        <f ca="1">IF(AND(ISNUMBER($X$777),$B$511=1),$X$777,HLOOKUP(INDIRECT(ADDRESS(2,COLUMN())),OFFSET($BN$2,0,0,ROW()-1,60),ROW()-1,FALSE))</f>
        <v>41078.54277</v>
      </c>
      <c r="Y274">
        <f ca="1">IF(AND(ISNUMBER($Y$777),$B$511=1),$Y$777,HLOOKUP(INDIRECT(ADDRESS(2,COLUMN())),OFFSET($BN$2,0,0,ROW()-1,60),ROW()-1,FALSE))</f>
        <v>42302.448420000001</v>
      </c>
      <c r="Z274">
        <f ca="1">IF(AND(ISNUMBER($Z$777),$B$511=1),$Z$777,HLOOKUP(INDIRECT(ADDRESS(2,COLUMN())),OFFSET($BN$2,0,0,ROW()-1,60),ROW()-1,FALSE))</f>
        <v>42117.54148</v>
      </c>
      <c r="AA274">
        <f ca="1">IF(AND(ISNUMBER($AA$777),$B$511=1),$AA$777,HLOOKUP(INDIRECT(ADDRESS(2,COLUMN())),OFFSET($BN$2,0,0,ROW()-1,60),ROW()-1,FALSE))</f>
        <v>40104.227630000001</v>
      </c>
      <c r="AB274">
        <f ca="1">IF(AND(ISNUMBER($AB$777),$B$511=1),$AB$777,HLOOKUP(INDIRECT(ADDRESS(2,COLUMN())),OFFSET($BN$2,0,0,ROW()-1,60),ROW()-1,FALSE))</f>
        <v>41177.833209999997</v>
      </c>
      <c r="AC274">
        <f ca="1">IF(AND(ISNUMBER($AC$777),$B$511=1),$AC$777,HLOOKUP(INDIRECT(ADDRESS(2,COLUMN())),OFFSET($BN$2,0,0,ROW()-1,60),ROW()-1,FALSE))</f>
        <v>39083.388700000003</v>
      </c>
      <c r="AD274">
        <f ca="1">IF(AND(ISNUMBER($AD$777),$B$511=1),$AD$777,HLOOKUP(INDIRECT(ADDRESS(2,COLUMN())),OFFSET($BN$2,0,0,ROW()-1,60),ROW()-1,FALSE))</f>
        <v>39633.443010000003</v>
      </c>
      <c r="AE274">
        <f ca="1">IF(AND(ISNUMBER($AE$777),$B$511=1),$AE$777,HLOOKUP(INDIRECT(ADDRESS(2,COLUMN())),OFFSET($BN$2,0,0,ROW()-1,60),ROW()-1,FALSE))</f>
        <v>38882.244290000002</v>
      </c>
      <c r="AF274">
        <f ca="1">IF(AND(ISNUMBER($AF$777),$B$511=1),$AF$777,HLOOKUP(INDIRECT(ADDRESS(2,COLUMN())),OFFSET($BN$2,0,0,ROW()-1,60),ROW()-1,FALSE))</f>
        <v>40655.749490000002</v>
      </c>
      <c r="AG274">
        <f ca="1">IF(AND(ISNUMBER($AG$777),$B$511=1),$AG$777,HLOOKUP(INDIRECT(ADDRESS(2,COLUMN())),OFFSET($BN$2,0,0,ROW()-1,60),ROW()-1,FALSE))</f>
        <v>38753.909769999998</v>
      </c>
      <c r="AH274">
        <f ca="1">IF(AND(ISNUMBER($AH$777),$B$511=1),$AH$777,HLOOKUP(INDIRECT(ADDRESS(2,COLUMN())),OFFSET($BN$2,0,0,ROW()-1,60),ROW()-1,FALSE))</f>
        <v>38111.025049999997</v>
      </c>
      <c r="AI274">
        <f ca="1">IF(AND(ISNUMBER($AI$777),$B$511=1),$AI$777,HLOOKUP(INDIRECT(ADDRESS(2,COLUMN())),OFFSET($BN$2,0,0,ROW()-1,60),ROW()-1,FALSE))</f>
        <v>37790.284449999999</v>
      </c>
      <c r="AJ274">
        <f ca="1">IF(AND(ISNUMBER($AJ$777),$B$511=1),$AJ$777,HLOOKUP(INDIRECT(ADDRESS(2,COLUMN())),OFFSET($BN$2,0,0,ROW()-1,60),ROW()-1,FALSE))</f>
        <v>37717.448790000002</v>
      </c>
      <c r="AK274">
        <f ca="1">IF(AND(ISNUMBER($AK$777),$B$511=1),$AK$777,HLOOKUP(INDIRECT(ADDRESS(2,COLUMN())),OFFSET($BN$2,0,0,ROW()-1,60),ROW()-1,FALSE))</f>
        <v>37231.740319999997</v>
      </c>
      <c r="AL274">
        <f ca="1">IF(AND(ISNUMBER($AL$777),$B$511=1),$AL$777,HLOOKUP(INDIRECT(ADDRESS(2,COLUMN())),OFFSET($BN$2,0,0,ROW()-1,60),ROW()-1,FALSE))</f>
        <v>35540.625379999998</v>
      </c>
      <c r="AM274">
        <f ca="1">IF(AND(ISNUMBER($AM$777),$B$511=1),$AM$777,HLOOKUP(INDIRECT(ADDRESS(2,COLUMN())),OFFSET($BN$2,0,0,ROW()-1,60),ROW()-1,FALSE))</f>
        <v>35199.692080000001</v>
      </c>
      <c r="AN274">
        <f ca="1">IF(AND(ISNUMBER($AN$777),$B$511=1),$AN$777,HLOOKUP(INDIRECT(ADDRESS(2,COLUMN())),OFFSET($BN$2,0,0,ROW()-1,60),ROW()-1,FALSE))</f>
        <v>33959.166069999999</v>
      </c>
      <c r="AO274">
        <f ca="1">IF(AND(ISNUMBER($AO$777),$B$511=1),$AO$777,HLOOKUP(INDIRECT(ADDRESS(2,COLUMN())),OFFSET($BN$2,0,0,ROW()-1,60),ROW()-1,FALSE))</f>
        <v>31447.358319999999</v>
      </c>
      <c r="AP274">
        <f ca="1">IF(AND(ISNUMBER($AP$777),$B$511=1),$AP$777,HLOOKUP(INDIRECT(ADDRESS(2,COLUMN())),OFFSET($BN$2,0,0,ROW()-1,60),ROW()-1,FALSE))</f>
        <v>28999.76455</v>
      </c>
      <c r="AQ274">
        <f ca="1">IF(AND(ISNUMBER($AQ$777),$B$511=1),$AQ$777,HLOOKUP(INDIRECT(ADDRESS(2,COLUMN())),OFFSET($BN$2,0,0,ROW()-1,60),ROW()-1,FALSE))</f>
        <v>28887.5671</v>
      </c>
      <c r="AR274">
        <f ca="1">IF(AND(ISNUMBER($AR$777),$B$511=1),$AR$777,HLOOKUP(INDIRECT(ADDRESS(2,COLUMN())),OFFSET($BN$2,0,0,ROW()-1,60),ROW()-1,FALSE))</f>
        <v>29041.057089999998</v>
      </c>
      <c r="AS274">
        <f ca="1">IF(AND(ISNUMBER($AS$777),$B$511=1),$AS$777,HLOOKUP(INDIRECT(ADDRESS(2,COLUMN())),OFFSET($BN$2,0,0,ROW()-1,60),ROW()-1,FALSE))</f>
        <v>27797.53945</v>
      </c>
      <c r="AT274">
        <f ca="1">IF(AND(ISNUMBER($AT$777),$B$511=1),$AT$777,HLOOKUP(INDIRECT(ADDRESS(2,COLUMN())),OFFSET($BN$2,0,0,ROW()-1,60),ROW()-1,FALSE))</f>
        <v>26449.13941</v>
      </c>
      <c r="AU274">
        <f ca="1">IF(AND(ISNUMBER($AU$777),$B$511=1),$AU$777,HLOOKUP(INDIRECT(ADDRESS(2,COLUMN())),OFFSET($BN$2,0,0,ROW()-1,60),ROW()-1,FALSE))</f>
        <v>32066.758450000001</v>
      </c>
      <c r="AV274">
        <f ca="1">IF(AND(ISNUMBER($AV$777),$B$511=1),$AV$777,HLOOKUP(INDIRECT(ADDRESS(2,COLUMN())),OFFSET($BN$2,0,0,ROW()-1,60),ROW()-1,FALSE))</f>
        <v>33128.345419999998</v>
      </c>
      <c r="AW274">
        <f ca="1">IF(AND(ISNUMBER($AW$777),$B$511=1),$AW$777,HLOOKUP(INDIRECT(ADDRESS(2,COLUMN())),OFFSET($BN$2,0,0,ROW()-1,60),ROW()-1,FALSE))</f>
        <v>33745.776440000001</v>
      </c>
      <c r="AX274">
        <f ca="1">IF(AND(ISNUMBER($AX$777),$B$511=1),$AX$777,HLOOKUP(INDIRECT(ADDRESS(2,COLUMN())),OFFSET($BN$2,0,0,ROW()-1,60),ROW()-1,FALSE))</f>
        <v>35115.942320000002</v>
      </c>
      <c r="AY274">
        <f ca="1">IF(AND(ISNUMBER($AY$777),$B$511=1),$AY$777,HLOOKUP(INDIRECT(ADDRESS(2,COLUMN())),OFFSET($BN$2,0,0,ROW()-1,60),ROW()-1,FALSE))</f>
        <v>33215.511229999996</v>
      </c>
      <c r="AZ274">
        <f ca="1">IF(AND(ISNUMBER($AZ$777),$B$511=1),$AZ$777,HLOOKUP(INDIRECT(ADDRESS(2,COLUMN())),OFFSET($BN$2,0,0,ROW()-1,60),ROW()-1,FALSE))</f>
        <v>32229.146339999999</v>
      </c>
      <c r="BA274">
        <f ca="1">IF(AND(ISNUMBER($BA$777),$B$511=1),$BA$777,HLOOKUP(INDIRECT(ADDRESS(2,COLUMN())),OFFSET($BN$2,0,0,ROW()-1,60),ROW()-1,FALSE))</f>
        <v>30127.46227</v>
      </c>
      <c r="BB274">
        <f ca="1">IF(AND(ISNUMBER($BB$777),$B$511=1),$BB$777,HLOOKUP(INDIRECT(ADDRESS(2,COLUMN())),OFFSET($BN$2,0,0,ROW()-1,60),ROW()-1,FALSE))</f>
        <v>30172.191510000001</v>
      </c>
      <c r="BC274">
        <f ca="1">IF(AND(ISNUMBER($BC$777),$B$511=1),$BC$777,HLOOKUP(INDIRECT(ADDRESS(2,COLUMN())),OFFSET($BN$2,0,0,ROW()-1,60),ROW()-1,FALSE))</f>
        <v>28800.386289999999</v>
      </c>
      <c r="BD274">
        <f ca="1">IF(AND(ISNUMBER($BD$777),$B$511=1),$BD$777,HLOOKUP(INDIRECT(ADDRESS(2,COLUMN())),OFFSET($BN$2,0,0,ROW()-1,60),ROW()-1,FALSE))</f>
        <v>28141.738689999998</v>
      </c>
      <c r="BE274">
        <f ca="1">IF(AND(ISNUMBER($BE$777),$B$511=1),$BE$777,HLOOKUP(INDIRECT(ADDRESS(2,COLUMN())),OFFSET($BN$2,0,0,ROW()-1,60),ROW()-1,FALSE))</f>
        <v>27405.468680000002</v>
      </c>
      <c r="BF274">
        <f ca="1">IF(AND(ISNUMBER($BF$777),$B$511=1),$BF$777,HLOOKUP(INDIRECT(ADDRESS(2,COLUMN())),OFFSET($BN$2,0,0,ROW()-1,60),ROW()-1,FALSE))</f>
        <v>26280.70638</v>
      </c>
      <c r="BG274">
        <f ca="1">IF(AND(ISNUMBER($BG$777),$B$511=1),$BG$777,HLOOKUP(INDIRECT(ADDRESS(2,COLUMN())),OFFSET($BN$2,0,0,ROW()-1,60),ROW()-1,FALSE))</f>
        <v>24427.66805</v>
      </c>
      <c r="BH274">
        <f ca="1">IF(AND(ISNUMBER($BH$777),$B$511=1),$BH$777,HLOOKUP(INDIRECT(ADDRESS(2,COLUMN())),OFFSET($BN$2,0,0,ROW()-1,60),ROW()-1,FALSE))</f>
        <v>23889.459320000002</v>
      </c>
      <c r="BI274">
        <f ca="1">IF(AND(ISNUMBER($BI$777),$B$511=1),$BI$777,HLOOKUP(INDIRECT(ADDRESS(2,COLUMN())),OFFSET($BN$2,0,0,ROW()-1,60),ROW()-1,FALSE))</f>
        <v>22963.183990000001</v>
      </c>
      <c r="BJ274">
        <f ca="1">IF(AND(ISNUMBER($BJ$777),$B$511=1),$BJ$777,HLOOKUP(INDIRECT(ADDRESS(2,COLUMN())),OFFSET($BN$2,0,0,ROW()-1,60),ROW()-1,FALSE))</f>
        <v>23001.399249999999</v>
      </c>
      <c r="BK274">
        <f ca="1">IF(AND(ISNUMBER($BK$777),$B$511=1),$BK$777,HLOOKUP(INDIRECT(ADDRESS(2,COLUMN())),OFFSET($BN$2,0,0,ROW()-1,60),ROW()-1,FALSE))</f>
        <v>22309.950250000002</v>
      </c>
      <c r="BL274">
        <f ca="1">IF(AND(ISNUMBER($BL$777),$B$511=1),$BL$777,HLOOKUP(INDIRECT(ADDRESS(2,COLUMN())),OFFSET($BN$2,0,0,ROW()-1,60),ROW()-1,FALSE))</f>
        <v>20528.90021</v>
      </c>
      <c r="BM274">
        <f ca="1">IF(AND(ISNUMBER($BM$777),$B$511=1),$BM$777,HLOOKUP(INDIRECT(ADDRESS(2,COLUMN())),OFFSET($BN$2,0,0,ROW()-1,60),ROW()-1,FALSE))</f>
        <v>19299.698270000001</v>
      </c>
      <c r="BN274" t="str">
        <f>""</f>
        <v/>
      </c>
      <c r="BO274">
        <f>48681.92595</f>
        <v>48681.925949999997</v>
      </c>
      <c r="BP274">
        <f>48260.1674</f>
        <v>48260.167399999998</v>
      </c>
      <c r="BQ274">
        <f>47873.96642</f>
        <v>47873.966419999997</v>
      </c>
      <c r="BR274">
        <f>50694.98211</f>
        <v>50694.982109999997</v>
      </c>
      <c r="BS274">
        <f>47184.08243</f>
        <v>47184.082430000002</v>
      </c>
      <c r="BT274">
        <f>45173.4239</f>
        <v>45173.423900000002</v>
      </c>
      <c r="BU274">
        <f>43500.98798</f>
        <v>43500.987979999998</v>
      </c>
      <c r="BV274">
        <f>43681.95131</f>
        <v>43681.951309999997</v>
      </c>
      <c r="BW274">
        <f>38400.66015</f>
        <v>38400.660150000003</v>
      </c>
      <c r="BX274">
        <f>41661.37238</f>
        <v>41661.372380000001</v>
      </c>
      <c r="BY274">
        <f>42519.77905</f>
        <v>42519.779049999997</v>
      </c>
      <c r="BZ274">
        <f>41971.26222</f>
        <v>41971.262219999997</v>
      </c>
      <c r="CA274">
        <f>41056.01498</f>
        <v>41056.01498</v>
      </c>
      <c r="CB274">
        <f>41211.19746</f>
        <v>41211.197460000003</v>
      </c>
      <c r="CC274">
        <f>40394.09597</f>
        <v>40394.095970000002</v>
      </c>
      <c r="CD274">
        <f>40322.7178</f>
        <v>40322.717799999999</v>
      </c>
      <c r="CE274">
        <f>39300.05007</f>
        <v>39300.050069999998</v>
      </c>
      <c r="CF274">
        <f>41078.54277</f>
        <v>41078.54277</v>
      </c>
      <c r="CG274">
        <f>42302.44842</f>
        <v>42302.448420000001</v>
      </c>
      <c r="CH274">
        <f>42117.54148</f>
        <v>42117.54148</v>
      </c>
      <c r="CI274">
        <f>40104.22763</f>
        <v>40104.227630000001</v>
      </c>
      <c r="CJ274">
        <f>41177.83321</f>
        <v>41177.833209999997</v>
      </c>
      <c r="CK274">
        <f>39083.3887</f>
        <v>39083.388700000003</v>
      </c>
      <c r="CL274">
        <f>39633.44301</f>
        <v>39633.443010000003</v>
      </c>
      <c r="CM274">
        <f>38882.24429</f>
        <v>38882.244290000002</v>
      </c>
      <c r="CN274">
        <f>40655.74949</f>
        <v>40655.749490000002</v>
      </c>
      <c r="CO274">
        <f>38753.90977</f>
        <v>38753.909769999998</v>
      </c>
      <c r="CP274">
        <f>38111.02505</f>
        <v>38111.025049999997</v>
      </c>
      <c r="CQ274">
        <f>37790.28445</f>
        <v>37790.284449999999</v>
      </c>
      <c r="CR274">
        <f>37717.44879</f>
        <v>37717.448790000002</v>
      </c>
      <c r="CS274">
        <f>37231.74032</f>
        <v>37231.740319999997</v>
      </c>
      <c r="CT274">
        <f>35540.62538</f>
        <v>35540.625379999998</v>
      </c>
      <c r="CU274">
        <f>35199.69208</f>
        <v>35199.692080000001</v>
      </c>
      <c r="CV274">
        <f>33959.16607</f>
        <v>33959.166069999999</v>
      </c>
      <c r="CW274">
        <f>31447.35832</f>
        <v>31447.358319999999</v>
      </c>
      <c r="CX274">
        <f>28999.76455</f>
        <v>28999.76455</v>
      </c>
      <c r="CY274">
        <f>28887.5671</f>
        <v>28887.5671</v>
      </c>
      <c r="CZ274">
        <f>29041.05709</f>
        <v>29041.057089999998</v>
      </c>
      <c r="DA274">
        <f>27797.53945</f>
        <v>27797.53945</v>
      </c>
      <c r="DB274">
        <f>26449.13941</f>
        <v>26449.13941</v>
      </c>
      <c r="DC274">
        <f>32066.75845</f>
        <v>32066.758450000001</v>
      </c>
      <c r="DD274">
        <f>33128.34542</f>
        <v>33128.345419999998</v>
      </c>
      <c r="DE274">
        <f>33745.77644</f>
        <v>33745.776440000001</v>
      </c>
      <c r="DF274">
        <f>35115.94232</f>
        <v>35115.942320000002</v>
      </c>
      <c r="DG274">
        <f>33215.51123</f>
        <v>33215.511229999996</v>
      </c>
      <c r="DH274">
        <f>32229.14634</f>
        <v>32229.146339999999</v>
      </c>
      <c r="DI274">
        <f>30127.46227</f>
        <v>30127.46227</v>
      </c>
      <c r="DJ274">
        <f>30172.19151</f>
        <v>30172.191510000001</v>
      </c>
      <c r="DK274">
        <f>28800.38629</f>
        <v>28800.386289999999</v>
      </c>
      <c r="DL274">
        <f>28141.73869</f>
        <v>28141.738689999998</v>
      </c>
      <c r="DM274">
        <f>27405.46868</f>
        <v>27405.468680000002</v>
      </c>
      <c r="DN274">
        <f>26280.70638</f>
        <v>26280.70638</v>
      </c>
      <c r="DO274">
        <f>24427.66805</f>
        <v>24427.66805</v>
      </c>
      <c r="DP274">
        <f>23889.45932</f>
        <v>23889.459320000002</v>
      </c>
      <c r="DQ274">
        <f>22963.18399</f>
        <v>22963.183990000001</v>
      </c>
      <c r="DR274">
        <f>23001.39925</f>
        <v>23001.399249999999</v>
      </c>
      <c r="DS274">
        <f>22309.95025</f>
        <v>22309.950250000002</v>
      </c>
      <c r="DT274">
        <f>20528.90021</f>
        <v>20528.90021</v>
      </c>
      <c r="DU274">
        <f>19299.69827</f>
        <v>19299.698270000001</v>
      </c>
    </row>
    <row r="275" spans="1:125" x14ac:dyDescent="0.25">
      <c r="A275" t="str">
        <f>"    Peugeot SA"</f>
        <v xml:space="preserve">    Peugeot SA</v>
      </c>
      <c r="B275" t="str">
        <f>"UG FP Equity"</f>
        <v>UG FP Equity</v>
      </c>
      <c r="C275" t="str">
        <f t="shared" si="18"/>
        <v>RR010</v>
      </c>
      <c r="D275" t="str">
        <f t="shared" si="19"/>
        <v>TOT_COMMON_EQY</v>
      </c>
      <c r="E275" t="str">
        <f t="shared" si="20"/>
        <v>Dynamic</v>
      </c>
      <c r="F275" t="str">
        <f ca="1">IF(AND(ISNUMBER($F$778),$B$511=1),$F$778,HLOOKUP(INDIRECT(ADDRESS(2,COLUMN())),OFFSET($BN$2,0,0,ROW()-1,60),ROW()-1,FALSE))</f>
        <v/>
      </c>
      <c r="G275" t="str">
        <f ca="1">IF(AND(ISNUMBER($G$778),$B$511=1),$G$778,HLOOKUP(INDIRECT(ADDRESS(2,COLUMN())),OFFSET($BN$2,0,0,ROW()-1,60),ROW()-1,FALSE))</f>
        <v/>
      </c>
      <c r="H275" t="str">
        <f ca="1">IF(AND(ISNUMBER($H$778),$B$511=1),$H$778,HLOOKUP(INDIRECT(ADDRESS(2,COLUMN())),OFFSET($BN$2,0,0,ROW()-1,60),ROW()-1,FALSE))</f>
        <v/>
      </c>
      <c r="I275" t="str">
        <f ca="1">IF(AND(ISNUMBER($I$778),$B$511=1),$I$778,HLOOKUP(INDIRECT(ADDRESS(2,COLUMN())),OFFSET($BN$2,0,0,ROW()-1,60),ROW()-1,FALSE))</f>
        <v/>
      </c>
      <c r="J275" t="str">
        <f ca="1">IF(AND(ISNUMBER($J$778),$B$511=1),$J$778,HLOOKUP(INDIRECT(ADDRESS(2,COLUMN())),OFFSET($BN$2,0,0,ROW()-1,60),ROW()-1,FALSE))</f>
        <v/>
      </c>
      <c r="K275" t="str">
        <f ca="1">IF(AND(ISNUMBER($K$778),$B$511=1),$K$778,HLOOKUP(INDIRECT(ADDRESS(2,COLUMN())),OFFSET($BN$2,0,0,ROW()-1,60),ROW()-1,FALSE))</f>
        <v/>
      </c>
      <c r="L275" t="str">
        <f ca="1">IF(AND(ISNUMBER($L$778),$B$511=1),$L$778,HLOOKUP(INDIRECT(ADDRESS(2,COLUMN())),OFFSET($BN$2,0,0,ROW()-1,60),ROW()-1,FALSE))</f>
        <v/>
      </c>
      <c r="M275" t="str">
        <f ca="1">IF(AND(ISNUMBER($M$778),$B$511=1),$M$778,HLOOKUP(INDIRECT(ADDRESS(2,COLUMN())),OFFSET($BN$2,0,0,ROW()-1,60),ROW()-1,FALSE))</f>
        <v/>
      </c>
      <c r="N275" t="str">
        <f ca="1">IF(AND(ISNUMBER($N$778),$B$511=1),$N$778,HLOOKUP(INDIRECT(ADDRESS(2,COLUMN())),OFFSET($BN$2,0,0,ROW()-1,60),ROW()-1,FALSE))</f>
        <v/>
      </c>
      <c r="O275" t="str">
        <f ca="1">IF(AND(ISNUMBER($O$778),$B$511=1),$O$778,HLOOKUP(INDIRECT(ADDRESS(2,COLUMN())),OFFSET($BN$2,0,0,ROW()-1,60),ROW()-1,FALSE))</f>
        <v/>
      </c>
      <c r="P275" t="str">
        <f ca="1">IF(AND(ISNUMBER($P$778),$B$511=1),$P$778,HLOOKUP(INDIRECT(ADDRESS(2,COLUMN())),OFFSET($BN$2,0,0,ROW()-1,60),ROW()-1,FALSE))</f>
        <v/>
      </c>
      <c r="Q275" t="str">
        <f ca="1">IF(AND(ISNUMBER($Q$778),$B$511=1),$Q$778,HLOOKUP(INDIRECT(ADDRESS(2,COLUMN())),OFFSET($BN$2,0,0,ROW()-1,60),ROW()-1,FALSE))</f>
        <v/>
      </c>
      <c r="R275" t="str">
        <f ca="1">IF(AND(ISNUMBER($R$778),$B$511=1),$R$778,HLOOKUP(INDIRECT(ADDRESS(2,COLUMN())),OFFSET($BN$2,0,0,ROW()-1,60),ROW()-1,FALSE))</f>
        <v/>
      </c>
      <c r="S275" t="str">
        <f ca="1">IF(AND(ISNUMBER($S$778),$B$511=1),$S$778,HLOOKUP(INDIRECT(ADDRESS(2,COLUMN())),OFFSET($BN$2,0,0,ROW()-1,60),ROW()-1,FALSE))</f>
        <v/>
      </c>
      <c r="T275" t="str">
        <f ca="1">IF(AND(ISNUMBER($T$778),$B$511=1),$T$778,HLOOKUP(INDIRECT(ADDRESS(2,COLUMN())),OFFSET($BN$2,0,0,ROW()-1,60),ROW()-1,FALSE))</f>
        <v/>
      </c>
      <c r="U275" t="str">
        <f ca="1">IF(AND(ISNUMBER($U$778),$B$511=1),$U$778,HLOOKUP(INDIRECT(ADDRESS(2,COLUMN())),OFFSET($BN$2,0,0,ROW()-1,60),ROW()-1,FALSE))</f>
        <v/>
      </c>
      <c r="V275" t="str">
        <f ca="1">IF(AND(ISNUMBER($V$778),$B$511=1),$V$778,HLOOKUP(INDIRECT(ADDRESS(2,COLUMN())),OFFSET($BN$2,0,0,ROW()-1,60),ROW()-1,FALSE))</f>
        <v/>
      </c>
      <c r="W275" t="str">
        <f ca="1">IF(AND(ISNUMBER($W$778),$B$511=1),$W$778,HLOOKUP(INDIRECT(ADDRESS(2,COLUMN())),OFFSET($BN$2,0,0,ROW()-1,60),ROW()-1,FALSE))</f>
        <v/>
      </c>
      <c r="X275" t="str">
        <f ca="1">IF(AND(ISNUMBER($X$778),$B$511=1),$X$778,HLOOKUP(INDIRECT(ADDRESS(2,COLUMN())),OFFSET($BN$2,0,0,ROW()-1,60),ROW()-1,FALSE))</f>
        <v/>
      </c>
      <c r="Y275" t="str">
        <f ca="1">IF(AND(ISNUMBER($Y$778),$B$511=1),$Y$778,HLOOKUP(INDIRECT(ADDRESS(2,COLUMN())),OFFSET($BN$2,0,0,ROW()-1,60),ROW()-1,FALSE))</f>
        <v/>
      </c>
      <c r="Z275" t="str">
        <f ca="1">IF(AND(ISNUMBER($Z$778),$B$511=1),$Z$778,HLOOKUP(INDIRECT(ADDRESS(2,COLUMN())),OFFSET($BN$2,0,0,ROW()-1,60),ROW()-1,FALSE))</f>
        <v/>
      </c>
      <c r="AA275" t="str">
        <f ca="1">IF(AND(ISNUMBER($AA$778),$B$511=1),$AA$778,HLOOKUP(INDIRECT(ADDRESS(2,COLUMN())),OFFSET($BN$2,0,0,ROW()-1,60),ROW()-1,FALSE))</f>
        <v/>
      </c>
      <c r="AB275" t="str">
        <f ca="1">IF(AND(ISNUMBER($AB$778),$B$511=1),$AB$778,HLOOKUP(INDIRECT(ADDRESS(2,COLUMN())),OFFSET($BN$2,0,0,ROW()-1,60),ROW()-1,FALSE))</f>
        <v/>
      </c>
      <c r="AC275" t="str">
        <f ca="1">IF(AND(ISNUMBER($AC$778),$B$511=1),$AC$778,HLOOKUP(INDIRECT(ADDRESS(2,COLUMN())),OFFSET($BN$2,0,0,ROW()-1,60),ROW()-1,FALSE))</f>
        <v/>
      </c>
      <c r="AD275" t="str">
        <f ca="1">IF(AND(ISNUMBER($AD$778),$B$511=1),$AD$778,HLOOKUP(INDIRECT(ADDRESS(2,COLUMN())),OFFSET($BN$2,0,0,ROW()-1,60),ROW()-1,FALSE))</f>
        <v/>
      </c>
      <c r="AE275" t="str">
        <f ca="1">IF(AND(ISNUMBER($AE$778),$B$511=1),$AE$778,HLOOKUP(INDIRECT(ADDRESS(2,COLUMN())),OFFSET($BN$2,0,0,ROW()-1,60),ROW()-1,FALSE))</f>
        <v/>
      </c>
      <c r="AF275" t="str">
        <f ca="1">IF(AND(ISNUMBER($AF$778),$B$511=1),$AF$778,HLOOKUP(INDIRECT(ADDRESS(2,COLUMN())),OFFSET($BN$2,0,0,ROW()-1,60),ROW()-1,FALSE))</f>
        <v/>
      </c>
      <c r="AG275" t="str">
        <f ca="1">IF(AND(ISNUMBER($AG$778),$B$511=1),$AG$778,HLOOKUP(INDIRECT(ADDRESS(2,COLUMN())),OFFSET($BN$2,0,0,ROW()-1,60),ROW()-1,FALSE))</f>
        <v/>
      </c>
      <c r="AH275" t="str">
        <f ca="1">IF(AND(ISNUMBER($AH$778),$B$511=1),$AH$778,HLOOKUP(INDIRECT(ADDRESS(2,COLUMN())),OFFSET($BN$2,0,0,ROW()-1,60),ROW()-1,FALSE))</f>
        <v/>
      </c>
      <c r="AI275" t="str">
        <f ca="1">IF(AND(ISNUMBER($AI$778),$B$511=1),$AI$778,HLOOKUP(INDIRECT(ADDRESS(2,COLUMN())),OFFSET($BN$2,0,0,ROW()-1,60),ROW()-1,FALSE))</f>
        <v/>
      </c>
      <c r="AJ275" t="str">
        <f ca="1">IF(AND(ISNUMBER($AJ$778),$B$511=1),$AJ$778,HLOOKUP(INDIRECT(ADDRESS(2,COLUMN())),OFFSET($BN$2,0,0,ROW()-1,60),ROW()-1,FALSE))</f>
        <v/>
      </c>
      <c r="AK275" t="str">
        <f ca="1">IF(AND(ISNUMBER($AK$778),$B$511=1),$AK$778,HLOOKUP(INDIRECT(ADDRESS(2,COLUMN())),OFFSET($BN$2,0,0,ROW()-1,60),ROW()-1,FALSE))</f>
        <v/>
      </c>
      <c r="AL275" t="str">
        <f ca="1">IF(AND(ISNUMBER($AL$778),$B$511=1),$AL$778,HLOOKUP(INDIRECT(ADDRESS(2,COLUMN())),OFFSET($BN$2,0,0,ROW()-1,60),ROW()-1,FALSE))</f>
        <v/>
      </c>
      <c r="AM275" t="str">
        <f ca="1">IF(AND(ISNUMBER($AM$778),$B$511=1),$AM$778,HLOOKUP(INDIRECT(ADDRESS(2,COLUMN())),OFFSET($BN$2,0,0,ROW()-1,60),ROW()-1,FALSE))</f>
        <v/>
      </c>
      <c r="AN275" t="str">
        <f ca="1">IF(AND(ISNUMBER($AN$778),$B$511=1),$AN$778,HLOOKUP(INDIRECT(ADDRESS(2,COLUMN())),OFFSET($BN$2,0,0,ROW()-1,60),ROW()-1,FALSE))</f>
        <v/>
      </c>
      <c r="AO275" t="str">
        <f ca="1">IF(AND(ISNUMBER($AO$778),$B$511=1),$AO$778,HLOOKUP(INDIRECT(ADDRESS(2,COLUMN())),OFFSET($BN$2,0,0,ROW()-1,60),ROW()-1,FALSE))</f>
        <v/>
      </c>
      <c r="AP275" t="str">
        <f ca="1">IF(AND(ISNUMBER($AP$778),$B$511=1),$AP$778,HLOOKUP(INDIRECT(ADDRESS(2,COLUMN())),OFFSET($BN$2,0,0,ROW()-1,60),ROW()-1,FALSE))</f>
        <v/>
      </c>
      <c r="AQ275" t="str">
        <f ca="1">IF(AND(ISNUMBER($AQ$778),$B$511=1),$AQ$778,HLOOKUP(INDIRECT(ADDRESS(2,COLUMN())),OFFSET($BN$2,0,0,ROW()-1,60),ROW()-1,FALSE))</f>
        <v/>
      </c>
      <c r="AR275" t="str">
        <f ca="1">IF(AND(ISNUMBER($AR$778),$B$511=1),$AR$778,HLOOKUP(INDIRECT(ADDRESS(2,COLUMN())),OFFSET($BN$2,0,0,ROW()-1,60),ROW()-1,FALSE))</f>
        <v/>
      </c>
      <c r="AS275" t="str">
        <f ca="1">IF(AND(ISNUMBER($AS$778),$B$511=1),$AS$778,HLOOKUP(INDIRECT(ADDRESS(2,COLUMN())),OFFSET($BN$2,0,0,ROW()-1,60),ROW()-1,FALSE))</f>
        <v/>
      </c>
      <c r="AT275" t="str">
        <f ca="1">IF(AND(ISNUMBER($AT$778),$B$511=1),$AT$778,HLOOKUP(INDIRECT(ADDRESS(2,COLUMN())),OFFSET($BN$2,0,0,ROW()-1,60),ROW()-1,FALSE))</f>
        <v/>
      </c>
      <c r="AU275" t="str">
        <f ca="1">IF(AND(ISNUMBER($AU$778),$B$511=1),$AU$778,HLOOKUP(INDIRECT(ADDRESS(2,COLUMN())),OFFSET($BN$2,0,0,ROW()-1,60),ROW()-1,FALSE))</f>
        <v/>
      </c>
      <c r="AV275" t="str">
        <f ca="1">IF(AND(ISNUMBER($AV$778),$B$511=1),$AV$778,HLOOKUP(INDIRECT(ADDRESS(2,COLUMN())),OFFSET($BN$2,0,0,ROW()-1,60),ROW()-1,FALSE))</f>
        <v/>
      </c>
      <c r="AW275" t="str">
        <f ca="1">IF(AND(ISNUMBER($AW$778),$B$511=1),$AW$778,HLOOKUP(INDIRECT(ADDRESS(2,COLUMN())),OFFSET($BN$2,0,0,ROW()-1,60),ROW()-1,FALSE))</f>
        <v/>
      </c>
      <c r="AX275" t="str">
        <f ca="1">IF(AND(ISNUMBER($AX$778),$B$511=1),$AX$778,HLOOKUP(INDIRECT(ADDRESS(2,COLUMN())),OFFSET($BN$2,0,0,ROW()-1,60),ROW()-1,FALSE))</f>
        <v/>
      </c>
      <c r="AY275" t="str">
        <f ca="1">IF(AND(ISNUMBER($AY$778),$B$511=1),$AY$778,HLOOKUP(INDIRECT(ADDRESS(2,COLUMN())),OFFSET($BN$2,0,0,ROW()-1,60),ROW()-1,FALSE))</f>
        <v/>
      </c>
      <c r="AZ275" t="str">
        <f ca="1">IF(AND(ISNUMBER($AZ$778),$B$511=1),$AZ$778,HLOOKUP(INDIRECT(ADDRESS(2,COLUMN())),OFFSET($BN$2,0,0,ROW()-1,60),ROW()-1,FALSE))</f>
        <v/>
      </c>
      <c r="BA275" t="str">
        <f ca="1">IF(AND(ISNUMBER($BA$778),$B$511=1),$BA$778,HLOOKUP(INDIRECT(ADDRESS(2,COLUMN())),OFFSET($BN$2,0,0,ROW()-1,60),ROW()-1,FALSE))</f>
        <v/>
      </c>
      <c r="BB275" t="str">
        <f ca="1">IF(AND(ISNUMBER($BB$778),$B$511=1),$BB$778,HLOOKUP(INDIRECT(ADDRESS(2,COLUMN())),OFFSET($BN$2,0,0,ROW()-1,60),ROW()-1,FALSE))</f>
        <v/>
      </c>
      <c r="BC275" t="str">
        <f ca="1">IF(AND(ISNUMBER($BC$778),$B$511=1),$BC$778,HLOOKUP(INDIRECT(ADDRESS(2,COLUMN())),OFFSET($BN$2,0,0,ROW()-1,60),ROW()-1,FALSE))</f>
        <v/>
      </c>
      <c r="BD275" t="str">
        <f ca="1">IF(AND(ISNUMBER($BD$778),$B$511=1),$BD$778,HLOOKUP(INDIRECT(ADDRESS(2,COLUMN())),OFFSET($BN$2,0,0,ROW()-1,60),ROW()-1,FALSE))</f>
        <v/>
      </c>
      <c r="BE275" t="str">
        <f ca="1">IF(AND(ISNUMBER($BE$778),$B$511=1),$BE$778,HLOOKUP(INDIRECT(ADDRESS(2,COLUMN())),OFFSET($BN$2,0,0,ROW()-1,60),ROW()-1,FALSE))</f>
        <v/>
      </c>
      <c r="BF275" t="str">
        <f ca="1">IF(AND(ISNUMBER($BF$778),$B$511=1),$BF$778,HLOOKUP(INDIRECT(ADDRESS(2,COLUMN())),OFFSET($BN$2,0,0,ROW()-1,60),ROW()-1,FALSE))</f>
        <v/>
      </c>
      <c r="BG275" t="str">
        <f ca="1">IF(AND(ISNUMBER($BG$778),$B$511=1),$BG$778,HLOOKUP(INDIRECT(ADDRESS(2,COLUMN())),OFFSET($BN$2,0,0,ROW()-1,60),ROW()-1,FALSE))</f>
        <v/>
      </c>
      <c r="BH275" t="str">
        <f ca="1">IF(AND(ISNUMBER($BH$778),$B$511=1),$BH$778,HLOOKUP(INDIRECT(ADDRESS(2,COLUMN())),OFFSET($BN$2,0,0,ROW()-1,60),ROW()-1,FALSE))</f>
        <v/>
      </c>
      <c r="BI275" t="str">
        <f ca="1">IF(AND(ISNUMBER($BI$778),$B$511=1),$BI$778,HLOOKUP(INDIRECT(ADDRESS(2,COLUMN())),OFFSET($BN$2,0,0,ROW()-1,60),ROW()-1,FALSE))</f>
        <v/>
      </c>
      <c r="BJ275" t="str">
        <f ca="1">IF(AND(ISNUMBER($BJ$778),$B$511=1),$BJ$778,HLOOKUP(INDIRECT(ADDRESS(2,COLUMN())),OFFSET($BN$2,0,0,ROW()-1,60),ROW()-1,FALSE))</f>
        <v/>
      </c>
      <c r="BK275" t="str">
        <f ca="1">IF(AND(ISNUMBER($BK$778),$B$511=1),$BK$778,HLOOKUP(INDIRECT(ADDRESS(2,COLUMN())),OFFSET($BN$2,0,0,ROW()-1,60),ROW()-1,FALSE))</f>
        <v/>
      </c>
      <c r="BL275" t="str">
        <f ca="1">IF(AND(ISNUMBER($BL$778),$B$511=1),$BL$778,HLOOKUP(INDIRECT(ADDRESS(2,COLUMN())),OFFSET($BN$2,0,0,ROW()-1,60),ROW()-1,FALSE))</f>
        <v/>
      </c>
      <c r="BM275" t="str">
        <f ca="1">IF(AND(ISNUMBER($BM$778),$B$511=1),$BM$778,HLOOKUP(INDIRECT(ADDRESS(2,COLUMN())),OFFSET($BN$2,0,0,ROW()-1,60),ROW()-1,FALSE))</f>
        <v/>
      </c>
      <c r="BN275" t="str">
        <f>""</f>
        <v/>
      </c>
      <c r="BO275" t="str">
        <f>""</f>
        <v/>
      </c>
      <c r="BP275" t="str">
        <f>""</f>
        <v/>
      </c>
      <c r="BQ275" t="str">
        <f>""</f>
        <v/>
      </c>
      <c r="BR275" t="str">
        <f>""</f>
        <v/>
      </c>
      <c r="BS275" t="str">
        <f>""</f>
        <v/>
      </c>
      <c r="BT275" t="str">
        <f>""</f>
        <v/>
      </c>
      <c r="BU275" t="str">
        <f>""</f>
        <v/>
      </c>
      <c r="BV275" t="str">
        <f>""</f>
        <v/>
      </c>
      <c r="BW275" t="str">
        <f>""</f>
        <v/>
      </c>
      <c r="BX275" t="str">
        <f>""</f>
        <v/>
      </c>
      <c r="BY275" t="str">
        <f>""</f>
        <v/>
      </c>
      <c r="BZ275" t="str">
        <f>""</f>
        <v/>
      </c>
      <c r="CA275" t="str">
        <f>""</f>
        <v/>
      </c>
      <c r="CB275" t="str">
        <f>""</f>
        <v/>
      </c>
      <c r="CC275" t="str">
        <f>""</f>
        <v/>
      </c>
      <c r="CD275" t="str">
        <f>""</f>
        <v/>
      </c>
      <c r="CE275" t="str">
        <f>""</f>
        <v/>
      </c>
      <c r="CF275" t="str">
        <f>""</f>
        <v/>
      </c>
      <c r="CG275" t="str">
        <f>""</f>
        <v/>
      </c>
      <c r="CH275" t="str">
        <f>""</f>
        <v/>
      </c>
      <c r="CI275" t="str">
        <f>""</f>
        <v/>
      </c>
      <c r="CJ275" t="str">
        <f>""</f>
        <v/>
      </c>
      <c r="CK275" t="str">
        <f>""</f>
        <v/>
      </c>
      <c r="CL275" t="str">
        <f>""</f>
        <v/>
      </c>
      <c r="CM275" t="str">
        <f>""</f>
        <v/>
      </c>
      <c r="CN275" t="str">
        <f>""</f>
        <v/>
      </c>
      <c r="CO275" t="str">
        <f>""</f>
        <v/>
      </c>
      <c r="CP275" t="str">
        <f>""</f>
        <v/>
      </c>
      <c r="CQ275" t="str">
        <f>""</f>
        <v/>
      </c>
      <c r="CR275" t="str">
        <f>""</f>
        <v/>
      </c>
      <c r="CS275" t="str">
        <f>""</f>
        <v/>
      </c>
      <c r="CT275" t="str">
        <f>""</f>
        <v/>
      </c>
      <c r="CU275" t="str">
        <f>""</f>
        <v/>
      </c>
      <c r="CV275" t="str">
        <f>""</f>
        <v/>
      </c>
      <c r="CW275" t="str">
        <f>""</f>
        <v/>
      </c>
      <c r="CX275" t="str">
        <f>""</f>
        <v/>
      </c>
      <c r="CY275" t="str">
        <f>""</f>
        <v/>
      </c>
      <c r="CZ275" t="str">
        <f>""</f>
        <v/>
      </c>
      <c r="DA275" t="str">
        <f>""</f>
        <v/>
      </c>
      <c r="DB275" t="str">
        <f>""</f>
        <v/>
      </c>
      <c r="DC275" t="str">
        <f>""</f>
        <v/>
      </c>
      <c r="DD275" t="str">
        <f>""</f>
        <v/>
      </c>
      <c r="DE275" t="str">
        <f>""</f>
        <v/>
      </c>
      <c r="DF275" t="str">
        <f>""</f>
        <v/>
      </c>
      <c r="DG275" t="str">
        <f>""</f>
        <v/>
      </c>
      <c r="DH275" t="str">
        <f>""</f>
        <v/>
      </c>
      <c r="DI275" t="str">
        <f>""</f>
        <v/>
      </c>
      <c r="DJ275" t="str">
        <f>""</f>
        <v/>
      </c>
      <c r="DK275" t="str">
        <f>""</f>
        <v/>
      </c>
      <c r="DL275" t="str">
        <f>""</f>
        <v/>
      </c>
      <c r="DM275" t="str">
        <f>""</f>
        <v/>
      </c>
      <c r="DN275" t="str">
        <f>""</f>
        <v/>
      </c>
      <c r="DO275" t="str">
        <f>""</f>
        <v/>
      </c>
      <c r="DP275" t="str">
        <f>""</f>
        <v/>
      </c>
      <c r="DQ275" t="str">
        <f>""</f>
        <v/>
      </c>
      <c r="DR275" t="str">
        <f>""</f>
        <v/>
      </c>
      <c r="DS275" t="str">
        <f>""</f>
        <v/>
      </c>
      <c r="DT275" t="str">
        <f>""</f>
        <v/>
      </c>
      <c r="DU275" t="str">
        <f>""</f>
        <v/>
      </c>
    </row>
    <row r="276" spans="1:125" x14ac:dyDescent="0.25">
      <c r="A276" t="str">
        <f>"    Renault SA"</f>
        <v xml:space="preserve">    Renault SA</v>
      </c>
      <c r="B276" t="str">
        <f>"RNO FP Equity"</f>
        <v>RNO FP Equity</v>
      </c>
      <c r="C276" t="str">
        <f t="shared" si="18"/>
        <v>RR010</v>
      </c>
      <c r="D276" t="str">
        <f t="shared" si="19"/>
        <v>TOT_COMMON_EQY</v>
      </c>
      <c r="E276" t="str">
        <f t="shared" si="20"/>
        <v>Dynamic</v>
      </c>
      <c r="F276" t="str">
        <f ca="1">IF(AND(ISNUMBER($F$779),$B$511=1),$F$779,HLOOKUP(INDIRECT(ADDRESS(2,COLUMN())),OFFSET($BN$2,0,0,ROW()-1,60),ROW()-1,FALSE))</f>
        <v/>
      </c>
      <c r="G276" t="str">
        <f ca="1">IF(AND(ISNUMBER($G$779),$B$511=1),$G$779,HLOOKUP(INDIRECT(ADDRESS(2,COLUMN())),OFFSET($BN$2,0,0,ROW()-1,60),ROW()-1,FALSE))</f>
        <v/>
      </c>
      <c r="H276" t="str">
        <f ca="1">IF(AND(ISNUMBER($H$779),$B$511=1),$H$779,HLOOKUP(INDIRECT(ADDRESS(2,COLUMN())),OFFSET($BN$2,0,0,ROW()-1,60),ROW()-1,FALSE))</f>
        <v/>
      </c>
      <c r="I276" t="str">
        <f ca="1">IF(AND(ISNUMBER($I$779),$B$511=1),$I$779,HLOOKUP(INDIRECT(ADDRESS(2,COLUMN())),OFFSET($BN$2,0,0,ROW()-1,60),ROW()-1,FALSE))</f>
        <v/>
      </c>
      <c r="J276" t="str">
        <f ca="1">IF(AND(ISNUMBER($J$779),$B$511=1),$J$779,HLOOKUP(INDIRECT(ADDRESS(2,COLUMN())),OFFSET($BN$2,0,0,ROW()-1,60),ROW()-1,FALSE))</f>
        <v/>
      </c>
      <c r="K276" t="str">
        <f ca="1">IF(AND(ISNUMBER($K$779),$B$511=1),$K$779,HLOOKUP(INDIRECT(ADDRESS(2,COLUMN())),OFFSET($BN$2,0,0,ROW()-1,60),ROW()-1,FALSE))</f>
        <v/>
      </c>
      <c r="L276" t="str">
        <f ca="1">IF(AND(ISNUMBER($L$779),$B$511=1),$L$779,HLOOKUP(INDIRECT(ADDRESS(2,COLUMN())),OFFSET($BN$2,0,0,ROW()-1,60),ROW()-1,FALSE))</f>
        <v/>
      </c>
      <c r="M276" t="str">
        <f ca="1">IF(AND(ISNUMBER($M$779),$B$511=1),$M$779,HLOOKUP(INDIRECT(ADDRESS(2,COLUMN())),OFFSET($BN$2,0,0,ROW()-1,60),ROW()-1,FALSE))</f>
        <v/>
      </c>
      <c r="N276" t="str">
        <f ca="1">IF(AND(ISNUMBER($N$779),$B$511=1),$N$779,HLOOKUP(INDIRECT(ADDRESS(2,COLUMN())),OFFSET($BN$2,0,0,ROW()-1,60),ROW()-1,FALSE))</f>
        <v/>
      </c>
      <c r="O276" t="str">
        <f ca="1">IF(AND(ISNUMBER($O$779),$B$511=1),$O$779,HLOOKUP(INDIRECT(ADDRESS(2,COLUMN())),OFFSET($BN$2,0,0,ROW()-1,60),ROW()-1,FALSE))</f>
        <v/>
      </c>
      <c r="P276" t="str">
        <f ca="1">IF(AND(ISNUMBER($P$779),$B$511=1),$P$779,HLOOKUP(INDIRECT(ADDRESS(2,COLUMN())),OFFSET($BN$2,0,0,ROW()-1,60),ROW()-1,FALSE))</f>
        <v/>
      </c>
      <c r="Q276" t="str">
        <f ca="1">IF(AND(ISNUMBER($Q$779),$B$511=1),$Q$779,HLOOKUP(INDIRECT(ADDRESS(2,COLUMN())),OFFSET($BN$2,0,0,ROW()-1,60),ROW()-1,FALSE))</f>
        <v/>
      </c>
      <c r="R276" t="str">
        <f ca="1">IF(AND(ISNUMBER($R$779),$B$511=1),$R$779,HLOOKUP(INDIRECT(ADDRESS(2,COLUMN())),OFFSET($BN$2,0,0,ROW()-1,60),ROW()-1,FALSE))</f>
        <v/>
      </c>
      <c r="S276" t="str">
        <f ca="1">IF(AND(ISNUMBER($S$779),$B$511=1),$S$779,HLOOKUP(INDIRECT(ADDRESS(2,COLUMN())),OFFSET($BN$2,0,0,ROW()-1,60),ROW()-1,FALSE))</f>
        <v/>
      </c>
      <c r="T276" t="str">
        <f ca="1">IF(AND(ISNUMBER($T$779),$B$511=1),$T$779,HLOOKUP(INDIRECT(ADDRESS(2,COLUMN())),OFFSET($BN$2,0,0,ROW()-1,60),ROW()-1,FALSE))</f>
        <v/>
      </c>
      <c r="U276" t="str">
        <f ca="1">IF(AND(ISNUMBER($U$779),$B$511=1),$U$779,HLOOKUP(INDIRECT(ADDRESS(2,COLUMN())),OFFSET($BN$2,0,0,ROW()-1,60),ROW()-1,FALSE))</f>
        <v/>
      </c>
      <c r="V276" t="str">
        <f ca="1">IF(AND(ISNUMBER($V$779),$B$511=1),$V$779,HLOOKUP(INDIRECT(ADDRESS(2,COLUMN())),OFFSET($BN$2,0,0,ROW()-1,60),ROW()-1,FALSE))</f>
        <v/>
      </c>
      <c r="W276" t="str">
        <f ca="1">IF(AND(ISNUMBER($W$779),$B$511=1),$W$779,HLOOKUP(INDIRECT(ADDRESS(2,COLUMN())),OFFSET($BN$2,0,0,ROW()-1,60),ROW()-1,FALSE))</f>
        <v/>
      </c>
      <c r="X276" t="str">
        <f ca="1">IF(AND(ISNUMBER($X$779),$B$511=1),$X$779,HLOOKUP(INDIRECT(ADDRESS(2,COLUMN())),OFFSET($BN$2,0,0,ROW()-1,60),ROW()-1,FALSE))</f>
        <v/>
      </c>
      <c r="Y276" t="str">
        <f ca="1">IF(AND(ISNUMBER($Y$779),$B$511=1),$Y$779,HLOOKUP(INDIRECT(ADDRESS(2,COLUMN())),OFFSET($BN$2,0,0,ROW()-1,60),ROW()-1,FALSE))</f>
        <v/>
      </c>
      <c r="Z276" t="str">
        <f ca="1">IF(AND(ISNUMBER($Z$779),$B$511=1),$Z$779,HLOOKUP(INDIRECT(ADDRESS(2,COLUMN())),OFFSET($BN$2,0,0,ROW()-1,60),ROW()-1,FALSE))</f>
        <v/>
      </c>
      <c r="AA276" t="str">
        <f ca="1">IF(AND(ISNUMBER($AA$779),$B$511=1),$AA$779,HLOOKUP(INDIRECT(ADDRESS(2,COLUMN())),OFFSET($BN$2,0,0,ROW()-1,60),ROW()-1,FALSE))</f>
        <v/>
      </c>
      <c r="AB276" t="str">
        <f ca="1">IF(AND(ISNUMBER($AB$779),$B$511=1),$AB$779,HLOOKUP(INDIRECT(ADDRESS(2,COLUMN())),OFFSET($BN$2,0,0,ROW()-1,60),ROW()-1,FALSE))</f>
        <v/>
      </c>
      <c r="AC276" t="str">
        <f ca="1">IF(AND(ISNUMBER($AC$779),$B$511=1),$AC$779,HLOOKUP(INDIRECT(ADDRESS(2,COLUMN())),OFFSET($BN$2,0,0,ROW()-1,60),ROW()-1,FALSE))</f>
        <v/>
      </c>
      <c r="AD276" t="str">
        <f ca="1">IF(AND(ISNUMBER($AD$779),$B$511=1),$AD$779,HLOOKUP(INDIRECT(ADDRESS(2,COLUMN())),OFFSET($BN$2,0,0,ROW()-1,60),ROW()-1,FALSE))</f>
        <v/>
      </c>
      <c r="AE276" t="str">
        <f ca="1">IF(AND(ISNUMBER($AE$779),$B$511=1),$AE$779,HLOOKUP(INDIRECT(ADDRESS(2,COLUMN())),OFFSET($BN$2,0,0,ROW()-1,60),ROW()-1,FALSE))</f>
        <v/>
      </c>
      <c r="AF276" t="str">
        <f ca="1">IF(AND(ISNUMBER($AF$779),$B$511=1),$AF$779,HLOOKUP(INDIRECT(ADDRESS(2,COLUMN())),OFFSET($BN$2,0,0,ROW()-1,60),ROW()-1,FALSE))</f>
        <v/>
      </c>
      <c r="AG276" t="str">
        <f ca="1">IF(AND(ISNUMBER($AG$779),$B$511=1),$AG$779,HLOOKUP(INDIRECT(ADDRESS(2,COLUMN())),OFFSET($BN$2,0,0,ROW()-1,60),ROW()-1,FALSE))</f>
        <v/>
      </c>
      <c r="AH276" t="str">
        <f ca="1">IF(AND(ISNUMBER($AH$779),$B$511=1),$AH$779,HLOOKUP(INDIRECT(ADDRESS(2,COLUMN())),OFFSET($BN$2,0,0,ROW()-1,60),ROW()-1,FALSE))</f>
        <v/>
      </c>
      <c r="AI276" t="str">
        <f ca="1">IF(AND(ISNUMBER($AI$779),$B$511=1),$AI$779,HLOOKUP(INDIRECT(ADDRESS(2,COLUMN())),OFFSET($BN$2,0,0,ROW()-1,60),ROW()-1,FALSE))</f>
        <v/>
      </c>
      <c r="AJ276" t="str">
        <f ca="1">IF(AND(ISNUMBER($AJ$779),$B$511=1),$AJ$779,HLOOKUP(INDIRECT(ADDRESS(2,COLUMN())),OFFSET($BN$2,0,0,ROW()-1,60),ROW()-1,FALSE))</f>
        <v/>
      </c>
      <c r="AK276" t="str">
        <f ca="1">IF(AND(ISNUMBER($AK$779),$B$511=1),$AK$779,HLOOKUP(INDIRECT(ADDRESS(2,COLUMN())),OFFSET($BN$2,0,0,ROW()-1,60),ROW()-1,FALSE))</f>
        <v/>
      </c>
      <c r="AL276" t="str">
        <f ca="1">IF(AND(ISNUMBER($AL$779),$B$511=1),$AL$779,HLOOKUP(INDIRECT(ADDRESS(2,COLUMN())),OFFSET($BN$2,0,0,ROW()-1,60),ROW()-1,FALSE))</f>
        <v/>
      </c>
      <c r="AM276" t="str">
        <f ca="1">IF(AND(ISNUMBER($AM$779),$B$511=1),$AM$779,HLOOKUP(INDIRECT(ADDRESS(2,COLUMN())),OFFSET($BN$2,0,0,ROW()-1,60),ROW()-1,FALSE))</f>
        <v/>
      </c>
      <c r="AN276" t="str">
        <f ca="1">IF(AND(ISNUMBER($AN$779),$B$511=1),$AN$779,HLOOKUP(INDIRECT(ADDRESS(2,COLUMN())),OFFSET($BN$2,0,0,ROW()-1,60),ROW()-1,FALSE))</f>
        <v/>
      </c>
      <c r="AO276" t="str">
        <f ca="1">IF(AND(ISNUMBER($AO$779),$B$511=1),$AO$779,HLOOKUP(INDIRECT(ADDRESS(2,COLUMN())),OFFSET($BN$2,0,0,ROW()-1,60),ROW()-1,FALSE))</f>
        <v/>
      </c>
      <c r="AP276" t="str">
        <f ca="1">IF(AND(ISNUMBER($AP$779),$B$511=1),$AP$779,HLOOKUP(INDIRECT(ADDRESS(2,COLUMN())),OFFSET($BN$2,0,0,ROW()-1,60),ROW()-1,FALSE))</f>
        <v/>
      </c>
      <c r="AQ276" t="str">
        <f ca="1">IF(AND(ISNUMBER($AQ$779),$B$511=1),$AQ$779,HLOOKUP(INDIRECT(ADDRESS(2,COLUMN())),OFFSET($BN$2,0,0,ROW()-1,60),ROW()-1,FALSE))</f>
        <v/>
      </c>
      <c r="AR276" t="str">
        <f ca="1">IF(AND(ISNUMBER($AR$779),$B$511=1),$AR$779,HLOOKUP(INDIRECT(ADDRESS(2,COLUMN())),OFFSET($BN$2,0,0,ROW()-1,60),ROW()-1,FALSE))</f>
        <v/>
      </c>
      <c r="AS276" t="str">
        <f ca="1">IF(AND(ISNUMBER($AS$779),$B$511=1),$AS$779,HLOOKUP(INDIRECT(ADDRESS(2,COLUMN())),OFFSET($BN$2,0,0,ROW()-1,60),ROW()-1,FALSE))</f>
        <v/>
      </c>
      <c r="AT276" t="str">
        <f ca="1">IF(AND(ISNUMBER($AT$779),$B$511=1),$AT$779,HLOOKUP(INDIRECT(ADDRESS(2,COLUMN())),OFFSET($BN$2,0,0,ROW()-1,60),ROW()-1,FALSE))</f>
        <v/>
      </c>
      <c r="AU276" t="str">
        <f ca="1">IF(AND(ISNUMBER($AU$779),$B$511=1),$AU$779,HLOOKUP(INDIRECT(ADDRESS(2,COLUMN())),OFFSET($BN$2,0,0,ROW()-1,60),ROW()-1,FALSE))</f>
        <v/>
      </c>
      <c r="AV276" t="str">
        <f ca="1">IF(AND(ISNUMBER($AV$779),$B$511=1),$AV$779,HLOOKUP(INDIRECT(ADDRESS(2,COLUMN())),OFFSET($BN$2,0,0,ROW()-1,60),ROW()-1,FALSE))</f>
        <v/>
      </c>
      <c r="AW276" t="str">
        <f ca="1">IF(AND(ISNUMBER($AW$779),$B$511=1),$AW$779,HLOOKUP(INDIRECT(ADDRESS(2,COLUMN())),OFFSET($BN$2,0,0,ROW()-1,60),ROW()-1,FALSE))</f>
        <v/>
      </c>
      <c r="AX276" t="str">
        <f ca="1">IF(AND(ISNUMBER($AX$779),$B$511=1),$AX$779,HLOOKUP(INDIRECT(ADDRESS(2,COLUMN())),OFFSET($BN$2,0,0,ROW()-1,60),ROW()-1,FALSE))</f>
        <v/>
      </c>
      <c r="AY276" t="str">
        <f ca="1">IF(AND(ISNUMBER($AY$779),$B$511=1),$AY$779,HLOOKUP(INDIRECT(ADDRESS(2,COLUMN())),OFFSET($BN$2,0,0,ROW()-1,60),ROW()-1,FALSE))</f>
        <v/>
      </c>
      <c r="AZ276" t="str">
        <f ca="1">IF(AND(ISNUMBER($AZ$779),$B$511=1),$AZ$779,HLOOKUP(INDIRECT(ADDRESS(2,COLUMN())),OFFSET($BN$2,0,0,ROW()-1,60),ROW()-1,FALSE))</f>
        <v/>
      </c>
      <c r="BA276" t="str">
        <f ca="1">IF(AND(ISNUMBER($BA$779),$B$511=1),$BA$779,HLOOKUP(INDIRECT(ADDRESS(2,COLUMN())),OFFSET($BN$2,0,0,ROW()-1,60),ROW()-1,FALSE))</f>
        <v/>
      </c>
      <c r="BB276" t="str">
        <f ca="1">IF(AND(ISNUMBER($BB$779),$B$511=1),$BB$779,HLOOKUP(INDIRECT(ADDRESS(2,COLUMN())),OFFSET($BN$2,0,0,ROW()-1,60),ROW()-1,FALSE))</f>
        <v/>
      </c>
      <c r="BC276" t="str">
        <f ca="1">IF(AND(ISNUMBER($BC$779),$B$511=1),$BC$779,HLOOKUP(INDIRECT(ADDRESS(2,COLUMN())),OFFSET($BN$2,0,0,ROW()-1,60),ROW()-1,FALSE))</f>
        <v/>
      </c>
      <c r="BD276" t="str">
        <f ca="1">IF(AND(ISNUMBER($BD$779),$B$511=1),$BD$779,HLOOKUP(INDIRECT(ADDRESS(2,COLUMN())),OFFSET($BN$2,0,0,ROW()-1,60),ROW()-1,FALSE))</f>
        <v/>
      </c>
      <c r="BE276" t="str">
        <f ca="1">IF(AND(ISNUMBER($BE$779),$B$511=1),$BE$779,HLOOKUP(INDIRECT(ADDRESS(2,COLUMN())),OFFSET($BN$2,0,0,ROW()-1,60),ROW()-1,FALSE))</f>
        <v/>
      </c>
      <c r="BF276" t="str">
        <f ca="1">IF(AND(ISNUMBER($BF$779),$B$511=1),$BF$779,HLOOKUP(INDIRECT(ADDRESS(2,COLUMN())),OFFSET($BN$2,0,0,ROW()-1,60),ROW()-1,FALSE))</f>
        <v/>
      </c>
      <c r="BG276" t="str">
        <f ca="1">IF(AND(ISNUMBER($BG$779),$B$511=1),$BG$779,HLOOKUP(INDIRECT(ADDRESS(2,COLUMN())),OFFSET($BN$2,0,0,ROW()-1,60),ROW()-1,FALSE))</f>
        <v/>
      </c>
      <c r="BH276" t="str">
        <f ca="1">IF(AND(ISNUMBER($BH$779),$B$511=1),$BH$779,HLOOKUP(INDIRECT(ADDRESS(2,COLUMN())),OFFSET($BN$2,0,0,ROW()-1,60),ROW()-1,FALSE))</f>
        <v/>
      </c>
      <c r="BI276" t="str">
        <f ca="1">IF(AND(ISNUMBER($BI$779),$B$511=1),$BI$779,HLOOKUP(INDIRECT(ADDRESS(2,COLUMN())),OFFSET($BN$2,0,0,ROW()-1,60),ROW()-1,FALSE))</f>
        <v/>
      </c>
      <c r="BJ276" t="str">
        <f ca="1">IF(AND(ISNUMBER($BJ$779),$B$511=1),$BJ$779,HLOOKUP(INDIRECT(ADDRESS(2,COLUMN())),OFFSET($BN$2,0,0,ROW()-1,60),ROW()-1,FALSE))</f>
        <v/>
      </c>
      <c r="BK276" t="str">
        <f ca="1">IF(AND(ISNUMBER($BK$779),$B$511=1),$BK$779,HLOOKUP(INDIRECT(ADDRESS(2,COLUMN())),OFFSET($BN$2,0,0,ROW()-1,60),ROW()-1,FALSE))</f>
        <v/>
      </c>
      <c r="BL276" t="str">
        <f ca="1">IF(AND(ISNUMBER($BL$779),$B$511=1),$BL$779,HLOOKUP(INDIRECT(ADDRESS(2,COLUMN())),OFFSET($BN$2,0,0,ROW()-1,60),ROW()-1,FALSE))</f>
        <v/>
      </c>
      <c r="BM276" t="str">
        <f ca="1">IF(AND(ISNUMBER($BM$779),$B$511=1),$BM$779,HLOOKUP(INDIRECT(ADDRESS(2,COLUMN())),OFFSET($BN$2,0,0,ROW()-1,60),ROW()-1,FALSE))</f>
        <v/>
      </c>
      <c r="BN276" t="str">
        <f>""</f>
        <v/>
      </c>
      <c r="BO276" t="str">
        <f>""</f>
        <v/>
      </c>
      <c r="BP276" t="str">
        <f>""</f>
        <v/>
      </c>
      <c r="BQ276" t="str">
        <f>""</f>
        <v/>
      </c>
      <c r="BR276" t="str">
        <f>""</f>
        <v/>
      </c>
      <c r="BS276" t="str">
        <f>""</f>
        <v/>
      </c>
      <c r="BT276" t="str">
        <f>""</f>
        <v/>
      </c>
      <c r="BU276" t="str">
        <f>""</f>
        <v/>
      </c>
      <c r="BV276" t="str">
        <f>""</f>
        <v/>
      </c>
      <c r="BW276" t="str">
        <f>""</f>
        <v/>
      </c>
      <c r="BX276" t="str">
        <f>""</f>
        <v/>
      </c>
      <c r="BY276" t="str">
        <f>""</f>
        <v/>
      </c>
      <c r="BZ276" t="str">
        <f>""</f>
        <v/>
      </c>
      <c r="CA276" t="str">
        <f>""</f>
        <v/>
      </c>
      <c r="CB276" t="str">
        <f>""</f>
        <v/>
      </c>
      <c r="CC276" t="str">
        <f>""</f>
        <v/>
      </c>
      <c r="CD276" t="str">
        <f>""</f>
        <v/>
      </c>
      <c r="CE276" t="str">
        <f>""</f>
        <v/>
      </c>
      <c r="CF276" t="str">
        <f>""</f>
        <v/>
      </c>
      <c r="CG276" t="str">
        <f>""</f>
        <v/>
      </c>
      <c r="CH276" t="str">
        <f>""</f>
        <v/>
      </c>
      <c r="CI276" t="str">
        <f>""</f>
        <v/>
      </c>
      <c r="CJ276" t="str">
        <f>""</f>
        <v/>
      </c>
      <c r="CK276" t="str">
        <f>""</f>
        <v/>
      </c>
      <c r="CL276" t="str">
        <f>""</f>
        <v/>
      </c>
      <c r="CM276" t="str">
        <f>""</f>
        <v/>
      </c>
      <c r="CN276" t="str">
        <f>""</f>
        <v/>
      </c>
      <c r="CO276" t="str">
        <f>""</f>
        <v/>
      </c>
      <c r="CP276" t="str">
        <f>""</f>
        <v/>
      </c>
      <c r="CQ276" t="str">
        <f>""</f>
        <v/>
      </c>
      <c r="CR276" t="str">
        <f>""</f>
        <v/>
      </c>
      <c r="CS276" t="str">
        <f>""</f>
        <v/>
      </c>
      <c r="CT276" t="str">
        <f>""</f>
        <v/>
      </c>
      <c r="CU276" t="str">
        <f>""</f>
        <v/>
      </c>
      <c r="CV276" t="str">
        <f>""</f>
        <v/>
      </c>
      <c r="CW276" t="str">
        <f>""</f>
        <v/>
      </c>
      <c r="CX276" t="str">
        <f>""</f>
        <v/>
      </c>
      <c r="CY276" t="str">
        <f>""</f>
        <v/>
      </c>
      <c r="CZ276" t="str">
        <f>""</f>
        <v/>
      </c>
      <c r="DA276" t="str">
        <f>""</f>
        <v/>
      </c>
      <c r="DB276" t="str">
        <f>""</f>
        <v/>
      </c>
      <c r="DC276" t="str">
        <f>""</f>
        <v/>
      </c>
      <c r="DD276" t="str">
        <f>""</f>
        <v/>
      </c>
      <c r="DE276" t="str">
        <f>""</f>
        <v/>
      </c>
      <c r="DF276" t="str">
        <f>""</f>
        <v/>
      </c>
      <c r="DG276" t="str">
        <f>""</f>
        <v/>
      </c>
      <c r="DH276" t="str">
        <f>""</f>
        <v/>
      </c>
      <c r="DI276" t="str">
        <f>""</f>
        <v/>
      </c>
      <c r="DJ276" t="str">
        <f>""</f>
        <v/>
      </c>
      <c r="DK276" t="str">
        <f>""</f>
        <v/>
      </c>
      <c r="DL276" t="str">
        <f>""</f>
        <v/>
      </c>
      <c r="DM276" t="str">
        <f>""</f>
        <v/>
      </c>
      <c r="DN276" t="str">
        <f>""</f>
        <v/>
      </c>
      <c r="DO276" t="str">
        <f>""</f>
        <v/>
      </c>
      <c r="DP276" t="str">
        <f>""</f>
        <v/>
      </c>
      <c r="DQ276" t="str">
        <f>""</f>
        <v/>
      </c>
      <c r="DR276" t="str">
        <f>""</f>
        <v/>
      </c>
      <c r="DS276" t="str">
        <f>""</f>
        <v/>
      </c>
      <c r="DT276" t="str">
        <f>""</f>
        <v/>
      </c>
      <c r="DU276" t="str">
        <f>""</f>
        <v/>
      </c>
    </row>
    <row r="277" spans="1:125" x14ac:dyDescent="0.25">
      <c r="A277" t="str">
        <f>"    SAIC Motor Corp Ltd"</f>
        <v xml:space="preserve">    SAIC Motor Corp Ltd</v>
      </c>
      <c r="B277" t="str">
        <f>"600104 CH Equity"</f>
        <v>600104 CH Equity</v>
      </c>
      <c r="C277" t="str">
        <f t="shared" si="18"/>
        <v>RR010</v>
      </c>
      <c r="D277" t="str">
        <f t="shared" si="19"/>
        <v>TOT_COMMON_EQY</v>
      </c>
      <c r="E277" t="str">
        <f t="shared" si="20"/>
        <v>Dynamic</v>
      </c>
      <c r="F277" t="str">
        <f ca="1">IF(AND(ISNUMBER($F$780),$B$511=1),$F$780,HLOOKUP(INDIRECT(ADDRESS(2,COLUMN())),OFFSET($BN$2,0,0,ROW()-1,60),ROW()-1,FALSE))</f>
        <v/>
      </c>
      <c r="G277" t="str">
        <f ca="1">IF(AND(ISNUMBER($G$780),$B$511=1),$G$780,HLOOKUP(INDIRECT(ADDRESS(2,COLUMN())),OFFSET($BN$2,0,0,ROW()-1,60),ROW()-1,FALSE))</f>
        <v/>
      </c>
      <c r="H277">
        <f ca="1">IF(AND(ISNUMBER($H$780),$B$511=1),$H$780,HLOOKUP(INDIRECT(ADDRESS(2,COLUMN())),OFFSET($BN$2,0,0,ROW()-1,60),ROW()-1,FALSE))</f>
        <v>33585.311710000002</v>
      </c>
      <c r="I277">
        <f ca="1">IF(AND(ISNUMBER($I$780),$B$511=1),$I$780,HLOOKUP(INDIRECT(ADDRESS(2,COLUMN())),OFFSET($BN$2,0,0,ROW()-1,60),ROW()-1,FALSE))</f>
        <v>33263.295290000002</v>
      </c>
      <c r="J277">
        <f ca="1">IF(AND(ISNUMBER($J$780),$B$511=1),$J$780,HLOOKUP(INDIRECT(ADDRESS(2,COLUMN())),OFFSET($BN$2,0,0,ROW()-1,60),ROW()-1,FALSE))</f>
        <v>37268.143730000003</v>
      </c>
      <c r="K277">
        <f ca="1">IF(AND(ISNUMBER($K$780),$B$511=1),$K$780,HLOOKUP(INDIRECT(ADDRESS(2,COLUMN())),OFFSET($BN$2,0,0,ROW()-1,60),ROW()-1,FALSE))</f>
        <v>34631.272799999999</v>
      </c>
      <c r="L277">
        <f ca="1">IF(AND(ISNUMBER($L$780),$B$511=1),$L$780,HLOOKUP(INDIRECT(ADDRESS(2,COLUMN())),OFFSET($BN$2,0,0,ROW()-1,60),ROW()-1,FALSE))</f>
        <v>32495.83581</v>
      </c>
      <c r="M277">
        <f ca="1">IF(AND(ISNUMBER($M$780),$B$511=1),$M$780,HLOOKUP(INDIRECT(ADDRESS(2,COLUMN())),OFFSET($BN$2,0,0,ROW()-1,60),ROW()-1,FALSE))</f>
        <v>30427.884020000001</v>
      </c>
      <c r="N277">
        <f ca="1">IF(AND(ISNUMBER($N$780),$B$511=1),$N$780,HLOOKUP(INDIRECT(ADDRESS(2,COLUMN())),OFFSET($BN$2,0,0,ROW()-1,60),ROW()-1,FALSE))</f>
        <v>31334.948710000001</v>
      </c>
      <c r="O277">
        <f ca="1">IF(AND(ISNUMBER($O$780),$B$511=1),$O$780,HLOOKUP(INDIRECT(ADDRESS(2,COLUMN())),OFFSET($BN$2,0,0,ROW()-1,60),ROW()-1,FALSE))</f>
        <v>27681.03025</v>
      </c>
      <c r="P277">
        <f ca="1">IF(AND(ISNUMBER($P$780),$B$511=1),$P$780,HLOOKUP(INDIRECT(ADDRESS(2,COLUMN())),OFFSET($BN$2,0,0,ROW()-1,60),ROW()-1,FALSE))</f>
        <v>27627.23561</v>
      </c>
      <c r="Q277">
        <f ca="1">IF(AND(ISNUMBER($Q$780),$B$511=1),$Q$780,HLOOKUP(INDIRECT(ADDRESS(2,COLUMN())),OFFSET($BN$2,0,0,ROW()-1,60),ROW()-1,FALSE))</f>
        <v>26431.99856</v>
      </c>
      <c r="R277">
        <f ca="1">IF(AND(ISNUMBER($R$780),$B$511=1),$R$780,HLOOKUP(INDIRECT(ADDRESS(2,COLUMN())),OFFSET($BN$2,0,0,ROW()-1,60),ROW()-1,FALSE))</f>
        <v>28427.73576</v>
      </c>
      <c r="S277">
        <f ca="1">IF(AND(ISNUMBER($S$780),$B$511=1),$S$780,HLOOKUP(INDIRECT(ADDRESS(2,COLUMN())),OFFSET($BN$2,0,0,ROW()-1,60),ROW()-1,FALSE))</f>
        <v>26994.79594</v>
      </c>
      <c r="T277">
        <f ca="1">IF(AND(ISNUMBER($T$780),$B$511=1),$T$780,HLOOKUP(INDIRECT(ADDRESS(2,COLUMN())),OFFSET($BN$2,0,0,ROW()-1,60),ROW()-1,FALSE))</f>
        <v>26078.355609999999</v>
      </c>
      <c r="U277">
        <f ca="1">IF(AND(ISNUMBER($U$780),$B$511=1),$U$780,HLOOKUP(INDIRECT(ADDRESS(2,COLUMN())),OFFSET($BN$2,0,0,ROW()-1,60),ROW()-1,FALSE))</f>
        <v>25661.513429999999</v>
      </c>
      <c r="V277">
        <f ca="1">IF(AND(ISNUMBER($V$780),$B$511=1),$V$780,HLOOKUP(INDIRECT(ADDRESS(2,COLUMN())),OFFSET($BN$2,0,0,ROW()-1,60),ROW()-1,FALSE))</f>
        <v>26632.589790000002</v>
      </c>
      <c r="W277">
        <f ca="1">IF(AND(ISNUMBER($W$780),$B$511=1),$W$780,HLOOKUP(INDIRECT(ADDRESS(2,COLUMN())),OFFSET($BN$2,0,0,ROW()-1,60),ROW()-1,FALSE))</f>
        <v>25399.424230000001</v>
      </c>
      <c r="X277">
        <f ca="1">IF(AND(ISNUMBER($X$780),$B$511=1),$X$780,HLOOKUP(INDIRECT(ADDRESS(2,COLUMN())),OFFSET($BN$2,0,0,ROW()-1,60),ROW()-1,FALSE))</f>
        <v>23595.58742</v>
      </c>
      <c r="Y277">
        <f ca="1">IF(AND(ISNUMBER($Y$780),$B$511=1),$Y$780,HLOOKUP(INDIRECT(ADDRESS(2,COLUMN())),OFFSET($BN$2,0,0,ROW()-1,60),ROW()-1,FALSE))</f>
        <v>22223.08827</v>
      </c>
      <c r="Z277">
        <f ca="1">IF(AND(ISNUMBER($Z$780),$B$511=1),$Z$780,HLOOKUP(INDIRECT(ADDRESS(2,COLUMN())),OFFSET($BN$2,0,0,ROW()-1,60),ROW()-1,FALSE))</f>
        <v>23184.802049999998</v>
      </c>
      <c r="AA277">
        <f ca="1">IF(AND(ISNUMBER($AA$780),$B$511=1),$AA$780,HLOOKUP(INDIRECT(ADDRESS(2,COLUMN())),OFFSET($BN$2,0,0,ROW()-1,60),ROW()-1,FALSE))</f>
        <v>22760.762449999998</v>
      </c>
      <c r="AB277">
        <f ca="1">IF(AND(ISNUMBER($AB$780),$B$511=1),$AB$780,HLOOKUP(INDIRECT(ADDRESS(2,COLUMN())),OFFSET($BN$2,0,0,ROW()-1,60),ROW()-1,FALSE))</f>
        <v>21678.26957</v>
      </c>
      <c r="AC277">
        <f ca="1">IF(AND(ISNUMBER($AC$780),$B$511=1),$AC$780,HLOOKUP(INDIRECT(ADDRESS(2,COLUMN())),OFFSET($BN$2,0,0,ROW()-1,60),ROW()-1,FALSE))</f>
        <v>20554.666689999998</v>
      </c>
      <c r="AD277">
        <f ca="1">IF(AND(ISNUMBER($AD$780),$B$511=1),$AD$780,HLOOKUP(INDIRECT(ADDRESS(2,COLUMN())),OFFSET($BN$2,0,0,ROW()-1,60),ROW()-1,FALSE))</f>
        <v>20578.591</v>
      </c>
      <c r="AE277">
        <f ca="1">IF(AND(ISNUMBER($AE$780),$B$511=1),$AE$780,HLOOKUP(INDIRECT(ADDRESS(2,COLUMN())),OFFSET($BN$2,0,0,ROW()-1,60),ROW()-1,FALSE))</f>
        <v>19621.069350000002</v>
      </c>
      <c r="AF277">
        <f ca="1">IF(AND(ISNUMBER($AF$780),$B$511=1),$AF$780,HLOOKUP(INDIRECT(ADDRESS(2,COLUMN())),OFFSET($BN$2,0,0,ROW()-1,60),ROW()-1,FALSE))</f>
        <v>18224.64112</v>
      </c>
      <c r="AG277">
        <f ca="1">IF(AND(ISNUMBER($AG$780),$B$511=1),$AG$780,HLOOKUP(INDIRECT(ADDRESS(2,COLUMN())),OFFSET($BN$2,0,0,ROW()-1,60),ROW()-1,FALSE))</f>
        <v>17224.743989999999</v>
      </c>
      <c r="AH277">
        <f ca="1">IF(AND(ISNUMBER($AH$780),$B$511=1),$AH$780,HLOOKUP(INDIRECT(ADDRESS(2,COLUMN())),OFFSET($BN$2,0,0,ROW()-1,60),ROW()-1,FALSE))</f>
        <v>17268.891530000001</v>
      </c>
      <c r="AI277">
        <f ca="1">IF(AND(ISNUMBER($AI$780),$B$511=1),$AI$780,HLOOKUP(INDIRECT(ADDRESS(2,COLUMN())),OFFSET($BN$2,0,0,ROW()-1,60),ROW()-1,FALSE))</f>
        <v>16248.76021</v>
      </c>
      <c r="AJ277">
        <f ca="1">IF(AND(ISNUMBER($AJ$780),$B$511=1),$AJ$780,HLOOKUP(INDIRECT(ADDRESS(2,COLUMN())),OFFSET($BN$2,0,0,ROW()-1,60),ROW()-1,FALSE))</f>
        <v>12047.575860000001</v>
      </c>
      <c r="AK277">
        <f ca="1">IF(AND(ISNUMBER($AK$780),$B$511=1),$AK$780,HLOOKUP(INDIRECT(ADDRESS(2,COLUMN())),OFFSET($BN$2,0,0,ROW()-1,60),ROW()-1,FALSE))</f>
        <v>11192.009749999999</v>
      </c>
      <c r="AL277">
        <f ca="1">IF(AND(ISNUMBER($AL$780),$B$511=1),$AL$780,HLOOKUP(INDIRECT(ADDRESS(2,COLUMN())),OFFSET($BN$2,0,0,ROW()-1,60),ROW()-1,FALSE))</f>
        <v>10799.72898</v>
      </c>
      <c r="AM277">
        <f ca="1">IF(AND(ISNUMBER($AM$780),$B$511=1),$AM$780,HLOOKUP(INDIRECT(ADDRESS(2,COLUMN())),OFFSET($BN$2,0,0,ROW()-1,60),ROW()-1,FALSE))</f>
        <v>13189.446250000001</v>
      </c>
      <c r="AN277">
        <f ca="1">IF(AND(ISNUMBER($AN$780),$B$511=1),$AN$780,HLOOKUP(INDIRECT(ADDRESS(2,COLUMN())),OFFSET($BN$2,0,0,ROW()-1,60),ROW()-1,FALSE))</f>
        <v>7718.2242640000004</v>
      </c>
      <c r="AO277">
        <f ca="1">IF(AND(ISNUMBER($AO$780),$B$511=1),$AO$780,HLOOKUP(INDIRECT(ADDRESS(2,COLUMN())),OFFSET($BN$2,0,0,ROW()-1,60),ROW()-1,FALSE))</f>
        <v>7080.5268340000002</v>
      </c>
      <c r="AP277">
        <f ca="1">IF(AND(ISNUMBER($AP$780),$B$511=1),$AP$780,HLOOKUP(INDIRECT(ADDRESS(2,COLUMN())),OFFSET($BN$2,0,0,ROW()-1,60),ROW()-1,FALSE))</f>
        <v>6627.6544789999998</v>
      </c>
      <c r="AQ277">
        <f ca="1">IF(AND(ISNUMBER($AQ$780),$B$511=1),$AQ$780,HLOOKUP(INDIRECT(ADDRESS(2,COLUMN())),OFFSET($BN$2,0,0,ROW()-1,60),ROW()-1,FALSE))</f>
        <v>6219.6913459999996</v>
      </c>
      <c r="AR277">
        <f ca="1">IF(AND(ISNUMBER($AR$780),$B$511=1),$AR$780,HLOOKUP(INDIRECT(ADDRESS(2,COLUMN())),OFFSET($BN$2,0,0,ROW()-1,60),ROW()-1,FALSE))</f>
        <v>5825.6588000000002</v>
      </c>
      <c r="AS277">
        <f ca="1">IF(AND(ISNUMBER($AS$780),$B$511=1),$AS$780,HLOOKUP(INDIRECT(ADDRESS(2,COLUMN())),OFFSET($BN$2,0,0,ROW()-1,60),ROW()-1,FALSE))</f>
        <v>5454.0504449999999</v>
      </c>
      <c r="AT277">
        <f ca="1">IF(AND(ISNUMBER($AT$780),$B$511=1),$AT$780,HLOOKUP(INDIRECT(ADDRESS(2,COLUMN())),OFFSET($BN$2,0,0,ROW()-1,60),ROW()-1,FALSE))</f>
        <v>5343.2313059999997</v>
      </c>
      <c r="AU277">
        <f ca="1">IF(AND(ISNUMBER($AU$780),$B$511=1),$AU$780,HLOOKUP(INDIRECT(ADDRESS(2,COLUMN())),OFFSET($BN$2,0,0,ROW()-1,60),ROW()-1,FALSE))</f>
        <v>5075.052772</v>
      </c>
      <c r="AV277">
        <f ca="1">IF(AND(ISNUMBER($AV$780),$B$511=1),$AV$780,HLOOKUP(INDIRECT(ADDRESS(2,COLUMN())),OFFSET($BN$2,0,0,ROW()-1,60),ROW()-1,FALSE))</f>
        <v>5337.5992900000001</v>
      </c>
      <c r="AW277">
        <f ca="1">IF(AND(ISNUMBER($AW$780),$B$511=1),$AW$780,HLOOKUP(INDIRECT(ADDRESS(2,COLUMN())),OFFSET($BN$2,0,0,ROW()-1,60),ROW()-1,FALSE))</f>
        <v>5468.2982080000002</v>
      </c>
      <c r="AX277">
        <f ca="1">IF(AND(ISNUMBER($AX$780),$B$511=1),$AX$780,HLOOKUP(INDIRECT(ADDRESS(2,COLUMN())),OFFSET($BN$2,0,0,ROW()-1,60),ROW()-1,FALSE))</f>
        <v>5374.9057789999997</v>
      </c>
      <c r="AY277">
        <f ca="1">IF(AND(ISNUMBER($AY$780),$B$511=1),$AY$780,HLOOKUP(INDIRECT(ADDRESS(2,COLUMN())),OFFSET($BN$2,0,0,ROW()-1,60),ROW()-1,FALSE))</f>
        <v>5123.236355</v>
      </c>
      <c r="AZ277">
        <f ca="1">IF(AND(ISNUMBER($AZ$780),$B$511=1),$AZ$780,HLOOKUP(INDIRECT(ADDRESS(2,COLUMN())),OFFSET($BN$2,0,0,ROW()-1,60),ROW()-1,FALSE))</f>
        <v>4718.8694670000004</v>
      </c>
      <c r="BA277">
        <f ca="1">IF(AND(ISNUMBER($BA$780),$B$511=1),$BA$780,HLOOKUP(INDIRECT(ADDRESS(2,COLUMN())),OFFSET($BN$2,0,0,ROW()-1,60),ROW()-1,FALSE))</f>
        <v>4591.5065800000002</v>
      </c>
      <c r="BB277">
        <f ca="1">IF(AND(ISNUMBER($BB$780),$B$511=1),$BB$780,HLOOKUP(INDIRECT(ADDRESS(2,COLUMN())),OFFSET($BN$2,0,0,ROW()-1,60),ROW()-1,FALSE))</f>
        <v>4296.2607360000002</v>
      </c>
      <c r="BC277">
        <f ca="1">IF(AND(ISNUMBER($BC$780),$B$511=1),$BC$780,HLOOKUP(INDIRECT(ADDRESS(2,COLUMN())),OFFSET($BN$2,0,0,ROW()-1,60),ROW()-1,FALSE))</f>
        <v>4142.6927759999999</v>
      </c>
      <c r="BD277">
        <f ca="1">IF(AND(ISNUMBER($BD$780),$B$511=1),$BD$780,HLOOKUP(INDIRECT(ADDRESS(2,COLUMN())),OFFSET($BN$2,0,0,ROW()-1,60),ROW()-1,FALSE))</f>
        <v>1481.1865170000001</v>
      </c>
      <c r="BE277">
        <f ca="1">IF(AND(ISNUMBER($BE$780),$B$511=1),$BE$780,HLOOKUP(INDIRECT(ADDRESS(2,COLUMN())),OFFSET($BN$2,0,0,ROW()-1,60),ROW()-1,FALSE))</f>
        <v>1428.9019430000001</v>
      </c>
      <c r="BF277">
        <f ca="1">IF(AND(ISNUMBER($BF$780),$B$511=1),$BF$780,HLOOKUP(INDIRECT(ADDRESS(2,COLUMN())),OFFSET($BN$2,0,0,ROW()-1,60),ROW()-1,FALSE))</f>
        <v>1487.3156670000001</v>
      </c>
      <c r="BG277">
        <f ca="1">IF(AND(ISNUMBER($BG$780),$B$511=1),$BG$780,HLOOKUP(INDIRECT(ADDRESS(2,COLUMN())),OFFSET($BN$2,0,0,ROW()-1,60),ROW()-1,FALSE))</f>
        <v>1444.2450240000001</v>
      </c>
      <c r="BH277">
        <f ca="1">IF(AND(ISNUMBER($BH$780),$B$511=1),$BH$780,HLOOKUP(INDIRECT(ADDRESS(2,COLUMN())),OFFSET($BN$2,0,0,ROW()-1,60),ROW()-1,FALSE))</f>
        <v>1405.052377</v>
      </c>
      <c r="BI277">
        <f ca="1">IF(AND(ISNUMBER($BI$780),$B$511=1),$BI$780,HLOOKUP(INDIRECT(ADDRESS(2,COLUMN())),OFFSET($BN$2,0,0,ROW()-1,60),ROW()-1,FALSE))</f>
        <v>1332.5542150000001</v>
      </c>
      <c r="BJ277">
        <f ca="1">IF(AND(ISNUMBER($BJ$780),$B$511=1),$BJ$780,HLOOKUP(INDIRECT(ADDRESS(2,COLUMN())),OFFSET($BN$2,0,0,ROW()-1,60),ROW()-1,FALSE))</f>
        <v>1393.2624699999999</v>
      </c>
      <c r="BK277">
        <f ca="1">IF(AND(ISNUMBER($BK$780),$B$511=1),$BK$780,HLOOKUP(INDIRECT(ADDRESS(2,COLUMN())),OFFSET($BN$2,0,0,ROW()-1,60),ROW()-1,FALSE))</f>
        <v>1374.9060589999999</v>
      </c>
      <c r="BL277">
        <f ca="1">IF(AND(ISNUMBER($BL$780),$B$511=1),$BL$780,HLOOKUP(INDIRECT(ADDRESS(2,COLUMN())),OFFSET($BN$2,0,0,ROW()-1,60),ROW()-1,FALSE))</f>
        <v>1357.3720530000001</v>
      </c>
      <c r="BM277">
        <f ca="1">IF(AND(ISNUMBER($BM$780),$B$511=1),$BM$780,HLOOKUP(INDIRECT(ADDRESS(2,COLUMN())),OFFSET($BN$2,0,0,ROW()-1,60),ROW()-1,FALSE))</f>
        <v>1310.9715289999999</v>
      </c>
      <c r="BN277" t="str">
        <f>""</f>
        <v/>
      </c>
      <c r="BO277" t="str">
        <f>""</f>
        <v/>
      </c>
      <c r="BP277">
        <f>33585.31171</f>
        <v>33585.311710000002</v>
      </c>
      <c r="BQ277">
        <f>33263.29529</f>
        <v>33263.295290000002</v>
      </c>
      <c r="BR277">
        <f>37268.14373</f>
        <v>37268.143730000003</v>
      </c>
      <c r="BS277">
        <f>34631.2728</f>
        <v>34631.272799999999</v>
      </c>
      <c r="BT277">
        <f>32495.83581</f>
        <v>32495.83581</v>
      </c>
      <c r="BU277">
        <f>30427.88402</f>
        <v>30427.884020000001</v>
      </c>
      <c r="BV277">
        <f>31334.94871</f>
        <v>31334.948710000001</v>
      </c>
      <c r="BW277">
        <f>27681.03025</f>
        <v>27681.03025</v>
      </c>
      <c r="BX277">
        <f>27627.23561</f>
        <v>27627.23561</v>
      </c>
      <c r="BY277">
        <f>26431.99856</f>
        <v>26431.99856</v>
      </c>
      <c r="BZ277">
        <f>28427.73576</f>
        <v>28427.73576</v>
      </c>
      <c r="CA277">
        <f>26994.79594</f>
        <v>26994.79594</v>
      </c>
      <c r="CB277">
        <f>26078.35561</f>
        <v>26078.355609999999</v>
      </c>
      <c r="CC277">
        <f>25661.51343</f>
        <v>25661.513429999999</v>
      </c>
      <c r="CD277">
        <f>26632.58979</f>
        <v>26632.589790000002</v>
      </c>
      <c r="CE277">
        <f>25399.42423</f>
        <v>25399.424230000001</v>
      </c>
      <c r="CF277">
        <f>23595.58742</f>
        <v>23595.58742</v>
      </c>
      <c r="CG277">
        <f>22223.08827</f>
        <v>22223.08827</v>
      </c>
      <c r="CH277">
        <f>23184.80205</f>
        <v>23184.802049999998</v>
      </c>
      <c r="CI277">
        <f>22760.76245</f>
        <v>22760.762449999998</v>
      </c>
      <c r="CJ277">
        <f>21678.26957</f>
        <v>21678.26957</v>
      </c>
      <c r="CK277">
        <f>20554.66669</f>
        <v>20554.666689999998</v>
      </c>
      <c r="CL277">
        <f>20578.591</f>
        <v>20578.591</v>
      </c>
      <c r="CM277">
        <f>19621.06935</f>
        <v>19621.069350000002</v>
      </c>
      <c r="CN277">
        <f>18224.64112</f>
        <v>18224.64112</v>
      </c>
      <c r="CO277">
        <f>17224.74399</f>
        <v>17224.743989999999</v>
      </c>
      <c r="CP277">
        <f>17268.89153</f>
        <v>17268.891530000001</v>
      </c>
      <c r="CQ277">
        <f>16248.76021</f>
        <v>16248.76021</v>
      </c>
      <c r="CR277">
        <f>12047.57586</f>
        <v>12047.575860000001</v>
      </c>
      <c r="CS277">
        <f>11192.00975</f>
        <v>11192.009749999999</v>
      </c>
      <c r="CT277">
        <f>10799.72898</f>
        <v>10799.72898</v>
      </c>
      <c r="CU277">
        <f>13189.44625</f>
        <v>13189.446250000001</v>
      </c>
      <c r="CV277">
        <f>7718.224264</f>
        <v>7718.2242640000004</v>
      </c>
      <c r="CW277">
        <f>7080.526834</f>
        <v>7080.5268340000002</v>
      </c>
      <c r="CX277">
        <f>6627.654479</f>
        <v>6627.6544789999998</v>
      </c>
      <c r="CY277">
        <f>6219.691346</f>
        <v>6219.6913459999996</v>
      </c>
      <c r="CZ277">
        <f>5825.6588</f>
        <v>5825.6588000000002</v>
      </c>
      <c r="DA277">
        <f>5454.050445</f>
        <v>5454.0504449999999</v>
      </c>
      <c r="DB277">
        <f>5343.231306</f>
        <v>5343.2313059999997</v>
      </c>
      <c r="DC277">
        <f>5075.052772</f>
        <v>5075.052772</v>
      </c>
      <c r="DD277">
        <f>5337.59929</f>
        <v>5337.5992900000001</v>
      </c>
      <c r="DE277">
        <f>5468.298208</f>
        <v>5468.2982080000002</v>
      </c>
      <c r="DF277">
        <f>5374.905779</f>
        <v>5374.9057789999997</v>
      </c>
      <c r="DG277">
        <f>5123.236355</f>
        <v>5123.236355</v>
      </c>
      <c r="DH277">
        <f>4718.869467</f>
        <v>4718.8694670000004</v>
      </c>
      <c r="DI277">
        <f>4591.50658</f>
        <v>4591.5065800000002</v>
      </c>
      <c r="DJ277">
        <f>4296.260736</f>
        <v>4296.2607360000002</v>
      </c>
      <c r="DK277">
        <f>4142.692776</f>
        <v>4142.6927759999999</v>
      </c>
      <c r="DL277">
        <f>1481.186517</f>
        <v>1481.1865170000001</v>
      </c>
      <c r="DM277">
        <f>1428.901943</f>
        <v>1428.9019430000001</v>
      </c>
      <c r="DN277">
        <f>1487.315667</f>
        <v>1487.3156670000001</v>
      </c>
      <c r="DO277">
        <f>1444.245024</f>
        <v>1444.2450240000001</v>
      </c>
      <c r="DP277">
        <f>1405.052377</f>
        <v>1405.052377</v>
      </c>
      <c r="DQ277">
        <f>1332.554215</f>
        <v>1332.5542150000001</v>
      </c>
      <c r="DR277">
        <f>1393.26247</f>
        <v>1393.2624699999999</v>
      </c>
      <c r="DS277">
        <f>1374.906059</f>
        <v>1374.9060589999999</v>
      </c>
      <c r="DT277">
        <f>1357.372053</f>
        <v>1357.3720530000001</v>
      </c>
      <c r="DU277">
        <f>1310.971529</f>
        <v>1310.9715289999999</v>
      </c>
    </row>
    <row r="278" spans="1:125" x14ac:dyDescent="0.25">
      <c r="A278" t="str">
        <f>"    Sanyang Motor Co Ltd"</f>
        <v xml:space="preserve">    Sanyang Motor Co Ltd</v>
      </c>
      <c r="B278" t="str">
        <f>"2206 TT Equity"</f>
        <v>2206 TT Equity</v>
      </c>
      <c r="C278" t="str">
        <f t="shared" si="18"/>
        <v>RR010</v>
      </c>
      <c r="D278" t="str">
        <f t="shared" si="19"/>
        <v>TOT_COMMON_EQY</v>
      </c>
      <c r="E278" t="str">
        <f t="shared" si="20"/>
        <v>Dynamic</v>
      </c>
      <c r="F278" t="str">
        <f ca="1">IF(AND(ISNUMBER($F$781),$B$511=1),$F$781,HLOOKUP(INDIRECT(ADDRESS(2,COLUMN())),OFFSET($BN$2,0,0,ROW()-1,60),ROW()-1,FALSE))</f>
        <v/>
      </c>
      <c r="G278" t="str">
        <f ca="1">IF(AND(ISNUMBER($G$781),$B$511=1),$G$781,HLOOKUP(INDIRECT(ADDRESS(2,COLUMN())),OFFSET($BN$2,0,0,ROW()-1,60),ROW()-1,FALSE))</f>
        <v/>
      </c>
      <c r="H278">
        <f ca="1">IF(AND(ISNUMBER($H$781),$B$511=1),$H$781,HLOOKUP(INDIRECT(ADDRESS(2,COLUMN())),OFFSET($BN$2,0,0,ROW()-1,60),ROW()-1,FALSE))</f>
        <v>443.76631129999998</v>
      </c>
      <c r="I278">
        <f ca="1">IF(AND(ISNUMBER($I$781),$B$511=1),$I$781,HLOOKUP(INDIRECT(ADDRESS(2,COLUMN())),OFFSET($BN$2,0,0,ROW()-1,60),ROW()-1,FALSE))</f>
        <v>406.8768594</v>
      </c>
      <c r="J278">
        <f ca="1">IF(AND(ISNUMBER($J$781),$B$511=1),$J$781,HLOOKUP(INDIRECT(ADDRESS(2,COLUMN())),OFFSET($BN$2,0,0,ROW()-1,60),ROW()-1,FALSE))</f>
        <v>436.7215046</v>
      </c>
      <c r="K278">
        <f ca="1">IF(AND(ISNUMBER($K$781),$B$511=1),$K$781,HLOOKUP(INDIRECT(ADDRESS(2,COLUMN())),OFFSET($BN$2,0,0,ROW()-1,60),ROW()-1,FALSE))</f>
        <v>436.05426540000002</v>
      </c>
      <c r="L278">
        <f ca="1">IF(AND(ISNUMBER($L$781),$B$511=1),$L$781,HLOOKUP(INDIRECT(ADDRESS(2,COLUMN())),OFFSET($BN$2,0,0,ROW()-1,60),ROW()-1,FALSE))</f>
        <v>440.56354629999998</v>
      </c>
      <c r="M278">
        <f ca="1">IF(AND(ISNUMBER($M$781),$B$511=1),$M$781,HLOOKUP(INDIRECT(ADDRESS(2,COLUMN())),OFFSET($BN$2,0,0,ROW()-1,60),ROW()-1,FALSE))</f>
        <v>444.62108239999998</v>
      </c>
      <c r="N278">
        <f ca="1">IF(AND(ISNUMBER($N$781),$B$511=1),$N$781,HLOOKUP(INDIRECT(ADDRESS(2,COLUMN())),OFFSET($BN$2,0,0,ROW()-1,60),ROW()-1,FALSE))</f>
        <v>472.0101133</v>
      </c>
      <c r="O278">
        <f ca="1">IF(AND(ISNUMBER($O$781),$B$511=1),$O$781,HLOOKUP(INDIRECT(ADDRESS(2,COLUMN())),OFFSET($BN$2,0,0,ROW()-1,60),ROW()-1,FALSE))</f>
        <v>456.8903158</v>
      </c>
      <c r="P278">
        <f ca="1">IF(AND(ISNUMBER($P$781),$B$511=1),$P$781,HLOOKUP(INDIRECT(ADDRESS(2,COLUMN())),OFFSET($BN$2,0,0,ROW()-1,60),ROW()-1,FALSE))</f>
        <v>482.75864489999998</v>
      </c>
      <c r="Q278">
        <f ca="1">IF(AND(ISNUMBER($Q$781),$B$511=1),$Q$781,HLOOKUP(INDIRECT(ADDRESS(2,COLUMN())),OFFSET($BN$2,0,0,ROW()-1,60),ROW()-1,FALSE))</f>
        <v>486.15591920000003</v>
      </c>
      <c r="R278">
        <f ca="1">IF(AND(ISNUMBER($R$781),$B$511=1),$R$781,HLOOKUP(INDIRECT(ADDRESS(2,COLUMN())),OFFSET($BN$2,0,0,ROW()-1,60),ROW()-1,FALSE))</f>
        <v>515.3306619</v>
      </c>
      <c r="S278">
        <f ca="1">IF(AND(ISNUMBER($S$781),$B$511=1),$S$781,HLOOKUP(INDIRECT(ADDRESS(2,COLUMN())),OFFSET($BN$2,0,0,ROW()-1,60),ROW()-1,FALSE))</f>
        <v>506.88643819999999</v>
      </c>
      <c r="T278">
        <f ca="1">IF(AND(ISNUMBER($T$781),$B$511=1),$T$781,HLOOKUP(INDIRECT(ADDRESS(2,COLUMN())),OFFSET($BN$2,0,0,ROW()-1,60),ROW()-1,FALSE))</f>
        <v>529.12173910000001</v>
      </c>
      <c r="U278">
        <f ca="1">IF(AND(ISNUMBER($U$781),$B$511=1),$U$781,HLOOKUP(INDIRECT(ADDRESS(2,COLUMN())),OFFSET($BN$2,0,0,ROW()-1,60),ROW()-1,FALSE))</f>
        <v>463.44004139999998</v>
      </c>
      <c r="V278">
        <f ca="1">IF(AND(ISNUMBER($V$781),$B$511=1),$V$781,HLOOKUP(INDIRECT(ADDRESS(2,COLUMN())),OFFSET($BN$2,0,0,ROW()-1,60),ROW()-1,FALSE))</f>
        <v>452.64656189999999</v>
      </c>
      <c r="W278">
        <f ca="1">IF(AND(ISNUMBER($W$781),$B$511=1),$W$781,HLOOKUP(INDIRECT(ADDRESS(2,COLUMN())),OFFSET($BN$2,0,0,ROW()-1,60),ROW()-1,FALSE))</f>
        <v>449.6061229</v>
      </c>
      <c r="X278">
        <f ca="1">IF(AND(ISNUMBER($X$781),$B$511=1),$X$781,HLOOKUP(INDIRECT(ADDRESS(2,COLUMN())),OFFSET($BN$2,0,0,ROW()-1,60),ROW()-1,FALSE))</f>
        <v>462.79265570000001</v>
      </c>
      <c r="Y278">
        <f ca="1">IF(AND(ISNUMBER($Y$781),$B$511=1),$Y$781,HLOOKUP(INDIRECT(ADDRESS(2,COLUMN())),OFFSET($BN$2,0,0,ROW()-1,60),ROW()-1,FALSE))</f>
        <v>477.73290930000002</v>
      </c>
      <c r="Z278">
        <f ca="1">IF(AND(ISNUMBER($Z$781),$B$511=1),$Z$781,HLOOKUP(INDIRECT(ADDRESS(2,COLUMN())),OFFSET($BN$2,0,0,ROW()-1,60),ROW()-1,FALSE))</f>
        <v>426.25648519999999</v>
      </c>
      <c r="AA278">
        <f ca="1">IF(AND(ISNUMBER($AA$781),$B$511=1),$AA$781,HLOOKUP(INDIRECT(ADDRESS(2,COLUMN())),OFFSET($BN$2,0,0,ROW()-1,60),ROW()-1,FALSE))</f>
        <v>430.8238589</v>
      </c>
      <c r="AB278">
        <f ca="1">IF(AND(ISNUMBER($AB$781),$B$511=1),$AB$781,HLOOKUP(INDIRECT(ADDRESS(2,COLUMN())),OFFSET($BN$2,0,0,ROW()-1,60),ROW()-1,FALSE))</f>
        <v>446.42814609999999</v>
      </c>
      <c r="AC278">
        <f ca="1">IF(AND(ISNUMBER($AC$781),$B$511=1),$AC$781,HLOOKUP(INDIRECT(ADDRESS(2,COLUMN())),OFFSET($BN$2,0,0,ROW()-1,60),ROW()-1,FALSE))</f>
        <v>431.41397019999999</v>
      </c>
      <c r="AD278">
        <f ca="1">IF(AND(ISNUMBER($AD$781),$B$511=1),$AD$781,HLOOKUP(INDIRECT(ADDRESS(2,COLUMN())),OFFSET($BN$2,0,0,ROW()-1,60),ROW()-1,FALSE))</f>
        <v>440.5507523</v>
      </c>
      <c r="AE278">
        <f ca="1">IF(AND(ISNUMBER($AE$781),$B$511=1),$AE$781,HLOOKUP(INDIRECT(ADDRESS(2,COLUMN())),OFFSET($BN$2,0,0,ROW()-1,60),ROW()-1,FALSE))</f>
        <v>498.42742520000002</v>
      </c>
      <c r="AF278">
        <f ca="1">IF(AND(ISNUMBER($AF$781),$B$511=1),$AF$781,HLOOKUP(INDIRECT(ADDRESS(2,COLUMN())),OFFSET($BN$2,0,0,ROW()-1,60),ROW()-1,FALSE))</f>
        <v>489.61127970000001</v>
      </c>
      <c r="AG278">
        <f ca="1">IF(AND(ISNUMBER($AG$781),$B$511=1),$AG$781,HLOOKUP(INDIRECT(ADDRESS(2,COLUMN())),OFFSET($BN$2,0,0,ROW()-1,60),ROW()-1,FALSE))</f>
        <v>497.47094700000002</v>
      </c>
      <c r="AH278">
        <f ca="1">IF(AND(ISNUMBER($AH$781),$B$511=1),$AH$781,HLOOKUP(INDIRECT(ADDRESS(2,COLUMN())),OFFSET($BN$2,0,0,ROW()-1,60),ROW()-1,FALSE))</f>
        <v>476.77612090000002</v>
      </c>
      <c r="AI278">
        <f ca="1">IF(AND(ISNUMBER($AI$781),$B$511=1),$AI$781,HLOOKUP(INDIRECT(ADDRESS(2,COLUMN())),OFFSET($BN$2,0,0,ROW()-1,60),ROW()-1,FALSE))</f>
        <v>484.17980720000003</v>
      </c>
      <c r="AJ278">
        <f ca="1">IF(AND(ISNUMBER($AJ$781),$B$511=1),$AJ$781,HLOOKUP(INDIRECT(ADDRESS(2,COLUMN())),OFFSET($BN$2,0,0,ROW()-1,60),ROW()-1,FALSE))</f>
        <v>488.36154579999999</v>
      </c>
      <c r="AK278">
        <f ca="1">IF(AND(ISNUMBER($AK$781),$B$511=1),$AK$781,HLOOKUP(INDIRECT(ADDRESS(2,COLUMN())),OFFSET($BN$2,0,0,ROW()-1,60),ROW()-1,FALSE))</f>
        <v>482.24336410000001</v>
      </c>
      <c r="AL278">
        <f ca="1">IF(AND(ISNUMBER($AL$781),$B$511=1),$AL$781,HLOOKUP(INDIRECT(ADDRESS(2,COLUMN())),OFFSET($BN$2,0,0,ROW()-1,60),ROW()-1,FALSE))</f>
        <v>463.85628780000002</v>
      </c>
      <c r="AM278">
        <f ca="1">IF(AND(ISNUMBER($AM$781),$B$511=1),$AM$781,HLOOKUP(INDIRECT(ADDRESS(2,COLUMN())),OFFSET($BN$2,0,0,ROW()-1,60),ROW()-1,FALSE))</f>
        <v>456.05936819999999</v>
      </c>
      <c r="AN278">
        <f ca="1">IF(AND(ISNUMBER($AN$781),$B$511=1),$AN$781,HLOOKUP(INDIRECT(ADDRESS(2,COLUMN())),OFFSET($BN$2,0,0,ROW()-1,60),ROW()-1,FALSE))</f>
        <v>447.85692330000001</v>
      </c>
      <c r="AO278">
        <f ca="1">IF(AND(ISNUMBER($AO$781),$B$511=1),$AO$781,HLOOKUP(INDIRECT(ADDRESS(2,COLUMN())),OFFSET($BN$2,0,0,ROW()-1,60),ROW()-1,FALSE))</f>
        <v>433.39950829999998</v>
      </c>
      <c r="AP278">
        <f ca="1">IF(AND(ISNUMBER($AP$781),$B$511=1),$AP$781,HLOOKUP(INDIRECT(ADDRESS(2,COLUMN())),OFFSET($BN$2,0,0,ROW()-1,60),ROW()-1,FALSE))</f>
        <v>429.54411210000001</v>
      </c>
      <c r="AQ278">
        <f ca="1">IF(AND(ISNUMBER($AQ$781),$B$511=1),$AQ$781,HLOOKUP(INDIRECT(ADDRESS(2,COLUMN())),OFFSET($BN$2,0,0,ROW()-1,60),ROW()-1,FALSE))</f>
        <v>427.47422230000001</v>
      </c>
      <c r="AR278">
        <f ca="1">IF(AND(ISNUMBER($AR$781),$B$511=1),$AR$781,HLOOKUP(INDIRECT(ADDRESS(2,COLUMN())),OFFSET($BN$2,0,0,ROW()-1,60),ROW()-1,FALSE))</f>
        <v>428.44304469999997</v>
      </c>
      <c r="AS278">
        <f ca="1">IF(AND(ISNUMBER($AS$781),$B$511=1),$AS$781,HLOOKUP(INDIRECT(ADDRESS(2,COLUMN())),OFFSET($BN$2,0,0,ROW()-1,60),ROW()-1,FALSE))</f>
        <v>417.30563849999999</v>
      </c>
      <c r="AT278">
        <f ca="1">IF(AND(ISNUMBER($AT$781),$B$511=1),$AT$781,HLOOKUP(INDIRECT(ADDRESS(2,COLUMN())),OFFSET($BN$2,0,0,ROW()-1,60),ROW()-1,FALSE))</f>
        <v>410.87753600000002</v>
      </c>
      <c r="AU278">
        <f ca="1">IF(AND(ISNUMBER($AU$781),$B$511=1),$AU$781,HLOOKUP(INDIRECT(ADDRESS(2,COLUMN())),OFFSET($BN$2,0,0,ROW()-1,60),ROW()-1,FALSE))</f>
        <v>429.01532600000002</v>
      </c>
      <c r="AV278">
        <f ca="1">IF(AND(ISNUMBER($AV$781),$B$511=1),$AV$781,HLOOKUP(INDIRECT(ADDRESS(2,COLUMN())),OFFSET($BN$2,0,0,ROW()-1,60),ROW()-1,FALSE))</f>
        <v>436.48526220000002</v>
      </c>
      <c r="AW278">
        <f ca="1">IF(AND(ISNUMBER($AW$781),$B$511=1),$AW$781,HLOOKUP(INDIRECT(ADDRESS(2,COLUMN())),OFFSET($BN$2,0,0,ROW()-1,60),ROW()-1,FALSE))</f>
        <v>457.6488142</v>
      </c>
      <c r="AX278">
        <f ca="1">IF(AND(ISNUMBER($AX$781),$B$511=1),$AX$781,HLOOKUP(INDIRECT(ADDRESS(2,COLUMN())),OFFSET($BN$2,0,0,ROW()-1,60),ROW()-1,FALSE))</f>
        <v>464.97080319999998</v>
      </c>
      <c r="AY278" t="str">
        <f ca="1">IF(AND(ISNUMBER($AY$781),$B$511=1),$AY$781,HLOOKUP(INDIRECT(ADDRESS(2,COLUMN())),OFFSET($BN$2,0,0,ROW()-1,60),ROW()-1,FALSE))</f>
        <v/>
      </c>
      <c r="AZ278" t="str">
        <f ca="1">IF(AND(ISNUMBER($AZ$781),$B$511=1),$AZ$781,HLOOKUP(INDIRECT(ADDRESS(2,COLUMN())),OFFSET($BN$2,0,0,ROW()-1,60),ROW()-1,FALSE))</f>
        <v/>
      </c>
      <c r="BA278" t="str">
        <f ca="1">IF(AND(ISNUMBER($BA$781),$B$511=1),$BA$781,HLOOKUP(INDIRECT(ADDRESS(2,COLUMN())),OFFSET($BN$2,0,0,ROW()-1,60),ROW()-1,FALSE))</f>
        <v/>
      </c>
      <c r="BB278" t="str">
        <f ca="1">IF(AND(ISNUMBER($BB$781),$B$511=1),$BB$781,HLOOKUP(INDIRECT(ADDRESS(2,COLUMN())),OFFSET($BN$2,0,0,ROW()-1,60),ROW()-1,FALSE))</f>
        <v/>
      </c>
      <c r="BC278" t="str">
        <f ca="1">IF(AND(ISNUMBER($BC$781),$B$511=1),$BC$781,HLOOKUP(INDIRECT(ADDRESS(2,COLUMN())),OFFSET($BN$2,0,0,ROW()-1,60),ROW()-1,FALSE))</f>
        <v/>
      </c>
      <c r="BD278" t="str">
        <f ca="1">IF(AND(ISNUMBER($BD$781),$B$511=1),$BD$781,HLOOKUP(INDIRECT(ADDRESS(2,COLUMN())),OFFSET($BN$2,0,0,ROW()-1,60),ROW()-1,FALSE))</f>
        <v/>
      </c>
      <c r="BE278" t="str">
        <f ca="1">IF(AND(ISNUMBER($BE$781),$B$511=1),$BE$781,HLOOKUP(INDIRECT(ADDRESS(2,COLUMN())),OFFSET($BN$2,0,0,ROW()-1,60),ROW()-1,FALSE))</f>
        <v/>
      </c>
      <c r="BF278" t="str">
        <f ca="1">IF(AND(ISNUMBER($BF$781),$B$511=1),$BF$781,HLOOKUP(INDIRECT(ADDRESS(2,COLUMN())),OFFSET($BN$2,0,0,ROW()-1,60),ROW()-1,FALSE))</f>
        <v/>
      </c>
      <c r="BG278" t="str">
        <f ca="1">IF(AND(ISNUMBER($BG$781),$B$511=1),$BG$781,HLOOKUP(INDIRECT(ADDRESS(2,COLUMN())),OFFSET($BN$2,0,0,ROW()-1,60),ROW()-1,FALSE))</f>
        <v/>
      </c>
      <c r="BH278" t="str">
        <f ca="1">IF(AND(ISNUMBER($BH$781),$B$511=1),$BH$781,HLOOKUP(INDIRECT(ADDRESS(2,COLUMN())),OFFSET($BN$2,0,0,ROW()-1,60),ROW()-1,FALSE))</f>
        <v/>
      </c>
      <c r="BI278" t="str">
        <f ca="1">IF(AND(ISNUMBER($BI$781),$B$511=1),$BI$781,HLOOKUP(INDIRECT(ADDRESS(2,COLUMN())),OFFSET($BN$2,0,0,ROW()-1,60),ROW()-1,FALSE))</f>
        <v/>
      </c>
      <c r="BJ278" t="str">
        <f ca="1">IF(AND(ISNUMBER($BJ$781),$B$511=1),$BJ$781,HLOOKUP(INDIRECT(ADDRESS(2,COLUMN())),OFFSET($BN$2,0,0,ROW()-1,60),ROW()-1,FALSE))</f>
        <v/>
      </c>
      <c r="BK278" t="str">
        <f ca="1">IF(AND(ISNUMBER($BK$781),$B$511=1),$BK$781,HLOOKUP(INDIRECT(ADDRESS(2,COLUMN())),OFFSET($BN$2,0,0,ROW()-1,60),ROW()-1,FALSE))</f>
        <v/>
      </c>
      <c r="BL278" t="str">
        <f ca="1">IF(AND(ISNUMBER($BL$781),$B$511=1),$BL$781,HLOOKUP(INDIRECT(ADDRESS(2,COLUMN())),OFFSET($BN$2,0,0,ROW()-1,60),ROW()-1,FALSE))</f>
        <v/>
      </c>
      <c r="BM278" t="str">
        <f ca="1">IF(AND(ISNUMBER($BM$781),$B$511=1),$BM$781,HLOOKUP(INDIRECT(ADDRESS(2,COLUMN())),OFFSET($BN$2,0,0,ROW()-1,60),ROW()-1,FALSE))</f>
        <v/>
      </c>
      <c r="BN278" t="str">
        <f>""</f>
        <v/>
      </c>
      <c r="BO278" t="str">
        <f>""</f>
        <v/>
      </c>
      <c r="BP278">
        <f>443.7663113</f>
        <v>443.76631129999998</v>
      </c>
      <c r="BQ278">
        <f>406.8768594</f>
        <v>406.8768594</v>
      </c>
      <c r="BR278">
        <f>436.7215046</f>
        <v>436.7215046</v>
      </c>
      <c r="BS278">
        <f>436.0542654</f>
        <v>436.05426540000002</v>
      </c>
      <c r="BT278">
        <f>440.5635463</f>
        <v>440.56354629999998</v>
      </c>
      <c r="BU278">
        <f>444.6210824</f>
        <v>444.62108239999998</v>
      </c>
      <c r="BV278">
        <f>472.0101133</f>
        <v>472.0101133</v>
      </c>
      <c r="BW278">
        <f>456.8903158</f>
        <v>456.8903158</v>
      </c>
      <c r="BX278">
        <f>482.7586449</f>
        <v>482.75864489999998</v>
      </c>
      <c r="BY278">
        <f>486.1559192</f>
        <v>486.15591920000003</v>
      </c>
      <c r="BZ278">
        <f>515.3306619</f>
        <v>515.3306619</v>
      </c>
      <c r="CA278">
        <f>506.8864382</f>
        <v>506.88643819999999</v>
      </c>
      <c r="CB278">
        <f>529.1217391</f>
        <v>529.12173910000001</v>
      </c>
      <c r="CC278">
        <f>463.4400414</f>
        <v>463.44004139999998</v>
      </c>
      <c r="CD278">
        <f>452.6465619</f>
        <v>452.64656189999999</v>
      </c>
      <c r="CE278">
        <f>449.6061229</f>
        <v>449.6061229</v>
      </c>
      <c r="CF278">
        <f>462.7926557</f>
        <v>462.79265570000001</v>
      </c>
      <c r="CG278">
        <f>477.7329093</f>
        <v>477.73290930000002</v>
      </c>
      <c r="CH278">
        <f>426.2564852</f>
        <v>426.25648519999999</v>
      </c>
      <c r="CI278">
        <f>430.8238589</f>
        <v>430.8238589</v>
      </c>
      <c r="CJ278">
        <f>446.4281461</f>
        <v>446.42814609999999</v>
      </c>
      <c r="CK278">
        <f>431.4139702</f>
        <v>431.41397019999999</v>
      </c>
      <c r="CL278">
        <f>440.5507523</f>
        <v>440.5507523</v>
      </c>
      <c r="CM278">
        <f>498.4274252</f>
        <v>498.42742520000002</v>
      </c>
      <c r="CN278">
        <f>489.6112797</f>
        <v>489.61127970000001</v>
      </c>
      <c r="CO278">
        <f>497.470947</f>
        <v>497.47094700000002</v>
      </c>
      <c r="CP278">
        <f>476.7761209</f>
        <v>476.77612090000002</v>
      </c>
      <c r="CQ278">
        <f>484.1798072</f>
        <v>484.17980720000003</v>
      </c>
      <c r="CR278">
        <f>488.3615458</f>
        <v>488.36154579999999</v>
      </c>
      <c r="CS278">
        <f>482.2433641</f>
        <v>482.24336410000001</v>
      </c>
      <c r="CT278">
        <f>463.8562878</f>
        <v>463.85628780000002</v>
      </c>
      <c r="CU278">
        <f>456.0593682</f>
        <v>456.05936819999999</v>
      </c>
      <c r="CV278">
        <f>447.8569233</f>
        <v>447.85692330000001</v>
      </c>
      <c r="CW278">
        <f>433.3995083</f>
        <v>433.39950829999998</v>
      </c>
      <c r="CX278">
        <f>429.5441121</f>
        <v>429.54411210000001</v>
      </c>
      <c r="CY278">
        <f>427.4742223</f>
        <v>427.47422230000001</v>
      </c>
      <c r="CZ278">
        <f>428.4430447</f>
        <v>428.44304469999997</v>
      </c>
      <c r="DA278">
        <f>417.3056385</f>
        <v>417.30563849999999</v>
      </c>
      <c r="DB278">
        <f>410.877536</f>
        <v>410.87753600000002</v>
      </c>
      <c r="DC278">
        <f>429.015326</f>
        <v>429.01532600000002</v>
      </c>
      <c r="DD278">
        <f>436.4852622</f>
        <v>436.48526220000002</v>
      </c>
      <c r="DE278">
        <f>457.6488142</f>
        <v>457.6488142</v>
      </c>
      <c r="DF278">
        <f>464.9708032</f>
        <v>464.97080319999998</v>
      </c>
      <c r="DG278" t="str">
        <f>""</f>
        <v/>
      </c>
      <c r="DH278" t="str">
        <f>""</f>
        <v/>
      </c>
      <c r="DI278" t="str">
        <f>""</f>
        <v/>
      </c>
      <c r="DJ278" t="str">
        <f>""</f>
        <v/>
      </c>
      <c r="DK278" t="str">
        <f>""</f>
        <v/>
      </c>
      <c r="DL278" t="str">
        <f>""</f>
        <v/>
      </c>
      <c r="DM278" t="str">
        <f>""</f>
        <v/>
      </c>
      <c r="DN278" t="str">
        <f>""</f>
        <v/>
      </c>
      <c r="DO278" t="str">
        <f>""</f>
        <v/>
      </c>
      <c r="DP278" t="str">
        <f>""</f>
        <v/>
      </c>
      <c r="DQ278" t="str">
        <f>""</f>
        <v/>
      </c>
      <c r="DR278" t="str">
        <f>""</f>
        <v/>
      </c>
      <c r="DS278" t="str">
        <f>""</f>
        <v/>
      </c>
      <c r="DT278" t="str">
        <f>""</f>
        <v/>
      </c>
      <c r="DU278" t="str">
        <f>""</f>
        <v/>
      </c>
    </row>
    <row r="279" spans="1:125" x14ac:dyDescent="0.25">
      <c r="A279" t="str">
        <f>"    Sollers PJSC"</f>
        <v xml:space="preserve">    Sollers PJSC</v>
      </c>
      <c r="B279" t="str">
        <f>"SVAV RM Equity"</f>
        <v>SVAV RM Equity</v>
      </c>
      <c r="C279" t="str">
        <f t="shared" si="18"/>
        <v>RR010</v>
      </c>
      <c r="D279" t="str">
        <f t="shared" si="19"/>
        <v>TOT_COMMON_EQY</v>
      </c>
      <c r="E279" t="str">
        <f t="shared" si="20"/>
        <v>Dynamic</v>
      </c>
      <c r="F279" t="str">
        <f ca="1">IF(AND(ISNUMBER($F$782),$B$511=1),$F$782,HLOOKUP(INDIRECT(ADDRESS(2,COLUMN())),OFFSET($BN$2,0,0,ROW()-1,60),ROW()-1,FALSE))</f>
        <v/>
      </c>
      <c r="G279" t="str">
        <f ca="1">IF(AND(ISNUMBER($G$782),$B$511=1),$G$782,HLOOKUP(INDIRECT(ADDRESS(2,COLUMN())),OFFSET($BN$2,0,0,ROW()-1,60),ROW()-1,FALSE))</f>
        <v/>
      </c>
      <c r="H279" t="str">
        <f ca="1">IF(AND(ISNUMBER($H$782),$B$511=1),$H$782,HLOOKUP(INDIRECT(ADDRESS(2,COLUMN())),OFFSET($BN$2,0,0,ROW()-1,60),ROW()-1,FALSE))</f>
        <v/>
      </c>
      <c r="I279" t="str">
        <f ca="1">IF(AND(ISNUMBER($I$782),$B$511=1),$I$782,HLOOKUP(INDIRECT(ADDRESS(2,COLUMN())),OFFSET($BN$2,0,0,ROW()-1,60),ROW()-1,FALSE))</f>
        <v/>
      </c>
      <c r="J279" t="str">
        <f ca="1">IF(AND(ISNUMBER($J$782),$B$511=1),$J$782,HLOOKUP(INDIRECT(ADDRESS(2,COLUMN())),OFFSET($BN$2,0,0,ROW()-1,60),ROW()-1,FALSE))</f>
        <v/>
      </c>
      <c r="K279" t="str">
        <f ca="1">IF(AND(ISNUMBER($K$782),$B$511=1),$K$782,HLOOKUP(INDIRECT(ADDRESS(2,COLUMN())),OFFSET($BN$2,0,0,ROW()-1,60),ROW()-1,FALSE))</f>
        <v/>
      </c>
      <c r="L279" t="str">
        <f ca="1">IF(AND(ISNUMBER($L$782),$B$511=1),$L$782,HLOOKUP(INDIRECT(ADDRESS(2,COLUMN())),OFFSET($BN$2,0,0,ROW()-1,60),ROW()-1,FALSE))</f>
        <v/>
      </c>
      <c r="M279" t="str">
        <f ca="1">IF(AND(ISNUMBER($M$782),$B$511=1),$M$782,HLOOKUP(INDIRECT(ADDRESS(2,COLUMN())),OFFSET($BN$2,0,0,ROW()-1,60),ROW()-1,FALSE))</f>
        <v/>
      </c>
      <c r="N279" t="str">
        <f ca="1">IF(AND(ISNUMBER($N$782),$B$511=1),$N$782,HLOOKUP(INDIRECT(ADDRESS(2,COLUMN())),OFFSET($BN$2,0,0,ROW()-1,60),ROW()-1,FALSE))</f>
        <v/>
      </c>
      <c r="O279" t="str">
        <f ca="1">IF(AND(ISNUMBER($O$782),$B$511=1),$O$782,HLOOKUP(INDIRECT(ADDRESS(2,COLUMN())),OFFSET($BN$2,0,0,ROW()-1,60),ROW()-1,FALSE))</f>
        <v/>
      </c>
      <c r="P279" t="str">
        <f ca="1">IF(AND(ISNUMBER($P$782),$B$511=1),$P$782,HLOOKUP(INDIRECT(ADDRESS(2,COLUMN())),OFFSET($BN$2,0,0,ROW()-1,60),ROW()-1,FALSE))</f>
        <v/>
      </c>
      <c r="Q279" t="str">
        <f ca="1">IF(AND(ISNUMBER($Q$782),$B$511=1),$Q$782,HLOOKUP(INDIRECT(ADDRESS(2,COLUMN())),OFFSET($BN$2,0,0,ROW()-1,60),ROW()-1,FALSE))</f>
        <v/>
      </c>
      <c r="R279" t="str">
        <f ca="1">IF(AND(ISNUMBER($R$782),$B$511=1),$R$782,HLOOKUP(INDIRECT(ADDRESS(2,COLUMN())),OFFSET($BN$2,0,0,ROW()-1,60),ROW()-1,FALSE))</f>
        <v/>
      </c>
      <c r="S279" t="str">
        <f ca="1">IF(AND(ISNUMBER($S$782),$B$511=1),$S$782,HLOOKUP(INDIRECT(ADDRESS(2,COLUMN())),OFFSET($BN$2,0,0,ROW()-1,60),ROW()-1,FALSE))</f>
        <v/>
      </c>
      <c r="T279" t="str">
        <f ca="1">IF(AND(ISNUMBER($T$782),$B$511=1),$T$782,HLOOKUP(INDIRECT(ADDRESS(2,COLUMN())),OFFSET($BN$2,0,0,ROW()-1,60),ROW()-1,FALSE))</f>
        <v/>
      </c>
      <c r="U279" t="str">
        <f ca="1">IF(AND(ISNUMBER($U$782),$B$511=1),$U$782,HLOOKUP(INDIRECT(ADDRESS(2,COLUMN())),OFFSET($BN$2,0,0,ROW()-1,60),ROW()-1,FALSE))</f>
        <v/>
      </c>
      <c r="V279" t="str">
        <f ca="1">IF(AND(ISNUMBER($V$782),$B$511=1),$V$782,HLOOKUP(INDIRECT(ADDRESS(2,COLUMN())),OFFSET($BN$2,0,0,ROW()-1,60),ROW()-1,FALSE))</f>
        <v/>
      </c>
      <c r="W279" t="str">
        <f ca="1">IF(AND(ISNUMBER($W$782),$B$511=1),$W$782,HLOOKUP(INDIRECT(ADDRESS(2,COLUMN())),OFFSET($BN$2,0,0,ROW()-1,60),ROW()-1,FALSE))</f>
        <v/>
      </c>
      <c r="X279" t="str">
        <f ca="1">IF(AND(ISNUMBER($X$782),$B$511=1),$X$782,HLOOKUP(INDIRECT(ADDRESS(2,COLUMN())),OFFSET($BN$2,0,0,ROW()-1,60),ROW()-1,FALSE))</f>
        <v/>
      </c>
      <c r="Y279" t="str">
        <f ca="1">IF(AND(ISNUMBER($Y$782),$B$511=1),$Y$782,HLOOKUP(INDIRECT(ADDRESS(2,COLUMN())),OFFSET($BN$2,0,0,ROW()-1,60),ROW()-1,FALSE))</f>
        <v/>
      </c>
      <c r="Z279" t="str">
        <f ca="1">IF(AND(ISNUMBER($Z$782),$B$511=1),$Z$782,HLOOKUP(INDIRECT(ADDRESS(2,COLUMN())),OFFSET($BN$2,0,0,ROW()-1,60),ROW()-1,FALSE))</f>
        <v/>
      </c>
      <c r="AA279" t="str">
        <f ca="1">IF(AND(ISNUMBER($AA$782),$B$511=1),$AA$782,HLOOKUP(INDIRECT(ADDRESS(2,COLUMN())),OFFSET($BN$2,0,0,ROW()-1,60),ROW()-1,FALSE))</f>
        <v/>
      </c>
      <c r="AB279" t="str">
        <f ca="1">IF(AND(ISNUMBER($AB$782),$B$511=1),$AB$782,HLOOKUP(INDIRECT(ADDRESS(2,COLUMN())),OFFSET($BN$2,0,0,ROW()-1,60),ROW()-1,FALSE))</f>
        <v/>
      </c>
      <c r="AC279" t="str">
        <f ca="1">IF(AND(ISNUMBER($AC$782),$B$511=1),$AC$782,HLOOKUP(INDIRECT(ADDRESS(2,COLUMN())),OFFSET($BN$2,0,0,ROW()-1,60),ROW()-1,FALSE))</f>
        <v/>
      </c>
      <c r="AD279" t="str">
        <f ca="1">IF(AND(ISNUMBER($AD$782),$B$511=1),$AD$782,HLOOKUP(INDIRECT(ADDRESS(2,COLUMN())),OFFSET($BN$2,0,0,ROW()-1,60),ROW()-1,FALSE))</f>
        <v/>
      </c>
      <c r="AE279" t="str">
        <f ca="1">IF(AND(ISNUMBER($AE$782),$B$511=1),$AE$782,HLOOKUP(INDIRECT(ADDRESS(2,COLUMN())),OFFSET($BN$2,0,0,ROW()-1,60),ROW()-1,FALSE))</f>
        <v/>
      </c>
      <c r="AF279" t="str">
        <f ca="1">IF(AND(ISNUMBER($AF$782),$B$511=1),$AF$782,HLOOKUP(INDIRECT(ADDRESS(2,COLUMN())),OFFSET($BN$2,0,0,ROW()-1,60),ROW()-1,FALSE))</f>
        <v/>
      </c>
      <c r="AG279" t="str">
        <f ca="1">IF(AND(ISNUMBER($AG$782),$B$511=1),$AG$782,HLOOKUP(INDIRECT(ADDRESS(2,COLUMN())),OFFSET($BN$2,0,0,ROW()-1,60),ROW()-1,FALSE))</f>
        <v/>
      </c>
      <c r="AH279" t="str">
        <f ca="1">IF(AND(ISNUMBER($AH$782),$B$511=1),$AH$782,HLOOKUP(INDIRECT(ADDRESS(2,COLUMN())),OFFSET($BN$2,0,0,ROW()-1,60),ROW()-1,FALSE))</f>
        <v/>
      </c>
      <c r="AI279" t="str">
        <f ca="1">IF(AND(ISNUMBER($AI$782),$B$511=1),$AI$782,HLOOKUP(INDIRECT(ADDRESS(2,COLUMN())),OFFSET($BN$2,0,0,ROW()-1,60),ROW()-1,FALSE))</f>
        <v/>
      </c>
      <c r="AJ279" t="str">
        <f ca="1">IF(AND(ISNUMBER($AJ$782),$B$511=1),$AJ$782,HLOOKUP(INDIRECT(ADDRESS(2,COLUMN())),OFFSET($BN$2,0,0,ROW()-1,60),ROW()-1,FALSE))</f>
        <v/>
      </c>
      <c r="AK279" t="str">
        <f ca="1">IF(AND(ISNUMBER($AK$782),$B$511=1),$AK$782,HLOOKUP(INDIRECT(ADDRESS(2,COLUMN())),OFFSET($BN$2,0,0,ROW()-1,60),ROW()-1,FALSE))</f>
        <v/>
      </c>
      <c r="AL279" t="str">
        <f ca="1">IF(AND(ISNUMBER($AL$782),$B$511=1),$AL$782,HLOOKUP(INDIRECT(ADDRESS(2,COLUMN())),OFFSET($BN$2,0,0,ROW()-1,60),ROW()-1,FALSE))</f>
        <v/>
      </c>
      <c r="AM279" t="str">
        <f ca="1">IF(AND(ISNUMBER($AM$782),$B$511=1),$AM$782,HLOOKUP(INDIRECT(ADDRESS(2,COLUMN())),OFFSET($BN$2,0,0,ROW()-1,60),ROW()-1,FALSE))</f>
        <v/>
      </c>
      <c r="AN279" t="str">
        <f ca="1">IF(AND(ISNUMBER($AN$782),$B$511=1),$AN$782,HLOOKUP(INDIRECT(ADDRESS(2,COLUMN())),OFFSET($BN$2,0,0,ROW()-1,60),ROW()-1,FALSE))</f>
        <v/>
      </c>
      <c r="AO279" t="str">
        <f ca="1">IF(AND(ISNUMBER($AO$782),$B$511=1),$AO$782,HLOOKUP(INDIRECT(ADDRESS(2,COLUMN())),OFFSET($BN$2,0,0,ROW()-1,60),ROW()-1,FALSE))</f>
        <v/>
      </c>
      <c r="AP279" t="str">
        <f ca="1">IF(AND(ISNUMBER($AP$782),$B$511=1),$AP$782,HLOOKUP(INDIRECT(ADDRESS(2,COLUMN())),OFFSET($BN$2,0,0,ROW()-1,60),ROW()-1,FALSE))</f>
        <v/>
      </c>
      <c r="AQ279" t="str">
        <f ca="1">IF(AND(ISNUMBER($AQ$782),$B$511=1),$AQ$782,HLOOKUP(INDIRECT(ADDRESS(2,COLUMN())),OFFSET($BN$2,0,0,ROW()-1,60),ROW()-1,FALSE))</f>
        <v/>
      </c>
      <c r="AR279" t="str">
        <f ca="1">IF(AND(ISNUMBER($AR$782),$B$511=1),$AR$782,HLOOKUP(INDIRECT(ADDRESS(2,COLUMN())),OFFSET($BN$2,0,0,ROW()-1,60),ROW()-1,FALSE))</f>
        <v/>
      </c>
      <c r="AS279" t="str">
        <f ca="1">IF(AND(ISNUMBER($AS$782),$B$511=1),$AS$782,HLOOKUP(INDIRECT(ADDRESS(2,COLUMN())),OFFSET($BN$2,0,0,ROW()-1,60),ROW()-1,FALSE))</f>
        <v/>
      </c>
      <c r="AT279" t="str">
        <f ca="1">IF(AND(ISNUMBER($AT$782),$B$511=1),$AT$782,HLOOKUP(INDIRECT(ADDRESS(2,COLUMN())),OFFSET($BN$2,0,0,ROW()-1,60),ROW()-1,FALSE))</f>
        <v/>
      </c>
      <c r="AU279" t="str">
        <f ca="1">IF(AND(ISNUMBER($AU$782),$B$511=1),$AU$782,HLOOKUP(INDIRECT(ADDRESS(2,COLUMN())),OFFSET($BN$2,0,0,ROW()-1,60),ROW()-1,FALSE))</f>
        <v/>
      </c>
      <c r="AV279" t="str">
        <f ca="1">IF(AND(ISNUMBER($AV$782),$B$511=1),$AV$782,HLOOKUP(INDIRECT(ADDRESS(2,COLUMN())),OFFSET($BN$2,0,0,ROW()-1,60),ROW()-1,FALSE))</f>
        <v/>
      </c>
      <c r="AW279" t="str">
        <f ca="1">IF(AND(ISNUMBER($AW$782),$B$511=1),$AW$782,HLOOKUP(INDIRECT(ADDRESS(2,COLUMN())),OFFSET($BN$2,0,0,ROW()-1,60),ROW()-1,FALSE))</f>
        <v/>
      </c>
      <c r="AX279" t="str">
        <f ca="1">IF(AND(ISNUMBER($AX$782),$B$511=1),$AX$782,HLOOKUP(INDIRECT(ADDRESS(2,COLUMN())),OFFSET($BN$2,0,0,ROW()-1,60),ROW()-1,FALSE))</f>
        <v/>
      </c>
      <c r="AY279" t="str">
        <f ca="1">IF(AND(ISNUMBER($AY$782),$B$511=1),$AY$782,HLOOKUP(INDIRECT(ADDRESS(2,COLUMN())),OFFSET($BN$2,0,0,ROW()-1,60),ROW()-1,FALSE))</f>
        <v/>
      </c>
      <c r="AZ279" t="str">
        <f ca="1">IF(AND(ISNUMBER($AZ$782),$B$511=1),$AZ$782,HLOOKUP(INDIRECT(ADDRESS(2,COLUMN())),OFFSET($BN$2,0,0,ROW()-1,60),ROW()-1,FALSE))</f>
        <v/>
      </c>
      <c r="BA279" t="str">
        <f ca="1">IF(AND(ISNUMBER($BA$782),$B$511=1),$BA$782,HLOOKUP(INDIRECT(ADDRESS(2,COLUMN())),OFFSET($BN$2,0,0,ROW()-1,60),ROW()-1,FALSE))</f>
        <v/>
      </c>
      <c r="BB279" t="str">
        <f ca="1">IF(AND(ISNUMBER($BB$782),$B$511=1),$BB$782,HLOOKUP(INDIRECT(ADDRESS(2,COLUMN())),OFFSET($BN$2,0,0,ROW()-1,60),ROW()-1,FALSE))</f>
        <v/>
      </c>
      <c r="BC279" t="str">
        <f ca="1">IF(AND(ISNUMBER($BC$782),$B$511=1),$BC$782,HLOOKUP(INDIRECT(ADDRESS(2,COLUMN())),OFFSET($BN$2,0,0,ROW()-1,60),ROW()-1,FALSE))</f>
        <v/>
      </c>
      <c r="BD279" t="str">
        <f ca="1">IF(AND(ISNUMBER($BD$782),$B$511=1),$BD$782,HLOOKUP(INDIRECT(ADDRESS(2,COLUMN())),OFFSET($BN$2,0,0,ROW()-1,60),ROW()-1,FALSE))</f>
        <v/>
      </c>
      <c r="BE279" t="str">
        <f ca="1">IF(AND(ISNUMBER($BE$782),$B$511=1),$BE$782,HLOOKUP(INDIRECT(ADDRESS(2,COLUMN())),OFFSET($BN$2,0,0,ROW()-1,60),ROW()-1,FALSE))</f>
        <v/>
      </c>
      <c r="BF279" t="str">
        <f ca="1">IF(AND(ISNUMBER($BF$782),$B$511=1),$BF$782,HLOOKUP(INDIRECT(ADDRESS(2,COLUMN())),OFFSET($BN$2,0,0,ROW()-1,60),ROW()-1,FALSE))</f>
        <v/>
      </c>
      <c r="BG279" t="str">
        <f ca="1">IF(AND(ISNUMBER($BG$782),$B$511=1),$BG$782,HLOOKUP(INDIRECT(ADDRESS(2,COLUMN())),OFFSET($BN$2,0,0,ROW()-1,60),ROW()-1,FALSE))</f>
        <v/>
      </c>
      <c r="BH279" t="str">
        <f ca="1">IF(AND(ISNUMBER($BH$782),$B$511=1),$BH$782,HLOOKUP(INDIRECT(ADDRESS(2,COLUMN())),OFFSET($BN$2,0,0,ROW()-1,60),ROW()-1,FALSE))</f>
        <v/>
      </c>
      <c r="BI279" t="str">
        <f ca="1">IF(AND(ISNUMBER($BI$782),$B$511=1),$BI$782,HLOOKUP(INDIRECT(ADDRESS(2,COLUMN())),OFFSET($BN$2,0,0,ROW()-1,60),ROW()-1,FALSE))</f>
        <v/>
      </c>
      <c r="BJ279" t="str">
        <f ca="1">IF(AND(ISNUMBER($BJ$782),$B$511=1),$BJ$782,HLOOKUP(INDIRECT(ADDRESS(2,COLUMN())),OFFSET($BN$2,0,0,ROW()-1,60),ROW()-1,FALSE))</f>
        <v/>
      </c>
      <c r="BK279" t="str">
        <f ca="1">IF(AND(ISNUMBER($BK$782),$B$511=1),$BK$782,HLOOKUP(INDIRECT(ADDRESS(2,COLUMN())),OFFSET($BN$2,0,0,ROW()-1,60),ROW()-1,FALSE))</f>
        <v/>
      </c>
      <c r="BL279" t="str">
        <f ca="1">IF(AND(ISNUMBER($BL$782),$B$511=1),$BL$782,HLOOKUP(INDIRECT(ADDRESS(2,COLUMN())),OFFSET($BN$2,0,0,ROW()-1,60),ROW()-1,FALSE))</f>
        <v/>
      </c>
      <c r="BM279" t="str">
        <f ca="1">IF(AND(ISNUMBER($BM$782),$B$511=1),$BM$782,HLOOKUP(INDIRECT(ADDRESS(2,COLUMN())),OFFSET($BN$2,0,0,ROW()-1,60),ROW()-1,FALSE))</f>
        <v/>
      </c>
      <c r="BN279" t="str">
        <f>""</f>
        <v/>
      </c>
      <c r="BO279" t="str">
        <f>""</f>
        <v/>
      </c>
      <c r="BP279" t="str">
        <f>""</f>
        <v/>
      </c>
      <c r="BQ279" t="str">
        <f>""</f>
        <v/>
      </c>
      <c r="BR279" t="str">
        <f>""</f>
        <v/>
      </c>
      <c r="BS279" t="str">
        <f>""</f>
        <v/>
      </c>
      <c r="BT279" t="str">
        <f>""</f>
        <v/>
      </c>
      <c r="BU279" t="str">
        <f>""</f>
        <v/>
      </c>
      <c r="BV279" t="str">
        <f>""</f>
        <v/>
      </c>
      <c r="BW279" t="str">
        <f>""</f>
        <v/>
      </c>
      <c r="BX279" t="str">
        <f>""</f>
        <v/>
      </c>
      <c r="BY279" t="str">
        <f>""</f>
        <v/>
      </c>
      <c r="BZ279" t="str">
        <f>""</f>
        <v/>
      </c>
      <c r="CA279" t="str">
        <f>""</f>
        <v/>
      </c>
      <c r="CB279" t="str">
        <f>""</f>
        <v/>
      </c>
      <c r="CC279" t="str">
        <f>""</f>
        <v/>
      </c>
      <c r="CD279" t="str">
        <f>""</f>
        <v/>
      </c>
      <c r="CE279" t="str">
        <f>""</f>
        <v/>
      </c>
      <c r="CF279" t="str">
        <f>""</f>
        <v/>
      </c>
      <c r="CG279" t="str">
        <f>""</f>
        <v/>
      </c>
      <c r="CH279" t="str">
        <f>""</f>
        <v/>
      </c>
      <c r="CI279" t="str">
        <f>""</f>
        <v/>
      </c>
      <c r="CJ279" t="str">
        <f>""</f>
        <v/>
      </c>
      <c r="CK279" t="str">
        <f>""</f>
        <v/>
      </c>
      <c r="CL279" t="str">
        <f>""</f>
        <v/>
      </c>
      <c r="CM279" t="str">
        <f>""</f>
        <v/>
      </c>
      <c r="CN279" t="str">
        <f>""</f>
        <v/>
      </c>
      <c r="CO279" t="str">
        <f>""</f>
        <v/>
      </c>
      <c r="CP279" t="str">
        <f>""</f>
        <v/>
      </c>
      <c r="CQ279" t="str">
        <f>""</f>
        <v/>
      </c>
      <c r="CR279" t="str">
        <f>""</f>
        <v/>
      </c>
      <c r="CS279" t="str">
        <f>""</f>
        <v/>
      </c>
      <c r="CT279" t="str">
        <f>""</f>
        <v/>
      </c>
      <c r="CU279" t="str">
        <f>""</f>
        <v/>
      </c>
      <c r="CV279" t="str">
        <f>""</f>
        <v/>
      </c>
      <c r="CW279" t="str">
        <f>""</f>
        <v/>
      </c>
      <c r="CX279" t="str">
        <f>""</f>
        <v/>
      </c>
      <c r="CY279" t="str">
        <f>""</f>
        <v/>
      </c>
      <c r="CZ279" t="str">
        <f>""</f>
        <v/>
      </c>
      <c r="DA279" t="str">
        <f>""</f>
        <v/>
      </c>
      <c r="DB279" t="str">
        <f>""</f>
        <v/>
      </c>
      <c r="DC279" t="str">
        <f>""</f>
        <v/>
      </c>
      <c r="DD279" t="str">
        <f>""</f>
        <v/>
      </c>
      <c r="DE279" t="str">
        <f>""</f>
        <v/>
      </c>
      <c r="DF279" t="str">
        <f>""</f>
        <v/>
      </c>
      <c r="DG279" t="str">
        <f>""</f>
        <v/>
      </c>
      <c r="DH279" t="str">
        <f>""</f>
        <v/>
      </c>
      <c r="DI279" t="str">
        <f>""</f>
        <v/>
      </c>
      <c r="DJ279" t="str">
        <f>""</f>
        <v/>
      </c>
      <c r="DK279" t="str">
        <f>""</f>
        <v/>
      </c>
      <c r="DL279" t="str">
        <f>""</f>
        <v/>
      </c>
      <c r="DM279" t="str">
        <f>""</f>
        <v/>
      </c>
      <c r="DN279" t="str">
        <f>""</f>
        <v/>
      </c>
      <c r="DO279" t="str">
        <f>""</f>
        <v/>
      </c>
      <c r="DP279" t="str">
        <f>""</f>
        <v/>
      </c>
      <c r="DQ279" t="str">
        <f>""</f>
        <v/>
      </c>
      <c r="DR279" t="str">
        <f>""</f>
        <v/>
      </c>
      <c r="DS279" t="str">
        <f>""</f>
        <v/>
      </c>
      <c r="DT279" t="str">
        <f>""</f>
        <v/>
      </c>
      <c r="DU279" t="str">
        <f>""</f>
        <v/>
      </c>
    </row>
    <row r="280" spans="1:125" x14ac:dyDescent="0.25">
      <c r="A280" t="str">
        <f>"    Ssangyong Motor Co"</f>
        <v xml:space="preserve">    Ssangyong Motor Co</v>
      </c>
      <c r="B280" t="str">
        <f>"003620 KS Equity"</f>
        <v>003620 KS Equity</v>
      </c>
      <c r="C280" t="str">
        <f t="shared" si="18"/>
        <v>RR010</v>
      </c>
      <c r="D280" t="str">
        <f t="shared" si="19"/>
        <v>TOT_COMMON_EQY</v>
      </c>
      <c r="E280" t="str">
        <f t="shared" si="20"/>
        <v>Dynamic</v>
      </c>
      <c r="F280" t="str">
        <f ca="1">IF(AND(ISNUMBER($F$783),$B$511=1),$F$783,HLOOKUP(INDIRECT(ADDRESS(2,COLUMN())),OFFSET($BN$2,0,0,ROW()-1,60),ROW()-1,FALSE))</f>
        <v/>
      </c>
      <c r="G280" t="str">
        <f ca="1">IF(AND(ISNUMBER($G$783),$B$511=1),$G$783,HLOOKUP(INDIRECT(ADDRESS(2,COLUMN())),OFFSET($BN$2,0,0,ROW()-1,60),ROW()-1,FALSE))</f>
        <v/>
      </c>
      <c r="H280">
        <f ca="1">IF(AND(ISNUMBER($H$783),$B$511=1),$H$783,HLOOKUP(INDIRECT(ADDRESS(2,COLUMN())),OFFSET($BN$2,0,0,ROW()-1,60),ROW()-1,FALSE))</f>
        <v>647.13001559999998</v>
      </c>
      <c r="I280">
        <f ca="1">IF(AND(ISNUMBER($I$783),$B$511=1),$I$783,HLOOKUP(INDIRECT(ADDRESS(2,COLUMN())),OFFSET($BN$2,0,0,ROW()-1,60),ROW()-1,FALSE))</f>
        <v>660.78120790000003</v>
      </c>
      <c r="J280">
        <f ca="1">IF(AND(ISNUMBER($J$783),$B$511=1),$J$783,HLOOKUP(INDIRECT(ADDRESS(2,COLUMN())),OFFSET($BN$2,0,0,ROW()-1,60),ROW()-1,FALSE))</f>
        <v>699.07963840000002</v>
      </c>
      <c r="K280">
        <f ca="1">IF(AND(ISNUMBER($K$783),$B$511=1),$K$783,HLOOKUP(INDIRECT(ADDRESS(2,COLUMN())),OFFSET($BN$2,0,0,ROW()-1,60),ROW()-1,FALSE))</f>
        <v>726.24249220000002</v>
      </c>
      <c r="L280">
        <f ca="1">IF(AND(ISNUMBER($L$783),$B$511=1),$L$783,HLOOKUP(INDIRECT(ADDRESS(2,COLUMN())),OFFSET($BN$2,0,0,ROW()-1,60),ROW()-1,FALSE))</f>
        <v>685.26144050000005</v>
      </c>
      <c r="M280">
        <f ca="1">IF(AND(ISNUMBER($M$783),$B$511=1),$M$783,HLOOKUP(INDIRECT(ADDRESS(2,COLUMN())),OFFSET($BN$2,0,0,ROW()-1,60),ROW()-1,FALSE))</f>
        <v>702.01292909999995</v>
      </c>
      <c r="N280">
        <f ca="1">IF(AND(ISNUMBER($N$783),$B$511=1),$N$783,HLOOKUP(INDIRECT(ADDRESS(2,COLUMN())),OFFSET($BN$2,0,0,ROW()-1,60),ROW()-1,FALSE))</f>
        <v>728.02751769999998</v>
      </c>
      <c r="O280">
        <f ca="1">IF(AND(ISNUMBER($O$783),$B$511=1),$O$783,HLOOKUP(INDIRECT(ADDRESS(2,COLUMN())),OFFSET($BN$2,0,0,ROW()-1,60),ROW()-1,FALSE))</f>
        <v>672.76544090000004</v>
      </c>
      <c r="P280">
        <f ca="1">IF(AND(ISNUMBER($P$783),$B$511=1),$P$783,HLOOKUP(INDIRECT(ADDRESS(2,COLUMN())),OFFSET($BN$2,0,0,ROW()-1,60),ROW()-1,FALSE))</f>
        <v>687.72102600000005</v>
      </c>
      <c r="Q280">
        <f ca="1">IF(AND(ISNUMBER($Q$783),$B$511=1),$Q$783,HLOOKUP(INDIRECT(ADDRESS(2,COLUMN())),OFFSET($BN$2,0,0,ROW()-1,60),ROW()-1,FALSE))</f>
        <v>641.11551870000005</v>
      </c>
      <c r="R280">
        <f ca="1">IF(AND(ISNUMBER($R$783),$B$511=1),$R$783,HLOOKUP(INDIRECT(ADDRESS(2,COLUMN())),OFFSET($BN$2,0,0,ROW()-1,60),ROW()-1,FALSE))</f>
        <v>631.66342710000004</v>
      </c>
      <c r="S280">
        <f ca="1">IF(AND(ISNUMBER($S$783),$B$511=1),$S$783,HLOOKUP(INDIRECT(ADDRESS(2,COLUMN())),OFFSET($BN$2,0,0,ROW()-1,60),ROW()-1,FALSE))</f>
        <v>609.80820670000003</v>
      </c>
      <c r="T280">
        <f ca="1">IF(AND(ISNUMBER($T$783),$B$511=1),$T$783,HLOOKUP(INDIRECT(ADDRESS(2,COLUMN())),OFFSET($BN$2,0,0,ROW()-1,60),ROW()-1,FALSE))</f>
        <v>585.62948119999999</v>
      </c>
      <c r="U280">
        <f ca="1">IF(AND(ISNUMBER($U$783),$B$511=1),$U$783,HLOOKUP(INDIRECT(ADDRESS(2,COLUMN())),OFFSET($BN$2,0,0,ROW()-1,60),ROW()-1,FALSE))</f>
        <v>651.28686489999996</v>
      </c>
      <c r="V280">
        <f ca="1">IF(AND(ISNUMBER($V$783),$B$511=1),$V$783,HLOOKUP(INDIRECT(ADDRESS(2,COLUMN())),OFFSET($BN$2,0,0,ROW()-1,60),ROW()-1,FALSE))</f>
        <v>677.30718420000005</v>
      </c>
      <c r="W280">
        <f ca="1">IF(AND(ISNUMBER($W$783),$B$511=1),$W$783,HLOOKUP(INDIRECT(ADDRESS(2,COLUMN())),OFFSET($BN$2,0,0,ROW()-1,60),ROW()-1,FALSE))</f>
        <v>711.17369499999995</v>
      </c>
      <c r="X280">
        <f ca="1">IF(AND(ISNUMBER($X$783),$B$511=1),$X$783,HLOOKUP(INDIRECT(ADDRESS(2,COLUMN())),OFFSET($BN$2,0,0,ROW()-1,60),ROW()-1,FALSE))</f>
        <v>776.52167110000005</v>
      </c>
      <c r="Y280">
        <f ca="1">IF(AND(ISNUMBER($Y$783),$B$511=1),$Y$783,HLOOKUP(INDIRECT(ADDRESS(2,COLUMN())),OFFSET($BN$2,0,0,ROW()-1,60),ROW()-1,FALSE))</f>
        <v>837.1665395</v>
      </c>
      <c r="Z280">
        <f ca="1">IF(AND(ISNUMBER($Z$783),$B$511=1),$Z$783,HLOOKUP(INDIRECT(ADDRESS(2,COLUMN())),OFFSET($BN$2,0,0,ROW()-1,60),ROW()-1,FALSE))</f>
        <v>829.3808123</v>
      </c>
      <c r="AA280">
        <f ca="1">IF(AND(ISNUMBER($AA$783),$B$511=1),$AA$783,HLOOKUP(INDIRECT(ADDRESS(2,COLUMN())),OFFSET($BN$2,0,0,ROW()-1,60),ROW()-1,FALSE))</f>
        <v>839.81370949999996</v>
      </c>
      <c r="AB280">
        <f ca="1">IF(AND(ISNUMBER($AB$783),$B$511=1),$AB$783,HLOOKUP(INDIRECT(ADDRESS(2,COLUMN())),OFFSET($BN$2,0,0,ROW()-1,60),ROW()-1,FALSE))</f>
        <v>822.71448699999996</v>
      </c>
      <c r="AC280">
        <f ca="1">IF(AND(ISNUMBER($AC$783),$B$511=1),$AC$783,HLOOKUP(INDIRECT(ADDRESS(2,COLUMN())),OFFSET($BN$2,0,0,ROW()-1,60),ROW()-1,FALSE))</f>
        <v>724.93613500000004</v>
      </c>
      <c r="AD280">
        <f ca="1">IF(AND(ISNUMBER($AD$783),$B$511=1),$AD$783,HLOOKUP(INDIRECT(ADDRESS(2,COLUMN())),OFFSET($BN$2,0,0,ROW()-1,60),ROW()-1,FALSE))</f>
        <v>693.531924</v>
      </c>
      <c r="AE280">
        <f ca="1">IF(AND(ISNUMBER($AE$783),$B$511=1),$AE$783,HLOOKUP(INDIRECT(ADDRESS(2,COLUMN())),OFFSET($BN$2,0,0,ROW()-1,60),ROW()-1,FALSE))</f>
        <v>752.67940309999994</v>
      </c>
      <c r="AF280" t="str">
        <f ca="1">IF(AND(ISNUMBER($AF$783),$B$511=1),$AF$783,HLOOKUP(INDIRECT(ADDRESS(2,COLUMN())),OFFSET($BN$2,0,0,ROW()-1,60),ROW()-1,FALSE))</f>
        <v/>
      </c>
      <c r="AG280" t="str">
        <f ca="1">IF(AND(ISNUMBER($AG$783),$B$511=1),$AG$783,HLOOKUP(INDIRECT(ADDRESS(2,COLUMN())),OFFSET($BN$2,0,0,ROW()-1,60),ROW()-1,FALSE))</f>
        <v/>
      </c>
      <c r="AH280" t="str">
        <f ca="1">IF(AND(ISNUMBER($AH$783),$B$511=1),$AH$783,HLOOKUP(INDIRECT(ADDRESS(2,COLUMN())),OFFSET($BN$2,0,0,ROW()-1,60),ROW()-1,FALSE))</f>
        <v/>
      </c>
      <c r="AI280" t="str">
        <f ca="1">IF(AND(ISNUMBER($AI$783),$B$511=1),$AI$783,HLOOKUP(INDIRECT(ADDRESS(2,COLUMN())),OFFSET($BN$2,0,0,ROW()-1,60),ROW()-1,FALSE))</f>
        <v/>
      </c>
      <c r="AJ280" t="str">
        <f ca="1">IF(AND(ISNUMBER($AJ$783),$B$511=1),$AJ$783,HLOOKUP(INDIRECT(ADDRESS(2,COLUMN())),OFFSET($BN$2,0,0,ROW()-1,60),ROW()-1,FALSE))</f>
        <v/>
      </c>
      <c r="AK280" t="str">
        <f ca="1">IF(AND(ISNUMBER($AK$783),$B$511=1),$AK$783,HLOOKUP(INDIRECT(ADDRESS(2,COLUMN())),OFFSET($BN$2,0,0,ROW()-1,60),ROW()-1,FALSE))</f>
        <v/>
      </c>
      <c r="AL280" t="str">
        <f ca="1">IF(AND(ISNUMBER($AL$783),$B$511=1),$AL$783,HLOOKUP(INDIRECT(ADDRESS(2,COLUMN())),OFFSET($BN$2,0,0,ROW()-1,60),ROW()-1,FALSE))</f>
        <v/>
      </c>
      <c r="AM280" t="str">
        <f ca="1">IF(AND(ISNUMBER($AM$783),$B$511=1),$AM$783,HLOOKUP(INDIRECT(ADDRESS(2,COLUMN())),OFFSET($BN$2,0,0,ROW()-1,60),ROW()-1,FALSE))</f>
        <v/>
      </c>
      <c r="AN280" t="str">
        <f ca="1">IF(AND(ISNUMBER($AN$783),$B$511=1),$AN$783,HLOOKUP(INDIRECT(ADDRESS(2,COLUMN())),OFFSET($BN$2,0,0,ROW()-1,60),ROW()-1,FALSE))</f>
        <v/>
      </c>
      <c r="AO280" t="str">
        <f ca="1">IF(AND(ISNUMBER($AO$783),$B$511=1),$AO$783,HLOOKUP(INDIRECT(ADDRESS(2,COLUMN())),OFFSET($BN$2,0,0,ROW()-1,60),ROW()-1,FALSE))</f>
        <v/>
      </c>
      <c r="AP280" t="str">
        <f ca="1">IF(AND(ISNUMBER($AP$783),$B$511=1),$AP$783,HLOOKUP(INDIRECT(ADDRESS(2,COLUMN())),OFFSET($BN$2,0,0,ROW()-1,60),ROW()-1,FALSE))</f>
        <v/>
      </c>
      <c r="AQ280" t="str">
        <f ca="1">IF(AND(ISNUMBER($AQ$783),$B$511=1),$AQ$783,HLOOKUP(INDIRECT(ADDRESS(2,COLUMN())),OFFSET($BN$2,0,0,ROW()-1,60),ROW()-1,FALSE))</f>
        <v/>
      </c>
      <c r="AR280" t="str">
        <f ca="1">IF(AND(ISNUMBER($AR$783),$B$511=1),$AR$783,HLOOKUP(INDIRECT(ADDRESS(2,COLUMN())),OFFSET($BN$2,0,0,ROW()-1,60),ROW()-1,FALSE))</f>
        <v/>
      </c>
      <c r="AS280" t="str">
        <f ca="1">IF(AND(ISNUMBER($AS$783),$B$511=1),$AS$783,HLOOKUP(INDIRECT(ADDRESS(2,COLUMN())),OFFSET($BN$2,0,0,ROW()-1,60),ROW()-1,FALSE))</f>
        <v/>
      </c>
      <c r="AT280" t="str">
        <f ca="1">IF(AND(ISNUMBER($AT$783),$B$511=1),$AT$783,HLOOKUP(INDIRECT(ADDRESS(2,COLUMN())),OFFSET($BN$2,0,0,ROW()-1,60),ROW()-1,FALSE))</f>
        <v/>
      </c>
      <c r="AU280" t="str">
        <f ca="1">IF(AND(ISNUMBER($AU$783),$B$511=1),$AU$783,HLOOKUP(INDIRECT(ADDRESS(2,COLUMN())),OFFSET($BN$2,0,0,ROW()-1,60),ROW()-1,FALSE))</f>
        <v/>
      </c>
      <c r="AV280" t="str">
        <f ca="1">IF(AND(ISNUMBER($AV$783),$B$511=1),$AV$783,HLOOKUP(INDIRECT(ADDRESS(2,COLUMN())),OFFSET($BN$2,0,0,ROW()-1,60),ROW()-1,FALSE))</f>
        <v/>
      </c>
      <c r="AW280" t="str">
        <f ca="1">IF(AND(ISNUMBER($AW$783),$B$511=1),$AW$783,HLOOKUP(INDIRECT(ADDRESS(2,COLUMN())),OFFSET($BN$2,0,0,ROW()-1,60),ROW()-1,FALSE))</f>
        <v/>
      </c>
      <c r="AX280" t="str">
        <f ca="1">IF(AND(ISNUMBER($AX$783),$B$511=1),$AX$783,HLOOKUP(INDIRECT(ADDRESS(2,COLUMN())),OFFSET($BN$2,0,0,ROW()-1,60),ROW()-1,FALSE))</f>
        <v/>
      </c>
      <c r="AY280" t="str">
        <f ca="1">IF(AND(ISNUMBER($AY$783),$B$511=1),$AY$783,HLOOKUP(INDIRECT(ADDRESS(2,COLUMN())),OFFSET($BN$2,0,0,ROW()-1,60),ROW()-1,FALSE))</f>
        <v/>
      </c>
      <c r="AZ280" t="str">
        <f ca="1">IF(AND(ISNUMBER($AZ$783),$B$511=1),$AZ$783,HLOOKUP(INDIRECT(ADDRESS(2,COLUMN())),OFFSET($BN$2,0,0,ROW()-1,60),ROW()-1,FALSE))</f>
        <v/>
      </c>
      <c r="BA280" t="str">
        <f ca="1">IF(AND(ISNUMBER($BA$783),$B$511=1),$BA$783,HLOOKUP(INDIRECT(ADDRESS(2,COLUMN())),OFFSET($BN$2,0,0,ROW()-1,60),ROW()-1,FALSE))</f>
        <v/>
      </c>
      <c r="BB280" t="str">
        <f ca="1">IF(AND(ISNUMBER($BB$783),$B$511=1),$BB$783,HLOOKUP(INDIRECT(ADDRESS(2,COLUMN())),OFFSET($BN$2,0,0,ROW()-1,60),ROW()-1,FALSE))</f>
        <v/>
      </c>
      <c r="BC280" t="str">
        <f ca="1">IF(AND(ISNUMBER($BC$783),$B$511=1),$BC$783,HLOOKUP(INDIRECT(ADDRESS(2,COLUMN())),OFFSET($BN$2,0,0,ROW()-1,60),ROW()-1,FALSE))</f>
        <v/>
      </c>
      <c r="BD280" t="str">
        <f ca="1">IF(AND(ISNUMBER($BD$783),$B$511=1),$BD$783,HLOOKUP(INDIRECT(ADDRESS(2,COLUMN())),OFFSET($BN$2,0,0,ROW()-1,60),ROW()-1,FALSE))</f>
        <v/>
      </c>
      <c r="BE280" t="str">
        <f ca="1">IF(AND(ISNUMBER($BE$783),$B$511=1),$BE$783,HLOOKUP(INDIRECT(ADDRESS(2,COLUMN())),OFFSET($BN$2,0,0,ROW()-1,60),ROW()-1,FALSE))</f>
        <v/>
      </c>
      <c r="BF280" t="str">
        <f ca="1">IF(AND(ISNUMBER($BF$783),$B$511=1),$BF$783,HLOOKUP(INDIRECT(ADDRESS(2,COLUMN())),OFFSET($BN$2,0,0,ROW()-1,60),ROW()-1,FALSE))</f>
        <v/>
      </c>
      <c r="BG280" t="str">
        <f ca="1">IF(AND(ISNUMBER($BG$783),$B$511=1),$BG$783,HLOOKUP(INDIRECT(ADDRESS(2,COLUMN())),OFFSET($BN$2,0,0,ROW()-1,60),ROW()-1,FALSE))</f>
        <v/>
      </c>
      <c r="BH280" t="str">
        <f ca="1">IF(AND(ISNUMBER($BH$783),$B$511=1),$BH$783,HLOOKUP(INDIRECT(ADDRESS(2,COLUMN())),OFFSET($BN$2,0,0,ROW()-1,60),ROW()-1,FALSE))</f>
        <v/>
      </c>
      <c r="BI280" t="str">
        <f ca="1">IF(AND(ISNUMBER($BI$783),$B$511=1),$BI$783,HLOOKUP(INDIRECT(ADDRESS(2,COLUMN())),OFFSET($BN$2,0,0,ROW()-1,60),ROW()-1,FALSE))</f>
        <v/>
      </c>
      <c r="BJ280" t="str">
        <f ca="1">IF(AND(ISNUMBER($BJ$783),$B$511=1),$BJ$783,HLOOKUP(INDIRECT(ADDRESS(2,COLUMN())),OFFSET($BN$2,0,0,ROW()-1,60),ROW()-1,FALSE))</f>
        <v/>
      </c>
      <c r="BK280" t="str">
        <f ca="1">IF(AND(ISNUMBER($BK$783),$B$511=1),$BK$783,HLOOKUP(INDIRECT(ADDRESS(2,COLUMN())),OFFSET($BN$2,0,0,ROW()-1,60),ROW()-1,FALSE))</f>
        <v/>
      </c>
      <c r="BL280" t="str">
        <f ca="1">IF(AND(ISNUMBER($BL$783),$B$511=1),$BL$783,HLOOKUP(INDIRECT(ADDRESS(2,COLUMN())),OFFSET($BN$2,0,0,ROW()-1,60),ROW()-1,FALSE))</f>
        <v/>
      </c>
      <c r="BM280" t="str">
        <f ca="1">IF(AND(ISNUMBER($BM$783),$B$511=1),$BM$783,HLOOKUP(INDIRECT(ADDRESS(2,COLUMN())),OFFSET($BN$2,0,0,ROW()-1,60),ROW()-1,FALSE))</f>
        <v/>
      </c>
      <c r="BN280" t="str">
        <f>""</f>
        <v/>
      </c>
      <c r="BO280" t="str">
        <f>""</f>
        <v/>
      </c>
      <c r="BP280">
        <f>647.1300156</f>
        <v>647.13001559999998</v>
      </c>
      <c r="BQ280">
        <f>660.7812079</f>
        <v>660.78120790000003</v>
      </c>
      <c r="BR280">
        <f>699.0796384</f>
        <v>699.07963840000002</v>
      </c>
      <c r="BS280">
        <f>726.2424922</f>
        <v>726.24249220000002</v>
      </c>
      <c r="BT280">
        <f>685.2614405</f>
        <v>685.26144050000005</v>
      </c>
      <c r="BU280">
        <f>702.0129291</f>
        <v>702.01292909999995</v>
      </c>
      <c r="BV280">
        <f>728.0275177</f>
        <v>728.02751769999998</v>
      </c>
      <c r="BW280">
        <f>672.7654409</f>
        <v>672.76544090000004</v>
      </c>
      <c r="BX280">
        <f>687.721026</f>
        <v>687.72102600000005</v>
      </c>
      <c r="BY280">
        <f>641.1155187</f>
        <v>641.11551870000005</v>
      </c>
      <c r="BZ280">
        <f>631.6634271</f>
        <v>631.66342710000004</v>
      </c>
      <c r="CA280">
        <f>609.8082067</f>
        <v>609.80820670000003</v>
      </c>
      <c r="CB280">
        <f>585.6294812</f>
        <v>585.62948119999999</v>
      </c>
      <c r="CC280">
        <f>651.2868649</f>
        <v>651.28686489999996</v>
      </c>
      <c r="CD280">
        <f>677.3071842</f>
        <v>677.30718420000005</v>
      </c>
      <c r="CE280">
        <f>711.173695</f>
        <v>711.17369499999995</v>
      </c>
      <c r="CF280">
        <f>776.5216711</f>
        <v>776.52167110000005</v>
      </c>
      <c r="CG280">
        <f>837.1665395</f>
        <v>837.1665395</v>
      </c>
      <c r="CH280">
        <f>829.3808123</f>
        <v>829.3808123</v>
      </c>
      <c r="CI280">
        <f>839.8137095</f>
        <v>839.81370949999996</v>
      </c>
      <c r="CJ280">
        <f>822.714487</f>
        <v>822.71448699999996</v>
      </c>
      <c r="CK280">
        <f>724.936135</f>
        <v>724.93613500000004</v>
      </c>
      <c r="CL280">
        <f>693.531924</f>
        <v>693.531924</v>
      </c>
      <c r="CM280">
        <f>752.6794031</f>
        <v>752.67940309999994</v>
      </c>
      <c r="CN280" t="str">
        <f>""</f>
        <v/>
      </c>
      <c r="CO280" t="str">
        <f>""</f>
        <v/>
      </c>
      <c r="CP280" t="str">
        <f>""</f>
        <v/>
      </c>
      <c r="CQ280" t="str">
        <f>""</f>
        <v/>
      </c>
      <c r="CR280" t="str">
        <f>""</f>
        <v/>
      </c>
      <c r="CS280" t="str">
        <f>""</f>
        <v/>
      </c>
      <c r="CT280" t="str">
        <f>""</f>
        <v/>
      </c>
      <c r="CU280" t="str">
        <f>""</f>
        <v/>
      </c>
      <c r="CV280" t="str">
        <f>""</f>
        <v/>
      </c>
      <c r="CW280" t="str">
        <f>""</f>
        <v/>
      </c>
      <c r="CX280" t="str">
        <f>""</f>
        <v/>
      </c>
      <c r="CY280" t="str">
        <f>""</f>
        <v/>
      </c>
      <c r="CZ280" t="str">
        <f>""</f>
        <v/>
      </c>
      <c r="DA280" t="str">
        <f>""</f>
        <v/>
      </c>
      <c r="DB280" t="str">
        <f>""</f>
        <v/>
      </c>
      <c r="DC280" t="str">
        <f>""</f>
        <v/>
      </c>
      <c r="DD280" t="str">
        <f>""</f>
        <v/>
      </c>
      <c r="DE280" t="str">
        <f>""</f>
        <v/>
      </c>
      <c r="DF280" t="str">
        <f>""</f>
        <v/>
      </c>
      <c r="DG280" t="str">
        <f>""</f>
        <v/>
      </c>
      <c r="DH280" t="str">
        <f>""</f>
        <v/>
      </c>
      <c r="DI280" t="str">
        <f>""</f>
        <v/>
      </c>
      <c r="DJ280" t="str">
        <f>""</f>
        <v/>
      </c>
      <c r="DK280" t="str">
        <f>""</f>
        <v/>
      </c>
      <c r="DL280" t="str">
        <f>""</f>
        <v/>
      </c>
      <c r="DM280" t="str">
        <f>""</f>
        <v/>
      </c>
      <c r="DN280" t="str">
        <f>""</f>
        <v/>
      </c>
      <c r="DO280" t="str">
        <f>""</f>
        <v/>
      </c>
      <c r="DP280" t="str">
        <f>""</f>
        <v/>
      </c>
      <c r="DQ280" t="str">
        <f>""</f>
        <v/>
      </c>
      <c r="DR280" t="str">
        <f>""</f>
        <v/>
      </c>
      <c r="DS280" t="str">
        <f>""</f>
        <v/>
      </c>
      <c r="DT280" t="str">
        <f>""</f>
        <v/>
      </c>
      <c r="DU280" t="str">
        <f>""</f>
        <v/>
      </c>
    </row>
    <row r="281" spans="1:125" x14ac:dyDescent="0.25">
      <c r="A281" t="str">
        <f>"    Subaru Corp"</f>
        <v xml:space="preserve">    Subaru Corp</v>
      </c>
      <c r="B281" t="str">
        <f>"7270 JP Equity"</f>
        <v>7270 JP Equity</v>
      </c>
      <c r="C281" t="str">
        <f t="shared" si="18"/>
        <v>RR010</v>
      </c>
      <c r="D281" t="str">
        <f t="shared" si="19"/>
        <v>TOT_COMMON_EQY</v>
      </c>
      <c r="E281" t="str">
        <f t="shared" si="20"/>
        <v>Dynamic</v>
      </c>
      <c r="F281" t="str">
        <f ca="1">IF(AND(ISNUMBER($F$784),$B$511=1),$F$784,HLOOKUP(INDIRECT(ADDRESS(2,COLUMN())),OFFSET($BN$2,0,0,ROW()-1,60),ROW()-1,FALSE))</f>
        <v/>
      </c>
      <c r="G281">
        <f ca="1">IF(AND(ISNUMBER($G$784),$B$511=1),$G$784,HLOOKUP(INDIRECT(ADDRESS(2,COLUMN())),OFFSET($BN$2,0,0,ROW()-1,60),ROW()-1,FALSE))</f>
        <v>14345.76874</v>
      </c>
      <c r="H281">
        <f ca="1">IF(AND(ISNUMBER($H$784),$B$511=1),$H$784,HLOOKUP(INDIRECT(ADDRESS(2,COLUMN())),OFFSET($BN$2,0,0,ROW()-1,60),ROW()-1,FALSE))</f>
        <v>13828.334800000001</v>
      </c>
      <c r="I281">
        <f ca="1">IF(AND(ISNUMBER($I$784),$B$511=1),$I$784,HLOOKUP(INDIRECT(ADDRESS(2,COLUMN())),OFFSET($BN$2,0,0,ROW()-1,60),ROW()-1,FALSE))</f>
        <v>14057.149299999999</v>
      </c>
      <c r="J281">
        <f ca="1">IF(AND(ISNUMBER($J$784),$B$511=1),$J$784,HLOOKUP(INDIRECT(ADDRESS(2,COLUMN())),OFFSET($BN$2,0,0,ROW()-1,60),ROW()-1,FALSE))</f>
        <v>14619.13011</v>
      </c>
      <c r="K281">
        <f ca="1">IF(AND(ISNUMBER($K$784),$B$511=1),$K$784,HLOOKUP(INDIRECT(ADDRESS(2,COLUMN())),OFFSET($BN$2,0,0,ROW()-1,60),ROW()-1,FALSE))</f>
        <v>13440.58447</v>
      </c>
      <c r="L281">
        <f ca="1">IF(AND(ISNUMBER($L$784),$B$511=1),$L$784,HLOOKUP(INDIRECT(ADDRESS(2,COLUMN())),OFFSET($BN$2,0,0,ROW()-1,60),ROW()-1,FALSE))</f>
        <v>13301.553900000001</v>
      </c>
      <c r="M281">
        <f ca="1">IF(AND(ISNUMBER($M$784),$B$511=1),$M$784,HLOOKUP(INDIRECT(ADDRESS(2,COLUMN())),OFFSET($BN$2,0,0,ROW()-1,60),ROW()-1,FALSE))</f>
        <v>13250.68981</v>
      </c>
      <c r="N281">
        <f ca="1">IF(AND(ISNUMBER($N$784),$B$511=1),$N$784,HLOOKUP(INDIRECT(ADDRESS(2,COLUMN())),OFFSET($BN$2,0,0,ROW()-1,60),ROW()-1,FALSE))</f>
        <v>13104.518910000001</v>
      </c>
      <c r="O281">
        <f ca="1">IF(AND(ISNUMBER($O$784),$B$511=1),$O$784,HLOOKUP(INDIRECT(ADDRESS(2,COLUMN())),OFFSET($BN$2,0,0,ROW()-1,60),ROW()-1,FALSE))</f>
        <v>11975.90021</v>
      </c>
      <c r="P281">
        <f ca="1">IF(AND(ISNUMBER($P$784),$B$511=1),$P$784,HLOOKUP(INDIRECT(ADDRESS(2,COLUMN())),OFFSET($BN$2,0,0,ROW()-1,60),ROW()-1,FALSE))</f>
        <v>13369.40747</v>
      </c>
      <c r="Q281">
        <f ca="1">IF(AND(ISNUMBER($Q$784),$B$511=1),$Q$784,HLOOKUP(INDIRECT(ADDRESS(2,COLUMN())),OFFSET($BN$2,0,0,ROW()-1,60),ROW()-1,FALSE))</f>
        <v>12925.51604</v>
      </c>
      <c r="R281">
        <f ca="1">IF(AND(ISNUMBER($R$784),$B$511=1),$R$784,HLOOKUP(INDIRECT(ADDRESS(2,COLUMN())),OFFSET($BN$2,0,0,ROW()-1,60),ROW()-1,FALSE))</f>
        <v>11944.284439999999</v>
      </c>
      <c r="S281">
        <f ca="1">IF(AND(ISNUMBER($S$784),$B$511=1),$S$784,HLOOKUP(INDIRECT(ADDRESS(2,COLUMN())),OFFSET($BN$2,0,0,ROW()-1,60),ROW()-1,FALSE))</f>
        <v>10601.855240000001</v>
      </c>
      <c r="T281">
        <f ca="1">IF(AND(ISNUMBER($T$784),$B$511=1),$T$784,HLOOKUP(INDIRECT(ADDRESS(2,COLUMN())),OFFSET($BN$2,0,0,ROW()-1,60),ROW()-1,FALSE))</f>
        <v>9905.0722819999992</v>
      </c>
      <c r="U281">
        <f ca="1">IF(AND(ISNUMBER($U$784),$B$511=1),$U$784,HLOOKUP(INDIRECT(ADDRESS(2,COLUMN())),OFFSET($BN$2,0,0,ROW()-1,60),ROW()-1,FALSE))</f>
        <v>8908.016705</v>
      </c>
      <c r="V281">
        <f ca="1">IF(AND(ISNUMBER($V$784),$B$511=1),$V$784,HLOOKUP(INDIRECT(ADDRESS(2,COLUMN())),OFFSET($BN$2,0,0,ROW()-1,60),ROW()-1,FALSE))</f>
        <v>8523.6932059999999</v>
      </c>
      <c r="W281">
        <f ca="1">IF(AND(ISNUMBER($W$784),$B$511=1),$W$784,HLOOKUP(INDIRECT(ADDRESS(2,COLUMN())),OFFSET($BN$2,0,0,ROW()-1,60),ROW()-1,FALSE))</f>
        <v>7972.6134849999999</v>
      </c>
      <c r="X281">
        <f ca="1">IF(AND(ISNUMBER($X$784),$B$511=1),$X$784,HLOOKUP(INDIRECT(ADDRESS(2,COLUMN())),OFFSET($BN$2,0,0,ROW()-1,60),ROW()-1,FALSE))</f>
        <v>7969.6151739999996</v>
      </c>
      <c r="Y281">
        <f ca="1">IF(AND(ISNUMBER($Y$784),$B$511=1),$Y$784,HLOOKUP(INDIRECT(ADDRESS(2,COLUMN())),OFFSET($BN$2,0,0,ROW()-1,60),ROW()-1,FALSE))</f>
        <v>7833.0733540000001</v>
      </c>
      <c r="Z281">
        <f ca="1">IF(AND(ISNUMBER($Z$784),$B$511=1),$Z$784,HLOOKUP(INDIRECT(ADDRESS(2,COLUMN())),OFFSET($BN$2,0,0,ROW()-1,60),ROW()-1,FALSE))</f>
        <v>7427.418259</v>
      </c>
      <c r="AA281">
        <f ca="1">IF(AND(ISNUMBER($AA$784),$B$511=1),$AA$784,HLOOKUP(INDIRECT(ADDRESS(2,COLUMN())),OFFSET($BN$2,0,0,ROW()-1,60),ROW()-1,FALSE))</f>
        <v>7231.6454489999996</v>
      </c>
      <c r="AB281">
        <f ca="1">IF(AND(ISNUMBER($AB$784),$B$511=1),$AB$784,HLOOKUP(INDIRECT(ADDRESS(2,COLUMN())),OFFSET($BN$2,0,0,ROW()-1,60),ROW()-1,FALSE))</f>
        <v>7211.0172080000002</v>
      </c>
      <c r="AC281">
        <f ca="1">IF(AND(ISNUMBER($AC$784),$B$511=1),$AC$784,HLOOKUP(INDIRECT(ADDRESS(2,COLUMN())),OFFSET($BN$2,0,0,ROW()-1,60),ROW()-1,FALSE))</f>
        <v>6523.2457469999999</v>
      </c>
      <c r="AD281">
        <f ca="1">IF(AND(ISNUMBER($AD$784),$B$511=1),$AD$784,HLOOKUP(INDIRECT(ADDRESS(2,COLUMN())),OFFSET($BN$2,0,0,ROW()-1,60),ROW()-1,FALSE))</f>
        <v>6318.8813419999997</v>
      </c>
      <c r="AE281">
        <f ca="1">IF(AND(ISNUMBER($AE$784),$B$511=1),$AE$784,HLOOKUP(INDIRECT(ADDRESS(2,COLUMN())),OFFSET($BN$2,0,0,ROW()-1,60),ROW()-1,FALSE))</f>
        <v>5859.4550909999998</v>
      </c>
      <c r="AF281">
        <f ca="1">IF(AND(ISNUMBER($AF$784),$B$511=1),$AF$784,HLOOKUP(INDIRECT(ADDRESS(2,COLUMN())),OFFSET($BN$2,0,0,ROW()-1,60),ROW()-1,FALSE))</f>
        <v>6125.936858</v>
      </c>
      <c r="AG281">
        <f ca="1">IF(AND(ISNUMBER($AG$784),$B$511=1),$AG$784,HLOOKUP(INDIRECT(ADDRESS(2,COLUMN())),OFFSET($BN$2,0,0,ROW()-1,60),ROW()-1,FALSE))</f>
        <v>5713.7343360000004</v>
      </c>
      <c r="AH281">
        <f ca="1">IF(AND(ISNUMBER($AH$784),$B$511=1),$AH$784,HLOOKUP(INDIRECT(ADDRESS(2,COLUMN())),OFFSET($BN$2,0,0,ROW()-1,60),ROW()-1,FALSE))</f>
        <v>5449.6187829999999</v>
      </c>
      <c r="AI281">
        <f ca="1">IF(AND(ISNUMBER($AI$784),$B$511=1),$AI$784,HLOOKUP(INDIRECT(ADDRESS(2,COLUMN())),OFFSET($BN$2,0,0,ROW()-1,60),ROW()-1,FALSE))</f>
        <v>5634.835693</v>
      </c>
      <c r="AJ281">
        <f ca="1">IF(AND(ISNUMBER($AJ$784),$B$511=1),$AJ$784,HLOOKUP(INDIRECT(ADDRESS(2,COLUMN())),OFFSET($BN$2,0,0,ROW()-1,60),ROW()-1,FALSE))</f>
        <v>5613.106041</v>
      </c>
      <c r="AK281">
        <f ca="1">IF(AND(ISNUMBER($AK$784),$B$511=1),$AK$784,HLOOKUP(INDIRECT(ADDRESS(2,COLUMN())),OFFSET($BN$2,0,0,ROW()-1,60),ROW()-1,FALSE))</f>
        <v>5433.3167830000002</v>
      </c>
      <c r="AL281">
        <f ca="1">IF(AND(ISNUMBER($AL$784),$B$511=1),$AL$784,HLOOKUP(INDIRECT(ADDRESS(2,COLUMN())),OFFSET($BN$2,0,0,ROW()-1,60),ROW()-1,FALSE))</f>
        <v>4982.0234209999999</v>
      </c>
      <c r="AM281">
        <f ca="1">IF(AND(ISNUMBER($AM$784),$B$511=1),$AM$784,HLOOKUP(INDIRECT(ADDRESS(2,COLUMN())),OFFSET($BN$2,0,0,ROW()-1,60),ROW()-1,FALSE))</f>
        <v>5147.5797510000002</v>
      </c>
      <c r="AN281">
        <f ca="1">IF(AND(ISNUMBER($AN$784),$B$511=1),$AN$784,HLOOKUP(INDIRECT(ADDRESS(2,COLUMN())),OFFSET($BN$2,0,0,ROW()-1,60),ROW()-1,FALSE))</f>
        <v>4891.3850949999996</v>
      </c>
      <c r="AO281">
        <f ca="1">IF(AND(ISNUMBER($AO$784),$B$511=1),$AO$784,HLOOKUP(INDIRECT(ADDRESS(2,COLUMN())),OFFSET($BN$2,0,0,ROW()-1,60),ROW()-1,FALSE))</f>
        <v>4417.1257619999997</v>
      </c>
      <c r="AP281">
        <f ca="1">IF(AND(ISNUMBER($AP$784),$B$511=1),$AP$784,HLOOKUP(INDIRECT(ADDRESS(2,COLUMN())),OFFSET($BN$2,0,0,ROW()-1,60),ROW()-1,FALSE))</f>
        <v>4073.0629279999998</v>
      </c>
      <c r="AQ281">
        <f ca="1">IF(AND(ISNUMBER($AQ$784),$B$511=1),$AQ$784,HLOOKUP(INDIRECT(ADDRESS(2,COLUMN())),OFFSET($BN$2,0,0,ROW()-1,60),ROW()-1,FALSE))</f>
        <v>4066.9529739999998</v>
      </c>
      <c r="AR281">
        <f ca="1">IF(AND(ISNUMBER($AR$784),$B$511=1),$AR$784,HLOOKUP(INDIRECT(ADDRESS(2,COLUMN())),OFFSET($BN$2,0,0,ROW()-1,60),ROW()-1,FALSE))</f>
        <v>4123.9964319999999</v>
      </c>
      <c r="AS281">
        <f ca="1">IF(AND(ISNUMBER($AS$784),$B$511=1),$AS$784,HLOOKUP(INDIRECT(ADDRESS(2,COLUMN())),OFFSET($BN$2,0,0,ROW()-1,60),ROW()-1,FALSE))</f>
        <v>3920.7952660000001</v>
      </c>
      <c r="AT281">
        <f ca="1">IF(AND(ISNUMBER($AT$784),$B$511=1),$AT$784,HLOOKUP(INDIRECT(ADDRESS(2,COLUMN())),OFFSET($BN$2,0,0,ROW()-1,60),ROW()-1,FALSE))</f>
        <v>3965.2340210000002</v>
      </c>
      <c r="AU281">
        <f ca="1">IF(AND(ISNUMBER($AU$784),$B$511=1),$AU$784,HLOOKUP(INDIRECT(ADDRESS(2,COLUMN())),OFFSET($BN$2,0,0,ROW()-1,60),ROW()-1,FALSE))</f>
        <v>5116.940192</v>
      </c>
      <c r="AV281">
        <f ca="1">IF(AND(ISNUMBER($AV$784),$B$511=1),$AV$784,HLOOKUP(INDIRECT(ADDRESS(2,COLUMN())),OFFSET($BN$2,0,0,ROW()-1,60),ROW()-1,FALSE))</f>
        <v>4707.5713340000002</v>
      </c>
      <c r="AW281">
        <f ca="1">IF(AND(ISNUMBER($AW$784),$B$511=1),$AW$784,HLOOKUP(INDIRECT(ADDRESS(2,COLUMN())),OFFSET($BN$2,0,0,ROW()-1,60),ROW()-1,FALSE))</f>
        <v>4349.7975329999999</v>
      </c>
      <c r="AX281">
        <f ca="1">IF(AND(ISNUMBER($AX$784),$B$511=1),$AX$784,HLOOKUP(INDIRECT(ADDRESS(2,COLUMN())),OFFSET($BN$2,0,0,ROW()-1,60),ROW()-1,FALSE))</f>
        <v>4940.8872419999998</v>
      </c>
      <c r="AY281">
        <f ca="1">IF(AND(ISNUMBER($AY$784),$B$511=1),$AY$784,HLOOKUP(INDIRECT(ADDRESS(2,COLUMN())),OFFSET($BN$2,0,0,ROW()-1,60),ROW()-1,FALSE))</f>
        <v>4473.3697110000003</v>
      </c>
      <c r="AZ281">
        <f ca="1">IF(AND(ISNUMBER($AZ$784),$B$511=1),$AZ$784,HLOOKUP(INDIRECT(ADDRESS(2,COLUMN())),OFFSET($BN$2,0,0,ROW()-1,60),ROW()-1,FALSE))</f>
        <v>4397.4912889999996</v>
      </c>
      <c r="BA281">
        <f ca="1">IF(AND(ISNUMBER($BA$784),$B$511=1),$BA$784,HLOOKUP(INDIRECT(ADDRESS(2,COLUMN())),OFFSET($BN$2,0,0,ROW()-1,60),ROW()-1,FALSE))</f>
        <v>3998.4260909999998</v>
      </c>
      <c r="BB281">
        <f ca="1">IF(AND(ISNUMBER($BB$784),$B$511=1),$BB$784,HLOOKUP(INDIRECT(ADDRESS(2,COLUMN())),OFFSET($BN$2,0,0,ROW()-1,60),ROW()-1,FALSE))</f>
        <v>4201.0715200000004</v>
      </c>
      <c r="BC281">
        <f ca="1">IF(AND(ISNUMBER($BC$784),$B$511=1),$BC$784,HLOOKUP(INDIRECT(ADDRESS(2,COLUMN())),OFFSET($BN$2,0,0,ROW()-1,60),ROW()-1,FALSE))</f>
        <v>4091.0732280000002</v>
      </c>
      <c r="BD281">
        <f ca="1">IF(AND(ISNUMBER($BD$784),$B$511=1),$BD$784,HLOOKUP(INDIRECT(ADDRESS(2,COLUMN())),OFFSET($BN$2,0,0,ROW()-1,60),ROW()-1,FALSE))</f>
        <v>3982.070835</v>
      </c>
      <c r="BE281">
        <f ca="1">IF(AND(ISNUMBER($BE$784),$B$511=1),$BE$784,HLOOKUP(INDIRECT(ADDRESS(2,COLUMN())),OFFSET($BN$2,0,0,ROW()-1,60),ROW()-1,FALSE))</f>
        <v>4051.419586</v>
      </c>
      <c r="BF281">
        <f ca="1">IF(AND(ISNUMBER($BF$784),$B$511=1),$BF$784,HLOOKUP(INDIRECT(ADDRESS(2,COLUMN())),OFFSET($BN$2,0,0,ROW()-1,60),ROW()-1,FALSE))</f>
        <v>3961.8893619999999</v>
      </c>
      <c r="BG281">
        <f ca="1">IF(AND(ISNUMBER($BG$784),$B$511=1),$BG$784,HLOOKUP(INDIRECT(ADDRESS(2,COLUMN())),OFFSET($BN$2,0,0,ROW()-1,60),ROW()-1,FALSE))</f>
        <v>3841.0867170000001</v>
      </c>
      <c r="BH281">
        <f ca="1">IF(AND(ISNUMBER($BH$784),$B$511=1),$BH$784,HLOOKUP(INDIRECT(ADDRESS(2,COLUMN())),OFFSET($BN$2,0,0,ROW()-1,60),ROW()-1,FALSE))</f>
        <v>4271.0197250000001</v>
      </c>
      <c r="BI281">
        <f ca="1">IF(AND(ISNUMBER($BI$784),$B$511=1),$BI$784,HLOOKUP(INDIRECT(ADDRESS(2,COLUMN())),OFFSET($BN$2,0,0,ROW()-1,60),ROW()-1,FALSE))</f>
        <v>4218.624358</v>
      </c>
      <c r="BJ281">
        <f ca="1">IF(AND(ISNUMBER($BJ$784),$B$511=1),$BJ$784,HLOOKUP(INDIRECT(ADDRESS(2,COLUMN())),OFFSET($BN$2,0,0,ROW()-1,60),ROW()-1,FALSE))</f>
        <v>4395.0466420000002</v>
      </c>
      <c r="BK281">
        <f ca="1">IF(AND(ISNUMBER($BK$784),$B$511=1),$BK$784,HLOOKUP(INDIRECT(ADDRESS(2,COLUMN())),OFFSET($BN$2,0,0,ROW()-1,60),ROW()-1,FALSE))</f>
        <v>4692.0983319999996</v>
      </c>
      <c r="BL281">
        <f ca="1">IF(AND(ISNUMBER($BL$784),$B$511=1),$BL$784,HLOOKUP(INDIRECT(ADDRESS(2,COLUMN())),OFFSET($BN$2,0,0,ROW()-1,60),ROW()-1,FALSE))</f>
        <v>4222.8236150000002</v>
      </c>
      <c r="BM281">
        <f ca="1">IF(AND(ISNUMBER($BM$784),$B$511=1),$BM$784,HLOOKUP(INDIRECT(ADDRESS(2,COLUMN())),OFFSET($BN$2,0,0,ROW()-1,60),ROW()-1,FALSE))</f>
        <v>4123.61708</v>
      </c>
      <c r="BN281" t="str">
        <f>""</f>
        <v/>
      </c>
      <c r="BO281">
        <f>14345.76874</f>
        <v>14345.76874</v>
      </c>
      <c r="BP281">
        <f>13828.3348</f>
        <v>13828.334800000001</v>
      </c>
      <c r="BQ281">
        <f>14057.1493</f>
        <v>14057.149299999999</v>
      </c>
      <c r="BR281">
        <f>14619.13011</f>
        <v>14619.13011</v>
      </c>
      <c r="BS281">
        <f>13440.58447</f>
        <v>13440.58447</v>
      </c>
      <c r="BT281">
        <f>13301.5539</f>
        <v>13301.553900000001</v>
      </c>
      <c r="BU281">
        <f>13250.68981</f>
        <v>13250.68981</v>
      </c>
      <c r="BV281">
        <f>13104.51891</f>
        <v>13104.518910000001</v>
      </c>
      <c r="BW281">
        <f>11975.90021</f>
        <v>11975.90021</v>
      </c>
      <c r="BX281">
        <f>13369.40747</f>
        <v>13369.40747</v>
      </c>
      <c r="BY281">
        <f>12925.51604</f>
        <v>12925.51604</v>
      </c>
      <c r="BZ281">
        <f>11944.28444</f>
        <v>11944.284439999999</v>
      </c>
      <c r="CA281">
        <f>10601.85524</f>
        <v>10601.855240000001</v>
      </c>
      <c r="CB281">
        <f>9905.072282</f>
        <v>9905.0722819999992</v>
      </c>
      <c r="CC281">
        <f>8908.016705</f>
        <v>8908.016705</v>
      </c>
      <c r="CD281">
        <f>8523.693206</f>
        <v>8523.6932059999999</v>
      </c>
      <c r="CE281">
        <f>7972.613485</f>
        <v>7972.6134849999999</v>
      </c>
      <c r="CF281">
        <f>7969.615174</f>
        <v>7969.6151739999996</v>
      </c>
      <c r="CG281">
        <f>7833.073354</f>
        <v>7833.0733540000001</v>
      </c>
      <c r="CH281">
        <f>7427.418259</f>
        <v>7427.418259</v>
      </c>
      <c r="CI281">
        <f>7231.645449</f>
        <v>7231.6454489999996</v>
      </c>
      <c r="CJ281">
        <f>7211.017208</f>
        <v>7211.0172080000002</v>
      </c>
      <c r="CK281">
        <f>6523.245747</f>
        <v>6523.2457469999999</v>
      </c>
      <c r="CL281">
        <f>6318.881342</f>
        <v>6318.8813419999997</v>
      </c>
      <c r="CM281">
        <f>5859.455091</f>
        <v>5859.4550909999998</v>
      </c>
      <c r="CN281">
        <f>6125.936858</f>
        <v>6125.936858</v>
      </c>
      <c r="CO281">
        <f>5713.734336</f>
        <v>5713.7343360000004</v>
      </c>
      <c r="CP281">
        <f>5449.618783</f>
        <v>5449.6187829999999</v>
      </c>
      <c r="CQ281">
        <f>5634.835693</f>
        <v>5634.835693</v>
      </c>
      <c r="CR281">
        <f>5613.106041</f>
        <v>5613.106041</v>
      </c>
      <c r="CS281">
        <f>5433.316783</f>
        <v>5433.3167830000002</v>
      </c>
      <c r="CT281">
        <f>4982.023421</f>
        <v>4982.0234209999999</v>
      </c>
      <c r="CU281">
        <f>5147.579751</f>
        <v>5147.5797510000002</v>
      </c>
      <c r="CV281">
        <f>4891.385095</f>
        <v>4891.3850949999996</v>
      </c>
      <c r="CW281">
        <f>4417.125762</f>
        <v>4417.1257619999997</v>
      </c>
      <c r="CX281">
        <f>4073.062928</f>
        <v>4073.0629279999998</v>
      </c>
      <c r="CY281">
        <f>4066.952974</f>
        <v>4066.9529739999998</v>
      </c>
      <c r="CZ281">
        <f>4123.996432</f>
        <v>4123.9964319999999</v>
      </c>
      <c r="DA281">
        <f>3920.795266</f>
        <v>3920.7952660000001</v>
      </c>
      <c r="DB281">
        <f>3965.234021</f>
        <v>3965.2340210000002</v>
      </c>
      <c r="DC281">
        <f>5116.940192</f>
        <v>5116.940192</v>
      </c>
      <c r="DD281">
        <f>4707.571334</f>
        <v>4707.5713340000002</v>
      </c>
      <c r="DE281">
        <f>4349.797533</f>
        <v>4349.7975329999999</v>
      </c>
      <c r="DF281">
        <f>4940.887242</f>
        <v>4940.8872419999998</v>
      </c>
      <c r="DG281">
        <f>4473.369711</f>
        <v>4473.3697110000003</v>
      </c>
      <c r="DH281">
        <f>4397.491289</f>
        <v>4397.4912889999996</v>
      </c>
      <c r="DI281">
        <f>3998.426091</f>
        <v>3998.4260909999998</v>
      </c>
      <c r="DJ281">
        <f>4201.07152</f>
        <v>4201.0715200000004</v>
      </c>
      <c r="DK281">
        <f>4091.073228</f>
        <v>4091.0732280000002</v>
      </c>
      <c r="DL281">
        <f>3982.070835</f>
        <v>3982.070835</v>
      </c>
      <c r="DM281">
        <f>4051.419586</f>
        <v>4051.419586</v>
      </c>
      <c r="DN281">
        <f>3961.889362</f>
        <v>3961.8893619999999</v>
      </c>
      <c r="DO281">
        <f>3841.086717</f>
        <v>3841.0867170000001</v>
      </c>
      <c r="DP281">
        <f>4271.019725</f>
        <v>4271.0197250000001</v>
      </c>
      <c r="DQ281">
        <f>4218.624358</f>
        <v>4218.624358</v>
      </c>
      <c r="DR281">
        <f>4395.046642</f>
        <v>4395.0466420000002</v>
      </c>
      <c r="DS281">
        <f>4692.098332</f>
        <v>4692.0983319999996</v>
      </c>
      <c r="DT281">
        <f>4222.823615</f>
        <v>4222.8236150000002</v>
      </c>
      <c r="DU281">
        <f>4123.61708</f>
        <v>4123.61708</v>
      </c>
    </row>
    <row r="282" spans="1:125" x14ac:dyDescent="0.25">
      <c r="A282" t="str">
        <f>"    Suzuki Motor Corp"</f>
        <v xml:space="preserve">    Suzuki Motor Corp</v>
      </c>
      <c r="B282" t="str">
        <f>"7269 JP Equity"</f>
        <v>7269 JP Equity</v>
      </c>
      <c r="C282" t="str">
        <f t="shared" si="18"/>
        <v>RR010</v>
      </c>
      <c r="D282" t="str">
        <f t="shared" si="19"/>
        <v>TOT_COMMON_EQY</v>
      </c>
      <c r="E282" t="str">
        <f t="shared" si="20"/>
        <v>Dynamic</v>
      </c>
      <c r="F282" t="str">
        <f ca="1">IF(AND(ISNUMBER($F$785),$B$511=1),$F$785,HLOOKUP(INDIRECT(ADDRESS(2,COLUMN())),OFFSET($BN$2,0,0,ROW()-1,60),ROW()-1,FALSE))</f>
        <v/>
      </c>
      <c r="G282">
        <f ca="1">IF(AND(ISNUMBER($G$785),$B$511=1),$G$785,HLOOKUP(INDIRECT(ADDRESS(2,COLUMN())),OFFSET($BN$2,0,0,ROW()-1,60),ROW()-1,FALSE))</f>
        <v>12637.71658</v>
      </c>
      <c r="H282">
        <f ca="1">IF(AND(ISNUMBER($H$785),$B$511=1),$H$785,HLOOKUP(INDIRECT(ADDRESS(2,COLUMN())),OFFSET($BN$2,0,0,ROW()-1,60),ROW()-1,FALSE))</f>
        <v>12167.154189999999</v>
      </c>
      <c r="I282">
        <f ca="1">IF(AND(ISNUMBER($I$785),$B$511=1),$I$785,HLOOKUP(INDIRECT(ADDRESS(2,COLUMN())),OFFSET($BN$2,0,0,ROW()-1,60),ROW()-1,FALSE))</f>
        <v>12072.061739999999</v>
      </c>
      <c r="J282">
        <f ca="1">IF(AND(ISNUMBER($J$785),$B$511=1),$J$785,HLOOKUP(INDIRECT(ADDRESS(2,COLUMN())),OFFSET($BN$2,0,0,ROW()-1,60),ROW()-1,FALSE))</f>
        <v>12216.74826</v>
      </c>
      <c r="K282">
        <f ca="1">IF(AND(ISNUMBER($K$785),$B$511=1),$K$785,HLOOKUP(INDIRECT(ADDRESS(2,COLUMN())),OFFSET($BN$2,0,0,ROW()-1,60),ROW()-1,FALSE))</f>
        <v>11643.38248</v>
      </c>
      <c r="L282">
        <f ca="1">IF(AND(ISNUMBER($L$785),$B$511=1),$L$785,HLOOKUP(INDIRECT(ADDRESS(2,COLUMN())),OFFSET($BN$2,0,0,ROW()-1,60),ROW()-1,FALSE))</f>
        <v>11045.1252</v>
      </c>
      <c r="M282">
        <f ca="1">IF(AND(ISNUMBER($M$785),$B$511=1),$M$785,HLOOKUP(INDIRECT(ADDRESS(2,COLUMN())),OFFSET($BN$2,0,0,ROW()-1,60),ROW()-1,FALSE))</f>
        <v>10570.769920000001</v>
      </c>
      <c r="N282">
        <f ca="1">IF(AND(ISNUMBER($N$785),$B$511=1),$N$785,HLOOKUP(INDIRECT(ADDRESS(2,COLUMN())),OFFSET($BN$2,0,0,ROW()-1,60),ROW()-1,FALSE))</f>
        <v>10061.917170000001</v>
      </c>
      <c r="O282">
        <f ca="1">IF(AND(ISNUMBER($O$785),$B$511=1),$O$785,HLOOKUP(INDIRECT(ADDRESS(2,COLUMN())),OFFSET($BN$2,0,0,ROW()-1,60),ROW()-1,FALSE))</f>
        <v>9399.0655009999991</v>
      </c>
      <c r="P282">
        <f ca="1">IF(AND(ISNUMBER($P$785),$B$511=1),$P$785,HLOOKUP(INDIRECT(ADDRESS(2,COLUMN())),OFFSET($BN$2,0,0,ROW()-1,60),ROW()-1,FALSE))</f>
        <v>9575.9144240000005</v>
      </c>
      <c r="Q282">
        <f ca="1">IF(AND(ISNUMBER($Q$785),$B$511=1),$Q$785,HLOOKUP(INDIRECT(ADDRESS(2,COLUMN())),OFFSET($BN$2,0,0,ROW()-1,60),ROW()-1,FALSE))</f>
        <v>8895.8620019999998</v>
      </c>
      <c r="R282">
        <f ca="1">IF(AND(ISNUMBER($R$785),$B$511=1),$R$785,HLOOKUP(INDIRECT(ADDRESS(2,COLUMN())),OFFSET($BN$2,0,0,ROW()-1,60),ROW()-1,FALSE))</f>
        <v>8514.5511110000007</v>
      </c>
      <c r="S282">
        <f ca="1">IF(AND(ISNUMBER($S$785),$B$511=1),$S$785,HLOOKUP(INDIRECT(ADDRESS(2,COLUMN())),OFFSET($BN$2,0,0,ROW()-1,60),ROW()-1,FALSE))</f>
        <v>8443.8519130000004</v>
      </c>
      <c r="T282">
        <f ca="1">IF(AND(ISNUMBER($T$785),$B$511=1),$T$785,HLOOKUP(INDIRECT(ADDRESS(2,COLUMN())),OFFSET($BN$2,0,0,ROW()-1,60),ROW()-1,FALSE))</f>
        <v>8215.2502719999993</v>
      </c>
      <c r="U282">
        <f ca="1">IF(AND(ISNUMBER($U$785),$B$511=1),$U$785,HLOOKUP(INDIRECT(ADDRESS(2,COLUMN())),OFFSET($BN$2,0,0,ROW()-1,60),ROW()-1,FALSE))</f>
        <v>12389.54307</v>
      </c>
      <c r="V282">
        <f ca="1">IF(AND(ISNUMBER($V$785),$B$511=1),$V$785,HLOOKUP(INDIRECT(ADDRESS(2,COLUMN())),OFFSET($BN$2,0,0,ROW()-1,60),ROW()-1,FALSE))</f>
        <v>12357.999169999999</v>
      </c>
      <c r="W282">
        <f ca="1">IF(AND(ISNUMBER($W$785),$B$511=1),$W$785,HLOOKUP(INDIRECT(ADDRESS(2,COLUMN())),OFFSET($BN$2,0,0,ROW()-1,60),ROW()-1,FALSE))</f>
        <v>12188.22597</v>
      </c>
      <c r="X282">
        <f ca="1">IF(AND(ISNUMBER($X$785),$B$511=1),$X$785,HLOOKUP(INDIRECT(ADDRESS(2,COLUMN())),OFFSET($BN$2,0,0,ROW()-1,60),ROW()-1,FALSE))</f>
        <v>12598.58654</v>
      </c>
      <c r="Y282">
        <f ca="1">IF(AND(ISNUMBER($Y$785),$B$511=1),$Y$785,HLOOKUP(INDIRECT(ADDRESS(2,COLUMN())),OFFSET($BN$2,0,0,ROW()-1,60),ROW()-1,FALSE))</f>
        <v>13229.598180000001</v>
      </c>
      <c r="Z282">
        <f ca="1">IF(AND(ISNUMBER($Z$785),$B$511=1),$Z$785,HLOOKUP(INDIRECT(ADDRESS(2,COLUMN())),OFFSET($BN$2,0,0,ROW()-1,60),ROW()-1,FALSE))</f>
        <v>12873.707189999999</v>
      </c>
      <c r="AA282">
        <f ca="1">IF(AND(ISNUMBER($AA$785),$B$511=1),$AA$785,HLOOKUP(INDIRECT(ADDRESS(2,COLUMN())),OFFSET($BN$2,0,0,ROW()-1,60),ROW()-1,FALSE))</f>
        <v>12398.660459999999</v>
      </c>
      <c r="AB282">
        <f ca="1">IF(AND(ISNUMBER($AB$785),$B$511=1),$AB$785,HLOOKUP(INDIRECT(ADDRESS(2,COLUMN())),OFFSET($BN$2,0,0,ROW()-1,60),ROW()-1,FALSE))</f>
        <v>12540.240299999999</v>
      </c>
      <c r="AC282">
        <f ca="1">IF(AND(ISNUMBER($AC$785),$B$511=1),$AC$785,HLOOKUP(INDIRECT(ADDRESS(2,COLUMN())),OFFSET($BN$2,0,0,ROW()-1,60),ROW()-1,FALSE))</f>
        <v>12090.244640000001</v>
      </c>
      <c r="AD282">
        <f ca="1">IF(AND(ISNUMBER($AD$785),$B$511=1),$AD$785,HLOOKUP(INDIRECT(ADDRESS(2,COLUMN())),OFFSET($BN$2,0,0,ROW()-1,60),ROW()-1,FALSE))</f>
        <v>12174.06071</v>
      </c>
      <c r="AE282">
        <f ca="1">IF(AND(ISNUMBER($AE$785),$B$511=1),$AE$785,HLOOKUP(INDIRECT(ADDRESS(2,COLUMN())),OFFSET($BN$2,0,0,ROW()-1,60),ROW()-1,FALSE))</f>
        <v>12124.26691</v>
      </c>
      <c r="AF282">
        <f ca="1">IF(AND(ISNUMBER($AF$785),$B$511=1),$AF$785,HLOOKUP(INDIRECT(ADDRESS(2,COLUMN())),OFFSET($BN$2,0,0,ROW()-1,60),ROW()-1,FALSE))</f>
        <v>12828.78593</v>
      </c>
      <c r="AG282">
        <f ca="1">IF(AND(ISNUMBER($AG$785),$B$511=1),$AG$785,HLOOKUP(INDIRECT(ADDRESS(2,COLUMN())),OFFSET($BN$2,0,0,ROW()-1,60),ROW()-1,FALSE))</f>
        <v>12270.563910000001</v>
      </c>
      <c r="AH282">
        <f ca="1">IF(AND(ISNUMBER($AH$785),$B$511=1),$AH$785,HLOOKUP(INDIRECT(ADDRESS(2,COLUMN())),OFFSET($BN$2,0,0,ROW()-1,60),ROW()-1,FALSE))</f>
        <v>11953.86663</v>
      </c>
      <c r="AI282">
        <f ca="1">IF(AND(ISNUMBER($AI$785),$B$511=1),$AI$785,HLOOKUP(INDIRECT(ADDRESS(2,COLUMN())),OFFSET($BN$2,0,0,ROW()-1,60),ROW()-1,FALSE))</f>
        <v>12184.374589999999</v>
      </c>
      <c r="AJ282">
        <f ca="1">IF(AND(ISNUMBER($AJ$785),$B$511=1),$AJ$785,HLOOKUP(INDIRECT(ADDRESS(2,COLUMN())),OFFSET($BN$2,0,0,ROW()-1,60),ROW()-1,FALSE))</f>
        <v>12212.79492</v>
      </c>
      <c r="AK282">
        <f ca="1">IF(AND(ISNUMBER($AK$785),$B$511=1),$AK$785,HLOOKUP(INDIRECT(ADDRESS(2,COLUMN())),OFFSET($BN$2,0,0,ROW()-1,60),ROW()-1,FALSE))</f>
        <v>12303.97219</v>
      </c>
      <c r="AL282">
        <f ca="1">IF(AND(ISNUMBER($AL$785),$B$511=1),$AL$785,HLOOKUP(INDIRECT(ADDRESS(2,COLUMN())),OFFSET($BN$2,0,0,ROW()-1,60),ROW()-1,FALSE))</f>
        <v>11705.625980000001</v>
      </c>
      <c r="AM282">
        <f ca="1">IF(AND(ISNUMBER($AM$785),$B$511=1),$AM$785,HLOOKUP(INDIRECT(ADDRESS(2,COLUMN())),OFFSET($BN$2,0,0,ROW()-1,60),ROW()-1,FALSE))</f>
        <v>11726.21012</v>
      </c>
      <c r="AN282">
        <f ca="1">IF(AND(ISNUMBER($AN$785),$B$511=1),$AN$785,HLOOKUP(INDIRECT(ADDRESS(2,COLUMN())),OFFSET($BN$2,0,0,ROW()-1,60),ROW()-1,FALSE))</f>
        <v>11351.52169</v>
      </c>
      <c r="AO282">
        <f ca="1">IF(AND(ISNUMBER($AO$785),$B$511=1),$AO$785,HLOOKUP(INDIRECT(ADDRESS(2,COLUMN())),OFFSET($BN$2,0,0,ROW()-1,60),ROW()-1,FALSE))</f>
        <v>10604.944680000001</v>
      </c>
      <c r="AP282">
        <f ca="1">IF(AND(ISNUMBER($AP$785),$B$511=1),$AP$785,HLOOKUP(INDIRECT(ADDRESS(2,COLUMN())),OFFSET($BN$2,0,0,ROW()-1,60),ROW()-1,FALSE))</f>
        <v>10188.174230000001</v>
      </c>
      <c r="AQ282">
        <f ca="1">IF(AND(ISNUMBER($AQ$785),$B$511=1),$AQ$785,HLOOKUP(INDIRECT(ADDRESS(2,COLUMN())),OFFSET($BN$2,0,0,ROW()-1,60),ROW()-1,FALSE))</f>
        <v>7299.4631740000004</v>
      </c>
      <c r="AR282">
        <f ca="1">IF(AND(ISNUMBER($AR$785),$B$511=1),$AR$785,HLOOKUP(INDIRECT(ADDRESS(2,COLUMN())),OFFSET($BN$2,0,0,ROW()-1,60),ROW()-1,FALSE))</f>
        <v>7480.2743090000004</v>
      </c>
      <c r="AS282">
        <f ca="1">IF(AND(ISNUMBER($AS$785),$B$511=1),$AS$785,HLOOKUP(INDIRECT(ADDRESS(2,COLUMN())),OFFSET($BN$2,0,0,ROW()-1,60),ROW()-1,FALSE))</f>
        <v>6959.7487540000002</v>
      </c>
      <c r="AT282">
        <f ca="1">IF(AND(ISNUMBER($AT$785),$B$511=1),$AT$785,HLOOKUP(INDIRECT(ADDRESS(2,COLUMN())),OFFSET($BN$2,0,0,ROW()-1,60),ROW()-1,FALSE))</f>
        <v>6436.1650730000001</v>
      </c>
      <c r="AU282">
        <f ca="1">IF(AND(ISNUMBER($AU$785),$B$511=1),$AU$785,HLOOKUP(INDIRECT(ADDRESS(2,COLUMN())),OFFSET($BN$2,0,0,ROW()-1,60),ROW()-1,FALSE))</f>
        <v>7203.7779490000003</v>
      </c>
      <c r="AV282">
        <f ca="1">IF(AND(ISNUMBER($AV$785),$B$511=1),$AV$785,HLOOKUP(INDIRECT(ADDRESS(2,COLUMN())),OFFSET($BN$2,0,0,ROW()-1,60),ROW()-1,FALSE))</f>
        <v>7160.4576699999998</v>
      </c>
      <c r="AW282">
        <f ca="1">IF(AND(ISNUMBER($AW$785),$B$511=1),$AW$785,HLOOKUP(INDIRECT(ADDRESS(2,COLUMN())),OFFSET($BN$2,0,0,ROW()-1,60),ROW()-1,FALSE))</f>
        <v>7512.5623880000003</v>
      </c>
      <c r="AX282">
        <f ca="1">IF(AND(ISNUMBER($AX$785),$B$511=1),$AX$785,HLOOKUP(INDIRECT(ADDRESS(2,COLUMN())),OFFSET($BN$2,0,0,ROW()-1,60),ROW()-1,FALSE))</f>
        <v>7797.0058079999999</v>
      </c>
      <c r="AY282">
        <f ca="1">IF(AND(ISNUMBER($AY$785),$B$511=1),$AY$785,HLOOKUP(INDIRECT(ADDRESS(2,COLUMN())),OFFSET($BN$2,0,0,ROW()-1,60),ROW()-1,FALSE))</f>
        <v>7208.9721799999998</v>
      </c>
      <c r="AZ282">
        <f ca="1">IF(AND(ISNUMBER($AZ$785),$B$511=1),$AZ$785,HLOOKUP(INDIRECT(ADDRESS(2,COLUMN())),OFFSET($BN$2,0,0,ROW()-1,60),ROW()-1,FALSE))</f>
        <v>6965.0348430000004</v>
      </c>
      <c r="BA282">
        <f ca="1">IF(AND(ISNUMBER($BA$785),$B$511=1),$BA$785,HLOOKUP(INDIRECT(ADDRESS(2,COLUMN())),OFFSET($BN$2,0,0,ROW()-1,60),ROW()-1,FALSE))</f>
        <v>6424.0791820000004</v>
      </c>
      <c r="BB282">
        <f ca="1">IF(AND(ISNUMBER($BB$785),$B$511=1),$BB$785,HLOOKUP(INDIRECT(ADDRESS(2,COLUMN())),OFFSET($BN$2,0,0,ROW()-1,60),ROW()-1,FALSE))</f>
        <v>6306.0209199999999</v>
      </c>
      <c r="BC282">
        <f ca="1">IF(AND(ISNUMBER($BC$785),$B$511=1),$BC$785,HLOOKUP(INDIRECT(ADDRESS(2,COLUMN())),OFFSET($BN$2,0,0,ROW()-1,60),ROW()-1,FALSE))</f>
        <v>5746.3217999999997</v>
      </c>
      <c r="BD282">
        <f ca="1">IF(AND(ISNUMBER($BD$785),$B$511=1),$BD$785,HLOOKUP(INDIRECT(ADDRESS(2,COLUMN())),OFFSET($BN$2,0,0,ROW()-1,60),ROW()-1,FALSE))</f>
        <v>5505.8125739999996</v>
      </c>
      <c r="BE282">
        <f ca="1">IF(AND(ISNUMBER($BE$785),$B$511=1),$BE$785,HLOOKUP(INDIRECT(ADDRESS(2,COLUMN())),OFFSET($BN$2,0,0,ROW()-1,60),ROW()-1,FALSE))</f>
        <v>5485.9002360000004</v>
      </c>
      <c r="BF282">
        <f ca="1">IF(AND(ISNUMBER($BF$785),$B$511=1),$BF$785,HLOOKUP(INDIRECT(ADDRESS(2,COLUMN())),OFFSET($BN$2,0,0,ROW()-1,60),ROW()-1,FALSE))</f>
        <v>5249.1063830000003</v>
      </c>
      <c r="BG282">
        <f ca="1">IF(AND(ISNUMBER($BG$785),$B$511=1),$BG$785,HLOOKUP(INDIRECT(ADDRESS(2,COLUMN())),OFFSET($BN$2,0,0,ROW()-1,60),ROW()-1,FALSE))</f>
        <v>6913.2321780000002</v>
      </c>
      <c r="BH282">
        <f ca="1">IF(AND(ISNUMBER($BH$785),$B$511=1),$BH$785,HLOOKUP(INDIRECT(ADDRESS(2,COLUMN())),OFFSET($BN$2,0,0,ROW()-1,60),ROW()-1,FALSE))</f>
        <v>6847.8777739999996</v>
      </c>
      <c r="BI282">
        <f ca="1">IF(AND(ISNUMBER($BI$785),$B$511=1),$BI$785,HLOOKUP(INDIRECT(ADDRESS(2,COLUMN())),OFFSET($BN$2,0,0,ROW()-1,60),ROW()-1,FALSE))</f>
        <v>6765.5278099999996</v>
      </c>
      <c r="BJ282">
        <f ca="1">IF(AND(ISNUMBER($BJ$785),$B$511=1),$BJ$785,HLOOKUP(INDIRECT(ADDRESS(2,COLUMN())),OFFSET($BN$2,0,0,ROW()-1,60),ROW()-1,FALSE))</f>
        <v>6949.7761190000001</v>
      </c>
      <c r="BK282">
        <f ca="1">IF(AND(ISNUMBER($BK$785),$B$511=1),$BK$785,HLOOKUP(INDIRECT(ADDRESS(2,COLUMN())),OFFSET($BN$2,0,0,ROW()-1,60),ROW()-1,FALSE))</f>
        <v>7161.7305630000001</v>
      </c>
      <c r="BL282">
        <f ca="1">IF(AND(ISNUMBER($BL$785),$B$511=1),$BL$785,HLOOKUP(INDIRECT(ADDRESS(2,COLUMN())),OFFSET($BN$2,0,0,ROW()-1,60),ROW()-1,FALSE))</f>
        <v>6505.5035019999996</v>
      </c>
      <c r="BM282">
        <f ca="1">IF(AND(ISNUMBER($BM$785),$B$511=1),$BM$785,HLOOKUP(INDIRECT(ADDRESS(2,COLUMN())),OFFSET($BN$2,0,0,ROW()-1,60),ROW()-1,FALSE))</f>
        <v>6443.1654019999996</v>
      </c>
      <c r="BN282" t="str">
        <f>""</f>
        <v/>
      </c>
      <c r="BO282">
        <f>12637.71658</f>
        <v>12637.71658</v>
      </c>
      <c r="BP282">
        <f>12167.15419</f>
        <v>12167.154189999999</v>
      </c>
      <c r="BQ282">
        <f>12072.06174</f>
        <v>12072.061739999999</v>
      </c>
      <c r="BR282">
        <f>12216.74826</f>
        <v>12216.74826</v>
      </c>
      <c r="BS282">
        <f>11643.38248</f>
        <v>11643.38248</v>
      </c>
      <c r="BT282">
        <f>11045.1252</f>
        <v>11045.1252</v>
      </c>
      <c r="BU282">
        <f>10570.76992</f>
        <v>10570.769920000001</v>
      </c>
      <c r="BV282">
        <f>10061.91717</f>
        <v>10061.917170000001</v>
      </c>
      <c r="BW282">
        <f>9399.065501</f>
        <v>9399.0655009999991</v>
      </c>
      <c r="BX282">
        <f>9575.914424</f>
        <v>9575.9144240000005</v>
      </c>
      <c r="BY282">
        <f>8895.862002</f>
        <v>8895.8620019999998</v>
      </c>
      <c r="BZ282">
        <f>8514.551111</f>
        <v>8514.5511110000007</v>
      </c>
      <c r="CA282">
        <f>8443.851913</f>
        <v>8443.8519130000004</v>
      </c>
      <c r="CB282">
        <f>8215.250272</f>
        <v>8215.2502719999993</v>
      </c>
      <c r="CC282">
        <f>12389.54307</f>
        <v>12389.54307</v>
      </c>
      <c r="CD282">
        <f>12357.99917</f>
        <v>12357.999169999999</v>
      </c>
      <c r="CE282">
        <f>12188.22597</f>
        <v>12188.22597</v>
      </c>
      <c r="CF282">
        <f>12598.58654</f>
        <v>12598.58654</v>
      </c>
      <c r="CG282">
        <f>13229.59818</f>
        <v>13229.598180000001</v>
      </c>
      <c r="CH282">
        <f>12873.70719</f>
        <v>12873.707189999999</v>
      </c>
      <c r="CI282">
        <f>12398.66046</f>
        <v>12398.660459999999</v>
      </c>
      <c r="CJ282">
        <f>12540.2403</f>
        <v>12540.240299999999</v>
      </c>
      <c r="CK282">
        <f>12090.24464</f>
        <v>12090.244640000001</v>
      </c>
      <c r="CL282">
        <f>12174.06071</f>
        <v>12174.06071</v>
      </c>
      <c r="CM282">
        <f>12124.26691</f>
        <v>12124.26691</v>
      </c>
      <c r="CN282">
        <f>12828.78593</f>
        <v>12828.78593</v>
      </c>
      <c r="CO282">
        <f>12270.56391</f>
        <v>12270.563910000001</v>
      </c>
      <c r="CP282">
        <f>11953.86663</f>
        <v>11953.86663</v>
      </c>
      <c r="CQ282">
        <f>12184.37459</f>
        <v>12184.374589999999</v>
      </c>
      <c r="CR282">
        <f>12212.79492</f>
        <v>12212.79492</v>
      </c>
      <c r="CS282">
        <f>12303.97219</f>
        <v>12303.97219</v>
      </c>
      <c r="CT282">
        <f>11705.62598</f>
        <v>11705.625980000001</v>
      </c>
      <c r="CU282">
        <f>11726.21012</f>
        <v>11726.21012</v>
      </c>
      <c r="CV282">
        <f>11351.52169</f>
        <v>11351.52169</v>
      </c>
      <c r="CW282">
        <f>10604.94468</f>
        <v>10604.944680000001</v>
      </c>
      <c r="CX282">
        <f>10188.17423</f>
        <v>10188.174230000001</v>
      </c>
      <c r="CY282">
        <f>7299.463174</f>
        <v>7299.4631740000004</v>
      </c>
      <c r="CZ282">
        <f>7480.274309</f>
        <v>7480.2743090000004</v>
      </c>
      <c r="DA282">
        <f>6959.748754</f>
        <v>6959.7487540000002</v>
      </c>
      <c r="DB282">
        <f>6436.165073</f>
        <v>6436.1650730000001</v>
      </c>
      <c r="DC282">
        <f>7203.777949</f>
        <v>7203.7779490000003</v>
      </c>
      <c r="DD282">
        <f>7160.45767</f>
        <v>7160.4576699999998</v>
      </c>
      <c r="DE282">
        <f>7512.562388</f>
        <v>7512.5623880000003</v>
      </c>
      <c r="DF282">
        <f>7797.005808</f>
        <v>7797.0058079999999</v>
      </c>
      <c r="DG282">
        <f>7208.97218</f>
        <v>7208.9721799999998</v>
      </c>
      <c r="DH282">
        <f>6965.034843</f>
        <v>6965.0348430000004</v>
      </c>
      <c r="DI282">
        <f>6424.079182</f>
        <v>6424.0791820000004</v>
      </c>
      <c r="DJ282">
        <f>6306.02092</f>
        <v>6306.0209199999999</v>
      </c>
      <c r="DK282">
        <f>5746.3218</f>
        <v>5746.3217999999997</v>
      </c>
      <c r="DL282">
        <f>5505.812574</f>
        <v>5505.8125739999996</v>
      </c>
      <c r="DM282">
        <f>5485.900236</f>
        <v>5485.9002360000004</v>
      </c>
      <c r="DN282">
        <f>5249.106383</f>
        <v>5249.1063830000003</v>
      </c>
      <c r="DO282">
        <f>6913.232178</f>
        <v>6913.2321780000002</v>
      </c>
      <c r="DP282">
        <f>6847.877774</f>
        <v>6847.8777739999996</v>
      </c>
      <c r="DQ282">
        <f>6765.52781</f>
        <v>6765.5278099999996</v>
      </c>
      <c r="DR282">
        <f>6949.776119</f>
        <v>6949.7761190000001</v>
      </c>
      <c r="DS282">
        <f>7161.730563</f>
        <v>7161.7305630000001</v>
      </c>
      <c r="DT282">
        <f>6505.503502</f>
        <v>6505.5035019999996</v>
      </c>
      <c r="DU282">
        <f>6443.165402</f>
        <v>6443.1654019999996</v>
      </c>
    </row>
    <row r="283" spans="1:125" x14ac:dyDescent="0.25">
      <c r="A283" t="str">
        <f>"    Tata Motors Ltd"</f>
        <v xml:space="preserve">    Tata Motors Ltd</v>
      </c>
      <c r="B283" t="str">
        <f>"TTMT IN Equity"</f>
        <v>TTMT IN Equity</v>
      </c>
      <c r="C283" t="str">
        <f t="shared" si="18"/>
        <v>RR010</v>
      </c>
      <c r="D283" t="str">
        <f t="shared" si="19"/>
        <v>TOT_COMMON_EQY</v>
      </c>
      <c r="E283" t="str">
        <f t="shared" si="20"/>
        <v>Dynamic</v>
      </c>
      <c r="F283" t="str">
        <f ca="1">IF(AND(ISNUMBER($F$786),$B$511=1),$F$786,HLOOKUP(INDIRECT(ADDRESS(2,COLUMN())),OFFSET($BN$2,0,0,ROW()-1,60),ROW()-1,FALSE))</f>
        <v/>
      </c>
      <c r="G283" t="str">
        <f ca="1">IF(AND(ISNUMBER($G$786),$B$511=1),$G$786,HLOOKUP(INDIRECT(ADDRESS(2,COLUMN())),OFFSET($BN$2,0,0,ROW()-1,60),ROW()-1,FALSE))</f>
        <v/>
      </c>
      <c r="H283">
        <f ca="1">IF(AND(ISNUMBER($H$786),$B$511=1),$H$786,HLOOKUP(INDIRECT(ADDRESS(2,COLUMN())),OFFSET($BN$2,0,0,ROW()-1,60),ROW()-1,FALSE))</f>
        <v>13106.80983</v>
      </c>
      <c r="I283" t="str">
        <f ca="1">IF(AND(ISNUMBER($I$786),$B$511=1),$I$786,HLOOKUP(INDIRECT(ADDRESS(2,COLUMN())),OFFSET($BN$2,0,0,ROW()-1,60),ROW()-1,FALSE))</f>
        <v/>
      </c>
      <c r="J283">
        <f ca="1">IF(AND(ISNUMBER($J$786),$B$511=1),$J$786,HLOOKUP(INDIRECT(ADDRESS(2,COLUMN())),OFFSET($BN$2,0,0,ROW()-1,60),ROW()-1,FALSE))</f>
        <v>14649.6638</v>
      </c>
      <c r="K283" t="str">
        <f ca="1">IF(AND(ISNUMBER($K$786),$B$511=1),$K$786,HLOOKUP(INDIRECT(ADDRESS(2,COLUMN())),OFFSET($BN$2,0,0,ROW()-1,60),ROW()-1,FALSE))</f>
        <v/>
      </c>
      <c r="L283">
        <f ca="1">IF(AND(ISNUMBER($L$786),$B$511=1),$L$786,HLOOKUP(INDIRECT(ADDRESS(2,COLUMN())),OFFSET($BN$2,0,0,ROW()-1,60),ROW()-1,FALSE))</f>
        <v>12100.17598</v>
      </c>
      <c r="M283" t="str">
        <f ca="1">IF(AND(ISNUMBER($M$786),$B$511=1),$M$786,HLOOKUP(INDIRECT(ADDRESS(2,COLUMN())),OFFSET($BN$2,0,0,ROW()-1,60),ROW()-1,FALSE))</f>
        <v/>
      </c>
      <c r="N283">
        <f ca="1">IF(AND(ISNUMBER($N$786),$B$511=1),$N$786,HLOOKUP(INDIRECT(ADDRESS(2,COLUMN())),OFFSET($BN$2,0,0,ROW()-1,60),ROW()-1,FALSE))</f>
        <v>8951.3273929999996</v>
      </c>
      <c r="O283" t="str">
        <f ca="1">IF(AND(ISNUMBER($O$786),$B$511=1),$O$786,HLOOKUP(INDIRECT(ADDRESS(2,COLUMN())),OFFSET($BN$2,0,0,ROW()-1,60),ROW()-1,FALSE))</f>
        <v/>
      </c>
      <c r="P283">
        <f ca="1">IF(AND(ISNUMBER($P$786),$B$511=1),$P$786,HLOOKUP(INDIRECT(ADDRESS(2,COLUMN())),OFFSET($BN$2,0,0,ROW()-1,60),ROW()-1,FALSE))</f>
        <v>8209.2846649999992</v>
      </c>
      <c r="Q283" t="str">
        <f ca="1">IF(AND(ISNUMBER($Q$786),$B$511=1),$Q$786,HLOOKUP(INDIRECT(ADDRESS(2,COLUMN())),OFFSET($BN$2,0,0,ROW()-1,60),ROW()-1,FALSE))</f>
        <v/>
      </c>
      <c r="R283">
        <f ca="1">IF(AND(ISNUMBER($R$786),$B$511=1),$R$786,HLOOKUP(INDIRECT(ADDRESS(2,COLUMN())),OFFSET($BN$2,0,0,ROW()-1,60),ROW()-1,FALSE))</f>
        <v>11935.84772</v>
      </c>
      <c r="S283" t="str">
        <f ca="1">IF(AND(ISNUMBER($S$786),$B$511=1),$S$786,HLOOKUP(INDIRECT(ADDRESS(2,COLUMN())),OFFSET($BN$2,0,0,ROW()-1,60),ROW()-1,FALSE))</f>
        <v/>
      </c>
      <c r="T283">
        <f ca="1">IF(AND(ISNUMBER($T$786),$B$511=1),$T$786,HLOOKUP(INDIRECT(ADDRESS(2,COLUMN())),OFFSET($BN$2,0,0,ROW()-1,60),ROW()-1,FALSE))</f>
        <v>12352.87017</v>
      </c>
      <c r="U283" t="str">
        <f ca="1">IF(AND(ISNUMBER($U$786),$B$511=1),$U$786,HLOOKUP(INDIRECT(ADDRESS(2,COLUMN())),OFFSET($BN$2,0,0,ROW()-1,60),ROW()-1,FALSE))</f>
        <v/>
      </c>
      <c r="V283">
        <f ca="1">IF(AND(ISNUMBER($V$786),$B$511=1),$V$786,HLOOKUP(INDIRECT(ADDRESS(2,COLUMN())),OFFSET($BN$2,0,0,ROW()-1,60),ROW()-1,FALSE))</f>
        <v>9029.5158479999991</v>
      </c>
      <c r="W283" t="str">
        <f ca="1">IF(AND(ISNUMBER($W$786),$B$511=1),$W$786,HLOOKUP(INDIRECT(ADDRESS(2,COLUMN())),OFFSET($BN$2,0,0,ROW()-1,60),ROW()-1,FALSE))</f>
        <v/>
      </c>
      <c r="X283">
        <f ca="1">IF(AND(ISNUMBER($X$786),$B$511=1),$X$786,HLOOKUP(INDIRECT(ADDRESS(2,COLUMN())),OFFSET($BN$2,0,0,ROW()-1,60),ROW()-1,FALSE))</f>
        <v>10955.43442</v>
      </c>
      <c r="Y283" t="str">
        <f ca="1">IF(AND(ISNUMBER($Y$786),$B$511=1),$Y$786,HLOOKUP(INDIRECT(ADDRESS(2,COLUMN())),OFFSET($BN$2,0,0,ROW()-1,60),ROW()-1,FALSE))</f>
        <v/>
      </c>
      <c r="Z283">
        <f ca="1">IF(AND(ISNUMBER($Z$786),$B$511=1),$Z$786,HLOOKUP(INDIRECT(ADDRESS(2,COLUMN())),OFFSET($BN$2,0,0,ROW()-1,60),ROW()-1,FALSE))</f>
        <v>10953.7163</v>
      </c>
      <c r="AA283" t="str">
        <f ca="1">IF(AND(ISNUMBER($AA$786),$B$511=1),$AA$786,HLOOKUP(INDIRECT(ADDRESS(2,COLUMN())),OFFSET($BN$2,0,0,ROW()-1,60),ROW()-1,FALSE))</f>
        <v/>
      </c>
      <c r="AB283">
        <f ca="1">IF(AND(ISNUMBER($AB$786),$B$511=1),$AB$786,HLOOKUP(INDIRECT(ADDRESS(2,COLUMN())),OFFSET($BN$2,0,0,ROW()-1,60),ROW()-1,FALSE))</f>
        <v>8819.0677589999996</v>
      </c>
      <c r="AC283" t="str">
        <f ca="1">IF(AND(ISNUMBER($AC$786),$B$511=1),$AC$786,HLOOKUP(INDIRECT(ADDRESS(2,COLUMN())),OFFSET($BN$2,0,0,ROW()-1,60),ROW()-1,FALSE))</f>
        <v/>
      </c>
      <c r="AD283">
        <f ca="1">IF(AND(ISNUMBER($AD$786),$B$511=1),$AD$786,HLOOKUP(INDIRECT(ADDRESS(2,COLUMN())),OFFSET($BN$2,0,0,ROW()-1,60),ROW()-1,FALSE))</f>
        <v>6907.827843</v>
      </c>
      <c r="AE283" t="str">
        <f ca="1">IF(AND(ISNUMBER($AE$786),$B$511=1),$AE$786,HLOOKUP(INDIRECT(ADDRESS(2,COLUMN())),OFFSET($BN$2,0,0,ROW()-1,60),ROW()-1,FALSE))</f>
        <v/>
      </c>
      <c r="AF283">
        <f ca="1">IF(AND(ISNUMBER($AF$786),$B$511=1),$AF$786,HLOOKUP(INDIRECT(ADDRESS(2,COLUMN())),OFFSET($BN$2,0,0,ROW()-1,60),ROW()-1,FALSE))</f>
        <v>7634.6741080000002</v>
      </c>
      <c r="AG283" t="str">
        <f ca="1">IF(AND(ISNUMBER($AG$786),$B$511=1),$AG$786,HLOOKUP(INDIRECT(ADDRESS(2,COLUMN())),OFFSET($BN$2,0,0,ROW()-1,60),ROW()-1,FALSE))</f>
        <v/>
      </c>
      <c r="AH283">
        <f ca="1">IF(AND(ISNUMBER($AH$786),$B$511=1),$AH$786,HLOOKUP(INDIRECT(ADDRESS(2,COLUMN())),OFFSET($BN$2,0,0,ROW()-1,60),ROW()-1,FALSE))</f>
        <v>6418.3923839999998</v>
      </c>
      <c r="AI283" t="str">
        <f ca="1">IF(AND(ISNUMBER($AI$786),$B$511=1),$AI$786,HLOOKUP(INDIRECT(ADDRESS(2,COLUMN())),OFFSET($BN$2,0,0,ROW()-1,60),ROW()-1,FALSE))</f>
        <v/>
      </c>
      <c r="AJ283">
        <f ca="1">IF(AND(ISNUMBER($AJ$786),$B$511=1),$AJ$786,HLOOKUP(INDIRECT(ADDRESS(2,COLUMN())),OFFSET($BN$2,0,0,ROW()-1,60),ROW()-1,FALSE))</f>
        <v>4716.9461449999999</v>
      </c>
      <c r="AK283" t="str">
        <f ca="1">IF(AND(ISNUMBER($AK$786),$B$511=1),$AK$786,HLOOKUP(INDIRECT(ADDRESS(2,COLUMN())),OFFSET($BN$2,0,0,ROW()-1,60),ROW()-1,FALSE))</f>
        <v/>
      </c>
      <c r="AL283">
        <f ca="1">IF(AND(ISNUMBER($AL$786),$B$511=1),$AL$786,HLOOKUP(INDIRECT(ADDRESS(2,COLUMN())),OFFSET($BN$2,0,0,ROW()-1,60),ROW()-1,FALSE))</f>
        <v>4299.7409589999997</v>
      </c>
      <c r="AM283" t="str">
        <f ca="1">IF(AND(ISNUMBER($AM$786),$B$511=1),$AM$786,HLOOKUP(INDIRECT(ADDRESS(2,COLUMN())),OFFSET($BN$2,0,0,ROW()-1,60),ROW()-1,FALSE))</f>
        <v/>
      </c>
      <c r="AN283">
        <f ca="1">IF(AND(ISNUMBER($AN$786),$B$511=1),$AN$786,HLOOKUP(INDIRECT(ADDRESS(2,COLUMN())),OFFSET($BN$2,0,0,ROW()-1,60),ROW()-1,FALSE))</f>
        <v>2773.7395750000001</v>
      </c>
      <c r="AO283" t="str">
        <f ca="1">IF(AND(ISNUMBER($AO$786),$B$511=1),$AO$786,HLOOKUP(INDIRECT(ADDRESS(2,COLUMN())),OFFSET($BN$2,0,0,ROW()-1,60),ROW()-1,FALSE))</f>
        <v/>
      </c>
      <c r="AP283">
        <f ca="1">IF(AND(ISNUMBER($AP$786),$B$511=1),$AP$786,HLOOKUP(INDIRECT(ADDRESS(2,COLUMN())),OFFSET($BN$2,0,0,ROW()-1,60),ROW()-1,FALSE))</f>
        <v>1825.6907679999999</v>
      </c>
      <c r="AQ283" t="str">
        <f ca="1">IF(AND(ISNUMBER($AQ$786),$B$511=1),$AQ$786,HLOOKUP(INDIRECT(ADDRESS(2,COLUMN())),OFFSET($BN$2,0,0,ROW()-1,60),ROW()-1,FALSE))</f>
        <v/>
      </c>
      <c r="AR283" t="str">
        <f ca="1">IF(AND(ISNUMBER($AR$786),$B$511=1),$AR$786,HLOOKUP(INDIRECT(ADDRESS(2,COLUMN())),OFFSET($BN$2,0,0,ROW()-1,60),ROW()-1,FALSE))</f>
        <v/>
      </c>
      <c r="AS283" t="str">
        <f ca="1">IF(AND(ISNUMBER($AS$786),$B$511=1),$AS$786,HLOOKUP(INDIRECT(ADDRESS(2,COLUMN())),OFFSET($BN$2,0,0,ROW()-1,60),ROW()-1,FALSE))</f>
        <v/>
      </c>
      <c r="AT283">
        <f ca="1">IF(AND(ISNUMBER($AT$786),$B$511=1),$AT$786,HLOOKUP(INDIRECT(ADDRESS(2,COLUMN())),OFFSET($BN$2,0,0,ROW()-1,60),ROW()-1,FALSE))</f>
        <v>1170.915542</v>
      </c>
      <c r="AU283" t="str">
        <f ca="1">IF(AND(ISNUMBER($AU$786),$B$511=1),$AU$786,HLOOKUP(INDIRECT(ADDRESS(2,COLUMN())),OFFSET($BN$2,0,0,ROW()-1,60),ROW()-1,FALSE))</f>
        <v/>
      </c>
      <c r="AV283" t="str">
        <f ca="1">IF(AND(ISNUMBER($AV$786),$B$511=1),$AV$786,HLOOKUP(INDIRECT(ADDRESS(2,COLUMN())),OFFSET($BN$2,0,0,ROW()-1,60),ROW()-1,FALSE))</f>
        <v/>
      </c>
      <c r="AW283" t="str">
        <f ca="1">IF(AND(ISNUMBER($AW$786),$B$511=1),$AW$786,HLOOKUP(INDIRECT(ADDRESS(2,COLUMN())),OFFSET($BN$2,0,0,ROW()-1,60),ROW()-1,FALSE))</f>
        <v/>
      </c>
      <c r="AX283">
        <f ca="1">IF(AND(ISNUMBER($AX$786),$B$511=1),$AX$786,HLOOKUP(INDIRECT(ADDRESS(2,COLUMN())),OFFSET($BN$2,0,0,ROW()-1,60),ROW()-1,FALSE))</f>
        <v>2051.6604339999999</v>
      </c>
      <c r="AY283" t="str">
        <f ca="1">IF(AND(ISNUMBER($AY$786),$B$511=1),$AY$786,HLOOKUP(INDIRECT(ADDRESS(2,COLUMN())),OFFSET($BN$2,0,0,ROW()-1,60),ROW()-1,FALSE))</f>
        <v/>
      </c>
      <c r="AZ283" t="str">
        <f ca="1">IF(AND(ISNUMBER($AZ$786),$B$511=1),$AZ$786,HLOOKUP(INDIRECT(ADDRESS(2,COLUMN())),OFFSET($BN$2,0,0,ROW()-1,60),ROW()-1,FALSE))</f>
        <v/>
      </c>
      <c r="BA283" t="str">
        <f ca="1">IF(AND(ISNUMBER($BA$786),$B$511=1),$BA$786,HLOOKUP(INDIRECT(ADDRESS(2,COLUMN())),OFFSET($BN$2,0,0,ROW()-1,60),ROW()-1,FALSE))</f>
        <v/>
      </c>
      <c r="BB283" t="str">
        <f ca="1">IF(AND(ISNUMBER($BB$786),$B$511=1),$BB$786,HLOOKUP(INDIRECT(ADDRESS(2,COLUMN())),OFFSET($BN$2,0,0,ROW()-1,60),ROW()-1,FALSE))</f>
        <v/>
      </c>
      <c r="BC283" t="str">
        <f ca="1">IF(AND(ISNUMBER($BC$786),$B$511=1),$BC$786,HLOOKUP(INDIRECT(ADDRESS(2,COLUMN())),OFFSET($BN$2,0,0,ROW()-1,60),ROW()-1,FALSE))</f>
        <v/>
      </c>
      <c r="BD283" t="str">
        <f ca="1">IF(AND(ISNUMBER($BD$786),$B$511=1),$BD$786,HLOOKUP(INDIRECT(ADDRESS(2,COLUMN())),OFFSET($BN$2,0,0,ROW()-1,60),ROW()-1,FALSE))</f>
        <v/>
      </c>
      <c r="BE283" t="str">
        <f ca="1">IF(AND(ISNUMBER($BE$786),$B$511=1),$BE$786,HLOOKUP(INDIRECT(ADDRESS(2,COLUMN())),OFFSET($BN$2,0,0,ROW()-1,60),ROW()-1,FALSE))</f>
        <v/>
      </c>
      <c r="BF283" t="str">
        <f ca="1">IF(AND(ISNUMBER($BF$786),$B$511=1),$BF$786,HLOOKUP(INDIRECT(ADDRESS(2,COLUMN())),OFFSET($BN$2,0,0,ROW()-1,60),ROW()-1,FALSE))</f>
        <v/>
      </c>
      <c r="BG283" t="str">
        <f ca="1">IF(AND(ISNUMBER($BG$786),$B$511=1),$BG$786,HLOOKUP(INDIRECT(ADDRESS(2,COLUMN())),OFFSET($BN$2,0,0,ROW()-1,60),ROW()-1,FALSE))</f>
        <v/>
      </c>
      <c r="BH283" t="str">
        <f ca="1">IF(AND(ISNUMBER($BH$786),$B$511=1),$BH$786,HLOOKUP(INDIRECT(ADDRESS(2,COLUMN())),OFFSET($BN$2,0,0,ROW()-1,60),ROW()-1,FALSE))</f>
        <v/>
      </c>
      <c r="BI283" t="str">
        <f ca="1">IF(AND(ISNUMBER($BI$786),$B$511=1),$BI$786,HLOOKUP(INDIRECT(ADDRESS(2,COLUMN())),OFFSET($BN$2,0,0,ROW()-1,60),ROW()-1,FALSE))</f>
        <v/>
      </c>
      <c r="BJ283" t="str">
        <f ca="1">IF(AND(ISNUMBER($BJ$786),$B$511=1),$BJ$786,HLOOKUP(INDIRECT(ADDRESS(2,COLUMN())),OFFSET($BN$2,0,0,ROW()-1,60),ROW()-1,FALSE))</f>
        <v/>
      </c>
      <c r="BK283" t="str">
        <f ca="1">IF(AND(ISNUMBER($BK$786),$B$511=1),$BK$786,HLOOKUP(INDIRECT(ADDRESS(2,COLUMN())),OFFSET($BN$2,0,0,ROW()-1,60),ROW()-1,FALSE))</f>
        <v/>
      </c>
      <c r="BL283" t="str">
        <f ca="1">IF(AND(ISNUMBER($BL$786),$B$511=1),$BL$786,HLOOKUP(INDIRECT(ADDRESS(2,COLUMN())),OFFSET($BN$2,0,0,ROW()-1,60),ROW()-1,FALSE))</f>
        <v/>
      </c>
      <c r="BM283" t="str">
        <f ca="1">IF(AND(ISNUMBER($BM$786),$B$511=1),$BM$786,HLOOKUP(INDIRECT(ADDRESS(2,COLUMN())),OFFSET($BN$2,0,0,ROW()-1,60),ROW()-1,FALSE))</f>
        <v/>
      </c>
      <c r="BN283" t="str">
        <f>""</f>
        <v/>
      </c>
      <c r="BO283" t="str">
        <f>""</f>
        <v/>
      </c>
      <c r="BP283">
        <f>13106.80983</f>
        <v>13106.80983</v>
      </c>
      <c r="BQ283" t="str">
        <f>""</f>
        <v/>
      </c>
      <c r="BR283">
        <f>14649.6638</f>
        <v>14649.6638</v>
      </c>
      <c r="BS283" t="str">
        <f>""</f>
        <v/>
      </c>
      <c r="BT283">
        <f>12100.17598</f>
        <v>12100.17598</v>
      </c>
      <c r="BU283" t="str">
        <f>""</f>
        <v/>
      </c>
      <c r="BV283">
        <f>8951.327393</f>
        <v>8951.3273929999996</v>
      </c>
      <c r="BW283" t="str">
        <f>""</f>
        <v/>
      </c>
      <c r="BX283">
        <f>8209.284665</f>
        <v>8209.2846649999992</v>
      </c>
      <c r="BY283" t="str">
        <f>""</f>
        <v/>
      </c>
      <c r="BZ283">
        <f>11935.84772</f>
        <v>11935.84772</v>
      </c>
      <c r="CA283" t="str">
        <f>""</f>
        <v/>
      </c>
      <c r="CB283">
        <f>12352.87017</f>
        <v>12352.87017</v>
      </c>
      <c r="CC283" t="str">
        <f>""</f>
        <v/>
      </c>
      <c r="CD283">
        <f>9029.515848</f>
        <v>9029.5158479999991</v>
      </c>
      <c r="CE283" t="str">
        <f>""</f>
        <v/>
      </c>
      <c r="CF283">
        <f>10955.43442</f>
        <v>10955.43442</v>
      </c>
      <c r="CG283" t="str">
        <f>""</f>
        <v/>
      </c>
      <c r="CH283">
        <f>10953.7163</f>
        <v>10953.7163</v>
      </c>
      <c r="CI283" t="str">
        <f>""</f>
        <v/>
      </c>
      <c r="CJ283">
        <f>8819.067759</f>
        <v>8819.0677589999996</v>
      </c>
      <c r="CK283" t="str">
        <f>""</f>
        <v/>
      </c>
      <c r="CL283">
        <f>6907.827843</f>
        <v>6907.827843</v>
      </c>
      <c r="CM283" t="str">
        <f>""</f>
        <v/>
      </c>
      <c r="CN283">
        <f>7634.674108</f>
        <v>7634.6741080000002</v>
      </c>
      <c r="CO283" t="str">
        <f>""</f>
        <v/>
      </c>
      <c r="CP283">
        <f>6418.392384</f>
        <v>6418.3923839999998</v>
      </c>
      <c r="CQ283" t="str">
        <f>""</f>
        <v/>
      </c>
      <c r="CR283">
        <f>4716.946145</f>
        <v>4716.9461449999999</v>
      </c>
      <c r="CS283" t="str">
        <f>""</f>
        <v/>
      </c>
      <c r="CT283">
        <f>4299.740959</f>
        <v>4299.7409589999997</v>
      </c>
      <c r="CU283" t="str">
        <f>""</f>
        <v/>
      </c>
      <c r="CV283">
        <f>2773.739575</f>
        <v>2773.7395750000001</v>
      </c>
      <c r="CW283" t="str">
        <f>""</f>
        <v/>
      </c>
      <c r="CX283">
        <f>1825.690768</f>
        <v>1825.6907679999999</v>
      </c>
      <c r="CY283" t="str">
        <f>""</f>
        <v/>
      </c>
      <c r="CZ283" t="str">
        <f>""</f>
        <v/>
      </c>
      <c r="DA283" t="str">
        <f>""</f>
        <v/>
      </c>
      <c r="DB283">
        <f>1170.915542</f>
        <v>1170.915542</v>
      </c>
      <c r="DC283" t="str">
        <f>""</f>
        <v/>
      </c>
      <c r="DD283" t="str">
        <f>""</f>
        <v/>
      </c>
      <c r="DE283" t="str">
        <f>""</f>
        <v/>
      </c>
      <c r="DF283">
        <f>2051.660434</f>
        <v>2051.6604339999999</v>
      </c>
      <c r="DG283" t="str">
        <f>""</f>
        <v/>
      </c>
      <c r="DH283" t="str">
        <f>""</f>
        <v/>
      </c>
      <c r="DI283" t="str">
        <f>""</f>
        <v/>
      </c>
      <c r="DJ283" t="str">
        <f>""</f>
        <v/>
      </c>
      <c r="DK283" t="str">
        <f>""</f>
        <v/>
      </c>
      <c r="DL283" t="str">
        <f>""</f>
        <v/>
      </c>
      <c r="DM283" t="str">
        <f>""</f>
        <v/>
      </c>
      <c r="DN283" t="str">
        <f>""</f>
        <v/>
      </c>
      <c r="DO283" t="str">
        <f>""</f>
        <v/>
      </c>
      <c r="DP283" t="str">
        <f>""</f>
        <v/>
      </c>
      <c r="DQ283" t="str">
        <f>""</f>
        <v/>
      </c>
      <c r="DR283" t="str">
        <f>""</f>
        <v/>
      </c>
      <c r="DS283" t="str">
        <f>""</f>
        <v/>
      </c>
      <c r="DT283" t="str">
        <f>""</f>
        <v/>
      </c>
      <c r="DU283" t="str">
        <f>""</f>
        <v/>
      </c>
    </row>
    <row r="284" spans="1:125" x14ac:dyDescent="0.25">
      <c r="A284" t="str">
        <f>"    Tesla Inc"</f>
        <v xml:space="preserve">    Tesla Inc</v>
      </c>
      <c r="B284" t="str">
        <f>"TSLA US Equity"</f>
        <v>TSLA US Equity</v>
      </c>
      <c r="C284" t="str">
        <f t="shared" si="18"/>
        <v>RR010</v>
      </c>
      <c r="D284" t="str">
        <f t="shared" si="19"/>
        <v>TOT_COMMON_EQY</v>
      </c>
      <c r="E284" t="str">
        <f t="shared" si="20"/>
        <v>Dynamic</v>
      </c>
      <c r="F284" t="str">
        <f ca="1">IF(AND(ISNUMBER($F$787),$B$511=1),$F$787,HLOOKUP(INDIRECT(ADDRESS(2,COLUMN())),OFFSET($BN$2,0,0,ROW()-1,60),ROW()-1,FALSE))</f>
        <v/>
      </c>
      <c r="G284">
        <f ca="1">IF(AND(ISNUMBER($G$787),$B$511=1),$G$787,HLOOKUP(INDIRECT(ADDRESS(2,COLUMN())),OFFSET($BN$2,0,0,ROW()-1,60),ROW()-1,FALSE))</f>
        <v>4923.2430000000004</v>
      </c>
      <c r="H284">
        <f ca="1">IF(AND(ISNUMBER($H$787),$B$511=1),$H$787,HLOOKUP(INDIRECT(ADDRESS(2,COLUMN())),OFFSET($BN$2,0,0,ROW()-1,60),ROW()-1,FALSE))</f>
        <v>4508.8379999999997</v>
      </c>
      <c r="I284">
        <f ca="1">IF(AND(ISNUMBER($I$787),$B$511=1),$I$787,HLOOKUP(INDIRECT(ADDRESS(2,COLUMN())),OFFSET($BN$2,0,0,ROW()-1,60),ROW()-1,FALSE))</f>
        <v>3906.4209999999998</v>
      </c>
      <c r="J284">
        <f ca="1">IF(AND(ISNUMBER($J$787),$B$511=1),$J$787,HLOOKUP(INDIRECT(ADDRESS(2,COLUMN())),OFFSET($BN$2,0,0,ROW()-1,60),ROW()-1,FALSE))</f>
        <v>4450.6970000000001</v>
      </c>
      <c r="K284">
        <f ca="1">IF(AND(ISNUMBER($K$787),$B$511=1),$K$787,HLOOKUP(INDIRECT(ADDRESS(2,COLUMN())),OFFSET($BN$2,0,0,ROW()-1,60),ROW()-1,FALSE))</f>
        <v>4237.3119999999999</v>
      </c>
      <c r="L284">
        <f ca="1">IF(AND(ISNUMBER($L$787),$B$511=1),$L$787,HLOOKUP(INDIRECT(ADDRESS(2,COLUMN())),OFFSET($BN$2,0,0,ROW()-1,60),ROW()-1,FALSE))</f>
        <v>4711.8370000000004</v>
      </c>
      <c r="M284">
        <f ca="1">IF(AND(ISNUMBER($M$787),$B$511=1),$M$787,HLOOKUP(INDIRECT(ADDRESS(2,COLUMN())),OFFSET($BN$2,0,0,ROW()-1,60),ROW()-1,FALSE))</f>
        <v>5107.4399999999996</v>
      </c>
      <c r="N284">
        <f ca="1">IF(AND(ISNUMBER($N$787),$B$511=1),$N$787,HLOOKUP(INDIRECT(ADDRESS(2,COLUMN())),OFFSET($BN$2,0,0,ROW()-1,60),ROW()-1,FALSE))</f>
        <v>4995.0020000000004</v>
      </c>
      <c r="O284">
        <f ca="1">IF(AND(ISNUMBER($O$787),$B$511=1),$O$787,HLOOKUP(INDIRECT(ADDRESS(2,COLUMN())),OFFSET($BN$2,0,0,ROW()-1,60),ROW()-1,FALSE))</f>
        <v>4761.6949999999997</v>
      </c>
      <c r="P284">
        <f ca="1">IF(AND(ISNUMBER($P$787),$B$511=1),$P$787,HLOOKUP(INDIRECT(ADDRESS(2,COLUMN())),OFFSET($BN$2,0,0,ROW()-1,60),ROW()-1,FALSE))</f>
        <v>2691.7579999999998</v>
      </c>
      <c r="Q284">
        <f ca="1">IF(AND(ISNUMBER($Q$787),$B$511=1),$Q$787,HLOOKUP(INDIRECT(ADDRESS(2,COLUMN())),OFFSET($BN$2,0,0,ROW()-1,60),ROW()-1,FALSE))</f>
        <v>2557.44</v>
      </c>
      <c r="R284">
        <f ca="1">IF(AND(ISNUMBER($R$787),$B$511=1),$R$787,HLOOKUP(INDIRECT(ADDRESS(2,COLUMN())),OFFSET($BN$2,0,0,ROW()-1,60),ROW()-1,FALSE))</f>
        <v>970.36500000000001</v>
      </c>
      <c r="S284">
        <f ca="1">IF(AND(ISNUMBER($S$787),$B$511=1),$S$787,HLOOKUP(INDIRECT(ADDRESS(2,COLUMN())),OFFSET($BN$2,0,0,ROW()-1,60),ROW()-1,FALSE))</f>
        <v>1130.989</v>
      </c>
      <c r="T284">
        <f ca="1">IF(AND(ISNUMBER($T$787),$B$511=1),$T$787,HLOOKUP(INDIRECT(ADDRESS(2,COLUMN())),OFFSET($BN$2,0,0,ROW()-1,60),ROW()-1,FALSE))</f>
        <v>1360.837</v>
      </c>
      <c r="U284">
        <f ca="1">IF(AND(ISNUMBER($U$787),$B$511=1),$U$787,HLOOKUP(INDIRECT(ADDRESS(2,COLUMN())),OFFSET($BN$2,0,0,ROW()-1,60),ROW()-1,FALSE))</f>
        <v>715.93399999999997</v>
      </c>
      <c r="V284">
        <f ca="1">IF(AND(ISNUMBER($V$787),$B$511=1),$V$787,HLOOKUP(INDIRECT(ADDRESS(2,COLUMN())),OFFSET($BN$2,0,0,ROW()-1,60),ROW()-1,FALSE))</f>
        <v>880.274</v>
      </c>
      <c r="W284">
        <f ca="1">IF(AND(ISNUMBER($W$787),$B$511=1),$W$787,HLOOKUP(INDIRECT(ADDRESS(2,COLUMN())),OFFSET($BN$2,0,0,ROW()-1,60),ROW()-1,FALSE))</f>
        <v>911.71</v>
      </c>
      <c r="X284">
        <f ca="1">IF(AND(ISNUMBER($X$787),$B$511=1),$X$787,HLOOKUP(INDIRECT(ADDRESS(2,COLUMN())),OFFSET($BN$2,0,0,ROW()-1,60),ROW()-1,FALSE))</f>
        <v>1020.255</v>
      </c>
      <c r="Y284">
        <f ca="1">IF(AND(ISNUMBER($Y$787),$B$511=1),$Y$787,HLOOKUP(INDIRECT(ADDRESS(2,COLUMN())),OFFSET($BN$2,0,0,ROW()-1,60),ROW()-1,FALSE))</f>
        <v>952.33299999999997</v>
      </c>
      <c r="Z284">
        <f ca="1">IF(AND(ISNUMBER($Z$787),$B$511=1),$Z$787,HLOOKUP(INDIRECT(ADDRESS(2,COLUMN())),OFFSET($BN$2,0,0,ROW()-1,60),ROW()-1,FALSE))</f>
        <v>981.99800000000005</v>
      </c>
      <c r="AA284">
        <f ca="1">IF(AND(ISNUMBER($AA$787),$B$511=1),$AA$787,HLOOKUP(INDIRECT(ADDRESS(2,COLUMN())),OFFSET($BN$2,0,0,ROW()-1,60),ROW()-1,FALSE))</f>
        <v>667.12</v>
      </c>
      <c r="AB284">
        <f ca="1">IF(AND(ISNUMBER($AB$787),$B$511=1),$AB$787,HLOOKUP(INDIRECT(ADDRESS(2,COLUMN())),OFFSET($BN$2,0,0,ROW()-1,60),ROW()-1,FALSE))</f>
        <v>641.66300000000001</v>
      </c>
      <c r="AC284">
        <f ca="1">IF(AND(ISNUMBER($AC$787),$B$511=1),$AC$787,HLOOKUP(INDIRECT(ADDRESS(2,COLUMN())),OFFSET($BN$2,0,0,ROW()-1,60),ROW()-1,FALSE))</f>
        <v>629.42600000000004</v>
      </c>
      <c r="AD284">
        <f ca="1">IF(AND(ISNUMBER($AD$787),$B$511=1),$AD$787,HLOOKUP(INDIRECT(ADDRESS(2,COLUMN())),OFFSET($BN$2,0,0,ROW()-1,60),ROW()-1,FALSE))</f>
        <v>168.583</v>
      </c>
      <c r="AE284">
        <f ca="1">IF(AND(ISNUMBER($AE$787),$B$511=1),$AE$787,HLOOKUP(INDIRECT(ADDRESS(2,COLUMN())),OFFSET($BN$2,0,0,ROW()-1,60),ROW()-1,FALSE))</f>
        <v>124.7</v>
      </c>
      <c r="AF284">
        <f ca="1">IF(AND(ISNUMBER($AF$787),$B$511=1),$AF$787,HLOOKUP(INDIRECT(ADDRESS(2,COLUMN())),OFFSET($BN$2,0,0,ROW()-1,60),ROW()-1,FALSE))</f>
        <v>-27.875</v>
      </c>
      <c r="AG284">
        <f ca="1">IF(AND(ISNUMBER($AG$787),$B$511=1),$AG$787,HLOOKUP(INDIRECT(ADDRESS(2,COLUMN())),OFFSET($BN$2,0,0,ROW()-1,60),ROW()-1,FALSE))</f>
        <v>62.215000000000003</v>
      </c>
      <c r="AH284">
        <f ca="1">IF(AND(ISNUMBER($AH$787),$B$511=1),$AH$787,HLOOKUP(INDIRECT(ADDRESS(2,COLUMN())),OFFSET($BN$2,0,0,ROW()-1,60),ROW()-1,FALSE))</f>
        <v>153.874</v>
      </c>
      <c r="AI284">
        <f ca="1">IF(AND(ISNUMBER($AI$787),$B$511=1),$AI$787,HLOOKUP(INDIRECT(ADDRESS(2,COLUMN())),OFFSET($BN$2,0,0,ROW()-1,60),ROW()-1,FALSE))</f>
        <v>224.04499999999999</v>
      </c>
      <c r="AJ284">
        <f ca="1">IF(AND(ISNUMBER($AJ$787),$B$511=1),$AJ$787,HLOOKUP(INDIRECT(ADDRESS(2,COLUMN())),OFFSET($BN$2,0,0,ROW()-1,60),ROW()-1,FALSE))</f>
        <v>294.11799999999999</v>
      </c>
      <c r="AK284">
        <f ca="1">IF(AND(ISNUMBER($AK$787),$B$511=1),$AK$787,HLOOKUP(INDIRECT(ADDRESS(2,COLUMN())),OFFSET($BN$2,0,0,ROW()-1,60),ROW()-1,FALSE))</f>
        <v>348.452</v>
      </c>
      <c r="AL284">
        <f ca="1">IF(AND(ISNUMBER($AL$787),$B$511=1),$AL$787,HLOOKUP(INDIRECT(ADDRESS(2,COLUMN())),OFFSET($BN$2,0,0,ROW()-1,60),ROW()-1,FALSE))</f>
        <v>167.738</v>
      </c>
      <c r="AM284">
        <f ca="1">IF(AND(ISNUMBER($AM$787),$B$511=1),$AM$787,HLOOKUP(INDIRECT(ADDRESS(2,COLUMN())),OFFSET($BN$2,0,0,ROW()-1,60),ROW()-1,FALSE))</f>
        <v>207.048</v>
      </c>
      <c r="AN284">
        <f ca="1">IF(AND(ISNUMBER($AN$787),$B$511=1),$AN$787,HLOOKUP(INDIRECT(ADDRESS(2,COLUMN())),OFFSET($BN$2,0,0,ROW()-1,60),ROW()-1,FALSE))</f>
        <v>219.923</v>
      </c>
      <c r="AO284">
        <f ca="1">IF(AND(ISNUMBER($AO$787),$B$511=1),$AO$787,HLOOKUP(INDIRECT(ADDRESS(2,COLUMN())),OFFSET($BN$2,0,0,ROW()-1,60),ROW()-1,FALSE))</f>
        <v>-309.77499999999998</v>
      </c>
      <c r="AP284">
        <f ca="1">IF(AND(ISNUMBER($AP$787),$B$511=1),$AP$787,HLOOKUP(INDIRECT(ADDRESS(2,COLUMN())),OFFSET($BN$2,0,0,ROW()-1,60),ROW()-1,FALSE))</f>
        <v>-279.29700000000003</v>
      </c>
      <c r="AQ284">
        <f ca="1">IF(AND(ISNUMBER($AQ$787),$B$511=1),$AQ$787,HLOOKUP(INDIRECT(ADDRESS(2,COLUMN())),OFFSET($BN$2,0,0,ROW()-1,60),ROW()-1,FALSE))</f>
        <v>-253.523</v>
      </c>
      <c r="AR284" t="str">
        <f ca="1">IF(AND(ISNUMBER($AR$787),$B$511=1),$AR$787,HLOOKUP(INDIRECT(ADDRESS(2,COLUMN())),OFFSET($BN$2,0,0,ROW()-1,60),ROW()-1,FALSE))</f>
        <v/>
      </c>
      <c r="AS284" t="str">
        <f ca="1">IF(AND(ISNUMBER($AS$787),$B$511=1),$AS$787,HLOOKUP(INDIRECT(ADDRESS(2,COLUMN())),OFFSET($BN$2,0,0,ROW()-1,60),ROW()-1,FALSE))</f>
        <v/>
      </c>
      <c r="AT284" t="str">
        <f ca="1">IF(AND(ISNUMBER($AT$787),$B$511=1),$AT$787,HLOOKUP(INDIRECT(ADDRESS(2,COLUMN())),OFFSET($BN$2,0,0,ROW()-1,60),ROW()-1,FALSE))</f>
        <v/>
      </c>
      <c r="AU284" t="str">
        <f ca="1">IF(AND(ISNUMBER($AU$787),$B$511=1),$AU$787,HLOOKUP(INDIRECT(ADDRESS(2,COLUMN())),OFFSET($BN$2,0,0,ROW()-1,60),ROW()-1,FALSE))</f>
        <v/>
      </c>
      <c r="AV284" t="str">
        <f ca="1">IF(AND(ISNUMBER($AV$787),$B$511=1),$AV$787,HLOOKUP(INDIRECT(ADDRESS(2,COLUMN())),OFFSET($BN$2,0,0,ROW()-1,60),ROW()-1,FALSE))</f>
        <v/>
      </c>
      <c r="AW284" t="str">
        <f ca="1">IF(AND(ISNUMBER($AW$787),$B$511=1),$AW$787,HLOOKUP(INDIRECT(ADDRESS(2,COLUMN())),OFFSET($BN$2,0,0,ROW()-1,60),ROW()-1,FALSE))</f>
        <v/>
      </c>
      <c r="AX284" t="str">
        <f ca="1">IF(AND(ISNUMBER($AX$787),$B$511=1),$AX$787,HLOOKUP(INDIRECT(ADDRESS(2,COLUMN())),OFFSET($BN$2,0,0,ROW()-1,60),ROW()-1,FALSE))</f>
        <v/>
      </c>
      <c r="AY284" t="str">
        <f ca="1">IF(AND(ISNUMBER($AY$787),$B$511=1),$AY$787,HLOOKUP(INDIRECT(ADDRESS(2,COLUMN())),OFFSET($BN$2,0,0,ROW()-1,60),ROW()-1,FALSE))</f>
        <v/>
      </c>
      <c r="AZ284" t="str">
        <f ca="1">IF(AND(ISNUMBER($AZ$787),$B$511=1),$AZ$787,HLOOKUP(INDIRECT(ADDRESS(2,COLUMN())),OFFSET($BN$2,0,0,ROW()-1,60),ROW()-1,FALSE))</f>
        <v/>
      </c>
      <c r="BA284" t="str">
        <f ca="1">IF(AND(ISNUMBER($BA$787),$B$511=1),$BA$787,HLOOKUP(INDIRECT(ADDRESS(2,COLUMN())),OFFSET($BN$2,0,0,ROW()-1,60),ROW()-1,FALSE))</f>
        <v/>
      </c>
      <c r="BB284" t="str">
        <f ca="1">IF(AND(ISNUMBER($BB$787),$B$511=1),$BB$787,HLOOKUP(INDIRECT(ADDRESS(2,COLUMN())),OFFSET($BN$2,0,0,ROW()-1,60),ROW()-1,FALSE))</f>
        <v/>
      </c>
      <c r="BC284" t="str">
        <f ca="1">IF(AND(ISNUMBER($BC$787),$B$511=1),$BC$787,HLOOKUP(INDIRECT(ADDRESS(2,COLUMN())),OFFSET($BN$2,0,0,ROW()-1,60),ROW()-1,FALSE))</f>
        <v/>
      </c>
      <c r="BD284" t="str">
        <f ca="1">IF(AND(ISNUMBER($BD$787),$B$511=1),$BD$787,HLOOKUP(INDIRECT(ADDRESS(2,COLUMN())),OFFSET($BN$2,0,0,ROW()-1,60),ROW()-1,FALSE))</f>
        <v/>
      </c>
      <c r="BE284" t="str">
        <f ca="1">IF(AND(ISNUMBER($BE$787),$B$511=1),$BE$787,HLOOKUP(INDIRECT(ADDRESS(2,COLUMN())),OFFSET($BN$2,0,0,ROW()-1,60),ROW()-1,FALSE))</f>
        <v/>
      </c>
      <c r="BF284" t="str">
        <f ca="1">IF(AND(ISNUMBER($BF$787),$B$511=1),$BF$787,HLOOKUP(INDIRECT(ADDRESS(2,COLUMN())),OFFSET($BN$2,0,0,ROW()-1,60),ROW()-1,FALSE))</f>
        <v/>
      </c>
      <c r="BG284" t="str">
        <f ca="1">IF(AND(ISNUMBER($BG$787),$B$511=1),$BG$787,HLOOKUP(INDIRECT(ADDRESS(2,COLUMN())),OFFSET($BN$2,0,0,ROW()-1,60),ROW()-1,FALSE))</f>
        <v/>
      </c>
      <c r="BH284" t="str">
        <f ca="1">IF(AND(ISNUMBER($BH$787),$B$511=1),$BH$787,HLOOKUP(INDIRECT(ADDRESS(2,COLUMN())),OFFSET($BN$2,0,0,ROW()-1,60),ROW()-1,FALSE))</f>
        <v/>
      </c>
      <c r="BI284" t="str">
        <f ca="1">IF(AND(ISNUMBER($BI$787),$B$511=1),$BI$787,HLOOKUP(INDIRECT(ADDRESS(2,COLUMN())),OFFSET($BN$2,0,0,ROW()-1,60),ROW()-1,FALSE))</f>
        <v/>
      </c>
      <c r="BJ284" t="str">
        <f ca="1">IF(AND(ISNUMBER($BJ$787),$B$511=1),$BJ$787,HLOOKUP(INDIRECT(ADDRESS(2,COLUMN())),OFFSET($BN$2,0,0,ROW()-1,60),ROW()-1,FALSE))</f>
        <v/>
      </c>
      <c r="BK284" t="str">
        <f ca="1">IF(AND(ISNUMBER($BK$787),$B$511=1),$BK$787,HLOOKUP(INDIRECT(ADDRESS(2,COLUMN())),OFFSET($BN$2,0,0,ROW()-1,60),ROW()-1,FALSE))</f>
        <v/>
      </c>
      <c r="BL284" t="str">
        <f ca="1">IF(AND(ISNUMBER($BL$787),$B$511=1),$BL$787,HLOOKUP(INDIRECT(ADDRESS(2,COLUMN())),OFFSET($BN$2,0,0,ROW()-1,60),ROW()-1,FALSE))</f>
        <v/>
      </c>
      <c r="BM284" t="str">
        <f ca="1">IF(AND(ISNUMBER($BM$787),$B$511=1),$BM$787,HLOOKUP(INDIRECT(ADDRESS(2,COLUMN())),OFFSET($BN$2,0,0,ROW()-1,60),ROW()-1,FALSE))</f>
        <v/>
      </c>
      <c r="BN284" t="str">
        <f>""</f>
        <v/>
      </c>
      <c r="BO284">
        <f>4923.243</f>
        <v>4923.2430000000004</v>
      </c>
      <c r="BP284">
        <f>4508.838</f>
        <v>4508.8379999999997</v>
      </c>
      <c r="BQ284">
        <f>3906.421</f>
        <v>3906.4209999999998</v>
      </c>
      <c r="BR284">
        <f>4450.697</f>
        <v>4450.6970000000001</v>
      </c>
      <c r="BS284">
        <f>4237.312</f>
        <v>4237.3119999999999</v>
      </c>
      <c r="BT284">
        <f>4711.837</f>
        <v>4711.8370000000004</v>
      </c>
      <c r="BU284">
        <f>5107.44</f>
        <v>5107.4399999999996</v>
      </c>
      <c r="BV284">
        <f>4995.002</f>
        <v>4995.0020000000004</v>
      </c>
      <c r="BW284">
        <f>4761.695</f>
        <v>4761.6949999999997</v>
      </c>
      <c r="BX284">
        <f>2691.758</f>
        <v>2691.7579999999998</v>
      </c>
      <c r="BY284">
        <f>2557.44</f>
        <v>2557.44</v>
      </c>
      <c r="BZ284">
        <f>970.365</f>
        <v>970.36500000000001</v>
      </c>
      <c r="CA284">
        <f>1130.989</f>
        <v>1130.989</v>
      </c>
      <c r="CB284">
        <f>1360.837</f>
        <v>1360.837</v>
      </c>
      <c r="CC284">
        <f>715.934</f>
        <v>715.93399999999997</v>
      </c>
      <c r="CD284">
        <f>880.274</f>
        <v>880.274</v>
      </c>
      <c r="CE284">
        <f>911.71</f>
        <v>911.71</v>
      </c>
      <c r="CF284">
        <f>1020.255</f>
        <v>1020.255</v>
      </c>
      <c r="CG284">
        <f>952.333</f>
        <v>952.33299999999997</v>
      </c>
      <c r="CH284">
        <f>981.998</f>
        <v>981.99800000000005</v>
      </c>
      <c r="CI284">
        <f>667.12</f>
        <v>667.12</v>
      </c>
      <c r="CJ284">
        <f>641.663</f>
        <v>641.66300000000001</v>
      </c>
      <c r="CK284">
        <f>629.426</f>
        <v>629.42600000000004</v>
      </c>
      <c r="CL284">
        <f>168.583</f>
        <v>168.583</v>
      </c>
      <c r="CM284">
        <f>124.7</f>
        <v>124.7</v>
      </c>
      <c r="CN284">
        <f>-27.875</f>
        <v>-27.875</v>
      </c>
      <c r="CO284">
        <f>62.215</f>
        <v>62.215000000000003</v>
      </c>
      <c r="CP284">
        <f>153.874</f>
        <v>153.874</v>
      </c>
      <c r="CQ284">
        <f>224.045</f>
        <v>224.04499999999999</v>
      </c>
      <c r="CR284">
        <f>294.118</f>
        <v>294.11799999999999</v>
      </c>
      <c r="CS284">
        <f>348.452</f>
        <v>348.452</v>
      </c>
      <c r="CT284">
        <f>167.738</f>
        <v>167.738</v>
      </c>
      <c r="CU284">
        <f>207.048</f>
        <v>207.048</v>
      </c>
      <c r="CV284">
        <f>219.923</f>
        <v>219.923</v>
      </c>
      <c r="CW284">
        <f>-309.775</f>
        <v>-309.77499999999998</v>
      </c>
      <c r="CX284">
        <f>-279.297</f>
        <v>-279.29700000000003</v>
      </c>
      <c r="CY284">
        <f>-253.523</f>
        <v>-253.523</v>
      </c>
      <c r="CZ284" t="str">
        <f>""</f>
        <v/>
      </c>
      <c r="DA284" t="str">
        <f>""</f>
        <v/>
      </c>
      <c r="DB284" t="str">
        <f>""</f>
        <v/>
      </c>
      <c r="DC284" t="str">
        <f>""</f>
        <v/>
      </c>
      <c r="DD284" t="str">
        <f>""</f>
        <v/>
      </c>
      <c r="DE284" t="str">
        <f>""</f>
        <v/>
      </c>
      <c r="DF284" t="str">
        <f>""</f>
        <v/>
      </c>
      <c r="DG284" t="str">
        <f>""</f>
        <v/>
      </c>
      <c r="DH284" t="str">
        <f>""</f>
        <v/>
      </c>
      <c r="DI284" t="str">
        <f>""</f>
        <v/>
      </c>
      <c r="DJ284" t="str">
        <f>""</f>
        <v/>
      </c>
      <c r="DK284" t="str">
        <f>""</f>
        <v/>
      </c>
      <c r="DL284" t="str">
        <f>""</f>
        <v/>
      </c>
      <c r="DM284" t="str">
        <f>""</f>
        <v/>
      </c>
      <c r="DN284" t="str">
        <f>""</f>
        <v/>
      </c>
      <c r="DO284" t="str">
        <f>""</f>
        <v/>
      </c>
      <c r="DP284" t="str">
        <f>""</f>
        <v/>
      </c>
      <c r="DQ284" t="str">
        <f>""</f>
        <v/>
      </c>
      <c r="DR284" t="str">
        <f>""</f>
        <v/>
      </c>
      <c r="DS284" t="str">
        <f>""</f>
        <v/>
      </c>
      <c r="DT284" t="str">
        <f>""</f>
        <v/>
      </c>
      <c r="DU284" t="str">
        <f>""</f>
        <v/>
      </c>
    </row>
    <row r="285" spans="1:125" x14ac:dyDescent="0.25">
      <c r="A285" t="str">
        <f>"    Tianjin Faw Xiali Automobile Co Ltd"</f>
        <v xml:space="preserve">    Tianjin Faw Xiali Automobile Co Ltd</v>
      </c>
      <c r="B285" t="str">
        <f>"000927 CH Equity"</f>
        <v>000927 CH Equity</v>
      </c>
      <c r="C285" t="str">
        <f t="shared" si="18"/>
        <v>RR010</v>
      </c>
      <c r="D285" t="str">
        <f t="shared" si="19"/>
        <v>TOT_COMMON_EQY</v>
      </c>
      <c r="E285" t="str">
        <f t="shared" si="20"/>
        <v>Dynamic</v>
      </c>
      <c r="F285" t="str">
        <f ca="1">IF(AND(ISNUMBER($F$788),$B$511=1),$F$788,HLOOKUP(INDIRECT(ADDRESS(2,COLUMN())),OFFSET($BN$2,0,0,ROW()-1,60),ROW()-1,FALSE))</f>
        <v/>
      </c>
      <c r="G285" t="str">
        <f ca="1">IF(AND(ISNUMBER($G$788),$B$511=1),$G$788,HLOOKUP(INDIRECT(ADDRESS(2,COLUMN())),OFFSET($BN$2,0,0,ROW()-1,60),ROW()-1,FALSE))</f>
        <v/>
      </c>
      <c r="H285">
        <f ca="1">IF(AND(ISNUMBER($H$788),$B$511=1),$H$788,HLOOKUP(INDIRECT(ADDRESS(2,COLUMN())),OFFSET($BN$2,0,0,ROW()-1,60),ROW()-1,FALSE))</f>
        <v>-137.52603010000001</v>
      </c>
      <c r="I285">
        <f ca="1">IF(AND(ISNUMBER($I$788),$B$511=1),$I$788,HLOOKUP(INDIRECT(ADDRESS(2,COLUMN())),OFFSET($BN$2,0,0,ROW()-1,60),ROW()-1,FALSE))</f>
        <v>-87.460407169999996</v>
      </c>
      <c r="J285">
        <f ca="1">IF(AND(ISNUMBER($J$788),$B$511=1),$J$788,HLOOKUP(INDIRECT(ADDRESS(2,COLUMN())),OFFSET($BN$2,0,0,ROW()-1,60),ROW()-1,FALSE))</f>
        <v>-26.233797679999999</v>
      </c>
      <c r="K285">
        <f ca="1">IF(AND(ISNUMBER($K$788),$B$511=1),$K$788,HLOOKUP(INDIRECT(ADDRESS(2,COLUMN())),OFFSET($BN$2,0,0,ROW()-1,60),ROW()-1,FALSE))</f>
        <v>8.9116470079999992</v>
      </c>
      <c r="L285">
        <f ca="1">IF(AND(ISNUMBER($L$788),$B$511=1),$L$788,HLOOKUP(INDIRECT(ADDRESS(2,COLUMN())),OFFSET($BN$2,0,0,ROW()-1,60),ROW()-1,FALSE))</f>
        <v>86.640490659999998</v>
      </c>
      <c r="M285">
        <f ca="1">IF(AND(ISNUMBER($M$788),$B$511=1),$M$788,HLOOKUP(INDIRECT(ADDRESS(2,COLUMN())),OFFSET($BN$2,0,0,ROW()-1,60),ROW()-1,FALSE))</f>
        <v>149.67848900000001</v>
      </c>
      <c r="N285">
        <f ca="1">IF(AND(ISNUMBER($N$788),$B$511=1),$N$788,HLOOKUP(INDIRECT(ADDRESS(2,COLUMN())),OFFSET($BN$2,0,0,ROW()-1,60),ROW()-1,FALSE))</f>
        <v>208.26170450000001</v>
      </c>
      <c r="O285">
        <f ca="1">IF(AND(ISNUMBER($O$788),$B$511=1),$O$788,HLOOKUP(INDIRECT(ADDRESS(2,COLUMN())),OFFSET($BN$2,0,0,ROW()-1,60),ROW()-1,FALSE))</f>
        <v>244.69284780000001</v>
      </c>
      <c r="P285">
        <f ca="1">IF(AND(ISNUMBER($P$788),$B$511=1),$P$788,HLOOKUP(INDIRECT(ADDRESS(2,COLUMN())),OFFSET($BN$2,0,0,ROW()-1,60),ROW()-1,FALSE))</f>
        <v>106.60035790000001</v>
      </c>
      <c r="Q285">
        <f ca="1">IF(AND(ISNUMBER($Q$788),$B$511=1),$Q$788,HLOOKUP(INDIRECT(ADDRESS(2,COLUMN())),OFFSET($BN$2,0,0,ROW()-1,60),ROW()-1,FALSE))</f>
        <v>152.82801000000001</v>
      </c>
      <c r="R285">
        <f ca="1">IF(AND(ISNUMBER($R$788),$B$511=1),$R$788,HLOOKUP(INDIRECT(ADDRESS(2,COLUMN())),OFFSET($BN$2,0,0,ROW()-1,60),ROW()-1,FALSE))</f>
        <v>212.1381562</v>
      </c>
      <c r="S285">
        <f ca="1">IF(AND(ISNUMBER($S$788),$B$511=1),$S$788,HLOOKUP(INDIRECT(ADDRESS(2,COLUMN())),OFFSET($BN$2,0,0,ROW()-1,60),ROW()-1,FALSE))</f>
        <v>236.71147160000001</v>
      </c>
      <c r="T285">
        <f ca="1">IF(AND(ISNUMBER($T$788),$B$511=1),$T$788,HLOOKUP(INDIRECT(ADDRESS(2,COLUMN())),OFFSET($BN$2,0,0,ROW()-1,60),ROW()-1,FALSE))</f>
        <v>104.37758940000001</v>
      </c>
      <c r="U285">
        <f ca="1">IF(AND(ISNUMBER($U$788),$B$511=1),$U$788,HLOOKUP(INDIRECT(ADDRESS(2,COLUMN())),OFFSET($BN$2,0,0,ROW()-1,60),ROW()-1,FALSE))</f>
        <v>158.1324717</v>
      </c>
      <c r="V285">
        <f ca="1">IF(AND(ISNUMBER($V$788),$B$511=1),$V$788,HLOOKUP(INDIRECT(ADDRESS(2,COLUMN())),OFFSET($BN$2,0,0,ROW()-1,60),ROW()-1,FALSE))</f>
        <v>203.2324662</v>
      </c>
      <c r="W285">
        <f ca="1">IF(AND(ISNUMBER($W$788),$B$511=1),$W$788,HLOOKUP(INDIRECT(ADDRESS(2,COLUMN())),OFFSET($BN$2,0,0,ROW()-1,60),ROW()-1,FALSE))</f>
        <v>244.45207640000001</v>
      </c>
      <c r="X285">
        <f ca="1">IF(AND(ISNUMBER($X$788),$B$511=1),$X$788,HLOOKUP(INDIRECT(ADDRESS(2,COLUMN())),OFFSET($BN$2,0,0,ROW()-1,60),ROW()-1,FALSE))</f>
        <v>404.26245119999999</v>
      </c>
      <c r="Y285">
        <f ca="1">IF(AND(ISNUMBER($Y$788),$B$511=1),$Y$788,HLOOKUP(INDIRECT(ADDRESS(2,COLUMN())),OFFSET($BN$2,0,0,ROW()-1,60),ROW()-1,FALSE))</f>
        <v>441.75299560000002</v>
      </c>
      <c r="Z285">
        <f ca="1">IF(AND(ISNUMBER($Z$788),$B$511=1),$Z$788,HLOOKUP(INDIRECT(ADDRESS(2,COLUMN())),OFFSET($BN$2,0,0,ROW()-1,60),ROW()-1,FALSE))</f>
        <v>478.3066488</v>
      </c>
      <c r="AA285">
        <f ca="1">IF(AND(ISNUMBER($AA$788),$B$511=1),$AA$788,HLOOKUP(INDIRECT(ADDRESS(2,COLUMN())),OFFSET($BN$2,0,0,ROW()-1,60),ROW()-1,FALSE))</f>
        <v>524.76402199999995</v>
      </c>
      <c r="AB285">
        <f ca="1">IF(AND(ISNUMBER($AB$788),$B$511=1),$AB$788,HLOOKUP(INDIRECT(ADDRESS(2,COLUMN())),OFFSET($BN$2,0,0,ROW()-1,60),ROW()-1,FALSE))</f>
        <v>581.00296089999995</v>
      </c>
      <c r="AC285">
        <f ca="1">IF(AND(ISNUMBER($AC$788),$B$511=1),$AC$788,HLOOKUP(INDIRECT(ADDRESS(2,COLUMN())),OFFSET($BN$2,0,0,ROW()-1,60),ROW()-1,FALSE))</f>
        <v>596.46142899999995</v>
      </c>
      <c r="AD285">
        <f ca="1">IF(AND(ISNUMBER($AD$788),$B$511=1),$AD$788,HLOOKUP(INDIRECT(ADDRESS(2,COLUMN())),OFFSET($BN$2,0,0,ROW()-1,60),ROW()-1,FALSE))</f>
        <v>581.80682460000003</v>
      </c>
      <c r="AE285">
        <f ca="1">IF(AND(ISNUMBER($AE$788),$B$511=1),$AE$788,HLOOKUP(INDIRECT(ADDRESS(2,COLUMN())),OFFSET($BN$2,0,0,ROW()-1,60),ROW()-1,FALSE))</f>
        <v>588.53324669999995</v>
      </c>
      <c r="AF285">
        <f ca="1">IF(AND(ISNUMBER($AF$788),$B$511=1),$AF$788,HLOOKUP(INDIRECT(ADDRESS(2,COLUMN())),OFFSET($BN$2,0,0,ROW()-1,60),ROW()-1,FALSE))</f>
        <v>591.48113999999998</v>
      </c>
      <c r="AG285">
        <f ca="1">IF(AND(ISNUMBER($AG$788),$B$511=1),$AG$788,HLOOKUP(INDIRECT(ADDRESS(2,COLUMN())),OFFSET($BN$2,0,0,ROW()-1,60),ROW()-1,FALSE))</f>
        <v>586.14199989999997</v>
      </c>
      <c r="AH285">
        <f ca="1">IF(AND(ISNUMBER($AH$788),$B$511=1),$AH$788,HLOOKUP(INDIRECT(ADDRESS(2,COLUMN())),OFFSET($BN$2,0,0,ROW()-1,60),ROW()-1,FALSE))</f>
        <v>590.84656540000003</v>
      </c>
      <c r="AI285">
        <f ca="1">IF(AND(ISNUMBER($AI$788),$B$511=1),$AI$788,HLOOKUP(INDIRECT(ADDRESS(2,COLUMN())),OFFSET($BN$2,0,0,ROW()-1,60),ROW()-1,FALSE))</f>
        <v>582.03542560000005</v>
      </c>
      <c r="AJ285">
        <f ca="1">IF(AND(ISNUMBER($AJ$788),$B$511=1),$AJ$788,HLOOKUP(INDIRECT(ADDRESS(2,COLUMN())),OFFSET($BN$2,0,0,ROW()-1,60),ROW()-1,FALSE))</f>
        <v>574.33328600000004</v>
      </c>
      <c r="AK285">
        <f ca="1">IF(AND(ISNUMBER($AK$788),$B$511=1),$AK$788,HLOOKUP(INDIRECT(ADDRESS(2,COLUMN())),OFFSET($BN$2,0,0,ROW()-1,60),ROW()-1,FALSE))</f>
        <v>557.45053419999999</v>
      </c>
      <c r="AL285">
        <f ca="1">IF(AND(ISNUMBER($AL$788),$B$511=1),$AL$788,HLOOKUP(INDIRECT(ADDRESS(2,COLUMN())),OFFSET($BN$2,0,0,ROW()-1,60),ROW()-1,FALSE))</f>
        <v>558.37564550000002</v>
      </c>
      <c r="AM285">
        <f ca="1">IF(AND(ISNUMBER($AM$788),$B$511=1),$AM$788,HLOOKUP(INDIRECT(ADDRESS(2,COLUMN())),OFFSET($BN$2,0,0,ROW()-1,60),ROW()-1,FALSE))</f>
        <v>547.08521919999998</v>
      </c>
      <c r="AN285">
        <f ca="1">IF(AND(ISNUMBER($AN$788),$B$511=1),$AN$788,HLOOKUP(INDIRECT(ADDRESS(2,COLUMN())),OFFSET($BN$2,0,0,ROW()-1,60),ROW()-1,FALSE))</f>
        <v>542.08685230000003</v>
      </c>
      <c r="AO285">
        <f ca="1">IF(AND(ISNUMBER($AO$788),$B$511=1),$AO$788,HLOOKUP(INDIRECT(ADDRESS(2,COLUMN())),OFFSET($BN$2,0,0,ROW()-1,60),ROW()-1,FALSE))</f>
        <v>534.71384020000005</v>
      </c>
      <c r="AP285">
        <f ca="1">IF(AND(ISNUMBER($AP$788),$B$511=1),$AP$788,HLOOKUP(INDIRECT(ADDRESS(2,COLUMN())),OFFSET($BN$2,0,0,ROW()-1,60),ROW()-1,FALSE))</f>
        <v>536.34232299999996</v>
      </c>
      <c r="AQ285">
        <f ca="1">IF(AND(ISNUMBER($AQ$788),$B$511=1),$AQ$788,HLOOKUP(INDIRECT(ADDRESS(2,COLUMN())),OFFSET($BN$2,0,0,ROW()-1,60),ROW()-1,FALSE))</f>
        <v>500.52104930000002</v>
      </c>
      <c r="AR285">
        <f ca="1">IF(AND(ISNUMBER($AR$788),$B$511=1),$AR$788,HLOOKUP(INDIRECT(ADDRESS(2,COLUMN())),OFFSET($BN$2,0,0,ROW()-1,60),ROW()-1,FALSE))</f>
        <v>489.7874334</v>
      </c>
      <c r="AS285">
        <f ca="1">IF(AND(ISNUMBER($AS$788),$B$511=1),$AS$788,HLOOKUP(INDIRECT(ADDRESS(2,COLUMN())),OFFSET($BN$2,0,0,ROW()-1,60),ROW()-1,FALSE))</f>
        <v>486.8751054</v>
      </c>
      <c r="AT285">
        <f ca="1">IF(AND(ISNUMBER($AT$788),$B$511=1),$AT$788,HLOOKUP(INDIRECT(ADDRESS(2,COLUMN())),OFFSET($BN$2,0,0,ROW()-1,60),ROW()-1,FALSE))</f>
        <v>479.05471039999998</v>
      </c>
      <c r="AU285">
        <f ca="1">IF(AND(ISNUMBER($AU$788),$B$511=1),$AU$788,HLOOKUP(INDIRECT(ADDRESS(2,COLUMN())),OFFSET($BN$2,0,0,ROW()-1,60),ROW()-1,FALSE))</f>
        <v>482.38024200000001</v>
      </c>
      <c r="AV285">
        <f ca="1">IF(AND(ISNUMBER($AV$788),$B$511=1),$AV$788,HLOOKUP(INDIRECT(ADDRESS(2,COLUMN())),OFFSET($BN$2,0,0,ROW()-1,60),ROW()-1,FALSE))</f>
        <v>486.25317280000002</v>
      </c>
      <c r="AW285">
        <f ca="1">IF(AND(ISNUMBER($AW$788),$B$511=1),$AW$788,HLOOKUP(INDIRECT(ADDRESS(2,COLUMN())),OFFSET($BN$2,0,0,ROW()-1,60),ROW()-1,FALSE))</f>
        <v>480.4004668</v>
      </c>
      <c r="AX285">
        <f ca="1">IF(AND(ISNUMBER($AX$788),$B$511=1),$AX$788,HLOOKUP(INDIRECT(ADDRESS(2,COLUMN())),OFFSET($BN$2,0,0,ROW()-1,60),ROW()-1,FALSE))</f>
        <v>484.42221050000001</v>
      </c>
      <c r="AY285">
        <f ca="1">IF(AND(ISNUMBER($AY$788),$B$511=1),$AY$788,HLOOKUP(INDIRECT(ADDRESS(2,COLUMN())),OFFSET($BN$2,0,0,ROW()-1,60),ROW()-1,FALSE))</f>
        <v>448.4927275</v>
      </c>
      <c r="AZ285">
        <f ca="1">IF(AND(ISNUMBER($AZ$788),$B$511=1),$AZ$788,HLOOKUP(INDIRECT(ADDRESS(2,COLUMN())),OFFSET($BN$2,0,0,ROW()-1,60),ROW()-1,FALSE))</f>
        <v>429.7378741</v>
      </c>
      <c r="BA285">
        <f ca="1">IF(AND(ISNUMBER($BA$788),$B$511=1),$BA$788,HLOOKUP(INDIRECT(ADDRESS(2,COLUMN())),OFFSET($BN$2,0,0,ROW()-1,60),ROW()-1,FALSE))</f>
        <v>425.90042169999998</v>
      </c>
      <c r="BB285">
        <f ca="1">IF(AND(ISNUMBER($BB$788),$B$511=1),$BB$788,HLOOKUP(INDIRECT(ADDRESS(2,COLUMN())),OFFSET($BN$2,0,0,ROW()-1,60),ROW()-1,FALSE))</f>
        <v>423.32339309999998</v>
      </c>
      <c r="BC285">
        <f ca="1">IF(AND(ISNUMBER($BC$788),$B$511=1),$BC$788,HLOOKUP(INDIRECT(ADDRESS(2,COLUMN())),OFFSET($BN$2,0,0,ROW()-1,60),ROW()-1,FALSE))</f>
        <v>413.66145979999999</v>
      </c>
      <c r="BD285">
        <f ca="1">IF(AND(ISNUMBER($BD$788),$B$511=1),$BD$788,HLOOKUP(INDIRECT(ADDRESS(2,COLUMN())),OFFSET($BN$2,0,0,ROW()-1,60),ROW()-1,FALSE))</f>
        <v>413.06865770000002</v>
      </c>
      <c r="BE285">
        <f ca="1">IF(AND(ISNUMBER($BE$788),$B$511=1),$BE$788,HLOOKUP(INDIRECT(ADDRESS(2,COLUMN())),OFFSET($BN$2,0,0,ROW()-1,60),ROW()-1,FALSE))</f>
        <v>394.70239290000001</v>
      </c>
      <c r="BF285">
        <f ca="1">IF(AND(ISNUMBER($BF$788),$B$511=1),$BF$788,HLOOKUP(INDIRECT(ADDRESS(2,COLUMN())),OFFSET($BN$2,0,0,ROW()-1,60),ROW()-1,FALSE))</f>
        <v>380.39183420000001</v>
      </c>
      <c r="BG285">
        <f ca="1">IF(AND(ISNUMBER($BG$788),$B$511=1),$BG$788,HLOOKUP(INDIRECT(ADDRESS(2,COLUMN())),OFFSET($BN$2,0,0,ROW()-1,60),ROW()-1,FALSE))</f>
        <v>366.88333610000001</v>
      </c>
      <c r="BH285">
        <f ca="1">IF(AND(ISNUMBER($BH$788),$B$511=1),$BH$788,HLOOKUP(INDIRECT(ADDRESS(2,COLUMN())),OFFSET($BN$2,0,0,ROW()-1,60),ROW()-1,FALSE))</f>
        <v>353.02482830000002</v>
      </c>
      <c r="BI285">
        <f ca="1">IF(AND(ISNUMBER($BI$788),$B$511=1),$BI$788,HLOOKUP(INDIRECT(ADDRESS(2,COLUMN())),OFFSET($BN$2,0,0,ROW()-1,60),ROW()-1,FALSE))</f>
        <v>334.41896730000002</v>
      </c>
      <c r="BJ285">
        <f ca="1">IF(AND(ISNUMBER($BJ$788),$B$511=1),$BJ$788,HLOOKUP(INDIRECT(ADDRESS(2,COLUMN())),OFFSET($BN$2,0,0,ROW()-1,60),ROW()-1,FALSE))</f>
        <v>323.22542579999998</v>
      </c>
      <c r="BK285">
        <f ca="1">IF(AND(ISNUMBER($BK$788),$B$511=1),$BK$788,HLOOKUP(INDIRECT(ADDRESS(2,COLUMN())),OFFSET($BN$2,0,0,ROW()-1,60),ROW()-1,FALSE))</f>
        <v>326.98318019999999</v>
      </c>
      <c r="BL285">
        <f ca="1">IF(AND(ISNUMBER($BL$788),$B$511=1),$BL$788,HLOOKUP(INDIRECT(ADDRESS(2,COLUMN())),OFFSET($BN$2,0,0,ROW()-1,60),ROW()-1,FALSE))</f>
        <v>330.0374453</v>
      </c>
      <c r="BM285">
        <f ca="1">IF(AND(ISNUMBER($BM$788),$B$511=1),$BM$788,HLOOKUP(INDIRECT(ADDRESS(2,COLUMN())),OFFSET($BN$2,0,0,ROW()-1,60),ROW()-1,FALSE))</f>
        <v>335.43574180000002</v>
      </c>
      <c r="BN285" t="str">
        <f>""</f>
        <v/>
      </c>
      <c r="BO285" t="str">
        <f>""</f>
        <v/>
      </c>
      <c r="BP285">
        <f>-137.5260301</f>
        <v>-137.52603010000001</v>
      </c>
      <c r="BQ285">
        <f>-87.46040717</f>
        <v>-87.460407169999996</v>
      </c>
      <c r="BR285">
        <f>-26.23379768</f>
        <v>-26.233797679999999</v>
      </c>
      <c r="BS285">
        <f>8.911647008</f>
        <v>8.9116470079999992</v>
      </c>
      <c r="BT285">
        <f>86.64049066</f>
        <v>86.640490659999998</v>
      </c>
      <c r="BU285">
        <f>149.678489</f>
        <v>149.67848900000001</v>
      </c>
      <c r="BV285">
        <f>208.2617045</f>
        <v>208.26170450000001</v>
      </c>
      <c r="BW285">
        <f>244.6928478</f>
        <v>244.69284780000001</v>
      </c>
      <c r="BX285">
        <f>106.6003579</f>
        <v>106.60035790000001</v>
      </c>
      <c r="BY285">
        <f>152.82801</f>
        <v>152.82801000000001</v>
      </c>
      <c r="BZ285">
        <f>212.1381562</f>
        <v>212.1381562</v>
      </c>
      <c r="CA285">
        <f>236.7114716</f>
        <v>236.71147160000001</v>
      </c>
      <c r="CB285">
        <f>104.3775894</f>
        <v>104.37758940000001</v>
      </c>
      <c r="CC285">
        <f>158.1324717</f>
        <v>158.1324717</v>
      </c>
      <c r="CD285">
        <f>203.2324662</f>
        <v>203.2324662</v>
      </c>
      <c r="CE285">
        <f>244.4520764</f>
        <v>244.45207640000001</v>
      </c>
      <c r="CF285">
        <f>404.2624512</f>
        <v>404.26245119999999</v>
      </c>
      <c r="CG285">
        <f>441.7529956</f>
        <v>441.75299560000002</v>
      </c>
      <c r="CH285">
        <f>478.3066488</f>
        <v>478.3066488</v>
      </c>
      <c r="CI285">
        <f>524.764022</f>
        <v>524.76402199999995</v>
      </c>
      <c r="CJ285">
        <f>581.0029609</f>
        <v>581.00296089999995</v>
      </c>
      <c r="CK285">
        <f>596.461429</f>
        <v>596.46142899999995</v>
      </c>
      <c r="CL285">
        <f>581.8068246</f>
        <v>581.80682460000003</v>
      </c>
      <c r="CM285">
        <f>588.5332467</f>
        <v>588.53324669999995</v>
      </c>
      <c r="CN285">
        <f>591.48114</f>
        <v>591.48113999999998</v>
      </c>
      <c r="CO285">
        <f>586.1419999</f>
        <v>586.14199989999997</v>
      </c>
      <c r="CP285">
        <f>590.8465654</f>
        <v>590.84656540000003</v>
      </c>
      <c r="CQ285">
        <f>582.0354256</f>
        <v>582.03542560000005</v>
      </c>
      <c r="CR285">
        <f>574.333286</f>
        <v>574.33328600000004</v>
      </c>
      <c r="CS285">
        <f>557.4505342</f>
        <v>557.45053419999999</v>
      </c>
      <c r="CT285">
        <f>558.3756455</f>
        <v>558.37564550000002</v>
      </c>
      <c r="CU285">
        <f>547.0852192</f>
        <v>547.08521919999998</v>
      </c>
      <c r="CV285">
        <f>542.0868523</f>
        <v>542.08685230000003</v>
      </c>
      <c r="CW285">
        <f>534.7138402</f>
        <v>534.71384020000005</v>
      </c>
      <c r="CX285">
        <f>536.342323</f>
        <v>536.34232299999996</v>
      </c>
      <c r="CY285">
        <f>500.5210493</f>
        <v>500.52104930000002</v>
      </c>
      <c r="CZ285">
        <f>489.7874334</f>
        <v>489.7874334</v>
      </c>
      <c r="DA285">
        <f>486.8751054</f>
        <v>486.8751054</v>
      </c>
      <c r="DB285">
        <f>479.0547104</f>
        <v>479.05471039999998</v>
      </c>
      <c r="DC285">
        <f>482.380242</f>
        <v>482.38024200000001</v>
      </c>
      <c r="DD285">
        <f>486.2531728</f>
        <v>486.25317280000002</v>
      </c>
      <c r="DE285">
        <f>480.4004668</f>
        <v>480.4004668</v>
      </c>
      <c r="DF285">
        <f>484.4222105</f>
        <v>484.42221050000001</v>
      </c>
      <c r="DG285">
        <f>448.4927275</f>
        <v>448.4927275</v>
      </c>
      <c r="DH285">
        <f>429.7378741</f>
        <v>429.7378741</v>
      </c>
      <c r="DI285">
        <f>425.9004217</f>
        <v>425.90042169999998</v>
      </c>
      <c r="DJ285">
        <f>423.3233931</f>
        <v>423.32339309999998</v>
      </c>
      <c r="DK285">
        <f>413.6614598</f>
        <v>413.66145979999999</v>
      </c>
      <c r="DL285">
        <f>413.0686577</f>
        <v>413.06865770000002</v>
      </c>
      <c r="DM285">
        <f>394.7023929</f>
        <v>394.70239290000001</v>
      </c>
      <c r="DN285">
        <f>380.3918342</f>
        <v>380.39183420000001</v>
      </c>
      <c r="DO285">
        <f>366.8833361</f>
        <v>366.88333610000001</v>
      </c>
      <c r="DP285">
        <f>353.0248283</f>
        <v>353.02482830000002</v>
      </c>
      <c r="DQ285">
        <f>334.4189673</f>
        <v>334.41896730000002</v>
      </c>
      <c r="DR285">
        <f>323.2254258</f>
        <v>323.22542579999998</v>
      </c>
      <c r="DS285">
        <f>326.9831802</f>
        <v>326.98318019999999</v>
      </c>
      <c r="DT285">
        <f>330.0374453</f>
        <v>330.0374453</v>
      </c>
      <c r="DU285">
        <f>335.4357418</f>
        <v>335.43574180000002</v>
      </c>
    </row>
    <row r="286" spans="1:125" x14ac:dyDescent="0.25">
      <c r="A286" t="str">
        <f>"    Tofas Turk Otomobil Fabrikasi AS"</f>
        <v xml:space="preserve">    Tofas Turk Otomobil Fabrikasi AS</v>
      </c>
      <c r="B286" t="str">
        <f>"TOASOTRY EO Equity"</f>
        <v>TOASOTRY EO Equity</v>
      </c>
      <c r="C286" t="str">
        <f t="shared" si="18"/>
        <v>RR010</v>
      </c>
      <c r="D286" t="str">
        <f t="shared" si="19"/>
        <v>TOT_COMMON_EQY</v>
      </c>
      <c r="E286" t="str">
        <f t="shared" si="20"/>
        <v>Dynamic</v>
      </c>
      <c r="F286" t="str">
        <f ca="1">IF(AND(ISNUMBER($F$789),$B$511=1),$F$789,HLOOKUP(INDIRECT(ADDRESS(2,COLUMN())),OFFSET($BN$2,0,0,ROW()-1,60),ROW()-1,FALSE))</f>
        <v/>
      </c>
      <c r="G286">
        <f ca="1">IF(AND(ISNUMBER($G$789),$B$511=1),$G$789,HLOOKUP(INDIRECT(ADDRESS(2,COLUMN())),OFFSET($BN$2,0,0,ROW()-1,60),ROW()-1,FALSE))</f>
        <v>700.56607699999995</v>
      </c>
      <c r="H286">
        <f ca="1">IF(AND(ISNUMBER($H$789),$B$511=1),$H$789,HLOOKUP(INDIRECT(ADDRESS(2,COLUMN())),OFFSET($BN$2,0,0,ROW()-1,60),ROW()-1,FALSE))</f>
        <v>483.43999209999998</v>
      </c>
      <c r="I286">
        <f ca="1">IF(AND(ISNUMBER($I$789),$B$511=1),$I$789,HLOOKUP(INDIRECT(ADDRESS(2,COLUMN())),OFFSET($BN$2,0,0,ROW()-1,60),ROW()-1,FALSE))</f>
        <v>700.3960482</v>
      </c>
      <c r="J286">
        <f ca="1">IF(AND(ISNUMBER($J$789),$B$511=1),$J$789,HLOOKUP(INDIRECT(ADDRESS(2,COLUMN())),OFFSET($BN$2,0,0,ROW()-1,60),ROW()-1,FALSE))</f>
        <v>755.38241760000005</v>
      </c>
      <c r="K286">
        <f ca="1">IF(AND(ISNUMBER($K$789),$B$511=1),$K$789,HLOOKUP(INDIRECT(ADDRESS(2,COLUMN())),OFFSET($BN$2,0,0,ROW()-1,60),ROW()-1,FALSE))</f>
        <v>946.09130760000005</v>
      </c>
      <c r="L286">
        <f ca="1">IF(AND(ISNUMBER($L$789),$B$511=1),$L$789,HLOOKUP(INDIRECT(ADDRESS(2,COLUMN())),OFFSET($BN$2,0,0,ROW()-1,60),ROW()-1,FALSE))</f>
        <v>920.15496480000002</v>
      </c>
      <c r="M286">
        <f ca="1">IF(AND(ISNUMBER($M$789),$B$511=1),$M$789,HLOOKUP(INDIRECT(ADDRESS(2,COLUMN())),OFFSET($BN$2,0,0,ROW()-1,60),ROW()-1,FALSE))</f>
        <v>872.53014450000001</v>
      </c>
      <c r="N286">
        <f ca="1">IF(AND(ISNUMBER($N$789),$B$511=1),$N$789,HLOOKUP(INDIRECT(ADDRESS(2,COLUMN())),OFFSET($BN$2,0,0,ROW()-1,60),ROW()-1,FALSE))</f>
        <v>772.4622756</v>
      </c>
      <c r="O286">
        <f ca="1">IF(AND(ISNUMBER($O$789),$B$511=1),$O$789,HLOOKUP(INDIRECT(ADDRESS(2,COLUMN())),OFFSET($BN$2,0,0,ROW()-1,60),ROW()-1,FALSE))</f>
        <v>838.99319149999997</v>
      </c>
      <c r="P286">
        <f ca="1">IF(AND(ISNUMBER($P$789),$B$511=1),$P$789,HLOOKUP(INDIRECT(ADDRESS(2,COLUMN())),OFFSET($BN$2,0,0,ROW()-1,60),ROW()-1,FALSE))</f>
        <v>947.93901019999998</v>
      </c>
      <c r="Q286">
        <f ca="1">IF(AND(ISNUMBER($Q$789),$B$511=1),$Q$789,HLOOKUP(INDIRECT(ADDRESS(2,COLUMN())),OFFSET($BN$2,0,0,ROW()-1,60),ROW()-1,FALSE))</f>
        <v>942.34473400000002</v>
      </c>
      <c r="R286">
        <f ca="1">IF(AND(ISNUMBER($R$789),$B$511=1),$R$789,HLOOKUP(INDIRECT(ADDRESS(2,COLUMN())),OFFSET($BN$2,0,0,ROW()-1,60),ROW()-1,FALSE))</f>
        <v>868.11042899999995</v>
      </c>
      <c r="S286">
        <f ca="1">IF(AND(ISNUMBER($S$789),$B$511=1),$S$789,HLOOKUP(INDIRECT(ADDRESS(2,COLUMN())),OFFSET($BN$2,0,0,ROW()-1,60),ROW()-1,FALSE))</f>
        <v>885.25574219999999</v>
      </c>
      <c r="T286">
        <f ca="1">IF(AND(ISNUMBER($T$789),$B$511=1),$T$789,HLOOKUP(INDIRECT(ADDRESS(2,COLUMN())),OFFSET($BN$2,0,0,ROW()-1,60),ROW()-1,FALSE))</f>
        <v>716.1450873</v>
      </c>
      <c r="U286">
        <f ca="1">IF(AND(ISNUMBER($U$789),$B$511=1),$U$789,HLOOKUP(INDIRECT(ADDRESS(2,COLUMN())),OFFSET($BN$2,0,0,ROW()-1,60),ROW()-1,FALSE))</f>
        <v>797.43886499999996</v>
      </c>
      <c r="V286">
        <f ca="1">IF(AND(ISNUMBER($V$789),$B$511=1),$V$789,HLOOKUP(INDIRECT(ADDRESS(2,COLUMN())),OFFSET($BN$2,0,0,ROW()-1,60),ROW()-1,FALSE))</f>
        <v>757.22966210000004</v>
      </c>
      <c r="W286">
        <f ca="1">IF(AND(ISNUMBER($W$789),$B$511=1),$W$789,HLOOKUP(INDIRECT(ADDRESS(2,COLUMN())),OFFSET($BN$2,0,0,ROW()-1,60),ROW()-1,FALSE))</f>
        <v>958.99486520000005</v>
      </c>
      <c r="X286">
        <f ca="1">IF(AND(ISNUMBER($X$789),$B$511=1),$X$789,HLOOKUP(INDIRECT(ADDRESS(2,COLUMN())),OFFSET($BN$2,0,0,ROW()-1,60),ROW()-1,FALSE))</f>
        <v>894.87144609999996</v>
      </c>
      <c r="Y286">
        <f ca="1">IF(AND(ISNUMBER($Y$789),$B$511=1),$Y$789,HLOOKUP(INDIRECT(ADDRESS(2,COLUMN())),OFFSET($BN$2,0,0,ROW()-1,60),ROW()-1,FALSE))</f>
        <v>894.88272219999999</v>
      </c>
      <c r="Z286">
        <f ca="1">IF(AND(ISNUMBER($Z$789),$B$511=1),$Z$789,HLOOKUP(INDIRECT(ADDRESS(2,COLUMN())),OFFSET($BN$2,0,0,ROW()-1,60),ROW()-1,FALSE))</f>
        <v>800.63526990000003</v>
      </c>
      <c r="AA286">
        <f ca="1">IF(AND(ISNUMBER($AA$789),$B$511=1),$AA$789,HLOOKUP(INDIRECT(ADDRESS(2,COLUMN())),OFFSET($BN$2,0,0,ROW()-1,60),ROW()-1,FALSE))</f>
        <v>883.16930230000003</v>
      </c>
      <c r="AB286">
        <f ca="1">IF(AND(ISNUMBER($AB$789),$B$511=1),$AB$789,HLOOKUP(INDIRECT(ADDRESS(2,COLUMN())),OFFSET($BN$2,0,0,ROW()-1,60),ROW()-1,FALSE))</f>
        <v>897.58473949999996</v>
      </c>
      <c r="AC286">
        <f ca="1">IF(AND(ISNUMBER($AC$789),$B$511=1),$AC$789,HLOOKUP(INDIRECT(ADDRESS(2,COLUMN())),OFFSET($BN$2,0,0,ROW()-1,60),ROW()-1,FALSE))</f>
        <v>912.93045410000002</v>
      </c>
      <c r="AD286">
        <f ca="1">IF(AND(ISNUMBER($AD$789),$B$511=1),$AD$789,HLOOKUP(INDIRECT(ADDRESS(2,COLUMN())),OFFSET($BN$2,0,0,ROW()-1,60),ROW()-1,FALSE))</f>
        <v>942.25147649999997</v>
      </c>
      <c r="AE286">
        <f ca="1">IF(AND(ISNUMBER($AE$789),$B$511=1),$AE$789,HLOOKUP(INDIRECT(ADDRESS(2,COLUMN())),OFFSET($BN$2,0,0,ROW()-1,60),ROW()-1,FALSE))</f>
        <v>1155.8214230000001</v>
      </c>
      <c r="AF286">
        <f ca="1">IF(AND(ISNUMBER($AF$789),$B$511=1),$AF$789,HLOOKUP(INDIRECT(ADDRESS(2,COLUMN())),OFFSET($BN$2,0,0,ROW()-1,60),ROW()-1,FALSE))</f>
        <v>1083.3990530000001</v>
      </c>
      <c r="AG286">
        <f ca="1">IF(AND(ISNUMBER($AG$789),$B$511=1),$AG$789,HLOOKUP(INDIRECT(ADDRESS(2,COLUMN())),OFFSET($BN$2,0,0,ROW()-1,60),ROW()-1,FALSE))</f>
        <v>1023.037779</v>
      </c>
      <c r="AH286">
        <f ca="1">IF(AND(ISNUMBER($AH$789),$B$511=1),$AH$789,HLOOKUP(INDIRECT(ADDRESS(2,COLUMN())),OFFSET($BN$2,0,0,ROW()-1,60),ROW()-1,FALSE))</f>
        <v>943.95938520000004</v>
      </c>
      <c r="AI286">
        <f ca="1">IF(AND(ISNUMBER($AI$789),$B$511=1),$AI$789,HLOOKUP(INDIRECT(ADDRESS(2,COLUMN())),OFFSET($BN$2,0,0,ROW()-1,60),ROW()-1,FALSE))</f>
        <v>949.44656689999999</v>
      </c>
      <c r="AJ286">
        <f ca="1">IF(AND(ISNUMBER($AJ$789),$B$511=1),$AJ$789,HLOOKUP(INDIRECT(ADDRESS(2,COLUMN())),OFFSET($BN$2,0,0,ROW()-1,60),ROW()-1,FALSE))</f>
        <v>871.84993529999997</v>
      </c>
      <c r="AK286">
        <f ca="1">IF(AND(ISNUMBER($AK$789),$B$511=1),$AK$789,HLOOKUP(INDIRECT(ADDRESS(2,COLUMN())),OFFSET($BN$2,0,0,ROW()-1,60),ROW()-1,FALSE))</f>
        <v>953.66518900000005</v>
      </c>
      <c r="AL286">
        <f ca="1">IF(AND(ISNUMBER($AL$789),$B$511=1),$AL$789,HLOOKUP(INDIRECT(ADDRESS(2,COLUMN())),OFFSET($BN$2,0,0,ROW()-1,60),ROW()-1,FALSE))</f>
        <v>965.73048270000004</v>
      </c>
      <c r="AM286">
        <f ca="1">IF(AND(ISNUMBER($AM$789),$B$511=1),$AM$789,HLOOKUP(INDIRECT(ADDRESS(2,COLUMN())),OFFSET($BN$2,0,0,ROW()-1,60),ROW()-1,FALSE))</f>
        <v>1104.698226</v>
      </c>
      <c r="AN286">
        <f ca="1">IF(AND(ISNUMBER($AN$789),$B$511=1),$AN$789,HLOOKUP(INDIRECT(ADDRESS(2,COLUMN())),OFFSET($BN$2,0,0,ROW()-1,60),ROW()-1,FALSE))</f>
        <v>1115.962149</v>
      </c>
      <c r="AO286">
        <f ca="1">IF(AND(ISNUMBER($AO$789),$B$511=1),$AO$789,HLOOKUP(INDIRECT(ADDRESS(2,COLUMN())),OFFSET($BN$2,0,0,ROW()-1,60),ROW()-1,FALSE))</f>
        <v>991.77368290000004</v>
      </c>
      <c r="AP286">
        <f ca="1">IF(AND(ISNUMBER($AP$789),$B$511=1),$AP$789,HLOOKUP(INDIRECT(ADDRESS(2,COLUMN())),OFFSET($BN$2,0,0,ROW()-1,60),ROW()-1,FALSE))</f>
        <v>953.39211690000002</v>
      </c>
      <c r="AQ286">
        <f ca="1">IF(AND(ISNUMBER($AQ$789),$B$511=1),$AQ$789,HLOOKUP(INDIRECT(ADDRESS(2,COLUMN())),OFFSET($BN$2,0,0,ROW()-1,60),ROW()-1,FALSE))</f>
        <v>952.47656040000004</v>
      </c>
      <c r="AR286">
        <f ca="1">IF(AND(ISNUMBER($AR$789),$B$511=1),$AR$789,HLOOKUP(INDIRECT(ADDRESS(2,COLUMN())),OFFSET($BN$2,0,0,ROW()-1,60),ROW()-1,FALSE))</f>
        <v>868.55100800000002</v>
      </c>
      <c r="AS286">
        <f ca="1">IF(AND(ISNUMBER($AS$789),$B$511=1),$AS$789,HLOOKUP(INDIRECT(ADDRESS(2,COLUMN())),OFFSET($BN$2,0,0,ROW()-1,60),ROW()-1,FALSE))</f>
        <v>768.33906669999999</v>
      </c>
      <c r="AT286">
        <f ca="1">IF(AND(ISNUMBER($AT$789),$B$511=1),$AT$789,HLOOKUP(INDIRECT(ADDRESS(2,COLUMN())),OFFSET($BN$2,0,0,ROW()-1,60),ROW()-1,FALSE))</f>
        <v>654.90486769999995</v>
      </c>
      <c r="AU286">
        <f ca="1">IF(AND(ISNUMBER($AU$789),$B$511=1),$AU$789,HLOOKUP(INDIRECT(ADDRESS(2,COLUMN())),OFFSET($BN$2,0,0,ROW()-1,60),ROW()-1,FALSE))</f>
        <v>728.1520749</v>
      </c>
      <c r="AV286">
        <f ca="1">IF(AND(ISNUMBER($AV$789),$B$511=1),$AV$789,HLOOKUP(INDIRECT(ADDRESS(2,COLUMN())),OFFSET($BN$2,0,0,ROW()-1,60),ROW()-1,FALSE))</f>
        <v>939.94761189999997</v>
      </c>
      <c r="AW286">
        <f ca="1">IF(AND(ISNUMBER($AW$789),$B$511=1),$AW$789,HLOOKUP(INDIRECT(ADDRESS(2,COLUMN())),OFFSET($BN$2,0,0,ROW()-1,60),ROW()-1,FALSE))</f>
        <v>942.46623969999996</v>
      </c>
      <c r="AX286">
        <f ca="1">IF(AND(ISNUMBER($AX$789),$B$511=1),$AX$789,HLOOKUP(INDIRECT(ADDRESS(2,COLUMN())),OFFSET($BN$2,0,0,ROW()-1,60),ROW()-1,FALSE))</f>
        <v>850.20682729999999</v>
      </c>
      <c r="AY286">
        <f ca="1">IF(AND(ISNUMBER($AY$789),$B$511=1),$AY$789,HLOOKUP(INDIRECT(ADDRESS(2,COLUMN())),OFFSET($BN$2,0,0,ROW()-1,60),ROW()-1,FALSE))</f>
        <v>991.01229709999996</v>
      </c>
      <c r="AZ286">
        <f ca="1">IF(AND(ISNUMBER($AZ$789),$B$511=1),$AZ$789,HLOOKUP(INDIRECT(ADDRESS(2,COLUMN())),OFFSET($BN$2,0,0,ROW()-1,60),ROW()-1,FALSE))</f>
        <v>922.8694428</v>
      </c>
      <c r="BA286">
        <f ca="1">IF(AND(ISNUMBER($BA$789),$B$511=1),$BA$789,HLOOKUP(INDIRECT(ADDRESS(2,COLUMN())),OFFSET($BN$2,0,0,ROW()-1,60),ROW()-1,FALSE))</f>
        <v>803.30614419999995</v>
      </c>
      <c r="BB286">
        <f ca="1">IF(AND(ISNUMBER($BB$789),$B$511=1),$BB$789,HLOOKUP(INDIRECT(ADDRESS(2,COLUMN())),OFFSET($BN$2,0,0,ROW()-1,60),ROW()-1,FALSE))</f>
        <v>753.20476910000002</v>
      </c>
      <c r="BC286">
        <f ca="1">IF(AND(ISNUMBER($BC$789),$B$511=1),$BC$789,HLOOKUP(INDIRECT(ADDRESS(2,COLUMN())),OFFSET($BN$2,0,0,ROW()-1,60),ROW()-1,FALSE))</f>
        <v>718.46707600000002</v>
      </c>
      <c r="BD286">
        <f ca="1">IF(AND(ISNUMBER($BD$789),$B$511=1),$BD$789,HLOOKUP(INDIRECT(ADDRESS(2,COLUMN())),OFFSET($BN$2,0,0,ROW()-1,60),ROW()-1,FALSE))</f>
        <v>650.76282389999994</v>
      </c>
      <c r="BE286">
        <f ca="1">IF(AND(ISNUMBER($BE$789),$B$511=1),$BE$789,HLOOKUP(INDIRECT(ADDRESS(2,COLUMN())),OFFSET($BN$2,0,0,ROW()-1,60),ROW()-1,FALSE))</f>
        <v>590.11719660000006</v>
      </c>
      <c r="BF286">
        <f ca="1">IF(AND(ISNUMBER($BF$789),$B$511=1),$BF$789,HLOOKUP(INDIRECT(ADDRESS(2,COLUMN())),OFFSET($BN$2,0,0,ROW()-1,60),ROW()-1,FALSE))</f>
        <v>784.09233879999999</v>
      </c>
      <c r="BG286">
        <f ca="1">IF(AND(ISNUMBER($BG$789),$B$511=1),$BG$789,HLOOKUP(INDIRECT(ADDRESS(2,COLUMN())),OFFSET($BN$2,0,0,ROW()-1,60),ROW()-1,FALSE))</f>
        <v>769.26500559999999</v>
      </c>
      <c r="BH286">
        <f ca="1">IF(AND(ISNUMBER($BH$789),$B$511=1),$BH$789,HLOOKUP(INDIRECT(ADDRESS(2,COLUMN())),OFFSET($BN$2,0,0,ROW()-1,60),ROW()-1,FALSE))</f>
        <v>751.08167479999997</v>
      </c>
      <c r="BI286">
        <f ca="1">IF(AND(ISNUMBER($BI$789),$B$511=1),$BI$789,HLOOKUP(INDIRECT(ADDRESS(2,COLUMN())),OFFSET($BN$2,0,0,ROW()-1,60),ROW()-1,FALSE))</f>
        <v>740.57203960000004</v>
      </c>
      <c r="BJ286">
        <f ca="1">IF(AND(ISNUMBER($BJ$789),$B$511=1),$BJ$789,HLOOKUP(INDIRECT(ADDRESS(2,COLUMN())),OFFSET($BN$2,0,0,ROW()-1,60),ROW()-1,FALSE))</f>
        <v>687.99260870000001</v>
      </c>
      <c r="BK286">
        <f ca="1">IF(AND(ISNUMBER($BK$789),$B$511=1),$BK$789,HLOOKUP(INDIRECT(ADDRESS(2,COLUMN())),OFFSET($BN$2,0,0,ROW()-1,60),ROW()-1,FALSE))</f>
        <v>796.55804820000003</v>
      </c>
      <c r="BL286">
        <f ca="1">IF(AND(ISNUMBER($BL$789),$B$511=1),$BL$789,HLOOKUP(INDIRECT(ADDRESS(2,COLUMN())),OFFSET($BN$2,0,0,ROW()-1,60),ROW()-1,FALSE))</f>
        <v>595.57691079999995</v>
      </c>
      <c r="BM286">
        <f ca="1">IF(AND(ISNUMBER($BM$789),$B$511=1),$BM$789,HLOOKUP(INDIRECT(ADDRESS(2,COLUMN())),OFFSET($BN$2,0,0,ROW()-1,60),ROW()-1,FALSE))</f>
        <v>614.63465710000003</v>
      </c>
      <c r="BN286" t="str">
        <f>""</f>
        <v/>
      </c>
      <c r="BO286">
        <f>700.566077</f>
        <v>700.56607699999995</v>
      </c>
      <c r="BP286">
        <f>483.4399921</f>
        <v>483.43999209999998</v>
      </c>
      <c r="BQ286">
        <f>700.3960482</f>
        <v>700.3960482</v>
      </c>
      <c r="BR286">
        <f>755.3824176</f>
        <v>755.38241760000005</v>
      </c>
      <c r="BS286">
        <f>946.0913076</f>
        <v>946.09130760000005</v>
      </c>
      <c r="BT286">
        <f>920.1549648</f>
        <v>920.15496480000002</v>
      </c>
      <c r="BU286">
        <f>872.5301445</f>
        <v>872.53014450000001</v>
      </c>
      <c r="BV286">
        <f>772.4622756</f>
        <v>772.4622756</v>
      </c>
      <c r="BW286">
        <f>838.9931915</f>
        <v>838.99319149999997</v>
      </c>
      <c r="BX286">
        <f>947.9390102</f>
        <v>947.93901019999998</v>
      </c>
      <c r="BY286">
        <f>942.344734</f>
        <v>942.34473400000002</v>
      </c>
      <c r="BZ286">
        <f>868.110429</f>
        <v>868.11042899999995</v>
      </c>
      <c r="CA286">
        <f>885.2557422</f>
        <v>885.25574219999999</v>
      </c>
      <c r="CB286">
        <f>716.1450873</f>
        <v>716.1450873</v>
      </c>
      <c r="CC286">
        <f>797.438865</f>
        <v>797.43886499999996</v>
      </c>
      <c r="CD286">
        <f>757.2296621</f>
        <v>757.22966210000004</v>
      </c>
      <c r="CE286">
        <f>958.9948652</f>
        <v>958.99486520000005</v>
      </c>
      <c r="CF286">
        <f>894.8714461</f>
        <v>894.87144609999996</v>
      </c>
      <c r="CG286">
        <f>894.8827222</f>
        <v>894.88272219999999</v>
      </c>
      <c r="CH286">
        <f>800.6352699</f>
        <v>800.63526990000003</v>
      </c>
      <c r="CI286">
        <f>883.1693023</f>
        <v>883.16930230000003</v>
      </c>
      <c r="CJ286">
        <f>897.5847395</f>
        <v>897.58473949999996</v>
      </c>
      <c r="CK286">
        <f>912.9304541</f>
        <v>912.93045410000002</v>
      </c>
      <c r="CL286">
        <f>942.2514765</f>
        <v>942.25147649999997</v>
      </c>
      <c r="CM286">
        <f>1155.821423</f>
        <v>1155.8214230000001</v>
      </c>
      <c r="CN286">
        <f>1083.399053</f>
        <v>1083.3990530000001</v>
      </c>
      <c r="CO286">
        <f>1023.037779</f>
        <v>1023.037779</v>
      </c>
      <c r="CP286">
        <f>943.9593852</f>
        <v>943.95938520000004</v>
      </c>
      <c r="CQ286">
        <f>949.4465669</f>
        <v>949.44656689999999</v>
      </c>
      <c r="CR286">
        <f>871.8499353</f>
        <v>871.84993529999997</v>
      </c>
      <c r="CS286">
        <f>953.665189</f>
        <v>953.66518900000005</v>
      </c>
      <c r="CT286">
        <f>965.7304827</f>
        <v>965.73048270000004</v>
      </c>
      <c r="CU286">
        <f>1104.698226</f>
        <v>1104.698226</v>
      </c>
      <c r="CV286">
        <f>1115.962149</f>
        <v>1115.962149</v>
      </c>
      <c r="CW286">
        <f>991.7736829</f>
        <v>991.77368290000004</v>
      </c>
      <c r="CX286">
        <f>953.3921169</f>
        <v>953.39211690000002</v>
      </c>
      <c r="CY286">
        <f>952.4765604</f>
        <v>952.47656040000004</v>
      </c>
      <c r="CZ286">
        <f>868.551008</f>
        <v>868.55100800000002</v>
      </c>
      <c r="DA286">
        <f>768.3390667</f>
        <v>768.33906669999999</v>
      </c>
      <c r="DB286">
        <f>654.9048677</f>
        <v>654.90486769999995</v>
      </c>
      <c r="DC286">
        <f>728.1520749</f>
        <v>728.1520749</v>
      </c>
      <c r="DD286">
        <f>939.9476119</f>
        <v>939.94761189999997</v>
      </c>
      <c r="DE286">
        <f>942.4662397</f>
        <v>942.46623969999996</v>
      </c>
      <c r="DF286">
        <f>850.2068273</f>
        <v>850.20682729999999</v>
      </c>
      <c r="DG286">
        <f>991.0122971</f>
        <v>991.01229709999996</v>
      </c>
      <c r="DH286">
        <f>922.8694428</f>
        <v>922.8694428</v>
      </c>
      <c r="DI286">
        <f>803.3061442</f>
        <v>803.30614419999995</v>
      </c>
      <c r="DJ286">
        <f>753.2047691</f>
        <v>753.20476910000002</v>
      </c>
      <c r="DK286">
        <f>718.467076</f>
        <v>718.46707600000002</v>
      </c>
      <c r="DL286">
        <f>650.7628239</f>
        <v>650.76282389999994</v>
      </c>
      <c r="DM286">
        <f>590.1171966</f>
        <v>590.11719660000006</v>
      </c>
      <c r="DN286">
        <f>784.0923388</f>
        <v>784.09233879999999</v>
      </c>
      <c r="DO286">
        <f>769.2650056</f>
        <v>769.26500559999999</v>
      </c>
      <c r="DP286">
        <f>751.0816748</f>
        <v>751.08167479999997</v>
      </c>
      <c r="DQ286">
        <f>740.5720396</f>
        <v>740.57203960000004</v>
      </c>
      <c r="DR286">
        <f>687.9926087</f>
        <v>687.99260870000001</v>
      </c>
      <c r="DS286">
        <f>796.5580482</f>
        <v>796.55804820000003</v>
      </c>
      <c r="DT286">
        <f>595.5769108</f>
        <v>595.57691079999995</v>
      </c>
      <c r="DU286">
        <f>614.6346571</f>
        <v>614.63465710000003</v>
      </c>
    </row>
    <row r="287" spans="1:125" x14ac:dyDescent="0.25">
      <c r="A287" t="str">
        <f>"    Toyota Motor Corp"</f>
        <v xml:space="preserve">    Toyota Motor Corp</v>
      </c>
      <c r="B287" t="str">
        <f>"7203 JP Equity"</f>
        <v>7203 JP Equity</v>
      </c>
      <c r="C287" t="str">
        <f t="shared" si="18"/>
        <v>RR010</v>
      </c>
      <c r="D287" t="str">
        <f t="shared" si="19"/>
        <v>TOT_COMMON_EQY</v>
      </c>
      <c r="E287" t="str">
        <f t="shared" si="20"/>
        <v>Dynamic</v>
      </c>
      <c r="F287" t="str">
        <f ca="1">IF(AND(ISNUMBER($F$790),$B$511=1),$F$790,HLOOKUP(INDIRECT(ADDRESS(2,COLUMN())),OFFSET($BN$2,0,0,ROW()-1,60),ROW()-1,FALSE))</f>
        <v/>
      </c>
      <c r="G287">
        <f ca="1">IF(AND(ISNUMBER($G$790),$B$511=1),$G$790,HLOOKUP(INDIRECT(ADDRESS(2,COLUMN())),OFFSET($BN$2,0,0,ROW()-1,60),ROW()-1,FALSE))</f>
        <v>174076.5913</v>
      </c>
      <c r="H287">
        <f ca="1">IF(AND(ISNUMBER($H$790),$B$511=1),$H$790,HLOOKUP(INDIRECT(ADDRESS(2,COLUMN())),OFFSET($BN$2,0,0,ROW()-1,60),ROW()-1,FALSE))</f>
        <v>171906.5374</v>
      </c>
      <c r="I287">
        <f ca="1">IF(AND(ISNUMBER($I$790),$B$511=1),$I$790,HLOOKUP(INDIRECT(ADDRESS(2,COLUMN())),OFFSET($BN$2,0,0,ROW()-1,60),ROW()-1,FALSE))</f>
        <v>171031.92809999999</v>
      </c>
      <c r="J287">
        <f ca="1">IF(AND(ISNUMBER($J$790),$B$511=1),$J$790,HLOOKUP(INDIRECT(ADDRESS(2,COLUMN())),OFFSET($BN$2,0,0,ROW()-1,60),ROW()-1,FALSE))</f>
        <v>176388.45790000001</v>
      </c>
      <c r="K287">
        <f ca="1">IF(AND(ISNUMBER($K$790),$B$511=1),$K$790,HLOOKUP(INDIRECT(ADDRESS(2,COLUMN())),OFFSET($BN$2,0,0,ROW()-1,60),ROW()-1,FALSE))</f>
        <v>168737.67989999999</v>
      </c>
      <c r="L287">
        <f ca="1">IF(AND(ISNUMBER($L$790),$B$511=1),$L$790,HLOOKUP(INDIRECT(ADDRESS(2,COLUMN())),OFFSET($BN$2,0,0,ROW()-1,60),ROW()-1,FALSE))</f>
        <v>162080.39420000001</v>
      </c>
      <c r="M287">
        <f ca="1">IF(AND(ISNUMBER($M$790),$B$511=1),$M$790,HLOOKUP(INDIRECT(ADDRESS(2,COLUMN())),OFFSET($BN$2,0,0,ROW()-1,60),ROW()-1,FALSE))</f>
        <v>159094.64170000001</v>
      </c>
      <c r="N287">
        <f ca="1">IF(AND(ISNUMBER($N$790),$B$511=1),$N$790,HLOOKUP(INDIRECT(ADDRESS(2,COLUMN())),OFFSET($BN$2,0,0,ROW()-1,60),ROW()-1,FALSE))</f>
        <v>157351.64850000001</v>
      </c>
      <c r="O287">
        <f ca="1">IF(AND(ISNUMBER($O$790),$B$511=1),$O$790,HLOOKUP(INDIRECT(ADDRESS(2,COLUMN())),OFFSET($BN$2,0,0,ROW()-1,60),ROW()-1,FALSE))</f>
        <v>148261.5655</v>
      </c>
      <c r="P287">
        <f ca="1">IF(AND(ISNUMBER($P$790),$B$511=1),$P$790,HLOOKUP(INDIRECT(ADDRESS(2,COLUMN())),OFFSET($BN$2,0,0,ROW()-1,60),ROW()-1,FALSE))</f>
        <v>161608.08439999999</v>
      </c>
      <c r="Q287">
        <f ca="1">IF(AND(ISNUMBER($Q$790),$B$511=1),$Q$790,HLOOKUP(INDIRECT(ADDRESS(2,COLUMN())),OFFSET($BN$2,0,0,ROW()-1,60),ROW()-1,FALSE))</f>
        <v>156304.21549999999</v>
      </c>
      <c r="R287">
        <f ca="1">IF(AND(ISNUMBER($R$790),$B$511=1),$R$790,HLOOKUP(INDIRECT(ADDRESS(2,COLUMN())),OFFSET($BN$2,0,0,ROW()-1,60),ROW()-1,FALSE))</f>
        <v>148861.64439999999</v>
      </c>
      <c r="S287">
        <f ca="1">IF(AND(ISNUMBER($S$790),$B$511=1),$S$790,HLOOKUP(INDIRECT(ADDRESS(2,COLUMN())),OFFSET($BN$2,0,0,ROW()-1,60),ROW()-1,FALSE))</f>
        <v>143822.03829999999</v>
      </c>
      <c r="T287">
        <f ca="1">IF(AND(ISNUMBER($T$790),$B$511=1),$T$790,HLOOKUP(INDIRECT(ADDRESS(2,COLUMN())),OFFSET($BN$2,0,0,ROW()-1,60),ROW()-1,FALSE))</f>
        <v>142388.65210000001</v>
      </c>
      <c r="U287">
        <f ca="1">IF(AND(ISNUMBER($U$790),$B$511=1),$U$790,HLOOKUP(INDIRECT(ADDRESS(2,COLUMN())),OFFSET($BN$2,0,0,ROW()-1,60),ROW()-1,FALSE))</f>
        <v>140886.08749999999</v>
      </c>
      <c r="V287">
        <f ca="1">IF(AND(ISNUMBER($V$790),$B$511=1),$V$790,HLOOKUP(INDIRECT(ADDRESS(2,COLUMN())),OFFSET($BN$2,0,0,ROW()-1,60),ROW()-1,FALSE))</f>
        <v>139959.4081</v>
      </c>
      <c r="W287">
        <f ca="1">IF(AND(ISNUMBER($W$790),$B$511=1),$W$790,HLOOKUP(INDIRECT(ADDRESS(2,COLUMN())),OFFSET($BN$2,0,0,ROW()-1,60),ROW()-1,FALSE))</f>
        <v>136148.68160000001</v>
      </c>
      <c r="X287">
        <f ca="1">IF(AND(ISNUMBER($X$790),$B$511=1),$X$790,HLOOKUP(INDIRECT(ADDRESS(2,COLUMN())),OFFSET($BN$2,0,0,ROW()-1,60),ROW()-1,FALSE))</f>
        <v>141068.34760000001</v>
      </c>
      <c r="Y287">
        <f ca="1">IF(AND(ISNUMBER($Y$790),$B$511=1),$Y$790,HLOOKUP(INDIRECT(ADDRESS(2,COLUMN())),OFFSET($BN$2,0,0,ROW()-1,60),ROW()-1,FALSE))</f>
        <v>145266.39350000001</v>
      </c>
      <c r="Z287">
        <f ca="1">IF(AND(ISNUMBER($Z$790),$B$511=1),$Z$790,HLOOKUP(INDIRECT(ADDRESS(2,COLUMN())),OFFSET($BN$2,0,0,ROW()-1,60),ROW()-1,FALSE))</f>
        <v>140381.76000000001</v>
      </c>
      <c r="AA287">
        <f ca="1">IF(AND(ISNUMBER($AA$790),$B$511=1),$AA$790,HLOOKUP(INDIRECT(ADDRESS(2,COLUMN())),OFFSET($BN$2,0,0,ROW()-1,60),ROW()-1,FALSE))</f>
        <v>134999.95250000001</v>
      </c>
      <c r="AB287">
        <f ca="1">IF(AND(ISNUMBER($AB$790),$B$511=1),$AB$790,HLOOKUP(INDIRECT(ADDRESS(2,COLUMN())),OFFSET($BN$2,0,0,ROW()-1,60),ROW()-1,FALSE))</f>
        <v>136137.4198</v>
      </c>
      <c r="AC287">
        <f ca="1">IF(AND(ISNUMBER($AC$790),$B$511=1),$AC$790,HLOOKUP(INDIRECT(ADDRESS(2,COLUMN())),OFFSET($BN$2,0,0,ROW()-1,60),ROW()-1,FALSE))</f>
        <v>129845.3438</v>
      </c>
      <c r="AD287">
        <f ca="1">IF(AND(ISNUMBER($AD$790),$B$511=1),$AD$790,HLOOKUP(INDIRECT(ADDRESS(2,COLUMN())),OFFSET($BN$2,0,0,ROW()-1,60),ROW()-1,FALSE))</f>
        <v>128932.65760000001</v>
      </c>
      <c r="AE287">
        <f ca="1">IF(AND(ISNUMBER($AE$790),$B$511=1),$AE$790,HLOOKUP(INDIRECT(ADDRESS(2,COLUMN())),OFFSET($BN$2,0,0,ROW()-1,60),ROW()-1,FALSE))</f>
        <v>130013.6574</v>
      </c>
      <c r="AF287">
        <f ca="1">IF(AND(ISNUMBER($AF$790),$B$511=1),$AF$790,HLOOKUP(INDIRECT(ADDRESS(2,COLUMN())),OFFSET($BN$2,0,0,ROW()-1,60),ROW()-1,FALSE))</f>
        <v>137819.4944</v>
      </c>
      <c r="AG287">
        <f ca="1">IF(AND(ISNUMBER($AG$790),$B$511=1),$AG$790,HLOOKUP(INDIRECT(ADDRESS(2,COLUMN())),OFFSET($BN$2,0,0,ROW()-1,60),ROW()-1,FALSE))</f>
        <v>131707.49369999999</v>
      </c>
      <c r="AH287">
        <f ca="1">IF(AND(ISNUMBER($AH$790),$B$511=1),$AH$790,HLOOKUP(INDIRECT(ADDRESS(2,COLUMN())),OFFSET($BN$2,0,0,ROW()-1,60),ROW()-1,FALSE))</f>
        <v>127680.7576</v>
      </c>
      <c r="AI287">
        <f ca="1">IF(AND(ISNUMBER($AI$790),$B$511=1),$AI$790,HLOOKUP(INDIRECT(ADDRESS(2,COLUMN())),OFFSET($BN$2,0,0,ROW()-1,60),ROW()-1,FALSE))</f>
        <v>130196.9996</v>
      </c>
      <c r="AJ287">
        <f ca="1">IF(AND(ISNUMBER($AJ$790),$B$511=1),$AJ$790,HLOOKUP(INDIRECT(ADDRESS(2,COLUMN())),OFFSET($BN$2,0,0,ROW()-1,60),ROW()-1,FALSE))</f>
        <v>129847.4592</v>
      </c>
      <c r="AK287">
        <f ca="1">IF(AND(ISNUMBER($AK$790),$B$511=1),$AK$790,HLOOKUP(INDIRECT(ADDRESS(2,COLUMN())),OFFSET($BN$2,0,0,ROW()-1,60),ROW()-1,FALSE))</f>
        <v>127122.6912</v>
      </c>
      <c r="AL287">
        <f ca="1">IF(AND(ISNUMBER($AL$790),$B$511=1),$AL$790,HLOOKUP(INDIRECT(ADDRESS(2,COLUMN())),OFFSET($BN$2,0,0,ROW()-1,60),ROW()-1,FALSE))</f>
        <v>124741.893</v>
      </c>
      <c r="AM287">
        <f ca="1">IF(AND(ISNUMBER($AM$790),$B$511=1),$AM$790,HLOOKUP(INDIRECT(ADDRESS(2,COLUMN())),OFFSET($BN$2,0,0,ROW()-1,60),ROW()-1,FALSE))</f>
        <v>126000.0493</v>
      </c>
      <c r="AN287">
        <f ca="1">IF(AND(ISNUMBER($AN$790),$B$511=1),$AN$790,HLOOKUP(INDIRECT(ADDRESS(2,COLUMN())),OFFSET($BN$2,0,0,ROW()-1,60),ROW()-1,FALSE))</f>
        <v>122494.9437</v>
      </c>
      <c r="AO287">
        <f ca="1">IF(AND(ISNUMBER($AO$790),$B$511=1),$AO$790,HLOOKUP(INDIRECT(ADDRESS(2,COLUMN())),OFFSET($BN$2,0,0,ROW()-1,60),ROW()-1,FALSE))</f>
        <v>114992.1991</v>
      </c>
      <c r="AP287">
        <f ca="1">IF(AND(ISNUMBER($AP$790),$B$511=1),$AP$790,HLOOKUP(INDIRECT(ADDRESS(2,COLUMN())),OFFSET($BN$2,0,0,ROW()-1,60),ROW()-1,FALSE))</f>
        <v>110870.3232</v>
      </c>
      <c r="AQ287">
        <f ca="1">IF(AND(ISNUMBER($AQ$790),$B$511=1),$AQ$790,HLOOKUP(INDIRECT(ADDRESS(2,COLUMN())),OFFSET($BN$2,0,0,ROW()-1,60),ROW()-1,FALSE))</f>
        <v>108794.6317</v>
      </c>
      <c r="AR287">
        <f ca="1">IF(AND(ISNUMBER($AR$790),$B$511=1),$AR$790,HLOOKUP(INDIRECT(ADDRESS(2,COLUMN())),OFFSET($BN$2,0,0,ROW()-1,60),ROW()-1,FALSE))</f>
        <v>111213.86040000001</v>
      </c>
      <c r="AS287">
        <f ca="1">IF(AND(ISNUMBER($AS$790),$B$511=1),$AS$790,HLOOKUP(INDIRECT(ADDRESS(2,COLUMN())),OFFSET($BN$2,0,0,ROW()-1,60),ROW()-1,FALSE))</f>
        <v>104507.9734</v>
      </c>
      <c r="AT287">
        <f ca="1">IF(AND(ISNUMBER($AT$790),$B$511=1),$AT$790,HLOOKUP(INDIRECT(ADDRESS(2,COLUMN())),OFFSET($BN$2,0,0,ROW()-1,60),ROW()-1,FALSE))</f>
        <v>101270.32709999999</v>
      </c>
      <c r="AU287">
        <f ca="1">IF(AND(ISNUMBER($AU$790),$B$511=1),$AU$790,HLOOKUP(INDIRECT(ADDRESS(2,COLUMN())),OFFSET($BN$2,0,0,ROW()-1,60),ROW()-1,FALSE))</f>
        <v>118990.88009999999</v>
      </c>
      <c r="AV287">
        <f ca="1">IF(AND(ISNUMBER($AV$790),$B$511=1),$AV$790,HLOOKUP(INDIRECT(ADDRESS(2,COLUMN())),OFFSET($BN$2,0,0,ROW()-1,60),ROW()-1,FALSE))</f>
        <v>112317.4687</v>
      </c>
      <c r="AW287">
        <f ca="1">IF(AND(ISNUMBER($AW$790),$B$511=1),$AW$790,HLOOKUP(INDIRECT(ADDRESS(2,COLUMN())),OFFSET($BN$2,0,0,ROW()-1,60),ROW()-1,FALSE))</f>
        <v>115387.8708</v>
      </c>
      <c r="AX287">
        <f ca="1">IF(AND(ISNUMBER($AX$790),$B$511=1),$AX$790,HLOOKUP(INDIRECT(ADDRESS(2,COLUMN())),OFFSET($BN$2,0,0,ROW()-1,60),ROW()-1,FALSE))</f>
        <v>118861.67630000001</v>
      </c>
      <c r="AY287">
        <f ca="1">IF(AND(ISNUMBER($AY$790),$B$511=1),$AY$790,HLOOKUP(INDIRECT(ADDRESS(2,COLUMN())),OFFSET($BN$2,0,0,ROW()-1,60),ROW()-1,FALSE))</f>
        <v>111792.969</v>
      </c>
      <c r="AZ287">
        <f ca="1">IF(AND(ISNUMBER($AZ$790),$B$511=1),$AZ$790,HLOOKUP(INDIRECT(ADDRESS(2,COLUMN())),OFFSET($BN$2,0,0,ROW()-1,60),ROW()-1,FALSE))</f>
        <v>107850.7056</v>
      </c>
      <c r="BA287">
        <f ca="1">IF(AND(ISNUMBER($BA$790),$B$511=1),$BA$790,HLOOKUP(INDIRECT(ADDRESS(2,COLUMN())),OFFSET($BN$2,0,0,ROW()-1,60),ROW()-1,FALSE))</f>
        <v>99669.454809999996</v>
      </c>
      <c r="BB287">
        <f ca="1">IF(AND(ISNUMBER($BB$790),$B$511=1),$BB$790,HLOOKUP(INDIRECT(ADDRESS(2,COLUMN())),OFFSET($BN$2,0,0,ROW()-1,60),ROW()-1,FALSE))</f>
        <v>100655.6</v>
      </c>
      <c r="BC287">
        <f ca="1">IF(AND(ISNUMBER($BC$790),$B$511=1),$BC$790,HLOOKUP(INDIRECT(ADDRESS(2,COLUMN())),OFFSET($BN$2,0,0,ROW()-1,60),ROW()-1,FALSE))</f>
        <v>94648.354049999994</v>
      </c>
      <c r="BD287">
        <f ca="1">IF(AND(ISNUMBER($BD$790),$B$511=1),$BD$790,HLOOKUP(INDIRECT(ADDRESS(2,COLUMN())),OFFSET($BN$2,0,0,ROW()-1,60),ROW()-1,FALSE))</f>
        <v>93158.235889999996</v>
      </c>
      <c r="BE287">
        <f ca="1">IF(AND(ISNUMBER($BE$790),$B$511=1),$BE$790,HLOOKUP(INDIRECT(ADDRESS(2,COLUMN())),OFFSET($BN$2,0,0,ROW()-1,60),ROW()-1,FALSE))</f>
        <v>91315.558659999995</v>
      </c>
      <c r="BF287">
        <f ca="1">IF(AND(ISNUMBER($BF$790),$B$511=1),$BF$790,HLOOKUP(INDIRECT(ADDRESS(2,COLUMN())),OFFSET($BN$2,0,0,ROW()-1,60),ROW()-1,FALSE))</f>
        <v>89876.161699999997</v>
      </c>
      <c r="BG287">
        <f ca="1">IF(AND(ISNUMBER($BG$790),$B$511=1),$BG$790,HLOOKUP(INDIRECT(ADDRESS(2,COLUMN())),OFFSET($BN$2,0,0,ROW()-1,60),ROW()-1,FALSE))</f>
        <v>86416.02102</v>
      </c>
      <c r="BH287">
        <f ca="1">IF(AND(ISNUMBER($BH$790),$B$511=1),$BH$790,HLOOKUP(INDIRECT(ADDRESS(2,COLUMN())),OFFSET($BN$2,0,0,ROW()-1,60),ROW()-1,FALSE))</f>
        <v>85353.689679999996</v>
      </c>
      <c r="BI287">
        <f ca="1">IF(AND(ISNUMBER($BI$790),$B$511=1),$BI$790,HLOOKUP(INDIRECT(ADDRESS(2,COLUMN())),OFFSET($BN$2,0,0,ROW()-1,60),ROW()-1,FALSE))</f>
        <v>82643.108269999997</v>
      </c>
      <c r="BJ287">
        <f ca="1">IF(AND(ISNUMBER($BJ$790),$B$511=1),$BJ$790,HLOOKUP(INDIRECT(ADDRESS(2,COLUMN())),OFFSET($BN$2,0,0,ROW()-1,60),ROW()-1,FALSE))</f>
        <v>84374.533580000003</v>
      </c>
      <c r="BK287">
        <f ca="1">IF(AND(ISNUMBER($BK$790),$B$511=1),$BK$790,HLOOKUP(INDIRECT(ADDRESS(2,COLUMN())),OFFSET($BN$2,0,0,ROW()-1,60),ROW()-1,FALSE))</f>
        <v>85052.346109999999</v>
      </c>
      <c r="BL287">
        <f ca="1">IF(AND(ISNUMBER($BL$790),$B$511=1),$BL$790,HLOOKUP(INDIRECT(ADDRESS(2,COLUMN())),OFFSET($BN$2,0,0,ROW()-1,60),ROW()-1,FALSE))</f>
        <v>77704.684800000003</v>
      </c>
      <c r="BM287">
        <f ca="1">IF(AND(ISNUMBER($BM$790),$B$511=1),$BM$790,HLOOKUP(INDIRECT(ADDRESS(2,COLUMN())),OFFSET($BN$2,0,0,ROW()-1,60),ROW()-1,FALSE))</f>
        <v>76345.597510000007</v>
      </c>
      <c r="BN287" t="str">
        <f>""</f>
        <v/>
      </c>
      <c r="BO287">
        <f>174076.5913</f>
        <v>174076.5913</v>
      </c>
      <c r="BP287">
        <f>171906.5374</f>
        <v>171906.5374</v>
      </c>
      <c r="BQ287">
        <f>171031.9281</f>
        <v>171031.92809999999</v>
      </c>
      <c r="BR287">
        <f>176388.4579</f>
        <v>176388.45790000001</v>
      </c>
      <c r="BS287">
        <f>168737.6799</f>
        <v>168737.67989999999</v>
      </c>
      <c r="BT287">
        <f>162080.3942</f>
        <v>162080.39420000001</v>
      </c>
      <c r="BU287">
        <f>159094.6417</f>
        <v>159094.64170000001</v>
      </c>
      <c r="BV287">
        <f>157351.6485</f>
        <v>157351.64850000001</v>
      </c>
      <c r="BW287">
        <f>148261.5655</f>
        <v>148261.5655</v>
      </c>
      <c r="BX287">
        <f>161608.0844</f>
        <v>161608.08439999999</v>
      </c>
      <c r="BY287">
        <f>156304.2155</f>
        <v>156304.21549999999</v>
      </c>
      <c r="BZ287">
        <f>148861.6444</f>
        <v>148861.64439999999</v>
      </c>
      <c r="CA287">
        <f>143822.0383</f>
        <v>143822.03829999999</v>
      </c>
      <c r="CB287">
        <f>142388.6521</f>
        <v>142388.65210000001</v>
      </c>
      <c r="CC287">
        <f>140886.0875</f>
        <v>140886.08749999999</v>
      </c>
      <c r="CD287">
        <f>139959.4081</f>
        <v>139959.4081</v>
      </c>
      <c r="CE287">
        <f>136148.6816</f>
        <v>136148.68160000001</v>
      </c>
      <c r="CF287">
        <f>141068.3476</f>
        <v>141068.34760000001</v>
      </c>
      <c r="CG287">
        <f>145266.3935</f>
        <v>145266.39350000001</v>
      </c>
      <c r="CH287">
        <f>140381.76</f>
        <v>140381.76000000001</v>
      </c>
      <c r="CI287">
        <f>134999.9525</f>
        <v>134999.95250000001</v>
      </c>
      <c r="CJ287">
        <f>136137.4198</f>
        <v>136137.4198</v>
      </c>
      <c r="CK287">
        <f>129845.3438</f>
        <v>129845.3438</v>
      </c>
      <c r="CL287">
        <f>128932.6576</f>
        <v>128932.65760000001</v>
      </c>
      <c r="CM287">
        <f>130013.6574</f>
        <v>130013.6574</v>
      </c>
      <c r="CN287">
        <f>137819.4944</f>
        <v>137819.4944</v>
      </c>
      <c r="CO287">
        <f>131707.4937</f>
        <v>131707.49369999999</v>
      </c>
      <c r="CP287">
        <f>127680.7576</f>
        <v>127680.7576</v>
      </c>
      <c r="CQ287">
        <f>130196.9996</f>
        <v>130196.9996</v>
      </c>
      <c r="CR287">
        <f>129847.4592</f>
        <v>129847.4592</v>
      </c>
      <c r="CS287">
        <f>127122.6912</f>
        <v>127122.6912</v>
      </c>
      <c r="CT287">
        <f>124741.893</f>
        <v>124741.893</v>
      </c>
      <c r="CU287">
        <f>126000.0493</f>
        <v>126000.0493</v>
      </c>
      <c r="CV287">
        <f>122494.9437</f>
        <v>122494.9437</v>
      </c>
      <c r="CW287">
        <f>114992.1991</f>
        <v>114992.1991</v>
      </c>
      <c r="CX287">
        <f>110870.3232</f>
        <v>110870.3232</v>
      </c>
      <c r="CY287">
        <f>108794.6317</f>
        <v>108794.6317</v>
      </c>
      <c r="CZ287">
        <f>111213.8604</f>
        <v>111213.86040000001</v>
      </c>
      <c r="DA287">
        <f>104507.9734</f>
        <v>104507.9734</v>
      </c>
      <c r="DB287">
        <f>101270.3271</f>
        <v>101270.32709999999</v>
      </c>
      <c r="DC287">
        <f>118990.8801</f>
        <v>118990.88009999999</v>
      </c>
      <c r="DD287">
        <f>112317.4687</f>
        <v>112317.4687</v>
      </c>
      <c r="DE287">
        <f>115387.8708</f>
        <v>115387.8708</v>
      </c>
      <c r="DF287">
        <f>118861.6763</f>
        <v>118861.67630000001</v>
      </c>
      <c r="DG287">
        <f>111792.969</f>
        <v>111792.969</v>
      </c>
      <c r="DH287">
        <f>107850.7056</f>
        <v>107850.7056</v>
      </c>
      <c r="DI287">
        <f>99669.45481</f>
        <v>99669.454809999996</v>
      </c>
      <c r="DJ287">
        <f>100655.6</f>
        <v>100655.6</v>
      </c>
      <c r="DK287">
        <f>94648.35405</f>
        <v>94648.354049999994</v>
      </c>
      <c r="DL287">
        <f>93158.23589</f>
        <v>93158.235889999996</v>
      </c>
      <c r="DM287">
        <f>91315.55866</f>
        <v>91315.558659999995</v>
      </c>
      <c r="DN287">
        <f>89876.1617</f>
        <v>89876.161699999997</v>
      </c>
      <c r="DO287">
        <f>86416.02102</f>
        <v>86416.02102</v>
      </c>
      <c r="DP287">
        <f>85353.68968</f>
        <v>85353.689679999996</v>
      </c>
      <c r="DQ287">
        <f>82643.10827</f>
        <v>82643.108269999997</v>
      </c>
      <c r="DR287">
        <f>84374.53358</f>
        <v>84374.533580000003</v>
      </c>
      <c r="DS287">
        <f>85052.34611</f>
        <v>85052.346109999999</v>
      </c>
      <c r="DT287">
        <f>77704.6848</f>
        <v>77704.684800000003</v>
      </c>
      <c r="DU287">
        <f>76345.59751</f>
        <v>76345.597510000007</v>
      </c>
    </row>
    <row r="288" spans="1:125" x14ac:dyDescent="0.25">
      <c r="A288" t="str">
        <f>"    Volkswagen AG"</f>
        <v xml:space="preserve">    Volkswagen AG</v>
      </c>
      <c r="B288" t="str">
        <f>"VOW GR Equity"</f>
        <v>VOW GR Equity</v>
      </c>
      <c r="C288" t="str">
        <f t="shared" si="18"/>
        <v>RR010</v>
      </c>
      <c r="D288" t="str">
        <f t="shared" si="19"/>
        <v>TOT_COMMON_EQY</v>
      </c>
      <c r="E288" t="str">
        <f t="shared" si="20"/>
        <v>Dynamic</v>
      </c>
      <c r="F288" t="str">
        <f ca="1">IF(AND(ISNUMBER($F$791),$B$511=1),$F$791,HLOOKUP(INDIRECT(ADDRESS(2,COLUMN())),OFFSET($BN$2,0,0,ROW()-1,60),ROW()-1,FALSE))</f>
        <v/>
      </c>
      <c r="G288" t="str">
        <f ca="1">IF(AND(ISNUMBER($G$791),$B$511=1),$G$791,HLOOKUP(INDIRECT(ADDRESS(2,COLUMN())),OFFSET($BN$2,0,0,ROW()-1,60),ROW()-1,FALSE))</f>
        <v/>
      </c>
      <c r="H288">
        <f ca="1">IF(AND(ISNUMBER($H$791),$B$511=1),$H$791,HLOOKUP(INDIRECT(ADDRESS(2,COLUMN())),OFFSET($BN$2,0,0,ROW()-1,60),ROW()-1,FALSE))</f>
        <v>118158.5132</v>
      </c>
      <c r="I288">
        <f ca="1">IF(AND(ISNUMBER($I$791),$B$511=1),$I$791,HLOOKUP(INDIRECT(ADDRESS(2,COLUMN())),OFFSET($BN$2,0,0,ROW()-1,60),ROW()-1,FALSE))</f>
        <v>116593.6773</v>
      </c>
      <c r="J288">
        <f ca="1">IF(AND(ISNUMBER($J$791),$B$511=1),$J$791,HLOOKUP(INDIRECT(ADDRESS(2,COLUMN())),OFFSET($BN$2,0,0,ROW()-1,60),ROW()-1,FALSE))</f>
        <v>122604.342</v>
      </c>
      <c r="K288">
        <f ca="1">IF(AND(ISNUMBER($K$791),$B$511=1),$K$791,HLOOKUP(INDIRECT(ADDRESS(2,COLUMN())),OFFSET($BN$2,0,0,ROW()-1,60),ROW()-1,FALSE))</f>
        <v>117527.072</v>
      </c>
      <c r="L288">
        <f ca="1">IF(AND(ISNUMBER($L$791),$B$511=1),$L$791,HLOOKUP(INDIRECT(ADDRESS(2,COLUMN())),OFFSET($BN$2,0,0,ROW()-1,60),ROW()-1,FALSE))</f>
        <v>111652.8391</v>
      </c>
      <c r="M288">
        <f ca="1">IF(AND(ISNUMBER($M$791),$B$511=1),$M$791,HLOOKUP(INDIRECT(ADDRESS(2,COLUMN())),OFFSET($BN$2,0,0,ROW()-1,60),ROW()-1,FALSE))</f>
        <v>106412.5294</v>
      </c>
      <c r="N288">
        <f ca="1">IF(AND(ISNUMBER($N$791),$B$511=1),$N$791,HLOOKUP(INDIRECT(ADDRESS(2,COLUMN())),OFFSET($BN$2,0,0,ROW()-1,60),ROW()-1,FALSE))</f>
        <v>104573.872</v>
      </c>
      <c r="O288">
        <f ca="1">IF(AND(ISNUMBER($O$791),$B$511=1),$O$791,HLOOKUP(INDIRECT(ADDRESS(2,COLUMN())),OFFSET($BN$2,0,0,ROW()-1,60),ROW()-1,FALSE))</f>
        <v>89778.1734</v>
      </c>
      <c r="P288">
        <f ca="1">IF(AND(ISNUMBER($P$791),$B$511=1),$P$791,HLOOKUP(INDIRECT(ADDRESS(2,COLUMN())),OFFSET($BN$2,0,0,ROW()-1,60),ROW()-1,FALSE))</f>
        <v>93330.504400000005</v>
      </c>
      <c r="Q288">
        <f ca="1">IF(AND(ISNUMBER($Q$791),$B$511=1),$Q$791,HLOOKUP(INDIRECT(ADDRESS(2,COLUMN())),OFFSET($BN$2,0,0,ROW()-1,60),ROW()-1,FALSE))</f>
        <v>89864.038799999995</v>
      </c>
      <c r="R288">
        <f ca="1">IF(AND(ISNUMBER($R$791),$B$511=1),$R$791,HLOOKUP(INDIRECT(ADDRESS(2,COLUMN())),OFFSET($BN$2,0,0,ROW()-1,60),ROW()-1,FALSE))</f>
        <v>93201.285199999998</v>
      </c>
      <c r="S288">
        <f ca="1">IF(AND(ISNUMBER($S$791),$B$511=1),$S$791,HLOOKUP(INDIRECT(ADDRESS(2,COLUMN())),OFFSET($BN$2,0,0,ROW()-1,60),ROW()-1,FALSE))</f>
        <v>87471.3</v>
      </c>
      <c r="T288">
        <f ca="1">IF(AND(ISNUMBER($T$791),$B$511=1),$T$791,HLOOKUP(INDIRECT(ADDRESS(2,COLUMN())),OFFSET($BN$2,0,0,ROW()-1,60),ROW()-1,FALSE))</f>
        <v>96054.498200000002</v>
      </c>
      <c r="U288">
        <f ca="1">IF(AND(ISNUMBER($U$791),$B$511=1),$U$791,HLOOKUP(INDIRECT(ADDRESS(2,COLUMN())),OFFSET($BN$2,0,0,ROW()-1,60),ROW()-1,FALSE))</f>
        <v>98639.362599999993</v>
      </c>
      <c r="V288">
        <f ca="1">IF(AND(ISNUMBER($V$791),$B$511=1),$V$791,HLOOKUP(INDIRECT(ADDRESS(2,COLUMN())),OFFSET($BN$2,0,0,ROW()-1,60),ROW()-1,FALSE))</f>
        <v>87551.207999999999</v>
      </c>
      <c r="W288">
        <f ca="1">IF(AND(ISNUMBER($W$791),$B$511=1),$W$791,HLOOKUP(INDIRECT(ADDRESS(2,COLUMN())),OFFSET($BN$2,0,0,ROW()-1,60),ROW()-1,FALSE))</f>
        <v>102789.5</v>
      </c>
      <c r="X288">
        <f ca="1">IF(AND(ISNUMBER($X$791),$B$511=1),$X$791,HLOOKUP(INDIRECT(ADDRESS(2,COLUMN())),OFFSET($BN$2,0,0,ROW()-1,60),ROW()-1,FALSE))</f>
        <v>108365.6603</v>
      </c>
      <c r="Y288">
        <f ca="1">IF(AND(ISNUMBER($Y$791),$B$511=1),$Y$791,HLOOKUP(INDIRECT(ADDRESS(2,COLUMN())),OFFSET($BN$2,0,0,ROW()-1,60),ROW()-1,FALSE))</f>
        <v>115675.024</v>
      </c>
      <c r="Z288">
        <f ca="1">IF(AND(ISNUMBER($Z$791),$B$511=1),$Z$791,HLOOKUP(INDIRECT(ADDRESS(2,COLUMN())),OFFSET($BN$2,0,0,ROW()-1,60),ROW()-1,FALSE))</f>
        <v>110218.69319999999</v>
      </c>
      <c r="AA288">
        <f ca="1">IF(AND(ISNUMBER($AA$791),$B$511=1),$AA$791,HLOOKUP(INDIRECT(ADDRESS(2,COLUMN())),OFFSET($BN$2,0,0,ROW()-1,60),ROW()-1,FALSE))</f>
        <v>118211.7181</v>
      </c>
      <c r="AB288">
        <f ca="1">IF(AND(ISNUMBER($AB$791),$B$511=1),$AB$791,HLOOKUP(INDIRECT(ADDRESS(2,COLUMN())),OFFSET($BN$2,0,0,ROW()-1,60),ROW()-1,FALSE))</f>
        <v>113157.0468</v>
      </c>
      <c r="AC288">
        <f ca="1">IF(AND(ISNUMBER($AC$791),$B$511=1),$AC$791,HLOOKUP(INDIRECT(ADDRESS(2,COLUMN())),OFFSET($BN$2,0,0,ROW()-1,60),ROW()-1,FALSE))</f>
        <v>105842.493</v>
      </c>
      <c r="AD288">
        <f ca="1">IF(AND(ISNUMBER($AD$791),$B$511=1),$AD$791,HLOOKUP(INDIRECT(ADDRESS(2,COLUMN())),OFFSET($BN$2,0,0,ROW()-1,60),ROW()-1,FALSE))</f>
        <v>102566.1009</v>
      </c>
      <c r="AE288">
        <f ca="1">IF(AND(ISNUMBER($AE$791),$B$511=1),$AE$791,HLOOKUP(INDIRECT(ADDRESS(2,COLUMN())),OFFSET($BN$2,0,0,ROW()-1,60),ROW()-1,FALSE))</f>
        <v>102516.9354</v>
      </c>
      <c r="AF288">
        <f ca="1">IF(AND(ISNUMBER($AF$791),$B$511=1),$AF$791,HLOOKUP(INDIRECT(ADDRESS(2,COLUMN())),OFFSET($BN$2,0,0,ROW()-1,60),ROW()-1,FALSE))</f>
        <v>95393.133600000001</v>
      </c>
      <c r="AG288">
        <f ca="1">IF(AND(ISNUMBER($AG$791),$B$511=1),$AG$791,HLOOKUP(INDIRECT(ADDRESS(2,COLUMN())),OFFSET($BN$2,0,0,ROW()-1,60),ROW()-1,FALSE))</f>
        <v>78805.609200000006</v>
      </c>
      <c r="AH288">
        <f ca="1">IF(AND(ISNUMBER($AH$791),$B$511=1),$AH$791,HLOOKUP(INDIRECT(ADDRESS(2,COLUMN())),OFFSET($BN$2,0,0,ROW()-1,60),ROW()-1,FALSE))</f>
        <v>80975.901599999997</v>
      </c>
      <c r="AI288">
        <f ca="1">IF(AND(ISNUMBER($AI$791),$B$511=1),$AI$791,HLOOKUP(INDIRECT(ADDRESS(2,COLUMN())),OFFSET($BN$2,0,0,ROW()-1,60),ROW()-1,FALSE))</f>
        <v>74570.543999999994</v>
      </c>
      <c r="AJ288">
        <f ca="1">IF(AND(ISNUMBER($AJ$791),$B$511=1),$AJ$791,HLOOKUP(INDIRECT(ADDRESS(2,COLUMN())),OFFSET($BN$2,0,0,ROW()-1,60),ROW()-1,FALSE))</f>
        <v>77341.164300000004</v>
      </c>
      <c r="AK288">
        <f ca="1">IF(AND(ISNUMBER($AK$791),$B$511=1),$AK$791,HLOOKUP(INDIRECT(ADDRESS(2,COLUMN())),OFFSET($BN$2,0,0,ROW()-1,60),ROW()-1,FALSE))</f>
        <v>76929.118000000002</v>
      </c>
      <c r="AL288">
        <f ca="1">IF(AND(ISNUMBER($AL$791),$B$511=1),$AL$791,HLOOKUP(INDIRECT(ADDRESS(2,COLUMN())),OFFSET($BN$2,0,0,ROW()-1,60),ROW()-1,FALSE))</f>
        <v>70047.516000000003</v>
      </c>
      <c r="AM288">
        <f ca="1">IF(AND(ISNUMBER($AM$791),$B$511=1),$AM$791,HLOOKUP(INDIRECT(ADDRESS(2,COLUMN())),OFFSET($BN$2,0,0,ROW()-1,60),ROW()-1,FALSE))</f>
        <v>61454.194799999997</v>
      </c>
      <c r="AN288">
        <f ca="1">IF(AND(ISNUMBER($AN$791),$B$511=1),$AN$791,HLOOKUP(INDIRECT(ADDRESS(2,COLUMN())),OFFSET($BN$2,0,0,ROW()-1,60),ROW()-1,FALSE))</f>
        <v>57356.544000000002</v>
      </c>
      <c r="AO288">
        <f ca="1">IF(AND(ISNUMBER($AO$791),$B$511=1),$AO$791,HLOOKUP(INDIRECT(ADDRESS(2,COLUMN())),OFFSET($BN$2,0,0,ROW()-1,60),ROW()-1,FALSE))</f>
        <v>47222.543899999997</v>
      </c>
      <c r="AP288">
        <f ca="1">IF(AND(ISNUMBER($AP$791),$B$511=1),$AP$791,HLOOKUP(INDIRECT(ADDRESS(2,COLUMN())),OFFSET($BN$2,0,0,ROW()-1,60),ROW()-1,FALSE))</f>
        <v>53574.440399999999</v>
      </c>
      <c r="AQ288">
        <f ca="1">IF(AND(ISNUMBER($AQ$791),$B$511=1),$AQ$791,HLOOKUP(INDIRECT(ADDRESS(2,COLUMN())),OFFSET($BN$2,0,0,ROW()-1,60),ROW()-1,FALSE))</f>
        <v>50561.201099999998</v>
      </c>
      <c r="AR288">
        <f ca="1">IF(AND(ISNUMBER($AR$791),$B$511=1),$AR$791,HLOOKUP(INDIRECT(ADDRESS(2,COLUMN())),OFFSET($BN$2,0,0,ROW()-1,60),ROW()-1,FALSE))</f>
        <v>51719.076000000001</v>
      </c>
      <c r="AS288">
        <f ca="1">IF(AND(ISNUMBER($AS$791),$B$511=1),$AS$791,HLOOKUP(INDIRECT(ADDRESS(2,COLUMN())),OFFSET($BN$2,0,0,ROW()-1,60),ROW()-1,FALSE))</f>
        <v>48343.24</v>
      </c>
      <c r="AT288">
        <f ca="1">IF(AND(ISNUMBER($AT$791),$B$511=1),$AT$791,HLOOKUP(INDIRECT(ADDRESS(2,COLUMN())),OFFSET($BN$2,0,0,ROW()-1,60),ROW()-1,FALSE))</f>
        <v>46149.366499999996</v>
      </c>
      <c r="AU288">
        <f ca="1">IF(AND(ISNUMBER($AU$791),$B$511=1),$AU$791,HLOOKUP(INDIRECT(ADDRESS(2,COLUMN())),OFFSET($BN$2,0,0,ROW()-1,60),ROW()-1,FALSE))</f>
        <v>48850.848299999998</v>
      </c>
      <c r="AV288">
        <f ca="1">IF(AND(ISNUMBER($AV$791),$B$511=1),$AV$791,HLOOKUP(INDIRECT(ADDRESS(2,COLUMN())),OFFSET($BN$2,0,0,ROW()-1,60),ROW()-1,FALSE))</f>
        <v>50345.027199999997</v>
      </c>
      <c r="AW288">
        <f ca="1">IF(AND(ISNUMBER($AW$791),$B$511=1),$AW$791,HLOOKUP(INDIRECT(ADDRESS(2,COLUMN())),OFFSET($BN$2,0,0,ROW()-1,60),ROW()-1,FALSE))</f>
        <v>55233.36</v>
      </c>
      <c r="AX288">
        <f ca="1">IF(AND(ISNUMBER($AX$791),$B$511=1),$AX$791,HLOOKUP(INDIRECT(ADDRESS(2,COLUMN())),OFFSET($BN$2,0,0,ROW()-1,60),ROW()-1,FALSE))</f>
        <v>53409.125599999999</v>
      </c>
      <c r="AY288">
        <f ca="1">IF(AND(ISNUMBER($AY$791),$B$511=1),$AY$791,HLOOKUP(INDIRECT(ADDRESS(2,COLUMN())),OFFSET($BN$2,0,0,ROW()-1,60),ROW()-1,FALSE))</f>
        <v>46483.3125</v>
      </c>
      <c r="AZ288">
        <f ca="1">IF(AND(ISNUMBER($AZ$791),$B$511=1),$AZ$791,HLOOKUP(INDIRECT(ADDRESS(2,COLUMN())),OFFSET($BN$2,0,0,ROW()-1,60),ROW()-1,FALSE))</f>
        <v>42751.9755</v>
      </c>
      <c r="BA288">
        <f ca="1">IF(AND(ISNUMBER($BA$791),$B$511=1),$BA$791,HLOOKUP(INDIRECT(ADDRESS(2,COLUMN())),OFFSET($BN$2,0,0,ROW()-1,60),ROW()-1,FALSE))</f>
        <v>39008.393199999999</v>
      </c>
      <c r="BB288">
        <f ca="1">IF(AND(ISNUMBER($BB$791),$B$511=1),$BB$791,HLOOKUP(INDIRECT(ADDRESS(2,COLUMN())),OFFSET($BN$2,0,0,ROW()-1,60),ROW()-1,FALSE))</f>
        <v>36962.792399999998</v>
      </c>
      <c r="BC288">
        <f ca="1">IF(AND(ISNUMBER($BC$791),$B$511=1),$BC$791,HLOOKUP(INDIRECT(ADDRESS(2,COLUMN())),OFFSET($BN$2,0,0,ROW()-1,60),ROW()-1,FALSE))</f>
        <v>35483.685599999997</v>
      </c>
      <c r="BD288">
        <f ca="1">IF(AND(ISNUMBER($BD$791),$B$511=1),$BD$791,HLOOKUP(INDIRECT(ADDRESS(2,COLUMN())),OFFSET($BN$2,0,0,ROW()-1,60),ROW()-1,FALSE))</f>
        <v>31930.662</v>
      </c>
      <c r="BE288">
        <f ca="1">IF(AND(ISNUMBER($BE$791),$B$511=1),$BE$791,HLOOKUP(INDIRECT(ADDRESS(2,COLUMN())),OFFSET($BN$2,0,0,ROW()-1,60),ROW()-1,FALSE))</f>
        <v>32045.602500000001</v>
      </c>
      <c r="BF288">
        <f ca="1">IF(AND(ISNUMBER($BF$791),$B$511=1),$BF$791,HLOOKUP(INDIRECT(ADDRESS(2,COLUMN())),OFFSET($BN$2,0,0,ROW()-1,60),ROW()-1,FALSE))</f>
        <v>29414.010900000001</v>
      </c>
      <c r="BG288">
        <f ca="1">IF(AND(ISNUMBER($BG$791),$B$511=1),$BG$791,HLOOKUP(INDIRECT(ADDRESS(2,COLUMN())),OFFSET($BN$2,0,0,ROW()-1,60),ROW()-1,FALSE))</f>
        <v>27925.88</v>
      </c>
      <c r="BH288">
        <f ca="1">IF(AND(ISNUMBER($BH$791),$B$511=1),$BH$791,HLOOKUP(INDIRECT(ADDRESS(2,COLUMN())),OFFSET($BN$2,0,0,ROW()-1,60),ROW()-1,FALSE))</f>
        <v>30138.758999999998</v>
      </c>
      <c r="BI288">
        <f ca="1">IF(AND(ISNUMBER($BI$791),$B$511=1),$BI$791,HLOOKUP(INDIRECT(ADDRESS(2,COLUMN())),OFFSET($BN$2,0,0,ROW()-1,60),ROW()-1,FALSE))</f>
        <v>29459.774600000001</v>
      </c>
      <c r="BJ288">
        <f ca="1">IF(AND(ISNUMBER($BJ$791),$B$511=1),$BJ$791,HLOOKUP(INDIRECT(ADDRESS(2,COLUMN())),OFFSET($BN$2,0,0,ROW()-1,60),ROW()-1,FALSE))</f>
        <v>31254.176800000001</v>
      </c>
      <c r="BK288">
        <f ca="1">IF(AND(ISNUMBER($BK$791),$B$511=1),$BK$791,HLOOKUP(INDIRECT(ADDRESS(2,COLUMN())),OFFSET($BN$2,0,0,ROW()-1,60),ROW()-1,FALSE))</f>
        <v>30682.650399999999</v>
      </c>
      <c r="BL288">
        <f ca="1">IF(AND(ISNUMBER($BL$791),$B$511=1),$BL$791,HLOOKUP(INDIRECT(ADDRESS(2,COLUMN())),OFFSET($BN$2,0,0,ROW()-1,60),ROW()-1,FALSE))</f>
        <v>30627.563200000001</v>
      </c>
      <c r="BM288">
        <f ca="1">IF(AND(ISNUMBER($BM$791),$B$511=1),$BM$791,HLOOKUP(INDIRECT(ADDRESS(2,COLUMN())),OFFSET($BN$2,0,0,ROW()-1,60),ROW()-1,FALSE))</f>
        <v>29985.632900000001</v>
      </c>
      <c r="BN288" t="str">
        <f>""</f>
        <v/>
      </c>
      <c r="BO288" t="str">
        <f>""</f>
        <v/>
      </c>
      <c r="BP288">
        <f>118158.5132</f>
        <v>118158.5132</v>
      </c>
      <c r="BQ288">
        <f>116593.6773</f>
        <v>116593.6773</v>
      </c>
      <c r="BR288">
        <f>122604.342</f>
        <v>122604.342</v>
      </c>
      <c r="BS288">
        <f>117527.072</f>
        <v>117527.072</v>
      </c>
      <c r="BT288">
        <f>111652.8391</f>
        <v>111652.8391</v>
      </c>
      <c r="BU288">
        <f>106412.5294</f>
        <v>106412.5294</v>
      </c>
      <c r="BV288">
        <f>104573.872</f>
        <v>104573.872</v>
      </c>
      <c r="BW288">
        <f>89778.1734</f>
        <v>89778.1734</v>
      </c>
      <c r="BX288">
        <f>93330.5044</f>
        <v>93330.504400000005</v>
      </c>
      <c r="BY288">
        <f>89864.0388</f>
        <v>89864.038799999995</v>
      </c>
      <c r="BZ288">
        <f>93201.2852</f>
        <v>93201.285199999998</v>
      </c>
      <c r="CA288">
        <f>87471.3</f>
        <v>87471.3</v>
      </c>
      <c r="CB288">
        <f>96054.4982</f>
        <v>96054.498200000002</v>
      </c>
      <c r="CC288">
        <f>98639.3626</f>
        <v>98639.362599999993</v>
      </c>
      <c r="CD288">
        <f>87551.208</f>
        <v>87551.207999999999</v>
      </c>
      <c r="CE288">
        <f>102789.5</f>
        <v>102789.5</v>
      </c>
      <c r="CF288">
        <f>108365.6603</f>
        <v>108365.6603</v>
      </c>
      <c r="CG288">
        <f>115675.024</f>
        <v>115675.024</v>
      </c>
      <c r="CH288">
        <f>110218.6932</f>
        <v>110218.69319999999</v>
      </c>
      <c r="CI288">
        <f>118211.7181</f>
        <v>118211.7181</v>
      </c>
      <c r="CJ288">
        <f>113157.0468</f>
        <v>113157.0468</v>
      </c>
      <c r="CK288">
        <f>105842.493</f>
        <v>105842.493</v>
      </c>
      <c r="CL288">
        <f>102566.1009</f>
        <v>102566.1009</v>
      </c>
      <c r="CM288">
        <f>102516.9354</f>
        <v>102516.9354</v>
      </c>
      <c r="CN288">
        <f>95393.1336</f>
        <v>95393.133600000001</v>
      </c>
      <c r="CO288">
        <f>78805.6092</f>
        <v>78805.609200000006</v>
      </c>
      <c r="CP288">
        <f>80975.9016</f>
        <v>80975.901599999997</v>
      </c>
      <c r="CQ288">
        <f>74570.544</f>
        <v>74570.543999999994</v>
      </c>
      <c r="CR288">
        <f>77341.1643</f>
        <v>77341.164300000004</v>
      </c>
      <c r="CS288">
        <f>76929.118</f>
        <v>76929.118000000002</v>
      </c>
      <c r="CT288">
        <f>70047.516</f>
        <v>70047.516000000003</v>
      </c>
      <c r="CU288">
        <f>61454.1948</f>
        <v>61454.194799999997</v>
      </c>
      <c r="CV288">
        <f>57356.544</f>
        <v>57356.544000000002</v>
      </c>
      <c r="CW288">
        <f>47222.5439</f>
        <v>47222.543899999997</v>
      </c>
      <c r="CX288">
        <f>53574.4404</f>
        <v>53574.440399999999</v>
      </c>
      <c r="CY288">
        <f>50561.2011</f>
        <v>50561.201099999998</v>
      </c>
      <c r="CZ288">
        <f>51719.076</f>
        <v>51719.076000000001</v>
      </c>
      <c r="DA288">
        <f>48343.24</f>
        <v>48343.24</v>
      </c>
      <c r="DB288">
        <f>46149.3665</f>
        <v>46149.366499999996</v>
      </c>
      <c r="DC288">
        <f>48850.8483</f>
        <v>48850.848299999998</v>
      </c>
      <c r="DD288">
        <f>50345.0272</f>
        <v>50345.027199999997</v>
      </c>
      <c r="DE288">
        <f>55233.36</f>
        <v>55233.36</v>
      </c>
      <c r="DF288">
        <f>53409.1256</f>
        <v>53409.125599999999</v>
      </c>
      <c r="DG288">
        <f>46483.3125</f>
        <v>46483.3125</v>
      </c>
      <c r="DH288">
        <f>42751.9755</f>
        <v>42751.9755</v>
      </c>
      <c r="DI288">
        <f>39008.3932</f>
        <v>39008.393199999999</v>
      </c>
      <c r="DJ288">
        <f>36962.7924</f>
        <v>36962.792399999998</v>
      </c>
      <c r="DK288">
        <f>35483.6856</f>
        <v>35483.685599999997</v>
      </c>
      <c r="DL288">
        <f>31930.662</f>
        <v>31930.662</v>
      </c>
      <c r="DM288">
        <f>32045.6025</f>
        <v>32045.602500000001</v>
      </c>
      <c r="DN288">
        <f>29414.0109</f>
        <v>29414.010900000001</v>
      </c>
      <c r="DO288">
        <f>27925.88</f>
        <v>27925.88</v>
      </c>
      <c r="DP288">
        <f>30138.759</f>
        <v>30138.758999999998</v>
      </c>
      <c r="DQ288">
        <f>29459.7746</f>
        <v>29459.774600000001</v>
      </c>
      <c r="DR288">
        <f>31254.1768</f>
        <v>31254.176800000001</v>
      </c>
      <c r="DS288">
        <f>30682.6504</f>
        <v>30682.650399999999</v>
      </c>
      <c r="DT288">
        <f>30627.5632</f>
        <v>30627.563200000001</v>
      </c>
      <c r="DU288">
        <f>29985.6329</f>
        <v>29985.632900000001</v>
      </c>
    </row>
    <row r="289" spans="1:125" x14ac:dyDescent="0.25">
      <c r="A289" t="str">
        <f>"    Yulon Motor Co Ltd"</f>
        <v xml:space="preserve">    Yulon Motor Co Ltd</v>
      </c>
      <c r="B289" t="str">
        <f>"2201 TT Equity"</f>
        <v>2201 TT Equity</v>
      </c>
      <c r="C289" t="str">
        <f t="shared" si="18"/>
        <v>RR010</v>
      </c>
      <c r="D289" t="str">
        <f t="shared" si="19"/>
        <v>TOT_COMMON_EQY</v>
      </c>
      <c r="E289" t="str">
        <f t="shared" si="20"/>
        <v>Dynamic</v>
      </c>
      <c r="F289" t="str">
        <f ca="1">IF(AND(ISNUMBER($F$792),$B$511=1),$F$792,HLOOKUP(INDIRECT(ADDRESS(2,COLUMN())),OFFSET($BN$2,0,0,ROW()-1,60),ROW()-1,FALSE))</f>
        <v/>
      </c>
      <c r="G289" t="str">
        <f ca="1">IF(AND(ISNUMBER($G$792),$B$511=1),$G$792,HLOOKUP(INDIRECT(ADDRESS(2,COLUMN())),OFFSET($BN$2,0,0,ROW()-1,60),ROW()-1,FALSE))</f>
        <v/>
      </c>
      <c r="H289">
        <f ca="1">IF(AND(ISNUMBER($H$792),$B$511=1),$H$792,HLOOKUP(INDIRECT(ADDRESS(2,COLUMN())),OFFSET($BN$2,0,0,ROW()-1,60),ROW()-1,FALSE))</f>
        <v>2344.3102509999999</v>
      </c>
      <c r="I289">
        <f ca="1">IF(AND(ISNUMBER($I$792),$B$511=1),$I$792,HLOOKUP(INDIRECT(ADDRESS(2,COLUMN())),OFFSET($BN$2,0,0,ROW()-1,60),ROW()-1,FALSE))</f>
        <v>2359.6216789999999</v>
      </c>
      <c r="J289">
        <f ca="1">IF(AND(ISNUMBER($J$792),$B$511=1),$J$792,HLOOKUP(INDIRECT(ADDRESS(2,COLUMN())),OFFSET($BN$2,0,0,ROW()-1,60),ROW()-1,FALSE))</f>
        <v>2500.061972</v>
      </c>
      <c r="K289">
        <f ca="1">IF(AND(ISNUMBER($K$792),$B$511=1),$K$792,HLOOKUP(INDIRECT(ADDRESS(2,COLUMN())),OFFSET($BN$2,0,0,ROW()-1,60),ROW()-1,FALSE))</f>
        <v>2373.9308030000002</v>
      </c>
      <c r="L289">
        <f ca="1">IF(AND(ISNUMBER($L$792),$B$511=1),$L$792,HLOOKUP(INDIRECT(ADDRESS(2,COLUMN())),OFFSET($BN$2,0,0,ROW()-1,60),ROW()-1,FALSE))</f>
        <v>2333.6631670000002</v>
      </c>
      <c r="M289">
        <f ca="1">IF(AND(ISNUMBER($M$792),$B$511=1),$M$792,HLOOKUP(INDIRECT(ADDRESS(2,COLUMN())),OFFSET($BN$2,0,0,ROW()-1,60),ROW()-1,FALSE))</f>
        <v>2289.135205</v>
      </c>
      <c r="N289">
        <f ca="1">IF(AND(ISNUMBER($N$792),$B$511=1),$N$792,HLOOKUP(INDIRECT(ADDRESS(2,COLUMN())),OFFSET($BN$2,0,0,ROW()-1,60),ROW()-1,FALSE))</f>
        <v>2296.0968509999998</v>
      </c>
      <c r="O289">
        <f ca="1">IF(AND(ISNUMBER($O$792),$B$511=1),$O$792,HLOOKUP(INDIRECT(ADDRESS(2,COLUMN())),OFFSET($BN$2,0,0,ROW()-1,60),ROW()-1,FALSE))</f>
        <v>2152.1484890000002</v>
      </c>
      <c r="P289">
        <f ca="1">IF(AND(ISNUMBER($P$792),$B$511=1),$P$792,HLOOKUP(INDIRECT(ADDRESS(2,COLUMN())),OFFSET($BN$2,0,0,ROW()-1,60),ROW()-1,FALSE))</f>
        <v>2263.5660269999998</v>
      </c>
      <c r="Q289">
        <f ca="1">IF(AND(ISNUMBER($Q$792),$B$511=1),$Q$792,HLOOKUP(INDIRECT(ADDRESS(2,COLUMN())),OFFSET($BN$2,0,0,ROW()-1,60),ROW()-1,FALSE))</f>
        <v>2198.4699620000001</v>
      </c>
      <c r="R289">
        <f ca="1">IF(AND(ISNUMBER($R$792),$B$511=1),$R$792,HLOOKUP(INDIRECT(ADDRESS(2,COLUMN())),OFFSET($BN$2,0,0,ROW()-1,60),ROW()-1,FALSE))</f>
        <v>2233.7122049999998</v>
      </c>
      <c r="S289">
        <f ca="1">IF(AND(ISNUMBER($S$792),$B$511=1),$S$792,HLOOKUP(INDIRECT(ADDRESS(2,COLUMN())),OFFSET($BN$2,0,0,ROW()-1,60),ROW()-1,FALSE))</f>
        <v>2171.525216</v>
      </c>
      <c r="T289">
        <f ca="1">IF(AND(ISNUMBER($T$792),$B$511=1),$T$792,HLOOKUP(INDIRECT(ADDRESS(2,COLUMN())),OFFSET($BN$2,0,0,ROW()-1,60),ROW()-1,FALSE))</f>
        <v>2154.334222</v>
      </c>
      <c r="U289">
        <f ca="1">IF(AND(ISNUMBER($U$792),$B$511=1),$U$792,HLOOKUP(INDIRECT(ADDRESS(2,COLUMN())),OFFSET($BN$2,0,0,ROW()-1,60),ROW()-1,FALSE))</f>
        <v>2259.8780430000002</v>
      </c>
      <c r="V289">
        <f ca="1">IF(AND(ISNUMBER($V$792),$B$511=1),$V$792,HLOOKUP(INDIRECT(ADDRESS(2,COLUMN())),OFFSET($BN$2,0,0,ROW()-1,60),ROW()-1,FALSE))</f>
        <v>2256.9950720000002</v>
      </c>
      <c r="W289">
        <f ca="1">IF(AND(ISNUMBER($W$792),$B$511=1),$W$792,HLOOKUP(INDIRECT(ADDRESS(2,COLUMN())),OFFSET($BN$2,0,0,ROW()-1,60),ROW()-1,FALSE))</f>
        <v>2213.8910470000001</v>
      </c>
      <c r="X289">
        <f ca="1">IF(AND(ISNUMBER($X$792),$B$511=1),$X$792,HLOOKUP(INDIRECT(ADDRESS(2,COLUMN())),OFFSET($BN$2,0,0,ROW()-1,60),ROW()-1,FALSE))</f>
        <v>2278.7914059999998</v>
      </c>
      <c r="Y289">
        <f ca="1">IF(AND(ISNUMBER($Y$792),$B$511=1),$Y$792,HLOOKUP(INDIRECT(ADDRESS(2,COLUMN())),OFFSET($BN$2,0,0,ROW()-1,60),ROW()-1,FALSE))</f>
        <v>2269.4609310000001</v>
      </c>
      <c r="Z289">
        <f ca="1">IF(AND(ISNUMBER($Z$792),$B$511=1),$Z$792,HLOOKUP(INDIRECT(ADDRESS(2,COLUMN())),OFFSET($BN$2,0,0,ROW()-1,60),ROW()-1,FALSE))</f>
        <v>2259.4212579999999</v>
      </c>
      <c r="AA289">
        <f ca="1">IF(AND(ISNUMBER($AA$792),$B$511=1),$AA$792,HLOOKUP(INDIRECT(ADDRESS(2,COLUMN())),OFFSET($BN$2,0,0,ROW()-1,60),ROW()-1,FALSE))</f>
        <v>2270.9463059999998</v>
      </c>
      <c r="AB289">
        <f ca="1">IF(AND(ISNUMBER($AB$792),$B$511=1),$AB$792,HLOOKUP(INDIRECT(ADDRESS(2,COLUMN())),OFFSET($BN$2,0,0,ROW()-1,60),ROW()-1,FALSE))</f>
        <v>2289.1368400000001</v>
      </c>
      <c r="AC289">
        <f ca="1">IF(AND(ISNUMBER($AC$792),$B$511=1),$AC$792,HLOOKUP(INDIRECT(ADDRESS(2,COLUMN())),OFFSET($BN$2,0,0,ROW()-1,60),ROW()-1,FALSE))</f>
        <v>2237.1892050000001</v>
      </c>
      <c r="AD289">
        <f ca="1">IF(AND(ISNUMBER($AD$792),$B$511=1),$AD$792,HLOOKUP(INDIRECT(ADDRESS(2,COLUMN())),OFFSET($BN$2,0,0,ROW()-1,60),ROW()-1,FALSE))</f>
        <v>2242.359371</v>
      </c>
      <c r="AE289">
        <f ca="1">IF(AND(ISNUMBER($AE$792),$B$511=1),$AE$792,HLOOKUP(INDIRECT(ADDRESS(2,COLUMN())),OFFSET($BN$2,0,0,ROW()-1,60),ROW()-1,FALSE))</f>
        <v>2244.1211130000002</v>
      </c>
      <c r="AF289">
        <f ca="1">IF(AND(ISNUMBER($AF$792),$B$511=1),$AF$792,HLOOKUP(INDIRECT(ADDRESS(2,COLUMN())),OFFSET($BN$2,0,0,ROW()-1,60),ROW()-1,FALSE))</f>
        <v>2204.9492959999998</v>
      </c>
      <c r="AG289">
        <f ca="1">IF(AND(ISNUMBER($AG$792),$B$511=1),$AG$792,HLOOKUP(INDIRECT(ADDRESS(2,COLUMN())),OFFSET($BN$2,0,0,ROW()-1,60),ROW()-1,FALSE))</f>
        <v>2147.6139669999998</v>
      </c>
      <c r="AH289">
        <f ca="1">IF(AND(ISNUMBER($AH$792),$B$511=1),$AH$792,HLOOKUP(INDIRECT(ADDRESS(2,COLUMN())),OFFSET($BN$2,0,0,ROW()-1,60),ROW()-1,FALSE))</f>
        <v>2207.7328090000001</v>
      </c>
      <c r="AI289">
        <f ca="1">IF(AND(ISNUMBER($AI$792),$B$511=1),$AI$792,HLOOKUP(INDIRECT(ADDRESS(2,COLUMN())),OFFSET($BN$2,0,0,ROW()-1,60),ROW()-1,FALSE))</f>
        <v>2129.777701</v>
      </c>
      <c r="AJ289">
        <f ca="1">IF(AND(ISNUMBER($AJ$792),$B$511=1),$AJ$792,HLOOKUP(INDIRECT(ADDRESS(2,COLUMN())),OFFSET($BN$2,0,0,ROW()-1,60),ROW()-1,FALSE))</f>
        <v>2112.6060430000002</v>
      </c>
      <c r="AK289">
        <f ca="1">IF(AND(ISNUMBER($AK$792),$B$511=1),$AK$792,HLOOKUP(INDIRECT(ADDRESS(2,COLUMN())),OFFSET($BN$2,0,0,ROW()-1,60),ROW()-1,FALSE))</f>
        <v>2193.9951489999999</v>
      </c>
      <c r="AL289">
        <f ca="1">IF(AND(ISNUMBER($AL$792),$B$511=1),$AL$792,HLOOKUP(INDIRECT(ADDRESS(2,COLUMN())),OFFSET($BN$2,0,0,ROW()-1,60),ROW()-1,FALSE))</f>
        <v>2182.1394949999999</v>
      </c>
      <c r="AM289">
        <f ca="1">IF(AND(ISNUMBER($AM$792),$B$511=1),$AM$792,HLOOKUP(INDIRECT(ADDRESS(2,COLUMN())),OFFSET($BN$2,0,0,ROW()-1,60),ROW()-1,FALSE))</f>
        <v>2134.8847620000001</v>
      </c>
      <c r="AN289">
        <f ca="1">IF(AND(ISNUMBER($AN$792),$B$511=1),$AN$792,HLOOKUP(INDIRECT(ADDRESS(2,COLUMN())),OFFSET($BN$2,0,0,ROW()-1,60),ROW()-1,FALSE))</f>
        <v>1974.289804</v>
      </c>
      <c r="AO289">
        <f ca="1">IF(AND(ISNUMBER($AO$792),$B$511=1),$AO$792,HLOOKUP(INDIRECT(ADDRESS(2,COLUMN())),OFFSET($BN$2,0,0,ROW()-1,60),ROW()-1,FALSE))</f>
        <v>1897.8382300000001</v>
      </c>
      <c r="AP289">
        <f ca="1">IF(AND(ISNUMBER($AP$792),$B$511=1),$AP$792,HLOOKUP(INDIRECT(ADDRESS(2,COLUMN())),OFFSET($BN$2,0,0,ROW()-1,60),ROW()-1,FALSE))</f>
        <v>1911.6945209999999</v>
      </c>
      <c r="AQ289">
        <f ca="1">IF(AND(ISNUMBER($AQ$792),$B$511=1),$AQ$792,HLOOKUP(INDIRECT(ADDRESS(2,COLUMN())),OFFSET($BN$2,0,0,ROW()-1,60),ROW()-1,FALSE))</f>
        <v>1860.740722</v>
      </c>
      <c r="AR289">
        <f ca="1">IF(AND(ISNUMBER($AR$792),$B$511=1),$AR$792,HLOOKUP(INDIRECT(ADDRESS(2,COLUMN())),OFFSET($BN$2,0,0,ROW()-1,60),ROW()-1,FALSE))</f>
        <v>1844.226359</v>
      </c>
      <c r="AS289">
        <f ca="1">IF(AND(ISNUMBER($AS$792),$B$511=1),$AS$792,HLOOKUP(INDIRECT(ADDRESS(2,COLUMN())),OFFSET($BN$2,0,0,ROW()-1,60),ROW()-1,FALSE))</f>
        <v>1785.009906</v>
      </c>
      <c r="AT289">
        <f ca="1">IF(AND(ISNUMBER($AT$792),$B$511=1),$AT$792,HLOOKUP(INDIRECT(ADDRESS(2,COLUMN())),OFFSET($BN$2,0,0,ROW()-1,60),ROW()-1,FALSE))</f>
        <v>1712.7372909999999</v>
      </c>
      <c r="AU289">
        <f ca="1">IF(AND(ISNUMBER($AU$792),$B$511=1),$AU$792,HLOOKUP(INDIRECT(ADDRESS(2,COLUMN())),OFFSET($BN$2,0,0,ROW()-1,60),ROW()-1,FALSE))</f>
        <v>1749.4152650000001</v>
      </c>
      <c r="AV289">
        <f ca="1">IF(AND(ISNUMBER($AV$792),$B$511=1),$AV$792,HLOOKUP(INDIRECT(ADDRESS(2,COLUMN())),OFFSET($BN$2,0,0,ROW()-1,60),ROW()-1,FALSE))</f>
        <v>1813.967701</v>
      </c>
      <c r="AW289">
        <f ca="1">IF(AND(ISNUMBER($AW$792),$B$511=1),$AW$792,HLOOKUP(INDIRECT(ADDRESS(2,COLUMN())),OFFSET($BN$2,0,0,ROW()-1,60),ROW()-1,FALSE))</f>
        <v>1903.0553359999999</v>
      </c>
      <c r="AX289">
        <f ca="1">IF(AND(ISNUMBER($AX$792),$B$511=1),$AX$792,HLOOKUP(INDIRECT(ADDRESS(2,COLUMN())),OFFSET($BN$2,0,0,ROW()-1,60),ROW()-1,FALSE))</f>
        <v>1947.113265</v>
      </c>
      <c r="AY289" t="str">
        <f ca="1">IF(AND(ISNUMBER($AY$792),$B$511=1),$AY$792,HLOOKUP(INDIRECT(ADDRESS(2,COLUMN())),OFFSET($BN$2,0,0,ROW()-1,60),ROW()-1,FALSE))</f>
        <v/>
      </c>
      <c r="AZ289" t="str">
        <f ca="1">IF(AND(ISNUMBER($AZ$792),$B$511=1),$AZ$792,HLOOKUP(INDIRECT(ADDRESS(2,COLUMN())),OFFSET($BN$2,0,0,ROW()-1,60),ROW()-1,FALSE))</f>
        <v/>
      </c>
      <c r="BA289" t="str">
        <f ca="1">IF(AND(ISNUMBER($BA$792),$B$511=1),$BA$792,HLOOKUP(INDIRECT(ADDRESS(2,COLUMN())),OFFSET($BN$2,0,0,ROW()-1,60),ROW()-1,FALSE))</f>
        <v/>
      </c>
      <c r="BB289" t="str">
        <f ca="1">IF(AND(ISNUMBER($BB$792),$B$511=1),$BB$792,HLOOKUP(INDIRECT(ADDRESS(2,COLUMN())),OFFSET($BN$2,0,0,ROW()-1,60),ROW()-1,FALSE))</f>
        <v/>
      </c>
      <c r="BC289" t="str">
        <f ca="1">IF(AND(ISNUMBER($BC$792),$B$511=1),$BC$792,HLOOKUP(INDIRECT(ADDRESS(2,COLUMN())),OFFSET($BN$2,0,0,ROW()-1,60),ROW()-1,FALSE))</f>
        <v/>
      </c>
      <c r="BD289" t="str">
        <f ca="1">IF(AND(ISNUMBER($BD$792),$B$511=1),$BD$792,HLOOKUP(INDIRECT(ADDRESS(2,COLUMN())),OFFSET($BN$2,0,0,ROW()-1,60),ROW()-1,FALSE))</f>
        <v/>
      </c>
      <c r="BE289" t="str">
        <f ca="1">IF(AND(ISNUMBER($BE$792),$B$511=1),$BE$792,HLOOKUP(INDIRECT(ADDRESS(2,COLUMN())),OFFSET($BN$2,0,0,ROW()-1,60),ROW()-1,FALSE))</f>
        <v/>
      </c>
      <c r="BF289" t="str">
        <f ca="1">IF(AND(ISNUMBER($BF$792),$B$511=1),$BF$792,HLOOKUP(INDIRECT(ADDRESS(2,COLUMN())),OFFSET($BN$2,0,0,ROW()-1,60),ROW()-1,FALSE))</f>
        <v/>
      </c>
      <c r="BG289" t="str">
        <f ca="1">IF(AND(ISNUMBER($BG$792),$B$511=1),$BG$792,HLOOKUP(INDIRECT(ADDRESS(2,COLUMN())),OFFSET($BN$2,0,0,ROW()-1,60),ROW()-1,FALSE))</f>
        <v/>
      </c>
      <c r="BH289" t="str">
        <f ca="1">IF(AND(ISNUMBER($BH$792),$B$511=1),$BH$792,HLOOKUP(INDIRECT(ADDRESS(2,COLUMN())),OFFSET($BN$2,0,0,ROW()-1,60),ROW()-1,FALSE))</f>
        <v/>
      </c>
      <c r="BI289" t="str">
        <f ca="1">IF(AND(ISNUMBER($BI$792),$B$511=1),$BI$792,HLOOKUP(INDIRECT(ADDRESS(2,COLUMN())),OFFSET($BN$2,0,0,ROW()-1,60),ROW()-1,FALSE))</f>
        <v/>
      </c>
      <c r="BJ289" t="str">
        <f ca="1">IF(AND(ISNUMBER($BJ$792),$B$511=1),$BJ$792,HLOOKUP(INDIRECT(ADDRESS(2,COLUMN())),OFFSET($BN$2,0,0,ROW()-1,60),ROW()-1,FALSE))</f>
        <v/>
      </c>
      <c r="BK289" t="str">
        <f ca="1">IF(AND(ISNUMBER($BK$792),$B$511=1),$BK$792,HLOOKUP(INDIRECT(ADDRESS(2,COLUMN())),OFFSET($BN$2,0,0,ROW()-1,60),ROW()-1,FALSE))</f>
        <v/>
      </c>
      <c r="BL289" t="str">
        <f ca="1">IF(AND(ISNUMBER($BL$792),$B$511=1),$BL$792,HLOOKUP(INDIRECT(ADDRESS(2,COLUMN())),OFFSET($BN$2,0,0,ROW()-1,60),ROW()-1,FALSE))</f>
        <v/>
      </c>
      <c r="BM289" t="str">
        <f ca="1">IF(AND(ISNUMBER($BM$792),$B$511=1),$BM$792,HLOOKUP(INDIRECT(ADDRESS(2,COLUMN())),OFFSET($BN$2,0,0,ROW()-1,60),ROW()-1,FALSE))</f>
        <v/>
      </c>
      <c r="BN289" t="str">
        <f>""</f>
        <v/>
      </c>
      <c r="BO289" t="str">
        <f>""</f>
        <v/>
      </c>
      <c r="BP289">
        <f>2344.310251</f>
        <v>2344.3102509999999</v>
      </c>
      <c r="BQ289">
        <f>2359.621679</f>
        <v>2359.6216789999999</v>
      </c>
      <c r="BR289">
        <f>2500.061972</f>
        <v>2500.061972</v>
      </c>
      <c r="BS289">
        <f>2373.930803</f>
        <v>2373.9308030000002</v>
      </c>
      <c r="BT289">
        <f>2333.663167</f>
        <v>2333.6631670000002</v>
      </c>
      <c r="BU289">
        <f>2289.135205</f>
        <v>2289.135205</v>
      </c>
      <c r="BV289">
        <f>2296.096851</f>
        <v>2296.0968509999998</v>
      </c>
      <c r="BW289">
        <f>2152.148489</f>
        <v>2152.1484890000002</v>
      </c>
      <c r="BX289">
        <f>2263.566027</f>
        <v>2263.5660269999998</v>
      </c>
      <c r="BY289">
        <f>2198.469962</f>
        <v>2198.4699620000001</v>
      </c>
      <c r="BZ289">
        <f>2233.712205</f>
        <v>2233.7122049999998</v>
      </c>
      <c r="CA289">
        <f>2171.525216</f>
        <v>2171.525216</v>
      </c>
      <c r="CB289">
        <f>2154.334222</f>
        <v>2154.334222</v>
      </c>
      <c r="CC289">
        <f>2259.878043</f>
        <v>2259.8780430000002</v>
      </c>
      <c r="CD289">
        <f>2256.995072</f>
        <v>2256.9950720000002</v>
      </c>
      <c r="CE289">
        <f>2213.891047</f>
        <v>2213.8910470000001</v>
      </c>
      <c r="CF289">
        <f>2278.791406</f>
        <v>2278.7914059999998</v>
      </c>
      <c r="CG289">
        <f>2269.460931</f>
        <v>2269.4609310000001</v>
      </c>
      <c r="CH289">
        <f>2259.421258</f>
        <v>2259.4212579999999</v>
      </c>
      <c r="CI289">
        <f>2270.946306</f>
        <v>2270.9463059999998</v>
      </c>
      <c r="CJ289">
        <f>2289.13684</f>
        <v>2289.1368400000001</v>
      </c>
      <c r="CK289">
        <f>2237.189205</f>
        <v>2237.1892050000001</v>
      </c>
      <c r="CL289">
        <f>2242.359371</f>
        <v>2242.359371</v>
      </c>
      <c r="CM289">
        <f>2244.121113</f>
        <v>2244.1211130000002</v>
      </c>
      <c r="CN289">
        <f>2204.949296</f>
        <v>2204.9492959999998</v>
      </c>
      <c r="CO289">
        <f>2147.613967</f>
        <v>2147.6139669999998</v>
      </c>
      <c r="CP289">
        <f>2207.732809</f>
        <v>2207.7328090000001</v>
      </c>
      <c r="CQ289">
        <f>2129.777701</f>
        <v>2129.777701</v>
      </c>
      <c r="CR289">
        <f>2112.606043</f>
        <v>2112.6060430000002</v>
      </c>
      <c r="CS289">
        <f>2193.995149</f>
        <v>2193.9951489999999</v>
      </c>
      <c r="CT289">
        <f>2182.139495</f>
        <v>2182.1394949999999</v>
      </c>
      <c r="CU289">
        <f>2134.884762</f>
        <v>2134.8847620000001</v>
      </c>
      <c r="CV289">
        <f>1974.289804</f>
        <v>1974.289804</v>
      </c>
      <c r="CW289">
        <f>1897.83823</f>
        <v>1897.8382300000001</v>
      </c>
      <c r="CX289">
        <f>1911.694521</f>
        <v>1911.6945209999999</v>
      </c>
      <c r="CY289">
        <f>1860.740722</f>
        <v>1860.740722</v>
      </c>
      <c r="CZ289">
        <f>1844.226359</f>
        <v>1844.226359</v>
      </c>
      <c r="DA289">
        <f>1785.009906</f>
        <v>1785.009906</v>
      </c>
      <c r="DB289">
        <f>1712.737291</f>
        <v>1712.7372909999999</v>
      </c>
      <c r="DC289">
        <f>1749.415265</f>
        <v>1749.4152650000001</v>
      </c>
      <c r="DD289">
        <f>1813.967701</f>
        <v>1813.967701</v>
      </c>
      <c r="DE289">
        <f>1903.055336</f>
        <v>1903.0553359999999</v>
      </c>
      <c r="DF289">
        <f>1947.113265</f>
        <v>1947.113265</v>
      </c>
      <c r="DG289" t="str">
        <f>""</f>
        <v/>
      </c>
      <c r="DH289" t="str">
        <f>""</f>
        <v/>
      </c>
      <c r="DI289" t="str">
        <f>""</f>
        <v/>
      </c>
      <c r="DJ289" t="str">
        <f>""</f>
        <v/>
      </c>
      <c r="DK289" t="str">
        <f>""</f>
        <v/>
      </c>
      <c r="DL289" t="str">
        <f>""</f>
        <v/>
      </c>
      <c r="DM289" t="str">
        <f>""</f>
        <v/>
      </c>
      <c r="DN289" t="str">
        <f>""</f>
        <v/>
      </c>
      <c r="DO289" t="str">
        <f>""</f>
        <v/>
      </c>
      <c r="DP289" t="str">
        <f>""</f>
        <v/>
      </c>
      <c r="DQ289" t="str">
        <f>""</f>
        <v/>
      </c>
      <c r="DR289" t="str">
        <f>""</f>
        <v/>
      </c>
      <c r="DS289" t="str">
        <f>""</f>
        <v/>
      </c>
      <c r="DT289" t="str">
        <f>""</f>
        <v/>
      </c>
      <c r="DU289" t="str">
        <f>""</f>
        <v/>
      </c>
    </row>
    <row r="290" spans="1:125" x14ac:dyDescent="0.25">
      <c r="A290" t="str">
        <f>"Tangible Book Value"</f>
        <v>Tangible Book Value</v>
      </c>
      <c r="B290" t="str">
        <f>""</f>
        <v/>
      </c>
      <c r="E290" t="str">
        <f>"Average"</f>
        <v>Average</v>
      </c>
      <c r="F290" t="str">
        <f ca="1">IF(ISERROR(IF(AVERAGE($F$291:$F$330) = 0, "", AVERAGE($F$291:$F$330))), "", (IF(AVERAGE($F$291:$F$330) = 0, "", AVERAGE($F$291:$F$330))))</f>
        <v/>
      </c>
      <c r="G290">
        <f ca="1">IF(ISERROR(IF(AVERAGE($G$291:$G$330) = 0, "", AVERAGE($G$291:$G$330))), "", (IF(AVERAGE($G$291:$G$330) = 0, "", AVERAGE($G$291:$G$330))))</f>
        <v>33239.519719078569</v>
      </c>
      <c r="H290">
        <f ca="1">IF(ISERROR(IF(AVERAGE($H$291:$H$330) = 0, "", AVERAGE($H$291:$H$330))), "", (IF(AVERAGE($H$291:$H$330) = 0, "", AVERAGE($H$291:$H$330))))</f>
        <v>22631.949716690324</v>
      </c>
      <c r="I290">
        <f ca="1">IF(ISERROR(IF(AVERAGE($I$291:$I$330) = 0, "", AVERAGE($I$291:$I$330))), "", (IF(AVERAGE($I$291:$I$330) = 0, "", AVERAGE($I$291:$I$330))))</f>
        <v>23178.179756296664</v>
      </c>
      <c r="J290">
        <f ca="1">IF(ISERROR(IF(AVERAGE($J$291:$J$330) = 0, "", AVERAGE($J$291:$J$330))), "", (IF(AVERAGE($J$291:$J$330) = 0, "", AVERAGE($J$291:$J$330))))</f>
        <v>23011.827310721997</v>
      </c>
      <c r="K290">
        <f ca="1">IF(ISERROR(IF(AVERAGE($K$291:$K$330) = 0, "", AVERAGE($K$291:$K$330))), "", (IF(AVERAGE($K$291:$K$330) = 0, "", AVERAGE($K$291:$K$330))))</f>
        <v>23120.72243841576</v>
      </c>
      <c r="L290">
        <f ca="1">IF(ISERROR(IF(AVERAGE($L$291:$L$330) = 0, "", AVERAGE($L$291:$L$330))), "", (IF(AVERAGE($L$291:$L$330) = 0, "", AVERAGE($L$291:$L$330))))</f>
        <v>21646.666340565171</v>
      </c>
      <c r="M290">
        <f ca="1">IF(ISERROR(IF(AVERAGE($M$291:$M$330) = 0, "", AVERAGE($M$291:$M$330))), "", (IF(AVERAGE($M$291:$M$330) = 0, "", AVERAGE($M$291:$M$330))))</f>
        <v>21072.104130348278</v>
      </c>
      <c r="N290">
        <f ca="1">IF(ISERROR(IF(AVERAGE($N$291:$N$330) = 0, "", AVERAGE($N$291:$N$330))), "", (IF(AVERAGE($N$291:$N$330) = 0, "", AVERAGE($N$291:$N$330))))</f>
        <v>19898.088173516666</v>
      </c>
      <c r="O290">
        <f ca="1">IF(ISERROR(IF(AVERAGE($O$291:$O$330) = 0, "", AVERAGE($O$291:$O$330))), "", (IF(AVERAGE($O$291:$O$330) = 0, "", AVERAGE($O$291:$O$330))))</f>
        <v>14923.016394155175</v>
      </c>
      <c r="P290">
        <f ca="1">IF(ISERROR(IF(AVERAGE($P$291:$P$330) = 0, "", AVERAGE($P$291:$P$330))), "", (IF(AVERAGE($P$291:$P$330) = 0, "", AVERAGE($P$291:$P$330))))</f>
        <v>14971.93850864074</v>
      </c>
      <c r="Q290">
        <f ca="1">IF(ISERROR(IF(AVERAGE($Q$291:$Q$330) = 0, "", AVERAGE($Q$291:$Q$330))), "", (IF(AVERAGE($Q$291:$Q$330) = 0, "", AVERAGE($Q$291:$Q$330))))</f>
        <v>14999.756236723078</v>
      </c>
      <c r="R290">
        <f ca="1">IF(ISERROR(IF(AVERAGE($R$291:$R$330) = 0, "", AVERAGE($R$291:$R$330))), "", (IF(AVERAGE($R$291:$R$330) = 0, "", AVERAGE($R$291:$R$330))))</f>
        <v>18867.717278931032</v>
      </c>
      <c r="S290">
        <f ca="1">IF(ISERROR(IF(AVERAGE($S$291:$S$330) = 0, "", AVERAGE($S$291:$S$330))), "", (IF(AVERAGE($S$291:$S$330) = 0, "", AVERAGE($S$291:$S$330))))</f>
        <v>13756.323708440003</v>
      </c>
      <c r="T290">
        <f ca="1">IF(ISERROR(IF(AVERAGE($T$291:$T$330) = 0, "", AVERAGE($T$291:$T$330))), "", (IF(AVERAGE($T$291:$T$330) = 0, "", AVERAGE($T$291:$T$330))))</f>
        <v>13258.043801532069</v>
      </c>
      <c r="U290">
        <f ca="1">IF(ISERROR(IF(AVERAGE($U$291:$U$330) = 0, "", AVERAGE($U$291:$U$330))), "", (IF(AVERAGE($U$291:$U$330) = 0, "", AVERAGE($U$291:$U$330))))</f>
        <v>14065.955558125926</v>
      </c>
      <c r="V290">
        <f ca="1">IF(ISERROR(IF(AVERAGE($V$291:$V$330) = 0, "", AVERAGE($V$291:$V$330))), "", (IF(AVERAGE($V$291:$V$330) = 0, "", AVERAGE($V$291:$V$330))))</f>
        <v>17913.461030628572</v>
      </c>
      <c r="W290">
        <f ca="1">IF(ISERROR(IF(AVERAGE($W$291:$W$330) = 0, "", AVERAGE($W$291:$W$330))), "", (IF(AVERAGE($W$291:$W$330) = 0, "", AVERAGE($W$291:$W$330))))</f>
        <v>12479.324352260714</v>
      </c>
      <c r="X290">
        <f ca="1">IF(ISERROR(IF(AVERAGE($X$291:$X$330) = 0, "", AVERAGE($X$291:$X$330))), "", (IF(AVERAGE($X$291:$X$330) = 0, "", AVERAGE($X$291:$X$330))))</f>
        <v>12499.667600807405</v>
      </c>
      <c r="Y290">
        <f ca="1">IF(ISERROR(IF(AVERAGE($Y$291:$Y$330) = 0, "", AVERAGE($Y$291:$Y$330))), "", (IF(AVERAGE($Y$291:$Y$330) = 0, "", AVERAGE($Y$291:$Y$330))))</f>
        <v>13948.208020168002</v>
      </c>
      <c r="Z290">
        <f ca="1">IF(ISERROR(IF(AVERAGE($Z$291:$Z$330) = 0, "", AVERAGE($Z$291:$Z$330))), "", (IF(AVERAGE($Z$291:$Z$330) = 0, "", AVERAGE($Z$291:$Z$330))))</f>
        <v>19131.448804914289</v>
      </c>
      <c r="AA290">
        <f ca="1">IF(ISERROR(IF(AVERAGE($AA$291:$AA$330) = 0, "", AVERAGE($AA$291:$AA$330))), "", (IF(AVERAGE($AA$291:$AA$330) = 0, "", AVERAGE($AA$291:$AA$330))))</f>
        <v>13374.076313755557</v>
      </c>
      <c r="AB290">
        <f ca="1">IF(ISERROR(IF(AVERAGE($AB$291:$AB$330) = 0, "", AVERAGE($AB$291:$AB$330))), "", (IF(AVERAGE($AB$291:$AB$330) = 0, "", AVERAGE($AB$291:$AB$330))))</f>
        <v>12432.131726914075</v>
      </c>
      <c r="AC290">
        <f ca="1">IF(ISERROR(IF(AVERAGE($AC$291:$AC$330) = 0, "", AVERAGE($AC$291:$AC$330))), "", (IF(AVERAGE($AC$291:$AC$330) = 0, "", AVERAGE($AC$291:$AC$330))))</f>
        <v>11742.496132173077</v>
      </c>
      <c r="AD290">
        <f ca="1">IF(ISERROR(IF(AVERAGE($AD$291:$AD$330) = 0, "", AVERAGE($AD$291:$AD$330))), "", (IF(AVERAGE($AD$291:$AD$330) = 0, "", AVERAGE($AD$291:$AD$330))))</f>
        <v>16393.001470689655</v>
      </c>
      <c r="AE290">
        <f ca="1">IF(ISERROR(IF(AVERAGE($AE$291:$AE$330) = 0, "", AVERAGE($AE$291:$AE$330))), "", (IF(AVERAGE($AE$291:$AE$330) = 0, "", AVERAGE($AE$291:$AE$330))))</f>
        <v>10638.274861596299</v>
      </c>
      <c r="AF290">
        <f ca="1">IF(ISERROR(IF(AVERAGE($AF$291:$AF$330) = 0, "", AVERAGE($AF$291:$AF$330))), "", (IF(AVERAGE($AF$291:$AF$330) = 0, "", AVERAGE($AF$291:$AF$330))))</f>
        <v>10151.074116792308</v>
      </c>
      <c r="AG290">
        <f ca="1">IF(ISERROR(IF(AVERAGE($AG$291:$AG$330) = 0, "", AVERAGE($AG$291:$AG$330))), "", (IF(AVERAGE($AG$291:$AG$330) = 0, "", AVERAGE($AG$291:$AG$330))))</f>
        <v>10983.460105808004</v>
      </c>
      <c r="AH290">
        <f ca="1">IF(ISERROR(IF(AVERAGE($AH$291:$AH$330) = 0, "", AVERAGE($AH$291:$AH$330))), "", (IF(AVERAGE($AH$291:$AH$330) = 0, "", AVERAGE($AH$291:$AH$330))))</f>
        <v>16818.658618274072</v>
      </c>
      <c r="AI290">
        <f ca="1">IF(ISERROR(IF(AVERAGE($AI$291:$AI$330) = 0, "", AVERAGE($AI$291:$AI$330))), "", (IF(AVERAGE($AI$291:$AI$330) = 0, "", AVERAGE($AI$291:$AI$330))))</f>
        <v>10025.959390168002</v>
      </c>
      <c r="AJ290">
        <f ca="1">IF(ISERROR(IF(AVERAGE($AJ$291:$AJ$330) = 0, "", AVERAGE($AJ$291:$AJ$330))), "", (IF(AVERAGE($AJ$291:$AJ$330) = 0, "", AVERAGE($AJ$291:$AJ$330))))</f>
        <v>10144.023671764002</v>
      </c>
      <c r="AK290">
        <f ca="1">IF(ISERROR(IF(AVERAGE($AK$291:$AK$330) = 0, "", AVERAGE($AK$291:$AK$330))), "", (IF(AVERAGE($AK$291:$AK$330) = 0, "", AVERAGE($AK$291:$AK$330))))</f>
        <v>10767.7396269</v>
      </c>
      <c r="AL290">
        <f ca="1">IF(ISERROR(IF(AVERAGE($AL$291:$AL$330) = 0, "", AVERAGE($AL$291:$AL$330))), "", (IF(AVERAGE($AL$291:$AL$330) = 0, "", AVERAGE($AL$291:$AL$330))))</f>
        <v>14915.245917903703</v>
      </c>
      <c r="AM290">
        <f ca="1">IF(ISERROR(IF(AVERAGE($AM$291:$AM$330) = 0, "", AVERAGE($AM$291:$AM$330))), "", (IF(AVERAGE($AM$291:$AM$330) = 0, "", AVERAGE($AM$291:$AM$330))))</f>
        <v>8265.8518994800015</v>
      </c>
      <c r="AN290">
        <f ca="1">IF(ISERROR(IF(AVERAGE($AN$291:$AN$330) = 0, "", AVERAGE($AN$291:$AN$330))), "", (IF(AVERAGE($AN$291:$AN$330) = 0, "", AVERAGE($AN$291:$AN$330))))</f>
        <v>7011.1340516499995</v>
      </c>
      <c r="AO290">
        <f ca="1">IF(ISERROR(IF(AVERAGE($AO$291:$AO$330) = 0, "", AVERAGE($AO$291:$AO$330))), "", (IF(AVERAGE($AO$291:$AO$330) = 0, "", AVERAGE($AO$291:$AO$330))))</f>
        <v>5848.0272160227269</v>
      </c>
      <c r="AP290">
        <f ca="1">IF(ISERROR(IF(AVERAGE($AP$291:$AP$330) = 0, "", AVERAGE($AP$291:$AP$330))), "", (IF(AVERAGE($AP$291:$AP$330) = 0, "", AVERAGE($AP$291:$AP$330))))</f>
        <v>11300.778000375998</v>
      </c>
      <c r="AQ290">
        <f ca="1">IF(ISERROR(IF(AVERAGE($AQ$291:$AQ$330) = 0, "", AVERAGE($AQ$291:$AQ$330))), "", (IF(AVERAGE($AQ$291:$AQ$330) = 0, "", AVERAGE($AQ$291:$AQ$330))))</f>
        <v>5060.931571073912</v>
      </c>
      <c r="AR290">
        <f ca="1">IF(ISERROR(IF(AVERAGE($AR$291:$AR$330) = 0, "", AVERAGE($AR$291:$AR$330))), "", (IF(AVERAGE($AR$291:$AR$330) = 0, "", AVERAGE($AR$291:$AR$330))))</f>
        <v>5123.6545253090917</v>
      </c>
      <c r="AS290">
        <f ca="1">IF(ISERROR(IF(AVERAGE($AS$291:$AS$330) = 0, "", AVERAGE($AS$291:$AS$330))), "", (IF(AVERAGE($AS$291:$AS$330) = 0, "", AVERAGE($AS$291:$AS$330))))</f>
        <v>6451.4312622450007</v>
      </c>
      <c r="AT290">
        <f ca="1">IF(ISERROR(IF(AVERAGE($AT$291:$AT$330) = 0, "", AVERAGE($AT$291:$AT$330))), "", (IF(AVERAGE($AT$291:$AT$330) = 0, "", AVERAGE($AT$291:$AT$330))))</f>
        <v>11235.339433508696</v>
      </c>
      <c r="AU290">
        <f ca="1">IF(ISERROR(IF(AVERAGE($AU$291:$AU$330) = 0, "", AVERAGE($AU$291:$AU$330))), "", (IF(AVERAGE($AU$291:$AU$330) = 0, "", AVERAGE($AU$291:$AU$330))))</f>
        <v>6831.2019217157913</v>
      </c>
      <c r="AV290">
        <f ca="1">IF(ISERROR(IF(AVERAGE($AV$291:$AV$330) = 0, "", AVERAGE($AV$291:$AV$330))), "", (IF(AVERAGE($AV$291:$AV$330) = 0, "", AVERAGE($AV$291:$AV$330))))</f>
        <v>7800.1921653578938</v>
      </c>
      <c r="AW290">
        <f ca="1">IF(ISERROR(IF(AVERAGE($AW$291:$AW$330) = 0, "", AVERAGE($AW$291:$AW$330))), "", (IF(AVERAGE($AW$291:$AW$330) = 0, "", AVERAGE($AW$291:$AW$330))))</f>
        <v>9051.3395022105251</v>
      </c>
      <c r="AX290">
        <f ca="1">IF(ISERROR(IF(AVERAGE($AX$291:$AX$330) = 0, "", AVERAGE($AX$291:$AX$330))), "", (IF(AVERAGE($AX$291:$AX$330) = 0, "", AVERAGE($AX$291:$AX$330))))</f>
        <v>9318.6304278550015</v>
      </c>
      <c r="AY290">
        <f ca="1">IF(ISERROR(IF(AVERAGE($AY$291:$AY$330) = 0, "", AVERAGE($AY$291:$AY$330))), "", (IF(AVERAGE($AY$291:$AY$330) = 0, "", AVERAGE($AY$291:$AY$330))))</f>
        <v>9784.9221766764695</v>
      </c>
      <c r="AZ290">
        <f ca="1">IF(ISERROR(IF(AVERAGE($AZ$291:$AZ$330) = 0, "", AVERAGE($AZ$291:$AZ$330))), "", (IF(AVERAGE($AZ$291:$AZ$330) = 0, "", AVERAGE($AZ$291:$AZ$330))))</f>
        <v>8846.729708552939</v>
      </c>
      <c r="BA290">
        <f ca="1">IF(ISERROR(IF(AVERAGE($BA$291:$BA$330) = 0, "", AVERAGE($BA$291:$BA$330))), "", (IF(AVERAGE($BA$291:$BA$330) = 0, "", AVERAGE($BA$291:$BA$330))))</f>
        <v>8228.4586597882335</v>
      </c>
      <c r="BB290">
        <f ca="1">IF(ISERROR(IF(AVERAGE($BB$291:$BB$330) = 0, "", AVERAGE($BB$291:$BB$330))), "", (IF(AVERAGE($BB$291:$BB$330) = 0, "", AVERAGE($BB$291:$BB$330))))</f>
        <v>7601.9490876235286</v>
      </c>
      <c r="BC290">
        <f ca="1">IF(ISERROR(IF(AVERAGE($BC$291:$BC$330) = 0, "", AVERAGE($BC$291:$BC$330))), "", (IF(AVERAGE($BC$291:$BC$330) = 0, "", AVERAGE($BC$291:$BC$330))))</f>
        <v>7279.864358629412</v>
      </c>
      <c r="BD290">
        <f ca="1">IF(ISERROR(IF(AVERAGE($BD$291:$BD$330) = 0, "", AVERAGE($BD$291:$BD$330))), "", (IF(AVERAGE($BD$291:$BD$330) = 0, "", AVERAGE($BD$291:$BD$330))))</f>
        <v>12887.221734576469</v>
      </c>
      <c r="BE290">
        <f ca="1">IF(ISERROR(IF(AVERAGE($BE$291:$BE$330) = 0, "", AVERAGE($BE$291:$BE$330))), "", (IF(AVERAGE($BE$291:$BE$330) = 0, "", AVERAGE($BE$291:$BE$330))))</f>
        <v>7750.1467213764709</v>
      </c>
      <c r="BF290">
        <f ca="1">IF(ISERROR(IF(AVERAGE($BF$291:$BF$330) = 0, "", AVERAGE($BF$291:$BF$330))), "", (IF(AVERAGE($BF$291:$BF$330) = 0, "", AVERAGE($BF$291:$BF$330))))</f>
        <v>9231.2059294352966</v>
      </c>
      <c r="BG290">
        <f ca="1">IF(ISERROR(IF(AVERAGE($BG$291:$BG$330) = 0, "", AVERAGE($BG$291:$BG$330))), "", (IF(AVERAGE($BG$291:$BG$330) = 0, "", AVERAGE($BG$291:$BG$330))))</f>
        <v>7015.3018056529399</v>
      </c>
      <c r="BH290">
        <f ca="1">IF(ISERROR(IF(AVERAGE($BH$291:$BH$330) = 0, "", AVERAGE($BH$291:$BH$330))), "", (IF(AVERAGE($BH$291:$BH$330) = 0, "", AVERAGE($BH$291:$BH$330))))</f>
        <v>9100.9560848230776</v>
      </c>
      <c r="BI290">
        <f ca="1">IF(ISERROR(IF(AVERAGE($BI$291:$BI$330) = 0, "", AVERAGE($BI$291:$BI$330))), "", (IF(AVERAGE($BI$291:$BI$330) = 0, "", AVERAGE($BI$291:$BI$330))))</f>
        <v>7586.5280933250006</v>
      </c>
      <c r="BJ290">
        <f ca="1">IF(ISERROR(IF(AVERAGE($BJ$291:$BJ$330) = 0, "", AVERAGE($BJ$291:$BJ$330))), "", (IF(AVERAGE($BJ$291:$BJ$330) = 0, "", AVERAGE($BJ$291:$BJ$330))))</f>
        <v>9950.3339345615404</v>
      </c>
      <c r="BK290">
        <f ca="1">IF(ISERROR(IF(AVERAGE($BK$291:$BK$330) = 0, "", AVERAGE($BK$291:$BK$330))), "", (IF(AVERAGE($BK$291:$BK$330) = 0, "", AVERAGE($BK$291:$BK$330))))</f>
        <v>7991.4426978812517</v>
      </c>
      <c r="BL290">
        <f ca="1">IF(ISERROR(IF(AVERAGE($BL$291:$BL$330) = 0, "", AVERAGE($BL$291:$BL$330))), "", (IF(AVERAGE($BL$291:$BL$330) = 0, "", AVERAGE($BL$291:$BL$330))))</f>
        <v>8881.3955730545458</v>
      </c>
      <c r="BM290">
        <f ca="1">IF(ISERROR(IF(AVERAGE($BM$291:$BM$330) = 0, "", AVERAGE($BM$291:$BM$330))), "", (IF(AVERAGE($BM$291:$BM$330) = 0, "", AVERAGE($BM$291:$BM$330))))</f>
        <v>7613.9754002692307</v>
      </c>
      <c r="BN290" t="str">
        <f>""</f>
        <v/>
      </c>
      <c r="BO290">
        <f>33239.51972</f>
        <v>33239.519719999997</v>
      </c>
      <c r="BP290">
        <f>22631.94972</f>
        <v>22631.949720000001</v>
      </c>
      <c r="BQ290">
        <f>23178.17976</f>
        <v>23178.179759999999</v>
      </c>
      <c r="BR290">
        <f>23011.82731</f>
        <v>23011.827310000001</v>
      </c>
      <c r="BS290">
        <f>23120.72244</f>
        <v>23120.722440000001</v>
      </c>
      <c r="BT290">
        <f>21646.66634</f>
        <v>21646.66634</v>
      </c>
      <c r="BU290">
        <f>21072.10413</f>
        <v>21072.10413</v>
      </c>
      <c r="BV290">
        <f>19898.08818</f>
        <v>19898.088179999999</v>
      </c>
      <c r="BW290">
        <f>14923.01639</f>
        <v>14923.016390000001</v>
      </c>
      <c r="BX290">
        <f>14971.93851</f>
        <v>14971.93851</v>
      </c>
      <c r="BY290">
        <f>14999.75624</f>
        <v>14999.756240000001</v>
      </c>
      <c r="BZ290">
        <f>18867.71728</f>
        <v>18867.717280000001</v>
      </c>
      <c r="CA290">
        <f>13756.32371</f>
        <v>13756.323710000001</v>
      </c>
      <c r="CB290">
        <f>13258.0438</f>
        <v>13258.043799999999</v>
      </c>
      <c r="CC290">
        <f>14065.95556</f>
        <v>14065.95556</v>
      </c>
      <c r="CD290">
        <f>17913.46103</f>
        <v>17913.461029999999</v>
      </c>
      <c r="CE290">
        <f>12479.32435</f>
        <v>12479.324350000001</v>
      </c>
      <c r="CF290">
        <f>12499.6676</f>
        <v>12499.667600000001</v>
      </c>
      <c r="CG290">
        <f>13948.20802</f>
        <v>13948.20802</v>
      </c>
      <c r="CH290">
        <f>19131.4488</f>
        <v>19131.448799999998</v>
      </c>
      <c r="CI290">
        <f>13374.07631</f>
        <v>13374.07631</v>
      </c>
      <c r="CJ290">
        <f>12432.13173</f>
        <v>12432.131729999999</v>
      </c>
      <c r="CK290">
        <f>11742.49613</f>
        <v>11742.49613</v>
      </c>
      <c r="CL290">
        <f>16393.00147</f>
        <v>16393.001469999999</v>
      </c>
      <c r="CM290">
        <f>10638.27486</f>
        <v>10638.27486</v>
      </c>
      <c r="CN290">
        <f>10151.07412</f>
        <v>10151.074119999999</v>
      </c>
      <c r="CO290">
        <f>10983.46011</f>
        <v>10983.46011</v>
      </c>
      <c r="CP290">
        <f>16818.65862</f>
        <v>16818.658619999998</v>
      </c>
      <c r="CQ290">
        <f>10025.95939</f>
        <v>10025.95939</v>
      </c>
      <c r="CR290">
        <f>10144.02367</f>
        <v>10144.02367</v>
      </c>
      <c r="CS290">
        <f>10767.73963</f>
        <v>10767.73963</v>
      </c>
      <c r="CT290">
        <f>14915.24592</f>
        <v>14915.245919999999</v>
      </c>
      <c r="CU290">
        <f>8265.8519</f>
        <v>8265.8518999999997</v>
      </c>
      <c r="CV290">
        <f>7011.134052</f>
        <v>7011.1340520000003</v>
      </c>
      <c r="CW290">
        <f>5848.027216</f>
        <v>5848.0272160000004</v>
      </c>
      <c r="CX290">
        <f>11300.778</f>
        <v>11300.778</v>
      </c>
      <c r="CY290">
        <f>5060.931571</f>
        <v>5060.9315710000001</v>
      </c>
      <c r="CZ290">
        <f>5123.654525</f>
        <v>5123.6545249999999</v>
      </c>
      <c r="DA290">
        <f>6451.431262</f>
        <v>6451.4312620000001</v>
      </c>
      <c r="DB290">
        <f>11235.33943</f>
        <v>11235.33943</v>
      </c>
      <c r="DC290">
        <f>6831.201922</f>
        <v>6831.2019220000002</v>
      </c>
      <c r="DD290">
        <f>7800.192165</f>
        <v>7800.1921650000004</v>
      </c>
      <c r="DE290">
        <f>9051.339502</f>
        <v>9051.3395020000007</v>
      </c>
      <c r="DF290">
        <f>9318.630428</f>
        <v>9318.6304280000004</v>
      </c>
      <c r="DG290">
        <f>9784.922177</f>
        <v>9784.9221770000004</v>
      </c>
      <c r="DH290">
        <f>8846.729708</f>
        <v>8846.7297080000008</v>
      </c>
      <c r="DI290">
        <f>8228.45866</f>
        <v>8228.4586600000002</v>
      </c>
      <c r="DJ290">
        <f>7601.949088</f>
        <v>7601.9490880000003</v>
      </c>
      <c r="DK290">
        <f>7279.864359</f>
        <v>7279.8643590000001</v>
      </c>
      <c r="DL290">
        <f>12887.22173</f>
        <v>12887.221729999999</v>
      </c>
      <c r="DM290">
        <f>7750.146722</f>
        <v>7750.1467220000004</v>
      </c>
      <c r="DN290">
        <f>9231.205929</f>
        <v>9231.2059289999997</v>
      </c>
      <c r="DO290">
        <f>7015.301805</f>
        <v>7015.3018050000001</v>
      </c>
      <c r="DP290">
        <f>9100.956085</f>
        <v>9100.9560849999998</v>
      </c>
      <c r="DQ290">
        <f>7586.528093</f>
        <v>7586.5280929999999</v>
      </c>
      <c r="DR290">
        <f>9950.333934</f>
        <v>9950.3339340000002</v>
      </c>
      <c r="DS290">
        <f>7991.442698</f>
        <v>7991.4426979999998</v>
      </c>
      <c r="DT290">
        <f>8881.395573</f>
        <v>8881.3955729999998</v>
      </c>
      <c r="DU290">
        <f>7613.9754</f>
        <v>7613.9754000000003</v>
      </c>
    </row>
    <row r="291" spans="1:125" x14ac:dyDescent="0.25">
      <c r="A291" t="str">
        <f>"    AUDI AG"</f>
        <v xml:space="preserve">    AUDI AG</v>
      </c>
      <c r="B291" t="str">
        <f>"NSU GR Equity"</f>
        <v>NSU GR Equity</v>
      </c>
      <c r="C291" t="str">
        <f t="shared" ref="C291:C330" si="21">"RR179"</f>
        <v>RR179</v>
      </c>
      <c r="D291" t="str">
        <f t="shared" ref="D291:D330" si="22">"TANGIBLE_COMMON_EQUITY"</f>
        <v>TANGIBLE_COMMON_EQUITY</v>
      </c>
      <c r="E291" t="str">
        <f t="shared" ref="E291:E330" si="23">"Dynamic"</f>
        <v>Dynamic</v>
      </c>
      <c r="F291" t="str">
        <f ca="1">IF(AND(ISNUMBER($F$793),$B$511=1),$F$793,HLOOKUP(INDIRECT(ADDRESS(2,COLUMN())),OFFSET($BN$2,0,0,ROW()-1,60),ROW()-1,FALSE))</f>
        <v/>
      </c>
      <c r="G291" t="str">
        <f ca="1">IF(AND(ISNUMBER($G$793),$B$511=1),$G$793,HLOOKUP(INDIRECT(ADDRESS(2,COLUMN())),OFFSET($BN$2,0,0,ROW()-1,60),ROW()-1,FALSE))</f>
        <v/>
      </c>
      <c r="H291" t="str">
        <f ca="1">IF(AND(ISNUMBER($H$793),$B$511=1),$H$793,HLOOKUP(INDIRECT(ADDRESS(2,COLUMN())),OFFSET($BN$2,0,0,ROW()-1,60),ROW()-1,FALSE))</f>
        <v/>
      </c>
      <c r="I291" t="str">
        <f ca="1">IF(AND(ISNUMBER($I$793),$B$511=1),$I$793,HLOOKUP(INDIRECT(ADDRESS(2,COLUMN())),OFFSET($BN$2,0,0,ROW()-1,60),ROW()-1,FALSE))</f>
        <v/>
      </c>
      <c r="J291" t="str">
        <f ca="1">IF(AND(ISNUMBER($J$793),$B$511=1),$J$793,HLOOKUP(INDIRECT(ADDRESS(2,COLUMN())),OFFSET($BN$2,0,0,ROW()-1,60),ROW()-1,FALSE))</f>
        <v/>
      </c>
      <c r="K291" t="str">
        <f ca="1">IF(AND(ISNUMBER($K$793),$B$511=1),$K$793,HLOOKUP(INDIRECT(ADDRESS(2,COLUMN())),OFFSET($BN$2,0,0,ROW()-1,60),ROW()-1,FALSE))</f>
        <v/>
      </c>
      <c r="L291" t="str">
        <f ca="1">IF(AND(ISNUMBER($L$793),$B$511=1),$L$793,HLOOKUP(INDIRECT(ADDRESS(2,COLUMN())),OFFSET($BN$2,0,0,ROW()-1,60),ROW()-1,FALSE))</f>
        <v/>
      </c>
      <c r="M291" t="str">
        <f ca="1">IF(AND(ISNUMBER($M$793),$B$511=1),$M$793,HLOOKUP(INDIRECT(ADDRESS(2,COLUMN())),OFFSET($BN$2,0,0,ROW()-1,60),ROW()-1,FALSE))</f>
        <v/>
      </c>
      <c r="N291" t="str">
        <f ca="1">IF(AND(ISNUMBER($N$793),$B$511=1),$N$793,HLOOKUP(INDIRECT(ADDRESS(2,COLUMN())),OFFSET($BN$2,0,0,ROW()-1,60),ROW()-1,FALSE))</f>
        <v/>
      </c>
      <c r="O291" t="str">
        <f ca="1">IF(AND(ISNUMBER($O$793),$B$511=1),$O$793,HLOOKUP(INDIRECT(ADDRESS(2,COLUMN())),OFFSET($BN$2,0,0,ROW()-1,60),ROW()-1,FALSE))</f>
        <v/>
      </c>
      <c r="P291" t="str">
        <f ca="1">IF(AND(ISNUMBER($P$793),$B$511=1),$P$793,HLOOKUP(INDIRECT(ADDRESS(2,COLUMN())),OFFSET($BN$2,0,0,ROW()-1,60),ROW()-1,FALSE))</f>
        <v/>
      </c>
      <c r="Q291" t="str">
        <f ca="1">IF(AND(ISNUMBER($Q$793),$B$511=1),$Q$793,HLOOKUP(INDIRECT(ADDRESS(2,COLUMN())),OFFSET($BN$2,0,0,ROW()-1,60),ROW()-1,FALSE))</f>
        <v/>
      </c>
      <c r="R291" t="str">
        <f ca="1">IF(AND(ISNUMBER($R$793),$B$511=1),$R$793,HLOOKUP(INDIRECT(ADDRESS(2,COLUMN())),OFFSET($BN$2,0,0,ROW()-1,60),ROW()-1,FALSE))</f>
        <v/>
      </c>
      <c r="S291" t="str">
        <f ca="1">IF(AND(ISNUMBER($S$793),$B$511=1),$S$793,HLOOKUP(INDIRECT(ADDRESS(2,COLUMN())),OFFSET($BN$2,0,0,ROW()-1,60),ROW()-1,FALSE))</f>
        <v/>
      </c>
      <c r="T291" t="str">
        <f ca="1">IF(AND(ISNUMBER($T$793),$B$511=1),$T$793,HLOOKUP(INDIRECT(ADDRESS(2,COLUMN())),OFFSET($BN$2,0,0,ROW()-1,60),ROW()-1,FALSE))</f>
        <v/>
      </c>
      <c r="U291" t="str">
        <f ca="1">IF(AND(ISNUMBER($U$793),$B$511=1),$U$793,HLOOKUP(INDIRECT(ADDRESS(2,COLUMN())),OFFSET($BN$2,0,0,ROW()-1,60),ROW()-1,FALSE))</f>
        <v/>
      </c>
      <c r="V291" t="str">
        <f ca="1">IF(AND(ISNUMBER($V$793),$B$511=1),$V$793,HLOOKUP(INDIRECT(ADDRESS(2,COLUMN())),OFFSET($BN$2,0,0,ROW()-1,60),ROW()-1,FALSE))</f>
        <v/>
      </c>
      <c r="W291" t="str">
        <f ca="1">IF(AND(ISNUMBER($W$793),$B$511=1),$W$793,HLOOKUP(INDIRECT(ADDRESS(2,COLUMN())),OFFSET($BN$2,0,0,ROW()-1,60),ROW()-1,FALSE))</f>
        <v/>
      </c>
      <c r="X291" t="str">
        <f ca="1">IF(AND(ISNUMBER($X$793),$B$511=1),$X$793,HLOOKUP(INDIRECT(ADDRESS(2,COLUMN())),OFFSET($BN$2,0,0,ROW()-1,60),ROW()-1,FALSE))</f>
        <v/>
      </c>
      <c r="Y291" t="str">
        <f ca="1">IF(AND(ISNUMBER($Y$793),$B$511=1),$Y$793,HLOOKUP(INDIRECT(ADDRESS(2,COLUMN())),OFFSET($BN$2,0,0,ROW()-1,60),ROW()-1,FALSE))</f>
        <v/>
      </c>
      <c r="Z291" t="str">
        <f ca="1">IF(AND(ISNUMBER($Z$793),$B$511=1),$Z$793,HLOOKUP(INDIRECT(ADDRESS(2,COLUMN())),OFFSET($BN$2,0,0,ROW()-1,60),ROW()-1,FALSE))</f>
        <v/>
      </c>
      <c r="AA291" t="str">
        <f ca="1">IF(AND(ISNUMBER($AA$793),$B$511=1),$AA$793,HLOOKUP(INDIRECT(ADDRESS(2,COLUMN())),OFFSET($BN$2,0,0,ROW()-1,60),ROW()-1,FALSE))</f>
        <v/>
      </c>
      <c r="AB291" t="str">
        <f ca="1">IF(AND(ISNUMBER($AB$793),$B$511=1),$AB$793,HLOOKUP(INDIRECT(ADDRESS(2,COLUMN())),OFFSET($BN$2,0,0,ROW()-1,60),ROW()-1,FALSE))</f>
        <v/>
      </c>
      <c r="AC291" t="str">
        <f ca="1">IF(AND(ISNUMBER($AC$793),$B$511=1),$AC$793,HLOOKUP(INDIRECT(ADDRESS(2,COLUMN())),OFFSET($BN$2,0,0,ROW()-1,60),ROW()-1,FALSE))</f>
        <v/>
      </c>
      <c r="AD291" t="str">
        <f ca="1">IF(AND(ISNUMBER($AD$793),$B$511=1),$AD$793,HLOOKUP(INDIRECT(ADDRESS(2,COLUMN())),OFFSET($BN$2,0,0,ROW()-1,60),ROW()-1,FALSE))</f>
        <v/>
      </c>
      <c r="AE291" t="str">
        <f ca="1">IF(AND(ISNUMBER($AE$793),$B$511=1),$AE$793,HLOOKUP(INDIRECT(ADDRESS(2,COLUMN())),OFFSET($BN$2,0,0,ROW()-1,60),ROW()-1,FALSE))</f>
        <v/>
      </c>
      <c r="AF291" t="str">
        <f ca="1">IF(AND(ISNUMBER($AF$793),$B$511=1),$AF$793,HLOOKUP(INDIRECT(ADDRESS(2,COLUMN())),OFFSET($BN$2,0,0,ROW()-1,60),ROW()-1,FALSE))</f>
        <v/>
      </c>
      <c r="AG291" t="str">
        <f ca="1">IF(AND(ISNUMBER($AG$793),$B$511=1),$AG$793,HLOOKUP(INDIRECT(ADDRESS(2,COLUMN())),OFFSET($BN$2,0,0,ROW()-1,60),ROW()-1,FALSE))</f>
        <v/>
      </c>
      <c r="AH291" t="str">
        <f ca="1">IF(AND(ISNUMBER($AH$793),$B$511=1),$AH$793,HLOOKUP(INDIRECT(ADDRESS(2,COLUMN())),OFFSET($BN$2,0,0,ROW()-1,60),ROW()-1,FALSE))</f>
        <v/>
      </c>
      <c r="AI291" t="str">
        <f ca="1">IF(AND(ISNUMBER($AI$793),$B$511=1),$AI$793,HLOOKUP(INDIRECT(ADDRESS(2,COLUMN())),OFFSET($BN$2,0,0,ROW()-1,60),ROW()-1,FALSE))</f>
        <v/>
      </c>
      <c r="AJ291" t="str">
        <f ca="1">IF(AND(ISNUMBER($AJ$793),$B$511=1),$AJ$793,HLOOKUP(INDIRECT(ADDRESS(2,COLUMN())),OFFSET($BN$2,0,0,ROW()-1,60),ROW()-1,FALSE))</f>
        <v/>
      </c>
      <c r="AK291" t="str">
        <f ca="1">IF(AND(ISNUMBER($AK$793),$B$511=1),$AK$793,HLOOKUP(INDIRECT(ADDRESS(2,COLUMN())),OFFSET($BN$2,0,0,ROW()-1,60),ROW()-1,FALSE))</f>
        <v/>
      </c>
      <c r="AL291" t="str">
        <f ca="1">IF(AND(ISNUMBER($AL$793),$B$511=1),$AL$793,HLOOKUP(INDIRECT(ADDRESS(2,COLUMN())),OFFSET($BN$2,0,0,ROW()-1,60),ROW()-1,FALSE))</f>
        <v/>
      </c>
      <c r="AM291" t="str">
        <f ca="1">IF(AND(ISNUMBER($AM$793),$B$511=1),$AM$793,HLOOKUP(INDIRECT(ADDRESS(2,COLUMN())),OFFSET($BN$2,0,0,ROW()-1,60),ROW()-1,FALSE))</f>
        <v/>
      </c>
      <c r="AN291" t="str">
        <f ca="1">IF(AND(ISNUMBER($AN$793),$B$511=1),$AN$793,HLOOKUP(INDIRECT(ADDRESS(2,COLUMN())),OFFSET($BN$2,0,0,ROW()-1,60),ROW()-1,FALSE))</f>
        <v/>
      </c>
      <c r="AO291" t="str">
        <f ca="1">IF(AND(ISNUMBER($AO$793),$B$511=1),$AO$793,HLOOKUP(INDIRECT(ADDRESS(2,COLUMN())),OFFSET($BN$2,0,0,ROW()-1,60),ROW()-1,FALSE))</f>
        <v/>
      </c>
      <c r="AP291" t="str">
        <f ca="1">IF(AND(ISNUMBER($AP$793),$B$511=1),$AP$793,HLOOKUP(INDIRECT(ADDRESS(2,COLUMN())),OFFSET($BN$2,0,0,ROW()-1,60),ROW()-1,FALSE))</f>
        <v/>
      </c>
      <c r="AQ291" t="str">
        <f ca="1">IF(AND(ISNUMBER($AQ$793),$B$511=1),$AQ$793,HLOOKUP(INDIRECT(ADDRESS(2,COLUMN())),OFFSET($BN$2,0,0,ROW()-1,60),ROW()-1,FALSE))</f>
        <v/>
      </c>
      <c r="AR291" t="str">
        <f ca="1">IF(AND(ISNUMBER($AR$793),$B$511=1),$AR$793,HLOOKUP(INDIRECT(ADDRESS(2,COLUMN())),OFFSET($BN$2,0,0,ROW()-1,60),ROW()-1,FALSE))</f>
        <v/>
      </c>
      <c r="AS291" t="str">
        <f ca="1">IF(AND(ISNUMBER($AS$793),$B$511=1),$AS$793,HLOOKUP(INDIRECT(ADDRESS(2,COLUMN())),OFFSET($BN$2,0,0,ROW()-1,60),ROW()-1,FALSE))</f>
        <v/>
      </c>
      <c r="AT291" t="str">
        <f ca="1">IF(AND(ISNUMBER($AT$793),$B$511=1),$AT$793,HLOOKUP(INDIRECT(ADDRESS(2,COLUMN())),OFFSET($BN$2,0,0,ROW()-1,60),ROW()-1,FALSE))</f>
        <v/>
      </c>
      <c r="AU291" t="str">
        <f ca="1">IF(AND(ISNUMBER($AU$793),$B$511=1),$AU$793,HLOOKUP(INDIRECT(ADDRESS(2,COLUMN())),OFFSET($BN$2,0,0,ROW()-1,60),ROW()-1,FALSE))</f>
        <v/>
      </c>
      <c r="AV291" t="str">
        <f ca="1">IF(AND(ISNUMBER($AV$793),$B$511=1),$AV$793,HLOOKUP(INDIRECT(ADDRESS(2,COLUMN())),OFFSET($BN$2,0,0,ROW()-1,60),ROW()-1,FALSE))</f>
        <v/>
      </c>
      <c r="AW291" t="str">
        <f ca="1">IF(AND(ISNUMBER($AW$793),$B$511=1),$AW$793,HLOOKUP(INDIRECT(ADDRESS(2,COLUMN())),OFFSET($BN$2,0,0,ROW()-1,60),ROW()-1,FALSE))</f>
        <v/>
      </c>
      <c r="AX291" t="str">
        <f ca="1">IF(AND(ISNUMBER($AX$793),$B$511=1),$AX$793,HLOOKUP(INDIRECT(ADDRESS(2,COLUMN())),OFFSET($BN$2,0,0,ROW()-1,60),ROW()-1,FALSE))</f>
        <v/>
      </c>
      <c r="AY291" t="str">
        <f ca="1">IF(AND(ISNUMBER($AY$793),$B$511=1),$AY$793,HLOOKUP(INDIRECT(ADDRESS(2,COLUMN())),OFFSET($BN$2,0,0,ROW()-1,60),ROW()-1,FALSE))</f>
        <v/>
      </c>
      <c r="AZ291" t="str">
        <f ca="1">IF(AND(ISNUMBER($AZ$793),$B$511=1),$AZ$793,HLOOKUP(INDIRECT(ADDRESS(2,COLUMN())),OFFSET($BN$2,0,0,ROW()-1,60),ROW()-1,FALSE))</f>
        <v/>
      </c>
      <c r="BA291" t="str">
        <f ca="1">IF(AND(ISNUMBER($BA$793),$B$511=1),$BA$793,HLOOKUP(INDIRECT(ADDRESS(2,COLUMN())),OFFSET($BN$2,0,0,ROW()-1,60),ROW()-1,FALSE))</f>
        <v/>
      </c>
      <c r="BB291" t="str">
        <f ca="1">IF(AND(ISNUMBER($BB$793),$B$511=1),$BB$793,HLOOKUP(INDIRECT(ADDRESS(2,COLUMN())),OFFSET($BN$2,0,0,ROW()-1,60),ROW()-1,FALSE))</f>
        <v/>
      </c>
      <c r="BC291" t="str">
        <f ca="1">IF(AND(ISNUMBER($BC$793),$B$511=1),$BC$793,HLOOKUP(INDIRECT(ADDRESS(2,COLUMN())),OFFSET($BN$2,0,0,ROW()-1,60),ROW()-1,FALSE))</f>
        <v/>
      </c>
      <c r="BD291" t="str">
        <f ca="1">IF(AND(ISNUMBER($BD$793),$B$511=1),$BD$793,HLOOKUP(INDIRECT(ADDRESS(2,COLUMN())),OFFSET($BN$2,0,0,ROW()-1,60),ROW()-1,FALSE))</f>
        <v/>
      </c>
      <c r="BE291" t="str">
        <f ca="1">IF(AND(ISNUMBER($BE$793),$B$511=1),$BE$793,HLOOKUP(INDIRECT(ADDRESS(2,COLUMN())),OFFSET($BN$2,0,0,ROW()-1,60),ROW()-1,FALSE))</f>
        <v/>
      </c>
      <c r="BF291" t="str">
        <f ca="1">IF(AND(ISNUMBER($BF$793),$B$511=1),$BF$793,HLOOKUP(INDIRECT(ADDRESS(2,COLUMN())),OFFSET($BN$2,0,0,ROW()-1,60),ROW()-1,FALSE))</f>
        <v/>
      </c>
      <c r="BG291" t="str">
        <f ca="1">IF(AND(ISNUMBER($BG$793),$B$511=1),$BG$793,HLOOKUP(INDIRECT(ADDRESS(2,COLUMN())),OFFSET($BN$2,0,0,ROW()-1,60),ROW()-1,FALSE))</f>
        <v/>
      </c>
      <c r="BH291" t="str">
        <f ca="1">IF(AND(ISNUMBER($BH$793),$B$511=1),$BH$793,HLOOKUP(INDIRECT(ADDRESS(2,COLUMN())),OFFSET($BN$2,0,0,ROW()-1,60),ROW()-1,FALSE))</f>
        <v/>
      </c>
      <c r="BI291" t="str">
        <f ca="1">IF(AND(ISNUMBER($BI$793),$B$511=1),$BI$793,HLOOKUP(INDIRECT(ADDRESS(2,COLUMN())),OFFSET($BN$2,0,0,ROW()-1,60),ROW()-1,FALSE))</f>
        <v/>
      </c>
      <c r="BJ291" t="str">
        <f ca="1">IF(AND(ISNUMBER($BJ$793),$B$511=1),$BJ$793,HLOOKUP(INDIRECT(ADDRESS(2,COLUMN())),OFFSET($BN$2,0,0,ROW()-1,60),ROW()-1,FALSE))</f>
        <v/>
      </c>
      <c r="BK291" t="str">
        <f ca="1">IF(AND(ISNUMBER($BK$793),$B$511=1),$BK$793,HLOOKUP(INDIRECT(ADDRESS(2,COLUMN())),OFFSET($BN$2,0,0,ROW()-1,60),ROW()-1,FALSE))</f>
        <v/>
      </c>
      <c r="BL291" t="str">
        <f ca="1">IF(AND(ISNUMBER($BL$793),$B$511=1),$BL$793,HLOOKUP(INDIRECT(ADDRESS(2,COLUMN())),OFFSET($BN$2,0,0,ROW()-1,60),ROW()-1,FALSE))</f>
        <v/>
      </c>
      <c r="BM291" t="str">
        <f ca="1">IF(AND(ISNUMBER($BM$793),$B$511=1),$BM$793,HLOOKUP(INDIRECT(ADDRESS(2,COLUMN())),OFFSET($BN$2,0,0,ROW()-1,60),ROW()-1,FALSE))</f>
        <v/>
      </c>
      <c r="BN291" t="str">
        <f>""</f>
        <v/>
      </c>
      <c r="BO291" t="str">
        <f>""</f>
        <v/>
      </c>
      <c r="BP291" t="str">
        <f>""</f>
        <v/>
      </c>
      <c r="BQ291" t="str">
        <f>""</f>
        <v/>
      </c>
      <c r="BR291" t="str">
        <f>""</f>
        <v/>
      </c>
      <c r="BS291" t="str">
        <f>""</f>
        <v/>
      </c>
      <c r="BT291" t="str">
        <f>""</f>
        <v/>
      </c>
      <c r="BU291" t="str">
        <f>""</f>
        <v/>
      </c>
      <c r="BV291" t="str">
        <f>""</f>
        <v/>
      </c>
      <c r="BW291" t="str">
        <f>""</f>
        <v/>
      </c>
      <c r="BX291" t="str">
        <f>""</f>
        <v/>
      </c>
      <c r="BY291" t="str">
        <f>""</f>
        <v/>
      </c>
      <c r="BZ291" t="str">
        <f>""</f>
        <v/>
      </c>
      <c r="CA291" t="str">
        <f>""</f>
        <v/>
      </c>
      <c r="CB291" t="str">
        <f>""</f>
        <v/>
      </c>
      <c r="CC291" t="str">
        <f>""</f>
        <v/>
      </c>
      <c r="CD291" t="str">
        <f>""</f>
        <v/>
      </c>
      <c r="CE291" t="str">
        <f>""</f>
        <v/>
      </c>
      <c r="CF291" t="str">
        <f>""</f>
        <v/>
      </c>
      <c r="CG291" t="str">
        <f>""</f>
        <v/>
      </c>
      <c r="CH291" t="str">
        <f>""</f>
        <v/>
      </c>
      <c r="CI291" t="str">
        <f>""</f>
        <v/>
      </c>
      <c r="CJ291" t="str">
        <f>""</f>
        <v/>
      </c>
      <c r="CK291" t="str">
        <f>""</f>
        <v/>
      </c>
      <c r="CL291" t="str">
        <f>""</f>
        <v/>
      </c>
      <c r="CM291" t="str">
        <f>""</f>
        <v/>
      </c>
      <c r="CN291" t="str">
        <f>""</f>
        <v/>
      </c>
      <c r="CO291" t="str">
        <f>""</f>
        <v/>
      </c>
      <c r="CP291" t="str">
        <f>""</f>
        <v/>
      </c>
      <c r="CQ291" t="str">
        <f>""</f>
        <v/>
      </c>
      <c r="CR291" t="str">
        <f>""</f>
        <v/>
      </c>
      <c r="CS291" t="str">
        <f>""</f>
        <v/>
      </c>
      <c r="CT291" t="str">
        <f>""</f>
        <v/>
      </c>
      <c r="CU291" t="str">
        <f>""</f>
        <v/>
      </c>
      <c r="CV291" t="str">
        <f>""</f>
        <v/>
      </c>
      <c r="CW291" t="str">
        <f>""</f>
        <v/>
      </c>
      <c r="CX291" t="str">
        <f>""</f>
        <v/>
      </c>
      <c r="CY291" t="str">
        <f>""</f>
        <v/>
      </c>
      <c r="CZ291" t="str">
        <f>""</f>
        <v/>
      </c>
      <c r="DA291" t="str">
        <f>""</f>
        <v/>
      </c>
      <c r="DB291" t="str">
        <f>""</f>
        <v/>
      </c>
      <c r="DC291" t="str">
        <f>""</f>
        <v/>
      </c>
      <c r="DD291" t="str">
        <f>""</f>
        <v/>
      </c>
      <c r="DE291" t="str">
        <f>""</f>
        <v/>
      </c>
      <c r="DF291" t="str">
        <f>""</f>
        <v/>
      </c>
      <c r="DG291" t="str">
        <f>""</f>
        <v/>
      </c>
      <c r="DH291" t="str">
        <f>""</f>
        <v/>
      </c>
      <c r="DI291" t="str">
        <f>""</f>
        <v/>
      </c>
      <c r="DJ291" t="str">
        <f>""</f>
        <v/>
      </c>
      <c r="DK291" t="str">
        <f>""</f>
        <v/>
      </c>
      <c r="DL291" t="str">
        <f>""</f>
        <v/>
      </c>
      <c r="DM291" t="str">
        <f>""</f>
        <v/>
      </c>
      <c r="DN291" t="str">
        <f>""</f>
        <v/>
      </c>
      <c r="DO291" t="str">
        <f>""</f>
        <v/>
      </c>
      <c r="DP291" t="str">
        <f>""</f>
        <v/>
      </c>
      <c r="DQ291" t="str">
        <f>""</f>
        <v/>
      </c>
      <c r="DR291" t="str">
        <f>""</f>
        <v/>
      </c>
      <c r="DS291" t="str">
        <f>""</f>
        <v/>
      </c>
      <c r="DT291" t="str">
        <f>""</f>
        <v/>
      </c>
      <c r="DU291" t="str">
        <f>""</f>
        <v/>
      </c>
    </row>
    <row r="292" spans="1:125" x14ac:dyDescent="0.25">
      <c r="A292" t="str">
        <f>"    Avtovaz PJSC"</f>
        <v xml:space="preserve">    Avtovaz PJSC</v>
      </c>
      <c r="B292" t="str">
        <f>"AVAZ RM Equity"</f>
        <v>AVAZ RM Equity</v>
      </c>
      <c r="C292" t="str">
        <f t="shared" si="21"/>
        <v>RR179</v>
      </c>
      <c r="D292" t="str">
        <f t="shared" si="22"/>
        <v>TANGIBLE_COMMON_EQUITY</v>
      </c>
      <c r="E292" t="str">
        <f t="shared" si="23"/>
        <v>Dynamic</v>
      </c>
      <c r="F292" t="str">
        <f ca="1">IF(AND(ISNUMBER($F$794),$B$511=1),$F$794,HLOOKUP(INDIRECT(ADDRESS(2,COLUMN())),OFFSET($BN$2,0,0,ROW()-1,60),ROW()-1,FALSE))</f>
        <v/>
      </c>
      <c r="G292" t="str">
        <f ca="1">IF(AND(ISNUMBER($G$794),$B$511=1),$G$794,HLOOKUP(INDIRECT(ADDRESS(2,COLUMN())),OFFSET($BN$2,0,0,ROW()-1,60),ROW()-1,FALSE))</f>
        <v/>
      </c>
      <c r="H292">
        <f ca="1">IF(AND(ISNUMBER($H$794),$B$511=1),$H$794,HLOOKUP(INDIRECT(ADDRESS(2,COLUMN())),OFFSET($BN$2,0,0,ROW()-1,60),ROW()-1,FALSE))</f>
        <v>-515.22874030000003</v>
      </c>
      <c r="I292">
        <f ca="1">IF(AND(ISNUMBER($I$794),$B$511=1),$I$794,HLOOKUP(INDIRECT(ADDRESS(2,COLUMN())),OFFSET($BN$2,0,0,ROW()-1,60),ROW()-1,FALSE))</f>
        <v>-571.26007159999995</v>
      </c>
      <c r="J292">
        <f ca="1">IF(AND(ISNUMBER($J$794),$B$511=1),$J$794,HLOOKUP(INDIRECT(ADDRESS(2,COLUMN())),OFFSET($BN$2,0,0,ROW()-1,60),ROW()-1,FALSE))</f>
        <v>-549.49560069999995</v>
      </c>
      <c r="K292">
        <f ca="1">IF(AND(ISNUMBER($K$794),$B$511=1),$K$794,HLOOKUP(INDIRECT(ADDRESS(2,COLUMN())),OFFSET($BN$2,0,0,ROW()-1,60),ROW()-1,FALSE))</f>
        <v>-1455.619246</v>
      </c>
      <c r="L292">
        <f ca="1">IF(AND(ISNUMBER($L$794),$B$511=1),$L$794,HLOOKUP(INDIRECT(ADDRESS(2,COLUMN())),OFFSET($BN$2,0,0,ROW()-1,60),ROW()-1,FALSE))</f>
        <v>-1367.5872850000001</v>
      </c>
      <c r="M292">
        <f ca="1">IF(AND(ISNUMBER($M$794),$B$511=1),$M$794,HLOOKUP(INDIRECT(ADDRESS(2,COLUMN())),OFFSET($BN$2,0,0,ROW()-1,60),ROW()-1,FALSE))</f>
        <v>-1327.659445</v>
      </c>
      <c r="N292">
        <f ca="1">IF(AND(ISNUMBER($N$794),$B$511=1),$N$794,HLOOKUP(INDIRECT(ADDRESS(2,COLUMN())),OFFSET($BN$2,0,0,ROW()-1,60),ROW()-1,FALSE))</f>
        <v>-1367.043361</v>
      </c>
      <c r="O292">
        <f ca="1">IF(AND(ISNUMBER($O$794),$B$511=1),$O$794,HLOOKUP(INDIRECT(ADDRESS(2,COLUMN())),OFFSET($BN$2,0,0,ROW()-1,60),ROW()-1,FALSE))</f>
        <v>-1210.9129989999999</v>
      </c>
      <c r="P292">
        <f ca="1">IF(AND(ISNUMBER($P$794),$B$511=1),$P$794,HLOOKUP(INDIRECT(ADDRESS(2,COLUMN())),OFFSET($BN$2,0,0,ROW()-1,60),ROW()-1,FALSE))</f>
        <v>-1297.012839</v>
      </c>
      <c r="Q292">
        <f ca="1">IF(AND(ISNUMBER($Q$794),$B$511=1),$Q$794,HLOOKUP(INDIRECT(ADDRESS(2,COLUMN())),OFFSET($BN$2,0,0,ROW()-1,60),ROW()-1,FALSE))</f>
        <v>-1310.09277</v>
      </c>
      <c r="R292">
        <f ca="1">IF(AND(ISNUMBER($R$794),$B$511=1),$R$794,HLOOKUP(INDIRECT(ADDRESS(2,COLUMN())),OFFSET($BN$2,0,0,ROW()-1,60),ROW()-1,FALSE))</f>
        <v>-1034.8475289999999</v>
      </c>
      <c r="S292">
        <f ca="1">IF(AND(ISNUMBER($S$794),$B$511=1),$S$794,HLOOKUP(INDIRECT(ADDRESS(2,COLUMN())),OFFSET($BN$2,0,0,ROW()-1,60),ROW()-1,FALSE))</f>
        <v>-837.91566680000005</v>
      </c>
      <c r="T292">
        <f ca="1">IF(AND(ISNUMBER($T$794),$B$511=1),$T$794,HLOOKUP(INDIRECT(ADDRESS(2,COLUMN())),OFFSET($BN$2,0,0,ROW()-1,60),ROW()-1,FALSE))</f>
        <v>50.099955739999999</v>
      </c>
      <c r="U292" t="str">
        <f ca="1">IF(AND(ISNUMBER($U$794),$B$511=1),$U$794,HLOOKUP(INDIRECT(ADDRESS(2,COLUMN())),OFFSET($BN$2,0,0,ROW()-1,60),ROW()-1,FALSE))</f>
        <v/>
      </c>
      <c r="V292" t="str">
        <f ca="1">IF(AND(ISNUMBER($V$794),$B$511=1),$V$794,HLOOKUP(INDIRECT(ADDRESS(2,COLUMN())),OFFSET($BN$2,0,0,ROW()-1,60),ROW()-1,FALSE))</f>
        <v/>
      </c>
      <c r="W292" t="str">
        <f ca="1">IF(AND(ISNUMBER($W$794),$B$511=1),$W$794,HLOOKUP(INDIRECT(ADDRESS(2,COLUMN())),OFFSET($BN$2,0,0,ROW()-1,60),ROW()-1,FALSE))</f>
        <v/>
      </c>
      <c r="X292" t="str">
        <f ca="1">IF(AND(ISNUMBER($X$794),$B$511=1),$X$794,HLOOKUP(INDIRECT(ADDRESS(2,COLUMN())),OFFSET($BN$2,0,0,ROW()-1,60),ROW()-1,FALSE))</f>
        <v/>
      </c>
      <c r="Y292" t="str">
        <f ca="1">IF(AND(ISNUMBER($Y$794),$B$511=1),$Y$794,HLOOKUP(INDIRECT(ADDRESS(2,COLUMN())),OFFSET($BN$2,0,0,ROW()-1,60),ROW()-1,FALSE))</f>
        <v/>
      </c>
      <c r="Z292" t="str">
        <f ca="1">IF(AND(ISNUMBER($Z$794),$B$511=1),$Z$794,HLOOKUP(INDIRECT(ADDRESS(2,COLUMN())),OFFSET($BN$2,0,0,ROW()-1,60),ROW()-1,FALSE))</f>
        <v/>
      </c>
      <c r="AA292" t="str">
        <f ca="1">IF(AND(ISNUMBER($AA$794),$B$511=1),$AA$794,HLOOKUP(INDIRECT(ADDRESS(2,COLUMN())),OFFSET($BN$2,0,0,ROW()-1,60),ROW()-1,FALSE))</f>
        <v/>
      </c>
      <c r="AB292" t="str">
        <f ca="1">IF(AND(ISNUMBER($AB$794),$B$511=1),$AB$794,HLOOKUP(INDIRECT(ADDRESS(2,COLUMN())),OFFSET($BN$2,0,0,ROW()-1,60),ROW()-1,FALSE))</f>
        <v/>
      </c>
      <c r="AC292" t="str">
        <f ca="1">IF(AND(ISNUMBER($AC$794),$B$511=1),$AC$794,HLOOKUP(INDIRECT(ADDRESS(2,COLUMN())),OFFSET($BN$2,0,0,ROW()-1,60),ROW()-1,FALSE))</f>
        <v/>
      </c>
      <c r="AD292" t="str">
        <f ca="1">IF(AND(ISNUMBER($AD$794),$B$511=1),$AD$794,HLOOKUP(INDIRECT(ADDRESS(2,COLUMN())),OFFSET($BN$2,0,0,ROW()-1,60),ROW()-1,FALSE))</f>
        <v/>
      </c>
      <c r="AE292" t="str">
        <f ca="1">IF(AND(ISNUMBER($AE$794),$B$511=1),$AE$794,HLOOKUP(INDIRECT(ADDRESS(2,COLUMN())),OFFSET($BN$2,0,0,ROW()-1,60),ROW()-1,FALSE))</f>
        <v/>
      </c>
      <c r="AF292" t="str">
        <f ca="1">IF(AND(ISNUMBER($AF$794),$B$511=1),$AF$794,HLOOKUP(INDIRECT(ADDRESS(2,COLUMN())),OFFSET($BN$2,0,0,ROW()-1,60),ROW()-1,FALSE))</f>
        <v/>
      </c>
      <c r="AG292" t="str">
        <f ca="1">IF(AND(ISNUMBER($AG$794),$B$511=1),$AG$794,HLOOKUP(INDIRECT(ADDRESS(2,COLUMN())),OFFSET($BN$2,0,0,ROW()-1,60),ROW()-1,FALSE))</f>
        <v/>
      </c>
      <c r="AH292" t="str">
        <f ca="1">IF(AND(ISNUMBER($AH$794),$B$511=1),$AH$794,HLOOKUP(INDIRECT(ADDRESS(2,COLUMN())),OFFSET($BN$2,0,0,ROW()-1,60),ROW()-1,FALSE))</f>
        <v/>
      </c>
      <c r="AI292" t="str">
        <f ca="1">IF(AND(ISNUMBER($AI$794),$B$511=1),$AI$794,HLOOKUP(INDIRECT(ADDRESS(2,COLUMN())),OFFSET($BN$2,0,0,ROW()-1,60),ROW()-1,FALSE))</f>
        <v/>
      </c>
      <c r="AJ292" t="str">
        <f ca="1">IF(AND(ISNUMBER($AJ$794),$B$511=1),$AJ$794,HLOOKUP(INDIRECT(ADDRESS(2,COLUMN())),OFFSET($BN$2,0,0,ROW()-1,60),ROW()-1,FALSE))</f>
        <v/>
      </c>
      <c r="AK292" t="str">
        <f ca="1">IF(AND(ISNUMBER($AK$794),$B$511=1),$AK$794,HLOOKUP(INDIRECT(ADDRESS(2,COLUMN())),OFFSET($BN$2,0,0,ROW()-1,60),ROW()-1,FALSE))</f>
        <v/>
      </c>
      <c r="AL292" t="str">
        <f ca="1">IF(AND(ISNUMBER($AL$794),$B$511=1),$AL$794,HLOOKUP(INDIRECT(ADDRESS(2,COLUMN())),OFFSET($BN$2,0,0,ROW()-1,60),ROW()-1,FALSE))</f>
        <v/>
      </c>
      <c r="AM292" t="str">
        <f ca="1">IF(AND(ISNUMBER($AM$794),$B$511=1),$AM$794,HLOOKUP(INDIRECT(ADDRESS(2,COLUMN())),OFFSET($BN$2,0,0,ROW()-1,60),ROW()-1,FALSE))</f>
        <v/>
      </c>
      <c r="AN292" t="str">
        <f ca="1">IF(AND(ISNUMBER($AN$794),$B$511=1),$AN$794,HLOOKUP(INDIRECT(ADDRESS(2,COLUMN())),OFFSET($BN$2,0,0,ROW()-1,60),ROW()-1,FALSE))</f>
        <v/>
      </c>
      <c r="AO292" t="str">
        <f ca="1">IF(AND(ISNUMBER($AO$794),$B$511=1),$AO$794,HLOOKUP(INDIRECT(ADDRESS(2,COLUMN())),OFFSET($BN$2,0,0,ROW()-1,60),ROW()-1,FALSE))</f>
        <v/>
      </c>
      <c r="AP292" t="str">
        <f ca="1">IF(AND(ISNUMBER($AP$794),$B$511=1),$AP$794,HLOOKUP(INDIRECT(ADDRESS(2,COLUMN())),OFFSET($BN$2,0,0,ROW()-1,60),ROW()-1,FALSE))</f>
        <v/>
      </c>
      <c r="AQ292" t="str">
        <f ca="1">IF(AND(ISNUMBER($AQ$794),$B$511=1),$AQ$794,HLOOKUP(INDIRECT(ADDRESS(2,COLUMN())),OFFSET($BN$2,0,0,ROW()-1,60),ROW()-1,FALSE))</f>
        <v/>
      </c>
      <c r="AR292" t="str">
        <f ca="1">IF(AND(ISNUMBER($AR$794),$B$511=1),$AR$794,HLOOKUP(INDIRECT(ADDRESS(2,COLUMN())),OFFSET($BN$2,0,0,ROW()-1,60),ROW()-1,FALSE))</f>
        <v/>
      </c>
      <c r="AS292" t="str">
        <f ca="1">IF(AND(ISNUMBER($AS$794),$B$511=1),$AS$794,HLOOKUP(INDIRECT(ADDRESS(2,COLUMN())),OFFSET($BN$2,0,0,ROW()-1,60),ROW()-1,FALSE))</f>
        <v/>
      </c>
      <c r="AT292" t="str">
        <f ca="1">IF(AND(ISNUMBER($AT$794),$B$511=1),$AT$794,HLOOKUP(INDIRECT(ADDRESS(2,COLUMN())),OFFSET($BN$2,0,0,ROW()-1,60),ROW()-1,FALSE))</f>
        <v/>
      </c>
      <c r="AU292" t="str">
        <f ca="1">IF(AND(ISNUMBER($AU$794),$B$511=1),$AU$794,HLOOKUP(INDIRECT(ADDRESS(2,COLUMN())),OFFSET($BN$2,0,0,ROW()-1,60),ROW()-1,FALSE))</f>
        <v/>
      </c>
      <c r="AV292" t="str">
        <f ca="1">IF(AND(ISNUMBER($AV$794),$B$511=1),$AV$794,HLOOKUP(INDIRECT(ADDRESS(2,COLUMN())),OFFSET($BN$2,0,0,ROW()-1,60),ROW()-1,FALSE))</f>
        <v/>
      </c>
      <c r="AW292" t="str">
        <f ca="1">IF(AND(ISNUMBER($AW$794),$B$511=1),$AW$794,HLOOKUP(INDIRECT(ADDRESS(2,COLUMN())),OFFSET($BN$2,0,0,ROW()-1,60),ROW()-1,FALSE))</f>
        <v/>
      </c>
      <c r="AX292" t="str">
        <f ca="1">IF(AND(ISNUMBER($AX$794),$B$511=1),$AX$794,HLOOKUP(INDIRECT(ADDRESS(2,COLUMN())),OFFSET($BN$2,0,0,ROW()-1,60),ROW()-1,FALSE))</f>
        <v/>
      </c>
      <c r="AY292" t="str">
        <f ca="1">IF(AND(ISNUMBER($AY$794),$B$511=1),$AY$794,HLOOKUP(INDIRECT(ADDRESS(2,COLUMN())),OFFSET($BN$2,0,0,ROW()-1,60),ROW()-1,FALSE))</f>
        <v/>
      </c>
      <c r="AZ292" t="str">
        <f ca="1">IF(AND(ISNUMBER($AZ$794),$B$511=1),$AZ$794,HLOOKUP(INDIRECT(ADDRESS(2,COLUMN())),OFFSET($BN$2,0,0,ROW()-1,60),ROW()-1,FALSE))</f>
        <v/>
      </c>
      <c r="BA292" t="str">
        <f ca="1">IF(AND(ISNUMBER($BA$794),$B$511=1),$BA$794,HLOOKUP(INDIRECT(ADDRESS(2,COLUMN())),OFFSET($BN$2,0,0,ROW()-1,60),ROW()-1,FALSE))</f>
        <v/>
      </c>
      <c r="BB292" t="str">
        <f ca="1">IF(AND(ISNUMBER($BB$794),$B$511=1),$BB$794,HLOOKUP(INDIRECT(ADDRESS(2,COLUMN())),OFFSET($BN$2,0,0,ROW()-1,60),ROW()-1,FALSE))</f>
        <v/>
      </c>
      <c r="BC292" t="str">
        <f ca="1">IF(AND(ISNUMBER($BC$794),$B$511=1),$BC$794,HLOOKUP(INDIRECT(ADDRESS(2,COLUMN())),OFFSET($BN$2,0,0,ROW()-1,60),ROW()-1,FALSE))</f>
        <v/>
      </c>
      <c r="BD292" t="str">
        <f ca="1">IF(AND(ISNUMBER($BD$794),$B$511=1),$BD$794,HLOOKUP(INDIRECT(ADDRESS(2,COLUMN())),OFFSET($BN$2,0,0,ROW()-1,60),ROW()-1,FALSE))</f>
        <v/>
      </c>
      <c r="BE292" t="str">
        <f ca="1">IF(AND(ISNUMBER($BE$794),$B$511=1),$BE$794,HLOOKUP(INDIRECT(ADDRESS(2,COLUMN())),OFFSET($BN$2,0,0,ROW()-1,60),ROW()-1,FALSE))</f>
        <v/>
      </c>
      <c r="BF292" t="str">
        <f ca="1">IF(AND(ISNUMBER($BF$794),$B$511=1),$BF$794,HLOOKUP(INDIRECT(ADDRESS(2,COLUMN())),OFFSET($BN$2,0,0,ROW()-1,60),ROW()-1,FALSE))</f>
        <v/>
      </c>
      <c r="BG292" t="str">
        <f ca="1">IF(AND(ISNUMBER($BG$794),$B$511=1),$BG$794,HLOOKUP(INDIRECT(ADDRESS(2,COLUMN())),OFFSET($BN$2,0,0,ROW()-1,60),ROW()-1,FALSE))</f>
        <v/>
      </c>
      <c r="BH292" t="str">
        <f ca="1">IF(AND(ISNUMBER($BH$794),$B$511=1),$BH$794,HLOOKUP(INDIRECT(ADDRESS(2,COLUMN())),OFFSET($BN$2,0,0,ROW()-1,60),ROW()-1,FALSE))</f>
        <v/>
      </c>
      <c r="BI292" t="str">
        <f ca="1">IF(AND(ISNUMBER($BI$794),$B$511=1),$BI$794,HLOOKUP(INDIRECT(ADDRESS(2,COLUMN())),OFFSET($BN$2,0,0,ROW()-1,60),ROW()-1,FALSE))</f>
        <v/>
      </c>
      <c r="BJ292" t="str">
        <f ca="1">IF(AND(ISNUMBER($BJ$794),$B$511=1),$BJ$794,HLOOKUP(INDIRECT(ADDRESS(2,COLUMN())),OFFSET($BN$2,0,0,ROW()-1,60),ROW()-1,FALSE))</f>
        <v/>
      </c>
      <c r="BK292" t="str">
        <f ca="1">IF(AND(ISNUMBER($BK$794),$B$511=1),$BK$794,HLOOKUP(INDIRECT(ADDRESS(2,COLUMN())),OFFSET($BN$2,0,0,ROW()-1,60),ROW()-1,FALSE))</f>
        <v/>
      </c>
      <c r="BL292" t="str">
        <f ca="1">IF(AND(ISNUMBER($BL$794),$B$511=1),$BL$794,HLOOKUP(INDIRECT(ADDRESS(2,COLUMN())),OFFSET($BN$2,0,0,ROW()-1,60),ROW()-1,FALSE))</f>
        <v/>
      </c>
      <c r="BM292" t="str">
        <f ca="1">IF(AND(ISNUMBER($BM$794),$B$511=1),$BM$794,HLOOKUP(INDIRECT(ADDRESS(2,COLUMN())),OFFSET($BN$2,0,0,ROW()-1,60),ROW()-1,FALSE))</f>
        <v/>
      </c>
      <c r="BN292" t="str">
        <f>""</f>
        <v/>
      </c>
      <c r="BO292" t="str">
        <f>""</f>
        <v/>
      </c>
      <c r="BP292">
        <f>-515.2287403</f>
        <v>-515.22874030000003</v>
      </c>
      <c r="BQ292">
        <f>-571.2600716</f>
        <v>-571.26007159999995</v>
      </c>
      <c r="BR292">
        <f>-549.4956007</f>
        <v>-549.49560069999995</v>
      </c>
      <c r="BS292">
        <f>-1455.619246</f>
        <v>-1455.619246</v>
      </c>
      <c r="BT292">
        <f>-1367.587285</f>
        <v>-1367.5872850000001</v>
      </c>
      <c r="BU292">
        <f>-1327.659445</f>
        <v>-1327.659445</v>
      </c>
      <c r="BV292">
        <f>-1367.043361</f>
        <v>-1367.043361</v>
      </c>
      <c r="BW292">
        <f>-1210.912999</f>
        <v>-1210.9129989999999</v>
      </c>
      <c r="BX292">
        <f>-1297.012839</f>
        <v>-1297.012839</v>
      </c>
      <c r="BY292">
        <f>-1310.09277</f>
        <v>-1310.09277</v>
      </c>
      <c r="BZ292">
        <f>-1034.847529</f>
        <v>-1034.8475289999999</v>
      </c>
      <c r="CA292">
        <f>-837.9156668</f>
        <v>-837.91566680000005</v>
      </c>
      <c r="CB292">
        <f>50.09995574</f>
        <v>50.099955739999999</v>
      </c>
      <c r="CC292" t="str">
        <f>""</f>
        <v/>
      </c>
      <c r="CD292" t="str">
        <f>""</f>
        <v/>
      </c>
      <c r="CE292" t="str">
        <f>""</f>
        <v/>
      </c>
      <c r="CF292" t="str">
        <f>""</f>
        <v/>
      </c>
      <c r="CG292" t="str">
        <f>""</f>
        <v/>
      </c>
      <c r="CH292" t="str">
        <f>""</f>
        <v/>
      </c>
      <c r="CI292" t="str">
        <f>""</f>
        <v/>
      </c>
      <c r="CJ292" t="str">
        <f>""</f>
        <v/>
      </c>
      <c r="CK292" t="str">
        <f>""</f>
        <v/>
      </c>
      <c r="CL292" t="str">
        <f>""</f>
        <v/>
      </c>
      <c r="CM292" t="str">
        <f>""</f>
        <v/>
      </c>
      <c r="CN292" t="str">
        <f>""</f>
        <v/>
      </c>
      <c r="CO292" t="str">
        <f>""</f>
        <v/>
      </c>
      <c r="CP292" t="str">
        <f>""</f>
        <v/>
      </c>
      <c r="CQ292" t="str">
        <f>""</f>
        <v/>
      </c>
      <c r="CR292" t="str">
        <f>""</f>
        <v/>
      </c>
      <c r="CS292" t="str">
        <f>""</f>
        <v/>
      </c>
      <c r="CT292" t="str">
        <f>""</f>
        <v/>
      </c>
      <c r="CU292" t="str">
        <f>""</f>
        <v/>
      </c>
      <c r="CV292" t="str">
        <f>""</f>
        <v/>
      </c>
      <c r="CW292" t="str">
        <f>""</f>
        <v/>
      </c>
      <c r="CX292" t="str">
        <f>""</f>
        <v/>
      </c>
      <c r="CY292" t="str">
        <f>""</f>
        <v/>
      </c>
      <c r="CZ292" t="str">
        <f>""</f>
        <v/>
      </c>
      <c r="DA292" t="str">
        <f>""</f>
        <v/>
      </c>
      <c r="DB292" t="str">
        <f>""</f>
        <v/>
      </c>
      <c r="DC292" t="str">
        <f>""</f>
        <v/>
      </c>
      <c r="DD292" t="str">
        <f>""</f>
        <v/>
      </c>
      <c r="DE292" t="str">
        <f>""</f>
        <v/>
      </c>
      <c r="DF292" t="str">
        <f>""</f>
        <v/>
      </c>
      <c r="DG292" t="str">
        <f>""</f>
        <v/>
      </c>
      <c r="DH292" t="str">
        <f>""</f>
        <v/>
      </c>
      <c r="DI292" t="str">
        <f>""</f>
        <v/>
      </c>
      <c r="DJ292" t="str">
        <f>""</f>
        <v/>
      </c>
      <c r="DK292" t="str">
        <f>""</f>
        <v/>
      </c>
      <c r="DL292" t="str">
        <f>""</f>
        <v/>
      </c>
      <c r="DM292" t="str">
        <f>""</f>
        <v/>
      </c>
      <c r="DN292" t="str">
        <f>""</f>
        <v/>
      </c>
      <c r="DO292" t="str">
        <f>""</f>
        <v/>
      </c>
      <c r="DP292" t="str">
        <f>""</f>
        <v/>
      </c>
      <c r="DQ292" t="str">
        <f>""</f>
        <v/>
      </c>
      <c r="DR292" t="str">
        <f>""</f>
        <v/>
      </c>
      <c r="DS292" t="str">
        <f>""</f>
        <v/>
      </c>
      <c r="DT292" t="str">
        <f>""</f>
        <v/>
      </c>
      <c r="DU292" t="str">
        <f>""</f>
        <v/>
      </c>
    </row>
    <row r="293" spans="1:125" x14ac:dyDescent="0.25">
      <c r="A293" t="str">
        <f>"    Bayerische Motoren Werke AG"</f>
        <v xml:space="preserve">    Bayerische Motoren Werke AG</v>
      </c>
      <c r="B293" t="str">
        <f>"BMW GR Equity"</f>
        <v>BMW GR Equity</v>
      </c>
      <c r="C293" t="str">
        <f t="shared" si="21"/>
        <v>RR179</v>
      </c>
      <c r="D293" t="str">
        <f t="shared" si="22"/>
        <v>TANGIBLE_COMMON_EQUITY</v>
      </c>
      <c r="E293" t="str">
        <f t="shared" si="23"/>
        <v>Dynamic</v>
      </c>
      <c r="F293" t="str">
        <f ca="1">IF(AND(ISNUMBER($F$795),$B$511=1),$F$795,HLOOKUP(INDIRECT(ADDRESS(2,COLUMN())),OFFSET($BN$2,0,0,ROW()-1,60),ROW()-1,FALSE))</f>
        <v/>
      </c>
      <c r="G293" t="str">
        <f ca="1">IF(AND(ISNUMBER($G$795),$B$511=1),$G$795,HLOOKUP(INDIRECT(ADDRESS(2,COLUMN())),OFFSET($BN$2,0,0,ROW()-1,60),ROW()-1,FALSE))</f>
        <v/>
      </c>
      <c r="H293">
        <f ca="1">IF(AND(ISNUMBER($H$795),$B$511=1),$H$795,HLOOKUP(INDIRECT(ADDRESS(2,COLUMN())),OFFSET($BN$2,0,0,ROW()-1,60),ROW()-1,FALSE))</f>
        <v>53921.479200000002</v>
      </c>
      <c r="I293">
        <f ca="1">IF(AND(ISNUMBER($I$795),$B$511=1),$I$795,HLOOKUP(INDIRECT(ADDRESS(2,COLUMN())),OFFSET($BN$2,0,0,ROW()-1,60),ROW()-1,FALSE))</f>
        <v>53430.448900000003</v>
      </c>
      <c r="J293">
        <f ca="1">IF(AND(ISNUMBER($J$795),$B$511=1),$J$795,HLOOKUP(INDIRECT(ADDRESS(2,COLUMN())),OFFSET($BN$2,0,0,ROW()-1,60),ROW()-1,FALSE))</f>
        <v>56984.022900000004</v>
      </c>
      <c r="K293">
        <f ca="1">IF(AND(ISNUMBER($K$795),$B$511=1),$K$795,HLOOKUP(INDIRECT(ADDRESS(2,COLUMN())),OFFSET($BN$2,0,0,ROW()-1,60),ROW()-1,FALSE))</f>
        <v>53675.825599999996</v>
      </c>
      <c r="L293">
        <f ca="1">IF(AND(ISNUMBER($L$795),$B$511=1),$L$795,HLOOKUP(INDIRECT(ADDRESS(2,COLUMN())),OFFSET($BN$2,0,0,ROW()-1,60),ROW()-1,FALSE))</f>
        <v>51464.620900000002</v>
      </c>
      <c r="M293">
        <f ca="1">IF(AND(ISNUMBER($M$795),$B$511=1),$M$795,HLOOKUP(INDIRECT(ADDRESS(2,COLUMN())),OFFSET($BN$2,0,0,ROW()-1,60),ROW()-1,FALSE))</f>
        <v>47644.709799999997</v>
      </c>
      <c r="N293">
        <f ca="1">IF(AND(ISNUMBER($N$795),$B$511=1),$N$795,HLOOKUP(INDIRECT(ADDRESS(2,COLUMN())),OFFSET($BN$2,0,0,ROW()-1,60),ROW()-1,FALSE))</f>
        <v>43880.163699999997</v>
      </c>
      <c r="O293">
        <f ca="1">IF(AND(ISNUMBER($O$795),$B$511=1),$O$795,HLOOKUP(INDIRECT(ADDRESS(2,COLUMN())),OFFSET($BN$2,0,0,ROW()-1,60),ROW()-1,FALSE))</f>
        <v>41081.619700000003</v>
      </c>
      <c r="P293">
        <f ca="1">IF(AND(ISNUMBER($P$795),$B$511=1),$P$795,HLOOKUP(INDIRECT(ADDRESS(2,COLUMN())),OFFSET($BN$2,0,0,ROW()-1,60),ROW()-1,FALSE))</f>
        <v>42266.683199999999</v>
      </c>
      <c r="Q293">
        <f ca="1">IF(AND(ISNUMBER($Q$795),$B$511=1),$Q$795,HLOOKUP(INDIRECT(ADDRESS(2,COLUMN())),OFFSET($BN$2,0,0,ROW()-1,60),ROW()-1,FALSE))</f>
        <v>40176.1659</v>
      </c>
      <c r="R293">
        <f ca="1">IF(AND(ISNUMBER($R$795),$B$511=1),$R$795,HLOOKUP(INDIRECT(ADDRESS(2,COLUMN())),OFFSET($BN$2,0,0,ROW()-1,60),ROW()-1,FALSE))</f>
        <v>42331.629500000003</v>
      </c>
      <c r="S293">
        <f ca="1">IF(AND(ISNUMBER($S$795),$B$511=1),$S$795,HLOOKUP(INDIRECT(ADDRESS(2,COLUMN())),OFFSET($BN$2,0,0,ROW()-1,60),ROW()-1,FALSE))</f>
        <v>38202.682800000002</v>
      </c>
      <c r="T293">
        <f ca="1">IF(AND(ISNUMBER($T$795),$B$511=1),$T$795,HLOOKUP(INDIRECT(ADDRESS(2,COLUMN())),OFFSET($BN$2,0,0,ROW()-1,60),ROW()-1,FALSE))</f>
        <v>37940.525999999998</v>
      </c>
      <c r="U293">
        <f ca="1">IF(AND(ISNUMBER($U$795),$B$511=1),$U$795,HLOOKUP(INDIRECT(ADDRESS(2,COLUMN())),OFFSET($BN$2,0,0,ROW()-1,60),ROW()-1,FALSE))</f>
        <v>35475.462399999997</v>
      </c>
      <c r="V293">
        <f ca="1">IF(AND(ISNUMBER($V$795),$B$511=1),$V$795,HLOOKUP(INDIRECT(ADDRESS(2,COLUMN())),OFFSET($BN$2,0,0,ROW()-1,60),ROW()-1,FALSE))</f>
        <v>31570.358400000001</v>
      </c>
      <c r="W293">
        <f ca="1">IF(AND(ISNUMBER($W$795),$B$511=1),$W$795,HLOOKUP(INDIRECT(ADDRESS(2,COLUMN())),OFFSET($BN$2,0,0,ROW()-1,60),ROW()-1,FALSE))</f>
        <v>39598.46</v>
      </c>
      <c r="X293">
        <f ca="1">IF(AND(ISNUMBER($X$795),$B$511=1),$X$795,HLOOKUP(INDIRECT(ADDRESS(2,COLUMN())),OFFSET($BN$2,0,0,ROW()-1,60),ROW()-1,FALSE))</f>
        <v>38422.469599999997</v>
      </c>
      <c r="Y293">
        <f ca="1">IF(AND(ISNUMBER($Y$795),$B$511=1),$Y$795,HLOOKUP(INDIRECT(ADDRESS(2,COLUMN())),OFFSET($BN$2,0,0,ROW()-1,60),ROW()-1,FALSE))</f>
        <v>41053.572</v>
      </c>
      <c r="Z293">
        <f ca="1">IF(AND(ISNUMBER($Z$795),$B$511=1),$Z$795,HLOOKUP(INDIRECT(ADDRESS(2,COLUMN())),OFFSET($BN$2,0,0,ROW()-1,60),ROW()-1,FALSE))</f>
        <v>42167.109600000003</v>
      </c>
      <c r="AA293">
        <f ca="1">IF(AND(ISNUMBER($AA$795),$B$511=1),$AA$795,HLOOKUP(INDIRECT(ADDRESS(2,COLUMN())),OFFSET($BN$2,0,0,ROW()-1,60),ROW()-1,FALSE))</f>
        <v>40309.383699999998</v>
      </c>
      <c r="AB293">
        <f ca="1">IF(AND(ISNUMBER($AB$795),$B$511=1),$AB$795,HLOOKUP(INDIRECT(ADDRESS(2,COLUMN())),OFFSET($BN$2,0,0,ROW()-1,60),ROW()-1,FALSE))</f>
        <v>37873.269</v>
      </c>
      <c r="AC293">
        <f ca="1">IF(AND(ISNUMBER($AC$795),$B$511=1),$AC$795,HLOOKUP(INDIRECT(ADDRESS(2,COLUMN())),OFFSET($BN$2,0,0,ROW()-1,60),ROW()-1,FALSE))</f>
        <v>34645.32</v>
      </c>
      <c r="AD293">
        <f ca="1">IF(AND(ISNUMBER($AD$795),$B$511=1),$AD$795,HLOOKUP(INDIRECT(ADDRESS(2,COLUMN())),OFFSET($BN$2,0,0,ROW()-1,60),ROW()-1,FALSE))</f>
        <v>33498.610800000002</v>
      </c>
      <c r="AE293">
        <f ca="1">IF(AND(ISNUMBER($AE$795),$B$511=1),$AE$795,HLOOKUP(INDIRECT(ADDRESS(2,COLUMN())),OFFSET($BN$2,0,0,ROW()-1,60),ROW()-1,FALSE))</f>
        <v>33377.852400000003</v>
      </c>
      <c r="AF293">
        <f ca="1">IF(AND(ISNUMBER($AF$795),$B$511=1),$AF$795,HLOOKUP(INDIRECT(ADDRESS(2,COLUMN())),OFFSET($BN$2,0,0,ROW()-1,60),ROW()-1,FALSE))</f>
        <v>30471.054</v>
      </c>
      <c r="AG293">
        <f ca="1">IF(AND(ISNUMBER($AG$795),$B$511=1),$AG$795,HLOOKUP(INDIRECT(ADDRESS(2,COLUMN())),OFFSET($BN$2,0,0,ROW()-1,60),ROW()-1,FALSE))</f>
        <v>28280.045399999999</v>
      </c>
      <c r="AH293">
        <f ca="1">IF(AND(ISNUMBER($AH$795),$B$511=1),$AH$795,HLOOKUP(INDIRECT(ADDRESS(2,COLUMN())),OFFSET($BN$2,0,0,ROW()-1,60),ROW()-1,FALSE))</f>
        <v>31130.22</v>
      </c>
      <c r="AI293">
        <f ca="1">IF(AND(ISNUMBER($AI$795),$B$511=1),$AI$795,HLOOKUP(INDIRECT(ADDRESS(2,COLUMN())),OFFSET($BN$2,0,0,ROW()-1,60),ROW()-1,FALSE))</f>
        <v>28252.799999999999</v>
      </c>
      <c r="AJ293">
        <f ca="1">IF(AND(ISNUMBER($AJ$795),$B$511=1),$AJ$795,HLOOKUP(INDIRECT(ADDRESS(2,COLUMN())),OFFSET($BN$2,0,0,ROW()-1,60),ROW()-1,FALSE))</f>
        <v>28132.618200000001</v>
      </c>
      <c r="AK293">
        <f ca="1">IF(AND(ISNUMBER($AK$795),$B$511=1),$AK$795,HLOOKUP(INDIRECT(ADDRESS(2,COLUMN())),OFFSET($BN$2,0,0,ROW()-1,60),ROW()-1,FALSE))</f>
        <v>30308.488000000001</v>
      </c>
      <c r="AL293">
        <f ca="1">IF(AND(ISNUMBER($AL$795),$B$511=1),$AL$795,HLOOKUP(INDIRECT(ADDRESS(2,COLUMN())),OFFSET($BN$2,0,0,ROW()-1,60),ROW()-1,FALSE))</f>
        <v>28154.379000000001</v>
      </c>
      <c r="AM293">
        <f ca="1">IF(AND(ISNUMBER($AM$795),$B$511=1),$AM$795,HLOOKUP(INDIRECT(ADDRESS(2,COLUMN())),OFFSET($BN$2,0,0,ROW()-1,60),ROW()-1,FALSE))</f>
        <v>25225.6518</v>
      </c>
      <c r="AN293">
        <f ca="1">IF(AND(ISNUMBER($AN$795),$B$511=1),$AN$795,HLOOKUP(INDIRECT(ADDRESS(2,COLUMN())),OFFSET($BN$2,0,0,ROW()-1,60),ROW()-1,FALSE))</f>
        <v>22690.92</v>
      </c>
      <c r="AO293">
        <f ca="1">IF(AND(ISNUMBER($AO$795),$B$511=1),$AO$795,HLOOKUP(INDIRECT(ADDRESS(2,COLUMN())),OFFSET($BN$2,0,0,ROW()-1,60),ROW()-1,FALSE))</f>
        <v>18457.816299999999</v>
      </c>
      <c r="AP293">
        <f ca="1">IF(AND(ISNUMBER($AP$795),$B$511=1),$AP$795,HLOOKUP(INDIRECT(ADDRESS(2,COLUMN())),OFFSET($BN$2,0,0,ROW()-1,60),ROW()-1,FALSE))</f>
        <v>19790.659199999998</v>
      </c>
      <c r="AQ293">
        <f ca="1">IF(AND(ISNUMBER($AQ$795),$B$511=1),$AQ$795,HLOOKUP(INDIRECT(ADDRESS(2,COLUMN())),OFFSET($BN$2,0,0,ROW()-1,60),ROW()-1,FALSE))</f>
        <v>20812.9113</v>
      </c>
      <c r="AR293">
        <f ca="1">IF(AND(ISNUMBER($AR$795),$B$511=1),$AR$795,HLOOKUP(INDIRECT(ADDRESS(2,COLUMN())),OFFSET($BN$2,0,0,ROW()-1,60),ROW()-1,FALSE))</f>
        <v>21270.4218</v>
      </c>
      <c r="AS293">
        <f ca="1">IF(AND(ISNUMBER($AS$795),$B$511=1),$AS$795,HLOOKUP(INDIRECT(ADDRESS(2,COLUMN())),OFFSET($BN$2,0,0,ROW()-1,60),ROW()-1,FALSE))</f>
        <v>20593.084999999999</v>
      </c>
      <c r="AT293">
        <f ca="1">IF(AND(ISNUMBER($AT$795),$B$511=1),$AT$795,HLOOKUP(INDIRECT(ADDRESS(2,COLUMN())),OFFSET($BN$2,0,0,ROW()-1,60),ROW()-1,FALSE))</f>
        <v>18885.720399999998</v>
      </c>
      <c r="AU293">
        <f ca="1">IF(AND(ISNUMBER($AU$795),$B$511=1),$AU$795,HLOOKUP(INDIRECT(ADDRESS(2,COLUMN())),OFFSET($BN$2,0,0,ROW()-1,60),ROW()-1,FALSE))</f>
        <v>20404.867200000001</v>
      </c>
      <c r="AV293">
        <f ca="1">IF(AND(ISNUMBER($AV$795),$B$511=1),$AV$795,HLOOKUP(INDIRECT(ADDRESS(2,COLUMN())),OFFSET($BN$2,0,0,ROW()-1,60),ROW()-1,FALSE))</f>
        <v>23470.527600000001</v>
      </c>
      <c r="AW293">
        <f ca="1">IF(AND(ISNUMBER($AW$795),$B$511=1),$AW$795,HLOOKUP(INDIRECT(ADDRESS(2,COLUMN())),OFFSET($BN$2,0,0,ROW()-1,60),ROW()-1,FALSE))</f>
        <v>25884.146400000001</v>
      </c>
      <c r="AX293">
        <f ca="1">IF(AND(ISNUMBER($AX$795),$B$511=1),$AX$795,HLOOKUP(INDIRECT(ADDRESS(2,COLUMN())),OFFSET($BN$2,0,0,ROW()-1,60),ROW()-1,FALSE))</f>
        <v>26873.719099999998</v>
      </c>
      <c r="AY293">
        <f ca="1">IF(AND(ISNUMBER($AY$795),$B$511=1),$AY$795,HLOOKUP(INDIRECT(ADDRESS(2,COLUMN())),OFFSET($BN$2,0,0,ROW()-1,60),ROW()-1,FALSE))</f>
        <v>23424.672900000001</v>
      </c>
      <c r="AZ293">
        <f ca="1">IF(AND(ISNUMBER($AZ$795),$B$511=1),$AZ$795,HLOOKUP(INDIRECT(ADDRESS(2,COLUMN())),OFFSET($BN$2,0,0,ROW()-1,60),ROW()-1,FALSE))</f>
        <v>21866.3835</v>
      </c>
      <c r="BA293">
        <f ca="1">IF(AND(ISNUMBER($BA$795),$B$511=1),$BA$795,HLOOKUP(INDIRECT(ADDRESS(2,COLUMN())),OFFSET($BN$2,0,0,ROW()-1,60),ROW()-1,FALSE))</f>
        <v>19703.2052</v>
      </c>
      <c r="BB293">
        <f ca="1">IF(AND(ISNUMBER($BB$795),$B$511=1),$BB$795,HLOOKUP(INDIRECT(ADDRESS(2,COLUMN())),OFFSET($BN$2,0,0,ROW()-1,60),ROW()-1,FALSE))</f>
        <v>19049.663700000001</v>
      </c>
      <c r="BC293">
        <f ca="1">IF(AND(ISNUMBER($BC$795),$B$511=1),$BC$795,HLOOKUP(INDIRECT(ADDRESS(2,COLUMN())),OFFSET($BN$2,0,0,ROW()-1,60),ROW()-1,FALSE))</f>
        <v>18219.284599999999</v>
      </c>
      <c r="BD293">
        <f ca="1">IF(AND(ISNUMBER($BD$795),$B$511=1),$BD$795,HLOOKUP(INDIRECT(ADDRESS(2,COLUMN())),OFFSET($BN$2,0,0,ROW()-1,60),ROW()-1,FALSE))</f>
        <v>16751.863000000001</v>
      </c>
      <c r="BE293">
        <f ca="1">IF(AND(ISNUMBER($BE$795),$B$511=1),$BE$795,HLOOKUP(INDIRECT(ADDRESS(2,COLUMN())),OFFSET($BN$2,0,0,ROW()-1,60),ROW()-1,FALSE))</f>
        <v>16809.718000000001</v>
      </c>
      <c r="BF293">
        <f ca="1">IF(AND(ISNUMBER($BF$795),$B$511=1),$BF$795,HLOOKUP(INDIRECT(ADDRESS(2,COLUMN())),OFFSET($BN$2,0,0,ROW()-1,60),ROW()-1,FALSE))</f>
        <v>15249.0118</v>
      </c>
      <c r="BG293">
        <f ca="1">IF(AND(ISNUMBER($BG$795),$B$511=1),$BG$795,HLOOKUP(INDIRECT(ADDRESS(2,COLUMN())),OFFSET($BN$2,0,0,ROW()-1,60),ROW()-1,FALSE))</f>
        <v>14649.254000000001</v>
      </c>
      <c r="BH293">
        <f ca="1">IF(AND(ISNUMBER($BH$795),$B$511=1),$BH$795,HLOOKUP(INDIRECT(ADDRESS(2,COLUMN())),OFFSET($BN$2,0,0,ROW()-1,60),ROW()-1,FALSE))</f>
        <v>16921.398000000001</v>
      </c>
      <c r="BI293">
        <f ca="1">IF(AND(ISNUMBER($BI$795),$B$511=1),$BI$795,HLOOKUP(INDIRECT(ADDRESS(2,COLUMN())),OFFSET($BN$2,0,0,ROW()-1,60),ROW()-1,FALSE))</f>
        <v>16555.476600000002</v>
      </c>
      <c r="BJ293">
        <f ca="1">IF(AND(ISNUMBER($BJ$795),$B$511=1),$BJ$795,HLOOKUP(INDIRECT(ADDRESS(2,COLUMN())),OFFSET($BN$2,0,0,ROW()-1,60),ROW()-1,FALSE))</f>
        <v>17985.319200000002</v>
      </c>
      <c r="BK293">
        <f ca="1">IF(AND(ISNUMBER($BK$795),$B$511=1),$BK$795,HLOOKUP(INDIRECT(ADDRESS(2,COLUMN())),OFFSET($BN$2,0,0,ROW()-1,60),ROW()-1,FALSE))</f>
        <v>17319.1456</v>
      </c>
      <c r="BL293" t="str">
        <f ca="1">IF(AND(ISNUMBER($BL$795),$B$511=1),$BL$795,HLOOKUP(INDIRECT(ADDRESS(2,COLUMN())),OFFSET($BN$2,0,0,ROW()-1,60),ROW()-1,FALSE))</f>
        <v/>
      </c>
      <c r="BM293" t="str">
        <f ca="1">IF(AND(ISNUMBER($BM$795),$B$511=1),$BM$795,HLOOKUP(INDIRECT(ADDRESS(2,COLUMN())),OFFSET($BN$2,0,0,ROW()-1,60),ROW()-1,FALSE))</f>
        <v/>
      </c>
      <c r="BN293" t="str">
        <f>""</f>
        <v/>
      </c>
      <c r="BO293" t="str">
        <f>""</f>
        <v/>
      </c>
      <c r="BP293">
        <f>53921.4792</f>
        <v>53921.479200000002</v>
      </c>
      <c r="BQ293">
        <f>53430.4489</f>
        <v>53430.448900000003</v>
      </c>
      <c r="BR293">
        <f>56984.0229</f>
        <v>56984.022900000004</v>
      </c>
      <c r="BS293">
        <f>53675.8256</f>
        <v>53675.825599999996</v>
      </c>
      <c r="BT293">
        <f>51464.6209</f>
        <v>51464.620900000002</v>
      </c>
      <c r="BU293">
        <f>47644.7098</f>
        <v>47644.709799999997</v>
      </c>
      <c r="BV293">
        <f>43880.1637</f>
        <v>43880.163699999997</v>
      </c>
      <c r="BW293">
        <f>41081.6197</f>
        <v>41081.619700000003</v>
      </c>
      <c r="BX293">
        <f>42266.6832</f>
        <v>42266.683199999999</v>
      </c>
      <c r="BY293">
        <f>40176.1659</f>
        <v>40176.1659</v>
      </c>
      <c r="BZ293">
        <f>42331.6295</f>
        <v>42331.629500000003</v>
      </c>
      <c r="CA293">
        <f>38202.6828</f>
        <v>38202.682800000002</v>
      </c>
      <c r="CB293">
        <f>37940.526</f>
        <v>37940.525999999998</v>
      </c>
      <c r="CC293">
        <f>35475.4624</f>
        <v>35475.462399999997</v>
      </c>
      <c r="CD293">
        <f>31570.3584</f>
        <v>31570.358400000001</v>
      </c>
      <c r="CE293">
        <f>39598.46</f>
        <v>39598.46</v>
      </c>
      <c r="CF293">
        <f>38422.4696</f>
        <v>38422.469599999997</v>
      </c>
      <c r="CG293">
        <f>41053.572</f>
        <v>41053.572</v>
      </c>
      <c r="CH293">
        <f>42167.1096</f>
        <v>42167.109600000003</v>
      </c>
      <c r="CI293">
        <f>40309.3837</f>
        <v>40309.383699999998</v>
      </c>
      <c r="CJ293">
        <f>37873.269</f>
        <v>37873.269</v>
      </c>
      <c r="CK293">
        <f>34645.32</f>
        <v>34645.32</v>
      </c>
      <c r="CL293">
        <f>33498.6108</f>
        <v>33498.610800000002</v>
      </c>
      <c r="CM293">
        <f>33377.8524</f>
        <v>33377.852400000003</v>
      </c>
      <c r="CN293">
        <f>30471.054</f>
        <v>30471.054</v>
      </c>
      <c r="CO293">
        <f>28280.0454</f>
        <v>28280.045399999999</v>
      </c>
      <c r="CP293">
        <f>31130.22</f>
        <v>31130.22</v>
      </c>
      <c r="CQ293">
        <f>28252.8</f>
        <v>28252.799999999999</v>
      </c>
      <c r="CR293">
        <f>28132.6182</f>
        <v>28132.618200000001</v>
      </c>
      <c r="CS293">
        <f>30308.488</f>
        <v>30308.488000000001</v>
      </c>
      <c r="CT293">
        <f>28154.379</f>
        <v>28154.379000000001</v>
      </c>
      <c r="CU293">
        <f>25225.6518</f>
        <v>25225.6518</v>
      </c>
      <c r="CV293">
        <f>22690.92</f>
        <v>22690.92</v>
      </c>
      <c r="CW293">
        <f>18457.8163</f>
        <v>18457.816299999999</v>
      </c>
      <c r="CX293">
        <f>19790.6592</f>
        <v>19790.659199999998</v>
      </c>
      <c r="CY293">
        <f>20812.9113</f>
        <v>20812.9113</v>
      </c>
      <c r="CZ293">
        <f>21270.4218</f>
        <v>21270.4218</v>
      </c>
      <c r="DA293">
        <f>20593.085</f>
        <v>20593.084999999999</v>
      </c>
      <c r="DB293">
        <f>18885.7204</f>
        <v>18885.720399999998</v>
      </c>
      <c r="DC293">
        <f>20404.8672</f>
        <v>20404.867200000001</v>
      </c>
      <c r="DD293">
        <f>23470.5276</f>
        <v>23470.527600000001</v>
      </c>
      <c r="DE293">
        <f>25884.1464</f>
        <v>25884.146400000001</v>
      </c>
      <c r="DF293">
        <f>26873.7191</f>
        <v>26873.719099999998</v>
      </c>
      <c r="DG293">
        <f>23424.6729</f>
        <v>23424.672900000001</v>
      </c>
      <c r="DH293">
        <f>21866.3835</f>
        <v>21866.3835</v>
      </c>
      <c r="DI293">
        <f>19703.2052</f>
        <v>19703.2052</v>
      </c>
      <c r="DJ293">
        <f>19049.6637</f>
        <v>19049.663700000001</v>
      </c>
      <c r="DK293">
        <f>18219.2846</f>
        <v>18219.284599999999</v>
      </c>
      <c r="DL293">
        <f>16751.863</f>
        <v>16751.863000000001</v>
      </c>
      <c r="DM293">
        <f>16809.718</f>
        <v>16809.718000000001</v>
      </c>
      <c r="DN293">
        <f>15249.0118</f>
        <v>15249.0118</v>
      </c>
      <c r="DO293">
        <f>14649.254</f>
        <v>14649.254000000001</v>
      </c>
      <c r="DP293">
        <f>16921.398</f>
        <v>16921.398000000001</v>
      </c>
      <c r="DQ293">
        <f>16555.4766</f>
        <v>16555.476600000002</v>
      </c>
      <c r="DR293">
        <f>17985.3192</f>
        <v>17985.319200000002</v>
      </c>
      <c r="DS293">
        <f>17319.1456</f>
        <v>17319.1456</v>
      </c>
      <c r="DT293" t="str">
        <f>""</f>
        <v/>
      </c>
      <c r="DU293" t="str">
        <f>""</f>
        <v/>
      </c>
    </row>
    <row r="294" spans="1:125" x14ac:dyDescent="0.25">
      <c r="A294" t="str">
        <f>"    Brilliance China Automotive Holdings Ltd"</f>
        <v xml:space="preserve">    Brilliance China Automotive Holdings Ltd</v>
      </c>
      <c r="B294" t="str">
        <f>"1114 HK Equity"</f>
        <v>1114 HK Equity</v>
      </c>
      <c r="C294" t="str">
        <f t="shared" si="21"/>
        <v>RR179</v>
      </c>
      <c r="D294" t="str">
        <f t="shared" si="22"/>
        <v>TANGIBLE_COMMON_EQUITY</v>
      </c>
      <c r="E294" t="str">
        <f t="shared" si="23"/>
        <v>Dynamic</v>
      </c>
      <c r="F294" t="str">
        <f ca="1">IF(AND(ISNUMBER($F$796),$B$511=1),$F$796,HLOOKUP(INDIRECT(ADDRESS(2,COLUMN())),OFFSET($BN$2,0,0,ROW()-1,60),ROW()-1,FALSE))</f>
        <v/>
      </c>
      <c r="G294" t="str">
        <f ca="1">IF(AND(ISNUMBER($G$796),$B$511=1),$G$796,HLOOKUP(INDIRECT(ADDRESS(2,COLUMN())),OFFSET($BN$2,0,0,ROW()-1,60),ROW()-1,FALSE))</f>
        <v/>
      </c>
      <c r="H294" t="str">
        <f ca="1">IF(AND(ISNUMBER($H$796),$B$511=1),$H$796,HLOOKUP(INDIRECT(ADDRESS(2,COLUMN())),OFFSET($BN$2,0,0,ROW()-1,60),ROW()-1,FALSE))</f>
        <v/>
      </c>
      <c r="I294" t="str">
        <f ca="1">IF(AND(ISNUMBER($I$796),$B$511=1),$I$796,HLOOKUP(INDIRECT(ADDRESS(2,COLUMN())),OFFSET($BN$2,0,0,ROW()-1,60),ROW()-1,FALSE))</f>
        <v/>
      </c>
      <c r="J294" t="str">
        <f ca="1">IF(AND(ISNUMBER($J$796),$B$511=1),$J$796,HLOOKUP(INDIRECT(ADDRESS(2,COLUMN())),OFFSET($BN$2,0,0,ROW()-1,60),ROW()-1,FALSE))</f>
        <v/>
      </c>
      <c r="K294" t="str">
        <f ca="1">IF(AND(ISNUMBER($K$796),$B$511=1),$K$796,HLOOKUP(INDIRECT(ADDRESS(2,COLUMN())),OFFSET($BN$2,0,0,ROW()-1,60),ROW()-1,FALSE))</f>
        <v/>
      </c>
      <c r="L294" t="str">
        <f ca="1">IF(AND(ISNUMBER($L$796),$B$511=1),$L$796,HLOOKUP(INDIRECT(ADDRESS(2,COLUMN())),OFFSET($BN$2,0,0,ROW()-1,60),ROW()-1,FALSE))</f>
        <v/>
      </c>
      <c r="M294" t="str">
        <f ca="1">IF(AND(ISNUMBER($M$796),$B$511=1),$M$796,HLOOKUP(INDIRECT(ADDRESS(2,COLUMN())),OFFSET($BN$2,0,0,ROW()-1,60),ROW()-1,FALSE))</f>
        <v/>
      </c>
      <c r="N294" t="str">
        <f ca="1">IF(AND(ISNUMBER($N$796),$B$511=1),$N$796,HLOOKUP(INDIRECT(ADDRESS(2,COLUMN())),OFFSET($BN$2,0,0,ROW()-1,60),ROW()-1,FALSE))</f>
        <v/>
      </c>
      <c r="O294" t="str">
        <f ca="1">IF(AND(ISNUMBER($O$796),$B$511=1),$O$796,HLOOKUP(INDIRECT(ADDRESS(2,COLUMN())),OFFSET($BN$2,0,0,ROW()-1,60),ROW()-1,FALSE))</f>
        <v/>
      </c>
      <c r="P294" t="str">
        <f ca="1">IF(AND(ISNUMBER($P$796),$B$511=1),$P$796,HLOOKUP(INDIRECT(ADDRESS(2,COLUMN())),OFFSET($BN$2,0,0,ROW()-1,60),ROW()-1,FALSE))</f>
        <v/>
      </c>
      <c r="Q294" t="str">
        <f ca="1">IF(AND(ISNUMBER($Q$796),$B$511=1),$Q$796,HLOOKUP(INDIRECT(ADDRESS(2,COLUMN())),OFFSET($BN$2,0,0,ROW()-1,60),ROW()-1,FALSE))</f>
        <v/>
      </c>
      <c r="R294" t="str">
        <f ca="1">IF(AND(ISNUMBER($R$796),$B$511=1),$R$796,HLOOKUP(INDIRECT(ADDRESS(2,COLUMN())),OFFSET($BN$2,0,0,ROW()-1,60),ROW()-1,FALSE))</f>
        <v/>
      </c>
      <c r="S294" t="str">
        <f ca="1">IF(AND(ISNUMBER($S$796),$B$511=1),$S$796,HLOOKUP(INDIRECT(ADDRESS(2,COLUMN())),OFFSET($BN$2,0,0,ROW()-1,60),ROW()-1,FALSE))</f>
        <v/>
      </c>
      <c r="T294" t="str">
        <f ca="1">IF(AND(ISNUMBER($T$796),$B$511=1),$T$796,HLOOKUP(INDIRECT(ADDRESS(2,COLUMN())),OFFSET($BN$2,0,0,ROW()-1,60),ROW()-1,FALSE))</f>
        <v/>
      </c>
      <c r="U294" t="str">
        <f ca="1">IF(AND(ISNUMBER($U$796),$B$511=1),$U$796,HLOOKUP(INDIRECT(ADDRESS(2,COLUMN())),OFFSET($BN$2,0,0,ROW()-1,60),ROW()-1,FALSE))</f>
        <v/>
      </c>
      <c r="V294" t="str">
        <f ca="1">IF(AND(ISNUMBER($V$796),$B$511=1),$V$796,HLOOKUP(INDIRECT(ADDRESS(2,COLUMN())),OFFSET($BN$2,0,0,ROW()-1,60),ROW()-1,FALSE))</f>
        <v/>
      </c>
      <c r="W294" t="str">
        <f ca="1">IF(AND(ISNUMBER($W$796),$B$511=1),$W$796,HLOOKUP(INDIRECT(ADDRESS(2,COLUMN())),OFFSET($BN$2,0,0,ROW()-1,60),ROW()-1,FALSE))</f>
        <v/>
      </c>
      <c r="X294" t="str">
        <f ca="1">IF(AND(ISNUMBER($X$796),$B$511=1),$X$796,HLOOKUP(INDIRECT(ADDRESS(2,COLUMN())),OFFSET($BN$2,0,0,ROW()-1,60),ROW()-1,FALSE))</f>
        <v/>
      </c>
      <c r="Y294" t="str">
        <f ca="1">IF(AND(ISNUMBER($Y$796),$B$511=1),$Y$796,HLOOKUP(INDIRECT(ADDRESS(2,COLUMN())),OFFSET($BN$2,0,0,ROW()-1,60),ROW()-1,FALSE))</f>
        <v/>
      </c>
      <c r="Z294" t="str">
        <f ca="1">IF(AND(ISNUMBER($Z$796),$B$511=1),$Z$796,HLOOKUP(INDIRECT(ADDRESS(2,COLUMN())),OFFSET($BN$2,0,0,ROW()-1,60),ROW()-1,FALSE))</f>
        <v/>
      </c>
      <c r="AA294" t="str">
        <f ca="1">IF(AND(ISNUMBER($AA$796),$B$511=1),$AA$796,HLOOKUP(INDIRECT(ADDRESS(2,COLUMN())),OFFSET($BN$2,0,0,ROW()-1,60),ROW()-1,FALSE))</f>
        <v/>
      </c>
      <c r="AB294" t="str">
        <f ca="1">IF(AND(ISNUMBER($AB$796),$B$511=1),$AB$796,HLOOKUP(INDIRECT(ADDRESS(2,COLUMN())),OFFSET($BN$2,0,0,ROW()-1,60),ROW()-1,FALSE))</f>
        <v/>
      </c>
      <c r="AC294" t="str">
        <f ca="1">IF(AND(ISNUMBER($AC$796),$B$511=1),$AC$796,HLOOKUP(INDIRECT(ADDRESS(2,COLUMN())),OFFSET($BN$2,0,0,ROW()-1,60),ROW()-1,FALSE))</f>
        <v/>
      </c>
      <c r="AD294" t="str">
        <f ca="1">IF(AND(ISNUMBER($AD$796),$B$511=1),$AD$796,HLOOKUP(INDIRECT(ADDRESS(2,COLUMN())),OFFSET($BN$2,0,0,ROW()-1,60),ROW()-1,FALSE))</f>
        <v/>
      </c>
      <c r="AE294" t="str">
        <f ca="1">IF(AND(ISNUMBER($AE$796),$B$511=1),$AE$796,HLOOKUP(INDIRECT(ADDRESS(2,COLUMN())),OFFSET($BN$2,0,0,ROW()-1,60),ROW()-1,FALSE))</f>
        <v/>
      </c>
      <c r="AF294" t="str">
        <f ca="1">IF(AND(ISNUMBER($AF$796),$B$511=1),$AF$796,HLOOKUP(INDIRECT(ADDRESS(2,COLUMN())),OFFSET($BN$2,0,0,ROW()-1,60),ROW()-1,FALSE))</f>
        <v/>
      </c>
      <c r="AG294" t="str">
        <f ca="1">IF(AND(ISNUMBER($AG$796),$B$511=1),$AG$796,HLOOKUP(INDIRECT(ADDRESS(2,COLUMN())),OFFSET($BN$2,0,0,ROW()-1,60),ROW()-1,FALSE))</f>
        <v/>
      </c>
      <c r="AH294" t="str">
        <f ca="1">IF(AND(ISNUMBER($AH$796),$B$511=1),$AH$796,HLOOKUP(INDIRECT(ADDRESS(2,COLUMN())),OFFSET($BN$2,0,0,ROW()-1,60),ROW()-1,FALSE))</f>
        <v/>
      </c>
      <c r="AI294" t="str">
        <f ca="1">IF(AND(ISNUMBER($AI$796),$B$511=1),$AI$796,HLOOKUP(INDIRECT(ADDRESS(2,COLUMN())),OFFSET($BN$2,0,0,ROW()-1,60),ROW()-1,FALSE))</f>
        <v/>
      </c>
      <c r="AJ294" t="str">
        <f ca="1">IF(AND(ISNUMBER($AJ$796),$B$511=1),$AJ$796,HLOOKUP(INDIRECT(ADDRESS(2,COLUMN())),OFFSET($BN$2,0,0,ROW()-1,60),ROW()-1,FALSE))</f>
        <v/>
      </c>
      <c r="AK294" t="str">
        <f ca="1">IF(AND(ISNUMBER($AK$796),$B$511=1),$AK$796,HLOOKUP(INDIRECT(ADDRESS(2,COLUMN())),OFFSET($BN$2,0,0,ROW()-1,60),ROW()-1,FALSE))</f>
        <v/>
      </c>
      <c r="AL294" t="str">
        <f ca="1">IF(AND(ISNUMBER($AL$796),$B$511=1),$AL$796,HLOOKUP(INDIRECT(ADDRESS(2,COLUMN())),OFFSET($BN$2,0,0,ROW()-1,60),ROW()-1,FALSE))</f>
        <v/>
      </c>
      <c r="AM294" t="str">
        <f ca="1">IF(AND(ISNUMBER($AM$796),$B$511=1),$AM$796,HLOOKUP(INDIRECT(ADDRESS(2,COLUMN())),OFFSET($BN$2,0,0,ROW()-1,60),ROW()-1,FALSE))</f>
        <v/>
      </c>
      <c r="AN294" t="str">
        <f ca="1">IF(AND(ISNUMBER($AN$796),$B$511=1),$AN$796,HLOOKUP(INDIRECT(ADDRESS(2,COLUMN())),OFFSET($BN$2,0,0,ROW()-1,60),ROW()-1,FALSE))</f>
        <v/>
      </c>
      <c r="AO294" t="str">
        <f ca="1">IF(AND(ISNUMBER($AO$796),$B$511=1),$AO$796,HLOOKUP(INDIRECT(ADDRESS(2,COLUMN())),OFFSET($BN$2,0,0,ROW()-1,60),ROW()-1,FALSE))</f>
        <v/>
      </c>
      <c r="AP294" t="str">
        <f ca="1">IF(AND(ISNUMBER($AP$796),$B$511=1),$AP$796,HLOOKUP(INDIRECT(ADDRESS(2,COLUMN())),OFFSET($BN$2,0,0,ROW()-1,60),ROW()-1,FALSE))</f>
        <v/>
      </c>
      <c r="AQ294" t="str">
        <f ca="1">IF(AND(ISNUMBER($AQ$796),$B$511=1),$AQ$796,HLOOKUP(INDIRECT(ADDRESS(2,COLUMN())),OFFSET($BN$2,0,0,ROW()-1,60),ROW()-1,FALSE))</f>
        <v/>
      </c>
      <c r="AR294" t="str">
        <f ca="1">IF(AND(ISNUMBER($AR$796),$B$511=1),$AR$796,HLOOKUP(INDIRECT(ADDRESS(2,COLUMN())),OFFSET($BN$2,0,0,ROW()-1,60),ROW()-1,FALSE))</f>
        <v/>
      </c>
      <c r="AS294" t="str">
        <f ca="1">IF(AND(ISNUMBER($AS$796),$B$511=1),$AS$796,HLOOKUP(INDIRECT(ADDRESS(2,COLUMN())),OFFSET($BN$2,0,0,ROW()-1,60),ROW()-1,FALSE))</f>
        <v/>
      </c>
      <c r="AT294" t="str">
        <f ca="1">IF(AND(ISNUMBER($AT$796),$B$511=1),$AT$796,HLOOKUP(INDIRECT(ADDRESS(2,COLUMN())),OFFSET($BN$2,0,0,ROW()-1,60),ROW()-1,FALSE))</f>
        <v/>
      </c>
      <c r="AU294" t="str">
        <f ca="1">IF(AND(ISNUMBER($AU$796),$B$511=1),$AU$796,HLOOKUP(INDIRECT(ADDRESS(2,COLUMN())),OFFSET($BN$2,0,0,ROW()-1,60),ROW()-1,FALSE))</f>
        <v/>
      </c>
      <c r="AV294" t="str">
        <f ca="1">IF(AND(ISNUMBER($AV$796),$B$511=1),$AV$796,HLOOKUP(INDIRECT(ADDRESS(2,COLUMN())),OFFSET($BN$2,0,0,ROW()-1,60),ROW()-1,FALSE))</f>
        <v/>
      </c>
      <c r="AW294" t="str">
        <f ca="1">IF(AND(ISNUMBER($AW$796),$B$511=1),$AW$796,HLOOKUP(INDIRECT(ADDRESS(2,COLUMN())),OFFSET($BN$2,0,0,ROW()-1,60),ROW()-1,FALSE))</f>
        <v/>
      </c>
      <c r="AX294" t="str">
        <f ca="1">IF(AND(ISNUMBER($AX$796),$B$511=1),$AX$796,HLOOKUP(INDIRECT(ADDRESS(2,COLUMN())),OFFSET($BN$2,0,0,ROW()-1,60),ROW()-1,FALSE))</f>
        <v/>
      </c>
      <c r="AY294" t="str">
        <f ca="1">IF(AND(ISNUMBER($AY$796),$B$511=1),$AY$796,HLOOKUP(INDIRECT(ADDRESS(2,COLUMN())),OFFSET($BN$2,0,0,ROW()-1,60),ROW()-1,FALSE))</f>
        <v/>
      </c>
      <c r="AZ294" t="str">
        <f ca="1">IF(AND(ISNUMBER($AZ$796),$B$511=1),$AZ$796,HLOOKUP(INDIRECT(ADDRESS(2,COLUMN())),OFFSET($BN$2,0,0,ROW()-1,60),ROW()-1,FALSE))</f>
        <v/>
      </c>
      <c r="BA294" t="str">
        <f ca="1">IF(AND(ISNUMBER($BA$796),$B$511=1),$BA$796,HLOOKUP(INDIRECT(ADDRESS(2,COLUMN())),OFFSET($BN$2,0,0,ROW()-1,60),ROW()-1,FALSE))</f>
        <v/>
      </c>
      <c r="BB294" t="str">
        <f ca="1">IF(AND(ISNUMBER($BB$796),$B$511=1),$BB$796,HLOOKUP(INDIRECT(ADDRESS(2,COLUMN())),OFFSET($BN$2,0,0,ROW()-1,60),ROW()-1,FALSE))</f>
        <v/>
      </c>
      <c r="BC294" t="str">
        <f ca="1">IF(AND(ISNUMBER($BC$796),$B$511=1),$BC$796,HLOOKUP(INDIRECT(ADDRESS(2,COLUMN())),OFFSET($BN$2,0,0,ROW()-1,60),ROW()-1,FALSE))</f>
        <v/>
      </c>
      <c r="BD294" t="str">
        <f ca="1">IF(AND(ISNUMBER($BD$796),$B$511=1),$BD$796,HLOOKUP(INDIRECT(ADDRESS(2,COLUMN())),OFFSET($BN$2,0,0,ROW()-1,60),ROW()-1,FALSE))</f>
        <v/>
      </c>
      <c r="BE294" t="str">
        <f ca="1">IF(AND(ISNUMBER($BE$796),$B$511=1),$BE$796,HLOOKUP(INDIRECT(ADDRESS(2,COLUMN())),OFFSET($BN$2,0,0,ROW()-1,60),ROW()-1,FALSE))</f>
        <v/>
      </c>
      <c r="BF294" t="str">
        <f ca="1">IF(AND(ISNUMBER($BF$796),$B$511=1),$BF$796,HLOOKUP(INDIRECT(ADDRESS(2,COLUMN())),OFFSET($BN$2,0,0,ROW()-1,60),ROW()-1,FALSE))</f>
        <v/>
      </c>
      <c r="BG294" t="str">
        <f ca="1">IF(AND(ISNUMBER($BG$796),$B$511=1),$BG$796,HLOOKUP(INDIRECT(ADDRESS(2,COLUMN())),OFFSET($BN$2,0,0,ROW()-1,60),ROW()-1,FALSE))</f>
        <v/>
      </c>
      <c r="BH294" t="str">
        <f ca="1">IF(AND(ISNUMBER($BH$796),$B$511=1),$BH$796,HLOOKUP(INDIRECT(ADDRESS(2,COLUMN())),OFFSET($BN$2,0,0,ROW()-1,60),ROW()-1,FALSE))</f>
        <v/>
      </c>
      <c r="BI294" t="str">
        <f ca="1">IF(AND(ISNUMBER($BI$796),$B$511=1),$BI$796,HLOOKUP(INDIRECT(ADDRESS(2,COLUMN())),OFFSET($BN$2,0,0,ROW()-1,60),ROW()-1,FALSE))</f>
        <v/>
      </c>
      <c r="BJ294" t="str">
        <f ca="1">IF(AND(ISNUMBER($BJ$796),$B$511=1),$BJ$796,HLOOKUP(INDIRECT(ADDRESS(2,COLUMN())),OFFSET($BN$2,0,0,ROW()-1,60),ROW()-1,FALSE))</f>
        <v/>
      </c>
      <c r="BK294" t="str">
        <f ca="1">IF(AND(ISNUMBER($BK$796),$B$511=1),$BK$796,HLOOKUP(INDIRECT(ADDRESS(2,COLUMN())),OFFSET($BN$2,0,0,ROW()-1,60),ROW()-1,FALSE))</f>
        <v/>
      </c>
      <c r="BL294" t="str">
        <f ca="1">IF(AND(ISNUMBER($BL$796),$B$511=1),$BL$796,HLOOKUP(INDIRECT(ADDRESS(2,COLUMN())),OFFSET($BN$2,0,0,ROW()-1,60),ROW()-1,FALSE))</f>
        <v/>
      </c>
      <c r="BM294" t="str">
        <f ca="1">IF(AND(ISNUMBER($BM$796),$B$511=1),$BM$796,HLOOKUP(INDIRECT(ADDRESS(2,COLUMN())),OFFSET($BN$2,0,0,ROW()-1,60),ROW()-1,FALSE))</f>
        <v/>
      </c>
      <c r="BN294" t="str">
        <f>""</f>
        <v/>
      </c>
      <c r="BO294" t="str">
        <f>""</f>
        <v/>
      </c>
      <c r="BP294" t="str">
        <f>""</f>
        <v/>
      </c>
      <c r="BQ294" t="str">
        <f>""</f>
        <v/>
      </c>
      <c r="BR294" t="str">
        <f>""</f>
        <v/>
      </c>
      <c r="BS294" t="str">
        <f>""</f>
        <v/>
      </c>
      <c r="BT294" t="str">
        <f>""</f>
        <v/>
      </c>
      <c r="BU294" t="str">
        <f>""</f>
        <v/>
      </c>
      <c r="BV294" t="str">
        <f>""</f>
        <v/>
      </c>
      <c r="BW294" t="str">
        <f>""</f>
        <v/>
      </c>
      <c r="BX294" t="str">
        <f>""</f>
        <v/>
      </c>
      <c r="BY294" t="str">
        <f>""</f>
        <v/>
      </c>
      <c r="BZ294" t="str">
        <f>""</f>
        <v/>
      </c>
      <c r="CA294" t="str">
        <f>""</f>
        <v/>
      </c>
      <c r="CB294" t="str">
        <f>""</f>
        <v/>
      </c>
      <c r="CC294" t="str">
        <f>""</f>
        <v/>
      </c>
      <c r="CD294" t="str">
        <f>""</f>
        <v/>
      </c>
      <c r="CE294" t="str">
        <f>""</f>
        <v/>
      </c>
      <c r="CF294" t="str">
        <f>""</f>
        <v/>
      </c>
      <c r="CG294" t="str">
        <f>""</f>
        <v/>
      </c>
      <c r="CH294" t="str">
        <f>""</f>
        <v/>
      </c>
      <c r="CI294" t="str">
        <f>""</f>
        <v/>
      </c>
      <c r="CJ294" t="str">
        <f>""</f>
        <v/>
      </c>
      <c r="CK294" t="str">
        <f>""</f>
        <v/>
      </c>
      <c r="CL294" t="str">
        <f>""</f>
        <v/>
      </c>
      <c r="CM294" t="str">
        <f>""</f>
        <v/>
      </c>
      <c r="CN294" t="str">
        <f>""</f>
        <v/>
      </c>
      <c r="CO294" t="str">
        <f>""</f>
        <v/>
      </c>
      <c r="CP294" t="str">
        <f>""</f>
        <v/>
      </c>
      <c r="CQ294" t="str">
        <f>""</f>
        <v/>
      </c>
      <c r="CR294" t="str">
        <f>""</f>
        <v/>
      </c>
      <c r="CS294" t="str">
        <f>""</f>
        <v/>
      </c>
      <c r="CT294" t="str">
        <f>""</f>
        <v/>
      </c>
      <c r="CU294" t="str">
        <f>""</f>
        <v/>
      </c>
      <c r="CV294" t="str">
        <f>""</f>
        <v/>
      </c>
      <c r="CW294" t="str">
        <f>""</f>
        <v/>
      </c>
      <c r="CX294" t="str">
        <f>""</f>
        <v/>
      </c>
      <c r="CY294" t="str">
        <f>""</f>
        <v/>
      </c>
      <c r="CZ294" t="str">
        <f>""</f>
        <v/>
      </c>
      <c r="DA294" t="str">
        <f>""</f>
        <v/>
      </c>
      <c r="DB294" t="str">
        <f>""</f>
        <v/>
      </c>
      <c r="DC294" t="str">
        <f>""</f>
        <v/>
      </c>
      <c r="DD294" t="str">
        <f>""</f>
        <v/>
      </c>
      <c r="DE294" t="str">
        <f>""</f>
        <v/>
      </c>
      <c r="DF294" t="str">
        <f>""</f>
        <v/>
      </c>
      <c r="DG294" t="str">
        <f>""</f>
        <v/>
      </c>
      <c r="DH294" t="str">
        <f>""</f>
        <v/>
      </c>
      <c r="DI294" t="str">
        <f>""</f>
        <v/>
      </c>
      <c r="DJ294" t="str">
        <f>""</f>
        <v/>
      </c>
      <c r="DK294" t="str">
        <f>""</f>
        <v/>
      </c>
      <c r="DL294" t="str">
        <f>""</f>
        <v/>
      </c>
      <c r="DM294" t="str">
        <f>""</f>
        <v/>
      </c>
      <c r="DN294" t="str">
        <f>""</f>
        <v/>
      </c>
      <c r="DO294" t="str">
        <f>""</f>
        <v/>
      </c>
      <c r="DP294" t="str">
        <f>""</f>
        <v/>
      </c>
      <c r="DQ294" t="str">
        <f>""</f>
        <v/>
      </c>
      <c r="DR294" t="str">
        <f>""</f>
        <v/>
      </c>
      <c r="DS294" t="str">
        <f>""</f>
        <v/>
      </c>
      <c r="DT294" t="str">
        <f>""</f>
        <v/>
      </c>
      <c r="DU294" t="str">
        <f>""</f>
        <v/>
      </c>
    </row>
    <row r="295" spans="1:125" x14ac:dyDescent="0.25">
      <c r="A295" t="str">
        <f>"    BYD Co Ltd"</f>
        <v xml:space="preserve">    BYD Co Ltd</v>
      </c>
      <c r="B295" t="str">
        <f>"1211 HK Equity"</f>
        <v>1211 HK Equity</v>
      </c>
      <c r="C295" t="str">
        <f t="shared" si="21"/>
        <v>RR179</v>
      </c>
      <c r="D295" t="str">
        <f t="shared" si="22"/>
        <v>TANGIBLE_COMMON_EQUITY</v>
      </c>
      <c r="E295" t="str">
        <f t="shared" si="23"/>
        <v>Dynamic</v>
      </c>
      <c r="F295" t="str">
        <f ca="1">IF(AND(ISNUMBER($F$797),$B$511=1),$F$797,HLOOKUP(INDIRECT(ADDRESS(2,COLUMN())),OFFSET($BN$2,0,0,ROW()-1,60),ROW()-1,FALSE))</f>
        <v/>
      </c>
      <c r="G295" t="str">
        <f ca="1">IF(AND(ISNUMBER($G$797),$B$511=1),$G$797,HLOOKUP(INDIRECT(ADDRESS(2,COLUMN())),OFFSET($BN$2,0,0,ROW()-1,60),ROW()-1,FALSE))</f>
        <v/>
      </c>
      <c r="H295">
        <f ca="1">IF(AND(ISNUMBER($H$797),$B$511=1),$H$797,HLOOKUP(INDIRECT(ADDRESS(2,COLUMN())),OFFSET($BN$2,0,0,ROW()-1,60),ROW()-1,FALSE))</f>
        <v>5049.026656</v>
      </c>
      <c r="I295">
        <f ca="1">IF(AND(ISNUMBER($I$797),$B$511=1),$I$797,HLOOKUP(INDIRECT(ADDRESS(2,COLUMN())),OFFSET($BN$2,0,0,ROW()-1,60),ROW()-1,FALSE))</f>
        <v>6200.2866889999996</v>
      </c>
      <c r="J295">
        <f ca="1">IF(AND(ISNUMBER($J$797),$B$511=1),$J$797,HLOOKUP(INDIRECT(ADDRESS(2,COLUMN())),OFFSET($BN$2,0,0,ROW()-1,60),ROW()-1,FALSE))</f>
        <v>5771.8713420000004</v>
      </c>
      <c r="K295">
        <f ca="1">IF(AND(ISNUMBER($K$797),$B$511=1),$K$797,HLOOKUP(INDIRECT(ADDRESS(2,COLUMN())),OFFSET($BN$2,0,0,ROW()-1,60),ROW()-1,FALSE))</f>
        <v>6581.6553709999998</v>
      </c>
      <c r="L295">
        <f ca="1">IF(AND(ISNUMBER($L$797),$B$511=1),$L$797,HLOOKUP(INDIRECT(ADDRESS(2,COLUMN())),OFFSET($BN$2,0,0,ROW()-1,60),ROW()-1,FALSE))</f>
        <v>5530.7924759999996</v>
      </c>
      <c r="M295">
        <f ca="1">IF(AND(ISNUMBER($M$797),$B$511=1),$M$797,HLOOKUP(INDIRECT(ADDRESS(2,COLUMN())),OFFSET($BN$2,0,0,ROW()-1,60),ROW()-1,FALSE))</f>
        <v>6080.1912759999996</v>
      </c>
      <c r="N295">
        <f ca="1">IF(AND(ISNUMBER($N$797),$B$511=1),$N$797,HLOOKUP(INDIRECT(ADDRESS(2,COLUMN())),OFFSET($BN$2,0,0,ROW()-1,60),ROW()-1,FALSE))</f>
        <v>5147.7557580000002</v>
      </c>
      <c r="O295">
        <f ca="1">IF(AND(ISNUMBER($O$797),$B$511=1),$O$797,HLOOKUP(INDIRECT(ADDRESS(2,COLUMN())),OFFSET($BN$2,0,0,ROW()-1,60),ROW()-1,FALSE))</f>
        <v>5855.4554230000003</v>
      </c>
      <c r="P295">
        <f ca="1">IF(AND(ISNUMBER($P$797),$B$511=1),$P$797,HLOOKUP(INDIRECT(ADDRESS(2,COLUMN())),OFFSET($BN$2,0,0,ROW()-1,60),ROW()-1,FALSE))</f>
        <v>5273.0037650000004</v>
      </c>
      <c r="Q295">
        <f ca="1">IF(AND(ISNUMBER($Q$797),$B$511=1),$Q$797,HLOOKUP(INDIRECT(ADDRESS(2,COLUMN())),OFFSET($BN$2,0,0,ROW()-1,60),ROW()-1,FALSE))</f>
        <v>3589.0361699999999</v>
      </c>
      <c r="R295">
        <f ca="1">IF(AND(ISNUMBER($R$797),$B$511=1),$R$797,HLOOKUP(INDIRECT(ADDRESS(2,COLUMN())),OFFSET($BN$2,0,0,ROW()-1,60),ROW()-1,FALSE))</f>
        <v>2678.8465289999999</v>
      </c>
      <c r="S295">
        <f ca="1">IF(AND(ISNUMBER($S$797),$B$511=1),$S$797,HLOOKUP(INDIRECT(ADDRESS(2,COLUMN())),OFFSET($BN$2,0,0,ROW()-1,60),ROW()-1,FALSE))</f>
        <v>3872.9362620000002</v>
      </c>
      <c r="T295">
        <f ca="1">IF(AND(ISNUMBER($T$797),$B$511=1),$T$797,HLOOKUP(INDIRECT(ADDRESS(2,COLUMN())),OFFSET($BN$2,0,0,ROW()-1,60),ROW()-1,FALSE))</f>
        <v>2411.2865879999999</v>
      </c>
      <c r="U295">
        <f ca="1">IF(AND(ISNUMBER($U$797),$B$511=1),$U$797,HLOOKUP(INDIRECT(ADDRESS(2,COLUMN())),OFFSET($BN$2,0,0,ROW()-1,60),ROW()-1,FALSE))</f>
        <v>3057.8773900000001</v>
      </c>
      <c r="V295">
        <f ca="1">IF(AND(ISNUMBER($V$797),$B$511=1),$V$797,HLOOKUP(INDIRECT(ADDRESS(2,COLUMN())),OFFSET($BN$2,0,0,ROW()-1,60),ROW()-1,FALSE))</f>
        <v>2321.8476179999998</v>
      </c>
      <c r="W295">
        <f ca="1">IF(AND(ISNUMBER($W$797),$B$511=1),$W$797,HLOOKUP(INDIRECT(ADDRESS(2,COLUMN())),OFFSET($BN$2,0,0,ROW()-1,60),ROW()-1,FALSE))</f>
        <v>3059.6897250000002</v>
      </c>
      <c r="X295">
        <f ca="1">IF(AND(ISNUMBER($X$797),$B$511=1),$X$797,HLOOKUP(INDIRECT(ADDRESS(2,COLUMN())),OFFSET($BN$2,0,0,ROW()-1,60),ROW()-1,FALSE))</f>
        <v>2396.2704050000002</v>
      </c>
      <c r="Y295">
        <f ca="1">IF(AND(ISNUMBER($Y$797),$B$511=1),$Y$797,HLOOKUP(INDIRECT(ADDRESS(2,COLUMN())),OFFSET($BN$2,0,0,ROW()-1,60),ROW()-1,FALSE))</f>
        <v>3171.6869219999999</v>
      </c>
      <c r="Z295">
        <f ca="1">IF(AND(ISNUMBER($Z$797),$B$511=1),$Z$797,HLOOKUP(INDIRECT(ADDRESS(2,COLUMN())),OFFSET($BN$2,0,0,ROW()-1,60),ROW()-1,FALSE))</f>
        <v>1880.8405560000001</v>
      </c>
      <c r="AA295">
        <f ca="1">IF(AND(ISNUMBER($AA$797),$B$511=1),$AA$797,HLOOKUP(INDIRECT(ADDRESS(2,COLUMN())),OFFSET($BN$2,0,0,ROW()-1,60),ROW()-1,FALSE))</f>
        <v>2761.6454629999998</v>
      </c>
      <c r="AB295">
        <f ca="1">IF(AND(ISNUMBER($AB$797),$B$511=1),$AB$797,HLOOKUP(INDIRECT(ADDRESS(2,COLUMN())),OFFSET($BN$2,0,0,ROW()-1,60),ROW()-1,FALSE))</f>
        <v>2046.2007060000001</v>
      </c>
      <c r="AC295">
        <f ca="1">IF(AND(ISNUMBER($AC$797),$B$511=1),$AC$797,HLOOKUP(INDIRECT(ADDRESS(2,COLUMN())),OFFSET($BN$2,0,0,ROW()-1,60),ROW()-1,FALSE))</f>
        <v>2838.3557089999999</v>
      </c>
      <c r="AD295">
        <f ca="1">IF(AND(ISNUMBER($AD$797),$B$511=1),$AD$797,HLOOKUP(INDIRECT(ADDRESS(2,COLUMN())),OFFSET($BN$2,0,0,ROW()-1,60),ROW()-1,FALSE))</f>
        <v>2075.9737879999998</v>
      </c>
      <c r="AE295">
        <f ca="1">IF(AND(ISNUMBER($AE$797),$B$511=1),$AE$797,HLOOKUP(INDIRECT(ADDRESS(2,COLUMN())),OFFSET($BN$2,0,0,ROW()-1,60),ROW()-1,FALSE))</f>
        <v>2811.1653569999999</v>
      </c>
      <c r="AF295">
        <f ca="1">IF(AND(ISNUMBER($AF$797),$B$511=1),$AF$797,HLOOKUP(INDIRECT(ADDRESS(2,COLUMN())),OFFSET($BN$2,0,0,ROW()-1,60),ROW()-1,FALSE))</f>
        <v>2106.3952079999999</v>
      </c>
      <c r="AG295">
        <f ca="1">IF(AND(ISNUMBER($AG$797),$B$511=1),$AG$797,HLOOKUP(INDIRECT(ADDRESS(2,COLUMN())),OFFSET($BN$2,0,0,ROW()-1,60),ROW()-1,FALSE))</f>
        <v>2826.2785789999998</v>
      </c>
      <c r="AH295">
        <f ca="1">IF(AND(ISNUMBER($AH$797),$B$511=1),$AH$797,HLOOKUP(INDIRECT(ADDRESS(2,COLUMN())),OFFSET($BN$2,0,0,ROW()-1,60),ROW()-1,FALSE))</f>
        <v>2235.1192329999999</v>
      </c>
      <c r="AI295">
        <f ca="1">IF(AND(ISNUMBER($AI$797),$B$511=1),$AI$797,HLOOKUP(INDIRECT(ADDRESS(2,COLUMN())),OFFSET($BN$2,0,0,ROW()-1,60),ROW()-1,FALSE))</f>
        <v>2959.4285439999999</v>
      </c>
      <c r="AJ295">
        <f ca="1">IF(AND(ISNUMBER($AJ$797),$B$511=1),$AJ$797,HLOOKUP(INDIRECT(ADDRESS(2,COLUMN())),OFFSET($BN$2,0,0,ROW()-1,60),ROW()-1,FALSE))</f>
        <v>2211.2824690000002</v>
      </c>
      <c r="AK295" t="str">
        <f ca="1">IF(AND(ISNUMBER($AK$797),$B$511=1),$AK$797,HLOOKUP(INDIRECT(ADDRESS(2,COLUMN())),OFFSET($BN$2,0,0,ROW()-1,60),ROW()-1,FALSE))</f>
        <v/>
      </c>
      <c r="AL295" t="str">
        <f ca="1">IF(AND(ISNUMBER($AL$797),$B$511=1),$AL$797,HLOOKUP(INDIRECT(ADDRESS(2,COLUMN())),OFFSET($BN$2,0,0,ROW()-1,60),ROW()-1,FALSE))</f>
        <v/>
      </c>
      <c r="AM295">
        <f ca="1">IF(AND(ISNUMBER($AM$797),$B$511=1),$AM$797,HLOOKUP(INDIRECT(ADDRESS(2,COLUMN())),OFFSET($BN$2,0,0,ROW()-1,60),ROW()-1,FALSE))</f>
        <v>2605.8292489999999</v>
      </c>
      <c r="AN295">
        <f ca="1">IF(AND(ISNUMBER($AN$797),$B$511=1),$AN$797,HLOOKUP(INDIRECT(ADDRESS(2,COLUMN())),OFFSET($BN$2,0,0,ROW()-1,60),ROW()-1,FALSE))</f>
        <v>2593.6603890000001</v>
      </c>
      <c r="AO295">
        <f ca="1">IF(AND(ISNUMBER($AO$797),$B$511=1),$AO$797,HLOOKUP(INDIRECT(ADDRESS(2,COLUMN())),OFFSET($BN$2,0,0,ROW()-1,60),ROW()-1,FALSE))</f>
        <v>2573.6961390000001</v>
      </c>
      <c r="AP295">
        <f ca="1">IF(AND(ISNUMBER($AP$797),$B$511=1),$AP$797,HLOOKUP(INDIRECT(ADDRESS(2,COLUMN())),OFFSET($BN$2,0,0,ROW()-1,60),ROW()-1,FALSE))</f>
        <v>2572.6118799999999</v>
      </c>
      <c r="AQ295">
        <f ca="1">IF(AND(ISNUMBER($AQ$797),$B$511=1),$AQ$797,HLOOKUP(INDIRECT(ADDRESS(2,COLUMN())),OFFSET($BN$2,0,0,ROW()-1,60),ROW()-1,FALSE))</f>
        <v>2322.0695460000002</v>
      </c>
      <c r="AR295">
        <f ca="1">IF(AND(ISNUMBER($AR$797),$B$511=1),$AR$797,HLOOKUP(INDIRECT(ADDRESS(2,COLUMN())),OFFSET($BN$2,0,0,ROW()-1,60),ROW()-1,FALSE))</f>
        <v>2089.6838699999998</v>
      </c>
      <c r="AS295" t="str">
        <f ca="1">IF(AND(ISNUMBER($AS$797),$B$511=1),$AS$797,HLOOKUP(INDIRECT(ADDRESS(2,COLUMN())),OFFSET($BN$2,0,0,ROW()-1,60),ROW()-1,FALSE))</f>
        <v/>
      </c>
      <c r="AT295" t="str">
        <f ca="1">IF(AND(ISNUMBER($AT$797),$B$511=1),$AT$797,HLOOKUP(INDIRECT(ADDRESS(2,COLUMN())),OFFSET($BN$2,0,0,ROW()-1,60),ROW()-1,FALSE))</f>
        <v/>
      </c>
      <c r="AU295" t="str">
        <f ca="1">IF(AND(ISNUMBER($AU$797),$B$511=1),$AU$797,HLOOKUP(INDIRECT(ADDRESS(2,COLUMN())),OFFSET($BN$2,0,0,ROW()-1,60),ROW()-1,FALSE))</f>
        <v/>
      </c>
      <c r="AV295" t="str">
        <f ca="1">IF(AND(ISNUMBER($AV$797),$B$511=1),$AV$797,HLOOKUP(INDIRECT(ADDRESS(2,COLUMN())),OFFSET($BN$2,0,0,ROW()-1,60),ROW()-1,FALSE))</f>
        <v/>
      </c>
      <c r="AW295" t="str">
        <f ca="1">IF(AND(ISNUMBER($AW$797),$B$511=1),$AW$797,HLOOKUP(INDIRECT(ADDRESS(2,COLUMN())),OFFSET($BN$2,0,0,ROW()-1,60),ROW()-1,FALSE))</f>
        <v/>
      </c>
      <c r="AX295" t="str">
        <f ca="1">IF(AND(ISNUMBER($AX$797),$B$511=1),$AX$797,HLOOKUP(INDIRECT(ADDRESS(2,COLUMN())),OFFSET($BN$2,0,0,ROW()-1,60),ROW()-1,FALSE))</f>
        <v/>
      </c>
      <c r="AY295" t="str">
        <f ca="1">IF(AND(ISNUMBER($AY$797),$B$511=1),$AY$797,HLOOKUP(INDIRECT(ADDRESS(2,COLUMN())),OFFSET($BN$2,0,0,ROW()-1,60),ROW()-1,FALSE))</f>
        <v/>
      </c>
      <c r="AZ295" t="str">
        <f ca="1">IF(AND(ISNUMBER($AZ$797),$B$511=1),$AZ$797,HLOOKUP(INDIRECT(ADDRESS(2,COLUMN())),OFFSET($BN$2,0,0,ROW()-1,60),ROW()-1,FALSE))</f>
        <v/>
      </c>
      <c r="BA295" t="str">
        <f ca="1">IF(AND(ISNUMBER($BA$797),$B$511=1),$BA$797,HLOOKUP(INDIRECT(ADDRESS(2,COLUMN())),OFFSET($BN$2,0,0,ROW()-1,60),ROW()-1,FALSE))</f>
        <v/>
      </c>
      <c r="BB295" t="str">
        <f ca="1">IF(AND(ISNUMBER($BB$797),$B$511=1),$BB$797,HLOOKUP(INDIRECT(ADDRESS(2,COLUMN())),OFFSET($BN$2,0,0,ROW()-1,60),ROW()-1,FALSE))</f>
        <v/>
      </c>
      <c r="BC295" t="str">
        <f ca="1">IF(AND(ISNUMBER($BC$797),$B$511=1),$BC$797,HLOOKUP(INDIRECT(ADDRESS(2,COLUMN())),OFFSET($BN$2,0,0,ROW()-1,60),ROW()-1,FALSE))</f>
        <v/>
      </c>
      <c r="BD295" t="str">
        <f ca="1">IF(AND(ISNUMBER($BD$797),$B$511=1),$BD$797,HLOOKUP(INDIRECT(ADDRESS(2,COLUMN())),OFFSET($BN$2,0,0,ROW()-1,60),ROW()-1,FALSE))</f>
        <v/>
      </c>
      <c r="BE295" t="str">
        <f ca="1">IF(AND(ISNUMBER($BE$797),$B$511=1),$BE$797,HLOOKUP(INDIRECT(ADDRESS(2,COLUMN())),OFFSET($BN$2,0,0,ROW()-1,60),ROW()-1,FALSE))</f>
        <v/>
      </c>
      <c r="BF295" t="str">
        <f ca="1">IF(AND(ISNUMBER($BF$797),$B$511=1),$BF$797,HLOOKUP(INDIRECT(ADDRESS(2,COLUMN())),OFFSET($BN$2,0,0,ROW()-1,60),ROW()-1,FALSE))</f>
        <v/>
      </c>
      <c r="BG295" t="str">
        <f ca="1">IF(AND(ISNUMBER($BG$797),$B$511=1),$BG$797,HLOOKUP(INDIRECT(ADDRESS(2,COLUMN())),OFFSET($BN$2,0,0,ROW()-1,60),ROW()-1,FALSE))</f>
        <v/>
      </c>
      <c r="BH295" t="str">
        <f ca="1">IF(AND(ISNUMBER($BH$797),$B$511=1),$BH$797,HLOOKUP(INDIRECT(ADDRESS(2,COLUMN())),OFFSET($BN$2,0,0,ROW()-1,60),ROW()-1,FALSE))</f>
        <v/>
      </c>
      <c r="BI295" t="str">
        <f ca="1">IF(AND(ISNUMBER($BI$797),$B$511=1),$BI$797,HLOOKUP(INDIRECT(ADDRESS(2,COLUMN())),OFFSET($BN$2,0,0,ROW()-1,60),ROW()-1,FALSE))</f>
        <v/>
      </c>
      <c r="BJ295" t="str">
        <f ca="1">IF(AND(ISNUMBER($BJ$797),$B$511=1),$BJ$797,HLOOKUP(INDIRECT(ADDRESS(2,COLUMN())),OFFSET($BN$2,0,0,ROW()-1,60),ROW()-1,FALSE))</f>
        <v/>
      </c>
      <c r="BK295" t="str">
        <f ca="1">IF(AND(ISNUMBER($BK$797),$B$511=1),$BK$797,HLOOKUP(INDIRECT(ADDRESS(2,COLUMN())),OFFSET($BN$2,0,0,ROW()-1,60),ROW()-1,FALSE))</f>
        <v/>
      </c>
      <c r="BL295" t="str">
        <f ca="1">IF(AND(ISNUMBER($BL$797),$B$511=1),$BL$797,HLOOKUP(INDIRECT(ADDRESS(2,COLUMN())),OFFSET($BN$2,0,0,ROW()-1,60),ROW()-1,FALSE))</f>
        <v/>
      </c>
      <c r="BM295" t="str">
        <f ca="1">IF(AND(ISNUMBER($BM$797),$B$511=1),$BM$797,HLOOKUP(INDIRECT(ADDRESS(2,COLUMN())),OFFSET($BN$2,0,0,ROW()-1,60),ROW()-1,FALSE))</f>
        <v/>
      </c>
      <c r="BN295" t="str">
        <f>""</f>
        <v/>
      </c>
      <c r="BO295" t="str">
        <f>""</f>
        <v/>
      </c>
      <c r="BP295">
        <f>5049.026656</f>
        <v>5049.026656</v>
      </c>
      <c r="BQ295">
        <f>6200.286689</f>
        <v>6200.2866889999996</v>
      </c>
      <c r="BR295">
        <f>5771.871342</f>
        <v>5771.8713420000004</v>
      </c>
      <c r="BS295">
        <f>6581.655371</f>
        <v>6581.6553709999998</v>
      </c>
      <c r="BT295">
        <f>5530.792476</f>
        <v>5530.7924759999996</v>
      </c>
      <c r="BU295">
        <f>6080.191276</f>
        <v>6080.1912759999996</v>
      </c>
      <c r="BV295">
        <f>5147.755758</f>
        <v>5147.7557580000002</v>
      </c>
      <c r="BW295">
        <f>5855.455423</f>
        <v>5855.4554230000003</v>
      </c>
      <c r="BX295">
        <f>5273.003765</f>
        <v>5273.0037650000004</v>
      </c>
      <c r="BY295">
        <f>3589.03617</f>
        <v>3589.0361699999999</v>
      </c>
      <c r="BZ295">
        <f>2678.846529</f>
        <v>2678.8465289999999</v>
      </c>
      <c r="CA295">
        <f>3872.936262</f>
        <v>3872.9362620000002</v>
      </c>
      <c r="CB295">
        <f>2411.286588</f>
        <v>2411.2865879999999</v>
      </c>
      <c r="CC295">
        <f>3057.87739</f>
        <v>3057.8773900000001</v>
      </c>
      <c r="CD295">
        <f>2321.847618</f>
        <v>2321.8476179999998</v>
      </c>
      <c r="CE295">
        <f>3059.689725</f>
        <v>3059.6897250000002</v>
      </c>
      <c r="CF295">
        <f>2396.270405</f>
        <v>2396.2704050000002</v>
      </c>
      <c r="CG295">
        <f>3171.686922</f>
        <v>3171.6869219999999</v>
      </c>
      <c r="CH295">
        <f>1880.840556</f>
        <v>1880.8405560000001</v>
      </c>
      <c r="CI295">
        <f>2761.645463</f>
        <v>2761.6454629999998</v>
      </c>
      <c r="CJ295">
        <f>2046.200706</f>
        <v>2046.2007060000001</v>
      </c>
      <c r="CK295">
        <f>2838.355709</f>
        <v>2838.3557089999999</v>
      </c>
      <c r="CL295">
        <f>2075.973788</f>
        <v>2075.9737879999998</v>
      </c>
      <c r="CM295">
        <f>2811.165357</f>
        <v>2811.1653569999999</v>
      </c>
      <c r="CN295">
        <f>2106.395208</f>
        <v>2106.3952079999999</v>
      </c>
      <c r="CO295">
        <f>2826.278579</f>
        <v>2826.2785789999998</v>
      </c>
      <c r="CP295">
        <f>2235.119233</f>
        <v>2235.1192329999999</v>
      </c>
      <c r="CQ295">
        <f>2959.428544</f>
        <v>2959.4285439999999</v>
      </c>
      <c r="CR295">
        <f>2211.282469</f>
        <v>2211.2824690000002</v>
      </c>
      <c r="CS295" t="str">
        <f>""</f>
        <v/>
      </c>
      <c r="CT295" t="str">
        <f>""</f>
        <v/>
      </c>
      <c r="CU295">
        <f>2605.829249</f>
        <v>2605.8292489999999</v>
      </c>
      <c r="CV295">
        <f>2593.660389</f>
        <v>2593.6603890000001</v>
      </c>
      <c r="CW295">
        <f>2573.696139</f>
        <v>2573.6961390000001</v>
      </c>
      <c r="CX295">
        <f>2572.61188</f>
        <v>2572.6118799999999</v>
      </c>
      <c r="CY295">
        <f>2322.069546</f>
        <v>2322.0695460000002</v>
      </c>
      <c r="CZ295">
        <f>2089.68387</f>
        <v>2089.6838699999998</v>
      </c>
      <c r="DA295" t="str">
        <f>""</f>
        <v/>
      </c>
      <c r="DB295" t="str">
        <f>""</f>
        <v/>
      </c>
      <c r="DC295" t="str">
        <f>""</f>
        <v/>
      </c>
      <c r="DD295" t="str">
        <f>""</f>
        <v/>
      </c>
      <c r="DE295" t="str">
        <f>""</f>
        <v/>
      </c>
      <c r="DF295" t="str">
        <f>""</f>
        <v/>
      </c>
      <c r="DG295" t="str">
        <f>""</f>
        <v/>
      </c>
      <c r="DH295" t="str">
        <f>""</f>
        <v/>
      </c>
      <c r="DI295" t="str">
        <f>""</f>
        <v/>
      </c>
      <c r="DJ295" t="str">
        <f>""</f>
        <v/>
      </c>
      <c r="DK295" t="str">
        <f>""</f>
        <v/>
      </c>
      <c r="DL295" t="str">
        <f>""</f>
        <v/>
      </c>
      <c r="DM295" t="str">
        <f>""</f>
        <v/>
      </c>
      <c r="DN295" t="str">
        <f>""</f>
        <v/>
      </c>
      <c r="DO295" t="str">
        <f>""</f>
        <v/>
      </c>
      <c r="DP295" t="str">
        <f>""</f>
        <v/>
      </c>
      <c r="DQ295" t="str">
        <f>""</f>
        <v/>
      </c>
      <c r="DR295" t="str">
        <f>""</f>
        <v/>
      </c>
      <c r="DS295" t="str">
        <f>""</f>
        <v/>
      </c>
      <c r="DT295" t="str">
        <f>""</f>
        <v/>
      </c>
      <c r="DU295" t="str">
        <f>""</f>
        <v/>
      </c>
    </row>
    <row r="296" spans="1:125" x14ac:dyDescent="0.25">
      <c r="A296" t="str">
        <f>"    Chongqing Changan Automobile Co Ltd"</f>
        <v xml:space="preserve">    Chongqing Changan Automobile Co Ltd</v>
      </c>
      <c r="B296" t="str">
        <f>"200625 CH Equity"</f>
        <v>200625 CH Equity</v>
      </c>
      <c r="C296" t="str">
        <f t="shared" si="21"/>
        <v>RR179</v>
      </c>
      <c r="D296" t="str">
        <f t="shared" si="22"/>
        <v>TANGIBLE_COMMON_EQUITY</v>
      </c>
      <c r="E296" t="str">
        <f t="shared" si="23"/>
        <v>Dynamic</v>
      </c>
      <c r="F296" t="str">
        <f ca="1">IF(AND(ISNUMBER($F$798),$B$511=1),$F$798,HLOOKUP(INDIRECT(ADDRESS(2,COLUMN())),OFFSET($BN$2,0,0,ROW()-1,60),ROW()-1,FALSE))</f>
        <v/>
      </c>
      <c r="G296" t="str">
        <f ca="1">IF(AND(ISNUMBER($G$798),$B$511=1),$G$798,HLOOKUP(INDIRECT(ADDRESS(2,COLUMN())),OFFSET($BN$2,0,0,ROW()-1,60),ROW()-1,FALSE))</f>
        <v/>
      </c>
      <c r="H296">
        <f ca="1">IF(AND(ISNUMBER($H$798),$B$511=1),$H$798,HLOOKUP(INDIRECT(ADDRESS(2,COLUMN())),OFFSET($BN$2,0,0,ROW()-1,60),ROW()-1,FALSE))</f>
        <v>6076.4920279999997</v>
      </c>
      <c r="I296">
        <f ca="1">IF(AND(ISNUMBER($I$798),$B$511=1),$I$798,HLOOKUP(INDIRECT(ADDRESS(2,COLUMN())),OFFSET($BN$2,0,0,ROW()-1,60),ROW()-1,FALSE))</f>
        <v>6716.5991080000003</v>
      </c>
      <c r="J296">
        <f ca="1">IF(AND(ISNUMBER($J$798),$B$511=1),$J$798,HLOOKUP(INDIRECT(ADDRESS(2,COLUMN())),OFFSET($BN$2,0,0,ROW()-1,60),ROW()-1,FALSE))</f>
        <v>6999.7642509999996</v>
      </c>
      <c r="K296">
        <f ca="1">IF(AND(ISNUMBER($K$798),$B$511=1),$K$798,HLOOKUP(INDIRECT(ADDRESS(2,COLUMN())),OFFSET($BN$2,0,0,ROW()-1,60),ROW()-1,FALSE))</f>
        <v>6886.3743539999996</v>
      </c>
      <c r="L296">
        <f ca="1">IF(AND(ISNUMBER($L$798),$B$511=1),$L$798,HLOOKUP(INDIRECT(ADDRESS(2,COLUMN())),OFFSET($BN$2,0,0,ROW()-1,60),ROW()-1,FALSE))</f>
        <v>6248.9214700000002</v>
      </c>
      <c r="M296">
        <f ca="1">IF(AND(ISNUMBER($M$798),$B$511=1),$M$798,HLOOKUP(INDIRECT(ADDRESS(2,COLUMN())),OFFSET($BN$2,0,0,ROW()-1,60),ROW()-1,FALSE))</f>
        <v>6270.7314370000004</v>
      </c>
      <c r="N296">
        <f ca="1">IF(AND(ISNUMBER($N$798),$B$511=1),$N$798,HLOOKUP(INDIRECT(ADDRESS(2,COLUMN())),OFFSET($BN$2,0,0,ROW()-1,60),ROW()-1,FALSE))</f>
        <v>6002.2646569999997</v>
      </c>
      <c r="O296">
        <f ca="1">IF(AND(ISNUMBER($O$798),$B$511=1),$O$798,HLOOKUP(INDIRECT(ADDRESS(2,COLUMN())),OFFSET($BN$2,0,0,ROW()-1,60),ROW()-1,FALSE))</f>
        <v>5926.8795419999997</v>
      </c>
      <c r="P296">
        <f ca="1">IF(AND(ISNUMBER($P$798),$B$511=1),$P$798,HLOOKUP(INDIRECT(ADDRESS(2,COLUMN())),OFFSET($BN$2,0,0,ROW()-1,60),ROW()-1,FALSE))</f>
        <v>5194.3572750000003</v>
      </c>
      <c r="Q296">
        <f ca="1">IF(AND(ISNUMBER($Q$798),$B$511=1),$Q$798,HLOOKUP(INDIRECT(ADDRESS(2,COLUMN())),OFFSET($BN$2,0,0,ROW()-1,60),ROW()-1,FALSE))</f>
        <v>5204.6184579999999</v>
      </c>
      <c r="R296">
        <f ca="1">IF(AND(ISNUMBER($R$798),$B$511=1),$R$798,HLOOKUP(INDIRECT(ADDRESS(2,COLUMN())),OFFSET($BN$2,0,0,ROW()-1,60),ROW()-1,FALSE))</f>
        <v>5119.35754</v>
      </c>
      <c r="S296">
        <f ca="1">IF(AND(ISNUMBER($S$798),$B$511=1),$S$798,HLOOKUP(INDIRECT(ADDRESS(2,COLUMN())),OFFSET($BN$2,0,0,ROW()-1,60),ROW()-1,FALSE))</f>
        <v>4992.6029390000003</v>
      </c>
      <c r="T296">
        <f ca="1">IF(AND(ISNUMBER($T$798),$B$511=1),$T$798,HLOOKUP(INDIRECT(ADDRESS(2,COLUMN())),OFFSET($BN$2,0,0,ROW()-1,60),ROW()-1,FALSE))</f>
        <v>4289.0544600000003</v>
      </c>
      <c r="U296">
        <f ca="1">IF(AND(ISNUMBER($U$798),$B$511=1),$U$798,HLOOKUP(INDIRECT(ADDRESS(2,COLUMN())),OFFSET($BN$2,0,0,ROW()-1,60),ROW()-1,FALSE))</f>
        <v>4469.6715759999997</v>
      </c>
      <c r="V296">
        <f ca="1">IF(AND(ISNUMBER($V$798),$B$511=1),$V$798,HLOOKUP(INDIRECT(ADDRESS(2,COLUMN())),OFFSET($BN$2,0,0,ROW()-1,60),ROW()-1,FALSE))</f>
        <v>3963.214019</v>
      </c>
      <c r="W296">
        <f ca="1">IF(AND(ISNUMBER($W$798),$B$511=1),$W$798,HLOOKUP(INDIRECT(ADDRESS(2,COLUMN())),OFFSET($BN$2,0,0,ROW()-1,60),ROW()-1,FALSE))</f>
        <v>3848.2025659999999</v>
      </c>
      <c r="X296">
        <f ca="1">IF(AND(ISNUMBER($X$798),$B$511=1),$X$798,HLOOKUP(INDIRECT(ADDRESS(2,COLUMN())),OFFSET($BN$2,0,0,ROW()-1,60),ROW()-1,FALSE))</f>
        <v>3309.7450690000001</v>
      </c>
      <c r="Y296">
        <f ca="1">IF(AND(ISNUMBER($Y$798),$B$511=1),$Y$798,HLOOKUP(INDIRECT(ADDRESS(2,COLUMN())),OFFSET($BN$2,0,0,ROW()-1,60),ROW()-1,FALSE))</f>
        <v>3210.459996</v>
      </c>
      <c r="Z296">
        <f ca="1">IF(AND(ISNUMBER($Z$798),$B$511=1),$Z$798,HLOOKUP(INDIRECT(ADDRESS(2,COLUMN())),OFFSET($BN$2,0,0,ROW()-1,60),ROW()-1,FALSE))</f>
        <v>2882.4630480000001</v>
      </c>
      <c r="AA296">
        <f ca="1">IF(AND(ISNUMBER($AA$798),$B$511=1),$AA$798,HLOOKUP(INDIRECT(ADDRESS(2,COLUMN())),OFFSET($BN$2,0,0,ROW()-1,60),ROW()-1,FALSE))</f>
        <v>2862.8549760000001</v>
      </c>
      <c r="AB296">
        <f ca="1">IF(AND(ISNUMBER($AB$798),$B$511=1),$AB$798,HLOOKUP(INDIRECT(ADDRESS(2,COLUMN())),OFFSET($BN$2,0,0,ROW()-1,60),ROW()-1,FALSE))</f>
        <v>2447.8339820000001</v>
      </c>
      <c r="AC296">
        <f ca="1">IF(AND(ISNUMBER($AC$798),$B$511=1),$AC$798,HLOOKUP(INDIRECT(ADDRESS(2,COLUMN())),OFFSET($BN$2,0,0,ROW()-1,60),ROW()-1,FALSE))</f>
        <v>2493.1786860000002</v>
      </c>
      <c r="AD296">
        <f ca="1">IF(AND(ISNUMBER($AD$798),$B$511=1),$AD$798,HLOOKUP(INDIRECT(ADDRESS(2,COLUMN())),OFFSET($BN$2,0,0,ROW()-1,60),ROW()-1,FALSE))</f>
        <v>2179.5662790000001</v>
      </c>
      <c r="AE296">
        <f ca="1">IF(AND(ISNUMBER($AE$798),$B$511=1),$AE$798,HLOOKUP(INDIRECT(ADDRESS(2,COLUMN())),OFFSET($BN$2,0,0,ROW()-1,60),ROW()-1,FALSE))</f>
        <v>2279.1362610000001</v>
      </c>
      <c r="AF296">
        <f ca="1">IF(AND(ISNUMBER($AF$798),$B$511=1),$AF$798,HLOOKUP(INDIRECT(ADDRESS(2,COLUMN())),OFFSET($BN$2,0,0,ROW()-1,60),ROW()-1,FALSE))</f>
        <v>1986.7096959999999</v>
      </c>
      <c r="AG296">
        <f ca="1">IF(AND(ISNUMBER($AG$798),$B$511=1),$AG$798,HLOOKUP(INDIRECT(ADDRESS(2,COLUMN())),OFFSET($BN$2,0,0,ROW()-1,60),ROW()-1,FALSE))</f>
        <v>2159.2043699999999</v>
      </c>
      <c r="AH296">
        <f ca="1">IF(AND(ISNUMBER($AH$798),$B$511=1),$AH$798,HLOOKUP(INDIRECT(ADDRESS(2,COLUMN())),OFFSET($BN$2,0,0,ROW()-1,60),ROW()-1,FALSE))</f>
        <v>1928.77836</v>
      </c>
      <c r="AI296">
        <f ca="1">IF(AND(ISNUMBER($AI$798),$B$511=1),$AI$798,HLOOKUP(INDIRECT(ADDRESS(2,COLUMN())),OFFSET($BN$2,0,0,ROW()-1,60),ROW()-1,FALSE))</f>
        <v>2172.7357099999999</v>
      </c>
      <c r="AJ296">
        <f ca="1">IF(AND(ISNUMBER($AJ$798),$B$511=1),$AJ$798,HLOOKUP(INDIRECT(ADDRESS(2,COLUMN())),OFFSET($BN$2,0,0,ROW()-1,60),ROW()-1,FALSE))</f>
        <v>2052.8489180000001</v>
      </c>
      <c r="AK296">
        <f ca="1">IF(AND(ISNUMBER($AK$798),$B$511=1),$AK$798,HLOOKUP(INDIRECT(ADDRESS(2,COLUMN())),OFFSET($BN$2,0,0,ROW()-1,60),ROW()-1,FALSE))</f>
        <v>2204.1944199999998</v>
      </c>
      <c r="AL296">
        <f ca="1">IF(AND(ISNUMBER($AL$798),$B$511=1),$AL$798,HLOOKUP(INDIRECT(ADDRESS(2,COLUMN())),OFFSET($BN$2,0,0,ROW()-1,60),ROW()-1,FALSE))</f>
        <v>2084.395732</v>
      </c>
      <c r="AM296">
        <f ca="1">IF(AND(ISNUMBER($AM$798),$B$511=1),$AM$798,HLOOKUP(INDIRECT(ADDRESS(2,COLUMN())),OFFSET($BN$2,0,0,ROW()-1,60),ROW()-1,FALSE))</f>
        <v>1551.3388870000001</v>
      </c>
      <c r="AN296">
        <f ca="1">IF(AND(ISNUMBER($AN$798),$B$511=1),$AN$798,HLOOKUP(INDIRECT(ADDRESS(2,COLUMN())),OFFSET($BN$2,0,0,ROW()-1,60),ROW()-1,FALSE))</f>
        <v>1373.589146</v>
      </c>
      <c r="AO296">
        <f ca="1">IF(AND(ISNUMBER($AO$798),$B$511=1),$AO$798,HLOOKUP(INDIRECT(ADDRESS(2,COLUMN())),OFFSET($BN$2,0,0,ROW()-1,60),ROW()-1,FALSE))</f>
        <v>1387.775425</v>
      </c>
      <c r="AP296">
        <f ca="1">IF(AND(ISNUMBER($AP$798),$B$511=1),$AP$798,HLOOKUP(INDIRECT(ADDRESS(2,COLUMN())),OFFSET($BN$2,0,0,ROW()-1,60),ROW()-1,FALSE))</f>
        <v>1316.653691</v>
      </c>
      <c r="AQ296">
        <f ca="1">IF(AND(ISNUMBER($AQ$798),$B$511=1),$AQ$798,HLOOKUP(INDIRECT(ADDRESS(2,COLUMN())),OFFSET($BN$2,0,0,ROW()-1,60),ROW()-1,FALSE))</f>
        <v>1254.6781450000001</v>
      </c>
      <c r="AR296">
        <f ca="1">IF(AND(ISNUMBER($AR$798),$B$511=1),$AR$798,HLOOKUP(INDIRECT(ADDRESS(2,COLUMN())),OFFSET($BN$2,0,0,ROW()-1,60),ROW()-1,FALSE))</f>
        <v>1149.8742239999999</v>
      </c>
      <c r="AS296">
        <f ca="1">IF(AND(ISNUMBER($AS$798),$B$511=1),$AS$798,HLOOKUP(INDIRECT(ADDRESS(2,COLUMN())),OFFSET($BN$2,0,0,ROW()-1,60),ROW()-1,FALSE))</f>
        <v>1116.144591</v>
      </c>
      <c r="AT296">
        <f ca="1">IF(AND(ISNUMBER($AT$798),$B$511=1),$AT$798,HLOOKUP(INDIRECT(ADDRESS(2,COLUMN())),OFFSET($BN$2,0,0,ROW()-1,60),ROW()-1,FALSE))</f>
        <v>1049.2350409999999</v>
      </c>
      <c r="AU296">
        <f ca="1">IF(AND(ISNUMBER($AU$798),$B$511=1),$AU$798,HLOOKUP(INDIRECT(ADDRESS(2,COLUMN())),OFFSET($BN$2,0,0,ROW()-1,60),ROW()-1,FALSE))</f>
        <v>1104.2112050000001</v>
      </c>
      <c r="AV296">
        <f ca="1">IF(AND(ISNUMBER($AV$798),$B$511=1),$AV$798,HLOOKUP(INDIRECT(ADDRESS(2,COLUMN())),OFFSET($BN$2,0,0,ROW()-1,60),ROW()-1,FALSE))</f>
        <v>1136.7545729999999</v>
      </c>
      <c r="AW296">
        <f ca="1">IF(AND(ISNUMBER($AW$798),$B$511=1),$AW$798,HLOOKUP(INDIRECT(ADDRESS(2,COLUMN())),OFFSET($BN$2,0,0,ROW()-1,60),ROW()-1,FALSE))</f>
        <v>1164.8776379999999</v>
      </c>
      <c r="AX296">
        <f ca="1">IF(AND(ISNUMBER($AX$798),$B$511=1),$AX$798,HLOOKUP(INDIRECT(ADDRESS(2,COLUMN())),OFFSET($BN$2,0,0,ROW()-1,60),ROW()-1,FALSE))</f>
        <v>1078.7448870000001</v>
      </c>
      <c r="AY296">
        <f ca="1">IF(AND(ISNUMBER($AY$798),$B$511=1),$AY$798,HLOOKUP(INDIRECT(ADDRESS(2,COLUMN())),OFFSET($BN$2,0,0,ROW()-1,60),ROW()-1,FALSE))</f>
        <v>1032.9187710000001</v>
      </c>
      <c r="AZ296">
        <f ca="1">IF(AND(ISNUMBER($AZ$798),$B$511=1),$AZ$798,HLOOKUP(INDIRECT(ADDRESS(2,COLUMN())),OFFSET($BN$2,0,0,ROW()-1,60),ROW()-1,FALSE))</f>
        <v>996.29334110000002</v>
      </c>
      <c r="BA296">
        <f ca="1">IF(AND(ISNUMBER($BA$798),$B$511=1),$BA$798,HLOOKUP(INDIRECT(ADDRESS(2,COLUMN())),OFFSET($BN$2,0,0,ROW()-1,60),ROW()-1,FALSE))</f>
        <v>987.09202449999998</v>
      </c>
      <c r="BB296">
        <f ca="1">IF(AND(ISNUMBER($BB$798),$B$511=1),$BB$798,HLOOKUP(INDIRECT(ADDRESS(2,COLUMN())),OFFSET($BN$2,0,0,ROW()-1,60),ROW()-1,FALSE))</f>
        <v>940.81853160000003</v>
      </c>
      <c r="BC296">
        <f ca="1">IF(AND(ISNUMBER($BC$798),$B$511=1),$BC$798,HLOOKUP(INDIRECT(ADDRESS(2,COLUMN())),OFFSET($BN$2,0,0,ROW()-1,60),ROW()-1,FALSE))</f>
        <v>887.45453010000006</v>
      </c>
      <c r="BD296" t="str">
        <f ca="1">IF(AND(ISNUMBER($BD$798),$B$511=1),$BD$798,HLOOKUP(INDIRECT(ADDRESS(2,COLUMN())),OFFSET($BN$2,0,0,ROW()-1,60),ROW()-1,FALSE))</f>
        <v/>
      </c>
      <c r="BE296">
        <f ca="1">IF(AND(ISNUMBER($BE$798),$B$511=1),$BE$798,HLOOKUP(INDIRECT(ADDRESS(2,COLUMN())),OFFSET($BN$2,0,0,ROW()-1,60),ROW()-1,FALSE))</f>
        <v>896.83457940000005</v>
      </c>
      <c r="BF296" t="str">
        <f ca="1">IF(AND(ISNUMBER($BF$798),$B$511=1),$BF$798,HLOOKUP(INDIRECT(ADDRESS(2,COLUMN())),OFFSET($BN$2,0,0,ROW()-1,60),ROW()-1,FALSE))</f>
        <v/>
      </c>
      <c r="BG296">
        <f ca="1">IF(AND(ISNUMBER($BG$798),$B$511=1),$BG$798,HLOOKUP(INDIRECT(ADDRESS(2,COLUMN())),OFFSET($BN$2,0,0,ROW()-1,60),ROW()-1,FALSE))</f>
        <v>828.20507859999998</v>
      </c>
      <c r="BH296" t="str">
        <f ca="1">IF(AND(ISNUMBER($BH$798),$B$511=1),$BH$798,HLOOKUP(INDIRECT(ADDRESS(2,COLUMN())),OFFSET($BN$2,0,0,ROW()-1,60),ROW()-1,FALSE))</f>
        <v/>
      </c>
      <c r="BI296" t="str">
        <f ca="1">IF(AND(ISNUMBER($BI$798),$B$511=1),$BI$798,HLOOKUP(INDIRECT(ADDRESS(2,COLUMN())),OFFSET($BN$2,0,0,ROW()-1,60),ROW()-1,FALSE))</f>
        <v/>
      </c>
      <c r="BJ296" t="str">
        <f ca="1">IF(AND(ISNUMBER($BJ$798),$B$511=1),$BJ$798,HLOOKUP(INDIRECT(ADDRESS(2,COLUMN())),OFFSET($BN$2,0,0,ROW()-1,60),ROW()-1,FALSE))</f>
        <v/>
      </c>
      <c r="BK296">
        <f ca="1">IF(AND(ISNUMBER($BK$798),$B$511=1),$BK$798,HLOOKUP(INDIRECT(ADDRESS(2,COLUMN())),OFFSET($BN$2,0,0,ROW()-1,60),ROW()-1,FALSE))</f>
        <v>837.46008410000002</v>
      </c>
      <c r="BL296" t="str">
        <f ca="1">IF(AND(ISNUMBER($BL$798),$B$511=1),$BL$798,HLOOKUP(INDIRECT(ADDRESS(2,COLUMN())),OFFSET($BN$2,0,0,ROW()-1,60),ROW()-1,FALSE))</f>
        <v/>
      </c>
      <c r="BM296" t="str">
        <f ca="1">IF(AND(ISNUMBER($BM$798),$B$511=1),$BM$798,HLOOKUP(INDIRECT(ADDRESS(2,COLUMN())),OFFSET($BN$2,0,0,ROW()-1,60),ROW()-1,FALSE))</f>
        <v/>
      </c>
      <c r="BN296" t="str">
        <f>""</f>
        <v/>
      </c>
      <c r="BO296" t="str">
        <f>""</f>
        <v/>
      </c>
      <c r="BP296">
        <f>6076.492028</f>
        <v>6076.4920279999997</v>
      </c>
      <c r="BQ296">
        <f>6716.599108</f>
        <v>6716.5991080000003</v>
      </c>
      <c r="BR296">
        <f>6999.764251</f>
        <v>6999.7642509999996</v>
      </c>
      <c r="BS296">
        <f>6886.374354</f>
        <v>6886.3743539999996</v>
      </c>
      <c r="BT296">
        <f>6248.92147</f>
        <v>6248.9214700000002</v>
      </c>
      <c r="BU296">
        <f>6270.731437</f>
        <v>6270.7314370000004</v>
      </c>
      <c r="BV296">
        <f>6002.264657</f>
        <v>6002.2646569999997</v>
      </c>
      <c r="BW296">
        <f>5926.879542</f>
        <v>5926.8795419999997</v>
      </c>
      <c r="BX296">
        <f>5194.357275</f>
        <v>5194.3572750000003</v>
      </c>
      <c r="BY296">
        <f>5204.618458</f>
        <v>5204.6184579999999</v>
      </c>
      <c r="BZ296">
        <f>5119.35754</f>
        <v>5119.35754</v>
      </c>
      <c r="CA296">
        <f>4992.602939</f>
        <v>4992.6029390000003</v>
      </c>
      <c r="CB296">
        <f>4289.05446</f>
        <v>4289.0544600000003</v>
      </c>
      <c r="CC296">
        <f>4469.671576</f>
        <v>4469.6715759999997</v>
      </c>
      <c r="CD296">
        <f>3963.214019</f>
        <v>3963.214019</v>
      </c>
      <c r="CE296">
        <f>3848.202566</f>
        <v>3848.2025659999999</v>
      </c>
      <c r="CF296">
        <f>3309.745069</f>
        <v>3309.7450690000001</v>
      </c>
      <c r="CG296">
        <f>3210.459996</f>
        <v>3210.459996</v>
      </c>
      <c r="CH296">
        <f>2882.463048</f>
        <v>2882.4630480000001</v>
      </c>
      <c r="CI296">
        <f>2862.854976</f>
        <v>2862.8549760000001</v>
      </c>
      <c r="CJ296">
        <f>2447.833982</f>
        <v>2447.8339820000001</v>
      </c>
      <c r="CK296">
        <f>2493.178686</f>
        <v>2493.1786860000002</v>
      </c>
      <c r="CL296">
        <f>2179.566279</f>
        <v>2179.5662790000001</v>
      </c>
      <c r="CM296">
        <f>2279.136261</f>
        <v>2279.1362610000001</v>
      </c>
      <c r="CN296">
        <f>1986.709696</f>
        <v>1986.7096959999999</v>
      </c>
      <c r="CO296">
        <f>2159.20437</f>
        <v>2159.2043699999999</v>
      </c>
      <c r="CP296">
        <f>1928.77836</f>
        <v>1928.77836</v>
      </c>
      <c r="CQ296">
        <f>2172.73571</f>
        <v>2172.7357099999999</v>
      </c>
      <c r="CR296">
        <f>2052.848918</f>
        <v>2052.8489180000001</v>
      </c>
      <c r="CS296">
        <f>2204.19442</f>
        <v>2204.1944199999998</v>
      </c>
      <c r="CT296">
        <f>2084.395732</f>
        <v>2084.395732</v>
      </c>
      <c r="CU296">
        <f>1551.338887</f>
        <v>1551.3388870000001</v>
      </c>
      <c r="CV296">
        <f>1373.589146</f>
        <v>1373.589146</v>
      </c>
      <c r="CW296">
        <f>1387.775425</f>
        <v>1387.775425</v>
      </c>
      <c r="CX296">
        <f>1316.653691</f>
        <v>1316.653691</v>
      </c>
      <c r="CY296">
        <f>1254.678145</f>
        <v>1254.6781450000001</v>
      </c>
      <c r="CZ296">
        <f>1149.874224</f>
        <v>1149.8742239999999</v>
      </c>
      <c r="DA296">
        <f>1116.144591</f>
        <v>1116.144591</v>
      </c>
      <c r="DB296">
        <f>1049.235041</f>
        <v>1049.2350409999999</v>
      </c>
      <c r="DC296">
        <f>1104.211205</f>
        <v>1104.2112050000001</v>
      </c>
      <c r="DD296">
        <f>1136.754573</f>
        <v>1136.7545729999999</v>
      </c>
      <c r="DE296">
        <f>1164.877638</f>
        <v>1164.8776379999999</v>
      </c>
      <c r="DF296">
        <f>1078.744887</f>
        <v>1078.7448870000001</v>
      </c>
      <c r="DG296">
        <f>1032.918771</f>
        <v>1032.9187710000001</v>
      </c>
      <c r="DH296">
        <f>996.2933411</f>
        <v>996.29334110000002</v>
      </c>
      <c r="DI296">
        <f>987.0920245</f>
        <v>987.09202449999998</v>
      </c>
      <c r="DJ296">
        <f>940.8185316</f>
        <v>940.81853160000003</v>
      </c>
      <c r="DK296">
        <f>887.4545301</f>
        <v>887.45453010000006</v>
      </c>
      <c r="DL296" t="str">
        <f>""</f>
        <v/>
      </c>
      <c r="DM296">
        <f>896.8345794</f>
        <v>896.83457940000005</v>
      </c>
      <c r="DN296" t="str">
        <f>""</f>
        <v/>
      </c>
      <c r="DO296">
        <f>828.2050786</f>
        <v>828.20507859999998</v>
      </c>
      <c r="DP296" t="str">
        <f>""</f>
        <v/>
      </c>
      <c r="DQ296" t="str">
        <f>""</f>
        <v/>
      </c>
      <c r="DR296" t="str">
        <f>""</f>
        <v/>
      </c>
      <c r="DS296">
        <f>837.4600841</f>
        <v>837.46008410000002</v>
      </c>
      <c r="DT296" t="str">
        <f>""</f>
        <v/>
      </c>
      <c r="DU296" t="str">
        <f>""</f>
        <v/>
      </c>
    </row>
    <row r="297" spans="1:125" x14ac:dyDescent="0.25">
      <c r="A297" t="str">
        <f>"    Daihatsu Motor Co Ltd"</f>
        <v xml:space="preserve">    Daihatsu Motor Co Ltd</v>
      </c>
      <c r="B297" t="str">
        <f>"7262 JP Equity"</f>
        <v>7262 JP Equity</v>
      </c>
      <c r="C297" t="str">
        <f t="shared" si="21"/>
        <v>RR179</v>
      </c>
      <c r="D297" t="str">
        <f t="shared" si="22"/>
        <v>TANGIBLE_COMMON_EQUITY</v>
      </c>
      <c r="E297" t="str">
        <f t="shared" si="23"/>
        <v>Dynamic</v>
      </c>
      <c r="F297" t="str">
        <f ca="1">IF(AND(ISNUMBER($F$799),$B$511=1),$F$799,HLOOKUP(INDIRECT(ADDRESS(2,COLUMN())),OFFSET($BN$2,0,0,ROW()-1,60),ROW()-1,FALSE))</f>
        <v/>
      </c>
      <c r="G297" t="str">
        <f ca="1">IF(AND(ISNUMBER($G$799),$B$511=1),$G$799,HLOOKUP(INDIRECT(ADDRESS(2,COLUMN())),OFFSET($BN$2,0,0,ROW()-1,60),ROW()-1,FALSE))</f>
        <v/>
      </c>
      <c r="H297" t="str">
        <f ca="1">IF(AND(ISNUMBER($H$799),$B$511=1),$H$799,HLOOKUP(INDIRECT(ADDRESS(2,COLUMN())),OFFSET($BN$2,0,0,ROW()-1,60),ROW()-1,FALSE))</f>
        <v/>
      </c>
      <c r="I297" t="str">
        <f ca="1">IF(AND(ISNUMBER($I$799),$B$511=1),$I$799,HLOOKUP(INDIRECT(ADDRESS(2,COLUMN())),OFFSET($BN$2,0,0,ROW()-1,60),ROW()-1,FALSE))</f>
        <v/>
      </c>
      <c r="J297" t="str">
        <f ca="1">IF(AND(ISNUMBER($J$799),$B$511=1),$J$799,HLOOKUP(INDIRECT(ADDRESS(2,COLUMN())),OFFSET($BN$2,0,0,ROW()-1,60),ROW()-1,FALSE))</f>
        <v/>
      </c>
      <c r="K297" t="str">
        <f ca="1">IF(AND(ISNUMBER($K$799),$B$511=1),$K$799,HLOOKUP(INDIRECT(ADDRESS(2,COLUMN())),OFFSET($BN$2,0,0,ROW()-1,60),ROW()-1,FALSE))</f>
        <v/>
      </c>
      <c r="L297" t="str">
        <f ca="1">IF(AND(ISNUMBER($L$799),$B$511=1),$L$799,HLOOKUP(INDIRECT(ADDRESS(2,COLUMN())),OFFSET($BN$2,0,0,ROW()-1,60),ROW()-1,FALSE))</f>
        <v/>
      </c>
      <c r="M297" t="str">
        <f ca="1">IF(AND(ISNUMBER($M$799),$B$511=1),$M$799,HLOOKUP(INDIRECT(ADDRESS(2,COLUMN())),OFFSET($BN$2,0,0,ROW()-1,60),ROW()-1,FALSE))</f>
        <v/>
      </c>
      <c r="N297" t="str">
        <f ca="1">IF(AND(ISNUMBER($N$799),$B$511=1),$N$799,HLOOKUP(INDIRECT(ADDRESS(2,COLUMN())),OFFSET($BN$2,0,0,ROW()-1,60),ROW()-1,FALSE))</f>
        <v/>
      </c>
      <c r="O297" t="str">
        <f ca="1">IF(AND(ISNUMBER($O$799),$B$511=1),$O$799,HLOOKUP(INDIRECT(ADDRESS(2,COLUMN())),OFFSET($BN$2,0,0,ROW()-1,60),ROW()-1,FALSE))</f>
        <v/>
      </c>
      <c r="P297" t="str">
        <f ca="1">IF(AND(ISNUMBER($P$799),$B$511=1),$P$799,HLOOKUP(INDIRECT(ADDRESS(2,COLUMN())),OFFSET($BN$2,0,0,ROW()-1,60),ROW()-1,FALSE))</f>
        <v/>
      </c>
      <c r="Q297" t="str">
        <f ca="1">IF(AND(ISNUMBER($Q$799),$B$511=1),$Q$799,HLOOKUP(INDIRECT(ADDRESS(2,COLUMN())),OFFSET($BN$2,0,0,ROW()-1,60),ROW()-1,FALSE))</f>
        <v/>
      </c>
      <c r="R297">
        <f ca="1">IF(AND(ISNUMBER($R$799),$B$511=1),$R$799,HLOOKUP(INDIRECT(ADDRESS(2,COLUMN())),OFFSET($BN$2,0,0,ROW()-1,60),ROW()-1,FALSE))</f>
        <v>5436.7111109999996</v>
      </c>
      <c r="S297">
        <f ca="1">IF(AND(ISNUMBER($S$799),$B$511=1),$S$799,HLOOKUP(INDIRECT(ADDRESS(2,COLUMN())),OFFSET($BN$2,0,0,ROW()-1,60),ROW()-1,FALSE))</f>
        <v>4995.2995010000004</v>
      </c>
      <c r="T297">
        <f ca="1">IF(AND(ISNUMBER($T$799),$B$511=1),$T$799,HLOOKUP(INDIRECT(ADDRESS(2,COLUMN())),OFFSET($BN$2,0,0,ROW()-1,60),ROW()-1,FALSE))</f>
        <v>4996.5070610000002</v>
      </c>
      <c r="U297">
        <f ca="1">IF(AND(ISNUMBER($U$799),$B$511=1),$U$799,HLOOKUP(INDIRECT(ADDRESS(2,COLUMN())),OFFSET($BN$2,0,0,ROW()-1,60),ROW()-1,FALSE))</f>
        <v>4967.9249920000002</v>
      </c>
      <c r="V297">
        <f ca="1">IF(AND(ISNUMBER($V$799),$B$511=1),$V$799,HLOOKUP(INDIRECT(ADDRESS(2,COLUMN())),OFFSET($BN$2,0,0,ROW()-1,60),ROW()-1,FALSE))</f>
        <v>5089.6373489999996</v>
      </c>
      <c r="W297">
        <f ca="1">IF(AND(ISNUMBER($W$799),$B$511=1),$W$799,HLOOKUP(INDIRECT(ADDRESS(2,COLUMN())),OFFSET($BN$2,0,0,ROW()-1,60),ROW()-1,FALSE))</f>
        <v>4770.8694930000001</v>
      </c>
      <c r="X297">
        <f ca="1">IF(AND(ISNUMBER($X$799),$B$511=1),$X$799,HLOOKUP(INDIRECT(ADDRESS(2,COLUMN())),OFFSET($BN$2,0,0,ROW()-1,60),ROW()-1,FALSE))</f>
        <v>5144.9662589999998</v>
      </c>
      <c r="Y297">
        <f ca="1">IF(AND(ISNUMBER($Y$799),$B$511=1),$Y$799,HLOOKUP(INDIRECT(ADDRESS(2,COLUMN())),OFFSET($BN$2,0,0,ROW()-1,60),ROW()-1,FALSE))</f>
        <v>5464.6658109999998</v>
      </c>
      <c r="Z297">
        <f ca="1">IF(AND(ISNUMBER($Z$799),$B$511=1),$Z$799,HLOOKUP(INDIRECT(ADDRESS(2,COLUMN())),OFFSET($BN$2,0,0,ROW()-1,60),ROW()-1,FALSE))</f>
        <v>5278.9366449999998</v>
      </c>
      <c r="AA297">
        <f ca="1">IF(AND(ISNUMBER($AA$799),$B$511=1),$AA$799,HLOOKUP(INDIRECT(ADDRESS(2,COLUMN())),OFFSET($BN$2,0,0,ROW()-1,60),ROW()-1,FALSE))</f>
        <v>4966.0364810000001</v>
      </c>
      <c r="AB297">
        <f ca="1">IF(AND(ISNUMBER($AB$799),$B$511=1),$AB$799,HLOOKUP(INDIRECT(ADDRESS(2,COLUMN())),OFFSET($BN$2,0,0,ROW()-1,60),ROW()-1,FALSE))</f>
        <v>5241.3196209999996</v>
      </c>
      <c r="AC297">
        <f ca="1">IF(AND(ISNUMBER($AC$799),$B$511=1),$AC$799,HLOOKUP(INDIRECT(ADDRESS(2,COLUMN())),OFFSET($BN$2,0,0,ROW()-1,60),ROW()-1,FALSE))</f>
        <v>5117.9200639999999</v>
      </c>
      <c r="AD297">
        <f ca="1">IF(AND(ISNUMBER($AD$799),$B$511=1),$AD$799,HLOOKUP(INDIRECT(ADDRESS(2,COLUMN())),OFFSET($BN$2,0,0,ROW()-1,60),ROW()-1,FALSE))</f>
        <v>5233.2625770000004</v>
      </c>
      <c r="AE297">
        <f ca="1">IF(AND(ISNUMBER($AE$799),$B$511=1),$AE$799,HLOOKUP(INDIRECT(ADDRESS(2,COLUMN())),OFFSET($BN$2,0,0,ROW()-1,60),ROW()-1,FALSE))</f>
        <v>5282.8099750000001</v>
      </c>
      <c r="AF297">
        <f ca="1">IF(AND(ISNUMBER($AF$799),$B$511=1),$AF$799,HLOOKUP(INDIRECT(ADDRESS(2,COLUMN())),OFFSET($BN$2,0,0,ROW()-1,60),ROW()-1,FALSE))</f>
        <v>5739.5533880000003</v>
      </c>
      <c r="AG297">
        <f ca="1">IF(AND(ISNUMBER($AG$799),$B$511=1),$AG$799,HLOOKUP(INDIRECT(ADDRESS(2,COLUMN())),OFFSET($BN$2,0,0,ROW()-1,60),ROW()-1,FALSE))</f>
        <v>5354.6491230000001</v>
      </c>
      <c r="AH297">
        <f ca="1">IF(AND(ISNUMBER($AH$799),$B$511=1),$AH$799,HLOOKUP(INDIRECT(ADDRESS(2,COLUMN())),OFFSET($BN$2,0,0,ROW()-1,60),ROW()-1,FALSE))</f>
        <v>5120.9246039999998</v>
      </c>
      <c r="AI297">
        <f ca="1">IF(AND(ISNUMBER($AI$799),$B$511=1),$AI$799,HLOOKUP(INDIRECT(ADDRESS(2,COLUMN())),OFFSET($BN$2,0,0,ROW()-1,60),ROW()-1,FALSE))</f>
        <v>5065.5279909999999</v>
      </c>
      <c r="AJ297">
        <f ca="1">IF(AND(ISNUMBER($AJ$799),$B$511=1),$AJ$799,HLOOKUP(INDIRECT(ADDRESS(2,COLUMN())),OFFSET($BN$2,0,0,ROW()-1,60),ROW()-1,FALSE))</f>
        <v>5009.2947889999996</v>
      </c>
      <c r="AK297">
        <f ca="1">IF(AND(ISNUMBER($AK$799),$B$511=1),$AK$799,HLOOKUP(INDIRECT(ADDRESS(2,COLUMN())),OFFSET($BN$2,0,0,ROW()-1,60),ROW()-1,FALSE))</f>
        <v>4669.3768620000001</v>
      </c>
      <c r="AL297">
        <f ca="1">IF(AND(ISNUMBER($AL$799),$B$511=1),$AL$799,HLOOKUP(INDIRECT(ADDRESS(2,COLUMN())),OFFSET($BN$2,0,0,ROW()-1,60),ROW()-1,FALSE))</f>
        <v>4569.1053970000003</v>
      </c>
      <c r="AM297">
        <f ca="1">IF(AND(ISNUMBER($AM$799),$B$511=1),$AM$799,HLOOKUP(INDIRECT(ADDRESS(2,COLUMN())),OFFSET($BN$2,0,0,ROW()-1,60),ROW()-1,FALSE))</f>
        <v>4493.0163810000004</v>
      </c>
      <c r="AN297">
        <f ca="1">IF(AND(ISNUMBER($AN$799),$B$511=1),$AN$799,HLOOKUP(INDIRECT(ADDRESS(2,COLUMN())),OFFSET($BN$2,0,0,ROW()-1,60),ROW()-1,FALSE))</f>
        <v>4289.7915169999997</v>
      </c>
      <c r="AO297">
        <f ca="1">IF(AND(ISNUMBER($AO$799),$B$511=1),$AO$799,HLOOKUP(INDIRECT(ADDRESS(2,COLUMN())),OFFSET($BN$2,0,0,ROW()-1,60),ROW()-1,FALSE))</f>
        <v>3976.202303</v>
      </c>
      <c r="AP297">
        <f ca="1">IF(AND(ISNUMBER($AP$799),$B$511=1),$AP$799,HLOOKUP(INDIRECT(ADDRESS(2,COLUMN())),OFFSET($BN$2,0,0,ROW()-1,60),ROW()-1,FALSE))</f>
        <v>3604.2166099999999</v>
      </c>
      <c r="AQ297">
        <f ca="1">IF(AND(ISNUMBER($AQ$799),$B$511=1),$AQ$799,HLOOKUP(INDIRECT(ADDRESS(2,COLUMN())),OFFSET($BN$2,0,0,ROW()-1,60),ROW()-1,FALSE))</f>
        <v>3526.3044880000002</v>
      </c>
      <c r="AR297">
        <f ca="1">IF(AND(ISNUMBER($AR$799),$B$511=1),$AR$799,HLOOKUP(INDIRECT(ADDRESS(2,COLUMN())),OFFSET($BN$2,0,0,ROW()-1,60),ROW()-1,FALSE))</f>
        <v>3591.9826050000001</v>
      </c>
      <c r="AS297">
        <f ca="1">IF(AND(ISNUMBER($AS$799),$B$511=1),$AS$799,HLOOKUP(INDIRECT(ADDRESS(2,COLUMN())),OFFSET($BN$2,0,0,ROW()-1,60),ROW()-1,FALSE))</f>
        <v>3360.6727569999998</v>
      </c>
      <c r="AT297">
        <f ca="1">IF(AND(ISNUMBER($AT$799),$B$511=1),$AT$799,HLOOKUP(INDIRECT(ADDRESS(2,COLUMN())),OFFSET($BN$2,0,0,ROW()-1,60),ROW()-1,FALSE))</f>
        <v>3169.330649</v>
      </c>
      <c r="AU297">
        <f ca="1">IF(AND(ISNUMBER($AU$799),$B$511=1),$AU$799,HLOOKUP(INDIRECT(ADDRESS(2,COLUMN())),OFFSET($BN$2,0,0,ROW()-1,60),ROW()-1,FALSE))</f>
        <v>3474.6778279999999</v>
      </c>
      <c r="AV297">
        <f ca="1">IF(AND(ISNUMBER($AV$799),$B$511=1),$AV$799,HLOOKUP(INDIRECT(ADDRESS(2,COLUMN())),OFFSET($BN$2,0,0,ROW()-1,60),ROW()-1,FALSE))</f>
        <v>3128.9104440000001</v>
      </c>
      <c r="AW297">
        <f ca="1">IF(AND(ISNUMBER($AW$799),$B$511=1),$AW$799,HLOOKUP(INDIRECT(ADDRESS(2,COLUMN())),OFFSET($BN$2,0,0,ROW()-1,60),ROW()-1,FALSE))</f>
        <v>3126.706846</v>
      </c>
      <c r="AX297">
        <f ca="1">IF(AND(ISNUMBER($AX$799),$B$511=1),$AX$799,HLOOKUP(INDIRECT(ADDRESS(2,COLUMN())),OFFSET($BN$2,0,0,ROW()-1,60),ROW()-1,FALSE))</f>
        <v>3270.7991189999998</v>
      </c>
      <c r="AY297">
        <f ca="1">IF(AND(ISNUMBER($AY$799),$B$511=1),$AY$799,HLOOKUP(INDIRECT(ADDRESS(2,COLUMN())),OFFSET($BN$2,0,0,ROW()-1,60),ROW()-1,FALSE))</f>
        <v>2882.2703280000001</v>
      </c>
      <c r="AZ297">
        <f ca="1">IF(AND(ISNUMBER($AZ$799),$B$511=1),$AZ$799,HLOOKUP(INDIRECT(ADDRESS(2,COLUMN())),OFFSET($BN$2,0,0,ROW()-1,60),ROW()-1,FALSE))</f>
        <v>2792.3344950000001</v>
      </c>
      <c r="BA297">
        <f ca="1">IF(AND(ISNUMBER($BA$799),$B$511=1),$BA$799,HLOOKUP(INDIRECT(ADDRESS(2,COLUMN())),OFFSET($BN$2,0,0,ROW()-1,60),ROW()-1,FALSE))</f>
        <v>2649.3915299999999</v>
      </c>
      <c r="BB297">
        <f ca="1">IF(AND(ISNUMBER($BB$799),$B$511=1),$BB$799,HLOOKUP(INDIRECT(ADDRESS(2,COLUMN())),OFFSET($BN$2,0,0,ROW()-1,60),ROW()-1,FALSE))</f>
        <v>2710.8852790000001</v>
      </c>
      <c r="BC297">
        <f ca="1">IF(AND(ISNUMBER($BC$799),$B$511=1),$BC$799,HLOOKUP(INDIRECT(ADDRESS(2,COLUMN())),OFFSET($BN$2,0,0,ROW()-1,60),ROW()-1,FALSE))</f>
        <v>2558.548875</v>
      </c>
      <c r="BD297">
        <f ca="1">IF(AND(ISNUMBER($BD$799),$B$511=1),$BD$799,HLOOKUP(INDIRECT(ADDRESS(2,COLUMN())),OFFSET($BN$2,0,0,ROW()-1,60),ROW()-1,FALSE))</f>
        <v>2556.507372</v>
      </c>
      <c r="BE297">
        <f ca="1">IF(AND(ISNUMBER($BE$799),$B$511=1),$BE$799,HLOOKUP(INDIRECT(ADDRESS(2,COLUMN())),OFFSET($BN$2,0,0,ROW()-1,60),ROW()-1,FALSE))</f>
        <v>2602.1402990000001</v>
      </c>
      <c r="BF297">
        <f ca="1">IF(AND(ISNUMBER($BF$799),$B$511=1),$BF$799,HLOOKUP(INDIRECT(ADDRESS(2,COLUMN())),OFFSET($BN$2,0,0,ROW()-1,60),ROW()-1,FALSE))</f>
        <v>2570.3489359999999</v>
      </c>
      <c r="BG297">
        <f ca="1">IF(AND(ISNUMBER($BG$799),$B$511=1),$BG$799,HLOOKUP(INDIRECT(ADDRESS(2,COLUMN())),OFFSET($BN$2,0,0,ROW()-1,60),ROW()-1,FALSE))</f>
        <v>2330.812919</v>
      </c>
      <c r="BH297">
        <f ca="1">IF(AND(ISNUMBER($BH$799),$B$511=1),$BH$799,HLOOKUP(INDIRECT(ADDRESS(2,COLUMN())),OFFSET($BN$2,0,0,ROW()-1,60),ROW()-1,FALSE))</f>
        <v>2284.0612890000002</v>
      </c>
      <c r="BI297">
        <f ca="1">IF(AND(ISNUMBER($BI$799),$B$511=1),$BI$799,HLOOKUP(INDIRECT(ADDRESS(2,COLUMN())),OFFSET($BN$2,0,0,ROW()-1,60),ROW()-1,FALSE))</f>
        <v>2192.1031280000002</v>
      </c>
      <c r="BJ297">
        <f ca="1">IF(AND(ISNUMBER($BJ$799),$B$511=1),$BJ$799,HLOOKUP(INDIRECT(ADDRESS(2,COLUMN())),OFFSET($BN$2,0,0,ROW()-1,60),ROW()-1,FALSE))</f>
        <v>2232.3600750000001</v>
      </c>
      <c r="BK297">
        <f ca="1">IF(AND(ISNUMBER($BK$799),$B$511=1),$BK$799,HLOOKUP(INDIRECT(ADDRESS(2,COLUMN())),OFFSET($BN$2,0,0,ROW()-1,60),ROW()-1,FALSE))</f>
        <v>2238.308458</v>
      </c>
      <c r="BL297">
        <f ca="1">IF(AND(ISNUMBER($BL$799),$B$511=1),$BL$799,HLOOKUP(INDIRECT(ADDRESS(2,COLUMN())),OFFSET($BN$2,0,0,ROW()-1,60),ROW()-1,FALSE))</f>
        <v>2016.6651509999999</v>
      </c>
      <c r="BM297">
        <f ca="1">IF(AND(ISNUMBER($BM$799),$B$511=1),$BM$799,HLOOKUP(INDIRECT(ADDRESS(2,COLUMN())),OFFSET($BN$2,0,0,ROW()-1,60),ROW()-1,FALSE))</f>
        <v>1995.437506</v>
      </c>
      <c r="BN297" t="str">
        <f>""</f>
        <v/>
      </c>
      <c r="BO297" t="str">
        <f>""</f>
        <v/>
      </c>
      <c r="BP297" t="str">
        <f>""</f>
        <v/>
      </c>
      <c r="BQ297" t="str">
        <f>""</f>
        <v/>
      </c>
      <c r="BR297" t="str">
        <f>""</f>
        <v/>
      </c>
      <c r="BS297" t="str">
        <f>""</f>
        <v/>
      </c>
      <c r="BT297" t="str">
        <f>""</f>
        <v/>
      </c>
      <c r="BU297" t="str">
        <f>""</f>
        <v/>
      </c>
      <c r="BV297" t="str">
        <f>""</f>
        <v/>
      </c>
      <c r="BW297" t="str">
        <f>""</f>
        <v/>
      </c>
      <c r="BX297" t="str">
        <f>""</f>
        <v/>
      </c>
      <c r="BY297" t="str">
        <f>""</f>
        <v/>
      </c>
      <c r="BZ297">
        <f>5436.711111</f>
        <v>5436.7111109999996</v>
      </c>
      <c r="CA297">
        <f>4995.299501</f>
        <v>4995.2995010000004</v>
      </c>
      <c r="CB297">
        <f>4996.507061</f>
        <v>4996.5070610000002</v>
      </c>
      <c r="CC297">
        <f>4967.924992</f>
        <v>4967.9249920000002</v>
      </c>
      <c r="CD297">
        <f>5089.637349</f>
        <v>5089.6373489999996</v>
      </c>
      <c r="CE297">
        <f>4770.869493</f>
        <v>4770.8694930000001</v>
      </c>
      <c r="CF297">
        <f>5144.966259</f>
        <v>5144.9662589999998</v>
      </c>
      <c r="CG297">
        <f>5464.665811</f>
        <v>5464.6658109999998</v>
      </c>
      <c r="CH297">
        <f>5278.936645</f>
        <v>5278.9366449999998</v>
      </c>
      <c r="CI297">
        <f>4966.036481</f>
        <v>4966.0364810000001</v>
      </c>
      <c r="CJ297">
        <f>5241.319621</f>
        <v>5241.3196209999996</v>
      </c>
      <c r="CK297">
        <f>5117.920064</f>
        <v>5117.9200639999999</v>
      </c>
      <c r="CL297">
        <f>5233.262577</f>
        <v>5233.2625770000004</v>
      </c>
      <c r="CM297">
        <f>5282.809975</f>
        <v>5282.8099750000001</v>
      </c>
      <c r="CN297">
        <f>5739.553388</f>
        <v>5739.5533880000003</v>
      </c>
      <c r="CO297">
        <f>5354.649123</f>
        <v>5354.6491230000001</v>
      </c>
      <c r="CP297">
        <f>5120.924604</f>
        <v>5120.9246039999998</v>
      </c>
      <c r="CQ297">
        <f>5065.527991</f>
        <v>5065.5279909999999</v>
      </c>
      <c r="CR297">
        <f>5009.294789</f>
        <v>5009.2947889999996</v>
      </c>
      <c r="CS297">
        <f>4669.376862</f>
        <v>4669.3768620000001</v>
      </c>
      <c r="CT297">
        <f>4569.105397</f>
        <v>4569.1053970000003</v>
      </c>
      <c r="CU297">
        <f>4493.016381</f>
        <v>4493.0163810000004</v>
      </c>
      <c r="CV297">
        <f>4289.791517</f>
        <v>4289.7915169999997</v>
      </c>
      <c r="CW297">
        <f>3976.202303</f>
        <v>3976.202303</v>
      </c>
      <c r="CX297">
        <f>3604.21661</f>
        <v>3604.2166099999999</v>
      </c>
      <c r="CY297">
        <f>3526.304488</f>
        <v>3526.3044880000002</v>
      </c>
      <c r="CZ297">
        <f>3591.982605</f>
        <v>3591.9826050000001</v>
      </c>
      <c r="DA297">
        <f>3360.672757</f>
        <v>3360.6727569999998</v>
      </c>
      <c r="DB297">
        <f>3169.330649</f>
        <v>3169.330649</v>
      </c>
      <c r="DC297">
        <f>3474.677828</f>
        <v>3474.6778279999999</v>
      </c>
      <c r="DD297">
        <f>3128.910444</f>
        <v>3128.9104440000001</v>
      </c>
      <c r="DE297">
        <f>3126.706846</f>
        <v>3126.706846</v>
      </c>
      <c r="DF297">
        <f>3270.799119</f>
        <v>3270.7991189999998</v>
      </c>
      <c r="DG297">
        <f>2882.270328</f>
        <v>2882.2703280000001</v>
      </c>
      <c r="DH297">
        <f>2792.334495</f>
        <v>2792.3344950000001</v>
      </c>
      <c r="DI297">
        <f>2649.39153</f>
        <v>2649.3915299999999</v>
      </c>
      <c r="DJ297">
        <f>2710.885279</f>
        <v>2710.8852790000001</v>
      </c>
      <c r="DK297">
        <f>2558.548875</f>
        <v>2558.548875</v>
      </c>
      <c r="DL297">
        <f>2556.507372</f>
        <v>2556.507372</v>
      </c>
      <c r="DM297">
        <f>2602.140299</f>
        <v>2602.1402990000001</v>
      </c>
      <c r="DN297">
        <f>2570.348936</f>
        <v>2570.3489359999999</v>
      </c>
      <c r="DO297">
        <f>2330.812919</f>
        <v>2330.812919</v>
      </c>
      <c r="DP297">
        <f>2284.061289</f>
        <v>2284.0612890000002</v>
      </c>
      <c r="DQ297">
        <f>2192.103128</f>
        <v>2192.1031280000002</v>
      </c>
      <c r="DR297">
        <f>2232.360075</f>
        <v>2232.3600750000001</v>
      </c>
      <c r="DS297">
        <f>2238.308458</f>
        <v>2238.308458</v>
      </c>
      <c r="DT297">
        <f>2016.665151</f>
        <v>2016.6651509999999</v>
      </c>
      <c r="DU297">
        <f>1995.437506</f>
        <v>1995.437506</v>
      </c>
    </row>
    <row r="298" spans="1:125" x14ac:dyDescent="0.25">
      <c r="A298" t="str">
        <f>"    Daimler AG"</f>
        <v xml:space="preserve">    Daimler AG</v>
      </c>
      <c r="B298" t="str">
        <f>"DAI GR Equity"</f>
        <v>DAI GR Equity</v>
      </c>
      <c r="C298" t="str">
        <f t="shared" si="21"/>
        <v>RR179</v>
      </c>
      <c r="D298" t="str">
        <f t="shared" si="22"/>
        <v>TANGIBLE_COMMON_EQUITY</v>
      </c>
      <c r="E298" t="str">
        <f t="shared" si="23"/>
        <v>Dynamic</v>
      </c>
      <c r="F298" t="str">
        <f ca="1">IF(AND(ISNUMBER($F$800),$B$511=1),$F$800,HLOOKUP(INDIRECT(ADDRESS(2,COLUMN())),OFFSET($BN$2,0,0,ROW()-1,60),ROW()-1,FALSE))</f>
        <v/>
      </c>
      <c r="G298">
        <f ca="1">IF(AND(ISNUMBER($G$800),$B$511=1),$G$800,HLOOKUP(INDIRECT(ADDRESS(2,COLUMN())),OFFSET($BN$2,0,0,ROW()-1,60),ROW()-1,FALSE))</f>
        <v>57106.5432</v>
      </c>
      <c r="H298">
        <f ca="1">IF(AND(ISNUMBER($H$800),$B$511=1),$H$800,HLOOKUP(INDIRECT(ADDRESS(2,COLUMN())),OFFSET($BN$2,0,0,ROW()-1,60),ROW()-1,FALSE))</f>
        <v>57716.934399999998</v>
      </c>
      <c r="I298">
        <f ca="1">IF(AND(ISNUMBER($I$800),$B$511=1),$I$800,HLOOKUP(INDIRECT(ADDRESS(2,COLUMN())),OFFSET($BN$2,0,0,ROW()-1,60),ROW()-1,FALSE))</f>
        <v>56864.654600000002</v>
      </c>
      <c r="J298">
        <f ca="1">IF(AND(ISNUMBER($J$800),$B$511=1),$J$800,HLOOKUP(INDIRECT(ADDRESS(2,COLUMN())),OFFSET($BN$2,0,0,ROW()-1,60),ROW()-1,FALSE))</f>
        <v>63544.452299999997</v>
      </c>
      <c r="K298">
        <f ca="1">IF(AND(ISNUMBER($K$800),$B$511=1),$K$800,HLOOKUP(INDIRECT(ADDRESS(2,COLUMN())),OFFSET($BN$2,0,0,ROW()-1,60),ROW()-1,FALSE))</f>
        <v>60271.094799999999</v>
      </c>
      <c r="L298">
        <f ca="1">IF(AND(ISNUMBER($L$800),$B$511=1),$L$800,HLOOKUP(INDIRECT(ADDRESS(2,COLUMN())),OFFSET($BN$2,0,0,ROW()-1,60),ROW()-1,FALSE))</f>
        <v>56978.982499999998</v>
      </c>
      <c r="M298">
        <f ca="1">IF(AND(ISNUMBER($M$800),$B$511=1),$M$800,HLOOKUP(INDIRECT(ADDRESS(2,COLUMN())),OFFSET($BN$2,0,0,ROW()-1,60),ROW()-1,FALSE))</f>
        <v>53237.0798</v>
      </c>
      <c r="N298">
        <f ca="1">IF(AND(ISNUMBER($N$800),$B$511=1),$N$800,HLOOKUP(INDIRECT(ADDRESS(2,COLUMN())),OFFSET($BN$2,0,0,ROW()-1,60),ROW()-1,FALSE))</f>
        <v>48017.763299999999</v>
      </c>
      <c r="O298">
        <f ca="1">IF(AND(ISNUMBER($O$800),$B$511=1),$O$800,HLOOKUP(INDIRECT(ADDRESS(2,COLUMN())),OFFSET($BN$2,0,0,ROW()-1,60),ROW()-1,FALSE))</f>
        <v>48360.104399999997</v>
      </c>
      <c r="P298">
        <f ca="1">IF(AND(ISNUMBER($P$800),$B$511=1),$P$800,HLOOKUP(INDIRECT(ADDRESS(2,COLUMN())),OFFSET($BN$2,0,0,ROW()-1,60),ROW()-1,FALSE))</f>
        <v>47925.595200000003</v>
      </c>
      <c r="Q298">
        <f ca="1">IF(AND(ISNUMBER($Q$800),$B$511=1),$Q$800,HLOOKUP(INDIRECT(ADDRESS(2,COLUMN())),OFFSET($BN$2,0,0,ROW()-1,60),ROW()-1,FALSE))</f>
        <v>45072.646500000003</v>
      </c>
      <c r="R298">
        <f ca="1">IF(AND(ISNUMBER($R$800),$B$511=1),$R$800,HLOOKUP(INDIRECT(ADDRESS(2,COLUMN())),OFFSET($BN$2,0,0,ROW()-1,60),ROW()-1,FALSE))</f>
        <v>49404.921000000002</v>
      </c>
      <c r="S298">
        <f ca="1">IF(AND(ISNUMBER($S$800),$B$511=1),$S$800,HLOOKUP(INDIRECT(ADDRESS(2,COLUMN())),OFFSET($BN$2,0,0,ROW()-1,60),ROW()-1,FALSE))</f>
        <v>47258.407200000001</v>
      </c>
      <c r="T298">
        <f ca="1">IF(AND(ISNUMBER($T$800),$B$511=1),$T$800,HLOOKUP(INDIRECT(ADDRESS(2,COLUMN())),OFFSET($BN$2,0,0,ROW()-1,60),ROW()-1,FALSE))</f>
        <v>44789.500999999997</v>
      </c>
      <c r="U298">
        <f ca="1">IF(AND(ISNUMBER($U$800),$B$511=1),$U$800,HLOOKUP(INDIRECT(ADDRESS(2,COLUMN())),OFFSET($BN$2,0,0,ROW()-1,60),ROW()-1,FALSE))</f>
        <v>43322.713199999998</v>
      </c>
      <c r="V298">
        <f ca="1">IF(AND(ISNUMBER($V$800),$B$511=1),$V$800,HLOOKUP(INDIRECT(ADDRESS(2,COLUMN())),OFFSET($BN$2,0,0,ROW()-1,60),ROW()-1,FALSE))</f>
        <v>38622.945599999999</v>
      </c>
      <c r="W298">
        <f ca="1">IF(AND(ISNUMBER($W$800),$B$511=1),$W$800,HLOOKUP(INDIRECT(ADDRESS(2,COLUMN())),OFFSET($BN$2,0,0,ROW()-1,60),ROW()-1,FALSE))</f>
        <v>41500.58</v>
      </c>
      <c r="X298">
        <f ca="1">IF(AND(ISNUMBER($X$800),$B$511=1),$X$800,HLOOKUP(INDIRECT(ADDRESS(2,COLUMN())),OFFSET($BN$2,0,0,ROW()-1,60),ROW()-1,FALSE))</f>
        <v>44226.758000000002</v>
      </c>
      <c r="Y298">
        <f ca="1">IF(AND(ISNUMBER($Y$800),$B$511=1),$Y$800,HLOOKUP(INDIRECT(ADDRESS(2,COLUMN())),OFFSET($BN$2,0,0,ROW()-1,60),ROW()-1,FALSE))</f>
        <v>44853.915999999997</v>
      </c>
      <c r="Z298">
        <f ca="1">IF(AND(ISNUMBER($Z$800),$B$511=1),$Z$800,HLOOKUP(INDIRECT(ADDRESS(2,COLUMN())),OFFSET($BN$2,0,0,ROW()-1,60),ROW()-1,FALSE))</f>
        <v>45995.725599999998</v>
      </c>
      <c r="AA298">
        <f ca="1">IF(AND(ISNUMBER($AA$800),$B$511=1),$AA$800,HLOOKUP(INDIRECT(ADDRESS(2,COLUMN())),OFFSET($BN$2,0,0,ROW()-1,60),ROW()-1,FALSE))</f>
        <v>45906.338799999998</v>
      </c>
      <c r="AB298">
        <f ca="1">IF(AND(ISNUMBER($AB$800),$B$511=1),$AB$800,HLOOKUP(INDIRECT(ADDRESS(2,COLUMN())),OFFSET($BN$2,0,0,ROW()-1,60),ROW()-1,FALSE))</f>
        <v>43132.768700000001</v>
      </c>
      <c r="AC298">
        <f ca="1">IF(AND(ISNUMBER($AC$800),$B$511=1),$AC$800,HLOOKUP(INDIRECT(ADDRESS(2,COLUMN())),OFFSET($BN$2,0,0,ROW()-1,60),ROW()-1,FALSE))</f>
        <v>39328.4205</v>
      </c>
      <c r="AD298">
        <f ca="1">IF(AND(ISNUMBER($AD$800),$B$511=1),$AD$800,HLOOKUP(INDIRECT(ADDRESS(2,COLUMN())),OFFSET($BN$2,0,0,ROW()-1,60),ROW()-1,FALSE))</f>
        <v>38208.311399999999</v>
      </c>
      <c r="AE298">
        <f ca="1">IF(AND(ISNUMBER($AE$800),$B$511=1),$AE$800,HLOOKUP(INDIRECT(ADDRESS(2,COLUMN())),OFFSET($BN$2,0,0,ROW()-1,60),ROW()-1,FALSE))</f>
        <v>38297.694000000003</v>
      </c>
      <c r="AF298">
        <f ca="1">IF(AND(ISNUMBER($AF$800),$B$511=1),$AF$800,HLOOKUP(INDIRECT(ADDRESS(2,COLUMN())),OFFSET($BN$2,0,0,ROW()-1,60),ROW()-1,FALSE))</f>
        <v>41805.796799999996</v>
      </c>
      <c r="AG298">
        <f ca="1">IF(AND(ISNUMBER($AG$800),$B$511=1),$AG$800,HLOOKUP(INDIRECT(ADDRESS(2,COLUMN())),OFFSET($BN$2,0,0,ROW()-1,60),ROW()-1,FALSE))</f>
        <v>40066.982100000001</v>
      </c>
      <c r="AH298">
        <f ca="1">IF(AND(ISNUMBER($AH$800),$B$511=1),$AH$800,HLOOKUP(INDIRECT(ADDRESS(2,COLUMN())),OFFSET($BN$2,0,0,ROW()-1,60),ROW()-1,FALSE))</f>
        <v>44071.592400000001</v>
      </c>
      <c r="AI298">
        <f ca="1">IF(AND(ISNUMBER($AI$800),$B$511=1),$AI$800,HLOOKUP(INDIRECT(ADDRESS(2,COLUMN())),OFFSET($BN$2,0,0,ROW()-1,60),ROW()-1,FALSE))</f>
        <v>40649.040000000001</v>
      </c>
      <c r="AJ298">
        <f ca="1">IF(AND(ISNUMBER($AJ$800),$B$511=1),$AJ$800,HLOOKUP(INDIRECT(ADDRESS(2,COLUMN())),OFFSET($BN$2,0,0,ROW()-1,60),ROW()-1,FALSE))</f>
        <v>40443.832799999996</v>
      </c>
      <c r="AK298">
        <f ca="1">IF(AND(ISNUMBER($AK$800),$B$511=1),$AK$800,HLOOKUP(INDIRECT(ADDRESS(2,COLUMN())),OFFSET($BN$2,0,0,ROW()-1,60),ROW()-1,FALSE))</f>
        <v>42517.201999999997</v>
      </c>
      <c r="AL298">
        <f ca="1">IF(AND(ISNUMBER($AL$800),$B$511=1),$AL$800,HLOOKUP(INDIRECT(ADDRESS(2,COLUMN())),OFFSET($BN$2,0,0,ROW()-1,60),ROW()-1,FALSE))</f>
        <v>41815.091999999997</v>
      </c>
      <c r="AM298">
        <f ca="1">IF(AND(ISNUMBER($AM$800),$B$511=1),$AM$800,HLOOKUP(INDIRECT(ADDRESS(2,COLUMN())),OFFSET($BN$2,0,0,ROW()-1,60),ROW()-1,FALSE))</f>
        <v>38586.305399999997</v>
      </c>
      <c r="AN298">
        <f ca="1">IF(AND(ISNUMBER($AN$800),$B$511=1),$AN$800,HLOOKUP(INDIRECT(ADDRESS(2,COLUMN())),OFFSET($BN$2,0,0,ROW()-1,60),ROW()-1,FALSE))</f>
        <v>36833.928</v>
      </c>
      <c r="AO298">
        <f ca="1">IF(AND(ISNUMBER($AO$800),$B$511=1),$AO$800,HLOOKUP(INDIRECT(ADDRESS(2,COLUMN())),OFFSET($BN$2,0,0,ROW()-1,60),ROW()-1,FALSE))</f>
        <v>31837.557499999999</v>
      </c>
      <c r="AP298">
        <f ca="1">IF(AND(ISNUMBER($AP$800),$B$511=1),$AP$800,HLOOKUP(INDIRECT(ADDRESS(2,COLUMN())),OFFSET($BN$2,0,0,ROW()-1,60),ROW()-1,FALSE))</f>
        <v>32426.421300000002</v>
      </c>
      <c r="AQ298">
        <f ca="1">IF(AND(ISNUMBER($AQ$800),$B$511=1),$AQ$800,HLOOKUP(INDIRECT(ADDRESS(2,COLUMN())),OFFSET($BN$2,0,0,ROW()-1,60),ROW()-1,FALSE))</f>
        <v>33689.3148</v>
      </c>
      <c r="AR298">
        <f ca="1">IF(AND(ISNUMBER($AR$800),$B$511=1),$AR$800,HLOOKUP(INDIRECT(ADDRESS(2,COLUMN())),OFFSET($BN$2,0,0,ROW()-1,60),ROW()-1,FALSE))</f>
        <v>35055.341999999997</v>
      </c>
      <c r="AS298">
        <f ca="1">IF(AND(ISNUMBER($AS$800),$B$511=1),$AS$800,HLOOKUP(INDIRECT(ADDRESS(2,COLUMN())),OFFSET($BN$2,0,0,ROW()-1,60),ROW()-1,FALSE))</f>
        <v>33360.32</v>
      </c>
      <c r="AT298">
        <f ca="1">IF(AND(ISNUMBER($AT$800),$B$511=1),$AT$800,HLOOKUP(INDIRECT(ADDRESS(2,COLUMN())),OFFSET($BN$2,0,0,ROW()-1,60),ROW()-1,FALSE))</f>
        <v>33863.5942</v>
      </c>
      <c r="AU298">
        <f ca="1">IF(AND(ISNUMBER($AU$800),$B$511=1),$AU$800,HLOOKUP(INDIRECT(ADDRESS(2,COLUMN())),OFFSET($BN$2,0,0,ROW()-1,60),ROW()-1,FALSE))</f>
        <v>35132.258699999998</v>
      </c>
      <c r="AV298">
        <f ca="1">IF(AND(ISNUMBER($AV$800),$B$511=1),$AV$800,HLOOKUP(INDIRECT(ADDRESS(2,COLUMN())),OFFSET($BN$2,0,0,ROW()-1,60),ROW()-1,FALSE))</f>
        <v>38199.036200000002</v>
      </c>
      <c r="AW298">
        <f ca="1">IF(AND(ISNUMBER($AW$800),$B$511=1),$AW$800,HLOOKUP(INDIRECT(ADDRESS(2,COLUMN())),OFFSET($BN$2,0,0,ROW()-1,60),ROW()-1,FALSE))</f>
        <v>45055.315199999997</v>
      </c>
      <c r="AX298">
        <f ca="1">IF(AND(ISNUMBER($AX$800),$B$511=1),$AX$800,HLOOKUP(INDIRECT(ADDRESS(2,COLUMN())),OFFSET($BN$2,0,0,ROW()-1,60),ROW()-1,FALSE))</f>
        <v>47164.570599999999</v>
      </c>
      <c r="AY298">
        <f ca="1">IF(AND(ISNUMBER($AY$800),$B$511=1),$AY$800,HLOOKUP(INDIRECT(ADDRESS(2,COLUMN())),OFFSET($BN$2,0,0,ROW()-1,60),ROW()-1,FALSE))</f>
        <v>45959.782800000001</v>
      </c>
      <c r="AZ298">
        <f ca="1">IF(AND(ISNUMBER($AZ$800),$B$511=1),$AZ$800,HLOOKUP(INDIRECT(ADDRESS(2,COLUMN())),OFFSET($BN$2,0,0,ROW()-1,60),ROW()-1,FALSE))</f>
        <v>45828.159</v>
      </c>
      <c r="BA298">
        <f ca="1">IF(AND(ISNUMBER($BA$800),$B$511=1),$BA$800,HLOOKUP(INDIRECT(ADDRESS(2,COLUMN())),OFFSET($BN$2,0,0,ROW()-1,60),ROW()-1,FALSE))</f>
        <v>47114.9476</v>
      </c>
      <c r="BB298">
        <f ca="1">IF(AND(ISNUMBER($BB$800),$B$511=1),$BB$800,HLOOKUP(INDIRECT(ADDRESS(2,COLUMN())),OFFSET($BN$2,0,0,ROW()-1,60),ROW()-1,FALSE))</f>
        <v>41549.045400000003</v>
      </c>
      <c r="BC298">
        <f ca="1">IF(AND(ISNUMBER($BC$800),$B$511=1),$BC$800,HLOOKUP(INDIRECT(ADDRESS(2,COLUMN())),OFFSET($BN$2,0,0,ROW()-1,60),ROW()-1,FALSE))</f>
        <v>38658.277900000001</v>
      </c>
      <c r="BD298">
        <f ca="1">IF(AND(ISNUMBER($BD$800),$B$511=1),$BD$800,HLOOKUP(INDIRECT(ADDRESS(2,COLUMN())),OFFSET($BN$2,0,0,ROW()-1,60),ROW()-1,FALSE))</f>
        <v>40697.956599999998</v>
      </c>
      <c r="BE298">
        <f ca="1">IF(AND(ISNUMBER($BE$800),$B$511=1),$BE$800,HLOOKUP(INDIRECT(ADDRESS(2,COLUMN())),OFFSET($BN$2,0,0,ROW()-1,60),ROW()-1,FALSE))</f>
        <v>40349.46</v>
      </c>
      <c r="BF298">
        <f ca="1">IF(AND(ISNUMBER($BF$800),$B$511=1),$BF$800,HLOOKUP(INDIRECT(ADDRESS(2,COLUMN())),OFFSET($BN$2,0,0,ROW()-1,60),ROW()-1,FALSE))</f>
        <v>38294.903299999998</v>
      </c>
      <c r="BG298">
        <f ca="1">IF(AND(ISNUMBER($BG$800),$B$511=1),$BG$800,HLOOKUP(INDIRECT(ADDRESS(2,COLUMN())),OFFSET($BN$2,0,0,ROW()-1,60),ROW()-1,FALSE))</f>
        <v>37128.4041</v>
      </c>
      <c r="BH298">
        <f ca="1">IF(AND(ISNUMBER($BH$800),$B$511=1),$BH$800,HLOOKUP(INDIRECT(ADDRESS(2,COLUMN())),OFFSET($BN$2,0,0,ROW()-1,60),ROW()-1,FALSE))</f>
        <v>36231.953999999998</v>
      </c>
      <c r="BI298">
        <f ca="1">IF(AND(ISNUMBER($BI$800),$B$511=1),$BI$800,HLOOKUP(INDIRECT(ADDRESS(2,COLUMN())),OFFSET($BN$2,0,0,ROW()-1,60),ROW()-1,FALSE))</f>
        <v>35070.181199999999</v>
      </c>
      <c r="BJ298">
        <f ca="1">IF(AND(ISNUMBER($BJ$800),$B$511=1),$BJ$800,HLOOKUP(INDIRECT(ADDRESS(2,COLUMN())),OFFSET($BN$2,0,0,ROW()-1,60),ROW()-1,FALSE))</f>
        <v>38526.631200000003</v>
      </c>
      <c r="BK298">
        <f ca="1">IF(AND(ISNUMBER($BK$800),$B$511=1),$BK$800,HLOOKUP(INDIRECT(ADDRESS(2,COLUMN())),OFFSET($BN$2,0,0,ROW()-1,60),ROW()-1,FALSE))</f>
        <v>39132.105199999998</v>
      </c>
      <c r="BL298">
        <f ca="1">IF(AND(ISNUMBER($BL$800),$B$511=1),$BL$800,HLOOKUP(INDIRECT(ADDRESS(2,COLUMN())),OFFSET($BN$2,0,0,ROW()-1,60),ROW()-1,FALSE))</f>
        <v>36496.0648</v>
      </c>
      <c r="BM298">
        <f ca="1">IF(AND(ISNUMBER($BM$800),$B$511=1),$BM$800,HLOOKUP(INDIRECT(ADDRESS(2,COLUMN())),OFFSET($BN$2,0,0,ROW()-1,60),ROW()-1,FALSE))</f>
        <v>35517.660300000003</v>
      </c>
      <c r="BN298" t="str">
        <f>""</f>
        <v/>
      </c>
      <c r="BO298">
        <f>57106.5432</f>
        <v>57106.5432</v>
      </c>
      <c r="BP298">
        <f>57716.9344</f>
        <v>57716.934399999998</v>
      </c>
      <c r="BQ298">
        <f>56864.6546</f>
        <v>56864.654600000002</v>
      </c>
      <c r="BR298">
        <f>63544.4523</f>
        <v>63544.452299999997</v>
      </c>
      <c r="BS298">
        <f>60271.0948</f>
        <v>60271.094799999999</v>
      </c>
      <c r="BT298">
        <f>56978.9825</f>
        <v>56978.982499999998</v>
      </c>
      <c r="BU298">
        <f>53237.0798</f>
        <v>53237.0798</v>
      </c>
      <c r="BV298">
        <f>48017.7633</f>
        <v>48017.763299999999</v>
      </c>
      <c r="BW298">
        <f>48360.1044</f>
        <v>48360.104399999997</v>
      </c>
      <c r="BX298">
        <f>47925.5952</f>
        <v>47925.595200000003</v>
      </c>
      <c r="BY298">
        <f>45072.6465</f>
        <v>45072.646500000003</v>
      </c>
      <c r="BZ298">
        <f>49404.921</f>
        <v>49404.921000000002</v>
      </c>
      <c r="CA298">
        <f>47258.4072</f>
        <v>47258.407200000001</v>
      </c>
      <c r="CB298">
        <f>44789.501</f>
        <v>44789.500999999997</v>
      </c>
      <c r="CC298">
        <f>43322.7132</f>
        <v>43322.713199999998</v>
      </c>
      <c r="CD298">
        <f>38622.9456</f>
        <v>38622.945599999999</v>
      </c>
      <c r="CE298">
        <f>41500.58</f>
        <v>41500.58</v>
      </c>
      <c r="CF298">
        <f>44226.758</f>
        <v>44226.758000000002</v>
      </c>
      <c r="CG298">
        <f>44853.916</f>
        <v>44853.915999999997</v>
      </c>
      <c r="CH298">
        <f>45995.7256</f>
        <v>45995.725599999998</v>
      </c>
      <c r="CI298">
        <f>45906.3388</f>
        <v>45906.338799999998</v>
      </c>
      <c r="CJ298">
        <f>43132.7687</f>
        <v>43132.768700000001</v>
      </c>
      <c r="CK298">
        <f>39328.4205</f>
        <v>39328.4205</v>
      </c>
      <c r="CL298">
        <f>38208.3114</f>
        <v>38208.311399999999</v>
      </c>
      <c r="CM298">
        <f>38297.694</f>
        <v>38297.694000000003</v>
      </c>
      <c r="CN298">
        <f>41805.7968</f>
        <v>41805.796799999996</v>
      </c>
      <c r="CO298">
        <f>40066.9821</f>
        <v>40066.982100000001</v>
      </c>
      <c r="CP298">
        <f>44071.5924</f>
        <v>44071.592400000001</v>
      </c>
      <c r="CQ298">
        <f>40649.04</f>
        <v>40649.040000000001</v>
      </c>
      <c r="CR298">
        <f>40443.8328</f>
        <v>40443.832799999996</v>
      </c>
      <c r="CS298">
        <f>42517.202</f>
        <v>42517.201999999997</v>
      </c>
      <c r="CT298">
        <f>41815.092</f>
        <v>41815.091999999997</v>
      </c>
      <c r="CU298">
        <f>38586.3054</f>
        <v>38586.305399999997</v>
      </c>
      <c r="CV298">
        <f>36833.928</f>
        <v>36833.928</v>
      </c>
      <c r="CW298">
        <f>31837.5575</f>
        <v>31837.557499999999</v>
      </c>
      <c r="CX298">
        <f>32426.4213</f>
        <v>32426.421300000002</v>
      </c>
      <c r="CY298">
        <f>33689.3148</f>
        <v>33689.3148</v>
      </c>
      <c r="CZ298">
        <f>35055.342</f>
        <v>35055.341999999997</v>
      </c>
      <c r="DA298">
        <f>33360.32</f>
        <v>33360.32</v>
      </c>
      <c r="DB298">
        <f>33863.5942</f>
        <v>33863.5942</v>
      </c>
      <c r="DC298">
        <f>35132.2587</f>
        <v>35132.258699999998</v>
      </c>
      <c r="DD298">
        <f>38199.0362</f>
        <v>38199.036200000002</v>
      </c>
      <c r="DE298">
        <f>45055.3152</f>
        <v>45055.315199999997</v>
      </c>
      <c r="DF298">
        <f>47164.5706</f>
        <v>47164.570599999999</v>
      </c>
      <c r="DG298">
        <f>45959.7828</f>
        <v>45959.782800000001</v>
      </c>
      <c r="DH298">
        <f>45828.159</f>
        <v>45828.159</v>
      </c>
      <c r="DI298">
        <f>47114.9476</f>
        <v>47114.9476</v>
      </c>
      <c r="DJ298">
        <f>41549.0454</f>
        <v>41549.045400000003</v>
      </c>
      <c r="DK298">
        <f>38658.2779</f>
        <v>38658.277900000001</v>
      </c>
      <c r="DL298">
        <f>40697.9566</f>
        <v>40697.956599999998</v>
      </c>
      <c r="DM298">
        <f>40349.46</f>
        <v>40349.46</v>
      </c>
      <c r="DN298">
        <f>38294.9033</f>
        <v>38294.903299999998</v>
      </c>
      <c r="DO298">
        <f>37128.4041</f>
        <v>37128.4041</v>
      </c>
      <c r="DP298">
        <f>36231.954</f>
        <v>36231.953999999998</v>
      </c>
      <c r="DQ298">
        <f>35070.1812</f>
        <v>35070.181199999999</v>
      </c>
      <c r="DR298">
        <f>38526.6312</f>
        <v>38526.631200000003</v>
      </c>
      <c r="DS298">
        <f>39132.1052</f>
        <v>39132.105199999998</v>
      </c>
      <c r="DT298">
        <f>36496.0648</f>
        <v>36496.0648</v>
      </c>
      <c r="DU298">
        <f>35517.6603</f>
        <v>35517.660300000003</v>
      </c>
    </row>
    <row r="299" spans="1:125" x14ac:dyDescent="0.25">
      <c r="A299" t="str">
        <f>"    Dongfeng Motor Group Co Ltd"</f>
        <v xml:space="preserve">    Dongfeng Motor Group Co Ltd</v>
      </c>
      <c r="B299" t="str">
        <f>"489 HK Equity"</f>
        <v>489 HK Equity</v>
      </c>
      <c r="C299" t="str">
        <f t="shared" si="21"/>
        <v>RR179</v>
      </c>
      <c r="D299" t="str">
        <f t="shared" si="22"/>
        <v>TANGIBLE_COMMON_EQUITY</v>
      </c>
      <c r="E299" t="str">
        <f t="shared" si="23"/>
        <v>Dynamic</v>
      </c>
      <c r="F299" t="str">
        <f ca="1">IF(AND(ISNUMBER($F$801),$B$511=1),$F$801,HLOOKUP(INDIRECT(ADDRESS(2,COLUMN())),OFFSET($BN$2,0,0,ROW()-1,60),ROW()-1,FALSE))</f>
        <v/>
      </c>
      <c r="G299" t="str">
        <f ca="1">IF(AND(ISNUMBER($G$801),$B$511=1),$G$801,HLOOKUP(INDIRECT(ADDRESS(2,COLUMN())),OFFSET($BN$2,0,0,ROW()-1,60),ROW()-1,FALSE))</f>
        <v/>
      </c>
      <c r="H299" t="str">
        <f ca="1">IF(AND(ISNUMBER($H$801),$B$511=1),$H$801,HLOOKUP(INDIRECT(ADDRESS(2,COLUMN())),OFFSET($BN$2,0,0,ROW()-1,60),ROW()-1,FALSE))</f>
        <v/>
      </c>
      <c r="I299" t="str">
        <f ca="1">IF(AND(ISNUMBER($I$801),$B$511=1),$I$801,HLOOKUP(INDIRECT(ADDRESS(2,COLUMN())),OFFSET($BN$2,0,0,ROW()-1,60),ROW()-1,FALSE))</f>
        <v/>
      </c>
      <c r="J299" t="str">
        <f ca="1">IF(AND(ISNUMBER($J$801),$B$511=1),$J$801,HLOOKUP(INDIRECT(ADDRESS(2,COLUMN())),OFFSET($BN$2,0,0,ROW()-1,60),ROW()-1,FALSE))</f>
        <v/>
      </c>
      <c r="K299" t="str">
        <f ca="1">IF(AND(ISNUMBER($K$801),$B$511=1),$K$801,HLOOKUP(INDIRECT(ADDRESS(2,COLUMN())),OFFSET($BN$2,0,0,ROW()-1,60),ROW()-1,FALSE))</f>
        <v/>
      </c>
      <c r="L299" t="str">
        <f ca="1">IF(AND(ISNUMBER($L$801),$B$511=1),$L$801,HLOOKUP(INDIRECT(ADDRESS(2,COLUMN())),OFFSET($BN$2,0,0,ROW()-1,60),ROW()-1,FALSE))</f>
        <v/>
      </c>
      <c r="M299" t="str">
        <f ca="1">IF(AND(ISNUMBER($M$801),$B$511=1),$M$801,HLOOKUP(INDIRECT(ADDRESS(2,COLUMN())),OFFSET($BN$2,0,0,ROW()-1,60),ROW()-1,FALSE))</f>
        <v/>
      </c>
      <c r="N299" t="str">
        <f ca="1">IF(AND(ISNUMBER($N$801),$B$511=1),$N$801,HLOOKUP(INDIRECT(ADDRESS(2,COLUMN())),OFFSET($BN$2,0,0,ROW()-1,60),ROW()-1,FALSE))</f>
        <v/>
      </c>
      <c r="O299" t="str">
        <f ca="1">IF(AND(ISNUMBER($O$801),$B$511=1),$O$801,HLOOKUP(INDIRECT(ADDRESS(2,COLUMN())),OFFSET($BN$2,0,0,ROW()-1,60),ROW()-1,FALSE))</f>
        <v/>
      </c>
      <c r="P299" t="str">
        <f ca="1">IF(AND(ISNUMBER($P$801),$B$511=1),$P$801,HLOOKUP(INDIRECT(ADDRESS(2,COLUMN())),OFFSET($BN$2,0,0,ROW()-1,60),ROW()-1,FALSE))</f>
        <v/>
      </c>
      <c r="Q299" t="str">
        <f ca="1">IF(AND(ISNUMBER($Q$801),$B$511=1),$Q$801,HLOOKUP(INDIRECT(ADDRESS(2,COLUMN())),OFFSET($BN$2,0,0,ROW()-1,60),ROW()-1,FALSE))</f>
        <v/>
      </c>
      <c r="R299" t="str">
        <f ca="1">IF(AND(ISNUMBER($R$801),$B$511=1),$R$801,HLOOKUP(INDIRECT(ADDRESS(2,COLUMN())),OFFSET($BN$2,0,0,ROW()-1,60),ROW()-1,FALSE))</f>
        <v/>
      </c>
      <c r="S299" t="str">
        <f ca="1">IF(AND(ISNUMBER($S$801),$B$511=1),$S$801,HLOOKUP(INDIRECT(ADDRESS(2,COLUMN())),OFFSET($BN$2,0,0,ROW()-1,60),ROW()-1,FALSE))</f>
        <v/>
      </c>
      <c r="T299" t="str">
        <f ca="1">IF(AND(ISNUMBER($T$801),$B$511=1),$T$801,HLOOKUP(INDIRECT(ADDRESS(2,COLUMN())),OFFSET($BN$2,0,0,ROW()-1,60),ROW()-1,FALSE))</f>
        <v/>
      </c>
      <c r="U299" t="str">
        <f ca="1">IF(AND(ISNUMBER($U$801),$B$511=1),$U$801,HLOOKUP(INDIRECT(ADDRESS(2,COLUMN())),OFFSET($BN$2,0,0,ROW()-1,60),ROW()-1,FALSE))</f>
        <v/>
      </c>
      <c r="V299" t="str">
        <f ca="1">IF(AND(ISNUMBER($V$801),$B$511=1),$V$801,HLOOKUP(INDIRECT(ADDRESS(2,COLUMN())),OFFSET($BN$2,0,0,ROW()-1,60),ROW()-1,FALSE))</f>
        <v/>
      </c>
      <c r="W299" t="str">
        <f ca="1">IF(AND(ISNUMBER($W$801),$B$511=1),$W$801,HLOOKUP(INDIRECT(ADDRESS(2,COLUMN())),OFFSET($BN$2,0,0,ROW()-1,60),ROW()-1,FALSE))</f>
        <v/>
      </c>
      <c r="X299" t="str">
        <f ca="1">IF(AND(ISNUMBER($X$801),$B$511=1),$X$801,HLOOKUP(INDIRECT(ADDRESS(2,COLUMN())),OFFSET($BN$2,0,0,ROW()-1,60),ROW()-1,FALSE))</f>
        <v/>
      </c>
      <c r="Y299" t="str">
        <f ca="1">IF(AND(ISNUMBER($Y$801),$B$511=1),$Y$801,HLOOKUP(INDIRECT(ADDRESS(2,COLUMN())),OFFSET($BN$2,0,0,ROW()-1,60),ROW()-1,FALSE))</f>
        <v/>
      </c>
      <c r="Z299" t="str">
        <f ca="1">IF(AND(ISNUMBER($Z$801),$B$511=1),$Z$801,HLOOKUP(INDIRECT(ADDRESS(2,COLUMN())),OFFSET($BN$2,0,0,ROW()-1,60),ROW()-1,FALSE))</f>
        <v/>
      </c>
      <c r="AA299" t="str">
        <f ca="1">IF(AND(ISNUMBER($AA$801),$B$511=1),$AA$801,HLOOKUP(INDIRECT(ADDRESS(2,COLUMN())),OFFSET($BN$2,0,0,ROW()-1,60),ROW()-1,FALSE))</f>
        <v/>
      </c>
      <c r="AB299" t="str">
        <f ca="1">IF(AND(ISNUMBER($AB$801),$B$511=1),$AB$801,HLOOKUP(INDIRECT(ADDRESS(2,COLUMN())),OFFSET($BN$2,0,0,ROW()-1,60),ROW()-1,FALSE))</f>
        <v/>
      </c>
      <c r="AC299" t="str">
        <f ca="1">IF(AND(ISNUMBER($AC$801),$B$511=1),$AC$801,HLOOKUP(INDIRECT(ADDRESS(2,COLUMN())),OFFSET($BN$2,0,0,ROW()-1,60),ROW()-1,FALSE))</f>
        <v/>
      </c>
      <c r="AD299" t="str">
        <f ca="1">IF(AND(ISNUMBER($AD$801),$B$511=1),$AD$801,HLOOKUP(INDIRECT(ADDRESS(2,COLUMN())),OFFSET($BN$2,0,0,ROW()-1,60),ROW()-1,FALSE))</f>
        <v/>
      </c>
      <c r="AE299" t="str">
        <f ca="1">IF(AND(ISNUMBER($AE$801),$B$511=1),$AE$801,HLOOKUP(INDIRECT(ADDRESS(2,COLUMN())),OFFSET($BN$2,0,0,ROW()-1,60),ROW()-1,FALSE))</f>
        <v/>
      </c>
      <c r="AF299" t="str">
        <f ca="1">IF(AND(ISNUMBER($AF$801),$B$511=1),$AF$801,HLOOKUP(INDIRECT(ADDRESS(2,COLUMN())),OFFSET($BN$2,0,0,ROW()-1,60),ROW()-1,FALSE))</f>
        <v/>
      </c>
      <c r="AG299" t="str">
        <f ca="1">IF(AND(ISNUMBER($AG$801),$B$511=1),$AG$801,HLOOKUP(INDIRECT(ADDRESS(2,COLUMN())),OFFSET($BN$2,0,0,ROW()-1,60),ROW()-1,FALSE))</f>
        <v/>
      </c>
      <c r="AH299" t="str">
        <f ca="1">IF(AND(ISNUMBER($AH$801),$B$511=1),$AH$801,HLOOKUP(INDIRECT(ADDRESS(2,COLUMN())),OFFSET($BN$2,0,0,ROW()-1,60),ROW()-1,FALSE))</f>
        <v/>
      </c>
      <c r="AI299" t="str">
        <f ca="1">IF(AND(ISNUMBER($AI$801),$B$511=1),$AI$801,HLOOKUP(INDIRECT(ADDRESS(2,COLUMN())),OFFSET($BN$2,0,0,ROW()-1,60),ROW()-1,FALSE))</f>
        <v/>
      </c>
      <c r="AJ299" t="str">
        <f ca="1">IF(AND(ISNUMBER($AJ$801),$B$511=1),$AJ$801,HLOOKUP(INDIRECT(ADDRESS(2,COLUMN())),OFFSET($BN$2,0,0,ROW()-1,60),ROW()-1,FALSE))</f>
        <v/>
      </c>
      <c r="AK299" t="str">
        <f ca="1">IF(AND(ISNUMBER($AK$801),$B$511=1),$AK$801,HLOOKUP(INDIRECT(ADDRESS(2,COLUMN())),OFFSET($BN$2,0,0,ROW()-1,60),ROW()-1,FALSE))</f>
        <v/>
      </c>
      <c r="AL299" t="str">
        <f ca="1">IF(AND(ISNUMBER($AL$801),$B$511=1),$AL$801,HLOOKUP(INDIRECT(ADDRESS(2,COLUMN())),OFFSET($BN$2,0,0,ROW()-1,60),ROW()-1,FALSE))</f>
        <v/>
      </c>
      <c r="AM299" t="str">
        <f ca="1">IF(AND(ISNUMBER($AM$801),$B$511=1),$AM$801,HLOOKUP(INDIRECT(ADDRESS(2,COLUMN())),OFFSET($BN$2,0,0,ROW()-1,60),ROW()-1,FALSE))</f>
        <v/>
      </c>
      <c r="AN299" t="str">
        <f ca="1">IF(AND(ISNUMBER($AN$801),$B$511=1),$AN$801,HLOOKUP(INDIRECT(ADDRESS(2,COLUMN())),OFFSET($BN$2,0,0,ROW()-1,60),ROW()-1,FALSE))</f>
        <v/>
      </c>
      <c r="AO299" t="str">
        <f ca="1">IF(AND(ISNUMBER($AO$801),$B$511=1),$AO$801,HLOOKUP(INDIRECT(ADDRESS(2,COLUMN())),OFFSET($BN$2,0,0,ROW()-1,60),ROW()-1,FALSE))</f>
        <v/>
      </c>
      <c r="AP299" t="str">
        <f ca="1">IF(AND(ISNUMBER($AP$801),$B$511=1),$AP$801,HLOOKUP(INDIRECT(ADDRESS(2,COLUMN())),OFFSET($BN$2,0,0,ROW()-1,60),ROW()-1,FALSE))</f>
        <v/>
      </c>
      <c r="AQ299" t="str">
        <f ca="1">IF(AND(ISNUMBER($AQ$801),$B$511=1),$AQ$801,HLOOKUP(INDIRECT(ADDRESS(2,COLUMN())),OFFSET($BN$2,0,0,ROW()-1,60),ROW()-1,FALSE))</f>
        <v/>
      </c>
      <c r="AR299" t="str">
        <f ca="1">IF(AND(ISNUMBER($AR$801),$B$511=1),$AR$801,HLOOKUP(INDIRECT(ADDRESS(2,COLUMN())),OFFSET($BN$2,0,0,ROW()-1,60),ROW()-1,FALSE))</f>
        <v/>
      </c>
      <c r="AS299" t="str">
        <f ca="1">IF(AND(ISNUMBER($AS$801),$B$511=1),$AS$801,HLOOKUP(INDIRECT(ADDRESS(2,COLUMN())),OFFSET($BN$2,0,0,ROW()-1,60),ROW()-1,FALSE))</f>
        <v/>
      </c>
      <c r="AT299" t="str">
        <f ca="1">IF(AND(ISNUMBER($AT$801),$B$511=1),$AT$801,HLOOKUP(INDIRECT(ADDRESS(2,COLUMN())),OFFSET($BN$2,0,0,ROW()-1,60),ROW()-1,FALSE))</f>
        <v/>
      </c>
      <c r="AU299" t="str">
        <f ca="1">IF(AND(ISNUMBER($AU$801),$B$511=1),$AU$801,HLOOKUP(INDIRECT(ADDRESS(2,COLUMN())),OFFSET($BN$2,0,0,ROW()-1,60),ROW()-1,FALSE))</f>
        <v/>
      </c>
      <c r="AV299" t="str">
        <f ca="1">IF(AND(ISNUMBER($AV$801),$B$511=1),$AV$801,HLOOKUP(INDIRECT(ADDRESS(2,COLUMN())),OFFSET($BN$2,0,0,ROW()-1,60),ROW()-1,FALSE))</f>
        <v/>
      </c>
      <c r="AW299" t="str">
        <f ca="1">IF(AND(ISNUMBER($AW$801),$B$511=1),$AW$801,HLOOKUP(INDIRECT(ADDRESS(2,COLUMN())),OFFSET($BN$2,0,0,ROW()-1,60),ROW()-1,FALSE))</f>
        <v/>
      </c>
      <c r="AX299" t="str">
        <f ca="1">IF(AND(ISNUMBER($AX$801),$B$511=1),$AX$801,HLOOKUP(INDIRECT(ADDRESS(2,COLUMN())),OFFSET($BN$2,0,0,ROW()-1,60),ROW()-1,FALSE))</f>
        <v/>
      </c>
      <c r="AY299" t="str">
        <f ca="1">IF(AND(ISNUMBER($AY$801),$B$511=1),$AY$801,HLOOKUP(INDIRECT(ADDRESS(2,COLUMN())),OFFSET($BN$2,0,0,ROW()-1,60),ROW()-1,FALSE))</f>
        <v/>
      </c>
      <c r="AZ299" t="str">
        <f ca="1">IF(AND(ISNUMBER($AZ$801),$B$511=1),$AZ$801,HLOOKUP(INDIRECT(ADDRESS(2,COLUMN())),OFFSET($BN$2,0,0,ROW()-1,60),ROW()-1,FALSE))</f>
        <v/>
      </c>
      <c r="BA299" t="str">
        <f ca="1">IF(AND(ISNUMBER($BA$801),$B$511=1),$BA$801,HLOOKUP(INDIRECT(ADDRESS(2,COLUMN())),OFFSET($BN$2,0,0,ROW()-1,60),ROW()-1,FALSE))</f>
        <v/>
      </c>
      <c r="BB299" t="str">
        <f ca="1">IF(AND(ISNUMBER($BB$801),$B$511=1),$BB$801,HLOOKUP(INDIRECT(ADDRESS(2,COLUMN())),OFFSET($BN$2,0,0,ROW()-1,60),ROW()-1,FALSE))</f>
        <v/>
      </c>
      <c r="BC299" t="str">
        <f ca="1">IF(AND(ISNUMBER($BC$801),$B$511=1),$BC$801,HLOOKUP(INDIRECT(ADDRESS(2,COLUMN())),OFFSET($BN$2,0,0,ROW()-1,60),ROW()-1,FALSE))</f>
        <v/>
      </c>
      <c r="BD299" t="str">
        <f ca="1">IF(AND(ISNUMBER($BD$801),$B$511=1),$BD$801,HLOOKUP(INDIRECT(ADDRESS(2,COLUMN())),OFFSET($BN$2,0,0,ROW()-1,60),ROW()-1,FALSE))</f>
        <v/>
      </c>
      <c r="BE299" t="str">
        <f ca="1">IF(AND(ISNUMBER($BE$801),$B$511=1),$BE$801,HLOOKUP(INDIRECT(ADDRESS(2,COLUMN())),OFFSET($BN$2,0,0,ROW()-1,60),ROW()-1,FALSE))</f>
        <v/>
      </c>
      <c r="BF299" t="str">
        <f ca="1">IF(AND(ISNUMBER($BF$801),$B$511=1),$BF$801,HLOOKUP(INDIRECT(ADDRESS(2,COLUMN())),OFFSET($BN$2,0,0,ROW()-1,60),ROW()-1,FALSE))</f>
        <v/>
      </c>
      <c r="BG299" t="str">
        <f ca="1">IF(AND(ISNUMBER($BG$801),$B$511=1),$BG$801,HLOOKUP(INDIRECT(ADDRESS(2,COLUMN())),OFFSET($BN$2,0,0,ROW()-1,60),ROW()-1,FALSE))</f>
        <v/>
      </c>
      <c r="BH299" t="str">
        <f ca="1">IF(AND(ISNUMBER($BH$801),$B$511=1),$BH$801,HLOOKUP(INDIRECT(ADDRESS(2,COLUMN())),OFFSET($BN$2,0,0,ROW()-1,60),ROW()-1,FALSE))</f>
        <v/>
      </c>
      <c r="BI299" t="str">
        <f ca="1">IF(AND(ISNUMBER($BI$801),$B$511=1),$BI$801,HLOOKUP(INDIRECT(ADDRESS(2,COLUMN())),OFFSET($BN$2,0,0,ROW()-1,60),ROW()-1,FALSE))</f>
        <v/>
      </c>
      <c r="BJ299" t="str">
        <f ca="1">IF(AND(ISNUMBER($BJ$801),$B$511=1),$BJ$801,HLOOKUP(INDIRECT(ADDRESS(2,COLUMN())),OFFSET($BN$2,0,0,ROW()-1,60),ROW()-1,FALSE))</f>
        <v/>
      </c>
      <c r="BK299" t="str">
        <f ca="1">IF(AND(ISNUMBER($BK$801),$B$511=1),$BK$801,HLOOKUP(INDIRECT(ADDRESS(2,COLUMN())),OFFSET($BN$2,0,0,ROW()-1,60),ROW()-1,FALSE))</f>
        <v/>
      </c>
      <c r="BL299" t="str">
        <f ca="1">IF(AND(ISNUMBER($BL$801),$B$511=1),$BL$801,HLOOKUP(INDIRECT(ADDRESS(2,COLUMN())),OFFSET($BN$2,0,0,ROW()-1,60),ROW()-1,FALSE))</f>
        <v/>
      </c>
      <c r="BM299" t="str">
        <f ca="1">IF(AND(ISNUMBER($BM$801),$B$511=1),$BM$801,HLOOKUP(INDIRECT(ADDRESS(2,COLUMN())),OFFSET($BN$2,0,0,ROW()-1,60),ROW()-1,FALSE))</f>
        <v/>
      </c>
      <c r="BN299" t="str">
        <f>""</f>
        <v/>
      </c>
      <c r="BO299" t="str">
        <f>""</f>
        <v/>
      </c>
      <c r="BP299" t="str">
        <f>""</f>
        <v/>
      </c>
      <c r="BQ299" t="str">
        <f>""</f>
        <v/>
      </c>
      <c r="BR299" t="str">
        <f>""</f>
        <v/>
      </c>
      <c r="BS299" t="str">
        <f>""</f>
        <v/>
      </c>
      <c r="BT299" t="str">
        <f>""</f>
        <v/>
      </c>
      <c r="BU299" t="str">
        <f>""</f>
        <v/>
      </c>
      <c r="BV299" t="str">
        <f>""</f>
        <v/>
      </c>
      <c r="BW299" t="str">
        <f>""</f>
        <v/>
      </c>
      <c r="BX299" t="str">
        <f>""</f>
        <v/>
      </c>
      <c r="BY299" t="str">
        <f>""</f>
        <v/>
      </c>
      <c r="BZ299" t="str">
        <f>""</f>
        <v/>
      </c>
      <c r="CA299" t="str">
        <f>""</f>
        <v/>
      </c>
      <c r="CB299" t="str">
        <f>""</f>
        <v/>
      </c>
      <c r="CC299" t="str">
        <f>""</f>
        <v/>
      </c>
      <c r="CD299" t="str">
        <f>""</f>
        <v/>
      </c>
      <c r="CE299" t="str">
        <f>""</f>
        <v/>
      </c>
      <c r="CF299" t="str">
        <f>""</f>
        <v/>
      </c>
      <c r="CG299" t="str">
        <f>""</f>
        <v/>
      </c>
      <c r="CH299" t="str">
        <f>""</f>
        <v/>
      </c>
      <c r="CI299" t="str">
        <f>""</f>
        <v/>
      </c>
      <c r="CJ299" t="str">
        <f>""</f>
        <v/>
      </c>
      <c r="CK299" t="str">
        <f>""</f>
        <v/>
      </c>
      <c r="CL299" t="str">
        <f>""</f>
        <v/>
      </c>
      <c r="CM299" t="str">
        <f>""</f>
        <v/>
      </c>
      <c r="CN299" t="str">
        <f>""</f>
        <v/>
      </c>
      <c r="CO299" t="str">
        <f>""</f>
        <v/>
      </c>
      <c r="CP299" t="str">
        <f>""</f>
        <v/>
      </c>
      <c r="CQ299" t="str">
        <f>""</f>
        <v/>
      </c>
      <c r="CR299" t="str">
        <f>""</f>
        <v/>
      </c>
      <c r="CS299" t="str">
        <f>""</f>
        <v/>
      </c>
      <c r="CT299" t="str">
        <f>""</f>
        <v/>
      </c>
      <c r="CU299" t="str">
        <f>""</f>
        <v/>
      </c>
      <c r="CV299" t="str">
        <f>""</f>
        <v/>
      </c>
      <c r="CW299" t="str">
        <f>""</f>
        <v/>
      </c>
      <c r="CX299" t="str">
        <f>""</f>
        <v/>
      </c>
      <c r="CY299" t="str">
        <f>""</f>
        <v/>
      </c>
      <c r="CZ299" t="str">
        <f>""</f>
        <v/>
      </c>
      <c r="DA299" t="str">
        <f>""</f>
        <v/>
      </c>
      <c r="DB299" t="str">
        <f>""</f>
        <v/>
      </c>
      <c r="DC299" t="str">
        <f>""</f>
        <v/>
      </c>
      <c r="DD299" t="str">
        <f>""</f>
        <v/>
      </c>
      <c r="DE299" t="str">
        <f>""</f>
        <v/>
      </c>
      <c r="DF299" t="str">
        <f>""</f>
        <v/>
      </c>
      <c r="DG299" t="str">
        <f>""</f>
        <v/>
      </c>
      <c r="DH299" t="str">
        <f>""</f>
        <v/>
      </c>
      <c r="DI299" t="str">
        <f>""</f>
        <v/>
      </c>
      <c r="DJ299" t="str">
        <f>""</f>
        <v/>
      </c>
      <c r="DK299" t="str">
        <f>""</f>
        <v/>
      </c>
      <c r="DL299" t="str">
        <f>""</f>
        <v/>
      </c>
      <c r="DM299" t="str">
        <f>""</f>
        <v/>
      </c>
      <c r="DN299" t="str">
        <f>""</f>
        <v/>
      </c>
      <c r="DO299" t="str">
        <f>""</f>
        <v/>
      </c>
      <c r="DP299" t="str">
        <f>""</f>
        <v/>
      </c>
      <c r="DQ299" t="str">
        <f>""</f>
        <v/>
      </c>
      <c r="DR299" t="str">
        <f>""</f>
        <v/>
      </c>
      <c r="DS299" t="str">
        <f>""</f>
        <v/>
      </c>
      <c r="DT299" t="str">
        <f>""</f>
        <v/>
      </c>
      <c r="DU299" t="str">
        <f>""</f>
        <v/>
      </c>
    </row>
    <row r="300" spans="1:125" x14ac:dyDescent="0.25">
      <c r="A300" t="str">
        <f>"    DRB-Hicom Bhd"</f>
        <v xml:space="preserve">    DRB-Hicom Bhd</v>
      </c>
      <c r="B300" t="str">
        <f>"DRB MK Equity"</f>
        <v>DRB MK Equity</v>
      </c>
      <c r="C300" t="str">
        <f t="shared" si="21"/>
        <v>RR179</v>
      </c>
      <c r="D300" t="str">
        <f t="shared" si="22"/>
        <v>TANGIBLE_COMMON_EQUITY</v>
      </c>
      <c r="E300" t="str">
        <f t="shared" si="23"/>
        <v>Dynamic</v>
      </c>
      <c r="F300" t="str">
        <f ca="1">IF(AND(ISNUMBER($F$802),$B$511=1),$F$802,HLOOKUP(INDIRECT(ADDRESS(2,COLUMN())),OFFSET($BN$2,0,0,ROW()-1,60),ROW()-1,FALSE))</f>
        <v/>
      </c>
      <c r="G300" t="str">
        <f ca="1">IF(AND(ISNUMBER($G$802),$B$511=1),$G$802,HLOOKUP(INDIRECT(ADDRESS(2,COLUMN())),OFFSET($BN$2,0,0,ROW()-1,60),ROW()-1,FALSE))</f>
        <v/>
      </c>
      <c r="H300">
        <f ca="1">IF(AND(ISNUMBER($H$802),$B$511=1),$H$802,HLOOKUP(INDIRECT(ADDRESS(2,COLUMN())),OFFSET($BN$2,0,0,ROW()-1,60),ROW()-1,FALSE))</f>
        <v>1199.595022</v>
      </c>
      <c r="I300">
        <f ca="1">IF(AND(ISNUMBER($I$802),$B$511=1),$I$802,HLOOKUP(INDIRECT(ADDRESS(2,COLUMN())),OFFSET($BN$2,0,0,ROW()-1,60),ROW()-1,FALSE))</f>
        <v>1234.417105</v>
      </c>
      <c r="J300">
        <f ca="1">IF(AND(ISNUMBER($J$802),$B$511=1),$J$802,HLOOKUP(INDIRECT(ADDRESS(2,COLUMN())),OFFSET($BN$2,0,0,ROW()-1,60),ROW()-1,FALSE))</f>
        <v>1304.5964779999999</v>
      </c>
      <c r="K300">
        <f ca="1">IF(AND(ISNUMBER($K$802),$B$511=1),$K$802,HLOOKUP(INDIRECT(ADDRESS(2,COLUMN())),OFFSET($BN$2,0,0,ROW()-1,60),ROW()-1,FALSE))</f>
        <v>1259.7461470000001</v>
      </c>
      <c r="L300">
        <f ca="1">IF(AND(ISNUMBER($L$802),$B$511=1),$L$802,HLOOKUP(INDIRECT(ADDRESS(2,COLUMN())),OFFSET($BN$2,0,0,ROW()-1,60),ROW()-1,FALSE))</f>
        <v>1191.725518</v>
      </c>
      <c r="M300">
        <f ca="1">IF(AND(ISNUMBER($M$802),$B$511=1),$M$802,HLOOKUP(INDIRECT(ADDRESS(2,COLUMN())),OFFSET($BN$2,0,0,ROW()-1,60),ROW()-1,FALSE))</f>
        <v>1031.1462140000001</v>
      </c>
      <c r="N300">
        <f ca="1">IF(AND(ISNUMBER($N$802),$B$511=1),$N$802,HLOOKUP(INDIRECT(ADDRESS(2,COLUMN())),OFFSET($BN$2,0,0,ROW()-1,60),ROW()-1,FALSE))</f>
        <v>932.46412829999997</v>
      </c>
      <c r="O300">
        <f ca="1">IF(AND(ISNUMBER($O$802),$B$511=1),$O$802,HLOOKUP(INDIRECT(ADDRESS(2,COLUMN())),OFFSET($BN$2,0,0,ROW()-1,60),ROW()-1,FALSE))</f>
        <v>980.25941609999995</v>
      </c>
      <c r="P300">
        <f ca="1">IF(AND(ISNUMBER($P$802),$B$511=1),$P$802,HLOOKUP(INDIRECT(ADDRESS(2,COLUMN())),OFFSET($BN$2,0,0,ROW()-1,60),ROW()-1,FALSE))</f>
        <v>998.73698230000002</v>
      </c>
      <c r="Q300">
        <f ca="1">IF(AND(ISNUMBER($Q$802),$B$511=1),$Q$802,HLOOKUP(INDIRECT(ADDRESS(2,COLUMN())),OFFSET($BN$2,0,0,ROW()-1,60),ROW()-1,FALSE))</f>
        <v>1168.174941</v>
      </c>
      <c r="R300">
        <f ca="1">IF(AND(ISNUMBER($R$802),$B$511=1),$R$802,HLOOKUP(INDIRECT(ADDRESS(2,COLUMN())),OFFSET($BN$2,0,0,ROW()-1,60),ROW()-1,FALSE))</f>
        <v>1255.1705179999999</v>
      </c>
      <c r="S300">
        <f ca="1">IF(AND(ISNUMBER($S$802),$B$511=1),$S$802,HLOOKUP(INDIRECT(ADDRESS(2,COLUMN())),OFFSET($BN$2,0,0,ROW()-1,60),ROW()-1,FALSE))</f>
        <v>1295.6787400000001</v>
      </c>
      <c r="T300">
        <f ca="1">IF(AND(ISNUMBER($T$802),$B$511=1),$T$802,HLOOKUP(INDIRECT(ADDRESS(2,COLUMN())),OFFSET($BN$2,0,0,ROW()-1,60),ROW()-1,FALSE))</f>
        <v>1349.164387</v>
      </c>
      <c r="U300">
        <f ca="1">IF(AND(ISNUMBER($U$802),$B$511=1),$U$802,HLOOKUP(INDIRECT(ADDRESS(2,COLUMN())),OFFSET($BN$2,0,0,ROW()-1,60),ROW()-1,FALSE))</f>
        <v>1628.501456</v>
      </c>
      <c r="V300">
        <f ca="1">IF(AND(ISNUMBER($V$802),$B$511=1),$V$802,HLOOKUP(INDIRECT(ADDRESS(2,COLUMN())),OFFSET($BN$2,0,0,ROW()-1,60),ROW()-1,FALSE))</f>
        <v>1667.437046</v>
      </c>
      <c r="W300">
        <f ca="1">IF(AND(ISNUMBER($W$802),$B$511=1),$W$802,HLOOKUP(INDIRECT(ADDRESS(2,COLUMN())),OFFSET($BN$2,0,0,ROW()-1,60),ROW()-1,FALSE))</f>
        <v>1770.9798659999999</v>
      </c>
      <c r="X300">
        <f ca="1">IF(AND(ISNUMBER($X$802),$B$511=1),$X$802,HLOOKUP(INDIRECT(ADDRESS(2,COLUMN())),OFFSET($BN$2,0,0,ROW()-1,60),ROW()-1,FALSE))</f>
        <v>1881.1020020000001</v>
      </c>
      <c r="Y300">
        <f ca="1">IF(AND(ISNUMBER($Y$802),$B$511=1),$Y$802,HLOOKUP(INDIRECT(ADDRESS(2,COLUMN())),OFFSET($BN$2,0,0,ROW()-1,60),ROW()-1,FALSE))</f>
        <v>1948.728734</v>
      </c>
      <c r="Z300">
        <f ca="1">IF(AND(ISNUMBER($Z$802),$B$511=1),$Z$802,HLOOKUP(INDIRECT(ADDRESS(2,COLUMN())),OFFSET($BN$2,0,0,ROW()-1,60),ROW()-1,FALSE))</f>
        <v>1905.2891139999999</v>
      </c>
      <c r="AA300">
        <f ca="1">IF(AND(ISNUMBER($AA$802),$B$511=1),$AA$802,HLOOKUP(INDIRECT(ADDRESS(2,COLUMN())),OFFSET($BN$2,0,0,ROW()-1,60),ROW()-1,FALSE))</f>
        <v>1836.161816</v>
      </c>
      <c r="AB300">
        <f ca="1">IF(AND(ISNUMBER($AB$802),$B$511=1),$AB$802,HLOOKUP(INDIRECT(ADDRESS(2,COLUMN())),OFFSET($BN$2,0,0,ROW()-1,60),ROW()-1,FALSE))</f>
        <v>1892.428093</v>
      </c>
      <c r="AC300">
        <f ca="1">IF(AND(ISNUMBER($AC$802),$B$511=1),$AC$802,HLOOKUP(INDIRECT(ADDRESS(2,COLUMN())),OFFSET($BN$2,0,0,ROW()-1,60),ROW()-1,FALSE))</f>
        <v>1964.2224040000001</v>
      </c>
      <c r="AD300">
        <f ca="1">IF(AND(ISNUMBER($AD$802),$B$511=1),$AD$802,HLOOKUP(INDIRECT(ADDRESS(2,COLUMN())),OFFSET($BN$2,0,0,ROW()-1,60),ROW()-1,FALSE))</f>
        <v>2026.8670059999999</v>
      </c>
      <c r="AE300">
        <f ca="1">IF(AND(ISNUMBER($AE$802),$B$511=1),$AE$802,HLOOKUP(INDIRECT(ADDRESS(2,COLUMN())),OFFSET($BN$2,0,0,ROW()-1,60),ROW()-1,FALSE))</f>
        <v>1841.581723</v>
      </c>
      <c r="AF300">
        <f ca="1">IF(AND(ISNUMBER($AF$802),$B$511=1),$AF$802,HLOOKUP(INDIRECT(ADDRESS(2,COLUMN())),OFFSET($BN$2,0,0,ROW()-1,60),ROW()-1,FALSE))</f>
        <v>1654.9663820000001</v>
      </c>
      <c r="AG300">
        <f ca="1">IF(AND(ISNUMBER($AG$802),$B$511=1),$AG$802,HLOOKUP(INDIRECT(ADDRESS(2,COLUMN())),OFFSET($BN$2,0,0,ROW()-1,60),ROW()-1,FALSE))</f>
        <v>1598.9346599999999</v>
      </c>
      <c r="AH300">
        <f ca="1">IF(AND(ISNUMBER($AH$802),$B$511=1),$AH$802,HLOOKUP(INDIRECT(ADDRESS(2,COLUMN())),OFFSET($BN$2,0,0,ROW()-1,60),ROW()-1,FALSE))</f>
        <v>1858.237658</v>
      </c>
      <c r="AI300">
        <f ca="1">IF(AND(ISNUMBER($AI$802),$B$511=1),$AI$802,HLOOKUP(INDIRECT(ADDRESS(2,COLUMN())),OFFSET($BN$2,0,0,ROW()-1,60),ROW()-1,FALSE))</f>
        <v>1566.428549</v>
      </c>
      <c r="AJ300">
        <f ca="1">IF(AND(ISNUMBER($AJ$802),$B$511=1),$AJ$802,HLOOKUP(INDIRECT(ADDRESS(2,COLUMN())),OFFSET($BN$2,0,0,ROW()-1,60),ROW()-1,FALSE))</f>
        <v>1532.9292740000001</v>
      </c>
      <c r="AK300">
        <f ca="1">IF(AND(ISNUMBER($AK$802),$B$511=1),$AK$802,HLOOKUP(INDIRECT(ADDRESS(2,COLUMN())),OFFSET($BN$2,0,0,ROW()-1,60),ROW()-1,FALSE))</f>
        <v>1612.3781280000001</v>
      </c>
      <c r="AL300">
        <f ca="1">IF(AND(ISNUMBER($AL$802),$B$511=1),$AL$802,HLOOKUP(INDIRECT(ADDRESS(2,COLUMN())),OFFSET($BN$2,0,0,ROW()-1,60),ROW()-1,FALSE))</f>
        <v>1573.7309540000001</v>
      </c>
      <c r="AM300">
        <f ca="1">IF(AND(ISNUMBER($AM$802),$B$511=1),$AM$802,HLOOKUP(INDIRECT(ADDRESS(2,COLUMN())),OFFSET($BN$2,0,0,ROW()-1,60),ROW()-1,FALSE))</f>
        <v>1535.25098</v>
      </c>
      <c r="AN300">
        <f ca="1">IF(AND(ISNUMBER($AN$802),$B$511=1),$AN$802,HLOOKUP(INDIRECT(ADDRESS(2,COLUMN())),OFFSET($BN$2,0,0,ROW()-1,60),ROW()-1,FALSE))</f>
        <v>1493.326309</v>
      </c>
      <c r="AO300">
        <f ca="1">IF(AND(ISNUMBER($AO$802),$B$511=1),$AO$802,HLOOKUP(INDIRECT(ADDRESS(2,COLUMN())),OFFSET($BN$2,0,0,ROW()-1,60),ROW()-1,FALSE))</f>
        <v>1389.0147260000001</v>
      </c>
      <c r="AP300">
        <f ca="1">IF(AND(ISNUMBER($AP$802),$B$511=1),$AP$802,HLOOKUP(INDIRECT(ADDRESS(2,COLUMN())),OFFSET($BN$2,0,0,ROW()-1,60),ROW()-1,FALSE))</f>
        <v>1332.307174</v>
      </c>
      <c r="AQ300">
        <f ca="1">IF(AND(ISNUMBER($AQ$802),$B$511=1),$AQ$802,HLOOKUP(INDIRECT(ADDRESS(2,COLUMN())),OFFSET($BN$2,0,0,ROW()-1,60),ROW()-1,FALSE))</f>
        <v>1190.5827280000001</v>
      </c>
      <c r="AR300">
        <f ca="1">IF(AND(ISNUMBER($AR$802),$B$511=1),$AR$802,HLOOKUP(INDIRECT(ADDRESS(2,COLUMN())),OFFSET($BN$2,0,0,ROW()-1,60),ROW()-1,FALSE))</f>
        <v>1151.9250179999999</v>
      </c>
      <c r="AS300">
        <f ca="1">IF(AND(ISNUMBER($AS$802),$B$511=1),$AS$802,HLOOKUP(INDIRECT(ADDRESS(2,COLUMN())),OFFSET($BN$2,0,0,ROW()-1,60),ROW()-1,FALSE))</f>
        <v>1118.7866289999999</v>
      </c>
      <c r="AT300">
        <f ca="1">IF(AND(ISNUMBER($AT$802),$B$511=1),$AT$802,HLOOKUP(INDIRECT(ADDRESS(2,COLUMN())),OFFSET($BN$2,0,0,ROW()-1,60),ROW()-1,FALSE))</f>
        <v>1067.3625019999999</v>
      </c>
      <c r="AU300">
        <f ca="1">IF(AND(ISNUMBER($AU$802),$B$511=1),$AU$802,HLOOKUP(INDIRECT(ADDRESS(2,COLUMN())),OFFSET($BN$2,0,0,ROW()-1,60),ROW()-1,FALSE))</f>
        <v>1167.2329480000001</v>
      </c>
      <c r="AV300">
        <f ca="1">IF(AND(ISNUMBER($AV$802),$B$511=1),$AV$802,HLOOKUP(INDIRECT(ADDRESS(2,COLUMN())),OFFSET($BN$2,0,0,ROW()-1,60),ROW()-1,FALSE))</f>
        <v>993.73769059999995</v>
      </c>
      <c r="AW300">
        <f ca="1">IF(AND(ISNUMBER($AW$802),$B$511=1),$AW$802,HLOOKUP(INDIRECT(ADDRESS(2,COLUMN())),OFFSET($BN$2,0,0,ROW()-1,60),ROW()-1,FALSE))</f>
        <v>1067.2302979999999</v>
      </c>
      <c r="AX300">
        <f ca="1">IF(AND(ISNUMBER($AX$802),$B$511=1),$AX$802,HLOOKUP(INDIRECT(ADDRESS(2,COLUMN())),OFFSET($BN$2,0,0,ROW()-1,60),ROW()-1,FALSE))</f>
        <v>896.24072620000004</v>
      </c>
      <c r="AY300">
        <f ca="1">IF(AND(ISNUMBER($AY$802),$B$511=1),$AY$802,HLOOKUP(INDIRECT(ADDRESS(2,COLUMN())),OFFSET($BN$2,0,0,ROW()-1,60),ROW()-1,FALSE))</f>
        <v>851.83475969999995</v>
      </c>
      <c r="AZ300">
        <f ca="1">IF(AND(ISNUMBER($AZ$802),$B$511=1),$AZ$802,HLOOKUP(INDIRECT(ADDRESS(2,COLUMN())),OFFSET($BN$2,0,0,ROW()-1,60),ROW()-1,FALSE))</f>
        <v>774.13463230000002</v>
      </c>
      <c r="BA300">
        <f ca="1">IF(AND(ISNUMBER($BA$802),$B$511=1),$BA$802,HLOOKUP(INDIRECT(ADDRESS(2,COLUMN())),OFFSET($BN$2,0,0,ROW()-1,60),ROW()-1,FALSE))</f>
        <v>761.82273710000004</v>
      </c>
      <c r="BB300">
        <f ca="1">IF(AND(ISNUMBER($BB$802),$B$511=1),$BB$802,HLOOKUP(INDIRECT(ADDRESS(2,COLUMN())),OFFSET($BN$2,0,0,ROW()-1,60),ROW()-1,FALSE))</f>
        <v>749.58235720000005</v>
      </c>
      <c r="BC300">
        <f ca="1">IF(AND(ISNUMBER($BC$802),$B$511=1),$BC$802,HLOOKUP(INDIRECT(ADDRESS(2,COLUMN())),OFFSET($BN$2,0,0,ROW()-1,60),ROW()-1,FALSE))</f>
        <v>724.25907029999996</v>
      </c>
      <c r="BD300">
        <f ca="1">IF(AND(ISNUMBER($BD$802),$B$511=1),$BD$802,HLOOKUP(INDIRECT(ADDRESS(2,COLUMN())),OFFSET($BN$2,0,0,ROW()-1,60),ROW()-1,FALSE))</f>
        <v>680.16323209999996</v>
      </c>
      <c r="BE300">
        <f ca="1">IF(AND(ISNUMBER($BE$802),$B$511=1),$BE$802,HLOOKUP(INDIRECT(ADDRESS(2,COLUMN())),OFFSET($BN$2,0,0,ROW()-1,60),ROW()-1,FALSE))</f>
        <v>680.9451626</v>
      </c>
      <c r="BF300">
        <f ca="1">IF(AND(ISNUMBER($BF$802),$B$511=1),$BF$802,HLOOKUP(INDIRECT(ADDRESS(2,COLUMN())),OFFSET($BN$2,0,0,ROW()-1,60),ROW()-1,FALSE))</f>
        <v>662.57826290000003</v>
      </c>
      <c r="BG300">
        <f ca="1">IF(AND(ISNUMBER($BG$802),$B$511=1),$BG$802,HLOOKUP(INDIRECT(ADDRESS(2,COLUMN())),OFFSET($BN$2,0,0,ROW()-1,60),ROW()-1,FALSE))</f>
        <v>675.32849320000003</v>
      </c>
      <c r="BH300">
        <f ca="1">IF(AND(ISNUMBER($BH$802),$B$511=1),$BH$802,HLOOKUP(INDIRECT(ADDRESS(2,COLUMN())),OFFSET($BN$2,0,0,ROW()-1,60),ROW()-1,FALSE))</f>
        <v>718.32822069999997</v>
      </c>
      <c r="BI300">
        <f ca="1">IF(AND(ISNUMBER($BI$802),$B$511=1),$BI$802,HLOOKUP(INDIRECT(ADDRESS(2,COLUMN())),OFFSET($BN$2,0,0,ROW()-1,60),ROW()-1,FALSE))</f>
        <v>893.95631579999997</v>
      </c>
      <c r="BJ300">
        <f ca="1">IF(AND(ISNUMBER($BJ$802),$B$511=1),$BJ$802,HLOOKUP(INDIRECT(ADDRESS(2,COLUMN())),OFFSET($BN$2,0,0,ROW()-1,60),ROW()-1,FALSE))</f>
        <v>696.50291790000006</v>
      </c>
      <c r="BK300">
        <f ca="1">IF(AND(ISNUMBER($BK$802),$B$511=1),$BK$802,HLOOKUP(INDIRECT(ADDRESS(2,COLUMN())),OFFSET($BN$2,0,0,ROW()-1,60),ROW()-1,FALSE))</f>
        <v>697.89473780000003</v>
      </c>
      <c r="BL300">
        <f ca="1">IF(AND(ISNUMBER($BL$802),$B$511=1),$BL$802,HLOOKUP(INDIRECT(ADDRESS(2,COLUMN())),OFFSET($BN$2,0,0,ROW()-1,60),ROW()-1,FALSE))</f>
        <v>687.97446520000005</v>
      </c>
      <c r="BM300">
        <f ca="1">IF(AND(ISNUMBER($BM$802),$B$511=1),$BM$802,HLOOKUP(INDIRECT(ADDRESS(2,COLUMN())),OFFSET($BN$2,0,0,ROW()-1,60),ROW()-1,FALSE))</f>
        <v>675.02341030000002</v>
      </c>
      <c r="BN300" t="str">
        <f>""</f>
        <v/>
      </c>
      <c r="BO300" t="str">
        <f>""</f>
        <v/>
      </c>
      <c r="BP300">
        <f>1199.595022</f>
        <v>1199.595022</v>
      </c>
      <c r="BQ300">
        <f>1234.417105</f>
        <v>1234.417105</v>
      </c>
      <c r="BR300">
        <f>1304.596478</f>
        <v>1304.5964779999999</v>
      </c>
      <c r="BS300">
        <f>1259.746147</f>
        <v>1259.7461470000001</v>
      </c>
      <c r="BT300">
        <f>1191.725518</f>
        <v>1191.725518</v>
      </c>
      <c r="BU300">
        <f>1031.146214</f>
        <v>1031.1462140000001</v>
      </c>
      <c r="BV300">
        <f>932.4641283</f>
        <v>932.46412829999997</v>
      </c>
      <c r="BW300">
        <f>980.2594161</f>
        <v>980.25941609999995</v>
      </c>
      <c r="BX300">
        <f>998.7369823</f>
        <v>998.73698230000002</v>
      </c>
      <c r="BY300">
        <f>1168.174941</f>
        <v>1168.174941</v>
      </c>
      <c r="BZ300">
        <f>1255.170518</f>
        <v>1255.1705179999999</v>
      </c>
      <c r="CA300">
        <f>1295.67874</f>
        <v>1295.6787400000001</v>
      </c>
      <c r="CB300">
        <f>1349.164387</f>
        <v>1349.164387</v>
      </c>
      <c r="CC300">
        <f>1628.501456</f>
        <v>1628.501456</v>
      </c>
      <c r="CD300">
        <f>1667.437046</f>
        <v>1667.437046</v>
      </c>
      <c r="CE300">
        <f>1770.979866</f>
        <v>1770.9798659999999</v>
      </c>
      <c r="CF300">
        <f>1881.102002</f>
        <v>1881.1020020000001</v>
      </c>
      <c r="CG300">
        <f>1948.728734</f>
        <v>1948.728734</v>
      </c>
      <c r="CH300">
        <f>1905.289114</f>
        <v>1905.2891139999999</v>
      </c>
      <c r="CI300">
        <f>1836.161816</f>
        <v>1836.161816</v>
      </c>
      <c r="CJ300">
        <f>1892.428093</f>
        <v>1892.428093</v>
      </c>
      <c r="CK300">
        <f>1964.222404</f>
        <v>1964.2224040000001</v>
      </c>
      <c r="CL300">
        <f>2026.867006</f>
        <v>2026.8670059999999</v>
      </c>
      <c r="CM300">
        <f>1841.581723</f>
        <v>1841.581723</v>
      </c>
      <c r="CN300">
        <f>1654.966382</f>
        <v>1654.9663820000001</v>
      </c>
      <c r="CO300">
        <f>1598.93466</f>
        <v>1598.9346599999999</v>
      </c>
      <c r="CP300">
        <f>1858.237658</f>
        <v>1858.237658</v>
      </c>
      <c r="CQ300">
        <f>1566.428549</f>
        <v>1566.428549</v>
      </c>
      <c r="CR300">
        <f>1532.929274</f>
        <v>1532.9292740000001</v>
      </c>
      <c r="CS300">
        <f>1612.378128</f>
        <v>1612.3781280000001</v>
      </c>
      <c r="CT300">
        <f>1573.730954</f>
        <v>1573.7309540000001</v>
      </c>
      <c r="CU300">
        <f>1535.25098</f>
        <v>1535.25098</v>
      </c>
      <c r="CV300">
        <f>1493.326309</f>
        <v>1493.326309</v>
      </c>
      <c r="CW300">
        <f>1389.014726</f>
        <v>1389.0147260000001</v>
      </c>
      <c r="CX300">
        <f>1332.307174</f>
        <v>1332.307174</v>
      </c>
      <c r="CY300">
        <f>1190.582728</f>
        <v>1190.5827280000001</v>
      </c>
      <c r="CZ300">
        <f>1151.925018</f>
        <v>1151.9250179999999</v>
      </c>
      <c r="DA300">
        <f>1118.786629</f>
        <v>1118.7866289999999</v>
      </c>
      <c r="DB300">
        <f>1067.362502</f>
        <v>1067.3625019999999</v>
      </c>
      <c r="DC300">
        <f>1167.232948</f>
        <v>1167.2329480000001</v>
      </c>
      <c r="DD300">
        <f>993.7376906</f>
        <v>993.73769059999995</v>
      </c>
      <c r="DE300">
        <f>1067.230298</f>
        <v>1067.2302979999999</v>
      </c>
      <c r="DF300">
        <f>896.2407262</f>
        <v>896.24072620000004</v>
      </c>
      <c r="DG300">
        <f>851.8347597</f>
        <v>851.83475969999995</v>
      </c>
      <c r="DH300">
        <f>774.1346323</f>
        <v>774.13463230000002</v>
      </c>
      <c r="DI300">
        <f>761.8227371</f>
        <v>761.82273710000004</v>
      </c>
      <c r="DJ300">
        <f>749.5823572</f>
        <v>749.58235720000005</v>
      </c>
      <c r="DK300">
        <f>724.2590703</f>
        <v>724.25907029999996</v>
      </c>
      <c r="DL300">
        <f>680.1632321</f>
        <v>680.16323209999996</v>
      </c>
      <c r="DM300">
        <f>680.9451626</f>
        <v>680.9451626</v>
      </c>
      <c r="DN300">
        <f>662.5782629</f>
        <v>662.57826290000003</v>
      </c>
      <c r="DO300">
        <f>675.3284932</f>
        <v>675.32849320000003</v>
      </c>
      <c r="DP300">
        <f>718.3282207</f>
        <v>718.32822069999997</v>
      </c>
      <c r="DQ300">
        <f>893.9563158</f>
        <v>893.95631579999997</v>
      </c>
      <c r="DR300">
        <f>696.5029179</f>
        <v>696.50291790000006</v>
      </c>
      <c r="DS300">
        <f>697.8947378</f>
        <v>697.89473780000003</v>
      </c>
      <c r="DT300">
        <f>687.9744652</f>
        <v>687.97446520000005</v>
      </c>
      <c r="DU300">
        <f>675.0234103</f>
        <v>675.02341030000002</v>
      </c>
    </row>
    <row r="301" spans="1:125" x14ac:dyDescent="0.25">
      <c r="A301" t="str">
        <f>"    FAW CAR Co Ltd"</f>
        <v xml:space="preserve">    FAW CAR Co Ltd</v>
      </c>
      <c r="B301" t="str">
        <f>"000800 CH Equity"</f>
        <v>000800 CH Equity</v>
      </c>
      <c r="C301" t="str">
        <f t="shared" si="21"/>
        <v>RR179</v>
      </c>
      <c r="D301" t="str">
        <f t="shared" si="22"/>
        <v>TANGIBLE_COMMON_EQUITY</v>
      </c>
      <c r="E301" t="str">
        <f t="shared" si="23"/>
        <v>Dynamic</v>
      </c>
      <c r="F301" t="str">
        <f ca="1">IF(AND(ISNUMBER($F$803),$B$511=1),$F$803,HLOOKUP(INDIRECT(ADDRESS(2,COLUMN())),OFFSET($BN$2,0,0,ROW()-1,60),ROW()-1,FALSE))</f>
        <v/>
      </c>
      <c r="G301" t="str">
        <f ca="1">IF(AND(ISNUMBER($G$803),$B$511=1),$G$803,HLOOKUP(INDIRECT(ADDRESS(2,COLUMN())),OFFSET($BN$2,0,0,ROW()-1,60),ROW()-1,FALSE))</f>
        <v/>
      </c>
      <c r="H301">
        <f ca="1">IF(AND(ISNUMBER($H$803),$B$511=1),$H$803,HLOOKUP(INDIRECT(ADDRESS(2,COLUMN())),OFFSET($BN$2,0,0,ROW()-1,60),ROW()-1,FALSE))</f>
        <v>1081.944039</v>
      </c>
      <c r="I301">
        <f ca="1">IF(AND(ISNUMBER($I$803),$B$511=1),$I$803,HLOOKUP(INDIRECT(ADDRESS(2,COLUMN())),OFFSET($BN$2,0,0,ROW()-1,60),ROW()-1,FALSE))</f>
        <v>1172.4691479999999</v>
      </c>
      <c r="J301">
        <f ca="1">IF(AND(ISNUMBER($J$803),$B$511=1),$J$803,HLOOKUP(INDIRECT(ADDRESS(2,COLUMN())),OFFSET($BN$2,0,0,ROW()-1,60),ROW()-1,FALSE))</f>
        <v>1167.266617</v>
      </c>
      <c r="K301">
        <f ca="1">IF(AND(ISNUMBER($K$803),$B$511=1),$K$803,HLOOKUP(INDIRECT(ADDRESS(2,COLUMN())),OFFSET($BN$2,0,0,ROW()-1,60),ROW()-1,FALSE))</f>
        <v>1186.095174</v>
      </c>
      <c r="L301">
        <f ca="1">IF(AND(ISNUMBER($L$803),$B$511=1),$L$803,HLOOKUP(INDIRECT(ADDRESS(2,COLUMN())),OFFSET($BN$2,0,0,ROW()-1,60),ROW()-1,FALSE))</f>
        <v>1084.622492</v>
      </c>
      <c r="M301">
        <f ca="1">IF(AND(ISNUMBER($M$803),$B$511=1),$M$803,HLOOKUP(INDIRECT(ADDRESS(2,COLUMN())),OFFSET($BN$2,0,0,ROW()-1,60),ROW()-1,FALSE))</f>
        <v>1117.5641270000001</v>
      </c>
      <c r="N301">
        <f ca="1">IF(AND(ISNUMBER($N$803),$B$511=1),$N$803,HLOOKUP(INDIRECT(ADDRESS(2,COLUMN())),OFFSET($BN$2,0,0,ROW()-1,60),ROW()-1,FALSE))</f>
        <v>1024.9390060000001</v>
      </c>
      <c r="O301">
        <f ca="1">IF(AND(ISNUMBER($O$803),$B$511=1),$O$803,HLOOKUP(INDIRECT(ADDRESS(2,COLUMN())),OFFSET($BN$2,0,0,ROW()-1,60),ROW()-1,FALSE))</f>
        <v>1041.57044</v>
      </c>
      <c r="P301">
        <f ca="1">IF(AND(ISNUMBER($P$803),$B$511=1),$P$803,HLOOKUP(INDIRECT(ADDRESS(2,COLUMN())),OFFSET($BN$2,0,0,ROW()-1,60),ROW()-1,FALSE))</f>
        <v>1009.2755100000001</v>
      </c>
      <c r="Q301">
        <f ca="1">IF(AND(ISNUMBER($Q$803),$B$511=1),$Q$803,HLOOKUP(INDIRECT(ADDRESS(2,COLUMN())),OFFSET($BN$2,0,0,ROW()-1,60),ROW()-1,FALSE))</f>
        <v>1094.5737999999999</v>
      </c>
      <c r="R301">
        <f ca="1">IF(AND(ISNUMBER($R$803),$B$511=1),$R$803,HLOOKUP(INDIRECT(ADDRESS(2,COLUMN())),OFFSET($BN$2,0,0,ROW()-1,60),ROW()-1,FALSE))</f>
        <v>1097.396753</v>
      </c>
      <c r="S301">
        <f ca="1">IF(AND(ISNUMBER($S$803),$B$511=1),$S$803,HLOOKUP(INDIRECT(ADDRESS(2,COLUMN())),OFFSET($BN$2,0,0,ROW()-1,60),ROW()-1,FALSE))</f>
        <v>1253.424614</v>
      </c>
      <c r="T301">
        <f ca="1">IF(AND(ISNUMBER($T$803),$B$511=1),$T$803,HLOOKUP(INDIRECT(ADDRESS(2,COLUMN())),OFFSET($BN$2,0,0,ROW()-1,60),ROW()-1,FALSE))</f>
        <v>1180.7348300000001</v>
      </c>
      <c r="U301">
        <f ca="1">IF(AND(ISNUMBER($U$803),$B$511=1),$U$803,HLOOKUP(INDIRECT(ADDRESS(2,COLUMN())),OFFSET($BN$2,0,0,ROW()-1,60),ROW()-1,FALSE))</f>
        <v>1335.632891</v>
      </c>
      <c r="V301">
        <f ca="1">IF(AND(ISNUMBER($V$803),$B$511=1),$V$803,HLOOKUP(INDIRECT(ADDRESS(2,COLUMN())),OFFSET($BN$2,0,0,ROW()-1,60),ROW()-1,FALSE))</f>
        <v>1220.827612</v>
      </c>
      <c r="W301">
        <f ca="1">IF(AND(ISNUMBER($W$803),$B$511=1),$W$803,HLOOKUP(INDIRECT(ADDRESS(2,COLUMN())),OFFSET($BN$2,0,0,ROW()-1,60),ROW()-1,FALSE))</f>
        <v>1286.2523289999999</v>
      </c>
      <c r="X301">
        <f ca="1">IF(AND(ISNUMBER($X$803),$B$511=1),$X$803,HLOOKUP(INDIRECT(ADDRESS(2,COLUMN())),OFFSET($BN$2,0,0,ROW()-1,60),ROW()-1,FALSE))</f>
        <v>1214.592958</v>
      </c>
      <c r="Y301">
        <f ca="1">IF(AND(ISNUMBER($Y$803),$B$511=1),$Y$803,HLOOKUP(INDIRECT(ADDRESS(2,COLUMN())),OFFSET($BN$2,0,0,ROW()-1,60),ROW()-1,FALSE))</f>
        <v>1319.1337289999999</v>
      </c>
      <c r="Z301">
        <f ca="1">IF(AND(ISNUMBER($Z$803),$B$511=1),$Z$803,HLOOKUP(INDIRECT(ADDRESS(2,COLUMN())),OFFSET($BN$2,0,0,ROW()-1,60),ROW()-1,FALSE))</f>
        <v>1207.6684499999999</v>
      </c>
      <c r="AA301">
        <f ca="1">IF(AND(ISNUMBER($AA$803),$B$511=1),$AA$803,HLOOKUP(INDIRECT(ADDRESS(2,COLUMN())),OFFSET($BN$2,0,0,ROW()-1,60),ROW()-1,FALSE))</f>
        <v>1307.2249039999999</v>
      </c>
      <c r="AB301">
        <f ca="1">IF(AND(ISNUMBER($AB$803),$B$511=1),$AB$803,HLOOKUP(INDIRECT(ADDRESS(2,COLUMN())),OFFSET($BN$2,0,0,ROW()-1,60),ROW()-1,FALSE))</f>
        <v>1155.9917869999999</v>
      </c>
      <c r="AC301">
        <f ca="1">IF(AND(ISNUMBER($AC$803),$B$511=1),$AC$803,HLOOKUP(INDIRECT(ADDRESS(2,COLUMN())),OFFSET($BN$2,0,0,ROW()-1,60),ROW()-1,FALSE))</f>
        <v>1239.892609</v>
      </c>
      <c r="AD301">
        <f ca="1">IF(AND(ISNUMBER($AD$803),$B$511=1),$AD$803,HLOOKUP(INDIRECT(ADDRESS(2,COLUMN())),OFFSET($BN$2,0,0,ROW()-1,60),ROW()-1,FALSE))</f>
        <v>1074.9903220000001</v>
      </c>
      <c r="AE301">
        <f ca="1">IF(AND(ISNUMBER($AE$803),$B$511=1),$AE$803,HLOOKUP(INDIRECT(ADDRESS(2,COLUMN())),OFFSET($BN$2,0,0,ROW()-1,60),ROW()-1,FALSE))</f>
        <v>1123.2246640000001</v>
      </c>
      <c r="AF301">
        <f ca="1">IF(AND(ISNUMBER($AF$803),$B$511=1),$AF$803,HLOOKUP(INDIRECT(ADDRESS(2,COLUMN())),OFFSET($BN$2,0,0,ROW()-1,60),ROW()-1,FALSE))</f>
        <v>1128.684571</v>
      </c>
      <c r="AG301">
        <f ca="1">IF(AND(ISNUMBER($AG$803),$B$511=1),$AG$803,HLOOKUP(INDIRECT(ADDRESS(2,COLUMN())),OFFSET($BN$2,0,0,ROW()-1,60),ROW()-1,FALSE))</f>
        <v>1232.261626</v>
      </c>
      <c r="AH301">
        <f ca="1">IF(AND(ISNUMBER($AH$803),$B$511=1),$AH$803,HLOOKUP(INDIRECT(ADDRESS(2,COLUMN())),OFFSET($BN$2,0,0,ROW()-1,60),ROW()-1,FALSE))</f>
        <v>1188.101379</v>
      </c>
      <c r="AI301">
        <f ca="1">IF(AND(ISNUMBER($AI$803),$B$511=1),$AI$803,HLOOKUP(INDIRECT(ADDRESS(2,COLUMN())),OFFSET($BN$2,0,0,ROW()-1,60),ROW()-1,FALSE))</f>
        <v>1259.6666680000001</v>
      </c>
      <c r="AJ301">
        <f ca="1">IF(AND(ISNUMBER($AJ$803),$B$511=1),$AJ$803,HLOOKUP(INDIRECT(ADDRESS(2,COLUMN())),OFFSET($BN$2,0,0,ROW()-1,60),ROW()-1,FALSE))</f>
        <v>1313.8258599999999</v>
      </c>
      <c r="AK301">
        <f ca="1">IF(AND(ISNUMBER($AK$803),$B$511=1),$AK$803,HLOOKUP(INDIRECT(ADDRESS(2,COLUMN())),OFFSET($BN$2,0,0,ROW()-1,60),ROW()-1,FALSE))</f>
        <v>1343.5634130000001</v>
      </c>
      <c r="AL301">
        <f ca="1">IF(AND(ISNUMBER($AL$803),$B$511=1),$AL$803,HLOOKUP(INDIRECT(ADDRESS(2,COLUMN())),OFFSET($BN$2,0,0,ROW()-1,60),ROW()-1,FALSE))</f>
        <v>1305.8284610000001</v>
      </c>
      <c r="AM301">
        <f ca="1">IF(AND(ISNUMBER($AM$803),$B$511=1),$AM$803,HLOOKUP(INDIRECT(ADDRESS(2,COLUMN())),OFFSET($BN$2,0,0,ROW()-1,60),ROW()-1,FALSE))</f>
        <v>1271.4124710000001</v>
      </c>
      <c r="AN301">
        <f ca="1">IF(AND(ISNUMBER($AN$803),$B$511=1),$AN$803,HLOOKUP(INDIRECT(ADDRESS(2,COLUMN())),OFFSET($BN$2,0,0,ROW()-1,60),ROW()-1,FALSE))</f>
        <v>1226.3596199999999</v>
      </c>
      <c r="AO301">
        <f ca="1">IF(AND(ISNUMBER($AO$803),$B$511=1),$AO$803,HLOOKUP(INDIRECT(ADDRESS(2,COLUMN())),OFFSET($BN$2,0,0,ROW()-1,60),ROW()-1,FALSE))</f>
        <v>1186.4810660000001</v>
      </c>
      <c r="AP301">
        <f ca="1">IF(AND(ISNUMBER($AP$803),$B$511=1),$AP$803,HLOOKUP(INDIRECT(ADDRESS(2,COLUMN())),OFFSET($BN$2,0,0,ROW()-1,60),ROW()-1,FALSE))</f>
        <v>1161.620269</v>
      </c>
      <c r="AQ301">
        <f ca="1">IF(AND(ISNUMBER($AQ$803),$B$511=1),$AQ$803,HLOOKUP(INDIRECT(ADDRESS(2,COLUMN())),OFFSET($BN$2,0,0,ROW()-1,60),ROW()-1,FALSE))</f>
        <v>1061.0523619999999</v>
      </c>
      <c r="AR301">
        <f ca="1">IF(AND(ISNUMBER($AR$803),$B$511=1),$AR$803,HLOOKUP(INDIRECT(ADDRESS(2,COLUMN())),OFFSET($BN$2,0,0,ROW()-1,60),ROW()-1,FALSE))</f>
        <v>951.76531120000004</v>
      </c>
      <c r="AS301">
        <f ca="1">IF(AND(ISNUMBER($AS$803),$B$511=1),$AS$803,HLOOKUP(INDIRECT(ADDRESS(2,COLUMN())),OFFSET($BN$2,0,0,ROW()-1,60),ROW()-1,FALSE))</f>
        <v>922.20496170000001</v>
      </c>
      <c r="AT301">
        <f ca="1">IF(AND(ISNUMBER($AT$803),$B$511=1),$AT$803,HLOOKUP(INDIRECT(ADDRESS(2,COLUMN())),OFFSET($BN$2,0,0,ROW()-1,60),ROW()-1,FALSE))</f>
        <v>937.87542699999995</v>
      </c>
      <c r="AU301">
        <f ca="1">IF(AND(ISNUMBER($AU$803),$B$511=1),$AU$803,HLOOKUP(INDIRECT(ADDRESS(2,COLUMN())),OFFSET($BN$2,0,0,ROW()-1,60),ROW()-1,FALSE))</f>
        <v>932.2927866</v>
      </c>
      <c r="AV301">
        <f ca="1">IF(AND(ISNUMBER($AV$803),$B$511=1),$AV$803,HLOOKUP(INDIRECT(ADDRESS(2,COLUMN())),OFFSET($BN$2,0,0,ROW()-1,60),ROW()-1,FALSE))</f>
        <v>908.70660929999997</v>
      </c>
      <c r="AW301">
        <f ca="1">IF(AND(ISNUMBER($AW$803),$B$511=1),$AW$803,HLOOKUP(INDIRECT(ADDRESS(2,COLUMN())),OFFSET($BN$2,0,0,ROW()-1,60),ROW()-1,FALSE))</f>
        <v>868.4706099</v>
      </c>
      <c r="AX301">
        <f ca="1">IF(AND(ISNUMBER($AX$803),$B$511=1),$AX$803,HLOOKUP(INDIRECT(ADDRESS(2,COLUMN())),OFFSET($BN$2,0,0,ROW()-1,60),ROW()-1,FALSE))</f>
        <v>856.52828609999995</v>
      </c>
      <c r="AY301">
        <f ca="1">IF(AND(ISNUMBER($AY$803),$B$511=1),$AY$803,HLOOKUP(INDIRECT(ADDRESS(2,COLUMN())),OFFSET($BN$2,0,0,ROW()-1,60),ROW()-1,FALSE))</f>
        <v>799.9486789</v>
      </c>
      <c r="AZ301">
        <f ca="1">IF(AND(ISNUMBER($AZ$803),$B$511=1),$AZ$803,HLOOKUP(INDIRECT(ADDRESS(2,COLUMN())),OFFSET($BN$2,0,0,ROW()-1,60),ROW()-1,FALSE))</f>
        <v>761.02111669999999</v>
      </c>
      <c r="BA301">
        <f ca="1">IF(AND(ISNUMBER($BA$803),$B$511=1),$BA$803,HLOOKUP(INDIRECT(ADDRESS(2,COLUMN())),OFFSET($BN$2,0,0,ROW()-1,60),ROW()-1,FALSE))</f>
        <v>714.0099007</v>
      </c>
      <c r="BB301">
        <f ca="1">IF(AND(ISNUMBER($BB$803),$B$511=1),$BB$803,HLOOKUP(INDIRECT(ADDRESS(2,COLUMN())),OFFSET($BN$2,0,0,ROW()-1,60),ROW()-1,FALSE))</f>
        <v>705.09644330000003</v>
      </c>
      <c r="BC301">
        <f ca="1">IF(AND(ISNUMBER($BC$803),$B$511=1),$BC$803,HLOOKUP(INDIRECT(ADDRESS(2,COLUMN())),OFFSET($BN$2,0,0,ROW()-1,60),ROW()-1,FALSE))</f>
        <v>690.27210239999999</v>
      </c>
      <c r="BD301">
        <f ca="1">IF(AND(ISNUMBER($BD$803),$B$511=1),$BD$803,HLOOKUP(INDIRECT(ADDRESS(2,COLUMN())),OFFSET($BN$2,0,0,ROW()-1,60),ROW()-1,FALSE))</f>
        <v>667.93991119999998</v>
      </c>
      <c r="BE301">
        <f ca="1">IF(AND(ISNUMBER($BE$803),$B$511=1),$BE$803,HLOOKUP(INDIRECT(ADDRESS(2,COLUMN())),OFFSET($BN$2,0,0,ROW()-1,60),ROW()-1,FALSE))</f>
        <v>661.17203819999997</v>
      </c>
      <c r="BF301">
        <f ca="1">IF(AND(ISNUMBER($BF$803),$B$511=1),$BF$803,HLOOKUP(INDIRECT(ADDRESS(2,COLUMN())),OFFSET($BN$2,0,0,ROW()-1,60),ROW()-1,FALSE))</f>
        <v>678.21834190000004</v>
      </c>
      <c r="BG301">
        <f ca="1">IF(AND(ISNUMBER($BG$803),$B$511=1),$BG$803,HLOOKUP(INDIRECT(ADDRESS(2,COLUMN())),OFFSET($BN$2,0,0,ROW()-1,60),ROW()-1,FALSE))</f>
        <v>660.35337130000005</v>
      </c>
      <c r="BH301" t="str">
        <f ca="1">IF(AND(ISNUMBER($BH$803),$B$511=1),$BH$803,HLOOKUP(INDIRECT(ADDRESS(2,COLUMN())),OFFSET($BN$2,0,0,ROW()-1,60),ROW()-1,FALSE))</f>
        <v/>
      </c>
      <c r="BI301">
        <f ca="1">IF(AND(ISNUMBER($BI$803),$B$511=1),$BI$803,HLOOKUP(INDIRECT(ADDRESS(2,COLUMN())),OFFSET($BN$2,0,0,ROW()-1,60),ROW()-1,FALSE))</f>
        <v>628.19702070000005</v>
      </c>
      <c r="BJ301" t="str">
        <f ca="1">IF(AND(ISNUMBER($BJ$803),$B$511=1),$BJ$803,HLOOKUP(INDIRECT(ADDRESS(2,COLUMN())),OFFSET($BN$2,0,0,ROW()-1,60),ROW()-1,FALSE))</f>
        <v/>
      </c>
      <c r="BK301">
        <f ca="1">IF(AND(ISNUMBER($BK$803),$B$511=1),$BK$803,HLOOKUP(INDIRECT(ADDRESS(2,COLUMN())),OFFSET($BN$2,0,0,ROW()-1,60),ROW()-1,FALSE))</f>
        <v>615.92847889999996</v>
      </c>
      <c r="BL301" t="str">
        <f ca="1">IF(AND(ISNUMBER($BL$803),$B$511=1),$BL$803,HLOOKUP(INDIRECT(ADDRESS(2,COLUMN())),OFFSET($BN$2,0,0,ROW()-1,60),ROW()-1,FALSE))</f>
        <v/>
      </c>
      <c r="BM301">
        <f ca="1">IF(AND(ISNUMBER($BM$803),$B$511=1),$BM$803,HLOOKUP(INDIRECT(ADDRESS(2,COLUMN())),OFFSET($BN$2,0,0,ROW()-1,60),ROW()-1,FALSE))</f>
        <v>616.94751359999998</v>
      </c>
      <c r="BN301" t="str">
        <f>""</f>
        <v/>
      </c>
      <c r="BO301" t="str">
        <f>""</f>
        <v/>
      </c>
      <c r="BP301">
        <f>1081.944039</f>
        <v>1081.944039</v>
      </c>
      <c r="BQ301">
        <f>1172.469148</f>
        <v>1172.4691479999999</v>
      </c>
      <c r="BR301">
        <f>1167.266617</f>
        <v>1167.266617</v>
      </c>
      <c r="BS301">
        <f>1186.095174</f>
        <v>1186.095174</v>
      </c>
      <c r="BT301">
        <f>1084.622492</f>
        <v>1084.622492</v>
      </c>
      <c r="BU301">
        <f>1117.564127</f>
        <v>1117.5641270000001</v>
      </c>
      <c r="BV301">
        <f>1024.939006</f>
        <v>1024.9390060000001</v>
      </c>
      <c r="BW301">
        <f>1041.57044</f>
        <v>1041.57044</v>
      </c>
      <c r="BX301">
        <f>1009.27551</f>
        <v>1009.2755100000001</v>
      </c>
      <c r="BY301">
        <f>1094.5738</f>
        <v>1094.5737999999999</v>
      </c>
      <c r="BZ301">
        <f>1097.396753</f>
        <v>1097.396753</v>
      </c>
      <c r="CA301">
        <f>1253.424614</f>
        <v>1253.424614</v>
      </c>
      <c r="CB301">
        <f>1180.73483</f>
        <v>1180.7348300000001</v>
      </c>
      <c r="CC301">
        <f>1335.632891</f>
        <v>1335.632891</v>
      </c>
      <c r="CD301">
        <f>1220.827612</f>
        <v>1220.827612</v>
      </c>
      <c r="CE301">
        <f>1286.252329</f>
        <v>1286.2523289999999</v>
      </c>
      <c r="CF301">
        <f>1214.592958</f>
        <v>1214.592958</v>
      </c>
      <c r="CG301">
        <f>1319.133729</f>
        <v>1319.1337289999999</v>
      </c>
      <c r="CH301">
        <f>1207.66845</f>
        <v>1207.6684499999999</v>
      </c>
      <c r="CI301">
        <f>1307.224904</f>
        <v>1307.2249039999999</v>
      </c>
      <c r="CJ301">
        <f>1155.991787</f>
        <v>1155.9917869999999</v>
      </c>
      <c r="CK301">
        <f>1239.892609</f>
        <v>1239.892609</v>
      </c>
      <c r="CL301">
        <f>1074.990322</f>
        <v>1074.9903220000001</v>
      </c>
      <c r="CM301">
        <f>1123.224664</f>
        <v>1123.2246640000001</v>
      </c>
      <c r="CN301">
        <f>1128.684571</f>
        <v>1128.684571</v>
      </c>
      <c r="CO301">
        <f>1232.261626</f>
        <v>1232.261626</v>
      </c>
      <c r="CP301">
        <f>1188.101379</f>
        <v>1188.101379</v>
      </c>
      <c r="CQ301">
        <f>1259.666668</f>
        <v>1259.6666680000001</v>
      </c>
      <c r="CR301">
        <f>1313.82586</f>
        <v>1313.8258599999999</v>
      </c>
      <c r="CS301">
        <f>1343.563413</f>
        <v>1343.5634130000001</v>
      </c>
      <c r="CT301">
        <f>1305.828461</f>
        <v>1305.8284610000001</v>
      </c>
      <c r="CU301">
        <f>1271.412471</f>
        <v>1271.4124710000001</v>
      </c>
      <c r="CV301">
        <f>1226.35962</f>
        <v>1226.3596199999999</v>
      </c>
      <c r="CW301">
        <f>1186.481066</f>
        <v>1186.4810660000001</v>
      </c>
      <c r="CX301">
        <f>1161.620269</f>
        <v>1161.620269</v>
      </c>
      <c r="CY301">
        <f>1061.052362</f>
        <v>1061.0523619999999</v>
      </c>
      <c r="CZ301">
        <f>951.7653112</f>
        <v>951.76531120000004</v>
      </c>
      <c r="DA301">
        <f>922.2049617</f>
        <v>922.20496170000001</v>
      </c>
      <c r="DB301">
        <f>937.875427</f>
        <v>937.87542699999995</v>
      </c>
      <c r="DC301">
        <f>932.2927866</f>
        <v>932.2927866</v>
      </c>
      <c r="DD301">
        <f>908.7066093</f>
        <v>908.70660929999997</v>
      </c>
      <c r="DE301">
        <f>868.4706099</f>
        <v>868.4706099</v>
      </c>
      <c r="DF301">
        <f>856.5282861</f>
        <v>856.52828609999995</v>
      </c>
      <c r="DG301">
        <f>799.9486789</f>
        <v>799.9486789</v>
      </c>
      <c r="DH301">
        <f>761.0211167</f>
        <v>761.02111669999999</v>
      </c>
      <c r="DI301">
        <f>714.0099007</f>
        <v>714.0099007</v>
      </c>
      <c r="DJ301">
        <f>705.0964433</f>
        <v>705.09644330000003</v>
      </c>
      <c r="DK301">
        <f>690.2721024</f>
        <v>690.27210239999999</v>
      </c>
      <c r="DL301">
        <f>667.9399112</f>
        <v>667.93991119999998</v>
      </c>
      <c r="DM301">
        <f>661.1720382</f>
        <v>661.17203819999997</v>
      </c>
      <c r="DN301">
        <f>678.2183419</f>
        <v>678.21834190000004</v>
      </c>
      <c r="DO301">
        <f>660.3533713</f>
        <v>660.35337130000005</v>
      </c>
      <c r="DP301" t="str">
        <f>""</f>
        <v/>
      </c>
      <c r="DQ301">
        <f>628.1970207</f>
        <v>628.19702070000005</v>
      </c>
      <c r="DR301" t="str">
        <f>""</f>
        <v/>
      </c>
      <c r="DS301">
        <f>615.9284789</f>
        <v>615.92847889999996</v>
      </c>
      <c r="DT301" t="str">
        <f>""</f>
        <v/>
      </c>
      <c r="DU301">
        <f>616.9475136</f>
        <v>616.94751359999998</v>
      </c>
    </row>
    <row r="302" spans="1:125" x14ac:dyDescent="0.25">
      <c r="A302" t="str">
        <f>"    Fiat Chrysler Automobiles NV"</f>
        <v xml:space="preserve">    Fiat Chrysler Automobiles NV</v>
      </c>
      <c r="B302" t="str">
        <f>"FCAU US Equity"</f>
        <v>FCAU US Equity</v>
      </c>
      <c r="C302" t="str">
        <f t="shared" si="21"/>
        <v>RR179</v>
      </c>
      <c r="D302" t="str">
        <f t="shared" si="22"/>
        <v>TANGIBLE_COMMON_EQUITY</v>
      </c>
      <c r="E302" t="str">
        <f t="shared" si="23"/>
        <v>Dynamic</v>
      </c>
      <c r="F302" t="str">
        <f ca="1">IF(AND(ISNUMBER($F$804),$B$511=1),$F$804,HLOOKUP(INDIRECT(ADDRESS(2,COLUMN())),OFFSET($BN$2,0,0,ROW()-1,60),ROW()-1,FALSE))</f>
        <v/>
      </c>
      <c r="G302">
        <f ca="1">IF(AND(ISNUMBER($G$804),$B$511=1),$G$804,HLOOKUP(INDIRECT(ADDRESS(2,COLUMN())),OFFSET($BN$2,0,0,ROW()-1,60),ROW()-1,FALSE))</f>
        <v>-1164.6684</v>
      </c>
      <c r="H302">
        <f ca="1">IF(AND(ISNUMBER($H$804),$B$511=1),$H$804,HLOOKUP(INDIRECT(ADDRESS(2,COLUMN())),OFFSET($BN$2,0,0,ROW()-1,60),ROW()-1,FALSE))</f>
        <v>-2816.395</v>
      </c>
      <c r="I302">
        <f ca="1">IF(AND(ISNUMBER($I$804),$B$511=1),$I$804,HLOOKUP(INDIRECT(ADDRESS(2,COLUMN())),OFFSET($BN$2,0,0,ROW()-1,60),ROW()-1,FALSE))</f>
        <v>-3626.8762000000002</v>
      </c>
      <c r="J302">
        <f ca="1">IF(AND(ISNUMBER($J$804),$B$511=1),$J$804,HLOOKUP(INDIRECT(ADDRESS(2,COLUMN())),OFFSET($BN$2,0,0,ROW()-1,60),ROW()-1,FALSE))</f>
        <v>-3679.6095</v>
      </c>
      <c r="K302">
        <f ca="1">IF(AND(ISNUMBER($K$804),$B$511=1),$K$804,HLOOKUP(INDIRECT(ADDRESS(2,COLUMN())),OFFSET($BN$2,0,0,ROW()-1,60),ROW()-1,FALSE))</f>
        <v>-4944.6486000000004</v>
      </c>
      <c r="L302">
        <f ca="1">IF(AND(ISNUMBER($L$804),$B$511=1),$L$804,HLOOKUP(INDIRECT(ADDRESS(2,COLUMN())),OFFSET($BN$2,0,0,ROW()-1,60),ROW()-1,FALSE))</f>
        <v>-5515.5419000000002</v>
      </c>
      <c r="M302">
        <f ca="1">IF(AND(ISNUMBER($M$804),$B$511=1),$M$804,HLOOKUP(INDIRECT(ADDRESS(2,COLUMN())),OFFSET($BN$2,0,0,ROW()-1,60),ROW()-1,FALSE))</f>
        <v>-6383.2909</v>
      </c>
      <c r="N302">
        <f ca="1">IF(AND(ISNUMBER($N$804),$B$511=1),$N$804,HLOOKUP(INDIRECT(ADDRESS(2,COLUMN())),OFFSET($BN$2,0,0,ROW()-1,60),ROW()-1,FALSE))</f>
        <v>-7302.8419000000004</v>
      </c>
      <c r="O302">
        <f ca="1">IF(AND(ISNUMBER($O$804),$B$511=1),$O$804,HLOOKUP(INDIRECT(ADDRESS(2,COLUMN())),OFFSET($BN$2,0,0,ROW()-1,60),ROW()-1,FALSE))</f>
        <v>-7884.9372000000003</v>
      </c>
      <c r="P302">
        <f ca="1">IF(AND(ISNUMBER($P$804),$B$511=1),$P$804,HLOOKUP(INDIRECT(ADDRESS(2,COLUMN())),OFFSET($BN$2,0,0,ROW()-1,60),ROW()-1,FALSE))</f>
        <v>-8988.0139999999992</v>
      </c>
      <c r="Q302">
        <f ca="1">IF(AND(ISNUMBER($Q$804),$B$511=1),$Q$804,HLOOKUP(INDIRECT(ADDRESS(2,COLUMN())),OFFSET($BN$2,0,0,ROW()-1,60),ROW()-1,FALSE))</f>
        <v>-9347.8266000000003</v>
      </c>
      <c r="R302">
        <f ca="1">IF(AND(ISNUMBER($R$804),$B$511=1),$R$804,HLOOKUP(INDIRECT(ADDRESS(2,COLUMN())),OFFSET($BN$2,0,0,ROW()-1,60),ROW()-1,FALSE))</f>
        <v>-9400.7060000000001</v>
      </c>
      <c r="S302">
        <f ca="1">IF(AND(ISNUMBER($S$804),$B$511=1),$S$804,HLOOKUP(INDIRECT(ADDRESS(2,COLUMN())),OFFSET($BN$2,0,0,ROW()-1,60),ROW()-1,FALSE))</f>
        <v>-8617.8245999999999</v>
      </c>
      <c r="T302">
        <f ca="1">IF(AND(ISNUMBER($T$804),$B$511=1),$T$804,HLOOKUP(INDIRECT(ADDRESS(2,COLUMN())),OFFSET($BN$2,0,0,ROW()-1,60),ROW()-1,FALSE))</f>
        <v>-12105.6332</v>
      </c>
      <c r="U302">
        <f ca="1">IF(AND(ISNUMBER($U$804),$B$511=1),$U$804,HLOOKUP(INDIRECT(ADDRESS(2,COLUMN())),OFFSET($BN$2,0,0,ROW()-1,60),ROW()-1,FALSE))</f>
        <v>-11466.399299999999</v>
      </c>
      <c r="V302">
        <f ca="1">IF(AND(ISNUMBER($V$804),$B$511=1),$V$804,HLOOKUP(INDIRECT(ADDRESS(2,COLUMN())),OFFSET($BN$2,0,0,ROW()-1,60),ROW()-1,FALSE))</f>
        <v>-11187.1584</v>
      </c>
      <c r="W302">
        <f ca="1">IF(AND(ISNUMBER($W$804),$B$511=1),$W$804,HLOOKUP(INDIRECT(ADDRESS(2,COLUMN())),OFFSET($BN$2,0,0,ROW()-1,60),ROW()-1,FALSE))</f>
        <v>-10627.43</v>
      </c>
      <c r="X302">
        <f ca="1">IF(AND(ISNUMBER($X$804),$B$511=1),$X$804,HLOOKUP(INDIRECT(ADDRESS(2,COLUMN())),OFFSET($BN$2,0,0,ROW()-1,60),ROW()-1,FALSE))</f>
        <v>-14397.06</v>
      </c>
      <c r="Y302" t="str">
        <f ca="1">IF(AND(ISNUMBER($Y$804),$B$511=1),$Y$804,HLOOKUP(INDIRECT(ADDRESS(2,COLUMN())),OFFSET($BN$2,0,0,ROW()-1,60),ROW()-1,FALSE))</f>
        <v/>
      </c>
      <c r="Z302" t="str">
        <f ca="1">IF(AND(ISNUMBER($Z$804),$B$511=1),$Z$804,HLOOKUP(INDIRECT(ADDRESS(2,COLUMN())),OFFSET($BN$2,0,0,ROW()-1,60),ROW()-1,FALSE))</f>
        <v/>
      </c>
      <c r="AA302" t="str">
        <f ca="1">IF(AND(ISNUMBER($AA$804),$B$511=1),$AA$804,HLOOKUP(INDIRECT(ADDRESS(2,COLUMN())),OFFSET($BN$2,0,0,ROW()-1,60),ROW()-1,FALSE))</f>
        <v/>
      </c>
      <c r="AB302" t="str">
        <f ca="1">IF(AND(ISNUMBER($AB$804),$B$511=1),$AB$804,HLOOKUP(INDIRECT(ADDRESS(2,COLUMN())),OFFSET($BN$2,0,0,ROW()-1,60),ROW()-1,FALSE))</f>
        <v/>
      </c>
      <c r="AC302" t="str">
        <f ca="1">IF(AND(ISNUMBER($AC$804),$B$511=1),$AC$804,HLOOKUP(INDIRECT(ADDRESS(2,COLUMN())),OFFSET($BN$2,0,0,ROW()-1,60),ROW()-1,FALSE))</f>
        <v/>
      </c>
      <c r="AD302" t="str">
        <f ca="1">IF(AND(ISNUMBER($AD$804),$B$511=1),$AD$804,HLOOKUP(INDIRECT(ADDRESS(2,COLUMN())),OFFSET($BN$2,0,0,ROW()-1,60),ROW()-1,FALSE))</f>
        <v/>
      </c>
      <c r="AE302" t="str">
        <f ca="1">IF(AND(ISNUMBER($AE$804),$B$511=1),$AE$804,HLOOKUP(INDIRECT(ADDRESS(2,COLUMN())),OFFSET($BN$2,0,0,ROW()-1,60),ROW()-1,FALSE))</f>
        <v/>
      </c>
      <c r="AF302" t="str">
        <f ca="1">IF(AND(ISNUMBER($AF$804),$B$511=1),$AF$804,HLOOKUP(INDIRECT(ADDRESS(2,COLUMN())),OFFSET($BN$2,0,0,ROW()-1,60),ROW()-1,FALSE))</f>
        <v/>
      </c>
      <c r="AG302" t="str">
        <f ca="1">IF(AND(ISNUMBER($AG$804),$B$511=1),$AG$804,HLOOKUP(INDIRECT(ADDRESS(2,COLUMN())),OFFSET($BN$2,0,0,ROW()-1,60),ROW()-1,FALSE))</f>
        <v/>
      </c>
      <c r="AH302" t="str">
        <f ca="1">IF(AND(ISNUMBER($AH$804),$B$511=1),$AH$804,HLOOKUP(INDIRECT(ADDRESS(2,COLUMN())),OFFSET($BN$2,0,0,ROW()-1,60),ROW()-1,FALSE))</f>
        <v/>
      </c>
      <c r="AI302" t="str">
        <f ca="1">IF(AND(ISNUMBER($AI$804),$B$511=1),$AI$804,HLOOKUP(INDIRECT(ADDRESS(2,COLUMN())),OFFSET($BN$2,0,0,ROW()-1,60),ROW()-1,FALSE))</f>
        <v/>
      </c>
      <c r="AJ302" t="str">
        <f ca="1">IF(AND(ISNUMBER($AJ$804),$B$511=1),$AJ$804,HLOOKUP(INDIRECT(ADDRESS(2,COLUMN())),OFFSET($BN$2,0,0,ROW()-1,60),ROW()-1,FALSE))</f>
        <v/>
      </c>
      <c r="AK302" t="str">
        <f ca="1">IF(AND(ISNUMBER($AK$804),$B$511=1),$AK$804,HLOOKUP(INDIRECT(ADDRESS(2,COLUMN())),OFFSET($BN$2,0,0,ROW()-1,60),ROW()-1,FALSE))</f>
        <v/>
      </c>
      <c r="AL302" t="str">
        <f ca="1">IF(AND(ISNUMBER($AL$804),$B$511=1),$AL$804,HLOOKUP(INDIRECT(ADDRESS(2,COLUMN())),OFFSET($BN$2,0,0,ROW()-1,60),ROW()-1,FALSE))</f>
        <v/>
      </c>
      <c r="AM302" t="str">
        <f ca="1">IF(AND(ISNUMBER($AM$804),$B$511=1),$AM$804,HLOOKUP(INDIRECT(ADDRESS(2,COLUMN())),OFFSET($BN$2,0,0,ROW()-1,60),ROW()-1,FALSE))</f>
        <v/>
      </c>
      <c r="AN302" t="str">
        <f ca="1">IF(AND(ISNUMBER($AN$804),$B$511=1),$AN$804,HLOOKUP(INDIRECT(ADDRESS(2,COLUMN())),OFFSET($BN$2,0,0,ROW()-1,60),ROW()-1,FALSE))</f>
        <v/>
      </c>
      <c r="AO302" t="str">
        <f ca="1">IF(AND(ISNUMBER($AO$804),$B$511=1),$AO$804,HLOOKUP(INDIRECT(ADDRESS(2,COLUMN())),OFFSET($BN$2,0,0,ROW()-1,60),ROW()-1,FALSE))</f>
        <v/>
      </c>
      <c r="AP302" t="str">
        <f ca="1">IF(AND(ISNUMBER($AP$804),$B$511=1),$AP$804,HLOOKUP(INDIRECT(ADDRESS(2,COLUMN())),OFFSET($BN$2,0,0,ROW()-1,60),ROW()-1,FALSE))</f>
        <v/>
      </c>
      <c r="AQ302" t="str">
        <f ca="1">IF(AND(ISNUMBER($AQ$804),$B$511=1),$AQ$804,HLOOKUP(INDIRECT(ADDRESS(2,COLUMN())),OFFSET($BN$2,0,0,ROW()-1,60),ROW()-1,FALSE))</f>
        <v/>
      </c>
      <c r="AR302" t="str">
        <f ca="1">IF(AND(ISNUMBER($AR$804),$B$511=1),$AR$804,HLOOKUP(INDIRECT(ADDRESS(2,COLUMN())),OFFSET($BN$2,0,0,ROW()-1,60),ROW()-1,FALSE))</f>
        <v/>
      </c>
      <c r="AS302" t="str">
        <f ca="1">IF(AND(ISNUMBER($AS$804),$B$511=1),$AS$804,HLOOKUP(INDIRECT(ADDRESS(2,COLUMN())),OFFSET($BN$2,0,0,ROW()-1,60),ROW()-1,FALSE))</f>
        <v/>
      </c>
      <c r="AT302" t="str">
        <f ca="1">IF(AND(ISNUMBER($AT$804),$B$511=1),$AT$804,HLOOKUP(INDIRECT(ADDRESS(2,COLUMN())),OFFSET($BN$2,0,0,ROW()-1,60),ROW()-1,FALSE))</f>
        <v/>
      </c>
      <c r="AU302" t="str">
        <f ca="1">IF(AND(ISNUMBER($AU$804),$B$511=1),$AU$804,HLOOKUP(INDIRECT(ADDRESS(2,COLUMN())),OFFSET($BN$2,0,0,ROW()-1,60),ROW()-1,FALSE))</f>
        <v/>
      </c>
      <c r="AV302" t="str">
        <f ca="1">IF(AND(ISNUMBER($AV$804),$B$511=1),$AV$804,HLOOKUP(INDIRECT(ADDRESS(2,COLUMN())),OFFSET($BN$2,0,0,ROW()-1,60),ROW()-1,FALSE))</f>
        <v/>
      </c>
      <c r="AW302" t="str">
        <f ca="1">IF(AND(ISNUMBER($AW$804),$B$511=1),$AW$804,HLOOKUP(INDIRECT(ADDRESS(2,COLUMN())),OFFSET($BN$2,0,0,ROW()-1,60),ROW()-1,FALSE))</f>
        <v/>
      </c>
      <c r="AX302" t="str">
        <f ca="1">IF(AND(ISNUMBER($AX$804),$B$511=1),$AX$804,HLOOKUP(INDIRECT(ADDRESS(2,COLUMN())),OFFSET($BN$2,0,0,ROW()-1,60),ROW()-1,FALSE))</f>
        <v/>
      </c>
      <c r="AY302" t="str">
        <f ca="1">IF(AND(ISNUMBER($AY$804),$B$511=1),$AY$804,HLOOKUP(INDIRECT(ADDRESS(2,COLUMN())),OFFSET($BN$2,0,0,ROW()-1,60),ROW()-1,FALSE))</f>
        <v/>
      </c>
      <c r="AZ302" t="str">
        <f ca="1">IF(AND(ISNUMBER($AZ$804),$B$511=1),$AZ$804,HLOOKUP(INDIRECT(ADDRESS(2,COLUMN())),OFFSET($BN$2,0,0,ROW()-1,60),ROW()-1,FALSE))</f>
        <v/>
      </c>
      <c r="BA302" t="str">
        <f ca="1">IF(AND(ISNUMBER($BA$804),$B$511=1),$BA$804,HLOOKUP(INDIRECT(ADDRESS(2,COLUMN())),OFFSET($BN$2,0,0,ROW()-1,60),ROW()-1,FALSE))</f>
        <v/>
      </c>
      <c r="BB302" t="str">
        <f ca="1">IF(AND(ISNUMBER($BB$804),$B$511=1),$BB$804,HLOOKUP(INDIRECT(ADDRESS(2,COLUMN())),OFFSET($BN$2,0,0,ROW()-1,60),ROW()-1,FALSE))</f>
        <v/>
      </c>
      <c r="BC302" t="str">
        <f ca="1">IF(AND(ISNUMBER($BC$804),$B$511=1),$BC$804,HLOOKUP(INDIRECT(ADDRESS(2,COLUMN())),OFFSET($BN$2,0,0,ROW()-1,60),ROW()-1,FALSE))</f>
        <v/>
      </c>
      <c r="BD302" t="str">
        <f ca="1">IF(AND(ISNUMBER($BD$804),$B$511=1),$BD$804,HLOOKUP(INDIRECT(ADDRESS(2,COLUMN())),OFFSET($BN$2,0,0,ROW()-1,60),ROW()-1,FALSE))</f>
        <v/>
      </c>
      <c r="BE302" t="str">
        <f ca="1">IF(AND(ISNUMBER($BE$804),$B$511=1),$BE$804,HLOOKUP(INDIRECT(ADDRESS(2,COLUMN())),OFFSET($BN$2,0,0,ROW()-1,60),ROW()-1,FALSE))</f>
        <v/>
      </c>
      <c r="BF302" t="str">
        <f ca="1">IF(AND(ISNUMBER($BF$804),$B$511=1),$BF$804,HLOOKUP(INDIRECT(ADDRESS(2,COLUMN())),OFFSET($BN$2,0,0,ROW()-1,60),ROW()-1,FALSE))</f>
        <v/>
      </c>
      <c r="BG302" t="str">
        <f ca="1">IF(AND(ISNUMBER($BG$804),$B$511=1),$BG$804,HLOOKUP(INDIRECT(ADDRESS(2,COLUMN())),OFFSET($BN$2,0,0,ROW()-1,60),ROW()-1,FALSE))</f>
        <v/>
      </c>
      <c r="BH302" t="str">
        <f ca="1">IF(AND(ISNUMBER($BH$804),$B$511=1),$BH$804,HLOOKUP(INDIRECT(ADDRESS(2,COLUMN())),OFFSET($BN$2,0,0,ROW()-1,60),ROW()-1,FALSE))</f>
        <v/>
      </c>
      <c r="BI302" t="str">
        <f ca="1">IF(AND(ISNUMBER($BI$804),$B$511=1),$BI$804,HLOOKUP(INDIRECT(ADDRESS(2,COLUMN())),OFFSET($BN$2,0,0,ROW()-1,60),ROW()-1,FALSE))</f>
        <v/>
      </c>
      <c r="BJ302" t="str">
        <f ca="1">IF(AND(ISNUMBER($BJ$804),$B$511=1),$BJ$804,HLOOKUP(INDIRECT(ADDRESS(2,COLUMN())),OFFSET($BN$2,0,0,ROW()-1,60),ROW()-1,FALSE))</f>
        <v/>
      </c>
      <c r="BK302" t="str">
        <f ca="1">IF(AND(ISNUMBER($BK$804),$B$511=1),$BK$804,HLOOKUP(INDIRECT(ADDRESS(2,COLUMN())),OFFSET($BN$2,0,0,ROW()-1,60),ROW()-1,FALSE))</f>
        <v/>
      </c>
      <c r="BL302" t="str">
        <f ca="1">IF(AND(ISNUMBER($BL$804),$B$511=1),$BL$804,HLOOKUP(INDIRECT(ADDRESS(2,COLUMN())),OFFSET($BN$2,0,0,ROW()-1,60),ROW()-1,FALSE))</f>
        <v/>
      </c>
      <c r="BM302" t="str">
        <f ca="1">IF(AND(ISNUMBER($BM$804),$B$511=1),$BM$804,HLOOKUP(INDIRECT(ADDRESS(2,COLUMN())),OFFSET($BN$2,0,0,ROW()-1,60),ROW()-1,FALSE))</f>
        <v/>
      </c>
      <c r="BN302" t="str">
        <f>""</f>
        <v/>
      </c>
      <c r="BO302">
        <f>-1164.6684</f>
        <v>-1164.6684</v>
      </c>
      <c r="BP302">
        <f>-2816.395</f>
        <v>-2816.395</v>
      </c>
      <c r="BQ302">
        <f>-3626.8762</f>
        <v>-3626.8762000000002</v>
      </c>
      <c r="BR302">
        <f>-3679.6095</f>
        <v>-3679.6095</v>
      </c>
      <c r="BS302">
        <f>-4944.6486</f>
        <v>-4944.6486000000004</v>
      </c>
      <c r="BT302">
        <f>-5515.5419</f>
        <v>-5515.5419000000002</v>
      </c>
      <c r="BU302">
        <f>-6383.2909</f>
        <v>-6383.2909</v>
      </c>
      <c r="BV302">
        <f>-7302.8419</f>
        <v>-7302.8419000000004</v>
      </c>
      <c r="BW302">
        <f>-7884.9372</f>
        <v>-7884.9372000000003</v>
      </c>
      <c r="BX302">
        <f>-8988.014</f>
        <v>-8988.0139999999992</v>
      </c>
      <c r="BY302">
        <f>-9347.8266</f>
        <v>-9347.8266000000003</v>
      </c>
      <c r="BZ302">
        <f>-9400.706</f>
        <v>-9400.7060000000001</v>
      </c>
      <c r="CA302">
        <f>-8617.8246</f>
        <v>-8617.8245999999999</v>
      </c>
      <c r="CB302">
        <f>-12105.6332</f>
        <v>-12105.6332</v>
      </c>
      <c r="CC302">
        <f>-11466.3993</f>
        <v>-11466.399299999999</v>
      </c>
      <c r="CD302">
        <f>-11187.1584</f>
        <v>-11187.1584</v>
      </c>
      <c r="CE302">
        <f>-10627.43</f>
        <v>-10627.43</v>
      </c>
      <c r="CF302">
        <f>-14397.06</f>
        <v>-14397.06</v>
      </c>
      <c r="CG302" t="str">
        <f>""</f>
        <v/>
      </c>
      <c r="CH302" t="str">
        <f>""</f>
        <v/>
      </c>
      <c r="CI302" t="str">
        <f>""</f>
        <v/>
      </c>
      <c r="CJ302" t="str">
        <f>""</f>
        <v/>
      </c>
      <c r="CK302" t="str">
        <f>""</f>
        <v/>
      </c>
      <c r="CL302" t="str">
        <f>""</f>
        <v/>
      </c>
      <c r="CM302" t="str">
        <f>""</f>
        <v/>
      </c>
      <c r="CN302" t="str">
        <f>""</f>
        <v/>
      </c>
      <c r="CO302" t="str">
        <f>""</f>
        <v/>
      </c>
      <c r="CP302" t="str">
        <f>""</f>
        <v/>
      </c>
      <c r="CQ302" t="str">
        <f>""</f>
        <v/>
      </c>
      <c r="CR302" t="str">
        <f>""</f>
        <v/>
      </c>
      <c r="CS302" t="str">
        <f>""</f>
        <v/>
      </c>
      <c r="CT302" t="str">
        <f>""</f>
        <v/>
      </c>
      <c r="CU302" t="str">
        <f>""</f>
        <v/>
      </c>
      <c r="CV302" t="str">
        <f>""</f>
        <v/>
      </c>
      <c r="CW302" t="str">
        <f>""</f>
        <v/>
      </c>
      <c r="CX302" t="str">
        <f>""</f>
        <v/>
      </c>
      <c r="CY302" t="str">
        <f>""</f>
        <v/>
      </c>
      <c r="CZ302" t="str">
        <f>""</f>
        <v/>
      </c>
      <c r="DA302" t="str">
        <f>""</f>
        <v/>
      </c>
      <c r="DB302" t="str">
        <f>""</f>
        <v/>
      </c>
      <c r="DC302" t="str">
        <f>""</f>
        <v/>
      </c>
      <c r="DD302" t="str">
        <f>""</f>
        <v/>
      </c>
      <c r="DE302" t="str">
        <f>""</f>
        <v/>
      </c>
      <c r="DF302" t="str">
        <f>""</f>
        <v/>
      </c>
      <c r="DG302" t="str">
        <f>""</f>
        <v/>
      </c>
      <c r="DH302" t="str">
        <f>""</f>
        <v/>
      </c>
      <c r="DI302" t="str">
        <f>""</f>
        <v/>
      </c>
      <c r="DJ302" t="str">
        <f>""</f>
        <v/>
      </c>
      <c r="DK302" t="str">
        <f>""</f>
        <v/>
      </c>
      <c r="DL302" t="str">
        <f>""</f>
        <v/>
      </c>
      <c r="DM302" t="str">
        <f>""</f>
        <v/>
      </c>
      <c r="DN302" t="str">
        <f>""</f>
        <v/>
      </c>
      <c r="DO302" t="str">
        <f>""</f>
        <v/>
      </c>
      <c r="DP302" t="str">
        <f>""</f>
        <v/>
      </c>
      <c r="DQ302" t="str">
        <f>""</f>
        <v/>
      </c>
      <c r="DR302" t="str">
        <f>""</f>
        <v/>
      </c>
      <c r="DS302" t="str">
        <f>""</f>
        <v/>
      </c>
      <c r="DT302" t="str">
        <f>""</f>
        <v/>
      </c>
      <c r="DU302" t="str">
        <f>""</f>
        <v/>
      </c>
    </row>
    <row r="303" spans="1:125" x14ac:dyDescent="0.25">
      <c r="A303" t="str">
        <f>"    Ford Motor Co"</f>
        <v xml:space="preserve">    Ford Motor Co</v>
      </c>
      <c r="B303" t="str">
        <f>"F US Equity"</f>
        <v>F US Equity</v>
      </c>
      <c r="C303" t="str">
        <f t="shared" si="21"/>
        <v>RR179</v>
      </c>
      <c r="D303" t="str">
        <f t="shared" si="22"/>
        <v>TANGIBLE_COMMON_EQUITY</v>
      </c>
      <c r="E303" t="str">
        <f t="shared" si="23"/>
        <v>Dynamic</v>
      </c>
      <c r="F303" t="str">
        <f ca="1">IF(AND(ISNUMBER($F$805),$B$511=1),$F$805,HLOOKUP(INDIRECT(ADDRESS(2,COLUMN())),OFFSET($BN$2,0,0,ROW()-1,60),ROW()-1,FALSE))</f>
        <v/>
      </c>
      <c r="G303">
        <f ca="1">IF(AND(ISNUMBER($G$805),$B$511=1),$G$805,HLOOKUP(INDIRECT(ADDRESS(2,COLUMN())),OFFSET($BN$2,0,0,ROW()-1,60),ROW()-1,FALSE))</f>
        <v>35754</v>
      </c>
      <c r="H303">
        <f ca="1">IF(AND(ISNUMBER($H$805),$B$511=1),$H$805,HLOOKUP(INDIRECT(ADDRESS(2,COLUMN())),OFFSET($BN$2,0,0,ROW()-1,60),ROW()-1,FALSE))</f>
        <v>36317</v>
      </c>
      <c r="I303">
        <f ca="1">IF(AND(ISNUMBER($I$805),$B$511=1),$I$805,HLOOKUP(INDIRECT(ADDRESS(2,COLUMN())),OFFSET($BN$2,0,0,ROW()-1,60),ROW()-1,FALSE))</f>
        <v>36168</v>
      </c>
      <c r="J303" t="str">
        <f ca="1">IF(AND(ISNUMBER($J$805),$B$511=1),$J$805,HLOOKUP(INDIRECT(ADDRESS(2,COLUMN())),OFFSET($BN$2,0,0,ROW()-1,60),ROW()-1,FALSE))</f>
        <v/>
      </c>
      <c r="K303">
        <f ca="1">IF(AND(ISNUMBER($K$805),$B$511=1),$K$805,HLOOKUP(INDIRECT(ADDRESS(2,COLUMN())),OFFSET($BN$2,0,0,ROW()-1,60),ROW()-1,FALSE))</f>
        <v>35365</v>
      </c>
      <c r="L303" t="str">
        <f ca="1">IF(AND(ISNUMBER($L$805),$B$511=1),$L$805,HLOOKUP(INDIRECT(ADDRESS(2,COLUMN())),OFFSET($BN$2,0,0,ROW()-1,60),ROW()-1,FALSE))</f>
        <v/>
      </c>
      <c r="M303" t="str">
        <f ca="1">IF(AND(ISNUMBER($M$805),$B$511=1),$M$805,HLOOKUP(INDIRECT(ADDRESS(2,COLUMN())),OFFSET($BN$2,0,0,ROW()-1,60),ROW()-1,FALSE))</f>
        <v/>
      </c>
      <c r="N303" t="str">
        <f ca="1">IF(AND(ISNUMBER($N$805),$B$511=1),$N$805,HLOOKUP(INDIRECT(ADDRESS(2,COLUMN())),OFFSET($BN$2,0,0,ROW()-1,60),ROW()-1,FALSE))</f>
        <v/>
      </c>
      <c r="O303">
        <f ca="1">IF(AND(ISNUMBER($O$805),$B$511=1),$O$805,HLOOKUP(INDIRECT(ADDRESS(2,COLUMN())),OFFSET($BN$2,0,0,ROW()-1,60),ROW()-1,FALSE))</f>
        <v>28972</v>
      </c>
      <c r="P303" t="str">
        <f ca="1">IF(AND(ISNUMBER($P$805),$B$511=1),$P$805,HLOOKUP(INDIRECT(ADDRESS(2,COLUMN())),OFFSET($BN$2,0,0,ROW()-1,60),ROW()-1,FALSE))</f>
        <v/>
      </c>
      <c r="Q303" t="str">
        <f ca="1">IF(AND(ISNUMBER($Q$805),$B$511=1),$Q$805,HLOOKUP(INDIRECT(ADDRESS(2,COLUMN())),OFFSET($BN$2,0,0,ROW()-1,60),ROW()-1,FALSE))</f>
        <v/>
      </c>
      <c r="R303" t="str">
        <f ca="1">IF(AND(ISNUMBER($R$805),$B$511=1),$R$805,HLOOKUP(INDIRECT(ADDRESS(2,COLUMN())),OFFSET($BN$2,0,0,ROW()-1,60),ROW()-1,FALSE))</f>
        <v/>
      </c>
      <c r="S303">
        <f ca="1">IF(AND(ISNUMBER($S$805),$B$511=1),$S$805,HLOOKUP(INDIRECT(ADDRESS(2,COLUMN())),OFFSET($BN$2,0,0,ROW()-1,60),ROW()-1,FALSE))</f>
        <v>28518</v>
      </c>
      <c r="T303" t="str">
        <f ca="1">IF(AND(ISNUMBER($T$805),$B$511=1),$T$805,HLOOKUP(INDIRECT(ADDRESS(2,COLUMN())),OFFSET($BN$2,0,0,ROW()-1,60),ROW()-1,FALSE))</f>
        <v/>
      </c>
      <c r="U303" t="str">
        <f ca="1">IF(AND(ISNUMBER($U$805),$B$511=1),$U$805,HLOOKUP(INDIRECT(ADDRESS(2,COLUMN())),OFFSET($BN$2,0,0,ROW()-1,60),ROW()-1,FALSE))</f>
        <v/>
      </c>
      <c r="V303" t="str">
        <f ca="1">IF(AND(ISNUMBER($V$805),$B$511=1),$V$805,HLOOKUP(INDIRECT(ADDRESS(2,COLUMN())),OFFSET($BN$2,0,0,ROW()-1,60),ROW()-1,FALSE))</f>
        <v/>
      </c>
      <c r="W303">
        <f ca="1">IF(AND(ISNUMBER($W$805),$B$511=1),$W$805,HLOOKUP(INDIRECT(ADDRESS(2,COLUMN())),OFFSET($BN$2,0,0,ROW()-1,60),ROW()-1,FALSE))</f>
        <v>24305</v>
      </c>
      <c r="X303" t="str">
        <f ca="1">IF(AND(ISNUMBER($X$805),$B$511=1),$X$805,HLOOKUP(INDIRECT(ADDRESS(2,COLUMN())),OFFSET($BN$2,0,0,ROW()-1,60),ROW()-1,FALSE))</f>
        <v/>
      </c>
      <c r="Y303" t="str">
        <f ca="1">IF(AND(ISNUMBER($Y$805),$B$511=1),$Y$805,HLOOKUP(INDIRECT(ADDRESS(2,COLUMN())),OFFSET($BN$2,0,0,ROW()-1,60),ROW()-1,FALSE))</f>
        <v/>
      </c>
      <c r="Z303" t="str">
        <f ca="1">IF(AND(ISNUMBER($Z$805),$B$511=1),$Z$805,HLOOKUP(INDIRECT(ADDRESS(2,COLUMN())),OFFSET($BN$2,0,0,ROW()-1,60),ROW()-1,FALSE))</f>
        <v/>
      </c>
      <c r="AA303">
        <f ca="1">IF(AND(ISNUMBER($AA$805),$B$511=1),$AA$805,HLOOKUP(INDIRECT(ADDRESS(2,COLUMN())),OFFSET($BN$2,0,0,ROW()-1,60),ROW()-1,FALSE))</f>
        <v>26027</v>
      </c>
      <c r="AB303">
        <f ca="1">IF(AND(ISNUMBER($AB$805),$B$511=1),$AB$805,HLOOKUP(INDIRECT(ADDRESS(2,COLUMN())),OFFSET($BN$2,0,0,ROW()-1,60),ROW()-1,FALSE))</f>
        <v>20381</v>
      </c>
      <c r="AC303">
        <f ca="1">IF(AND(ISNUMBER($AC$805),$B$511=1),$AC$805,HLOOKUP(INDIRECT(ADDRESS(2,COLUMN())),OFFSET($BN$2,0,0,ROW()-1,60),ROW()-1,FALSE))</f>
        <v>19097</v>
      </c>
      <c r="AD303">
        <f ca="1">IF(AND(ISNUMBER($AD$805),$B$511=1),$AD$805,HLOOKUP(INDIRECT(ADDRESS(2,COLUMN())),OFFSET($BN$2,0,0,ROW()-1,60),ROW()-1,FALSE))</f>
        <v>17511</v>
      </c>
      <c r="AE303">
        <f ca="1">IF(AND(ISNUMBER($AE$805),$B$511=1),$AE$805,HLOOKUP(INDIRECT(ADDRESS(2,COLUMN())),OFFSET($BN$2,0,0,ROW()-1,60),ROW()-1,FALSE))</f>
        <v>15845</v>
      </c>
      <c r="AF303">
        <f ca="1">IF(AND(ISNUMBER($AF$805),$B$511=1),$AF$805,HLOOKUP(INDIRECT(ADDRESS(2,COLUMN())),OFFSET($BN$2,0,0,ROW()-1,60),ROW()-1,FALSE))</f>
        <v>18752</v>
      </c>
      <c r="AG303">
        <f ca="1">IF(AND(ISNUMBER($AG$805),$B$511=1),$AG$805,HLOOKUP(INDIRECT(ADDRESS(2,COLUMN())),OFFSET($BN$2,0,0,ROW()-1,60),ROW()-1,FALSE))</f>
        <v>16941</v>
      </c>
      <c r="AH303">
        <f ca="1">IF(AND(ISNUMBER($AH$805),$B$511=1),$AH$805,HLOOKUP(INDIRECT(ADDRESS(2,COLUMN())),OFFSET($BN$2,0,0,ROW()-1,60),ROW()-1,FALSE))</f>
        <v>16509</v>
      </c>
      <c r="AI303">
        <f ca="1">IF(AND(ISNUMBER($AI$805),$B$511=1),$AI$805,HLOOKUP(INDIRECT(ADDRESS(2,COLUMN())),OFFSET($BN$2,0,0,ROW()-1,60),ROW()-1,FALSE))</f>
        <v>14928</v>
      </c>
      <c r="AJ303">
        <f ca="1">IF(AND(ISNUMBER($AJ$805),$B$511=1),$AJ$805,HLOOKUP(INDIRECT(ADDRESS(2,COLUMN())),OFFSET($BN$2,0,0,ROW()-1,60),ROW()-1,FALSE))</f>
        <v>5882</v>
      </c>
      <c r="AK303">
        <f ca="1">IF(AND(ISNUMBER($AK$805),$B$511=1),$AK$805,HLOOKUP(INDIRECT(ADDRESS(2,COLUMN())),OFFSET($BN$2,0,0,ROW()-1,60),ROW()-1,FALSE))</f>
        <v>5206</v>
      </c>
      <c r="AL303">
        <f ca="1">IF(AND(ISNUMBER($AL$805),$B$511=1),$AL$805,HLOOKUP(INDIRECT(ADDRESS(2,COLUMN())),OFFSET($BN$2,0,0,ROW()-1,60),ROW()-1,FALSE))</f>
        <v>2328</v>
      </c>
      <c r="AM303">
        <f ca="1">IF(AND(ISNUMBER($AM$805),$B$511=1),$AM$805,HLOOKUP(INDIRECT(ADDRESS(2,COLUMN())),OFFSET($BN$2,0,0,ROW()-1,60),ROW()-1,FALSE))</f>
        <v>-775</v>
      </c>
      <c r="AN303">
        <f ca="1">IF(AND(ISNUMBER($AN$805),$B$511=1),$AN$805,HLOOKUP(INDIRECT(ADDRESS(2,COLUMN())),OFFSET($BN$2,0,0,ROW()-1,60),ROW()-1,FALSE))</f>
        <v>-1896</v>
      </c>
      <c r="AO303">
        <f ca="1">IF(AND(ISNUMBER($AO$805),$B$511=1),$AO$805,HLOOKUP(INDIRECT(ADDRESS(2,COLUMN())),OFFSET($BN$2,0,0,ROW()-1,60),ROW()-1,FALSE))</f>
        <v>-3757</v>
      </c>
      <c r="AP303">
        <f ca="1">IF(AND(ISNUMBER($AP$805),$B$511=1),$AP$805,HLOOKUP(INDIRECT(ADDRESS(2,COLUMN())),OFFSET($BN$2,0,0,ROW()-1,60),ROW()-1,FALSE))</f>
        <v>-5667</v>
      </c>
      <c r="AQ303">
        <f ca="1">IF(AND(ISNUMBER($AQ$805),$B$511=1),$AQ$805,HLOOKUP(INDIRECT(ADDRESS(2,COLUMN())),OFFSET($BN$2,0,0,ROW()-1,60),ROW()-1,FALSE))</f>
        <v>-7985</v>
      </c>
      <c r="AR303">
        <f ca="1">IF(AND(ISNUMBER($AR$805),$B$511=1),$AR$805,HLOOKUP(INDIRECT(ADDRESS(2,COLUMN())),OFFSET($BN$2,0,0,ROW()-1,60),ROW()-1,FALSE))</f>
        <v>-8900</v>
      </c>
      <c r="AS303">
        <f ca="1">IF(AND(ISNUMBER($AS$805),$B$511=1),$AS$805,HLOOKUP(INDIRECT(ADDRESS(2,COLUMN())),OFFSET($BN$2,0,0,ROW()-1,60),ROW()-1,FALSE))</f>
        <v>-10978</v>
      </c>
      <c r="AT303">
        <f ca="1">IF(AND(ISNUMBER($AT$805),$B$511=1),$AT$805,HLOOKUP(INDIRECT(ADDRESS(2,COLUMN())),OFFSET($BN$2,0,0,ROW()-1,60),ROW()-1,FALSE))</f>
        <v>-17804</v>
      </c>
      <c r="AU303">
        <f ca="1">IF(AND(ISNUMBER($AU$805),$B$511=1),$AU$805,HLOOKUP(INDIRECT(ADDRESS(2,COLUMN())),OFFSET($BN$2,0,0,ROW()-1,60),ROW()-1,FALSE))</f>
        <v>-18503</v>
      </c>
      <c r="AV303">
        <f ca="1">IF(AND(ISNUMBER($AV$805),$B$511=1),$AV$805,HLOOKUP(INDIRECT(ADDRESS(2,COLUMN())),OFFSET($BN$2,0,0,ROW()-1,60),ROW()-1,FALSE))</f>
        <v>-7803</v>
      </c>
      <c r="AW303">
        <f ca="1">IF(AND(ISNUMBER($AW$805),$B$511=1),$AW$805,HLOOKUP(INDIRECT(ADDRESS(2,COLUMN())),OFFSET($BN$2,0,0,ROW()-1,60),ROW()-1,FALSE))</f>
        <v>-6732</v>
      </c>
      <c r="AX303">
        <f ca="1">IF(AND(ISNUMBER($AX$805),$B$511=1),$AX$805,HLOOKUP(INDIRECT(ADDRESS(2,COLUMN())),OFFSET($BN$2,0,0,ROW()-1,60),ROW()-1,FALSE))</f>
        <v>2819</v>
      </c>
      <c r="AY303">
        <f ca="1">IF(AND(ISNUMBER($AY$805),$B$511=1),$AY$805,HLOOKUP(INDIRECT(ADDRESS(2,COLUMN())),OFFSET($BN$2,0,0,ROW()-1,60),ROW()-1,FALSE))</f>
        <v>1536</v>
      </c>
      <c r="AZ303">
        <f ca="1">IF(AND(ISNUMBER($AZ$805),$B$511=1),$AZ$805,HLOOKUP(INDIRECT(ADDRESS(2,COLUMN())),OFFSET($BN$2,0,0,ROW()-1,60),ROW()-1,FALSE))</f>
        <v>-6762</v>
      </c>
      <c r="BA303">
        <f ca="1">IF(AND(ISNUMBER($BA$805),$B$511=1),$BA$805,HLOOKUP(INDIRECT(ADDRESS(2,COLUMN())),OFFSET($BN$2,0,0,ROW()-1,60),ROW()-1,FALSE))</f>
        <v>-9017</v>
      </c>
      <c r="BB303">
        <f ca="1">IF(AND(ISNUMBER($BB$805),$B$511=1),$BB$805,HLOOKUP(INDIRECT(ADDRESS(2,COLUMN())),OFFSET($BN$2,0,0,ROW()-1,60),ROW()-1,FALSE))</f>
        <v>-10888</v>
      </c>
      <c r="BC303">
        <f ca="1">IF(AND(ISNUMBER($BC$805),$B$511=1),$BC$805,HLOOKUP(INDIRECT(ADDRESS(2,COLUMN())),OFFSET($BN$2,0,0,ROW()-1,60),ROW()-1,FALSE))</f>
        <v>-8543</v>
      </c>
      <c r="BD303">
        <f ca="1">IF(AND(ISNUMBER($BD$805),$B$511=1),$BD$805,HLOOKUP(INDIRECT(ADDRESS(2,COLUMN())),OFFSET($BN$2,0,0,ROW()-1,60),ROW()-1,FALSE))</f>
        <v>1773</v>
      </c>
      <c r="BE303">
        <f ca="1">IF(AND(ISNUMBER($BE$805),$B$511=1),$BE$805,HLOOKUP(INDIRECT(ADDRESS(2,COLUMN())),OFFSET($BN$2,0,0,ROW()-1,60),ROW()-1,FALSE))</f>
        <v>7944</v>
      </c>
      <c r="BF303">
        <f ca="1">IF(AND(ISNUMBER($BF$805),$B$511=1),$BF$805,HLOOKUP(INDIRECT(ADDRESS(2,COLUMN())),OFFSET($BN$2,0,0,ROW()-1,60),ROW()-1,FALSE))</f>
        <v>5882</v>
      </c>
      <c r="BG303">
        <f ca="1">IF(AND(ISNUMBER($BG$805),$B$511=1),$BG$805,HLOOKUP(INDIRECT(ADDRESS(2,COLUMN())),OFFSET($BN$2,0,0,ROW()-1,60),ROW()-1,FALSE))</f>
        <v>6929</v>
      </c>
      <c r="BH303">
        <f ca="1">IF(AND(ISNUMBER($BH$805),$B$511=1),$BH$805,HLOOKUP(INDIRECT(ADDRESS(2,COLUMN())),OFFSET($BN$2,0,0,ROW()-1,60),ROW()-1,FALSE))</f>
        <v>6323</v>
      </c>
      <c r="BI303">
        <f ca="1">IF(AND(ISNUMBER($BI$805),$B$511=1),$BI$805,HLOOKUP(INDIRECT(ADDRESS(2,COLUMN())),OFFSET($BN$2,0,0,ROW()-1,60),ROW()-1,FALSE))</f>
        <v>5869</v>
      </c>
      <c r="BJ303">
        <f ca="1">IF(AND(ISNUMBER($BJ$805),$B$511=1),$BJ$805,HLOOKUP(INDIRECT(ADDRESS(2,COLUMN())),OFFSET($BN$2,0,0,ROW()-1,60),ROW()-1,FALSE))</f>
        <v>14545</v>
      </c>
      <c r="BK303">
        <f ca="1">IF(AND(ISNUMBER($BK$805),$B$511=1),$BK$805,HLOOKUP(INDIRECT(ADDRESS(2,COLUMN())),OFFSET($BN$2,0,0,ROW()-1,60),ROW()-1,FALSE))</f>
        <v>6898</v>
      </c>
      <c r="BL303">
        <f ca="1">IF(AND(ISNUMBER($BL$805),$B$511=1),$BL$805,HLOOKUP(INDIRECT(ADDRESS(2,COLUMN())),OFFSET($BN$2,0,0,ROW()-1,60),ROW()-1,FALSE))</f>
        <v>7055</v>
      </c>
      <c r="BM303">
        <f ca="1">IF(AND(ISNUMBER($BM$805),$B$511=1),$BM$805,HLOOKUP(INDIRECT(ADDRESS(2,COLUMN())),OFFSET($BN$2,0,0,ROW()-1,60),ROW()-1,FALSE))</f>
        <v>6375</v>
      </c>
      <c r="BN303" t="str">
        <f>""</f>
        <v/>
      </c>
      <c r="BO303">
        <f>35754</f>
        <v>35754</v>
      </c>
      <c r="BP303">
        <f>36317</f>
        <v>36317</v>
      </c>
      <c r="BQ303">
        <f>36168</f>
        <v>36168</v>
      </c>
      <c r="BR303" t="str">
        <f>""</f>
        <v/>
      </c>
      <c r="BS303">
        <f>35365</f>
        <v>35365</v>
      </c>
      <c r="BT303" t="str">
        <f>""</f>
        <v/>
      </c>
      <c r="BU303" t="str">
        <f>""</f>
        <v/>
      </c>
      <c r="BV303" t="str">
        <f>""</f>
        <v/>
      </c>
      <c r="BW303">
        <f>28972</f>
        <v>28972</v>
      </c>
      <c r="BX303" t="str">
        <f>""</f>
        <v/>
      </c>
      <c r="BY303" t="str">
        <f>""</f>
        <v/>
      </c>
      <c r="BZ303" t="str">
        <f>""</f>
        <v/>
      </c>
      <c r="CA303">
        <f>28518</f>
        <v>28518</v>
      </c>
      <c r="CB303" t="str">
        <f>""</f>
        <v/>
      </c>
      <c r="CC303" t="str">
        <f>""</f>
        <v/>
      </c>
      <c r="CD303" t="str">
        <f>""</f>
        <v/>
      </c>
      <c r="CE303">
        <f>24305</f>
        <v>24305</v>
      </c>
      <c r="CF303" t="str">
        <f>""</f>
        <v/>
      </c>
      <c r="CG303" t="str">
        <f>""</f>
        <v/>
      </c>
      <c r="CH303" t="str">
        <f>""</f>
        <v/>
      </c>
      <c r="CI303">
        <f>26027</f>
        <v>26027</v>
      </c>
      <c r="CJ303">
        <f>20381</f>
        <v>20381</v>
      </c>
      <c r="CK303">
        <f>19097</f>
        <v>19097</v>
      </c>
      <c r="CL303">
        <f>17511</f>
        <v>17511</v>
      </c>
      <c r="CM303">
        <f>15845</f>
        <v>15845</v>
      </c>
      <c r="CN303">
        <f>18752</f>
        <v>18752</v>
      </c>
      <c r="CO303">
        <f>16941</f>
        <v>16941</v>
      </c>
      <c r="CP303">
        <f>16509</f>
        <v>16509</v>
      </c>
      <c r="CQ303">
        <f>14928</f>
        <v>14928</v>
      </c>
      <c r="CR303">
        <f>5882</f>
        <v>5882</v>
      </c>
      <c r="CS303">
        <f>5206</f>
        <v>5206</v>
      </c>
      <c r="CT303">
        <f>2328</f>
        <v>2328</v>
      </c>
      <c r="CU303">
        <f>-775</f>
        <v>-775</v>
      </c>
      <c r="CV303">
        <f>-1896</f>
        <v>-1896</v>
      </c>
      <c r="CW303">
        <f>-3757</f>
        <v>-3757</v>
      </c>
      <c r="CX303">
        <f>-5667</f>
        <v>-5667</v>
      </c>
      <c r="CY303">
        <f>-7985</f>
        <v>-7985</v>
      </c>
      <c r="CZ303">
        <f>-8900</f>
        <v>-8900</v>
      </c>
      <c r="DA303">
        <f>-10978</f>
        <v>-10978</v>
      </c>
      <c r="DB303">
        <f>-17804</f>
        <v>-17804</v>
      </c>
      <c r="DC303">
        <f>-18503</f>
        <v>-18503</v>
      </c>
      <c r="DD303">
        <f>-7803</f>
        <v>-7803</v>
      </c>
      <c r="DE303">
        <f>-6732</f>
        <v>-6732</v>
      </c>
      <c r="DF303">
        <f>2819</f>
        <v>2819</v>
      </c>
      <c r="DG303">
        <f>1536</f>
        <v>1536</v>
      </c>
      <c r="DH303">
        <f>-6762</f>
        <v>-6762</v>
      </c>
      <c r="DI303">
        <f>-9017</f>
        <v>-9017</v>
      </c>
      <c r="DJ303">
        <f>-10888</f>
        <v>-10888</v>
      </c>
      <c r="DK303">
        <f>-8543</f>
        <v>-8543</v>
      </c>
      <c r="DL303">
        <f>1773</f>
        <v>1773</v>
      </c>
      <c r="DM303">
        <f>7944</f>
        <v>7944</v>
      </c>
      <c r="DN303">
        <f>5882</f>
        <v>5882</v>
      </c>
      <c r="DO303">
        <f>6929</f>
        <v>6929</v>
      </c>
      <c r="DP303">
        <f>6323</f>
        <v>6323</v>
      </c>
      <c r="DQ303">
        <f>5869</f>
        <v>5869</v>
      </c>
      <c r="DR303">
        <f>14545</f>
        <v>14545</v>
      </c>
      <c r="DS303">
        <f>6898</f>
        <v>6898</v>
      </c>
      <c r="DT303">
        <f>7055</f>
        <v>7055</v>
      </c>
      <c r="DU303">
        <f>6375</f>
        <v>6375</v>
      </c>
    </row>
    <row r="304" spans="1:125" x14ac:dyDescent="0.25">
      <c r="A304" t="str">
        <f>"    Ford Otomotiv Sanayi AS"</f>
        <v xml:space="preserve">    Ford Otomotiv Sanayi AS</v>
      </c>
      <c r="B304" t="str">
        <f>"FROTOTRY EO Equity"</f>
        <v>FROTOTRY EO Equity</v>
      </c>
      <c r="C304" t="str">
        <f t="shared" si="21"/>
        <v>RR179</v>
      </c>
      <c r="D304" t="str">
        <f t="shared" si="22"/>
        <v>TANGIBLE_COMMON_EQUITY</v>
      </c>
      <c r="E304" t="str">
        <f t="shared" si="23"/>
        <v>Dynamic</v>
      </c>
      <c r="F304" t="str">
        <f ca="1">IF(AND(ISNUMBER($F$806),$B$511=1),$F$806,HLOOKUP(INDIRECT(ADDRESS(2,COLUMN())),OFFSET($BN$2,0,0,ROW()-1,60),ROW()-1,FALSE))</f>
        <v/>
      </c>
      <c r="G304">
        <f ca="1">IF(AND(ISNUMBER($G$806),$B$511=1),$G$806,HLOOKUP(INDIRECT(ADDRESS(2,COLUMN())),OFFSET($BN$2,0,0,ROW()-1,60),ROW()-1,FALSE))</f>
        <v>649.4110531</v>
      </c>
      <c r="H304">
        <f ca="1">IF(AND(ISNUMBER($H$806),$B$511=1),$H$806,HLOOKUP(INDIRECT(ADDRESS(2,COLUMN())),OFFSET($BN$2,0,0,ROW()-1,60),ROW()-1,FALSE))</f>
        <v>431.3209281</v>
      </c>
      <c r="I304">
        <f ca="1">IF(AND(ISNUMBER($I$806),$B$511=1),$I$806,HLOOKUP(INDIRECT(ADDRESS(2,COLUMN())),OFFSET($BN$2,0,0,ROW()-1,60),ROW()-1,FALSE))</f>
        <v>623.46389869999996</v>
      </c>
      <c r="J304">
        <f ca="1">IF(AND(ISNUMBER($J$806),$B$511=1),$J$806,HLOOKUP(INDIRECT(ADDRESS(2,COLUMN())),OFFSET($BN$2,0,0,ROW()-1,60),ROW()-1,FALSE))</f>
        <v>634.34653990000004</v>
      </c>
      <c r="K304">
        <f ca="1">IF(AND(ISNUMBER($K$806),$B$511=1),$K$806,HLOOKUP(INDIRECT(ADDRESS(2,COLUMN())),OFFSET($BN$2,0,0,ROW()-1,60),ROW()-1,FALSE))</f>
        <v>793.60002110000005</v>
      </c>
      <c r="L304">
        <f ca="1">IF(AND(ISNUMBER($L$806),$B$511=1),$L$806,HLOOKUP(INDIRECT(ADDRESS(2,COLUMN())),OFFSET($BN$2,0,0,ROW()-1,60),ROW()-1,FALSE))</f>
        <v>849.16678360000003</v>
      </c>
      <c r="M304">
        <f ca="1">IF(AND(ISNUMBER($M$806),$B$511=1),$M$806,HLOOKUP(INDIRECT(ADDRESS(2,COLUMN())),OFFSET($BN$2,0,0,ROW()-1,60),ROW()-1,FALSE))</f>
        <v>776.26181459999998</v>
      </c>
      <c r="N304">
        <f ca="1">IF(AND(ISNUMBER($N$806),$B$511=1),$N$806,HLOOKUP(INDIRECT(ADDRESS(2,COLUMN())),OFFSET($BN$2,0,0,ROW()-1,60),ROW()-1,FALSE))</f>
        <v>660.52907419999997</v>
      </c>
      <c r="O304">
        <f ca="1">IF(AND(ISNUMBER($O$806),$B$511=1),$O$806,HLOOKUP(INDIRECT(ADDRESS(2,COLUMN())),OFFSET($BN$2,0,0,ROW()-1,60),ROW()-1,FALSE))</f>
        <v>740.72507040000005</v>
      </c>
      <c r="P304">
        <f ca="1">IF(AND(ISNUMBER($P$806),$B$511=1),$P$806,HLOOKUP(INDIRECT(ADDRESS(2,COLUMN())),OFFSET($BN$2,0,0,ROW()-1,60),ROW()-1,FALSE))</f>
        <v>914.22986270000001</v>
      </c>
      <c r="Q304">
        <f ca="1">IF(AND(ISNUMBER($Q$806),$B$511=1),$Q$806,HLOOKUP(INDIRECT(ADDRESS(2,COLUMN())),OFFSET($BN$2,0,0,ROW()-1,60),ROW()-1,FALSE))</f>
        <v>914.02744229999996</v>
      </c>
      <c r="R304">
        <f ca="1">IF(AND(ISNUMBER($R$806),$B$511=1),$R$806,HLOOKUP(INDIRECT(ADDRESS(2,COLUMN())),OFFSET($BN$2,0,0,ROW()-1,60),ROW()-1,FALSE))</f>
        <v>840.27760509999996</v>
      </c>
      <c r="S304">
        <f ca="1">IF(AND(ISNUMBER($S$806),$B$511=1),$S$806,HLOOKUP(INDIRECT(ADDRESS(2,COLUMN())),OFFSET($BN$2,0,0,ROW()-1,60),ROW()-1,FALSE))</f>
        <v>863.94773599999996</v>
      </c>
      <c r="T304">
        <f ca="1">IF(AND(ISNUMBER($T$806),$B$511=1),$T$806,HLOOKUP(INDIRECT(ADDRESS(2,COLUMN())),OFFSET($BN$2,0,0,ROW()-1,60),ROW()-1,FALSE))</f>
        <v>766.12043570000003</v>
      </c>
      <c r="U304">
        <f ca="1">IF(AND(ISNUMBER($U$806),$B$511=1),$U$806,HLOOKUP(INDIRECT(ADDRESS(2,COLUMN())),OFFSET($BN$2,0,0,ROW()-1,60),ROW()-1,FALSE))</f>
        <v>882.70757809999998</v>
      </c>
      <c r="V304">
        <f ca="1">IF(AND(ISNUMBER($V$806),$B$511=1),$V$806,HLOOKUP(INDIRECT(ADDRESS(2,COLUMN())),OFFSET($BN$2,0,0,ROW()-1,60),ROW()-1,FALSE))</f>
        <v>870.11277029999997</v>
      </c>
      <c r="W304">
        <f ca="1">IF(AND(ISNUMBER($W$806),$B$511=1),$W$806,HLOOKUP(INDIRECT(ADDRESS(2,COLUMN())),OFFSET($BN$2,0,0,ROW()-1,60),ROW()-1,FALSE))</f>
        <v>955.83722550000005</v>
      </c>
      <c r="X304">
        <f ca="1">IF(AND(ISNUMBER($X$806),$B$511=1),$X$806,HLOOKUP(INDIRECT(ADDRESS(2,COLUMN())),OFFSET($BN$2,0,0,ROW()-1,60),ROW()-1,FALSE))</f>
        <v>988.08744730000001</v>
      </c>
      <c r="Y304">
        <f ca="1">IF(AND(ISNUMBER($Y$806),$B$511=1),$Y$806,HLOOKUP(INDIRECT(ADDRESS(2,COLUMN())),OFFSET($BN$2,0,0,ROW()-1,60),ROW()-1,FALSE))</f>
        <v>1009.074874</v>
      </c>
      <c r="Z304">
        <f ca="1">IF(AND(ISNUMBER($Z$806),$B$511=1),$Z$806,HLOOKUP(INDIRECT(ADDRESS(2,COLUMN())),OFFSET($BN$2,0,0,ROW()-1,60),ROW()-1,FALSE))</f>
        <v>918.10666920000006</v>
      </c>
      <c r="AA304">
        <f ca="1">IF(AND(ISNUMBER($AA$806),$B$511=1),$AA$806,HLOOKUP(INDIRECT(ADDRESS(2,COLUMN())),OFFSET($BN$2,0,0,ROW()-1,60),ROW()-1,FALSE))</f>
        <v>847.11258369999996</v>
      </c>
      <c r="AB304">
        <f ca="1">IF(AND(ISNUMBER($AB$806),$B$511=1),$AB$806,HLOOKUP(INDIRECT(ADDRESS(2,COLUMN())),OFFSET($BN$2,0,0,ROW()-1,60),ROW()-1,FALSE))</f>
        <v>862.45508489999997</v>
      </c>
      <c r="AC304">
        <f ca="1">IF(AND(ISNUMBER($AC$806),$B$511=1),$AC$806,HLOOKUP(INDIRECT(ADDRESS(2,COLUMN())),OFFSET($BN$2,0,0,ROW()-1,60),ROW()-1,FALSE))</f>
        <v>917.79069179999999</v>
      </c>
      <c r="AD304">
        <f ca="1">IF(AND(ISNUMBER($AD$806),$B$511=1),$AD$806,HLOOKUP(INDIRECT(ADDRESS(2,COLUMN())),OFFSET($BN$2,0,0,ROW()-1,60),ROW()-1,FALSE))</f>
        <v>879.12838939999995</v>
      </c>
      <c r="AE304">
        <f ca="1">IF(AND(ISNUMBER($AE$806),$B$511=1),$AE$806,HLOOKUP(INDIRECT(ADDRESS(2,COLUMN())),OFFSET($BN$2,0,0,ROW()-1,60),ROW()-1,FALSE))</f>
        <v>984.98075219999998</v>
      </c>
      <c r="AF304">
        <f ca="1">IF(AND(ISNUMBER($AF$806),$B$511=1),$AF$806,HLOOKUP(INDIRECT(ADDRESS(2,COLUMN())),OFFSET($BN$2,0,0,ROW()-1,60),ROW()-1,FALSE))</f>
        <v>1115.211419</v>
      </c>
      <c r="AG304">
        <f ca="1">IF(AND(ISNUMBER($AG$806),$B$511=1),$AG$806,HLOOKUP(INDIRECT(ADDRESS(2,COLUMN())),OFFSET($BN$2,0,0,ROW()-1,60),ROW()-1,FALSE))</f>
        <v>1027.2819569999999</v>
      </c>
      <c r="AH304">
        <f ca="1">IF(AND(ISNUMBER($AH$806),$B$511=1),$AH$806,HLOOKUP(INDIRECT(ADDRESS(2,COLUMN())),OFFSET($BN$2,0,0,ROW()-1,60),ROW()-1,FALSE))</f>
        <v>948.04064679999999</v>
      </c>
      <c r="AI304">
        <f ca="1">IF(AND(ISNUMBER($AI$806),$B$511=1),$AI$806,HLOOKUP(INDIRECT(ADDRESS(2,COLUMN())),OFFSET($BN$2,0,0,ROW()-1,60),ROW()-1,FALSE))</f>
        <v>991.95654939999997</v>
      </c>
      <c r="AJ304">
        <f ca="1">IF(AND(ISNUMBER($AJ$806),$B$511=1),$AJ$806,HLOOKUP(INDIRECT(ADDRESS(2,COLUMN())),OFFSET($BN$2,0,0,ROW()-1,60),ROW()-1,FALSE))</f>
        <v>1026.427463</v>
      </c>
      <c r="AK304">
        <f ca="1">IF(AND(ISNUMBER($AK$806),$B$511=1),$AK$806,HLOOKUP(INDIRECT(ADDRESS(2,COLUMN())),OFFSET($BN$2,0,0,ROW()-1,60),ROW()-1,FALSE))</f>
        <v>1073.525905</v>
      </c>
      <c r="AL304">
        <f ca="1">IF(AND(ISNUMBER($AL$806),$B$511=1),$AL$806,HLOOKUP(INDIRECT(ADDRESS(2,COLUMN())),OFFSET($BN$2,0,0,ROW()-1,60),ROW()-1,FALSE))</f>
        <v>1009.795553</v>
      </c>
      <c r="AM304">
        <f ca="1">IF(AND(ISNUMBER($AM$806),$B$511=1),$AM$806,HLOOKUP(INDIRECT(ADDRESS(2,COLUMN())),OFFSET($BN$2,0,0,ROW()-1,60),ROW()-1,FALSE))</f>
        <v>1109.1467869999999</v>
      </c>
      <c r="AN304">
        <f ca="1">IF(AND(ISNUMBER($AN$806),$B$511=1),$AN$806,HLOOKUP(INDIRECT(ADDRESS(2,COLUMN())),OFFSET($BN$2,0,0,ROW()-1,60),ROW()-1,FALSE))</f>
        <v>1147.421636</v>
      </c>
      <c r="AO304">
        <f ca="1">IF(AND(ISNUMBER($AO$806),$B$511=1),$AO$806,HLOOKUP(INDIRECT(ADDRESS(2,COLUMN())),OFFSET($BN$2,0,0,ROW()-1,60),ROW()-1,FALSE))</f>
        <v>978.75651089999997</v>
      </c>
      <c r="AP304">
        <f ca="1">IF(AND(ISNUMBER($AP$806),$B$511=1),$AP$806,HLOOKUP(INDIRECT(ADDRESS(2,COLUMN())),OFFSET($BN$2,0,0,ROW()-1,60),ROW()-1,FALSE))</f>
        <v>931.76216750000003</v>
      </c>
      <c r="AQ304">
        <f ca="1">IF(AND(ISNUMBER($AQ$806),$B$511=1),$AQ$806,HLOOKUP(INDIRECT(ADDRESS(2,COLUMN())),OFFSET($BN$2,0,0,ROW()-1,60),ROW()-1,FALSE))</f>
        <v>1071.2461880000001</v>
      </c>
      <c r="AR304">
        <f ca="1">IF(AND(ISNUMBER($AR$806),$B$511=1),$AR$806,HLOOKUP(INDIRECT(ADDRESS(2,COLUMN())),OFFSET($BN$2,0,0,ROW()-1,60),ROW()-1,FALSE))</f>
        <v>1196.8742319999999</v>
      </c>
      <c r="AS304">
        <f ca="1">IF(AND(ISNUMBER($AS$806),$B$511=1),$AS$806,HLOOKUP(INDIRECT(ADDRESS(2,COLUMN())),OFFSET($BN$2,0,0,ROW()-1,60),ROW()-1,FALSE))</f>
        <v>1089.2339509999999</v>
      </c>
      <c r="AT304">
        <f ca="1">IF(AND(ISNUMBER($AT$806),$B$511=1),$AT$806,HLOOKUP(INDIRECT(ADDRESS(2,COLUMN())),OFFSET($BN$2,0,0,ROW()-1,60),ROW()-1,FALSE))</f>
        <v>953.15239059999999</v>
      </c>
      <c r="AU304">
        <f ca="1">IF(AND(ISNUMBER($AU$806),$B$511=1),$AU$806,HLOOKUP(INDIRECT(ADDRESS(2,COLUMN())),OFFSET($BN$2,0,0,ROW()-1,60),ROW()-1,FALSE))</f>
        <v>1068.895123</v>
      </c>
      <c r="AV304">
        <f ca="1">IF(AND(ISNUMBER($AV$806),$B$511=1),$AV$806,HLOOKUP(INDIRECT(ADDRESS(2,COLUMN())),OFFSET($BN$2,0,0,ROW()-1,60),ROW()-1,FALSE))</f>
        <v>1393.501483</v>
      </c>
      <c r="AW304">
        <f ca="1">IF(AND(ISNUMBER($AW$806),$B$511=1),$AW$806,HLOOKUP(INDIRECT(ADDRESS(2,COLUMN())),OFFSET($BN$2,0,0,ROW()-1,60),ROW()-1,FALSE))</f>
        <v>1381.92931</v>
      </c>
      <c r="AX304">
        <f ca="1">IF(AND(ISNUMBER($AX$806),$B$511=1),$AX$806,HLOOKUP(INDIRECT(ADDRESS(2,COLUMN())),OFFSET($BN$2,0,0,ROW()-1,60),ROW()-1,FALSE))</f>
        <v>1351.6524850000001</v>
      </c>
      <c r="AY304">
        <f ca="1">IF(AND(ISNUMBER($AY$806),$B$511=1),$AY$806,HLOOKUP(INDIRECT(ADDRESS(2,COLUMN())),OFFSET($BN$2,0,0,ROW()-1,60),ROW()-1,FALSE))</f>
        <v>1384.376471</v>
      </c>
      <c r="AZ304">
        <f ca="1">IF(AND(ISNUMBER($AZ$806),$B$511=1),$AZ$806,HLOOKUP(INDIRECT(ADDRESS(2,COLUMN())),OFFSET($BN$2,0,0,ROW()-1,60),ROW()-1,FALSE))</f>
        <v>1396.2272660000001</v>
      </c>
      <c r="BA304">
        <f ca="1">IF(AND(ISNUMBER($BA$806),$B$511=1),$BA$806,HLOOKUP(INDIRECT(ADDRESS(2,COLUMN())),OFFSET($BN$2,0,0,ROW()-1,60),ROW()-1,FALSE))</f>
        <v>1187.957676</v>
      </c>
      <c r="BB304">
        <f ca="1">IF(AND(ISNUMBER($BB$806),$B$511=1),$BB$806,HLOOKUP(INDIRECT(ADDRESS(2,COLUMN())),OFFSET($BN$2,0,0,ROW()-1,60),ROW()-1,FALSE))</f>
        <v>1026.5882810000001</v>
      </c>
      <c r="BC304">
        <f ca="1">IF(AND(ISNUMBER($BC$806),$B$511=1),$BC$806,HLOOKUP(INDIRECT(ADDRESS(2,COLUMN())),OFFSET($BN$2,0,0,ROW()-1,60),ROW()-1,FALSE))</f>
        <v>1074.735414</v>
      </c>
      <c r="BD304">
        <f ca="1">IF(AND(ISNUMBER($BD$806),$B$511=1),$BD$806,HLOOKUP(INDIRECT(ADDRESS(2,COLUMN())),OFFSET($BN$2,0,0,ROW()-1,60),ROW()-1,FALSE))</f>
        <v>910.3496159</v>
      </c>
      <c r="BE304">
        <f ca="1">IF(AND(ISNUMBER($BE$806),$B$511=1),$BE$806,HLOOKUP(INDIRECT(ADDRESS(2,COLUMN())),OFFSET($BN$2,0,0,ROW()-1,60),ROW()-1,FALSE))</f>
        <v>994.39256330000001</v>
      </c>
      <c r="BF304">
        <f ca="1">IF(AND(ISNUMBER($BF$806),$B$511=1),$BF$806,HLOOKUP(INDIRECT(ADDRESS(2,COLUMN())),OFFSET($BN$2,0,0,ROW()-1,60),ROW()-1,FALSE))</f>
        <v>1060.1392510000001</v>
      </c>
      <c r="BG304">
        <f ca="1">IF(AND(ISNUMBER($BG$806),$B$511=1),$BG$806,HLOOKUP(INDIRECT(ADDRESS(2,COLUMN())),OFFSET($BN$2,0,0,ROW()-1,60),ROW()-1,FALSE))</f>
        <v>1081.172822</v>
      </c>
      <c r="BH304">
        <f ca="1">IF(AND(ISNUMBER($BH$806),$B$511=1),$BH$806,HLOOKUP(INDIRECT(ADDRESS(2,COLUMN())),OFFSET($BN$2,0,0,ROW()-1,60),ROW()-1,FALSE))</f>
        <v>1024.5561600000001</v>
      </c>
      <c r="BI304">
        <f ca="1">IF(AND(ISNUMBER($BI$806),$B$511=1),$BI$806,HLOOKUP(INDIRECT(ADDRESS(2,COLUMN())),OFFSET($BN$2,0,0,ROW()-1,60),ROW()-1,FALSE))</f>
        <v>1085.9493010000001</v>
      </c>
      <c r="BJ304">
        <f ca="1">IF(AND(ISNUMBER($BJ$806),$B$511=1),$BJ$806,HLOOKUP(INDIRECT(ADDRESS(2,COLUMN())),OFFSET($BN$2,0,0,ROW()-1,60),ROW()-1,FALSE))</f>
        <v>977.65713370000003</v>
      </c>
      <c r="BK304">
        <f ca="1">IF(AND(ISNUMBER($BK$806),$B$511=1),$BK$806,HLOOKUP(INDIRECT(ADDRESS(2,COLUMN())),OFFSET($BN$2,0,0,ROW()-1,60),ROW()-1,FALSE))</f>
        <v>1048.1705239999999</v>
      </c>
      <c r="BL304">
        <f ca="1">IF(AND(ISNUMBER($BL$806),$B$511=1),$BL$806,HLOOKUP(INDIRECT(ADDRESS(2,COLUMN())),OFFSET($BN$2,0,0,ROW()-1,60),ROW()-1,FALSE))</f>
        <v>885.87576390000004</v>
      </c>
      <c r="BM304" t="str">
        <f ca="1">IF(AND(ISNUMBER($BM$806),$B$511=1),$BM$806,HLOOKUP(INDIRECT(ADDRESS(2,COLUMN())),OFFSET($BN$2,0,0,ROW()-1,60),ROW()-1,FALSE))</f>
        <v/>
      </c>
      <c r="BN304" t="str">
        <f>""</f>
        <v/>
      </c>
      <c r="BO304">
        <f>649.4110531</f>
        <v>649.4110531</v>
      </c>
      <c r="BP304">
        <f>431.3209281</f>
        <v>431.3209281</v>
      </c>
      <c r="BQ304">
        <f>623.4638987</f>
        <v>623.46389869999996</v>
      </c>
      <c r="BR304">
        <f>634.3465399</f>
        <v>634.34653990000004</v>
      </c>
      <c r="BS304">
        <f>793.6000211</f>
        <v>793.60002110000005</v>
      </c>
      <c r="BT304">
        <f>849.1667836</f>
        <v>849.16678360000003</v>
      </c>
      <c r="BU304">
        <f>776.2618146</f>
        <v>776.26181459999998</v>
      </c>
      <c r="BV304">
        <f>660.5290742</f>
        <v>660.52907419999997</v>
      </c>
      <c r="BW304">
        <f>740.7250704</f>
        <v>740.72507040000005</v>
      </c>
      <c r="BX304">
        <f>914.2298627</f>
        <v>914.22986270000001</v>
      </c>
      <c r="BY304">
        <f>914.0274423</f>
        <v>914.02744229999996</v>
      </c>
      <c r="BZ304">
        <f>840.2776051</f>
        <v>840.27760509999996</v>
      </c>
      <c r="CA304">
        <f>863.947736</f>
        <v>863.94773599999996</v>
      </c>
      <c r="CB304">
        <f>766.1204357</f>
        <v>766.12043570000003</v>
      </c>
      <c r="CC304">
        <f>882.7075781</f>
        <v>882.70757809999998</v>
      </c>
      <c r="CD304">
        <f>870.1127703</f>
        <v>870.11277029999997</v>
      </c>
      <c r="CE304">
        <f>955.8372255</f>
        <v>955.83722550000005</v>
      </c>
      <c r="CF304">
        <f>988.0874473</f>
        <v>988.08744730000001</v>
      </c>
      <c r="CG304">
        <f>1009.074874</f>
        <v>1009.074874</v>
      </c>
      <c r="CH304">
        <f>918.1066692</f>
        <v>918.10666920000006</v>
      </c>
      <c r="CI304">
        <f>847.1125837</f>
        <v>847.11258369999996</v>
      </c>
      <c r="CJ304">
        <f>862.4550849</f>
        <v>862.45508489999997</v>
      </c>
      <c r="CK304">
        <f>917.7906918</f>
        <v>917.79069179999999</v>
      </c>
      <c r="CL304">
        <f>879.1283894</f>
        <v>879.12838939999995</v>
      </c>
      <c r="CM304">
        <f>984.9807522</f>
        <v>984.98075219999998</v>
      </c>
      <c r="CN304">
        <f>1115.211419</f>
        <v>1115.211419</v>
      </c>
      <c r="CO304">
        <f>1027.281957</f>
        <v>1027.2819569999999</v>
      </c>
      <c r="CP304">
        <f>948.0406468</f>
        <v>948.04064679999999</v>
      </c>
      <c r="CQ304">
        <f>991.9565494</f>
        <v>991.95654939999997</v>
      </c>
      <c r="CR304">
        <f>1026.427463</f>
        <v>1026.427463</v>
      </c>
      <c r="CS304">
        <f>1073.525905</f>
        <v>1073.525905</v>
      </c>
      <c r="CT304">
        <f>1009.795553</f>
        <v>1009.795553</v>
      </c>
      <c r="CU304">
        <f>1109.146787</f>
        <v>1109.1467869999999</v>
      </c>
      <c r="CV304">
        <f>1147.421636</f>
        <v>1147.421636</v>
      </c>
      <c r="CW304">
        <f>978.7565109</f>
        <v>978.75651089999997</v>
      </c>
      <c r="CX304">
        <f>931.7621675</f>
        <v>931.76216750000003</v>
      </c>
      <c r="CY304">
        <f>1071.246188</f>
        <v>1071.2461880000001</v>
      </c>
      <c r="CZ304">
        <f>1196.874232</f>
        <v>1196.8742319999999</v>
      </c>
      <c r="DA304">
        <f>1089.233951</f>
        <v>1089.2339509999999</v>
      </c>
      <c r="DB304">
        <f>953.1523906</f>
        <v>953.15239059999999</v>
      </c>
      <c r="DC304">
        <f>1068.895123</f>
        <v>1068.895123</v>
      </c>
      <c r="DD304">
        <f>1393.501483</f>
        <v>1393.501483</v>
      </c>
      <c r="DE304">
        <f>1381.92931</f>
        <v>1381.92931</v>
      </c>
      <c r="DF304">
        <f>1351.652485</f>
        <v>1351.6524850000001</v>
      </c>
      <c r="DG304">
        <f>1384.376471</f>
        <v>1384.376471</v>
      </c>
      <c r="DH304">
        <f>1396.227266</f>
        <v>1396.2272660000001</v>
      </c>
      <c r="DI304">
        <f>1187.957676</f>
        <v>1187.957676</v>
      </c>
      <c r="DJ304">
        <f>1026.588281</f>
        <v>1026.5882810000001</v>
      </c>
      <c r="DK304">
        <f>1074.735414</f>
        <v>1074.735414</v>
      </c>
      <c r="DL304">
        <f>910.3496159</f>
        <v>910.3496159</v>
      </c>
      <c r="DM304">
        <f>994.3925633</f>
        <v>994.39256330000001</v>
      </c>
      <c r="DN304">
        <f>1060.139251</f>
        <v>1060.1392510000001</v>
      </c>
      <c r="DO304">
        <f>1081.172822</f>
        <v>1081.172822</v>
      </c>
      <c r="DP304">
        <f>1024.55616</f>
        <v>1024.5561600000001</v>
      </c>
      <c r="DQ304">
        <f>1085.949301</f>
        <v>1085.9493010000001</v>
      </c>
      <c r="DR304">
        <f>977.6571337</f>
        <v>977.65713370000003</v>
      </c>
      <c r="DS304">
        <f>1048.170524</f>
        <v>1048.1705239999999</v>
      </c>
      <c r="DT304">
        <f>885.8757639</f>
        <v>885.87576390000004</v>
      </c>
      <c r="DU304" t="str">
        <f>""</f>
        <v/>
      </c>
    </row>
    <row r="305" spans="1:125" x14ac:dyDescent="0.25">
      <c r="A305" t="str">
        <f>"    GAZ PJSC"</f>
        <v xml:space="preserve">    GAZ PJSC</v>
      </c>
      <c r="B305" t="str">
        <f>"GAZA RM Equity"</f>
        <v>GAZA RM Equity</v>
      </c>
      <c r="C305" t="str">
        <f t="shared" si="21"/>
        <v>RR179</v>
      </c>
      <c r="D305" t="str">
        <f t="shared" si="22"/>
        <v>TANGIBLE_COMMON_EQUITY</v>
      </c>
      <c r="E305" t="str">
        <f t="shared" si="23"/>
        <v>Dynamic</v>
      </c>
      <c r="F305" t="str">
        <f ca="1">IF(AND(ISNUMBER($F$807),$B$511=1),$F$807,HLOOKUP(INDIRECT(ADDRESS(2,COLUMN())),OFFSET($BN$2,0,0,ROW()-1,60),ROW()-1,FALSE))</f>
        <v/>
      </c>
      <c r="G305" t="str">
        <f ca="1">IF(AND(ISNUMBER($G$807),$B$511=1),$G$807,HLOOKUP(INDIRECT(ADDRESS(2,COLUMN())),OFFSET($BN$2,0,0,ROW()-1,60),ROW()-1,FALSE))</f>
        <v/>
      </c>
      <c r="H305" t="str">
        <f ca="1">IF(AND(ISNUMBER($H$807),$B$511=1),$H$807,HLOOKUP(INDIRECT(ADDRESS(2,COLUMN())),OFFSET($BN$2,0,0,ROW()-1,60),ROW()-1,FALSE))</f>
        <v/>
      </c>
      <c r="I305" t="str">
        <f ca="1">IF(AND(ISNUMBER($I$807),$B$511=1),$I$807,HLOOKUP(INDIRECT(ADDRESS(2,COLUMN())),OFFSET($BN$2,0,0,ROW()-1,60),ROW()-1,FALSE))</f>
        <v/>
      </c>
      <c r="J305" t="str">
        <f ca="1">IF(AND(ISNUMBER($J$807),$B$511=1),$J$807,HLOOKUP(INDIRECT(ADDRESS(2,COLUMN())),OFFSET($BN$2,0,0,ROW()-1,60),ROW()-1,FALSE))</f>
        <v/>
      </c>
      <c r="K305" t="str">
        <f ca="1">IF(AND(ISNUMBER($K$807),$B$511=1),$K$807,HLOOKUP(INDIRECT(ADDRESS(2,COLUMN())),OFFSET($BN$2,0,0,ROW()-1,60),ROW()-1,FALSE))</f>
        <v/>
      </c>
      <c r="L305" t="str">
        <f ca="1">IF(AND(ISNUMBER($L$807),$B$511=1),$L$807,HLOOKUP(INDIRECT(ADDRESS(2,COLUMN())),OFFSET($BN$2,0,0,ROW()-1,60),ROW()-1,FALSE))</f>
        <v/>
      </c>
      <c r="M305" t="str">
        <f ca="1">IF(AND(ISNUMBER($M$807),$B$511=1),$M$807,HLOOKUP(INDIRECT(ADDRESS(2,COLUMN())),OFFSET($BN$2,0,0,ROW()-1,60),ROW()-1,FALSE))</f>
        <v/>
      </c>
      <c r="N305" t="str">
        <f ca="1">IF(AND(ISNUMBER($N$807),$B$511=1),$N$807,HLOOKUP(INDIRECT(ADDRESS(2,COLUMN())),OFFSET($BN$2,0,0,ROW()-1,60),ROW()-1,FALSE))</f>
        <v/>
      </c>
      <c r="O305" t="str">
        <f ca="1">IF(AND(ISNUMBER($O$807),$B$511=1),$O$807,HLOOKUP(INDIRECT(ADDRESS(2,COLUMN())),OFFSET($BN$2,0,0,ROW()-1,60),ROW()-1,FALSE))</f>
        <v/>
      </c>
      <c r="P305" t="str">
        <f ca="1">IF(AND(ISNUMBER($P$807),$B$511=1),$P$807,HLOOKUP(INDIRECT(ADDRESS(2,COLUMN())),OFFSET($BN$2,0,0,ROW()-1,60),ROW()-1,FALSE))</f>
        <v/>
      </c>
      <c r="Q305" t="str">
        <f ca="1">IF(AND(ISNUMBER($Q$807),$B$511=1),$Q$807,HLOOKUP(INDIRECT(ADDRESS(2,COLUMN())),OFFSET($BN$2,0,0,ROW()-1,60),ROW()-1,FALSE))</f>
        <v/>
      </c>
      <c r="R305" t="str">
        <f ca="1">IF(AND(ISNUMBER($R$807),$B$511=1),$R$807,HLOOKUP(INDIRECT(ADDRESS(2,COLUMN())),OFFSET($BN$2,0,0,ROW()-1,60),ROW()-1,FALSE))</f>
        <v/>
      </c>
      <c r="S305" t="str">
        <f ca="1">IF(AND(ISNUMBER($S$807),$B$511=1),$S$807,HLOOKUP(INDIRECT(ADDRESS(2,COLUMN())),OFFSET($BN$2,0,0,ROW()-1,60),ROW()-1,FALSE))</f>
        <v/>
      </c>
      <c r="T305" t="str">
        <f ca="1">IF(AND(ISNUMBER($T$807),$B$511=1),$T$807,HLOOKUP(INDIRECT(ADDRESS(2,COLUMN())),OFFSET($BN$2,0,0,ROW()-1,60),ROW()-1,FALSE))</f>
        <v/>
      </c>
      <c r="U305" t="str">
        <f ca="1">IF(AND(ISNUMBER($U$807),$B$511=1),$U$807,HLOOKUP(INDIRECT(ADDRESS(2,COLUMN())),OFFSET($BN$2,0,0,ROW()-1,60),ROW()-1,FALSE))</f>
        <v/>
      </c>
      <c r="V305" t="str">
        <f ca="1">IF(AND(ISNUMBER($V$807),$B$511=1),$V$807,HLOOKUP(INDIRECT(ADDRESS(2,COLUMN())),OFFSET($BN$2,0,0,ROW()-1,60),ROW()-1,FALSE))</f>
        <v/>
      </c>
      <c r="W305" t="str">
        <f ca="1">IF(AND(ISNUMBER($W$807),$B$511=1),$W$807,HLOOKUP(INDIRECT(ADDRESS(2,COLUMN())),OFFSET($BN$2,0,0,ROW()-1,60),ROW()-1,FALSE))</f>
        <v/>
      </c>
      <c r="X305" t="str">
        <f ca="1">IF(AND(ISNUMBER($X$807),$B$511=1),$X$807,HLOOKUP(INDIRECT(ADDRESS(2,COLUMN())),OFFSET($BN$2,0,0,ROW()-1,60),ROW()-1,FALSE))</f>
        <v/>
      </c>
      <c r="Y305" t="str">
        <f ca="1">IF(AND(ISNUMBER($Y$807),$B$511=1),$Y$807,HLOOKUP(INDIRECT(ADDRESS(2,COLUMN())),OFFSET($BN$2,0,0,ROW()-1,60),ROW()-1,FALSE))</f>
        <v/>
      </c>
      <c r="Z305" t="str">
        <f ca="1">IF(AND(ISNUMBER($Z$807),$B$511=1),$Z$807,HLOOKUP(INDIRECT(ADDRESS(2,COLUMN())),OFFSET($BN$2,0,0,ROW()-1,60),ROW()-1,FALSE))</f>
        <v/>
      </c>
      <c r="AA305" t="str">
        <f ca="1">IF(AND(ISNUMBER($AA$807),$B$511=1),$AA$807,HLOOKUP(INDIRECT(ADDRESS(2,COLUMN())),OFFSET($BN$2,0,0,ROW()-1,60),ROW()-1,FALSE))</f>
        <v/>
      </c>
      <c r="AB305" t="str">
        <f ca="1">IF(AND(ISNUMBER($AB$807),$B$511=1),$AB$807,HLOOKUP(INDIRECT(ADDRESS(2,COLUMN())),OFFSET($BN$2,0,0,ROW()-1,60),ROW()-1,FALSE))</f>
        <v/>
      </c>
      <c r="AC305" t="str">
        <f ca="1">IF(AND(ISNUMBER($AC$807),$B$511=1),$AC$807,HLOOKUP(INDIRECT(ADDRESS(2,COLUMN())),OFFSET($BN$2,0,0,ROW()-1,60),ROW()-1,FALSE))</f>
        <v/>
      </c>
      <c r="AD305" t="str">
        <f ca="1">IF(AND(ISNUMBER($AD$807),$B$511=1),$AD$807,HLOOKUP(INDIRECT(ADDRESS(2,COLUMN())),OFFSET($BN$2,0,0,ROW()-1,60),ROW()-1,FALSE))</f>
        <v/>
      </c>
      <c r="AE305" t="str">
        <f ca="1">IF(AND(ISNUMBER($AE$807),$B$511=1),$AE$807,HLOOKUP(INDIRECT(ADDRESS(2,COLUMN())),OFFSET($BN$2,0,0,ROW()-1,60),ROW()-1,FALSE))</f>
        <v/>
      </c>
      <c r="AF305" t="str">
        <f ca="1">IF(AND(ISNUMBER($AF$807),$B$511=1),$AF$807,HLOOKUP(INDIRECT(ADDRESS(2,COLUMN())),OFFSET($BN$2,0,0,ROW()-1,60),ROW()-1,FALSE))</f>
        <v/>
      </c>
      <c r="AG305" t="str">
        <f ca="1">IF(AND(ISNUMBER($AG$807),$B$511=1),$AG$807,HLOOKUP(INDIRECT(ADDRESS(2,COLUMN())),OFFSET($BN$2,0,0,ROW()-1,60),ROW()-1,FALSE))</f>
        <v/>
      </c>
      <c r="AH305" t="str">
        <f ca="1">IF(AND(ISNUMBER($AH$807),$B$511=1),$AH$807,HLOOKUP(INDIRECT(ADDRESS(2,COLUMN())),OFFSET($BN$2,0,0,ROW()-1,60),ROW()-1,FALSE))</f>
        <v/>
      </c>
      <c r="AI305" t="str">
        <f ca="1">IF(AND(ISNUMBER($AI$807),$B$511=1),$AI$807,HLOOKUP(INDIRECT(ADDRESS(2,COLUMN())),OFFSET($BN$2,0,0,ROW()-1,60),ROW()-1,FALSE))</f>
        <v/>
      </c>
      <c r="AJ305" t="str">
        <f ca="1">IF(AND(ISNUMBER($AJ$807),$B$511=1),$AJ$807,HLOOKUP(INDIRECT(ADDRESS(2,COLUMN())),OFFSET($BN$2,0,0,ROW()-1,60),ROW()-1,FALSE))</f>
        <v/>
      </c>
      <c r="AK305" t="str">
        <f ca="1">IF(AND(ISNUMBER($AK$807),$B$511=1),$AK$807,HLOOKUP(INDIRECT(ADDRESS(2,COLUMN())),OFFSET($BN$2,0,0,ROW()-1,60),ROW()-1,FALSE))</f>
        <v/>
      </c>
      <c r="AL305" t="str">
        <f ca="1">IF(AND(ISNUMBER($AL$807),$B$511=1),$AL$807,HLOOKUP(INDIRECT(ADDRESS(2,COLUMN())),OFFSET($BN$2,0,0,ROW()-1,60),ROW()-1,FALSE))</f>
        <v/>
      </c>
      <c r="AM305" t="str">
        <f ca="1">IF(AND(ISNUMBER($AM$807),$B$511=1),$AM$807,HLOOKUP(INDIRECT(ADDRESS(2,COLUMN())),OFFSET($BN$2,0,0,ROW()-1,60),ROW()-1,FALSE))</f>
        <v/>
      </c>
      <c r="AN305" t="str">
        <f ca="1">IF(AND(ISNUMBER($AN$807),$B$511=1),$AN$807,HLOOKUP(INDIRECT(ADDRESS(2,COLUMN())),OFFSET($BN$2,0,0,ROW()-1,60),ROW()-1,FALSE))</f>
        <v/>
      </c>
      <c r="AO305" t="str">
        <f ca="1">IF(AND(ISNUMBER($AO$807),$B$511=1),$AO$807,HLOOKUP(INDIRECT(ADDRESS(2,COLUMN())),OFFSET($BN$2,0,0,ROW()-1,60),ROW()-1,FALSE))</f>
        <v/>
      </c>
      <c r="AP305" t="str">
        <f ca="1">IF(AND(ISNUMBER($AP$807),$B$511=1),$AP$807,HLOOKUP(INDIRECT(ADDRESS(2,COLUMN())),OFFSET($BN$2,0,0,ROW()-1,60),ROW()-1,FALSE))</f>
        <v/>
      </c>
      <c r="AQ305" t="str">
        <f ca="1">IF(AND(ISNUMBER($AQ$807),$B$511=1),$AQ$807,HLOOKUP(INDIRECT(ADDRESS(2,COLUMN())),OFFSET($BN$2,0,0,ROW()-1,60),ROW()-1,FALSE))</f>
        <v/>
      </c>
      <c r="AR305" t="str">
        <f ca="1">IF(AND(ISNUMBER($AR$807),$B$511=1),$AR$807,HLOOKUP(INDIRECT(ADDRESS(2,COLUMN())),OFFSET($BN$2,0,0,ROW()-1,60),ROW()-1,FALSE))</f>
        <v/>
      </c>
      <c r="AS305" t="str">
        <f ca="1">IF(AND(ISNUMBER($AS$807),$B$511=1),$AS$807,HLOOKUP(INDIRECT(ADDRESS(2,COLUMN())),OFFSET($BN$2,0,0,ROW()-1,60),ROW()-1,FALSE))</f>
        <v/>
      </c>
      <c r="AT305" t="str">
        <f ca="1">IF(AND(ISNUMBER($AT$807),$B$511=1),$AT$807,HLOOKUP(INDIRECT(ADDRESS(2,COLUMN())),OFFSET($BN$2,0,0,ROW()-1,60),ROW()-1,FALSE))</f>
        <v/>
      </c>
      <c r="AU305" t="str">
        <f ca="1">IF(AND(ISNUMBER($AU$807),$B$511=1),$AU$807,HLOOKUP(INDIRECT(ADDRESS(2,COLUMN())),OFFSET($BN$2,0,0,ROW()-1,60),ROW()-1,FALSE))</f>
        <v/>
      </c>
      <c r="AV305" t="str">
        <f ca="1">IF(AND(ISNUMBER($AV$807),$B$511=1),$AV$807,HLOOKUP(INDIRECT(ADDRESS(2,COLUMN())),OFFSET($BN$2,0,0,ROW()-1,60),ROW()-1,FALSE))</f>
        <v/>
      </c>
      <c r="AW305" t="str">
        <f ca="1">IF(AND(ISNUMBER($AW$807),$B$511=1),$AW$807,HLOOKUP(INDIRECT(ADDRESS(2,COLUMN())),OFFSET($BN$2,0,0,ROW()-1,60),ROW()-1,FALSE))</f>
        <v/>
      </c>
      <c r="AX305" t="str">
        <f ca="1">IF(AND(ISNUMBER($AX$807),$B$511=1),$AX$807,HLOOKUP(INDIRECT(ADDRESS(2,COLUMN())),OFFSET($BN$2,0,0,ROW()-1,60),ROW()-1,FALSE))</f>
        <v/>
      </c>
      <c r="AY305" t="str">
        <f ca="1">IF(AND(ISNUMBER($AY$807),$B$511=1),$AY$807,HLOOKUP(INDIRECT(ADDRESS(2,COLUMN())),OFFSET($BN$2,0,0,ROW()-1,60),ROW()-1,FALSE))</f>
        <v/>
      </c>
      <c r="AZ305" t="str">
        <f ca="1">IF(AND(ISNUMBER($AZ$807),$B$511=1),$AZ$807,HLOOKUP(INDIRECT(ADDRESS(2,COLUMN())),OFFSET($BN$2,0,0,ROW()-1,60),ROW()-1,FALSE))</f>
        <v/>
      </c>
      <c r="BA305" t="str">
        <f ca="1">IF(AND(ISNUMBER($BA$807),$B$511=1),$BA$807,HLOOKUP(INDIRECT(ADDRESS(2,COLUMN())),OFFSET($BN$2,0,0,ROW()-1,60),ROW()-1,FALSE))</f>
        <v/>
      </c>
      <c r="BB305" t="str">
        <f ca="1">IF(AND(ISNUMBER($BB$807),$B$511=1),$BB$807,HLOOKUP(INDIRECT(ADDRESS(2,COLUMN())),OFFSET($BN$2,0,0,ROW()-1,60),ROW()-1,FALSE))</f>
        <v/>
      </c>
      <c r="BC305" t="str">
        <f ca="1">IF(AND(ISNUMBER($BC$807),$B$511=1),$BC$807,HLOOKUP(INDIRECT(ADDRESS(2,COLUMN())),OFFSET($BN$2,0,0,ROW()-1,60),ROW()-1,FALSE))</f>
        <v/>
      </c>
      <c r="BD305" t="str">
        <f ca="1">IF(AND(ISNUMBER($BD$807),$B$511=1),$BD$807,HLOOKUP(INDIRECT(ADDRESS(2,COLUMN())),OFFSET($BN$2,0,0,ROW()-1,60),ROW()-1,FALSE))</f>
        <v/>
      </c>
      <c r="BE305" t="str">
        <f ca="1">IF(AND(ISNUMBER($BE$807),$B$511=1),$BE$807,HLOOKUP(INDIRECT(ADDRESS(2,COLUMN())),OFFSET($BN$2,0,0,ROW()-1,60),ROW()-1,FALSE))</f>
        <v/>
      </c>
      <c r="BF305" t="str">
        <f ca="1">IF(AND(ISNUMBER($BF$807),$B$511=1),$BF$807,HLOOKUP(INDIRECT(ADDRESS(2,COLUMN())),OFFSET($BN$2,0,0,ROW()-1,60),ROW()-1,FALSE))</f>
        <v/>
      </c>
      <c r="BG305" t="str">
        <f ca="1">IF(AND(ISNUMBER($BG$807),$B$511=1),$BG$807,HLOOKUP(INDIRECT(ADDRESS(2,COLUMN())),OFFSET($BN$2,0,0,ROW()-1,60),ROW()-1,FALSE))</f>
        <v/>
      </c>
      <c r="BH305" t="str">
        <f ca="1">IF(AND(ISNUMBER($BH$807),$B$511=1),$BH$807,HLOOKUP(INDIRECT(ADDRESS(2,COLUMN())),OFFSET($BN$2,0,0,ROW()-1,60),ROW()-1,FALSE))</f>
        <v/>
      </c>
      <c r="BI305" t="str">
        <f ca="1">IF(AND(ISNUMBER($BI$807),$B$511=1),$BI$807,HLOOKUP(INDIRECT(ADDRESS(2,COLUMN())),OFFSET($BN$2,0,0,ROW()-1,60),ROW()-1,FALSE))</f>
        <v/>
      </c>
      <c r="BJ305" t="str">
        <f ca="1">IF(AND(ISNUMBER($BJ$807),$B$511=1),$BJ$807,HLOOKUP(INDIRECT(ADDRESS(2,COLUMN())),OFFSET($BN$2,0,0,ROW()-1,60),ROW()-1,FALSE))</f>
        <v/>
      </c>
      <c r="BK305" t="str">
        <f ca="1">IF(AND(ISNUMBER($BK$807),$B$511=1),$BK$807,HLOOKUP(INDIRECT(ADDRESS(2,COLUMN())),OFFSET($BN$2,0,0,ROW()-1,60),ROW()-1,FALSE))</f>
        <v/>
      </c>
      <c r="BL305" t="str">
        <f ca="1">IF(AND(ISNUMBER($BL$807),$B$511=1),$BL$807,HLOOKUP(INDIRECT(ADDRESS(2,COLUMN())),OFFSET($BN$2,0,0,ROW()-1,60),ROW()-1,FALSE))</f>
        <v/>
      </c>
      <c r="BM305" t="str">
        <f ca="1">IF(AND(ISNUMBER($BM$807),$B$511=1),$BM$807,HLOOKUP(INDIRECT(ADDRESS(2,COLUMN())),OFFSET($BN$2,0,0,ROW()-1,60),ROW()-1,FALSE))</f>
        <v/>
      </c>
      <c r="BN305" t="str">
        <f>""</f>
        <v/>
      </c>
      <c r="BO305" t="str">
        <f>""</f>
        <v/>
      </c>
      <c r="BP305" t="str">
        <f>""</f>
        <v/>
      </c>
      <c r="BQ305" t="str">
        <f>""</f>
        <v/>
      </c>
      <c r="BR305" t="str">
        <f>""</f>
        <v/>
      </c>
      <c r="BS305" t="str">
        <f>""</f>
        <v/>
      </c>
      <c r="BT305" t="str">
        <f>""</f>
        <v/>
      </c>
      <c r="BU305" t="str">
        <f>""</f>
        <v/>
      </c>
      <c r="BV305" t="str">
        <f>""</f>
        <v/>
      </c>
      <c r="BW305" t="str">
        <f>""</f>
        <v/>
      </c>
      <c r="BX305" t="str">
        <f>""</f>
        <v/>
      </c>
      <c r="BY305" t="str">
        <f>""</f>
        <v/>
      </c>
      <c r="BZ305" t="str">
        <f>""</f>
        <v/>
      </c>
      <c r="CA305" t="str">
        <f>""</f>
        <v/>
      </c>
      <c r="CB305" t="str">
        <f>""</f>
        <v/>
      </c>
      <c r="CC305" t="str">
        <f>""</f>
        <v/>
      </c>
      <c r="CD305" t="str">
        <f>""</f>
        <v/>
      </c>
      <c r="CE305" t="str">
        <f>""</f>
        <v/>
      </c>
      <c r="CF305" t="str">
        <f>""</f>
        <v/>
      </c>
      <c r="CG305" t="str">
        <f>""</f>
        <v/>
      </c>
      <c r="CH305" t="str">
        <f>""</f>
        <v/>
      </c>
      <c r="CI305" t="str">
        <f>""</f>
        <v/>
      </c>
      <c r="CJ305" t="str">
        <f>""</f>
        <v/>
      </c>
      <c r="CK305" t="str">
        <f>""</f>
        <v/>
      </c>
      <c r="CL305" t="str">
        <f>""</f>
        <v/>
      </c>
      <c r="CM305" t="str">
        <f>""</f>
        <v/>
      </c>
      <c r="CN305" t="str">
        <f>""</f>
        <v/>
      </c>
      <c r="CO305" t="str">
        <f>""</f>
        <v/>
      </c>
      <c r="CP305" t="str">
        <f>""</f>
        <v/>
      </c>
      <c r="CQ305" t="str">
        <f>""</f>
        <v/>
      </c>
      <c r="CR305" t="str">
        <f>""</f>
        <v/>
      </c>
      <c r="CS305" t="str">
        <f>""</f>
        <v/>
      </c>
      <c r="CT305" t="str">
        <f>""</f>
        <v/>
      </c>
      <c r="CU305" t="str">
        <f>""</f>
        <v/>
      </c>
      <c r="CV305" t="str">
        <f>""</f>
        <v/>
      </c>
      <c r="CW305" t="str">
        <f>""</f>
        <v/>
      </c>
      <c r="CX305" t="str">
        <f>""</f>
        <v/>
      </c>
      <c r="CY305" t="str">
        <f>""</f>
        <v/>
      </c>
      <c r="CZ305" t="str">
        <f>""</f>
        <v/>
      </c>
      <c r="DA305" t="str">
        <f>""</f>
        <v/>
      </c>
      <c r="DB305" t="str">
        <f>""</f>
        <v/>
      </c>
      <c r="DC305" t="str">
        <f>""</f>
        <v/>
      </c>
      <c r="DD305" t="str">
        <f>""</f>
        <v/>
      </c>
      <c r="DE305" t="str">
        <f>""</f>
        <v/>
      </c>
      <c r="DF305" t="str">
        <f>""</f>
        <v/>
      </c>
      <c r="DG305" t="str">
        <f>""</f>
        <v/>
      </c>
      <c r="DH305" t="str">
        <f>""</f>
        <v/>
      </c>
      <c r="DI305" t="str">
        <f>""</f>
        <v/>
      </c>
      <c r="DJ305" t="str">
        <f>""</f>
        <v/>
      </c>
      <c r="DK305" t="str">
        <f>""</f>
        <v/>
      </c>
      <c r="DL305" t="str">
        <f>""</f>
        <v/>
      </c>
      <c r="DM305" t="str">
        <f>""</f>
        <v/>
      </c>
      <c r="DN305" t="str">
        <f>""</f>
        <v/>
      </c>
      <c r="DO305" t="str">
        <f>""</f>
        <v/>
      </c>
      <c r="DP305" t="str">
        <f>""</f>
        <v/>
      </c>
      <c r="DQ305" t="str">
        <f>""</f>
        <v/>
      </c>
      <c r="DR305" t="str">
        <f>""</f>
        <v/>
      </c>
      <c r="DS305" t="str">
        <f>""</f>
        <v/>
      </c>
      <c r="DT305" t="str">
        <f>""</f>
        <v/>
      </c>
      <c r="DU305" t="str">
        <f>""</f>
        <v/>
      </c>
    </row>
    <row r="306" spans="1:125" x14ac:dyDescent="0.25">
      <c r="A306" t="str">
        <f>"    Geely Automobile Holdings Ltd"</f>
        <v xml:space="preserve">    Geely Automobile Holdings Ltd</v>
      </c>
      <c r="B306" t="str">
        <f>"175 HK Equity"</f>
        <v>175 HK Equity</v>
      </c>
      <c r="C306" t="str">
        <f t="shared" si="21"/>
        <v>RR179</v>
      </c>
      <c r="D306" t="str">
        <f t="shared" si="22"/>
        <v>TANGIBLE_COMMON_EQUITY</v>
      </c>
      <c r="E306" t="str">
        <f t="shared" si="23"/>
        <v>Dynamic</v>
      </c>
      <c r="F306" t="str">
        <f ca="1">IF(AND(ISNUMBER($F$808),$B$511=1),$F$808,HLOOKUP(INDIRECT(ADDRESS(2,COLUMN())),OFFSET($BN$2,0,0,ROW()-1,60),ROW()-1,FALSE))</f>
        <v/>
      </c>
      <c r="G306" t="str">
        <f ca="1">IF(AND(ISNUMBER($G$808),$B$511=1),$G$808,HLOOKUP(INDIRECT(ADDRESS(2,COLUMN())),OFFSET($BN$2,0,0,ROW()-1,60),ROW()-1,FALSE))</f>
        <v/>
      </c>
      <c r="H306" t="str">
        <f ca="1">IF(AND(ISNUMBER($H$808),$B$511=1),$H$808,HLOOKUP(INDIRECT(ADDRESS(2,COLUMN())),OFFSET($BN$2,0,0,ROW()-1,60),ROW()-1,FALSE))</f>
        <v/>
      </c>
      <c r="I306" t="str">
        <f ca="1">IF(AND(ISNUMBER($I$808),$B$511=1),$I$808,HLOOKUP(INDIRECT(ADDRESS(2,COLUMN())),OFFSET($BN$2,0,0,ROW()-1,60),ROW()-1,FALSE))</f>
        <v/>
      </c>
      <c r="J306" t="str">
        <f ca="1">IF(AND(ISNUMBER($J$808),$B$511=1),$J$808,HLOOKUP(INDIRECT(ADDRESS(2,COLUMN())),OFFSET($BN$2,0,0,ROW()-1,60),ROW()-1,FALSE))</f>
        <v/>
      </c>
      <c r="K306" t="str">
        <f ca="1">IF(AND(ISNUMBER($K$808),$B$511=1),$K$808,HLOOKUP(INDIRECT(ADDRESS(2,COLUMN())),OFFSET($BN$2,0,0,ROW()-1,60),ROW()-1,FALSE))</f>
        <v/>
      </c>
      <c r="L306" t="str">
        <f ca="1">IF(AND(ISNUMBER($L$808),$B$511=1),$L$808,HLOOKUP(INDIRECT(ADDRESS(2,COLUMN())),OFFSET($BN$2,0,0,ROW()-1,60),ROW()-1,FALSE))</f>
        <v/>
      </c>
      <c r="M306" t="str">
        <f ca="1">IF(AND(ISNUMBER($M$808),$B$511=1),$M$808,HLOOKUP(INDIRECT(ADDRESS(2,COLUMN())),OFFSET($BN$2,0,0,ROW()-1,60),ROW()-1,FALSE))</f>
        <v/>
      </c>
      <c r="N306" t="str">
        <f ca="1">IF(AND(ISNUMBER($N$808),$B$511=1),$N$808,HLOOKUP(INDIRECT(ADDRESS(2,COLUMN())),OFFSET($BN$2,0,0,ROW()-1,60),ROW()-1,FALSE))</f>
        <v/>
      </c>
      <c r="O306" t="str">
        <f ca="1">IF(AND(ISNUMBER($O$808),$B$511=1),$O$808,HLOOKUP(INDIRECT(ADDRESS(2,COLUMN())),OFFSET($BN$2,0,0,ROW()-1,60),ROW()-1,FALSE))</f>
        <v/>
      </c>
      <c r="P306" t="str">
        <f ca="1">IF(AND(ISNUMBER($P$808),$B$511=1),$P$808,HLOOKUP(INDIRECT(ADDRESS(2,COLUMN())),OFFSET($BN$2,0,0,ROW()-1,60),ROW()-1,FALSE))</f>
        <v/>
      </c>
      <c r="Q306" t="str">
        <f ca="1">IF(AND(ISNUMBER($Q$808),$B$511=1),$Q$808,HLOOKUP(INDIRECT(ADDRESS(2,COLUMN())),OFFSET($BN$2,0,0,ROW()-1,60),ROW()-1,FALSE))</f>
        <v/>
      </c>
      <c r="R306" t="str">
        <f ca="1">IF(AND(ISNUMBER($R$808),$B$511=1),$R$808,HLOOKUP(INDIRECT(ADDRESS(2,COLUMN())),OFFSET($BN$2,0,0,ROW()-1,60),ROW()-1,FALSE))</f>
        <v/>
      </c>
      <c r="S306" t="str">
        <f ca="1">IF(AND(ISNUMBER($S$808),$B$511=1),$S$808,HLOOKUP(INDIRECT(ADDRESS(2,COLUMN())),OFFSET($BN$2,0,0,ROW()-1,60),ROW()-1,FALSE))</f>
        <v/>
      </c>
      <c r="T306" t="str">
        <f ca="1">IF(AND(ISNUMBER($T$808),$B$511=1),$T$808,HLOOKUP(INDIRECT(ADDRESS(2,COLUMN())),OFFSET($BN$2,0,0,ROW()-1,60),ROW()-1,FALSE))</f>
        <v/>
      </c>
      <c r="U306" t="str">
        <f ca="1">IF(AND(ISNUMBER($U$808),$B$511=1),$U$808,HLOOKUP(INDIRECT(ADDRESS(2,COLUMN())),OFFSET($BN$2,0,0,ROW()-1,60),ROW()-1,FALSE))</f>
        <v/>
      </c>
      <c r="V306" t="str">
        <f ca="1">IF(AND(ISNUMBER($V$808),$B$511=1),$V$808,HLOOKUP(INDIRECT(ADDRESS(2,COLUMN())),OFFSET($BN$2,0,0,ROW()-1,60),ROW()-1,FALSE))</f>
        <v/>
      </c>
      <c r="W306" t="str">
        <f ca="1">IF(AND(ISNUMBER($W$808),$B$511=1),$W$808,HLOOKUP(INDIRECT(ADDRESS(2,COLUMN())),OFFSET($BN$2,0,0,ROW()-1,60),ROW()-1,FALSE))</f>
        <v/>
      </c>
      <c r="X306" t="str">
        <f ca="1">IF(AND(ISNUMBER($X$808),$B$511=1),$X$808,HLOOKUP(INDIRECT(ADDRESS(2,COLUMN())),OFFSET($BN$2,0,0,ROW()-1,60),ROW()-1,FALSE))</f>
        <v/>
      </c>
      <c r="Y306" t="str">
        <f ca="1">IF(AND(ISNUMBER($Y$808),$B$511=1),$Y$808,HLOOKUP(INDIRECT(ADDRESS(2,COLUMN())),OFFSET($BN$2,0,0,ROW()-1,60),ROW()-1,FALSE))</f>
        <v/>
      </c>
      <c r="Z306" t="str">
        <f ca="1">IF(AND(ISNUMBER($Z$808),$B$511=1),$Z$808,HLOOKUP(INDIRECT(ADDRESS(2,COLUMN())),OFFSET($BN$2,0,0,ROW()-1,60),ROW()-1,FALSE))</f>
        <v/>
      </c>
      <c r="AA306" t="str">
        <f ca="1">IF(AND(ISNUMBER($AA$808),$B$511=1),$AA$808,HLOOKUP(INDIRECT(ADDRESS(2,COLUMN())),OFFSET($BN$2,0,0,ROW()-1,60),ROW()-1,FALSE))</f>
        <v/>
      </c>
      <c r="AB306" t="str">
        <f ca="1">IF(AND(ISNUMBER($AB$808),$B$511=1),$AB$808,HLOOKUP(INDIRECT(ADDRESS(2,COLUMN())),OFFSET($BN$2,0,0,ROW()-1,60),ROW()-1,FALSE))</f>
        <v/>
      </c>
      <c r="AC306" t="str">
        <f ca="1">IF(AND(ISNUMBER($AC$808),$B$511=1),$AC$808,HLOOKUP(INDIRECT(ADDRESS(2,COLUMN())),OFFSET($BN$2,0,0,ROW()-1,60),ROW()-1,FALSE))</f>
        <v/>
      </c>
      <c r="AD306" t="str">
        <f ca="1">IF(AND(ISNUMBER($AD$808),$B$511=1),$AD$808,HLOOKUP(INDIRECT(ADDRESS(2,COLUMN())),OFFSET($BN$2,0,0,ROW()-1,60),ROW()-1,FALSE))</f>
        <v/>
      </c>
      <c r="AE306" t="str">
        <f ca="1">IF(AND(ISNUMBER($AE$808),$B$511=1),$AE$808,HLOOKUP(INDIRECT(ADDRESS(2,COLUMN())),OFFSET($BN$2,0,0,ROW()-1,60),ROW()-1,FALSE))</f>
        <v/>
      </c>
      <c r="AF306" t="str">
        <f ca="1">IF(AND(ISNUMBER($AF$808),$B$511=1),$AF$808,HLOOKUP(INDIRECT(ADDRESS(2,COLUMN())),OFFSET($BN$2,0,0,ROW()-1,60),ROW()-1,FALSE))</f>
        <v/>
      </c>
      <c r="AG306" t="str">
        <f ca="1">IF(AND(ISNUMBER($AG$808),$B$511=1),$AG$808,HLOOKUP(INDIRECT(ADDRESS(2,COLUMN())),OFFSET($BN$2,0,0,ROW()-1,60),ROW()-1,FALSE))</f>
        <v/>
      </c>
      <c r="AH306" t="str">
        <f ca="1">IF(AND(ISNUMBER($AH$808),$B$511=1),$AH$808,HLOOKUP(INDIRECT(ADDRESS(2,COLUMN())),OFFSET($BN$2,0,0,ROW()-1,60),ROW()-1,FALSE))</f>
        <v/>
      </c>
      <c r="AI306" t="str">
        <f ca="1">IF(AND(ISNUMBER($AI$808),$B$511=1),$AI$808,HLOOKUP(INDIRECT(ADDRESS(2,COLUMN())),OFFSET($BN$2,0,0,ROW()-1,60),ROW()-1,FALSE))</f>
        <v/>
      </c>
      <c r="AJ306" t="str">
        <f ca="1">IF(AND(ISNUMBER($AJ$808),$B$511=1),$AJ$808,HLOOKUP(INDIRECT(ADDRESS(2,COLUMN())),OFFSET($BN$2,0,0,ROW()-1,60),ROW()-1,FALSE))</f>
        <v/>
      </c>
      <c r="AK306" t="str">
        <f ca="1">IF(AND(ISNUMBER($AK$808),$B$511=1),$AK$808,HLOOKUP(INDIRECT(ADDRESS(2,COLUMN())),OFFSET($BN$2,0,0,ROW()-1,60),ROW()-1,FALSE))</f>
        <v/>
      </c>
      <c r="AL306" t="str">
        <f ca="1">IF(AND(ISNUMBER($AL$808),$B$511=1),$AL$808,HLOOKUP(INDIRECT(ADDRESS(2,COLUMN())),OFFSET($BN$2,0,0,ROW()-1,60),ROW()-1,FALSE))</f>
        <v/>
      </c>
      <c r="AM306" t="str">
        <f ca="1">IF(AND(ISNUMBER($AM$808),$B$511=1),$AM$808,HLOOKUP(INDIRECT(ADDRESS(2,COLUMN())),OFFSET($BN$2,0,0,ROW()-1,60),ROW()-1,FALSE))</f>
        <v/>
      </c>
      <c r="AN306" t="str">
        <f ca="1">IF(AND(ISNUMBER($AN$808),$B$511=1),$AN$808,HLOOKUP(INDIRECT(ADDRESS(2,COLUMN())),OFFSET($BN$2,0,0,ROW()-1,60),ROW()-1,FALSE))</f>
        <v/>
      </c>
      <c r="AO306" t="str">
        <f ca="1">IF(AND(ISNUMBER($AO$808),$B$511=1),$AO$808,HLOOKUP(INDIRECT(ADDRESS(2,COLUMN())),OFFSET($BN$2,0,0,ROW()-1,60),ROW()-1,FALSE))</f>
        <v/>
      </c>
      <c r="AP306" t="str">
        <f ca="1">IF(AND(ISNUMBER($AP$808),$B$511=1),$AP$808,HLOOKUP(INDIRECT(ADDRESS(2,COLUMN())),OFFSET($BN$2,0,0,ROW()-1,60),ROW()-1,FALSE))</f>
        <v/>
      </c>
      <c r="AQ306" t="str">
        <f ca="1">IF(AND(ISNUMBER($AQ$808),$B$511=1),$AQ$808,HLOOKUP(INDIRECT(ADDRESS(2,COLUMN())),OFFSET($BN$2,0,0,ROW()-1,60),ROW()-1,FALSE))</f>
        <v/>
      </c>
      <c r="AR306" t="str">
        <f ca="1">IF(AND(ISNUMBER($AR$808),$B$511=1),$AR$808,HLOOKUP(INDIRECT(ADDRESS(2,COLUMN())),OFFSET($BN$2,0,0,ROW()-1,60),ROW()-1,FALSE))</f>
        <v/>
      </c>
      <c r="AS306" t="str">
        <f ca="1">IF(AND(ISNUMBER($AS$808),$B$511=1),$AS$808,HLOOKUP(INDIRECT(ADDRESS(2,COLUMN())),OFFSET($BN$2,0,0,ROW()-1,60),ROW()-1,FALSE))</f>
        <v/>
      </c>
      <c r="AT306" t="str">
        <f ca="1">IF(AND(ISNUMBER($AT$808),$B$511=1),$AT$808,HLOOKUP(INDIRECT(ADDRESS(2,COLUMN())),OFFSET($BN$2,0,0,ROW()-1,60),ROW()-1,FALSE))</f>
        <v/>
      </c>
      <c r="AU306" t="str">
        <f ca="1">IF(AND(ISNUMBER($AU$808),$B$511=1),$AU$808,HLOOKUP(INDIRECT(ADDRESS(2,COLUMN())),OFFSET($BN$2,0,0,ROW()-1,60),ROW()-1,FALSE))</f>
        <v/>
      </c>
      <c r="AV306" t="str">
        <f ca="1">IF(AND(ISNUMBER($AV$808),$B$511=1),$AV$808,HLOOKUP(INDIRECT(ADDRESS(2,COLUMN())),OFFSET($BN$2,0,0,ROW()-1,60),ROW()-1,FALSE))</f>
        <v/>
      </c>
      <c r="AW306" t="str">
        <f ca="1">IF(AND(ISNUMBER($AW$808),$B$511=1),$AW$808,HLOOKUP(INDIRECT(ADDRESS(2,COLUMN())),OFFSET($BN$2,0,0,ROW()-1,60),ROW()-1,FALSE))</f>
        <v/>
      </c>
      <c r="AX306" t="str">
        <f ca="1">IF(AND(ISNUMBER($AX$808),$B$511=1),$AX$808,HLOOKUP(INDIRECT(ADDRESS(2,COLUMN())),OFFSET($BN$2,0,0,ROW()-1,60),ROW()-1,FALSE))</f>
        <v/>
      </c>
      <c r="AY306" t="str">
        <f ca="1">IF(AND(ISNUMBER($AY$808),$B$511=1),$AY$808,HLOOKUP(INDIRECT(ADDRESS(2,COLUMN())),OFFSET($BN$2,0,0,ROW()-1,60),ROW()-1,FALSE))</f>
        <v/>
      </c>
      <c r="AZ306" t="str">
        <f ca="1">IF(AND(ISNUMBER($AZ$808),$B$511=1),$AZ$808,HLOOKUP(INDIRECT(ADDRESS(2,COLUMN())),OFFSET($BN$2,0,0,ROW()-1,60),ROW()-1,FALSE))</f>
        <v/>
      </c>
      <c r="BA306" t="str">
        <f ca="1">IF(AND(ISNUMBER($BA$808),$B$511=1),$BA$808,HLOOKUP(INDIRECT(ADDRESS(2,COLUMN())),OFFSET($BN$2,0,0,ROW()-1,60),ROW()-1,FALSE))</f>
        <v/>
      </c>
      <c r="BB306" t="str">
        <f ca="1">IF(AND(ISNUMBER($BB$808),$B$511=1),$BB$808,HLOOKUP(INDIRECT(ADDRESS(2,COLUMN())),OFFSET($BN$2,0,0,ROW()-1,60),ROW()-1,FALSE))</f>
        <v/>
      </c>
      <c r="BC306" t="str">
        <f ca="1">IF(AND(ISNUMBER($BC$808),$B$511=1),$BC$808,HLOOKUP(INDIRECT(ADDRESS(2,COLUMN())),OFFSET($BN$2,0,0,ROW()-1,60),ROW()-1,FALSE))</f>
        <v/>
      </c>
      <c r="BD306" t="str">
        <f ca="1">IF(AND(ISNUMBER($BD$808),$B$511=1),$BD$808,HLOOKUP(INDIRECT(ADDRESS(2,COLUMN())),OFFSET($BN$2,0,0,ROW()-1,60),ROW()-1,FALSE))</f>
        <v/>
      </c>
      <c r="BE306" t="str">
        <f ca="1">IF(AND(ISNUMBER($BE$808),$B$511=1),$BE$808,HLOOKUP(INDIRECT(ADDRESS(2,COLUMN())),OFFSET($BN$2,0,0,ROW()-1,60),ROW()-1,FALSE))</f>
        <v/>
      </c>
      <c r="BF306" t="str">
        <f ca="1">IF(AND(ISNUMBER($BF$808),$B$511=1),$BF$808,HLOOKUP(INDIRECT(ADDRESS(2,COLUMN())),OFFSET($BN$2,0,0,ROW()-1,60),ROW()-1,FALSE))</f>
        <v/>
      </c>
      <c r="BG306" t="str">
        <f ca="1">IF(AND(ISNUMBER($BG$808),$B$511=1),$BG$808,HLOOKUP(INDIRECT(ADDRESS(2,COLUMN())),OFFSET($BN$2,0,0,ROW()-1,60),ROW()-1,FALSE))</f>
        <v/>
      </c>
      <c r="BH306" t="str">
        <f ca="1">IF(AND(ISNUMBER($BH$808),$B$511=1),$BH$808,HLOOKUP(INDIRECT(ADDRESS(2,COLUMN())),OFFSET($BN$2,0,0,ROW()-1,60),ROW()-1,FALSE))</f>
        <v/>
      </c>
      <c r="BI306" t="str">
        <f ca="1">IF(AND(ISNUMBER($BI$808),$B$511=1),$BI$808,HLOOKUP(INDIRECT(ADDRESS(2,COLUMN())),OFFSET($BN$2,0,0,ROW()-1,60),ROW()-1,FALSE))</f>
        <v/>
      </c>
      <c r="BJ306" t="str">
        <f ca="1">IF(AND(ISNUMBER($BJ$808),$B$511=1),$BJ$808,HLOOKUP(INDIRECT(ADDRESS(2,COLUMN())),OFFSET($BN$2,0,0,ROW()-1,60),ROW()-1,FALSE))</f>
        <v/>
      </c>
      <c r="BK306" t="str">
        <f ca="1">IF(AND(ISNUMBER($BK$808),$B$511=1),$BK$808,HLOOKUP(INDIRECT(ADDRESS(2,COLUMN())),OFFSET($BN$2,0,0,ROW()-1,60),ROW()-1,FALSE))</f>
        <v/>
      </c>
      <c r="BL306" t="str">
        <f ca="1">IF(AND(ISNUMBER($BL$808),$B$511=1),$BL$808,HLOOKUP(INDIRECT(ADDRESS(2,COLUMN())),OFFSET($BN$2,0,0,ROW()-1,60),ROW()-1,FALSE))</f>
        <v/>
      </c>
      <c r="BM306" t="str">
        <f ca="1">IF(AND(ISNUMBER($BM$808),$B$511=1),$BM$808,HLOOKUP(INDIRECT(ADDRESS(2,COLUMN())),OFFSET($BN$2,0,0,ROW()-1,60),ROW()-1,FALSE))</f>
        <v/>
      </c>
      <c r="BN306" t="str">
        <f>""</f>
        <v/>
      </c>
      <c r="BO306" t="str">
        <f>""</f>
        <v/>
      </c>
      <c r="BP306" t="str">
        <f>""</f>
        <v/>
      </c>
      <c r="BQ306" t="str">
        <f>""</f>
        <v/>
      </c>
      <c r="BR306" t="str">
        <f>""</f>
        <v/>
      </c>
      <c r="BS306" t="str">
        <f>""</f>
        <v/>
      </c>
      <c r="BT306" t="str">
        <f>""</f>
        <v/>
      </c>
      <c r="BU306" t="str">
        <f>""</f>
        <v/>
      </c>
      <c r="BV306" t="str">
        <f>""</f>
        <v/>
      </c>
      <c r="BW306" t="str">
        <f>""</f>
        <v/>
      </c>
      <c r="BX306" t="str">
        <f>""</f>
        <v/>
      </c>
      <c r="BY306" t="str">
        <f>""</f>
        <v/>
      </c>
      <c r="BZ306" t="str">
        <f>""</f>
        <v/>
      </c>
      <c r="CA306" t="str">
        <f>""</f>
        <v/>
      </c>
      <c r="CB306" t="str">
        <f>""</f>
        <v/>
      </c>
      <c r="CC306" t="str">
        <f>""</f>
        <v/>
      </c>
      <c r="CD306" t="str">
        <f>""</f>
        <v/>
      </c>
      <c r="CE306" t="str">
        <f>""</f>
        <v/>
      </c>
      <c r="CF306" t="str">
        <f>""</f>
        <v/>
      </c>
      <c r="CG306" t="str">
        <f>""</f>
        <v/>
      </c>
      <c r="CH306" t="str">
        <f>""</f>
        <v/>
      </c>
      <c r="CI306" t="str">
        <f>""</f>
        <v/>
      </c>
      <c r="CJ306" t="str">
        <f>""</f>
        <v/>
      </c>
      <c r="CK306" t="str">
        <f>""</f>
        <v/>
      </c>
      <c r="CL306" t="str">
        <f>""</f>
        <v/>
      </c>
      <c r="CM306" t="str">
        <f>""</f>
        <v/>
      </c>
      <c r="CN306" t="str">
        <f>""</f>
        <v/>
      </c>
      <c r="CO306" t="str">
        <f>""</f>
        <v/>
      </c>
      <c r="CP306" t="str">
        <f>""</f>
        <v/>
      </c>
      <c r="CQ306" t="str">
        <f>""</f>
        <v/>
      </c>
      <c r="CR306" t="str">
        <f>""</f>
        <v/>
      </c>
      <c r="CS306" t="str">
        <f>""</f>
        <v/>
      </c>
      <c r="CT306" t="str">
        <f>""</f>
        <v/>
      </c>
      <c r="CU306" t="str">
        <f>""</f>
        <v/>
      </c>
      <c r="CV306" t="str">
        <f>""</f>
        <v/>
      </c>
      <c r="CW306" t="str">
        <f>""</f>
        <v/>
      </c>
      <c r="CX306" t="str">
        <f>""</f>
        <v/>
      </c>
      <c r="CY306" t="str">
        <f>""</f>
        <v/>
      </c>
      <c r="CZ306" t="str">
        <f>""</f>
        <v/>
      </c>
      <c r="DA306" t="str">
        <f>""</f>
        <v/>
      </c>
      <c r="DB306" t="str">
        <f>""</f>
        <v/>
      </c>
      <c r="DC306" t="str">
        <f>""</f>
        <v/>
      </c>
      <c r="DD306" t="str">
        <f>""</f>
        <v/>
      </c>
      <c r="DE306" t="str">
        <f>""</f>
        <v/>
      </c>
      <c r="DF306" t="str">
        <f>""</f>
        <v/>
      </c>
      <c r="DG306" t="str">
        <f>""</f>
        <v/>
      </c>
      <c r="DH306" t="str">
        <f>""</f>
        <v/>
      </c>
      <c r="DI306" t="str">
        <f>""</f>
        <v/>
      </c>
      <c r="DJ306" t="str">
        <f>""</f>
        <v/>
      </c>
      <c r="DK306" t="str">
        <f>""</f>
        <v/>
      </c>
      <c r="DL306" t="str">
        <f>""</f>
        <v/>
      </c>
      <c r="DM306" t="str">
        <f>""</f>
        <v/>
      </c>
      <c r="DN306" t="str">
        <f>""</f>
        <v/>
      </c>
      <c r="DO306" t="str">
        <f>""</f>
        <v/>
      </c>
      <c r="DP306" t="str">
        <f>""</f>
        <v/>
      </c>
      <c r="DQ306" t="str">
        <f>""</f>
        <v/>
      </c>
      <c r="DR306" t="str">
        <f>""</f>
        <v/>
      </c>
      <c r="DS306" t="str">
        <f>""</f>
        <v/>
      </c>
      <c r="DT306" t="str">
        <f>""</f>
        <v/>
      </c>
      <c r="DU306" t="str">
        <f>""</f>
        <v/>
      </c>
    </row>
    <row r="307" spans="1:125" x14ac:dyDescent="0.25">
      <c r="A307" t="str">
        <f>"    General Motors Co"</f>
        <v xml:space="preserve">    General Motors Co</v>
      </c>
      <c r="B307" t="str">
        <f>"GM US Equity"</f>
        <v>GM US Equity</v>
      </c>
      <c r="C307" t="str">
        <f t="shared" si="21"/>
        <v>RR179</v>
      </c>
      <c r="D307" t="str">
        <f t="shared" si="22"/>
        <v>TANGIBLE_COMMON_EQUITY</v>
      </c>
      <c r="E307" t="str">
        <f t="shared" si="23"/>
        <v>Dynamic</v>
      </c>
      <c r="F307" t="str">
        <f ca="1">IF(AND(ISNUMBER($F$809),$B$511=1),$F$809,HLOOKUP(INDIRECT(ADDRESS(2,COLUMN())),OFFSET($BN$2,0,0,ROW()-1,60),ROW()-1,FALSE))</f>
        <v/>
      </c>
      <c r="G307">
        <f ca="1">IF(AND(ISNUMBER($G$809),$B$511=1),$G$809,HLOOKUP(INDIRECT(ADDRESS(2,COLUMN())),OFFSET($BN$2,0,0,ROW()-1,60),ROW()-1,FALSE))</f>
        <v>33281</v>
      </c>
      <c r="H307">
        <f ca="1">IF(AND(ISNUMBER($H$809),$B$511=1),$H$809,HLOOKUP(INDIRECT(ADDRESS(2,COLUMN())),OFFSET($BN$2,0,0,ROW()-1,60),ROW()-1,FALSE))</f>
        <v>32410</v>
      </c>
      <c r="I307">
        <f ca="1">IF(AND(ISNUMBER($I$809),$B$511=1),$I$809,HLOOKUP(INDIRECT(ADDRESS(2,COLUMN())),OFFSET($BN$2,0,0,ROW()-1,60),ROW()-1,FALSE))</f>
        <v>30461</v>
      </c>
      <c r="J307">
        <f ca="1">IF(AND(ISNUMBER($J$809),$B$511=1),$J$809,HLOOKUP(INDIRECT(ADDRESS(2,COLUMN())),OFFSET($BN$2,0,0,ROW()-1,60),ROW()-1,FALSE))</f>
        <v>28508</v>
      </c>
      <c r="K307">
        <f ca="1">IF(AND(ISNUMBER($K$809),$B$511=1),$K$809,HLOOKUP(INDIRECT(ADDRESS(2,COLUMN())),OFFSET($BN$2,0,0,ROW()-1,60),ROW()-1,FALSE))</f>
        <v>29152</v>
      </c>
      <c r="L307">
        <f ca="1">IF(AND(ISNUMBER($L$809),$B$511=1),$L$809,HLOOKUP(INDIRECT(ADDRESS(2,COLUMN())),OFFSET($BN$2,0,0,ROW()-1,60),ROW()-1,FALSE))</f>
        <v>36389</v>
      </c>
      <c r="M307">
        <f ca="1">IF(AND(ISNUMBER($M$809),$B$511=1),$M$809,HLOOKUP(INDIRECT(ADDRESS(2,COLUMN())),OFFSET($BN$2,0,0,ROW()-1,60),ROW()-1,FALSE))</f>
        <v>39532</v>
      </c>
      <c r="N307">
        <f ca="1">IF(AND(ISNUMBER($N$809),$B$511=1),$N$809,HLOOKUP(INDIRECT(ADDRESS(2,COLUMN())),OFFSET($BN$2,0,0,ROW()-1,60),ROW()-1,FALSE))</f>
        <v>39779</v>
      </c>
      <c r="O307">
        <f ca="1">IF(AND(ISNUMBER($O$809),$B$511=1),$O$809,HLOOKUP(INDIRECT(ADDRESS(2,COLUMN())),OFFSET($BN$2,0,0,ROW()-1,60),ROW()-1,FALSE))</f>
        <v>37687</v>
      </c>
      <c r="P307">
        <f ca="1">IF(AND(ISNUMBER($P$809),$B$511=1),$P$809,HLOOKUP(INDIRECT(ADDRESS(2,COLUMN())),OFFSET($BN$2,0,0,ROW()-1,60),ROW()-1,FALSE))</f>
        <v>38366</v>
      </c>
      <c r="Q307">
        <f ca="1">IF(AND(ISNUMBER($Q$809),$B$511=1),$Q$809,HLOOKUP(INDIRECT(ADDRESS(2,COLUMN())),OFFSET($BN$2,0,0,ROW()-1,60),ROW()-1,FALSE))</f>
        <v>37197</v>
      </c>
      <c r="R307">
        <f ca="1">IF(AND(ISNUMBER($R$809),$B$511=1),$R$809,HLOOKUP(INDIRECT(ADDRESS(2,COLUMN())),OFFSET($BN$2,0,0,ROW()-1,60),ROW()-1,FALSE))</f>
        <v>35041</v>
      </c>
      <c r="S307">
        <f ca="1">IF(AND(ISNUMBER($S$809),$B$511=1),$S$809,HLOOKUP(INDIRECT(ADDRESS(2,COLUMN())),OFFSET($BN$2,0,0,ROW()-1,60),ROW()-1,FALSE))</f>
        <v>33924</v>
      </c>
      <c r="T307">
        <f ca="1">IF(AND(ISNUMBER($T$809),$B$511=1),$T$809,HLOOKUP(INDIRECT(ADDRESS(2,COLUMN())),OFFSET($BN$2,0,0,ROW()-1,60),ROW()-1,FALSE))</f>
        <v>28555</v>
      </c>
      <c r="U307">
        <f ca="1">IF(AND(ISNUMBER($U$809),$B$511=1),$U$809,HLOOKUP(INDIRECT(ADDRESS(2,COLUMN())),OFFSET($BN$2,0,0,ROW()-1,60),ROW()-1,FALSE))</f>
        <v>28965</v>
      </c>
      <c r="V307">
        <f ca="1">IF(AND(ISNUMBER($V$809),$B$511=1),$V$809,HLOOKUP(INDIRECT(ADDRESS(2,COLUMN())),OFFSET($BN$2,0,0,ROW()-1,60),ROW()-1,FALSE))</f>
        <v>30032</v>
      </c>
      <c r="W307">
        <f ca="1">IF(AND(ISNUMBER($W$809),$B$511=1),$W$809,HLOOKUP(INDIRECT(ADDRESS(2,COLUMN())),OFFSET($BN$2,0,0,ROW()-1,60),ROW()-1,FALSE))</f>
        <v>29047</v>
      </c>
      <c r="X307">
        <f ca="1">IF(AND(ISNUMBER($X$809),$B$511=1),$X$809,HLOOKUP(INDIRECT(ADDRESS(2,COLUMN())),OFFSET($BN$2,0,0,ROW()-1,60),ROW()-1,FALSE))</f>
        <v>33249</v>
      </c>
      <c r="Y307">
        <f ca="1">IF(AND(ISNUMBER($Y$809),$B$511=1),$Y$809,HLOOKUP(INDIRECT(ADDRESS(2,COLUMN())),OFFSET($BN$2,0,0,ROW()-1,60),ROW()-1,FALSE))</f>
        <v>32092</v>
      </c>
      <c r="Z307">
        <f ca="1">IF(AND(ISNUMBER($Z$809),$B$511=1),$Z$809,HLOOKUP(INDIRECT(ADDRESS(2,COLUMN())),OFFSET($BN$2,0,0,ROW()-1,60),ROW()-1,FALSE))</f>
        <v>32108</v>
      </c>
      <c r="AA307">
        <f ca="1">IF(AND(ISNUMBER($AA$809),$B$511=1),$AA$809,HLOOKUP(INDIRECT(ADDRESS(2,COLUMN())),OFFSET($BN$2,0,0,ROW()-1,60),ROW()-1,FALSE))</f>
        <v>32270</v>
      </c>
      <c r="AB307">
        <f ca="1">IF(AND(ISNUMBER($AB$809),$B$511=1),$AB$809,HLOOKUP(INDIRECT(ADDRESS(2,COLUMN())),OFFSET($BN$2,0,0,ROW()-1,60),ROW()-1,FALSE))</f>
        <v>20497</v>
      </c>
      <c r="AC307">
        <f ca="1">IF(AND(ISNUMBER($AC$809),$B$511=1),$AC$809,HLOOKUP(INDIRECT(ADDRESS(2,COLUMN())),OFFSET($BN$2,0,0,ROW()-1,60),ROW()-1,FALSE))</f>
        <v>19392</v>
      </c>
      <c r="AD307">
        <f ca="1">IF(AND(ISNUMBER($AD$809),$B$511=1),$AD$809,HLOOKUP(INDIRECT(ADDRESS(2,COLUMN())),OFFSET($BN$2,0,0,ROW()-1,60),ROW()-1,FALSE))</f>
        <v>18231</v>
      </c>
      <c r="AE307">
        <f ca="1">IF(AND(ISNUMBER($AE$809),$B$511=1),$AE$809,HLOOKUP(INDIRECT(ADDRESS(2,COLUMN())),OFFSET($BN$2,0,0,ROW()-1,60),ROW()-1,FALSE))</f>
        <v>17071</v>
      </c>
      <c r="AF307">
        <f ca="1">IF(AND(ISNUMBER($AF$809),$B$511=1),$AF$809,HLOOKUP(INDIRECT(ADDRESS(2,COLUMN())),OFFSET($BN$2,0,0,ROW()-1,60),ROW()-1,FALSE))</f>
        <v>-6044</v>
      </c>
      <c r="AG307">
        <f ca="1">IF(AND(ISNUMBER($AG$809),$B$511=1),$AG$809,HLOOKUP(INDIRECT(ADDRESS(2,COLUMN())),OFFSET($BN$2,0,0,ROW()-1,60),ROW()-1,FALSE))</f>
        <v>-7288</v>
      </c>
      <c r="AH307">
        <f ca="1">IF(AND(ISNUMBER($AH$809),$B$511=1),$AH$809,HLOOKUP(INDIRECT(ADDRESS(2,COLUMN())),OFFSET($BN$2,0,0,ROW()-1,60),ROW()-1,FALSE))</f>
        <v>-9255</v>
      </c>
      <c r="AI307">
        <f ca="1">IF(AND(ISNUMBER($AI$809),$B$511=1),$AI$809,HLOOKUP(INDIRECT(ADDRESS(2,COLUMN())),OFFSET($BN$2,0,0,ROW()-1,60),ROW()-1,FALSE))</f>
        <v>-11304</v>
      </c>
      <c r="AJ307">
        <f ca="1">IF(AND(ISNUMBER($AJ$809),$B$511=1),$AJ$809,HLOOKUP(INDIRECT(ADDRESS(2,COLUMN())),OFFSET($BN$2,0,0,ROW()-1,60),ROW()-1,FALSE))</f>
        <v>-6028</v>
      </c>
      <c r="AK307">
        <f ca="1">IF(AND(ISNUMBER($AK$809),$B$511=1),$AK$809,HLOOKUP(INDIRECT(ADDRESS(2,COLUMN())),OFFSET($BN$2,0,0,ROW()-1,60),ROW()-1,FALSE))</f>
        <v>-10402</v>
      </c>
      <c r="AL307">
        <f ca="1">IF(AND(ISNUMBER($AL$809),$B$511=1),$AL$809,HLOOKUP(INDIRECT(ADDRESS(2,COLUMN())),OFFSET($BN$2,0,0,ROW()-1,60),ROW()-1,FALSE))</f>
        <v>-13698</v>
      </c>
      <c r="AM307">
        <f ca="1">IF(AND(ISNUMBER($AM$809),$B$511=1),$AM$809,HLOOKUP(INDIRECT(ADDRESS(2,COLUMN())),OFFSET($BN$2,0,0,ROW()-1,60),ROW()-1,FALSE))</f>
        <v>-17871</v>
      </c>
      <c r="AN307">
        <f ca="1">IF(AND(ISNUMBER($AN$809),$B$511=1),$AN$809,HLOOKUP(INDIRECT(ADDRESS(2,COLUMN())),OFFSET($BN$2,0,0,ROW()-1,60),ROW()-1,FALSE))</f>
        <v>-20263</v>
      </c>
      <c r="AO307">
        <f ca="1">IF(AND(ISNUMBER($AO$809),$B$511=1),$AO$809,HLOOKUP(INDIRECT(ADDRESS(2,COLUMN())),OFFSET($BN$2,0,0,ROW()-1,60),ROW()-1,FALSE))</f>
        <v>-19991</v>
      </c>
      <c r="AP307">
        <f ca="1">IF(AND(ISNUMBER($AP$809),$B$511=1),$AP$809,HLOOKUP(INDIRECT(ADDRESS(2,COLUMN())),OFFSET($BN$2,0,0,ROW()-1,60),ROW()-1,FALSE))</f>
        <v>-21938</v>
      </c>
      <c r="AQ307">
        <f ca="1">IF(AND(ISNUMBER($AQ$809),$B$511=1),$AQ$809,HLOOKUP(INDIRECT(ADDRESS(2,COLUMN())),OFFSET($BN$2,0,0,ROW()-1,60),ROW()-1,FALSE))</f>
        <v>-23970</v>
      </c>
      <c r="AR307">
        <f ca="1">IF(AND(ISNUMBER($AR$809),$B$511=1),$AR$809,HLOOKUP(INDIRECT(ADDRESS(2,COLUMN())),OFFSET($BN$2,0,0,ROW()-1,60),ROW()-1,FALSE))</f>
        <v>-27449</v>
      </c>
      <c r="AS307" t="str">
        <f ca="1">IF(AND(ISNUMBER($AS$809),$B$511=1),$AS$809,HLOOKUP(INDIRECT(ADDRESS(2,COLUMN())),OFFSET($BN$2,0,0,ROW()-1,60),ROW()-1,FALSE))</f>
        <v/>
      </c>
      <c r="AT307" t="str">
        <f ca="1">IF(AND(ISNUMBER($AT$809),$B$511=1),$AT$809,HLOOKUP(INDIRECT(ADDRESS(2,COLUMN())),OFFSET($BN$2,0,0,ROW()-1,60),ROW()-1,FALSE))</f>
        <v/>
      </c>
      <c r="AU307" t="str">
        <f ca="1">IF(AND(ISNUMBER($AU$809),$B$511=1),$AU$809,HLOOKUP(INDIRECT(ADDRESS(2,COLUMN())),OFFSET($BN$2,0,0,ROW()-1,60),ROW()-1,FALSE))</f>
        <v/>
      </c>
      <c r="AV307" t="str">
        <f ca="1">IF(AND(ISNUMBER($AV$809),$B$511=1),$AV$809,HLOOKUP(INDIRECT(ADDRESS(2,COLUMN())),OFFSET($BN$2,0,0,ROW()-1,60),ROW()-1,FALSE))</f>
        <v/>
      </c>
      <c r="AW307" t="str">
        <f ca="1">IF(AND(ISNUMBER($AW$809),$B$511=1),$AW$809,HLOOKUP(INDIRECT(ADDRESS(2,COLUMN())),OFFSET($BN$2,0,0,ROW()-1,60),ROW()-1,FALSE))</f>
        <v/>
      </c>
      <c r="AX307" t="str">
        <f ca="1">IF(AND(ISNUMBER($AX$809),$B$511=1),$AX$809,HLOOKUP(INDIRECT(ADDRESS(2,COLUMN())),OFFSET($BN$2,0,0,ROW()-1,60),ROW()-1,FALSE))</f>
        <v/>
      </c>
      <c r="AY307" t="str">
        <f ca="1">IF(AND(ISNUMBER($AY$809),$B$511=1),$AY$809,HLOOKUP(INDIRECT(ADDRESS(2,COLUMN())),OFFSET($BN$2,0,0,ROW()-1,60),ROW()-1,FALSE))</f>
        <v/>
      </c>
      <c r="AZ307" t="str">
        <f ca="1">IF(AND(ISNUMBER($AZ$809),$B$511=1),$AZ$809,HLOOKUP(INDIRECT(ADDRESS(2,COLUMN())),OFFSET($BN$2,0,0,ROW()-1,60),ROW()-1,FALSE))</f>
        <v/>
      </c>
      <c r="BA307" t="str">
        <f ca="1">IF(AND(ISNUMBER($BA$809),$B$511=1),$BA$809,HLOOKUP(INDIRECT(ADDRESS(2,COLUMN())),OFFSET($BN$2,0,0,ROW()-1,60),ROW()-1,FALSE))</f>
        <v/>
      </c>
      <c r="BB307" t="str">
        <f ca="1">IF(AND(ISNUMBER($BB$809),$B$511=1),$BB$809,HLOOKUP(INDIRECT(ADDRESS(2,COLUMN())),OFFSET($BN$2,0,0,ROW()-1,60),ROW()-1,FALSE))</f>
        <v/>
      </c>
      <c r="BC307" t="str">
        <f ca="1">IF(AND(ISNUMBER($BC$809),$B$511=1),$BC$809,HLOOKUP(INDIRECT(ADDRESS(2,COLUMN())),OFFSET($BN$2,0,0,ROW()-1,60),ROW()-1,FALSE))</f>
        <v/>
      </c>
      <c r="BD307" t="str">
        <f ca="1">IF(AND(ISNUMBER($BD$809),$B$511=1),$BD$809,HLOOKUP(INDIRECT(ADDRESS(2,COLUMN())),OFFSET($BN$2,0,0,ROW()-1,60),ROW()-1,FALSE))</f>
        <v/>
      </c>
      <c r="BE307" t="str">
        <f ca="1">IF(AND(ISNUMBER($BE$809),$B$511=1),$BE$809,HLOOKUP(INDIRECT(ADDRESS(2,COLUMN())),OFFSET($BN$2,0,0,ROW()-1,60),ROW()-1,FALSE))</f>
        <v/>
      </c>
      <c r="BF307" t="str">
        <f ca="1">IF(AND(ISNUMBER($BF$809),$B$511=1),$BF$809,HLOOKUP(INDIRECT(ADDRESS(2,COLUMN())),OFFSET($BN$2,0,0,ROW()-1,60),ROW()-1,FALSE))</f>
        <v/>
      </c>
      <c r="BG307" t="str">
        <f ca="1">IF(AND(ISNUMBER($BG$809),$B$511=1),$BG$809,HLOOKUP(INDIRECT(ADDRESS(2,COLUMN())),OFFSET($BN$2,0,0,ROW()-1,60),ROW()-1,FALSE))</f>
        <v/>
      </c>
      <c r="BH307" t="str">
        <f ca="1">IF(AND(ISNUMBER($BH$809),$B$511=1),$BH$809,HLOOKUP(INDIRECT(ADDRESS(2,COLUMN())),OFFSET($BN$2,0,0,ROW()-1,60),ROW()-1,FALSE))</f>
        <v/>
      </c>
      <c r="BI307" t="str">
        <f ca="1">IF(AND(ISNUMBER($BI$809),$B$511=1),$BI$809,HLOOKUP(INDIRECT(ADDRESS(2,COLUMN())),OFFSET($BN$2,0,0,ROW()-1,60),ROW()-1,FALSE))</f>
        <v/>
      </c>
      <c r="BJ307" t="str">
        <f ca="1">IF(AND(ISNUMBER($BJ$809),$B$511=1),$BJ$809,HLOOKUP(INDIRECT(ADDRESS(2,COLUMN())),OFFSET($BN$2,0,0,ROW()-1,60),ROW()-1,FALSE))</f>
        <v/>
      </c>
      <c r="BK307" t="str">
        <f ca="1">IF(AND(ISNUMBER($BK$809),$B$511=1),$BK$809,HLOOKUP(INDIRECT(ADDRESS(2,COLUMN())),OFFSET($BN$2,0,0,ROW()-1,60),ROW()-1,FALSE))</f>
        <v/>
      </c>
      <c r="BL307" t="str">
        <f ca="1">IF(AND(ISNUMBER($BL$809),$B$511=1),$BL$809,HLOOKUP(INDIRECT(ADDRESS(2,COLUMN())),OFFSET($BN$2,0,0,ROW()-1,60),ROW()-1,FALSE))</f>
        <v/>
      </c>
      <c r="BM307" t="str">
        <f ca="1">IF(AND(ISNUMBER($BM$809),$B$511=1),$BM$809,HLOOKUP(INDIRECT(ADDRESS(2,COLUMN())),OFFSET($BN$2,0,0,ROW()-1,60),ROW()-1,FALSE))</f>
        <v/>
      </c>
      <c r="BN307" t="str">
        <f>""</f>
        <v/>
      </c>
      <c r="BO307">
        <f>33281</f>
        <v>33281</v>
      </c>
      <c r="BP307">
        <f>32410</f>
        <v>32410</v>
      </c>
      <c r="BQ307">
        <f>30461</f>
        <v>30461</v>
      </c>
      <c r="BR307">
        <f>28508</f>
        <v>28508</v>
      </c>
      <c r="BS307">
        <f>29152</f>
        <v>29152</v>
      </c>
      <c r="BT307">
        <f>36389</f>
        <v>36389</v>
      </c>
      <c r="BU307">
        <f>39532</f>
        <v>39532</v>
      </c>
      <c r="BV307">
        <f>39779</f>
        <v>39779</v>
      </c>
      <c r="BW307">
        <f>37687</f>
        <v>37687</v>
      </c>
      <c r="BX307">
        <f>38366</f>
        <v>38366</v>
      </c>
      <c r="BY307">
        <f>37197</f>
        <v>37197</v>
      </c>
      <c r="BZ307">
        <f>35041</f>
        <v>35041</v>
      </c>
      <c r="CA307">
        <f>33924</f>
        <v>33924</v>
      </c>
      <c r="CB307">
        <f>28555</f>
        <v>28555</v>
      </c>
      <c r="CC307">
        <f>28965</f>
        <v>28965</v>
      </c>
      <c r="CD307">
        <f>30032</f>
        <v>30032</v>
      </c>
      <c r="CE307">
        <f>29047</f>
        <v>29047</v>
      </c>
      <c r="CF307">
        <f>33249</f>
        <v>33249</v>
      </c>
      <c r="CG307">
        <f>32092</f>
        <v>32092</v>
      </c>
      <c r="CH307">
        <f>32108</f>
        <v>32108</v>
      </c>
      <c r="CI307">
        <f>32270</f>
        <v>32270</v>
      </c>
      <c r="CJ307">
        <f>20497</f>
        <v>20497</v>
      </c>
      <c r="CK307">
        <f>19392</f>
        <v>19392</v>
      </c>
      <c r="CL307">
        <f>18231</f>
        <v>18231</v>
      </c>
      <c r="CM307">
        <f>17071</f>
        <v>17071</v>
      </c>
      <c r="CN307">
        <f>-6044</f>
        <v>-6044</v>
      </c>
      <c r="CO307">
        <f>-7288</f>
        <v>-7288</v>
      </c>
      <c r="CP307">
        <f>-9255</f>
        <v>-9255</v>
      </c>
      <c r="CQ307">
        <f>-11304</f>
        <v>-11304</v>
      </c>
      <c r="CR307">
        <f>-6028</f>
        <v>-6028</v>
      </c>
      <c r="CS307">
        <f>-10402</f>
        <v>-10402</v>
      </c>
      <c r="CT307">
        <f>-13698</f>
        <v>-13698</v>
      </c>
      <c r="CU307">
        <f>-17871</f>
        <v>-17871</v>
      </c>
      <c r="CV307">
        <f>-20263</f>
        <v>-20263</v>
      </c>
      <c r="CW307">
        <f>-19991</f>
        <v>-19991</v>
      </c>
      <c r="CX307">
        <f>-21938</f>
        <v>-21938</v>
      </c>
      <c r="CY307">
        <f>-23970</f>
        <v>-23970</v>
      </c>
      <c r="CZ307">
        <f>-27449</f>
        <v>-27449</v>
      </c>
      <c r="DA307" t="str">
        <f>""</f>
        <v/>
      </c>
      <c r="DB307" t="str">
        <f>""</f>
        <v/>
      </c>
      <c r="DC307" t="str">
        <f>""</f>
        <v/>
      </c>
      <c r="DD307" t="str">
        <f>""</f>
        <v/>
      </c>
      <c r="DE307" t="str">
        <f>""</f>
        <v/>
      </c>
      <c r="DF307" t="str">
        <f>""</f>
        <v/>
      </c>
      <c r="DG307" t="str">
        <f>""</f>
        <v/>
      </c>
      <c r="DH307" t="str">
        <f>""</f>
        <v/>
      </c>
      <c r="DI307" t="str">
        <f>""</f>
        <v/>
      </c>
      <c r="DJ307" t="str">
        <f>""</f>
        <v/>
      </c>
      <c r="DK307" t="str">
        <f>""</f>
        <v/>
      </c>
      <c r="DL307" t="str">
        <f>""</f>
        <v/>
      </c>
      <c r="DM307" t="str">
        <f>""</f>
        <v/>
      </c>
      <c r="DN307" t="str">
        <f>""</f>
        <v/>
      </c>
      <c r="DO307" t="str">
        <f>""</f>
        <v/>
      </c>
      <c r="DP307" t="str">
        <f>""</f>
        <v/>
      </c>
      <c r="DQ307" t="str">
        <f>""</f>
        <v/>
      </c>
      <c r="DR307" t="str">
        <f>""</f>
        <v/>
      </c>
      <c r="DS307" t="str">
        <f>""</f>
        <v/>
      </c>
      <c r="DT307" t="str">
        <f>""</f>
        <v/>
      </c>
      <c r="DU307" t="str">
        <f>""</f>
        <v/>
      </c>
    </row>
    <row r="308" spans="1:125" x14ac:dyDescent="0.25">
      <c r="A308" t="str">
        <f>"    Great Wall Motor Co Ltd"</f>
        <v xml:space="preserve">    Great Wall Motor Co Ltd</v>
      </c>
      <c r="B308" t="str">
        <f>"2333 HK Equity"</f>
        <v>2333 HK Equity</v>
      </c>
      <c r="C308" t="str">
        <f t="shared" si="21"/>
        <v>RR179</v>
      </c>
      <c r="D308" t="str">
        <f t="shared" si="22"/>
        <v>TANGIBLE_COMMON_EQUITY</v>
      </c>
      <c r="E308" t="str">
        <f t="shared" si="23"/>
        <v>Dynamic</v>
      </c>
      <c r="F308" t="str">
        <f ca="1">IF(AND(ISNUMBER($F$810),$B$511=1),$F$810,HLOOKUP(INDIRECT(ADDRESS(2,COLUMN())),OFFSET($BN$2,0,0,ROW()-1,60),ROW()-1,FALSE))</f>
        <v/>
      </c>
      <c r="G308" t="str">
        <f ca="1">IF(AND(ISNUMBER($G$810),$B$511=1),$G$810,HLOOKUP(INDIRECT(ADDRESS(2,COLUMN())),OFFSET($BN$2,0,0,ROW()-1,60),ROW()-1,FALSE))</f>
        <v/>
      </c>
      <c r="H308">
        <f ca="1">IF(AND(ISNUMBER($H$810),$B$511=1),$H$810,HLOOKUP(INDIRECT(ADDRESS(2,COLUMN())),OFFSET($BN$2,0,0,ROW()-1,60),ROW()-1,FALSE))</f>
        <v>6834.9002099999998</v>
      </c>
      <c r="I308">
        <f ca="1">IF(AND(ISNUMBER($I$810),$B$511=1),$I$810,HLOOKUP(INDIRECT(ADDRESS(2,COLUMN())),OFFSET($BN$2,0,0,ROW()-1,60),ROW()-1,FALSE))</f>
        <v>7582.0878210000001</v>
      </c>
      <c r="J308">
        <f ca="1">IF(AND(ISNUMBER($J$810),$B$511=1),$J$810,HLOOKUP(INDIRECT(ADDRESS(2,COLUMN())),OFFSET($BN$2,0,0,ROW()-1,60),ROW()-1,FALSE))</f>
        <v>7555.6011319999998</v>
      </c>
      <c r="K308">
        <f ca="1">IF(AND(ISNUMBER($K$810),$B$511=1),$K$810,HLOOKUP(INDIRECT(ADDRESS(2,COLUMN())),OFFSET($BN$2,0,0,ROW()-1,60),ROW()-1,FALSE))</f>
        <v>7518.6760050000003</v>
      </c>
      <c r="L308">
        <f ca="1">IF(AND(ISNUMBER($L$810),$B$511=1),$L$810,HLOOKUP(INDIRECT(ADDRESS(2,COLUMN())),OFFSET($BN$2,0,0,ROW()-1,60),ROW()-1,FALSE))</f>
        <v>6592.479765</v>
      </c>
      <c r="M308">
        <f ca="1">IF(AND(ISNUMBER($M$810),$B$511=1),$M$810,HLOOKUP(INDIRECT(ADDRESS(2,COLUMN())),OFFSET($BN$2,0,0,ROW()-1,60),ROW()-1,FALSE))</f>
        <v>6845.423992</v>
      </c>
      <c r="N308">
        <f ca="1">IF(AND(ISNUMBER($N$810),$B$511=1),$N$810,HLOOKUP(INDIRECT(ADDRESS(2,COLUMN())),OFFSET($BN$2,0,0,ROW()-1,60),ROW()-1,FALSE))</f>
        <v>6699.120962</v>
      </c>
      <c r="O308">
        <f ca="1">IF(AND(ISNUMBER($O$810),$B$511=1),$O$810,HLOOKUP(INDIRECT(ADDRESS(2,COLUMN())),OFFSET($BN$2,0,0,ROW()-1,60),ROW()-1,FALSE))</f>
        <v>6793.3520120000003</v>
      </c>
      <c r="P308">
        <f ca="1">IF(AND(ISNUMBER($P$810),$B$511=1),$P$810,HLOOKUP(INDIRECT(ADDRESS(2,COLUMN())),OFFSET($BN$2,0,0,ROW()-1,60),ROW()-1,FALSE))</f>
        <v>6102.2956910000003</v>
      </c>
      <c r="Q308">
        <f ca="1">IF(AND(ISNUMBER($Q$810),$B$511=1),$Q$810,HLOOKUP(INDIRECT(ADDRESS(2,COLUMN())),OFFSET($BN$2,0,0,ROW()-1,60),ROW()-1,FALSE))</f>
        <v>6228.3387439999997</v>
      </c>
      <c r="R308">
        <f ca="1">IF(AND(ISNUMBER($R$810),$B$511=1),$R$810,HLOOKUP(INDIRECT(ADDRESS(2,COLUMN())),OFFSET($BN$2,0,0,ROW()-1,60),ROW()-1,FALSE))</f>
        <v>5832.2302520000003</v>
      </c>
      <c r="S308">
        <f ca="1">IF(AND(ISNUMBER($S$810),$B$511=1),$S$810,HLOOKUP(INDIRECT(ADDRESS(2,COLUMN())),OFFSET($BN$2,0,0,ROW()-1,60),ROW()-1,FALSE))</f>
        <v>5894.7213190000002</v>
      </c>
      <c r="T308">
        <f ca="1">IF(AND(ISNUMBER($T$810),$B$511=1),$T$810,HLOOKUP(INDIRECT(ADDRESS(2,COLUMN())),OFFSET($BN$2,0,0,ROW()-1,60),ROW()-1,FALSE))</f>
        <v>4768.1222319999997</v>
      </c>
      <c r="U308">
        <f ca="1">IF(AND(ISNUMBER($U$810),$B$511=1),$U$810,HLOOKUP(INDIRECT(ADDRESS(2,COLUMN())),OFFSET($BN$2,0,0,ROW()-1,60),ROW()-1,FALSE))</f>
        <v>5752.2950289999999</v>
      </c>
      <c r="V308">
        <f ca="1">IF(AND(ISNUMBER($V$810),$B$511=1),$V$810,HLOOKUP(INDIRECT(ADDRESS(2,COLUMN())),OFFSET($BN$2,0,0,ROW()-1,60),ROW()-1,FALSE))</f>
        <v>5350.7455739999996</v>
      </c>
      <c r="W308">
        <f ca="1">IF(AND(ISNUMBER($W$810),$B$511=1),$W$810,HLOOKUP(INDIRECT(ADDRESS(2,COLUMN())),OFFSET($BN$2,0,0,ROW()-1,60),ROW()-1,FALSE))</f>
        <v>5376.3241559999997</v>
      </c>
      <c r="X308">
        <f ca="1">IF(AND(ISNUMBER($X$810),$B$511=1),$X$810,HLOOKUP(INDIRECT(ADDRESS(2,COLUMN())),OFFSET($BN$2,0,0,ROW()-1,60),ROW()-1,FALSE))</f>
        <v>4658.2068879999997</v>
      </c>
      <c r="Y308">
        <f ca="1">IF(AND(ISNUMBER($Y$810),$B$511=1),$Y$810,HLOOKUP(INDIRECT(ADDRESS(2,COLUMN())),OFFSET($BN$2,0,0,ROW()-1,60),ROW()-1,FALSE))</f>
        <v>4737.7791630000002</v>
      </c>
      <c r="Z308">
        <f ca="1">IF(AND(ISNUMBER($Z$810),$B$511=1),$Z$810,HLOOKUP(INDIRECT(ADDRESS(2,COLUMN())),OFFSET($BN$2,0,0,ROW()-1,60),ROW()-1,FALSE))</f>
        <v>4431.8650690000004</v>
      </c>
      <c r="AA308">
        <f ca="1">IF(AND(ISNUMBER($AA$810),$B$511=1),$AA$810,HLOOKUP(INDIRECT(ADDRESS(2,COLUMN())),OFFSET($BN$2,0,0,ROW()-1,60),ROW()-1,FALSE))</f>
        <v>4616.6708470000003</v>
      </c>
      <c r="AB308">
        <f ca="1">IF(AND(ISNUMBER($AB$810),$B$511=1),$AB$810,HLOOKUP(INDIRECT(ADDRESS(2,COLUMN())),OFFSET($BN$2,0,0,ROW()-1,60),ROW()-1,FALSE))</f>
        <v>3840.382537</v>
      </c>
      <c r="AC308">
        <f ca="1">IF(AND(ISNUMBER($AC$810),$B$511=1),$AC$810,HLOOKUP(INDIRECT(ADDRESS(2,COLUMN())),OFFSET($BN$2,0,0,ROW()-1,60),ROW()-1,FALSE))</f>
        <v>3882.2807929999999</v>
      </c>
      <c r="AD308">
        <f ca="1">IF(AND(ISNUMBER($AD$810),$B$511=1),$AD$810,HLOOKUP(INDIRECT(ADDRESS(2,COLUMN())),OFFSET($BN$2,0,0,ROW()-1,60),ROW()-1,FALSE))</f>
        <v>3411.3294139999998</v>
      </c>
      <c r="AE308">
        <f ca="1">IF(AND(ISNUMBER($AE$810),$B$511=1),$AE$810,HLOOKUP(INDIRECT(ADDRESS(2,COLUMN())),OFFSET($BN$2,0,0,ROW()-1,60),ROW()-1,FALSE))</f>
        <v>3445.8508280000001</v>
      </c>
      <c r="AF308">
        <f ca="1">IF(AND(ISNUMBER($AF$810),$B$511=1),$AF$810,HLOOKUP(INDIRECT(ADDRESS(2,COLUMN())),OFFSET($BN$2,0,0,ROW()-1,60),ROW()-1,FALSE))</f>
        <v>2754.473125</v>
      </c>
      <c r="AG308">
        <f ca="1">IF(AND(ISNUMBER($AG$810),$B$511=1),$AG$810,HLOOKUP(INDIRECT(ADDRESS(2,COLUMN())),OFFSET($BN$2,0,0,ROW()-1,60),ROW()-1,FALSE))</f>
        <v>2855.6549530000002</v>
      </c>
      <c r="AH308">
        <f ca="1">IF(AND(ISNUMBER($AH$810),$B$511=1),$AH$810,HLOOKUP(INDIRECT(ADDRESS(2,COLUMN())),OFFSET($BN$2,0,0,ROW()-1,60),ROW()-1,FALSE))</f>
        <v>2533.9159079999999</v>
      </c>
      <c r="AI308" t="str">
        <f ca="1">IF(AND(ISNUMBER($AI$810),$B$511=1),$AI$810,HLOOKUP(INDIRECT(ADDRESS(2,COLUMN())),OFFSET($BN$2,0,0,ROW()-1,60),ROW()-1,FALSE))</f>
        <v/>
      </c>
      <c r="AJ308">
        <f ca="1">IF(AND(ISNUMBER($AJ$810),$B$511=1),$AJ$810,HLOOKUP(INDIRECT(ADDRESS(2,COLUMN())),OFFSET($BN$2,0,0,ROW()-1,60),ROW()-1,FALSE))</f>
        <v>2243.704174</v>
      </c>
      <c r="AK308" t="str">
        <f ca="1">IF(AND(ISNUMBER($AK$810),$B$511=1),$AK$810,HLOOKUP(INDIRECT(ADDRESS(2,COLUMN())),OFFSET($BN$2,0,0,ROW()-1,60),ROW()-1,FALSE))</f>
        <v/>
      </c>
      <c r="AL308">
        <f ca="1">IF(AND(ISNUMBER($AL$810),$B$511=1),$AL$810,HLOOKUP(INDIRECT(ADDRESS(2,COLUMN())),OFFSET($BN$2,0,0,ROW()-1,60),ROW()-1,FALSE))</f>
        <v>1480.4639979999999</v>
      </c>
      <c r="AM308" t="str">
        <f ca="1">IF(AND(ISNUMBER($AM$810),$B$511=1),$AM$810,HLOOKUP(INDIRECT(ADDRESS(2,COLUMN())),OFFSET($BN$2,0,0,ROW()-1,60),ROW()-1,FALSE))</f>
        <v/>
      </c>
      <c r="AN308" t="str">
        <f ca="1">IF(AND(ISNUMBER($AN$810),$B$511=1),$AN$810,HLOOKUP(INDIRECT(ADDRESS(2,COLUMN())),OFFSET($BN$2,0,0,ROW()-1,60),ROW()-1,FALSE))</f>
        <v/>
      </c>
      <c r="AO308" t="str">
        <f ca="1">IF(AND(ISNUMBER($AO$810),$B$511=1),$AO$810,HLOOKUP(INDIRECT(ADDRESS(2,COLUMN())),OFFSET($BN$2,0,0,ROW()-1,60),ROW()-1,FALSE))</f>
        <v/>
      </c>
      <c r="AP308" t="str">
        <f ca="1">IF(AND(ISNUMBER($AP$810),$B$511=1),$AP$810,HLOOKUP(INDIRECT(ADDRESS(2,COLUMN())),OFFSET($BN$2,0,0,ROW()-1,60),ROW()-1,FALSE))</f>
        <v/>
      </c>
      <c r="AQ308" t="str">
        <f ca="1">IF(AND(ISNUMBER($AQ$810),$B$511=1),$AQ$810,HLOOKUP(INDIRECT(ADDRESS(2,COLUMN())),OFFSET($BN$2,0,0,ROW()-1,60),ROW()-1,FALSE))</f>
        <v/>
      </c>
      <c r="AR308" t="str">
        <f ca="1">IF(AND(ISNUMBER($AR$810),$B$511=1),$AR$810,HLOOKUP(INDIRECT(ADDRESS(2,COLUMN())),OFFSET($BN$2,0,0,ROW()-1,60),ROW()-1,FALSE))</f>
        <v/>
      </c>
      <c r="AS308" t="str">
        <f ca="1">IF(AND(ISNUMBER($AS$810),$B$511=1),$AS$810,HLOOKUP(INDIRECT(ADDRESS(2,COLUMN())),OFFSET($BN$2,0,0,ROW()-1,60),ROW()-1,FALSE))</f>
        <v/>
      </c>
      <c r="AT308" t="str">
        <f ca="1">IF(AND(ISNUMBER($AT$810),$B$511=1),$AT$810,HLOOKUP(INDIRECT(ADDRESS(2,COLUMN())),OFFSET($BN$2,0,0,ROW()-1,60),ROW()-1,FALSE))</f>
        <v/>
      </c>
      <c r="AU308" t="str">
        <f ca="1">IF(AND(ISNUMBER($AU$810),$B$511=1),$AU$810,HLOOKUP(INDIRECT(ADDRESS(2,COLUMN())),OFFSET($BN$2,0,0,ROW()-1,60),ROW()-1,FALSE))</f>
        <v/>
      </c>
      <c r="AV308" t="str">
        <f ca="1">IF(AND(ISNUMBER($AV$810),$B$511=1),$AV$810,HLOOKUP(INDIRECT(ADDRESS(2,COLUMN())),OFFSET($BN$2,0,0,ROW()-1,60),ROW()-1,FALSE))</f>
        <v/>
      </c>
      <c r="AW308" t="str">
        <f ca="1">IF(AND(ISNUMBER($AW$810),$B$511=1),$AW$810,HLOOKUP(INDIRECT(ADDRESS(2,COLUMN())),OFFSET($BN$2,0,0,ROW()-1,60),ROW()-1,FALSE))</f>
        <v/>
      </c>
      <c r="AX308" t="str">
        <f ca="1">IF(AND(ISNUMBER($AX$810),$B$511=1),$AX$810,HLOOKUP(INDIRECT(ADDRESS(2,COLUMN())),OFFSET($BN$2,0,0,ROW()-1,60),ROW()-1,FALSE))</f>
        <v/>
      </c>
      <c r="AY308" t="str">
        <f ca="1">IF(AND(ISNUMBER($AY$810),$B$511=1),$AY$810,HLOOKUP(INDIRECT(ADDRESS(2,COLUMN())),OFFSET($BN$2,0,0,ROW()-1,60),ROW()-1,FALSE))</f>
        <v/>
      </c>
      <c r="AZ308" t="str">
        <f ca="1">IF(AND(ISNUMBER($AZ$810),$B$511=1),$AZ$810,HLOOKUP(INDIRECT(ADDRESS(2,COLUMN())),OFFSET($BN$2,0,0,ROW()-1,60),ROW()-1,FALSE))</f>
        <v/>
      </c>
      <c r="BA308" t="str">
        <f ca="1">IF(AND(ISNUMBER($BA$810),$B$511=1),$BA$810,HLOOKUP(INDIRECT(ADDRESS(2,COLUMN())),OFFSET($BN$2,0,0,ROW()-1,60),ROW()-1,FALSE))</f>
        <v/>
      </c>
      <c r="BB308" t="str">
        <f ca="1">IF(AND(ISNUMBER($BB$810),$B$511=1),$BB$810,HLOOKUP(INDIRECT(ADDRESS(2,COLUMN())),OFFSET($BN$2,0,0,ROW()-1,60),ROW()-1,FALSE))</f>
        <v/>
      </c>
      <c r="BC308" t="str">
        <f ca="1">IF(AND(ISNUMBER($BC$810),$B$511=1),$BC$810,HLOOKUP(INDIRECT(ADDRESS(2,COLUMN())),OFFSET($BN$2,0,0,ROW()-1,60),ROW()-1,FALSE))</f>
        <v/>
      </c>
      <c r="BD308" t="str">
        <f ca="1">IF(AND(ISNUMBER($BD$810),$B$511=1),$BD$810,HLOOKUP(INDIRECT(ADDRESS(2,COLUMN())),OFFSET($BN$2,0,0,ROW()-1,60),ROW()-1,FALSE))</f>
        <v/>
      </c>
      <c r="BE308" t="str">
        <f ca="1">IF(AND(ISNUMBER($BE$810),$B$511=1),$BE$810,HLOOKUP(INDIRECT(ADDRESS(2,COLUMN())),OFFSET($BN$2,0,0,ROW()-1,60),ROW()-1,FALSE))</f>
        <v/>
      </c>
      <c r="BF308" t="str">
        <f ca="1">IF(AND(ISNUMBER($BF$810),$B$511=1),$BF$810,HLOOKUP(INDIRECT(ADDRESS(2,COLUMN())),OFFSET($BN$2,0,0,ROW()-1,60),ROW()-1,FALSE))</f>
        <v/>
      </c>
      <c r="BG308" t="str">
        <f ca="1">IF(AND(ISNUMBER($BG$810),$B$511=1),$BG$810,HLOOKUP(INDIRECT(ADDRESS(2,COLUMN())),OFFSET($BN$2,0,0,ROW()-1,60),ROW()-1,FALSE))</f>
        <v/>
      </c>
      <c r="BH308" t="str">
        <f ca="1">IF(AND(ISNUMBER($BH$810),$B$511=1),$BH$810,HLOOKUP(INDIRECT(ADDRESS(2,COLUMN())),OFFSET($BN$2,0,0,ROW()-1,60),ROW()-1,FALSE))</f>
        <v/>
      </c>
      <c r="BI308" t="str">
        <f ca="1">IF(AND(ISNUMBER($BI$810),$B$511=1),$BI$810,HLOOKUP(INDIRECT(ADDRESS(2,COLUMN())),OFFSET($BN$2,0,0,ROW()-1,60),ROW()-1,FALSE))</f>
        <v/>
      </c>
      <c r="BJ308" t="str">
        <f ca="1">IF(AND(ISNUMBER($BJ$810),$B$511=1),$BJ$810,HLOOKUP(INDIRECT(ADDRESS(2,COLUMN())),OFFSET($BN$2,0,0,ROW()-1,60),ROW()-1,FALSE))</f>
        <v/>
      </c>
      <c r="BK308" t="str">
        <f ca="1">IF(AND(ISNUMBER($BK$810),$B$511=1),$BK$810,HLOOKUP(INDIRECT(ADDRESS(2,COLUMN())),OFFSET($BN$2,0,0,ROW()-1,60),ROW()-1,FALSE))</f>
        <v/>
      </c>
      <c r="BL308" t="str">
        <f ca="1">IF(AND(ISNUMBER($BL$810),$B$511=1),$BL$810,HLOOKUP(INDIRECT(ADDRESS(2,COLUMN())),OFFSET($BN$2,0,0,ROW()-1,60),ROW()-1,FALSE))</f>
        <v/>
      </c>
      <c r="BM308" t="str">
        <f ca="1">IF(AND(ISNUMBER($BM$810),$B$511=1),$BM$810,HLOOKUP(INDIRECT(ADDRESS(2,COLUMN())),OFFSET($BN$2,0,0,ROW()-1,60),ROW()-1,FALSE))</f>
        <v/>
      </c>
      <c r="BN308" t="str">
        <f>""</f>
        <v/>
      </c>
      <c r="BO308" t="str">
        <f>""</f>
        <v/>
      </c>
      <c r="BP308">
        <f>6834.90021</f>
        <v>6834.9002099999998</v>
      </c>
      <c r="BQ308">
        <f>7582.087821</f>
        <v>7582.0878210000001</v>
      </c>
      <c r="BR308">
        <f>7555.601132</f>
        <v>7555.6011319999998</v>
      </c>
      <c r="BS308">
        <f>7518.676005</f>
        <v>7518.6760050000003</v>
      </c>
      <c r="BT308">
        <f>6592.479765</f>
        <v>6592.479765</v>
      </c>
      <c r="BU308">
        <f>6845.423992</f>
        <v>6845.423992</v>
      </c>
      <c r="BV308">
        <f>6699.120962</f>
        <v>6699.120962</v>
      </c>
      <c r="BW308">
        <f>6793.352012</f>
        <v>6793.3520120000003</v>
      </c>
      <c r="BX308">
        <f>6102.295691</f>
        <v>6102.2956910000003</v>
      </c>
      <c r="BY308">
        <f>6228.338744</f>
        <v>6228.3387439999997</v>
      </c>
      <c r="BZ308">
        <f>5832.230252</f>
        <v>5832.2302520000003</v>
      </c>
      <c r="CA308">
        <f>5894.721319</f>
        <v>5894.7213190000002</v>
      </c>
      <c r="CB308">
        <f>4768.122232</f>
        <v>4768.1222319999997</v>
      </c>
      <c r="CC308">
        <f>5752.295029</f>
        <v>5752.2950289999999</v>
      </c>
      <c r="CD308">
        <f>5350.745574</f>
        <v>5350.7455739999996</v>
      </c>
      <c r="CE308">
        <f>5376.324156</f>
        <v>5376.3241559999997</v>
      </c>
      <c r="CF308">
        <f>4658.206888</f>
        <v>4658.2068879999997</v>
      </c>
      <c r="CG308">
        <f>4737.779163</f>
        <v>4737.7791630000002</v>
      </c>
      <c r="CH308">
        <f>4431.865069</f>
        <v>4431.8650690000004</v>
      </c>
      <c r="CI308">
        <f>4616.670847</f>
        <v>4616.6708470000003</v>
      </c>
      <c r="CJ308">
        <f>3840.382537</f>
        <v>3840.382537</v>
      </c>
      <c r="CK308">
        <f>3882.280793</f>
        <v>3882.2807929999999</v>
      </c>
      <c r="CL308">
        <f>3411.329414</f>
        <v>3411.3294139999998</v>
      </c>
      <c r="CM308">
        <f>3445.850828</f>
        <v>3445.8508280000001</v>
      </c>
      <c r="CN308">
        <f>2754.473125</f>
        <v>2754.473125</v>
      </c>
      <c r="CO308">
        <f>2855.654953</f>
        <v>2855.6549530000002</v>
      </c>
      <c r="CP308">
        <f>2533.915908</f>
        <v>2533.9159079999999</v>
      </c>
      <c r="CQ308" t="str">
        <f>""</f>
        <v/>
      </c>
      <c r="CR308">
        <f>2243.704174</f>
        <v>2243.704174</v>
      </c>
      <c r="CS308" t="str">
        <f>""</f>
        <v/>
      </c>
      <c r="CT308">
        <f>1480.463998</f>
        <v>1480.4639979999999</v>
      </c>
      <c r="CU308" t="str">
        <f>""</f>
        <v/>
      </c>
      <c r="CV308" t="str">
        <f>""</f>
        <v/>
      </c>
      <c r="CW308" t="str">
        <f>""</f>
        <v/>
      </c>
      <c r="CX308" t="str">
        <f>""</f>
        <v/>
      </c>
      <c r="CY308" t="str">
        <f>""</f>
        <v/>
      </c>
      <c r="CZ308" t="str">
        <f>""</f>
        <v/>
      </c>
      <c r="DA308" t="str">
        <f>""</f>
        <v/>
      </c>
      <c r="DB308" t="str">
        <f>""</f>
        <v/>
      </c>
      <c r="DC308" t="str">
        <f>""</f>
        <v/>
      </c>
      <c r="DD308" t="str">
        <f>""</f>
        <v/>
      </c>
      <c r="DE308" t="str">
        <f>""</f>
        <v/>
      </c>
      <c r="DF308" t="str">
        <f>""</f>
        <v/>
      </c>
      <c r="DG308" t="str">
        <f>""</f>
        <v/>
      </c>
      <c r="DH308" t="str">
        <f>""</f>
        <v/>
      </c>
      <c r="DI308" t="str">
        <f>""</f>
        <v/>
      </c>
      <c r="DJ308" t="str">
        <f>""</f>
        <v/>
      </c>
      <c r="DK308" t="str">
        <f>""</f>
        <v/>
      </c>
      <c r="DL308" t="str">
        <f>""</f>
        <v/>
      </c>
      <c r="DM308" t="str">
        <f>""</f>
        <v/>
      </c>
      <c r="DN308" t="str">
        <f>""</f>
        <v/>
      </c>
      <c r="DO308" t="str">
        <f>""</f>
        <v/>
      </c>
      <c r="DP308" t="str">
        <f>""</f>
        <v/>
      </c>
      <c r="DQ308" t="str">
        <f>""</f>
        <v/>
      </c>
      <c r="DR308" t="str">
        <f>""</f>
        <v/>
      </c>
      <c r="DS308" t="str">
        <f>""</f>
        <v/>
      </c>
      <c r="DT308" t="str">
        <f>""</f>
        <v/>
      </c>
      <c r="DU308" t="str">
        <f>""</f>
        <v/>
      </c>
    </row>
    <row r="309" spans="1:125" x14ac:dyDescent="0.25">
      <c r="A309" t="str">
        <f>"    Guangzhou Automobile Group Co Ltd"</f>
        <v xml:space="preserve">    Guangzhou Automobile Group Co Ltd</v>
      </c>
      <c r="B309" t="str">
        <f>"2238 HK Equity"</f>
        <v>2238 HK Equity</v>
      </c>
      <c r="C309" t="str">
        <f t="shared" si="21"/>
        <v>RR179</v>
      </c>
      <c r="D309" t="str">
        <f t="shared" si="22"/>
        <v>TANGIBLE_COMMON_EQUITY</v>
      </c>
      <c r="E309" t="str">
        <f t="shared" si="23"/>
        <v>Dynamic</v>
      </c>
      <c r="F309" t="str">
        <f ca="1">IF(AND(ISNUMBER($F$811),$B$511=1),$F$811,HLOOKUP(INDIRECT(ADDRESS(2,COLUMN())),OFFSET($BN$2,0,0,ROW()-1,60),ROW()-1,FALSE))</f>
        <v/>
      </c>
      <c r="G309" t="str">
        <f ca="1">IF(AND(ISNUMBER($G$811),$B$511=1),$G$811,HLOOKUP(INDIRECT(ADDRESS(2,COLUMN())),OFFSET($BN$2,0,0,ROW()-1,60),ROW()-1,FALSE))</f>
        <v/>
      </c>
      <c r="H309">
        <f ca="1">IF(AND(ISNUMBER($H$811),$B$511=1),$H$811,HLOOKUP(INDIRECT(ADDRESS(2,COLUMN())),OFFSET($BN$2,0,0,ROW()-1,60),ROW()-1,FALSE))</f>
        <v>9385.7006569999994</v>
      </c>
      <c r="I309">
        <f ca="1">IF(AND(ISNUMBER($I$811),$B$511=1),$I$811,HLOOKUP(INDIRECT(ADDRESS(2,COLUMN())),OFFSET($BN$2,0,0,ROW()-1,60),ROW()-1,FALSE))</f>
        <v>10089.355879999999</v>
      </c>
      <c r="J309">
        <f ca="1">IF(AND(ISNUMBER($J$811),$B$511=1),$J$811,HLOOKUP(INDIRECT(ADDRESS(2,COLUMN())),OFFSET($BN$2,0,0,ROW()-1,60),ROW()-1,FALSE))</f>
        <v>10059.786980000001</v>
      </c>
      <c r="K309">
        <f ca="1">IF(AND(ISNUMBER($K$811),$B$511=1),$K$811,HLOOKUP(INDIRECT(ADDRESS(2,COLUMN())),OFFSET($BN$2,0,0,ROW()-1,60),ROW()-1,FALSE))</f>
        <v>9764.0574500000002</v>
      </c>
      <c r="L309">
        <f ca="1">IF(AND(ISNUMBER($L$811),$B$511=1),$L$811,HLOOKUP(INDIRECT(ADDRESS(2,COLUMN())),OFFSET($BN$2,0,0,ROW()-1,60),ROW()-1,FALSE))</f>
        <v>6505.4755830000004</v>
      </c>
      <c r="M309">
        <f ca="1">IF(AND(ISNUMBER($M$811),$B$511=1),$M$811,HLOOKUP(INDIRECT(ADDRESS(2,COLUMN())),OFFSET($BN$2,0,0,ROW()-1,60),ROW()-1,FALSE))</f>
        <v>6552.7529219999997</v>
      </c>
      <c r="N309">
        <f ca="1">IF(AND(ISNUMBER($N$811),$B$511=1),$N$811,HLOOKUP(INDIRECT(ADDRESS(2,COLUMN())),OFFSET($BN$2,0,0,ROW()-1,60),ROW()-1,FALSE))</f>
        <v>5773.8677209999996</v>
      </c>
      <c r="O309">
        <f ca="1">IF(AND(ISNUMBER($O$811),$B$511=1),$O$811,HLOOKUP(INDIRECT(ADDRESS(2,COLUMN())),OFFSET($BN$2,0,0,ROW()-1,60),ROW()-1,FALSE))</f>
        <v>5548.5831980000003</v>
      </c>
      <c r="P309">
        <f ca="1">IF(AND(ISNUMBER($P$811),$B$511=1),$P$811,HLOOKUP(INDIRECT(ADDRESS(2,COLUMN())),OFFSET($BN$2,0,0,ROW()-1,60),ROW()-1,FALSE))</f>
        <v>5758.5543729999999</v>
      </c>
      <c r="Q309">
        <f ca="1">IF(AND(ISNUMBER($Q$811),$B$511=1),$Q$811,HLOOKUP(INDIRECT(ADDRESS(2,COLUMN())),OFFSET($BN$2,0,0,ROW()-1,60),ROW()-1,FALSE))</f>
        <v>5549.5712350000003</v>
      </c>
      <c r="R309">
        <f ca="1">IF(AND(ISNUMBER($R$811),$B$511=1),$R$811,HLOOKUP(INDIRECT(ADDRESS(2,COLUMN())),OFFSET($BN$2,0,0,ROW()-1,60),ROW()-1,FALSE))</f>
        <v>5285.2510419999999</v>
      </c>
      <c r="S309">
        <f ca="1">IF(AND(ISNUMBER($S$811),$B$511=1),$S$811,HLOOKUP(INDIRECT(ADDRESS(2,COLUMN())),OFFSET($BN$2,0,0,ROW()-1,60),ROW()-1,FALSE))</f>
        <v>5208.2184399999996</v>
      </c>
      <c r="T309">
        <f ca="1">IF(AND(ISNUMBER($T$811),$B$511=1),$T$811,HLOOKUP(INDIRECT(ADDRESS(2,COLUMN())),OFFSET($BN$2,0,0,ROW()-1,60),ROW()-1,FALSE))</f>
        <v>4839.645845</v>
      </c>
      <c r="U309">
        <f ca="1">IF(AND(ISNUMBER($U$811),$B$511=1),$U$811,HLOOKUP(INDIRECT(ADDRESS(2,COLUMN())),OFFSET($BN$2,0,0,ROW()-1,60),ROW()-1,FALSE))</f>
        <v>5200.9069799999997</v>
      </c>
      <c r="V309">
        <f ca="1">IF(AND(ISNUMBER($V$811),$B$511=1),$V$811,HLOOKUP(INDIRECT(ADDRESS(2,COLUMN())),OFFSET($BN$2,0,0,ROW()-1,60),ROW()-1,FALSE))</f>
        <v>4865.5570390000003</v>
      </c>
      <c r="W309">
        <f ca="1">IF(AND(ISNUMBER($W$811),$B$511=1),$W$811,HLOOKUP(INDIRECT(ADDRESS(2,COLUMN())),OFFSET($BN$2,0,0,ROW()-1,60),ROW()-1,FALSE))</f>
        <v>5054.7448899999999</v>
      </c>
      <c r="X309">
        <f ca="1">IF(AND(ISNUMBER($X$811),$B$511=1),$X$811,HLOOKUP(INDIRECT(ADDRESS(2,COLUMN())),OFFSET($BN$2,0,0,ROW()-1,60),ROW()-1,FALSE))</f>
        <v>4796.6829280000002</v>
      </c>
      <c r="Y309">
        <f ca="1">IF(AND(ISNUMBER($Y$811),$B$511=1),$Y$811,HLOOKUP(INDIRECT(ADDRESS(2,COLUMN())),OFFSET($BN$2,0,0,ROW()-1,60),ROW()-1,FALSE))</f>
        <v>5011.4597469999999</v>
      </c>
      <c r="Z309">
        <f ca="1">IF(AND(ISNUMBER($Z$811),$B$511=1),$Z$811,HLOOKUP(INDIRECT(ADDRESS(2,COLUMN())),OFFSET($BN$2,0,0,ROW()-1,60),ROW()-1,FALSE))</f>
        <v>4767.4810889999999</v>
      </c>
      <c r="AA309">
        <f ca="1">IF(AND(ISNUMBER($AA$811),$B$511=1),$AA$811,HLOOKUP(INDIRECT(ADDRESS(2,COLUMN())),OFFSET($BN$2,0,0,ROW()-1,60),ROW()-1,FALSE))</f>
        <v>4989.2228420000001</v>
      </c>
      <c r="AB309">
        <f ca="1">IF(AND(ISNUMBER($AB$811),$B$511=1),$AB$811,HLOOKUP(INDIRECT(ADDRESS(2,COLUMN())),OFFSET($BN$2,0,0,ROW()-1,60),ROW()-1,FALSE))</f>
        <v>4648.6806319999996</v>
      </c>
      <c r="AC309">
        <f ca="1">IF(AND(ISNUMBER($AC$811),$B$511=1),$AC$811,HLOOKUP(INDIRECT(ADDRESS(2,COLUMN())),OFFSET($BN$2,0,0,ROW()-1,60),ROW()-1,FALSE))</f>
        <v>4731.9898229999999</v>
      </c>
      <c r="AD309">
        <f ca="1">IF(AND(ISNUMBER($AD$811),$B$511=1),$AD$811,HLOOKUP(INDIRECT(ADDRESS(2,COLUMN())),OFFSET($BN$2,0,0,ROW()-1,60),ROW()-1,FALSE))</f>
        <v>4414.8384020000003</v>
      </c>
      <c r="AE309">
        <f ca="1">IF(AND(ISNUMBER($AE$811),$B$511=1),$AE$811,HLOOKUP(INDIRECT(ADDRESS(2,COLUMN())),OFFSET($BN$2,0,0,ROW()-1,60),ROW()-1,FALSE))</f>
        <v>4496.5446199999997</v>
      </c>
      <c r="AF309">
        <f ca="1">IF(AND(ISNUMBER($AF$811),$B$511=1),$AF$811,HLOOKUP(INDIRECT(ADDRESS(2,COLUMN())),OFFSET($BN$2,0,0,ROW()-1,60),ROW()-1,FALSE))</f>
        <v>4413.1975759999996</v>
      </c>
      <c r="AG309">
        <f ca="1">IF(AND(ISNUMBER($AG$811),$B$511=1),$AG$811,HLOOKUP(INDIRECT(ADDRESS(2,COLUMN())),OFFSET($BN$2,0,0,ROW()-1,60),ROW()-1,FALSE))</f>
        <v>4609.2913680000001</v>
      </c>
      <c r="AH309">
        <f ca="1">IF(AND(ISNUMBER($AH$811),$B$511=1),$AH$811,HLOOKUP(INDIRECT(ADDRESS(2,COLUMN())),OFFSET($BN$2,0,0,ROW()-1,60),ROW()-1,FALSE))</f>
        <v>3963.7974730000001</v>
      </c>
      <c r="AI309">
        <f ca="1">IF(AND(ISNUMBER($AI$811),$B$511=1),$AI$811,HLOOKUP(INDIRECT(ADDRESS(2,COLUMN())),OFFSET($BN$2,0,0,ROW()-1,60),ROW()-1,FALSE))</f>
        <v>4271.307847</v>
      </c>
      <c r="AJ309">
        <f ca="1">IF(AND(ISNUMBER($AJ$811),$B$511=1),$AJ$811,HLOOKUP(INDIRECT(ADDRESS(2,COLUMN())),OFFSET($BN$2,0,0,ROW()-1,60),ROW()-1,FALSE))</f>
        <v>3813.4847479999999</v>
      </c>
      <c r="AK309">
        <f ca="1">IF(AND(ISNUMBER($AK$811),$B$511=1),$AK$811,HLOOKUP(INDIRECT(ADDRESS(2,COLUMN())),OFFSET($BN$2,0,0,ROW()-1,60),ROW()-1,FALSE))</f>
        <v>3684.345722</v>
      </c>
      <c r="AL309">
        <f ca="1">IF(AND(ISNUMBER($AL$811),$B$511=1),$AL$811,HLOOKUP(INDIRECT(ADDRESS(2,COLUMN())),OFFSET($BN$2,0,0,ROW()-1,60),ROW()-1,FALSE))</f>
        <v>3800.102609</v>
      </c>
      <c r="AM309">
        <f ca="1">IF(AND(ISNUMBER($AM$811),$B$511=1),$AM$811,HLOOKUP(INDIRECT(ADDRESS(2,COLUMN())),OFFSET($BN$2,0,0,ROW()-1,60),ROW()-1,FALSE))</f>
        <v>3662.966105</v>
      </c>
      <c r="AN309">
        <f ca="1">IF(AND(ISNUMBER($AN$811),$B$511=1),$AN$811,HLOOKUP(INDIRECT(ADDRESS(2,COLUMN())),OFFSET($BN$2,0,0,ROW()-1,60),ROW()-1,FALSE))</f>
        <v>3540.4363800000001</v>
      </c>
      <c r="AO309">
        <f ca="1">IF(AND(ISNUMBER($AO$811),$B$511=1),$AO$811,HLOOKUP(INDIRECT(ADDRESS(2,COLUMN())),OFFSET($BN$2,0,0,ROW()-1,60),ROW()-1,FALSE))</f>
        <v>2052.084922</v>
      </c>
      <c r="AP309">
        <f ca="1">IF(AND(ISNUMBER($AP$811),$B$511=1),$AP$811,HLOOKUP(INDIRECT(ADDRESS(2,COLUMN())),OFFSET($BN$2,0,0,ROW()-1,60),ROW()-1,FALSE))</f>
        <v>1912.4210419999999</v>
      </c>
      <c r="AQ309">
        <f ca="1">IF(AND(ISNUMBER($AQ$811),$B$511=1),$AQ$811,HLOOKUP(INDIRECT(ADDRESS(2,COLUMN())),OFFSET($BN$2,0,0,ROW()-1,60),ROW()-1,FALSE))</f>
        <v>1808.367191</v>
      </c>
      <c r="AR309">
        <f ca="1">IF(AND(ISNUMBER($AR$811),$B$511=1),$AR$811,HLOOKUP(INDIRECT(ADDRESS(2,COLUMN())),OFFSET($BN$2,0,0,ROW()-1,60),ROW()-1,FALSE))</f>
        <v>1649.1066920000001</v>
      </c>
      <c r="AS309">
        <f ca="1">IF(AND(ISNUMBER($AS$811),$B$511=1),$AS$811,HLOOKUP(INDIRECT(ADDRESS(2,COLUMN())),OFFSET($BN$2,0,0,ROW()-1,60),ROW()-1,FALSE))</f>
        <v>1666.754938</v>
      </c>
      <c r="AT309">
        <f ca="1">IF(AND(ISNUMBER($AT$811),$B$511=1),$AT$811,HLOOKUP(INDIRECT(ADDRESS(2,COLUMN())),OFFSET($BN$2,0,0,ROW()-1,60),ROW()-1,FALSE))</f>
        <v>1609.137559</v>
      </c>
      <c r="AU309" t="str">
        <f ca="1">IF(AND(ISNUMBER($AU$811),$B$511=1),$AU$811,HLOOKUP(INDIRECT(ADDRESS(2,COLUMN())),OFFSET($BN$2,0,0,ROW()-1,60),ROW()-1,FALSE))</f>
        <v/>
      </c>
      <c r="AV309" t="str">
        <f ca="1">IF(AND(ISNUMBER($AV$811),$B$511=1),$AV$811,HLOOKUP(INDIRECT(ADDRESS(2,COLUMN())),OFFSET($BN$2,0,0,ROW()-1,60),ROW()-1,FALSE))</f>
        <v/>
      </c>
      <c r="AW309" t="str">
        <f ca="1">IF(AND(ISNUMBER($AW$811),$B$511=1),$AW$811,HLOOKUP(INDIRECT(ADDRESS(2,COLUMN())),OFFSET($BN$2,0,0,ROW()-1,60),ROW()-1,FALSE))</f>
        <v/>
      </c>
      <c r="AX309" t="str">
        <f ca="1">IF(AND(ISNUMBER($AX$811),$B$511=1),$AX$811,HLOOKUP(INDIRECT(ADDRESS(2,COLUMN())),OFFSET($BN$2,0,0,ROW()-1,60),ROW()-1,FALSE))</f>
        <v/>
      </c>
      <c r="AY309" t="str">
        <f ca="1">IF(AND(ISNUMBER($AY$811),$B$511=1),$AY$811,HLOOKUP(INDIRECT(ADDRESS(2,COLUMN())),OFFSET($BN$2,0,0,ROW()-1,60),ROW()-1,FALSE))</f>
        <v/>
      </c>
      <c r="AZ309" t="str">
        <f ca="1">IF(AND(ISNUMBER($AZ$811),$B$511=1),$AZ$811,HLOOKUP(INDIRECT(ADDRESS(2,COLUMN())),OFFSET($BN$2,0,0,ROW()-1,60),ROW()-1,FALSE))</f>
        <v/>
      </c>
      <c r="BA309" t="str">
        <f ca="1">IF(AND(ISNUMBER($BA$811),$B$511=1),$BA$811,HLOOKUP(INDIRECT(ADDRESS(2,COLUMN())),OFFSET($BN$2,0,0,ROW()-1,60),ROW()-1,FALSE))</f>
        <v/>
      </c>
      <c r="BB309" t="str">
        <f ca="1">IF(AND(ISNUMBER($BB$811),$B$511=1),$BB$811,HLOOKUP(INDIRECT(ADDRESS(2,COLUMN())),OFFSET($BN$2,0,0,ROW()-1,60),ROW()-1,FALSE))</f>
        <v/>
      </c>
      <c r="BC309" t="str">
        <f ca="1">IF(AND(ISNUMBER($BC$811),$B$511=1),$BC$811,HLOOKUP(INDIRECT(ADDRESS(2,COLUMN())),OFFSET($BN$2,0,0,ROW()-1,60),ROW()-1,FALSE))</f>
        <v/>
      </c>
      <c r="BD309" t="str">
        <f ca="1">IF(AND(ISNUMBER($BD$811),$B$511=1),$BD$811,HLOOKUP(INDIRECT(ADDRESS(2,COLUMN())),OFFSET($BN$2,0,0,ROW()-1,60),ROW()-1,FALSE))</f>
        <v/>
      </c>
      <c r="BE309" t="str">
        <f ca="1">IF(AND(ISNUMBER($BE$811),$B$511=1),$BE$811,HLOOKUP(INDIRECT(ADDRESS(2,COLUMN())),OFFSET($BN$2,0,0,ROW()-1,60),ROW()-1,FALSE))</f>
        <v/>
      </c>
      <c r="BF309" t="str">
        <f ca="1">IF(AND(ISNUMBER($BF$811),$B$511=1),$BF$811,HLOOKUP(INDIRECT(ADDRESS(2,COLUMN())),OFFSET($BN$2,0,0,ROW()-1,60),ROW()-1,FALSE))</f>
        <v/>
      </c>
      <c r="BG309" t="str">
        <f ca="1">IF(AND(ISNUMBER($BG$811),$B$511=1),$BG$811,HLOOKUP(INDIRECT(ADDRESS(2,COLUMN())),OFFSET($BN$2,0,0,ROW()-1,60),ROW()-1,FALSE))</f>
        <v/>
      </c>
      <c r="BH309" t="str">
        <f ca="1">IF(AND(ISNUMBER($BH$811),$B$511=1),$BH$811,HLOOKUP(INDIRECT(ADDRESS(2,COLUMN())),OFFSET($BN$2,0,0,ROW()-1,60),ROW()-1,FALSE))</f>
        <v/>
      </c>
      <c r="BI309" t="str">
        <f ca="1">IF(AND(ISNUMBER($BI$811),$B$511=1),$BI$811,HLOOKUP(INDIRECT(ADDRESS(2,COLUMN())),OFFSET($BN$2,0,0,ROW()-1,60),ROW()-1,FALSE))</f>
        <v/>
      </c>
      <c r="BJ309" t="str">
        <f ca="1">IF(AND(ISNUMBER($BJ$811),$B$511=1),$BJ$811,HLOOKUP(INDIRECT(ADDRESS(2,COLUMN())),OFFSET($BN$2,0,0,ROW()-1,60),ROW()-1,FALSE))</f>
        <v/>
      </c>
      <c r="BK309" t="str">
        <f ca="1">IF(AND(ISNUMBER($BK$811),$B$511=1),$BK$811,HLOOKUP(INDIRECT(ADDRESS(2,COLUMN())),OFFSET($BN$2,0,0,ROW()-1,60),ROW()-1,FALSE))</f>
        <v/>
      </c>
      <c r="BL309" t="str">
        <f ca="1">IF(AND(ISNUMBER($BL$811),$B$511=1),$BL$811,HLOOKUP(INDIRECT(ADDRESS(2,COLUMN())),OFFSET($BN$2,0,0,ROW()-1,60),ROW()-1,FALSE))</f>
        <v/>
      </c>
      <c r="BM309" t="str">
        <f ca="1">IF(AND(ISNUMBER($BM$811),$B$511=1),$BM$811,HLOOKUP(INDIRECT(ADDRESS(2,COLUMN())),OFFSET($BN$2,0,0,ROW()-1,60),ROW()-1,FALSE))</f>
        <v/>
      </c>
      <c r="BN309" t="str">
        <f>""</f>
        <v/>
      </c>
      <c r="BO309" t="str">
        <f>""</f>
        <v/>
      </c>
      <c r="BP309">
        <f>9385.700657</f>
        <v>9385.7006569999994</v>
      </c>
      <c r="BQ309">
        <f>10089.35588</f>
        <v>10089.355879999999</v>
      </c>
      <c r="BR309">
        <f>10059.78698</f>
        <v>10059.786980000001</v>
      </c>
      <c r="BS309">
        <f>9764.05745</f>
        <v>9764.0574500000002</v>
      </c>
      <c r="BT309">
        <f>6505.475583</f>
        <v>6505.4755830000004</v>
      </c>
      <c r="BU309">
        <f>6552.752922</f>
        <v>6552.7529219999997</v>
      </c>
      <c r="BV309">
        <f>5773.867721</f>
        <v>5773.8677209999996</v>
      </c>
      <c r="BW309">
        <f>5548.583198</f>
        <v>5548.5831980000003</v>
      </c>
      <c r="BX309">
        <f>5758.554373</f>
        <v>5758.5543729999999</v>
      </c>
      <c r="BY309">
        <f>5549.571235</f>
        <v>5549.5712350000003</v>
      </c>
      <c r="BZ309">
        <f>5285.251042</f>
        <v>5285.2510419999999</v>
      </c>
      <c r="CA309">
        <f>5208.21844</f>
        <v>5208.2184399999996</v>
      </c>
      <c r="CB309">
        <f>4839.645845</f>
        <v>4839.645845</v>
      </c>
      <c r="CC309">
        <f>5200.90698</f>
        <v>5200.9069799999997</v>
      </c>
      <c r="CD309">
        <f>4865.557039</f>
        <v>4865.5570390000003</v>
      </c>
      <c r="CE309">
        <f>5054.74489</f>
        <v>5054.7448899999999</v>
      </c>
      <c r="CF309">
        <f>4796.682928</f>
        <v>4796.6829280000002</v>
      </c>
      <c r="CG309">
        <f>5011.459747</f>
        <v>5011.4597469999999</v>
      </c>
      <c r="CH309">
        <f>4767.481089</f>
        <v>4767.4810889999999</v>
      </c>
      <c r="CI309">
        <f>4989.222842</f>
        <v>4989.2228420000001</v>
      </c>
      <c r="CJ309">
        <f>4648.680632</f>
        <v>4648.6806319999996</v>
      </c>
      <c r="CK309">
        <f>4731.989823</f>
        <v>4731.9898229999999</v>
      </c>
      <c r="CL309">
        <f>4414.838402</f>
        <v>4414.8384020000003</v>
      </c>
      <c r="CM309">
        <f>4496.54462</f>
        <v>4496.5446199999997</v>
      </c>
      <c r="CN309">
        <f>4413.197576</f>
        <v>4413.1975759999996</v>
      </c>
      <c r="CO309">
        <f>4609.291368</f>
        <v>4609.2913680000001</v>
      </c>
      <c r="CP309">
        <f>3963.797473</f>
        <v>3963.7974730000001</v>
      </c>
      <c r="CQ309">
        <f>4271.307847</f>
        <v>4271.307847</v>
      </c>
      <c r="CR309">
        <f>3813.484748</f>
        <v>3813.4847479999999</v>
      </c>
      <c r="CS309">
        <f>3684.345722</f>
        <v>3684.345722</v>
      </c>
      <c r="CT309">
        <f>3800.102609</f>
        <v>3800.102609</v>
      </c>
      <c r="CU309">
        <f>3662.966105</f>
        <v>3662.966105</v>
      </c>
      <c r="CV309">
        <f>3540.43638</f>
        <v>3540.4363800000001</v>
      </c>
      <c r="CW309">
        <f>2052.084922</f>
        <v>2052.084922</v>
      </c>
      <c r="CX309">
        <f>1912.421042</f>
        <v>1912.4210419999999</v>
      </c>
      <c r="CY309">
        <f>1808.367191</f>
        <v>1808.367191</v>
      </c>
      <c r="CZ309">
        <f>1649.106692</f>
        <v>1649.1066920000001</v>
      </c>
      <c r="DA309">
        <f>1666.754938</f>
        <v>1666.754938</v>
      </c>
      <c r="DB309">
        <f>1609.137559</f>
        <v>1609.137559</v>
      </c>
      <c r="DC309" t="str">
        <f>""</f>
        <v/>
      </c>
      <c r="DD309" t="str">
        <f>""</f>
        <v/>
      </c>
      <c r="DE309" t="str">
        <f>""</f>
        <v/>
      </c>
      <c r="DF309" t="str">
        <f>""</f>
        <v/>
      </c>
      <c r="DG309" t="str">
        <f>""</f>
        <v/>
      </c>
      <c r="DH309" t="str">
        <f>""</f>
        <v/>
      </c>
      <c r="DI309" t="str">
        <f>""</f>
        <v/>
      </c>
      <c r="DJ309" t="str">
        <f>""</f>
        <v/>
      </c>
      <c r="DK309" t="str">
        <f>""</f>
        <v/>
      </c>
      <c r="DL309" t="str">
        <f>""</f>
        <v/>
      </c>
      <c r="DM309" t="str">
        <f>""</f>
        <v/>
      </c>
      <c r="DN309" t="str">
        <f>""</f>
        <v/>
      </c>
      <c r="DO309" t="str">
        <f>""</f>
        <v/>
      </c>
      <c r="DP309" t="str">
        <f>""</f>
        <v/>
      </c>
      <c r="DQ309" t="str">
        <f>""</f>
        <v/>
      </c>
      <c r="DR309" t="str">
        <f>""</f>
        <v/>
      </c>
      <c r="DS309" t="str">
        <f>""</f>
        <v/>
      </c>
      <c r="DT309" t="str">
        <f>""</f>
        <v/>
      </c>
      <c r="DU309" t="str">
        <f>""</f>
        <v/>
      </c>
    </row>
    <row r="310" spans="1:125" x14ac:dyDescent="0.25">
      <c r="A310" t="str">
        <f>"    Honda Motor Co Ltd"</f>
        <v xml:space="preserve">    Honda Motor Co Ltd</v>
      </c>
      <c r="B310" t="str">
        <f>"7267 JP Equity"</f>
        <v>7267 JP Equity</v>
      </c>
      <c r="C310" t="str">
        <f t="shared" si="21"/>
        <v>RR179</v>
      </c>
      <c r="D310" t="str">
        <f t="shared" si="22"/>
        <v>TANGIBLE_COMMON_EQUITY</v>
      </c>
      <c r="E310" t="str">
        <f t="shared" si="23"/>
        <v>Dynamic</v>
      </c>
      <c r="F310" t="str">
        <f ca="1">IF(AND(ISNUMBER($F$812),$B$511=1),$F$812,HLOOKUP(INDIRECT(ADDRESS(2,COLUMN())),OFFSET($BN$2,0,0,ROW()-1,60),ROW()-1,FALSE))</f>
        <v/>
      </c>
      <c r="G310">
        <f ca="1">IF(AND(ISNUMBER($G$812),$B$511=1),$G$812,HLOOKUP(INDIRECT(ADDRESS(2,COLUMN())),OFFSET($BN$2,0,0,ROW()-1,60),ROW()-1,FALSE))</f>
        <v>68777.074590000004</v>
      </c>
      <c r="H310">
        <f ca="1">IF(AND(ISNUMBER($H$812),$B$511=1),$H$812,HLOOKUP(INDIRECT(ADDRESS(2,COLUMN())),OFFSET($BN$2,0,0,ROW()-1,60),ROW()-1,FALSE))</f>
        <v>67092.995590000006</v>
      </c>
      <c r="I310">
        <f ca="1">IF(AND(ISNUMBER($I$812),$B$511=1),$I$812,HLOOKUP(INDIRECT(ADDRESS(2,COLUMN())),OFFSET($BN$2,0,0,ROW()-1,60),ROW()-1,FALSE))</f>
        <v>66504.152369999996</v>
      </c>
      <c r="J310">
        <f ca="1">IF(AND(ISNUMBER($J$812),$B$511=1),$J$812,HLOOKUP(INDIRECT(ADDRESS(2,COLUMN())),OFFSET($BN$2,0,0,ROW()-1,60),ROW()-1,FALSE))</f>
        <v>67708.755409999998</v>
      </c>
      <c r="K310">
        <f ca="1">IF(AND(ISNUMBER($K$812),$B$511=1),$K$812,HLOOKUP(INDIRECT(ADDRESS(2,COLUMN())),OFFSET($BN$2,0,0,ROW()-1,60),ROW()-1,FALSE))</f>
        <v>65742.769589999996</v>
      </c>
      <c r="L310">
        <f ca="1">IF(AND(ISNUMBER($L$812),$B$511=1),$L$812,HLOOKUP(INDIRECT(ADDRESS(2,COLUMN())),OFFSET($BN$2,0,0,ROW()-1,60),ROW()-1,FALSE))</f>
        <v>61590.134969999999</v>
      </c>
      <c r="M310">
        <f ca="1">IF(AND(ISNUMBER($M$812),$B$511=1),$M$812,HLOOKUP(INDIRECT(ADDRESS(2,COLUMN())),OFFSET($BN$2,0,0,ROW()-1,60),ROW()-1,FALSE))</f>
        <v>59694.543839999998</v>
      </c>
      <c r="N310">
        <f ca="1">IF(AND(ISNUMBER($N$812),$B$511=1),$N$812,HLOOKUP(INDIRECT(ADDRESS(2,COLUMN())),OFFSET($BN$2,0,0,ROW()-1,60),ROW()-1,FALSE))</f>
        <v>58549.133049999997</v>
      </c>
      <c r="O310">
        <f ca="1">IF(AND(ISNUMBER($O$812),$B$511=1),$O$812,HLOOKUP(INDIRECT(ADDRESS(2,COLUMN())),OFFSET($BN$2,0,0,ROW()-1,60),ROW()-1,FALSE))</f>
        <v>55782.073049999999</v>
      </c>
      <c r="P310">
        <f ca="1">IF(AND(ISNUMBER($P$812),$B$511=1),$P$812,HLOOKUP(INDIRECT(ADDRESS(2,COLUMN())),OFFSET($BN$2,0,0,ROW()-1,60),ROW()-1,FALSE))</f>
        <v>56828.255940000003</v>
      </c>
      <c r="Q310">
        <f ca="1">IF(AND(ISNUMBER($Q$812),$B$511=1),$Q$812,HLOOKUP(INDIRECT(ADDRESS(2,COLUMN())),OFFSET($BN$2,0,0,ROW()-1,60),ROW()-1,FALSE))</f>
        <v>55145.266009999999</v>
      </c>
      <c r="R310">
        <f ca="1">IF(AND(ISNUMBER($R$812),$B$511=1),$R$812,HLOOKUP(INDIRECT(ADDRESS(2,COLUMN())),OFFSET($BN$2,0,0,ROW()-1,60),ROW()-1,FALSE))</f>
        <v>52768.83556</v>
      </c>
      <c r="S310">
        <f ca="1">IF(AND(ISNUMBER($S$812),$B$511=1),$S$812,HLOOKUP(INDIRECT(ADDRESS(2,COLUMN())),OFFSET($BN$2,0,0,ROW()-1,60),ROW()-1,FALSE))</f>
        <v>53430.124790000002</v>
      </c>
      <c r="T310">
        <f ca="1">IF(AND(ISNUMBER($T$812),$B$511=1),$T$812,HLOOKUP(INDIRECT(ADDRESS(2,COLUMN())),OFFSET($BN$2,0,0,ROW()-1,60),ROW()-1,FALSE))</f>
        <v>53004.545830000003</v>
      </c>
      <c r="U310">
        <f ca="1">IF(AND(ISNUMBER($U$812),$B$511=1),$U$812,HLOOKUP(INDIRECT(ADDRESS(2,COLUMN())),OFFSET($BN$2,0,0,ROW()-1,60),ROW()-1,FALSE))</f>
        <v>53713.093679999998</v>
      </c>
      <c r="V310">
        <f ca="1">IF(AND(ISNUMBER($V$812),$B$511=1),$V$812,HLOOKUP(INDIRECT(ADDRESS(2,COLUMN())),OFFSET($BN$2,0,0,ROW()-1,60),ROW()-1,FALSE))</f>
        <v>56077.115460000001</v>
      </c>
      <c r="W310" t="str">
        <f ca="1">IF(AND(ISNUMBER($W$812),$B$511=1),$W$812,HLOOKUP(INDIRECT(ADDRESS(2,COLUMN())),OFFSET($BN$2,0,0,ROW()-1,60),ROW()-1,FALSE))</f>
        <v/>
      </c>
      <c r="X310" t="str">
        <f ca="1">IF(AND(ISNUMBER($X$812),$B$511=1),$X$812,HLOOKUP(INDIRECT(ADDRESS(2,COLUMN())),OFFSET($BN$2,0,0,ROW()-1,60),ROW()-1,FALSE))</f>
        <v/>
      </c>
      <c r="Y310" t="str">
        <f ca="1">IF(AND(ISNUMBER($Y$812),$B$511=1),$Y$812,HLOOKUP(INDIRECT(ADDRESS(2,COLUMN())),OFFSET($BN$2,0,0,ROW()-1,60),ROW()-1,FALSE))</f>
        <v/>
      </c>
      <c r="Z310">
        <f ca="1">IF(AND(ISNUMBER($Z$812),$B$511=1),$Z$812,HLOOKUP(INDIRECT(ADDRESS(2,COLUMN())),OFFSET($BN$2,0,0,ROW()-1,60),ROW()-1,FALSE))</f>
        <v>57315.804790000002</v>
      </c>
      <c r="AA310" t="str">
        <f ca="1">IF(AND(ISNUMBER($AA$812),$B$511=1),$AA$812,HLOOKUP(INDIRECT(ADDRESS(2,COLUMN())),OFFSET($BN$2,0,0,ROW()-1,60),ROW()-1,FALSE))</f>
        <v/>
      </c>
      <c r="AB310" t="str">
        <f ca="1">IF(AND(ISNUMBER($AB$812),$B$511=1),$AB$812,HLOOKUP(INDIRECT(ADDRESS(2,COLUMN())),OFFSET($BN$2,0,0,ROW()-1,60),ROW()-1,FALSE))</f>
        <v/>
      </c>
      <c r="AC310" t="str">
        <f ca="1">IF(AND(ISNUMBER($AC$812),$B$511=1),$AC$812,HLOOKUP(INDIRECT(ADDRESS(2,COLUMN())),OFFSET($BN$2,0,0,ROW()-1,60),ROW()-1,FALSE))</f>
        <v/>
      </c>
      <c r="AD310">
        <f ca="1">IF(AND(ISNUMBER($AD$812),$B$511=1),$AD$812,HLOOKUP(INDIRECT(ADDRESS(2,COLUMN())),OFFSET($BN$2,0,0,ROW()-1,60),ROW()-1,FALSE))</f>
        <v>53355.773719999997</v>
      </c>
      <c r="AE310" t="str">
        <f ca="1">IF(AND(ISNUMBER($AE$812),$B$511=1),$AE$812,HLOOKUP(INDIRECT(ADDRESS(2,COLUMN())),OFFSET($BN$2,0,0,ROW()-1,60),ROW()-1,FALSE))</f>
        <v/>
      </c>
      <c r="AF310" t="str">
        <f ca="1">IF(AND(ISNUMBER($AF$812),$B$511=1),$AF$812,HLOOKUP(INDIRECT(ADDRESS(2,COLUMN())),OFFSET($BN$2,0,0,ROW()-1,60),ROW()-1,FALSE))</f>
        <v/>
      </c>
      <c r="AG310" t="str">
        <f ca="1">IF(AND(ISNUMBER($AG$812),$B$511=1),$AG$812,HLOOKUP(INDIRECT(ADDRESS(2,COLUMN())),OFFSET($BN$2,0,0,ROW()-1,60),ROW()-1,FALSE))</f>
        <v/>
      </c>
      <c r="AH310">
        <f ca="1">IF(AND(ISNUMBER($AH$812),$B$511=1),$AH$812,HLOOKUP(INDIRECT(ADDRESS(2,COLUMN())),OFFSET($BN$2,0,0,ROW()-1,60),ROW()-1,FALSE))</f>
        <v>53154.88321</v>
      </c>
      <c r="AI310" t="str">
        <f ca="1">IF(AND(ISNUMBER($AI$812),$B$511=1),$AI$812,HLOOKUP(INDIRECT(ADDRESS(2,COLUMN())),OFFSET($BN$2,0,0,ROW()-1,60),ROW()-1,FALSE))</f>
        <v/>
      </c>
      <c r="AJ310" t="str">
        <f ca="1">IF(AND(ISNUMBER($AJ$812),$B$511=1),$AJ$812,HLOOKUP(INDIRECT(ADDRESS(2,COLUMN())),OFFSET($BN$2,0,0,ROW()-1,60),ROW()-1,FALSE))</f>
        <v/>
      </c>
      <c r="AK310" t="str">
        <f ca="1">IF(AND(ISNUMBER($AK$812),$B$511=1),$AK$812,HLOOKUP(INDIRECT(ADDRESS(2,COLUMN())),OFFSET($BN$2,0,0,ROW()-1,60),ROW()-1,FALSE))</f>
        <v/>
      </c>
      <c r="AL310">
        <f ca="1">IF(AND(ISNUMBER($AL$812),$B$511=1),$AL$812,HLOOKUP(INDIRECT(ADDRESS(2,COLUMN())),OFFSET($BN$2,0,0,ROW()-1,60),ROW()-1,FALSE))</f>
        <v>53579.222500000003</v>
      </c>
      <c r="AM310" t="str">
        <f ca="1">IF(AND(ISNUMBER($AM$812),$B$511=1),$AM$812,HLOOKUP(INDIRECT(ADDRESS(2,COLUMN())),OFFSET($BN$2,0,0,ROW()-1,60),ROW()-1,FALSE))</f>
        <v/>
      </c>
      <c r="AN310" t="str">
        <f ca="1">IF(AND(ISNUMBER($AN$812),$B$511=1),$AN$812,HLOOKUP(INDIRECT(ADDRESS(2,COLUMN())),OFFSET($BN$2,0,0,ROW()-1,60),ROW()-1,FALSE))</f>
        <v/>
      </c>
      <c r="AO310" t="str">
        <f ca="1">IF(AND(ISNUMBER($AO$812),$B$511=1),$AO$812,HLOOKUP(INDIRECT(ADDRESS(2,COLUMN())),OFFSET($BN$2,0,0,ROW()-1,60),ROW()-1,FALSE))</f>
        <v/>
      </c>
      <c r="AP310">
        <f ca="1">IF(AND(ISNUMBER($AP$812),$B$511=1),$AP$812,HLOOKUP(INDIRECT(ADDRESS(2,COLUMN())),OFFSET($BN$2,0,0,ROW()-1,60),ROW()-1,FALSE))</f>
        <v>46196.254280000001</v>
      </c>
      <c r="AQ310" t="str">
        <f ca="1">IF(AND(ISNUMBER($AQ$812),$B$511=1),$AQ$812,HLOOKUP(INDIRECT(ADDRESS(2,COLUMN())),OFFSET($BN$2,0,0,ROW()-1,60),ROW()-1,FALSE))</f>
        <v/>
      </c>
      <c r="AR310" t="str">
        <f ca="1">IF(AND(ISNUMBER($AR$812),$B$511=1),$AR$812,HLOOKUP(INDIRECT(ADDRESS(2,COLUMN())),OFFSET($BN$2,0,0,ROW()-1,60),ROW()-1,FALSE))</f>
        <v/>
      </c>
      <c r="AS310" t="str">
        <f ca="1">IF(AND(ISNUMBER($AS$812),$B$511=1),$AS$812,HLOOKUP(INDIRECT(ADDRESS(2,COLUMN())),OFFSET($BN$2,0,0,ROW()-1,60),ROW()-1,FALSE))</f>
        <v/>
      </c>
      <c r="AT310">
        <f ca="1">IF(AND(ISNUMBER($AT$812),$B$511=1),$AT$812,HLOOKUP(INDIRECT(ADDRESS(2,COLUMN())),OFFSET($BN$2,0,0,ROW()-1,60),ROW()-1,FALSE))</f>
        <v>40213.356820000001</v>
      </c>
      <c r="AU310" t="str">
        <f ca="1">IF(AND(ISNUMBER($AU$812),$B$511=1),$AU$812,HLOOKUP(INDIRECT(ADDRESS(2,COLUMN())),OFFSET($BN$2,0,0,ROW()-1,60),ROW()-1,FALSE))</f>
        <v/>
      </c>
      <c r="AV310" t="str">
        <f ca="1">IF(AND(ISNUMBER($AV$812),$B$511=1),$AV$812,HLOOKUP(INDIRECT(ADDRESS(2,COLUMN())),OFFSET($BN$2,0,0,ROW()-1,60),ROW()-1,FALSE))</f>
        <v/>
      </c>
      <c r="AW310" t="str">
        <f ca="1">IF(AND(ISNUMBER($AW$812),$B$511=1),$AW$812,HLOOKUP(INDIRECT(ADDRESS(2,COLUMN())),OFFSET($BN$2,0,0,ROW()-1,60),ROW()-1,FALSE))</f>
        <v/>
      </c>
      <c r="AX310" t="str">
        <f ca="1">IF(AND(ISNUMBER($AX$812),$B$511=1),$AX$812,HLOOKUP(INDIRECT(ADDRESS(2,COLUMN())),OFFSET($BN$2,0,0,ROW()-1,60),ROW()-1,FALSE))</f>
        <v/>
      </c>
      <c r="AY310" t="str">
        <f ca="1">IF(AND(ISNUMBER($AY$812),$B$511=1),$AY$812,HLOOKUP(INDIRECT(ADDRESS(2,COLUMN())),OFFSET($BN$2,0,0,ROW()-1,60),ROW()-1,FALSE))</f>
        <v/>
      </c>
      <c r="AZ310" t="str">
        <f ca="1">IF(AND(ISNUMBER($AZ$812),$B$511=1),$AZ$812,HLOOKUP(INDIRECT(ADDRESS(2,COLUMN())),OFFSET($BN$2,0,0,ROW()-1,60),ROW()-1,FALSE))</f>
        <v/>
      </c>
      <c r="BA310" t="str">
        <f ca="1">IF(AND(ISNUMBER($BA$812),$B$511=1),$BA$812,HLOOKUP(INDIRECT(ADDRESS(2,COLUMN())),OFFSET($BN$2,0,0,ROW()-1,60),ROW()-1,FALSE))</f>
        <v/>
      </c>
      <c r="BB310" t="str">
        <f ca="1">IF(AND(ISNUMBER($BB$812),$B$511=1),$BB$812,HLOOKUP(INDIRECT(ADDRESS(2,COLUMN())),OFFSET($BN$2,0,0,ROW()-1,60),ROW()-1,FALSE))</f>
        <v/>
      </c>
      <c r="BC310" t="str">
        <f ca="1">IF(AND(ISNUMBER($BC$812),$B$511=1),$BC$812,HLOOKUP(INDIRECT(ADDRESS(2,COLUMN())),OFFSET($BN$2,0,0,ROW()-1,60),ROW()-1,FALSE))</f>
        <v/>
      </c>
      <c r="BD310" t="str">
        <f ca="1">IF(AND(ISNUMBER($BD$812),$B$511=1),$BD$812,HLOOKUP(INDIRECT(ADDRESS(2,COLUMN())),OFFSET($BN$2,0,0,ROW()-1,60),ROW()-1,FALSE))</f>
        <v/>
      </c>
      <c r="BE310" t="str">
        <f ca="1">IF(AND(ISNUMBER($BE$812),$B$511=1),$BE$812,HLOOKUP(INDIRECT(ADDRESS(2,COLUMN())),OFFSET($BN$2,0,0,ROW()-1,60),ROW()-1,FALSE))</f>
        <v/>
      </c>
      <c r="BF310">
        <f ca="1">IF(AND(ISNUMBER($BF$812),$B$511=1),$BF$812,HLOOKUP(INDIRECT(ADDRESS(2,COLUMN())),OFFSET($BN$2,0,0,ROW()-1,60),ROW()-1,FALSE))</f>
        <v>34874.885110000003</v>
      </c>
      <c r="BG310" t="str">
        <f ca="1">IF(AND(ISNUMBER($BG$812),$B$511=1),$BG$812,HLOOKUP(INDIRECT(ADDRESS(2,COLUMN())),OFFSET($BN$2,0,0,ROW()-1,60),ROW()-1,FALSE))</f>
        <v/>
      </c>
      <c r="BH310" t="str">
        <f ca="1">IF(AND(ISNUMBER($BH$812),$B$511=1),$BH$812,HLOOKUP(INDIRECT(ADDRESS(2,COLUMN())),OFFSET($BN$2,0,0,ROW()-1,60),ROW()-1,FALSE))</f>
        <v/>
      </c>
      <c r="BI310" t="str">
        <f ca="1">IF(AND(ISNUMBER($BI$812),$B$511=1),$BI$812,HLOOKUP(INDIRECT(ADDRESS(2,COLUMN())),OFFSET($BN$2,0,0,ROW()-1,60),ROW()-1,FALSE))</f>
        <v/>
      </c>
      <c r="BJ310" t="str">
        <f ca="1">IF(AND(ISNUMBER($BJ$812),$B$511=1),$BJ$812,HLOOKUP(INDIRECT(ADDRESS(2,COLUMN())),OFFSET($BN$2,0,0,ROW()-1,60),ROW()-1,FALSE))</f>
        <v/>
      </c>
      <c r="BK310" t="str">
        <f ca="1">IF(AND(ISNUMBER($BK$812),$B$511=1),$BK$812,HLOOKUP(INDIRECT(ADDRESS(2,COLUMN())),OFFSET($BN$2,0,0,ROW()-1,60),ROW()-1,FALSE))</f>
        <v/>
      </c>
      <c r="BL310" t="str">
        <f ca="1">IF(AND(ISNUMBER($BL$812),$B$511=1),$BL$812,HLOOKUP(INDIRECT(ADDRESS(2,COLUMN())),OFFSET($BN$2,0,0,ROW()-1,60),ROW()-1,FALSE))</f>
        <v/>
      </c>
      <c r="BM310" t="str">
        <f ca="1">IF(AND(ISNUMBER($BM$812),$B$511=1),$BM$812,HLOOKUP(INDIRECT(ADDRESS(2,COLUMN())),OFFSET($BN$2,0,0,ROW()-1,60),ROW()-1,FALSE))</f>
        <v/>
      </c>
      <c r="BN310" t="str">
        <f>""</f>
        <v/>
      </c>
      <c r="BO310">
        <f>68777.07459</f>
        <v>68777.074590000004</v>
      </c>
      <c r="BP310">
        <f>67092.99559</f>
        <v>67092.995590000006</v>
      </c>
      <c r="BQ310">
        <f>66504.15237</f>
        <v>66504.152369999996</v>
      </c>
      <c r="BR310">
        <f>67708.75541</f>
        <v>67708.755409999998</v>
      </c>
      <c r="BS310">
        <f>65742.76959</f>
        <v>65742.769589999996</v>
      </c>
      <c r="BT310">
        <f>61590.13497</f>
        <v>61590.134969999999</v>
      </c>
      <c r="BU310">
        <f>59694.54384</f>
        <v>59694.543839999998</v>
      </c>
      <c r="BV310">
        <f>58549.13305</f>
        <v>58549.133049999997</v>
      </c>
      <c r="BW310">
        <f>55782.07305</f>
        <v>55782.073049999999</v>
      </c>
      <c r="BX310">
        <f>56828.25594</f>
        <v>56828.255940000003</v>
      </c>
      <c r="BY310">
        <f>55145.26601</f>
        <v>55145.266009999999</v>
      </c>
      <c r="BZ310">
        <f>52768.83556</f>
        <v>52768.83556</v>
      </c>
      <c r="CA310">
        <f>53430.12479</f>
        <v>53430.124790000002</v>
      </c>
      <c r="CB310">
        <f>53004.54583</f>
        <v>53004.545830000003</v>
      </c>
      <c r="CC310">
        <f>53713.09368</f>
        <v>53713.093679999998</v>
      </c>
      <c r="CD310">
        <f>56077.11546</f>
        <v>56077.115460000001</v>
      </c>
      <c r="CE310" t="str">
        <f>""</f>
        <v/>
      </c>
      <c r="CF310" t="str">
        <f>""</f>
        <v/>
      </c>
      <c r="CG310" t="str">
        <f>""</f>
        <v/>
      </c>
      <c r="CH310">
        <f>57315.80479</f>
        <v>57315.804790000002</v>
      </c>
      <c r="CI310" t="str">
        <f>""</f>
        <v/>
      </c>
      <c r="CJ310" t="str">
        <f>""</f>
        <v/>
      </c>
      <c r="CK310" t="str">
        <f>""</f>
        <v/>
      </c>
      <c r="CL310">
        <f>53355.77372</f>
        <v>53355.773719999997</v>
      </c>
      <c r="CM310" t="str">
        <f>""</f>
        <v/>
      </c>
      <c r="CN310" t="str">
        <f>""</f>
        <v/>
      </c>
      <c r="CO310" t="str">
        <f>""</f>
        <v/>
      </c>
      <c r="CP310">
        <f>53154.88321</f>
        <v>53154.88321</v>
      </c>
      <c r="CQ310" t="str">
        <f>""</f>
        <v/>
      </c>
      <c r="CR310" t="str">
        <f>""</f>
        <v/>
      </c>
      <c r="CS310" t="str">
        <f>""</f>
        <v/>
      </c>
      <c r="CT310">
        <f>53579.2225</f>
        <v>53579.222500000003</v>
      </c>
      <c r="CU310" t="str">
        <f>""</f>
        <v/>
      </c>
      <c r="CV310" t="str">
        <f>""</f>
        <v/>
      </c>
      <c r="CW310" t="str">
        <f>""</f>
        <v/>
      </c>
      <c r="CX310">
        <f>46196.25428</f>
        <v>46196.254280000001</v>
      </c>
      <c r="CY310" t="str">
        <f>""</f>
        <v/>
      </c>
      <c r="CZ310" t="str">
        <f>""</f>
        <v/>
      </c>
      <c r="DA310" t="str">
        <f>""</f>
        <v/>
      </c>
      <c r="DB310">
        <f>40213.35682</f>
        <v>40213.356820000001</v>
      </c>
      <c r="DC310" t="str">
        <f>""</f>
        <v/>
      </c>
      <c r="DD310" t="str">
        <f>""</f>
        <v/>
      </c>
      <c r="DE310" t="str">
        <f>""</f>
        <v/>
      </c>
      <c r="DF310" t="str">
        <f>""</f>
        <v/>
      </c>
      <c r="DG310" t="str">
        <f>""</f>
        <v/>
      </c>
      <c r="DH310" t="str">
        <f>""</f>
        <v/>
      </c>
      <c r="DI310" t="str">
        <f>""</f>
        <v/>
      </c>
      <c r="DJ310" t="str">
        <f>""</f>
        <v/>
      </c>
      <c r="DK310" t="str">
        <f>""</f>
        <v/>
      </c>
      <c r="DL310" t="str">
        <f>""</f>
        <v/>
      </c>
      <c r="DM310" t="str">
        <f>""</f>
        <v/>
      </c>
      <c r="DN310">
        <f>34874.88511</f>
        <v>34874.885110000003</v>
      </c>
      <c r="DO310" t="str">
        <f>""</f>
        <v/>
      </c>
      <c r="DP310" t="str">
        <f>""</f>
        <v/>
      </c>
      <c r="DQ310" t="str">
        <f>""</f>
        <v/>
      </c>
      <c r="DR310" t="str">
        <f>""</f>
        <v/>
      </c>
      <c r="DS310" t="str">
        <f>""</f>
        <v/>
      </c>
      <c r="DT310" t="str">
        <f>""</f>
        <v/>
      </c>
      <c r="DU310" t="str">
        <f>""</f>
        <v/>
      </c>
    </row>
    <row r="311" spans="1:125" x14ac:dyDescent="0.25">
      <c r="A311" t="str">
        <f>"    Hyundai Motor Co"</f>
        <v xml:space="preserve">    Hyundai Motor Co</v>
      </c>
      <c r="B311" t="str">
        <f>"005380 KS Equity"</f>
        <v>005380 KS Equity</v>
      </c>
      <c r="C311" t="str">
        <f t="shared" si="21"/>
        <v>RR179</v>
      </c>
      <c r="D311" t="str">
        <f t="shared" si="22"/>
        <v>TANGIBLE_COMMON_EQUITY</v>
      </c>
      <c r="E311" t="str">
        <f t="shared" si="23"/>
        <v>Dynamic</v>
      </c>
      <c r="F311" t="str">
        <f ca="1">IF(AND(ISNUMBER($F$813),$B$511=1),$F$813,HLOOKUP(INDIRECT(ADDRESS(2,COLUMN())),OFFSET($BN$2,0,0,ROW()-1,60),ROW()-1,FALSE))</f>
        <v/>
      </c>
      <c r="G311" t="str">
        <f ca="1">IF(AND(ISNUMBER($G$813),$B$511=1),$G$813,HLOOKUP(INDIRECT(ADDRESS(2,COLUMN())),OFFSET($BN$2,0,0,ROW()-1,60),ROW()-1,FALSE))</f>
        <v/>
      </c>
      <c r="H311">
        <f ca="1">IF(AND(ISNUMBER($H$813),$B$511=1),$H$813,HLOOKUP(INDIRECT(ADDRESS(2,COLUMN())),OFFSET($BN$2,0,0,ROW()-1,60),ROW()-1,FALSE))</f>
        <v>57519.917289999998</v>
      </c>
      <c r="I311">
        <f ca="1">IF(AND(ISNUMBER($I$813),$B$511=1),$I$813,HLOOKUP(INDIRECT(ADDRESS(2,COLUMN())),OFFSET($BN$2,0,0,ROW()-1,60),ROW()-1,FALSE))</f>
        <v>57643.027289999998</v>
      </c>
      <c r="J311">
        <f ca="1">IF(AND(ISNUMBER($J$813),$B$511=1),$J$813,HLOOKUP(INDIRECT(ADDRESS(2,COLUMN())),OFFSET($BN$2,0,0,ROW()-1,60),ROW()-1,FALSE))</f>
        <v>60150.018380000001</v>
      </c>
      <c r="K311">
        <f ca="1">IF(AND(ISNUMBER($K$813),$B$511=1),$K$813,HLOOKUP(INDIRECT(ADDRESS(2,COLUMN())),OFFSET($BN$2,0,0,ROW()-1,60),ROW()-1,FALSE))</f>
        <v>59927.050170000002</v>
      </c>
      <c r="L311">
        <f ca="1">IF(AND(ISNUMBER($L$813),$B$511=1),$L$813,HLOOKUP(INDIRECT(ADDRESS(2,COLUMN())),OFFSET($BN$2,0,0,ROW()-1,60),ROW()-1,FALSE))</f>
        <v>56095.87659</v>
      </c>
      <c r="M311">
        <f ca="1">IF(AND(ISNUMBER($M$813),$B$511=1),$M$813,HLOOKUP(INDIRECT(ADDRESS(2,COLUMN())),OFFSET($BN$2,0,0,ROW()-1,60),ROW()-1,FALSE))</f>
        <v>55474.279139999999</v>
      </c>
      <c r="N311">
        <f ca="1">IF(AND(ISNUMBER($N$813),$B$511=1),$N$813,HLOOKUP(INDIRECT(ADDRESS(2,COLUMN())),OFFSET($BN$2,0,0,ROW()-1,60),ROW()-1,FALSE))</f>
        <v>55247.515189999998</v>
      </c>
      <c r="O311">
        <f ca="1">IF(AND(ISNUMBER($O$813),$B$511=1),$O$813,HLOOKUP(INDIRECT(ADDRESS(2,COLUMN())),OFFSET($BN$2,0,0,ROW()-1,60),ROW()-1,FALSE))</f>
        <v>51550.488830000002</v>
      </c>
      <c r="P311">
        <f ca="1">IF(AND(ISNUMBER($P$813),$B$511=1),$P$813,HLOOKUP(INDIRECT(ADDRESS(2,COLUMN())),OFFSET($BN$2,0,0,ROW()-1,60),ROW()-1,FALSE))</f>
        <v>54195.819539999997</v>
      </c>
      <c r="Q311">
        <f ca="1">IF(AND(ISNUMBER($Q$813),$B$511=1),$Q$813,HLOOKUP(INDIRECT(ADDRESS(2,COLUMN())),OFFSET($BN$2,0,0,ROW()-1,60),ROW()-1,FALSE))</f>
        <v>51676.314919999997</v>
      </c>
      <c r="R311">
        <f ca="1">IF(AND(ISNUMBER($R$813),$B$511=1),$R$813,HLOOKUP(INDIRECT(ADDRESS(2,COLUMN())),OFFSET($BN$2,0,0,ROW()-1,60),ROW()-1,FALSE))</f>
        <v>50840.347040000001</v>
      </c>
      <c r="S311">
        <f ca="1">IF(AND(ISNUMBER($S$813),$B$511=1),$S$813,HLOOKUP(INDIRECT(ADDRESS(2,COLUMN())),OFFSET($BN$2,0,0,ROW()-1,60),ROW()-1,FALSE))</f>
        <v>48810.547930000001</v>
      </c>
      <c r="T311">
        <f ca="1">IF(AND(ISNUMBER($T$813),$B$511=1),$T$813,HLOOKUP(INDIRECT(ADDRESS(2,COLUMN())),OFFSET($BN$2,0,0,ROW()-1,60),ROW()-1,FALSE))</f>
        <v>48138.818120000004</v>
      </c>
      <c r="U311">
        <f ca="1">IF(AND(ISNUMBER($U$813),$B$511=1),$U$813,HLOOKUP(INDIRECT(ADDRESS(2,COLUMN())),OFFSET($BN$2,0,0,ROW()-1,60),ROW()-1,FALSE))</f>
        <v>50031.92856</v>
      </c>
      <c r="V311">
        <f ca="1">IF(AND(ISNUMBER($V$813),$B$511=1),$V$813,HLOOKUP(INDIRECT(ADDRESS(2,COLUMN())),OFFSET($BN$2,0,0,ROW()-1,60),ROW()-1,FALSE))</f>
        <v>48578.325770000003</v>
      </c>
      <c r="W311">
        <f ca="1">IF(AND(ISNUMBER($W$813),$B$511=1),$W$813,HLOOKUP(INDIRECT(ADDRESS(2,COLUMN())),OFFSET($BN$2,0,0,ROW()-1,60),ROW()-1,FALSE))</f>
        <v>48945.349009999998</v>
      </c>
      <c r="X311">
        <f ca="1">IF(AND(ISNUMBER($X$813),$B$511=1),$X$813,HLOOKUP(INDIRECT(ADDRESS(2,COLUMN())),OFFSET($BN$2,0,0,ROW()-1,60),ROW()-1,FALSE))</f>
        <v>49950.281660000001</v>
      </c>
      <c r="Y311">
        <f ca="1">IF(AND(ISNUMBER($Y$813),$B$511=1),$Y$813,HLOOKUP(INDIRECT(ADDRESS(2,COLUMN())),OFFSET($BN$2,0,0,ROW()-1,60),ROW()-1,FALSE))</f>
        <v>50684.933210000003</v>
      </c>
      <c r="Z311">
        <f ca="1">IF(AND(ISNUMBER($Z$813),$B$511=1),$Z$813,HLOOKUP(INDIRECT(ADDRESS(2,COLUMN())),OFFSET($BN$2,0,0,ROW()-1,60),ROW()-1,FALSE))</f>
        <v>46797.51384</v>
      </c>
      <c r="AA311">
        <f ca="1">IF(AND(ISNUMBER($AA$813),$B$511=1),$AA$813,HLOOKUP(INDIRECT(ADDRESS(2,COLUMN())),OFFSET($BN$2,0,0,ROW()-1,60),ROW()-1,FALSE))</f>
        <v>46037.881939999999</v>
      </c>
      <c r="AB311">
        <f ca="1">IF(AND(ISNUMBER($AB$813),$B$511=1),$AB$813,HLOOKUP(INDIRECT(ADDRESS(2,COLUMN())),OFFSET($BN$2,0,0,ROW()-1,60),ROW()-1,FALSE))</f>
        <v>43297.012219999997</v>
      </c>
      <c r="AC311">
        <f ca="1">IF(AND(ISNUMBER($AC$813),$B$511=1),$AC$813,HLOOKUP(INDIRECT(ADDRESS(2,COLUMN())),OFFSET($BN$2,0,0,ROW()-1,60),ROW()-1,FALSE))</f>
        <v>39494.300470000002</v>
      </c>
      <c r="AD311">
        <f ca="1">IF(AND(ISNUMBER($AD$813),$B$511=1),$AD$813,HLOOKUP(INDIRECT(ADDRESS(2,COLUMN())),OFFSET($BN$2,0,0,ROW()-1,60),ROW()-1,FALSE))</f>
        <v>38170.732060000002</v>
      </c>
      <c r="AE311">
        <f ca="1">IF(AND(ISNUMBER($AE$813),$B$511=1),$AE$813,HLOOKUP(INDIRECT(ADDRESS(2,COLUMN())),OFFSET($BN$2,0,0,ROW()-1,60),ROW()-1,FALSE))</f>
        <v>38378.218569999997</v>
      </c>
      <c r="AF311">
        <f ca="1">IF(AND(ISNUMBER($AF$813),$B$511=1),$AF$813,HLOOKUP(INDIRECT(ADDRESS(2,COLUMN())),OFFSET($BN$2,0,0,ROW()-1,60),ROW()-1,FALSE))</f>
        <v>35955.18664</v>
      </c>
      <c r="AG311">
        <f ca="1">IF(AND(ISNUMBER($AG$813),$B$511=1),$AG$813,HLOOKUP(INDIRECT(ADDRESS(2,COLUMN())),OFFSET($BN$2,0,0,ROW()-1,60),ROW()-1,FALSE))</f>
        <v>33418.383390000003</v>
      </c>
      <c r="AH311">
        <f ca="1">IF(AND(ISNUMBER($AH$813),$B$511=1),$AH$813,HLOOKUP(INDIRECT(ADDRESS(2,COLUMN())),OFFSET($BN$2,0,0,ROW()-1,60),ROW()-1,FALSE))</f>
        <v>31757.202529999999</v>
      </c>
      <c r="AI311">
        <f ca="1">IF(AND(ISNUMBER($AI$813),$B$511=1),$AI$813,HLOOKUP(INDIRECT(ADDRESS(2,COLUMN())),OFFSET($BN$2,0,0,ROW()-1,60),ROW()-1,FALSE))</f>
        <v>29444.887129999999</v>
      </c>
      <c r="AJ311">
        <f ca="1">IF(AND(ISNUMBER($AJ$813),$B$511=1),$AJ$813,HLOOKUP(INDIRECT(ADDRESS(2,COLUMN())),OFFSET($BN$2,0,0,ROW()-1,60),ROW()-1,FALSE))</f>
        <v>27497.734219999998</v>
      </c>
      <c r="AK311">
        <f ca="1">IF(AND(ISNUMBER($AK$813),$B$511=1),$AK$813,HLOOKUP(INDIRECT(ADDRESS(2,COLUMN())),OFFSET($BN$2,0,0,ROW()-1,60),ROW()-1,FALSE))</f>
        <v>28756.807540000002</v>
      </c>
      <c r="AL311">
        <f ca="1">IF(AND(ISNUMBER($AL$813),$B$511=1),$AL$813,HLOOKUP(INDIRECT(ADDRESS(2,COLUMN())),OFFSET($BN$2,0,0,ROW()-1,60),ROW()-1,FALSE))</f>
        <v>26131.673729999999</v>
      </c>
      <c r="AM311">
        <f ca="1">IF(AND(ISNUMBER($AM$813),$B$511=1),$AM$813,HLOOKUP(INDIRECT(ADDRESS(2,COLUMN())),OFFSET($BN$2,0,0,ROW()-1,60),ROW()-1,FALSE))</f>
        <v>24090.633020000001</v>
      </c>
      <c r="AN311" t="str">
        <f ca="1">IF(AND(ISNUMBER($AN$813),$B$511=1),$AN$813,HLOOKUP(INDIRECT(ADDRESS(2,COLUMN())),OFFSET($BN$2,0,0,ROW()-1,60),ROW()-1,FALSE))</f>
        <v/>
      </c>
      <c r="AO311" t="str">
        <f ca="1">IF(AND(ISNUMBER($AO$813),$B$511=1),$AO$813,HLOOKUP(INDIRECT(ADDRESS(2,COLUMN())),OFFSET($BN$2,0,0,ROW()-1,60),ROW()-1,FALSE))</f>
        <v/>
      </c>
      <c r="AP311" t="str">
        <f ca="1">IF(AND(ISNUMBER($AP$813),$B$511=1),$AP$813,HLOOKUP(INDIRECT(ADDRESS(2,COLUMN())),OFFSET($BN$2,0,0,ROW()-1,60),ROW()-1,FALSE))</f>
        <v/>
      </c>
      <c r="AQ311" t="str">
        <f ca="1">IF(AND(ISNUMBER($AQ$813),$B$511=1),$AQ$813,HLOOKUP(INDIRECT(ADDRESS(2,COLUMN())),OFFSET($BN$2,0,0,ROW()-1,60),ROW()-1,FALSE))</f>
        <v/>
      </c>
      <c r="AR311" t="str">
        <f ca="1">IF(AND(ISNUMBER($AR$813),$B$511=1),$AR$813,HLOOKUP(INDIRECT(ADDRESS(2,COLUMN())),OFFSET($BN$2,0,0,ROW()-1,60),ROW()-1,FALSE))</f>
        <v/>
      </c>
      <c r="AS311" t="str">
        <f ca="1">IF(AND(ISNUMBER($AS$813),$B$511=1),$AS$813,HLOOKUP(INDIRECT(ADDRESS(2,COLUMN())),OFFSET($BN$2,0,0,ROW()-1,60),ROW()-1,FALSE))</f>
        <v/>
      </c>
      <c r="AT311" t="str">
        <f ca="1">IF(AND(ISNUMBER($AT$813),$B$511=1),$AT$813,HLOOKUP(INDIRECT(ADDRESS(2,COLUMN())),OFFSET($BN$2,0,0,ROW()-1,60),ROW()-1,FALSE))</f>
        <v/>
      </c>
      <c r="AU311" t="str">
        <f ca="1">IF(AND(ISNUMBER($AU$813),$B$511=1),$AU$813,HLOOKUP(INDIRECT(ADDRESS(2,COLUMN())),OFFSET($BN$2,0,0,ROW()-1,60),ROW()-1,FALSE))</f>
        <v/>
      </c>
      <c r="AV311" t="str">
        <f ca="1">IF(AND(ISNUMBER($AV$813),$B$511=1),$AV$813,HLOOKUP(INDIRECT(ADDRESS(2,COLUMN())),OFFSET($BN$2,0,0,ROW()-1,60),ROW()-1,FALSE))</f>
        <v/>
      </c>
      <c r="AW311" t="str">
        <f ca="1">IF(AND(ISNUMBER($AW$813),$B$511=1),$AW$813,HLOOKUP(INDIRECT(ADDRESS(2,COLUMN())),OFFSET($BN$2,0,0,ROW()-1,60),ROW()-1,FALSE))</f>
        <v/>
      </c>
      <c r="AX311" t="str">
        <f ca="1">IF(AND(ISNUMBER($AX$813),$B$511=1),$AX$813,HLOOKUP(INDIRECT(ADDRESS(2,COLUMN())),OFFSET($BN$2,0,0,ROW()-1,60),ROW()-1,FALSE))</f>
        <v/>
      </c>
      <c r="AY311" t="str">
        <f ca="1">IF(AND(ISNUMBER($AY$813),$B$511=1),$AY$813,HLOOKUP(INDIRECT(ADDRESS(2,COLUMN())),OFFSET($BN$2,0,0,ROW()-1,60),ROW()-1,FALSE))</f>
        <v/>
      </c>
      <c r="AZ311" t="str">
        <f ca="1">IF(AND(ISNUMBER($AZ$813),$B$511=1),$AZ$813,HLOOKUP(INDIRECT(ADDRESS(2,COLUMN())),OFFSET($BN$2,0,0,ROW()-1,60),ROW()-1,FALSE))</f>
        <v/>
      </c>
      <c r="BA311" t="str">
        <f ca="1">IF(AND(ISNUMBER($BA$813),$B$511=1),$BA$813,HLOOKUP(INDIRECT(ADDRESS(2,COLUMN())),OFFSET($BN$2,0,0,ROW()-1,60),ROW()-1,FALSE))</f>
        <v/>
      </c>
      <c r="BB311" t="str">
        <f ca="1">IF(AND(ISNUMBER($BB$813),$B$511=1),$BB$813,HLOOKUP(INDIRECT(ADDRESS(2,COLUMN())),OFFSET($BN$2,0,0,ROW()-1,60),ROW()-1,FALSE))</f>
        <v/>
      </c>
      <c r="BC311" t="str">
        <f ca="1">IF(AND(ISNUMBER($BC$813),$B$511=1),$BC$813,HLOOKUP(INDIRECT(ADDRESS(2,COLUMN())),OFFSET($BN$2,0,0,ROW()-1,60),ROW()-1,FALSE))</f>
        <v/>
      </c>
      <c r="BD311" t="str">
        <f ca="1">IF(AND(ISNUMBER($BD$813),$B$511=1),$BD$813,HLOOKUP(INDIRECT(ADDRESS(2,COLUMN())),OFFSET($BN$2,0,0,ROW()-1,60),ROW()-1,FALSE))</f>
        <v/>
      </c>
      <c r="BE311" t="str">
        <f ca="1">IF(AND(ISNUMBER($BE$813),$B$511=1),$BE$813,HLOOKUP(INDIRECT(ADDRESS(2,COLUMN())),OFFSET($BN$2,0,0,ROW()-1,60),ROW()-1,FALSE))</f>
        <v/>
      </c>
      <c r="BF311" t="str">
        <f ca="1">IF(AND(ISNUMBER($BF$813),$B$511=1),$BF$813,HLOOKUP(INDIRECT(ADDRESS(2,COLUMN())),OFFSET($BN$2,0,0,ROW()-1,60),ROW()-1,FALSE))</f>
        <v/>
      </c>
      <c r="BG311" t="str">
        <f ca="1">IF(AND(ISNUMBER($BG$813),$B$511=1),$BG$813,HLOOKUP(INDIRECT(ADDRESS(2,COLUMN())),OFFSET($BN$2,0,0,ROW()-1,60),ROW()-1,FALSE))</f>
        <v/>
      </c>
      <c r="BH311" t="str">
        <f ca="1">IF(AND(ISNUMBER($BH$813),$B$511=1),$BH$813,HLOOKUP(INDIRECT(ADDRESS(2,COLUMN())),OFFSET($BN$2,0,0,ROW()-1,60),ROW()-1,FALSE))</f>
        <v/>
      </c>
      <c r="BI311" t="str">
        <f ca="1">IF(AND(ISNUMBER($BI$813),$B$511=1),$BI$813,HLOOKUP(INDIRECT(ADDRESS(2,COLUMN())),OFFSET($BN$2,0,0,ROW()-1,60),ROW()-1,FALSE))</f>
        <v/>
      </c>
      <c r="BJ311" t="str">
        <f ca="1">IF(AND(ISNUMBER($BJ$813),$B$511=1),$BJ$813,HLOOKUP(INDIRECT(ADDRESS(2,COLUMN())),OFFSET($BN$2,0,0,ROW()-1,60),ROW()-1,FALSE))</f>
        <v/>
      </c>
      <c r="BK311" t="str">
        <f ca="1">IF(AND(ISNUMBER($BK$813),$B$511=1),$BK$813,HLOOKUP(INDIRECT(ADDRESS(2,COLUMN())),OFFSET($BN$2,0,0,ROW()-1,60),ROW()-1,FALSE))</f>
        <v/>
      </c>
      <c r="BL311" t="str">
        <f ca="1">IF(AND(ISNUMBER($BL$813),$B$511=1),$BL$813,HLOOKUP(INDIRECT(ADDRESS(2,COLUMN())),OFFSET($BN$2,0,0,ROW()-1,60),ROW()-1,FALSE))</f>
        <v/>
      </c>
      <c r="BM311" t="str">
        <f ca="1">IF(AND(ISNUMBER($BM$813),$B$511=1),$BM$813,HLOOKUP(INDIRECT(ADDRESS(2,COLUMN())),OFFSET($BN$2,0,0,ROW()-1,60),ROW()-1,FALSE))</f>
        <v/>
      </c>
      <c r="BN311" t="str">
        <f>""</f>
        <v/>
      </c>
      <c r="BO311" t="str">
        <f>""</f>
        <v/>
      </c>
      <c r="BP311">
        <f>57519.91729</f>
        <v>57519.917289999998</v>
      </c>
      <c r="BQ311">
        <f>57643.02729</f>
        <v>57643.027289999998</v>
      </c>
      <c r="BR311">
        <f>60150.01838</f>
        <v>60150.018380000001</v>
      </c>
      <c r="BS311">
        <f>59927.05017</f>
        <v>59927.050170000002</v>
      </c>
      <c r="BT311">
        <f>56095.8765899999</f>
        <v>56095.87659</v>
      </c>
      <c r="BU311">
        <f>55474.2791399999</f>
        <v>55474.279139999999</v>
      </c>
      <c r="BV311">
        <f>55247.51519</f>
        <v>55247.515189999998</v>
      </c>
      <c r="BW311">
        <f>51550.48883</f>
        <v>51550.488830000002</v>
      </c>
      <c r="BX311">
        <f>54195.81954</f>
        <v>54195.819539999997</v>
      </c>
      <c r="BY311">
        <f>51676.31492</f>
        <v>51676.314919999997</v>
      </c>
      <c r="BZ311">
        <f>50840.34704</f>
        <v>50840.347040000001</v>
      </c>
      <c r="CA311">
        <f>48810.54793</f>
        <v>48810.547930000001</v>
      </c>
      <c r="CB311">
        <f>48138.81812</f>
        <v>48138.818120000004</v>
      </c>
      <c r="CC311">
        <f>50031.92856</f>
        <v>50031.92856</v>
      </c>
      <c r="CD311">
        <f>48578.32577</f>
        <v>48578.325770000003</v>
      </c>
      <c r="CE311">
        <f>48945.34901</f>
        <v>48945.349009999998</v>
      </c>
      <c r="CF311">
        <f>49950.28166</f>
        <v>49950.281660000001</v>
      </c>
      <c r="CG311">
        <f>50684.93321</f>
        <v>50684.933210000003</v>
      </c>
      <c r="CH311">
        <f>46797.51384</f>
        <v>46797.51384</v>
      </c>
      <c r="CI311">
        <f>46037.88194</f>
        <v>46037.881939999999</v>
      </c>
      <c r="CJ311">
        <f>43297.01222</f>
        <v>43297.012219999997</v>
      </c>
      <c r="CK311">
        <f>39494.30047</f>
        <v>39494.300470000002</v>
      </c>
      <c r="CL311">
        <f>38170.73206</f>
        <v>38170.732060000002</v>
      </c>
      <c r="CM311">
        <f>38378.21857</f>
        <v>38378.218569999997</v>
      </c>
      <c r="CN311">
        <f>35955.18664</f>
        <v>35955.18664</v>
      </c>
      <c r="CO311">
        <f>33418.38339</f>
        <v>33418.383390000003</v>
      </c>
      <c r="CP311">
        <f>31757.20253</f>
        <v>31757.202529999999</v>
      </c>
      <c r="CQ311">
        <f>29444.88713</f>
        <v>29444.887129999999</v>
      </c>
      <c r="CR311">
        <f>27497.73422</f>
        <v>27497.734219999998</v>
      </c>
      <c r="CS311">
        <f>28756.80754</f>
        <v>28756.807540000002</v>
      </c>
      <c r="CT311">
        <f>26131.67373</f>
        <v>26131.673729999999</v>
      </c>
      <c r="CU311">
        <f>24090.63302</f>
        <v>24090.633020000001</v>
      </c>
      <c r="CV311" t="str">
        <f>""</f>
        <v/>
      </c>
      <c r="CW311" t="str">
        <f>""</f>
        <v/>
      </c>
      <c r="CX311" t="str">
        <f>""</f>
        <v/>
      </c>
      <c r="CY311" t="str">
        <f>""</f>
        <v/>
      </c>
      <c r="CZ311" t="str">
        <f>""</f>
        <v/>
      </c>
      <c r="DA311" t="str">
        <f>""</f>
        <v/>
      </c>
      <c r="DB311" t="str">
        <f>""</f>
        <v/>
      </c>
      <c r="DC311" t="str">
        <f>""</f>
        <v/>
      </c>
      <c r="DD311" t="str">
        <f>""</f>
        <v/>
      </c>
      <c r="DE311" t="str">
        <f>""</f>
        <v/>
      </c>
      <c r="DF311" t="str">
        <f>""</f>
        <v/>
      </c>
      <c r="DG311" t="str">
        <f>""</f>
        <v/>
      </c>
      <c r="DH311" t="str">
        <f>""</f>
        <v/>
      </c>
      <c r="DI311" t="str">
        <f>""</f>
        <v/>
      </c>
      <c r="DJ311" t="str">
        <f>""</f>
        <v/>
      </c>
      <c r="DK311" t="str">
        <f>""</f>
        <v/>
      </c>
      <c r="DL311" t="str">
        <f>""</f>
        <v/>
      </c>
      <c r="DM311" t="str">
        <f>""</f>
        <v/>
      </c>
      <c r="DN311" t="str">
        <f>""</f>
        <v/>
      </c>
      <c r="DO311" t="str">
        <f>""</f>
        <v/>
      </c>
      <c r="DP311" t="str">
        <f>""</f>
        <v/>
      </c>
      <c r="DQ311" t="str">
        <f>""</f>
        <v/>
      </c>
      <c r="DR311" t="str">
        <f>""</f>
        <v/>
      </c>
      <c r="DS311" t="str">
        <f>""</f>
        <v/>
      </c>
      <c r="DT311" t="str">
        <f>""</f>
        <v/>
      </c>
      <c r="DU311" t="str">
        <f>""</f>
        <v/>
      </c>
    </row>
    <row r="312" spans="1:125" x14ac:dyDescent="0.25">
      <c r="A312" t="str">
        <f>"    Kia Motors Corp"</f>
        <v xml:space="preserve">    Kia Motors Corp</v>
      </c>
      <c r="B312" t="str">
        <f>"000270 KS Equity"</f>
        <v>000270 KS Equity</v>
      </c>
      <c r="C312" t="str">
        <f t="shared" si="21"/>
        <v>RR179</v>
      </c>
      <c r="D312" t="str">
        <f t="shared" si="22"/>
        <v>TANGIBLE_COMMON_EQUITY</v>
      </c>
      <c r="E312" t="str">
        <f t="shared" si="23"/>
        <v>Dynamic</v>
      </c>
      <c r="F312" t="str">
        <f ca="1">IF(AND(ISNUMBER($F$814),$B$511=1),$F$814,HLOOKUP(INDIRECT(ADDRESS(2,COLUMN())),OFFSET($BN$2,0,0,ROW()-1,60),ROW()-1,FALSE))</f>
        <v/>
      </c>
      <c r="G312" t="str">
        <f ca="1">IF(AND(ISNUMBER($G$814),$B$511=1),$G$814,HLOOKUP(INDIRECT(ADDRESS(2,COLUMN())),OFFSET($BN$2,0,0,ROW()-1,60),ROW()-1,FALSE))</f>
        <v/>
      </c>
      <c r="H312">
        <f ca="1">IF(AND(ISNUMBER($H$814),$B$511=1),$H$814,HLOOKUP(INDIRECT(ADDRESS(2,COLUMN())),OFFSET($BN$2,0,0,ROW()-1,60),ROW()-1,FALSE))</f>
        <v>22421.609349999999</v>
      </c>
      <c r="I312">
        <f ca="1">IF(AND(ISNUMBER($I$814),$B$511=1),$I$814,HLOOKUP(INDIRECT(ADDRESS(2,COLUMN())),OFFSET($BN$2,0,0,ROW()-1,60),ROW()-1,FALSE))</f>
        <v>22240.769219999998</v>
      </c>
      <c r="J312">
        <f ca="1">IF(AND(ISNUMBER($J$814),$B$511=1),$J$814,HLOOKUP(INDIRECT(ADDRESS(2,COLUMN())),OFFSET($BN$2,0,0,ROW()-1,60),ROW()-1,FALSE))</f>
        <v>23116.927619999999</v>
      </c>
      <c r="K312">
        <f ca="1">IF(AND(ISNUMBER($K$814),$B$511=1),$K$814,HLOOKUP(INDIRECT(ADDRESS(2,COLUMN())),OFFSET($BN$2,0,0,ROW()-1,60),ROW()-1,FALSE))</f>
        <v>22851.651290000002</v>
      </c>
      <c r="L312">
        <f ca="1">IF(AND(ISNUMBER($L$814),$B$511=1),$L$814,HLOOKUP(INDIRECT(ADDRESS(2,COLUMN())),OFFSET($BN$2,0,0,ROW()-1,60),ROW()-1,FALSE))</f>
        <v>21581.897700000001</v>
      </c>
      <c r="M312">
        <f ca="1">IF(AND(ISNUMBER($M$814),$B$511=1),$M$814,HLOOKUP(INDIRECT(ADDRESS(2,COLUMN())),OFFSET($BN$2,0,0,ROW()-1,60),ROW()-1,FALSE))</f>
        <v>21752.350979999999</v>
      </c>
      <c r="N312">
        <f ca="1">IF(AND(ISNUMBER($N$814),$B$511=1),$N$814,HLOOKUP(INDIRECT(ADDRESS(2,COLUMN())),OFFSET($BN$2,0,0,ROW()-1,60),ROW()-1,FALSE))</f>
        <v>21636.106960000001</v>
      </c>
      <c r="O312">
        <f ca="1">IF(AND(ISNUMBER($O$814),$B$511=1),$O$814,HLOOKUP(INDIRECT(ADDRESS(2,COLUMN())),OFFSET($BN$2,0,0,ROW()-1,60),ROW()-1,FALSE))</f>
        <v>20102.91145</v>
      </c>
      <c r="P312">
        <f ca="1">IF(AND(ISNUMBER($P$814),$B$511=1),$P$814,HLOOKUP(INDIRECT(ADDRESS(2,COLUMN())),OFFSET($BN$2,0,0,ROW()-1,60),ROW()-1,FALSE))</f>
        <v>21227.49955</v>
      </c>
      <c r="Q312">
        <f ca="1">IF(AND(ISNUMBER($Q$814),$B$511=1),$Q$814,HLOOKUP(INDIRECT(ADDRESS(2,COLUMN())),OFFSET($BN$2,0,0,ROW()-1,60),ROW()-1,FALSE))</f>
        <v>20032.260279999999</v>
      </c>
      <c r="R312">
        <f ca="1">IF(AND(ISNUMBER($R$814),$B$511=1),$R$814,HLOOKUP(INDIRECT(ADDRESS(2,COLUMN())),OFFSET($BN$2,0,0,ROW()-1,60),ROW()-1,FALSE))</f>
        <v>19644.075680000002</v>
      </c>
      <c r="S312">
        <f ca="1">IF(AND(ISNUMBER($S$814),$B$511=1),$S$814,HLOOKUP(INDIRECT(ADDRESS(2,COLUMN())),OFFSET($BN$2,0,0,ROW()-1,60),ROW()-1,FALSE))</f>
        <v>18769.290819999998</v>
      </c>
      <c r="T312">
        <f ca="1">IF(AND(ISNUMBER($T$814),$B$511=1),$T$814,HLOOKUP(INDIRECT(ADDRESS(2,COLUMN())),OFFSET($BN$2,0,0,ROW()-1,60),ROW()-1,FALSE))</f>
        <v>18544.68028</v>
      </c>
      <c r="U312">
        <f ca="1">IF(AND(ISNUMBER($U$814),$B$511=1),$U$814,HLOOKUP(INDIRECT(ADDRESS(2,COLUMN())),OFFSET($BN$2,0,0,ROW()-1,60),ROW()-1,FALSE))</f>
        <v>19087.54407</v>
      </c>
      <c r="V312">
        <f ca="1">IF(AND(ISNUMBER($V$814),$B$511=1),$V$814,HLOOKUP(INDIRECT(ADDRESS(2,COLUMN())),OFFSET($BN$2,0,0,ROW()-1,60),ROW()-1,FALSE))</f>
        <v>18518.82041</v>
      </c>
      <c r="W312">
        <f ca="1">IF(AND(ISNUMBER($W$814),$B$511=1),$W$814,HLOOKUP(INDIRECT(ADDRESS(2,COLUMN())),OFFSET($BN$2,0,0,ROW()-1,60),ROW()-1,FALSE))</f>
        <v>18840.945019999999</v>
      </c>
      <c r="X312">
        <f ca="1">IF(AND(ISNUMBER($X$814),$B$511=1),$X$814,HLOOKUP(INDIRECT(ADDRESS(2,COLUMN())),OFFSET($BN$2,0,0,ROW()-1,60),ROW()-1,FALSE))</f>
        <v>19378.767489999998</v>
      </c>
      <c r="Y312">
        <f ca="1">IF(AND(ISNUMBER($Y$814),$B$511=1),$Y$814,HLOOKUP(INDIRECT(ADDRESS(2,COLUMN())),OFFSET($BN$2,0,0,ROW()-1,60),ROW()-1,FALSE))</f>
        <v>19630.403490000001</v>
      </c>
      <c r="Z312">
        <f ca="1">IF(AND(ISNUMBER($Z$814),$B$511=1),$Z$814,HLOOKUP(INDIRECT(ADDRESS(2,COLUMN())),OFFSET($BN$2,0,0,ROW()-1,60),ROW()-1,FALSE))</f>
        <v>17936.247029999999</v>
      </c>
      <c r="AA312">
        <f ca="1">IF(AND(ISNUMBER($AA$814),$B$511=1),$AA$814,HLOOKUP(INDIRECT(ADDRESS(2,COLUMN())),OFFSET($BN$2,0,0,ROW()-1,60),ROW()-1,FALSE))</f>
        <v>17608.44945</v>
      </c>
      <c r="AB312">
        <f ca="1">IF(AND(ISNUMBER($AB$814),$B$511=1),$AB$814,HLOOKUP(INDIRECT(ADDRESS(2,COLUMN())),OFFSET($BN$2,0,0,ROW()-1,60),ROW()-1,FALSE))</f>
        <v>16615.084900000002</v>
      </c>
      <c r="AC312">
        <f ca="1">IF(AND(ISNUMBER($AC$814),$B$511=1),$AC$814,HLOOKUP(INDIRECT(ADDRESS(2,COLUMN())),OFFSET($BN$2,0,0,ROW()-1,60),ROW()-1,FALSE))</f>
        <v>14957.04083</v>
      </c>
      <c r="AD312">
        <f ca="1">IF(AND(ISNUMBER($AD$814),$B$511=1),$AD$814,HLOOKUP(INDIRECT(ADDRESS(2,COLUMN())),OFFSET($BN$2,0,0,ROW()-1,60),ROW()-1,FALSE))</f>
        <v>14148.44247</v>
      </c>
      <c r="AE312">
        <f ca="1">IF(AND(ISNUMBER($AE$814),$B$511=1),$AE$814,HLOOKUP(INDIRECT(ADDRESS(2,COLUMN())),OFFSET($BN$2,0,0,ROW()-1,60),ROW()-1,FALSE))</f>
        <v>14405.697770000001</v>
      </c>
      <c r="AF312">
        <f ca="1">IF(AND(ISNUMBER($AF$814),$B$511=1),$AF$814,HLOOKUP(INDIRECT(ADDRESS(2,COLUMN())),OFFSET($BN$2,0,0,ROW()-1,60),ROW()-1,FALSE))</f>
        <v>13374.08972</v>
      </c>
      <c r="AG312">
        <f ca="1">IF(AND(ISNUMBER($AG$814),$B$511=1),$AG$814,HLOOKUP(INDIRECT(ADDRESS(2,COLUMN())),OFFSET($BN$2,0,0,ROW()-1,60),ROW()-1,FALSE))</f>
        <v>12226.08041</v>
      </c>
      <c r="AH312">
        <f ca="1">IF(AND(ISNUMBER($AH$814),$B$511=1),$AH$814,HLOOKUP(INDIRECT(ADDRESS(2,COLUMN())),OFFSET($BN$2,0,0,ROW()-1,60),ROW()-1,FALSE))</f>
        <v>11424.380510000001</v>
      </c>
      <c r="AI312">
        <f ca="1">IF(AND(ISNUMBER($AI$814),$B$511=1),$AI$814,HLOOKUP(INDIRECT(ADDRESS(2,COLUMN())),OFFSET($BN$2,0,0,ROW()-1,60),ROW()-1,FALSE))</f>
        <v>10348.66246</v>
      </c>
      <c r="AJ312">
        <f ca="1">IF(AND(ISNUMBER($AJ$814),$B$511=1),$AJ$814,HLOOKUP(INDIRECT(ADDRESS(2,COLUMN())),OFFSET($BN$2,0,0,ROW()-1,60),ROW()-1,FALSE))</f>
        <v>9632.688709</v>
      </c>
      <c r="AK312">
        <f ca="1">IF(AND(ISNUMBER($AK$814),$B$511=1),$AK$814,HLOOKUP(INDIRECT(ADDRESS(2,COLUMN())),OFFSET($BN$2,0,0,ROW()-1,60),ROW()-1,FALSE))</f>
        <v>10370.95349</v>
      </c>
      <c r="AL312">
        <f ca="1">IF(AND(ISNUMBER($AL$814),$B$511=1),$AL$814,HLOOKUP(INDIRECT(ADDRESS(2,COLUMN())),OFFSET($BN$2,0,0,ROW()-1,60),ROW()-1,FALSE))</f>
        <v>8683.630733</v>
      </c>
      <c r="AM312">
        <f ca="1">IF(AND(ISNUMBER($AM$814),$B$511=1),$AM$814,HLOOKUP(INDIRECT(ADDRESS(2,COLUMN())),OFFSET($BN$2,0,0,ROW()-1,60),ROW()-1,FALSE))</f>
        <v>7659.9520229999998</v>
      </c>
      <c r="AN312" t="str">
        <f ca="1">IF(AND(ISNUMBER($AN$814),$B$511=1),$AN$814,HLOOKUP(INDIRECT(ADDRESS(2,COLUMN())),OFFSET($BN$2,0,0,ROW()-1,60),ROW()-1,FALSE))</f>
        <v/>
      </c>
      <c r="AO312" t="str">
        <f ca="1">IF(AND(ISNUMBER($AO$814),$B$511=1),$AO$814,HLOOKUP(INDIRECT(ADDRESS(2,COLUMN())),OFFSET($BN$2,0,0,ROW()-1,60),ROW()-1,FALSE))</f>
        <v/>
      </c>
      <c r="AP312" t="str">
        <f ca="1">IF(AND(ISNUMBER($AP$814),$B$511=1),$AP$814,HLOOKUP(INDIRECT(ADDRESS(2,COLUMN())),OFFSET($BN$2,0,0,ROW()-1,60),ROW()-1,FALSE))</f>
        <v/>
      </c>
      <c r="AQ312" t="str">
        <f ca="1">IF(AND(ISNUMBER($AQ$814),$B$511=1),$AQ$814,HLOOKUP(INDIRECT(ADDRESS(2,COLUMN())),OFFSET($BN$2,0,0,ROW()-1,60),ROW()-1,FALSE))</f>
        <v/>
      </c>
      <c r="AR312" t="str">
        <f ca="1">IF(AND(ISNUMBER($AR$814),$B$511=1),$AR$814,HLOOKUP(INDIRECT(ADDRESS(2,COLUMN())),OFFSET($BN$2,0,0,ROW()-1,60),ROW()-1,FALSE))</f>
        <v/>
      </c>
      <c r="AS312" t="str">
        <f ca="1">IF(AND(ISNUMBER($AS$814),$B$511=1),$AS$814,HLOOKUP(INDIRECT(ADDRESS(2,COLUMN())),OFFSET($BN$2,0,0,ROW()-1,60),ROW()-1,FALSE))</f>
        <v/>
      </c>
      <c r="AT312" t="str">
        <f ca="1">IF(AND(ISNUMBER($AT$814),$B$511=1),$AT$814,HLOOKUP(INDIRECT(ADDRESS(2,COLUMN())),OFFSET($BN$2,0,0,ROW()-1,60),ROW()-1,FALSE))</f>
        <v/>
      </c>
      <c r="AU312" t="str">
        <f ca="1">IF(AND(ISNUMBER($AU$814),$B$511=1),$AU$814,HLOOKUP(INDIRECT(ADDRESS(2,COLUMN())),OFFSET($BN$2,0,0,ROW()-1,60),ROW()-1,FALSE))</f>
        <v/>
      </c>
      <c r="AV312" t="str">
        <f ca="1">IF(AND(ISNUMBER($AV$814),$B$511=1),$AV$814,HLOOKUP(INDIRECT(ADDRESS(2,COLUMN())),OFFSET($BN$2,0,0,ROW()-1,60),ROW()-1,FALSE))</f>
        <v/>
      </c>
      <c r="AW312" t="str">
        <f ca="1">IF(AND(ISNUMBER($AW$814),$B$511=1),$AW$814,HLOOKUP(INDIRECT(ADDRESS(2,COLUMN())),OFFSET($BN$2,0,0,ROW()-1,60),ROW()-1,FALSE))</f>
        <v/>
      </c>
      <c r="AX312" t="str">
        <f ca="1">IF(AND(ISNUMBER($AX$814),$B$511=1),$AX$814,HLOOKUP(INDIRECT(ADDRESS(2,COLUMN())),OFFSET($BN$2,0,0,ROW()-1,60),ROW()-1,FALSE))</f>
        <v/>
      </c>
      <c r="AY312" t="str">
        <f ca="1">IF(AND(ISNUMBER($AY$814),$B$511=1),$AY$814,HLOOKUP(INDIRECT(ADDRESS(2,COLUMN())),OFFSET($BN$2,0,0,ROW()-1,60),ROW()-1,FALSE))</f>
        <v/>
      </c>
      <c r="AZ312" t="str">
        <f ca="1">IF(AND(ISNUMBER($AZ$814),$B$511=1),$AZ$814,HLOOKUP(INDIRECT(ADDRESS(2,COLUMN())),OFFSET($BN$2,0,0,ROW()-1,60),ROW()-1,FALSE))</f>
        <v/>
      </c>
      <c r="BA312" t="str">
        <f ca="1">IF(AND(ISNUMBER($BA$814),$B$511=1),$BA$814,HLOOKUP(INDIRECT(ADDRESS(2,COLUMN())),OFFSET($BN$2,0,0,ROW()-1,60),ROW()-1,FALSE))</f>
        <v/>
      </c>
      <c r="BB312" t="str">
        <f ca="1">IF(AND(ISNUMBER($BB$814),$B$511=1),$BB$814,HLOOKUP(INDIRECT(ADDRESS(2,COLUMN())),OFFSET($BN$2,0,0,ROW()-1,60),ROW()-1,FALSE))</f>
        <v/>
      </c>
      <c r="BC312" t="str">
        <f ca="1">IF(AND(ISNUMBER($BC$814),$B$511=1),$BC$814,HLOOKUP(INDIRECT(ADDRESS(2,COLUMN())),OFFSET($BN$2,0,0,ROW()-1,60),ROW()-1,FALSE))</f>
        <v/>
      </c>
      <c r="BD312" t="str">
        <f ca="1">IF(AND(ISNUMBER($BD$814),$B$511=1),$BD$814,HLOOKUP(INDIRECT(ADDRESS(2,COLUMN())),OFFSET($BN$2,0,0,ROW()-1,60),ROW()-1,FALSE))</f>
        <v/>
      </c>
      <c r="BE312" t="str">
        <f ca="1">IF(AND(ISNUMBER($BE$814),$B$511=1),$BE$814,HLOOKUP(INDIRECT(ADDRESS(2,COLUMN())),OFFSET($BN$2,0,0,ROW()-1,60),ROW()-1,FALSE))</f>
        <v/>
      </c>
      <c r="BF312" t="str">
        <f ca="1">IF(AND(ISNUMBER($BF$814),$B$511=1),$BF$814,HLOOKUP(INDIRECT(ADDRESS(2,COLUMN())),OFFSET($BN$2,0,0,ROW()-1,60),ROW()-1,FALSE))</f>
        <v/>
      </c>
      <c r="BG312" t="str">
        <f ca="1">IF(AND(ISNUMBER($BG$814),$B$511=1),$BG$814,HLOOKUP(INDIRECT(ADDRESS(2,COLUMN())),OFFSET($BN$2,0,0,ROW()-1,60),ROW()-1,FALSE))</f>
        <v/>
      </c>
      <c r="BH312" t="str">
        <f ca="1">IF(AND(ISNUMBER($BH$814),$B$511=1),$BH$814,HLOOKUP(INDIRECT(ADDRESS(2,COLUMN())),OFFSET($BN$2,0,0,ROW()-1,60),ROW()-1,FALSE))</f>
        <v/>
      </c>
      <c r="BI312" t="str">
        <f ca="1">IF(AND(ISNUMBER($BI$814),$B$511=1),$BI$814,HLOOKUP(INDIRECT(ADDRESS(2,COLUMN())),OFFSET($BN$2,0,0,ROW()-1,60),ROW()-1,FALSE))</f>
        <v/>
      </c>
      <c r="BJ312" t="str">
        <f ca="1">IF(AND(ISNUMBER($BJ$814),$B$511=1),$BJ$814,HLOOKUP(INDIRECT(ADDRESS(2,COLUMN())),OFFSET($BN$2,0,0,ROW()-1,60),ROW()-1,FALSE))</f>
        <v/>
      </c>
      <c r="BK312" t="str">
        <f ca="1">IF(AND(ISNUMBER($BK$814),$B$511=1),$BK$814,HLOOKUP(INDIRECT(ADDRESS(2,COLUMN())),OFFSET($BN$2,0,0,ROW()-1,60),ROW()-1,FALSE))</f>
        <v/>
      </c>
      <c r="BL312" t="str">
        <f ca="1">IF(AND(ISNUMBER($BL$814),$B$511=1),$BL$814,HLOOKUP(INDIRECT(ADDRESS(2,COLUMN())),OFFSET($BN$2,0,0,ROW()-1,60),ROW()-1,FALSE))</f>
        <v/>
      </c>
      <c r="BM312" t="str">
        <f ca="1">IF(AND(ISNUMBER($BM$814),$B$511=1),$BM$814,HLOOKUP(INDIRECT(ADDRESS(2,COLUMN())),OFFSET($BN$2,0,0,ROW()-1,60),ROW()-1,FALSE))</f>
        <v/>
      </c>
      <c r="BN312" t="str">
        <f>""</f>
        <v/>
      </c>
      <c r="BO312" t="str">
        <f>""</f>
        <v/>
      </c>
      <c r="BP312">
        <f>22421.60935</f>
        <v>22421.609349999999</v>
      </c>
      <c r="BQ312">
        <f>22240.76922</f>
        <v>22240.769219999998</v>
      </c>
      <c r="BR312">
        <f>23116.92762</f>
        <v>23116.927619999999</v>
      </c>
      <c r="BS312">
        <f>22851.65129</f>
        <v>22851.651290000002</v>
      </c>
      <c r="BT312">
        <f>21581.8977</f>
        <v>21581.897700000001</v>
      </c>
      <c r="BU312">
        <f>21752.35098</f>
        <v>21752.350979999999</v>
      </c>
      <c r="BV312">
        <f>21636.10696</f>
        <v>21636.106960000001</v>
      </c>
      <c r="BW312">
        <f>20102.91145</f>
        <v>20102.91145</v>
      </c>
      <c r="BX312">
        <f>21227.49955</f>
        <v>21227.49955</v>
      </c>
      <c r="BY312">
        <f>20032.26028</f>
        <v>20032.260279999999</v>
      </c>
      <c r="BZ312">
        <f>19644.07568</f>
        <v>19644.075680000002</v>
      </c>
      <c r="CA312">
        <f>18769.29082</f>
        <v>18769.290819999998</v>
      </c>
      <c r="CB312">
        <f>18544.68028</f>
        <v>18544.68028</v>
      </c>
      <c r="CC312">
        <f>19087.54407</f>
        <v>19087.54407</v>
      </c>
      <c r="CD312">
        <f>18518.82041</f>
        <v>18518.82041</v>
      </c>
      <c r="CE312">
        <f>18840.94502</f>
        <v>18840.945019999999</v>
      </c>
      <c r="CF312">
        <f>19378.7674899999</f>
        <v>19378.767489999998</v>
      </c>
      <c r="CG312">
        <f>19630.40349</f>
        <v>19630.403490000001</v>
      </c>
      <c r="CH312">
        <f>17936.24703</f>
        <v>17936.247029999999</v>
      </c>
      <c r="CI312">
        <f>17608.44945</f>
        <v>17608.44945</v>
      </c>
      <c r="CJ312">
        <f>16615.0849</f>
        <v>16615.084900000002</v>
      </c>
      <c r="CK312">
        <f>14957.04083</f>
        <v>14957.04083</v>
      </c>
      <c r="CL312">
        <f>14148.44247</f>
        <v>14148.44247</v>
      </c>
      <c r="CM312">
        <f>14405.69777</f>
        <v>14405.697770000001</v>
      </c>
      <c r="CN312">
        <f>13374.08972</f>
        <v>13374.08972</v>
      </c>
      <c r="CO312">
        <f>12226.08041</f>
        <v>12226.08041</v>
      </c>
      <c r="CP312">
        <f>11424.38051</f>
        <v>11424.380510000001</v>
      </c>
      <c r="CQ312">
        <f>10348.66246</f>
        <v>10348.66246</v>
      </c>
      <c r="CR312">
        <f>9632.688709</f>
        <v>9632.688709</v>
      </c>
      <c r="CS312">
        <f>10370.95349</f>
        <v>10370.95349</v>
      </c>
      <c r="CT312">
        <f>8683.630733</f>
        <v>8683.630733</v>
      </c>
      <c r="CU312">
        <f>7659.952023</f>
        <v>7659.9520229999998</v>
      </c>
      <c r="CV312" t="str">
        <f>""</f>
        <v/>
      </c>
      <c r="CW312" t="str">
        <f>""</f>
        <v/>
      </c>
      <c r="CX312" t="str">
        <f>""</f>
        <v/>
      </c>
      <c r="CY312" t="str">
        <f>""</f>
        <v/>
      </c>
      <c r="CZ312" t="str">
        <f>""</f>
        <v/>
      </c>
      <c r="DA312" t="str">
        <f>""</f>
        <v/>
      </c>
      <c r="DB312" t="str">
        <f>""</f>
        <v/>
      </c>
      <c r="DC312" t="str">
        <f>""</f>
        <v/>
      </c>
      <c r="DD312" t="str">
        <f>""</f>
        <v/>
      </c>
      <c r="DE312" t="str">
        <f>""</f>
        <v/>
      </c>
      <c r="DF312" t="str">
        <f>""</f>
        <v/>
      </c>
      <c r="DG312" t="str">
        <f>""</f>
        <v/>
      </c>
      <c r="DH312" t="str">
        <f>""</f>
        <v/>
      </c>
      <c r="DI312" t="str">
        <f>""</f>
        <v/>
      </c>
      <c r="DJ312" t="str">
        <f>""</f>
        <v/>
      </c>
      <c r="DK312" t="str">
        <f>""</f>
        <v/>
      </c>
      <c r="DL312" t="str">
        <f>""</f>
        <v/>
      </c>
      <c r="DM312" t="str">
        <f>""</f>
        <v/>
      </c>
      <c r="DN312" t="str">
        <f>""</f>
        <v/>
      </c>
      <c r="DO312" t="str">
        <f>""</f>
        <v/>
      </c>
      <c r="DP312" t="str">
        <f>""</f>
        <v/>
      </c>
      <c r="DQ312" t="str">
        <f>""</f>
        <v/>
      </c>
      <c r="DR312" t="str">
        <f>""</f>
        <v/>
      </c>
      <c r="DS312" t="str">
        <f>""</f>
        <v/>
      </c>
      <c r="DT312" t="str">
        <f>""</f>
        <v/>
      </c>
      <c r="DU312" t="str">
        <f>""</f>
        <v/>
      </c>
    </row>
    <row r="313" spans="1:125" x14ac:dyDescent="0.25">
      <c r="A313" t="str">
        <f>"    Mazda Motor Corp"</f>
        <v xml:space="preserve">    Mazda Motor Corp</v>
      </c>
      <c r="B313" t="str">
        <f>"7261 JP Equity"</f>
        <v>7261 JP Equity</v>
      </c>
      <c r="C313" t="str">
        <f t="shared" si="21"/>
        <v>RR179</v>
      </c>
      <c r="D313" t="str">
        <f t="shared" si="22"/>
        <v>TANGIBLE_COMMON_EQUITY</v>
      </c>
      <c r="E313" t="str">
        <f t="shared" si="23"/>
        <v>Dynamic</v>
      </c>
      <c r="F313" t="str">
        <f ca="1">IF(AND(ISNUMBER($F$815),$B$511=1),$F$815,HLOOKUP(INDIRECT(ADDRESS(2,COLUMN())),OFFSET($BN$2,0,0,ROW()-1,60),ROW()-1,FALSE))</f>
        <v/>
      </c>
      <c r="G313">
        <f ca="1">IF(AND(ISNUMBER($G$815),$B$511=1),$G$815,HLOOKUP(INDIRECT(ADDRESS(2,COLUMN())),OFFSET($BN$2,0,0,ROW()-1,60),ROW()-1,FALSE))</f>
        <v>10618.502640000001</v>
      </c>
      <c r="H313">
        <f ca="1">IF(AND(ISNUMBER($H$815),$B$511=1),$H$815,HLOOKUP(INDIRECT(ADDRESS(2,COLUMN())),OFFSET($BN$2,0,0,ROW()-1,60),ROW()-1,FALSE))</f>
        <v>10301.12775</v>
      </c>
      <c r="I313">
        <f ca="1">IF(AND(ISNUMBER($I$815),$B$511=1),$I$815,HLOOKUP(INDIRECT(ADDRESS(2,COLUMN())),OFFSET($BN$2,0,0,ROW()-1,60),ROW()-1,FALSE))</f>
        <v>10505.984829999999</v>
      </c>
      <c r="J313">
        <f ca="1">IF(AND(ISNUMBER($J$815),$B$511=1),$J$815,HLOOKUP(INDIRECT(ADDRESS(2,COLUMN())),OFFSET($BN$2,0,0,ROW()-1,60),ROW()-1,FALSE))</f>
        <v>10894.803239999999</v>
      </c>
      <c r="K313">
        <f ca="1">IF(AND(ISNUMBER($K$815),$B$511=1),$K$815,HLOOKUP(INDIRECT(ADDRESS(2,COLUMN())),OFFSET($BN$2,0,0,ROW()-1,60),ROW()-1,FALSE))</f>
        <v>10115.02931</v>
      </c>
      <c r="L313">
        <f ca="1">IF(AND(ISNUMBER($L$815),$B$511=1),$L$815,HLOOKUP(INDIRECT(ADDRESS(2,COLUMN())),OFFSET($BN$2,0,0,ROW()-1,60),ROW()-1,FALSE))</f>
        <v>9433.1735040000003</v>
      </c>
      <c r="M313">
        <f ca="1">IF(AND(ISNUMBER($M$815),$B$511=1),$M$815,HLOOKUP(INDIRECT(ADDRESS(2,COLUMN())),OFFSET($BN$2,0,0,ROW()-1,60),ROW()-1,FALSE))</f>
        <v>9146.2750329999999</v>
      </c>
      <c r="N313">
        <f ca="1">IF(AND(ISNUMBER($N$815),$B$511=1),$N$815,HLOOKUP(INDIRECT(ADDRESS(2,COLUMN())),OFFSET($BN$2,0,0,ROW()-1,60),ROW()-1,FALSE))</f>
        <v>9040.2479559999992</v>
      </c>
      <c r="O313">
        <f ca="1">IF(AND(ISNUMBER($O$815),$B$511=1),$O$815,HLOOKUP(INDIRECT(ADDRESS(2,COLUMN())),OFFSET($BN$2,0,0,ROW()-1,60),ROW()-1,FALSE))</f>
        <v>8377.5462960000004</v>
      </c>
      <c r="P313">
        <f ca="1">IF(AND(ISNUMBER($P$815),$B$511=1),$P$815,HLOOKUP(INDIRECT(ADDRESS(2,COLUMN())),OFFSET($BN$2,0,0,ROW()-1,60),ROW()-1,FALSE))</f>
        <v>9353.5738930000007</v>
      </c>
      <c r="Q313">
        <f ca="1">IF(AND(ISNUMBER($Q$815),$B$511=1),$Q$815,HLOOKUP(INDIRECT(ADDRESS(2,COLUMN())),OFFSET($BN$2,0,0,ROW()-1,60),ROW()-1,FALSE))</f>
        <v>8965.8978580000003</v>
      </c>
      <c r="R313">
        <f ca="1">IF(AND(ISNUMBER($R$815),$B$511=1),$R$815,HLOOKUP(INDIRECT(ADDRESS(2,COLUMN())),OFFSET($BN$2,0,0,ROW()-1,60),ROW()-1,FALSE))</f>
        <v>8206.9155559999999</v>
      </c>
      <c r="S313">
        <f ca="1">IF(AND(ISNUMBER($S$815),$B$511=1),$S$815,HLOOKUP(INDIRECT(ADDRESS(2,COLUMN())),OFFSET($BN$2,0,0,ROW()-1,60),ROW()-1,FALSE))</f>
        <v>7824.4259570000004</v>
      </c>
      <c r="T313">
        <f ca="1">IF(AND(ISNUMBER($T$815),$B$511=1),$T$815,HLOOKUP(INDIRECT(ADDRESS(2,COLUMN())),OFFSET($BN$2,0,0,ROW()-1,60),ROW()-1,FALSE))</f>
        <v>8724.4839979999997</v>
      </c>
      <c r="U313">
        <f ca="1">IF(AND(ISNUMBER($U$815),$B$511=1),$U$815,HLOOKUP(INDIRECT(ADDRESS(2,COLUMN())),OFFSET($BN$2,0,0,ROW()-1,60),ROW()-1,FALSE))</f>
        <v>7111.6934160000001</v>
      </c>
      <c r="V313">
        <f ca="1">IF(AND(ISNUMBER($V$815),$B$511=1),$V$815,HLOOKUP(INDIRECT(ADDRESS(2,COLUMN())),OFFSET($BN$2,0,0,ROW()-1,60),ROW()-1,FALSE))</f>
        <v>7004.8686950000001</v>
      </c>
      <c r="W313">
        <f ca="1">IF(AND(ISNUMBER($W$815),$B$511=1),$W$815,HLOOKUP(INDIRECT(ADDRESS(2,COLUMN())),OFFSET($BN$2,0,0,ROW()-1,60),ROW()-1,FALSE))</f>
        <v>7813.6181580000002</v>
      </c>
      <c r="X313">
        <f ca="1">IF(AND(ISNUMBER($X$815),$B$511=1),$X$815,HLOOKUP(INDIRECT(ADDRESS(2,COLUMN())),OFFSET($BN$2,0,0,ROW()-1,60),ROW()-1,FALSE))</f>
        <v>6671.3386829999999</v>
      </c>
      <c r="Y313">
        <f ca="1">IF(AND(ISNUMBER($Y$815),$B$511=1),$Y$815,HLOOKUP(INDIRECT(ADDRESS(2,COLUMN())),OFFSET($BN$2,0,0,ROW()-1,60),ROW()-1,FALSE))</f>
        <v>6760.5489189999998</v>
      </c>
      <c r="Z313">
        <f ca="1">IF(AND(ISNUMBER($Z$815),$B$511=1),$Z$815,HLOOKUP(INDIRECT(ADDRESS(2,COLUMN())),OFFSET($BN$2,0,0,ROW()-1,60),ROW()-1,FALSE))</f>
        <v>6188.9589599999999</v>
      </c>
      <c r="AA313">
        <f ca="1">IF(AND(ISNUMBER($AA$815),$B$511=1),$AA$815,HLOOKUP(INDIRECT(ADDRESS(2,COLUMN())),OFFSET($BN$2,0,0,ROW()-1,60),ROW()-1,FALSE))</f>
        <v>5436.7091010000004</v>
      </c>
      <c r="AB313">
        <f ca="1">IF(AND(ISNUMBER($AB$815),$B$511=1),$AB$815,HLOOKUP(INDIRECT(ADDRESS(2,COLUMN())),OFFSET($BN$2,0,0,ROW()-1,60),ROW()-1,FALSE))</f>
        <v>5348.640668</v>
      </c>
      <c r="AC313">
        <f ca="1">IF(AND(ISNUMBER($AC$815),$B$511=1),$AC$815,HLOOKUP(INDIRECT(ADDRESS(2,COLUMN())),OFFSET($BN$2,0,0,ROW()-1,60),ROW()-1,FALSE))</f>
        <v>5035.5582400000003</v>
      </c>
      <c r="AD313">
        <f ca="1">IF(AND(ISNUMBER($AD$815),$B$511=1),$AD$815,HLOOKUP(INDIRECT(ADDRESS(2,COLUMN())),OFFSET($BN$2,0,0,ROW()-1,60),ROW()-1,FALSE))</f>
        <v>5050.5306730000002</v>
      </c>
      <c r="AE313">
        <f ca="1">IF(AND(ISNUMBER($AE$815),$B$511=1),$AE$815,HLOOKUP(INDIRECT(ADDRESS(2,COLUMN())),OFFSET($BN$2,0,0,ROW()-1,60),ROW()-1,FALSE))</f>
        <v>5297.8873240000003</v>
      </c>
      <c r="AF313">
        <f ca="1">IF(AND(ISNUMBER($AF$815),$B$511=1),$AF$815,HLOOKUP(INDIRECT(ADDRESS(2,COLUMN())),OFFSET($BN$2,0,0,ROW()-1,60),ROW()-1,FALSE))</f>
        <v>5887.6026689999999</v>
      </c>
      <c r="AG313">
        <f ca="1">IF(AND(ISNUMBER($AG$815),$B$511=1),$AG$815,HLOOKUP(INDIRECT(ADDRESS(2,COLUMN())),OFFSET($BN$2,0,0,ROW()-1,60),ROW()-1,FALSE))</f>
        <v>5648.6842109999998</v>
      </c>
      <c r="AH313">
        <f ca="1">IF(AND(ISNUMBER($AH$815),$B$511=1),$AH$815,HLOOKUP(INDIRECT(ADDRESS(2,COLUMN())),OFFSET($BN$2,0,0,ROW()-1,60),ROW()-1,FALSE))</f>
        <v>5426.3221590000003</v>
      </c>
      <c r="AI313">
        <f ca="1">IF(AND(ISNUMBER($AI$815),$B$511=1),$AI$815,HLOOKUP(INDIRECT(ADDRESS(2,COLUMN())),OFFSET($BN$2,0,0,ROW()-1,60),ROW()-1,FALSE))</f>
        <v>3941.5768280000002</v>
      </c>
      <c r="AJ313">
        <f ca="1">IF(AND(ISNUMBER($AJ$815),$B$511=1),$AJ$815,HLOOKUP(INDIRECT(ADDRESS(2,COLUMN())),OFFSET($BN$2,0,0,ROW()-1,60),ROW()-1,FALSE))</f>
        <v>4821.7526580000003</v>
      </c>
      <c r="AK313">
        <f ca="1">IF(AND(ISNUMBER($AK$815),$B$511=1),$AK$815,HLOOKUP(INDIRECT(ADDRESS(2,COLUMN())),OFFSET($BN$2,0,0,ROW()-1,60),ROW()-1,FALSE))</f>
        <v>4808.7760680000001</v>
      </c>
      <c r="AL313">
        <f ca="1">IF(AND(ISNUMBER($AL$815),$B$511=1),$AL$815,HLOOKUP(INDIRECT(ADDRESS(2,COLUMN())),OFFSET($BN$2,0,0,ROW()-1,60),ROW()-1,FALSE))</f>
        <v>4939.8527100000001</v>
      </c>
      <c r="AM313">
        <f ca="1">IF(AND(ISNUMBER($AM$815),$B$511=1),$AM$815,HLOOKUP(INDIRECT(ADDRESS(2,COLUMN())),OFFSET($BN$2,0,0,ROW()-1,60),ROW()-1,FALSE))</f>
        <v>5848.5035099999996</v>
      </c>
      <c r="AN313">
        <f ca="1">IF(AND(ISNUMBER($AN$815),$B$511=1),$AN$815,HLOOKUP(INDIRECT(ADDRESS(2,COLUMN())),OFFSET($BN$2,0,0,ROW()-1,60),ROW()-1,FALSE))</f>
        <v>5738.9288280000001</v>
      </c>
      <c r="AO313">
        <f ca="1">IF(AND(ISNUMBER($AO$815),$B$511=1),$AO$815,HLOOKUP(INDIRECT(ADDRESS(2,COLUMN())),OFFSET($BN$2,0,0,ROW()-1,60),ROW()-1,FALSE))</f>
        <v>5396.1842399999996</v>
      </c>
      <c r="AP313">
        <f ca="1">IF(AND(ISNUMBER($AP$815),$B$511=1),$AP$815,HLOOKUP(INDIRECT(ADDRESS(2,COLUMN())),OFFSET($BN$2,0,0,ROW()-1,60),ROW()-1,FALSE))</f>
        <v>5190.5286820000001</v>
      </c>
      <c r="AQ313">
        <f ca="1">IF(AND(ISNUMBER($AQ$815),$B$511=1),$AQ$815,HLOOKUP(INDIRECT(ADDRESS(2,COLUMN())),OFFSET($BN$2,0,0,ROW()-1,60),ROW()-1,FALSE))</f>
        <v>5084.4320379999999</v>
      </c>
      <c r="AR313">
        <f ca="1">IF(AND(ISNUMBER($AR$815),$B$511=1),$AR$815,HLOOKUP(INDIRECT(ADDRESS(2,COLUMN())),OFFSET($BN$2,0,0,ROW()-1,60),ROW()-1,FALSE))</f>
        <v>4240.6222120000002</v>
      </c>
      <c r="AS313">
        <f ca="1">IF(AND(ISNUMBER($AS$815),$B$511=1),$AS$815,HLOOKUP(INDIRECT(ADDRESS(2,COLUMN())),OFFSET($BN$2,0,0,ROW()-1,60),ROW()-1,FALSE))</f>
        <v>3880.3363789999999</v>
      </c>
      <c r="AT313">
        <f ca="1">IF(AND(ISNUMBER($AT$815),$B$511=1),$AT$815,HLOOKUP(INDIRECT(ADDRESS(2,COLUMN())),OFFSET($BN$2,0,0,ROW()-1,60),ROW()-1,FALSE))</f>
        <v>3889.0890789999999</v>
      </c>
      <c r="AU313">
        <f ca="1">IF(AND(ISNUMBER($AU$815),$B$511=1),$AU$815,HLOOKUP(INDIRECT(ADDRESS(2,COLUMN())),OFFSET($BN$2,0,0,ROW()-1,60),ROW()-1,FALSE))</f>
        <v>5407.2474940000002</v>
      </c>
      <c r="AV313">
        <f ca="1">IF(AND(ISNUMBER($AV$815),$B$511=1),$AV$815,HLOOKUP(INDIRECT(ADDRESS(2,COLUMN())),OFFSET($BN$2,0,0,ROW()-1,60),ROW()-1,FALSE))</f>
        <v>5077.0505700000003</v>
      </c>
      <c r="AW313">
        <f ca="1">IF(AND(ISNUMBER($AW$815),$B$511=1),$AW$815,HLOOKUP(INDIRECT(ADDRESS(2,COLUMN())),OFFSET($BN$2,0,0,ROW()-1,60),ROW()-1,FALSE))</f>
        <v>4854.1482249999999</v>
      </c>
      <c r="AX313">
        <f ca="1">IF(AND(ISNUMBER($AX$815),$B$511=1),$AX$815,HLOOKUP(INDIRECT(ADDRESS(2,COLUMN())),OFFSET($BN$2,0,0,ROW()-1,60),ROW()-1,FALSE))</f>
        <v>5191.7484480000003</v>
      </c>
      <c r="AY313">
        <f ca="1">IF(AND(ISNUMBER($AY$815),$B$511=1),$AY$815,HLOOKUP(INDIRECT(ADDRESS(2,COLUMN())),OFFSET($BN$2,0,0,ROW()-1,60),ROW()-1,FALSE))</f>
        <v>4204.8125950000003</v>
      </c>
      <c r="AZ313">
        <f ca="1">IF(AND(ISNUMBER($AZ$815),$B$511=1),$AZ$815,HLOOKUP(INDIRECT(ADDRESS(2,COLUMN())),OFFSET($BN$2,0,0,ROW()-1,60),ROW()-1,FALSE))</f>
        <v>4055.4790939999998</v>
      </c>
      <c r="BA313">
        <f ca="1">IF(AND(ISNUMBER($BA$815),$B$511=1),$BA$815,HLOOKUP(INDIRECT(ADDRESS(2,COLUMN())),OFFSET($BN$2,0,0,ROW()-1,60),ROW()-1,FALSE))</f>
        <v>3574.0629560000002</v>
      </c>
      <c r="BB313">
        <f ca="1">IF(AND(ISNUMBER($BB$815),$B$511=1),$BB$815,HLOOKUP(INDIRECT(ADDRESS(2,COLUMN())),OFFSET($BN$2,0,0,ROW()-1,60),ROW()-1,FALSE))</f>
        <v>3780.9252489999999</v>
      </c>
      <c r="BC313">
        <f ca="1">IF(AND(ISNUMBER($BC$815),$B$511=1),$BC$815,HLOOKUP(INDIRECT(ADDRESS(2,COLUMN())),OFFSET($BN$2,0,0,ROW()-1,60),ROW()-1,FALSE))</f>
        <v>3433.6244539999998</v>
      </c>
      <c r="BD313">
        <f ca="1">IF(AND(ISNUMBER($BD$815),$B$511=1),$BD$815,HLOOKUP(INDIRECT(ADDRESS(2,COLUMN())),OFFSET($BN$2,0,0,ROW()-1,60),ROW()-1,FALSE))</f>
        <v>3297.7969840000001</v>
      </c>
      <c r="BE313">
        <f ca="1">IF(AND(ISNUMBER($BE$815),$B$511=1),$BE$815,HLOOKUP(INDIRECT(ADDRESS(2,COLUMN())),OFFSET($BN$2,0,0,ROW()-1,60),ROW()-1,FALSE))</f>
        <v>3251.1225650000001</v>
      </c>
      <c r="BF313">
        <f ca="1">IF(AND(ISNUMBER($BF$815),$B$511=1),$BF$815,HLOOKUP(INDIRECT(ADDRESS(2,COLUMN())),OFFSET($BN$2,0,0,ROW()-1,60),ROW()-1,FALSE))</f>
        <v>3176.4425529999999</v>
      </c>
      <c r="BG313">
        <f ca="1">IF(AND(ISNUMBER($BG$815),$B$511=1),$BG$815,HLOOKUP(INDIRECT(ADDRESS(2,COLUMN())),OFFSET($BN$2,0,0,ROW()-1,60),ROW()-1,FALSE))</f>
        <v>2803.2211579999998</v>
      </c>
      <c r="BH313">
        <f ca="1">IF(AND(ISNUMBER($BH$815),$B$511=1),$BH$815,HLOOKUP(INDIRECT(ADDRESS(2,COLUMN())),OFFSET($BN$2,0,0,ROW()-1,60),ROW()-1,FALSE))</f>
        <v>2712.9887279999998</v>
      </c>
      <c r="BI313">
        <f ca="1">IF(AND(ISNUMBER($BI$815),$B$511=1),$BI$815,HLOOKUP(INDIRECT(ADDRESS(2,COLUMN())),OFFSET($BN$2,0,0,ROW()-1,60),ROW()-1,FALSE))</f>
        <v>2215.1897589999999</v>
      </c>
      <c r="BJ313">
        <f ca="1">IF(AND(ISNUMBER($BJ$815),$B$511=1),$BJ$815,HLOOKUP(INDIRECT(ADDRESS(2,COLUMN())),OFFSET($BN$2,0,0,ROW()-1,60),ROW()-1,FALSE))</f>
        <v>2280.298507</v>
      </c>
      <c r="BK313">
        <f ca="1">IF(AND(ISNUMBER($BK$815),$B$511=1),$BK$815,HLOOKUP(INDIRECT(ADDRESS(2,COLUMN())),OFFSET($BN$2,0,0,ROW()-1,60),ROW()-1,FALSE))</f>
        <v>2205.6092090000002</v>
      </c>
      <c r="BL313">
        <f ca="1">IF(AND(ISNUMBER($BL$815),$B$511=1),$BL$815,HLOOKUP(INDIRECT(ADDRESS(2,COLUMN())),OFFSET($BN$2,0,0,ROW()-1,60),ROW()-1,FALSE))</f>
        <v>1989.8662790000001</v>
      </c>
      <c r="BM313">
        <f ca="1">IF(AND(ISNUMBER($BM$815),$B$511=1),$BM$815,HLOOKUP(INDIRECT(ADDRESS(2,COLUMN())),OFFSET($BN$2,0,0,ROW()-1,60),ROW()-1,FALSE))</f>
        <v>1917.0796379999999</v>
      </c>
      <c r="BN313" t="str">
        <f>""</f>
        <v/>
      </c>
      <c r="BO313">
        <f>10618.50264</f>
        <v>10618.502640000001</v>
      </c>
      <c r="BP313">
        <f>10301.12775</f>
        <v>10301.12775</v>
      </c>
      <c r="BQ313">
        <f>10505.98483</f>
        <v>10505.984829999999</v>
      </c>
      <c r="BR313">
        <f>10894.80324</f>
        <v>10894.803239999999</v>
      </c>
      <c r="BS313">
        <f>10115.02931</f>
        <v>10115.02931</v>
      </c>
      <c r="BT313">
        <f>9433.173504</f>
        <v>9433.1735040000003</v>
      </c>
      <c r="BU313">
        <f>9146.275033</f>
        <v>9146.2750329999999</v>
      </c>
      <c r="BV313">
        <f>9040.247956</f>
        <v>9040.2479559999992</v>
      </c>
      <c r="BW313">
        <f>8377.546296</f>
        <v>8377.5462960000004</v>
      </c>
      <c r="BX313">
        <f>9353.573893</f>
        <v>9353.5738930000007</v>
      </c>
      <c r="BY313">
        <f>8965.897858</f>
        <v>8965.8978580000003</v>
      </c>
      <c r="BZ313">
        <f>8206.915556</f>
        <v>8206.9155559999999</v>
      </c>
      <c r="CA313">
        <f>7824.425957</f>
        <v>7824.4259570000004</v>
      </c>
      <c r="CB313">
        <f>8724.483998</f>
        <v>8724.4839979999997</v>
      </c>
      <c r="CC313">
        <f>7111.693416</f>
        <v>7111.6934160000001</v>
      </c>
      <c r="CD313">
        <f>7004.868695</f>
        <v>7004.8686950000001</v>
      </c>
      <c r="CE313">
        <f>7813.618158</f>
        <v>7813.6181580000002</v>
      </c>
      <c r="CF313">
        <f>6671.338683</f>
        <v>6671.3386829999999</v>
      </c>
      <c r="CG313">
        <f>6760.548919</f>
        <v>6760.5489189999998</v>
      </c>
      <c r="CH313">
        <f>6188.95896</f>
        <v>6188.9589599999999</v>
      </c>
      <c r="CI313">
        <f>5436.709101</f>
        <v>5436.7091010000004</v>
      </c>
      <c r="CJ313">
        <f>5348.640668</f>
        <v>5348.640668</v>
      </c>
      <c r="CK313">
        <f>5035.55824</f>
        <v>5035.5582400000003</v>
      </c>
      <c r="CL313">
        <f>5050.530673</f>
        <v>5050.5306730000002</v>
      </c>
      <c r="CM313">
        <f>5297.887324</f>
        <v>5297.8873240000003</v>
      </c>
      <c r="CN313">
        <f>5887.602669</f>
        <v>5887.6026689999999</v>
      </c>
      <c r="CO313">
        <f>5648.684211</f>
        <v>5648.6842109999998</v>
      </c>
      <c r="CP313">
        <f>5426.322159</f>
        <v>5426.3221590000003</v>
      </c>
      <c r="CQ313">
        <f>3941.576828</f>
        <v>3941.5768280000002</v>
      </c>
      <c r="CR313">
        <f>4821.752658</f>
        <v>4821.7526580000003</v>
      </c>
      <c r="CS313">
        <f>4808.776068</f>
        <v>4808.7760680000001</v>
      </c>
      <c r="CT313">
        <f>4939.85271</f>
        <v>4939.8527100000001</v>
      </c>
      <c r="CU313">
        <f>5848.50351</f>
        <v>5848.5035099999996</v>
      </c>
      <c r="CV313">
        <f>5738.928828</f>
        <v>5738.9288280000001</v>
      </c>
      <c r="CW313">
        <f>5396.18424</f>
        <v>5396.1842399999996</v>
      </c>
      <c r="CX313">
        <f>5190.528682</f>
        <v>5190.5286820000001</v>
      </c>
      <c r="CY313">
        <f>5084.432038</f>
        <v>5084.4320379999999</v>
      </c>
      <c r="CZ313">
        <f>4240.622212</f>
        <v>4240.6222120000002</v>
      </c>
      <c r="DA313">
        <f>3880.336379</f>
        <v>3880.3363789999999</v>
      </c>
      <c r="DB313">
        <f>3889.089079</f>
        <v>3889.0890789999999</v>
      </c>
      <c r="DC313">
        <f>5407.247494</f>
        <v>5407.2474940000002</v>
      </c>
      <c r="DD313">
        <f>5077.05057</f>
        <v>5077.0505700000003</v>
      </c>
      <c r="DE313">
        <f>4854.148225</f>
        <v>4854.1482249999999</v>
      </c>
      <c r="DF313">
        <f>5191.748448</f>
        <v>5191.7484480000003</v>
      </c>
      <c r="DG313">
        <f>4204.812595</f>
        <v>4204.8125950000003</v>
      </c>
      <c r="DH313">
        <f>4055.479094</f>
        <v>4055.4790939999998</v>
      </c>
      <c r="DI313">
        <f>3574.062956</f>
        <v>3574.0629560000002</v>
      </c>
      <c r="DJ313">
        <f>3780.925249</f>
        <v>3780.9252489999999</v>
      </c>
      <c r="DK313">
        <f>3433.624454</f>
        <v>3433.6244539999998</v>
      </c>
      <c r="DL313">
        <f>3297.796984</f>
        <v>3297.7969840000001</v>
      </c>
      <c r="DM313">
        <f>3251.122565</f>
        <v>3251.1225650000001</v>
      </c>
      <c r="DN313">
        <f>3176.442553</f>
        <v>3176.4425529999999</v>
      </c>
      <c r="DO313">
        <f>2803.221158</f>
        <v>2803.2211579999998</v>
      </c>
      <c r="DP313">
        <f>2712.988728</f>
        <v>2712.9887279999998</v>
      </c>
      <c r="DQ313">
        <f>2215.189759</f>
        <v>2215.1897589999999</v>
      </c>
      <c r="DR313">
        <f>2280.298507</f>
        <v>2280.298507</v>
      </c>
      <c r="DS313">
        <f>2205.609209</f>
        <v>2205.6092090000002</v>
      </c>
      <c r="DT313">
        <f>1989.866279</f>
        <v>1989.8662790000001</v>
      </c>
      <c r="DU313">
        <f>1917.079638</f>
        <v>1917.0796379999999</v>
      </c>
    </row>
    <row r="314" spans="1:125" x14ac:dyDescent="0.25">
      <c r="A314" t="str">
        <f>"    Mitsubishi Motors Corp"</f>
        <v xml:space="preserve">    Mitsubishi Motors Corp</v>
      </c>
      <c r="B314" t="str">
        <f>"7211 JP Equity"</f>
        <v>7211 JP Equity</v>
      </c>
      <c r="C314" t="str">
        <f t="shared" si="21"/>
        <v>RR179</v>
      </c>
      <c r="D314" t="str">
        <f t="shared" si="22"/>
        <v>TANGIBLE_COMMON_EQUITY</v>
      </c>
      <c r="E314" t="str">
        <f t="shared" si="23"/>
        <v>Dynamic</v>
      </c>
      <c r="F314" t="str">
        <f ca="1">IF(AND(ISNUMBER($F$816),$B$511=1),$F$816,HLOOKUP(INDIRECT(ADDRESS(2,COLUMN())),OFFSET($BN$2,0,0,ROW()-1,60),ROW()-1,FALSE))</f>
        <v/>
      </c>
      <c r="G314">
        <f ca="1">IF(AND(ISNUMBER($G$816),$B$511=1),$G$816,HLOOKUP(INDIRECT(ADDRESS(2,COLUMN())),OFFSET($BN$2,0,0,ROW()-1,60),ROW()-1,FALSE))</f>
        <v>7052.5259889999998</v>
      </c>
      <c r="H314">
        <f ca="1">IF(AND(ISNUMBER($H$816),$B$511=1),$H$816,HLOOKUP(INDIRECT(ADDRESS(2,COLUMN())),OFFSET($BN$2,0,0,ROW()-1,60),ROW()-1,FALSE))</f>
        <v>6881.6299559999998</v>
      </c>
      <c r="I314">
        <f ca="1">IF(AND(ISNUMBER($I$816),$B$511=1),$I$816,HLOOKUP(INDIRECT(ADDRESS(2,COLUMN())),OFFSET($BN$2,0,0,ROW()-1,60),ROW()-1,FALSE))</f>
        <v>6773.424806</v>
      </c>
      <c r="J314">
        <f ca="1">IF(AND(ISNUMBER($J$816),$B$511=1),$J$816,HLOOKUP(INDIRECT(ADDRESS(2,COLUMN())),OFFSET($BN$2,0,0,ROW()-1,60),ROW()-1,FALSE))</f>
        <v>7080.1449819999998</v>
      </c>
      <c r="K314">
        <f ca="1">IF(AND(ISNUMBER($K$816),$B$511=1),$K$816,HLOOKUP(INDIRECT(ADDRESS(2,COLUMN())),OFFSET($BN$2,0,0,ROW()-1,60),ROW()-1,FALSE))</f>
        <v>6435.4414640000005</v>
      </c>
      <c r="L314">
        <f ca="1">IF(AND(ISNUMBER($L$816),$B$511=1),$L$816,HLOOKUP(INDIRECT(ADDRESS(2,COLUMN())),OFFSET($BN$2,0,0,ROW()-1,60),ROW()-1,FALSE))</f>
        <v>6288.5455510000002</v>
      </c>
      <c r="M314">
        <f ca="1">IF(AND(ISNUMBER($M$816),$B$511=1),$M$816,HLOOKUP(INDIRECT(ADDRESS(2,COLUMN())),OFFSET($BN$2,0,0,ROW()-1,60),ROW()-1,FALSE))</f>
        <v>6039.8219849999996</v>
      </c>
      <c r="N314">
        <f ca="1">IF(AND(ISNUMBER($N$816),$B$511=1),$N$816,HLOOKUP(INDIRECT(ADDRESS(2,COLUMN())),OFFSET($BN$2,0,0,ROW()-1,60),ROW()-1,FALSE))</f>
        <v>5996.9095319999997</v>
      </c>
      <c r="O314">
        <f ca="1">IF(AND(ISNUMBER($O$816),$B$511=1),$O$816,HLOOKUP(INDIRECT(ADDRESS(2,COLUMN())),OFFSET($BN$2,0,0,ROW()-1,60),ROW()-1,FALSE))</f>
        <v>5634.4050070000003</v>
      </c>
      <c r="P314">
        <f ca="1">IF(AND(ISNUMBER($P$816),$B$511=1),$P$816,HLOOKUP(INDIRECT(ADDRESS(2,COLUMN())),OFFSET($BN$2,0,0,ROW()-1,60),ROW()-1,FALSE))</f>
        <v>3876.6341320000001</v>
      </c>
      <c r="Q314">
        <f ca="1">IF(AND(ISNUMBER($Q$816),$B$511=1),$Q$816,HLOOKUP(INDIRECT(ADDRESS(2,COLUMN())),OFFSET($BN$2,0,0,ROW()-1,60),ROW()-1,FALSE))</f>
        <v>4769.1733700000004</v>
      </c>
      <c r="R314">
        <f ca="1">IF(AND(ISNUMBER($R$816),$B$511=1),$R$816,HLOOKUP(INDIRECT(ADDRESS(2,COLUMN())),OFFSET($BN$2,0,0,ROW()-1,60),ROW()-1,FALSE))</f>
        <v>5818.9244440000002</v>
      </c>
      <c r="S314">
        <f ca="1">IF(AND(ISNUMBER($S$816),$B$511=1),$S$816,HLOOKUP(INDIRECT(ADDRESS(2,COLUMN())),OFFSET($BN$2,0,0,ROW()-1,60),ROW()-1,FALSE))</f>
        <v>5639.7504159999999</v>
      </c>
      <c r="T314">
        <f ca="1">IF(AND(ISNUMBER($T$816),$B$511=1),$T$816,HLOOKUP(INDIRECT(ADDRESS(2,COLUMN())),OFFSET($BN$2,0,0,ROW()-1,60),ROW()-1,FALSE))</f>
        <v>5521.3838050000004</v>
      </c>
      <c r="U314">
        <f ca="1">IF(AND(ISNUMBER($U$816),$B$511=1),$U$816,HLOOKUP(INDIRECT(ADDRESS(2,COLUMN())),OFFSET($BN$2,0,0,ROW()-1,60),ROW()-1,FALSE))</f>
        <v>5381.7474620000003</v>
      </c>
      <c r="V314">
        <f ca="1">IF(AND(ISNUMBER($V$816),$B$511=1),$V$816,HLOOKUP(INDIRECT(ADDRESS(2,COLUMN())),OFFSET($BN$2,0,0,ROW()-1,60),ROW()-1,FALSE))</f>
        <v>5373.9891619999999</v>
      </c>
      <c r="W314">
        <f ca="1">IF(AND(ISNUMBER($W$816),$B$511=1),$W$816,HLOOKUP(INDIRECT(ADDRESS(2,COLUMN())),OFFSET($BN$2,0,0,ROW()-1,60),ROW()-1,FALSE))</f>
        <v>5301.8190919999997</v>
      </c>
      <c r="X314">
        <f ca="1">IF(AND(ISNUMBER($X$816),$B$511=1),$X$816,HLOOKUP(INDIRECT(ADDRESS(2,COLUMN())),OFFSET($BN$2,0,0,ROW()-1,60),ROW()-1,FALSE))</f>
        <v>5306.6934160000001</v>
      </c>
      <c r="Y314">
        <f ca="1">IF(AND(ISNUMBER($Y$816),$B$511=1),$Y$816,HLOOKUP(INDIRECT(ADDRESS(2,COLUMN())),OFFSET($BN$2,0,0,ROW()-1,60),ROW()-1,FALSE))</f>
        <v>5262.3654850000003</v>
      </c>
      <c r="Z314">
        <f ca="1">IF(AND(ISNUMBER($Z$816),$B$511=1),$Z$816,HLOOKUP(INDIRECT(ADDRESS(2,COLUMN())),OFFSET($BN$2,0,0,ROW()-1,60),ROW()-1,FALSE))</f>
        <v>5118.8027549999997</v>
      </c>
      <c r="AA314">
        <f ca="1">IF(AND(ISNUMBER($AA$816),$B$511=1),$AA$816,HLOOKUP(INDIRECT(ADDRESS(2,COLUMN())),OFFSET($BN$2,0,0,ROW()-1,60),ROW()-1,FALSE))</f>
        <v>405.64316930000001</v>
      </c>
      <c r="AB314">
        <f ca="1">IF(AND(ISNUMBER($AB$816),$B$511=1),$AB$816,HLOOKUP(INDIRECT(ADDRESS(2,COLUMN())),OFFSET($BN$2,0,0,ROW()-1,60),ROW()-1,FALSE))</f>
        <v>-72.843905919999997</v>
      </c>
      <c r="AC314">
        <f ca="1">IF(AND(ISNUMBER($AC$816),$B$511=1),$AC$816,HLOOKUP(INDIRECT(ADDRESS(2,COLUMN())),OFFSET($BN$2,0,0,ROW()-1,60),ROW()-1,FALSE))</f>
        <v>-410.96345509999998</v>
      </c>
      <c r="AD314">
        <f ca="1">IF(AND(ISNUMBER($AD$816),$B$511=1),$AD$816,HLOOKUP(INDIRECT(ADDRESS(2,COLUMN())),OFFSET($BN$2,0,0,ROW()-1,60),ROW()-1,FALSE))</f>
        <v>-718.49925710000002</v>
      </c>
      <c r="AE314">
        <f ca="1">IF(AND(ISNUMBER($AE$816),$B$511=1),$AE$816,HLOOKUP(INDIRECT(ADDRESS(2,COLUMN())),OFFSET($BN$2,0,0,ROW()-1,60),ROW()-1,FALSE))</f>
        <v>-1445.8785499999999</v>
      </c>
      <c r="AF314">
        <f ca="1">IF(AND(ISNUMBER($AF$816),$B$511=1),$AF$816,HLOOKUP(INDIRECT(ADDRESS(2,COLUMN())),OFFSET($BN$2,0,0,ROW()-1,60),ROW()-1,FALSE))</f>
        <v>-2221.36807</v>
      </c>
      <c r="AG314">
        <f ca="1">IF(AND(ISNUMBER($AG$816),$B$511=1),$AG$816,HLOOKUP(INDIRECT(ADDRESS(2,COLUMN())),OFFSET($BN$2,0,0,ROW()-1,60),ROW()-1,FALSE))</f>
        <v>-2503.5839599999999</v>
      </c>
      <c r="AH314">
        <f ca="1">IF(AND(ISNUMBER($AH$816),$B$511=1),$AH$816,HLOOKUP(INDIRECT(ADDRESS(2,COLUMN())),OFFSET($BN$2,0,0,ROW()-1,60),ROW()-1,FALSE))</f>
        <v>-2326.8546529999999</v>
      </c>
      <c r="AI314">
        <f ca="1">IF(AND(ISNUMBER($AI$816),$B$511=1),$AI$816,HLOOKUP(INDIRECT(ADDRESS(2,COLUMN())),OFFSET($BN$2,0,0,ROW()-1,60),ROW()-1,FALSE))</f>
        <v>-2905.143525</v>
      </c>
      <c r="AJ314">
        <f ca="1">IF(AND(ISNUMBER($AJ$816),$B$511=1),$AJ$816,HLOOKUP(INDIRECT(ADDRESS(2,COLUMN())),OFFSET($BN$2,0,0,ROW()-1,60),ROW()-1,FALSE))</f>
        <v>-2928.0917810000001</v>
      </c>
      <c r="AK314">
        <f ca="1">IF(AND(ISNUMBER($AK$816),$B$511=1),$AK$816,HLOOKUP(INDIRECT(ADDRESS(2,COLUMN())),OFFSET($BN$2,0,0,ROW()-1,60),ROW()-1,FALSE))</f>
        <v>-2623.845581</v>
      </c>
      <c r="AL314">
        <f ca="1">IF(AND(ISNUMBER($AL$816),$B$511=1),$AL$816,HLOOKUP(INDIRECT(ADDRESS(2,COLUMN())),OFFSET($BN$2,0,0,ROW()-1,60),ROW()-1,FALSE))</f>
        <v>-2536.3032720000001</v>
      </c>
      <c r="AM314">
        <f ca="1">IF(AND(ISNUMBER($AM$816),$B$511=1),$AM$816,HLOOKUP(INDIRECT(ADDRESS(2,COLUMN())),OFFSET($BN$2,0,0,ROW()-1,60),ROW()-1,FALSE))</f>
        <v>-2915.8147560000002</v>
      </c>
      <c r="AN314">
        <f ca="1">IF(AND(ISNUMBER($AN$816),$B$511=1),$AN$816,HLOOKUP(INDIRECT(ADDRESS(2,COLUMN())),OFFSET($BN$2,0,0,ROW()-1,60),ROW()-1,FALSE))</f>
        <v>-2836.113108</v>
      </c>
      <c r="AO314">
        <f ca="1">IF(AND(ISNUMBER($AO$816),$B$511=1),$AO$816,HLOOKUP(INDIRECT(ADDRESS(2,COLUMN())),OFFSET($BN$2,0,0,ROW()-1,60),ROW()-1,FALSE))</f>
        <v>-2805.9494239999999</v>
      </c>
      <c r="AP314">
        <f ca="1">IF(AND(ISNUMBER($AP$816),$B$511=1),$AP$816,HLOOKUP(INDIRECT(ADDRESS(2,COLUMN())),OFFSET($BN$2,0,0,ROW()-1,60),ROW()-1,FALSE))</f>
        <v>-2416.9841609999999</v>
      </c>
      <c r="AQ314">
        <f ca="1">IF(AND(ISNUMBER($AQ$816),$B$511=1),$AQ$816,HLOOKUP(INDIRECT(ADDRESS(2,COLUMN())),OFFSET($BN$2,0,0,ROW()-1,60),ROW()-1,FALSE))</f>
        <v>-2784.056259</v>
      </c>
      <c r="AR314">
        <f ca="1">IF(AND(ISNUMBER($AR$816),$B$511=1),$AR$816,HLOOKUP(INDIRECT(ADDRESS(2,COLUMN())),OFFSET($BN$2,0,0,ROW()-1,60),ROW()-1,FALSE))</f>
        <v>-3081.054862</v>
      </c>
      <c r="AS314">
        <f ca="1">IF(AND(ISNUMBER($AS$816),$B$511=1),$AS$816,HLOOKUP(INDIRECT(ADDRESS(2,COLUMN())),OFFSET($BN$2,0,0,ROW()-1,60),ROW()-1,FALSE))</f>
        <v>-2709.7176079999999</v>
      </c>
      <c r="AT314">
        <f ca="1">IF(AND(ISNUMBER($AT$816),$B$511=1),$AT$816,HLOOKUP(INDIRECT(ADDRESS(2,COLUMN())),OFFSET($BN$2,0,0,ROW()-1,60),ROW()-1,FALSE))</f>
        <v>-2421.5198789999999</v>
      </c>
      <c r="AU314">
        <f ca="1">IF(AND(ISNUMBER($AU$816),$B$511=1),$AU$816,HLOOKUP(INDIRECT(ADDRESS(2,COLUMN())),OFFSET($BN$2,0,0,ROW()-1,60),ROW()-1,FALSE))</f>
        <v>-2305.6063439999998</v>
      </c>
      <c r="AV314">
        <f ca="1">IF(AND(ISNUMBER($AV$816),$B$511=1),$AV$816,HLOOKUP(INDIRECT(ADDRESS(2,COLUMN())),OFFSET($BN$2,0,0,ROW()-1,60),ROW()-1,FALSE))</f>
        <v>-1487.362275</v>
      </c>
      <c r="AW314">
        <f ca="1">IF(AND(ISNUMBER($AW$816),$B$511=1),$AW$816,HLOOKUP(INDIRECT(ADDRESS(2,COLUMN())),OFFSET($BN$2,0,0,ROW()-1,60),ROW()-1,FALSE))</f>
        <v>-1409.464168</v>
      </c>
      <c r="AX314">
        <f ca="1">IF(AND(ISNUMBER($AX$816),$B$511=1),$AX$816,HLOOKUP(INDIRECT(ADDRESS(2,COLUMN())),OFFSET($BN$2,0,0,ROW()-1,60),ROW()-1,FALSE))</f>
        <v>-1522.2311239999999</v>
      </c>
      <c r="AY314">
        <f ca="1">IF(AND(ISNUMBER($AY$816),$B$511=1),$AY$816,HLOOKUP(INDIRECT(ADDRESS(2,COLUMN())),OFFSET($BN$2,0,0,ROW()-1,60),ROW()-1,FALSE))</f>
        <v>-1320.1359689999999</v>
      </c>
      <c r="AZ314">
        <f ca="1">IF(AND(ISNUMBER($AZ$816),$B$511=1),$AZ$816,HLOOKUP(INDIRECT(ADDRESS(2,COLUMN())),OFFSET($BN$2,0,0,ROW()-1,60),ROW()-1,FALSE))</f>
        <v>-1360.4703830000001</v>
      </c>
      <c r="BA314">
        <f ca="1">IF(AND(ISNUMBER($BA$816),$B$511=1),$BA$816,HLOOKUP(INDIRECT(ADDRESS(2,COLUMN())),OFFSET($BN$2,0,0,ROW()-1,60),ROW()-1,FALSE))</f>
        <v>-1491.521986</v>
      </c>
      <c r="BB314">
        <f ca="1">IF(AND(ISNUMBER($BB$816),$B$511=1),$BB$816,HLOOKUP(INDIRECT(ADDRESS(2,COLUMN())),OFFSET($BN$2,0,0,ROW()-1,60),ROW()-1,FALSE))</f>
        <v>-1571.119993</v>
      </c>
      <c r="BC314">
        <f ca="1">IF(AND(ISNUMBER($BC$816),$B$511=1),$BC$816,HLOOKUP(INDIRECT(ADDRESS(2,COLUMN())),OFFSET($BN$2,0,0,ROW()-1,60),ROW()-1,FALSE))</f>
        <v>-1710.908633</v>
      </c>
      <c r="BD314">
        <f ca="1">IF(AND(ISNUMBER($BD$816),$B$511=1),$BD$816,HLOOKUP(INDIRECT(ADDRESS(2,COLUMN())),OFFSET($BN$2,0,0,ROW()-1,60),ROW()-1,FALSE))</f>
        <v>-1816.1159130000001</v>
      </c>
      <c r="BE314">
        <f ca="1">IF(AND(ISNUMBER($BE$816),$B$511=1),$BE$816,HLOOKUP(INDIRECT(ADDRESS(2,COLUMN())),OFFSET($BN$2,0,0,ROW()-1,60),ROW()-1,FALSE))</f>
        <v>-1897.4927929999999</v>
      </c>
      <c r="BF314">
        <f ca="1">IF(AND(ISNUMBER($BF$816),$B$511=1),$BF$816,HLOOKUP(INDIRECT(ADDRESS(2,COLUMN())),OFFSET($BN$2,0,0,ROW()-1,60),ROW()-1,FALSE))</f>
        <v>-1700.008511</v>
      </c>
      <c r="BG314">
        <f ca="1">IF(AND(ISNUMBER($BG$816),$B$511=1),$BG$816,HLOOKUP(INDIRECT(ADDRESS(2,COLUMN())),OFFSET($BN$2,0,0,ROW()-1,60),ROW()-1,FALSE))</f>
        <v>-2467.8901420000002</v>
      </c>
      <c r="BH314">
        <f ca="1">IF(AND(ISNUMBER($BH$816),$B$511=1),$BH$816,HLOOKUP(INDIRECT(ADDRESS(2,COLUMN())),OFFSET($BN$2,0,0,ROW()-1,60),ROW()-1,FALSE))</f>
        <v>-2510.2324760000001</v>
      </c>
      <c r="BI314">
        <f ca="1">IF(AND(ISNUMBER($BI$816),$B$511=1),$BI$816,HLOOKUP(INDIRECT(ADDRESS(2,COLUMN())),OFFSET($BN$2,0,0,ROW()-1,60),ROW()-1,FALSE))</f>
        <v>2444.4875149999998</v>
      </c>
      <c r="BJ314">
        <f ca="1">IF(AND(ISNUMBER($BJ$816),$B$511=1),$BJ$816,HLOOKUP(INDIRECT(ADDRESS(2,COLUMN())),OFFSET($BN$2,0,0,ROW()-1,60),ROW()-1,FALSE))</f>
        <v>-2178.3395519999999</v>
      </c>
      <c r="BK314">
        <f ca="1">IF(AND(ISNUMBER($BK$816),$B$511=1),$BK$816,HLOOKUP(INDIRECT(ADDRESS(2,COLUMN())),OFFSET($BN$2,0,0,ROW()-1,60),ROW()-1,FALSE))</f>
        <v>2513.2669980000001</v>
      </c>
      <c r="BL314">
        <f ca="1">IF(AND(ISNUMBER($BL$816),$B$511=1),$BL$816,HLOOKUP(INDIRECT(ADDRESS(2,COLUMN())),OFFSET($BN$2,0,0,ROW()-1,60),ROW()-1,FALSE))</f>
        <v>-749.36777949999998</v>
      </c>
      <c r="BM314">
        <f ca="1">IF(AND(ISNUMBER($BM$816),$B$511=1),$BM$816,HLOOKUP(INDIRECT(ADDRESS(2,COLUMN())),OFFSET($BN$2,0,0,ROW()-1,60),ROW()-1,FALSE))</f>
        <v>2117.8019570000001</v>
      </c>
      <c r="BN314" t="str">
        <f>""</f>
        <v/>
      </c>
      <c r="BO314">
        <f>7052.525989</f>
        <v>7052.5259889999998</v>
      </c>
      <c r="BP314">
        <f>6881.629956</f>
        <v>6881.6299559999998</v>
      </c>
      <c r="BQ314">
        <f>6773.424806</f>
        <v>6773.424806</v>
      </c>
      <c r="BR314">
        <f>7080.144982</f>
        <v>7080.1449819999998</v>
      </c>
      <c r="BS314">
        <f>6435.441464</f>
        <v>6435.4414640000005</v>
      </c>
      <c r="BT314">
        <f>6288.545551</f>
        <v>6288.5455510000002</v>
      </c>
      <c r="BU314">
        <f>6039.821985</f>
        <v>6039.8219849999996</v>
      </c>
      <c r="BV314">
        <f>5996.909532</f>
        <v>5996.9095319999997</v>
      </c>
      <c r="BW314">
        <f>5634.405007</f>
        <v>5634.4050070000003</v>
      </c>
      <c r="BX314">
        <f>3876.634132</f>
        <v>3876.6341320000001</v>
      </c>
      <c r="BY314">
        <f>4769.17337</f>
        <v>4769.1733700000004</v>
      </c>
      <c r="BZ314">
        <f>5818.924444</f>
        <v>5818.9244440000002</v>
      </c>
      <c r="CA314">
        <f>5639.750416</f>
        <v>5639.7504159999999</v>
      </c>
      <c r="CB314">
        <f>5521.383805</f>
        <v>5521.3838050000004</v>
      </c>
      <c r="CC314">
        <f>5381.747462</f>
        <v>5381.7474620000003</v>
      </c>
      <c r="CD314">
        <f>5373.989162</f>
        <v>5373.9891619999999</v>
      </c>
      <c r="CE314">
        <f>5301.819092</f>
        <v>5301.8190919999997</v>
      </c>
      <c r="CF314">
        <f>5306.693416</f>
        <v>5306.6934160000001</v>
      </c>
      <c r="CG314">
        <f>5262.365485</f>
        <v>5262.3654850000003</v>
      </c>
      <c r="CH314">
        <f>5118.802755</f>
        <v>5118.8027549999997</v>
      </c>
      <c r="CI314">
        <f>405.6431693</f>
        <v>405.64316930000001</v>
      </c>
      <c r="CJ314">
        <f>-72.84390592</f>
        <v>-72.843905919999997</v>
      </c>
      <c r="CK314">
        <f>-410.9634551</f>
        <v>-410.96345509999998</v>
      </c>
      <c r="CL314">
        <f>-718.4992571</f>
        <v>-718.49925710000002</v>
      </c>
      <c r="CM314">
        <f>-1445.87855</f>
        <v>-1445.8785499999999</v>
      </c>
      <c r="CN314">
        <f>-2221.36807</f>
        <v>-2221.36807</v>
      </c>
      <c r="CO314">
        <f>-2503.58396</f>
        <v>-2503.5839599999999</v>
      </c>
      <c r="CP314">
        <f>-2326.854653</f>
        <v>-2326.8546529999999</v>
      </c>
      <c r="CQ314">
        <f>-2905.143525</f>
        <v>-2905.143525</v>
      </c>
      <c r="CR314">
        <f>-2928.091781</f>
        <v>-2928.0917810000001</v>
      </c>
      <c r="CS314">
        <f>-2623.845581</f>
        <v>-2623.845581</v>
      </c>
      <c r="CT314">
        <f>-2536.303272</f>
        <v>-2536.3032720000001</v>
      </c>
      <c r="CU314">
        <f>-2915.814756</f>
        <v>-2915.8147560000002</v>
      </c>
      <c r="CV314">
        <f>-2836.113108</f>
        <v>-2836.113108</v>
      </c>
      <c r="CW314">
        <f>-2805.949424</f>
        <v>-2805.9494239999999</v>
      </c>
      <c r="CX314">
        <f>-2416.984161</f>
        <v>-2416.9841609999999</v>
      </c>
      <c r="CY314">
        <f>-2784.056259</f>
        <v>-2784.056259</v>
      </c>
      <c r="CZ314">
        <f>-3081.054862</f>
        <v>-3081.054862</v>
      </c>
      <c r="DA314">
        <f>-2709.717608</f>
        <v>-2709.7176079999999</v>
      </c>
      <c r="DB314">
        <f>-2421.519879</f>
        <v>-2421.5198789999999</v>
      </c>
      <c r="DC314">
        <f>-2305.606344</f>
        <v>-2305.6063439999998</v>
      </c>
      <c r="DD314">
        <f>-1487.362275</f>
        <v>-1487.362275</v>
      </c>
      <c r="DE314">
        <f>-1409.464168</f>
        <v>-1409.464168</v>
      </c>
      <c r="DF314">
        <f>-1522.231124</f>
        <v>-1522.2311239999999</v>
      </c>
      <c r="DG314">
        <f>-1320.135969</f>
        <v>-1320.1359689999999</v>
      </c>
      <c r="DH314">
        <f>-1360.470383</f>
        <v>-1360.4703830000001</v>
      </c>
      <c r="DI314">
        <f>-1491.521986</f>
        <v>-1491.521986</v>
      </c>
      <c r="DJ314">
        <f>-1571.119993</f>
        <v>-1571.119993</v>
      </c>
      <c r="DK314">
        <f>-1710.908633</f>
        <v>-1710.908633</v>
      </c>
      <c r="DL314">
        <f>-1816.115913</f>
        <v>-1816.1159130000001</v>
      </c>
      <c r="DM314">
        <f>-1897.492793</f>
        <v>-1897.4927929999999</v>
      </c>
      <c r="DN314">
        <f>-1700.008511</f>
        <v>-1700.008511</v>
      </c>
      <c r="DO314">
        <f>-2467.890142</f>
        <v>-2467.8901420000002</v>
      </c>
      <c r="DP314">
        <f>-2510.232476</f>
        <v>-2510.2324760000001</v>
      </c>
      <c r="DQ314">
        <f>2444.487515</f>
        <v>2444.4875149999998</v>
      </c>
      <c r="DR314">
        <f>-2178.339552</f>
        <v>-2178.3395519999999</v>
      </c>
      <c r="DS314">
        <f>2513.266998</f>
        <v>2513.2669980000001</v>
      </c>
      <c r="DT314">
        <f>-749.3677795</f>
        <v>-749.36777949999998</v>
      </c>
      <c r="DU314">
        <f>2117.801957</f>
        <v>2117.8019570000001</v>
      </c>
    </row>
    <row r="315" spans="1:125" x14ac:dyDescent="0.25">
      <c r="A315" t="str">
        <f>"    Nissan Motor Co Ltd"</f>
        <v xml:space="preserve">    Nissan Motor Co Ltd</v>
      </c>
      <c r="B315" t="str">
        <f>"7201 JP Equity"</f>
        <v>7201 JP Equity</v>
      </c>
      <c r="C315" t="str">
        <f t="shared" si="21"/>
        <v>RR179</v>
      </c>
      <c r="D315" t="str">
        <f t="shared" si="22"/>
        <v>TANGIBLE_COMMON_EQUITY</v>
      </c>
      <c r="E315" t="str">
        <f t="shared" si="23"/>
        <v>Dynamic</v>
      </c>
      <c r="F315" t="str">
        <f ca="1">IF(AND(ISNUMBER($F$817),$B$511=1),$F$817,HLOOKUP(INDIRECT(ADDRESS(2,COLUMN())),OFFSET($BN$2,0,0,ROW()-1,60),ROW()-1,FALSE))</f>
        <v/>
      </c>
      <c r="G315">
        <f ca="1">IF(AND(ISNUMBER($G$817),$B$511=1),$G$817,HLOOKUP(INDIRECT(ADDRESS(2,COLUMN())),OFFSET($BN$2,0,0,ROW()-1,60),ROW()-1,FALSE))</f>
        <v>47544.364399999999</v>
      </c>
      <c r="H315">
        <f ca="1">IF(AND(ISNUMBER($H$817),$B$511=1),$H$817,HLOOKUP(INDIRECT(ADDRESS(2,COLUMN())),OFFSET($BN$2,0,0,ROW()-1,60),ROW()-1,FALSE))</f>
        <v>47150.229070000001</v>
      </c>
      <c r="I315">
        <f ca="1">IF(AND(ISNUMBER($I$817),$B$511=1),$I$817,HLOOKUP(INDIRECT(ADDRESS(2,COLUMN())),OFFSET($BN$2,0,0,ROW()-1,60),ROW()-1,FALSE))</f>
        <v>46732.7857</v>
      </c>
      <c r="J315">
        <f ca="1">IF(AND(ISNUMBER($J$817),$B$511=1),$J$817,HLOOKUP(INDIRECT(ADDRESS(2,COLUMN())),OFFSET($BN$2,0,0,ROW()-1,60),ROW()-1,FALSE))</f>
        <v>49482.573900000003</v>
      </c>
      <c r="K315">
        <f ca="1">IF(AND(ISNUMBER($K$817),$B$511=1),$K$817,HLOOKUP(INDIRECT(ADDRESS(2,COLUMN())),OFFSET($BN$2,0,0,ROW()-1,60),ROW()-1,FALSE))</f>
        <v>46002.655890000002</v>
      </c>
      <c r="L315">
        <f ca="1">IF(AND(ISNUMBER($L$817),$B$511=1),$L$817,HLOOKUP(INDIRECT(ADDRESS(2,COLUMN())),OFFSET($BN$2,0,0,ROW()-1,60),ROW()-1,FALSE))</f>
        <v>43991.919730000001</v>
      </c>
      <c r="M315">
        <f ca="1">IF(AND(ISNUMBER($M$817),$B$511=1),$M$817,HLOOKUP(INDIRECT(ADDRESS(2,COLUMN())),OFFSET($BN$2,0,0,ROW()-1,60),ROW()-1,FALSE))</f>
        <v>42331.740100000003</v>
      </c>
      <c r="N315">
        <f ca="1">IF(AND(ISNUMBER($N$817),$B$511=1),$N$817,HLOOKUP(INDIRECT(ADDRESS(2,COLUMN())),OFFSET($BN$2,0,0,ROW()-1,60),ROW()-1,FALSE))</f>
        <v>42533.743600000002</v>
      </c>
      <c r="O315">
        <f ca="1">IF(AND(ISNUMBER($O$817),$B$511=1),$O$817,HLOOKUP(INDIRECT(ADDRESS(2,COLUMN())),OFFSET($BN$2,0,0,ROW()-1,60),ROW()-1,FALSE))</f>
        <v>37257.261659999996</v>
      </c>
      <c r="P315">
        <f ca="1">IF(AND(ISNUMBER($P$817),$B$511=1),$P$817,HLOOKUP(INDIRECT(ADDRESS(2,COLUMN())),OFFSET($BN$2,0,0,ROW()-1,60),ROW()-1,FALSE))</f>
        <v>40459.479440000003</v>
      </c>
      <c r="Q315">
        <f ca="1">IF(AND(ISNUMBER($Q$817),$B$511=1),$Q$817,HLOOKUP(INDIRECT(ADDRESS(2,COLUMN())),OFFSET($BN$2,0,0,ROW()-1,60),ROW()-1,FALSE))</f>
        <v>41298.061829999999</v>
      </c>
      <c r="R315">
        <f ca="1">IF(AND(ISNUMBER($R$817),$B$511=1),$R$817,HLOOKUP(INDIRECT(ADDRESS(2,COLUMN())),OFFSET($BN$2,0,0,ROW()-1,60),ROW()-1,FALSE))</f>
        <v>40807.911110000001</v>
      </c>
      <c r="S315">
        <f ca="1">IF(AND(ISNUMBER($S$817),$B$511=1),$S$817,HLOOKUP(INDIRECT(ADDRESS(2,COLUMN())),OFFSET($BN$2,0,0,ROW()-1,60),ROW()-1,FALSE))</f>
        <v>40029.667220000003</v>
      </c>
      <c r="T315">
        <f ca="1">IF(AND(ISNUMBER($T$817),$B$511=1),$T$817,HLOOKUP(INDIRECT(ADDRESS(2,COLUMN())),OFFSET($BN$2,0,0,ROW()-1,60),ROW()-1,FALSE))</f>
        <v>40238.572740000003</v>
      </c>
      <c r="U315">
        <f ca="1">IF(AND(ISNUMBER($U$817),$B$511=1),$U$817,HLOOKUP(INDIRECT(ADDRESS(2,COLUMN())),OFFSET($BN$2,0,0,ROW()-1,60),ROW()-1,FALSE))</f>
        <v>39406.239759999997</v>
      </c>
      <c r="V315">
        <f ca="1">IF(AND(ISNUMBER($V$817),$B$511=1),$V$817,HLOOKUP(INDIRECT(ADDRESS(2,COLUMN())),OFFSET($BN$2,0,0,ROW()-1,60),ROW()-1,FALSE))</f>
        <v>39368.520219999999</v>
      </c>
      <c r="W315">
        <f ca="1">IF(AND(ISNUMBER($W$817),$B$511=1),$W$817,HLOOKUP(INDIRECT(ADDRESS(2,COLUMN())),OFFSET($BN$2,0,0,ROW()-1,60),ROW()-1,FALSE))</f>
        <v>38366.079769999997</v>
      </c>
      <c r="X315">
        <f ca="1">IF(AND(ISNUMBER($X$817),$B$511=1),$X$817,HLOOKUP(INDIRECT(ADDRESS(2,COLUMN())),OFFSET($BN$2,0,0,ROW()-1,60),ROW()-1,FALSE))</f>
        <v>40196.899510000003</v>
      </c>
      <c r="Y315">
        <f ca="1">IF(AND(ISNUMBER($Y$817),$B$511=1),$Y$817,HLOOKUP(INDIRECT(ADDRESS(2,COLUMN())),OFFSET($BN$2,0,0,ROW()-1,60),ROW()-1,FALSE))</f>
        <v>41347.467669999998</v>
      </c>
      <c r="Z315">
        <f ca="1">IF(AND(ISNUMBER($Z$817),$B$511=1),$Z$817,HLOOKUP(INDIRECT(ADDRESS(2,COLUMN())),OFFSET($BN$2,0,0,ROW()-1,60),ROW()-1,FALSE))</f>
        <v>41221.703699999998</v>
      </c>
      <c r="AA315">
        <f ca="1">IF(AND(ISNUMBER($AA$817),$B$511=1),$AA$817,HLOOKUP(INDIRECT(ADDRESS(2,COLUMN())),OFFSET($BN$2,0,0,ROW()-1,60),ROW()-1,FALSE))</f>
        <v>39293.463799999998</v>
      </c>
      <c r="AB315">
        <f ca="1">IF(AND(ISNUMBER($AB$817),$B$511=1),$AB$817,HLOOKUP(INDIRECT(ADDRESS(2,COLUMN())),OFFSET($BN$2,0,0,ROW()-1,60),ROW()-1,FALSE))</f>
        <v>40370.104879999999</v>
      </c>
      <c r="AC315">
        <f ca="1">IF(AND(ISNUMBER($AC$817),$B$511=1),$AC$817,HLOOKUP(INDIRECT(ADDRESS(2,COLUMN())),OFFSET($BN$2,0,0,ROW()-1,60),ROW()-1,FALSE))</f>
        <v>38263.978660000001</v>
      </c>
      <c r="AD315">
        <f ca="1">IF(AND(ISNUMBER($AD$817),$B$511=1),$AD$817,HLOOKUP(INDIRECT(ADDRESS(2,COLUMN())),OFFSET($BN$2,0,0,ROW()-1,60),ROW()-1,FALSE))</f>
        <v>38832.700060000003</v>
      </c>
      <c r="AE315">
        <f ca="1">IF(AND(ISNUMBER($AE$817),$B$511=1),$AE$817,HLOOKUP(INDIRECT(ADDRESS(2,COLUMN())),OFFSET($BN$2,0,0,ROW()-1,60),ROW()-1,FALSE))</f>
        <v>37609.524360000003</v>
      </c>
      <c r="AF315">
        <f ca="1">IF(AND(ISNUMBER($AF$817),$B$511=1),$AF$817,HLOOKUP(INDIRECT(ADDRESS(2,COLUMN())),OFFSET($BN$2,0,0,ROW()-1,60),ROW()-1,FALSE))</f>
        <v>39187.230490000002</v>
      </c>
      <c r="AG315">
        <f ca="1">IF(AND(ISNUMBER($AG$817),$B$511=1),$AG$817,HLOOKUP(INDIRECT(ADDRESS(2,COLUMN())),OFFSET($BN$2,0,0,ROW()-1,60),ROW()-1,FALSE))</f>
        <v>37271.942360000001</v>
      </c>
      <c r="AH315">
        <f ca="1">IF(AND(ISNUMBER($AH$817),$B$511=1),$AH$817,HLOOKUP(INDIRECT(ADDRESS(2,COLUMN())),OFFSET($BN$2,0,0,ROW()-1,60),ROW()-1,FALSE))</f>
        <v>36657.388359999997</v>
      </c>
      <c r="AI315">
        <f ca="1">IF(AND(ISNUMBER($AI$817),$B$511=1),$AI$817,HLOOKUP(INDIRECT(ADDRESS(2,COLUMN())),OFFSET($BN$2,0,0,ROW()-1,60),ROW()-1,FALSE))</f>
        <v>36223.912199999999</v>
      </c>
      <c r="AJ315">
        <f ca="1">IF(AND(ISNUMBER($AJ$817),$B$511=1),$AJ$817,HLOOKUP(INDIRECT(ADDRESS(2,COLUMN())),OFFSET($BN$2,0,0,ROW()-1,60),ROW()-1,FALSE))</f>
        <v>36102.100079999997</v>
      </c>
      <c r="AK315">
        <f ca="1">IF(AND(ISNUMBER($AK$817),$B$511=1),$AK$817,HLOOKUP(INDIRECT(ADDRESS(2,COLUMN())),OFFSET($BN$2,0,0,ROW()-1,60),ROW()-1,FALSE))</f>
        <v>35622.318769999998</v>
      </c>
      <c r="AL315">
        <f ca="1">IF(AND(ISNUMBER($AL$817),$B$511=1),$AL$817,HLOOKUP(INDIRECT(ADDRESS(2,COLUMN())),OFFSET($BN$2,0,0,ROW()-1,60),ROW()-1,FALSE))</f>
        <v>33925.642879999999</v>
      </c>
      <c r="AM315">
        <f ca="1">IF(AND(ISNUMBER($AM$817),$B$511=1),$AM$817,HLOOKUP(INDIRECT(ADDRESS(2,COLUMN())),OFFSET($BN$2,0,0,ROW()-1,60),ROW()-1,FALSE))</f>
        <v>33581.709569999999</v>
      </c>
      <c r="AN315">
        <f ca="1">IF(AND(ISNUMBER($AN$817),$B$511=1),$AN$817,HLOOKUP(INDIRECT(ADDRESS(2,COLUMN())),OFFSET($BN$2,0,0,ROW()-1,60),ROW()-1,FALSE))</f>
        <v>32359.010300000002</v>
      </c>
      <c r="AO315">
        <f ca="1">IF(AND(ISNUMBER($AO$817),$B$511=1),$AO$817,HLOOKUP(INDIRECT(ADDRESS(2,COLUMN())),OFFSET($BN$2,0,0,ROW()-1,60),ROW()-1,FALSE))</f>
        <v>29886.136829999999</v>
      </c>
      <c r="AP315">
        <f ca="1">IF(AND(ISNUMBER($AP$817),$B$511=1),$AP$817,HLOOKUP(INDIRECT(ADDRESS(2,COLUMN())),OFFSET($BN$2,0,0,ROW()-1,60),ROW()-1,FALSE))</f>
        <v>27459.621149999999</v>
      </c>
      <c r="AQ315">
        <f ca="1">IF(AND(ISNUMBER($AQ$817),$B$511=1),$AQ$817,HLOOKUP(INDIRECT(ADDRESS(2,COLUMN())),OFFSET($BN$2,0,0,ROW()-1,60),ROW()-1,FALSE))</f>
        <v>27305.464889999999</v>
      </c>
      <c r="AR315">
        <f ca="1">IF(AND(ISNUMBER($AR$817),$B$511=1),$AR$817,HLOOKUP(INDIRECT(ADDRESS(2,COLUMN())),OFFSET($BN$2,0,0,ROW()-1,60),ROW()-1,FALSE))</f>
        <v>27180.932199999999</v>
      </c>
      <c r="AS315">
        <f ca="1">IF(AND(ISNUMBER($AS$817),$B$511=1),$AS$817,HLOOKUP(INDIRECT(ADDRESS(2,COLUMN())),OFFSET($BN$2,0,0,ROW()-1,60),ROW()-1,FALSE))</f>
        <v>25970.20349</v>
      </c>
      <c r="AT315">
        <f ca="1">IF(AND(ISNUMBER($AT$817),$B$511=1),$AT$817,HLOOKUP(INDIRECT(ADDRESS(2,COLUMN())),OFFSET($BN$2,0,0,ROW()-1,60),ROW()-1,FALSE))</f>
        <v>24766.019120000001</v>
      </c>
      <c r="AU315">
        <f ca="1">IF(AND(ISNUMBER($AU$817),$B$511=1),$AU$817,HLOOKUP(INDIRECT(ADDRESS(2,COLUMN())),OFFSET($BN$2,0,0,ROW()-1,60),ROW()-1,FALSE))</f>
        <v>30207.588940000001</v>
      </c>
      <c r="AV315">
        <f ca="1">IF(AND(ISNUMBER($AV$817),$B$511=1),$AV$817,HLOOKUP(INDIRECT(ADDRESS(2,COLUMN())),OFFSET($BN$2,0,0,ROW()-1,60),ROW()-1,FALSE))</f>
        <v>31439.956679999999</v>
      </c>
      <c r="AW315">
        <f ca="1">IF(AND(ISNUMBER($AW$817),$B$511=1),$AW$817,HLOOKUP(INDIRECT(ADDRESS(2,COLUMN())),OFFSET($BN$2,0,0,ROW()-1,60),ROW()-1,FALSE))</f>
        <v>32023.570960000001</v>
      </c>
      <c r="AX315">
        <f ca="1">IF(AND(ISNUMBER($AX$817),$B$511=1),$AX$817,HLOOKUP(INDIRECT(ADDRESS(2,COLUMN())),OFFSET($BN$2,0,0,ROW()-1,60),ROW()-1,FALSE))</f>
        <v>33249.86982</v>
      </c>
      <c r="AY315">
        <f ca="1">IF(AND(ISNUMBER($AY$817),$B$511=1),$AY$817,HLOOKUP(INDIRECT(ADDRESS(2,COLUMN())),OFFSET($BN$2,0,0,ROW()-1,60),ROW()-1,FALSE))</f>
        <v>31572.680919999999</v>
      </c>
      <c r="AZ315">
        <f ca="1">IF(AND(ISNUMBER($AZ$817),$B$511=1),$AZ$817,HLOOKUP(INDIRECT(ADDRESS(2,COLUMN())),OFFSET($BN$2,0,0,ROW()-1,60),ROW()-1,FALSE))</f>
        <v>30690.418119999998</v>
      </c>
      <c r="BA315">
        <f ca="1">IF(AND(ISNUMBER($BA$817),$B$511=1),$BA$817,HLOOKUP(INDIRECT(ADDRESS(2,COLUMN())),OFFSET($BN$2,0,0,ROW()-1,60),ROW()-1,FALSE))</f>
        <v>28646.18692</v>
      </c>
      <c r="BB315">
        <f ca="1">IF(AND(ISNUMBER($BB$817),$B$511=1),$BB$817,HLOOKUP(INDIRECT(ADDRESS(2,COLUMN())),OFFSET($BN$2,0,0,ROW()-1,60),ROW()-1,FALSE))</f>
        <v>28596.26669</v>
      </c>
      <c r="BC315">
        <f ca="1">IF(AND(ISNUMBER($BC$817),$B$511=1),$BC$817,HLOOKUP(INDIRECT(ADDRESS(2,COLUMN())),OFFSET($BN$2,0,0,ROW()-1,60),ROW()-1,FALSE))</f>
        <v>27246.943230000001</v>
      </c>
      <c r="BD315">
        <f ca="1">IF(AND(ISNUMBER($BD$817),$B$511=1),$BD$817,HLOOKUP(INDIRECT(ADDRESS(2,COLUMN())),OFFSET($BN$2,0,0,ROW()-1,60),ROW()-1,FALSE))</f>
        <v>26551.067620000002</v>
      </c>
      <c r="BE315">
        <f ca="1">IF(AND(ISNUMBER($BE$817),$B$511=1),$BE$817,HLOOKUP(INDIRECT(ADDRESS(2,COLUMN())),OFFSET($BN$2,0,0,ROW()-1,60),ROW()-1,FALSE))</f>
        <v>25712.474880000002</v>
      </c>
      <c r="BF315">
        <f ca="1">IF(AND(ISNUMBER($BF$817),$B$511=1),$BF$817,HLOOKUP(INDIRECT(ADDRESS(2,COLUMN())),OFFSET($BN$2,0,0,ROW()-1,60),ROW()-1,FALSE))</f>
        <v>24689.65106</v>
      </c>
      <c r="BG315">
        <f ca="1">IF(AND(ISNUMBER($BG$817),$B$511=1),$BG$817,HLOOKUP(INDIRECT(ADDRESS(2,COLUMN())),OFFSET($BN$2,0,0,ROW()-1,60),ROW()-1,FALSE))</f>
        <v>22972.51844</v>
      </c>
      <c r="BH315">
        <f ca="1">IF(AND(ISNUMBER($BH$817),$B$511=1),$BH$817,HLOOKUP(INDIRECT(ADDRESS(2,COLUMN())),OFFSET($BN$2,0,0,ROW()-1,60),ROW()-1,FALSE))</f>
        <v>22357.088759999999</v>
      </c>
      <c r="BI315">
        <f ca="1">IF(AND(ISNUMBER($BI$817),$B$511=1),$BI$817,HLOOKUP(INDIRECT(ADDRESS(2,COLUMN())),OFFSET($BN$2,0,0,ROW()-1,60),ROW()-1,FALSE))</f>
        <v>21353.60137</v>
      </c>
      <c r="BJ315">
        <f ca="1">IF(AND(ISNUMBER($BJ$817),$B$511=1),$BJ$817,HLOOKUP(INDIRECT(ADDRESS(2,COLUMN())),OFFSET($BN$2,0,0,ROW()-1,60),ROW()-1,FALSE))</f>
        <v>21339.45896</v>
      </c>
      <c r="BK315">
        <f ca="1">IF(AND(ISNUMBER($BK$817),$B$511=1),$BK$817,HLOOKUP(INDIRECT(ADDRESS(2,COLUMN())),OFFSET($BN$2,0,0,ROW()-1,60),ROW()-1,FALSE))</f>
        <v>20768.110430000001</v>
      </c>
      <c r="BL315">
        <f ca="1">IF(AND(ISNUMBER($BL$817),$B$511=1),$BL$817,HLOOKUP(INDIRECT(ADDRESS(2,COLUMN())),OFFSET($BN$2,0,0,ROW()-1,60),ROW()-1,FALSE))</f>
        <v>19041.435460000001</v>
      </c>
      <c r="BM315">
        <f ca="1">IF(AND(ISNUMBER($BM$817),$B$511=1),$BM$817,HLOOKUP(INDIRECT(ADDRESS(2,COLUMN())),OFFSET($BN$2,0,0,ROW()-1,60),ROW()-1,FALSE))</f>
        <v>18286.129649999999</v>
      </c>
      <c r="BN315" t="str">
        <f>""</f>
        <v/>
      </c>
      <c r="BO315">
        <f>47544.3644</f>
        <v>47544.364399999999</v>
      </c>
      <c r="BP315">
        <f>47150.22907</f>
        <v>47150.229070000001</v>
      </c>
      <c r="BQ315">
        <f>46732.7857</f>
        <v>46732.7857</v>
      </c>
      <c r="BR315">
        <f>49482.5739</f>
        <v>49482.573900000003</v>
      </c>
      <c r="BS315">
        <f>46002.65589</f>
        <v>46002.655890000002</v>
      </c>
      <c r="BT315">
        <f>43991.91973</f>
        <v>43991.919730000001</v>
      </c>
      <c r="BU315">
        <f>42331.7401</f>
        <v>42331.740100000003</v>
      </c>
      <c r="BV315">
        <f>42533.7436</f>
        <v>42533.743600000002</v>
      </c>
      <c r="BW315">
        <f>37257.26166</f>
        <v>37257.261659999996</v>
      </c>
      <c r="BX315">
        <f>40459.47944</f>
        <v>40459.479440000003</v>
      </c>
      <c r="BY315">
        <f>41298.06183</f>
        <v>41298.061829999999</v>
      </c>
      <c r="BZ315">
        <f>40807.91111</f>
        <v>40807.911110000001</v>
      </c>
      <c r="CA315">
        <f>40029.66722</f>
        <v>40029.667220000003</v>
      </c>
      <c r="CB315">
        <f>40238.57274</f>
        <v>40238.572740000003</v>
      </c>
      <c r="CC315">
        <f>39406.23976</f>
        <v>39406.239759999997</v>
      </c>
      <c r="CD315">
        <f>39368.52022</f>
        <v>39368.520219999999</v>
      </c>
      <c r="CE315">
        <f>38366.07977</f>
        <v>38366.079769999997</v>
      </c>
      <c r="CF315">
        <f>40196.89951</f>
        <v>40196.899510000003</v>
      </c>
      <c r="CG315">
        <f>41347.46767</f>
        <v>41347.467669999998</v>
      </c>
      <c r="CH315">
        <f>41221.7037</f>
        <v>41221.703699999998</v>
      </c>
      <c r="CI315">
        <f>39293.4638</f>
        <v>39293.463799999998</v>
      </c>
      <c r="CJ315">
        <f>40370.1048799999</f>
        <v>40370.104879999999</v>
      </c>
      <c r="CK315">
        <f>38263.97866</f>
        <v>38263.978660000001</v>
      </c>
      <c r="CL315">
        <f>38832.70006</f>
        <v>38832.700060000003</v>
      </c>
      <c r="CM315">
        <f>37609.52436</f>
        <v>37609.524360000003</v>
      </c>
      <c r="CN315">
        <f>39187.23049</f>
        <v>39187.230490000002</v>
      </c>
      <c r="CO315">
        <f>37271.94236</f>
        <v>37271.942360000001</v>
      </c>
      <c r="CP315">
        <f>36657.38836</f>
        <v>36657.388359999997</v>
      </c>
      <c r="CQ315">
        <f>36223.9122</f>
        <v>36223.912199999999</v>
      </c>
      <c r="CR315">
        <f>36102.10008</f>
        <v>36102.100079999997</v>
      </c>
      <c r="CS315">
        <f>35622.31877</f>
        <v>35622.318769999998</v>
      </c>
      <c r="CT315">
        <f>33925.64288</f>
        <v>33925.642879999999</v>
      </c>
      <c r="CU315">
        <f>33581.70957</f>
        <v>33581.709569999999</v>
      </c>
      <c r="CV315">
        <f>32359.0103</f>
        <v>32359.010300000002</v>
      </c>
      <c r="CW315">
        <f>29886.13683</f>
        <v>29886.136829999999</v>
      </c>
      <c r="CX315">
        <f>27459.62115</f>
        <v>27459.621149999999</v>
      </c>
      <c r="CY315">
        <f>27305.46489</f>
        <v>27305.464889999999</v>
      </c>
      <c r="CZ315">
        <f>27180.9322</f>
        <v>27180.932199999999</v>
      </c>
      <c r="DA315">
        <f>25970.20349</f>
        <v>25970.20349</v>
      </c>
      <c r="DB315">
        <f>24766.01912</f>
        <v>24766.019120000001</v>
      </c>
      <c r="DC315">
        <f>30207.58894</f>
        <v>30207.588940000001</v>
      </c>
      <c r="DD315">
        <f>31439.95668</f>
        <v>31439.956679999999</v>
      </c>
      <c r="DE315">
        <f>32023.57096</f>
        <v>32023.570960000001</v>
      </c>
      <c r="DF315">
        <f>33249.86982</f>
        <v>33249.86982</v>
      </c>
      <c r="DG315">
        <f>31572.68092</f>
        <v>31572.680919999999</v>
      </c>
      <c r="DH315">
        <f>30690.41812</f>
        <v>30690.418119999998</v>
      </c>
      <c r="DI315">
        <f>28646.18692</f>
        <v>28646.18692</v>
      </c>
      <c r="DJ315">
        <f>28596.26669</f>
        <v>28596.26669</v>
      </c>
      <c r="DK315">
        <f>27246.94323</f>
        <v>27246.943230000001</v>
      </c>
      <c r="DL315">
        <f>26551.06762</f>
        <v>26551.067620000002</v>
      </c>
      <c r="DM315">
        <f>25712.47488</f>
        <v>25712.474880000002</v>
      </c>
      <c r="DN315">
        <f>24689.65106</f>
        <v>24689.65106</v>
      </c>
      <c r="DO315">
        <f>22972.51844</f>
        <v>22972.51844</v>
      </c>
      <c r="DP315">
        <f>22357.08876</f>
        <v>22357.088759999999</v>
      </c>
      <c r="DQ315">
        <f>21353.60137</f>
        <v>21353.60137</v>
      </c>
      <c r="DR315">
        <f>21339.45896</f>
        <v>21339.45896</v>
      </c>
      <c r="DS315">
        <f>20768.11043</f>
        <v>20768.110430000001</v>
      </c>
      <c r="DT315">
        <f>19041.43546</f>
        <v>19041.435460000001</v>
      </c>
      <c r="DU315">
        <f>18286.12965</f>
        <v>18286.129649999999</v>
      </c>
    </row>
    <row r="316" spans="1:125" x14ac:dyDescent="0.25">
      <c r="A316" t="str">
        <f>"    Peugeot SA"</f>
        <v xml:space="preserve">    Peugeot SA</v>
      </c>
      <c r="B316" t="str">
        <f>"UG FP Equity"</f>
        <v>UG FP Equity</v>
      </c>
      <c r="C316" t="str">
        <f t="shared" si="21"/>
        <v>RR179</v>
      </c>
      <c r="D316" t="str">
        <f t="shared" si="22"/>
        <v>TANGIBLE_COMMON_EQUITY</v>
      </c>
      <c r="E316" t="str">
        <f t="shared" si="23"/>
        <v>Dynamic</v>
      </c>
      <c r="F316" t="str">
        <f ca="1">IF(AND(ISNUMBER($F$818),$B$511=1),$F$818,HLOOKUP(INDIRECT(ADDRESS(2,COLUMN())),OFFSET($BN$2,0,0,ROW()-1,60),ROW()-1,FALSE))</f>
        <v/>
      </c>
      <c r="G316" t="str">
        <f ca="1">IF(AND(ISNUMBER($G$818),$B$511=1),$G$818,HLOOKUP(INDIRECT(ADDRESS(2,COLUMN())),OFFSET($BN$2,0,0,ROW()-1,60),ROW()-1,FALSE))</f>
        <v/>
      </c>
      <c r="H316" t="str">
        <f ca="1">IF(AND(ISNUMBER($H$818),$B$511=1),$H$818,HLOOKUP(INDIRECT(ADDRESS(2,COLUMN())),OFFSET($BN$2,0,0,ROW()-1,60),ROW()-1,FALSE))</f>
        <v/>
      </c>
      <c r="I316" t="str">
        <f ca="1">IF(AND(ISNUMBER($I$818),$B$511=1),$I$818,HLOOKUP(INDIRECT(ADDRESS(2,COLUMN())),OFFSET($BN$2,0,0,ROW()-1,60),ROW()-1,FALSE))</f>
        <v/>
      </c>
      <c r="J316" t="str">
        <f ca="1">IF(AND(ISNUMBER($J$818),$B$511=1),$J$818,HLOOKUP(INDIRECT(ADDRESS(2,COLUMN())),OFFSET($BN$2,0,0,ROW()-1,60),ROW()-1,FALSE))</f>
        <v/>
      </c>
      <c r="K316" t="str">
        <f ca="1">IF(AND(ISNUMBER($K$818),$B$511=1),$K$818,HLOOKUP(INDIRECT(ADDRESS(2,COLUMN())),OFFSET($BN$2,0,0,ROW()-1,60),ROW()-1,FALSE))</f>
        <v/>
      </c>
      <c r="L316" t="str">
        <f ca="1">IF(AND(ISNUMBER($L$818),$B$511=1),$L$818,HLOOKUP(INDIRECT(ADDRESS(2,COLUMN())),OFFSET($BN$2,0,0,ROW()-1,60),ROW()-1,FALSE))</f>
        <v/>
      </c>
      <c r="M316" t="str">
        <f ca="1">IF(AND(ISNUMBER($M$818),$B$511=1),$M$818,HLOOKUP(INDIRECT(ADDRESS(2,COLUMN())),OFFSET($BN$2,0,0,ROW()-1,60),ROW()-1,FALSE))</f>
        <v/>
      </c>
      <c r="N316" t="str">
        <f ca="1">IF(AND(ISNUMBER($N$818),$B$511=1),$N$818,HLOOKUP(INDIRECT(ADDRESS(2,COLUMN())),OFFSET($BN$2,0,0,ROW()-1,60),ROW()-1,FALSE))</f>
        <v/>
      </c>
      <c r="O316" t="str">
        <f ca="1">IF(AND(ISNUMBER($O$818),$B$511=1),$O$818,HLOOKUP(INDIRECT(ADDRESS(2,COLUMN())),OFFSET($BN$2,0,0,ROW()-1,60),ROW()-1,FALSE))</f>
        <v/>
      </c>
      <c r="P316" t="str">
        <f ca="1">IF(AND(ISNUMBER($P$818),$B$511=1),$P$818,HLOOKUP(INDIRECT(ADDRESS(2,COLUMN())),OFFSET($BN$2,0,0,ROW()-1,60),ROW()-1,FALSE))</f>
        <v/>
      </c>
      <c r="Q316" t="str">
        <f ca="1">IF(AND(ISNUMBER($Q$818),$B$511=1),$Q$818,HLOOKUP(INDIRECT(ADDRESS(2,COLUMN())),OFFSET($BN$2,0,0,ROW()-1,60),ROW()-1,FALSE))</f>
        <v/>
      </c>
      <c r="R316" t="str">
        <f ca="1">IF(AND(ISNUMBER($R$818),$B$511=1),$R$818,HLOOKUP(INDIRECT(ADDRESS(2,COLUMN())),OFFSET($BN$2,0,0,ROW()-1,60),ROW()-1,FALSE))</f>
        <v/>
      </c>
      <c r="S316" t="str">
        <f ca="1">IF(AND(ISNUMBER($S$818),$B$511=1),$S$818,HLOOKUP(INDIRECT(ADDRESS(2,COLUMN())),OFFSET($BN$2,0,0,ROW()-1,60),ROW()-1,FALSE))</f>
        <v/>
      </c>
      <c r="T316" t="str">
        <f ca="1">IF(AND(ISNUMBER($T$818),$B$511=1),$T$818,HLOOKUP(INDIRECT(ADDRESS(2,COLUMN())),OFFSET($BN$2,0,0,ROW()-1,60),ROW()-1,FALSE))</f>
        <v/>
      </c>
      <c r="U316" t="str">
        <f ca="1">IF(AND(ISNUMBER($U$818),$B$511=1),$U$818,HLOOKUP(INDIRECT(ADDRESS(2,COLUMN())),OFFSET($BN$2,0,0,ROW()-1,60),ROW()-1,FALSE))</f>
        <v/>
      </c>
      <c r="V316" t="str">
        <f ca="1">IF(AND(ISNUMBER($V$818),$B$511=1),$V$818,HLOOKUP(INDIRECT(ADDRESS(2,COLUMN())),OFFSET($BN$2,0,0,ROW()-1,60),ROW()-1,FALSE))</f>
        <v/>
      </c>
      <c r="W316" t="str">
        <f ca="1">IF(AND(ISNUMBER($W$818),$B$511=1),$W$818,HLOOKUP(INDIRECT(ADDRESS(2,COLUMN())),OFFSET($BN$2,0,0,ROW()-1,60),ROW()-1,FALSE))</f>
        <v/>
      </c>
      <c r="X316" t="str">
        <f ca="1">IF(AND(ISNUMBER($X$818),$B$511=1),$X$818,HLOOKUP(INDIRECT(ADDRESS(2,COLUMN())),OFFSET($BN$2,0,0,ROW()-1,60),ROW()-1,FALSE))</f>
        <v/>
      </c>
      <c r="Y316" t="str">
        <f ca="1">IF(AND(ISNUMBER($Y$818),$B$511=1),$Y$818,HLOOKUP(INDIRECT(ADDRESS(2,COLUMN())),OFFSET($BN$2,0,0,ROW()-1,60),ROW()-1,FALSE))</f>
        <v/>
      </c>
      <c r="Z316" t="str">
        <f ca="1">IF(AND(ISNUMBER($Z$818),$B$511=1),$Z$818,HLOOKUP(INDIRECT(ADDRESS(2,COLUMN())),OFFSET($BN$2,0,0,ROW()-1,60),ROW()-1,FALSE))</f>
        <v/>
      </c>
      <c r="AA316" t="str">
        <f ca="1">IF(AND(ISNUMBER($AA$818),$B$511=1),$AA$818,HLOOKUP(INDIRECT(ADDRESS(2,COLUMN())),OFFSET($BN$2,0,0,ROW()-1,60),ROW()-1,FALSE))</f>
        <v/>
      </c>
      <c r="AB316" t="str">
        <f ca="1">IF(AND(ISNUMBER($AB$818),$B$511=1),$AB$818,HLOOKUP(INDIRECT(ADDRESS(2,COLUMN())),OFFSET($BN$2,0,0,ROW()-1,60),ROW()-1,FALSE))</f>
        <v/>
      </c>
      <c r="AC316" t="str">
        <f ca="1">IF(AND(ISNUMBER($AC$818),$B$511=1),$AC$818,HLOOKUP(INDIRECT(ADDRESS(2,COLUMN())),OFFSET($BN$2,0,0,ROW()-1,60),ROW()-1,FALSE))</f>
        <v/>
      </c>
      <c r="AD316" t="str">
        <f ca="1">IF(AND(ISNUMBER($AD$818),$B$511=1),$AD$818,HLOOKUP(INDIRECT(ADDRESS(2,COLUMN())),OFFSET($BN$2,0,0,ROW()-1,60),ROW()-1,FALSE))</f>
        <v/>
      </c>
      <c r="AE316" t="str">
        <f ca="1">IF(AND(ISNUMBER($AE$818),$B$511=1),$AE$818,HLOOKUP(INDIRECT(ADDRESS(2,COLUMN())),OFFSET($BN$2,0,0,ROW()-1,60),ROW()-1,FALSE))</f>
        <v/>
      </c>
      <c r="AF316" t="str">
        <f ca="1">IF(AND(ISNUMBER($AF$818),$B$511=1),$AF$818,HLOOKUP(INDIRECT(ADDRESS(2,COLUMN())),OFFSET($BN$2,0,0,ROW()-1,60),ROW()-1,FALSE))</f>
        <v/>
      </c>
      <c r="AG316" t="str">
        <f ca="1">IF(AND(ISNUMBER($AG$818),$B$511=1),$AG$818,HLOOKUP(INDIRECT(ADDRESS(2,COLUMN())),OFFSET($BN$2,0,0,ROW()-1,60),ROW()-1,FALSE))</f>
        <v/>
      </c>
      <c r="AH316" t="str">
        <f ca="1">IF(AND(ISNUMBER($AH$818),$B$511=1),$AH$818,HLOOKUP(INDIRECT(ADDRESS(2,COLUMN())),OFFSET($BN$2,0,0,ROW()-1,60),ROW()-1,FALSE))</f>
        <v/>
      </c>
      <c r="AI316" t="str">
        <f ca="1">IF(AND(ISNUMBER($AI$818),$B$511=1),$AI$818,HLOOKUP(INDIRECT(ADDRESS(2,COLUMN())),OFFSET($BN$2,0,0,ROW()-1,60),ROW()-1,FALSE))</f>
        <v/>
      </c>
      <c r="AJ316" t="str">
        <f ca="1">IF(AND(ISNUMBER($AJ$818),$B$511=1),$AJ$818,HLOOKUP(INDIRECT(ADDRESS(2,COLUMN())),OFFSET($BN$2,0,0,ROW()-1,60),ROW()-1,FALSE))</f>
        <v/>
      </c>
      <c r="AK316" t="str">
        <f ca="1">IF(AND(ISNUMBER($AK$818),$B$511=1),$AK$818,HLOOKUP(INDIRECT(ADDRESS(2,COLUMN())),OFFSET($BN$2,0,0,ROW()-1,60),ROW()-1,FALSE))</f>
        <v/>
      </c>
      <c r="AL316" t="str">
        <f ca="1">IF(AND(ISNUMBER($AL$818),$B$511=1),$AL$818,HLOOKUP(INDIRECT(ADDRESS(2,COLUMN())),OFFSET($BN$2,0,0,ROW()-1,60),ROW()-1,FALSE))</f>
        <v/>
      </c>
      <c r="AM316" t="str">
        <f ca="1">IF(AND(ISNUMBER($AM$818),$B$511=1),$AM$818,HLOOKUP(INDIRECT(ADDRESS(2,COLUMN())),OFFSET($BN$2,0,0,ROW()-1,60),ROW()-1,FALSE))</f>
        <v/>
      </c>
      <c r="AN316" t="str">
        <f ca="1">IF(AND(ISNUMBER($AN$818),$B$511=1),$AN$818,HLOOKUP(INDIRECT(ADDRESS(2,COLUMN())),OFFSET($BN$2,0,0,ROW()-1,60),ROW()-1,FALSE))</f>
        <v/>
      </c>
      <c r="AO316" t="str">
        <f ca="1">IF(AND(ISNUMBER($AO$818),$B$511=1),$AO$818,HLOOKUP(INDIRECT(ADDRESS(2,COLUMN())),OFFSET($BN$2,0,0,ROW()-1,60),ROW()-1,FALSE))</f>
        <v/>
      </c>
      <c r="AP316" t="str">
        <f ca="1">IF(AND(ISNUMBER($AP$818),$B$511=1),$AP$818,HLOOKUP(INDIRECT(ADDRESS(2,COLUMN())),OFFSET($BN$2,0,0,ROW()-1,60),ROW()-1,FALSE))</f>
        <v/>
      </c>
      <c r="AQ316" t="str">
        <f ca="1">IF(AND(ISNUMBER($AQ$818),$B$511=1),$AQ$818,HLOOKUP(INDIRECT(ADDRESS(2,COLUMN())),OFFSET($BN$2,0,0,ROW()-1,60),ROW()-1,FALSE))</f>
        <v/>
      </c>
      <c r="AR316" t="str">
        <f ca="1">IF(AND(ISNUMBER($AR$818),$B$511=1),$AR$818,HLOOKUP(INDIRECT(ADDRESS(2,COLUMN())),OFFSET($BN$2,0,0,ROW()-1,60),ROW()-1,FALSE))</f>
        <v/>
      </c>
      <c r="AS316" t="str">
        <f ca="1">IF(AND(ISNUMBER($AS$818),$B$511=1),$AS$818,HLOOKUP(INDIRECT(ADDRESS(2,COLUMN())),OFFSET($BN$2,0,0,ROW()-1,60),ROW()-1,FALSE))</f>
        <v/>
      </c>
      <c r="AT316" t="str">
        <f ca="1">IF(AND(ISNUMBER($AT$818),$B$511=1),$AT$818,HLOOKUP(INDIRECT(ADDRESS(2,COLUMN())),OFFSET($BN$2,0,0,ROW()-1,60),ROW()-1,FALSE))</f>
        <v/>
      </c>
      <c r="AU316" t="str">
        <f ca="1">IF(AND(ISNUMBER($AU$818),$B$511=1),$AU$818,HLOOKUP(INDIRECT(ADDRESS(2,COLUMN())),OFFSET($BN$2,0,0,ROW()-1,60),ROW()-1,FALSE))</f>
        <v/>
      </c>
      <c r="AV316" t="str">
        <f ca="1">IF(AND(ISNUMBER($AV$818),$B$511=1),$AV$818,HLOOKUP(INDIRECT(ADDRESS(2,COLUMN())),OFFSET($BN$2,0,0,ROW()-1,60),ROW()-1,FALSE))</f>
        <v/>
      </c>
      <c r="AW316" t="str">
        <f ca="1">IF(AND(ISNUMBER($AW$818),$B$511=1),$AW$818,HLOOKUP(INDIRECT(ADDRESS(2,COLUMN())),OFFSET($BN$2,0,0,ROW()-1,60),ROW()-1,FALSE))</f>
        <v/>
      </c>
      <c r="AX316" t="str">
        <f ca="1">IF(AND(ISNUMBER($AX$818),$B$511=1),$AX$818,HLOOKUP(INDIRECT(ADDRESS(2,COLUMN())),OFFSET($BN$2,0,0,ROW()-1,60),ROW()-1,FALSE))</f>
        <v/>
      </c>
      <c r="AY316" t="str">
        <f ca="1">IF(AND(ISNUMBER($AY$818),$B$511=1),$AY$818,HLOOKUP(INDIRECT(ADDRESS(2,COLUMN())),OFFSET($BN$2,0,0,ROW()-1,60),ROW()-1,FALSE))</f>
        <v/>
      </c>
      <c r="AZ316" t="str">
        <f ca="1">IF(AND(ISNUMBER($AZ$818),$B$511=1),$AZ$818,HLOOKUP(INDIRECT(ADDRESS(2,COLUMN())),OFFSET($BN$2,0,0,ROW()-1,60),ROW()-1,FALSE))</f>
        <v/>
      </c>
      <c r="BA316" t="str">
        <f ca="1">IF(AND(ISNUMBER($BA$818),$B$511=1),$BA$818,HLOOKUP(INDIRECT(ADDRESS(2,COLUMN())),OFFSET($BN$2,0,0,ROW()-1,60),ROW()-1,FALSE))</f>
        <v/>
      </c>
      <c r="BB316" t="str">
        <f ca="1">IF(AND(ISNUMBER($BB$818),$B$511=1),$BB$818,HLOOKUP(INDIRECT(ADDRESS(2,COLUMN())),OFFSET($BN$2,0,0,ROW()-1,60),ROW()-1,FALSE))</f>
        <v/>
      </c>
      <c r="BC316" t="str">
        <f ca="1">IF(AND(ISNUMBER($BC$818),$B$511=1),$BC$818,HLOOKUP(INDIRECT(ADDRESS(2,COLUMN())),OFFSET($BN$2,0,0,ROW()-1,60),ROW()-1,FALSE))</f>
        <v/>
      </c>
      <c r="BD316" t="str">
        <f ca="1">IF(AND(ISNUMBER($BD$818),$B$511=1),$BD$818,HLOOKUP(INDIRECT(ADDRESS(2,COLUMN())),OFFSET($BN$2,0,0,ROW()-1,60),ROW()-1,FALSE))</f>
        <v/>
      </c>
      <c r="BE316" t="str">
        <f ca="1">IF(AND(ISNUMBER($BE$818),$B$511=1),$BE$818,HLOOKUP(INDIRECT(ADDRESS(2,COLUMN())),OFFSET($BN$2,0,0,ROW()-1,60),ROW()-1,FALSE))</f>
        <v/>
      </c>
      <c r="BF316" t="str">
        <f ca="1">IF(AND(ISNUMBER($BF$818),$B$511=1),$BF$818,HLOOKUP(INDIRECT(ADDRESS(2,COLUMN())),OFFSET($BN$2,0,0,ROW()-1,60),ROW()-1,FALSE))</f>
        <v/>
      </c>
      <c r="BG316" t="str">
        <f ca="1">IF(AND(ISNUMBER($BG$818),$B$511=1),$BG$818,HLOOKUP(INDIRECT(ADDRESS(2,COLUMN())),OFFSET($BN$2,0,0,ROW()-1,60),ROW()-1,FALSE))</f>
        <v/>
      </c>
      <c r="BH316" t="str">
        <f ca="1">IF(AND(ISNUMBER($BH$818),$B$511=1),$BH$818,HLOOKUP(INDIRECT(ADDRESS(2,COLUMN())),OFFSET($BN$2,0,0,ROW()-1,60),ROW()-1,FALSE))</f>
        <v/>
      </c>
      <c r="BI316" t="str">
        <f ca="1">IF(AND(ISNUMBER($BI$818),$B$511=1),$BI$818,HLOOKUP(INDIRECT(ADDRESS(2,COLUMN())),OFFSET($BN$2,0,0,ROW()-1,60),ROW()-1,FALSE))</f>
        <v/>
      </c>
      <c r="BJ316" t="str">
        <f ca="1">IF(AND(ISNUMBER($BJ$818),$B$511=1),$BJ$818,HLOOKUP(INDIRECT(ADDRESS(2,COLUMN())),OFFSET($BN$2,0,0,ROW()-1,60),ROW()-1,FALSE))</f>
        <v/>
      </c>
      <c r="BK316" t="str">
        <f ca="1">IF(AND(ISNUMBER($BK$818),$B$511=1),$BK$818,HLOOKUP(INDIRECT(ADDRESS(2,COLUMN())),OFFSET($BN$2,0,0,ROW()-1,60),ROW()-1,FALSE))</f>
        <v/>
      </c>
      <c r="BL316" t="str">
        <f ca="1">IF(AND(ISNUMBER($BL$818),$B$511=1),$BL$818,HLOOKUP(INDIRECT(ADDRESS(2,COLUMN())),OFFSET($BN$2,0,0,ROW()-1,60),ROW()-1,FALSE))</f>
        <v/>
      </c>
      <c r="BM316" t="str">
        <f ca="1">IF(AND(ISNUMBER($BM$818),$B$511=1),$BM$818,HLOOKUP(INDIRECT(ADDRESS(2,COLUMN())),OFFSET($BN$2,0,0,ROW()-1,60),ROW()-1,FALSE))</f>
        <v/>
      </c>
      <c r="BN316" t="str">
        <f>""</f>
        <v/>
      </c>
      <c r="BO316" t="str">
        <f>""</f>
        <v/>
      </c>
      <c r="BP316" t="str">
        <f>""</f>
        <v/>
      </c>
      <c r="BQ316" t="str">
        <f>""</f>
        <v/>
      </c>
      <c r="BR316" t="str">
        <f>""</f>
        <v/>
      </c>
      <c r="BS316" t="str">
        <f>""</f>
        <v/>
      </c>
      <c r="BT316" t="str">
        <f>""</f>
        <v/>
      </c>
      <c r="BU316" t="str">
        <f>""</f>
        <v/>
      </c>
      <c r="BV316" t="str">
        <f>""</f>
        <v/>
      </c>
      <c r="BW316" t="str">
        <f>""</f>
        <v/>
      </c>
      <c r="BX316" t="str">
        <f>""</f>
        <v/>
      </c>
      <c r="BY316" t="str">
        <f>""</f>
        <v/>
      </c>
      <c r="BZ316" t="str">
        <f>""</f>
        <v/>
      </c>
      <c r="CA316" t="str">
        <f>""</f>
        <v/>
      </c>
      <c r="CB316" t="str">
        <f>""</f>
        <v/>
      </c>
      <c r="CC316" t="str">
        <f>""</f>
        <v/>
      </c>
      <c r="CD316" t="str">
        <f>""</f>
        <v/>
      </c>
      <c r="CE316" t="str">
        <f>""</f>
        <v/>
      </c>
      <c r="CF316" t="str">
        <f>""</f>
        <v/>
      </c>
      <c r="CG316" t="str">
        <f>""</f>
        <v/>
      </c>
      <c r="CH316" t="str">
        <f>""</f>
        <v/>
      </c>
      <c r="CI316" t="str">
        <f>""</f>
        <v/>
      </c>
      <c r="CJ316" t="str">
        <f>""</f>
        <v/>
      </c>
      <c r="CK316" t="str">
        <f>""</f>
        <v/>
      </c>
      <c r="CL316" t="str">
        <f>""</f>
        <v/>
      </c>
      <c r="CM316" t="str">
        <f>""</f>
        <v/>
      </c>
      <c r="CN316" t="str">
        <f>""</f>
        <v/>
      </c>
      <c r="CO316" t="str">
        <f>""</f>
        <v/>
      </c>
      <c r="CP316" t="str">
        <f>""</f>
        <v/>
      </c>
      <c r="CQ316" t="str">
        <f>""</f>
        <v/>
      </c>
      <c r="CR316" t="str">
        <f>""</f>
        <v/>
      </c>
      <c r="CS316" t="str">
        <f>""</f>
        <v/>
      </c>
      <c r="CT316" t="str">
        <f>""</f>
        <v/>
      </c>
      <c r="CU316" t="str">
        <f>""</f>
        <v/>
      </c>
      <c r="CV316" t="str">
        <f>""</f>
        <v/>
      </c>
      <c r="CW316" t="str">
        <f>""</f>
        <v/>
      </c>
      <c r="CX316" t="str">
        <f>""</f>
        <v/>
      </c>
      <c r="CY316" t="str">
        <f>""</f>
        <v/>
      </c>
      <c r="CZ316" t="str">
        <f>""</f>
        <v/>
      </c>
      <c r="DA316" t="str">
        <f>""</f>
        <v/>
      </c>
      <c r="DB316" t="str">
        <f>""</f>
        <v/>
      </c>
      <c r="DC316" t="str">
        <f>""</f>
        <v/>
      </c>
      <c r="DD316" t="str">
        <f>""</f>
        <v/>
      </c>
      <c r="DE316" t="str">
        <f>""</f>
        <v/>
      </c>
      <c r="DF316" t="str">
        <f>""</f>
        <v/>
      </c>
      <c r="DG316" t="str">
        <f>""</f>
        <v/>
      </c>
      <c r="DH316" t="str">
        <f>""</f>
        <v/>
      </c>
      <c r="DI316" t="str">
        <f>""</f>
        <v/>
      </c>
      <c r="DJ316" t="str">
        <f>""</f>
        <v/>
      </c>
      <c r="DK316" t="str">
        <f>""</f>
        <v/>
      </c>
      <c r="DL316" t="str">
        <f>""</f>
        <v/>
      </c>
      <c r="DM316" t="str">
        <f>""</f>
        <v/>
      </c>
      <c r="DN316" t="str">
        <f>""</f>
        <v/>
      </c>
      <c r="DO316" t="str">
        <f>""</f>
        <v/>
      </c>
      <c r="DP316" t="str">
        <f>""</f>
        <v/>
      </c>
      <c r="DQ316" t="str">
        <f>""</f>
        <v/>
      </c>
      <c r="DR316" t="str">
        <f>""</f>
        <v/>
      </c>
      <c r="DS316" t="str">
        <f>""</f>
        <v/>
      </c>
      <c r="DT316" t="str">
        <f>""</f>
        <v/>
      </c>
      <c r="DU316" t="str">
        <f>""</f>
        <v/>
      </c>
    </row>
    <row r="317" spans="1:125" x14ac:dyDescent="0.25">
      <c r="A317" t="str">
        <f>"    Renault SA"</f>
        <v xml:space="preserve">    Renault SA</v>
      </c>
      <c r="B317" t="str">
        <f>"RNO FP Equity"</f>
        <v>RNO FP Equity</v>
      </c>
      <c r="C317" t="str">
        <f t="shared" si="21"/>
        <v>RR179</v>
      </c>
      <c r="D317" t="str">
        <f t="shared" si="22"/>
        <v>TANGIBLE_COMMON_EQUITY</v>
      </c>
      <c r="E317" t="str">
        <f t="shared" si="23"/>
        <v>Dynamic</v>
      </c>
      <c r="F317" t="str">
        <f ca="1">IF(AND(ISNUMBER($F$819),$B$511=1),$F$819,HLOOKUP(INDIRECT(ADDRESS(2,COLUMN())),OFFSET($BN$2,0,0,ROW()-1,60),ROW()-1,FALSE))</f>
        <v/>
      </c>
      <c r="G317" t="str">
        <f ca="1">IF(AND(ISNUMBER($G$819),$B$511=1),$G$819,HLOOKUP(INDIRECT(ADDRESS(2,COLUMN())),OFFSET($BN$2,0,0,ROW()-1,60),ROW()-1,FALSE))</f>
        <v/>
      </c>
      <c r="H317" t="str">
        <f ca="1">IF(AND(ISNUMBER($H$819),$B$511=1),$H$819,HLOOKUP(INDIRECT(ADDRESS(2,COLUMN())),OFFSET($BN$2,0,0,ROW()-1,60),ROW()-1,FALSE))</f>
        <v/>
      </c>
      <c r="I317" t="str">
        <f ca="1">IF(AND(ISNUMBER($I$819),$B$511=1),$I$819,HLOOKUP(INDIRECT(ADDRESS(2,COLUMN())),OFFSET($BN$2,0,0,ROW()-1,60),ROW()-1,FALSE))</f>
        <v/>
      </c>
      <c r="J317" t="str">
        <f ca="1">IF(AND(ISNUMBER($J$819),$B$511=1),$J$819,HLOOKUP(INDIRECT(ADDRESS(2,COLUMN())),OFFSET($BN$2,0,0,ROW()-1,60),ROW()-1,FALSE))</f>
        <v/>
      </c>
      <c r="K317" t="str">
        <f ca="1">IF(AND(ISNUMBER($K$819),$B$511=1),$K$819,HLOOKUP(INDIRECT(ADDRESS(2,COLUMN())),OFFSET($BN$2,0,0,ROW()-1,60),ROW()-1,FALSE))</f>
        <v/>
      </c>
      <c r="L317" t="str">
        <f ca="1">IF(AND(ISNUMBER($L$819),$B$511=1),$L$819,HLOOKUP(INDIRECT(ADDRESS(2,COLUMN())),OFFSET($BN$2,0,0,ROW()-1,60),ROW()-1,FALSE))</f>
        <v/>
      </c>
      <c r="M317" t="str">
        <f ca="1">IF(AND(ISNUMBER($M$819),$B$511=1),$M$819,HLOOKUP(INDIRECT(ADDRESS(2,COLUMN())),OFFSET($BN$2,0,0,ROW()-1,60),ROW()-1,FALSE))</f>
        <v/>
      </c>
      <c r="N317" t="str">
        <f ca="1">IF(AND(ISNUMBER($N$819),$B$511=1),$N$819,HLOOKUP(INDIRECT(ADDRESS(2,COLUMN())),OFFSET($BN$2,0,0,ROW()-1,60),ROW()-1,FALSE))</f>
        <v/>
      </c>
      <c r="O317" t="str">
        <f ca="1">IF(AND(ISNUMBER($O$819),$B$511=1),$O$819,HLOOKUP(INDIRECT(ADDRESS(2,COLUMN())),OFFSET($BN$2,0,0,ROW()-1,60),ROW()-1,FALSE))</f>
        <v/>
      </c>
      <c r="P317" t="str">
        <f ca="1">IF(AND(ISNUMBER($P$819),$B$511=1),$P$819,HLOOKUP(INDIRECT(ADDRESS(2,COLUMN())),OFFSET($BN$2,0,0,ROW()-1,60),ROW()-1,FALSE))</f>
        <v/>
      </c>
      <c r="Q317" t="str">
        <f ca="1">IF(AND(ISNUMBER($Q$819),$B$511=1),$Q$819,HLOOKUP(INDIRECT(ADDRESS(2,COLUMN())),OFFSET($BN$2,0,0,ROW()-1,60),ROW()-1,FALSE))</f>
        <v/>
      </c>
      <c r="R317" t="str">
        <f ca="1">IF(AND(ISNUMBER($R$819),$B$511=1),$R$819,HLOOKUP(INDIRECT(ADDRESS(2,COLUMN())),OFFSET($BN$2,0,0,ROW()-1,60),ROW()-1,FALSE))</f>
        <v/>
      </c>
      <c r="S317" t="str">
        <f ca="1">IF(AND(ISNUMBER($S$819),$B$511=1),$S$819,HLOOKUP(INDIRECT(ADDRESS(2,COLUMN())),OFFSET($BN$2,0,0,ROW()-1,60),ROW()-1,FALSE))</f>
        <v/>
      </c>
      <c r="T317" t="str">
        <f ca="1">IF(AND(ISNUMBER($T$819),$B$511=1),$T$819,HLOOKUP(INDIRECT(ADDRESS(2,COLUMN())),OFFSET($BN$2,0,0,ROW()-1,60),ROW()-1,FALSE))</f>
        <v/>
      </c>
      <c r="U317" t="str">
        <f ca="1">IF(AND(ISNUMBER($U$819),$B$511=1),$U$819,HLOOKUP(INDIRECT(ADDRESS(2,COLUMN())),OFFSET($BN$2,0,0,ROW()-1,60),ROW()-1,FALSE))</f>
        <v/>
      </c>
      <c r="V317" t="str">
        <f ca="1">IF(AND(ISNUMBER($V$819),$B$511=1),$V$819,HLOOKUP(INDIRECT(ADDRESS(2,COLUMN())),OFFSET($BN$2,0,0,ROW()-1,60),ROW()-1,FALSE))</f>
        <v/>
      </c>
      <c r="W317" t="str">
        <f ca="1">IF(AND(ISNUMBER($W$819),$B$511=1),$W$819,HLOOKUP(INDIRECT(ADDRESS(2,COLUMN())),OFFSET($BN$2,0,0,ROW()-1,60),ROW()-1,FALSE))</f>
        <v/>
      </c>
      <c r="X317" t="str">
        <f ca="1">IF(AND(ISNUMBER($X$819),$B$511=1),$X$819,HLOOKUP(INDIRECT(ADDRESS(2,COLUMN())),OFFSET($BN$2,0,0,ROW()-1,60),ROW()-1,FALSE))</f>
        <v/>
      </c>
      <c r="Y317" t="str">
        <f ca="1">IF(AND(ISNUMBER($Y$819),$B$511=1),$Y$819,HLOOKUP(INDIRECT(ADDRESS(2,COLUMN())),OFFSET($BN$2,0,0,ROW()-1,60),ROW()-1,FALSE))</f>
        <v/>
      </c>
      <c r="Z317" t="str">
        <f ca="1">IF(AND(ISNUMBER($Z$819),$B$511=1),$Z$819,HLOOKUP(INDIRECT(ADDRESS(2,COLUMN())),OFFSET($BN$2,0,0,ROW()-1,60),ROW()-1,FALSE))</f>
        <v/>
      </c>
      <c r="AA317" t="str">
        <f ca="1">IF(AND(ISNUMBER($AA$819),$B$511=1),$AA$819,HLOOKUP(INDIRECT(ADDRESS(2,COLUMN())),OFFSET($BN$2,0,0,ROW()-1,60),ROW()-1,FALSE))</f>
        <v/>
      </c>
      <c r="AB317" t="str">
        <f ca="1">IF(AND(ISNUMBER($AB$819),$B$511=1),$AB$819,HLOOKUP(INDIRECT(ADDRESS(2,COLUMN())),OFFSET($BN$2,0,0,ROW()-1,60),ROW()-1,FALSE))</f>
        <v/>
      </c>
      <c r="AC317" t="str">
        <f ca="1">IF(AND(ISNUMBER($AC$819),$B$511=1),$AC$819,HLOOKUP(INDIRECT(ADDRESS(2,COLUMN())),OFFSET($BN$2,0,0,ROW()-1,60),ROW()-1,FALSE))</f>
        <v/>
      </c>
      <c r="AD317" t="str">
        <f ca="1">IF(AND(ISNUMBER($AD$819),$B$511=1),$AD$819,HLOOKUP(INDIRECT(ADDRESS(2,COLUMN())),OFFSET($BN$2,0,0,ROW()-1,60),ROW()-1,FALSE))</f>
        <v/>
      </c>
      <c r="AE317" t="str">
        <f ca="1">IF(AND(ISNUMBER($AE$819),$B$511=1),$AE$819,HLOOKUP(INDIRECT(ADDRESS(2,COLUMN())),OFFSET($BN$2,0,0,ROW()-1,60),ROW()-1,FALSE))</f>
        <v/>
      </c>
      <c r="AF317" t="str">
        <f ca="1">IF(AND(ISNUMBER($AF$819),$B$511=1),$AF$819,HLOOKUP(INDIRECT(ADDRESS(2,COLUMN())),OFFSET($BN$2,0,0,ROW()-1,60),ROW()-1,FALSE))</f>
        <v/>
      </c>
      <c r="AG317" t="str">
        <f ca="1">IF(AND(ISNUMBER($AG$819),$B$511=1),$AG$819,HLOOKUP(INDIRECT(ADDRESS(2,COLUMN())),OFFSET($BN$2,0,0,ROW()-1,60),ROW()-1,FALSE))</f>
        <v/>
      </c>
      <c r="AH317" t="str">
        <f ca="1">IF(AND(ISNUMBER($AH$819),$B$511=1),$AH$819,HLOOKUP(INDIRECT(ADDRESS(2,COLUMN())),OFFSET($BN$2,0,0,ROW()-1,60),ROW()-1,FALSE))</f>
        <v/>
      </c>
      <c r="AI317" t="str">
        <f ca="1">IF(AND(ISNUMBER($AI$819),$B$511=1),$AI$819,HLOOKUP(INDIRECT(ADDRESS(2,COLUMN())),OFFSET($BN$2,0,0,ROW()-1,60),ROW()-1,FALSE))</f>
        <v/>
      </c>
      <c r="AJ317" t="str">
        <f ca="1">IF(AND(ISNUMBER($AJ$819),$B$511=1),$AJ$819,HLOOKUP(INDIRECT(ADDRESS(2,COLUMN())),OFFSET($BN$2,0,0,ROW()-1,60),ROW()-1,FALSE))</f>
        <v/>
      </c>
      <c r="AK317" t="str">
        <f ca="1">IF(AND(ISNUMBER($AK$819),$B$511=1),$AK$819,HLOOKUP(INDIRECT(ADDRESS(2,COLUMN())),OFFSET($BN$2,0,0,ROW()-1,60),ROW()-1,FALSE))</f>
        <v/>
      </c>
      <c r="AL317" t="str">
        <f ca="1">IF(AND(ISNUMBER($AL$819),$B$511=1),$AL$819,HLOOKUP(INDIRECT(ADDRESS(2,COLUMN())),OFFSET($BN$2,0,0,ROW()-1,60),ROW()-1,FALSE))</f>
        <v/>
      </c>
      <c r="AM317" t="str">
        <f ca="1">IF(AND(ISNUMBER($AM$819),$B$511=1),$AM$819,HLOOKUP(INDIRECT(ADDRESS(2,COLUMN())),OFFSET($BN$2,0,0,ROW()-1,60),ROW()-1,FALSE))</f>
        <v/>
      </c>
      <c r="AN317" t="str">
        <f ca="1">IF(AND(ISNUMBER($AN$819),$B$511=1),$AN$819,HLOOKUP(INDIRECT(ADDRESS(2,COLUMN())),OFFSET($BN$2,0,0,ROW()-1,60),ROW()-1,FALSE))</f>
        <v/>
      </c>
      <c r="AO317" t="str">
        <f ca="1">IF(AND(ISNUMBER($AO$819),$B$511=1),$AO$819,HLOOKUP(INDIRECT(ADDRESS(2,COLUMN())),OFFSET($BN$2,0,0,ROW()-1,60),ROW()-1,FALSE))</f>
        <v/>
      </c>
      <c r="AP317" t="str">
        <f ca="1">IF(AND(ISNUMBER($AP$819),$B$511=1),$AP$819,HLOOKUP(INDIRECT(ADDRESS(2,COLUMN())),OFFSET($BN$2,0,0,ROW()-1,60),ROW()-1,FALSE))</f>
        <v/>
      </c>
      <c r="AQ317" t="str">
        <f ca="1">IF(AND(ISNUMBER($AQ$819),$B$511=1),$AQ$819,HLOOKUP(INDIRECT(ADDRESS(2,COLUMN())),OFFSET($BN$2,0,0,ROW()-1,60),ROW()-1,FALSE))</f>
        <v/>
      </c>
      <c r="AR317" t="str">
        <f ca="1">IF(AND(ISNUMBER($AR$819),$B$511=1),$AR$819,HLOOKUP(INDIRECT(ADDRESS(2,COLUMN())),OFFSET($BN$2,0,0,ROW()-1,60),ROW()-1,FALSE))</f>
        <v/>
      </c>
      <c r="AS317" t="str">
        <f ca="1">IF(AND(ISNUMBER($AS$819),$B$511=1),$AS$819,HLOOKUP(INDIRECT(ADDRESS(2,COLUMN())),OFFSET($BN$2,0,0,ROW()-1,60),ROW()-1,FALSE))</f>
        <v/>
      </c>
      <c r="AT317" t="str">
        <f ca="1">IF(AND(ISNUMBER($AT$819),$B$511=1),$AT$819,HLOOKUP(INDIRECT(ADDRESS(2,COLUMN())),OFFSET($BN$2,0,0,ROW()-1,60),ROW()-1,FALSE))</f>
        <v/>
      </c>
      <c r="AU317" t="str">
        <f ca="1">IF(AND(ISNUMBER($AU$819),$B$511=1),$AU$819,HLOOKUP(INDIRECT(ADDRESS(2,COLUMN())),OFFSET($BN$2,0,0,ROW()-1,60),ROW()-1,FALSE))</f>
        <v/>
      </c>
      <c r="AV317" t="str">
        <f ca="1">IF(AND(ISNUMBER($AV$819),$B$511=1),$AV$819,HLOOKUP(INDIRECT(ADDRESS(2,COLUMN())),OFFSET($BN$2,0,0,ROW()-1,60),ROW()-1,FALSE))</f>
        <v/>
      </c>
      <c r="AW317" t="str">
        <f ca="1">IF(AND(ISNUMBER($AW$819),$B$511=1),$AW$819,HLOOKUP(INDIRECT(ADDRESS(2,COLUMN())),OFFSET($BN$2,0,0,ROW()-1,60),ROW()-1,FALSE))</f>
        <v/>
      </c>
      <c r="AX317" t="str">
        <f ca="1">IF(AND(ISNUMBER($AX$819),$B$511=1),$AX$819,HLOOKUP(INDIRECT(ADDRESS(2,COLUMN())),OFFSET($BN$2,0,0,ROW()-1,60),ROW()-1,FALSE))</f>
        <v/>
      </c>
      <c r="AY317" t="str">
        <f ca="1">IF(AND(ISNUMBER($AY$819),$B$511=1),$AY$819,HLOOKUP(INDIRECT(ADDRESS(2,COLUMN())),OFFSET($BN$2,0,0,ROW()-1,60),ROW()-1,FALSE))</f>
        <v/>
      </c>
      <c r="AZ317" t="str">
        <f ca="1">IF(AND(ISNUMBER($AZ$819),$B$511=1),$AZ$819,HLOOKUP(INDIRECT(ADDRESS(2,COLUMN())),OFFSET($BN$2,0,0,ROW()-1,60),ROW()-1,FALSE))</f>
        <v/>
      </c>
      <c r="BA317" t="str">
        <f ca="1">IF(AND(ISNUMBER($BA$819),$B$511=1),$BA$819,HLOOKUP(INDIRECT(ADDRESS(2,COLUMN())),OFFSET($BN$2,0,0,ROW()-1,60),ROW()-1,FALSE))</f>
        <v/>
      </c>
      <c r="BB317" t="str">
        <f ca="1">IF(AND(ISNUMBER($BB$819),$B$511=1),$BB$819,HLOOKUP(INDIRECT(ADDRESS(2,COLUMN())),OFFSET($BN$2,0,0,ROW()-1,60),ROW()-1,FALSE))</f>
        <v/>
      </c>
      <c r="BC317" t="str">
        <f ca="1">IF(AND(ISNUMBER($BC$819),$B$511=1),$BC$819,HLOOKUP(INDIRECT(ADDRESS(2,COLUMN())),OFFSET($BN$2,0,0,ROW()-1,60),ROW()-1,FALSE))</f>
        <v/>
      </c>
      <c r="BD317" t="str">
        <f ca="1">IF(AND(ISNUMBER($BD$819),$B$511=1),$BD$819,HLOOKUP(INDIRECT(ADDRESS(2,COLUMN())),OFFSET($BN$2,0,0,ROW()-1,60),ROW()-1,FALSE))</f>
        <v/>
      </c>
      <c r="BE317" t="str">
        <f ca="1">IF(AND(ISNUMBER($BE$819),$B$511=1),$BE$819,HLOOKUP(INDIRECT(ADDRESS(2,COLUMN())),OFFSET($BN$2,0,0,ROW()-1,60),ROW()-1,FALSE))</f>
        <v/>
      </c>
      <c r="BF317" t="str">
        <f ca="1">IF(AND(ISNUMBER($BF$819),$B$511=1),$BF$819,HLOOKUP(INDIRECT(ADDRESS(2,COLUMN())),OFFSET($BN$2,0,0,ROW()-1,60),ROW()-1,FALSE))</f>
        <v/>
      </c>
      <c r="BG317" t="str">
        <f ca="1">IF(AND(ISNUMBER($BG$819),$B$511=1),$BG$819,HLOOKUP(INDIRECT(ADDRESS(2,COLUMN())),OFFSET($BN$2,0,0,ROW()-1,60),ROW()-1,FALSE))</f>
        <v/>
      </c>
      <c r="BH317" t="str">
        <f ca="1">IF(AND(ISNUMBER($BH$819),$B$511=1),$BH$819,HLOOKUP(INDIRECT(ADDRESS(2,COLUMN())),OFFSET($BN$2,0,0,ROW()-1,60),ROW()-1,FALSE))</f>
        <v/>
      </c>
      <c r="BI317" t="str">
        <f ca="1">IF(AND(ISNUMBER($BI$819),$B$511=1),$BI$819,HLOOKUP(INDIRECT(ADDRESS(2,COLUMN())),OFFSET($BN$2,0,0,ROW()-1,60),ROW()-1,FALSE))</f>
        <v/>
      </c>
      <c r="BJ317" t="str">
        <f ca="1">IF(AND(ISNUMBER($BJ$819),$B$511=1),$BJ$819,HLOOKUP(INDIRECT(ADDRESS(2,COLUMN())),OFFSET($BN$2,0,0,ROW()-1,60),ROW()-1,FALSE))</f>
        <v/>
      </c>
      <c r="BK317" t="str">
        <f ca="1">IF(AND(ISNUMBER($BK$819),$B$511=1),$BK$819,HLOOKUP(INDIRECT(ADDRESS(2,COLUMN())),OFFSET($BN$2,0,0,ROW()-1,60),ROW()-1,FALSE))</f>
        <v/>
      </c>
      <c r="BL317" t="str">
        <f ca="1">IF(AND(ISNUMBER($BL$819),$B$511=1),$BL$819,HLOOKUP(INDIRECT(ADDRESS(2,COLUMN())),OFFSET($BN$2,0,0,ROW()-1,60),ROW()-1,FALSE))</f>
        <v/>
      </c>
      <c r="BM317" t="str">
        <f ca="1">IF(AND(ISNUMBER($BM$819),$B$511=1),$BM$819,HLOOKUP(INDIRECT(ADDRESS(2,COLUMN())),OFFSET($BN$2,0,0,ROW()-1,60),ROW()-1,FALSE))</f>
        <v/>
      </c>
      <c r="BN317" t="str">
        <f>""</f>
        <v/>
      </c>
      <c r="BO317" t="str">
        <f>""</f>
        <v/>
      </c>
      <c r="BP317" t="str">
        <f>""</f>
        <v/>
      </c>
      <c r="BQ317" t="str">
        <f>""</f>
        <v/>
      </c>
      <c r="BR317" t="str">
        <f>""</f>
        <v/>
      </c>
      <c r="BS317" t="str">
        <f>""</f>
        <v/>
      </c>
      <c r="BT317" t="str">
        <f>""</f>
        <v/>
      </c>
      <c r="BU317" t="str">
        <f>""</f>
        <v/>
      </c>
      <c r="BV317" t="str">
        <f>""</f>
        <v/>
      </c>
      <c r="BW317" t="str">
        <f>""</f>
        <v/>
      </c>
      <c r="BX317" t="str">
        <f>""</f>
        <v/>
      </c>
      <c r="BY317" t="str">
        <f>""</f>
        <v/>
      </c>
      <c r="BZ317" t="str">
        <f>""</f>
        <v/>
      </c>
      <c r="CA317" t="str">
        <f>""</f>
        <v/>
      </c>
      <c r="CB317" t="str">
        <f>""</f>
        <v/>
      </c>
      <c r="CC317" t="str">
        <f>""</f>
        <v/>
      </c>
      <c r="CD317" t="str">
        <f>""</f>
        <v/>
      </c>
      <c r="CE317" t="str">
        <f>""</f>
        <v/>
      </c>
      <c r="CF317" t="str">
        <f>""</f>
        <v/>
      </c>
      <c r="CG317" t="str">
        <f>""</f>
        <v/>
      </c>
      <c r="CH317" t="str">
        <f>""</f>
        <v/>
      </c>
      <c r="CI317" t="str">
        <f>""</f>
        <v/>
      </c>
      <c r="CJ317" t="str">
        <f>""</f>
        <v/>
      </c>
      <c r="CK317" t="str">
        <f>""</f>
        <v/>
      </c>
      <c r="CL317" t="str">
        <f>""</f>
        <v/>
      </c>
      <c r="CM317" t="str">
        <f>""</f>
        <v/>
      </c>
      <c r="CN317" t="str">
        <f>""</f>
        <v/>
      </c>
      <c r="CO317" t="str">
        <f>""</f>
        <v/>
      </c>
      <c r="CP317" t="str">
        <f>""</f>
        <v/>
      </c>
      <c r="CQ317" t="str">
        <f>""</f>
        <v/>
      </c>
      <c r="CR317" t="str">
        <f>""</f>
        <v/>
      </c>
      <c r="CS317" t="str">
        <f>""</f>
        <v/>
      </c>
      <c r="CT317" t="str">
        <f>""</f>
        <v/>
      </c>
      <c r="CU317" t="str">
        <f>""</f>
        <v/>
      </c>
      <c r="CV317" t="str">
        <f>""</f>
        <v/>
      </c>
      <c r="CW317" t="str">
        <f>""</f>
        <v/>
      </c>
      <c r="CX317" t="str">
        <f>""</f>
        <v/>
      </c>
      <c r="CY317" t="str">
        <f>""</f>
        <v/>
      </c>
      <c r="CZ317" t="str">
        <f>""</f>
        <v/>
      </c>
      <c r="DA317" t="str">
        <f>""</f>
        <v/>
      </c>
      <c r="DB317" t="str">
        <f>""</f>
        <v/>
      </c>
      <c r="DC317" t="str">
        <f>""</f>
        <v/>
      </c>
      <c r="DD317" t="str">
        <f>""</f>
        <v/>
      </c>
      <c r="DE317" t="str">
        <f>""</f>
        <v/>
      </c>
      <c r="DF317" t="str">
        <f>""</f>
        <v/>
      </c>
      <c r="DG317" t="str">
        <f>""</f>
        <v/>
      </c>
      <c r="DH317" t="str">
        <f>""</f>
        <v/>
      </c>
      <c r="DI317" t="str">
        <f>""</f>
        <v/>
      </c>
      <c r="DJ317" t="str">
        <f>""</f>
        <v/>
      </c>
      <c r="DK317" t="str">
        <f>""</f>
        <v/>
      </c>
      <c r="DL317" t="str">
        <f>""</f>
        <v/>
      </c>
      <c r="DM317" t="str">
        <f>""</f>
        <v/>
      </c>
      <c r="DN317" t="str">
        <f>""</f>
        <v/>
      </c>
      <c r="DO317" t="str">
        <f>""</f>
        <v/>
      </c>
      <c r="DP317" t="str">
        <f>""</f>
        <v/>
      </c>
      <c r="DQ317" t="str">
        <f>""</f>
        <v/>
      </c>
      <c r="DR317" t="str">
        <f>""</f>
        <v/>
      </c>
      <c r="DS317" t="str">
        <f>""</f>
        <v/>
      </c>
      <c r="DT317" t="str">
        <f>""</f>
        <v/>
      </c>
      <c r="DU317" t="str">
        <f>""</f>
        <v/>
      </c>
    </row>
    <row r="318" spans="1:125" x14ac:dyDescent="0.25">
      <c r="A318" t="str">
        <f>"    SAIC Motor Corp Ltd"</f>
        <v xml:space="preserve">    SAIC Motor Corp Ltd</v>
      </c>
      <c r="B318" t="str">
        <f>"600104 CH Equity"</f>
        <v>600104 CH Equity</v>
      </c>
      <c r="C318" t="str">
        <f t="shared" si="21"/>
        <v>RR179</v>
      </c>
      <c r="D318" t="str">
        <f t="shared" si="22"/>
        <v>TANGIBLE_COMMON_EQUITY</v>
      </c>
      <c r="E318" t="str">
        <f t="shared" si="23"/>
        <v>Dynamic</v>
      </c>
      <c r="F318" t="str">
        <f ca="1">IF(AND(ISNUMBER($F$820),$B$511=1),$F$820,HLOOKUP(INDIRECT(ADDRESS(2,COLUMN())),OFFSET($BN$2,0,0,ROW()-1,60),ROW()-1,FALSE))</f>
        <v/>
      </c>
      <c r="G318" t="str">
        <f ca="1">IF(AND(ISNUMBER($G$820),$B$511=1),$G$820,HLOOKUP(INDIRECT(ADDRESS(2,COLUMN())),OFFSET($BN$2,0,0,ROW()-1,60),ROW()-1,FALSE))</f>
        <v/>
      </c>
      <c r="H318">
        <f ca="1">IF(AND(ISNUMBER($H$820),$B$511=1),$H$820,HLOOKUP(INDIRECT(ADDRESS(2,COLUMN())),OFFSET($BN$2,0,0,ROW()-1,60),ROW()-1,FALSE))</f>
        <v>31472.572349999999</v>
      </c>
      <c r="I318">
        <f ca="1">IF(AND(ISNUMBER($I$820),$B$511=1),$I$820,HLOOKUP(INDIRECT(ADDRESS(2,COLUMN())),OFFSET($BN$2,0,0,ROW()-1,60),ROW()-1,FALSE))</f>
        <v>32638.055700000001</v>
      </c>
      <c r="J318">
        <f ca="1">IF(AND(ISNUMBER($J$820),$B$511=1),$J$820,HLOOKUP(INDIRECT(ADDRESS(2,COLUMN())),OFFSET($BN$2,0,0,ROW()-1,60),ROW()-1,FALSE))</f>
        <v>35116.823409999997</v>
      </c>
      <c r="K318">
        <f ca="1">IF(AND(ISNUMBER($K$820),$B$511=1),$K$820,HLOOKUP(INDIRECT(ADDRESS(2,COLUMN())),OFFSET($BN$2,0,0,ROW()-1,60),ROW()-1,FALSE))</f>
        <v>34307.006609999997</v>
      </c>
      <c r="L318">
        <f ca="1">IF(AND(ISNUMBER($L$820),$B$511=1),$L$820,HLOOKUP(INDIRECT(ADDRESS(2,COLUMN())),OFFSET($BN$2,0,0,ROW()-1,60),ROW()-1,FALSE))</f>
        <v>30697.024689999998</v>
      </c>
      <c r="M318">
        <f ca="1">IF(AND(ISNUMBER($M$820),$B$511=1),$M$820,HLOOKUP(INDIRECT(ADDRESS(2,COLUMN())),OFFSET($BN$2,0,0,ROW()-1,60),ROW()-1,FALSE))</f>
        <v>30142.422729999998</v>
      </c>
      <c r="N318">
        <f ca="1">IF(AND(ISNUMBER($N$820),$B$511=1),$N$820,HLOOKUP(INDIRECT(ADDRESS(2,COLUMN())),OFFSET($BN$2,0,0,ROW()-1,60),ROW()-1,FALSE))</f>
        <v>29855.63825</v>
      </c>
      <c r="O318">
        <f ca="1">IF(AND(ISNUMBER($O$820),$B$511=1),$O$820,HLOOKUP(INDIRECT(ADDRESS(2,COLUMN())),OFFSET($BN$2,0,0,ROW()-1,60),ROW()-1,FALSE))</f>
        <v>27398.774130000002</v>
      </c>
      <c r="P318">
        <f ca="1">IF(AND(ISNUMBER($P$820),$B$511=1),$P$820,HLOOKUP(INDIRECT(ADDRESS(2,COLUMN())),OFFSET($BN$2,0,0,ROW()-1,60),ROW()-1,FALSE))</f>
        <v>26245.76425</v>
      </c>
      <c r="Q318">
        <f ca="1">IF(AND(ISNUMBER($Q$820),$B$511=1),$Q$820,HLOOKUP(INDIRECT(ADDRESS(2,COLUMN())),OFFSET($BN$2,0,0,ROW()-1,60),ROW()-1,FALSE))</f>
        <v>26183.928510000002</v>
      </c>
      <c r="R318">
        <f ca="1">IF(AND(ISNUMBER($R$820),$B$511=1),$R$820,HLOOKUP(INDIRECT(ADDRESS(2,COLUMN())),OFFSET($BN$2,0,0,ROW()-1,60),ROW()-1,FALSE))</f>
        <v>27096.224689999999</v>
      </c>
      <c r="S318">
        <f ca="1">IF(AND(ISNUMBER($S$820),$B$511=1),$S$820,HLOOKUP(INDIRECT(ADDRESS(2,COLUMN())),OFFSET($BN$2,0,0,ROW()-1,60),ROW()-1,FALSE))</f>
        <v>26756.512019999998</v>
      </c>
      <c r="T318">
        <f ca="1">IF(AND(ISNUMBER($T$820),$B$511=1),$T$820,HLOOKUP(INDIRECT(ADDRESS(2,COLUMN())),OFFSET($BN$2,0,0,ROW()-1,60),ROW()-1,FALSE))</f>
        <v>24826.520079999998</v>
      </c>
      <c r="U318">
        <f ca="1">IF(AND(ISNUMBER($U$820),$B$511=1),$U$820,HLOOKUP(INDIRECT(ADDRESS(2,COLUMN())),OFFSET($BN$2,0,0,ROW()-1,60),ROW()-1,FALSE))</f>
        <v>25435.414690000001</v>
      </c>
      <c r="V318">
        <f ca="1">IF(AND(ISNUMBER($V$820),$B$511=1),$V$820,HLOOKUP(INDIRECT(ADDRESS(2,COLUMN())),OFFSET($BN$2,0,0,ROW()-1,60),ROW()-1,FALSE))</f>
        <v>25509.360339999999</v>
      </c>
      <c r="W318">
        <f ca="1">IF(AND(ISNUMBER($W$820),$B$511=1),$W$820,HLOOKUP(INDIRECT(ADDRESS(2,COLUMN())),OFFSET($BN$2,0,0,ROW()-1,60),ROW()-1,FALSE))</f>
        <v>25250.744780000001</v>
      </c>
      <c r="X318">
        <f ca="1">IF(AND(ISNUMBER($X$820),$B$511=1),$X$820,HLOOKUP(INDIRECT(ADDRESS(2,COLUMN())),OFFSET($BN$2,0,0,ROW()-1,60),ROW()-1,FALSE))</f>
        <v>22605.484799999998</v>
      </c>
      <c r="Y318">
        <f ca="1">IF(AND(ISNUMBER($Y$820),$B$511=1),$Y$820,HLOOKUP(INDIRECT(ADDRESS(2,COLUMN())),OFFSET($BN$2,0,0,ROW()-1,60),ROW()-1,FALSE))</f>
        <v>22057.072090000001</v>
      </c>
      <c r="Z318">
        <f ca="1">IF(AND(ISNUMBER($Z$820),$B$511=1),$Z$820,HLOOKUP(INDIRECT(ADDRESS(2,COLUMN())),OFFSET($BN$2,0,0,ROW()-1,60),ROW()-1,FALSE))</f>
        <v>22263.334920000001</v>
      </c>
      <c r="AA318">
        <f ca="1">IF(AND(ISNUMBER($AA$820),$B$511=1),$AA$820,HLOOKUP(INDIRECT(ADDRESS(2,COLUMN())),OFFSET($BN$2,0,0,ROW()-1,60),ROW()-1,FALSE))</f>
        <v>22575.02533</v>
      </c>
      <c r="AB318">
        <f ca="1">IF(AND(ISNUMBER($AB$820),$B$511=1),$AB$820,HLOOKUP(INDIRECT(ADDRESS(2,COLUMN())),OFFSET($BN$2,0,0,ROW()-1,60),ROW()-1,FALSE))</f>
        <v>20572.457989999999</v>
      </c>
      <c r="AC318">
        <f ca="1">IF(AND(ISNUMBER($AC$820),$B$511=1),$AC$820,HLOOKUP(INDIRECT(ADDRESS(2,COLUMN())),OFFSET($BN$2,0,0,ROW()-1,60),ROW()-1,FALSE))</f>
        <v>20151.415010000001</v>
      </c>
      <c r="AD318">
        <f ca="1">IF(AND(ISNUMBER($AD$820),$B$511=1),$AD$820,HLOOKUP(INDIRECT(ADDRESS(2,COLUMN())),OFFSET($BN$2,0,0,ROW()-1,60),ROW()-1,FALSE))</f>
        <v>19586.850050000001</v>
      </c>
      <c r="AE318">
        <f ca="1">IF(AND(ISNUMBER($AE$820),$B$511=1),$AE$820,HLOOKUP(INDIRECT(ADDRESS(2,COLUMN())),OFFSET($BN$2,0,0,ROW()-1,60),ROW()-1,FALSE))</f>
        <v>19229.560799999999</v>
      </c>
      <c r="AF318">
        <f ca="1">IF(AND(ISNUMBER($AF$820),$B$511=1),$AF$820,HLOOKUP(INDIRECT(ADDRESS(2,COLUMN())),OFFSET($BN$2,0,0,ROW()-1,60),ROW()-1,FALSE))</f>
        <v>17234.459070000001</v>
      </c>
      <c r="AG318">
        <f ca="1">IF(AND(ISNUMBER($AG$820),$B$511=1),$AG$820,HLOOKUP(INDIRECT(ADDRESS(2,COLUMN())),OFFSET($BN$2,0,0,ROW()-1,60),ROW()-1,FALSE))</f>
        <v>16630.530330000001</v>
      </c>
      <c r="AH318">
        <f ca="1">IF(AND(ISNUMBER($AH$820),$B$511=1),$AH$820,HLOOKUP(INDIRECT(ADDRESS(2,COLUMN())),OFFSET($BN$2,0,0,ROW()-1,60),ROW()-1,FALSE))</f>
        <v>15783.908789999999</v>
      </c>
      <c r="AI318">
        <f ca="1">IF(AND(ISNUMBER($AI$820),$B$511=1),$AI$820,HLOOKUP(INDIRECT(ADDRESS(2,COLUMN())),OFFSET($BN$2,0,0,ROW()-1,60),ROW()-1,FALSE))</f>
        <v>15627.26125</v>
      </c>
      <c r="AJ318">
        <f ca="1">IF(AND(ISNUMBER($AJ$820),$B$511=1),$AJ$820,HLOOKUP(INDIRECT(ADDRESS(2,COLUMN())),OFFSET($BN$2,0,0,ROW()-1,60),ROW()-1,FALSE))</f>
        <v>10937.75829</v>
      </c>
      <c r="AK318">
        <f ca="1">IF(AND(ISNUMBER($AK$820),$B$511=1),$AK$820,HLOOKUP(INDIRECT(ADDRESS(2,COLUMN())),OFFSET($BN$2,0,0,ROW()-1,60),ROW()-1,FALSE))</f>
        <v>10674.37851</v>
      </c>
      <c r="AL318">
        <f ca="1">IF(AND(ISNUMBER($AL$820),$B$511=1),$AL$820,HLOOKUP(INDIRECT(ADDRESS(2,COLUMN())),OFFSET($BN$2,0,0,ROW()-1,60),ROW()-1,FALSE))</f>
        <v>9701.879175</v>
      </c>
      <c r="AM318">
        <f ca="1">IF(AND(ISNUMBER($AM$820),$B$511=1),$AM$820,HLOOKUP(INDIRECT(ADDRESS(2,COLUMN())),OFFSET($BN$2,0,0,ROW()-1,60),ROW()-1,FALSE))</f>
        <v>12587.290859999999</v>
      </c>
      <c r="AN318">
        <f ca="1">IF(AND(ISNUMBER($AN$820),$B$511=1),$AN$820,HLOOKUP(INDIRECT(ADDRESS(2,COLUMN())),OFFSET($BN$2,0,0,ROW()-1,60),ROW()-1,FALSE))</f>
        <v>6742.1358719999998</v>
      </c>
      <c r="AO318">
        <f ca="1">IF(AND(ISNUMBER($AO$820),$B$511=1),$AO$820,HLOOKUP(INDIRECT(ADDRESS(2,COLUMN())),OFFSET($BN$2,0,0,ROW()-1,60),ROW()-1,FALSE))</f>
        <v>6538.7265719999996</v>
      </c>
      <c r="AP318">
        <f ca="1">IF(AND(ISNUMBER($AP$820),$B$511=1),$AP$820,HLOOKUP(INDIRECT(ADDRESS(2,COLUMN())),OFFSET($BN$2,0,0,ROW()-1,60),ROW()-1,FALSE))</f>
        <v>5653.267535</v>
      </c>
      <c r="AQ318">
        <f ca="1">IF(AND(ISNUMBER($AQ$820),$B$511=1),$AQ$820,HLOOKUP(INDIRECT(ADDRESS(2,COLUMN())),OFFSET($BN$2,0,0,ROW()-1,60),ROW()-1,FALSE))</f>
        <v>5876.8689700000004</v>
      </c>
      <c r="AR318">
        <f ca="1">IF(AND(ISNUMBER($AR$820),$B$511=1),$AR$820,HLOOKUP(INDIRECT(ADDRESS(2,COLUMN())),OFFSET($BN$2,0,0,ROW()-1,60),ROW()-1,FALSE))</f>
        <v>5233.4187810000003</v>
      </c>
      <c r="AS318">
        <f ca="1">IF(AND(ISNUMBER($AS$820),$B$511=1),$AS$820,HLOOKUP(INDIRECT(ADDRESS(2,COLUMN())),OFFSET($BN$2,0,0,ROW()-1,60),ROW()-1,FALSE))</f>
        <v>5177.3565070000004</v>
      </c>
      <c r="AT318">
        <f ca="1">IF(AND(ISNUMBER($AT$820),$B$511=1),$AT$820,HLOOKUP(INDIRECT(ADDRESS(2,COLUMN())),OFFSET($BN$2,0,0,ROW()-1,60),ROW()-1,FALSE))</f>
        <v>4794.9701869999999</v>
      </c>
      <c r="AU318">
        <f ca="1">IF(AND(ISNUMBER($AU$820),$B$511=1),$AU$820,HLOOKUP(INDIRECT(ADDRESS(2,COLUMN())),OFFSET($BN$2,0,0,ROW()-1,60),ROW()-1,FALSE))</f>
        <v>4967.8752910000003</v>
      </c>
      <c r="AV318">
        <f ca="1">IF(AND(ISNUMBER($AV$820),$B$511=1),$AV$820,HLOOKUP(INDIRECT(ADDRESS(2,COLUMN())),OFFSET($BN$2,0,0,ROW()-1,60),ROW()-1,FALSE))</f>
        <v>5056.131727</v>
      </c>
      <c r="AW318">
        <f ca="1">IF(AND(ISNUMBER($AW$820),$B$511=1),$AW$820,HLOOKUP(INDIRECT(ADDRESS(2,COLUMN())),OFFSET($BN$2,0,0,ROW()-1,60),ROW()-1,FALSE))</f>
        <v>5425.4700309999998</v>
      </c>
      <c r="AX318">
        <f ca="1">IF(AND(ISNUMBER($AX$820),$B$511=1),$AX$820,HLOOKUP(INDIRECT(ADDRESS(2,COLUMN())),OFFSET($BN$2,0,0,ROW()-1,60),ROW()-1,FALSE))</f>
        <v>5168.1115010000003</v>
      </c>
      <c r="AY318">
        <f ca="1">IF(AND(ISNUMBER($AY$820),$B$511=1),$AY$820,HLOOKUP(INDIRECT(ADDRESS(2,COLUMN())),OFFSET($BN$2,0,0,ROW()-1,60),ROW()-1,FALSE))</f>
        <v>5086.0784350000004</v>
      </c>
      <c r="AZ318">
        <f ca="1">IF(AND(ISNUMBER($AZ$820),$B$511=1),$AZ$820,HLOOKUP(INDIRECT(ADDRESS(2,COLUMN())),OFFSET($BN$2,0,0,ROW()-1,60),ROW()-1,FALSE))</f>
        <v>4480.770211</v>
      </c>
      <c r="BA318">
        <f ca="1">IF(AND(ISNUMBER($BA$820),$B$511=1),$BA$820,HLOOKUP(INDIRECT(ADDRESS(2,COLUMN())),OFFSET($BN$2,0,0,ROW()-1,60),ROW()-1,FALSE))</f>
        <v>4490.7795150000002</v>
      </c>
      <c r="BB318">
        <f ca="1">IF(AND(ISNUMBER($BB$820),$B$511=1),$BB$820,HLOOKUP(INDIRECT(ADDRESS(2,COLUMN())),OFFSET($BN$2,0,0,ROW()-1,60),ROW()-1,FALSE))</f>
        <v>4090.7036969999999</v>
      </c>
      <c r="BC318">
        <f ca="1">IF(AND(ISNUMBER($BC$820),$B$511=1),$BC$820,HLOOKUP(INDIRECT(ADDRESS(2,COLUMN())),OFFSET($BN$2,0,0,ROW()-1,60),ROW()-1,FALSE))</f>
        <v>4112.5218420000001</v>
      </c>
      <c r="BD318">
        <f ca="1">IF(AND(ISNUMBER($BD$820),$B$511=1),$BD$820,HLOOKUP(INDIRECT(ADDRESS(2,COLUMN())),OFFSET($BN$2,0,0,ROW()-1,60),ROW()-1,FALSE))</f>
        <v>1470.8754220000001</v>
      </c>
      <c r="BE318">
        <f ca="1">IF(AND(ISNUMBER($BE$820),$B$511=1),$BE$820,HLOOKUP(INDIRECT(ADDRESS(2,COLUMN())),OFFSET($BN$2,0,0,ROW()-1,60),ROW()-1,FALSE))</f>
        <v>1418.9004500000001</v>
      </c>
      <c r="BF318">
        <f ca="1">IF(AND(ISNUMBER($BF$820),$B$511=1),$BF$820,HLOOKUP(INDIRECT(ADDRESS(2,COLUMN())),OFFSET($BN$2,0,0,ROW()-1,60),ROW()-1,FALSE))</f>
        <v>1477.315151</v>
      </c>
      <c r="BG318">
        <f ca="1">IF(AND(ISNUMBER($BG$820),$B$511=1),$BG$820,HLOOKUP(INDIRECT(ADDRESS(2,COLUMN())),OFFSET($BN$2,0,0,ROW()-1,60),ROW()-1,FALSE))</f>
        <v>1441.0467940000001</v>
      </c>
      <c r="BH318" t="str">
        <f ca="1">IF(AND(ISNUMBER($BH$820),$B$511=1),$BH$820,HLOOKUP(INDIRECT(ADDRESS(2,COLUMN())),OFFSET($BN$2,0,0,ROW()-1,60),ROW()-1,FALSE))</f>
        <v/>
      </c>
      <c r="BI318">
        <f ca="1">IF(AND(ISNUMBER($BI$820),$B$511=1),$BI$820,HLOOKUP(INDIRECT(ADDRESS(2,COLUMN())),OFFSET($BN$2,0,0,ROW()-1,60),ROW()-1,FALSE))</f>
        <v>1329.235306</v>
      </c>
      <c r="BJ318" t="str">
        <f ca="1">IF(AND(ISNUMBER($BJ$820),$B$511=1),$BJ$820,HLOOKUP(INDIRECT(ADDRESS(2,COLUMN())),OFFSET($BN$2,0,0,ROW()-1,60),ROW()-1,FALSE))</f>
        <v/>
      </c>
      <c r="BK318">
        <f ca="1">IF(AND(ISNUMBER($BK$820),$B$511=1),$BK$820,HLOOKUP(INDIRECT(ADDRESS(2,COLUMN())),OFFSET($BN$2,0,0,ROW()-1,60),ROW()-1,FALSE))</f>
        <v>1373.7912160000001</v>
      </c>
      <c r="BL318" t="str">
        <f ca="1">IF(AND(ISNUMBER($BL$820),$B$511=1),$BL$820,HLOOKUP(INDIRECT(ADDRESS(2,COLUMN())),OFFSET($BN$2,0,0,ROW()-1,60),ROW()-1,FALSE))</f>
        <v/>
      </c>
      <c r="BM318">
        <f ca="1">IF(AND(ISNUMBER($BM$820),$B$511=1),$BM$820,HLOOKUP(INDIRECT(ADDRESS(2,COLUMN())),OFFSET($BN$2,0,0,ROW()-1,60),ROW()-1,FALSE))</f>
        <v>1297.6967139999999</v>
      </c>
      <c r="BN318" t="str">
        <f>""</f>
        <v/>
      </c>
      <c r="BO318" t="str">
        <f>""</f>
        <v/>
      </c>
      <c r="BP318">
        <f>31472.57235</f>
        <v>31472.572349999999</v>
      </c>
      <c r="BQ318">
        <f>32638.0557</f>
        <v>32638.055700000001</v>
      </c>
      <c r="BR318">
        <f>35116.82341</f>
        <v>35116.823409999997</v>
      </c>
      <c r="BS318">
        <f>34307.00661</f>
        <v>34307.006609999997</v>
      </c>
      <c r="BT318">
        <f>30697.02469</f>
        <v>30697.024689999998</v>
      </c>
      <c r="BU318">
        <f>30142.42273</f>
        <v>30142.422729999998</v>
      </c>
      <c r="BV318">
        <f>29855.63825</f>
        <v>29855.63825</v>
      </c>
      <c r="BW318">
        <f>27398.77413</f>
        <v>27398.774130000002</v>
      </c>
      <c r="BX318">
        <f>26245.76425</f>
        <v>26245.76425</v>
      </c>
      <c r="BY318">
        <f>26183.92851</f>
        <v>26183.928510000002</v>
      </c>
      <c r="BZ318">
        <f>27096.22469</f>
        <v>27096.224689999999</v>
      </c>
      <c r="CA318">
        <f>26756.51202</f>
        <v>26756.512019999998</v>
      </c>
      <c r="CB318">
        <f>24826.52008</f>
        <v>24826.520079999998</v>
      </c>
      <c r="CC318">
        <f>25435.41469</f>
        <v>25435.414690000001</v>
      </c>
      <c r="CD318">
        <f>25509.36034</f>
        <v>25509.360339999999</v>
      </c>
      <c r="CE318">
        <f>25250.74478</f>
        <v>25250.744780000001</v>
      </c>
      <c r="CF318">
        <f>22605.4848</f>
        <v>22605.484799999998</v>
      </c>
      <c r="CG318">
        <f>22057.07209</f>
        <v>22057.072090000001</v>
      </c>
      <c r="CH318">
        <f>22263.33492</f>
        <v>22263.334920000001</v>
      </c>
      <c r="CI318">
        <f>22575.02533</f>
        <v>22575.02533</v>
      </c>
      <c r="CJ318">
        <f>20572.45799</f>
        <v>20572.457989999999</v>
      </c>
      <c r="CK318">
        <f>20151.41501</f>
        <v>20151.415010000001</v>
      </c>
      <c r="CL318">
        <f>19586.85005</f>
        <v>19586.850050000001</v>
      </c>
      <c r="CM318">
        <f>19229.5608</f>
        <v>19229.560799999999</v>
      </c>
      <c r="CN318">
        <f>17234.45907</f>
        <v>17234.459070000001</v>
      </c>
      <c r="CO318">
        <f>16630.53033</f>
        <v>16630.530330000001</v>
      </c>
      <c r="CP318">
        <f>15783.90879</f>
        <v>15783.908789999999</v>
      </c>
      <c r="CQ318">
        <f>15627.26125</f>
        <v>15627.26125</v>
      </c>
      <c r="CR318">
        <f>10937.75829</f>
        <v>10937.75829</v>
      </c>
      <c r="CS318">
        <f>10674.37851</f>
        <v>10674.37851</v>
      </c>
      <c r="CT318">
        <f>9701.879175</f>
        <v>9701.879175</v>
      </c>
      <c r="CU318">
        <f>12587.29086</f>
        <v>12587.290859999999</v>
      </c>
      <c r="CV318">
        <f>6742.135872</f>
        <v>6742.1358719999998</v>
      </c>
      <c r="CW318">
        <f>6538.726572</f>
        <v>6538.7265719999996</v>
      </c>
      <c r="CX318">
        <f>5653.267535</f>
        <v>5653.267535</v>
      </c>
      <c r="CY318">
        <f>5876.86897</f>
        <v>5876.8689700000004</v>
      </c>
      <c r="CZ318">
        <f>5233.418781</f>
        <v>5233.4187810000003</v>
      </c>
      <c r="DA318">
        <f>5177.356507</f>
        <v>5177.3565070000004</v>
      </c>
      <c r="DB318">
        <f>4794.970187</f>
        <v>4794.9701869999999</v>
      </c>
      <c r="DC318">
        <f>4967.875291</f>
        <v>4967.8752910000003</v>
      </c>
      <c r="DD318">
        <f>5056.13172699999</f>
        <v>5056.131727</v>
      </c>
      <c r="DE318">
        <f>5425.470031</f>
        <v>5425.4700309999998</v>
      </c>
      <c r="DF318">
        <f>5168.111501</f>
        <v>5168.1115010000003</v>
      </c>
      <c r="DG318">
        <f>5086.078435</f>
        <v>5086.0784350000004</v>
      </c>
      <c r="DH318">
        <f>4480.770211</f>
        <v>4480.770211</v>
      </c>
      <c r="DI318">
        <f>4490.779515</f>
        <v>4490.7795150000002</v>
      </c>
      <c r="DJ318">
        <f>4090.703697</f>
        <v>4090.7036969999999</v>
      </c>
      <c r="DK318">
        <f>4112.521842</f>
        <v>4112.5218420000001</v>
      </c>
      <c r="DL318">
        <f>1470.875422</f>
        <v>1470.8754220000001</v>
      </c>
      <c r="DM318">
        <f>1418.90045</f>
        <v>1418.9004500000001</v>
      </c>
      <c r="DN318">
        <f>1477.315151</f>
        <v>1477.315151</v>
      </c>
      <c r="DO318">
        <f>1441.046794</f>
        <v>1441.0467940000001</v>
      </c>
      <c r="DP318" t="str">
        <f>""</f>
        <v/>
      </c>
      <c r="DQ318">
        <f>1329.235306</f>
        <v>1329.235306</v>
      </c>
      <c r="DR318" t="str">
        <f>""</f>
        <v/>
      </c>
      <c r="DS318">
        <f>1373.791216</f>
        <v>1373.7912160000001</v>
      </c>
      <c r="DT318" t="str">
        <f>""</f>
        <v/>
      </c>
      <c r="DU318">
        <f>1297.696714</f>
        <v>1297.6967139999999</v>
      </c>
    </row>
    <row r="319" spans="1:125" x14ac:dyDescent="0.25">
      <c r="A319" t="str">
        <f>"    Sanyang Motor Co Ltd"</f>
        <v xml:space="preserve">    Sanyang Motor Co Ltd</v>
      </c>
      <c r="B319" t="str">
        <f>"2206 TT Equity"</f>
        <v>2206 TT Equity</v>
      </c>
      <c r="C319" t="str">
        <f t="shared" si="21"/>
        <v>RR179</v>
      </c>
      <c r="D319" t="str">
        <f t="shared" si="22"/>
        <v>TANGIBLE_COMMON_EQUITY</v>
      </c>
      <c r="E319" t="str">
        <f t="shared" si="23"/>
        <v>Dynamic</v>
      </c>
      <c r="F319" t="str">
        <f ca="1">IF(AND(ISNUMBER($F$821),$B$511=1),$F$821,HLOOKUP(INDIRECT(ADDRESS(2,COLUMN())),OFFSET($BN$2,0,0,ROW()-1,60),ROW()-1,FALSE))</f>
        <v/>
      </c>
      <c r="G319" t="str">
        <f ca="1">IF(AND(ISNUMBER($G$821),$B$511=1),$G$821,HLOOKUP(INDIRECT(ADDRESS(2,COLUMN())),OFFSET($BN$2,0,0,ROW()-1,60),ROW()-1,FALSE))</f>
        <v/>
      </c>
      <c r="H319">
        <f ca="1">IF(AND(ISNUMBER($H$821),$B$511=1),$H$821,HLOOKUP(INDIRECT(ADDRESS(2,COLUMN())),OFFSET($BN$2,0,0,ROW()-1,60),ROW()-1,FALSE))</f>
        <v>443.76631129999998</v>
      </c>
      <c r="I319">
        <f ca="1">IF(AND(ISNUMBER($I$821),$B$511=1),$I$821,HLOOKUP(INDIRECT(ADDRESS(2,COLUMN())),OFFSET($BN$2,0,0,ROW()-1,60),ROW()-1,FALSE))</f>
        <v>406.8768594</v>
      </c>
      <c r="J319">
        <f ca="1">IF(AND(ISNUMBER($J$821),$B$511=1),$J$821,HLOOKUP(INDIRECT(ADDRESS(2,COLUMN())),OFFSET($BN$2,0,0,ROW()-1,60),ROW()-1,FALSE))</f>
        <v>436.7215046</v>
      </c>
      <c r="K319">
        <f ca="1">IF(AND(ISNUMBER($K$821),$B$511=1),$K$821,HLOOKUP(INDIRECT(ADDRESS(2,COLUMN())),OFFSET($BN$2,0,0,ROW()-1,60),ROW()-1,FALSE))</f>
        <v>436.05426540000002</v>
      </c>
      <c r="L319" t="str">
        <f ca="1">IF(AND(ISNUMBER($L$821),$B$511=1),$L$821,HLOOKUP(INDIRECT(ADDRESS(2,COLUMN())),OFFSET($BN$2,0,0,ROW()-1,60),ROW()-1,FALSE))</f>
        <v/>
      </c>
      <c r="M319">
        <f ca="1">IF(AND(ISNUMBER($M$821),$B$511=1),$M$821,HLOOKUP(INDIRECT(ADDRESS(2,COLUMN())),OFFSET($BN$2,0,0,ROW()-1,60),ROW()-1,FALSE))</f>
        <v>444.62108239999998</v>
      </c>
      <c r="N319">
        <f ca="1">IF(AND(ISNUMBER($N$821),$B$511=1),$N$821,HLOOKUP(INDIRECT(ADDRESS(2,COLUMN())),OFFSET($BN$2,0,0,ROW()-1,60),ROW()-1,FALSE))</f>
        <v>472.0101133</v>
      </c>
      <c r="O319">
        <f ca="1">IF(AND(ISNUMBER($O$821),$B$511=1),$O$821,HLOOKUP(INDIRECT(ADDRESS(2,COLUMN())),OFFSET($BN$2,0,0,ROW()-1,60),ROW()-1,FALSE))</f>
        <v>456.8903158</v>
      </c>
      <c r="P319" t="str">
        <f ca="1">IF(AND(ISNUMBER($P$821),$B$511=1),$P$821,HLOOKUP(INDIRECT(ADDRESS(2,COLUMN())),OFFSET($BN$2,0,0,ROW()-1,60),ROW()-1,FALSE))</f>
        <v/>
      </c>
      <c r="Q319" t="str">
        <f ca="1">IF(AND(ISNUMBER($Q$821),$B$511=1),$Q$821,HLOOKUP(INDIRECT(ADDRESS(2,COLUMN())),OFFSET($BN$2,0,0,ROW()-1,60),ROW()-1,FALSE))</f>
        <v/>
      </c>
      <c r="R319" t="str">
        <f ca="1">IF(AND(ISNUMBER($R$821),$B$511=1),$R$821,HLOOKUP(INDIRECT(ADDRESS(2,COLUMN())),OFFSET($BN$2,0,0,ROW()-1,60),ROW()-1,FALSE))</f>
        <v/>
      </c>
      <c r="S319">
        <f ca="1">IF(AND(ISNUMBER($S$821),$B$511=1),$S$821,HLOOKUP(INDIRECT(ADDRESS(2,COLUMN())),OFFSET($BN$2,0,0,ROW()-1,60),ROW()-1,FALSE))</f>
        <v>493.80994049999998</v>
      </c>
      <c r="T319">
        <f ca="1">IF(AND(ISNUMBER($T$821),$B$511=1),$T$821,HLOOKUP(INDIRECT(ADDRESS(2,COLUMN())),OFFSET($BN$2,0,0,ROW()-1,60),ROW()-1,FALSE))</f>
        <v>515.46859570000004</v>
      </c>
      <c r="U319">
        <f ca="1">IF(AND(ISNUMBER($U$821),$B$511=1),$U$821,HLOOKUP(INDIRECT(ADDRESS(2,COLUMN())),OFFSET($BN$2,0,0,ROW()-1,60),ROW()-1,FALSE))</f>
        <v>463.44004139999998</v>
      </c>
      <c r="V319" t="str">
        <f ca="1">IF(AND(ISNUMBER($V$821),$B$511=1),$V$821,HLOOKUP(INDIRECT(ADDRESS(2,COLUMN())),OFFSET($BN$2,0,0,ROW()-1,60),ROW()-1,FALSE))</f>
        <v/>
      </c>
      <c r="W319">
        <f ca="1">IF(AND(ISNUMBER($W$821),$B$511=1),$W$821,HLOOKUP(INDIRECT(ADDRESS(2,COLUMN())),OFFSET($BN$2,0,0,ROW()-1,60),ROW()-1,FALSE))</f>
        <v>449.6061229</v>
      </c>
      <c r="X319">
        <f ca="1">IF(AND(ISNUMBER($X$821),$B$511=1),$X$821,HLOOKUP(INDIRECT(ADDRESS(2,COLUMN())),OFFSET($BN$2,0,0,ROW()-1,60),ROW()-1,FALSE))</f>
        <v>462.79265570000001</v>
      </c>
      <c r="Y319">
        <f ca="1">IF(AND(ISNUMBER($Y$821),$B$511=1),$Y$821,HLOOKUP(INDIRECT(ADDRESS(2,COLUMN())),OFFSET($BN$2,0,0,ROW()-1,60),ROW()-1,FALSE))</f>
        <v>477.73290930000002</v>
      </c>
      <c r="Z319">
        <f ca="1">IF(AND(ISNUMBER($Z$821),$B$511=1),$Z$821,HLOOKUP(INDIRECT(ADDRESS(2,COLUMN())),OFFSET($BN$2,0,0,ROW()-1,60),ROW()-1,FALSE))</f>
        <v>426.25648519999999</v>
      </c>
      <c r="AA319">
        <f ca="1">IF(AND(ISNUMBER($AA$821),$B$511=1),$AA$821,HLOOKUP(INDIRECT(ADDRESS(2,COLUMN())),OFFSET($BN$2,0,0,ROW()-1,60),ROW()-1,FALSE))</f>
        <v>430.8238589</v>
      </c>
      <c r="AB319">
        <f ca="1">IF(AND(ISNUMBER($AB$821),$B$511=1),$AB$821,HLOOKUP(INDIRECT(ADDRESS(2,COLUMN())),OFFSET($BN$2,0,0,ROW()-1,60),ROW()-1,FALSE))</f>
        <v>446.42814609999999</v>
      </c>
      <c r="AC319">
        <f ca="1">IF(AND(ISNUMBER($AC$821),$B$511=1),$AC$821,HLOOKUP(INDIRECT(ADDRESS(2,COLUMN())),OFFSET($BN$2,0,0,ROW()-1,60),ROW()-1,FALSE))</f>
        <v>431.41397019999999</v>
      </c>
      <c r="AD319">
        <f ca="1">IF(AND(ISNUMBER($AD$821),$B$511=1),$AD$821,HLOOKUP(INDIRECT(ADDRESS(2,COLUMN())),OFFSET($BN$2,0,0,ROW()-1,60),ROW()-1,FALSE))</f>
        <v>440.5507523</v>
      </c>
      <c r="AE319">
        <f ca="1">IF(AND(ISNUMBER($AE$821),$B$511=1),$AE$821,HLOOKUP(INDIRECT(ADDRESS(2,COLUMN())),OFFSET($BN$2,0,0,ROW()-1,60),ROW()-1,FALSE))</f>
        <v>496.9326767</v>
      </c>
      <c r="AF319">
        <f ca="1">IF(AND(ISNUMBER($AF$821),$B$511=1),$AF$821,HLOOKUP(INDIRECT(ADDRESS(2,COLUMN())),OFFSET($BN$2,0,0,ROW()-1,60),ROW()-1,FALSE))</f>
        <v>489.61127970000001</v>
      </c>
      <c r="AG319">
        <f ca="1">IF(AND(ISNUMBER($AG$821),$B$511=1),$AG$821,HLOOKUP(INDIRECT(ADDRESS(2,COLUMN())),OFFSET($BN$2,0,0,ROW()-1,60),ROW()-1,FALSE))</f>
        <v>493.72702900000002</v>
      </c>
      <c r="AH319" t="str">
        <f ca="1">IF(AND(ISNUMBER($AH$821),$B$511=1),$AH$821,HLOOKUP(INDIRECT(ADDRESS(2,COLUMN())),OFFSET($BN$2,0,0,ROW()-1,60),ROW()-1,FALSE))</f>
        <v/>
      </c>
      <c r="AI319">
        <f ca="1">IF(AND(ISNUMBER($AI$821),$B$511=1),$AI$821,HLOOKUP(INDIRECT(ADDRESS(2,COLUMN())),OFFSET($BN$2,0,0,ROW()-1,60),ROW()-1,FALSE))</f>
        <v>480.49101949999999</v>
      </c>
      <c r="AJ319">
        <f ca="1">IF(AND(ISNUMBER($AJ$821),$B$511=1),$AJ$821,HLOOKUP(INDIRECT(ADDRESS(2,COLUMN())),OFFSET($BN$2,0,0,ROW()-1,60),ROW()-1,FALSE))</f>
        <v>483.21060920000002</v>
      </c>
      <c r="AK319">
        <f ca="1">IF(AND(ISNUMBER($AK$821),$B$511=1),$AK$821,HLOOKUP(INDIRECT(ADDRESS(2,COLUMN())),OFFSET($BN$2,0,0,ROW()-1,60),ROW()-1,FALSE))</f>
        <v>476.80237720000002</v>
      </c>
      <c r="AL319">
        <f ca="1">IF(AND(ISNUMBER($AL$821),$B$511=1),$AL$821,HLOOKUP(INDIRECT(ADDRESS(2,COLUMN())),OFFSET($BN$2,0,0,ROW()-1,60),ROW()-1,FALSE))</f>
        <v>458.51669729999998</v>
      </c>
      <c r="AM319">
        <f ca="1">IF(AND(ISNUMBER($AM$821),$B$511=1),$AM$821,HLOOKUP(INDIRECT(ADDRESS(2,COLUMN())),OFFSET($BN$2,0,0,ROW()-1,60),ROW()-1,FALSE))</f>
        <v>450.67417769999997</v>
      </c>
      <c r="AN319">
        <f ca="1">IF(AND(ISNUMBER($AN$821),$B$511=1),$AN$821,HLOOKUP(INDIRECT(ADDRESS(2,COLUMN())),OFFSET($BN$2,0,0,ROW()-1,60),ROW()-1,FALSE))</f>
        <v>441.09805299999999</v>
      </c>
      <c r="AO319">
        <f ca="1">IF(AND(ISNUMBER($AO$821),$B$511=1),$AO$821,HLOOKUP(INDIRECT(ADDRESS(2,COLUMN())),OFFSET($BN$2,0,0,ROW()-1,60),ROW()-1,FALSE))</f>
        <v>426.60914350000002</v>
      </c>
      <c r="AP319">
        <f ca="1">IF(AND(ISNUMBER($AP$821),$B$511=1),$AP$821,HLOOKUP(INDIRECT(ADDRESS(2,COLUMN())),OFFSET($BN$2,0,0,ROW()-1,60),ROW()-1,FALSE))</f>
        <v>422.67421280000002</v>
      </c>
      <c r="AQ319">
        <f ca="1">IF(AND(ISNUMBER($AQ$821),$B$511=1),$AQ$821,HLOOKUP(INDIRECT(ADDRESS(2,COLUMN())),OFFSET($BN$2,0,0,ROW()-1,60),ROW()-1,FALSE))</f>
        <v>420.65264969999998</v>
      </c>
      <c r="AR319">
        <f ca="1">IF(AND(ISNUMBER($AR$821),$B$511=1),$AR$821,HLOOKUP(INDIRECT(ADDRESS(2,COLUMN())),OFFSET($BN$2,0,0,ROW()-1,60),ROW()-1,FALSE))</f>
        <v>419.92074159999999</v>
      </c>
      <c r="AS319">
        <f ca="1">IF(AND(ISNUMBER($AS$821),$B$511=1),$AS$821,HLOOKUP(INDIRECT(ADDRESS(2,COLUMN())),OFFSET($BN$2,0,0,ROW()-1,60),ROW()-1,FALSE))</f>
        <v>408.955288</v>
      </c>
      <c r="AT319">
        <f ca="1">IF(AND(ISNUMBER($AT$821),$B$511=1),$AT$821,HLOOKUP(INDIRECT(ADDRESS(2,COLUMN())),OFFSET($BN$2,0,0,ROW()-1,60),ROW()-1,FALSE))</f>
        <v>402.69751120000001</v>
      </c>
      <c r="AU319">
        <f ca="1">IF(AND(ISNUMBER($AU$821),$B$511=1),$AU$821,HLOOKUP(INDIRECT(ADDRESS(2,COLUMN())),OFFSET($BN$2,0,0,ROW()-1,60),ROW()-1,FALSE))</f>
        <v>420.6493906</v>
      </c>
      <c r="AV319">
        <f ca="1">IF(AND(ISNUMBER($AV$821),$B$511=1),$AV$821,HLOOKUP(INDIRECT(ADDRESS(2,COLUMN())),OFFSET($BN$2,0,0,ROW()-1,60),ROW()-1,FALSE))</f>
        <v>426.62894820000002</v>
      </c>
      <c r="AW319">
        <f ca="1">IF(AND(ISNUMBER($AW$821),$B$511=1),$AW$821,HLOOKUP(INDIRECT(ADDRESS(2,COLUMN())),OFFSET($BN$2,0,0,ROW()-1,60),ROW()-1,FALSE))</f>
        <v>445.9618906</v>
      </c>
      <c r="AX319">
        <f ca="1">IF(AND(ISNUMBER($AX$821),$B$511=1),$AX$821,HLOOKUP(INDIRECT(ADDRESS(2,COLUMN())),OFFSET($BN$2,0,0,ROW()-1,60),ROW()-1,FALSE))</f>
        <v>450.31234360000002</v>
      </c>
      <c r="AY319" t="str">
        <f ca="1">IF(AND(ISNUMBER($AY$821),$B$511=1),$AY$821,HLOOKUP(INDIRECT(ADDRESS(2,COLUMN())),OFFSET($BN$2,0,0,ROW()-1,60),ROW()-1,FALSE))</f>
        <v/>
      </c>
      <c r="AZ319" t="str">
        <f ca="1">IF(AND(ISNUMBER($AZ$821),$B$511=1),$AZ$821,HLOOKUP(INDIRECT(ADDRESS(2,COLUMN())),OFFSET($BN$2,0,0,ROW()-1,60),ROW()-1,FALSE))</f>
        <v/>
      </c>
      <c r="BA319" t="str">
        <f ca="1">IF(AND(ISNUMBER($BA$821),$B$511=1),$BA$821,HLOOKUP(INDIRECT(ADDRESS(2,COLUMN())),OFFSET($BN$2,0,0,ROW()-1,60),ROW()-1,FALSE))</f>
        <v/>
      </c>
      <c r="BB319" t="str">
        <f ca="1">IF(AND(ISNUMBER($BB$821),$B$511=1),$BB$821,HLOOKUP(INDIRECT(ADDRESS(2,COLUMN())),OFFSET($BN$2,0,0,ROW()-1,60),ROW()-1,FALSE))</f>
        <v/>
      </c>
      <c r="BC319" t="str">
        <f ca="1">IF(AND(ISNUMBER($BC$821),$B$511=1),$BC$821,HLOOKUP(INDIRECT(ADDRESS(2,COLUMN())),OFFSET($BN$2,0,0,ROW()-1,60),ROW()-1,FALSE))</f>
        <v/>
      </c>
      <c r="BD319" t="str">
        <f ca="1">IF(AND(ISNUMBER($BD$821),$B$511=1),$BD$821,HLOOKUP(INDIRECT(ADDRESS(2,COLUMN())),OFFSET($BN$2,0,0,ROW()-1,60),ROW()-1,FALSE))</f>
        <v/>
      </c>
      <c r="BE319" t="str">
        <f ca="1">IF(AND(ISNUMBER($BE$821),$B$511=1),$BE$821,HLOOKUP(INDIRECT(ADDRESS(2,COLUMN())),OFFSET($BN$2,0,0,ROW()-1,60),ROW()-1,FALSE))</f>
        <v/>
      </c>
      <c r="BF319" t="str">
        <f ca="1">IF(AND(ISNUMBER($BF$821),$B$511=1),$BF$821,HLOOKUP(INDIRECT(ADDRESS(2,COLUMN())),OFFSET($BN$2,0,0,ROW()-1,60),ROW()-1,FALSE))</f>
        <v/>
      </c>
      <c r="BG319" t="str">
        <f ca="1">IF(AND(ISNUMBER($BG$821),$B$511=1),$BG$821,HLOOKUP(INDIRECT(ADDRESS(2,COLUMN())),OFFSET($BN$2,0,0,ROW()-1,60),ROW()-1,FALSE))</f>
        <v/>
      </c>
      <c r="BH319" t="str">
        <f ca="1">IF(AND(ISNUMBER($BH$821),$B$511=1),$BH$821,HLOOKUP(INDIRECT(ADDRESS(2,COLUMN())),OFFSET($BN$2,0,0,ROW()-1,60),ROW()-1,FALSE))</f>
        <v/>
      </c>
      <c r="BI319" t="str">
        <f ca="1">IF(AND(ISNUMBER($BI$821),$B$511=1),$BI$821,HLOOKUP(INDIRECT(ADDRESS(2,COLUMN())),OFFSET($BN$2,0,0,ROW()-1,60),ROW()-1,FALSE))</f>
        <v/>
      </c>
      <c r="BJ319" t="str">
        <f ca="1">IF(AND(ISNUMBER($BJ$821),$B$511=1),$BJ$821,HLOOKUP(INDIRECT(ADDRESS(2,COLUMN())),OFFSET($BN$2,0,0,ROW()-1,60),ROW()-1,FALSE))</f>
        <v/>
      </c>
      <c r="BK319" t="str">
        <f ca="1">IF(AND(ISNUMBER($BK$821),$B$511=1),$BK$821,HLOOKUP(INDIRECT(ADDRESS(2,COLUMN())),OFFSET($BN$2,0,0,ROW()-1,60),ROW()-1,FALSE))</f>
        <v/>
      </c>
      <c r="BL319" t="str">
        <f ca="1">IF(AND(ISNUMBER($BL$821),$B$511=1),$BL$821,HLOOKUP(INDIRECT(ADDRESS(2,COLUMN())),OFFSET($BN$2,0,0,ROW()-1,60),ROW()-1,FALSE))</f>
        <v/>
      </c>
      <c r="BM319" t="str">
        <f ca="1">IF(AND(ISNUMBER($BM$821),$B$511=1),$BM$821,HLOOKUP(INDIRECT(ADDRESS(2,COLUMN())),OFFSET($BN$2,0,0,ROW()-1,60),ROW()-1,FALSE))</f>
        <v/>
      </c>
      <c r="BN319" t="str">
        <f>""</f>
        <v/>
      </c>
      <c r="BO319" t="str">
        <f>""</f>
        <v/>
      </c>
      <c r="BP319">
        <f>443.7663113</f>
        <v>443.76631129999998</v>
      </c>
      <c r="BQ319">
        <f>406.8768594</f>
        <v>406.8768594</v>
      </c>
      <c r="BR319">
        <f>436.7215046</f>
        <v>436.7215046</v>
      </c>
      <c r="BS319">
        <f>436.0542654</f>
        <v>436.05426540000002</v>
      </c>
      <c r="BT319" t="str">
        <f>""</f>
        <v/>
      </c>
      <c r="BU319">
        <f>444.6210824</f>
        <v>444.62108239999998</v>
      </c>
      <c r="BV319">
        <f>472.0101133</f>
        <v>472.0101133</v>
      </c>
      <c r="BW319">
        <f>456.8903158</f>
        <v>456.8903158</v>
      </c>
      <c r="BX319" t="str">
        <f>""</f>
        <v/>
      </c>
      <c r="BY319" t="str">
        <f>""</f>
        <v/>
      </c>
      <c r="BZ319" t="str">
        <f>""</f>
        <v/>
      </c>
      <c r="CA319">
        <f>493.8099405</f>
        <v>493.80994049999998</v>
      </c>
      <c r="CB319">
        <f>515.4685957</f>
        <v>515.46859570000004</v>
      </c>
      <c r="CC319">
        <f>463.4400414</f>
        <v>463.44004139999998</v>
      </c>
      <c r="CD319" t="str">
        <f>""</f>
        <v/>
      </c>
      <c r="CE319">
        <f>449.6061229</f>
        <v>449.6061229</v>
      </c>
      <c r="CF319">
        <f>462.7926557</f>
        <v>462.79265570000001</v>
      </c>
      <c r="CG319">
        <f>477.7329093</f>
        <v>477.73290930000002</v>
      </c>
      <c r="CH319">
        <f>426.2564852</f>
        <v>426.25648519999999</v>
      </c>
      <c r="CI319">
        <f>430.8238589</f>
        <v>430.8238589</v>
      </c>
      <c r="CJ319">
        <f>446.4281461</f>
        <v>446.42814609999999</v>
      </c>
      <c r="CK319">
        <f>431.4139702</f>
        <v>431.41397019999999</v>
      </c>
      <c r="CL319">
        <f>440.5507523</f>
        <v>440.5507523</v>
      </c>
      <c r="CM319">
        <f>496.9326767</f>
        <v>496.9326767</v>
      </c>
      <c r="CN319">
        <f>489.6112797</f>
        <v>489.61127970000001</v>
      </c>
      <c r="CO319">
        <f>493.727029</f>
        <v>493.72702900000002</v>
      </c>
      <c r="CP319" t="str">
        <f>""</f>
        <v/>
      </c>
      <c r="CQ319">
        <f>480.4910195</f>
        <v>480.49101949999999</v>
      </c>
      <c r="CR319">
        <f>483.2106092</f>
        <v>483.21060920000002</v>
      </c>
      <c r="CS319">
        <f>476.8023772</f>
        <v>476.80237720000002</v>
      </c>
      <c r="CT319">
        <f>458.5166973</f>
        <v>458.51669729999998</v>
      </c>
      <c r="CU319">
        <f>450.6741777</f>
        <v>450.67417769999997</v>
      </c>
      <c r="CV319">
        <f>441.098053</f>
        <v>441.09805299999999</v>
      </c>
      <c r="CW319">
        <f>426.6091435</f>
        <v>426.60914350000002</v>
      </c>
      <c r="CX319">
        <f>422.6742128</f>
        <v>422.67421280000002</v>
      </c>
      <c r="CY319">
        <f>420.6526497</f>
        <v>420.65264969999998</v>
      </c>
      <c r="CZ319">
        <f>419.9207416</f>
        <v>419.92074159999999</v>
      </c>
      <c r="DA319">
        <f>408.955288</f>
        <v>408.955288</v>
      </c>
      <c r="DB319">
        <f>402.6975112</f>
        <v>402.69751120000001</v>
      </c>
      <c r="DC319">
        <f>420.6493906</f>
        <v>420.6493906</v>
      </c>
      <c r="DD319">
        <f>426.6289482</f>
        <v>426.62894820000002</v>
      </c>
      <c r="DE319">
        <f>445.9618906</f>
        <v>445.9618906</v>
      </c>
      <c r="DF319">
        <f>450.3123436</f>
        <v>450.31234360000002</v>
      </c>
      <c r="DG319" t="str">
        <f>""</f>
        <v/>
      </c>
      <c r="DH319" t="str">
        <f>""</f>
        <v/>
      </c>
      <c r="DI319" t="str">
        <f>""</f>
        <v/>
      </c>
      <c r="DJ319" t="str">
        <f>""</f>
        <v/>
      </c>
      <c r="DK319" t="str">
        <f>""</f>
        <v/>
      </c>
      <c r="DL319" t="str">
        <f>""</f>
        <v/>
      </c>
      <c r="DM319" t="str">
        <f>""</f>
        <v/>
      </c>
      <c r="DN319" t="str">
        <f>""</f>
        <v/>
      </c>
      <c r="DO319" t="str">
        <f>""</f>
        <v/>
      </c>
      <c r="DP319" t="str">
        <f>""</f>
        <v/>
      </c>
      <c r="DQ319" t="str">
        <f>""</f>
        <v/>
      </c>
      <c r="DR319" t="str">
        <f>""</f>
        <v/>
      </c>
      <c r="DS319" t="str">
        <f>""</f>
        <v/>
      </c>
      <c r="DT319" t="str">
        <f>""</f>
        <v/>
      </c>
      <c r="DU319" t="str">
        <f>""</f>
        <v/>
      </c>
    </row>
    <row r="320" spans="1:125" x14ac:dyDescent="0.25">
      <c r="A320" t="str">
        <f>"    Sollers PJSC"</f>
        <v xml:space="preserve">    Sollers PJSC</v>
      </c>
      <c r="B320" t="str">
        <f>"SVAV RM Equity"</f>
        <v>SVAV RM Equity</v>
      </c>
      <c r="C320" t="str">
        <f t="shared" si="21"/>
        <v>RR179</v>
      </c>
      <c r="D320" t="str">
        <f t="shared" si="22"/>
        <v>TANGIBLE_COMMON_EQUITY</v>
      </c>
      <c r="E320" t="str">
        <f t="shared" si="23"/>
        <v>Dynamic</v>
      </c>
      <c r="F320" t="str">
        <f ca="1">IF(AND(ISNUMBER($F$822),$B$511=1),$F$822,HLOOKUP(INDIRECT(ADDRESS(2,COLUMN())),OFFSET($BN$2,0,0,ROW()-1,60),ROW()-1,FALSE))</f>
        <v/>
      </c>
      <c r="G320" t="str">
        <f ca="1">IF(AND(ISNUMBER($G$822),$B$511=1),$G$822,HLOOKUP(INDIRECT(ADDRESS(2,COLUMN())),OFFSET($BN$2,0,0,ROW()-1,60),ROW()-1,FALSE))</f>
        <v/>
      </c>
      <c r="H320" t="str">
        <f ca="1">IF(AND(ISNUMBER($H$822),$B$511=1),$H$822,HLOOKUP(INDIRECT(ADDRESS(2,COLUMN())),OFFSET($BN$2,0,0,ROW()-1,60),ROW()-1,FALSE))</f>
        <v/>
      </c>
      <c r="I320" t="str">
        <f ca="1">IF(AND(ISNUMBER($I$822),$B$511=1),$I$822,HLOOKUP(INDIRECT(ADDRESS(2,COLUMN())),OFFSET($BN$2,0,0,ROW()-1,60),ROW()-1,FALSE))</f>
        <v/>
      </c>
      <c r="J320" t="str">
        <f ca="1">IF(AND(ISNUMBER($J$822),$B$511=1),$J$822,HLOOKUP(INDIRECT(ADDRESS(2,COLUMN())),OFFSET($BN$2,0,0,ROW()-1,60),ROW()-1,FALSE))</f>
        <v/>
      </c>
      <c r="K320" t="str">
        <f ca="1">IF(AND(ISNUMBER($K$822),$B$511=1),$K$822,HLOOKUP(INDIRECT(ADDRESS(2,COLUMN())),OFFSET($BN$2,0,0,ROW()-1,60),ROW()-1,FALSE))</f>
        <v/>
      </c>
      <c r="L320" t="str">
        <f ca="1">IF(AND(ISNUMBER($L$822),$B$511=1),$L$822,HLOOKUP(INDIRECT(ADDRESS(2,COLUMN())),OFFSET($BN$2,0,0,ROW()-1,60),ROW()-1,FALSE))</f>
        <v/>
      </c>
      <c r="M320" t="str">
        <f ca="1">IF(AND(ISNUMBER($M$822),$B$511=1),$M$822,HLOOKUP(INDIRECT(ADDRESS(2,COLUMN())),OFFSET($BN$2,0,0,ROW()-1,60),ROW()-1,FALSE))</f>
        <v/>
      </c>
      <c r="N320" t="str">
        <f ca="1">IF(AND(ISNUMBER($N$822),$B$511=1),$N$822,HLOOKUP(INDIRECT(ADDRESS(2,COLUMN())),OFFSET($BN$2,0,0,ROW()-1,60),ROW()-1,FALSE))</f>
        <v/>
      </c>
      <c r="O320" t="str">
        <f ca="1">IF(AND(ISNUMBER($O$822),$B$511=1),$O$822,HLOOKUP(INDIRECT(ADDRESS(2,COLUMN())),OFFSET($BN$2,0,0,ROW()-1,60),ROW()-1,FALSE))</f>
        <v/>
      </c>
      <c r="P320" t="str">
        <f ca="1">IF(AND(ISNUMBER($P$822),$B$511=1),$P$822,HLOOKUP(INDIRECT(ADDRESS(2,COLUMN())),OFFSET($BN$2,0,0,ROW()-1,60),ROW()-1,FALSE))</f>
        <v/>
      </c>
      <c r="Q320" t="str">
        <f ca="1">IF(AND(ISNUMBER($Q$822),$B$511=1),$Q$822,HLOOKUP(INDIRECT(ADDRESS(2,COLUMN())),OFFSET($BN$2,0,0,ROW()-1,60),ROW()-1,FALSE))</f>
        <v/>
      </c>
      <c r="R320" t="str">
        <f ca="1">IF(AND(ISNUMBER($R$822),$B$511=1),$R$822,HLOOKUP(INDIRECT(ADDRESS(2,COLUMN())),OFFSET($BN$2,0,0,ROW()-1,60),ROW()-1,FALSE))</f>
        <v/>
      </c>
      <c r="S320" t="str">
        <f ca="1">IF(AND(ISNUMBER($S$822),$B$511=1),$S$822,HLOOKUP(INDIRECT(ADDRESS(2,COLUMN())),OFFSET($BN$2,0,0,ROW()-1,60),ROW()-1,FALSE))</f>
        <v/>
      </c>
      <c r="T320" t="str">
        <f ca="1">IF(AND(ISNUMBER($T$822),$B$511=1),$T$822,HLOOKUP(INDIRECT(ADDRESS(2,COLUMN())),OFFSET($BN$2,0,0,ROW()-1,60),ROW()-1,FALSE))</f>
        <v/>
      </c>
      <c r="U320" t="str">
        <f ca="1">IF(AND(ISNUMBER($U$822),$B$511=1),$U$822,HLOOKUP(INDIRECT(ADDRESS(2,COLUMN())),OFFSET($BN$2,0,0,ROW()-1,60),ROW()-1,FALSE))</f>
        <v/>
      </c>
      <c r="V320" t="str">
        <f ca="1">IF(AND(ISNUMBER($V$822),$B$511=1),$V$822,HLOOKUP(INDIRECT(ADDRESS(2,COLUMN())),OFFSET($BN$2,0,0,ROW()-1,60),ROW()-1,FALSE))</f>
        <v/>
      </c>
      <c r="W320" t="str">
        <f ca="1">IF(AND(ISNUMBER($W$822),$B$511=1),$W$822,HLOOKUP(INDIRECT(ADDRESS(2,COLUMN())),OFFSET($BN$2,0,0,ROW()-1,60),ROW()-1,FALSE))</f>
        <v/>
      </c>
      <c r="X320" t="str">
        <f ca="1">IF(AND(ISNUMBER($X$822),$B$511=1),$X$822,HLOOKUP(INDIRECT(ADDRESS(2,COLUMN())),OFFSET($BN$2,0,0,ROW()-1,60),ROW()-1,FALSE))</f>
        <v/>
      </c>
      <c r="Y320" t="str">
        <f ca="1">IF(AND(ISNUMBER($Y$822),$B$511=1),$Y$822,HLOOKUP(INDIRECT(ADDRESS(2,COLUMN())),OFFSET($BN$2,0,0,ROW()-1,60),ROW()-1,FALSE))</f>
        <v/>
      </c>
      <c r="Z320" t="str">
        <f ca="1">IF(AND(ISNUMBER($Z$822),$B$511=1),$Z$822,HLOOKUP(INDIRECT(ADDRESS(2,COLUMN())),OFFSET($BN$2,0,0,ROW()-1,60),ROW()-1,FALSE))</f>
        <v/>
      </c>
      <c r="AA320" t="str">
        <f ca="1">IF(AND(ISNUMBER($AA$822),$B$511=1),$AA$822,HLOOKUP(INDIRECT(ADDRESS(2,COLUMN())),OFFSET($BN$2,0,0,ROW()-1,60),ROW()-1,FALSE))</f>
        <v/>
      </c>
      <c r="AB320" t="str">
        <f ca="1">IF(AND(ISNUMBER($AB$822),$B$511=1),$AB$822,HLOOKUP(INDIRECT(ADDRESS(2,COLUMN())),OFFSET($BN$2,0,0,ROW()-1,60),ROW()-1,FALSE))</f>
        <v/>
      </c>
      <c r="AC320" t="str">
        <f ca="1">IF(AND(ISNUMBER($AC$822),$B$511=1),$AC$822,HLOOKUP(INDIRECT(ADDRESS(2,COLUMN())),OFFSET($BN$2,0,0,ROW()-1,60),ROW()-1,FALSE))</f>
        <v/>
      </c>
      <c r="AD320" t="str">
        <f ca="1">IF(AND(ISNUMBER($AD$822),$B$511=1),$AD$822,HLOOKUP(INDIRECT(ADDRESS(2,COLUMN())),OFFSET($BN$2,0,0,ROW()-1,60),ROW()-1,FALSE))</f>
        <v/>
      </c>
      <c r="AE320" t="str">
        <f ca="1">IF(AND(ISNUMBER($AE$822),$B$511=1),$AE$822,HLOOKUP(INDIRECT(ADDRESS(2,COLUMN())),OFFSET($BN$2,0,0,ROW()-1,60),ROW()-1,FALSE))</f>
        <v/>
      </c>
      <c r="AF320" t="str">
        <f ca="1">IF(AND(ISNUMBER($AF$822),$B$511=1),$AF$822,HLOOKUP(INDIRECT(ADDRESS(2,COLUMN())),OFFSET($BN$2,0,0,ROW()-1,60),ROW()-1,FALSE))</f>
        <v/>
      </c>
      <c r="AG320" t="str">
        <f ca="1">IF(AND(ISNUMBER($AG$822),$B$511=1),$AG$822,HLOOKUP(INDIRECT(ADDRESS(2,COLUMN())),OFFSET($BN$2,0,0,ROW()-1,60),ROW()-1,FALSE))</f>
        <v/>
      </c>
      <c r="AH320" t="str">
        <f ca="1">IF(AND(ISNUMBER($AH$822),$B$511=1),$AH$822,HLOOKUP(INDIRECT(ADDRESS(2,COLUMN())),OFFSET($BN$2,0,0,ROW()-1,60),ROW()-1,FALSE))</f>
        <v/>
      </c>
      <c r="AI320" t="str">
        <f ca="1">IF(AND(ISNUMBER($AI$822),$B$511=1),$AI$822,HLOOKUP(INDIRECT(ADDRESS(2,COLUMN())),OFFSET($BN$2,0,0,ROW()-1,60),ROW()-1,FALSE))</f>
        <v/>
      </c>
      <c r="AJ320" t="str">
        <f ca="1">IF(AND(ISNUMBER($AJ$822),$B$511=1),$AJ$822,HLOOKUP(INDIRECT(ADDRESS(2,COLUMN())),OFFSET($BN$2,0,0,ROW()-1,60),ROW()-1,FALSE))</f>
        <v/>
      </c>
      <c r="AK320" t="str">
        <f ca="1">IF(AND(ISNUMBER($AK$822),$B$511=1),$AK$822,HLOOKUP(INDIRECT(ADDRESS(2,COLUMN())),OFFSET($BN$2,0,0,ROW()-1,60),ROW()-1,FALSE))</f>
        <v/>
      </c>
      <c r="AL320" t="str">
        <f ca="1">IF(AND(ISNUMBER($AL$822),$B$511=1),$AL$822,HLOOKUP(INDIRECT(ADDRESS(2,COLUMN())),OFFSET($BN$2,0,0,ROW()-1,60),ROW()-1,FALSE))</f>
        <v/>
      </c>
      <c r="AM320" t="str">
        <f ca="1">IF(AND(ISNUMBER($AM$822),$B$511=1),$AM$822,HLOOKUP(INDIRECT(ADDRESS(2,COLUMN())),OFFSET($BN$2,0,0,ROW()-1,60),ROW()-1,FALSE))</f>
        <v/>
      </c>
      <c r="AN320" t="str">
        <f ca="1">IF(AND(ISNUMBER($AN$822),$B$511=1),$AN$822,HLOOKUP(INDIRECT(ADDRESS(2,COLUMN())),OFFSET($BN$2,0,0,ROW()-1,60),ROW()-1,FALSE))</f>
        <v/>
      </c>
      <c r="AO320" t="str">
        <f ca="1">IF(AND(ISNUMBER($AO$822),$B$511=1),$AO$822,HLOOKUP(INDIRECT(ADDRESS(2,COLUMN())),OFFSET($BN$2,0,0,ROW()-1,60),ROW()-1,FALSE))</f>
        <v/>
      </c>
      <c r="AP320" t="str">
        <f ca="1">IF(AND(ISNUMBER($AP$822),$B$511=1),$AP$822,HLOOKUP(INDIRECT(ADDRESS(2,COLUMN())),OFFSET($BN$2,0,0,ROW()-1,60),ROW()-1,FALSE))</f>
        <v/>
      </c>
      <c r="AQ320" t="str">
        <f ca="1">IF(AND(ISNUMBER($AQ$822),$B$511=1),$AQ$822,HLOOKUP(INDIRECT(ADDRESS(2,COLUMN())),OFFSET($BN$2,0,0,ROW()-1,60),ROW()-1,FALSE))</f>
        <v/>
      </c>
      <c r="AR320" t="str">
        <f ca="1">IF(AND(ISNUMBER($AR$822),$B$511=1),$AR$822,HLOOKUP(INDIRECT(ADDRESS(2,COLUMN())),OFFSET($BN$2,0,0,ROW()-1,60),ROW()-1,FALSE))</f>
        <v/>
      </c>
      <c r="AS320" t="str">
        <f ca="1">IF(AND(ISNUMBER($AS$822),$B$511=1),$AS$822,HLOOKUP(INDIRECT(ADDRESS(2,COLUMN())),OFFSET($BN$2,0,0,ROW()-1,60),ROW()-1,FALSE))</f>
        <v/>
      </c>
      <c r="AT320" t="str">
        <f ca="1">IF(AND(ISNUMBER($AT$822),$B$511=1),$AT$822,HLOOKUP(INDIRECT(ADDRESS(2,COLUMN())),OFFSET($BN$2,0,0,ROW()-1,60),ROW()-1,FALSE))</f>
        <v/>
      </c>
      <c r="AU320" t="str">
        <f ca="1">IF(AND(ISNUMBER($AU$822),$B$511=1),$AU$822,HLOOKUP(INDIRECT(ADDRESS(2,COLUMN())),OFFSET($BN$2,0,0,ROW()-1,60),ROW()-1,FALSE))</f>
        <v/>
      </c>
      <c r="AV320" t="str">
        <f ca="1">IF(AND(ISNUMBER($AV$822),$B$511=1),$AV$822,HLOOKUP(INDIRECT(ADDRESS(2,COLUMN())),OFFSET($BN$2,0,0,ROW()-1,60),ROW()-1,FALSE))</f>
        <v/>
      </c>
      <c r="AW320" t="str">
        <f ca="1">IF(AND(ISNUMBER($AW$822),$B$511=1),$AW$822,HLOOKUP(INDIRECT(ADDRESS(2,COLUMN())),OFFSET($BN$2,0,0,ROW()-1,60),ROW()-1,FALSE))</f>
        <v/>
      </c>
      <c r="AX320" t="str">
        <f ca="1">IF(AND(ISNUMBER($AX$822),$B$511=1),$AX$822,HLOOKUP(INDIRECT(ADDRESS(2,COLUMN())),OFFSET($BN$2,0,0,ROW()-1,60),ROW()-1,FALSE))</f>
        <v/>
      </c>
      <c r="AY320" t="str">
        <f ca="1">IF(AND(ISNUMBER($AY$822),$B$511=1),$AY$822,HLOOKUP(INDIRECT(ADDRESS(2,COLUMN())),OFFSET($BN$2,0,0,ROW()-1,60),ROW()-1,FALSE))</f>
        <v/>
      </c>
      <c r="AZ320" t="str">
        <f ca="1">IF(AND(ISNUMBER($AZ$822),$B$511=1),$AZ$822,HLOOKUP(INDIRECT(ADDRESS(2,COLUMN())),OFFSET($BN$2,0,0,ROW()-1,60),ROW()-1,FALSE))</f>
        <v/>
      </c>
      <c r="BA320" t="str">
        <f ca="1">IF(AND(ISNUMBER($BA$822),$B$511=1),$BA$822,HLOOKUP(INDIRECT(ADDRESS(2,COLUMN())),OFFSET($BN$2,0,0,ROW()-1,60),ROW()-1,FALSE))</f>
        <v/>
      </c>
      <c r="BB320" t="str">
        <f ca="1">IF(AND(ISNUMBER($BB$822),$B$511=1),$BB$822,HLOOKUP(INDIRECT(ADDRESS(2,COLUMN())),OFFSET($BN$2,0,0,ROW()-1,60),ROW()-1,FALSE))</f>
        <v/>
      </c>
      <c r="BC320" t="str">
        <f ca="1">IF(AND(ISNUMBER($BC$822),$B$511=1),$BC$822,HLOOKUP(INDIRECT(ADDRESS(2,COLUMN())),OFFSET($BN$2,0,0,ROW()-1,60),ROW()-1,FALSE))</f>
        <v/>
      </c>
      <c r="BD320" t="str">
        <f ca="1">IF(AND(ISNUMBER($BD$822),$B$511=1),$BD$822,HLOOKUP(INDIRECT(ADDRESS(2,COLUMN())),OFFSET($BN$2,0,0,ROW()-1,60),ROW()-1,FALSE))</f>
        <v/>
      </c>
      <c r="BE320" t="str">
        <f ca="1">IF(AND(ISNUMBER($BE$822),$B$511=1),$BE$822,HLOOKUP(INDIRECT(ADDRESS(2,COLUMN())),OFFSET($BN$2,0,0,ROW()-1,60),ROW()-1,FALSE))</f>
        <v/>
      </c>
      <c r="BF320" t="str">
        <f ca="1">IF(AND(ISNUMBER($BF$822),$B$511=1),$BF$822,HLOOKUP(INDIRECT(ADDRESS(2,COLUMN())),OFFSET($BN$2,0,0,ROW()-1,60),ROW()-1,FALSE))</f>
        <v/>
      </c>
      <c r="BG320" t="str">
        <f ca="1">IF(AND(ISNUMBER($BG$822),$B$511=1),$BG$822,HLOOKUP(INDIRECT(ADDRESS(2,COLUMN())),OFFSET($BN$2,0,0,ROW()-1,60),ROW()-1,FALSE))</f>
        <v/>
      </c>
      <c r="BH320" t="str">
        <f ca="1">IF(AND(ISNUMBER($BH$822),$B$511=1),$BH$822,HLOOKUP(INDIRECT(ADDRESS(2,COLUMN())),OFFSET($BN$2,0,0,ROW()-1,60),ROW()-1,FALSE))</f>
        <v/>
      </c>
      <c r="BI320" t="str">
        <f ca="1">IF(AND(ISNUMBER($BI$822),$B$511=1),$BI$822,HLOOKUP(INDIRECT(ADDRESS(2,COLUMN())),OFFSET($BN$2,0,0,ROW()-1,60),ROW()-1,FALSE))</f>
        <v/>
      </c>
      <c r="BJ320" t="str">
        <f ca="1">IF(AND(ISNUMBER($BJ$822),$B$511=1),$BJ$822,HLOOKUP(INDIRECT(ADDRESS(2,COLUMN())),OFFSET($BN$2,0,0,ROW()-1,60),ROW()-1,FALSE))</f>
        <v/>
      </c>
      <c r="BK320" t="str">
        <f ca="1">IF(AND(ISNUMBER($BK$822),$B$511=1),$BK$822,HLOOKUP(INDIRECT(ADDRESS(2,COLUMN())),OFFSET($BN$2,0,0,ROW()-1,60),ROW()-1,FALSE))</f>
        <v/>
      </c>
      <c r="BL320" t="str">
        <f ca="1">IF(AND(ISNUMBER($BL$822),$B$511=1),$BL$822,HLOOKUP(INDIRECT(ADDRESS(2,COLUMN())),OFFSET($BN$2,0,0,ROW()-1,60),ROW()-1,FALSE))</f>
        <v/>
      </c>
      <c r="BM320" t="str">
        <f ca="1">IF(AND(ISNUMBER($BM$822),$B$511=1),$BM$822,HLOOKUP(INDIRECT(ADDRESS(2,COLUMN())),OFFSET($BN$2,0,0,ROW()-1,60),ROW()-1,FALSE))</f>
        <v/>
      </c>
      <c r="BN320" t="str">
        <f>""</f>
        <v/>
      </c>
      <c r="BO320" t="str">
        <f>""</f>
        <v/>
      </c>
      <c r="BP320" t="str">
        <f>""</f>
        <v/>
      </c>
      <c r="BQ320" t="str">
        <f>""</f>
        <v/>
      </c>
      <c r="BR320" t="str">
        <f>""</f>
        <v/>
      </c>
      <c r="BS320" t="str">
        <f>""</f>
        <v/>
      </c>
      <c r="BT320" t="str">
        <f>""</f>
        <v/>
      </c>
      <c r="BU320" t="str">
        <f>""</f>
        <v/>
      </c>
      <c r="BV320" t="str">
        <f>""</f>
        <v/>
      </c>
      <c r="BW320" t="str">
        <f>""</f>
        <v/>
      </c>
      <c r="BX320" t="str">
        <f>""</f>
        <v/>
      </c>
      <c r="BY320" t="str">
        <f>""</f>
        <v/>
      </c>
      <c r="BZ320" t="str">
        <f>""</f>
        <v/>
      </c>
      <c r="CA320" t="str">
        <f>""</f>
        <v/>
      </c>
      <c r="CB320" t="str">
        <f>""</f>
        <v/>
      </c>
      <c r="CC320" t="str">
        <f>""</f>
        <v/>
      </c>
      <c r="CD320" t="str">
        <f>""</f>
        <v/>
      </c>
      <c r="CE320" t="str">
        <f>""</f>
        <v/>
      </c>
      <c r="CF320" t="str">
        <f>""</f>
        <v/>
      </c>
      <c r="CG320" t="str">
        <f>""</f>
        <v/>
      </c>
      <c r="CH320" t="str">
        <f>""</f>
        <v/>
      </c>
      <c r="CI320" t="str">
        <f>""</f>
        <v/>
      </c>
      <c r="CJ320" t="str">
        <f>""</f>
        <v/>
      </c>
      <c r="CK320" t="str">
        <f>""</f>
        <v/>
      </c>
      <c r="CL320" t="str">
        <f>""</f>
        <v/>
      </c>
      <c r="CM320" t="str">
        <f>""</f>
        <v/>
      </c>
      <c r="CN320" t="str">
        <f>""</f>
        <v/>
      </c>
      <c r="CO320" t="str">
        <f>""</f>
        <v/>
      </c>
      <c r="CP320" t="str">
        <f>""</f>
        <v/>
      </c>
      <c r="CQ320" t="str">
        <f>""</f>
        <v/>
      </c>
      <c r="CR320" t="str">
        <f>""</f>
        <v/>
      </c>
      <c r="CS320" t="str">
        <f>""</f>
        <v/>
      </c>
      <c r="CT320" t="str">
        <f>""</f>
        <v/>
      </c>
      <c r="CU320" t="str">
        <f>""</f>
        <v/>
      </c>
      <c r="CV320" t="str">
        <f>""</f>
        <v/>
      </c>
      <c r="CW320" t="str">
        <f>""</f>
        <v/>
      </c>
      <c r="CX320" t="str">
        <f>""</f>
        <v/>
      </c>
      <c r="CY320" t="str">
        <f>""</f>
        <v/>
      </c>
      <c r="CZ320" t="str">
        <f>""</f>
        <v/>
      </c>
      <c r="DA320" t="str">
        <f>""</f>
        <v/>
      </c>
      <c r="DB320" t="str">
        <f>""</f>
        <v/>
      </c>
      <c r="DC320" t="str">
        <f>""</f>
        <v/>
      </c>
      <c r="DD320" t="str">
        <f>""</f>
        <v/>
      </c>
      <c r="DE320" t="str">
        <f>""</f>
        <v/>
      </c>
      <c r="DF320" t="str">
        <f>""</f>
        <v/>
      </c>
      <c r="DG320" t="str">
        <f>""</f>
        <v/>
      </c>
      <c r="DH320" t="str">
        <f>""</f>
        <v/>
      </c>
      <c r="DI320" t="str">
        <f>""</f>
        <v/>
      </c>
      <c r="DJ320" t="str">
        <f>""</f>
        <v/>
      </c>
      <c r="DK320" t="str">
        <f>""</f>
        <v/>
      </c>
      <c r="DL320" t="str">
        <f>""</f>
        <v/>
      </c>
      <c r="DM320" t="str">
        <f>""</f>
        <v/>
      </c>
      <c r="DN320" t="str">
        <f>""</f>
        <v/>
      </c>
      <c r="DO320" t="str">
        <f>""</f>
        <v/>
      </c>
      <c r="DP320" t="str">
        <f>""</f>
        <v/>
      </c>
      <c r="DQ320" t="str">
        <f>""</f>
        <v/>
      </c>
      <c r="DR320" t="str">
        <f>""</f>
        <v/>
      </c>
      <c r="DS320" t="str">
        <f>""</f>
        <v/>
      </c>
      <c r="DT320" t="str">
        <f>""</f>
        <v/>
      </c>
      <c r="DU320" t="str">
        <f>""</f>
        <v/>
      </c>
    </row>
    <row r="321" spans="1:125" x14ac:dyDescent="0.25">
      <c r="A321" t="str">
        <f>"    Ssangyong Motor Co"</f>
        <v xml:space="preserve">    Ssangyong Motor Co</v>
      </c>
      <c r="B321" t="str">
        <f>"003620 KS Equity"</f>
        <v>003620 KS Equity</v>
      </c>
      <c r="C321" t="str">
        <f t="shared" si="21"/>
        <v>RR179</v>
      </c>
      <c r="D321" t="str">
        <f t="shared" si="22"/>
        <v>TANGIBLE_COMMON_EQUITY</v>
      </c>
      <c r="E321" t="str">
        <f t="shared" si="23"/>
        <v>Dynamic</v>
      </c>
      <c r="F321" t="str">
        <f ca="1">IF(AND(ISNUMBER($F$823),$B$511=1),$F$823,HLOOKUP(INDIRECT(ADDRESS(2,COLUMN())),OFFSET($BN$2,0,0,ROW()-1,60),ROW()-1,FALSE))</f>
        <v/>
      </c>
      <c r="G321" t="str">
        <f ca="1">IF(AND(ISNUMBER($G$823),$B$511=1),$G$823,HLOOKUP(INDIRECT(ADDRESS(2,COLUMN())),OFFSET($BN$2,0,0,ROW()-1,60),ROW()-1,FALSE))</f>
        <v/>
      </c>
      <c r="H321">
        <f ca="1">IF(AND(ISNUMBER($H$823),$B$511=1),$H$823,HLOOKUP(INDIRECT(ADDRESS(2,COLUMN())),OFFSET($BN$2,0,0,ROW()-1,60),ROW()-1,FALSE))</f>
        <v>348.77310720000003</v>
      </c>
      <c r="I321">
        <f ca="1">IF(AND(ISNUMBER($I$823),$B$511=1),$I$823,HLOOKUP(INDIRECT(ADDRESS(2,COLUMN())),OFFSET($BN$2,0,0,ROW()-1,60),ROW()-1,FALSE))</f>
        <v>378.52002529999999</v>
      </c>
      <c r="J321">
        <f ca="1">IF(AND(ISNUMBER($J$823),$B$511=1),$J$823,HLOOKUP(INDIRECT(ADDRESS(2,COLUMN())),OFFSET($BN$2,0,0,ROW()-1,60),ROW()-1,FALSE))</f>
        <v>409.37663900000001</v>
      </c>
      <c r="K321">
        <f ca="1">IF(AND(ISNUMBER($K$823),$B$511=1),$K$823,HLOOKUP(INDIRECT(ADDRESS(2,COLUMN())),OFFSET($BN$2,0,0,ROW()-1,60),ROW()-1,FALSE))</f>
        <v>442.11008759999999</v>
      </c>
      <c r="L321">
        <f ca="1">IF(AND(ISNUMBER($L$823),$B$511=1),$L$823,HLOOKUP(INDIRECT(ADDRESS(2,COLUMN())),OFFSET($BN$2,0,0,ROW()-1,60),ROW()-1,FALSE))</f>
        <v>436.98340669999999</v>
      </c>
      <c r="M321">
        <f ca="1">IF(AND(ISNUMBER($M$823),$B$511=1),$M$823,HLOOKUP(INDIRECT(ADDRESS(2,COLUMN())),OFFSET($BN$2,0,0,ROW()-1,60),ROW()-1,FALSE))</f>
        <v>466.17163269999998</v>
      </c>
      <c r="N321">
        <f ca="1">IF(AND(ISNUMBER($N$823),$B$511=1),$N$823,HLOOKUP(INDIRECT(ADDRESS(2,COLUMN())),OFFSET($BN$2,0,0,ROW()-1,60),ROW()-1,FALSE))</f>
        <v>506.33610249999998</v>
      </c>
      <c r="O321">
        <f ca="1">IF(AND(ISNUMBER($O$823),$B$511=1),$O$823,HLOOKUP(INDIRECT(ADDRESS(2,COLUMN())),OFFSET($BN$2,0,0,ROW()-1,60),ROW()-1,FALSE))</f>
        <v>478.77004529999999</v>
      </c>
      <c r="P321">
        <f ca="1">IF(AND(ISNUMBER($P$823),$B$511=1),$P$823,HLOOKUP(INDIRECT(ADDRESS(2,COLUMN())),OFFSET($BN$2,0,0,ROW()-1,60),ROW()-1,FALSE))</f>
        <v>492.62380480000002</v>
      </c>
      <c r="Q321">
        <f ca="1">IF(AND(ISNUMBER($Q$823),$B$511=1),$Q$823,HLOOKUP(INDIRECT(ADDRESS(2,COLUMN())),OFFSET($BN$2,0,0,ROW()-1,60),ROW()-1,FALSE))</f>
        <v>468.25740780000001</v>
      </c>
      <c r="R321">
        <f ca="1">IF(AND(ISNUMBER($R$823),$B$511=1),$R$823,HLOOKUP(INDIRECT(ADDRESS(2,COLUMN())),OFFSET($BN$2,0,0,ROW()-1,60),ROW()-1,FALSE))</f>
        <v>464.66038839999999</v>
      </c>
      <c r="S321">
        <f ca="1">IF(AND(ISNUMBER($S$823),$B$511=1),$S$823,HLOOKUP(INDIRECT(ADDRESS(2,COLUMN())),OFFSET($BN$2,0,0,ROW()-1,60),ROW()-1,FALSE))</f>
        <v>450.8241481</v>
      </c>
      <c r="T321">
        <f ca="1">IF(AND(ISNUMBER($T$823),$B$511=1),$T$823,HLOOKUP(INDIRECT(ADDRESS(2,COLUMN())),OFFSET($BN$2,0,0,ROW()-1,60),ROW()-1,FALSE))</f>
        <v>438.25986</v>
      </c>
      <c r="U321">
        <f ca="1">IF(AND(ISNUMBER($U$823),$B$511=1),$U$823,HLOOKUP(INDIRECT(ADDRESS(2,COLUMN())),OFFSET($BN$2,0,0,ROW()-1,60),ROW()-1,FALSE))</f>
        <v>501.19494370000001</v>
      </c>
      <c r="V321">
        <f ca="1">IF(AND(ISNUMBER($V$823),$B$511=1),$V$823,HLOOKUP(INDIRECT(ADDRESS(2,COLUMN())),OFFSET($BN$2,0,0,ROW()-1,60),ROW()-1,FALSE))</f>
        <v>532.26484679999999</v>
      </c>
      <c r="W321">
        <f ca="1">IF(AND(ISNUMBER($W$823),$B$511=1),$W$823,HLOOKUP(INDIRECT(ADDRESS(2,COLUMN())),OFFSET($BN$2,0,0,ROW()-1,60),ROW()-1,FALSE))</f>
        <v>573.11182140000005</v>
      </c>
      <c r="X321">
        <f ca="1">IF(AND(ISNUMBER($X$823),$B$511=1),$X$823,HLOOKUP(INDIRECT(ADDRESS(2,COLUMN())),OFFSET($BN$2,0,0,ROW()-1,60),ROW()-1,FALSE))</f>
        <v>653.47637150000003</v>
      </c>
      <c r="Y321">
        <f ca="1">IF(AND(ISNUMBER($Y$823),$B$511=1),$Y$823,HLOOKUP(INDIRECT(ADDRESS(2,COLUMN())),OFFSET($BN$2,0,0,ROW()-1,60),ROW()-1,FALSE))</f>
        <v>724.3871785</v>
      </c>
      <c r="Z321">
        <f ca="1">IF(AND(ISNUMBER($Z$823),$B$511=1),$Z$823,HLOOKUP(INDIRECT(ADDRESS(2,COLUMN())),OFFSET($BN$2,0,0,ROW()-1,60),ROW()-1,FALSE))</f>
        <v>734.83183129999998</v>
      </c>
      <c r="AA321">
        <f ca="1">IF(AND(ISNUMBER($AA$823),$B$511=1),$AA$823,HLOOKUP(INDIRECT(ADDRESS(2,COLUMN())),OFFSET($BN$2,0,0,ROW()-1,60),ROW()-1,FALSE))</f>
        <v>754.78045499999996</v>
      </c>
      <c r="AB321">
        <f ca="1">IF(AND(ISNUMBER($AB$823),$B$511=1),$AB$823,HLOOKUP(INDIRECT(ADDRESS(2,COLUMN())),OFFSET($BN$2,0,0,ROW()-1,60),ROW()-1,FALSE))</f>
        <v>759.59782959999995</v>
      </c>
      <c r="AC321">
        <f ca="1">IF(AND(ISNUMBER($AC$823),$B$511=1),$AC$823,HLOOKUP(INDIRECT(ADDRESS(2,COLUMN())),OFFSET($BN$2,0,0,ROW()-1,60),ROW()-1,FALSE))</f>
        <v>674.67271100000005</v>
      </c>
      <c r="AD321">
        <f ca="1">IF(AND(ISNUMBER($AD$823),$B$511=1),$AD$823,HLOOKUP(INDIRECT(ADDRESS(2,COLUMN())),OFFSET($BN$2,0,0,ROW()-1,60),ROW()-1,FALSE))</f>
        <v>643.69644930000004</v>
      </c>
      <c r="AE321">
        <f ca="1">IF(AND(ISNUMBER($AE$823),$B$511=1),$AE$823,HLOOKUP(INDIRECT(ADDRESS(2,COLUMN())),OFFSET($BN$2,0,0,ROW()-1,60),ROW()-1,FALSE))</f>
        <v>699.45730019999996</v>
      </c>
      <c r="AF321" t="str">
        <f ca="1">IF(AND(ISNUMBER($AF$823),$B$511=1),$AF$823,HLOOKUP(INDIRECT(ADDRESS(2,COLUMN())),OFFSET($BN$2,0,0,ROW()-1,60),ROW()-1,FALSE))</f>
        <v/>
      </c>
      <c r="AG321" t="str">
        <f ca="1">IF(AND(ISNUMBER($AG$823),$B$511=1),$AG$823,HLOOKUP(INDIRECT(ADDRESS(2,COLUMN())),OFFSET($BN$2,0,0,ROW()-1,60),ROW()-1,FALSE))</f>
        <v/>
      </c>
      <c r="AH321" t="str">
        <f ca="1">IF(AND(ISNUMBER($AH$823),$B$511=1),$AH$823,HLOOKUP(INDIRECT(ADDRESS(2,COLUMN())),OFFSET($BN$2,0,0,ROW()-1,60),ROW()-1,FALSE))</f>
        <v/>
      </c>
      <c r="AI321" t="str">
        <f ca="1">IF(AND(ISNUMBER($AI$823),$B$511=1),$AI$823,HLOOKUP(INDIRECT(ADDRESS(2,COLUMN())),OFFSET($BN$2,0,0,ROW()-1,60),ROW()-1,FALSE))</f>
        <v/>
      </c>
      <c r="AJ321" t="str">
        <f ca="1">IF(AND(ISNUMBER($AJ$823),$B$511=1),$AJ$823,HLOOKUP(INDIRECT(ADDRESS(2,COLUMN())),OFFSET($BN$2,0,0,ROW()-1,60),ROW()-1,FALSE))</f>
        <v/>
      </c>
      <c r="AK321" t="str">
        <f ca="1">IF(AND(ISNUMBER($AK$823),$B$511=1),$AK$823,HLOOKUP(INDIRECT(ADDRESS(2,COLUMN())),OFFSET($BN$2,0,0,ROW()-1,60),ROW()-1,FALSE))</f>
        <v/>
      </c>
      <c r="AL321" t="str">
        <f ca="1">IF(AND(ISNUMBER($AL$823),$B$511=1),$AL$823,HLOOKUP(INDIRECT(ADDRESS(2,COLUMN())),OFFSET($BN$2,0,0,ROW()-1,60),ROW()-1,FALSE))</f>
        <v/>
      </c>
      <c r="AM321" t="str">
        <f ca="1">IF(AND(ISNUMBER($AM$823),$B$511=1),$AM$823,HLOOKUP(INDIRECT(ADDRESS(2,COLUMN())),OFFSET($BN$2,0,0,ROW()-1,60),ROW()-1,FALSE))</f>
        <v/>
      </c>
      <c r="AN321" t="str">
        <f ca="1">IF(AND(ISNUMBER($AN$823),$B$511=1),$AN$823,HLOOKUP(INDIRECT(ADDRESS(2,COLUMN())),OFFSET($BN$2,0,0,ROW()-1,60),ROW()-1,FALSE))</f>
        <v/>
      </c>
      <c r="AO321" t="str">
        <f ca="1">IF(AND(ISNUMBER($AO$823),$B$511=1),$AO$823,HLOOKUP(INDIRECT(ADDRESS(2,COLUMN())),OFFSET($BN$2,0,0,ROW()-1,60),ROW()-1,FALSE))</f>
        <v/>
      </c>
      <c r="AP321" t="str">
        <f ca="1">IF(AND(ISNUMBER($AP$823),$B$511=1),$AP$823,HLOOKUP(INDIRECT(ADDRESS(2,COLUMN())),OFFSET($BN$2,0,0,ROW()-1,60),ROW()-1,FALSE))</f>
        <v/>
      </c>
      <c r="AQ321" t="str">
        <f ca="1">IF(AND(ISNUMBER($AQ$823),$B$511=1),$AQ$823,HLOOKUP(INDIRECT(ADDRESS(2,COLUMN())),OFFSET($BN$2,0,0,ROW()-1,60),ROW()-1,FALSE))</f>
        <v/>
      </c>
      <c r="AR321" t="str">
        <f ca="1">IF(AND(ISNUMBER($AR$823),$B$511=1),$AR$823,HLOOKUP(INDIRECT(ADDRESS(2,COLUMN())),OFFSET($BN$2,0,0,ROW()-1,60),ROW()-1,FALSE))</f>
        <v/>
      </c>
      <c r="AS321" t="str">
        <f ca="1">IF(AND(ISNUMBER($AS$823),$B$511=1),$AS$823,HLOOKUP(INDIRECT(ADDRESS(2,COLUMN())),OFFSET($BN$2,0,0,ROW()-1,60),ROW()-1,FALSE))</f>
        <v/>
      </c>
      <c r="AT321" t="str">
        <f ca="1">IF(AND(ISNUMBER($AT$823),$B$511=1),$AT$823,HLOOKUP(INDIRECT(ADDRESS(2,COLUMN())),OFFSET($BN$2,0,0,ROW()-1,60),ROW()-1,FALSE))</f>
        <v/>
      </c>
      <c r="AU321" t="str">
        <f ca="1">IF(AND(ISNUMBER($AU$823),$B$511=1),$AU$823,HLOOKUP(INDIRECT(ADDRESS(2,COLUMN())),OFFSET($BN$2,0,0,ROW()-1,60),ROW()-1,FALSE))</f>
        <v/>
      </c>
      <c r="AV321" t="str">
        <f ca="1">IF(AND(ISNUMBER($AV$823),$B$511=1),$AV$823,HLOOKUP(INDIRECT(ADDRESS(2,COLUMN())),OFFSET($BN$2,0,0,ROW()-1,60),ROW()-1,FALSE))</f>
        <v/>
      </c>
      <c r="AW321" t="str">
        <f ca="1">IF(AND(ISNUMBER($AW$823),$B$511=1),$AW$823,HLOOKUP(INDIRECT(ADDRESS(2,COLUMN())),OFFSET($BN$2,0,0,ROW()-1,60),ROW()-1,FALSE))</f>
        <v/>
      </c>
      <c r="AX321" t="str">
        <f ca="1">IF(AND(ISNUMBER($AX$823),$B$511=1),$AX$823,HLOOKUP(INDIRECT(ADDRESS(2,COLUMN())),OFFSET($BN$2,0,0,ROW()-1,60),ROW()-1,FALSE))</f>
        <v/>
      </c>
      <c r="AY321" t="str">
        <f ca="1">IF(AND(ISNUMBER($AY$823),$B$511=1),$AY$823,HLOOKUP(INDIRECT(ADDRESS(2,COLUMN())),OFFSET($BN$2,0,0,ROW()-1,60),ROW()-1,FALSE))</f>
        <v/>
      </c>
      <c r="AZ321" t="str">
        <f ca="1">IF(AND(ISNUMBER($AZ$823),$B$511=1),$AZ$823,HLOOKUP(INDIRECT(ADDRESS(2,COLUMN())),OFFSET($BN$2,0,0,ROW()-1,60),ROW()-1,FALSE))</f>
        <v/>
      </c>
      <c r="BA321" t="str">
        <f ca="1">IF(AND(ISNUMBER($BA$823),$B$511=1),$BA$823,HLOOKUP(INDIRECT(ADDRESS(2,COLUMN())),OFFSET($BN$2,0,0,ROW()-1,60),ROW()-1,FALSE))</f>
        <v/>
      </c>
      <c r="BB321" t="str">
        <f ca="1">IF(AND(ISNUMBER($BB$823),$B$511=1),$BB$823,HLOOKUP(INDIRECT(ADDRESS(2,COLUMN())),OFFSET($BN$2,0,0,ROW()-1,60),ROW()-1,FALSE))</f>
        <v/>
      </c>
      <c r="BC321" t="str">
        <f ca="1">IF(AND(ISNUMBER($BC$823),$B$511=1),$BC$823,HLOOKUP(INDIRECT(ADDRESS(2,COLUMN())),OFFSET($BN$2,0,0,ROW()-1,60),ROW()-1,FALSE))</f>
        <v/>
      </c>
      <c r="BD321" t="str">
        <f ca="1">IF(AND(ISNUMBER($BD$823),$B$511=1),$BD$823,HLOOKUP(INDIRECT(ADDRESS(2,COLUMN())),OFFSET($BN$2,0,0,ROW()-1,60),ROW()-1,FALSE))</f>
        <v/>
      </c>
      <c r="BE321" t="str">
        <f ca="1">IF(AND(ISNUMBER($BE$823),$B$511=1),$BE$823,HLOOKUP(INDIRECT(ADDRESS(2,COLUMN())),OFFSET($BN$2,0,0,ROW()-1,60),ROW()-1,FALSE))</f>
        <v/>
      </c>
      <c r="BF321" t="str">
        <f ca="1">IF(AND(ISNUMBER($BF$823),$B$511=1),$BF$823,HLOOKUP(INDIRECT(ADDRESS(2,COLUMN())),OFFSET($BN$2,0,0,ROW()-1,60),ROW()-1,FALSE))</f>
        <v/>
      </c>
      <c r="BG321" t="str">
        <f ca="1">IF(AND(ISNUMBER($BG$823),$B$511=1),$BG$823,HLOOKUP(INDIRECT(ADDRESS(2,COLUMN())),OFFSET($BN$2,0,0,ROW()-1,60),ROW()-1,FALSE))</f>
        <v/>
      </c>
      <c r="BH321" t="str">
        <f ca="1">IF(AND(ISNUMBER($BH$823),$B$511=1),$BH$823,HLOOKUP(INDIRECT(ADDRESS(2,COLUMN())),OFFSET($BN$2,0,0,ROW()-1,60),ROW()-1,FALSE))</f>
        <v/>
      </c>
      <c r="BI321" t="str">
        <f ca="1">IF(AND(ISNUMBER($BI$823),$B$511=1),$BI$823,HLOOKUP(INDIRECT(ADDRESS(2,COLUMN())),OFFSET($BN$2,0,0,ROW()-1,60),ROW()-1,FALSE))</f>
        <v/>
      </c>
      <c r="BJ321" t="str">
        <f ca="1">IF(AND(ISNUMBER($BJ$823),$B$511=1),$BJ$823,HLOOKUP(INDIRECT(ADDRESS(2,COLUMN())),OFFSET($BN$2,0,0,ROW()-1,60),ROW()-1,FALSE))</f>
        <v/>
      </c>
      <c r="BK321" t="str">
        <f ca="1">IF(AND(ISNUMBER($BK$823),$B$511=1),$BK$823,HLOOKUP(INDIRECT(ADDRESS(2,COLUMN())),OFFSET($BN$2,0,0,ROW()-1,60),ROW()-1,FALSE))</f>
        <v/>
      </c>
      <c r="BL321" t="str">
        <f ca="1">IF(AND(ISNUMBER($BL$823),$B$511=1),$BL$823,HLOOKUP(INDIRECT(ADDRESS(2,COLUMN())),OFFSET($BN$2,0,0,ROW()-1,60),ROW()-1,FALSE))</f>
        <v/>
      </c>
      <c r="BM321" t="str">
        <f ca="1">IF(AND(ISNUMBER($BM$823),$B$511=1),$BM$823,HLOOKUP(INDIRECT(ADDRESS(2,COLUMN())),OFFSET($BN$2,0,0,ROW()-1,60),ROW()-1,FALSE))</f>
        <v/>
      </c>
      <c r="BN321" t="str">
        <f>""</f>
        <v/>
      </c>
      <c r="BO321" t="str">
        <f>""</f>
        <v/>
      </c>
      <c r="BP321">
        <f>348.7731072</f>
        <v>348.77310720000003</v>
      </c>
      <c r="BQ321">
        <f>378.5200253</f>
        <v>378.52002529999999</v>
      </c>
      <c r="BR321">
        <f>409.376639</f>
        <v>409.37663900000001</v>
      </c>
      <c r="BS321">
        <f>442.1100876</f>
        <v>442.11008759999999</v>
      </c>
      <c r="BT321">
        <f>436.9834067</f>
        <v>436.98340669999999</v>
      </c>
      <c r="BU321">
        <f>466.1716327</f>
        <v>466.17163269999998</v>
      </c>
      <c r="BV321">
        <f>506.3361025</f>
        <v>506.33610249999998</v>
      </c>
      <c r="BW321">
        <f>478.7700453</f>
        <v>478.77004529999999</v>
      </c>
      <c r="BX321">
        <f>492.6238048</f>
        <v>492.62380480000002</v>
      </c>
      <c r="BY321">
        <f>468.2574078</f>
        <v>468.25740780000001</v>
      </c>
      <c r="BZ321">
        <f>464.6603884</f>
        <v>464.66038839999999</v>
      </c>
      <c r="CA321">
        <f>450.8241481</f>
        <v>450.8241481</v>
      </c>
      <c r="CB321">
        <f>438.25986</f>
        <v>438.25986</v>
      </c>
      <c r="CC321">
        <f>501.1949437</f>
        <v>501.19494370000001</v>
      </c>
      <c r="CD321">
        <f>532.2648468</f>
        <v>532.26484679999999</v>
      </c>
      <c r="CE321">
        <f>573.1118214</f>
        <v>573.11182140000005</v>
      </c>
      <c r="CF321">
        <f>653.4763715</f>
        <v>653.47637150000003</v>
      </c>
      <c r="CG321">
        <f>724.3871785</f>
        <v>724.3871785</v>
      </c>
      <c r="CH321">
        <f>734.8318313</f>
        <v>734.83183129999998</v>
      </c>
      <c r="CI321">
        <f>754.780455</f>
        <v>754.78045499999996</v>
      </c>
      <c r="CJ321">
        <f>759.5978296</f>
        <v>759.59782959999995</v>
      </c>
      <c r="CK321">
        <f>674.672711</f>
        <v>674.67271100000005</v>
      </c>
      <c r="CL321">
        <f>643.6964493</f>
        <v>643.69644930000004</v>
      </c>
      <c r="CM321">
        <f>699.4573002</f>
        <v>699.45730019999996</v>
      </c>
      <c r="CN321" t="str">
        <f>""</f>
        <v/>
      </c>
      <c r="CO321" t="str">
        <f>""</f>
        <v/>
      </c>
      <c r="CP321" t="str">
        <f>""</f>
        <v/>
      </c>
      <c r="CQ321" t="str">
        <f>""</f>
        <v/>
      </c>
      <c r="CR321" t="str">
        <f>""</f>
        <v/>
      </c>
      <c r="CS321" t="str">
        <f>""</f>
        <v/>
      </c>
      <c r="CT321" t="str">
        <f>""</f>
        <v/>
      </c>
      <c r="CU321" t="str">
        <f>""</f>
        <v/>
      </c>
      <c r="CV321" t="str">
        <f>""</f>
        <v/>
      </c>
      <c r="CW321" t="str">
        <f>""</f>
        <v/>
      </c>
      <c r="CX321" t="str">
        <f>""</f>
        <v/>
      </c>
      <c r="CY321" t="str">
        <f>""</f>
        <v/>
      </c>
      <c r="CZ321" t="str">
        <f>""</f>
        <v/>
      </c>
      <c r="DA321" t="str">
        <f>""</f>
        <v/>
      </c>
      <c r="DB321" t="str">
        <f>""</f>
        <v/>
      </c>
      <c r="DC321" t="str">
        <f>""</f>
        <v/>
      </c>
      <c r="DD321" t="str">
        <f>""</f>
        <v/>
      </c>
      <c r="DE321" t="str">
        <f>""</f>
        <v/>
      </c>
      <c r="DF321" t="str">
        <f>""</f>
        <v/>
      </c>
      <c r="DG321" t="str">
        <f>""</f>
        <v/>
      </c>
      <c r="DH321" t="str">
        <f>""</f>
        <v/>
      </c>
      <c r="DI321" t="str">
        <f>""</f>
        <v/>
      </c>
      <c r="DJ321" t="str">
        <f>""</f>
        <v/>
      </c>
      <c r="DK321" t="str">
        <f>""</f>
        <v/>
      </c>
      <c r="DL321" t="str">
        <f>""</f>
        <v/>
      </c>
      <c r="DM321" t="str">
        <f>""</f>
        <v/>
      </c>
      <c r="DN321" t="str">
        <f>""</f>
        <v/>
      </c>
      <c r="DO321" t="str">
        <f>""</f>
        <v/>
      </c>
      <c r="DP321" t="str">
        <f>""</f>
        <v/>
      </c>
      <c r="DQ321" t="str">
        <f>""</f>
        <v/>
      </c>
      <c r="DR321" t="str">
        <f>""</f>
        <v/>
      </c>
      <c r="DS321" t="str">
        <f>""</f>
        <v/>
      </c>
      <c r="DT321" t="str">
        <f>""</f>
        <v/>
      </c>
      <c r="DU321" t="str">
        <f>""</f>
        <v/>
      </c>
    </row>
    <row r="322" spans="1:125" x14ac:dyDescent="0.25">
      <c r="A322" t="str">
        <f>"    Subaru Corp"</f>
        <v xml:space="preserve">    Subaru Corp</v>
      </c>
      <c r="B322" t="str">
        <f>"7270 JP Equity"</f>
        <v>7270 JP Equity</v>
      </c>
      <c r="C322" t="str">
        <f t="shared" si="21"/>
        <v>RR179</v>
      </c>
      <c r="D322" t="str">
        <f t="shared" si="22"/>
        <v>TANGIBLE_COMMON_EQUITY</v>
      </c>
      <c r="E322" t="str">
        <f t="shared" si="23"/>
        <v>Dynamic</v>
      </c>
      <c r="F322" t="str">
        <f ca="1">IF(AND(ISNUMBER($F$824),$B$511=1),$F$824,HLOOKUP(INDIRECT(ADDRESS(2,COLUMN())),OFFSET($BN$2,0,0,ROW()-1,60),ROW()-1,FALSE))</f>
        <v/>
      </c>
      <c r="G322">
        <f ca="1">IF(AND(ISNUMBER($G$824),$B$511=1),$G$824,HLOOKUP(INDIRECT(ADDRESS(2,COLUMN())),OFFSET($BN$2,0,0,ROW()-1,60),ROW()-1,FALSE))</f>
        <v>14065.703079999999</v>
      </c>
      <c r="H322">
        <f ca="1">IF(AND(ISNUMBER($H$824),$B$511=1),$H$824,HLOOKUP(INDIRECT(ADDRESS(2,COLUMN())),OFFSET($BN$2,0,0,ROW()-1,60),ROW()-1,FALSE))</f>
        <v>13583.76211</v>
      </c>
      <c r="I322">
        <f ca="1">IF(AND(ISNUMBER($I$824),$B$511=1),$I$824,HLOOKUP(INDIRECT(ADDRESS(2,COLUMN())),OFFSET($BN$2,0,0,ROW()-1,60),ROW()-1,FALSE))</f>
        <v>13809.40603</v>
      </c>
      <c r="J322">
        <f ca="1">IF(AND(ISNUMBER($J$824),$B$511=1),$J$824,HLOOKUP(INDIRECT(ADDRESS(2,COLUMN())),OFFSET($BN$2,0,0,ROW()-1,60),ROW()-1,FALSE))</f>
        <v>14352.76784</v>
      </c>
      <c r="K322">
        <f ca="1">IF(AND(ISNUMBER($K$824),$B$511=1),$K$824,HLOOKUP(INDIRECT(ADDRESS(2,COLUMN())),OFFSET($BN$2,0,0,ROW()-1,60),ROW()-1,FALSE))</f>
        <v>13207.82555</v>
      </c>
      <c r="L322">
        <f ca="1">IF(AND(ISNUMBER($L$824),$B$511=1),$L$824,HLOOKUP(INDIRECT(ADDRESS(2,COLUMN())),OFFSET($BN$2,0,0,ROW()-1,60),ROW()-1,FALSE))</f>
        <v>13075.31522</v>
      </c>
      <c r="M322">
        <f ca="1">IF(AND(ISNUMBER($M$824),$B$511=1),$M$824,HLOOKUP(INDIRECT(ADDRESS(2,COLUMN())),OFFSET($BN$2,0,0,ROW()-1,60),ROW()-1,FALSE))</f>
        <v>13026.52425</v>
      </c>
      <c r="N322">
        <f ca="1">IF(AND(ISNUMBER($N$824),$B$511=1),$N$824,HLOOKUP(INDIRECT(ADDRESS(2,COLUMN())),OFFSET($BN$2,0,0,ROW()-1,60),ROW()-1,FALSE))</f>
        <v>12880.77441</v>
      </c>
      <c r="O322">
        <f ca="1">IF(AND(ISNUMBER($O$824),$B$511=1),$O$824,HLOOKUP(INDIRECT(ADDRESS(2,COLUMN())),OFFSET($BN$2,0,0,ROW()-1,60),ROW()-1,FALSE))</f>
        <v>11779.903979999999</v>
      </c>
      <c r="P322">
        <f ca="1">IF(AND(ISNUMBER($P$824),$B$511=1),$P$824,HLOOKUP(INDIRECT(ADDRESS(2,COLUMN())),OFFSET($BN$2,0,0,ROW()-1,60),ROW()-1,FALSE))</f>
        <v>13149.07818</v>
      </c>
      <c r="Q322">
        <f ca="1">IF(AND(ISNUMBER($Q$824),$B$511=1),$Q$824,HLOOKUP(INDIRECT(ADDRESS(2,COLUMN())),OFFSET($BN$2,0,0,ROW()-1,60),ROW()-1,FALSE))</f>
        <v>12725.264080000001</v>
      </c>
      <c r="R322">
        <f ca="1">IF(AND(ISNUMBER($R$824),$B$511=1),$R$824,HLOOKUP(INDIRECT(ADDRESS(2,COLUMN())),OFFSET($BN$2,0,0,ROW()-1,60),ROW()-1,FALSE))</f>
        <v>11757.715560000001</v>
      </c>
      <c r="S322">
        <f ca="1">IF(AND(ISNUMBER($S$824),$B$511=1),$S$824,HLOOKUP(INDIRECT(ADDRESS(2,COLUMN())),OFFSET($BN$2,0,0,ROW()-1,60),ROW()-1,FALSE))</f>
        <v>10449.60067</v>
      </c>
      <c r="T322">
        <f ca="1">IF(AND(ISNUMBER($T$824),$B$511=1),$T$824,HLOOKUP(INDIRECT(ADDRESS(2,COLUMN())),OFFSET($BN$2,0,0,ROW()-1,60),ROW()-1,FALSE))</f>
        <v>9758.0680200000006</v>
      </c>
      <c r="U322">
        <f ca="1">IF(AND(ISNUMBER($U$824),$B$511=1),$U$824,HLOOKUP(INDIRECT(ADDRESS(2,COLUMN())),OFFSET($BN$2,0,0,ROW()-1,60),ROW()-1,FALSE))</f>
        <v>8772.4041930000003</v>
      </c>
      <c r="V322">
        <f ca="1">IF(AND(ISNUMBER($V$824),$B$511=1),$V$824,HLOOKUP(INDIRECT(ADDRESS(2,COLUMN())),OFFSET($BN$2,0,0,ROW()-1,60),ROW()-1,FALSE))</f>
        <v>8383.2180079999998</v>
      </c>
      <c r="W322">
        <f ca="1">IF(AND(ISNUMBER($W$824),$B$511=1),$W$824,HLOOKUP(INDIRECT(ADDRESS(2,COLUMN())),OFFSET($BN$2,0,0,ROW()-1,60),ROW()-1,FALSE))</f>
        <v>7842.5317089999999</v>
      </c>
      <c r="X322">
        <f ca="1">IF(AND(ISNUMBER($X$824),$B$511=1),$X$824,HLOOKUP(INDIRECT(ADDRESS(2,COLUMN())),OFFSET($BN$2,0,0,ROW()-1,60),ROW()-1,FALSE))</f>
        <v>7829.0899140000001</v>
      </c>
      <c r="Y322">
        <f ca="1">IF(AND(ISNUMBER($Y$824),$B$511=1),$Y$824,HLOOKUP(INDIRECT(ADDRESS(2,COLUMN())),OFFSET($BN$2,0,0,ROW()-1,60),ROW()-1,FALSE))</f>
        <v>7687.4617440000002</v>
      </c>
      <c r="Z322">
        <f ca="1">IF(AND(ISNUMBER($Z$824),$B$511=1),$Z$824,HLOOKUP(INDIRECT(ADDRESS(2,COLUMN())),OFFSET($BN$2,0,0,ROW()-1,60),ROW()-1,FALSE))</f>
        <v>7284.6803140000002</v>
      </c>
      <c r="AA322">
        <f ca="1">IF(AND(ISNUMBER($AA$824),$B$511=1),$AA$824,HLOOKUP(INDIRECT(ADDRESS(2,COLUMN())),OFFSET($BN$2,0,0,ROW()-1,60),ROW()-1,FALSE))</f>
        <v>7103.049591</v>
      </c>
      <c r="AB322">
        <f ca="1">IF(AND(ISNUMBER($AB$824),$B$511=1),$AB$824,HLOOKUP(INDIRECT(ADDRESS(2,COLUMN())),OFFSET($BN$2,0,0,ROW()-1,60),ROW()-1,FALSE))</f>
        <v>7077.3342839999996</v>
      </c>
      <c r="AC322">
        <f ca="1">IF(AND(ISNUMBER($AC$824),$B$511=1),$AC$824,HLOOKUP(INDIRECT(ADDRESS(2,COLUMN())),OFFSET($BN$2,0,0,ROW()-1,60),ROW()-1,FALSE))</f>
        <v>6390.8587539999999</v>
      </c>
      <c r="AD322">
        <f ca="1">IF(AND(ISNUMBER($AD$824),$B$511=1),$AD$824,HLOOKUP(INDIRECT(ADDRESS(2,COLUMN())),OFFSET($BN$2,0,0,ROW()-1,60),ROW()-1,FALSE))</f>
        <v>6183.5491400000001</v>
      </c>
      <c r="AE322">
        <f ca="1">IF(AND(ISNUMBER($AE$824),$B$511=1),$AE$824,HLOOKUP(INDIRECT(ADDRESS(2,COLUMN())),OFFSET($BN$2,0,0,ROW()-1,60),ROW()-1,FALSE))</f>
        <v>5711.1059800000003</v>
      </c>
      <c r="AF322">
        <f ca="1">IF(AND(ISNUMBER($AF$824),$B$511=1),$AF$824,HLOOKUP(INDIRECT(ADDRESS(2,COLUMN())),OFFSET($BN$2,0,0,ROW()-1,60),ROW()-1,FALSE))</f>
        <v>5965.3747430000003</v>
      </c>
      <c r="AG322">
        <f ca="1">IF(AND(ISNUMBER($AG$824),$B$511=1),$AG$824,HLOOKUP(INDIRECT(ADDRESS(2,COLUMN())),OFFSET($BN$2,0,0,ROW()-1,60),ROW()-1,FALSE))</f>
        <v>5561.9799499999999</v>
      </c>
      <c r="AH322">
        <f ca="1">IF(AND(ISNUMBER($AH$824),$B$511=1),$AH$824,HLOOKUP(INDIRECT(ADDRESS(2,COLUMN())),OFFSET($BN$2,0,0,ROW()-1,60),ROW()-1,FALSE))</f>
        <v>5306.5956669999996</v>
      </c>
      <c r="AI322">
        <f ca="1">IF(AND(ISNUMBER($AI$824),$B$511=1),$AI$824,HLOOKUP(INDIRECT(ADDRESS(2,COLUMN())),OFFSET($BN$2,0,0,ROW()-1,60),ROW()-1,FALSE))</f>
        <v>5488.1413169999996</v>
      </c>
      <c r="AJ322">
        <f ca="1">IF(AND(ISNUMBER($AJ$824),$B$511=1),$AJ$824,HLOOKUP(INDIRECT(ADDRESS(2,COLUMN())),OFFSET($BN$2,0,0,ROW()-1,60),ROW()-1,FALSE))</f>
        <v>5466.0228159999997</v>
      </c>
      <c r="AK322">
        <f ca="1">IF(AND(ISNUMBER($AK$824),$B$511=1),$AK$824,HLOOKUP(INDIRECT(ADDRESS(2,COLUMN())),OFFSET($BN$2,0,0,ROW()-1,60),ROW()-1,FALSE))</f>
        <v>5287.2393249999996</v>
      </c>
      <c r="AL322">
        <f ca="1">IF(AND(ISNUMBER($AL$824),$B$511=1),$AL$824,HLOOKUP(INDIRECT(ADDRESS(2,COLUMN())),OFFSET($BN$2,0,0,ROW()-1,60),ROW()-1,FALSE))</f>
        <v>4836.6654589999998</v>
      </c>
      <c r="AM322">
        <f ca="1">IF(AND(ISNUMBER($AM$824),$B$511=1),$AM$824,HLOOKUP(INDIRECT(ADDRESS(2,COLUMN())),OFFSET($BN$2,0,0,ROW()-1,60),ROW()-1,FALSE))</f>
        <v>4998.0539479999998</v>
      </c>
      <c r="AN322">
        <f ca="1">IF(AND(ISNUMBER($AN$824),$B$511=1),$AN$824,HLOOKUP(INDIRECT(ADDRESS(2,COLUMN())),OFFSET($BN$2,0,0,ROW()-1,60),ROW()-1,FALSE))</f>
        <v>4742.6431819999998</v>
      </c>
      <c r="AO322">
        <f ca="1">IF(AND(ISNUMBER($AO$824),$B$511=1),$AO$824,HLOOKUP(INDIRECT(ADDRESS(2,COLUMN())),OFFSET($BN$2,0,0,ROW()-1,60),ROW()-1,FALSE))</f>
        <v>4278.3811240000005</v>
      </c>
      <c r="AP322">
        <f ca="1">IF(AND(ISNUMBER($AP$824),$B$511=1),$AP$824,HLOOKUP(INDIRECT(ADDRESS(2,COLUMN())),OFFSET($BN$2,0,0,ROW()-1,60),ROW()-1,FALSE))</f>
        <v>3944.6489729999998</v>
      </c>
      <c r="AQ322">
        <f ca="1">IF(AND(ISNUMBER($AQ$824),$B$511=1),$AQ$824,HLOOKUP(INDIRECT(ADDRESS(2,COLUMN())),OFFSET($BN$2,0,0,ROW()-1,60),ROW()-1,FALSE))</f>
        <v>3937.5348939999999</v>
      </c>
      <c r="AR322">
        <f ca="1">IF(AND(ISNUMBER($AR$824),$B$511=1),$AR$824,HLOOKUP(INDIRECT(ADDRESS(2,COLUMN())),OFFSET($BN$2,0,0,ROW()-1,60),ROW()-1,FALSE))</f>
        <v>3984.5227479999999</v>
      </c>
      <c r="AS322">
        <f ca="1">IF(AND(ISNUMBER($AS$824),$B$511=1),$AS$824,HLOOKUP(INDIRECT(ADDRESS(2,COLUMN())),OFFSET($BN$2,0,0,ROW()-1,60),ROW()-1,FALSE))</f>
        <v>3786.4825580000002</v>
      </c>
      <c r="AT322">
        <f ca="1">IF(AND(ISNUMBER($AT$824),$B$511=1),$AT$824,HLOOKUP(INDIRECT(ADDRESS(2,COLUMN())),OFFSET($BN$2,0,0,ROW()-1,60),ROW()-1,FALSE))</f>
        <v>3824.5998989999998</v>
      </c>
      <c r="AU322">
        <f ca="1">IF(AND(ISNUMBER($AU$824),$B$511=1),$AU$824,HLOOKUP(INDIRECT(ADDRESS(2,COLUMN())),OFFSET($BN$2,0,0,ROW()-1,60),ROW()-1,FALSE))</f>
        <v>4961.0970369999995</v>
      </c>
      <c r="AV322">
        <f ca="1">IF(AND(ISNUMBER($AV$824),$B$511=1),$AV$824,HLOOKUP(INDIRECT(ADDRESS(2,COLUMN())),OFFSET($BN$2,0,0,ROW()-1,60),ROW()-1,FALSE))</f>
        <v>4566.701196</v>
      </c>
      <c r="AW322">
        <f ca="1">IF(AND(ISNUMBER($AW$824),$B$511=1),$AW$824,HLOOKUP(INDIRECT(ADDRESS(2,COLUMN())),OFFSET($BN$2,0,0,ROW()-1,60),ROW()-1,FALSE))</f>
        <v>4206.8744699999997</v>
      </c>
      <c r="AX322">
        <f ca="1">IF(AND(ISNUMBER($AX$824),$B$511=1),$AX$824,HLOOKUP(INDIRECT(ADDRESS(2,COLUMN())),OFFSET($BN$2,0,0,ROW()-1,60),ROW()-1,FALSE))</f>
        <v>4625.7260159999996</v>
      </c>
      <c r="AY322">
        <f ca="1">IF(AND(ISNUMBER($AY$824),$B$511=1),$AY$824,HLOOKUP(INDIRECT(ADDRESS(2,COLUMN())),OFFSET($BN$2,0,0,ROW()-1,60),ROW()-1,FALSE))</f>
        <v>4183.1201359999995</v>
      </c>
      <c r="AZ322">
        <f ca="1">IF(AND(ISNUMBER($AZ$824),$B$511=1),$AZ$824,HLOOKUP(INDIRECT(ADDRESS(2,COLUMN())),OFFSET($BN$2,0,0,ROW()-1,60),ROW()-1,FALSE))</f>
        <v>4093.0226480000001</v>
      </c>
      <c r="BA322">
        <f ca="1">IF(AND(ISNUMBER($BA$824),$B$511=1),$BA$824,HLOOKUP(INDIRECT(ADDRESS(2,COLUMN())),OFFSET($BN$2,0,0,ROW()-1,60),ROW()-1,FALSE))</f>
        <v>3713.1510629999998</v>
      </c>
      <c r="BB322">
        <f ca="1">IF(AND(ISNUMBER($BB$824),$B$511=1),$BB$824,HLOOKUP(INDIRECT(ADDRESS(2,COLUMN())),OFFSET($BN$2,0,0,ROW()-1,60),ROW()-1,FALSE))</f>
        <v>3901.7943700000001</v>
      </c>
      <c r="BC322">
        <f ca="1">IF(AND(ISNUMBER($BC$824),$B$511=1),$BC$824,HLOOKUP(INDIRECT(ADDRESS(2,COLUMN())),OFFSET($BN$2,0,0,ROW()-1,60),ROW()-1,FALSE))</f>
        <v>3792.1565329999999</v>
      </c>
      <c r="BD322">
        <f ca="1">IF(AND(ISNUMBER($BD$824),$B$511=1),$BD$824,HLOOKUP(INDIRECT(ADDRESS(2,COLUMN())),OFFSET($BN$2,0,0,ROW()-1,60),ROW()-1,FALSE))</f>
        <v>3679.0882900000001</v>
      </c>
      <c r="BE322">
        <f ca="1">IF(AND(ISNUMBER($BE$824),$B$511=1),$BE$824,HLOOKUP(INDIRECT(ADDRESS(2,COLUMN())),OFFSET($BN$2,0,0,ROW()-1,60),ROW()-1,FALSE))</f>
        <v>3726.7930459999998</v>
      </c>
      <c r="BF322">
        <f ca="1">IF(AND(ISNUMBER($BF$824),$B$511=1),$BF$824,HLOOKUP(INDIRECT(ADDRESS(2,COLUMN())),OFFSET($BN$2,0,0,ROW()-1,60),ROW()-1,FALSE))</f>
        <v>3636.6893620000001</v>
      </c>
      <c r="BG322">
        <f ca="1">IF(AND(ISNUMBER($BG$824),$B$511=1),$BG$824,HLOOKUP(INDIRECT(ADDRESS(2,COLUMN())),OFFSET($BN$2,0,0,ROW()-1,60),ROW()-1,FALSE))</f>
        <v>3487.920658</v>
      </c>
      <c r="BH322">
        <f ca="1">IF(AND(ISNUMBER($BH$824),$B$511=1),$BH$824,HLOOKUP(INDIRECT(ADDRESS(2,COLUMN())),OFFSET($BN$2,0,0,ROW()-1,60),ROW()-1,FALSE))</f>
        <v>3897.5519549999999</v>
      </c>
      <c r="BI322">
        <f ca="1">IF(AND(ISNUMBER($BI$824),$B$511=1),$BI$824,HLOOKUP(INDIRECT(ADDRESS(2,COLUMN())),OFFSET($BN$2,0,0,ROW()-1,60),ROW()-1,FALSE))</f>
        <v>3833.1650589999999</v>
      </c>
      <c r="BJ322">
        <f ca="1">IF(AND(ISNUMBER($BJ$824),$B$511=1),$BJ$824,HLOOKUP(INDIRECT(ADDRESS(2,COLUMN())),OFFSET($BN$2,0,0,ROW()-1,60),ROW()-1,FALSE))</f>
        <v>3991.9589550000001</v>
      </c>
      <c r="BK322">
        <f ca="1">IF(AND(ISNUMBER($BK$824),$B$511=1),$BK$824,HLOOKUP(INDIRECT(ADDRESS(2,COLUMN())),OFFSET($BN$2,0,0,ROW()-1,60),ROW()-1,FALSE))</f>
        <v>4278.5874549999999</v>
      </c>
      <c r="BL322">
        <f ca="1">IF(AND(ISNUMBER($BL$824),$B$511=1),$BL$824,HLOOKUP(INDIRECT(ADDRESS(2,COLUMN())),OFFSET($BN$2,0,0,ROW()-1,60),ROW()-1,FALSE))</f>
        <v>3841.990358</v>
      </c>
      <c r="BM322">
        <f ca="1">IF(AND(ISNUMBER($BM$824),$B$511=1),$BM$824,HLOOKUP(INDIRECT(ADDRESS(2,COLUMN())),OFFSET($BN$2,0,0,ROW()-1,60),ROW()-1,FALSE))</f>
        <v>3757.1637559999999</v>
      </c>
      <c r="BN322" t="str">
        <f>""</f>
        <v/>
      </c>
      <c r="BO322">
        <f>14065.70308</f>
        <v>14065.703079999999</v>
      </c>
      <c r="BP322">
        <f>13583.76211</f>
        <v>13583.76211</v>
      </c>
      <c r="BQ322">
        <f>13809.40603</f>
        <v>13809.40603</v>
      </c>
      <c r="BR322">
        <f>14352.76784</f>
        <v>14352.76784</v>
      </c>
      <c r="BS322">
        <f>13207.82555</f>
        <v>13207.82555</v>
      </c>
      <c r="BT322">
        <f>13075.31522</f>
        <v>13075.31522</v>
      </c>
      <c r="BU322">
        <f>13026.52425</f>
        <v>13026.52425</v>
      </c>
      <c r="BV322">
        <f>12880.77441</f>
        <v>12880.77441</v>
      </c>
      <c r="BW322">
        <f>11779.90398</f>
        <v>11779.903979999999</v>
      </c>
      <c r="BX322">
        <f>13149.07818</f>
        <v>13149.07818</v>
      </c>
      <c r="BY322">
        <f>12725.26408</f>
        <v>12725.264080000001</v>
      </c>
      <c r="BZ322">
        <f>11757.71556</f>
        <v>11757.715560000001</v>
      </c>
      <c r="CA322">
        <f>10449.60067</f>
        <v>10449.60067</v>
      </c>
      <c r="CB322">
        <f>9758.06802</f>
        <v>9758.0680200000006</v>
      </c>
      <c r="CC322">
        <f>8772.404193</f>
        <v>8772.4041930000003</v>
      </c>
      <c r="CD322">
        <f>8383.218008</f>
        <v>8383.2180079999998</v>
      </c>
      <c r="CE322">
        <f>7842.531709</f>
        <v>7842.5317089999999</v>
      </c>
      <c r="CF322">
        <f>7829.089914</f>
        <v>7829.0899140000001</v>
      </c>
      <c r="CG322">
        <f>7687.461744</f>
        <v>7687.4617440000002</v>
      </c>
      <c r="CH322">
        <f>7284.680314</f>
        <v>7284.6803140000002</v>
      </c>
      <c r="CI322">
        <f>7103.049591</f>
        <v>7103.049591</v>
      </c>
      <c r="CJ322">
        <f>7077.334284</f>
        <v>7077.3342839999996</v>
      </c>
      <c r="CK322">
        <f>6390.858754</f>
        <v>6390.8587539999999</v>
      </c>
      <c r="CL322">
        <f>6183.54914</f>
        <v>6183.5491400000001</v>
      </c>
      <c r="CM322">
        <f>5711.10598</f>
        <v>5711.1059800000003</v>
      </c>
      <c r="CN322">
        <f>5965.374743</f>
        <v>5965.3747430000003</v>
      </c>
      <c r="CO322">
        <f>5561.97995</f>
        <v>5561.9799499999999</v>
      </c>
      <c r="CP322">
        <f>5306.595667</f>
        <v>5306.5956669999996</v>
      </c>
      <c r="CQ322">
        <f>5488.141317</f>
        <v>5488.1413169999996</v>
      </c>
      <c r="CR322">
        <f>5466.022816</f>
        <v>5466.0228159999997</v>
      </c>
      <c r="CS322">
        <f>5287.239325</f>
        <v>5287.2393249999996</v>
      </c>
      <c r="CT322">
        <f>4836.665459</f>
        <v>4836.6654589999998</v>
      </c>
      <c r="CU322">
        <f>4998.053948</f>
        <v>4998.0539479999998</v>
      </c>
      <c r="CV322">
        <f>4742.643182</f>
        <v>4742.6431819999998</v>
      </c>
      <c r="CW322">
        <f>4278.381124</f>
        <v>4278.3811240000005</v>
      </c>
      <c r="CX322">
        <f>3944.648973</f>
        <v>3944.6489729999998</v>
      </c>
      <c r="CY322">
        <f>3937.534894</f>
        <v>3937.5348939999999</v>
      </c>
      <c r="CZ322">
        <f>3984.522748</f>
        <v>3984.5227479999999</v>
      </c>
      <c r="DA322">
        <f>3786.482558</f>
        <v>3786.4825580000002</v>
      </c>
      <c r="DB322">
        <f>3824.599899</f>
        <v>3824.5998989999998</v>
      </c>
      <c r="DC322">
        <f>4961.097037</f>
        <v>4961.0970369999995</v>
      </c>
      <c r="DD322">
        <f>4566.701196</f>
        <v>4566.701196</v>
      </c>
      <c r="DE322">
        <f>4206.87447</f>
        <v>4206.8744699999997</v>
      </c>
      <c r="DF322">
        <f>4625.726016</f>
        <v>4625.7260159999996</v>
      </c>
      <c r="DG322">
        <f>4183.120136</f>
        <v>4183.1201359999995</v>
      </c>
      <c r="DH322">
        <f>4093.022648</f>
        <v>4093.0226480000001</v>
      </c>
      <c r="DI322">
        <f>3713.151063</f>
        <v>3713.1510629999998</v>
      </c>
      <c r="DJ322">
        <f>3901.79437</f>
        <v>3901.7943700000001</v>
      </c>
      <c r="DK322">
        <f>3792.156533</f>
        <v>3792.1565329999999</v>
      </c>
      <c r="DL322">
        <f>3679.08829</f>
        <v>3679.0882900000001</v>
      </c>
      <c r="DM322">
        <f>3726.793046</f>
        <v>3726.7930459999998</v>
      </c>
      <c r="DN322">
        <f>3636.689362</f>
        <v>3636.6893620000001</v>
      </c>
      <c r="DO322">
        <f>3487.920658</f>
        <v>3487.920658</v>
      </c>
      <c r="DP322">
        <f>3897.551955</f>
        <v>3897.5519549999999</v>
      </c>
      <c r="DQ322">
        <f>3833.165059</f>
        <v>3833.1650589999999</v>
      </c>
      <c r="DR322">
        <f>3991.958955</f>
        <v>3991.9589550000001</v>
      </c>
      <c r="DS322">
        <f>4278.587455</f>
        <v>4278.5874549999999</v>
      </c>
      <c r="DT322">
        <f>3841.990358</f>
        <v>3841.990358</v>
      </c>
      <c r="DU322">
        <f>3757.163756</f>
        <v>3757.1637559999999</v>
      </c>
    </row>
    <row r="323" spans="1:125" x14ac:dyDescent="0.25">
      <c r="A323" t="str">
        <f>"    Suzuki Motor Corp"</f>
        <v xml:space="preserve">    Suzuki Motor Corp</v>
      </c>
      <c r="B323" t="str">
        <f>"7269 JP Equity"</f>
        <v>7269 JP Equity</v>
      </c>
      <c r="C323" t="str">
        <f t="shared" si="21"/>
        <v>RR179</v>
      </c>
      <c r="D323" t="str">
        <f t="shared" si="22"/>
        <v>TANGIBLE_COMMON_EQUITY</v>
      </c>
      <c r="E323" t="str">
        <f t="shared" si="23"/>
        <v>Dynamic</v>
      </c>
      <c r="F323" t="str">
        <f ca="1">IF(AND(ISNUMBER($F$825),$B$511=1),$F$825,HLOOKUP(INDIRECT(ADDRESS(2,COLUMN())),OFFSET($BN$2,0,0,ROW()-1,60),ROW()-1,FALSE))</f>
        <v/>
      </c>
      <c r="G323">
        <f ca="1">IF(AND(ISNUMBER($G$825),$B$511=1),$G$825,HLOOKUP(INDIRECT(ADDRESS(2,COLUMN())),OFFSET($BN$2,0,0,ROW()-1,60),ROW()-1,FALSE))</f>
        <v>12617.599850000001</v>
      </c>
      <c r="H323">
        <f ca="1">IF(AND(ISNUMBER($H$825),$B$511=1),$H$825,HLOOKUP(INDIRECT(ADDRESS(2,COLUMN())),OFFSET($BN$2,0,0,ROW()-1,60),ROW()-1,FALSE))</f>
        <v>12146.625550000001</v>
      </c>
      <c r="I323">
        <f ca="1">IF(AND(ISNUMBER($I$825),$B$511=1),$I$825,HLOOKUP(INDIRECT(ADDRESS(2,COLUMN())),OFFSET($BN$2,0,0,ROW()-1,60),ROW()-1,FALSE))</f>
        <v>12049.990970000001</v>
      </c>
      <c r="J323">
        <f ca="1">IF(AND(ISNUMBER($J$825),$B$511=1),$J$825,HLOOKUP(INDIRECT(ADDRESS(2,COLUMN())),OFFSET($BN$2,0,0,ROW()-1,60),ROW()-1,FALSE))</f>
        <v>12192.68499</v>
      </c>
      <c r="K323">
        <f ca="1">IF(AND(ISNUMBER($K$825),$B$511=1),$K$825,HLOOKUP(INDIRECT(ADDRESS(2,COLUMN())),OFFSET($BN$2,0,0,ROW()-1,60),ROW()-1,FALSE))</f>
        <v>11615.19808</v>
      </c>
      <c r="L323">
        <f ca="1">IF(AND(ISNUMBER($L$825),$B$511=1),$L$825,HLOOKUP(INDIRECT(ADDRESS(2,COLUMN())),OFFSET($BN$2,0,0,ROW()-1,60),ROW()-1,FALSE))</f>
        <v>11019.827740000001</v>
      </c>
      <c r="M323">
        <f ca="1">IF(AND(ISNUMBER($M$825),$B$511=1),$M$825,HLOOKUP(INDIRECT(ADDRESS(2,COLUMN())),OFFSET($BN$2,0,0,ROW()-1,60),ROW()-1,FALSE))</f>
        <v>10543.62261</v>
      </c>
      <c r="N323">
        <f ca="1">IF(AND(ISNUMBER($N$825),$B$511=1),$N$825,HLOOKUP(INDIRECT(ADDRESS(2,COLUMN())),OFFSET($BN$2,0,0,ROW()-1,60),ROW()-1,FALSE))</f>
        <v>10037.8223</v>
      </c>
      <c r="O323">
        <f ca="1">IF(AND(ISNUMBER($O$825),$B$511=1),$O$825,HLOOKUP(INDIRECT(ADDRESS(2,COLUMN())),OFFSET($BN$2,0,0,ROW()-1,60),ROW()-1,FALSE))</f>
        <v>9371.9821670000001</v>
      </c>
      <c r="P323">
        <f ca="1">IF(AND(ISNUMBER($P$825),$B$511=1),$P$825,HLOOKUP(INDIRECT(ADDRESS(2,COLUMN())),OFFSET($BN$2,0,0,ROW()-1,60),ROW()-1,FALSE))</f>
        <v>9552.9330570000002</v>
      </c>
      <c r="Q323">
        <f ca="1">IF(AND(ISNUMBER($Q$825),$B$511=1),$Q$825,HLOOKUP(INDIRECT(ADDRESS(2,COLUMN())),OFFSET($BN$2,0,0,ROW()-1,60),ROW()-1,FALSE))</f>
        <v>8868.9601710000006</v>
      </c>
      <c r="R323">
        <f ca="1">IF(AND(ISNUMBER($R$825),$B$511=1),$R$825,HLOOKUP(INDIRECT(ADDRESS(2,COLUMN())),OFFSET($BN$2,0,0,ROW()-1,60),ROW()-1,FALSE))</f>
        <v>8475.7333330000001</v>
      </c>
      <c r="S323">
        <f ca="1">IF(AND(ISNUMBER($S$825),$B$511=1),$S$825,HLOOKUP(INDIRECT(ADDRESS(2,COLUMN())),OFFSET($BN$2,0,0,ROW()-1,60),ROW()-1,FALSE))</f>
        <v>8408.7354410000007</v>
      </c>
      <c r="T323">
        <f ca="1">IF(AND(ISNUMBER($T$825),$B$511=1),$T$825,HLOOKUP(INDIRECT(ADDRESS(2,COLUMN())),OFFSET($BN$2,0,0,ROW()-1,60),ROW()-1,FALSE))</f>
        <v>8176.1845069999999</v>
      </c>
      <c r="U323">
        <f ca="1">IF(AND(ISNUMBER($U$825),$B$511=1),$U$825,HLOOKUP(INDIRECT(ADDRESS(2,COLUMN())),OFFSET($BN$2,0,0,ROW()-1,60),ROW()-1,FALSE))</f>
        <v>12344.677369999999</v>
      </c>
      <c r="V323">
        <f ca="1">IF(AND(ISNUMBER($V$825),$B$511=1),$V$825,HLOOKUP(INDIRECT(ADDRESS(2,COLUMN())),OFFSET($BN$2,0,0,ROW()-1,60),ROW()-1,FALSE))</f>
        <v>12307.44477</v>
      </c>
      <c r="W323">
        <f ca="1">IF(AND(ISNUMBER($W$825),$B$511=1),$W$825,HLOOKUP(INDIRECT(ADDRESS(2,COLUMN())),OFFSET($BN$2,0,0,ROW()-1,60),ROW()-1,FALSE))</f>
        <v>12137.967290000001</v>
      </c>
      <c r="X323">
        <f ca="1">IF(AND(ISNUMBER($X$825),$B$511=1),$X$825,HLOOKUP(INDIRECT(ADDRESS(2,COLUMN())),OFFSET($BN$2,0,0,ROW()-1,60),ROW()-1,FALSE))</f>
        <v>12538.801750000001</v>
      </c>
      <c r="Y323">
        <f ca="1">IF(AND(ISNUMBER($Y$825),$B$511=1),$Y$825,HLOOKUP(INDIRECT(ADDRESS(2,COLUMN())),OFFSET($BN$2,0,0,ROW()-1,60),ROW()-1,FALSE))</f>
        <v>13164.68556</v>
      </c>
      <c r="Z323">
        <f ca="1">IF(AND(ISNUMBER($Z$825),$B$511=1),$Z$825,HLOOKUP(INDIRECT(ADDRESS(2,COLUMN())),OFFSET($BN$2,0,0,ROW()-1,60),ROW()-1,FALSE))</f>
        <v>12803.44426</v>
      </c>
      <c r="AA323">
        <f ca="1">IF(AND(ISNUMBER($AA$825),$B$511=1),$AA$825,HLOOKUP(INDIRECT(ADDRESS(2,COLUMN())),OFFSET($BN$2,0,0,ROW()-1,60),ROW()-1,FALSE))</f>
        <v>12322.876689999999</v>
      </c>
      <c r="AB323">
        <f ca="1">IF(AND(ISNUMBER($AB$825),$B$511=1),$AB$825,HLOOKUP(INDIRECT(ADDRESS(2,COLUMN())),OFFSET($BN$2,0,0,ROW()-1,60),ROW()-1,FALSE))</f>
        <v>12461.87761</v>
      </c>
      <c r="AC323">
        <f ca="1">IF(AND(ISNUMBER($AC$825),$B$511=1),$AC$825,HLOOKUP(INDIRECT(ADDRESS(2,COLUMN())),OFFSET($BN$2,0,0,ROW()-1,60),ROW()-1,FALSE))</f>
        <v>12002.03363</v>
      </c>
      <c r="AD323">
        <f ca="1">IF(AND(ISNUMBER($AD$825),$B$511=1),$AD$825,HLOOKUP(INDIRECT(ADDRESS(2,COLUMN())),OFFSET($BN$2,0,0,ROW()-1,60),ROW()-1,FALSE))</f>
        <v>12061.36701</v>
      </c>
      <c r="AE323">
        <f ca="1">IF(AND(ISNUMBER($AE$825),$B$511=1),$AE$825,HLOOKUP(INDIRECT(ADDRESS(2,COLUMN())),OFFSET($BN$2,0,0,ROW()-1,60),ROW()-1,FALSE))</f>
        <v>12077.53406</v>
      </c>
      <c r="AF323">
        <f ca="1">IF(AND(ISNUMBER($AF$825),$B$511=1),$AF$825,HLOOKUP(INDIRECT(ADDRESS(2,COLUMN())),OFFSET($BN$2,0,0,ROW()-1,60),ROW()-1,FALSE))</f>
        <v>12792.92864</v>
      </c>
      <c r="AG323">
        <f ca="1">IF(AND(ISNUMBER($AG$825),$B$511=1),$AG$825,HLOOKUP(INDIRECT(ADDRESS(2,COLUMN())),OFFSET($BN$2,0,0,ROW()-1,60),ROW()-1,FALSE))</f>
        <v>12232.79449</v>
      </c>
      <c r="AH323">
        <f ca="1">IF(AND(ISNUMBER($AH$825),$B$511=1),$AH$825,HLOOKUP(INDIRECT(ADDRESS(2,COLUMN())),OFFSET($BN$2,0,0,ROW()-1,60),ROW()-1,FALSE))</f>
        <v>11874.101420000001</v>
      </c>
      <c r="AI323">
        <f ca="1">IF(AND(ISNUMBER($AI$825),$B$511=1),$AI$825,HLOOKUP(INDIRECT(ADDRESS(2,COLUMN())),OFFSET($BN$2,0,0,ROW()-1,60),ROW()-1,FALSE))</f>
        <v>12114.05377</v>
      </c>
      <c r="AJ323">
        <f ca="1">IF(AND(ISNUMBER($AJ$825),$B$511=1),$AJ$825,HLOOKUP(INDIRECT(ADDRESS(2,COLUMN())),OFFSET($BN$2,0,0,ROW()-1,60),ROW()-1,FALSE))</f>
        <v>12152.43713</v>
      </c>
      <c r="AK323">
        <f ca="1">IF(AND(ISNUMBER($AK$825),$B$511=1),$AK$825,HLOOKUP(INDIRECT(ADDRESS(2,COLUMN())),OFFSET($BN$2,0,0,ROW()-1,60),ROW()-1,FALSE))</f>
        <v>12251.154420000001</v>
      </c>
      <c r="AL323">
        <f ca="1">IF(AND(ISNUMBER($AL$825),$B$511=1),$AL$825,HLOOKUP(INDIRECT(ADDRESS(2,COLUMN())),OFFSET($BN$2,0,0,ROW()-1,60),ROW()-1,FALSE))</f>
        <v>11647.91742</v>
      </c>
      <c r="AM323">
        <f ca="1">IF(AND(ISNUMBER($AM$825),$B$511=1),$AM$825,HLOOKUP(INDIRECT(ADDRESS(2,COLUMN())),OFFSET($BN$2,0,0,ROW()-1,60),ROW()-1,FALSE))</f>
        <v>11671.89309</v>
      </c>
      <c r="AN323">
        <f ca="1">IF(AND(ISNUMBER($AN$825),$B$511=1),$AN$825,HLOOKUP(INDIRECT(ADDRESS(2,COLUMN())),OFFSET($BN$2,0,0,ROW()-1,60),ROW()-1,FALSE))</f>
        <v>11300.64702</v>
      </c>
      <c r="AO323">
        <f ca="1">IF(AND(ISNUMBER($AO$825),$B$511=1),$AO$825,HLOOKUP(INDIRECT(ADDRESS(2,COLUMN())),OFFSET($BN$2,0,0,ROW()-1,60),ROW()-1,FALSE))</f>
        <v>10561.28923</v>
      </c>
      <c r="AP323">
        <f ca="1">IF(AND(ISNUMBER($AP$825),$B$511=1),$AP$825,HLOOKUP(INDIRECT(ADDRESS(2,COLUMN())),OFFSET($BN$2,0,0,ROW()-1,60),ROW()-1,FALSE))</f>
        <v>10157.96233</v>
      </c>
      <c r="AQ323">
        <f ca="1">IF(AND(ISNUMBER($AQ$825),$B$511=1),$AQ$825,HLOOKUP(INDIRECT(ADDRESS(2,COLUMN())),OFFSET($BN$2,0,0,ROW()-1,60),ROW()-1,FALSE))</f>
        <v>7275.1986260000003</v>
      </c>
      <c r="AR323">
        <f ca="1">IF(AND(ISNUMBER($AR$825),$B$511=1),$AR$825,HLOOKUP(INDIRECT(ADDRESS(2,COLUMN())),OFFSET($BN$2,0,0,ROW()-1,60),ROW()-1,FALSE))</f>
        <v>7455.6645850000004</v>
      </c>
      <c r="AS323">
        <f ca="1">IF(AND(ISNUMBER($AS$825),$B$511=1),$AS$825,HLOOKUP(INDIRECT(ADDRESS(2,COLUMN())),OFFSET($BN$2,0,0,ROW()-1,60),ROW()-1,FALSE))</f>
        <v>6936.762874</v>
      </c>
      <c r="AT323">
        <f ca="1">IF(AND(ISNUMBER($AT$825),$B$511=1),$AT$825,HLOOKUP(INDIRECT(ADDRESS(2,COLUMN())),OFFSET($BN$2,0,0,ROW()-1,60),ROW()-1,FALSE))</f>
        <v>6411.1826870000004</v>
      </c>
      <c r="AU323">
        <f ca="1">IF(AND(ISNUMBER($AU$825),$B$511=1),$AU$825,HLOOKUP(INDIRECT(ADDRESS(2,COLUMN())),OFFSET($BN$2,0,0,ROW()-1,60),ROW()-1,FALSE))</f>
        <v>7178.7641809999996</v>
      </c>
      <c r="AV323">
        <f ca="1">IF(AND(ISNUMBER($AV$825),$B$511=1),$AV$825,HLOOKUP(INDIRECT(ADDRESS(2,COLUMN())),OFFSET($BN$2,0,0,ROW()-1,60),ROW()-1,FALSE))</f>
        <v>7136.0956779999997</v>
      </c>
      <c r="AW323">
        <f ca="1">IF(AND(ISNUMBER($AW$825),$B$511=1),$AW$825,HLOOKUP(INDIRECT(ADDRESS(2,COLUMN())),OFFSET($BN$2,0,0,ROW()-1,60),ROW()-1,FALSE))</f>
        <v>7485.2245970000004</v>
      </c>
      <c r="AX323">
        <f ca="1">IF(AND(ISNUMBER($AX$825),$B$511=1),$AX$825,HLOOKUP(INDIRECT(ADDRESS(2,COLUMN())),OFFSET($BN$2,0,0,ROW()-1,60),ROW()-1,FALSE))</f>
        <v>7759.7336269999996</v>
      </c>
      <c r="AY323">
        <f ca="1">IF(AND(ISNUMBER($AY$825),$B$511=1),$AY$825,HLOOKUP(INDIRECT(ADDRESS(2,COLUMN())),OFFSET($BN$2,0,0,ROW()-1,60),ROW()-1,FALSE))</f>
        <v>7171.3212270000004</v>
      </c>
      <c r="AZ323">
        <f ca="1">IF(AND(ISNUMBER($AZ$825),$B$511=1),$AZ$825,HLOOKUP(INDIRECT(ADDRESS(2,COLUMN())),OFFSET($BN$2,0,0,ROW()-1,60),ROW()-1,FALSE))</f>
        <v>6930.0783970000002</v>
      </c>
      <c r="BA323">
        <f ca="1">IF(AND(ISNUMBER($BA$825),$B$511=1),$BA$825,HLOOKUP(INDIRECT(ADDRESS(2,COLUMN())),OFFSET($BN$2,0,0,ROW()-1,60),ROW()-1,FALSE))</f>
        <v>6389.9724159999996</v>
      </c>
      <c r="BB323">
        <f ca="1">IF(AND(ISNUMBER($BB$825),$B$511=1),$BB$825,HLOOKUP(INDIRECT(ADDRESS(2,COLUMN())),OFFSET($BN$2,0,0,ROW()-1,60),ROW()-1,FALSE))</f>
        <v>6269.8698869999998</v>
      </c>
      <c r="BC323">
        <f ca="1">IF(AND(ISNUMBER($BC$825),$B$511=1),$BC$825,HLOOKUP(INDIRECT(ADDRESS(2,COLUMN())),OFFSET($BN$2,0,0,ROW()-1,60),ROW()-1,FALSE))</f>
        <v>5707.7930800000004</v>
      </c>
      <c r="BD323">
        <f ca="1">IF(AND(ISNUMBER($BD$825),$B$511=1),$BD$825,HLOOKUP(INDIRECT(ADDRESS(2,COLUMN())),OFFSET($BN$2,0,0,ROW()-1,60),ROW()-1,FALSE))</f>
        <v>5462.0318589999997</v>
      </c>
      <c r="BE323">
        <f ca="1">IF(AND(ISNUMBER($BE$825),$B$511=1),$BE$825,HLOOKUP(INDIRECT(ADDRESS(2,COLUMN())),OFFSET($BN$2,0,0,ROW()-1,60),ROW()-1,FALSE))</f>
        <v>5435.4153930000002</v>
      </c>
      <c r="BF323">
        <f ca="1">IF(AND(ISNUMBER($BF$825),$B$511=1),$BF$825,HLOOKUP(INDIRECT(ADDRESS(2,COLUMN())),OFFSET($BN$2,0,0,ROW()-1,60),ROW()-1,FALSE))</f>
        <v>5196.0936170000004</v>
      </c>
      <c r="BG323">
        <f ca="1">IF(AND(ISNUMBER($BG$825),$B$511=1),$BG$825,HLOOKUP(INDIRECT(ADDRESS(2,COLUMN())),OFFSET($BN$2,0,0,ROW()-1,60),ROW()-1,FALSE))</f>
        <v>6859.6931420000001</v>
      </c>
      <c r="BH323">
        <f ca="1">IF(AND(ISNUMBER($BH$825),$B$511=1),$BH$825,HLOOKUP(INDIRECT(ADDRESS(2,COLUMN())),OFFSET($BN$2,0,0,ROW()-1,60),ROW()-1,FALSE))</f>
        <v>6787.4075380000004</v>
      </c>
      <c r="BI323">
        <f ca="1">IF(AND(ISNUMBER($BI$825),$B$511=1),$BI$825,HLOOKUP(INDIRECT(ADDRESS(2,COLUMN())),OFFSET($BN$2,0,0,ROW()-1,60),ROW()-1,FALSE))</f>
        <v>6700.0180289999998</v>
      </c>
      <c r="BJ323">
        <f ca="1">IF(AND(ISNUMBER($BJ$825),$B$511=1),$BJ$825,HLOOKUP(INDIRECT(ADDRESS(2,COLUMN())),OFFSET($BN$2,0,0,ROW()-1,60),ROW()-1,FALSE))</f>
        <v>6876.5018659999996</v>
      </c>
      <c r="BK323">
        <f ca="1">IF(AND(ISNUMBER($BK$825),$B$511=1),$BK$825,HLOOKUP(INDIRECT(ADDRESS(2,COLUMN())),OFFSET($BN$2,0,0,ROW()-1,60),ROW()-1,FALSE))</f>
        <v>7081.3871820000004</v>
      </c>
      <c r="BL323">
        <f ca="1">IF(AND(ISNUMBER($BL$825),$B$511=1),$BL$825,HLOOKUP(INDIRECT(ADDRESS(2,COLUMN())),OFFSET($BN$2,0,0,ROW()-1,60),ROW()-1,FALSE))</f>
        <v>6426.9808059999996</v>
      </c>
      <c r="BM323">
        <f ca="1">IF(AND(ISNUMBER($BM$825),$B$511=1),$BM$825,HLOOKUP(INDIRECT(ADDRESS(2,COLUMN())),OFFSET($BN$2,0,0,ROW()-1,60),ROW()-1,FALSE))</f>
        <v>6360.4827649999997</v>
      </c>
      <c r="BN323" t="str">
        <f>""</f>
        <v/>
      </c>
      <c r="BO323">
        <f>12617.59985</f>
        <v>12617.599850000001</v>
      </c>
      <c r="BP323">
        <f>12146.62555</f>
        <v>12146.625550000001</v>
      </c>
      <c r="BQ323">
        <f>12049.99097</f>
        <v>12049.990970000001</v>
      </c>
      <c r="BR323">
        <f>12192.68499</f>
        <v>12192.68499</v>
      </c>
      <c r="BS323">
        <f>11615.19808</f>
        <v>11615.19808</v>
      </c>
      <c r="BT323">
        <f>11019.82774</f>
        <v>11019.827740000001</v>
      </c>
      <c r="BU323">
        <f>10543.62261</f>
        <v>10543.62261</v>
      </c>
      <c r="BV323">
        <f>10037.8223</f>
        <v>10037.8223</v>
      </c>
      <c r="BW323">
        <f>9371.982167</f>
        <v>9371.9821670000001</v>
      </c>
      <c r="BX323">
        <f>9552.933057</f>
        <v>9552.9330570000002</v>
      </c>
      <c r="BY323">
        <f>8868.960171</f>
        <v>8868.9601710000006</v>
      </c>
      <c r="BZ323">
        <f>8475.733333</f>
        <v>8475.7333330000001</v>
      </c>
      <c r="CA323">
        <f>8408.735441</f>
        <v>8408.7354410000007</v>
      </c>
      <c r="CB323">
        <f>8176.184507</f>
        <v>8176.1845069999999</v>
      </c>
      <c r="CC323">
        <f>12344.67737</f>
        <v>12344.677369999999</v>
      </c>
      <c r="CD323">
        <f>12307.44477</f>
        <v>12307.44477</v>
      </c>
      <c r="CE323">
        <f>12137.96729</f>
        <v>12137.967290000001</v>
      </c>
      <c r="CF323">
        <f>12538.80175</f>
        <v>12538.801750000001</v>
      </c>
      <c r="CG323">
        <f>13164.68556</f>
        <v>13164.68556</v>
      </c>
      <c r="CH323">
        <f>12803.44426</f>
        <v>12803.44426</v>
      </c>
      <c r="CI323">
        <f>12322.87669</f>
        <v>12322.876689999999</v>
      </c>
      <c r="CJ323">
        <f>12461.87761</f>
        <v>12461.87761</v>
      </c>
      <c r="CK323">
        <f>12002.03363</f>
        <v>12002.03363</v>
      </c>
      <c r="CL323">
        <f>12061.36701</f>
        <v>12061.36701</v>
      </c>
      <c r="CM323">
        <f>12077.53406</f>
        <v>12077.53406</v>
      </c>
      <c r="CN323">
        <f>12792.92864</f>
        <v>12792.92864</v>
      </c>
      <c r="CO323">
        <f>12232.79449</f>
        <v>12232.79449</v>
      </c>
      <c r="CP323">
        <f>11874.10142</f>
        <v>11874.101420000001</v>
      </c>
      <c r="CQ323">
        <f>12114.05377</f>
        <v>12114.05377</v>
      </c>
      <c r="CR323">
        <f>12152.43713</f>
        <v>12152.43713</v>
      </c>
      <c r="CS323">
        <f>12251.15442</f>
        <v>12251.154420000001</v>
      </c>
      <c r="CT323">
        <f>11647.91742</f>
        <v>11647.91742</v>
      </c>
      <c r="CU323">
        <f>11671.89309</f>
        <v>11671.89309</v>
      </c>
      <c r="CV323">
        <f>11300.64702</f>
        <v>11300.64702</v>
      </c>
      <c r="CW323">
        <f>10561.28923</f>
        <v>10561.28923</v>
      </c>
      <c r="CX323">
        <f>10157.96233</f>
        <v>10157.96233</v>
      </c>
      <c r="CY323">
        <f>7275.198626</f>
        <v>7275.1986260000003</v>
      </c>
      <c r="CZ323">
        <f>7455.664585</f>
        <v>7455.6645850000004</v>
      </c>
      <c r="DA323">
        <f>6936.762874</f>
        <v>6936.762874</v>
      </c>
      <c r="DB323">
        <f>6411.182687</f>
        <v>6411.1826870000004</v>
      </c>
      <c r="DC323">
        <f>7178.764181</f>
        <v>7178.7641809999996</v>
      </c>
      <c r="DD323">
        <f>7136.095678</f>
        <v>7136.0956779999997</v>
      </c>
      <c r="DE323">
        <f>7485.224597</f>
        <v>7485.2245970000004</v>
      </c>
      <c r="DF323">
        <f>7759.733627</f>
        <v>7759.7336269999996</v>
      </c>
      <c r="DG323">
        <f>7171.321227</f>
        <v>7171.3212270000004</v>
      </c>
      <c r="DH323">
        <f>6930.078397</f>
        <v>6930.0783970000002</v>
      </c>
      <c r="DI323">
        <f>6389.972416</f>
        <v>6389.9724159999996</v>
      </c>
      <c r="DJ323">
        <f>6269.869887</f>
        <v>6269.8698869999998</v>
      </c>
      <c r="DK323">
        <f>5707.79308</f>
        <v>5707.7930800000004</v>
      </c>
      <c r="DL323">
        <f>5462.031859</f>
        <v>5462.0318589999997</v>
      </c>
      <c r="DM323">
        <f>5435.415393</f>
        <v>5435.4153930000002</v>
      </c>
      <c r="DN323">
        <f>5196.093617</f>
        <v>5196.0936170000004</v>
      </c>
      <c r="DO323">
        <f>6859.693142</f>
        <v>6859.6931420000001</v>
      </c>
      <c r="DP323">
        <f>6787.407538</f>
        <v>6787.4075380000004</v>
      </c>
      <c r="DQ323">
        <f>6700.018029</f>
        <v>6700.0180289999998</v>
      </c>
      <c r="DR323">
        <f>6876.501866</f>
        <v>6876.5018659999996</v>
      </c>
      <c r="DS323">
        <f>7081.387182</f>
        <v>7081.3871820000004</v>
      </c>
      <c r="DT323">
        <f>6426.980806</f>
        <v>6426.9808059999996</v>
      </c>
      <c r="DU323">
        <f>6360.482765</f>
        <v>6360.4827649999997</v>
      </c>
    </row>
    <row r="324" spans="1:125" x14ac:dyDescent="0.25">
      <c r="A324" t="str">
        <f>"    Tata Motors Ltd"</f>
        <v xml:space="preserve">    Tata Motors Ltd</v>
      </c>
      <c r="B324" t="str">
        <f>"TTMT IN Equity"</f>
        <v>TTMT IN Equity</v>
      </c>
      <c r="C324" t="str">
        <f t="shared" si="21"/>
        <v>RR179</v>
      </c>
      <c r="D324" t="str">
        <f t="shared" si="22"/>
        <v>TANGIBLE_COMMON_EQUITY</v>
      </c>
      <c r="E324" t="str">
        <f t="shared" si="23"/>
        <v>Dynamic</v>
      </c>
      <c r="F324" t="str">
        <f ca="1">IF(AND(ISNUMBER($F$826),$B$511=1),$F$826,HLOOKUP(INDIRECT(ADDRESS(2,COLUMN())),OFFSET($BN$2,0,0,ROW()-1,60),ROW()-1,FALSE))</f>
        <v/>
      </c>
      <c r="G324" t="str">
        <f ca="1">IF(AND(ISNUMBER($G$826),$B$511=1),$G$826,HLOOKUP(INDIRECT(ADDRESS(2,COLUMN())),OFFSET($BN$2,0,0,ROW()-1,60),ROW()-1,FALSE))</f>
        <v/>
      </c>
      <c r="H324">
        <f ca="1">IF(AND(ISNUMBER($H$826),$B$511=1),$H$826,HLOOKUP(INDIRECT(ADDRESS(2,COLUMN())),OFFSET($BN$2,0,0,ROW()-1,60),ROW()-1,FALSE))</f>
        <v>2588.6601559999999</v>
      </c>
      <c r="I324" t="str">
        <f ca="1">IF(AND(ISNUMBER($I$826),$B$511=1),$I$826,HLOOKUP(INDIRECT(ADDRESS(2,COLUMN())),OFFSET($BN$2,0,0,ROW()-1,60),ROW()-1,FALSE))</f>
        <v/>
      </c>
      <c r="J324">
        <f ca="1">IF(AND(ISNUMBER($J$826),$B$511=1),$J$826,HLOOKUP(INDIRECT(ADDRESS(2,COLUMN())),OFFSET($BN$2,0,0,ROW()-1,60),ROW()-1,FALSE))</f>
        <v>3683.041142</v>
      </c>
      <c r="K324" t="str">
        <f ca="1">IF(AND(ISNUMBER($K$826),$B$511=1),$K$826,HLOOKUP(INDIRECT(ADDRESS(2,COLUMN())),OFFSET($BN$2,0,0,ROW()-1,60),ROW()-1,FALSE))</f>
        <v/>
      </c>
      <c r="L324">
        <f ca="1">IF(AND(ISNUMBER($L$826),$B$511=1),$L$826,HLOOKUP(INDIRECT(ADDRESS(2,COLUMN())),OFFSET($BN$2,0,0,ROW()-1,60),ROW()-1,FALSE))</f>
        <v>1953.983168</v>
      </c>
      <c r="M324" t="str">
        <f ca="1">IF(AND(ISNUMBER($M$826),$B$511=1),$M$826,HLOOKUP(INDIRECT(ADDRESS(2,COLUMN())),OFFSET($BN$2,0,0,ROW()-1,60),ROW()-1,FALSE))</f>
        <v/>
      </c>
      <c r="N324">
        <f ca="1">IF(AND(ISNUMBER($N$826),$B$511=1),$N$826,HLOOKUP(INDIRECT(ADDRESS(2,COLUMN())),OFFSET($BN$2,0,0,ROW()-1,60),ROW()-1,FALSE))</f>
        <v>-277.4481993</v>
      </c>
      <c r="O324" t="str">
        <f ca="1">IF(AND(ISNUMBER($O$826),$B$511=1),$O$826,HLOOKUP(INDIRECT(ADDRESS(2,COLUMN())),OFFSET($BN$2,0,0,ROW()-1,60),ROW()-1,FALSE))</f>
        <v/>
      </c>
      <c r="P324">
        <f ca="1">IF(AND(ISNUMBER($P$826),$B$511=1),$P$826,HLOOKUP(INDIRECT(ADDRESS(2,COLUMN())),OFFSET($BN$2,0,0,ROW()-1,60),ROW()-1,FALSE))</f>
        <v>-821.28551119999997</v>
      </c>
      <c r="Q324" t="str">
        <f ca="1">IF(AND(ISNUMBER($Q$826),$B$511=1),$Q$826,HLOOKUP(INDIRECT(ADDRESS(2,COLUMN())),OFFSET($BN$2,0,0,ROW()-1,60),ROW()-1,FALSE))</f>
        <v/>
      </c>
      <c r="R324">
        <f ca="1">IF(AND(ISNUMBER($R$826),$B$511=1),$R$826,HLOOKUP(INDIRECT(ADDRESS(2,COLUMN())),OFFSET($BN$2,0,0,ROW()-1,60),ROW()-1,FALSE))</f>
        <v>2612.3137299999999</v>
      </c>
      <c r="S324" t="str">
        <f ca="1">IF(AND(ISNUMBER($S$826),$B$511=1),$S$826,HLOOKUP(INDIRECT(ADDRESS(2,COLUMN())),OFFSET($BN$2,0,0,ROW()-1,60),ROW()-1,FALSE))</f>
        <v/>
      </c>
      <c r="T324">
        <f ca="1">IF(AND(ISNUMBER($T$826),$B$511=1),$T$826,HLOOKUP(INDIRECT(ADDRESS(2,COLUMN())),OFFSET($BN$2,0,0,ROW()-1,60),ROW()-1,FALSE))</f>
        <v>11588.65057</v>
      </c>
      <c r="U324" t="str">
        <f ca="1">IF(AND(ISNUMBER($U$826),$B$511=1),$U$826,HLOOKUP(INDIRECT(ADDRESS(2,COLUMN())),OFFSET($BN$2,0,0,ROW()-1,60),ROW()-1,FALSE))</f>
        <v/>
      </c>
      <c r="V324">
        <f ca="1">IF(AND(ISNUMBER($V$826),$B$511=1),$V$826,HLOOKUP(INDIRECT(ADDRESS(2,COLUMN())),OFFSET($BN$2,0,0,ROW()-1,60),ROW()-1,FALSE))</f>
        <v>128.2352922</v>
      </c>
      <c r="W324" t="str">
        <f ca="1">IF(AND(ISNUMBER($W$826),$B$511=1),$W$826,HLOOKUP(INDIRECT(ADDRESS(2,COLUMN())),OFFSET($BN$2,0,0,ROW()-1,60),ROW()-1,FALSE))</f>
        <v/>
      </c>
      <c r="X324">
        <f ca="1">IF(AND(ISNUMBER($X$826),$B$511=1),$X$826,HLOOKUP(INDIRECT(ADDRESS(2,COLUMN())),OFFSET($BN$2,0,0,ROW()-1,60),ROW()-1,FALSE))</f>
        <v>10147.62701</v>
      </c>
      <c r="Y324" t="str">
        <f ca="1">IF(AND(ISNUMBER($Y$826),$B$511=1),$Y$826,HLOOKUP(INDIRECT(ADDRESS(2,COLUMN())),OFFSET($BN$2,0,0,ROW()-1,60),ROW()-1,FALSE))</f>
        <v/>
      </c>
      <c r="Z324">
        <f ca="1">IF(AND(ISNUMBER($Z$826),$B$511=1),$Z$826,HLOOKUP(INDIRECT(ADDRESS(2,COLUMN())),OFFSET($BN$2,0,0,ROW()-1,60),ROW()-1,FALSE))</f>
        <v>2351.0531540000002</v>
      </c>
      <c r="AA324" t="str">
        <f ca="1">IF(AND(ISNUMBER($AA$826),$B$511=1),$AA$826,HLOOKUP(INDIRECT(ADDRESS(2,COLUMN())),OFFSET($BN$2,0,0,ROW()-1,60),ROW()-1,FALSE))</f>
        <v/>
      </c>
      <c r="AB324">
        <f ca="1">IF(AND(ISNUMBER($AB$826),$B$511=1),$AB$826,HLOOKUP(INDIRECT(ADDRESS(2,COLUMN())),OFFSET($BN$2,0,0,ROW()-1,60),ROW()-1,FALSE))</f>
        <v>8005.6930359999997</v>
      </c>
      <c r="AC324" t="str">
        <f ca="1">IF(AND(ISNUMBER($AC$826),$B$511=1),$AC$826,HLOOKUP(INDIRECT(ADDRESS(2,COLUMN())),OFFSET($BN$2,0,0,ROW()-1,60),ROW()-1,FALSE))</f>
        <v/>
      </c>
      <c r="AD324">
        <f ca="1">IF(AND(ISNUMBER($AD$826),$B$511=1),$AD$826,HLOOKUP(INDIRECT(ADDRESS(2,COLUMN())),OFFSET($BN$2,0,0,ROW()-1,60),ROW()-1,FALSE))</f>
        <v>136.9331009</v>
      </c>
      <c r="AE324" t="str">
        <f ca="1">IF(AND(ISNUMBER($AE$826),$B$511=1),$AE$826,HLOOKUP(INDIRECT(ADDRESS(2,COLUMN())),OFFSET($BN$2,0,0,ROW()-1,60),ROW()-1,FALSE))</f>
        <v/>
      </c>
      <c r="AF324">
        <f ca="1">IF(AND(ISNUMBER($AF$826),$B$511=1),$AF$826,HLOOKUP(INDIRECT(ADDRESS(2,COLUMN())),OFFSET($BN$2,0,0,ROW()-1,60),ROW()-1,FALSE))</f>
        <v>6831.5656040000003</v>
      </c>
      <c r="AG324" t="str">
        <f ca="1">IF(AND(ISNUMBER($AG$826),$B$511=1),$AG$826,HLOOKUP(INDIRECT(ADDRESS(2,COLUMN())),OFFSET($BN$2,0,0,ROW()-1,60),ROW()-1,FALSE))</f>
        <v/>
      </c>
      <c r="AH324">
        <f ca="1">IF(AND(ISNUMBER($AH$826),$B$511=1),$AH$826,HLOOKUP(INDIRECT(ADDRESS(2,COLUMN())),OFFSET($BN$2,0,0,ROW()-1,60),ROW()-1,FALSE))</f>
        <v>516.70428890000005</v>
      </c>
      <c r="AI324" t="str">
        <f ca="1">IF(AND(ISNUMBER($AI$826),$B$511=1),$AI$826,HLOOKUP(INDIRECT(ADDRESS(2,COLUMN())),OFFSET($BN$2,0,0,ROW()-1,60),ROW()-1,FALSE))</f>
        <v/>
      </c>
      <c r="AJ324" t="str">
        <f ca="1">IF(AND(ISNUMBER($AJ$826),$B$511=1),$AJ$826,HLOOKUP(INDIRECT(ADDRESS(2,COLUMN())),OFFSET($BN$2,0,0,ROW()-1,60),ROW()-1,FALSE))</f>
        <v/>
      </c>
      <c r="AK324" t="str">
        <f ca="1">IF(AND(ISNUMBER($AK$826),$B$511=1),$AK$826,HLOOKUP(INDIRECT(ADDRESS(2,COLUMN())),OFFSET($BN$2,0,0,ROW()-1,60),ROW()-1,FALSE))</f>
        <v/>
      </c>
      <c r="AL324">
        <f ca="1">IF(AND(ISNUMBER($AL$826),$B$511=1),$AL$826,HLOOKUP(INDIRECT(ADDRESS(2,COLUMN())),OFFSET($BN$2,0,0,ROW()-1,60),ROW()-1,FALSE))</f>
        <v>-589.31539110000006</v>
      </c>
      <c r="AM324" t="str">
        <f ca="1">IF(AND(ISNUMBER($AM$826),$B$511=1),$AM$826,HLOOKUP(INDIRECT(ADDRESS(2,COLUMN())),OFFSET($BN$2,0,0,ROW()-1,60),ROW()-1,FALSE))</f>
        <v/>
      </c>
      <c r="AN324" t="str">
        <f ca="1">IF(AND(ISNUMBER($AN$826),$B$511=1),$AN$826,HLOOKUP(INDIRECT(ADDRESS(2,COLUMN())),OFFSET($BN$2,0,0,ROW()-1,60),ROW()-1,FALSE))</f>
        <v/>
      </c>
      <c r="AO324" t="str">
        <f ca="1">IF(AND(ISNUMBER($AO$826),$B$511=1),$AO$826,HLOOKUP(INDIRECT(ADDRESS(2,COLUMN())),OFFSET($BN$2,0,0,ROW()-1,60),ROW()-1,FALSE))</f>
        <v/>
      </c>
      <c r="AP324">
        <f ca="1">IF(AND(ISNUMBER($AP$826),$B$511=1),$AP$826,HLOOKUP(INDIRECT(ADDRESS(2,COLUMN())),OFFSET($BN$2,0,0,ROW()-1,60),ROW()-1,FALSE))</f>
        <v>-969.85761960000002</v>
      </c>
      <c r="AQ324" t="str">
        <f ca="1">IF(AND(ISNUMBER($AQ$826),$B$511=1),$AQ$826,HLOOKUP(INDIRECT(ADDRESS(2,COLUMN())),OFFSET($BN$2,0,0,ROW()-1,60),ROW()-1,FALSE))</f>
        <v/>
      </c>
      <c r="AR324" t="str">
        <f ca="1">IF(AND(ISNUMBER($AR$826),$B$511=1),$AR$826,HLOOKUP(INDIRECT(ADDRESS(2,COLUMN())),OFFSET($BN$2,0,0,ROW()-1,60),ROW()-1,FALSE))</f>
        <v/>
      </c>
      <c r="AS324" t="str">
        <f ca="1">IF(AND(ISNUMBER($AS$826),$B$511=1),$AS$826,HLOOKUP(INDIRECT(ADDRESS(2,COLUMN())),OFFSET($BN$2,0,0,ROW()-1,60),ROW()-1,FALSE))</f>
        <v/>
      </c>
      <c r="AT324">
        <f ca="1">IF(AND(ISNUMBER($AT$826),$B$511=1),$AT$826,HLOOKUP(INDIRECT(ADDRESS(2,COLUMN())),OFFSET($BN$2,0,0,ROW()-1,60),ROW()-1,FALSE))</f>
        <v>-635.6814822</v>
      </c>
      <c r="AU324" t="str">
        <f ca="1">IF(AND(ISNUMBER($AU$826),$B$511=1),$AU$826,HLOOKUP(INDIRECT(ADDRESS(2,COLUMN())),OFFSET($BN$2,0,0,ROW()-1,60),ROW()-1,FALSE))</f>
        <v/>
      </c>
      <c r="AV324" t="str">
        <f ca="1">IF(AND(ISNUMBER($AV$826),$B$511=1),$AV$826,HLOOKUP(INDIRECT(ADDRESS(2,COLUMN())),OFFSET($BN$2,0,0,ROW()-1,60),ROW()-1,FALSE))</f>
        <v/>
      </c>
      <c r="AW324" t="str">
        <f ca="1">IF(AND(ISNUMBER($AW$826),$B$511=1),$AW$826,HLOOKUP(INDIRECT(ADDRESS(2,COLUMN())),OFFSET($BN$2,0,0,ROW()-1,60),ROW()-1,FALSE))</f>
        <v/>
      </c>
      <c r="AX324">
        <f ca="1">IF(AND(ISNUMBER($AX$826),$B$511=1),$AX$826,HLOOKUP(INDIRECT(ADDRESS(2,COLUMN())),OFFSET($BN$2,0,0,ROW()-1,60),ROW()-1,FALSE))</f>
        <v>1876.4971330000001</v>
      </c>
      <c r="AY324" t="str">
        <f ca="1">IF(AND(ISNUMBER($AY$826),$B$511=1),$AY$826,HLOOKUP(INDIRECT(ADDRESS(2,COLUMN())),OFFSET($BN$2,0,0,ROW()-1,60),ROW()-1,FALSE))</f>
        <v/>
      </c>
      <c r="AZ324" t="str">
        <f ca="1">IF(AND(ISNUMBER($AZ$826),$B$511=1),$AZ$826,HLOOKUP(INDIRECT(ADDRESS(2,COLUMN())),OFFSET($BN$2,0,0,ROW()-1,60),ROW()-1,FALSE))</f>
        <v/>
      </c>
      <c r="BA324" t="str">
        <f ca="1">IF(AND(ISNUMBER($BA$826),$B$511=1),$BA$826,HLOOKUP(INDIRECT(ADDRESS(2,COLUMN())),OFFSET($BN$2,0,0,ROW()-1,60),ROW()-1,FALSE))</f>
        <v/>
      </c>
      <c r="BB324" t="str">
        <f ca="1">IF(AND(ISNUMBER($BB$826),$B$511=1),$BB$826,HLOOKUP(INDIRECT(ADDRESS(2,COLUMN())),OFFSET($BN$2,0,0,ROW()-1,60),ROW()-1,FALSE))</f>
        <v/>
      </c>
      <c r="BC324" t="str">
        <f ca="1">IF(AND(ISNUMBER($BC$826),$B$511=1),$BC$826,HLOOKUP(INDIRECT(ADDRESS(2,COLUMN())),OFFSET($BN$2,0,0,ROW()-1,60),ROW()-1,FALSE))</f>
        <v/>
      </c>
      <c r="BD324" t="str">
        <f ca="1">IF(AND(ISNUMBER($BD$826),$B$511=1),$BD$826,HLOOKUP(INDIRECT(ADDRESS(2,COLUMN())),OFFSET($BN$2,0,0,ROW()-1,60),ROW()-1,FALSE))</f>
        <v/>
      </c>
      <c r="BE324" t="str">
        <f ca="1">IF(AND(ISNUMBER($BE$826),$B$511=1),$BE$826,HLOOKUP(INDIRECT(ADDRESS(2,COLUMN())),OFFSET($BN$2,0,0,ROW()-1,60),ROW()-1,FALSE))</f>
        <v/>
      </c>
      <c r="BF324" t="str">
        <f ca="1">IF(AND(ISNUMBER($BF$826),$B$511=1),$BF$826,HLOOKUP(INDIRECT(ADDRESS(2,COLUMN())),OFFSET($BN$2,0,0,ROW()-1,60),ROW()-1,FALSE))</f>
        <v/>
      </c>
      <c r="BG324" t="str">
        <f ca="1">IF(AND(ISNUMBER($BG$826),$B$511=1),$BG$826,HLOOKUP(INDIRECT(ADDRESS(2,COLUMN())),OFFSET($BN$2,0,0,ROW()-1,60),ROW()-1,FALSE))</f>
        <v/>
      </c>
      <c r="BH324" t="str">
        <f ca="1">IF(AND(ISNUMBER($BH$826),$B$511=1),$BH$826,HLOOKUP(INDIRECT(ADDRESS(2,COLUMN())),OFFSET($BN$2,0,0,ROW()-1,60),ROW()-1,FALSE))</f>
        <v/>
      </c>
      <c r="BI324" t="str">
        <f ca="1">IF(AND(ISNUMBER($BI$826),$B$511=1),$BI$826,HLOOKUP(INDIRECT(ADDRESS(2,COLUMN())),OFFSET($BN$2,0,0,ROW()-1,60),ROW()-1,FALSE))</f>
        <v/>
      </c>
      <c r="BJ324" t="str">
        <f ca="1">IF(AND(ISNUMBER($BJ$826),$B$511=1),$BJ$826,HLOOKUP(INDIRECT(ADDRESS(2,COLUMN())),OFFSET($BN$2,0,0,ROW()-1,60),ROW()-1,FALSE))</f>
        <v/>
      </c>
      <c r="BK324" t="str">
        <f ca="1">IF(AND(ISNUMBER($BK$826),$B$511=1),$BK$826,HLOOKUP(INDIRECT(ADDRESS(2,COLUMN())),OFFSET($BN$2,0,0,ROW()-1,60),ROW()-1,FALSE))</f>
        <v/>
      </c>
      <c r="BL324" t="str">
        <f ca="1">IF(AND(ISNUMBER($BL$826),$B$511=1),$BL$826,HLOOKUP(INDIRECT(ADDRESS(2,COLUMN())),OFFSET($BN$2,0,0,ROW()-1,60),ROW()-1,FALSE))</f>
        <v/>
      </c>
      <c r="BM324" t="str">
        <f ca="1">IF(AND(ISNUMBER($BM$826),$B$511=1),$BM$826,HLOOKUP(INDIRECT(ADDRESS(2,COLUMN())),OFFSET($BN$2,0,0,ROW()-1,60),ROW()-1,FALSE))</f>
        <v/>
      </c>
      <c r="BN324" t="str">
        <f>""</f>
        <v/>
      </c>
      <c r="BO324" t="str">
        <f>""</f>
        <v/>
      </c>
      <c r="BP324">
        <f>2588.660156</f>
        <v>2588.6601559999999</v>
      </c>
      <c r="BQ324" t="str">
        <f>""</f>
        <v/>
      </c>
      <c r="BR324">
        <f>3683.041142</f>
        <v>3683.041142</v>
      </c>
      <c r="BS324" t="str">
        <f>""</f>
        <v/>
      </c>
      <c r="BT324">
        <f>1953.983168</f>
        <v>1953.983168</v>
      </c>
      <c r="BU324" t="str">
        <f>""</f>
        <v/>
      </c>
      <c r="BV324">
        <f>-277.4481993</f>
        <v>-277.4481993</v>
      </c>
      <c r="BW324" t="str">
        <f>""</f>
        <v/>
      </c>
      <c r="BX324">
        <f>-821.2855112</f>
        <v>-821.28551119999997</v>
      </c>
      <c r="BY324" t="str">
        <f>""</f>
        <v/>
      </c>
      <c r="BZ324">
        <f>2612.31373</f>
        <v>2612.3137299999999</v>
      </c>
      <c r="CA324" t="str">
        <f>""</f>
        <v/>
      </c>
      <c r="CB324">
        <f>11588.65057</f>
        <v>11588.65057</v>
      </c>
      <c r="CC324" t="str">
        <f>""</f>
        <v/>
      </c>
      <c r="CD324">
        <f>128.2352922</f>
        <v>128.2352922</v>
      </c>
      <c r="CE324" t="str">
        <f>""</f>
        <v/>
      </c>
      <c r="CF324">
        <f>10147.62701</f>
        <v>10147.62701</v>
      </c>
      <c r="CG324" t="str">
        <f>""</f>
        <v/>
      </c>
      <c r="CH324">
        <f>2351.053154</f>
        <v>2351.0531540000002</v>
      </c>
      <c r="CI324" t="str">
        <f>""</f>
        <v/>
      </c>
      <c r="CJ324">
        <f>8005.693036</f>
        <v>8005.6930359999997</v>
      </c>
      <c r="CK324" t="str">
        <f>""</f>
        <v/>
      </c>
      <c r="CL324">
        <f>136.9331009</f>
        <v>136.9331009</v>
      </c>
      <c r="CM324" t="str">
        <f>""</f>
        <v/>
      </c>
      <c r="CN324">
        <f>6831.565604</f>
        <v>6831.5656040000003</v>
      </c>
      <c r="CO324" t="str">
        <f>""</f>
        <v/>
      </c>
      <c r="CP324">
        <f>516.7042889</f>
        <v>516.70428890000005</v>
      </c>
      <c r="CQ324" t="str">
        <f>""</f>
        <v/>
      </c>
      <c r="CR324" t="str">
        <f>""</f>
        <v/>
      </c>
      <c r="CS324" t="str">
        <f>""</f>
        <v/>
      </c>
      <c r="CT324">
        <f>-589.3153911</f>
        <v>-589.31539110000006</v>
      </c>
      <c r="CU324" t="str">
        <f>""</f>
        <v/>
      </c>
      <c r="CV324" t="str">
        <f>""</f>
        <v/>
      </c>
      <c r="CW324" t="str">
        <f>""</f>
        <v/>
      </c>
      <c r="CX324">
        <f>-969.8576196</f>
        <v>-969.85761960000002</v>
      </c>
      <c r="CY324" t="str">
        <f>""</f>
        <v/>
      </c>
      <c r="CZ324" t="str">
        <f>""</f>
        <v/>
      </c>
      <c r="DA324" t="str">
        <f>""</f>
        <v/>
      </c>
      <c r="DB324">
        <f>-635.6814822</f>
        <v>-635.6814822</v>
      </c>
      <c r="DC324" t="str">
        <f>""</f>
        <v/>
      </c>
      <c r="DD324" t="str">
        <f>""</f>
        <v/>
      </c>
      <c r="DE324" t="str">
        <f>""</f>
        <v/>
      </c>
      <c r="DF324">
        <f>1876.497133</f>
        <v>1876.4971330000001</v>
      </c>
      <c r="DG324" t="str">
        <f>""</f>
        <v/>
      </c>
      <c r="DH324" t="str">
        <f>""</f>
        <v/>
      </c>
      <c r="DI324" t="str">
        <f>""</f>
        <v/>
      </c>
      <c r="DJ324" t="str">
        <f>""</f>
        <v/>
      </c>
      <c r="DK324" t="str">
        <f>""</f>
        <v/>
      </c>
      <c r="DL324" t="str">
        <f>""</f>
        <v/>
      </c>
      <c r="DM324" t="str">
        <f>""</f>
        <v/>
      </c>
      <c r="DN324" t="str">
        <f>""</f>
        <v/>
      </c>
      <c r="DO324" t="str">
        <f>""</f>
        <v/>
      </c>
      <c r="DP324" t="str">
        <f>""</f>
        <v/>
      </c>
      <c r="DQ324" t="str">
        <f>""</f>
        <v/>
      </c>
      <c r="DR324" t="str">
        <f>""</f>
        <v/>
      </c>
      <c r="DS324" t="str">
        <f>""</f>
        <v/>
      </c>
      <c r="DT324" t="str">
        <f>""</f>
        <v/>
      </c>
      <c r="DU324" t="str">
        <f>""</f>
        <v/>
      </c>
    </row>
    <row r="325" spans="1:125" x14ac:dyDescent="0.25">
      <c r="A325" t="str">
        <f>"    Tesla Inc"</f>
        <v xml:space="preserve">    Tesla Inc</v>
      </c>
      <c r="B325" t="str">
        <f>"TSLA US Equity"</f>
        <v>TSLA US Equity</v>
      </c>
      <c r="C325" t="str">
        <f t="shared" si="21"/>
        <v>RR179</v>
      </c>
      <c r="D325" t="str">
        <f t="shared" si="22"/>
        <v>TANGIBLE_COMMON_EQUITY</v>
      </c>
      <c r="E325" t="str">
        <f t="shared" si="23"/>
        <v>Dynamic</v>
      </c>
      <c r="F325" t="str">
        <f ca="1">IF(AND(ISNUMBER($F$827),$B$511=1),$F$827,HLOOKUP(INDIRECT(ADDRESS(2,COLUMN())),OFFSET($BN$2,0,0,ROW()-1,60),ROW()-1,FALSE))</f>
        <v/>
      </c>
      <c r="G325">
        <f ca="1">IF(AND(ISNUMBER($G$827),$B$511=1),$G$827,HLOOKUP(INDIRECT(ADDRESS(2,COLUMN())),OFFSET($BN$2,0,0,ROW()-1,60),ROW()-1,FALSE))</f>
        <v>4572.5919999999996</v>
      </c>
      <c r="H325">
        <f ca="1">IF(AND(ISNUMBER($H$827),$B$511=1),$H$827,HLOOKUP(INDIRECT(ADDRESS(2,COLUMN())),OFFSET($BN$2,0,0,ROW()-1,60),ROW()-1,FALSE))</f>
        <v>4152.1360000000004</v>
      </c>
      <c r="I325">
        <f ca="1">IF(AND(ISNUMBER($I$827),$B$511=1),$I$827,HLOOKUP(INDIRECT(ADDRESS(2,COLUMN())),OFFSET($BN$2,0,0,ROW()-1,60),ROW()-1,FALSE))</f>
        <v>3541.7310000000002</v>
      </c>
      <c r="J325">
        <f ca="1">IF(AND(ISNUMBER($J$827),$B$511=1),$J$827,HLOOKUP(INDIRECT(ADDRESS(2,COLUMN())),OFFSET($BN$2,0,0,ROW()-1,60),ROW()-1,FALSE))</f>
        <v>4042.9850000000001</v>
      </c>
      <c r="K325">
        <f ca="1">IF(AND(ISNUMBER($K$827),$B$511=1),$K$827,HLOOKUP(INDIRECT(ADDRESS(2,COLUMN())),OFFSET($BN$2,0,0,ROW()-1,60),ROW()-1,FALSE))</f>
        <v>3815.5729999999999</v>
      </c>
      <c r="L325">
        <f ca="1">IF(AND(ISNUMBER($L$827),$B$511=1),$L$827,HLOOKUP(INDIRECT(ADDRESS(2,COLUMN())),OFFSET($BN$2,0,0,ROW()-1,60),ROW()-1,FALSE))</f>
        <v>4294.3630000000003</v>
      </c>
      <c r="M325">
        <f ca="1">IF(AND(ISNUMBER($M$827),$B$511=1),$M$827,HLOOKUP(INDIRECT(ADDRESS(2,COLUMN())),OFFSET($BN$2,0,0,ROW()-1,60),ROW()-1,FALSE))</f>
        <v>4682.8270000000002</v>
      </c>
      <c r="N325">
        <f ca="1">IF(AND(ISNUMBER($N$827),$B$511=1),$N$827,HLOOKUP(INDIRECT(ADDRESS(2,COLUMN())),OFFSET($BN$2,0,0,ROW()-1,60),ROW()-1,FALSE))</f>
        <v>4565.41</v>
      </c>
      <c r="O325">
        <f ca="1">IF(AND(ISNUMBER($O$827),$B$511=1),$O$827,HLOOKUP(INDIRECT(ADDRESS(2,COLUMN())),OFFSET($BN$2,0,0,ROW()-1,60),ROW()-1,FALSE))</f>
        <v>4385.55</v>
      </c>
      <c r="P325" t="str">
        <f ca="1">IF(AND(ISNUMBER($P$827),$B$511=1),$P$827,HLOOKUP(INDIRECT(ADDRESS(2,COLUMN())),OFFSET($BN$2,0,0,ROW()-1,60),ROW()-1,FALSE))</f>
        <v/>
      </c>
      <c r="Q325" t="str">
        <f ca="1">IF(AND(ISNUMBER($Q$827),$B$511=1),$Q$827,HLOOKUP(INDIRECT(ADDRESS(2,COLUMN())),OFFSET($BN$2,0,0,ROW()-1,60),ROW()-1,FALSE))</f>
        <v/>
      </c>
      <c r="R325" t="str">
        <f ca="1">IF(AND(ISNUMBER($R$827),$B$511=1),$R$827,HLOOKUP(INDIRECT(ADDRESS(2,COLUMN())),OFFSET($BN$2,0,0,ROW()-1,60),ROW()-1,FALSE))</f>
        <v/>
      </c>
      <c r="S325">
        <f ca="1">IF(AND(ISNUMBER($S$827),$B$511=1),$S$827,HLOOKUP(INDIRECT(ADDRESS(2,COLUMN())),OFFSET($BN$2,0,0,ROW()-1,60),ROW()-1,FALSE))</f>
        <v>1118.173</v>
      </c>
      <c r="T325" t="str">
        <f ca="1">IF(AND(ISNUMBER($T$827),$B$511=1),$T$827,HLOOKUP(INDIRECT(ADDRESS(2,COLUMN())),OFFSET($BN$2,0,0,ROW()-1,60),ROW()-1,FALSE))</f>
        <v/>
      </c>
      <c r="U325" t="str">
        <f ca="1">IF(AND(ISNUMBER($U$827),$B$511=1),$U$827,HLOOKUP(INDIRECT(ADDRESS(2,COLUMN())),OFFSET($BN$2,0,0,ROW()-1,60),ROW()-1,FALSE))</f>
        <v/>
      </c>
      <c r="V325" t="str">
        <f ca="1">IF(AND(ISNUMBER($V$827),$B$511=1),$V$827,HLOOKUP(INDIRECT(ADDRESS(2,COLUMN())),OFFSET($BN$2,0,0,ROW()-1,60),ROW()-1,FALSE))</f>
        <v/>
      </c>
      <c r="W325">
        <f ca="1">IF(AND(ISNUMBER($W$827),$B$511=1),$W$827,HLOOKUP(INDIRECT(ADDRESS(2,COLUMN())),OFFSET($BN$2,0,0,ROW()-1,60),ROW()-1,FALSE))</f>
        <v>911.71</v>
      </c>
      <c r="X325" t="str">
        <f ca="1">IF(AND(ISNUMBER($X$827),$B$511=1),$X$827,HLOOKUP(INDIRECT(ADDRESS(2,COLUMN())),OFFSET($BN$2,0,0,ROW()-1,60),ROW()-1,FALSE))</f>
        <v/>
      </c>
      <c r="Y325" t="str">
        <f ca="1">IF(AND(ISNUMBER($Y$827),$B$511=1),$Y$827,HLOOKUP(INDIRECT(ADDRESS(2,COLUMN())),OFFSET($BN$2,0,0,ROW()-1,60),ROW()-1,FALSE))</f>
        <v/>
      </c>
      <c r="Z325" t="str">
        <f ca="1">IF(AND(ISNUMBER($Z$827),$B$511=1),$Z$827,HLOOKUP(INDIRECT(ADDRESS(2,COLUMN())),OFFSET($BN$2,0,0,ROW()-1,60),ROW()-1,FALSE))</f>
        <v/>
      </c>
      <c r="AA325">
        <f ca="1">IF(AND(ISNUMBER($AA$827),$B$511=1),$AA$827,HLOOKUP(INDIRECT(ADDRESS(2,COLUMN())),OFFSET($BN$2,0,0,ROW()-1,60),ROW()-1,FALSE))</f>
        <v>667.12</v>
      </c>
      <c r="AB325" t="str">
        <f ca="1">IF(AND(ISNUMBER($AB$827),$B$511=1),$AB$827,HLOOKUP(INDIRECT(ADDRESS(2,COLUMN())),OFFSET($BN$2,0,0,ROW()-1,60),ROW()-1,FALSE))</f>
        <v/>
      </c>
      <c r="AC325" t="str">
        <f ca="1">IF(AND(ISNUMBER($AC$827),$B$511=1),$AC$827,HLOOKUP(INDIRECT(ADDRESS(2,COLUMN())),OFFSET($BN$2,0,0,ROW()-1,60),ROW()-1,FALSE))</f>
        <v/>
      </c>
      <c r="AD325" t="str">
        <f ca="1">IF(AND(ISNUMBER($AD$827),$B$511=1),$AD$827,HLOOKUP(INDIRECT(ADDRESS(2,COLUMN())),OFFSET($BN$2,0,0,ROW()-1,60),ROW()-1,FALSE))</f>
        <v/>
      </c>
      <c r="AE325">
        <f ca="1">IF(AND(ISNUMBER($AE$827),$B$511=1),$AE$827,HLOOKUP(INDIRECT(ADDRESS(2,COLUMN())),OFFSET($BN$2,0,0,ROW()-1,60),ROW()-1,FALSE))</f>
        <v>124.7</v>
      </c>
      <c r="AF325" t="str">
        <f ca="1">IF(AND(ISNUMBER($AF$827),$B$511=1),$AF$827,HLOOKUP(INDIRECT(ADDRESS(2,COLUMN())),OFFSET($BN$2,0,0,ROW()-1,60),ROW()-1,FALSE))</f>
        <v/>
      </c>
      <c r="AG325" t="str">
        <f ca="1">IF(AND(ISNUMBER($AG$827),$B$511=1),$AG$827,HLOOKUP(INDIRECT(ADDRESS(2,COLUMN())),OFFSET($BN$2,0,0,ROW()-1,60),ROW()-1,FALSE))</f>
        <v/>
      </c>
      <c r="AH325" t="str">
        <f ca="1">IF(AND(ISNUMBER($AH$827),$B$511=1),$AH$827,HLOOKUP(INDIRECT(ADDRESS(2,COLUMN())),OFFSET($BN$2,0,0,ROW()-1,60),ROW()-1,FALSE))</f>
        <v/>
      </c>
      <c r="AI325">
        <f ca="1">IF(AND(ISNUMBER($AI$827),$B$511=1),$AI$827,HLOOKUP(INDIRECT(ADDRESS(2,COLUMN())),OFFSET($BN$2,0,0,ROW()-1,60),ROW()-1,FALSE))</f>
        <v>224.04499999999999</v>
      </c>
      <c r="AJ325" t="str">
        <f ca="1">IF(AND(ISNUMBER($AJ$827),$B$511=1),$AJ$827,HLOOKUP(INDIRECT(ADDRESS(2,COLUMN())),OFFSET($BN$2,0,0,ROW()-1,60),ROW()-1,FALSE))</f>
        <v/>
      </c>
      <c r="AK325" t="str">
        <f ca="1">IF(AND(ISNUMBER($AK$827),$B$511=1),$AK$827,HLOOKUP(INDIRECT(ADDRESS(2,COLUMN())),OFFSET($BN$2,0,0,ROW()-1,60),ROW()-1,FALSE))</f>
        <v/>
      </c>
      <c r="AL325" t="str">
        <f ca="1">IF(AND(ISNUMBER($AL$827),$B$511=1),$AL$827,HLOOKUP(INDIRECT(ADDRESS(2,COLUMN())),OFFSET($BN$2,0,0,ROW()-1,60),ROW()-1,FALSE))</f>
        <v/>
      </c>
      <c r="AM325">
        <f ca="1">IF(AND(ISNUMBER($AM$827),$B$511=1),$AM$827,HLOOKUP(INDIRECT(ADDRESS(2,COLUMN())),OFFSET($BN$2,0,0,ROW()-1,60),ROW()-1,FALSE))</f>
        <v>207.048</v>
      </c>
      <c r="AN325" t="str">
        <f ca="1">IF(AND(ISNUMBER($AN$827),$B$511=1),$AN$827,HLOOKUP(INDIRECT(ADDRESS(2,COLUMN())),OFFSET($BN$2,0,0,ROW()-1,60),ROW()-1,FALSE))</f>
        <v/>
      </c>
      <c r="AO325" t="str">
        <f ca="1">IF(AND(ISNUMBER($AO$827),$B$511=1),$AO$827,HLOOKUP(INDIRECT(ADDRESS(2,COLUMN())),OFFSET($BN$2,0,0,ROW()-1,60),ROW()-1,FALSE))</f>
        <v/>
      </c>
      <c r="AP325" t="str">
        <f ca="1">IF(AND(ISNUMBER($AP$827),$B$511=1),$AP$827,HLOOKUP(INDIRECT(ADDRESS(2,COLUMN())),OFFSET($BN$2,0,0,ROW()-1,60),ROW()-1,FALSE))</f>
        <v/>
      </c>
      <c r="AQ325">
        <f ca="1">IF(AND(ISNUMBER($AQ$827),$B$511=1),$AQ$827,HLOOKUP(INDIRECT(ADDRESS(2,COLUMN())),OFFSET($BN$2,0,0,ROW()-1,60),ROW()-1,FALSE))</f>
        <v>-253.523</v>
      </c>
      <c r="AR325" t="str">
        <f ca="1">IF(AND(ISNUMBER($AR$827),$B$511=1),$AR$827,HLOOKUP(INDIRECT(ADDRESS(2,COLUMN())),OFFSET($BN$2,0,0,ROW()-1,60),ROW()-1,FALSE))</f>
        <v/>
      </c>
      <c r="AS325" t="str">
        <f ca="1">IF(AND(ISNUMBER($AS$827),$B$511=1),$AS$827,HLOOKUP(INDIRECT(ADDRESS(2,COLUMN())),OFFSET($BN$2,0,0,ROW()-1,60),ROW()-1,FALSE))</f>
        <v/>
      </c>
      <c r="AT325" t="str">
        <f ca="1">IF(AND(ISNUMBER($AT$827),$B$511=1),$AT$827,HLOOKUP(INDIRECT(ADDRESS(2,COLUMN())),OFFSET($BN$2,0,0,ROW()-1,60),ROW()-1,FALSE))</f>
        <v/>
      </c>
      <c r="AU325" t="str">
        <f ca="1">IF(AND(ISNUMBER($AU$827),$B$511=1),$AU$827,HLOOKUP(INDIRECT(ADDRESS(2,COLUMN())),OFFSET($BN$2,0,0,ROW()-1,60),ROW()-1,FALSE))</f>
        <v/>
      </c>
      <c r="AV325" t="str">
        <f ca="1">IF(AND(ISNUMBER($AV$827),$B$511=1),$AV$827,HLOOKUP(INDIRECT(ADDRESS(2,COLUMN())),OFFSET($BN$2,0,0,ROW()-1,60),ROW()-1,FALSE))</f>
        <v/>
      </c>
      <c r="AW325" t="str">
        <f ca="1">IF(AND(ISNUMBER($AW$827),$B$511=1),$AW$827,HLOOKUP(INDIRECT(ADDRESS(2,COLUMN())),OFFSET($BN$2,0,0,ROW()-1,60),ROW()-1,FALSE))</f>
        <v/>
      </c>
      <c r="AX325" t="str">
        <f ca="1">IF(AND(ISNUMBER($AX$827),$B$511=1),$AX$827,HLOOKUP(INDIRECT(ADDRESS(2,COLUMN())),OFFSET($BN$2,0,0,ROW()-1,60),ROW()-1,FALSE))</f>
        <v/>
      </c>
      <c r="AY325" t="str">
        <f ca="1">IF(AND(ISNUMBER($AY$827),$B$511=1),$AY$827,HLOOKUP(INDIRECT(ADDRESS(2,COLUMN())),OFFSET($BN$2,0,0,ROW()-1,60),ROW()-1,FALSE))</f>
        <v/>
      </c>
      <c r="AZ325" t="str">
        <f ca="1">IF(AND(ISNUMBER($AZ$827),$B$511=1),$AZ$827,HLOOKUP(INDIRECT(ADDRESS(2,COLUMN())),OFFSET($BN$2,0,0,ROW()-1,60),ROW()-1,FALSE))</f>
        <v/>
      </c>
      <c r="BA325" t="str">
        <f ca="1">IF(AND(ISNUMBER($BA$827),$B$511=1),$BA$827,HLOOKUP(INDIRECT(ADDRESS(2,COLUMN())),OFFSET($BN$2,0,0,ROW()-1,60),ROW()-1,FALSE))</f>
        <v/>
      </c>
      <c r="BB325" t="str">
        <f ca="1">IF(AND(ISNUMBER($BB$827),$B$511=1),$BB$827,HLOOKUP(INDIRECT(ADDRESS(2,COLUMN())),OFFSET($BN$2,0,0,ROW()-1,60),ROW()-1,FALSE))</f>
        <v/>
      </c>
      <c r="BC325" t="str">
        <f ca="1">IF(AND(ISNUMBER($BC$827),$B$511=1),$BC$827,HLOOKUP(INDIRECT(ADDRESS(2,COLUMN())),OFFSET($BN$2,0,0,ROW()-1,60),ROW()-1,FALSE))</f>
        <v/>
      </c>
      <c r="BD325" t="str">
        <f ca="1">IF(AND(ISNUMBER($BD$827),$B$511=1),$BD$827,HLOOKUP(INDIRECT(ADDRESS(2,COLUMN())),OFFSET($BN$2,0,0,ROW()-1,60),ROW()-1,FALSE))</f>
        <v/>
      </c>
      <c r="BE325" t="str">
        <f ca="1">IF(AND(ISNUMBER($BE$827),$B$511=1),$BE$827,HLOOKUP(INDIRECT(ADDRESS(2,COLUMN())),OFFSET($BN$2,0,0,ROW()-1,60),ROW()-1,FALSE))</f>
        <v/>
      </c>
      <c r="BF325" t="str">
        <f ca="1">IF(AND(ISNUMBER($BF$827),$B$511=1),$BF$827,HLOOKUP(INDIRECT(ADDRESS(2,COLUMN())),OFFSET($BN$2,0,0,ROW()-1,60),ROW()-1,FALSE))</f>
        <v/>
      </c>
      <c r="BG325" t="str">
        <f ca="1">IF(AND(ISNUMBER($BG$827),$B$511=1),$BG$827,HLOOKUP(INDIRECT(ADDRESS(2,COLUMN())),OFFSET($BN$2,0,0,ROW()-1,60),ROW()-1,FALSE))</f>
        <v/>
      </c>
      <c r="BH325" t="str">
        <f ca="1">IF(AND(ISNUMBER($BH$827),$B$511=1),$BH$827,HLOOKUP(INDIRECT(ADDRESS(2,COLUMN())),OFFSET($BN$2,0,0,ROW()-1,60),ROW()-1,FALSE))</f>
        <v/>
      </c>
      <c r="BI325" t="str">
        <f ca="1">IF(AND(ISNUMBER($BI$827),$B$511=1),$BI$827,HLOOKUP(INDIRECT(ADDRESS(2,COLUMN())),OFFSET($BN$2,0,0,ROW()-1,60),ROW()-1,FALSE))</f>
        <v/>
      </c>
      <c r="BJ325" t="str">
        <f ca="1">IF(AND(ISNUMBER($BJ$827),$B$511=1),$BJ$827,HLOOKUP(INDIRECT(ADDRESS(2,COLUMN())),OFFSET($BN$2,0,0,ROW()-1,60),ROW()-1,FALSE))</f>
        <v/>
      </c>
      <c r="BK325" t="str">
        <f ca="1">IF(AND(ISNUMBER($BK$827),$B$511=1),$BK$827,HLOOKUP(INDIRECT(ADDRESS(2,COLUMN())),OFFSET($BN$2,0,0,ROW()-1,60),ROW()-1,FALSE))</f>
        <v/>
      </c>
      <c r="BL325" t="str">
        <f ca="1">IF(AND(ISNUMBER($BL$827),$B$511=1),$BL$827,HLOOKUP(INDIRECT(ADDRESS(2,COLUMN())),OFFSET($BN$2,0,0,ROW()-1,60),ROW()-1,FALSE))</f>
        <v/>
      </c>
      <c r="BM325" t="str">
        <f ca="1">IF(AND(ISNUMBER($BM$827),$B$511=1),$BM$827,HLOOKUP(INDIRECT(ADDRESS(2,COLUMN())),OFFSET($BN$2,0,0,ROW()-1,60),ROW()-1,FALSE))</f>
        <v/>
      </c>
      <c r="BN325" t="str">
        <f>""</f>
        <v/>
      </c>
      <c r="BO325">
        <f>4572.592</f>
        <v>4572.5919999999996</v>
      </c>
      <c r="BP325">
        <f>4152.136</f>
        <v>4152.1360000000004</v>
      </c>
      <c r="BQ325">
        <f>3541.731</f>
        <v>3541.7310000000002</v>
      </c>
      <c r="BR325">
        <f>4042.985</f>
        <v>4042.9850000000001</v>
      </c>
      <c r="BS325">
        <f>3815.573</f>
        <v>3815.5729999999999</v>
      </c>
      <c r="BT325">
        <f>4294.363</f>
        <v>4294.3630000000003</v>
      </c>
      <c r="BU325">
        <f>4682.827</f>
        <v>4682.8270000000002</v>
      </c>
      <c r="BV325">
        <f>4565.41</f>
        <v>4565.41</v>
      </c>
      <c r="BW325">
        <f>4385.55</f>
        <v>4385.55</v>
      </c>
      <c r="BX325" t="str">
        <f>""</f>
        <v/>
      </c>
      <c r="BY325" t="str">
        <f>""</f>
        <v/>
      </c>
      <c r="BZ325" t="str">
        <f>""</f>
        <v/>
      </c>
      <c r="CA325">
        <f>1118.173</f>
        <v>1118.173</v>
      </c>
      <c r="CB325" t="str">
        <f>""</f>
        <v/>
      </c>
      <c r="CC325" t="str">
        <f>""</f>
        <v/>
      </c>
      <c r="CD325" t="str">
        <f>""</f>
        <v/>
      </c>
      <c r="CE325">
        <f>911.71</f>
        <v>911.71</v>
      </c>
      <c r="CF325" t="str">
        <f>""</f>
        <v/>
      </c>
      <c r="CG325" t="str">
        <f>""</f>
        <v/>
      </c>
      <c r="CH325" t="str">
        <f>""</f>
        <v/>
      </c>
      <c r="CI325">
        <f>667.12</f>
        <v>667.12</v>
      </c>
      <c r="CJ325" t="str">
        <f>""</f>
        <v/>
      </c>
      <c r="CK325" t="str">
        <f>""</f>
        <v/>
      </c>
      <c r="CL325" t="str">
        <f>""</f>
        <v/>
      </c>
      <c r="CM325">
        <f>124.7</f>
        <v>124.7</v>
      </c>
      <c r="CN325" t="str">
        <f>""</f>
        <v/>
      </c>
      <c r="CO325" t="str">
        <f>""</f>
        <v/>
      </c>
      <c r="CP325" t="str">
        <f>""</f>
        <v/>
      </c>
      <c r="CQ325">
        <f>224.045</f>
        <v>224.04499999999999</v>
      </c>
      <c r="CR325" t="str">
        <f>""</f>
        <v/>
      </c>
      <c r="CS325" t="str">
        <f>""</f>
        <v/>
      </c>
      <c r="CT325" t="str">
        <f>""</f>
        <v/>
      </c>
      <c r="CU325">
        <f>207.048</f>
        <v>207.048</v>
      </c>
      <c r="CV325" t="str">
        <f>""</f>
        <v/>
      </c>
      <c r="CW325" t="str">
        <f>""</f>
        <v/>
      </c>
      <c r="CX325" t="str">
        <f>""</f>
        <v/>
      </c>
      <c r="CY325">
        <f>-253.523</f>
        <v>-253.523</v>
      </c>
      <c r="CZ325" t="str">
        <f>""</f>
        <v/>
      </c>
      <c r="DA325" t="str">
        <f>""</f>
        <v/>
      </c>
      <c r="DB325" t="str">
        <f>""</f>
        <v/>
      </c>
      <c r="DC325" t="str">
        <f>""</f>
        <v/>
      </c>
      <c r="DD325" t="str">
        <f>""</f>
        <v/>
      </c>
      <c r="DE325" t="str">
        <f>""</f>
        <v/>
      </c>
      <c r="DF325" t="str">
        <f>""</f>
        <v/>
      </c>
      <c r="DG325" t="str">
        <f>""</f>
        <v/>
      </c>
      <c r="DH325" t="str">
        <f>""</f>
        <v/>
      </c>
      <c r="DI325" t="str">
        <f>""</f>
        <v/>
      </c>
      <c r="DJ325" t="str">
        <f>""</f>
        <v/>
      </c>
      <c r="DK325" t="str">
        <f>""</f>
        <v/>
      </c>
      <c r="DL325" t="str">
        <f>""</f>
        <v/>
      </c>
      <c r="DM325" t="str">
        <f>""</f>
        <v/>
      </c>
      <c r="DN325" t="str">
        <f>""</f>
        <v/>
      </c>
      <c r="DO325" t="str">
        <f>""</f>
        <v/>
      </c>
      <c r="DP325" t="str">
        <f>""</f>
        <v/>
      </c>
      <c r="DQ325" t="str">
        <f>""</f>
        <v/>
      </c>
      <c r="DR325" t="str">
        <f>""</f>
        <v/>
      </c>
      <c r="DS325" t="str">
        <f>""</f>
        <v/>
      </c>
      <c r="DT325" t="str">
        <f>""</f>
        <v/>
      </c>
      <c r="DU325" t="str">
        <f>""</f>
        <v/>
      </c>
    </row>
    <row r="326" spans="1:125" x14ac:dyDescent="0.25">
      <c r="A326" t="str">
        <f>"    Tianjin Faw Xiali Automobile Co Ltd"</f>
        <v xml:space="preserve">    Tianjin Faw Xiali Automobile Co Ltd</v>
      </c>
      <c r="B326" t="str">
        <f>"000927 CH Equity"</f>
        <v>000927 CH Equity</v>
      </c>
      <c r="C326" t="str">
        <f t="shared" si="21"/>
        <v>RR179</v>
      </c>
      <c r="D326" t="str">
        <f t="shared" si="22"/>
        <v>TANGIBLE_COMMON_EQUITY</v>
      </c>
      <c r="E326" t="str">
        <f t="shared" si="23"/>
        <v>Dynamic</v>
      </c>
      <c r="F326" t="str">
        <f ca="1">IF(AND(ISNUMBER($F$828),$B$511=1),$F$828,HLOOKUP(INDIRECT(ADDRESS(2,COLUMN())),OFFSET($BN$2,0,0,ROW()-1,60),ROW()-1,FALSE))</f>
        <v/>
      </c>
      <c r="G326" t="str">
        <f ca="1">IF(AND(ISNUMBER($G$828),$B$511=1),$G$828,HLOOKUP(INDIRECT(ADDRESS(2,COLUMN())),OFFSET($BN$2,0,0,ROW()-1,60),ROW()-1,FALSE))</f>
        <v/>
      </c>
      <c r="H326">
        <f ca="1">IF(AND(ISNUMBER($H$828),$B$511=1),$H$828,HLOOKUP(INDIRECT(ADDRESS(2,COLUMN())),OFFSET($BN$2,0,0,ROW()-1,60),ROW()-1,FALSE))</f>
        <v>-163.56048129999999</v>
      </c>
      <c r="I326">
        <f ca="1">IF(AND(ISNUMBER($I$828),$B$511=1),$I$828,HLOOKUP(INDIRECT(ADDRESS(2,COLUMN())),OFFSET($BN$2,0,0,ROW()-1,60),ROW()-1,FALSE))</f>
        <v>-87.531465299999994</v>
      </c>
      <c r="J326">
        <f ca="1">IF(AND(ISNUMBER($J$828),$B$511=1),$J$828,HLOOKUP(INDIRECT(ADDRESS(2,COLUMN())),OFFSET($BN$2,0,0,ROW()-1,60),ROW()-1,FALSE))</f>
        <v>-54.348779239999999</v>
      </c>
      <c r="K326">
        <f ca="1">IF(AND(ISNUMBER($K$828),$B$511=1),$K$828,HLOOKUP(INDIRECT(ADDRESS(2,COLUMN())),OFFSET($BN$2,0,0,ROW()-1,60),ROW()-1,FALSE))</f>
        <v>8.8196930729999998</v>
      </c>
      <c r="L326">
        <f ca="1">IF(AND(ISNUMBER($L$828),$B$511=1),$L$828,HLOOKUP(INDIRECT(ADDRESS(2,COLUMN())),OFFSET($BN$2,0,0,ROW()-1,60),ROW()-1,FALSE))</f>
        <v>59.483798389999997</v>
      </c>
      <c r="M326">
        <f ca="1">IF(AND(ISNUMBER($M$828),$B$511=1),$M$828,HLOOKUP(INDIRECT(ADDRESS(2,COLUMN())),OFFSET($BN$2,0,0,ROW()-1,60),ROW()-1,FALSE))</f>
        <v>149.56558440000001</v>
      </c>
      <c r="N326">
        <f ca="1">IF(AND(ISNUMBER($N$828),$B$511=1),$N$828,HLOOKUP(INDIRECT(ADDRESS(2,COLUMN())),OFFSET($BN$2,0,0,ROW()-1,60),ROW()-1,FALSE))</f>
        <v>181.55015900000001</v>
      </c>
      <c r="O326">
        <f ca="1">IF(AND(ISNUMBER($O$828),$B$511=1),$O$828,HLOOKUP(INDIRECT(ADDRESS(2,COLUMN())),OFFSET($BN$2,0,0,ROW()-1,60),ROW()-1,FALSE))</f>
        <v>244.52475290000001</v>
      </c>
      <c r="P326">
        <f ca="1">IF(AND(ISNUMBER($P$828),$B$511=1),$P$828,HLOOKUP(INDIRECT(ADDRESS(2,COLUMN())),OFFSET($BN$2,0,0,ROW()-1,60),ROW()-1,FALSE))</f>
        <v>78.262648200000001</v>
      </c>
      <c r="Q326">
        <f ca="1">IF(AND(ISNUMBER($Q$828),$B$511=1),$Q$828,HLOOKUP(INDIRECT(ADDRESS(2,COLUMN())),OFFSET($BN$2,0,0,ROW()-1,60),ROW()-1,FALSE))</f>
        <v>152.3494288</v>
      </c>
      <c r="R326">
        <f ca="1">IF(AND(ISNUMBER($R$828),$B$511=1),$R$828,HLOOKUP(INDIRECT(ADDRESS(2,COLUMN())),OFFSET($BN$2,0,0,ROW()-1,60),ROW()-1,FALSE))</f>
        <v>182.25633239999999</v>
      </c>
      <c r="S326">
        <f ca="1">IF(AND(ISNUMBER($S$828),$B$511=1),$S$828,HLOOKUP(INDIRECT(ADDRESS(2,COLUMN())),OFFSET($BN$2,0,0,ROW()-1,60),ROW()-1,FALSE))</f>
        <v>236.1107255</v>
      </c>
      <c r="T326">
        <f ca="1">IF(AND(ISNUMBER($T$828),$B$511=1),$T$828,HLOOKUP(INDIRECT(ADDRESS(2,COLUMN())),OFFSET($BN$2,0,0,ROW()-1,60),ROW()-1,FALSE))</f>
        <v>40.85955139</v>
      </c>
      <c r="U326">
        <f ca="1">IF(AND(ISNUMBER($U$828),$B$511=1),$U$828,HLOOKUP(INDIRECT(ADDRESS(2,COLUMN())),OFFSET($BN$2,0,0,ROW()-1,60),ROW()-1,FALSE))</f>
        <v>133.80958570000001</v>
      </c>
      <c r="V326">
        <f ca="1">IF(AND(ISNUMBER($V$828),$B$511=1),$V$828,HLOOKUP(INDIRECT(ADDRESS(2,COLUMN())),OFFSET($BN$2,0,0,ROW()-1,60),ROW()-1,FALSE))</f>
        <v>134.14603310000001</v>
      </c>
      <c r="W326">
        <f ca="1">IF(AND(ISNUMBER($W$828),$B$511=1),$W$828,HLOOKUP(INDIRECT(ADDRESS(2,COLUMN())),OFFSET($BN$2,0,0,ROW()-1,60),ROW()-1,FALSE))</f>
        <v>216.7734792</v>
      </c>
      <c r="X326">
        <f ca="1">IF(AND(ISNUMBER($X$828),$B$511=1),$X$828,HLOOKUP(INDIRECT(ADDRESS(2,COLUMN())),OFFSET($BN$2,0,0,ROW()-1,60),ROW()-1,FALSE))</f>
        <v>324.5970873</v>
      </c>
      <c r="Y326">
        <f ca="1">IF(AND(ISNUMBER($Y$828),$B$511=1),$Y$828,HLOOKUP(INDIRECT(ADDRESS(2,COLUMN())),OFFSET($BN$2,0,0,ROW()-1,60),ROW()-1,FALSE))</f>
        <v>408.25237720000001</v>
      </c>
      <c r="Z326">
        <f ca="1">IF(AND(ISNUMBER($Z$828),$B$511=1),$Z$828,HLOOKUP(INDIRECT(ADDRESS(2,COLUMN())),OFFSET($BN$2,0,0,ROW()-1,60),ROW()-1,FALSE))</f>
        <v>398.61985970000001</v>
      </c>
      <c r="AA326">
        <f ca="1">IF(AND(ISNUMBER($AA$828),$B$511=1),$AA$828,HLOOKUP(INDIRECT(ADDRESS(2,COLUMN())),OFFSET($BN$2,0,0,ROW()-1,60),ROW()-1,FALSE))</f>
        <v>492.94114960000002</v>
      </c>
      <c r="AB326">
        <f ca="1">IF(AND(ISNUMBER($AB$828),$B$511=1),$AB$828,HLOOKUP(INDIRECT(ADDRESS(2,COLUMN())),OFFSET($BN$2,0,0,ROW()-1,60),ROW()-1,FALSE))</f>
        <v>503.09957960000003</v>
      </c>
      <c r="AC326">
        <f ca="1">IF(AND(ISNUMBER($AC$828),$B$511=1),$AC$828,HLOOKUP(INDIRECT(ADDRESS(2,COLUMN())),OFFSET($BN$2,0,0,ROW()-1,60),ROW()-1,FALSE))</f>
        <v>570.46193979999998</v>
      </c>
      <c r="AD326">
        <f ca="1">IF(AND(ISNUMBER($AD$828),$B$511=1),$AD$828,HLOOKUP(INDIRECT(ADDRESS(2,COLUMN())),OFFSET($BN$2,0,0,ROW()-1,60),ROW()-1,FALSE))</f>
        <v>509.62438980000002</v>
      </c>
      <c r="AE326">
        <f ca="1">IF(AND(ISNUMBER($AE$828),$B$511=1),$AE$828,HLOOKUP(INDIRECT(ADDRESS(2,COLUMN())),OFFSET($BN$2,0,0,ROW()-1,60),ROW()-1,FALSE))</f>
        <v>565.95652580000001</v>
      </c>
      <c r="AF326">
        <f ca="1">IF(AND(ISNUMBER($AF$828),$B$511=1),$AF$828,HLOOKUP(INDIRECT(ADDRESS(2,COLUMN())),OFFSET($BN$2,0,0,ROW()-1,60),ROW()-1,FALSE))</f>
        <v>528.59046239999998</v>
      </c>
      <c r="AG326">
        <f ca="1">IF(AND(ISNUMBER($AG$828),$B$511=1),$AG$828,HLOOKUP(INDIRECT(ADDRESS(2,COLUMN())),OFFSET($BN$2,0,0,ROW()-1,60),ROW()-1,FALSE))</f>
        <v>573.5939138</v>
      </c>
      <c r="AH326">
        <f ca="1">IF(AND(ISNUMBER($AH$828),$B$511=1),$AH$828,HLOOKUP(INDIRECT(ADDRESS(2,COLUMN())),OFFSET($BN$2,0,0,ROW()-1,60),ROW()-1,FALSE))</f>
        <v>533.32011950000003</v>
      </c>
      <c r="AI326">
        <f ca="1">IF(AND(ISNUMBER($AI$828),$B$511=1),$AI$828,HLOOKUP(INDIRECT(ADDRESS(2,COLUMN())),OFFSET($BN$2,0,0,ROW()-1,60),ROW()-1,FALSE))</f>
        <v>574.16105340000001</v>
      </c>
      <c r="AJ326">
        <f ca="1">IF(AND(ISNUMBER($AJ$828),$B$511=1),$AJ$828,HLOOKUP(INDIRECT(ADDRESS(2,COLUMN())),OFFSET($BN$2,0,0,ROW()-1,60),ROW()-1,FALSE))</f>
        <v>522.5514518</v>
      </c>
      <c r="AK326">
        <f ca="1">IF(AND(ISNUMBER($AK$828),$B$511=1),$AK$828,HLOOKUP(INDIRECT(ADDRESS(2,COLUMN())),OFFSET($BN$2,0,0,ROW()-1,60),ROW()-1,FALSE))</f>
        <v>554.74894470000004</v>
      </c>
      <c r="AL326">
        <f ca="1">IF(AND(ISNUMBER($AL$828),$B$511=1),$AL$828,HLOOKUP(INDIRECT(ADDRESS(2,COLUMN())),OFFSET($BN$2,0,0,ROW()-1,60),ROW()-1,FALSE))</f>
        <v>510.03088539999999</v>
      </c>
      <c r="AM326">
        <f ca="1">IF(AND(ISNUMBER($AM$828),$B$511=1),$AM$828,HLOOKUP(INDIRECT(ADDRESS(2,COLUMN())),OFFSET($BN$2,0,0,ROW()-1,60),ROW()-1,FALSE))</f>
        <v>546.6678402</v>
      </c>
      <c r="AN326">
        <f ca="1">IF(AND(ISNUMBER($AN$828),$B$511=1),$AN$828,HLOOKUP(INDIRECT(ADDRESS(2,COLUMN())),OFFSET($BN$2,0,0,ROW()-1,60),ROW()-1,FALSE))</f>
        <v>493.95466349999998</v>
      </c>
      <c r="AO326">
        <f ca="1">IF(AND(ISNUMBER($AO$828),$B$511=1),$AO$828,HLOOKUP(INDIRECT(ADDRESS(2,COLUMN())),OFFSET($BN$2,0,0,ROW()-1,60),ROW()-1,FALSE))</f>
        <v>534.18614520000006</v>
      </c>
      <c r="AP326">
        <f ca="1">IF(AND(ISNUMBER($AP$828),$B$511=1),$AP$828,HLOOKUP(INDIRECT(ADDRESS(2,COLUMN())),OFFSET($BN$2,0,0,ROW()-1,60),ROW()-1,FALSE))</f>
        <v>478.01127359999998</v>
      </c>
      <c r="AQ326">
        <f ca="1">IF(AND(ISNUMBER($AQ$828),$B$511=1),$AQ$828,HLOOKUP(INDIRECT(ADDRESS(2,COLUMN())),OFFSET($BN$2,0,0,ROW()-1,60),ROW()-1,FALSE))</f>
        <v>499.51390029999999</v>
      </c>
      <c r="AR326">
        <f ca="1">IF(AND(ISNUMBER($AR$828),$B$511=1),$AR$828,HLOOKUP(INDIRECT(ADDRESS(2,COLUMN())),OFFSET($BN$2,0,0,ROW()-1,60),ROW()-1,FALSE))</f>
        <v>437.91539990000001</v>
      </c>
      <c r="AS326">
        <f ca="1">IF(AND(ISNUMBER($AS$828),$B$511=1),$AS$828,HLOOKUP(INDIRECT(ADDRESS(2,COLUMN())),OFFSET($BN$2,0,0,ROW()-1,60),ROW()-1,FALSE))</f>
        <v>485.5408195</v>
      </c>
      <c r="AT326">
        <f ca="1">IF(AND(ISNUMBER($AT$828),$B$511=1),$AT$828,HLOOKUP(INDIRECT(ADDRESS(2,COLUMN())),OFFSET($BN$2,0,0,ROW()-1,60),ROW()-1,FALSE))</f>
        <v>426.12288519999998</v>
      </c>
      <c r="AU326">
        <f ca="1">IF(AND(ISNUMBER($AU$828),$B$511=1),$AU$828,HLOOKUP(INDIRECT(ADDRESS(2,COLUMN())),OFFSET($BN$2,0,0,ROW()-1,60),ROW()-1,FALSE))</f>
        <v>480.5052354</v>
      </c>
      <c r="AV326">
        <f ca="1">IF(AND(ISNUMBER($AV$828),$B$511=1),$AV$828,HLOOKUP(INDIRECT(ADDRESS(2,COLUMN())),OFFSET($BN$2,0,0,ROW()-1,60),ROW()-1,FALSE))</f>
        <v>433.01742869999998</v>
      </c>
      <c r="AW326">
        <f ca="1">IF(AND(ISNUMBER($AW$828),$B$511=1),$AW$828,HLOOKUP(INDIRECT(ADDRESS(2,COLUMN())),OFFSET($BN$2,0,0,ROW()-1,60),ROW()-1,FALSE))</f>
        <v>479.06320490000002</v>
      </c>
      <c r="AX326">
        <f ca="1">IF(AND(ISNUMBER($AX$828),$B$511=1),$AX$828,HLOOKUP(INDIRECT(ADDRESS(2,COLUMN())),OFFSET($BN$2,0,0,ROW()-1,60),ROW()-1,FALSE))</f>
        <v>431.3540074</v>
      </c>
      <c r="AY326">
        <f ca="1">IF(AND(ISNUMBER($AY$828),$B$511=1),$AY$828,HLOOKUP(INDIRECT(ADDRESS(2,COLUMN())),OFFSET($BN$2,0,0,ROW()-1,60),ROW()-1,FALSE))</f>
        <v>446.8282438</v>
      </c>
      <c r="AZ326">
        <f ca="1">IF(AND(ISNUMBER($AZ$828),$B$511=1),$AZ$828,HLOOKUP(INDIRECT(ADDRESS(2,COLUMN())),OFFSET($BN$2,0,0,ROW()-1,60),ROW()-1,FALSE))</f>
        <v>380.20767119999999</v>
      </c>
      <c r="BA326">
        <f ca="1">IF(AND(ISNUMBER($BA$828),$B$511=1),$BA$828,HLOOKUP(INDIRECT(ADDRESS(2,COLUMN())),OFFSET($BN$2,0,0,ROW()-1,60),ROW()-1,FALSE))</f>
        <v>424.7384318</v>
      </c>
      <c r="BB326">
        <f ca="1">IF(AND(ISNUMBER($BB$828),$B$511=1),$BB$828,HLOOKUP(INDIRECT(ADDRESS(2,COLUMN())),OFFSET($BN$2,0,0,ROW()-1,60),ROW()-1,FALSE))</f>
        <v>374.36485970000001</v>
      </c>
      <c r="BC326">
        <f ca="1">IF(AND(ISNUMBER($BC$828),$B$511=1),$BC$828,HLOOKUP(INDIRECT(ADDRESS(2,COLUMN())),OFFSET($BN$2,0,0,ROW()-1,60),ROW()-1,FALSE))</f>
        <v>412.05079649999999</v>
      </c>
      <c r="BD326">
        <f ca="1">IF(AND(ISNUMBER($BD$828),$B$511=1),$BD$828,HLOOKUP(INDIRECT(ADDRESS(2,COLUMN())),OFFSET($BN$2,0,0,ROW()-1,60),ROW()-1,FALSE))</f>
        <v>365.7507076</v>
      </c>
      <c r="BE326">
        <f ca="1">IF(AND(ISNUMBER($BE$828),$B$511=1),$BE$828,HLOOKUP(INDIRECT(ADDRESS(2,COLUMN())),OFFSET($BN$2,0,0,ROW()-1,60),ROW()-1,FALSE))</f>
        <v>393.79905059999999</v>
      </c>
      <c r="BF326">
        <f ca="1">IF(AND(ISNUMBER($BF$828),$B$511=1),$BF$828,HLOOKUP(INDIRECT(ADDRESS(2,COLUMN())),OFFSET($BN$2,0,0,ROW()-1,60),ROW()-1,FALSE))</f>
        <v>333.11536599999999</v>
      </c>
      <c r="BG326">
        <f ca="1">IF(AND(ISNUMBER($BG$828),$B$511=1),$BG$828,HLOOKUP(INDIRECT(ADDRESS(2,COLUMN())),OFFSET($BN$2,0,0,ROW()-1,60),ROW()-1,FALSE))</f>
        <v>366.07071680000001</v>
      </c>
      <c r="BH326" t="str">
        <f ca="1">IF(AND(ISNUMBER($BH$828),$B$511=1),$BH$828,HLOOKUP(INDIRECT(ADDRESS(2,COLUMN())),OFFSET($BN$2,0,0,ROW()-1,60),ROW()-1,FALSE))</f>
        <v/>
      </c>
      <c r="BI326">
        <f ca="1">IF(AND(ISNUMBER($BI$828),$B$511=1),$BI$828,HLOOKUP(INDIRECT(ADDRESS(2,COLUMN())),OFFSET($BN$2,0,0,ROW()-1,60),ROW()-1,FALSE))</f>
        <v>333.66006240000002</v>
      </c>
      <c r="BJ326" t="str">
        <f ca="1">IF(AND(ISNUMBER($BJ$828),$B$511=1),$BJ$828,HLOOKUP(INDIRECT(ADDRESS(2,COLUMN())),OFFSET($BN$2,0,0,ROW()-1,60),ROW()-1,FALSE))</f>
        <v/>
      </c>
      <c r="BK326">
        <f ca="1">IF(AND(ISNUMBER($BK$828),$B$511=1),$BK$828,HLOOKUP(INDIRECT(ADDRESS(2,COLUMN())),OFFSET($BN$2,0,0,ROW()-1,60),ROW()-1,FALSE))</f>
        <v>326.11119330000002</v>
      </c>
      <c r="BL326" t="str">
        <f ca="1">IF(AND(ISNUMBER($BL$828),$B$511=1),$BL$828,HLOOKUP(INDIRECT(ADDRESS(2,COLUMN())),OFFSET($BN$2,0,0,ROW()-1,60),ROW()-1,FALSE))</f>
        <v/>
      </c>
      <c r="BM326">
        <f ca="1">IF(AND(ISNUMBER($BM$828),$B$511=1),$BM$828,HLOOKUP(INDIRECT(ADDRESS(2,COLUMN())),OFFSET($BN$2,0,0,ROW()-1,60),ROW()-1,FALSE))</f>
        <v>334.44039359999999</v>
      </c>
      <c r="BN326" t="str">
        <f>""</f>
        <v/>
      </c>
      <c r="BO326" t="str">
        <f>""</f>
        <v/>
      </c>
      <c r="BP326">
        <f>-163.5604813</f>
        <v>-163.56048129999999</v>
      </c>
      <c r="BQ326">
        <f>-87.5314653</f>
        <v>-87.531465299999994</v>
      </c>
      <c r="BR326">
        <f>-54.34877924</f>
        <v>-54.348779239999999</v>
      </c>
      <c r="BS326">
        <f>8.819693073</f>
        <v>8.8196930729999998</v>
      </c>
      <c r="BT326">
        <f>59.48379839</f>
        <v>59.483798389999997</v>
      </c>
      <c r="BU326">
        <f>149.5655844</f>
        <v>149.56558440000001</v>
      </c>
      <c r="BV326">
        <f>181.550159</f>
        <v>181.55015900000001</v>
      </c>
      <c r="BW326">
        <f>244.5247529</f>
        <v>244.52475290000001</v>
      </c>
      <c r="BX326">
        <f>78.2626482</f>
        <v>78.262648200000001</v>
      </c>
      <c r="BY326">
        <f>152.3494288</f>
        <v>152.3494288</v>
      </c>
      <c r="BZ326">
        <f>182.2563324</f>
        <v>182.25633239999999</v>
      </c>
      <c r="CA326">
        <f>236.1107255</f>
        <v>236.1107255</v>
      </c>
      <c r="CB326">
        <f>40.85955139</f>
        <v>40.85955139</v>
      </c>
      <c r="CC326">
        <f>133.8095857</f>
        <v>133.80958570000001</v>
      </c>
      <c r="CD326">
        <f>134.1460331</f>
        <v>134.14603310000001</v>
      </c>
      <c r="CE326">
        <f>216.7734792</f>
        <v>216.7734792</v>
      </c>
      <c r="CF326">
        <f>324.5970873</f>
        <v>324.5970873</v>
      </c>
      <c r="CG326">
        <f>408.2523772</f>
        <v>408.25237720000001</v>
      </c>
      <c r="CH326">
        <f>398.6198597</f>
        <v>398.61985970000001</v>
      </c>
      <c r="CI326">
        <f>492.9411496</f>
        <v>492.94114960000002</v>
      </c>
      <c r="CJ326">
        <f>503.0995796</f>
        <v>503.09957960000003</v>
      </c>
      <c r="CK326">
        <f>570.4619398</f>
        <v>570.46193979999998</v>
      </c>
      <c r="CL326">
        <f>509.6243898</f>
        <v>509.62438980000002</v>
      </c>
      <c r="CM326">
        <f>565.9565258</f>
        <v>565.95652580000001</v>
      </c>
      <c r="CN326">
        <f>528.5904624</f>
        <v>528.59046239999998</v>
      </c>
      <c r="CO326">
        <f>573.5939138</f>
        <v>573.5939138</v>
      </c>
      <c r="CP326">
        <f>533.3201195</f>
        <v>533.32011950000003</v>
      </c>
      <c r="CQ326">
        <f>574.1610534</f>
        <v>574.16105340000001</v>
      </c>
      <c r="CR326">
        <f>522.5514518</f>
        <v>522.5514518</v>
      </c>
      <c r="CS326">
        <f>554.7489447</f>
        <v>554.74894470000004</v>
      </c>
      <c r="CT326">
        <f>510.0308854</f>
        <v>510.03088539999999</v>
      </c>
      <c r="CU326">
        <f>546.6678402</f>
        <v>546.6678402</v>
      </c>
      <c r="CV326">
        <f>493.9546635</f>
        <v>493.95466349999998</v>
      </c>
      <c r="CW326">
        <f>534.1861452</f>
        <v>534.18614520000006</v>
      </c>
      <c r="CX326">
        <f>478.0112736</f>
        <v>478.01127359999998</v>
      </c>
      <c r="CY326">
        <f>499.5139003</f>
        <v>499.51390029999999</v>
      </c>
      <c r="CZ326">
        <f>437.9153999</f>
        <v>437.91539990000001</v>
      </c>
      <c r="DA326">
        <f>485.5408195</f>
        <v>485.5408195</v>
      </c>
      <c r="DB326">
        <f>426.1228852</f>
        <v>426.12288519999998</v>
      </c>
      <c r="DC326">
        <f>480.5052354</f>
        <v>480.5052354</v>
      </c>
      <c r="DD326">
        <f>433.0174287</f>
        <v>433.01742869999998</v>
      </c>
      <c r="DE326">
        <f>479.0632049</f>
        <v>479.06320490000002</v>
      </c>
      <c r="DF326">
        <f>431.3540074</f>
        <v>431.3540074</v>
      </c>
      <c r="DG326">
        <f>446.8282438</f>
        <v>446.8282438</v>
      </c>
      <c r="DH326">
        <f>380.2076712</f>
        <v>380.20767119999999</v>
      </c>
      <c r="DI326">
        <f>424.7384318</f>
        <v>424.7384318</v>
      </c>
      <c r="DJ326">
        <f>374.3648597</f>
        <v>374.36485970000001</v>
      </c>
      <c r="DK326">
        <f>412.0507965</f>
        <v>412.05079649999999</v>
      </c>
      <c r="DL326">
        <f>365.7507076</f>
        <v>365.7507076</v>
      </c>
      <c r="DM326">
        <f>393.7990506</f>
        <v>393.79905059999999</v>
      </c>
      <c r="DN326">
        <f>333.115366</f>
        <v>333.11536599999999</v>
      </c>
      <c r="DO326">
        <f>366.0707168</f>
        <v>366.07071680000001</v>
      </c>
      <c r="DP326" t="str">
        <f>""</f>
        <v/>
      </c>
      <c r="DQ326">
        <f>333.6600624</f>
        <v>333.66006240000002</v>
      </c>
      <c r="DR326" t="str">
        <f>""</f>
        <v/>
      </c>
      <c r="DS326">
        <f>326.1111933</f>
        <v>326.11119330000002</v>
      </c>
      <c r="DT326" t="str">
        <f>""</f>
        <v/>
      </c>
      <c r="DU326">
        <f>334.4403936</f>
        <v>334.44039359999999</v>
      </c>
    </row>
    <row r="327" spans="1:125" x14ac:dyDescent="0.25">
      <c r="A327" t="str">
        <f>"    Tofas Turk Otomobil Fabrikasi AS"</f>
        <v xml:space="preserve">    Tofas Turk Otomobil Fabrikasi AS</v>
      </c>
      <c r="B327" t="str">
        <f>"TOASOTRY EO Equity"</f>
        <v>TOASOTRY EO Equity</v>
      </c>
      <c r="C327" t="str">
        <f t="shared" si="21"/>
        <v>RR179</v>
      </c>
      <c r="D327" t="str">
        <f t="shared" si="22"/>
        <v>TANGIBLE_COMMON_EQUITY</v>
      </c>
      <c r="E327" t="str">
        <f t="shared" si="23"/>
        <v>Dynamic</v>
      </c>
      <c r="F327" t="str">
        <f ca="1">IF(AND(ISNUMBER($F$829),$B$511=1),$F$829,HLOOKUP(INDIRECT(ADDRESS(2,COLUMN())),OFFSET($BN$2,0,0,ROW()-1,60),ROW()-1,FALSE))</f>
        <v/>
      </c>
      <c r="G327">
        <f ca="1">IF(AND(ISNUMBER($G$829),$B$511=1),$G$829,HLOOKUP(INDIRECT(ADDRESS(2,COLUMN())),OFFSET($BN$2,0,0,ROW()-1,60),ROW()-1,FALSE))</f>
        <v>402.03636499999999</v>
      </c>
      <c r="H327">
        <f ca="1">IF(AND(ISNUMBER($H$829),$B$511=1),$H$829,HLOOKUP(INDIRECT(ADDRESS(2,COLUMN())),OFFSET($BN$2,0,0,ROW()-1,60),ROW()-1,FALSE))</f>
        <v>224.77388339999999</v>
      </c>
      <c r="I327">
        <f ca="1">IF(AND(ISNUMBER($I$829),$B$511=1),$I$829,HLOOKUP(INDIRECT(ADDRESS(2,COLUMN())),OFFSET($BN$2,0,0,ROW()-1,60),ROW()-1,FALSE))</f>
        <v>349.1056274</v>
      </c>
      <c r="J327">
        <f ca="1">IF(AND(ISNUMBER($J$829),$B$511=1),$J$829,HLOOKUP(INDIRECT(ADDRESS(2,COLUMN())),OFFSET($BN$2,0,0,ROW()-1,60),ROW()-1,FALSE))</f>
        <v>335.66129810000001</v>
      </c>
      <c r="K327">
        <f ca="1">IF(AND(ISNUMBER($K$829),$B$511=1),$K$829,HLOOKUP(INDIRECT(ADDRESS(2,COLUMN())),OFFSET($BN$2,0,0,ROW()-1,60),ROW()-1,FALSE))</f>
        <v>496.19032529999998</v>
      </c>
      <c r="L327">
        <f ca="1">IF(AND(ISNUMBER($L$829),$B$511=1),$L$829,HLOOKUP(INDIRECT(ADDRESS(2,COLUMN())),OFFSET($BN$2,0,0,ROW()-1,60),ROW()-1,FALSE))</f>
        <v>436.18286970000003</v>
      </c>
      <c r="M327">
        <f ca="1">IF(AND(ISNUMBER($M$829),$B$511=1),$M$829,HLOOKUP(INDIRECT(ADDRESS(2,COLUMN())),OFFSET($BN$2,0,0,ROW()-1,60),ROW()-1,FALSE))</f>
        <v>372.63707199999999</v>
      </c>
      <c r="N327">
        <f ca="1">IF(AND(ISNUMBER($N$829),$B$511=1),$N$829,HLOOKUP(INDIRECT(ADDRESS(2,COLUMN())),OFFSET($BN$2,0,0,ROW()-1,60),ROW()-1,FALSE))</f>
        <v>280.05837650000001</v>
      </c>
      <c r="O327">
        <f ca="1">IF(AND(ISNUMBER($O$829),$B$511=1),$O$829,HLOOKUP(INDIRECT(ADDRESS(2,COLUMN())),OFFSET($BN$2,0,0,ROW()-1,60),ROW()-1,FALSE))</f>
        <v>336.809078</v>
      </c>
      <c r="P327">
        <f ca="1">IF(AND(ISNUMBER($P$829),$B$511=1),$P$829,HLOOKUP(INDIRECT(ADDRESS(2,COLUMN())),OFFSET($BN$2,0,0,ROW()-1,60),ROW()-1,FALSE))</f>
        <v>395.08515249999999</v>
      </c>
      <c r="Q327">
        <f ca="1">IF(AND(ISNUMBER($Q$829),$B$511=1),$Q$829,HLOOKUP(INDIRECT(ADDRESS(2,COLUMN())),OFFSET($BN$2,0,0,ROW()-1,60),ROW()-1,FALSE))</f>
        <v>384.6313629</v>
      </c>
      <c r="R327">
        <f ca="1">IF(AND(ISNUMBER($R$829),$B$511=1),$R$829,HLOOKUP(INDIRECT(ADDRESS(2,COLUMN())),OFFSET($BN$2,0,0,ROW()-1,60),ROW()-1,FALSE))</f>
        <v>294.8717221</v>
      </c>
      <c r="S327">
        <f ca="1">IF(AND(ISNUMBER($S$829),$B$511=1),$S$829,HLOOKUP(INDIRECT(ADDRESS(2,COLUMN())),OFFSET($BN$2,0,0,ROW()-1,60),ROW()-1,FALSE))</f>
        <v>445.08673290000002</v>
      </c>
      <c r="T327">
        <f ca="1">IF(AND(ISNUMBER($T$829),$B$511=1),$T$829,HLOOKUP(INDIRECT(ADDRESS(2,COLUMN())),OFFSET($BN$2,0,0,ROW()-1,60),ROW()-1,FALSE))</f>
        <v>380.76603189999997</v>
      </c>
      <c r="U327">
        <f ca="1">IF(AND(ISNUMBER($U$829),$B$511=1),$U$829,HLOOKUP(INDIRECT(ADDRESS(2,COLUMN())),OFFSET($BN$2,0,0,ROW()-1,60),ROW()-1,FALSE))</f>
        <v>434.46817249999998</v>
      </c>
      <c r="V327">
        <f ca="1">IF(AND(ISNUMBER($V$829),$B$511=1),$V$829,HLOOKUP(INDIRECT(ADDRESS(2,COLUMN())),OFFSET($BN$2,0,0,ROW()-1,60),ROW()-1,FALSE))</f>
        <v>392.3097052</v>
      </c>
      <c r="W327">
        <f ca="1">IF(AND(ISNUMBER($W$829),$B$511=1),$W$829,HLOOKUP(INDIRECT(ADDRESS(2,COLUMN())),OFFSET($BN$2,0,0,ROW()-1,60),ROW()-1,FALSE))</f>
        <v>576.15147630000001</v>
      </c>
      <c r="X327">
        <f ca="1">IF(AND(ISNUMBER($X$829),$B$511=1),$X$829,HLOOKUP(INDIRECT(ADDRESS(2,COLUMN())),OFFSET($BN$2,0,0,ROW()-1,60),ROW()-1,FALSE))</f>
        <v>618.78860999999995</v>
      </c>
      <c r="Y327">
        <f ca="1">IF(AND(ISNUMBER($Y$829),$B$511=1),$Y$829,HLOOKUP(INDIRECT(ADDRESS(2,COLUMN())),OFFSET($BN$2,0,0,ROW()-1,60),ROW()-1,FALSE))</f>
        <v>604.31922220000001</v>
      </c>
      <c r="Z327">
        <f ca="1">IF(AND(ISNUMBER($Z$829),$B$511=1),$Z$829,HLOOKUP(INDIRECT(ADDRESS(2,COLUMN())),OFFSET($BN$2,0,0,ROW()-1,60),ROW()-1,FALSE))</f>
        <v>510.2265812</v>
      </c>
      <c r="AA327">
        <f ca="1">IF(AND(ISNUMBER($AA$829),$B$511=1),$AA$829,HLOOKUP(INDIRECT(ADDRESS(2,COLUMN())),OFFSET($BN$2,0,0,ROW()-1,60),ROW()-1,FALSE))</f>
        <v>593.4637209</v>
      </c>
      <c r="AB327">
        <f ca="1">IF(AND(ISNUMBER($AB$829),$B$511=1),$AB$829,HLOOKUP(INDIRECT(ADDRESS(2,COLUMN())),OFFSET($BN$2,0,0,ROW()-1,60),ROW()-1,FALSE))</f>
        <v>580.19842640000002</v>
      </c>
      <c r="AC327">
        <f ca="1">IF(AND(ISNUMBER($AC$829),$B$511=1),$AC$829,HLOOKUP(INDIRECT(ADDRESS(2,COLUMN())),OFFSET($BN$2,0,0,ROW()-1,60),ROW()-1,FALSE))</f>
        <v>572.89938380000001</v>
      </c>
      <c r="AD327">
        <f ca="1">IF(AND(ISNUMBER($AD$829),$B$511=1),$AD$829,HLOOKUP(INDIRECT(ADDRESS(2,COLUMN())),OFFSET($BN$2,0,0,ROW()-1,60),ROW()-1,FALSE))</f>
        <v>575.2326544</v>
      </c>
      <c r="AE327">
        <f ca="1">IF(AND(ISNUMBER($AE$829),$B$511=1),$AE$829,HLOOKUP(INDIRECT(ADDRESS(2,COLUMN())),OFFSET($BN$2,0,0,ROW()-1,60),ROW()-1,FALSE))</f>
        <v>772.40065019999997</v>
      </c>
      <c r="AF327">
        <f ca="1">IF(AND(ISNUMBER($AF$829),$B$511=1),$AF$829,HLOOKUP(INDIRECT(ADDRESS(2,COLUMN())),OFFSET($BN$2,0,0,ROW()-1,60),ROW()-1,FALSE))</f>
        <v>663.46031749999997</v>
      </c>
      <c r="AG327">
        <f ca="1">IF(AND(ISNUMBER($AG$829),$B$511=1),$AG$829,HLOOKUP(INDIRECT(ADDRESS(2,COLUMN())),OFFSET($BN$2,0,0,ROW()-1,60),ROW()-1,FALSE))</f>
        <v>591.84800040000005</v>
      </c>
      <c r="AH327">
        <f ca="1">IF(AND(ISNUMBER($AH$829),$B$511=1),$AH$829,HLOOKUP(INDIRECT(ADDRESS(2,COLUMN())),OFFSET($BN$2,0,0,ROW()-1,60),ROW()-1,FALSE))</f>
        <v>504.89117019999998</v>
      </c>
      <c r="AI327">
        <f ca="1">IF(AND(ISNUMBER($AI$829),$B$511=1),$AI$829,HLOOKUP(INDIRECT(ADDRESS(2,COLUMN())),OFFSET($BN$2,0,0,ROW()-1,60),ROW()-1,FALSE))</f>
        <v>534.39403589999995</v>
      </c>
      <c r="AJ327">
        <f ca="1">IF(AND(ISNUMBER($AJ$829),$B$511=1),$AJ$829,HLOOKUP(INDIRECT(ADDRESS(2,COLUMN())),OFFSET($BN$2,0,0,ROW()-1,60),ROW()-1,FALSE))</f>
        <v>421.78094010000001</v>
      </c>
      <c r="AK327">
        <f ca="1">IF(AND(ISNUMBER($AK$829),$B$511=1),$AK$829,HLOOKUP(INDIRECT(ADDRESS(2,COLUMN())),OFFSET($BN$2,0,0,ROW()-1,60),ROW()-1,FALSE))</f>
        <v>442.65607679999999</v>
      </c>
      <c r="AL327">
        <f ca="1">IF(AND(ISNUMBER($AL$829),$B$511=1),$AL$829,HLOOKUP(INDIRECT(ADDRESS(2,COLUMN())),OFFSET($BN$2,0,0,ROW()-1,60),ROW()-1,FALSE))</f>
        <v>423.21930680000003</v>
      </c>
      <c r="AM327">
        <f ca="1">IF(AND(ISNUMBER($AM$829),$B$511=1),$AM$829,HLOOKUP(INDIRECT(ADDRESS(2,COLUMN())),OFFSET($BN$2,0,0,ROW()-1,60),ROW()-1,FALSE))</f>
        <v>543.40694210000004</v>
      </c>
      <c r="AN327">
        <f ca="1">IF(AND(ISNUMBER($AN$829),$B$511=1),$AN$829,HLOOKUP(INDIRECT(ADDRESS(2,COLUMN())),OFFSET($BN$2,0,0,ROW()-1,60),ROW()-1,FALSE))</f>
        <v>537.25031079999997</v>
      </c>
      <c r="AO327">
        <f ca="1">IF(AND(ISNUMBER($AO$829),$B$511=1),$AO$829,HLOOKUP(INDIRECT(ADDRESS(2,COLUMN())),OFFSET($BN$2,0,0,ROW()-1,60),ROW()-1,FALSE))</f>
        <v>446.63183889999999</v>
      </c>
      <c r="AP327">
        <f ca="1">IF(AND(ISNUMBER($AP$829),$B$511=1),$AP$829,HLOOKUP(INDIRECT(ADDRESS(2,COLUMN())),OFFSET($BN$2,0,0,ROW()-1,60),ROW()-1,FALSE))</f>
        <v>429.44067910000001</v>
      </c>
      <c r="AQ327">
        <f ca="1">IF(AND(ISNUMBER($AQ$829),$B$511=1),$AQ$829,HLOOKUP(INDIRECT(ADDRESS(2,COLUMN())),OFFSET($BN$2,0,0,ROW()-1,60),ROW()-1,FALSE))</f>
        <v>386.28448969999999</v>
      </c>
      <c r="AR327">
        <f ca="1">IF(AND(ISNUMBER($AR$829),$B$511=1),$AR$829,HLOOKUP(INDIRECT(ADDRESS(2,COLUMN())),OFFSET($BN$2,0,0,ROW()-1,60),ROW()-1,FALSE))</f>
        <v>424.98752610000003</v>
      </c>
      <c r="AS327">
        <f ca="1">IF(AND(ISNUMBER($AS$829),$B$511=1),$AS$829,HLOOKUP(INDIRECT(ADDRESS(2,COLUMN())),OFFSET($BN$2,0,0,ROW()-1,60),ROW()-1,FALSE))</f>
        <v>250.07788669999999</v>
      </c>
      <c r="AT327">
        <f ca="1">IF(AND(ISNUMBER($AT$829),$B$511=1),$AT$829,HLOOKUP(INDIRECT(ADDRESS(2,COLUMN())),OFFSET($BN$2,0,0,ROW()-1,60),ROW()-1,FALSE))</f>
        <v>211.1998079</v>
      </c>
      <c r="AU327">
        <f ca="1">IF(AND(ISNUMBER($AU$829),$B$511=1),$AU$829,HLOOKUP(INDIRECT(ADDRESS(2,COLUMN())),OFFSET($BN$2,0,0,ROW()-1,60),ROW()-1,FALSE))</f>
        <v>277.48406399999999</v>
      </c>
      <c r="AV327">
        <f ca="1">IF(AND(ISNUMBER($AV$829),$B$511=1),$AV$829,HLOOKUP(INDIRECT(ADDRESS(2,COLUMN())),OFFSET($BN$2,0,0,ROW()-1,60),ROW()-1,FALSE))</f>
        <v>487.10155200000003</v>
      </c>
      <c r="AW327">
        <f ca="1">IF(AND(ISNUMBER($AW$829),$B$511=1),$AW$829,HLOOKUP(INDIRECT(ADDRESS(2,COLUMN())),OFFSET($BN$2,0,0,ROW()-1,60),ROW()-1,FALSE))</f>
        <v>547.92555359999994</v>
      </c>
      <c r="AX327">
        <f ca="1">IF(AND(ISNUMBER($AX$829),$B$511=1),$AX$829,HLOOKUP(INDIRECT(ADDRESS(2,COLUMN())),OFFSET($BN$2,0,0,ROW()-1,60),ROW()-1,FALSE))</f>
        <v>461.09053779999999</v>
      </c>
      <c r="AY327">
        <f ca="1">IF(AND(ISNUMBER($AY$829),$B$511=1),$AY$829,HLOOKUP(INDIRECT(ADDRESS(2,COLUMN())),OFFSET($BN$2,0,0,ROW()-1,60),ROW()-1,FALSE))</f>
        <v>604.04320710000002</v>
      </c>
      <c r="AZ327">
        <f ca="1">IF(AND(ISNUMBER($AZ$829),$B$511=1),$AZ$829,HLOOKUP(INDIRECT(ADDRESS(2,COLUMN())),OFFSET($BN$2,0,0,ROW()-1,60),ROW()-1,FALSE))</f>
        <v>553.90843610000002</v>
      </c>
      <c r="BA327">
        <f ca="1">IF(AND(ISNUMBER($BA$829),$B$511=1),$BA$829,HLOOKUP(INDIRECT(ADDRESS(2,COLUMN())),OFFSET($BN$2,0,0,ROW()-1,60),ROW()-1,FALSE))</f>
        <v>476.13203229999999</v>
      </c>
      <c r="BB327">
        <f ca="1">IF(AND(ISNUMBER($BB$829),$B$511=1),$BB$829,HLOOKUP(INDIRECT(ADDRESS(2,COLUMN())),OFFSET($BN$2,0,0,ROW()-1,60),ROW()-1,FALSE))</f>
        <v>516.04323780000004</v>
      </c>
      <c r="BC327">
        <f ca="1">IF(AND(ISNUMBER($BC$829),$B$511=1),$BC$829,HLOOKUP(INDIRECT(ADDRESS(2,COLUMN())),OFFSET($BN$2,0,0,ROW()-1,60),ROW()-1,FALSE))</f>
        <v>496.84240240000003</v>
      </c>
      <c r="BD327">
        <f ca="1">IF(AND(ISNUMBER($BD$829),$B$511=1),$BD$829,HLOOKUP(INDIRECT(ADDRESS(2,COLUMN())),OFFSET($BN$2,0,0,ROW()-1,60),ROW()-1,FALSE))</f>
        <v>463.90269699999999</v>
      </c>
      <c r="BE327">
        <f ca="1">IF(AND(ISNUMBER($BE$829),$B$511=1),$BE$829,HLOOKUP(INDIRECT(ADDRESS(2,COLUMN())),OFFSET($BN$2,0,0,ROW()-1,60),ROW()-1,FALSE))</f>
        <v>433.5885293</v>
      </c>
      <c r="BF327">
        <f ca="1">IF(AND(ISNUMBER($BF$829),$B$511=1),$BF$829,HLOOKUP(INDIRECT(ADDRESS(2,COLUMN())),OFFSET($BN$2,0,0,ROW()-1,60),ROW()-1,FALSE))</f>
        <v>659.53240059999996</v>
      </c>
      <c r="BG327">
        <f ca="1">IF(AND(ISNUMBER($BG$829),$B$511=1),$BG$829,HLOOKUP(INDIRECT(ADDRESS(2,COLUMN())),OFFSET($BN$2,0,0,ROW()-1,60),ROW()-1,FALSE))</f>
        <v>662.68354520000003</v>
      </c>
      <c r="BH327">
        <f ca="1">IF(AND(ISNUMBER($BH$829),$B$511=1),$BH$829,HLOOKUP(INDIRECT(ADDRESS(2,COLUMN())),OFFSET($BN$2,0,0,ROW()-1,60),ROW()-1,FALSE))</f>
        <v>733.17892800000004</v>
      </c>
      <c r="BI327">
        <f ca="1">IF(AND(ISNUMBER($BI$829),$B$511=1),$BI$829,HLOOKUP(INDIRECT(ADDRESS(2,COLUMN())),OFFSET($BN$2,0,0,ROW()-1,60),ROW()-1,FALSE))</f>
        <v>719.53082730000006</v>
      </c>
      <c r="BJ327">
        <f ca="1">IF(AND(ISNUMBER($BJ$829),$B$511=1),$BJ$829,HLOOKUP(INDIRECT(ADDRESS(2,COLUMN())),OFFSET($BN$2,0,0,ROW()-1,60),ROW()-1,FALSE))</f>
        <v>664.33988669999997</v>
      </c>
      <c r="BK327" t="str">
        <f ca="1">IF(AND(ISNUMBER($BK$829),$B$511=1),$BK$829,HLOOKUP(INDIRECT(ADDRESS(2,COLUMN())),OFFSET($BN$2,0,0,ROW()-1,60),ROW()-1,FALSE))</f>
        <v/>
      </c>
      <c r="BL327" t="str">
        <f ca="1">IF(AND(ISNUMBER($BL$829),$B$511=1),$BL$829,HLOOKUP(INDIRECT(ADDRESS(2,COLUMN())),OFFSET($BN$2,0,0,ROW()-1,60),ROW()-1,FALSE))</f>
        <v/>
      </c>
      <c r="BM327" t="str">
        <f ca="1">IF(AND(ISNUMBER($BM$829),$B$511=1),$BM$829,HLOOKUP(INDIRECT(ADDRESS(2,COLUMN())),OFFSET($BN$2,0,0,ROW()-1,60),ROW()-1,FALSE))</f>
        <v/>
      </c>
      <c r="BN327" t="str">
        <f>""</f>
        <v/>
      </c>
      <c r="BO327">
        <f>402.036365</f>
        <v>402.03636499999999</v>
      </c>
      <c r="BP327">
        <f>224.7738834</f>
        <v>224.77388339999999</v>
      </c>
      <c r="BQ327">
        <f>349.1056274</f>
        <v>349.1056274</v>
      </c>
      <c r="BR327">
        <f>335.6612981</f>
        <v>335.66129810000001</v>
      </c>
      <c r="BS327">
        <f>496.1903253</f>
        <v>496.19032529999998</v>
      </c>
      <c r="BT327">
        <f>436.1828697</f>
        <v>436.18286970000003</v>
      </c>
      <c r="BU327">
        <f>372.637072</f>
        <v>372.63707199999999</v>
      </c>
      <c r="BV327">
        <f>280.0583765</f>
        <v>280.05837650000001</v>
      </c>
      <c r="BW327">
        <f>336.809078</f>
        <v>336.809078</v>
      </c>
      <c r="BX327">
        <f>395.0851525</f>
        <v>395.08515249999999</v>
      </c>
      <c r="BY327">
        <f>384.6313629</f>
        <v>384.6313629</v>
      </c>
      <c r="BZ327">
        <f>294.8717221</f>
        <v>294.8717221</v>
      </c>
      <c r="CA327">
        <f>445.0867329</f>
        <v>445.08673290000002</v>
      </c>
      <c r="CB327">
        <f>380.7660319</f>
        <v>380.76603189999997</v>
      </c>
      <c r="CC327">
        <f>434.4681725</f>
        <v>434.46817249999998</v>
      </c>
      <c r="CD327">
        <f>392.3097052</f>
        <v>392.3097052</v>
      </c>
      <c r="CE327">
        <f>576.1514763</f>
        <v>576.15147630000001</v>
      </c>
      <c r="CF327">
        <f>618.78861</f>
        <v>618.78860999999995</v>
      </c>
      <c r="CG327">
        <f>604.3192222</f>
        <v>604.31922220000001</v>
      </c>
      <c r="CH327">
        <f>510.2265812</f>
        <v>510.2265812</v>
      </c>
      <c r="CI327">
        <f>593.4637209</f>
        <v>593.4637209</v>
      </c>
      <c r="CJ327">
        <f>580.1984264</f>
        <v>580.19842640000002</v>
      </c>
      <c r="CK327">
        <f>572.8993838</f>
        <v>572.89938380000001</v>
      </c>
      <c r="CL327">
        <f>575.2326544</f>
        <v>575.2326544</v>
      </c>
      <c r="CM327">
        <f>772.4006502</f>
        <v>772.40065019999997</v>
      </c>
      <c r="CN327">
        <f>663.4603175</f>
        <v>663.46031749999997</v>
      </c>
      <c r="CO327">
        <f>591.8480004</f>
        <v>591.84800040000005</v>
      </c>
      <c r="CP327">
        <f>504.8911702</f>
        <v>504.89117019999998</v>
      </c>
      <c r="CQ327">
        <f>534.3940359</f>
        <v>534.39403589999995</v>
      </c>
      <c r="CR327">
        <f>421.7809401</f>
        <v>421.78094010000001</v>
      </c>
      <c r="CS327">
        <f>442.6560768</f>
        <v>442.65607679999999</v>
      </c>
      <c r="CT327">
        <f>423.2193068</f>
        <v>423.21930680000003</v>
      </c>
      <c r="CU327">
        <f>543.4069421</f>
        <v>543.40694210000004</v>
      </c>
      <c r="CV327">
        <f>537.2503108</f>
        <v>537.25031079999997</v>
      </c>
      <c r="CW327">
        <f>446.6318389</f>
        <v>446.63183889999999</v>
      </c>
      <c r="CX327">
        <f>429.4406791</f>
        <v>429.44067910000001</v>
      </c>
      <c r="CY327">
        <f>386.2844897</f>
        <v>386.28448969999999</v>
      </c>
      <c r="CZ327">
        <f>424.9875261</f>
        <v>424.98752610000003</v>
      </c>
      <c r="DA327">
        <f>250.0778867</f>
        <v>250.07788669999999</v>
      </c>
      <c r="DB327">
        <f>211.1998079</f>
        <v>211.1998079</v>
      </c>
      <c r="DC327">
        <f>277.484064</f>
        <v>277.48406399999999</v>
      </c>
      <c r="DD327">
        <f>487.101552</f>
        <v>487.10155200000003</v>
      </c>
      <c r="DE327">
        <f>547.9255536</f>
        <v>547.92555359999994</v>
      </c>
      <c r="DF327">
        <f>461.0905378</f>
        <v>461.09053779999999</v>
      </c>
      <c r="DG327">
        <f>604.0432071</f>
        <v>604.04320710000002</v>
      </c>
      <c r="DH327">
        <f>553.9084361</f>
        <v>553.90843610000002</v>
      </c>
      <c r="DI327">
        <f>476.1320323</f>
        <v>476.13203229999999</v>
      </c>
      <c r="DJ327">
        <f>516.0432378</f>
        <v>516.04323780000004</v>
      </c>
      <c r="DK327">
        <f>496.8424024</f>
        <v>496.84240240000003</v>
      </c>
      <c r="DL327">
        <f>463.902697</f>
        <v>463.90269699999999</v>
      </c>
      <c r="DM327">
        <f>433.5885293</f>
        <v>433.5885293</v>
      </c>
      <c r="DN327">
        <f>659.5324006</f>
        <v>659.53240059999996</v>
      </c>
      <c r="DO327">
        <f>662.6835452</f>
        <v>662.68354520000003</v>
      </c>
      <c r="DP327">
        <f>733.178928</f>
        <v>733.17892800000004</v>
      </c>
      <c r="DQ327">
        <f>719.5308273</f>
        <v>719.53082730000006</v>
      </c>
      <c r="DR327">
        <f>664.3398867</f>
        <v>664.33988669999997</v>
      </c>
      <c r="DS327" t="str">
        <f>""</f>
        <v/>
      </c>
      <c r="DT327" t="str">
        <f>""</f>
        <v/>
      </c>
      <c r="DU327" t="str">
        <f>""</f>
        <v/>
      </c>
    </row>
    <row r="328" spans="1:125" x14ac:dyDescent="0.25">
      <c r="A328" t="str">
        <f>"    Toyota Motor Corp"</f>
        <v xml:space="preserve">    Toyota Motor Corp</v>
      </c>
      <c r="B328" t="str">
        <f>"7203 JP Equity"</f>
        <v>7203 JP Equity</v>
      </c>
      <c r="C328" t="str">
        <f t="shared" si="21"/>
        <v>RR179</v>
      </c>
      <c r="D328" t="str">
        <f t="shared" si="22"/>
        <v>TANGIBLE_COMMON_EQUITY</v>
      </c>
      <c r="E328" t="str">
        <f t="shared" si="23"/>
        <v>Dynamic</v>
      </c>
      <c r="F328" t="str">
        <f ca="1">IF(AND(ISNUMBER($F$830),$B$511=1),$F$830,HLOOKUP(INDIRECT(ADDRESS(2,COLUMN())),OFFSET($BN$2,0,0,ROW()-1,60),ROW()-1,FALSE))</f>
        <v/>
      </c>
      <c r="G328">
        <f ca="1">IF(AND(ISNUMBER($G$830),$B$511=1),$G$830,HLOOKUP(INDIRECT(ADDRESS(2,COLUMN())),OFFSET($BN$2,0,0,ROW()-1,60),ROW()-1,FALSE))</f>
        <v>174076.5913</v>
      </c>
      <c r="H328">
        <f ca="1">IF(AND(ISNUMBER($H$830),$B$511=1),$H$830,HLOOKUP(INDIRECT(ADDRESS(2,COLUMN())),OFFSET($BN$2,0,0,ROW()-1,60),ROW()-1,FALSE))</f>
        <v>171906.5374</v>
      </c>
      <c r="I328">
        <f ca="1">IF(AND(ISNUMBER($I$830),$B$511=1),$I$830,HLOOKUP(INDIRECT(ADDRESS(2,COLUMN())),OFFSET($BN$2,0,0,ROW()-1,60),ROW()-1,FALSE))</f>
        <v>171031.92809999999</v>
      </c>
      <c r="J328">
        <f ca="1">IF(AND(ISNUMBER($J$830),$B$511=1),$J$830,HLOOKUP(INDIRECT(ADDRESS(2,COLUMN())),OFFSET($BN$2,0,0,ROW()-1,60),ROW()-1,FALSE))</f>
        <v>176388.45790000001</v>
      </c>
      <c r="K328">
        <f ca="1">IF(AND(ISNUMBER($K$830),$B$511=1),$K$830,HLOOKUP(INDIRECT(ADDRESS(2,COLUMN())),OFFSET($BN$2,0,0,ROW()-1,60),ROW()-1,FALSE))</f>
        <v>168737.67989999999</v>
      </c>
      <c r="L328">
        <f ca="1">IF(AND(ISNUMBER($L$830),$B$511=1),$L$830,HLOOKUP(INDIRECT(ADDRESS(2,COLUMN())),OFFSET($BN$2,0,0,ROW()-1,60),ROW()-1,FALSE))</f>
        <v>162080.39420000001</v>
      </c>
      <c r="M328">
        <f ca="1">IF(AND(ISNUMBER($M$830),$B$511=1),$M$830,HLOOKUP(INDIRECT(ADDRESS(2,COLUMN())),OFFSET($BN$2,0,0,ROW()-1,60),ROW()-1,FALSE))</f>
        <v>159094.64170000001</v>
      </c>
      <c r="N328">
        <f ca="1">IF(AND(ISNUMBER($N$830),$B$511=1),$N$830,HLOOKUP(INDIRECT(ADDRESS(2,COLUMN())),OFFSET($BN$2,0,0,ROW()-1,60),ROW()-1,FALSE))</f>
        <v>157351.64850000001</v>
      </c>
      <c r="O328" t="str">
        <f ca="1">IF(AND(ISNUMBER($O$830),$B$511=1),$O$830,HLOOKUP(INDIRECT(ADDRESS(2,COLUMN())),OFFSET($BN$2,0,0,ROW()-1,60),ROW()-1,FALSE))</f>
        <v/>
      </c>
      <c r="P328" t="str">
        <f ca="1">IF(AND(ISNUMBER($P$830),$B$511=1),$P$830,HLOOKUP(INDIRECT(ADDRESS(2,COLUMN())),OFFSET($BN$2,0,0,ROW()-1,60),ROW()-1,FALSE))</f>
        <v/>
      </c>
      <c r="Q328" t="str">
        <f ca="1">IF(AND(ISNUMBER($Q$830),$B$511=1),$Q$830,HLOOKUP(INDIRECT(ADDRESS(2,COLUMN())),OFFSET($BN$2,0,0,ROW()-1,60),ROW()-1,FALSE))</f>
        <v/>
      </c>
      <c r="R328">
        <f ca="1">IF(AND(ISNUMBER($R$830),$B$511=1),$R$830,HLOOKUP(INDIRECT(ADDRESS(2,COLUMN())),OFFSET($BN$2,0,0,ROW()-1,60),ROW()-1,FALSE))</f>
        <v>148861.64439999999</v>
      </c>
      <c r="S328" t="str">
        <f ca="1">IF(AND(ISNUMBER($S$830),$B$511=1),$S$830,HLOOKUP(INDIRECT(ADDRESS(2,COLUMN())),OFFSET($BN$2,0,0,ROW()-1,60),ROW()-1,FALSE))</f>
        <v/>
      </c>
      <c r="T328" t="str">
        <f ca="1">IF(AND(ISNUMBER($T$830),$B$511=1),$T$830,HLOOKUP(INDIRECT(ADDRESS(2,COLUMN())),OFFSET($BN$2,0,0,ROW()-1,60),ROW()-1,FALSE))</f>
        <v/>
      </c>
      <c r="U328" t="str">
        <f ca="1">IF(AND(ISNUMBER($U$830),$B$511=1),$U$830,HLOOKUP(INDIRECT(ADDRESS(2,COLUMN())),OFFSET($BN$2,0,0,ROW()-1,60),ROW()-1,FALSE))</f>
        <v/>
      </c>
      <c r="V328">
        <f ca="1">IF(AND(ISNUMBER($V$830),$B$511=1),$V$830,HLOOKUP(INDIRECT(ADDRESS(2,COLUMN())),OFFSET($BN$2,0,0,ROW()-1,60),ROW()-1,FALSE))</f>
        <v>139959.4081</v>
      </c>
      <c r="W328" t="str">
        <f ca="1">IF(AND(ISNUMBER($W$830),$B$511=1),$W$830,HLOOKUP(INDIRECT(ADDRESS(2,COLUMN())),OFFSET($BN$2,0,0,ROW()-1,60),ROW()-1,FALSE))</f>
        <v/>
      </c>
      <c r="X328" t="str">
        <f ca="1">IF(AND(ISNUMBER($X$830),$B$511=1),$X$830,HLOOKUP(INDIRECT(ADDRESS(2,COLUMN())),OFFSET($BN$2,0,0,ROW()-1,60),ROW()-1,FALSE))</f>
        <v/>
      </c>
      <c r="Y328" t="str">
        <f ca="1">IF(AND(ISNUMBER($Y$830),$B$511=1),$Y$830,HLOOKUP(INDIRECT(ADDRESS(2,COLUMN())),OFFSET($BN$2,0,0,ROW()-1,60),ROW()-1,FALSE))</f>
        <v/>
      </c>
      <c r="Z328">
        <f ca="1">IF(AND(ISNUMBER($Z$830),$B$511=1),$Z$830,HLOOKUP(INDIRECT(ADDRESS(2,COLUMN())),OFFSET($BN$2,0,0,ROW()-1,60),ROW()-1,FALSE))</f>
        <v>140381.76000000001</v>
      </c>
      <c r="AA328" t="str">
        <f ca="1">IF(AND(ISNUMBER($AA$830),$B$511=1),$AA$830,HLOOKUP(INDIRECT(ADDRESS(2,COLUMN())),OFFSET($BN$2,0,0,ROW()-1,60),ROW()-1,FALSE))</f>
        <v/>
      </c>
      <c r="AB328" t="str">
        <f ca="1">IF(AND(ISNUMBER($AB$830),$B$511=1),$AB$830,HLOOKUP(INDIRECT(ADDRESS(2,COLUMN())),OFFSET($BN$2,0,0,ROW()-1,60),ROW()-1,FALSE))</f>
        <v/>
      </c>
      <c r="AC328" t="str">
        <f ca="1">IF(AND(ISNUMBER($AC$830),$B$511=1),$AC$830,HLOOKUP(INDIRECT(ADDRESS(2,COLUMN())),OFFSET($BN$2,0,0,ROW()-1,60),ROW()-1,FALSE))</f>
        <v/>
      </c>
      <c r="AD328">
        <f ca="1">IF(AND(ISNUMBER($AD$830),$B$511=1),$AD$830,HLOOKUP(INDIRECT(ADDRESS(2,COLUMN())),OFFSET($BN$2,0,0,ROW()-1,60),ROW()-1,FALSE))</f>
        <v>128932.65760000001</v>
      </c>
      <c r="AE328" t="str">
        <f ca="1">IF(AND(ISNUMBER($AE$830),$B$511=1),$AE$830,HLOOKUP(INDIRECT(ADDRESS(2,COLUMN())),OFFSET($BN$2,0,0,ROW()-1,60),ROW()-1,FALSE))</f>
        <v/>
      </c>
      <c r="AF328" t="str">
        <f ca="1">IF(AND(ISNUMBER($AF$830),$B$511=1),$AF$830,HLOOKUP(INDIRECT(ADDRESS(2,COLUMN())),OFFSET($BN$2,0,0,ROW()-1,60),ROW()-1,FALSE))</f>
        <v/>
      </c>
      <c r="AG328" t="str">
        <f ca="1">IF(AND(ISNUMBER($AG$830),$B$511=1),$AG$830,HLOOKUP(INDIRECT(ADDRESS(2,COLUMN())),OFFSET($BN$2,0,0,ROW()-1,60),ROW()-1,FALSE))</f>
        <v/>
      </c>
      <c r="AH328">
        <f ca="1">IF(AND(ISNUMBER($AH$830),$B$511=1),$AH$830,HLOOKUP(INDIRECT(ADDRESS(2,COLUMN())),OFFSET($BN$2,0,0,ROW()-1,60),ROW()-1,FALSE))</f>
        <v>127680.7576</v>
      </c>
      <c r="AI328" t="str">
        <f ca="1">IF(AND(ISNUMBER($AI$830),$B$511=1),$AI$830,HLOOKUP(INDIRECT(ADDRESS(2,COLUMN())),OFFSET($BN$2,0,0,ROW()-1,60),ROW()-1,FALSE))</f>
        <v/>
      </c>
      <c r="AJ328" t="str">
        <f ca="1">IF(AND(ISNUMBER($AJ$830),$B$511=1),$AJ$830,HLOOKUP(INDIRECT(ADDRESS(2,COLUMN())),OFFSET($BN$2,0,0,ROW()-1,60),ROW()-1,FALSE))</f>
        <v/>
      </c>
      <c r="AK328" t="str">
        <f ca="1">IF(AND(ISNUMBER($AK$830),$B$511=1),$AK$830,HLOOKUP(INDIRECT(ADDRESS(2,COLUMN())),OFFSET($BN$2,0,0,ROW()-1,60),ROW()-1,FALSE))</f>
        <v/>
      </c>
      <c r="AL328">
        <f ca="1">IF(AND(ISNUMBER($AL$830),$B$511=1),$AL$830,HLOOKUP(INDIRECT(ADDRESS(2,COLUMN())),OFFSET($BN$2,0,0,ROW()-1,60),ROW()-1,FALSE))</f>
        <v>124741.893</v>
      </c>
      <c r="AM328" t="str">
        <f ca="1">IF(AND(ISNUMBER($AM$830),$B$511=1),$AM$830,HLOOKUP(INDIRECT(ADDRESS(2,COLUMN())),OFFSET($BN$2,0,0,ROW()-1,60),ROW()-1,FALSE))</f>
        <v/>
      </c>
      <c r="AN328" t="str">
        <f ca="1">IF(AND(ISNUMBER($AN$830),$B$511=1),$AN$830,HLOOKUP(INDIRECT(ADDRESS(2,COLUMN())),OFFSET($BN$2,0,0,ROW()-1,60),ROW()-1,FALSE))</f>
        <v/>
      </c>
      <c r="AO328" t="str">
        <f ca="1">IF(AND(ISNUMBER($AO$830),$B$511=1),$AO$830,HLOOKUP(INDIRECT(ADDRESS(2,COLUMN())),OFFSET($BN$2,0,0,ROW()-1,60),ROW()-1,FALSE))</f>
        <v/>
      </c>
      <c r="AP328">
        <f ca="1">IF(AND(ISNUMBER($AP$830),$B$511=1),$AP$830,HLOOKUP(INDIRECT(ADDRESS(2,COLUMN())),OFFSET($BN$2,0,0,ROW()-1,60),ROW()-1,FALSE))</f>
        <v>110870.3232</v>
      </c>
      <c r="AQ328" t="str">
        <f ca="1">IF(AND(ISNUMBER($AQ$830),$B$511=1),$AQ$830,HLOOKUP(INDIRECT(ADDRESS(2,COLUMN())),OFFSET($BN$2,0,0,ROW()-1,60),ROW()-1,FALSE))</f>
        <v/>
      </c>
      <c r="AR328" t="str">
        <f ca="1">IF(AND(ISNUMBER($AR$830),$B$511=1),$AR$830,HLOOKUP(INDIRECT(ADDRESS(2,COLUMN())),OFFSET($BN$2,0,0,ROW()-1,60),ROW()-1,FALSE))</f>
        <v/>
      </c>
      <c r="AS328" t="str">
        <f ca="1">IF(AND(ISNUMBER($AS$830),$B$511=1),$AS$830,HLOOKUP(INDIRECT(ADDRESS(2,COLUMN())),OFFSET($BN$2,0,0,ROW()-1,60),ROW()-1,FALSE))</f>
        <v/>
      </c>
      <c r="AT328">
        <f ca="1">IF(AND(ISNUMBER($AT$830),$B$511=1),$AT$830,HLOOKUP(INDIRECT(ADDRESS(2,COLUMN())),OFFSET($BN$2,0,0,ROW()-1,60),ROW()-1,FALSE))</f>
        <v>101270.32709999999</v>
      </c>
      <c r="AU328" t="str">
        <f ca="1">IF(AND(ISNUMBER($AU$830),$B$511=1),$AU$830,HLOOKUP(INDIRECT(ADDRESS(2,COLUMN())),OFFSET($BN$2,0,0,ROW()-1,60),ROW()-1,FALSE))</f>
        <v/>
      </c>
      <c r="AV328" t="str">
        <f ca="1">IF(AND(ISNUMBER($AV$830),$B$511=1),$AV$830,HLOOKUP(INDIRECT(ADDRESS(2,COLUMN())),OFFSET($BN$2,0,0,ROW()-1,60),ROW()-1,FALSE))</f>
        <v/>
      </c>
      <c r="AW328" t="str">
        <f ca="1">IF(AND(ISNUMBER($AW$830),$B$511=1),$AW$830,HLOOKUP(INDIRECT(ADDRESS(2,COLUMN())),OFFSET($BN$2,0,0,ROW()-1,60),ROW()-1,FALSE))</f>
        <v/>
      </c>
      <c r="AX328" t="str">
        <f ca="1">IF(AND(ISNUMBER($AX$830),$B$511=1),$AX$830,HLOOKUP(INDIRECT(ADDRESS(2,COLUMN())),OFFSET($BN$2,0,0,ROW()-1,60),ROW()-1,FALSE))</f>
        <v/>
      </c>
      <c r="AY328" t="str">
        <f ca="1">IF(AND(ISNUMBER($AY$830),$B$511=1),$AY$830,HLOOKUP(INDIRECT(ADDRESS(2,COLUMN())),OFFSET($BN$2,0,0,ROW()-1,60),ROW()-1,FALSE))</f>
        <v/>
      </c>
      <c r="AZ328" t="str">
        <f ca="1">IF(AND(ISNUMBER($AZ$830),$B$511=1),$AZ$830,HLOOKUP(INDIRECT(ADDRESS(2,COLUMN())),OFFSET($BN$2,0,0,ROW()-1,60),ROW()-1,FALSE))</f>
        <v/>
      </c>
      <c r="BA328" t="str">
        <f ca="1">IF(AND(ISNUMBER($BA$830),$B$511=1),$BA$830,HLOOKUP(INDIRECT(ADDRESS(2,COLUMN())),OFFSET($BN$2,0,0,ROW()-1,60),ROW()-1,FALSE))</f>
        <v/>
      </c>
      <c r="BB328" t="str">
        <f ca="1">IF(AND(ISNUMBER($BB$830),$B$511=1),$BB$830,HLOOKUP(INDIRECT(ADDRESS(2,COLUMN())),OFFSET($BN$2,0,0,ROW()-1,60),ROW()-1,FALSE))</f>
        <v/>
      </c>
      <c r="BC328" t="str">
        <f ca="1">IF(AND(ISNUMBER($BC$830),$B$511=1),$BC$830,HLOOKUP(INDIRECT(ADDRESS(2,COLUMN())),OFFSET($BN$2,0,0,ROW()-1,60),ROW()-1,FALSE))</f>
        <v/>
      </c>
      <c r="BD328">
        <f ca="1">IF(AND(ISNUMBER($BD$830),$B$511=1),$BD$830,HLOOKUP(INDIRECT(ADDRESS(2,COLUMN())),OFFSET($BN$2,0,0,ROW()-1,60),ROW()-1,FALSE))</f>
        <v>93158.235889999996</v>
      </c>
      <c r="BE328" t="str">
        <f ca="1">IF(AND(ISNUMBER($BE$830),$B$511=1),$BE$830,HLOOKUP(INDIRECT(ADDRESS(2,COLUMN())),OFFSET($BN$2,0,0,ROW()-1,60),ROW()-1,FALSE))</f>
        <v/>
      </c>
      <c r="BF328" t="str">
        <f ca="1">IF(AND(ISNUMBER($BF$830),$B$511=1),$BF$830,HLOOKUP(INDIRECT(ADDRESS(2,COLUMN())),OFFSET($BN$2,0,0,ROW()-1,60),ROW()-1,FALSE))</f>
        <v/>
      </c>
      <c r="BG328" t="str">
        <f ca="1">IF(AND(ISNUMBER($BG$830),$B$511=1),$BG$830,HLOOKUP(INDIRECT(ADDRESS(2,COLUMN())),OFFSET($BN$2,0,0,ROW()-1,60),ROW()-1,FALSE))</f>
        <v/>
      </c>
      <c r="BH328" t="str">
        <f ca="1">IF(AND(ISNUMBER($BH$830),$B$511=1),$BH$830,HLOOKUP(INDIRECT(ADDRESS(2,COLUMN())),OFFSET($BN$2,0,0,ROW()-1,60),ROW()-1,FALSE))</f>
        <v/>
      </c>
      <c r="BI328" t="str">
        <f ca="1">IF(AND(ISNUMBER($BI$830),$B$511=1),$BI$830,HLOOKUP(INDIRECT(ADDRESS(2,COLUMN())),OFFSET($BN$2,0,0,ROW()-1,60),ROW()-1,FALSE))</f>
        <v/>
      </c>
      <c r="BJ328" t="str">
        <f ca="1">IF(AND(ISNUMBER($BJ$830),$B$511=1),$BJ$830,HLOOKUP(INDIRECT(ADDRESS(2,COLUMN())),OFFSET($BN$2,0,0,ROW()-1,60),ROW()-1,FALSE))</f>
        <v/>
      </c>
      <c r="BK328" t="str">
        <f ca="1">IF(AND(ISNUMBER($BK$830),$B$511=1),$BK$830,HLOOKUP(INDIRECT(ADDRESS(2,COLUMN())),OFFSET($BN$2,0,0,ROW()-1,60),ROW()-1,FALSE))</f>
        <v/>
      </c>
      <c r="BL328" t="str">
        <f ca="1">IF(AND(ISNUMBER($BL$830),$B$511=1),$BL$830,HLOOKUP(INDIRECT(ADDRESS(2,COLUMN())),OFFSET($BN$2,0,0,ROW()-1,60),ROW()-1,FALSE))</f>
        <v/>
      </c>
      <c r="BM328" t="str">
        <f ca="1">IF(AND(ISNUMBER($BM$830),$B$511=1),$BM$830,HLOOKUP(INDIRECT(ADDRESS(2,COLUMN())),OFFSET($BN$2,0,0,ROW()-1,60),ROW()-1,FALSE))</f>
        <v/>
      </c>
      <c r="BN328" t="str">
        <f>""</f>
        <v/>
      </c>
      <c r="BO328">
        <f>174076.5913</f>
        <v>174076.5913</v>
      </c>
      <c r="BP328">
        <f>171906.5374</f>
        <v>171906.5374</v>
      </c>
      <c r="BQ328">
        <f>171031.9281</f>
        <v>171031.92809999999</v>
      </c>
      <c r="BR328">
        <f>176388.4579</f>
        <v>176388.45790000001</v>
      </c>
      <c r="BS328">
        <f>168737.6799</f>
        <v>168737.67989999999</v>
      </c>
      <c r="BT328">
        <f>162080.3942</f>
        <v>162080.39420000001</v>
      </c>
      <c r="BU328">
        <f>159094.6417</f>
        <v>159094.64170000001</v>
      </c>
      <c r="BV328">
        <f>157351.6485</f>
        <v>157351.64850000001</v>
      </c>
      <c r="BW328" t="str">
        <f>""</f>
        <v/>
      </c>
      <c r="BX328" t="str">
        <f>""</f>
        <v/>
      </c>
      <c r="BY328" t="str">
        <f>""</f>
        <v/>
      </c>
      <c r="BZ328">
        <f>148861.6444</f>
        <v>148861.64439999999</v>
      </c>
      <c r="CA328" t="str">
        <f>""</f>
        <v/>
      </c>
      <c r="CB328" t="str">
        <f>""</f>
        <v/>
      </c>
      <c r="CC328" t="str">
        <f>""</f>
        <v/>
      </c>
      <c r="CD328">
        <f>139959.4081</f>
        <v>139959.4081</v>
      </c>
      <c r="CE328" t="str">
        <f>""</f>
        <v/>
      </c>
      <c r="CF328" t="str">
        <f>""</f>
        <v/>
      </c>
      <c r="CG328" t="str">
        <f>""</f>
        <v/>
      </c>
      <c r="CH328">
        <f>140381.76</f>
        <v>140381.76000000001</v>
      </c>
      <c r="CI328" t="str">
        <f>""</f>
        <v/>
      </c>
      <c r="CJ328" t="str">
        <f>""</f>
        <v/>
      </c>
      <c r="CK328" t="str">
        <f>""</f>
        <v/>
      </c>
      <c r="CL328">
        <f>128932.6576</f>
        <v>128932.65760000001</v>
      </c>
      <c r="CM328" t="str">
        <f>""</f>
        <v/>
      </c>
      <c r="CN328" t="str">
        <f>""</f>
        <v/>
      </c>
      <c r="CO328" t="str">
        <f>""</f>
        <v/>
      </c>
      <c r="CP328">
        <f>127680.7576</f>
        <v>127680.7576</v>
      </c>
      <c r="CQ328" t="str">
        <f>""</f>
        <v/>
      </c>
      <c r="CR328" t="str">
        <f>""</f>
        <v/>
      </c>
      <c r="CS328" t="str">
        <f>""</f>
        <v/>
      </c>
      <c r="CT328">
        <f>124741.893</f>
        <v>124741.893</v>
      </c>
      <c r="CU328" t="str">
        <f>""</f>
        <v/>
      </c>
      <c r="CV328" t="str">
        <f>""</f>
        <v/>
      </c>
      <c r="CW328" t="str">
        <f>""</f>
        <v/>
      </c>
      <c r="CX328">
        <f>110870.3232</f>
        <v>110870.3232</v>
      </c>
      <c r="CY328" t="str">
        <f>""</f>
        <v/>
      </c>
      <c r="CZ328" t="str">
        <f>""</f>
        <v/>
      </c>
      <c r="DA328" t="str">
        <f>""</f>
        <v/>
      </c>
      <c r="DB328">
        <f>101270.3271</f>
        <v>101270.32709999999</v>
      </c>
      <c r="DC328" t="str">
        <f>""</f>
        <v/>
      </c>
      <c r="DD328" t="str">
        <f>""</f>
        <v/>
      </c>
      <c r="DE328" t="str">
        <f>""</f>
        <v/>
      </c>
      <c r="DF328" t="str">
        <f>""</f>
        <v/>
      </c>
      <c r="DG328" t="str">
        <f>""</f>
        <v/>
      </c>
      <c r="DH328" t="str">
        <f>""</f>
        <v/>
      </c>
      <c r="DI328" t="str">
        <f>""</f>
        <v/>
      </c>
      <c r="DJ328" t="str">
        <f>""</f>
        <v/>
      </c>
      <c r="DK328" t="str">
        <f>""</f>
        <v/>
      </c>
      <c r="DL328">
        <f>93158.23589</f>
        <v>93158.235889999996</v>
      </c>
      <c r="DM328" t="str">
        <f>""</f>
        <v/>
      </c>
      <c r="DN328" t="str">
        <f>""</f>
        <v/>
      </c>
      <c r="DO328" t="str">
        <f>""</f>
        <v/>
      </c>
      <c r="DP328" t="str">
        <f>""</f>
        <v/>
      </c>
      <c r="DQ328" t="str">
        <f>""</f>
        <v/>
      </c>
      <c r="DR328" t="str">
        <f>""</f>
        <v/>
      </c>
      <c r="DS328" t="str">
        <f>""</f>
        <v/>
      </c>
      <c r="DT328" t="str">
        <f>""</f>
        <v/>
      </c>
      <c r="DU328" t="str">
        <f>""</f>
        <v/>
      </c>
    </row>
    <row r="329" spans="1:125" x14ac:dyDescent="0.25">
      <c r="A329" t="str">
        <f>"    Volkswagen AG"</f>
        <v xml:space="preserve">    Volkswagen AG</v>
      </c>
      <c r="B329" t="str">
        <f>"VOW GR Equity"</f>
        <v>VOW GR Equity</v>
      </c>
      <c r="C329" t="str">
        <f t="shared" si="21"/>
        <v>RR179</v>
      </c>
      <c r="D329" t="str">
        <f t="shared" si="22"/>
        <v>TANGIBLE_COMMON_EQUITY</v>
      </c>
      <c r="E329" t="str">
        <f t="shared" si="23"/>
        <v>Dynamic</v>
      </c>
      <c r="F329" t="str">
        <f ca="1">IF(AND(ISNUMBER($F$831),$B$511=1),$F$831,HLOOKUP(INDIRECT(ADDRESS(2,COLUMN())),OFFSET($BN$2,0,0,ROW()-1,60),ROW()-1,FALSE))</f>
        <v/>
      </c>
      <c r="G329" t="str">
        <f ca="1">IF(AND(ISNUMBER($G$831),$B$511=1),$G$831,HLOOKUP(INDIRECT(ADDRESS(2,COLUMN())),OFFSET($BN$2,0,0,ROW()-1,60),ROW()-1,FALSE))</f>
        <v/>
      </c>
      <c r="H329">
        <f ca="1">IF(AND(ISNUMBER($H$831),$B$511=1),$H$831,HLOOKUP(INDIRECT(ADDRESS(2,COLUMN())),OFFSET($BN$2,0,0,ROW()-1,60),ROW()-1,FALSE))</f>
        <v>44292.311800000003</v>
      </c>
      <c r="I329">
        <f ca="1">IF(AND(ISNUMBER($I$831),$B$511=1),$I$831,HLOOKUP(INDIRECT(ADDRESS(2,COLUMN())),OFFSET($BN$2,0,0,ROW()-1,60),ROW()-1,FALSE))</f>
        <v>42336.131200000003</v>
      </c>
      <c r="J329">
        <f ca="1">IF(AND(ISNUMBER($J$831),$B$511=1),$J$831,HLOOKUP(INDIRECT(ADDRESS(2,COLUMN())),OFFSET($BN$2,0,0,ROW()-1,60),ROW()-1,FALSE))</f>
        <v>44447.463900000002</v>
      </c>
      <c r="K329">
        <f ca="1">IF(AND(ISNUMBER($K$831),$B$511=1),$K$831,HLOOKUP(INDIRECT(ADDRESS(2,COLUMN())),OFFSET($BN$2,0,0,ROW()-1,60),ROW()-1,FALSE))</f>
        <v>41284.750200000002</v>
      </c>
      <c r="L329">
        <f ca="1">IF(AND(ISNUMBER($L$831),$B$511=1),$L$831,HLOOKUP(INDIRECT(ADDRESS(2,COLUMN())),OFFSET($BN$2,0,0,ROW()-1,60),ROW()-1,FALSE))</f>
        <v>36619.987800000003</v>
      </c>
      <c r="M329">
        <f ca="1">IF(AND(ISNUMBER($M$831),$B$511=1),$M$831,HLOOKUP(INDIRECT(ADDRESS(2,COLUMN())),OFFSET($BN$2,0,0,ROW()-1,60),ROW()-1,FALSE))</f>
        <v>34249.271699999998</v>
      </c>
      <c r="N329">
        <f ca="1">IF(AND(ISNUMBER($N$831),$B$511=1),$N$831,HLOOKUP(INDIRECT(ADDRESS(2,COLUMN())),OFFSET($BN$2,0,0,ROW()-1,60),ROW()-1,FALSE))</f>
        <v>36734.5677</v>
      </c>
      <c r="O329">
        <f ca="1">IF(AND(ISNUMBER($O$831),$B$511=1),$O$831,HLOOKUP(INDIRECT(ADDRESS(2,COLUMN())),OFFSET($BN$2,0,0,ROW()-1,60),ROW()-1,FALSE))</f>
        <v>23755.008099999999</v>
      </c>
      <c r="P329">
        <f ca="1">IF(AND(ISNUMBER($P$831),$B$511=1),$P$831,HLOOKUP(INDIRECT(ADDRESS(2,COLUMN())),OFFSET($BN$2,0,0,ROW()-1,60),ROW()-1,FALSE))</f>
        <v>23619.220799999999</v>
      </c>
      <c r="Q329">
        <f ca="1">IF(AND(ISNUMBER($Q$831),$B$511=1),$Q$831,HLOOKUP(INDIRECT(ADDRESS(2,COLUMN())),OFFSET($BN$2,0,0,ROW()-1,60),ROW()-1,FALSE))</f>
        <v>21783.912899999999</v>
      </c>
      <c r="R329">
        <f ca="1">IF(AND(ISNUMBER($R$831),$B$511=1),$R$831,HLOOKUP(INDIRECT(ADDRESS(2,COLUMN())),OFFSET($BN$2,0,0,ROW()-1,60),ROW()-1,FALSE))</f>
        <v>23407.3027</v>
      </c>
      <c r="S329">
        <f ca="1">IF(AND(ISNUMBER($S$831),$B$511=1),$S$831,HLOOKUP(INDIRECT(ADDRESS(2,COLUMN())),OFFSET($BN$2,0,0,ROW()-1,60),ROW()-1,FALSE))</f>
        <v>21028.969799999999</v>
      </c>
      <c r="T329">
        <f ca="1">IF(AND(ISNUMBER($T$831),$B$511=1),$T$831,HLOOKUP(INDIRECT(ADDRESS(2,COLUMN())),OFFSET($BN$2,0,0,ROW()-1,60),ROW()-1,FALSE))</f>
        <v>28822.7232</v>
      </c>
      <c r="U329">
        <f ca="1">IF(AND(ISNUMBER($U$831),$B$511=1),$U$831,HLOOKUP(INDIRECT(ADDRESS(2,COLUMN())),OFFSET($BN$2,0,0,ROW()-1,60),ROW()-1,FALSE))</f>
        <v>31316.508699999998</v>
      </c>
      <c r="V329">
        <f ca="1">IF(AND(ISNUMBER($V$831),$B$511=1),$V$831,HLOOKUP(INDIRECT(ADDRESS(2,COLUMN())),OFFSET($BN$2,0,0,ROW()-1,60),ROW()-1,FALSE))</f>
        <v>22877.46</v>
      </c>
      <c r="W329">
        <f ca="1">IF(AND(ISNUMBER($W$831),$B$511=1),$W$831,HLOOKUP(INDIRECT(ADDRESS(2,COLUMN())),OFFSET($BN$2,0,0,ROW()-1,60),ROW()-1,FALSE))</f>
        <v>30268.15</v>
      </c>
      <c r="X329">
        <f ca="1">IF(AND(ISNUMBER($X$831),$B$511=1),$X$831,HLOOKUP(INDIRECT(ADDRESS(2,COLUMN())),OFFSET($BN$2,0,0,ROW()-1,60),ROW()-1,FALSE))</f>
        <v>32740.682499999999</v>
      </c>
      <c r="Y329">
        <f ca="1">IF(AND(ISNUMBER($Y$831),$B$511=1),$Y$831,HLOOKUP(INDIRECT(ADDRESS(2,COLUMN())),OFFSET($BN$2,0,0,ROW()-1,60),ROW()-1,FALSE))</f>
        <v>33860.845999999998</v>
      </c>
      <c r="Z329">
        <f ca="1">IF(AND(ISNUMBER($Z$831),$B$511=1),$Z$831,HLOOKUP(INDIRECT(ADDRESS(2,COLUMN())),OFFSET($BN$2,0,0,ROW()-1,60),ROW()-1,FALSE))</f>
        <v>28251.880799999999</v>
      </c>
      <c r="AA329">
        <f ca="1">IF(AND(ISNUMBER($AA$831),$B$511=1),$AA$831,HLOOKUP(INDIRECT(ADDRESS(2,COLUMN())),OFFSET($BN$2,0,0,ROW()-1,60),ROW()-1,FALSE))</f>
        <v>36521.545400000003</v>
      </c>
      <c r="AB329">
        <f ca="1">IF(AND(ISNUMBER($AB$831),$B$511=1),$AB$831,HLOOKUP(INDIRECT(ADDRESS(2,COLUMN())),OFFSET($BN$2,0,0,ROW()-1,60),ROW()-1,FALSE))</f>
        <v>33490.578099999999</v>
      </c>
      <c r="AC329">
        <f ca="1">IF(AND(ISNUMBER($AC$831),$B$511=1),$AC$831,HLOOKUP(INDIRECT(ADDRESS(2,COLUMN())),OFFSET($BN$2,0,0,ROW()-1,60),ROW()-1,FALSE))</f>
        <v>29378.294999999998</v>
      </c>
      <c r="AD329">
        <f ca="1">IF(AND(ISNUMBER($AD$831),$B$511=1),$AD$831,HLOOKUP(INDIRECT(ADDRESS(2,COLUMN())),OFFSET($BN$2,0,0,ROW()-1,60),ROW()-1,FALSE))</f>
        <v>26792.991900000001</v>
      </c>
      <c r="AE329">
        <f ca="1">IF(AND(ISNUMBER($AE$831),$B$511=1),$AE$831,HLOOKUP(INDIRECT(ADDRESS(2,COLUMN())),OFFSET($BN$2,0,0,ROW()-1,60),ROW()-1,FALSE))</f>
        <v>24508.148700000002</v>
      </c>
      <c r="AF329">
        <f ca="1">IF(AND(ISNUMBER($AF$831),$B$511=1),$AF$831,HLOOKUP(INDIRECT(ADDRESS(2,COLUMN())),OFFSET($BN$2,0,0,ROW()-1,60),ROW()-1,FALSE))</f>
        <v>19337.176800000001</v>
      </c>
      <c r="AG329">
        <f ca="1">IF(AND(ISNUMBER($AG$831),$B$511=1),$AG$831,HLOOKUP(INDIRECT(ADDRESS(2,COLUMN())),OFFSET($BN$2,0,0,ROW()-1,60),ROW()-1,FALSE))</f>
        <v>50817.801899999999</v>
      </c>
      <c r="AH329">
        <f ca="1">IF(AND(ISNUMBER($AH$831),$B$511=1),$AH$831,HLOOKUP(INDIRECT(ADDRESS(2,COLUMN())),OFFSET($BN$2,0,0,ROW()-1,60),ROW()-1,FALSE))</f>
        <v>51564.176399999997</v>
      </c>
      <c r="AI329">
        <f ca="1">IF(AND(ISNUMBER($AI$831),$B$511=1),$AI$831,HLOOKUP(INDIRECT(ADDRESS(2,COLUMN())),OFFSET($BN$2,0,0,ROW()-1,60),ROW()-1,FALSE))</f>
        <v>45830.447999999997</v>
      </c>
      <c r="AJ329">
        <f ca="1">IF(AND(ISNUMBER($AJ$831),$B$511=1),$AJ$831,HLOOKUP(INDIRECT(ADDRESS(2,COLUMN())),OFFSET($BN$2,0,0,ROW()-1,60),ROW()-1,FALSE))</f>
        <v>58860.893400000001</v>
      </c>
      <c r="AK329">
        <f ca="1">IF(AND(ISNUMBER($AK$831),$B$511=1),$AK$831,HLOOKUP(INDIRECT(ADDRESS(2,COLUMN())),OFFSET($BN$2,0,0,ROW()-1,60),ROW()-1,FALSE))</f>
        <v>56750.061000000002</v>
      </c>
      <c r="AL329">
        <f ca="1">IF(AND(ISNUMBER($AL$831),$B$511=1),$AL$831,HLOOKUP(INDIRECT(ADDRESS(2,COLUMN())),OFFSET($BN$2,0,0,ROW()-1,60),ROW()-1,FALSE))</f>
        <v>49821.09</v>
      </c>
      <c r="AM329">
        <f ca="1">IF(AND(ISNUMBER($AM$831),$B$511=1),$AM$831,HLOOKUP(INDIRECT(ADDRESS(2,COLUMN())),OFFSET($BN$2,0,0,ROW()-1,60),ROW()-1,FALSE))</f>
        <v>43939.388400000003</v>
      </c>
      <c r="AN329">
        <f ca="1">IF(AND(ISNUMBER($AN$831),$B$511=1),$AN$831,HLOOKUP(INDIRECT(ADDRESS(2,COLUMN())),OFFSET($BN$2,0,0,ROW()-1,60),ROW()-1,FALSE))</f>
        <v>39769.038</v>
      </c>
      <c r="AO329">
        <f ca="1">IF(AND(ISNUMBER($AO$831),$B$511=1),$AO$831,HLOOKUP(INDIRECT(ADDRESS(2,COLUMN())),OFFSET($BN$2,0,0,ROW()-1,60),ROW()-1,FALSE))</f>
        <v>31455.1391</v>
      </c>
      <c r="AP329">
        <f ca="1">IF(AND(ISNUMBER($AP$831),$B$511=1),$AP$831,HLOOKUP(INDIRECT(ADDRESS(2,COLUMN())),OFFSET($BN$2,0,0,ROW()-1,60),ROW()-1,FALSE))</f>
        <v>35800.198199999999</v>
      </c>
      <c r="AQ329">
        <f ca="1">IF(AND(ISNUMBER($AQ$831),$B$511=1),$AQ$831,HLOOKUP(INDIRECT(ADDRESS(2,COLUMN())),OFFSET($BN$2,0,0,ROW()-1,60),ROW()-1,FALSE))</f>
        <v>32064.179400000001</v>
      </c>
      <c r="AR329">
        <f ca="1">IF(AND(ISNUMBER($AR$831),$B$511=1),$AR$831,HLOOKUP(INDIRECT(ADDRESS(2,COLUMN())),OFFSET($BN$2,0,0,ROW()-1,60),ROW()-1,FALSE))</f>
        <v>32860.356299999999</v>
      </c>
      <c r="AS329">
        <f ca="1">IF(AND(ISNUMBER($AS$831),$B$511=1),$AS$831,HLOOKUP(INDIRECT(ADDRESS(2,COLUMN())),OFFSET($BN$2,0,0,ROW()-1,60),ROW()-1,FALSE))</f>
        <v>30846.775000000001</v>
      </c>
      <c r="AT329">
        <f ca="1">IF(AND(ISNUMBER($AT$831),$B$511=1),$AT$831,HLOOKUP(INDIRECT(ADDRESS(2,COLUMN())),OFFSET($BN$2,0,0,ROW()-1,60),ROW()-1,FALSE))</f>
        <v>29852.561399999999</v>
      </c>
      <c r="AU329">
        <f ca="1">IF(AND(ISNUMBER($AU$831),$B$511=1),$AU$831,HLOOKUP(INDIRECT(ADDRESS(2,COLUMN())),OFFSET($BN$2,0,0,ROW()-1,60),ROW()-1,FALSE))</f>
        <v>31701.216</v>
      </c>
      <c r="AV329">
        <f ca="1">IF(AND(ISNUMBER($AV$831),$B$511=1),$AV$831,HLOOKUP(INDIRECT(ADDRESS(2,COLUMN())),OFFSET($BN$2,0,0,ROW()-1,60),ROW()-1,FALSE))</f>
        <v>31853.863600000001</v>
      </c>
      <c r="AW329">
        <f ca="1">IF(AND(ISNUMBER($AW$831),$B$511=1),$AW$831,HLOOKUP(INDIRECT(ADDRESS(2,COLUMN())),OFFSET($BN$2,0,0,ROW()-1,60),ROW()-1,FALSE))</f>
        <v>44226.027999999998</v>
      </c>
      <c r="AX329">
        <f ca="1">IF(AND(ISNUMBER($AX$831),$B$511=1),$AX$831,HLOOKUP(INDIRECT(ADDRESS(2,COLUMN())),OFFSET($BN$2,0,0,ROW()-1,60),ROW()-1,FALSE))</f>
        <v>42451.907700000003</v>
      </c>
      <c r="AY329">
        <f ca="1">IF(AND(ISNUMBER($AY$831),$B$511=1),$AY$831,HLOOKUP(INDIRECT(ADDRESS(2,COLUMN())),OFFSET($BN$2,0,0,ROW()-1,60),ROW()-1,FALSE))</f>
        <v>36523.123500000002</v>
      </c>
      <c r="AZ329">
        <f ca="1">IF(AND(ISNUMBER($AZ$831),$B$511=1),$AZ$831,HLOOKUP(INDIRECT(ADDRESS(2,COLUMN())),OFFSET($BN$2,0,0,ROW()-1,60),ROW()-1,FALSE))</f>
        <v>32918.4375</v>
      </c>
      <c r="BA329">
        <f ca="1">IF(AND(ISNUMBER($BA$831),$B$511=1),$BA$831,HLOOKUP(INDIRECT(ADDRESS(2,COLUMN())),OFFSET($BN$2,0,0,ROW()-1,60),ROW()-1,FALSE))</f>
        <v>29558.869200000001</v>
      </c>
      <c r="BB329">
        <f ca="1">IF(AND(ISNUMBER($BB$831),$B$511=1),$BB$831,HLOOKUP(INDIRECT(ADDRESS(2,COLUMN())),OFFSET($BN$2,0,0,ROW()-1,60),ROW()-1,FALSE))</f>
        <v>27430.606500000002</v>
      </c>
      <c r="BC329">
        <f ca="1">IF(AND(ISNUMBER($BC$831),$B$511=1),$BC$831,HLOOKUP(INDIRECT(ADDRESS(2,COLUMN())),OFFSET($BN$2,0,0,ROW()-1,60),ROW()-1,FALSE))</f>
        <v>25996.837899999999</v>
      </c>
      <c r="BD329">
        <f ca="1">IF(AND(ISNUMBER($BD$831),$B$511=1),$BD$831,HLOOKUP(INDIRECT(ADDRESS(2,COLUMN())),OFFSET($BN$2,0,0,ROW()-1,60),ROW()-1,FALSE))</f>
        <v>22412.356199999998</v>
      </c>
      <c r="BE329">
        <f ca="1">IF(AND(ISNUMBER($BE$831),$B$511=1),$BE$831,HLOOKUP(INDIRECT(ADDRESS(2,COLUMN())),OFFSET($BN$2,0,0,ROW()-1,60),ROW()-1,FALSE))</f>
        <v>22339.230500000001</v>
      </c>
      <c r="BF329">
        <f ca="1">IF(AND(ISNUMBER($BF$831),$B$511=1),$BF$831,HLOOKUP(INDIRECT(ADDRESS(2,COLUMN())),OFFSET($BN$2,0,0,ROW()-1,60),ROW()-1,FALSE))</f>
        <v>20189.584800000001</v>
      </c>
      <c r="BG329">
        <f ca="1">IF(AND(ISNUMBER($BG$831),$B$511=1),$BG$831,HLOOKUP(INDIRECT(ADDRESS(2,COLUMN())),OFFSET($BN$2,0,0,ROW()-1,60),ROW()-1,FALSE))</f>
        <v>18852.335599999999</v>
      </c>
      <c r="BH329">
        <f ca="1">IF(AND(ISNUMBER($BH$831),$B$511=1),$BH$831,HLOOKUP(INDIRECT(ADDRESS(2,COLUMN())),OFFSET($BN$2,0,0,ROW()-1,60),ROW()-1,FALSE))</f>
        <v>20831.148000000001</v>
      </c>
      <c r="BI329">
        <f ca="1">IF(AND(ISNUMBER($BI$831),$B$511=1),$BI$831,HLOOKUP(INDIRECT(ADDRESS(2,COLUMN())),OFFSET($BN$2,0,0,ROW()-1,60),ROW()-1,FALSE))</f>
        <v>20160.698</v>
      </c>
      <c r="BJ329">
        <f ca="1">IF(AND(ISNUMBER($BJ$831),$B$511=1),$BJ$831,HLOOKUP(INDIRECT(ADDRESS(2,COLUMN())),OFFSET($BN$2,0,0,ROW()-1,60),ROW()-1,FALSE))</f>
        <v>21416.651999999998</v>
      </c>
      <c r="BK329">
        <f ca="1">IF(AND(ISNUMBER($BK$831),$B$511=1),$BK$831,HLOOKUP(INDIRECT(ADDRESS(2,COLUMN())),OFFSET($BN$2,0,0,ROW()-1,60),ROW()-1,FALSE))</f>
        <v>20529.206399999999</v>
      </c>
      <c r="BL329">
        <f ca="1">IF(AND(ISNUMBER($BL$831),$B$511=1),$BL$831,HLOOKUP(INDIRECT(ADDRESS(2,COLUMN())),OFFSET($BN$2,0,0,ROW()-1,60),ROW()-1,FALSE))</f>
        <v>20002.866000000002</v>
      </c>
      <c r="BM329">
        <f ca="1">IF(AND(ISNUMBER($BM$831),$B$511=1),$BM$831,HLOOKUP(INDIRECT(ADDRESS(2,COLUMN())),OFFSET($BN$2,0,0,ROW()-1,60),ROW()-1,FALSE))</f>
        <v>19730.816599999998</v>
      </c>
      <c r="BN329" t="str">
        <f>""</f>
        <v/>
      </c>
      <c r="BO329" t="str">
        <f>""</f>
        <v/>
      </c>
      <c r="BP329">
        <f>44292.3118</f>
        <v>44292.311800000003</v>
      </c>
      <c r="BQ329">
        <f>42336.1312</f>
        <v>42336.131200000003</v>
      </c>
      <c r="BR329">
        <f>44447.4639</f>
        <v>44447.463900000002</v>
      </c>
      <c r="BS329">
        <f>41284.7502</f>
        <v>41284.750200000002</v>
      </c>
      <c r="BT329">
        <f>36619.9878</f>
        <v>36619.987800000003</v>
      </c>
      <c r="BU329">
        <f>34249.2717</f>
        <v>34249.271699999998</v>
      </c>
      <c r="BV329">
        <f>36734.5677</f>
        <v>36734.5677</v>
      </c>
      <c r="BW329">
        <f>23755.0081</f>
        <v>23755.008099999999</v>
      </c>
      <c r="BX329">
        <f>23619.2208</f>
        <v>23619.220799999999</v>
      </c>
      <c r="BY329">
        <f>21783.9129</f>
        <v>21783.912899999999</v>
      </c>
      <c r="BZ329">
        <f>23407.3027</f>
        <v>23407.3027</v>
      </c>
      <c r="CA329">
        <f>21028.9698</f>
        <v>21028.969799999999</v>
      </c>
      <c r="CB329">
        <f>28822.7232</f>
        <v>28822.7232</v>
      </c>
      <c r="CC329">
        <f>31316.5087</f>
        <v>31316.508699999998</v>
      </c>
      <c r="CD329">
        <f>22877.46</f>
        <v>22877.46</v>
      </c>
      <c r="CE329">
        <f>30268.15</f>
        <v>30268.15</v>
      </c>
      <c r="CF329">
        <f>32740.6825</f>
        <v>32740.682499999999</v>
      </c>
      <c r="CG329">
        <f>33860.846</f>
        <v>33860.845999999998</v>
      </c>
      <c r="CH329">
        <f>28251.8808</f>
        <v>28251.880799999999</v>
      </c>
      <c r="CI329">
        <f>36521.5454</f>
        <v>36521.545400000003</v>
      </c>
      <c r="CJ329">
        <f>33490.5781</f>
        <v>33490.578099999999</v>
      </c>
      <c r="CK329">
        <f>29378.295</f>
        <v>29378.294999999998</v>
      </c>
      <c r="CL329">
        <f>26792.9919</f>
        <v>26792.991900000001</v>
      </c>
      <c r="CM329">
        <f>24508.1487</f>
        <v>24508.148700000002</v>
      </c>
      <c r="CN329">
        <f>19337.1768</f>
        <v>19337.176800000001</v>
      </c>
      <c r="CO329">
        <f>50817.8019</f>
        <v>50817.801899999999</v>
      </c>
      <c r="CP329">
        <f>51564.1763999999</f>
        <v>51564.176399999997</v>
      </c>
      <c r="CQ329">
        <f>45830.448</f>
        <v>45830.447999999997</v>
      </c>
      <c r="CR329">
        <f>58860.8934</f>
        <v>58860.893400000001</v>
      </c>
      <c r="CS329">
        <f>56750.061</f>
        <v>56750.061000000002</v>
      </c>
      <c r="CT329">
        <f>49821.09</f>
        <v>49821.09</v>
      </c>
      <c r="CU329">
        <f>43939.3884</f>
        <v>43939.388400000003</v>
      </c>
      <c r="CV329">
        <f>39769.038</f>
        <v>39769.038</v>
      </c>
      <c r="CW329">
        <f>31455.1391</f>
        <v>31455.1391</v>
      </c>
      <c r="CX329">
        <f>35800.1982</f>
        <v>35800.198199999999</v>
      </c>
      <c r="CY329">
        <f>32064.1794</f>
        <v>32064.179400000001</v>
      </c>
      <c r="CZ329">
        <f>32860.3563</f>
        <v>32860.356299999999</v>
      </c>
      <c r="DA329">
        <f>30846.775</f>
        <v>30846.775000000001</v>
      </c>
      <c r="DB329">
        <f>29852.5614</f>
        <v>29852.561399999999</v>
      </c>
      <c r="DC329">
        <f>31701.216</f>
        <v>31701.216</v>
      </c>
      <c r="DD329">
        <f>31853.8636</f>
        <v>31853.863600000001</v>
      </c>
      <c r="DE329">
        <f>44226.028</f>
        <v>44226.027999999998</v>
      </c>
      <c r="DF329">
        <f>42451.9077</f>
        <v>42451.907700000003</v>
      </c>
      <c r="DG329">
        <f>36523.1235</f>
        <v>36523.123500000002</v>
      </c>
      <c r="DH329">
        <f>32918.4375</f>
        <v>32918.4375</v>
      </c>
      <c r="DI329">
        <f>29558.8692</f>
        <v>29558.869200000001</v>
      </c>
      <c r="DJ329">
        <f>27430.6065</f>
        <v>27430.606500000002</v>
      </c>
      <c r="DK329">
        <f>25996.8379</f>
        <v>25996.837899999999</v>
      </c>
      <c r="DL329">
        <f>22412.3562</f>
        <v>22412.356199999998</v>
      </c>
      <c r="DM329">
        <f>22339.2305</f>
        <v>22339.230500000001</v>
      </c>
      <c r="DN329">
        <f>20189.5848</f>
        <v>20189.584800000001</v>
      </c>
      <c r="DO329">
        <f>18852.3356</f>
        <v>18852.335599999999</v>
      </c>
      <c r="DP329">
        <f>20831.148</f>
        <v>20831.148000000001</v>
      </c>
      <c r="DQ329">
        <f>20160.698</f>
        <v>20160.698</v>
      </c>
      <c r="DR329">
        <f>21416.652</f>
        <v>21416.651999999998</v>
      </c>
      <c r="DS329">
        <f>20529.2064</f>
        <v>20529.206399999999</v>
      </c>
      <c r="DT329">
        <f>20002.866</f>
        <v>20002.866000000002</v>
      </c>
      <c r="DU329">
        <f>19730.8166</f>
        <v>19730.816599999998</v>
      </c>
    </row>
    <row r="330" spans="1:125" x14ac:dyDescent="0.25">
      <c r="A330" t="str">
        <f>"    Yulon Motor Co Ltd"</f>
        <v xml:space="preserve">    Yulon Motor Co Ltd</v>
      </c>
      <c r="B330" t="str">
        <f>"2201 TT Equity"</f>
        <v>2201 TT Equity</v>
      </c>
      <c r="C330" t="str">
        <f t="shared" si="21"/>
        <v>RR179</v>
      </c>
      <c r="D330" t="str">
        <f t="shared" si="22"/>
        <v>TANGIBLE_COMMON_EQUITY</v>
      </c>
      <c r="E330" t="str">
        <f t="shared" si="23"/>
        <v>Dynamic</v>
      </c>
      <c r="F330" t="str">
        <f ca="1">IF(AND(ISNUMBER($F$832),$B$511=1),$F$832,HLOOKUP(INDIRECT(ADDRESS(2,COLUMN())),OFFSET($BN$2,0,0,ROW()-1,60),ROW()-1,FALSE))</f>
        <v/>
      </c>
      <c r="G330" t="str">
        <f ca="1">IF(AND(ISNUMBER($G$832),$B$511=1),$G$832,HLOOKUP(INDIRECT(ADDRESS(2,COLUMN())),OFFSET($BN$2,0,0,ROW()-1,60),ROW()-1,FALSE))</f>
        <v/>
      </c>
      <c r="H330">
        <f ca="1">IF(AND(ISNUMBER($H$832),$B$511=1),$H$832,HLOOKUP(INDIRECT(ADDRESS(2,COLUMN())),OFFSET($BN$2,0,0,ROW()-1,60),ROW()-1,FALSE))</f>
        <v>2133.8046250000002</v>
      </c>
      <c r="I330">
        <f ca="1">IF(AND(ISNUMBER($I$832),$B$511=1),$I$832,HLOOKUP(INDIRECT(ADDRESS(2,COLUMN())),OFFSET($BN$2,0,0,ROW()-1,60),ROW()-1,FALSE))</f>
        <v>2146.3875480000002</v>
      </c>
      <c r="J330">
        <f ca="1">IF(AND(ISNUMBER($J$832),$B$511=1),$J$832,HLOOKUP(INDIRECT(ADDRESS(2,COLUMN())),OFFSET($BN$2,0,0,ROW()-1,60),ROW()-1,FALSE))</f>
        <v>2269.3575059999998</v>
      </c>
      <c r="K330">
        <f ca="1">IF(AND(ISNUMBER($K$832),$B$511=1),$K$832,HLOOKUP(INDIRECT(ADDRESS(2,COLUMN())),OFFSET($BN$2,0,0,ROW()-1,60),ROW()-1,FALSE))</f>
        <v>2142.0106510000001</v>
      </c>
      <c r="L330">
        <f ca="1">IF(AND(ISNUMBER($L$832),$B$511=1),$L$832,HLOOKUP(INDIRECT(ADDRESS(2,COLUMN())),OFFSET($BN$2,0,0,ROW()-1,60),ROW()-1,FALSE))</f>
        <v>2145.5716360000001</v>
      </c>
      <c r="M330">
        <f ca="1">IF(AND(ISNUMBER($M$832),$B$511=1),$M$832,HLOOKUP(INDIRECT(ADDRESS(2,COLUMN())),OFFSET($BN$2,0,0,ROW()-1,60),ROW()-1,FALSE))</f>
        <v>2102.7923030000002</v>
      </c>
      <c r="N330">
        <f ca="1">IF(AND(ISNUMBER($N$832),$B$511=1),$N$832,HLOOKUP(INDIRECT(ADDRESS(2,COLUMN())),OFFSET($BN$2,0,0,ROW()-1,60),ROW()-1,FALSE))</f>
        <v>2102.63816</v>
      </c>
      <c r="O330">
        <f ca="1">IF(AND(ISNUMBER($O$832),$B$511=1),$O$832,HLOOKUP(INDIRECT(ADDRESS(2,COLUMN())),OFFSET($BN$2,0,0,ROW()-1,60),ROW()-1,FALSE))</f>
        <v>1962.8775659999999</v>
      </c>
      <c r="P330">
        <f ca="1">IF(AND(ISNUMBER($P$832),$B$511=1),$P$832,HLOOKUP(INDIRECT(ADDRESS(2,COLUMN())),OFFSET($BN$2,0,0,ROW()-1,60),ROW()-1,FALSE))</f>
        <v>2065.6898369999999</v>
      </c>
      <c r="Q330">
        <f ca="1">IF(AND(ISNUMBER($Q$832),$B$511=1),$Q$832,HLOOKUP(INDIRECT(ADDRESS(2,COLUMN())),OFFSET($BN$2,0,0,ROW()-1,60),ROW()-1,FALSE))</f>
        <v>2003.150206</v>
      </c>
      <c r="R330">
        <f ca="1">IF(AND(ISNUMBER($R$832),$B$511=1),$R$832,HLOOKUP(INDIRECT(ADDRESS(2,COLUMN())),OFFSET($BN$2,0,0,ROW()-1,60),ROW()-1,FALSE))</f>
        <v>2036.830522</v>
      </c>
      <c r="S330">
        <f ca="1">IF(AND(ISNUMBER($S$832),$B$511=1),$S$832,HLOOKUP(INDIRECT(ADDRESS(2,COLUMN())),OFFSET($BN$2,0,0,ROW()-1,60),ROW()-1,FALSE))</f>
        <v>1973.902358</v>
      </c>
      <c r="T330">
        <f ca="1">IF(AND(ISNUMBER($T$832),$B$511=1),$T$832,HLOOKUP(INDIRECT(ADDRESS(2,COLUMN())),OFFSET($BN$2,0,0,ROW()-1,60),ROW()-1,FALSE))</f>
        <v>1933.1554610000001</v>
      </c>
      <c r="U330">
        <f ca="1">IF(AND(ISNUMBER($U$832),$B$511=1),$U$832,HLOOKUP(INDIRECT(ADDRESS(2,COLUMN())),OFFSET($BN$2,0,0,ROW()-1,60),ROW()-1,FALSE))</f>
        <v>2054.3412330000001</v>
      </c>
      <c r="V330">
        <f ca="1">IF(AND(ISNUMBER($V$832),$B$511=1),$V$832,HLOOKUP(INDIRECT(ADDRESS(2,COLUMN())),OFFSET($BN$2,0,0,ROW()-1,60),ROW()-1,FALSE))</f>
        <v>2043.897418</v>
      </c>
      <c r="W330">
        <f ca="1">IF(AND(ISNUMBER($W$832),$B$511=1),$W$832,HLOOKUP(INDIRECT(ADDRESS(2,COLUMN())),OFFSET($BN$2,0,0,ROW()-1,60),ROW()-1,FALSE))</f>
        <v>1980.013884</v>
      </c>
      <c r="X330">
        <f ca="1">IF(AND(ISNUMBER($X$832),$B$511=1),$X$832,HLOOKUP(INDIRECT(ADDRESS(2,COLUMN())),OFFSET($BN$2,0,0,ROW()-1,60),ROW()-1,FALSE))</f>
        <v>2174.882208</v>
      </c>
      <c r="Y330">
        <f ca="1">IF(AND(ISNUMBER($Y$832),$B$511=1),$Y$832,HLOOKUP(INDIRECT(ADDRESS(2,COLUMN())),OFFSET($BN$2,0,0,ROW()-1,60),ROW()-1,FALSE))</f>
        <v>2162.2476729999998</v>
      </c>
      <c r="Z330">
        <f ca="1">IF(AND(ISNUMBER($Z$832),$B$511=1),$Z$832,HLOOKUP(INDIRECT(ADDRESS(2,COLUMN())),OFFSET($BN$2,0,0,ROW()-1,60),ROW()-1,FALSE))</f>
        <v>2151.961417</v>
      </c>
      <c r="AA330">
        <f ca="1">IF(AND(ISNUMBER($AA$832),$B$511=1),$AA$832,HLOOKUP(INDIRECT(ADDRESS(2,COLUMN())),OFFSET($BN$2,0,0,ROW()-1,60),ROW()-1,FALSE))</f>
        <v>2156.634403</v>
      </c>
      <c r="AB330">
        <f ca="1">IF(AND(ISNUMBER($AB$832),$B$511=1),$AB$832,HLOOKUP(INDIRECT(ADDRESS(2,COLUMN())),OFFSET($BN$2,0,0,ROW()-1,60),ROW()-1,FALSE))</f>
        <v>2192.96272</v>
      </c>
      <c r="AC330">
        <f ca="1">IF(AND(ISNUMBER($AC$832),$B$511=1),$AC$832,HLOOKUP(INDIRECT(ADDRESS(2,COLUMN())),OFFSET($BN$2,0,0,ROW()-1,60),ROW()-1,FALSE))</f>
        <v>2144.563013</v>
      </c>
      <c r="AD330">
        <f ca="1">IF(AND(ISNUMBER($AD$832),$B$511=1),$AD$832,HLOOKUP(INDIRECT(ADDRESS(2,COLUMN())),OFFSET($BN$2,0,0,ROW()-1,60),ROW()-1,FALSE))</f>
        <v>1949.0315000000001</v>
      </c>
      <c r="AE330">
        <f ca="1">IF(AND(ISNUMBER($AE$832),$B$511=1),$AE$832,HLOOKUP(INDIRECT(ADDRESS(2,COLUMN())),OFFSET($BN$2,0,0,ROW()-1,60),ROW()-1,FALSE))</f>
        <v>1945.3345159999999</v>
      </c>
      <c r="AF330">
        <f ca="1">IF(AND(ISNUMBER($AF$832),$B$511=1),$AF$832,HLOOKUP(INDIRECT(ADDRESS(2,COLUMN())),OFFSET($BN$2,0,0,ROW()-1,60),ROW()-1,FALSE))</f>
        <v>2017.976506</v>
      </c>
      <c r="AG330">
        <f ca="1">IF(AND(ISNUMBER($AG$832),$B$511=1),$AG$832,HLOOKUP(INDIRECT(ADDRESS(2,COLUMN())),OFFSET($BN$2,0,0,ROW()-1,60),ROW()-1,FALSE))</f>
        <v>1959.136485</v>
      </c>
      <c r="AH330">
        <f ca="1">IF(AND(ISNUMBER($AH$832),$B$511=1),$AH$832,HLOOKUP(INDIRECT(ADDRESS(2,COLUMN())),OFFSET($BN$2,0,0,ROW()-1,60),ROW()-1,FALSE))</f>
        <v>2013.27746</v>
      </c>
      <c r="AI330">
        <f ca="1">IF(AND(ISNUMBER($AI$832),$B$511=1),$AI$832,HLOOKUP(INDIRECT(ADDRESS(2,COLUMN())),OFFSET($BN$2,0,0,ROW()-1,60),ROW()-1,FALSE))</f>
        <v>1909.2023569999999</v>
      </c>
      <c r="AJ330">
        <f ca="1">IF(AND(ISNUMBER($AJ$832),$B$511=1),$AJ$832,HLOOKUP(INDIRECT(ADDRESS(2,COLUMN())),OFFSET($BN$2,0,0,ROW()-1,60),ROW()-1,FALSE))</f>
        <v>1995.504576</v>
      </c>
      <c r="AK330">
        <f ca="1">IF(AND(ISNUMBER($AK$832),$B$511=1),$AK$832,HLOOKUP(INDIRECT(ADDRESS(2,COLUMN())),OFFSET($BN$2,0,0,ROW()-1,60),ROW()-1,FALSE))</f>
        <v>2068.8860279999999</v>
      </c>
      <c r="AL330">
        <f ca="1">IF(AND(ISNUMBER($AL$832),$B$511=1),$AL$832,HLOOKUP(INDIRECT(ADDRESS(2,COLUMN())),OFFSET($BN$2,0,0,ROW()-1,60),ROW()-1,FALSE))</f>
        <v>2013.1302459999999</v>
      </c>
      <c r="AM330">
        <f ca="1">IF(AND(ISNUMBER($AM$832),$B$511=1),$AM$832,HLOOKUP(INDIRECT(ADDRESS(2,COLUMN())),OFFSET($BN$2,0,0,ROW()-1,60),ROW()-1,FALSE))</f>
        <v>2041.972802</v>
      </c>
      <c r="AN330">
        <f ca="1">IF(AND(ISNUMBER($AN$832),$B$511=1),$AN$832,HLOOKUP(INDIRECT(ADDRESS(2,COLUMN())),OFFSET($BN$2,0,0,ROW()-1,60),ROW()-1,FALSE))</f>
        <v>1925.923018</v>
      </c>
      <c r="AO330">
        <f ca="1">IF(AND(ISNUMBER($AO$832),$B$511=1),$AO$832,HLOOKUP(INDIRECT(ADDRESS(2,COLUMN())),OFFSET($BN$2,0,0,ROW()-1,60),ROW()-1,FALSE))</f>
        <v>1847.8790610000001</v>
      </c>
      <c r="AP330">
        <f ca="1">IF(AND(ISNUMBER($AP$832),$B$511=1),$AP$832,HLOOKUP(INDIRECT(ADDRESS(2,COLUMN())),OFFSET($BN$2,0,0,ROW()-1,60),ROW()-1,FALSE))</f>
        <v>1859.6879409999999</v>
      </c>
      <c r="AQ330">
        <f ca="1">IF(AND(ISNUMBER($AQ$832),$B$511=1),$AQ$832,HLOOKUP(INDIRECT(ADDRESS(2,COLUMN())),OFFSET($BN$2,0,0,ROW()-1,60),ROW()-1,FALSE))</f>
        <v>1807.348788</v>
      </c>
      <c r="AR330">
        <f ca="1">IF(AND(ISNUMBER($AR$832),$B$511=1),$AR$832,HLOOKUP(INDIRECT(ADDRESS(2,COLUMN())),OFFSET($BN$2,0,0,ROW()-1,60),ROW()-1,FALSE))</f>
        <v>1805.1381730000001</v>
      </c>
      <c r="AS330">
        <f ca="1">IF(AND(ISNUMBER($AS$832),$B$511=1),$AS$832,HLOOKUP(INDIRECT(ADDRESS(2,COLUMN())),OFFSET($BN$2,0,0,ROW()-1,60),ROW()-1,FALSE))</f>
        <v>1746.6492229999999</v>
      </c>
      <c r="AT330">
        <f ca="1">IF(AND(ISNUMBER($AT$832),$B$511=1),$AT$832,HLOOKUP(INDIRECT(ADDRESS(2,COLUMN())),OFFSET($BN$2,0,0,ROW()-1,60),ROW()-1,FALSE))</f>
        <v>1676.473667</v>
      </c>
      <c r="AU330">
        <f ca="1">IF(AND(ISNUMBER($AU$832),$B$511=1),$AU$832,HLOOKUP(INDIRECT(ADDRESS(2,COLUMN())),OFFSET($BN$2,0,0,ROW()-1,60),ROW()-1,FALSE))</f>
        <v>1714.5794330000001</v>
      </c>
      <c r="AV330">
        <f ca="1">IF(AND(ISNUMBER($AV$832),$B$511=1),$AV$832,HLOOKUP(INDIRECT(ADDRESS(2,COLUMN())),OFFSET($BN$2,0,0,ROW()-1,60),ROW()-1,FALSE))</f>
        <v>1786.2914370000001</v>
      </c>
      <c r="AW330">
        <f ca="1">IF(AND(ISNUMBER($AW$832),$B$511=1),$AW$832,HLOOKUP(INDIRECT(ADDRESS(2,COLUMN())),OFFSET($BN$2,0,0,ROW()-1,60),ROW()-1,FALSE))</f>
        <v>1873.9714759999999</v>
      </c>
      <c r="AX330">
        <f ca="1">IF(AND(ISNUMBER($AX$832),$B$511=1),$AX$832,HLOOKUP(INDIRECT(ADDRESS(2,COLUMN())),OFFSET($BN$2,0,0,ROW()-1,60),ROW()-1,FALSE))</f>
        <v>1917.233344</v>
      </c>
      <c r="AY330" t="str">
        <f ca="1">IF(AND(ISNUMBER($AY$832),$B$511=1),$AY$832,HLOOKUP(INDIRECT(ADDRESS(2,COLUMN())),OFFSET($BN$2,0,0,ROW()-1,60),ROW()-1,FALSE))</f>
        <v/>
      </c>
      <c r="AZ330" t="str">
        <f ca="1">IF(AND(ISNUMBER($AZ$832),$B$511=1),$AZ$832,HLOOKUP(INDIRECT(ADDRESS(2,COLUMN())),OFFSET($BN$2,0,0,ROW()-1,60),ROW()-1,FALSE))</f>
        <v/>
      </c>
      <c r="BA330" t="str">
        <f ca="1">IF(AND(ISNUMBER($BA$832),$B$511=1),$BA$832,HLOOKUP(INDIRECT(ADDRESS(2,COLUMN())),OFFSET($BN$2,0,0,ROW()-1,60),ROW()-1,FALSE))</f>
        <v/>
      </c>
      <c r="BB330" t="str">
        <f ca="1">IF(AND(ISNUMBER($BB$832),$B$511=1),$BB$832,HLOOKUP(INDIRECT(ADDRESS(2,COLUMN())),OFFSET($BN$2,0,0,ROW()-1,60),ROW()-1,FALSE))</f>
        <v/>
      </c>
      <c r="BC330" t="str">
        <f ca="1">IF(AND(ISNUMBER($BC$832),$B$511=1),$BC$832,HLOOKUP(INDIRECT(ADDRESS(2,COLUMN())),OFFSET($BN$2,0,0,ROW()-1,60),ROW()-1,FALSE))</f>
        <v/>
      </c>
      <c r="BD330" t="str">
        <f ca="1">IF(AND(ISNUMBER($BD$832),$B$511=1),$BD$832,HLOOKUP(INDIRECT(ADDRESS(2,COLUMN())),OFFSET($BN$2,0,0,ROW()-1,60),ROW()-1,FALSE))</f>
        <v/>
      </c>
      <c r="BE330" t="str">
        <f ca="1">IF(AND(ISNUMBER($BE$832),$B$511=1),$BE$832,HLOOKUP(INDIRECT(ADDRESS(2,COLUMN())),OFFSET($BN$2,0,0,ROW()-1,60),ROW()-1,FALSE))</f>
        <v/>
      </c>
      <c r="BF330" t="str">
        <f ca="1">IF(AND(ISNUMBER($BF$832),$B$511=1),$BF$832,HLOOKUP(INDIRECT(ADDRESS(2,COLUMN())),OFFSET($BN$2,0,0,ROW()-1,60),ROW()-1,FALSE))</f>
        <v/>
      </c>
      <c r="BG330" t="str">
        <f ca="1">IF(AND(ISNUMBER($BG$832),$B$511=1),$BG$832,HLOOKUP(INDIRECT(ADDRESS(2,COLUMN())),OFFSET($BN$2,0,0,ROW()-1,60),ROW()-1,FALSE))</f>
        <v/>
      </c>
      <c r="BH330" t="str">
        <f ca="1">IF(AND(ISNUMBER($BH$832),$B$511=1),$BH$832,HLOOKUP(INDIRECT(ADDRESS(2,COLUMN())),OFFSET($BN$2,0,0,ROW()-1,60),ROW()-1,FALSE))</f>
        <v/>
      </c>
      <c r="BI330" t="str">
        <f ca="1">IF(AND(ISNUMBER($BI$832),$B$511=1),$BI$832,HLOOKUP(INDIRECT(ADDRESS(2,COLUMN())),OFFSET($BN$2,0,0,ROW()-1,60),ROW()-1,FALSE))</f>
        <v/>
      </c>
      <c r="BJ330" t="str">
        <f ca="1">IF(AND(ISNUMBER($BJ$832),$B$511=1),$BJ$832,HLOOKUP(INDIRECT(ADDRESS(2,COLUMN())),OFFSET($BN$2,0,0,ROW()-1,60),ROW()-1,FALSE))</f>
        <v/>
      </c>
      <c r="BK330" t="str">
        <f ca="1">IF(AND(ISNUMBER($BK$832),$B$511=1),$BK$832,HLOOKUP(INDIRECT(ADDRESS(2,COLUMN())),OFFSET($BN$2,0,0,ROW()-1,60),ROW()-1,FALSE))</f>
        <v/>
      </c>
      <c r="BL330" t="str">
        <f ca="1">IF(AND(ISNUMBER($BL$832),$B$511=1),$BL$832,HLOOKUP(INDIRECT(ADDRESS(2,COLUMN())),OFFSET($BN$2,0,0,ROW()-1,60),ROW()-1,FALSE))</f>
        <v/>
      </c>
      <c r="BM330" t="str">
        <f ca="1">IF(AND(ISNUMBER($BM$832),$B$511=1),$BM$832,HLOOKUP(INDIRECT(ADDRESS(2,COLUMN())),OFFSET($BN$2,0,0,ROW()-1,60),ROW()-1,FALSE))</f>
        <v/>
      </c>
      <c r="BN330" t="str">
        <f>""</f>
        <v/>
      </c>
      <c r="BO330" t="str">
        <f>""</f>
        <v/>
      </c>
      <c r="BP330">
        <f>2133.804625</f>
        <v>2133.8046250000002</v>
      </c>
      <c r="BQ330">
        <f>2146.387548</f>
        <v>2146.3875480000002</v>
      </c>
      <c r="BR330">
        <f>2269.357506</f>
        <v>2269.3575059999998</v>
      </c>
      <c r="BS330">
        <f>2142.010651</f>
        <v>2142.0106510000001</v>
      </c>
      <c r="BT330">
        <f>2145.571636</f>
        <v>2145.5716360000001</v>
      </c>
      <c r="BU330">
        <f>2102.792303</f>
        <v>2102.7923030000002</v>
      </c>
      <c r="BV330">
        <f>2102.63816</f>
        <v>2102.63816</v>
      </c>
      <c r="BW330">
        <f>1962.877566</f>
        <v>1962.8775659999999</v>
      </c>
      <c r="BX330">
        <f>2065.689837</f>
        <v>2065.6898369999999</v>
      </c>
      <c r="BY330">
        <f>2003.150206</f>
        <v>2003.150206</v>
      </c>
      <c r="BZ330">
        <f>2036.830522</f>
        <v>2036.830522</v>
      </c>
      <c r="CA330">
        <f>1973.902358</f>
        <v>1973.902358</v>
      </c>
      <c r="CB330">
        <f>1933.155461</f>
        <v>1933.1554610000001</v>
      </c>
      <c r="CC330">
        <f>2054.341233</f>
        <v>2054.3412330000001</v>
      </c>
      <c r="CD330">
        <f>2043.897418</f>
        <v>2043.897418</v>
      </c>
      <c r="CE330">
        <f>1980.013884</f>
        <v>1980.013884</v>
      </c>
      <c r="CF330">
        <f>2174.882208</f>
        <v>2174.882208</v>
      </c>
      <c r="CG330">
        <f>2162.247673</f>
        <v>2162.2476729999998</v>
      </c>
      <c r="CH330">
        <f>2151.961417</f>
        <v>2151.961417</v>
      </c>
      <c r="CI330">
        <f>2156.634403</f>
        <v>2156.634403</v>
      </c>
      <c r="CJ330">
        <f>2192.96272</f>
        <v>2192.96272</v>
      </c>
      <c r="CK330">
        <f>2144.563013</f>
        <v>2144.563013</v>
      </c>
      <c r="CL330">
        <f>1949.0315</f>
        <v>1949.0315000000001</v>
      </c>
      <c r="CM330">
        <f>1945.334516</f>
        <v>1945.3345159999999</v>
      </c>
      <c r="CN330">
        <f>2017.976506</f>
        <v>2017.976506</v>
      </c>
      <c r="CO330">
        <f>1959.136485</f>
        <v>1959.136485</v>
      </c>
      <c r="CP330">
        <f>2013.27746</f>
        <v>2013.27746</v>
      </c>
      <c r="CQ330">
        <f>1909.202357</f>
        <v>1909.2023569999999</v>
      </c>
      <c r="CR330">
        <f>1995.504576</f>
        <v>1995.504576</v>
      </c>
      <c r="CS330">
        <f>2068.886028</f>
        <v>2068.8860279999999</v>
      </c>
      <c r="CT330">
        <f>2013.130246</f>
        <v>2013.1302459999999</v>
      </c>
      <c r="CU330">
        <f>2041.972802</f>
        <v>2041.972802</v>
      </c>
      <c r="CV330">
        <f>1925.923018</f>
        <v>1925.923018</v>
      </c>
      <c r="CW330">
        <f>1847.879061</f>
        <v>1847.8790610000001</v>
      </c>
      <c r="CX330">
        <f>1859.687941</f>
        <v>1859.6879409999999</v>
      </c>
      <c r="CY330">
        <f>1807.348788</f>
        <v>1807.348788</v>
      </c>
      <c r="CZ330">
        <f>1805.138173</f>
        <v>1805.1381730000001</v>
      </c>
      <c r="DA330">
        <f>1746.649223</f>
        <v>1746.6492229999999</v>
      </c>
      <c r="DB330">
        <f>1676.473667</f>
        <v>1676.473667</v>
      </c>
      <c r="DC330">
        <f>1714.579433</f>
        <v>1714.5794330000001</v>
      </c>
      <c r="DD330">
        <f>1786.291437</f>
        <v>1786.2914370000001</v>
      </c>
      <c r="DE330">
        <f>1873.971476</f>
        <v>1873.9714759999999</v>
      </c>
      <c r="DF330">
        <f>1917.233344</f>
        <v>1917.233344</v>
      </c>
      <c r="DG330" t="str">
        <f>""</f>
        <v/>
      </c>
      <c r="DH330" t="str">
        <f>""</f>
        <v/>
      </c>
      <c r="DI330" t="str">
        <f>""</f>
        <v/>
      </c>
      <c r="DJ330" t="str">
        <f>""</f>
        <v/>
      </c>
      <c r="DK330" t="str">
        <f>""</f>
        <v/>
      </c>
      <c r="DL330" t="str">
        <f>""</f>
        <v/>
      </c>
      <c r="DM330" t="str">
        <f>""</f>
        <v/>
      </c>
      <c r="DN330" t="str">
        <f>""</f>
        <v/>
      </c>
      <c r="DO330" t="str">
        <f>""</f>
        <v/>
      </c>
      <c r="DP330" t="str">
        <f>""</f>
        <v/>
      </c>
      <c r="DQ330" t="str">
        <f>""</f>
        <v/>
      </c>
      <c r="DR330" t="str">
        <f>""</f>
        <v/>
      </c>
      <c r="DS330" t="str">
        <f>""</f>
        <v/>
      </c>
      <c r="DT330" t="str">
        <f>""</f>
        <v/>
      </c>
      <c r="DU330" t="str">
        <f>""</f>
        <v/>
      </c>
    </row>
    <row r="331" spans="1:125" x14ac:dyDescent="0.25">
      <c r="A331" t="str">
        <f>"T12M Dividends Paid"</f>
        <v>T12M Dividends Paid</v>
      </c>
      <c r="B331" t="str">
        <f>""</f>
        <v/>
      </c>
      <c r="E331" t="str">
        <f>"Average"</f>
        <v>Average</v>
      </c>
      <c r="F331" t="str">
        <f ca="1">IF(ISERROR(IF(AVERAGE($F$332:$F$371) = 0, "", AVERAGE($F$332:$F$371))), "", (IF(AVERAGE($F$332:$F$371) = 0, "", AVERAGE($F$332:$F$371))))</f>
        <v/>
      </c>
      <c r="G331">
        <f ca="1">IF(ISERROR(IF(AVERAGE($G$332:$G$371) = 0, "", AVERAGE($G$332:$G$371))), "", (IF(AVERAGE($G$332:$G$371) = 0, "", AVERAGE($G$332:$G$371))))</f>
        <v>-1741.0289509919166</v>
      </c>
      <c r="H331">
        <f ca="1">IF(ISERROR(IF(AVERAGE($H$332:$H$371) = 0, "", AVERAGE($H$332:$H$371))), "", (IF(AVERAGE($H$332:$H$371) = 0, "", AVERAGE($H$332:$H$371))))</f>
        <v>-1328.7177278822858</v>
      </c>
      <c r="I331">
        <f ca="1">IF(ISERROR(IF(AVERAGE($I$332:$I$371) = 0, "", AVERAGE($I$332:$I$371))), "", (IF(AVERAGE($I$332:$I$371) = 0, "", AVERAGE($I$332:$I$371))))</f>
        <v>-1173.3929753017915</v>
      </c>
      <c r="J331">
        <f ca="1">IF(ISERROR(IF(AVERAGE($J$332:$J$371) = 0, "", AVERAGE($J$332:$J$371))), "", (IF(AVERAGE($J$332:$J$371) = 0, "", AVERAGE($J$332:$J$371))))</f>
        <v>-1072.49446366452</v>
      </c>
      <c r="K331">
        <f ca="1">IF(ISERROR(IF(AVERAGE($K$332:$K$371) = 0, "", AVERAGE($K$332:$K$371))), "", (IF(AVERAGE($K$332:$K$371) = 0, "", AVERAGE($K$332:$K$371))))</f>
        <v>-1001.354703348</v>
      </c>
      <c r="L331">
        <f ca="1">IF(ISERROR(IF(AVERAGE($L$332:$L$371) = 0, "", AVERAGE($L$332:$L$371))), "", (IF(AVERAGE($L$332:$L$371) = 0, "", AVERAGE($L$332:$L$371))))</f>
        <v>-1015.9830001036363</v>
      </c>
      <c r="M331">
        <f ca="1">IF(ISERROR(IF(AVERAGE($M$332:$M$371) = 0, "", AVERAGE($M$332:$M$371))), "", (IF(AVERAGE($M$332:$M$371) = 0, "", AVERAGE($M$332:$M$371))))</f>
        <v>-1020.6940597727272</v>
      </c>
      <c r="N331">
        <f ca="1">IF(ISERROR(IF(AVERAGE($N$332:$N$371) = 0, "", AVERAGE($N$332:$N$371))), "", (IF(AVERAGE($N$332:$N$371) = 0, "", AVERAGE($N$332:$N$371))))</f>
        <v>-1079.3239735036364</v>
      </c>
      <c r="O331">
        <f ca="1">IF(ISERROR(IF(AVERAGE($O$332:$O$371) = 0, "", AVERAGE($O$332:$O$371))), "", (IF(AVERAGE($O$332:$O$371) = 0, "", AVERAGE($O$332:$O$371))))</f>
        <v>-1115.3069241281817</v>
      </c>
      <c r="P331">
        <f ca="1">IF(ISERROR(IF(AVERAGE($P$332:$P$371) = 0, "", AVERAGE($P$332:$P$371))), "", (IF(AVERAGE($P$332:$P$371) = 0, "", AVERAGE($P$332:$P$371))))</f>
        <v>-1138.8340193973079</v>
      </c>
      <c r="Q331">
        <f ca="1">IF(ISERROR(IF(AVERAGE($Q$332:$Q$371) = 0, "", AVERAGE($Q$332:$Q$371))), "", (IF(AVERAGE($Q$332:$Q$371) = 0, "", AVERAGE($Q$332:$Q$371))))</f>
        <v>-989.0788036429999</v>
      </c>
      <c r="R331">
        <f ca="1">IF(ISERROR(IF(AVERAGE($R$332:$R$371) = 0, "", AVERAGE($R$332:$R$371))), "", (IF(AVERAGE($R$332:$R$371) = 0, "", AVERAGE($R$332:$R$371))))</f>
        <v>-1017.5926881781201</v>
      </c>
      <c r="S331">
        <f ca="1">IF(ISERROR(IF(AVERAGE($S$332:$S$371) = 0, "", AVERAGE($S$332:$S$371))), "", (IF(AVERAGE($S$332:$S$371) = 0, "", AVERAGE($S$332:$S$371))))</f>
        <v>-973.56909125228003</v>
      </c>
      <c r="T331">
        <f ca="1">IF(ISERROR(IF(AVERAGE($T$332:$T$371) = 0, "", AVERAGE($T$332:$T$371))), "", (IF(AVERAGE($T$332:$T$371) = 0, "", AVERAGE($T$332:$T$371))))</f>
        <v>-1032.7862910417391</v>
      </c>
      <c r="U331">
        <f ca="1">IF(ISERROR(IF(AVERAGE($U$332:$U$371) = 0, "", AVERAGE($U$332:$U$371))), "", (IF(AVERAGE($U$332:$U$371) = 0, "", AVERAGE($U$332:$U$371))))</f>
        <v>-1047.8198982799997</v>
      </c>
      <c r="V331">
        <f ca="1">IF(ISERROR(IF(AVERAGE($V$332:$V$371) = 0, "", AVERAGE($V$332:$V$371))), "", (IF(AVERAGE($V$332:$V$371) = 0, "", AVERAGE($V$332:$V$371))))</f>
        <v>-977.17920657391289</v>
      </c>
      <c r="W331">
        <f ca="1">IF(ISERROR(IF(AVERAGE($W$332:$W$371) = 0, "", AVERAGE($W$332:$W$371))), "", (IF(AVERAGE($W$332:$W$371) = 0, "", AVERAGE($W$332:$W$371))))</f>
        <v>-999.68353360739115</v>
      </c>
      <c r="X331">
        <f ca="1">IF(ISERROR(IF(AVERAGE($X$332:$X$371) = 0, "", AVERAGE($X$332:$X$371))), "", (IF(AVERAGE($X$332:$X$371) = 0, "", AVERAGE($X$332:$X$371))))</f>
        <v>-905.61395856266665</v>
      </c>
      <c r="Y331">
        <f ca="1">IF(ISERROR(IF(AVERAGE($Y$332:$Y$371) = 0, "", AVERAGE($Y$332:$Y$371))), "", (IF(AVERAGE($Y$332:$Y$371) = 0, "", AVERAGE($Y$332:$Y$371))))</f>
        <v>-954.0547181660869</v>
      </c>
      <c r="Z331">
        <f ca="1">IF(ISERROR(IF(AVERAGE($Z$332:$Z$371) = 0, "", AVERAGE($Z$332:$Z$371))), "", (IF(AVERAGE($Z$332:$Z$371) = 0, "", AVERAGE($Z$332:$Z$371))))</f>
        <v>-741.16286330239132</v>
      </c>
      <c r="AA331">
        <f ca="1">IF(ISERROR(IF(AVERAGE($AA$332:$AA$371) = 0, "", AVERAGE($AA$332:$AA$371))), "", (IF(AVERAGE($AA$332:$AA$371) = 0, "", AVERAGE($AA$332:$AA$371))))</f>
        <v>-718.48460100379145</v>
      </c>
      <c r="AB331">
        <f ca="1">IF(ISERROR(IF(AVERAGE($AB$332:$AB$371) = 0, "", AVERAGE($AB$332:$AB$371))), "", (IF(AVERAGE($AB$332:$AB$371) = 0, "", AVERAGE($AB$332:$AB$371))))</f>
        <v>-715.74953114895459</v>
      </c>
      <c r="AC331">
        <f ca="1">IF(ISERROR(IF(AVERAGE($AC$332:$AC$371) = 0, "", AVERAGE($AC$332:$AC$371))), "", (IF(AVERAGE($AC$332:$AC$371) = 0, "", AVERAGE($AC$332:$AC$371))))</f>
        <v>-654.34970139369568</v>
      </c>
      <c r="AD331">
        <f ca="1">IF(ISERROR(IF(AVERAGE($AD$332:$AD$371) = 0, "", AVERAGE($AD$332:$AD$371))), "", (IF(AVERAGE($AD$332:$AD$371) = 0, "", AVERAGE($AD$332:$AD$371))))</f>
        <v>-588.2102225474348</v>
      </c>
      <c r="AE331">
        <f ca="1">IF(ISERROR(IF(AVERAGE($AE$332:$AE$371) = 0, "", AVERAGE($AE$332:$AE$371))), "", (IF(AVERAGE($AE$332:$AE$371) = 0, "", AVERAGE($AE$332:$AE$371))))</f>
        <v>-572.93031511552169</v>
      </c>
      <c r="AF331">
        <f ca="1">IF(ISERROR(IF(AVERAGE($AF$332:$AF$371) = 0, "", AVERAGE($AF$332:$AF$371))), "", (IF(AVERAGE($AF$332:$AF$371) = 0, "", AVERAGE($AF$332:$AF$371))))</f>
        <v>-592.64802296961898</v>
      </c>
      <c r="AG331">
        <f ca="1">IF(ISERROR(IF(AVERAGE($AG$332:$AG$371) = 0, "", AVERAGE($AG$332:$AG$371))), "", (IF(AVERAGE($AG$332:$AG$371) = 0, "", AVERAGE($AG$332:$AG$371))))</f>
        <v>-590.0832270919999</v>
      </c>
      <c r="AH331">
        <f ca="1">IF(ISERROR(IF(AVERAGE($AH$332:$AH$371) = 0, "", AVERAGE($AH$332:$AH$371))), "", (IF(AVERAGE($AH$332:$AH$371) = 0, "", AVERAGE($AH$332:$AH$371))))</f>
        <v>-503.07299251133327</v>
      </c>
      <c r="AI331">
        <f ca="1">IF(ISERROR(IF(AVERAGE($AI$332:$AI$371) = 0, "", AVERAGE($AI$332:$AI$371))), "", (IF(AVERAGE($AI$332:$AI$371) = 0, "", AVERAGE($AI$332:$AI$371))))</f>
        <v>-493.69973892271412</v>
      </c>
      <c r="AJ331">
        <f ca="1">IF(ISERROR(IF(AVERAGE($AJ$332:$AJ$371) = 0, "", AVERAGE($AJ$332:$AJ$371))), "", (IF(AVERAGE($AJ$332:$AJ$371) = 0, "", AVERAGE($AJ$332:$AJ$371))))</f>
        <v>-550.96942288205003</v>
      </c>
      <c r="AK331">
        <f ca="1">IF(ISERROR(IF(AVERAGE($AK$332:$AK$371) = 0, "", AVERAGE($AK$332:$AK$371))), "", (IF(AVERAGE($AK$332:$AK$371) = 0, "", AVERAGE($AK$332:$AK$371))))</f>
        <v>-537.73050285349996</v>
      </c>
      <c r="AL331">
        <f ca="1">IF(ISERROR(IF(AVERAGE($AL$332:$AL$371) = 0, "", AVERAGE($AL$332:$AL$371))), "", (IF(AVERAGE($AL$332:$AL$371) = 0, "", AVERAGE($AL$332:$AL$371))))</f>
        <v>-282.75519776681813</v>
      </c>
      <c r="AM331">
        <f ca="1">IF(ISERROR(IF(AVERAGE($AM$332:$AM$371) = 0, "", AVERAGE($AM$332:$AM$371))), "", (IF(AVERAGE($AM$332:$AM$371) = 0, "", AVERAGE($AM$332:$AM$371))))</f>
        <v>-265.2742850047826</v>
      </c>
      <c r="AN331">
        <f ca="1">IF(ISERROR(IF(AVERAGE($AN$332:$AN$371) = 0, "", AVERAGE($AN$332:$AN$371))), "", (IF(AVERAGE($AN$332:$AN$371) = 0, "", AVERAGE($AN$332:$AN$371))))</f>
        <v>-207.19296428571428</v>
      </c>
      <c r="AO331">
        <f ca="1">IF(ISERROR(IF(AVERAGE($AO$332:$AO$371) = 0, "", AVERAGE($AO$332:$AO$371))), "", (IF(AVERAGE($AO$332:$AO$371) = 0, "", AVERAGE($AO$332:$AO$371))))</f>
        <v>-201.11873911750001</v>
      </c>
      <c r="AP331">
        <f ca="1">IF(ISERROR(IF(AVERAGE($AP$332:$AP$371) = 0, "", AVERAGE($AP$332:$AP$371))), "", (IF(AVERAGE($AP$332:$AP$371) = 0, "", AVERAGE($AP$332:$AP$371))))</f>
        <v>-245.131931932421</v>
      </c>
      <c r="AQ331">
        <f ca="1">IF(ISERROR(IF(AVERAGE($AQ$332:$AQ$371) = 0, "", AVERAGE($AQ$332:$AQ$371))), "", (IF(AVERAGE($AQ$332:$AQ$371) = 0, "", AVERAGE($AQ$332:$AQ$371))))</f>
        <v>-222.390572738</v>
      </c>
      <c r="AR331">
        <f ca="1">IF(ISERROR(IF(AVERAGE($AR$332:$AR$371) = 0, "", AVERAGE($AR$332:$AR$371))), "", (IF(AVERAGE($AR$332:$AR$371) = 0, "", AVERAGE($AR$332:$AR$371))))</f>
        <v>-386.93236744816664</v>
      </c>
      <c r="AS331">
        <f ca="1">IF(ISERROR(IF(AVERAGE($AS$332:$AS$371) = 0, "", AVERAGE($AS$332:$AS$371))), "", (IF(AVERAGE($AS$332:$AS$371) = 0, "", AVERAGE($AS$332:$AS$371))))</f>
        <v>-419.72455561652941</v>
      </c>
      <c r="AT331">
        <f ca="1">IF(ISERROR(IF(AVERAGE($AT$332:$AT$371) = 0, "", AVERAGE($AT$332:$AT$371))), "", (IF(AVERAGE($AT$332:$AT$371) = 0, "", AVERAGE($AT$332:$AT$371))))</f>
        <v>-696.3730643194117</v>
      </c>
      <c r="AU331">
        <f ca="1">IF(ISERROR(IF(AVERAGE($AU$332:$AU$371) = 0, "", AVERAGE($AU$332:$AU$371))), "", (IF(AVERAGE($AU$332:$AU$371) = 0, "", AVERAGE($AU$332:$AU$371))))</f>
        <v>-721.42737857000009</v>
      </c>
      <c r="AV331">
        <f ca="1">IF(ISERROR(IF(AVERAGE($AV$332:$AV$371) = 0, "", AVERAGE($AV$332:$AV$371))), "", (IF(AVERAGE($AV$332:$AV$371) = 0, "", AVERAGE($AV$332:$AV$371))))</f>
        <v>-775.60564076285721</v>
      </c>
      <c r="AW331">
        <f ca="1">IF(ISERROR(IF(AVERAGE($AW$332:$AW$371) = 0, "", AVERAGE($AW$332:$AW$371))), "", (IF(AVERAGE($AW$332:$AW$371) = 0, "", AVERAGE($AW$332:$AW$371))))</f>
        <v>-749.83930583728579</v>
      </c>
      <c r="AX331">
        <f ca="1">IF(ISERROR(IF(AVERAGE($AX$332:$AX$371) = 0, "", AVERAGE($AX$332:$AX$371))), "", (IF(AVERAGE($AX$332:$AX$371) = 0, "", AVERAGE($AX$332:$AX$371))))</f>
        <v>-552.06118832375</v>
      </c>
      <c r="AY331">
        <f ca="1">IF(ISERROR(IF(AVERAGE($AY$332:$AY$371) = 0, "", AVERAGE($AY$332:$AY$371))), "", (IF(AVERAGE($AY$332:$AY$371) = 0, "", AVERAGE($AY$332:$AY$371))))</f>
        <v>-596.44858488542855</v>
      </c>
      <c r="AZ331">
        <f ca="1">IF(ISERROR(IF(AVERAGE($AZ$332:$AZ$371) = 0, "", AVERAGE($AZ$332:$AZ$371))), "", (IF(AVERAGE($AZ$332:$AZ$371) = 0, "", AVERAGE($AZ$332:$AZ$371))))</f>
        <v>-585.67303188983317</v>
      </c>
      <c r="BA331">
        <f ca="1">IF(ISERROR(IF(AVERAGE($BA$332:$BA$371) = 0, "", AVERAGE($BA$332:$BA$371))), "", (IF(AVERAGE($BA$332:$BA$371) = 0, "", AVERAGE($BA$332:$BA$371))))</f>
        <v>-547.85504323016676</v>
      </c>
      <c r="BB331">
        <f ca="1">IF(ISERROR(IF(AVERAGE($BB$332:$BB$371) = 0, "", AVERAGE($BB$332:$BB$371))), "", (IF(AVERAGE($BB$332:$BB$371) = 0, "", AVERAGE($BB$332:$BB$371))))</f>
        <v>-509.92806344614286</v>
      </c>
      <c r="BC331">
        <f ca="1">IF(ISERROR(IF(AVERAGE($BC$332:$BC$371) = 0, "", AVERAGE($BC$332:$BC$371))), "", (IF(AVERAGE($BC$332:$BC$371) = 0, "", AVERAGE($BC$332:$BC$371))))</f>
        <v>-422.56746160222224</v>
      </c>
      <c r="BD331">
        <f ca="1">IF(ISERROR(IF(AVERAGE($BD$332:$BD$371) = 0, "", AVERAGE($BD$332:$BD$371))), "", (IF(AVERAGE($BD$332:$BD$371) = 0, "", AVERAGE($BD$332:$BD$371))))</f>
        <v>-436.2851639472222</v>
      </c>
      <c r="BE331">
        <f ca="1">IF(ISERROR(IF(AVERAGE($BE$332:$BE$371) = 0, "", AVERAGE($BE$332:$BE$371))), "", (IF(AVERAGE($BE$332:$BE$371) = 0, "", AVERAGE($BE$332:$BE$371))))</f>
        <v>-485.30256908937503</v>
      </c>
      <c r="BF331">
        <f ca="1">IF(ISERROR(IF(AVERAGE($BF$332:$BF$371) = 0, "", AVERAGE($BF$332:$BF$371))), "", (IF(AVERAGE($BF$332:$BF$371) = 0, "", AVERAGE($BF$332:$BF$371))))</f>
        <v>-459.93205409425002</v>
      </c>
      <c r="BG331">
        <f ca="1">IF(ISERROR(IF(AVERAGE($BG$332:$BG$371) = 0, "", AVERAGE($BG$332:$BG$371))), "", (IF(AVERAGE($BG$332:$BG$371) = 0, "", AVERAGE($BG$332:$BG$371))))</f>
        <v>-531.80291852714288</v>
      </c>
      <c r="BH331">
        <f ca="1">IF(ISERROR(IF(AVERAGE($BH$332:$BH$371) = 0, "", AVERAGE($BH$332:$BH$371))), "", (IF(AVERAGE($BH$332:$BH$371) = 0, "", AVERAGE($BH$332:$BH$371))))</f>
        <v>-837.85217949025002</v>
      </c>
      <c r="BI331">
        <f ca="1">IF(ISERROR(IF(AVERAGE($BI$332:$BI$371) = 0, "", AVERAGE($BI$332:$BI$371))), "", (IF(AVERAGE($BI$332:$BI$371) = 0, "", AVERAGE($BI$332:$BI$371))))</f>
        <v>-1312.6970144924999</v>
      </c>
      <c r="BJ331">
        <f ca="1">IF(ISERROR(IF(AVERAGE($BJ$332:$BJ$371) = 0, "", AVERAGE($BJ$332:$BJ$371))), "", (IF(AVERAGE($BJ$332:$BJ$371) = 0, "", AVERAGE($BJ$332:$BJ$371))))</f>
        <v>-1268.0120394675002</v>
      </c>
      <c r="BK331">
        <f ca="1">IF(ISERROR(IF(AVERAGE($BK$332:$BK$371) = 0, "", AVERAGE($BK$332:$BK$371))), "", (IF(AVERAGE($BK$332:$BK$371) = 0, "", AVERAGE($BK$332:$BK$371))))</f>
        <v>-1525.7694505899999</v>
      </c>
      <c r="BL331">
        <f ca="1">IF(ISERROR(IF(AVERAGE($BL$332:$BL$371) = 0, "", AVERAGE($BL$332:$BL$371))), "", (IF(AVERAGE($BL$332:$BL$371) = 0, "", AVERAGE($BL$332:$BL$371))))</f>
        <v>-1120.3182381004999</v>
      </c>
      <c r="BM331">
        <f ca="1">IF(ISERROR(IF(AVERAGE($BM$332:$BM$371) = 0, "", AVERAGE($BM$332:$BM$371))), "", (IF(AVERAGE($BM$332:$BM$371) = 0, "", AVERAGE($BM$332:$BM$371))))</f>
        <v>-1100.5091328505</v>
      </c>
      <c r="BN331" t="str">
        <f>""</f>
        <v/>
      </c>
      <c r="BO331">
        <f>-1741.028951</f>
        <v>-1741.028951</v>
      </c>
      <c r="BP331">
        <f>-1328.717728</f>
        <v>-1328.7177280000001</v>
      </c>
      <c r="BQ331">
        <f>-1173.392975</f>
        <v>-1173.392975</v>
      </c>
      <c r="BR331">
        <f>-1072.494464</f>
        <v>-1072.4944640000001</v>
      </c>
      <c r="BS331">
        <f>-1001.354703</f>
        <v>-1001.354703</v>
      </c>
      <c r="BT331">
        <f>-1015.983</f>
        <v>-1015.9829999999999</v>
      </c>
      <c r="BU331">
        <f>-1020.69406</f>
        <v>-1020.69406</v>
      </c>
      <c r="BV331">
        <f>-1079.323974</f>
        <v>-1079.3239739999999</v>
      </c>
      <c r="BW331">
        <f>-1115.306924</f>
        <v>-1115.306924</v>
      </c>
      <c r="BX331">
        <f>-1138.834019</f>
        <v>-1138.8340189999999</v>
      </c>
      <c r="BY331">
        <f>-989.0788037</f>
        <v>-989.07880369999998</v>
      </c>
      <c r="BZ331">
        <f>-1017.592688</f>
        <v>-1017.592688</v>
      </c>
      <c r="CA331">
        <f>-973.5690912</f>
        <v>-973.5690912</v>
      </c>
      <c r="CB331">
        <f>-1032.786291</f>
        <v>-1032.7862909999999</v>
      </c>
      <c r="CC331">
        <f>-1047.819898</f>
        <v>-1047.819898</v>
      </c>
      <c r="CD331">
        <f>-977.1792065</f>
        <v>-977.17920649999996</v>
      </c>
      <c r="CE331">
        <f>-999.6835335</f>
        <v>-999.68353349999995</v>
      </c>
      <c r="CF331">
        <f>-905.6139585</f>
        <v>-905.61395849999997</v>
      </c>
      <c r="CG331">
        <f>-954.0547182</f>
        <v>-954.05471820000002</v>
      </c>
      <c r="CH331">
        <f>-741.1628633</f>
        <v>-741.16286330000003</v>
      </c>
      <c r="CI331">
        <f>-718.484601</f>
        <v>-718.484601</v>
      </c>
      <c r="CJ331">
        <f>-715.7495311</f>
        <v>-715.74953110000001</v>
      </c>
      <c r="CK331">
        <f>-654.3497014</f>
        <v>-654.34970139999996</v>
      </c>
      <c r="CL331">
        <f>-588.2102225</f>
        <v>-588.21022249999999</v>
      </c>
      <c r="CM331">
        <f>-572.9303151</f>
        <v>-572.93031510000003</v>
      </c>
      <c r="CN331">
        <f>-592.648023</f>
        <v>-592.64802299999997</v>
      </c>
      <c r="CO331">
        <f>-590.0832271</f>
        <v>-590.08322710000004</v>
      </c>
      <c r="CP331">
        <f>-503.0729925</f>
        <v>-503.0729925</v>
      </c>
      <c r="CQ331">
        <f>-493.6997389</f>
        <v>-493.6997389</v>
      </c>
      <c r="CR331">
        <f>-550.9694229</f>
        <v>-550.96942290000004</v>
      </c>
      <c r="CS331">
        <f>-537.7305029</f>
        <v>-537.73050290000003</v>
      </c>
      <c r="CT331">
        <f>-282.7551978</f>
        <v>-282.75519780000002</v>
      </c>
      <c r="CU331">
        <f>-265.274285</f>
        <v>-265.27428500000002</v>
      </c>
      <c r="CV331">
        <f>-207.1929643</f>
        <v>-207.1929643</v>
      </c>
      <c r="CW331">
        <f>-201.1187391</f>
        <v>-201.1187391</v>
      </c>
      <c r="CX331">
        <f>-245.1319319</f>
        <v>-245.13193190000001</v>
      </c>
      <c r="CY331">
        <f>-222.3905727</f>
        <v>-222.39057270000001</v>
      </c>
      <c r="CZ331">
        <f>-386.9323675</f>
        <v>-386.9323675</v>
      </c>
      <c r="DA331">
        <f>-419.7245556</f>
        <v>-419.72455559999997</v>
      </c>
      <c r="DB331">
        <f>-696.3730643</f>
        <v>-696.37306430000001</v>
      </c>
      <c r="DC331">
        <f>-721.4273786</f>
        <v>-721.4273786</v>
      </c>
      <c r="DD331">
        <f>-775.6056407</f>
        <v>-775.60564069999998</v>
      </c>
      <c r="DE331">
        <f>-749.8393059</f>
        <v>-749.8393059</v>
      </c>
      <c r="DF331">
        <f>-552.0611884</f>
        <v>-552.06118839999999</v>
      </c>
      <c r="DG331">
        <f>-596.4485849</f>
        <v>-596.44858490000001</v>
      </c>
      <c r="DH331">
        <f>-585.673032</f>
        <v>-585.67303200000003</v>
      </c>
      <c r="DI331">
        <f>-547.8550432</f>
        <v>-547.85504319999995</v>
      </c>
      <c r="DJ331">
        <f>-509.9280635</f>
        <v>-509.92806350000001</v>
      </c>
      <c r="DK331">
        <f>-422.5674616</f>
        <v>-422.5674616</v>
      </c>
      <c r="DL331">
        <f>-436.2851639</f>
        <v>-436.28516389999999</v>
      </c>
      <c r="DM331">
        <f>-485.302569</f>
        <v>-485.30256900000001</v>
      </c>
      <c r="DN331">
        <f>-459.9320541</f>
        <v>-459.93205410000002</v>
      </c>
      <c r="DO331">
        <f>-531.8029185</f>
        <v>-531.80291850000003</v>
      </c>
      <c r="DP331">
        <f>-837.8521794</f>
        <v>-837.85217939999995</v>
      </c>
      <c r="DQ331">
        <f>-1312.697014</f>
        <v>-1312.6970140000001</v>
      </c>
      <c r="DR331">
        <f>-1268.012039</f>
        <v>-1268.012039</v>
      </c>
      <c r="DS331">
        <f>-1525.769451</f>
        <v>-1525.7694509999999</v>
      </c>
      <c r="DT331">
        <f>-1120.318238</f>
        <v>-1120.3182380000001</v>
      </c>
      <c r="DU331">
        <f>-1100.509133</f>
        <v>-1100.509133</v>
      </c>
    </row>
    <row r="332" spans="1:125" x14ac:dyDescent="0.25">
      <c r="A332" t="str">
        <f>"    AUDI AG"</f>
        <v xml:space="preserve">    AUDI AG</v>
      </c>
      <c r="B332" t="str">
        <f>"NSU GR Equity"</f>
        <v>NSU GR Equity</v>
      </c>
      <c r="C332" t="str">
        <f t="shared" ref="C332:C371" si="24">"RX530"</f>
        <v>RX530</v>
      </c>
      <c r="D332" t="str">
        <f t="shared" ref="D332:D371" si="25">"T12M_DVDS_PAID"</f>
        <v>T12M_DVDS_PAID</v>
      </c>
      <c r="E332" t="str">
        <f t="shared" ref="E332:E371" si="26">"Dynamic"</f>
        <v>Dynamic</v>
      </c>
      <c r="F332" t="str">
        <f ca="1">IF(AND(ISNUMBER($F$833),$B$511=1),$F$833,HLOOKUP(INDIRECT(ADDRESS(2,COLUMN())),OFFSET($BN$2,0,0,ROW()-1,60),ROW()-1,FALSE))</f>
        <v/>
      </c>
      <c r="G332" t="str">
        <f ca="1">IF(AND(ISNUMBER($G$833),$B$511=1),$G$833,HLOOKUP(INDIRECT(ADDRESS(2,COLUMN())),OFFSET($BN$2,0,0,ROW()-1,60),ROW()-1,FALSE))</f>
        <v/>
      </c>
      <c r="H332" t="str">
        <f ca="1">IF(AND(ISNUMBER($H$833),$B$511=1),$H$833,HLOOKUP(INDIRECT(ADDRESS(2,COLUMN())),OFFSET($BN$2,0,0,ROW()-1,60),ROW()-1,FALSE))</f>
        <v/>
      </c>
      <c r="I332" t="str">
        <f ca="1">IF(AND(ISNUMBER($I$833),$B$511=1),$I$833,HLOOKUP(INDIRECT(ADDRESS(2,COLUMN())),OFFSET($BN$2,0,0,ROW()-1,60),ROW()-1,FALSE))</f>
        <v/>
      </c>
      <c r="J332" t="str">
        <f ca="1">IF(AND(ISNUMBER($J$833),$B$511=1),$J$833,HLOOKUP(INDIRECT(ADDRESS(2,COLUMN())),OFFSET($BN$2,0,0,ROW()-1,60),ROW()-1,FALSE))</f>
        <v/>
      </c>
      <c r="K332" t="str">
        <f ca="1">IF(AND(ISNUMBER($K$833),$B$511=1),$K$833,HLOOKUP(INDIRECT(ADDRESS(2,COLUMN())),OFFSET($BN$2,0,0,ROW()-1,60),ROW()-1,FALSE))</f>
        <v/>
      </c>
      <c r="L332" t="str">
        <f ca="1">IF(AND(ISNUMBER($L$833),$B$511=1),$L$833,HLOOKUP(INDIRECT(ADDRESS(2,COLUMN())),OFFSET($BN$2,0,0,ROW()-1,60),ROW()-1,FALSE))</f>
        <v/>
      </c>
      <c r="M332" t="str">
        <f ca="1">IF(AND(ISNUMBER($M$833),$B$511=1),$M$833,HLOOKUP(INDIRECT(ADDRESS(2,COLUMN())),OFFSET($BN$2,0,0,ROW()-1,60),ROW()-1,FALSE))</f>
        <v/>
      </c>
      <c r="N332" t="str">
        <f ca="1">IF(AND(ISNUMBER($N$833),$B$511=1),$N$833,HLOOKUP(INDIRECT(ADDRESS(2,COLUMN())),OFFSET($BN$2,0,0,ROW()-1,60),ROW()-1,FALSE))</f>
        <v/>
      </c>
      <c r="O332" t="str">
        <f ca="1">IF(AND(ISNUMBER($O$833),$B$511=1),$O$833,HLOOKUP(INDIRECT(ADDRESS(2,COLUMN())),OFFSET($BN$2,0,0,ROW()-1,60),ROW()-1,FALSE))</f>
        <v/>
      </c>
      <c r="P332" t="str">
        <f ca="1">IF(AND(ISNUMBER($P$833),$B$511=1),$P$833,HLOOKUP(INDIRECT(ADDRESS(2,COLUMN())),OFFSET($BN$2,0,0,ROW()-1,60),ROW()-1,FALSE))</f>
        <v/>
      </c>
      <c r="Q332" t="str">
        <f ca="1">IF(AND(ISNUMBER($Q$833),$B$511=1),$Q$833,HLOOKUP(INDIRECT(ADDRESS(2,COLUMN())),OFFSET($BN$2,0,0,ROW()-1,60),ROW()-1,FALSE))</f>
        <v/>
      </c>
      <c r="R332" t="str">
        <f ca="1">IF(AND(ISNUMBER($R$833),$B$511=1),$R$833,HLOOKUP(INDIRECT(ADDRESS(2,COLUMN())),OFFSET($BN$2,0,0,ROW()-1,60),ROW()-1,FALSE))</f>
        <v/>
      </c>
      <c r="S332" t="str">
        <f ca="1">IF(AND(ISNUMBER($S$833),$B$511=1),$S$833,HLOOKUP(INDIRECT(ADDRESS(2,COLUMN())),OFFSET($BN$2,0,0,ROW()-1,60),ROW()-1,FALSE))</f>
        <v/>
      </c>
      <c r="T332" t="str">
        <f ca="1">IF(AND(ISNUMBER($T$833),$B$511=1),$T$833,HLOOKUP(INDIRECT(ADDRESS(2,COLUMN())),OFFSET($BN$2,0,0,ROW()-1,60),ROW()-1,FALSE))</f>
        <v/>
      </c>
      <c r="U332" t="str">
        <f ca="1">IF(AND(ISNUMBER($U$833),$B$511=1),$U$833,HLOOKUP(INDIRECT(ADDRESS(2,COLUMN())),OFFSET($BN$2,0,0,ROW()-1,60),ROW()-1,FALSE))</f>
        <v/>
      </c>
      <c r="V332" t="str">
        <f ca="1">IF(AND(ISNUMBER($V$833),$B$511=1),$V$833,HLOOKUP(INDIRECT(ADDRESS(2,COLUMN())),OFFSET($BN$2,0,0,ROW()-1,60),ROW()-1,FALSE))</f>
        <v/>
      </c>
      <c r="W332" t="str">
        <f ca="1">IF(AND(ISNUMBER($W$833),$B$511=1),$W$833,HLOOKUP(INDIRECT(ADDRESS(2,COLUMN())),OFFSET($BN$2,0,0,ROW()-1,60),ROW()-1,FALSE))</f>
        <v/>
      </c>
      <c r="X332" t="str">
        <f ca="1">IF(AND(ISNUMBER($X$833),$B$511=1),$X$833,HLOOKUP(INDIRECT(ADDRESS(2,COLUMN())),OFFSET($BN$2,0,0,ROW()-1,60),ROW()-1,FALSE))</f>
        <v/>
      </c>
      <c r="Y332" t="str">
        <f ca="1">IF(AND(ISNUMBER($Y$833),$B$511=1),$Y$833,HLOOKUP(INDIRECT(ADDRESS(2,COLUMN())),OFFSET($BN$2,0,0,ROW()-1,60),ROW()-1,FALSE))</f>
        <v/>
      </c>
      <c r="Z332" t="str">
        <f ca="1">IF(AND(ISNUMBER($Z$833),$B$511=1),$Z$833,HLOOKUP(INDIRECT(ADDRESS(2,COLUMN())),OFFSET($BN$2,0,0,ROW()-1,60),ROW()-1,FALSE))</f>
        <v/>
      </c>
      <c r="AA332" t="str">
        <f ca="1">IF(AND(ISNUMBER($AA$833),$B$511=1),$AA$833,HLOOKUP(INDIRECT(ADDRESS(2,COLUMN())),OFFSET($BN$2,0,0,ROW()-1,60),ROW()-1,FALSE))</f>
        <v/>
      </c>
      <c r="AB332" t="str">
        <f ca="1">IF(AND(ISNUMBER($AB$833),$B$511=1),$AB$833,HLOOKUP(INDIRECT(ADDRESS(2,COLUMN())),OFFSET($BN$2,0,0,ROW()-1,60),ROW()-1,FALSE))</f>
        <v/>
      </c>
      <c r="AC332" t="str">
        <f ca="1">IF(AND(ISNUMBER($AC$833),$B$511=1),$AC$833,HLOOKUP(INDIRECT(ADDRESS(2,COLUMN())),OFFSET($BN$2,0,0,ROW()-1,60),ROW()-1,FALSE))</f>
        <v/>
      </c>
      <c r="AD332" t="str">
        <f ca="1">IF(AND(ISNUMBER($AD$833),$B$511=1),$AD$833,HLOOKUP(INDIRECT(ADDRESS(2,COLUMN())),OFFSET($BN$2,0,0,ROW()-1,60),ROW()-1,FALSE))</f>
        <v/>
      </c>
      <c r="AE332" t="str">
        <f ca="1">IF(AND(ISNUMBER($AE$833),$B$511=1),$AE$833,HLOOKUP(INDIRECT(ADDRESS(2,COLUMN())),OFFSET($BN$2,0,0,ROW()-1,60),ROW()-1,FALSE))</f>
        <v/>
      </c>
      <c r="AF332" t="str">
        <f ca="1">IF(AND(ISNUMBER($AF$833),$B$511=1),$AF$833,HLOOKUP(INDIRECT(ADDRESS(2,COLUMN())),OFFSET($BN$2,0,0,ROW()-1,60),ROW()-1,FALSE))</f>
        <v/>
      </c>
      <c r="AG332" t="str">
        <f ca="1">IF(AND(ISNUMBER($AG$833),$B$511=1),$AG$833,HLOOKUP(INDIRECT(ADDRESS(2,COLUMN())),OFFSET($BN$2,0,0,ROW()-1,60),ROW()-1,FALSE))</f>
        <v/>
      </c>
      <c r="AH332" t="str">
        <f ca="1">IF(AND(ISNUMBER($AH$833),$B$511=1),$AH$833,HLOOKUP(INDIRECT(ADDRESS(2,COLUMN())),OFFSET($BN$2,0,0,ROW()-1,60),ROW()-1,FALSE))</f>
        <v/>
      </c>
      <c r="AI332" t="str">
        <f ca="1">IF(AND(ISNUMBER($AI$833),$B$511=1),$AI$833,HLOOKUP(INDIRECT(ADDRESS(2,COLUMN())),OFFSET($BN$2,0,0,ROW()-1,60),ROW()-1,FALSE))</f>
        <v/>
      </c>
      <c r="AJ332" t="str">
        <f ca="1">IF(AND(ISNUMBER($AJ$833),$B$511=1),$AJ$833,HLOOKUP(INDIRECT(ADDRESS(2,COLUMN())),OFFSET($BN$2,0,0,ROW()-1,60),ROW()-1,FALSE))</f>
        <v/>
      </c>
      <c r="AK332" t="str">
        <f ca="1">IF(AND(ISNUMBER($AK$833),$B$511=1),$AK$833,HLOOKUP(INDIRECT(ADDRESS(2,COLUMN())),OFFSET($BN$2,0,0,ROW()-1,60),ROW()-1,FALSE))</f>
        <v/>
      </c>
      <c r="AL332" t="str">
        <f ca="1">IF(AND(ISNUMBER($AL$833),$B$511=1),$AL$833,HLOOKUP(INDIRECT(ADDRESS(2,COLUMN())),OFFSET($BN$2,0,0,ROW()-1,60),ROW()-1,FALSE))</f>
        <v/>
      </c>
      <c r="AM332" t="str">
        <f ca="1">IF(AND(ISNUMBER($AM$833),$B$511=1),$AM$833,HLOOKUP(INDIRECT(ADDRESS(2,COLUMN())),OFFSET($BN$2,0,0,ROW()-1,60),ROW()-1,FALSE))</f>
        <v/>
      </c>
      <c r="AN332" t="str">
        <f ca="1">IF(AND(ISNUMBER($AN$833),$B$511=1),$AN$833,HLOOKUP(INDIRECT(ADDRESS(2,COLUMN())),OFFSET($BN$2,0,0,ROW()-1,60),ROW()-1,FALSE))</f>
        <v/>
      </c>
      <c r="AO332" t="str">
        <f ca="1">IF(AND(ISNUMBER($AO$833),$B$511=1),$AO$833,HLOOKUP(INDIRECT(ADDRESS(2,COLUMN())),OFFSET($BN$2,0,0,ROW()-1,60),ROW()-1,FALSE))</f>
        <v/>
      </c>
      <c r="AP332" t="str">
        <f ca="1">IF(AND(ISNUMBER($AP$833),$B$511=1),$AP$833,HLOOKUP(INDIRECT(ADDRESS(2,COLUMN())),OFFSET($BN$2,0,0,ROW()-1,60),ROW()-1,FALSE))</f>
        <v/>
      </c>
      <c r="AQ332" t="str">
        <f ca="1">IF(AND(ISNUMBER($AQ$833),$B$511=1),$AQ$833,HLOOKUP(INDIRECT(ADDRESS(2,COLUMN())),OFFSET($BN$2,0,0,ROW()-1,60),ROW()-1,FALSE))</f>
        <v/>
      </c>
      <c r="AR332" t="str">
        <f ca="1">IF(AND(ISNUMBER($AR$833),$B$511=1),$AR$833,HLOOKUP(INDIRECT(ADDRESS(2,COLUMN())),OFFSET($BN$2,0,0,ROW()-1,60),ROW()-1,FALSE))</f>
        <v/>
      </c>
      <c r="AS332" t="str">
        <f ca="1">IF(AND(ISNUMBER($AS$833),$B$511=1),$AS$833,HLOOKUP(INDIRECT(ADDRESS(2,COLUMN())),OFFSET($BN$2,0,0,ROW()-1,60),ROW()-1,FALSE))</f>
        <v/>
      </c>
      <c r="AT332" t="str">
        <f ca="1">IF(AND(ISNUMBER($AT$833),$B$511=1),$AT$833,HLOOKUP(INDIRECT(ADDRESS(2,COLUMN())),OFFSET($BN$2,0,0,ROW()-1,60),ROW()-1,FALSE))</f>
        <v/>
      </c>
      <c r="AU332" t="str">
        <f ca="1">IF(AND(ISNUMBER($AU$833),$B$511=1),$AU$833,HLOOKUP(INDIRECT(ADDRESS(2,COLUMN())),OFFSET($BN$2,0,0,ROW()-1,60),ROW()-1,FALSE))</f>
        <v/>
      </c>
      <c r="AV332" t="str">
        <f ca="1">IF(AND(ISNUMBER($AV$833),$B$511=1),$AV$833,HLOOKUP(INDIRECT(ADDRESS(2,COLUMN())),OFFSET($BN$2,0,0,ROW()-1,60),ROW()-1,FALSE))</f>
        <v/>
      </c>
      <c r="AW332" t="str">
        <f ca="1">IF(AND(ISNUMBER($AW$833),$B$511=1),$AW$833,HLOOKUP(INDIRECT(ADDRESS(2,COLUMN())),OFFSET($BN$2,0,0,ROW()-1,60),ROW()-1,FALSE))</f>
        <v/>
      </c>
      <c r="AX332" t="str">
        <f ca="1">IF(AND(ISNUMBER($AX$833),$B$511=1),$AX$833,HLOOKUP(INDIRECT(ADDRESS(2,COLUMN())),OFFSET($BN$2,0,0,ROW()-1,60),ROW()-1,FALSE))</f>
        <v/>
      </c>
      <c r="AY332" t="str">
        <f ca="1">IF(AND(ISNUMBER($AY$833),$B$511=1),$AY$833,HLOOKUP(INDIRECT(ADDRESS(2,COLUMN())),OFFSET($BN$2,0,0,ROW()-1,60),ROW()-1,FALSE))</f>
        <v/>
      </c>
      <c r="AZ332" t="str">
        <f ca="1">IF(AND(ISNUMBER($AZ$833),$B$511=1),$AZ$833,HLOOKUP(INDIRECT(ADDRESS(2,COLUMN())),OFFSET($BN$2,0,0,ROW()-1,60),ROW()-1,FALSE))</f>
        <v/>
      </c>
      <c r="BA332" t="str">
        <f ca="1">IF(AND(ISNUMBER($BA$833),$B$511=1),$BA$833,HLOOKUP(INDIRECT(ADDRESS(2,COLUMN())),OFFSET($BN$2,0,0,ROW()-1,60),ROW()-1,FALSE))</f>
        <v/>
      </c>
      <c r="BB332" t="str">
        <f ca="1">IF(AND(ISNUMBER($BB$833),$B$511=1),$BB$833,HLOOKUP(INDIRECT(ADDRESS(2,COLUMN())),OFFSET($BN$2,0,0,ROW()-1,60),ROW()-1,FALSE))</f>
        <v/>
      </c>
      <c r="BC332" t="str">
        <f ca="1">IF(AND(ISNUMBER($BC$833),$B$511=1),$BC$833,HLOOKUP(INDIRECT(ADDRESS(2,COLUMN())),OFFSET($BN$2,0,0,ROW()-1,60),ROW()-1,FALSE))</f>
        <v/>
      </c>
      <c r="BD332" t="str">
        <f ca="1">IF(AND(ISNUMBER($BD$833),$B$511=1),$BD$833,HLOOKUP(INDIRECT(ADDRESS(2,COLUMN())),OFFSET($BN$2,0,0,ROW()-1,60),ROW()-1,FALSE))</f>
        <v/>
      </c>
      <c r="BE332" t="str">
        <f ca="1">IF(AND(ISNUMBER($BE$833),$B$511=1),$BE$833,HLOOKUP(INDIRECT(ADDRESS(2,COLUMN())),OFFSET($BN$2,0,0,ROW()-1,60),ROW()-1,FALSE))</f>
        <v/>
      </c>
      <c r="BF332" t="str">
        <f ca="1">IF(AND(ISNUMBER($BF$833),$B$511=1),$BF$833,HLOOKUP(INDIRECT(ADDRESS(2,COLUMN())),OFFSET($BN$2,0,0,ROW()-1,60),ROW()-1,FALSE))</f>
        <v/>
      </c>
      <c r="BG332" t="str">
        <f ca="1">IF(AND(ISNUMBER($BG$833),$B$511=1),$BG$833,HLOOKUP(INDIRECT(ADDRESS(2,COLUMN())),OFFSET($BN$2,0,0,ROW()-1,60),ROW()-1,FALSE))</f>
        <v/>
      </c>
      <c r="BH332" t="str">
        <f ca="1">IF(AND(ISNUMBER($BH$833),$B$511=1),$BH$833,HLOOKUP(INDIRECT(ADDRESS(2,COLUMN())),OFFSET($BN$2,0,0,ROW()-1,60),ROW()-1,FALSE))</f>
        <v/>
      </c>
      <c r="BI332" t="str">
        <f ca="1">IF(AND(ISNUMBER($BI$833),$B$511=1),$BI$833,HLOOKUP(INDIRECT(ADDRESS(2,COLUMN())),OFFSET($BN$2,0,0,ROW()-1,60),ROW()-1,FALSE))</f>
        <v/>
      </c>
      <c r="BJ332" t="str">
        <f ca="1">IF(AND(ISNUMBER($BJ$833),$B$511=1),$BJ$833,HLOOKUP(INDIRECT(ADDRESS(2,COLUMN())),OFFSET($BN$2,0,0,ROW()-1,60),ROW()-1,FALSE))</f>
        <v/>
      </c>
      <c r="BK332" t="str">
        <f ca="1">IF(AND(ISNUMBER($BK$833),$B$511=1),$BK$833,HLOOKUP(INDIRECT(ADDRESS(2,COLUMN())),OFFSET($BN$2,0,0,ROW()-1,60),ROW()-1,FALSE))</f>
        <v/>
      </c>
      <c r="BL332" t="str">
        <f ca="1">IF(AND(ISNUMBER($BL$833),$B$511=1),$BL$833,HLOOKUP(INDIRECT(ADDRESS(2,COLUMN())),OFFSET($BN$2,0,0,ROW()-1,60),ROW()-1,FALSE))</f>
        <v/>
      </c>
      <c r="BM332" t="str">
        <f ca="1">IF(AND(ISNUMBER($BM$833),$B$511=1),$BM$833,HLOOKUP(INDIRECT(ADDRESS(2,COLUMN())),OFFSET($BN$2,0,0,ROW()-1,60),ROW()-1,FALSE))</f>
        <v/>
      </c>
      <c r="BN332" t="str">
        <f>""</f>
        <v/>
      </c>
      <c r="BO332" t="str">
        <f>""</f>
        <v/>
      </c>
      <c r="BP332" t="str">
        <f>""</f>
        <v/>
      </c>
      <c r="BQ332" t="str">
        <f>""</f>
        <v/>
      </c>
      <c r="BR332" t="str">
        <f>""</f>
        <v/>
      </c>
      <c r="BS332" t="str">
        <f>""</f>
        <v/>
      </c>
      <c r="BT332" t="str">
        <f>""</f>
        <v/>
      </c>
      <c r="BU332" t="str">
        <f>""</f>
        <v/>
      </c>
      <c r="BV332" t="str">
        <f>""</f>
        <v/>
      </c>
      <c r="BW332" t="str">
        <f>""</f>
        <v/>
      </c>
      <c r="BX332" t="str">
        <f>""</f>
        <v/>
      </c>
      <c r="BY332" t="str">
        <f>""</f>
        <v/>
      </c>
      <c r="BZ332" t="str">
        <f>""</f>
        <v/>
      </c>
      <c r="CA332" t="str">
        <f>""</f>
        <v/>
      </c>
      <c r="CB332" t="str">
        <f>""</f>
        <v/>
      </c>
      <c r="CC332" t="str">
        <f>""</f>
        <v/>
      </c>
      <c r="CD332" t="str">
        <f>""</f>
        <v/>
      </c>
      <c r="CE332" t="str">
        <f>""</f>
        <v/>
      </c>
      <c r="CF332" t="str">
        <f>""</f>
        <v/>
      </c>
      <c r="CG332" t="str">
        <f>""</f>
        <v/>
      </c>
      <c r="CH332" t="str">
        <f>""</f>
        <v/>
      </c>
      <c r="CI332" t="str">
        <f>""</f>
        <v/>
      </c>
      <c r="CJ332" t="str">
        <f>""</f>
        <v/>
      </c>
      <c r="CK332" t="str">
        <f>""</f>
        <v/>
      </c>
      <c r="CL332" t="str">
        <f>""</f>
        <v/>
      </c>
      <c r="CM332" t="str">
        <f>""</f>
        <v/>
      </c>
      <c r="CN332" t="str">
        <f>""</f>
        <v/>
      </c>
      <c r="CO332" t="str">
        <f>""</f>
        <v/>
      </c>
      <c r="CP332" t="str">
        <f>""</f>
        <v/>
      </c>
      <c r="CQ332" t="str">
        <f>""</f>
        <v/>
      </c>
      <c r="CR332" t="str">
        <f>""</f>
        <v/>
      </c>
      <c r="CS332" t="str">
        <f>""</f>
        <v/>
      </c>
      <c r="CT332" t="str">
        <f>""</f>
        <v/>
      </c>
      <c r="CU332" t="str">
        <f>""</f>
        <v/>
      </c>
      <c r="CV332" t="str">
        <f>""</f>
        <v/>
      </c>
      <c r="CW332" t="str">
        <f>""</f>
        <v/>
      </c>
      <c r="CX332" t="str">
        <f>""</f>
        <v/>
      </c>
      <c r="CY332" t="str">
        <f>""</f>
        <v/>
      </c>
      <c r="CZ332" t="str">
        <f>""</f>
        <v/>
      </c>
      <c r="DA332" t="str">
        <f>""</f>
        <v/>
      </c>
      <c r="DB332" t="str">
        <f>""</f>
        <v/>
      </c>
      <c r="DC332" t="str">
        <f>""</f>
        <v/>
      </c>
      <c r="DD332" t="str">
        <f>""</f>
        <v/>
      </c>
      <c r="DE332" t="str">
        <f>""</f>
        <v/>
      </c>
      <c r="DF332" t="str">
        <f>""</f>
        <v/>
      </c>
      <c r="DG332" t="str">
        <f>""</f>
        <v/>
      </c>
      <c r="DH332" t="str">
        <f>""</f>
        <v/>
      </c>
      <c r="DI332" t="str">
        <f>""</f>
        <v/>
      </c>
      <c r="DJ332" t="str">
        <f>""</f>
        <v/>
      </c>
      <c r="DK332" t="str">
        <f>""</f>
        <v/>
      </c>
      <c r="DL332" t="str">
        <f>""</f>
        <v/>
      </c>
      <c r="DM332" t="str">
        <f>""</f>
        <v/>
      </c>
      <c r="DN332" t="str">
        <f>""</f>
        <v/>
      </c>
      <c r="DO332" t="str">
        <f>""</f>
        <v/>
      </c>
      <c r="DP332" t="str">
        <f>""</f>
        <v/>
      </c>
      <c r="DQ332" t="str">
        <f>""</f>
        <v/>
      </c>
      <c r="DR332" t="str">
        <f>""</f>
        <v/>
      </c>
      <c r="DS332" t="str">
        <f>""</f>
        <v/>
      </c>
      <c r="DT332" t="str">
        <f>""</f>
        <v/>
      </c>
      <c r="DU332" t="str">
        <f>""</f>
        <v/>
      </c>
    </row>
    <row r="333" spans="1:125" x14ac:dyDescent="0.25">
      <c r="A333" t="str">
        <f>"    Avtovaz PJSC"</f>
        <v xml:space="preserve">    Avtovaz PJSC</v>
      </c>
      <c r="B333" t="str">
        <f>"AVAZ RM Equity"</f>
        <v>AVAZ RM Equity</v>
      </c>
      <c r="C333" t="str">
        <f t="shared" si="24"/>
        <v>RX530</v>
      </c>
      <c r="D333" t="str">
        <f t="shared" si="25"/>
        <v>T12M_DVDS_PAID</v>
      </c>
      <c r="E333" t="str">
        <f t="shared" si="26"/>
        <v>Dynamic</v>
      </c>
      <c r="F333" t="str">
        <f ca="1">IF(AND(ISNUMBER($F$834),$B$511=1),$F$834,HLOOKUP(INDIRECT(ADDRESS(2,COLUMN())),OFFSET($BN$2,0,0,ROW()-1,60),ROW()-1,FALSE))</f>
        <v/>
      </c>
      <c r="G333" t="str">
        <f ca="1">IF(AND(ISNUMBER($G$834),$B$511=1),$G$834,HLOOKUP(INDIRECT(ADDRESS(2,COLUMN())),OFFSET($BN$2,0,0,ROW()-1,60),ROW()-1,FALSE))</f>
        <v/>
      </c>
      <c r="H333" t="str">
        <f ca="1">IF(AND(ISNUMBER($H$834),$B$511=1),$H$834,HLOOKUP(INDIRECT(ADDRESS(2,COLUMN())),OFFSET($BN$2,0,0,ROW()-1,60),ROW()-1,FALSE))</f>
        <v/>
      </c>
      <c r="I333" t="str">
        <f ca="1">IF(AND(ISNUMBER($I$834),$B$511=1),$I$834,HLOOKUP(INDIRECT(ADDRESS(2,COLUMN())),OFFSET($BN$2,0,0,ROW()-1,60),ROW()-1,FALSE))</f>
        <v/>
      </c>
      <c r="J333" t="str">
        <f ca="1">IF(AND(ISNUMBER($J$834),$B$511=1),$J$834,HLOOKUP(INDIRECT(ADDRESS(2,COLUMN())),OFFSET($BN$2,0,0,ROW()-1,60),ROW()-1,FALSE))</f>
        <v/>
      </c>
      <c r="K333" t="str">
        <f ca="1">IF(AND(ISNUMBER($K$834),$B$511=1),$K$834,HLOOKUP(INDIRECT(ADDRESS(2,COLUMN())),OFFSET($BN$2,0,0,ROW()-1,60),ROW()-1,FALSE))</f>
        <v/>
      </c>
      <c r="L333" t="str">
        <f ca="1">IF(AND(ISNUMBER($L$834),$B$511=1),$L$834,HLOOKUP(INDIRECT(ADDRESS(2,COLUMN())),OFFSET($BN$2,0,0,ROW()-1,60),ROW()-1,FALSE))</f>
        <v/>
      </c>
      <c r="M333" t="str">
        <f ca="1">IF(AND(ISNUMBER($M$834),$B$511=1),$M$834,HLOOKUP(INDIRECT(ADDRESS(2,COLUMN())),OFFSET($BN$2,0,0,ROW()-1,60),ROW()-1,FALSE))</f>
        <v/>
      </c>
      <c r="N333" t="str">
        <f ca="1">IF(AND(ISNUMBER($N$834),$B$511=1),$N$834,HLOOKUP(INDIRECT(ADDRESS(2,COLUMN())),OFFSET($BN$2,0,0,ROW()-1,60),ROW()-1,FALSE))</f>
        <v/>
      </c>
      <c r="O333" t="str">
        <f ca="1">IF(AND(ISNUMBER($O$834),$B$511=1),$O$834,HLOOKUP(INDIRECT(ADDRESS(2,COLUMN())),OFFSET($BN$2,0,0,ROW()-1,60),ROW()-1,FALSE))</f>
        <v/>
      </c>
      <c r="P333" t="str">
        <f ca="1">IF(AND(ISNUMBER($P$834),$B$511=1),$P$834,HLOOKUP(INDIRECT(ADDRESS(2,COLUMN())),OFFSET($BN$2,0,0,ROW()-1,60),ROW()-1,FALSE))</f>
        <v/>
      </c>
      <c r="Q333" t="str">
        <f ca="1">IF(AND(ISNUMBER($Q$834),$B$511=1),$Q$834,HLOOKUP(INDIRECT(ADDRESS(2,COLUMN())),OFFSET($BN$2,0,0,ROW()-1,60),ROW()-1,FALSE))</f>
        <v/>
      </c>
      <c r="R333" t="str">
        <f ca="1">IF(AND(ISNUMBER($R$834),$B$511=1),$R$834,HLOOKUP(INDIRECT(ADDRESS(2,COLUMN())),OFFSET($BN$2,0,0,ROW()-1,60),ROW()-1,FALSE))</f>
        <v/>
      </c>
      <c r="S333" t="str">
        <f ca="1">IF(AND(ISNUMBER($S$834),$B$511=1),$S$834,HLOOKUP(INDIRECT(ADDRESS(2,COLUMN())),OFFSET($BN$2,0,0,ROW()-1,60),ROW()-1,FALSE))</f>
        <v/>
      </c>
      <c r="T333" t="str">
        <f ca="1">IF(AND(ISNUMBER($T$834),$B$511=1),$T$834,HLOOKUP(INDIRECT(ADDRESS(2,COLUMN())),OFFSET($BN$2,0,0,ROW()-1,60),ROW()-1,FALSE))</f>
        <v/>
      </c>
      <c r="U333" t="str">
        <f ca="1">IF(AND(ISNUMBER($U$834),$B$511=1),$U$834,HLOOKUP(INDIRECT(ADDRESS(2,COLUMN())),OFFSET($BN$2,0,0,ROW()-1,60),ROW()-1,FALSE))</f>
        <v/>
      </c>
      <c r="V333" t="str">
        <f ca="1">IF(AND(ISNUMBER($V$834),$B$511=1),$V$834,HLOOKUP(INDIRECT(ADDRESS(2,COLUMN())),OFFSET($BN$2,0,0,ROW()-1,60),ROW()-1,FALSE))</f>
        <v/>
      </c>
      <c r="W333" t="str">
        <f ca="1">IF(AND(ISNUMBER($W$834),$B$511=1),$W$834,HLOOKUP(INDIRECT(ADDRESS(2,COLUMN())),OFFSET($BN$2,0,0,ROW()-1,60),ROW()-1,FALSE))</f>
        <v/>
      </c>
      <c r="X333" t="str">
        <f ca="1">IF(AND(ISNUMBER($X$834),$B$511=1),$X$834,HLOOKUP(INDIRECT(ADDRESS(2,COLUMN())),OFFSET($BN$2,0,0,ROW()-1,60),ROW()-1,FALSE))</f>
        <v/>
      </c>
      <c r="Y333" t="str">
        <f ca="1">IF(AND(ISNUMBER($Y$834),$B$511=1),$Y$834,HLOOKUP(INDIRECT(ADDRESS(2,COLUMN())),OFFSET($BN$2,0,0,ROW()-1,60),ROW()-1,FALSE))</f>
        <v/>
      </c>
      <c r="Z333" t="str">
        <f ca="1">IF(AND(ISNUMBER($Z$834),$B$511=1),$Z$834,HLOOKUP(INDIRECT(ADDRESS(2,COLUMN())),OFFSET($BN$2,0,0,ROW()-1,60),ROW()-1,FALSE))</f>
        <v/>
      </c>
      <c r="AA333" t="str">
        <f ca="1">IF(AND(ISNUMBER($AA$834),$B$511=1),$AA$834,HLOOKUP(INDIRECT(ADDRESS(2,COLUMN())),OFFSET($BN$2,0,0,ROW()-1,60),ROW()-1,FALSE))</f>
        <v/>
      </c>
      <c r="AB333" t="str">
        <f ca="1">IF(AND(ISNUMBER($AB$834),$B$511=1),$AB$834,HLOOKUP(INDIRECT(ADDRESS(2,COLUMN())),OFFSET($BN$2,0,0,ROW()-1,60),ROW()-1,FALSE))</f>
        <v/>
      </c>
      <c r="AC333" t="str">
        <f ca="1">IF(AND(ISNUMBER($AC$834),$B$511=1),$AC$834,HLOOKUP(INDIRECT(ADDRESS(2,COLUMN())),OFFSET($BN$2,0,0,ROW()-1,60),ROW()-1,FALSE))</f>
        <v/>
      </c>
      <c r="AD333" t="str">
        <f ca="1">IF(AND(ISNUMBER($AD$834),$B$511=1),$AD$834,HLOOKUP(INDIRECT(ADDRESS(2,COLUMN())),OFFSET($BN$2,0,0,ROW()-1,60),ROW()-1,FALSE))</f>
        <v/>
      </c>
      <c r="AE333" t="str">
        <f ca="1">IF(AND(ISNUMBER($AE$834),$B$511=1),$AE$834,HLOOKUP(INDIRECT(ADDRESS(2,COLUMN())),OFFSET($BN$2,0,0,ROW()-1,60),ROW()-1,FALSE))</f>
        <v/>
      </c>
      <c r="AF333" t="str">
        <f ca="1">IF(AND(ISNUMBER($AF$834),$B$511=1),$AF$834,HLOOKUP(INDIRECT(ADDRESS(2,COLUMN())),OFFSET($BN$2,0,0,ROW()-1,60),ROW()-1,FALSE))</f>
        <v/>
      </c>
      <c r="AG333" t="str">
        <f ca="1">IF(AND(ISNUMBER($AG$834),$B$511=1),$AG$834,HLOOKUP(INDIRECT(ADDRESS(2,COLUMN())),OFFSET($BN$2,0,0,ROW()-1,60),ROW()-1,FALSE))</f>
        <v/>
      </c>
      <c r="AH333" t="str">
        <f ca="1">IF(AND(ISNUMBER($AH$834),$B$511=1),$AH$834,HLOOKUP(INDIRECT(ADDRESS(2,COLUMN())),OFFSET($BN$2,0,0,ROW()-1,60),ROW()-1,FALSE))</f>
        <v/>
      </c>
      <c r="AI333" t="str">
        <f ca="1">IF(AND(ISNUMBER($AI$834),$B$511=1),$AI$834,HLOOKUP(INDIRECT(ADDRESS(2,COLUMN())),OFFSET($BN$2,0,0,ROW()-1,60),ROW()-1,FALSE))</f>
        <v/>
      </c>
      <c r="AJ333" t="str">
        <f ca="1">IF(AND(ISNUMBER($AJ$834),$B$511=1),$AJ$834,HLOOKUP(INDIRECT(ADDRESS(2,COLUMN())),OFFSET($BN$2,0,0,ROW()-1,60),ROW()-1,FALSE))</f>
        <v/>
      </c>
      <c r="AK333" t="str">
        <f ca="1">IF(AND(ISNUMBER($AK$834),$B$511=1),$AK$834,HLOOKUP(INDIRECT(ADDRESS(2,COLUMN())),OFFSET($BN$2,0,0,ROW()-1,60),ROW()-1,FALSE))</f>
        <v/>
      </c>
      <c r="AL333" t="str">
        <f ca="1">IF(AND(ISNUMBER($AL$834),$B$511=1),$AL$834,HLOOKUP(INDIRECT(ADDRESS(2,COLUMN())),OFFSET($BN$2,0,0,ROW()-1,60),ROW()-1,FALSE))</f>
        <v/>
      </c>
      <c r="AM333" t="str">
        <f ca="1">IF(AND(ISNUMBER($AM$834),$B$511=1),$AM$834,HLOOKUP(INDIRECT(ADDRESS(2,COLUMN())),OFFSET($BN$2,0,0,ROW()-1,60),ROW()-1,FALSE))</f>
        <v/>
      </c>
      <c r="AN333" t="str">
        <f ca="1">IF(AND(ISNUMBER($AN$834),$B$511=1),$AN$834,HLOOKUP(INDIRECT(ADDRESS(2,COLUMN())),OFFSET($BN$2,0,0,ROW()-1,60),ROW()-1,FALSE))</f>
        <v/>
      </c>
      <c r="AO333" t="str">
        <f ca="1">IF(AND(ISNUMBER($AO$834),$B$511=1),$AO$834,HLOOKUP(INDIRECT(ADDRESS(2,COLUMN())),OFFSET($BN$2,0,0,ROW()-1,60),ROW()-1,FALSE))</f>
        <v/>
      </c>
      <c r="AP333" t="str">
        <f ca="1">IF(AND(ISNUMBER($AP$834),$B$511=1),$AP$834,HLOOKUP(INDIRECT(ADDRESS(2,COLUMN())),OFFSET($BN$2,0,0,ROW()-1,60),ROW()-1,FALSE))</f>
        <v/>
      </c>
      <c r="AQ333" t="str">
        <f ca="1">IF(AND(ISNUMBER($AQ$834),$B$511=1),$AQ$834,HLOOKUP(INDIRECT(ADDRESS(2,COLUMN())),OFFSET($BN$2,0,0,ROW()-1,60),ROW()-1,FALSE))</f>
        <v/>
      </c>
      <c r="AR333" t="str">
        <f ca="1">IF(AND(ISNUMBER($AR$834),$B$511=1),$AR$834,HLOOKUP(INDIRECT(ADDRESS(2,COLUMN())),OFFSET($BN$2,0,0,ROW()-1,60),ROW()-1,FALSE))</f>
        <v/>
      </c>
      <c r="AS333" t="str">
        <f ca="1">IF(AND(ISNUMBER($AS$834),$B$511=1),$AS$834,HLOOKUP(INDIRECT(ADDRESS(2,COLUMN())),OFFSET($BN$2,0,0,ROW()-1,60),ROW()-1,FALSE))</f>
        <v/>
      </c>
      <c r="AT333" t="str">
        <f ca="1">IF(AND(ISNUMBER($AT$834),$B$511=1),$AT$834,HLOOKUP(INDIRECT(ADDRESS(2,COLUMN())),OFFSET($BN$2,0,0,ROW()-1,60),ROW()-1,FALSE))</f>
        <v/>
      </c>
      <c r="AU333" t="str">
        <f ca="1">IF(AND(ISNUMBER($AU$834),$B$511=1),$AU$834,HLOOKUP(INDIRECT(ADDRESS(2,COLUMN())),OFFSET($BN$2,0,0,ROW()-1,60),ROW()-1,FALSE))</f>
        <v/>
      </c>
      <c r="AV333" t="str">
        <f ca="1">IF(AND(ISNUMBER($AV$834),$B$511=1),$AV$834,HLOOKUP(INDIRECT(ADDRESS(2,COLUMN())),OFFSET($BN$2,0,0,ROW()-1,60),ROW()-1,FALSE))</f>
        <v/>
      </c>
      <c r="AW333" t="str">
        <f ca="1">IF(AND(ISNUMBER($AW$834),$B$511=1),$AW$834,HLOOKUP(INDIRECT(ADDRESS(2,COLUMN())),OFFSET($BN$2,0,0,ROW()-1,60),ROW()-1,FALSE))</f>
        <v/>
      </c>
      <c r="AX333" t="str">
        <f ca="1">IF(AND(ISNUMBER($AX$834),$B$511=1),$AX$834,HLOOKUP(INDIRECT(ADDRESS(2,COLUMN())),OFFSET($BN$2,0,0,ROW()-1,60),ROW()-1,FALSE))</f>
        <v/>
      </c>
      <c r="AY333" t="str">
        <f ca="1">IF(AND(ISNUMBER($AY$834),$B$511=1),$AY$834,HLOOKUP(INDIRECT(ADDRESS(2,COLUMN())),OFFSET($BN$2,0,0,ROW()-1,60),ROW()-1,FALSE))</f>
        <v/>
      </c>
      <c r="AZ333" t="str">
        <f ca="1">IF(AND(ISNUMBER($AZ$834),$B$511=1),$AZ$834,HLOOKUP(INDIRECT(ADDRESS(2,COLUMN())),OFFSET($BN$2,0,0,ROW()-1,60),ROW()-1,FALSE))</f>
        <v/>
      </c>
      <c r="BA333" t="str">
        <f ca="1">IF(AND(ISNUMBER($BA$834),$B$511=1),$BA$834,HLOOKUP(INDIRECT(ADDRESS(2,COLUMN())),OFFSET($BN$2,0,0,ROW()-1,60),ROW()-1,FALSE))</f>
        <v/>
      </c>
      <c r="BB333" t="str">
        <f ca="1">IF(AND(ISNUMBER($BB$834),$B$511=1),$BB$834,HLOOKUP(INDIRECT(ADDRESS(2,COLUMN())),OFFSET($BN$2,0,0,ROW()-1,60),ROW()-1,FALSE))</f>
        <v/>
      </c>
      <c r="BC333" t="str">
        <f ca="1">IF(AND(ISNUMBER($BC$834),$B$511=1),$BC$834,HLOOKUP(INDIRECT(ADDRESS(2,COLUMN())),OFFSET($BN$2,0,0,ROW()-1,60),ROW()-1,FALSE))</f>
        <v/>
      </c>
      <c r="BD333" t="str">
        <f ca="1">IF(AND(ISNUMBER($BD$834),$B$511=1),$BD$834,HLOOKUP(INDIRECT(ADDRESS(2,COLUMN())),OFFSET($BN$2,0,0,ROW()-1,60),ROW()-1,FALSE))</f>
        <v/>
      </c>
      <c r="BE333" t="str">
        <f ca="1">IF(AND(ISNUMBER($BE$834),$B$511=1),$BE$834,HLOOKUP(INDIRECT(ADDRESS(2,COLUMN())),OFFSET($BN$2,0,0,ROW()-1,60),ROW()-1,FALSE))</f>
        <v/>
      </c>
      <c r="BF333" t="str">
        <f ca="1">IF(AND(ISNUMBER($BF$834),$B$511=1),$BF$834,HLOOKUP(INDIRECT(ADDRESS(2,COLUMN())),OFFSET($BN$2,0,0,ROW()-1,60),ROW()-1,FALSE))</f>
        <v/>
      </c>
      <c r="BG333" t="str">
        <f ca="1">IF(AND(ISNUMBER($BG$834),$B$511=1),$BG$834,HLOOKUP(INDIRECT(ADDRESS(2,COLUMN())),OFFSET($BN$2,0,0,ROW()-1,60),ROW()-1,FALSE))</f>
        <v/>
      </c>
      <c r="BH333" t="str">
        <f ca="1">IF(AND(ISNUMBER($BH$834),$B$511=1),$BH$834,HLOOKUP(INDIRECT(ADDRESS(2,COLUMN())),OFFSET($BN$2,0,0,ROW()-1,60),ROW()-1,FALSE))</f>
        <v/>
      </c>
      <c r="BI333" t="str">
        <f ca="1">IF(AND(ISNUMBER($BI$834),$B$511=1),$BI$834,HLOOKUP(INDIRECT(ADDRESS(2,COLUMN())),OFFSET($BN$2,0,0,ROW()-1,60),ROW()-1,FALSE))</f>
        <v/>
      </c>
      <c r="BJ333" t="str">
        <f ca="1">IF(AND(ISNUMBER($BJ$834),$B$511=1),$BJ$834,HLOOKUP(INDIRECT(ADDRESS(2,COLUMN())),OFFSET($BN$2,0,0,ROW()-1,60),ROW()-1,FALSE))</f>
        <v/>
      </c>
      <c r="BK333" t="str">
        <f ca="1">IF(AND(ISNUMBER($BK$834),$B$511=1),$BK$834,HLOOKUP(INDIRECT(ADDRESS(2,COLUMN())),OFFSET($BN$2,0,0,ROW()-1,60),ROW()-1,FALSE))</f>
        <v/>
      </c>
      <c r="BL333" t="str">
        <f ca="1">IF(AND(ISNUMBER($BL$834),$B$511=1),$BL$834,HLOOKUP(INDIRECT(ADDRESS(2,COLUMN())),OFFSET($BN$2,0,0,ROW()-1,60),ROW()-1,FALSE))</f>
        <v/>
      </c>
      <c r="BM333" t="str">
        <f ca="1">IF(AND(ISNUMBER($BM$834),$B$511=1),$BM$834,HLOOKUP(INDIRECT(ADDRESS(2,COLUMN())),OFFSET($BN$2,0,0,ROW()-1,60),ROW()-1,FALSE))</f>
        <v/>
      </c>
      <c r="BN333" t="str">
        <f>""</f>
        <v/>
      </c>
      <c r="BO333" t="str">
        <f>""</f>
        <v/>
      </c>
      <c r="BP333" t="str">
        <f>""</f>
        <v/>
      </c>
      <c r="BQ333" t="str">
        <f>""</f>
        <v/>
      </c>
      <c r="BR333" t="str">
        <f>""</f>
        <v/>
      </c>
      <c r="BS333" t="str">
        <f>""</f>
        <v/>
      </c>
      <c r="BT333" t="str">
        <f>""</f>
        <v/>
      </c>
      <c r="BU333" t="str">
        <f>""</f>
        <v/>
      </c>
      <c r="BV333" t="str">
        <f>""</f>
        <v/>
      </c>
      <c r="BW333" t="str">
        <f>""</f>
        <v/>
      </c>
      <c r="BX333" t="str">
        <f>""</f>
        <v/>
      </c>
      <c r="BY333" t="str">
        <f>""</f>
        <v/>
      </c>
      <c r="BZ333" t="str">
        <f>""</f>
        <v/>
      </c>
      <c r="CA333" t="str">
        <f>""</f>
        <v/>
      </c>
      <c r="CB333" t="str">
        <f>""</f>
        <v/>
      </c>
      <c r="CC333" t="str">
        <f>""</f>
        <v/>
      </c>
      <c r="CD333" t="str">
        <f>""</f>
        <v/>
      </c>
      <c r="CE333" t="str">
        <f>""</f>
        <v/>
      </c>
      <c r="CF333" t="str">
        <f>""</f>
        <v/>
      </c>
      <c r="CG333" t="str">
        <f>""</f>
        <v/>
      </c>
      <c r="CH333" t="str">
        <f>""</f>
        <v/>
      </c>
      <c r="CI333" t="str">
        <f>""</f>
        <v/>
      </c>
      <c r="CJ333" t="str">
        <f>""</f>
        <v/>
      </c>
      <c r="CK333" t="str">
        <f>""</f>
        <v/>
      </c>
      <c r="CL333" t="str">
        <f>""</f>
        <v/>
      </c>
      <c r="CM333" t="str">
        <f>""</f>
        <v/>
      </c>
      <c r="CN333" t="str">
        <f>""</f>
        <v/>
      </c>
      <c r="CO333" t="str">
        <f>""</f>
        <v/>
      </c>
      <c r="CP333" t="str">
        <f>""</f>
        <v/>
      </c>
      <c r="CQ333" t="str">
        <f>""</f>
        <v/>
      </c>
      <c r="CR333" t="str">
        <f>""</f>
        <v/>
      </c>
      <c r="CS333" t="str">
        <f>""</f>
        <v/>
      </c>
      <c r="CT333" t="str">
        <f>""</f>
        <v/>
      </c>
      <c r="CU333" t="str">
        <f>""</f>
        <v/>
      </c>
      <c r="CV333" t="str">
        <f>""</f>
        <v/>
      </c>
      <c r="CW333" t="str">
        <f>""</f>
        <v/>
      </c>
      <c r="CX333" t="str">
        <f>""</f>
        <v/>
      </c>
      <c r="CY333" t="str">
        <f>""</f>
        <v/>
      </c>
      <c r="CZ333" t="str">
        <f>""</f>
        <v/>
      </c>
      <c r="DA333" t="str">
        <f>""</f>
        <v/>
      </c>
      <c r="DB333" t="str">
        <f>""</f>
        <v/>
      </c>
      <c r="DC333" t="str">
        <f>""</f>
        <v/>
      </c>
      <c r="DD333" t="str">
        <f>""</f>
        <v/>
      </c>
      <c r="DE333" t="str">
        <f>""</f>
        <v/>
      </c>
      <c r="DF333" t="str">
        <f>""</f>
        <v/>
      </c>
      <c r="DG333" t="str">
        <f>""</f>
        <v/>
      </c>
      <c r="DH333" t="str">
        <f>""</f>
        <v/>
      </c>
      <c r="DI333" t="str">
        <f>""</f>
        <v/>
      </c>
      <c r="DJ333" t="str">
        <f>""</f>
        <v/>
      </c>
      <c r="DK333" t="str">
        <f>""</f>
        <v/>
      </c>
      <c r="DL333" t="str">
        <f>""</f>
        <v/>
      </c>
      <c r="DM333" t="str">
        <f>""</f>
        <v/>
      </c>
      <c r="DN333" t="str">
        <f>""</f>
        <v/>
      </c>
      <c r="DO333" t="str">
        <f>""</f>
        <v/>
      </c>
      <c r="DP333" t="str">
        <f>""</f>
        <v/>
      </c>
      <c r="DQ333" t="str">
        <f>""</f>
        <v/>
      </c>
      <c r="DR333" t="str">
        <f>""</f>
        <v/>
      </c>
      <c r="DS333" t="str">
        <f>""</f>
        <v/>
      </c>
      <c r="DT333" t="str">
        <f>""</f>
        <v/>
      </c>
      <c r="DU333" t="str">
        <f>""</f>
        <v/>
      </c>
    </row>
    <row r="334" spans="1:125" x14ac:dyDescent="0.25">
      <c r="A334" t="str">
        <f>"    Bayerische Motoren Werke AG"</f>
        <v xml:space="preserve">    Bayerische Motoren Werke AG</v>
      </c>
      <c r="B334" t="str">
        <f>"BMW GR Equity"</f>
        <v>BMW GR Equity</v>
      </c>
      <c r="C334" t="str">
        <f t="shared" si="24"/>
        <v>RX530</v>
      </c>
      <c r="D334" t="str">
        <f t="shared" si="25"/>
        <v>T12M_DVDS_PAID</v>
      </c>
      <c r="E334" t="str">
        <f t="shared" si="26"/>
        <v>Dynamic</v>
      </c>
      <c r="F334" t="str">
        <f ca="1">IF(AND(ISNUMBER($F$835),$B$511=1),$F$835,HLOOKUP(INDIRECT(ADDRESS(2,COLUMN())),OFFSET($BN$2,0,0,ROW()-1,60),ROW()-1,FALSE))</f>
        <v/>
      </c>
      <c r="G334" t="str">
        <f ca="1">IF(AND(ISNUMBER($G$835),$B$511=1),$G$835,HLOOKUP(INDIRECT(ADDRESS(2,COLUMN())),OFFSET($BN$2,0,0,ROW()-1,60),ROW()-1,FALSE))</f>
        <v/>
      </c>
      <c r="H334">
        <f ca="1">IF(AND(ISNUMBER($H$835),$B$511=1),$H$835,HLOOKUP(INDIRECT(ADDRESS(2,COLUMN())),OFFSET($BN$2,0,0,ROW()-1,60),ROW()-1,FALSE))</f>
        <v>-2766.584437</v>
      </c>
      <c r="I334">
        <f ca="1">IF(AND(ISNUMBER($I$835),$B$511=1),$I$835,HLOOKUP(INDIRECT(ADDRESS(2,COLUMN())),OFFSET($BN$2,0,0,ROW()-1,60),ROW()-1,FALSE))</f>
        <v>-2773.5880790000001</v>
      </c>
      <c r="J334">
        <f ca="1">IF(AND(ISNUMBER($J$835),$B$511=1),$J$835,HLOOKUP(INDIRECT(ADDRESS(2,COLUMN())),OFFSET($BN$2,0,0,ROW()-1,60),ROW()-1,FALSE))</f>
        <v>-2720.6287670000002</v>
      </c>
      <c r="K334">
        <f ca="1">IF(AND(ISNUMBER($K$835),$B$511=1),$K$835,HLOOKUP(INDIRECT(ADDRESS(2,COLUMN())),OFFSET($BN$2,0,0,ROW()-1,60),ROW()-1,FALSE))</f>
        <v>-2625.4722740000002</v>
      </c>
      <c r="L334">
        <f ca="1">IF(AND(ISNUMBER($L$835),$B$511=1),$L$835,HLOOKUP(INDIRECT(ADDRESS(2,COLUMN())),OFFSET($BN$2,0,0,ROW()-1,60),ROW()-1,FALSE))</f>
        <v>0</v>
      </c>
      <c r="M334">
        <f ca="1">IF(AND(ISNUMBER($M$835),$B$511=1),$M$835,HLOOKUP(INDIRECT(ADDRESS(2,COLUMN())),OFFSET($BN$2,0,0,ROW()-1,60),ROW()-1,FALSE))</f>
        <v>0</v>
      </c>
      <c r="N334">
        <f ca="1">IF(AND(ISNUMBER($N$835),$B$511=1),$N$835,HLOOKUP(INDIRECT(ADDRESS(2,COLUMN())),OFFSET($BN$2,0,0,ROW()-1,60),ROW()-1,FALSE))</f>
        <v>-2327.3742350000002</v>
      </c>
      <c r="O334">
        <f ca="1">IF(AND(ISNUMBER($O$835),$B$511=1),$O$835,HLOOKUP(INDIRECT(ADDRESS(2,COLUMN())),OFFSET($BN$2,0,0,ROW()-1,60),ROW()-1,FALSE))</f>
        <v>-2347.5836260000001</v>
      </c>
      <c r="P334">
        <f ca="1">IF(AND(ISNUMBER($P$835),$B$511=1),$P$835,HLOOKUP(INDIRECT(ADDRESS(2,COLUMN())),OFFSET($BN$2,0,0,ROW()-1,60),ROW()-1,FALSE))</f>
        <v>-2356.5322329999999</v>
      </c>
      <c r="Q334">
        <f ca="1">IF(AND(ISNUMBER($Q$835),$B$511=1),$Q$835,HLOOKUP(INDIRECT(ADDRESS(2,COLUMN())),OFFSET($BN$2,0,0,ROW()-1,60),ROW()-1,FALSE))</f>
        <v>-2354.2752300000002</v>
      </c>
      <c r="R334">
        <f ca="1">IF(AND(ISNUMBER($R$835),$B$511=1),$R$835,HLOOKUP(INDIRECT(ADDRESS(2,COLUMN())),OFFSET($BN$2,0,0,ROW()-1,60),ROW()-1,FALSE))</f>
        <v>-2117.0360230000001</v>
      </c>
      <c r="S334">
        <f ca="1">IF(AND(ISNUMBER($S$835),$B$511=1),$S$835,HLOOKUP(INDIRECT(ADDRESS(2,COLUMN())),OFFSET($BN$2,0,0,ROW()-1,60),ROW()-1,FALSE))</f>
        <v>-2127.871212</v>
      </c>
      <c r="T334">
        <f ca="1">IF(AND(ISNUMBER($T$835),$B$511=1),$T$835,HLOOKUP(INDIRECT(ADDRESS(2,COLUMN())),OFFSET($BN$2,0,0,ROW()-1,60),ROW()-1,FALSE))</f>
        <v>-2203.4635830000002</v>
      </c>
      <c r="U334">
        <f ca="1">IF(AND(ISNUMBER($U$835),$B$511=1),$U$835,HLOOKUP(INDIRECT(ADDRESS(2,COLUMN())),OFFSET($BN$2,0,0,ROW()-1,60),ROW()-1,FALSE))</f>
        <v>-2308.131805</v>
      </c>
      <c r="V334">
        <f ca="1">IF(AND(ISNUMBER($V$835),$B$511=1),$V$835,HLOOKUP(INDIRECT(ADDRESS(2,COLUMN())),OFFSET($BN$2,0,0,ROW()-1,60),ROW()-1,FALSE))</f>
        <v>-2175.7773619999998</v>
      </c>
      <c r="W334">
        <f ca="1">IF(AND(ISNUMBER($W$835),$B$511=1),$W$835,HLOOKUP(INDIRECT(ADDRESS(2,COLUMN())),OFFSET($BN$2,0,0,ROW()-1,60),ROW()-1,FALSE))</f>
        <v>-2278.3531549999998</v>
      </c>
      <c r="X334">
        <f ca="1">IF(AND(ISNUMBER($X$835),$B$511=1),$X$835,HLOOKUP(INDIRECT(ADDRESS(2,COLUMN())),OFFSET($BN$2,0,0,ROW()-1,60),ROW()-1,FALSE))</f>
        <v>-2327.2727410000002</v>
      </c>
      <c r="Y334">
        <f ca="1">IF(AND(ISNUMBER($Y$835),$B$511=1),$Y$835,HLOOKUP(INDIRECT(ADDRESS(2,COLUMN())),OFFSET($BN$2,0,0,ROW()-1,60),ROW()-1,FALSE))</f>
        <v>-2325.644151</v>
      </c>
      <c r="Z334">
        <f ca="1">IF(AND(ISNUMBER($Z$835),$B$511=1),$Z$835,HLOOKUP(INDIRECT(ADDRESS(2,COLUMN())),OFFSET($BN$2,0,0,ROW()-1,60),ROW()-1,FALSE))</f>
        <v>-2216.0276330000002</v>
      </c>
      <c r="AA334">
        <f ca="1">IF(AND(ISNUMBER($AA$835),$B$511=1),$AA$835,HLOOKUP(INDIRECT(ADDRESS(2,COLUMN())),OFFSET($BN$2,0,0,ROW()-1,60),ROW()-1,FALSE))</f>
        <v>-2195.698805</v>
      </c>
      <c r="AB334">
        <f ca="1">IF(AND(ISNUMBER($AB$835),$B$511=1),$AB$835,HLOOKUP(INDIRECT(ADDRESS(2,COLUMN())),OFFSET($BN$2,0,0,ROW()-1,60),ROW()-1,FALSE))</f>
        <v>-2168.9415170000002</v>
      </c>
      <c r="AC334">
        <f ca="1">IF(AND(ISNUMBER($AC$835),$B$511=1),$AC$835,HLOOKUP(INDIRECT(ADDRESS(2,COLUMN())),OFFSET($BN$2,0,0,ROW()-1,60),ROW()-1,FALSE))</f>
        <v>-2142.3003549999999</v>
      </c>
      <c r="AD334">
        <f ca="1">IF(AND(ISNUMBER($AD$835),$B$511=1),$AD$835,HLOOKUP(INDIRECT(ADDRESS(2,COLUMN())),OFFSET($BN$2,0,0,ROW()-1,60),ROW()-1,FALSE))</f>
        <v>-1952.46261</v>
      </c>
      <c r="AE334">
        <f ca="1">IF(AND(ISNUMBER($AE$835),$B$511=1),$AE$835,HLOOKUP(INDIRECT(ADDRESS(2,COLUMN())),OFFSET($BN$2,0,0,ROW()-1,60),ROW()-1,FALSE))</f>
        <v>-1949.3805749999999</v>
      </c>
      <c r="AF334">
        <f ca="1">IF(AND(ISNUMBER($AF$835),$B$511=1),$AF$835,HLOOKUP(INDIRECT(ADDRESS(2,COLUMN())),OFFSET($BN$2,0,0,ROW()-1,60),ROW()-1,FALSE))</f>
        <v>-1966.958063</v>
      </c>
      <c r="AG334">
        <f ca="1">IF(AND(ISNUMBER($AG$835),$B$511=1),$AG$835,HLOOKUP(INDIRECT(ADDRESS(2,COLUMN())),OFFSET($BN$2,0,0,ROW()-1,60),ROW()-1,FALSE))</f>
        <v>-2024.619443</v>
      </c>
      <c r="AH334">
        <f ca="1">IF(AND(ISNUMBER($AH$835),$B$511=1),$AH$835,HLOOKUP(INDIRECT(ADDRESS(2,COLUMN())),OFFSET($BN$2,0,0,ROW()-1,60),ROW()-1,FALSE))</f>
        <v>-1174.038536</v>
      </c>
      <c r="AI334">
        <f ca="1">IF(AND(ISNUMBER($AI$835),$B$511=1),$AI$835,HLOOKUP(INDIRECT(ADDRESS(2,COLUMN())),OFFSET($BN$2,0,0,ROW()-1,60),ROW()-1,FALSE))</f>
        <v>-1186.3266189999999</v>
      </c>
      <c r="AJ334">
        <f ca="1">IF(AND(ISNUMBER($AJ$835),$B$511=1),$AJ$835,HLOOKUP(INDIRECT(ADDRESS(2,COLUMN())),OFFSET($BN$2,0,0,ROW()-1,60),ROW()-1,FALSE))</f>
        <v>-1463.1128060000001</v>
      </c>
      <c r="AK334">
        <f ca="1">IF(AND(ISNUMBER($AK$835),$B$511=1),$AK$835,HLOOKUP(INDIRECT(ADDRESS(2,COLUMN())),OFFSET($BN$2,0,0,ROW()-1,60),ROW()-1,FALSE))</f>
        <v>-1431.267617</v>
      </c>
      <c r="AL334">
        <f ca="1">IF(AND(ISNUMBER($AL$835),$B$511=1),$AL$835,HLOOKUP(INDIRECT(ADDRESS(2,COLUMN())),OFFSET($BN$2,0,0,ROW()-1,60),ROW()-1,FALSE))</f>
        <v>-260.62950549999999</v>
      </c>
      <c r="AM334">
        <f ca="1">IF(AND(ISNUMBER($AM$835),$B$511=1),$AM$835,HLOOKUP(INDIRECT(ADDRESS(2,COLUMN())),OFFSET($BN$2,0,0,ROW()-1,60),ROW()-1,FALSE))</f>
        <v>-261.3423927</v>
      </c>
      <c r="AN334">
        <f ca="1">IF(AND(ISNUMBER($AN$835),$B$511=1),$AN$835,HLOOKUP(INDIRECT(ADDRESS(2,COLUMN())),OFFSET($BN$2,0,0,ROW()-1,60),ROW()-1,FALSE))</f>
        <v>-267.24921499999999</v>
      </c>
      <c r="AO334">
        <f ca="1">IF(AND(ISNUMBER($AO$835),$B$511=1),$AO$835,HLOOKUP(INDIRECT(ADDRESS(2,COLUMN())),OFFSET($BN$2,0,0,ROW()-1,60),ROW()-1,FALSE))</f>
        <v>-274.1175068</v>
      </c>
      <c r="AP334">
        <f ca="1">IF(AND(ISNUMBER($AP$835),$B$511=1),$AP$835,HLOOKUP(INDIRECT(ADDRESS(2,COLUMN())),OFFSET($BN$2,0,0,ROW()-1,60),ROW()-1,FALSE))</f>
        <v>-278.51205599999997</v>
      </c>
      <c r="AQ334">
        <f ca="1">IF(AND(ISNUMBER($AQ$835),$B$511=1),$AQ$835,HLOOKUP(INDIRECT(ADDRESS(2,COLUMN())),OFFSET($BN$2,0,0,ROW()-1,60),ROW()-1,FALSE))</f>
        <v>-274.70402710000002</v>
      </c>
      <c r="AR334">
        <f ca="1">IF(AND(ISNUMBER($AR$835),$B$511=1),$AR$835,HLOOKUP(INDIRECT(ADDRESS(2,COLUMN())),OFFSET($BN$2,0,0,ROW()-1,60),ROW()-1,FALSE))</f>
        <v>-940.39756060000002</v>
      </c>
      <c r="AS334">
        <f ca="1">IF(AND(ISNUMBER($AS$835),$B$511=1),$AS$835,HLOOKUP(INDIRECT(ADDRESS(2,COLUMN())),OFFSET($BN$2,0,0,ROW()-1,60),ROW()-1,FALSE))</f>
        <v>-953.17660000000001</v>
      </c>
      <c r="AT334">
        <f ca="1">IF(AND(ISNUMBER($AT$835),$B$511=1),$AT$835,HLOOKUP(INDIRECT(ADDRESS(2,COLUMN())),OFFSET($BN$2,0,0,ROW()-1,60),ROW()-1,FALSE))</f>
        <v>-987.69998899999996</v>
      </c>
      <c r="AU334">
        <f ca="1">IF(AND(ISNUMBER($AU$835),$B$511=1),$AU$835,HLOOKUP(INDIRECT(ADDRESS(2,COLUMN())),OFFSET($BN$2,0,0,ROW()-1,60),ROW()-1,FALSE))</f>
        <v>-1020.797249</v>
      </c>
      <c r="AV334" t="str">
        <f ca="1">IF(AND(ISNUMBER($AV$835),$B$511=1),$AV$835,HLOOKUP(INDIRECT(ADDRESS(2,COLUMN())),OFFSET($BN$2,0,0,ROW()-1,60),ROW()-1,FALSE))</f>
        <v/>
      </c>
      <c r="AW334" t="str">
        <f ca="1">IF(AND(ISNUMBER($AW$835),$B$511=1),$AW$835,HLOOKUP(INDIRECT(ADDRESS(2,COLUMN())),OFFSET($BN$2,0,0,ROW()-1,60),ROW()-1,FALSE))</f>
        <v/>
      </c>
      <c r="AX334" t="str">
        <f ca="1">IF(AND(ISNUMBER($AX$835),$B$511=1),$AX$835,HLOOKUP(INDIRECT(ADDRESS(2,COLUMN())),OFFSET($BN$2,0,0,ROW()-1,60),ROW()-1,FALSE))</f>
        <v/>
      </c>
      <c r="AY334" t="str">
        <f ca="1">IF(AND(ISNUMBER($AY$835),$B$511=1),$AY$835,HLOOKUP(INDIRECT(ADDRESS(2,COLUMN())),OFFSET($BN$2,0,0,ROW()-1,60),ROW()-1,FALSE))</f>
        <v/>
      </c>
      <c r="AZ334" t="str">
        <f ca="1">IF(AND(ISNUMBER($AZ$835),$B$511=1),$AZ$835,HLOOKUP(INDIRECT(ADDRESS(2,COLUMN())),OFFSET($BN$2,0,0,ROW()-1,60),ROW()-1,FALSE))</f>
        <v/>
      </c>
      <c r="BA334" t="str">
        <f ca="1">IF(AND(ISNUMBER($BA$835),$B$511=1),$BA$835,HLOOKUP(INDIRECT(ADDRESS(2,COLUMN())),OFFSET($BN$2,0,0,ROW()-1,60),ROW()-1,FALSE))</f>
        <v/>
      </c>
      <c r="BB334" t="str">
        <f ca="1">IF(AND(ISNUMBER($BB$835),$B$511=1),$BB$835,HLOOKUP(INDIRECT(ADDRESS(2,COLUMN())),OFFSET($BN$2,0,0,ROW()-1,60),ROW()-1,FALSE))</f>
        <v/>
      </c>
      <c r="BC334" t="str">
        <f ca="1">IF(AND(ISNUMBER($BC$835),$B$511=1),$BC$835,HLOOKUP(INDIRECT(ADDRESS(2,COLUMN())),OFFSET($BN$2,0,0,ROW()-1,60),ROW()-1,FALSE))</f>
        <v/>
      </c>
      <c r="BD334" t="str">
        <f ca="1">IF(AND(ISNUMBER($BD$835),$B$511=1),$BD$835,HLOOKUP(INDIRECT(ADDRESS(2,COLUMN())),OFFSET($BN$2,0,0,ROW()-1,60),ROW()-1,FALSE))</f>
        <v/>
      </c>
      <c r="BE334" t="str">
        <f ca="1">IF(AND(ISNUMBER($BE$835),$B$511=1),$BE$835,HLOOKUP(INDIRECT(ADDRESS(2,COLUMN())),OFFSET($BN$2,0,0,ROW()-1,60),ROW()-1,FALSE))</f>
        <v/>
      </c>
      <c r="BF334" t="str">
        <f ca="1">IF(AND(ISNUMBER($BF$835),$B$511=1),$BF$835,HLOOKUP(INDIRECT(ADDRESS(2,COLUMN())),OFFSET($BN$2,0,0,ROW()-1,60),ROW()-1,FALSE))</f>
        <v/>
      </c>
      <c r="BG334" t="str">
        <f ca="1">IF(AND(ISNUMBER($BG$835),$B$511=1),$BG$835,HLOOKUP(INDIRECT(ADDRESS(2,COLUMN())),OFFSET($BN$2,0,0,ROW()-1,60),ROW()-1,FALSE))</f>
        <v/>
      </c>
      <c r="BH334" t="str">
        <f ca="1">IF(AND(ISNUMBER($BH$835),$B$511=1),$BH$835,HLOOKUP(INDIRECT(ADDRESS(2,COLUMN())),OFFSET($BN$2,0,0,ROW()-1,60),ROW()-1,FALSE))</f>
        <v/>
      </c>
      <c r="BI334" t="str">
        <f ca="1">IF(AND(ISNUMBER($BI$835),$B$511=1),$BI$835,HLOOKUP(INDIRECT(ADDRESS(2,COLUMN())),OFFSET($BN$2,0,0,ROW()-1,60),ROW()-1,FALSE))</f>
        <v/>
      </c>
      <c r="BJ334" t="str">
        <f ca="1">IF(AND(ISNUMBER($BJ$835),$B$511=1),$BJ$835,HLOOKUP(INDIRECT(ADDRESS(2,COLUMN())),OFFSET($BN$2,0,0,ROW()-1,60),ROW()-1,FALSE))</f>
        <v/>
      </c>
      <c r="BK334" t="str">
        <f ca="1">IF(AND(ISNUMBER($BK$835),$B$511=1),$BK$835,HLOOKUP(INDIRECT(ADDRESS(2,COLUMN())),OFFSET($BN$2,0,0,ROW()-1,60),ROW()-1,FALSE))</f>
        <v/>
      </c>
      <c r="BL334" t="str">
        <f ca="1">IF(AND(ISNUMBER($BL$835),$B$511=1),$BL$835,HLOOKUP(INDIRECT(ADDRESS(2,COLUMN())),OFFSET($BN$2,0,0,ROW()-1,60),ROW()-1,FALSE))</f>
        <v/>
      </c>
      <c r="BM334" t="str">
        <f ca="1">IF(AND(ISNUMBER($BM$835),$B$511=1),$BM$835,HLOOKUP(INDIRECT(ADDRESS(2,COLUMN())),OFFSET($BN$2,0,0,ROW()-1,60),ROW()-1,FALSE))</f>
        <v/>
      </c>
      <c r="BN334" t="str">
        <f>""</f>
        <v/>
      </c>
      <c r="BO334" t="str">
        <f>""</f>
        <v/>
      </c>
      <c r="BP334">
        <f>-2766.584437</f>
        <v>-2766.584437</v>
      </c>
      <c r="BQ334">
        <f>-2773.588079</f>
        <v>-2773.5880790000001</v>
      </c>
      <c r="BR334">
        <f>-2720.628767</f>
        <v>-2720.6287670000002</v>
      </c>
      <c r="BS334">
        <f>-2625.472274</f>
        <v>-2625.4722740000002</v>
      </c>
      <c r="BT334">
        <f>0</f>
        <v>0</v>
      </c>
      <c r="BU334">
        <f>0</f>
        <v>0</v>
      </c>
      <c r="BV334">
        <f>-2327.374235</f>
        <v>-2327.3742350000002</v>
      </c>
      <c r="BW334">
        <f>-2347.583626</f>
        <v>-2347.5836260000001</v>
      </c>
      <c r="BX334">
        <f>-2356.532233</f>
        <v>-2356.5322329999999</v>
      </c>
      <c r="BY334">
        <f>-2354.27523</f>
        <v>-2354.2752300000002</v>
      </c>
      <c r="BZ334">
        <f>-2117.036023</f>
        <v>-2117.0360230000001</v>
      </c>
      <c r="CA334">
        <f>-2127.871212</f>
        <v>-2127.871212</v>
      </c>
      <c r="CB334">
        <f>-2203.463583</f>
        <v>-2203.4635830000002</v>
      </c>
      <c r="CC334">
        <f>-2308.131805</f>
        <v>-2308.131805</v>
      </c>
      <c r="CD334">
        <f>-2175.777362</f>
        <v>-2175.7773619999998</v>
      </c>
      <c r="CE334">
        <f>-2278.353155</f>
        <v>-2278.3531549999998</v>
      </c>
      <c r="CF334">
        <f>-2327.272741</f>
        <v>-2327.2727410000002</v>
      </c>
      <c r="CG334">
        <f>-2325.644151</f>
        <v>-2325.644151</v>
      </c>
      <c r="CH334">
        <f>-2216.027633</f>
        <v>-2216.0276330000002</v>
      </c>
      <c r="CI334">
        <f>-2195.698805</f>
        <v>-2195.698805</v>
      </c>
      <c r="CJ334">
        <f>-2168.941517</f>
        <v>-2168.9415170000002</v>
      </c>
      <c r="CK334">
        <f>-2142.300355</f>
        <v>-2142.3003549999999</v>
      </c>
      <c r="CL334">
        <f>-1952.46261</f>
        <v>-1952.46261</v>
      </c>
      <c r="CM334">
        <f>-1949.380575</f>
        <v>-1949.3805749999999</v>
      </c>
      <c r="CN334">
        <f>-1966.958063</f>
        <v>-1966.958063</v>
      </c>
      <c r="CO334">
        <f>-2024.619443</f>
        <v>-2024.619443</v>
      </c>
      <c r="CP334">
        <f>-1174.038536</f>
        <v>-1174.038536</v>
      </c>
      <c r="CQ334">
        <f>-1186.326619</f>
        <v>-1186.3266189999999</v>
      </c>
      <c r="CR334">
        <f>-1463.112806</f>
        <v>-1463.1128060000001</v>
      </c>
      <c r="CS334">
        <f>-1431.267617</f>
        <v>-1431.267617</v>
      </c>
      <c r="CT334">
        <f>-260.6295055</f>
        <v>-260.62950549999999</v>
      </c>
      <c r="CU334">
        <f>-261.3423927</f>
        <v>-261.3423927</v>
      </c>
      <c r="CV334">
        <f>-267.249215</f>
        <v>-267.24921499999999</v>
      </c>
      <c r="CW334">
        <f>-274.1175068</f>
        <v>-274.1175068</v>
      </c>
      <c r="CX334">
        <f>-278.512056</f>
        <v>-278.51205599999997</v>
      </c>
      <c r="CY334">
        <f>-274.7040271</f>
        <v>-274.70402710000002</v>
      </c>
      <c r="CZ334">
        <f>-940.3975606</f>
        <v>-940.39756060000002</v>
      </c>
      <c r="DA334">
        <f>-953.1766</f>
        <v>-953.17660000000001</v>
      </c>
      <c r="DB334">
        <f>-987.699989</f>
        <v>-987.69998899999996</v>
      </c>
      <c r="DC334">
        <f>-1020.797249</f>
        <v>-1020.797249</v>
      </c>
      <c r="DD334" t="str">
        <f>""</f>
        <v/>
      </c>
      <c r="DE334" t="str">
        <f>""</f>
        <v/>
      </c>
      <c r="DF334" t="str">
        <f>""</f>
        <v/>
      </c>
      <c r="DG334" t="str">
        <f>""</f>
        <v/>
      </c>
      <c r="DH334" t="str">
        <f>""</f>
        <v/>
      </c>
      <c r="DI334" t="str">
        <f>""</f>
        <v/>
      </c>
      <c r="DJ334" t="str">
        <f>""</f>
        <v/>
      </c>
      <c r="DK334" t="str">
        <f>""</f>
        <v/>
      </c>
      <c r="DL334" t="str">
        <f>""</f>
        <v/>
      </c>
      <c r="DM334" t="str">
        <f>""</f>
        <v/>
      </c>
      <c r="DN334" t="str">
        <f>""</f>
        <v/>
      </c>
      <c r="DO334" t="str">
        <f>""</f>
        <v/>
      </c>
      <c r="DP334" t="str">
        <f>""</f>
        <v/>
      </c>
      <c r="DQ334" t="str">
        <f>""</f>
        <v/>
      </c>
      <c r="DR334" t="str">
        <f>""</f>
        <v/>
      </c>
      <c r="DS334" t="str">
        <f>""</f>
        <v/>
      </c>
      <c r="DT334" t="str">
        <f>""</f>
        <v/>
      </c>
      <c r="DU334" t="str">
        <f>""</f>
        <v/>
      </c>
    </row>
    <row r="335" spans="1:125" x14ac:dyDescent="0.25">
      <c r="A335" t="str">
        <f>"    Brilliance China Automotive Holdings Ltd"</f>
        <v xml:space="preserve">    Brilliance China Automotive Holdings Ltd</v>
      </c>
      <c r="B335" t="str">
        <f>"1114 HK Equity"</f>
        <v>1114 HK Equity</v>
      </c>
      <c r="C335" t="str">
        <f t="shared" si="24"/>
        <v>RX530</v>
      </c>
      <c r="D335" t="str">
        <f t="shared" si="25"/>
        <v>T12M_DVDS_PAID</v>
      </c>
      <c r="E335" t="str">
        <f t="shared" si="26"/>
        <v>Dynamic</v>
      </c>
      <c r="F335" t="str">
        <f ca="1">IF(AND(ISNUMBER($F$836),$B$511=1),$F$836,HLOOKUP(INDIRECT(ADDRESS(2,COLUMN())),OFFSET($BN$2,0,0,ROW()-1,60),ROW()-1,FALSE))</f>
        <v/>
      </c>
      <c r="G335" t="str">
        <f ca="1">IF(AND(ISNUMBER($G$836),$B$511=1),$G$836,HLOOKUP(INDIRECT(ADDRESS(2,COLUMN())),OFFSET($BN$2,0,0,ROW()-1,60),ROW()-1,FALSE))</f>
        <v/>
      </c>
      <c r="H335" t="str">
        <f ca="1">IF(AND(ISNUMBER($H$836),$B$511=1),$H$836,HLOOKUP(INDIRECT(ADDRESS(2,COLUMN())),OFFSET($BN$2,0,0,ROW()-1,60),ROW()-1,FALSE))</f>
        <v/>
      </c>
      <c r="I335" t="str">
        <f ca="1">IF(AND(ISNUMBER($I$836),$B$511=1),$I$836,HLOOKUP(INDIRECT(ADDRESS(2,COLUMN())),OFFSET($BN$2,0,0,ROW()-1,60),ROW()-1,FALSE))</f>
        <v/>
      </c>
      <c r="J335" t="str">
        <f ca="1">IF(AND(ISNUMBER($J$836),$B$511=1),$J$836,HLOOKUP(INDIRECT(ADDRESS(2,COLUMN())),OFFSET($BN$2,0,0,ROW()-1,60),ROW()-1,FALSE))</f>
        <v/>
      </c>
      <c r="K335" t="str">
        <f ca="1">IF(AND(ISNUMBER($K$836),$B$511=1),$K$836,HLOOKUP(INDIRECT(ADDRESS(2,COLUMN())),OFFSET($BN$2,0,0,ROW()-1,60),ROW()-1,FALSE))</f>
        <v/>
      </c>
      <c r="L335" t="str">
        <f ca="1">IF(AND(ISNUMBER($L$836),$B$511=1),$L$836,HLOOKUP(INDIRECT(ADDRESS(2,COLUMN())),OFFSET($BN$2,0,0,ROW()-1,60),ROW()-1,FALSE))</f>
        <v/>
      </c>
      <c r="M335" t="str">
        <f ca="1">IF(AND(ISNUMBER($M$836),$B$511=1),$M$836,HLOOKUP(INDIRECT(ADDRESS(2,COLUMN())),OFFSET($BN$2,0,0,ROW()-1,60),ROW()-1,FALSE))</f>
        <v/>
      </c>
      <c r="N335" t="str">
        <f ca="1">IF(AND(ISNUMBER($N$836),$B$511=1),$N$836,HLOOKUP(INDIRECT(ADDRESS(2,COLUMN())),OFFSET($BN$2,0,0,ROW()-1,60),ROW()-1,FALSE))</f>
        <v/>
      </c>
      <c r="O335" t="str">
        <f ca="1">IF(AND(ISNUMBER($O$836),$B$511=1),$O$836,HLOOKUP(INDIRECT(ADDRESS(2,COLUMN())),OFFSET($BN$2,0,0,ROW()-1,60),ROW()-1,FALSE))</f>
        <v/>
      </c>
      <c r="P335" t="str">
        <f ca="1">IF(AND(ISNUMBER($P$836),$B$511=1),$P$836,HLOOKUP(INDIRECT(ADDRESS(2,COLUMN())),OFFSET($BN$2,0,0,ROW()-1,60),ROW()-1,FALSE))</f>
        <v/>
      </c>
      <c r="Q335" t="str">
        <f ca="1">IF(AND(ISNUMBER($Q$836),$B$511=1),$Q$836,HLOOKUP(INDIRECT(ADDRESS(2,COLUMN())),OFFSET($BN$2,0,0,ROW()-1,60),ROW()-1,FALSE))</f>
        <v/>
      </c>
      <c r="R335" t="str">
        <f ca="1">IF(AND(ISNUMBER($R$836),$B$511=1),$R$836,HLOOKUP(INDIRECT(ADDRESS(2,COLUMN())),OFFSET($BN$2,0,0,ROW()-1,60),ROW()-1,FALSE))</f>
        <v/>
      </c>
      <c r="S335" t="str">
        <f ca="1">IF(AND(ISNUMBER($S$836),$B$511=1),$S$836,HLOOKUP(INDIRECT(ADDRESS(2,COLUMN())),OFFSET($BN$2,0,0,ROW()-1,60),ROW()-1,FALSE))</f>
        <v/>
      </c>
      <c r="T335" t="str">
        <f ca="1">IF(AND(ISNUMBER($T$836),$B$511=1),$T$836,HLOOKUP(INDIRECT(ADDRESS(2,COLUMN())),OFFSET($BN$2,0,0,ROW()-1,60),ROW()-1,FALSE))</f>
        <v/>
      </c>
      <c r="U335" t="str">
        <f ca="1">IF(AND(ISNUMBER($U$836),$B$511=1),$U$836,HLOOKUP(INDIRECT(ADDRESS(2,COLUMN())),OFFSET($BN$2,0,0,ROW()-1,60),ROW()-1,FALSE))</f>
        <v/>
      </c>
      <c r="V335" t="str">
        <f ca="1">IF(AND(ISNUMBER($V$836),$B$511=1),$V$836,HLOOKUP(INDIRECT(ADDRESS(2,COLUMN())),OFFSET($BN$2,0,0,ROW()-1,60),ROW()-1,FALSE))</f>
        <v/>
      </c>
      <c r="W335" t="str">
        <f ca="1">IF(AND(ISNUMBER($W$836),$B$511=1),$W$836,HLOOKUP(INDIRECT(ADDRESS(2,COLUMN())),OFFSET($BN$2,0,0,ROW()-1,60),ROW()-1,FALSE))</f>
        <v/>
      </c>
      <c r="X335" t="str">
        <f ca="1">IF(AND(ISNUMBER($X$836),$B$511=1),$X$836,HLOOKUP(INDIRECT(ADDRESS(2,COLUMN())),OFFSET($BN$2,0,0,ROW()-1,60),ROW()-1,FALSE))</f>
        <v/>
      </c>
      <c r="Y335" t="str">
        <f ca="1">IF(AND(ISNUMBER($Y$836),$B$511=1),$Y$836,HLOOKUP(INDIRECT(ADDRESS(2,COLUMN())),OFFSET($BN$2,0,0,ROW()-1,60),ROW()-1,FALSE))</f>
        <v/>
      </c>
      <c r="Z335" t="str">
        <f ca="1">IF(AND(ISNUMBER($Z$836),$B$511=1),$Z$836,HLOOKUP(INDIRECT(ADDRESS(2,COLUMN())),OFFSET($BN$2,0,0,ROW()-1,60),ROW()-1,FALSE))</f>
        <v/>
      </c>
      <c r="AA335" t="str">
        <f ca="1">IF(AND(ISNUMBER($AA$836),$B$511=1),$AA$836,HLOOKUP(INDIRECT(ADDRESS(2,COLUMN())),OFFSET($BN$2,0,0,ROW()-1,60),ROW()-1,FALSE))</f>
        <v/>
      </c>
      <c r="AB335" t="str">
        <f ca="1">IF(AND(ISNUMBER($AB$836),$B$511=1),$AB$836,HLOOKUP(INDIRECT(ADDRESS(2,COLUMN())),OFFSET($BN$2,0,0,ROW()-1,60),ROW()-1,FALSE))</f>
        <v/>
      </c>
      <c r="AC335" t="str">
        <f ca="1">IF(AND(ISNUMBER($AC$836),$B$511=1),$AC$836,HLOOKUP(INDIRECT(ADDRESS(2,COLUMN())),OFFSET($BN$2,0,0,ROW()-1,60),ROW()-1,FALSE))</f>
        <v/>
      </c>
      <c r="AD335" t="str">
        <f ca="1">IF(AND(ISNUMBER($AD$836),$B$511=1),$AD$836,HLOOKUP(INDIRECT(ADDRESS(2,COLUMN())),OFFSET($BN$2,0,0,ROW()-1,60),ROW()-1,FALSE))</f>
        <v/>
      </c>
      <c r="AE335" t="str">
        <f ca="1">IF(AND(ISNUMBER($AE$836),$B$511=1),$AE$836,HLOOKUP(INDIRECT(ADDRESS(2,COLUMN())),OFFSET($BN$2,0,0,ROW()-1,60),ROW()-1,FALSE))</f>
        <v/>
      </c>
      <c r="AF335" t="str">
        <f ca="1">IF(AND(ISNUMBER($AF$836),$B$511=1),$AF$836,HLOOKUP(INDIRECT(ADDRESS(2,COLUMN())),OFFSET($BN$2,0,0,ROW()-1,60),ROW()-1,FALSE))</f>
        <v/>
      </c>
      <c r="AG335" t="str">
        <f ca="1">IF(AND(ISNUMBER($AG$836),$B$511=1),$AG$836,HLOOKUP(INDIRECT(ADDRESS(2,COLUMN())),OFFSET($BN$2,0,0,ROW()-1,60),ROW()-1,FALSE))</f>
        <v/>
      </c>
      <c r="AH335" t="str">
        <f ca="1">IF(AND(ISNUMBER($AH$836),$B$511=1),$AH$836,HLOOKUP(INDIRECT(ADDRESS(2,COLUMN())),OFFSET($BN$2,0,0,ROW()-1,60),ROW()-1,FALSE))</f>
        <v/>
      </c>
      <c r="AI335" t="str">
        <f ca="1">IF(AND(ISNUMBER($AI$836),$B$511=1),$AI$836,HLOOKUP(INDIRECT(ADDRESS(2,COLUMN())),OFFSET($BN$2,0,0,ROW()-1,60),ROW()-1,FALSE))</f>
        <v/>
      </c>
      <c r="AJ335" t="str">
        <f ca="1">IF(AND(ISNUMBER($AJ$836),$B$511=1),$AJ$836,HLOOKUP(INDIRECT(ADDRESS(2,COLUMN())),OFFSET($BN$2,0,0,ROW()-1,60),ROW()-1,FALSE))</f>
        <v/>
      </c>
      <c r="AK335" t="str">
        <f ca="1">IF(AND(ISNUMBER($AK$836),$B$511=1),$AK$836,HLOOKUP(INDIRECT(ADDRESS(2,COLUMN())),OFFSET($BN$2,0,0,ROW()-1,60),ROW()-1,FALSE))</f>
        <v/>
      </c>
      <c r="AL335" t="str">
        <f ca="1">IF(AND(ISNUMBER($AL$836),$B$511=1),$AL$836,HLOOKUP(INDIRECT(ADDRESS(2,COLUMN())),OFFSET($BN$2,0,0,ROW()-1,60),ROW()-1,FALSE))</f>
        <v/>
      </c>
      <c r="AM335" t="str">
        <f ca="1">IF(AND(ISNUMBER($AM$836),$B$511=1),$AM$836,HLOOKUP(INDIRECT(ADDRESS(2,COLUMN())),OFFSET($BN$2,0,0,ROW()-1,60),ROW()-1,FALSE))</f>
        <v/>
      </c>
      <c r="AN335" t="str">
        <f ca="1">IF(AND(ISNUMBER($AN$836),$B$511=1),$AN$836,HLOOKUP(INDIRECT(ADDRESS(2,COLUMN())),OFFSET($BN$2,0,0,ROW()-1,60),ROW()-1,FALSE))</f>
        <v/>
      </c>
      <c r="AO335" t="str">
        <f ca="1">IF(AND(ISNUMBER($AO$836),$B$511=1),$AO$836,HLOOKUP(INDIRECT(ADDRESS(2,COLUMN())),OFFSET($BN$2,0,0,ROW()-1,60),ROW()-1,FALSE))</f>
        <v/>
      </c>
      <c r="AP335" t="str">
        <f ca="1">IF(AND(ISNUMBER($AP$836),$B$511=1),$AP$836,HLOOKUP(INDIRECT(ADDRESS(2,COLUMN())),OFFSET($BN$2,0,0,ROW()-1,60),ROW()-1,FALSE))</f>
        <v/>
      </c>
      <c r="AQ335" t="str">
        <f ca="1">IF(AND(ISNUMBER($AQ$836),$B$511=1),$AQ$836,HLOOKUP(INDIRECT(ADDRESS(2,COLUMN())),OFFSET($BN$2,0,0,ROW()-1,60),ROW()-1,FALSE))</f>
        <v/>
      </c>
      <c r="AR335" t="str">
        <f ca="1">IF(AND(ISNUMBER($AR$836),$B$511=1),$AR$836,HLOOKUP(INDIRECT(ADDRESS(2,COLUMN())),OFFSET($BN$2,0,0,ROW()-1,60),ROW()-1,FALSE))</f>
        <v/>
      </c>
      <c r="AS335" t="str">
        <f ca="1">IF(AND(ISNUMBER($AS$836),$B$511=1),$AS$836,HLOOKUP(INDIRECT(ADDRESS(2,COLUMN())),OFFSET($BN$2,0,0,ROW()-1,60),ROW()-1,FALSE))</f>
        <v/>
      </c>
      <c r="AT335" t="str">
        <f ca="1">IF(AND(ISNUMBER($AT$836),$B$511=1),$AT$836,HLOOKUP(INDIRECT(ADDRESS(2,COLUMN())),OFFSET($BN$2,0,0,ROW()-1,60),ROW()-1,FALSE))</f>
        <v/>
      </c>
      <c r="AU335" t="str">
        <f ca="1">IF(AND(ISNUMBER($AU$836),$B$511=1),$AU$836,HLOOKUP(INDIRECT(ADDRESS(2,COLUMN())),OFFSET($BN$2,0,0,ROW()-1,60),ROW()-1,FALSE))</f>
        <v/>
      </c>
      <c r="AV335" t="str">
        <f ca="1">IF(AND(ISNUMBER($AV$836),$B$511=1),$AV$836,HLOOKUP(INDIRECT(ADDRESS(2,COLUMN())),OFFSET($BN$2,0,0,ROW()-1,60),ROW()-1,FALSE))</f>
        <v/>
      </c>
      <c r="AW335" t="str">
        <f ca="1">IF(AND(ISNUMBER($AW$836),$B$511=1),$AW$836,HLOOKUP(INDIRECT(ADDRESS(2,COLUMN())),OFFSET($BN$2,0,0,ROW()-1,60),ROW()-1,FALSE))</f>
        <v/>
      </c>
      <c r="AX335" t="str">
        <f ca="1">IF(AND(ISNUMBER($AX$836),$B$511=1),$AX$836,HLOOKUP(INDIRECT(ADDRESS(2,COLUMN())),OFFSET($BN$2,0,0,ROW()-1,60),ROW()-1,FALSE))</f>
        <v/>
      </c>
      <c r="AY335" t="str">
        <f ca="1">IF(AND(ISNUMBER($AY$836),$B$511=1),$AY$836,HLOOKUP(INDIRECT(ADDRESS(2,COLUMN())),OFFSET($BN$2,0,0,ROW()-1,60),ROW()-1,FALSE))</f>
        <v/>
      </c>
      <c r="AZ335" t="str">
        <f ca="1">IF(AND(ISNUMBER($AZ$836),$B$511=1),$AZ$836,HLOOKUP(INDIRECT(ADDRESS(2,COLUMN())),OFFSET($BN$2,0,0,ROW()-1,60),ROW()-1,FALSE))</f>
        <v/>
      </c>
      <c r="BA335" t="str">
        <f ca="1">IF(AND(ISNUMBER($BA$836),$B$511=1),$BA$836,HLOOKUP(INDIRECT(ADDRESS(2,COLUMN())),OFFSET($BN$2,0,0,ROW()-1,60),ROW()-1,FALSE))</f>
        <v/>
      </c>
      <c r="BB335" t="str">
        <f ca="1">IF(AND(ISNUMBER($BB$836),$B$511=1),$BB$836,HLOOKUP(INDIRECT(ADDRESS(2,COLUMN())),OFFSET($BN$2,0,0,ROW()-1,60),ROW()-1,FALSE))</f>
        <v/>
      </c>
      <c r="BC335" t="str">
        <f ca="1">IF(AND(ISNUMBER($BC$836),$B$511=1),$BC$836,HLOOKUP(INDIRECT(ADDRESS(2,COLUMN())),OFFSET($BN$2,0,0,ROW()-1,60),ROW()-1,FALSE))</f>
        <v/>
      </c>
      <c r="BD335" t="str">
        <f ca="1">IF(AND(ISNUMBER($BD$836),$B$511=1),$BD$836,HLOOKUP(INDIRECT(ADDRESS(2,COLUMN())),OFFSET($BN$2,0,0,ROW()-1,60),ROW()-1,FALSE))</f>
        <v/>
      </c>
      <c r="BE335" t="str">
        <f ca="1">IF(AND(ISNUMBER($BE$836),$B$511=1),$BE$836,HLOOKUP(INDIRECT(ADDRESS(2,COLUMN())),OFFSET($BN$2,0,0,ROW()-1,60),ROW()-1,FALSE))</f>
        <v/>
      </c>
      <c r="BF335" t="str">
        <f ca="1">IF(AND(ISNUMBER($BF$836),$B$511=1),$BF$836,HLOOKUP(INDIRECT(ADDRESS(2,COLUMN())),OFFSET($BN$2,0,0,ROW()-1,60),ROW()-1,FALSE))</f>
        <v/>
      </c>
      <c r="BG335" t="str">
        <f ca="1">IF(AND(ISNUMBER($BG$836),$B$511=1),$BG$836,HLOOKUP(INDIRECT(ADDRESS(2,COLUMN())),OFFSET($BN$2,0,0,ROW()-1,60),ROW()-1,FALSE))</f>
        <v/>
      </c>
      <c r="BH335" t="str">
        <f ca="1">IF(AND(ISNUMBER($BH$836),$B$511=1),$BH$836,HLOOKUP(INDIRECT(ADDRESS(2,COLUMN())),OFFSET($BN$2,0,0,ROW()-1,60),ROW()-1,FALSE))</f>
        <v/>
      </c>
      <c r="BI335" t="str">
        <f ca="1">IF(AND(ISNUMBER($BI$836),$B$511=1),$BI$836,HLOOKUP(INDIRECT(ADDRESS(2,COLUMN())),OFFSET($BN$2,0,0,ROW()-1,60),ROW()-1,FALSE))</f>
        <v/>
      </c>
      <c r="BJ335" t="str">
        <f ca="1">IF(AND(ISNUMBER($BJ$836),$B$511=1),$BJ$836,HLOOKUP(INDIRECT(ADDRESS(2,COLUMN())),OFFSET($BN$2,0,0,ROW()-1,60),ROW()-1,FALSE))</f>
        <v/>
      </c>
      <c r="BK335" t="str">
        <f ca="1">IF(AND(ISNUMBER($BK$836),$B$511=1),$BK$836,HLOOKUP(INDIRECT(ADDRESS(2,COLUMN())),OFFSET($BN$2,0,0,ROW()-1,60),ROW()-1,FALSE))</f>
        <v/>
      </c>
      <c r="BL335" t="str">
        <f ca="1">IF(AND(ISNUMBER($BL$836),$B$511=1),$BL$836,HLOOKUP(INDIRECT(ADDRESS(2,COLUMN())),OFFSET($BN$2,0,0,ROW()-1,60),ROW()-1,FALSE))</f>
        <v/>
      </c>
      <c r="BM335" t="str">
        <f ca="1">IF(AND(ISNUMBER($BM$836),$B$511=1),$BM$836,HLOOKUP(INDIRECT(ADDRESS(2,COLUMN())),OFFSET($BN$2,0,0,ROW()-1,60),ROW()-1,FALSE))</f>
        <v/>
      </c>
      <c r="BN335" t="str">
        <f>""</f>
        <v/>
      </c>
      <c r="BO335" t="str">
        <f>""</f>
        <v/>
      </c>
      <c r="BP335" t="str">
        <f>""</f>
        <v/>
      </c>
      <c r="BQ335" t="str">
        <f>""</f>
        <v/>
      </c>
      <c r="BR335" t="str">
        <f>""</f>
        <v/>
      </c>
      <c r="BS335" t="str">
        <f>""</f>
        <v/>
      </c>
      <c r="BT335" t="str">
        <f>""</f>
        <v/>
      </c>
      <c r="BU335" t="str">
        <f>""</f>
        <v/>
      </c>
      <c r="BV335" t="str">
        <f>""</f>
        <v/>
      </c>
      <c r="BW335" t="str">
        <f>""</f>
        <v/>
      </c>
      <c r="BX335" t="str">
        <f>""</f>
        <v/>
      </c>
      <c r="BY335" t="str">
        <f>""</f>
        <v/>
      </c>
      <c r="BZ335" t="str">
        <f>""</f>
        <v/>
      </c>
      <c r="CA335" t="str">
        <f>""</f>
        <v/>
      </c>
      <c r="CB335" t="str">
        <f>""</f>
        <v/>
      </c>
      <c r="CC335" t="str">
        <f>""</f>
        <v/>
      </c>
      <c r="CD335" t="str">
        <f>""</f>
        <v/>
      </c>
      <c r="CE335" t="str">
        <f>""</f>
        <v/>
      </c>
      <c r="CF335" t="str">
        <f>""</f>
        <v/>
      </c>
      <c r="CG335" t="str">
        <f>""</f>
        <v/>
      </c>
      <c r="CH335" t="str">
        <f>""</f>
        <v/>
      </c>
      <c r="CI335" t="str">
        <f>""</f>
        <v/>
      </c>
      <c r="CJ335" t="str">
        <f>""</f>
        <v/>
      </c>
      <c r="CK335" t="str">
        <f>""</f>
        <v/>
      </c>
      <c r="CL335" t="str">
        <f>""</f>
        <v/>
      </c>
      <c r="CM335" t="str">
        <f>""</f>
        <v/>
      </c>
      <c r="CN335" t="str">
        <f>""</f>
        <v/>
      </c>
      <c r="CO335" t="str">
        <f>""</f>
        <v/>
      </c>
      <c r="CP335" t="str">
        <f>""</f>
        <v/>
      </c>
      <c r="CQ335" t="str">
        <f>""</f>
        <v/>
      </c>
      <c r="CR335" t="str">
        <f>""</f>
        <v/>
      </c>
      <c r="CS335" t="str">
        <f>""</f>
        <v/>
      </c>
      <c r="CT335" t="str">
        <f>""</f>
        <v/>
      </c>
      <c r="CU335" t="str">
        <f>""</f>
        <v/>
      </c>
      <c r="CV335" t="str">
        <f>""</f>
        <v/>
      </c>
      <c r="CW335" t="str">
        <f>""</f>
        <v/>
      </c>
      <c r="CX335" t="str">
        <f>""</f>
        <v/>
      </c>
      <c r="CY335" t="str">
        <f>""</f>
        <v/>
      </c>
      <c r="CZ335" t="str">
        <f>""</f>
        <v/>
      </c>
      <c r="DA335" t="str">
        <f>""</f>
        <v/>
      </c>
      <c r="DB335" t="str">
        <f>""</f>
        <v/>
      </c>
      <c r="DC335" t="str">
        <f>""</f>
        <v/>
      </c>
      <c r="DD335" t="str">
        <f>""</f>
        <v/>
      </c>
      <c r="DE335" t="str">
        <f>""</f>
        <v/>
      </c>
      <c r="DF335" t="str">
        <f>""</f>
        <v/>
      </c>
      <c r="DG335" t="str">
        <f>""</f>
        <v/>
      </c>
      <c r="DH335" t="str">
        <f>""</f>
        <v/>
      </c>
      <c r="DI335" t="str">
        <f>""</f>
        <v/>
      </c>
      <c r="DJ335" t="str">
        <f>""</f>
        <v/>
      </c>
      <c r="DK335" t="str">
        <f>""</f>
        <v/>
      </c>
      <c r="DL335" t="str">
        <f>""</f>
        <v/>
      </c>
      <c r="DM335" t="str">
        <f>""</f>
        <v/>
      </c>
      <c r="DN335" t="str">
        <f>""</f>
        <v/>
      </c>
      <c r="DO335" t="str">
        <f>""</f>
        <v/>
      </c>
      <c r="DP335" t="str">
        <f>""</f>
        <v/>
      </c>
      <c r="DQ335" t="str">
        <f>""</f>
        <v/>
      </c>
      <c r="DR335" t="str">
        <f>""</f>
        <v/>
      </c>
      <c r="DS335" t="str">
        <f>""</f>
        <v/>
      </c>
      <c r="DT335" t="str">
        <f>""</f>
        <v/>
      </c>
      <c r="DU335" t="str">
        <f>""</f>
        <v/>
      </c>
    </row>
    <row r="336" spans="1:125" x14ac:dyDescent="0.25">
      <c r="A336" t="str">
        <f>"    BYD Co Ltd"</f>
        <v xml:space="preserve">    BYD Co Ltd</v>
      </c>
      <c r="B336" t="str">
        <f>"1211 HK Equity"</f>
        <v>1211 HK Equity</v>
      </c>
      <c r="C336" t="str">
        <f t="shared" si="24"/>
        <v>RX530</v>
      </c>
      <c r="D336" t="str">
        <f t="shared" si="25"/>
        <v>T12M_DVDS_PAID</v>
      </c>
      <c r="E336" t="str">
        <f t="shared" si="26"/>
        <v>Dynamic</v>
      </c>
      <c r="F336" t="str">
        <f ca="1">IF(AND(ISNUMBER($F$837),$B$511=1),$F$837,HLOOKUP(INDIRECT(ADDRESS(2,COLUMN())),OFFSET($BN$2,0,0,ROW()-1,60),ROW()-1,FALSE))</f>
        <v/>
      </c>
      <c r="G336" t="str">
        <f ca="1">IF(AND(ISNUMBER($G$837),$B$511=1),$G$837,HLOOKUP(INDIRECT(ADDRESS(2,COLUMN())),OFFSET($BN$2,0,0,ROW()-1,60),ROW()-1,FALSE))</f>
        <v/>
      </c>
      <c r="H336" t="str">
        <f ca="1">IF(AND(ISNUMBER($H$837),$B$511=1),$H$837,HLOOKUP(INDIRECT(ADDRESS(2,COLUMN())),OFFSET($BN$2,0,0,ROW()-1,60),ROW()-1,FALSE))</f>
        <v/>
      </c>
      <c r="I336" t="str">
        <f ca="1">IF(AND(ISNUMBER($I$837),$B$511=1),$I$837,HLOOKUP(INDIRECT(ADDRESS(2,COLUMN())),OFFSET($BN$2,0,0,ROW()-1,60),ROW()-1,FALSE))</f>
        <v/>
      </c>
      <c r="J336">
        <f ca="1">IF(AND(ISNUMBER($J$837),$B$511=1),$J$837,HLOOKUP(INDIRECT(ADDRESS(2,COLUMN())),OFFSET($BN$2,0,0,ROW()-1,60),ROW()-1,FALSE))</f>
        <v>-110.9295317</v>
      </c>
      <c r="K336">
        <f ca="1">IF(AND(ISNUMBER($K$837),$B$511=1),$K$837,HLOOKUP(INDIRECT(ADDRESS(2,COLUMN())),OFFSET($BN$2,0,0,ROW()-1,60),ROW()-1,FALSE))</f>
        <v>-107.946066</v>
      </c>
      <c r="L336">
        <f ca="1">IF(AND(ISNUMBER($L$837),$B$511=1),$L$837,HLOOKUP(INDIRECT(ADDRESS(2,COLUMN())),OFFSET($BN$2,0,0,ROW()-1,60),ROW()-1,FALSE))</f>
        <v>-246.25142690000001</v>
      </c>
      <c r="M336">
        <f ca="1">IF(AND(ISNUMBER($M$837),$B$511=1),$M$837,HLOOKUP(INDIRECT(ADDRESS(2,COLUMN())),OFFSET($BN$2,0,0,ROW()-1,60),ROW()-1,FALSE))</f>
        <v>-166.48749530000001</v>
      </c>
      <c r="N336">
        <f ca="1">IF(AND(ISNUMBER($N$837),$B$511=1),$N$837,HLOOKUP(INDIRECT(ADDRESS(2,COLUMN())),OFFSET($BN$2,0,0,ROW()-1,60),ROW()-1,FALSE))</f>
        <v>-160.26723100000001</v>
      </c>
      <c r="O336">
        <f ca="1">IF(AND(ISNUMBER($O$837),$B$511=1),$O$837,HLOOKUP(INDIRECT(ADDRESS(2,COLUMN())),OFFSET($BN$2,0,0,ROW()-1,60),ROW()-1,FALSE))</f>
        <v>-150.77279999999999</v>
      </c>
      <c r="P336">
        <f ca="1">IF(AND(ISNUMBER($P$837),$B$511=1),$P$837,HLOOKUP(INDIRECT(ADDRESS(2,COLUMN())),OFFSET($BN$2,0,0,ROW()-1,60),ROW()-1,FALSE))</f>
        <v>0</v>
      </c>
      <c r="Q336">
        <f ca="1">IF(AND(ISNUMBER($Q$837),$B$511=1),$Q$837,HLOOKUP(INDIRECT(ADDRESS(2,COLUMN())),OFFSET($BN$2,0,0,ROW()-1,60),ROW()-1,FALSE))</f>
        <v>0</v>
      </c>
      <c r="R336">
        <f ca="1">IF(AND(ISNUMBER($R$837),$B$511=1),$R$837,HLOOKUP(INDIRECT(ADDRESS(2,COLUMN())),OFFSET($BN$2,0,0,ROW()-1,60),ROW()-1,FALSE))</f>
        <v>0</v>
      </c>
      <c r="S336">
        <f ca="1">IF(AND(ISNUMBER($S$837),$B$511=1),$S$837,HLOOKUP(INDIRECT(ADDRESS(2,COLUMN())),OFFSET($BN$2,0,0,ROW()-1,60),ROW()-1,FALSE))</f>
        <v>0</v>
      </c>
      <c r="T336">
        <f ca="1">IF(AND(ISNUMBER($T$837),$B$511=1),$T$837,HLOOKUP(INDIRECT(ADDRESS(2,COLUMN())),OFFSET($BN$2,0,0,ROW()-1,60),ROW()-1,FALSE))</f>
        <v>0</v>
      </c>
      <c r="U336">
        <f ca="1">IF(AND(ISNUMBER($U$837),$B$511=1),$U$837,HLOOKUP(INDIRECT(ADDRESS(2,COLUMN())),OFFSET($BN$2,0,0,ROW()-1,60),ROW()-1,FALSE))</f>
        <v>-20.008222069999999</v>
      </c>
      <c r="V336">
        <f ca="1">IF(AND(ISNUMBER($V$837),$B$511=1),$V$837,HLOOKUP(INDIRECT(ADDRESS(2,COLUMN())),OFFSET($BN$2,0,0,ROW()-1,60),ROW()-1,FALSE))</f>
        <v>-19.985618379999998</v>
      </c>
      <c r="W336">
        <f ca="1">IF(AND(ISNUMBER($W$837),$B$511=1),$W$837,HLOOKUP(INDIRECT(ADDRESS(2,COLUMN())),OFFSET($BN$2,0,0,ROW()-1,60),ROW()-1,FALSE))</f>
        <v>-20.09397718</v>
      </c>
      <c r="X336">
        <f ca="1">IF(AND(ISNUMBER($X$837),$B$511=1),$X$837,HLOOKUP(INDIRECT(ADDRESS(2,COLUMN())),OFFSET($BN$2,0,0,ROW()-1,60),ROW()-1,FALSE))</f>
        <v>-20.142530019999999</v>
      </c>
      <c r="Y336">
        <f ca="1">IF(AND(ISNUMBER($Y$837),$B$511=1),$Y$837,HLOOKUP(INDIRECT(ADDRESS(2,COLUMN())),OFFSET($BN$2,0,0,ROW()-1,60),ROW()-1,FALSE))</f>
        <v>0</v>
      </c>
      <c r="Z336">
        <f ca="1">IF(AND(ISNUMBER($Z$837),$B$511=1),$Z$837,HLOOKUP(INDIRECT(ADDRESS(2,COLUMN())),OFFSET($BN$2,0,0,ROW()-1,60),ROW()-1,FALSE))</f>
        <v>0</v>
      </c>
      <c r="AA336">
        <f ca="1">IF(AND(ISNUMBER($AA$837),$B$511=1),$AA$837,HLOOKUP(INDIRECT(ADDRESS(2,COLUMN())),OFFSET($BN$2,0,0,ROW()-1,60),ROW()-1,FALSE))</f>
        <v>0</v>
      </c>
      <c r="AB336">
        <f ca="1">IF(AND(ISNUMBER($AB$837),$B$511=1),$AB$837,HLOOKUP(INDIRECT(ADDRESS(2,COLUMN())),OFFSET($BN$2,0,0,ROW()-1,60),ROW()-1,FALSE))</f>
        <v>0</v>
      </c>
      <c r="AC336">
        <f ca="1">IF(AND(ISNUMBER($AC$837),$B$511=1),$AC$837,HLOOKUP(INDIRECT(ADDRESS(2,COLUMN())),OFFSET($BN$2,0,0,ROW()-1,60),ROW()-1,FALSE))</f>
        <v>0</v>
      </c>
      <c r="AD336">
        <f ca="1">IF(AND(ISNUMBER($AD$837),$B$511=1),$AD$837,HLOOKUP(INDIRECT(ADDRESS(2,COLUMN())),OFFSET($BN$2,0,0,ROW()-1,60),ROW()-1,FALSE))</f>
        <v>0</v>
      </c>
      <c r="AE336">
        <f ca="1">IF(AND(ISNUMBER($AE$837),$B$511=1),$AE$837,HLOOKUP(INDIRECT(ADDRESS(2,COLUMN())),OFFSET($BN$2,0,0,ROW()-1,60),ROW()-1,FALSE))</f>
        <v>0</v>
      </c>
      <c r="AF336" t="str">
        <f ca="1">IF(AND(ISNUMBER($AF$837),$B$511=1),$AF$837,HLOOKUP(INDIRECT(ADDRESS(2,COLUMN())),OFFSET($BN$2,0,0,ROW()-1,60),ROW()-1,FALSE))</f>
        <v/>
      </c>
      <c r="AG336" t="str">
        <f ca="1">IF(AND(ISNUMBER($AG$837),$B$511=1),$AG$837,HLOOKUP(INDIRECT(ADDRESS(2,COLUMN())),OFFSET($BN$2,0,0,ROW()-1,60),ROW()-1,FALSE))</f>
        <v/>
      </c>
      <c r="AH336" t="str">
        <f ca="1">IF(AND(ISNUMBER($AH$837),$B$511=1),$AH$837,HLOOKUP(INDIRECT(ADDRESS(2,COLUMN())),OFFSET($BN$2,0,0,ROW()-1,60),ROW()-1,FALSE))</f>
        <v/>
      </c>
      <c r="AI336" t="str">
        <f ca="1">IF(AND(ISNUMBER($AI$837),$B$511=1),$AI$837,HLOOKUP(INDIRECT(ADDRESS(2,COLUMN())),OFFSET($BN$2,0,0,ROW()-1,60),ROW()-1,FALSE))</f>
        <v/>
      </c>
      <c r="AJ336" t="str">
        <f ca="1">IF(AND(ISNUMBER($AJ$837),$B$511=1),$AJ$837,HLOOKUP(INDIRECT(ADDRESS(2,COLUMN())),OFFSET($BN$2,0,0,ROW()-1,60),ROW()-1,FALSE))</f>
        <v/>
      </c>
      <c r="AK336" t="str">
        <f ca="1">IF(AND(ISNUMBER($AK$837),$B$511=1),$AK$837,HLOOKUP(INDIRECT(ADDRESS(2,COLUMN())),OFFSET($BN$2,0,0,ROW()-1,60),ROW()-1,FALSE))</f>
        <v/>
      </c>
      <c r="AL336" t="str">
        <f ca="1">IF(AND(ISNUMBER($AL$837),$B$511=1),$AL$837,HLOOKUP(INDIRECT(ADDRESS(2,COLUMN())),OFFSET($BN$2,0,0,ROW()-1,60),ROW()-1,FALSE))</f>
        <v/>
      </c>
      <c r="AM336" t="str">
        <f ca="1">IF(AND(ISNUMBER($AM$837),$B$511=1),$AM$837,HLOOKUP(INDIRECT(ADDRESS(2,COLUMN())),OFFSET($BN$2,0,0,ROW()-1,60),ROW()-1,FALSE))</f>
        <v/>
      </c>
      <c r="AN336" t="str">
        <f ca="1">IF(AND(ISNUMBER($AN$837),$B$511=1),$AN$837,HLOOKUP(INDIRECT(ADDRESS(2,COLUMN())),OFFSET($BN$2,0,0,ROW()-1,60),ROW()-1,FALSE))</f>
        <v/>
      </c>
      <c r="AO336" t="str">
        <f ca="1">IF(AND(ISNUMBER($AO$837),$B$511=1),$AO$837,HLOOKUP(INDIRECT(ADDRESS(2,COLUMN())),OFFSET($BN$2,0,0,ROW()-1,60),ROW()-1,FALSE))</f>
        <v/>
      </c>
      <c r="AP336" t="str">
        <f ca="1">IF(AND(ISNUMBER($AP$837),$B$511=1),$AP$837,HLOOKUP(INDIRECT(ADDRESS(2,COLUMN())),OFFSET($BN$2,0,0,ROW()-1,60),ROW()-1,FALSE))</f>
        <v/>
      </c>
      <c r="AQ336" t="str">
        <f ca="1">IF(AND(ISNUMBER($AQ$837),$B$511=1),$AQ$837,HLOOKUP(INDIRECT(ADDRESS(2,COLUMN())),OFFSET($BN$2,0,0,ROW()-1,60),ROW()-1,FALSE))</f>
        <v/>
      </c>
      <c r="AR336" t="str">
        <f ca="1">IF(AND(ISNUMBER($AR$837),$B$511=1),$AR$837,HLOOKUP(INDIRECT(ADDRESS(2,COLUMN())),OFFSET($BN$2,0,0,ROW()-1,60),ROW()-1,FALSE))</f>
        <v/>
      </c>
      <c r="AS336" t="str">
        <f ca="1">IF(AND(ISNUMBER($AS$837),$B$511=1),$AS$837,HLOOKUP(INDIRECT(ADDRESS(2,COLUMN())),OFFSET($BN$2,0,0,ROW()-1,60),ROW()-1,FALSE))</f>
        <v/>
      </c>
      <c r="AT336" t="str">
        <f ca="1">IF(AND(ISNUMBER($AT$837),$B$511=1),$AT$837,HLOOKUP(INDIRECT(ADDRESS(2,COLUMN())),OFFSET($BN$2,0,0,ROW()-1,60),ROW()-1,FALSE))</f>
        <v/>
      </c>
      <c r="AU336" t="str">
        <f ca="1">IF(AND(ISNUMBER($AU$837),$B$511=1),$AU$837,HLOOKUP(INDIRECT(ADDRESS(2,COLUMN())),OFFSET($BN$2,0,0,ROW()-1,60),ROW()-1,FALSE))</f>
        <v/>
      </c>
      <c r="AV336" t="str">
        <f ca="1">IF(AND(ISNUMBER($AV$837),$B$511=1),$AV$837,HLOOKUP(INDIRECT(ADDRESS(2,COLUMN())),OFFSET($BN$2,0,0,ROW()-1,60),ROW()-1,FALSE))</f>
        <v/>
      </c>
      <c r="AW336" t="str">
        <f ca="1">IF(AND(ISNUMBER($AW$837),$B$511=1),$AW$837,HLOOKUP(INDIRECT(ADDRESS(2,COLUMN())),OFFSET($BN$2,0,0,ROW()-1,60),ROW()-1,FALSE))</f>
        <v/>
      </c>
      <c r="AX336" t="str">
        <f ca="1">IF(AND(ISNUMBER($AX$837),$B$511=1),$AX$837,HLOOKUP(INDIRECT(ADDRESS(2,COLUMN())),OFFSET($BN$2,0,0,ROW()-1,60),ROW()-1,FALSE))</f>
        <v/>
      </c>
      <c r="AY336" t="str">
        <f ca="1">IF(AND(ISNUMBER($AY$837),$B$511=1),$AY$837,HLOOKUP(INDIRECT(ADDRESS(2,COLUMN())),OFFSET($BN$2,0,0,ROW()-1,60),ROW()-1,FALSE))</f>
        <v/>
      </c>
      <c r="AZ336" t="str">
        <f ca="1">IF(AND(ISNUMBER($AZ$837),$B$511=1),$AZ$837,HLOOKUP(INDIRECT(ADDRESS(2,COLUMN())),OFFSET($BN$2,0,0,ROW()-1,60),ROW()-1,FALSE))</f>
        <v/>
      </c>
      <c r="BA336" t="str">
        <f ca="1">IF(AND(ISNUMBER($BA$837),$B$511=1),$BA$837,HLOOKUP(INDIRECT(ADDRESS(2,COLUMN())),OFFSET($BN$2,0,0,ROW()-1,60),ROW()-1,FALSE))</f>
        <v/>
      </c>
      <c r="BB336" t="str">
        <f ca="1">IF(AND(ISNUMBER($BB$837),$B$511=1),$BB$837,HLOOKUP(INDIRECT(ADDRESS(2,COLUMN())),OFFSET($BN$2,0,0,ROW()-1,60),ROW()-1,FALSE))</f>
        <v/>
      </c>
      <c r="BC336" t="str">
        <f ca="1">IF(AND(ISNUMBER($BC$837),$B$511=1),$BC$837,HLOOKUP(INDIRECT(ADDRESS(2,COLUMN())),OFFSET($BN$2,0,0,ROW()-1,60),ROW()-1,FALSE))</f>
        <v/>
      </c>
      <c r="BD336" t="str">
        <f ca="1">IF(AND(ISNUMBER($BD$837),$B$511=1),$BD$837,HLOOKUP(INDIRECT(ADDRESS(2,COLUMN())),OFFSET($BN$2,0,0,ROW()-1,60),ROW()-1,FALSE))</f>
        <v/>
      </c>
      <c r="BE336" t="str">
        <f ca="1">IF(AND(ISNUMBER($BE$837),$B$511=1),$BE$837,HLOOKUP(INDIRECT(ADDRESS(2,COLUMN())),OFFSET($BN$2,0,0,ROW()-1,60),ROW()-1,FALSE))</f>
        <v/>
      </c>
      <c r="BF336" t="str">
        <f ca="1">IF(AND(ISNUMBER($BF$837),$B$511=1),$BF$837,HLOOKUP(INDIRECT(ADDRESS(2,COLUMN())),OFFSET($BN$2,0,0,ROW()-1,60),ROW()-1,FALSE))</f>
        <v/>
      </c>
      <c r="BG336" t="str">
        <f ca="1">IF(AND(ISNUMBER($BG$837),$B$511=1),$BG$837,HLOOKUP(INDIRECT(ADDRESS(2,COLUMN())),OFFSET($BN$2,0,0,ROW()-1,60),ROW()-1,FALSE))</f>
        <v/>
      </c>
      <c r="BH336" t="str">
        <f ca="1">IF(AND(ISNUMBER($BH$837),$B$511=1),$BH$837,HLOOKUP(INDIRECT(ADDRESS(2,COLUMN())),OFFSET($BN$2,0,0,ROW()-1,60),ROW()-1,FALSE))</f>
        <v/>
      </c>
      <c r="BI336" t="str">
        <f ca="1">IF(AND(ISNUMBER($BI$837),$B$511=1),$BI$837,HLOOKUP(INDIRECT(ADDRESS(2,COLUMN())),OFFSET($BN$2,0,0,ROW()-1,60),ROW()-1,FALSE))</f>
        <v/>
      </c>
      <c r="BJ336" t="str">
        <f ca="1">IF(AND(ISNUMBER($BJ$837),$B$511=1),$BJ$837,HLOOKUP(INDIRECT(ADDRESS(2,COLUMN())),OFFSET($BN$2,0,0,ROW()-1,60),ROW()-1,FALSE))</f>
        <v/>
      </c>
      <c r="BK336" t="str">
        <f ca="1">IF(AND(ISNUMBER($BK$837),$B$511=1),$BK$837,HLOOKUP(INDIRECT(ADDRESS(2,COLUMN())),OFFSET($BN$2,0,0,ROW()-1,60),ROW()-1,FALSE))</f>
        <v/>
      </c>
      <c r="BL336" t="str">
        <f ca="1">IF(AND(ISNUMBER($BL$837),$B$511=1),$BL$837,HLOOKUP(INDIRECT(ADDRESS(2,COLUMN())),OFFSET($BN$2,0,0,ROW()-1,60),ROW()-1,FALSE))</f>
        <v/>
      </c>
      <c r="BM336" t="str">
        <f ca="1">IF(AND(ISNUMBER($BM$837),$B$511=1),$BM$837,HLOOKUP(INDIRECT(ADDRESS(2,COLUMN())),OFFSET($BN$2,0,0,ROW()-1,60),ROW()-1,FALSE))</f>
        <v/>
      </c>
      <c r="BN336" t="str">
        <f>""</f>
        <v/>
      </c>
      <c r="BO336" t="str">
        <f>""</f>
        <v/>
      </c>
      <c r="BP336" t="str">
        <f>""</f>
        <v/>
      </c>
      <c r="BQ336" t="str">
        <f>""</f>
        <v/>
      </c>
      <c r="BR336">
        <f>-110.9295317</f>
        <v>-110.9295317</v>
      </c>
      <c r="BS336">
        <f>-107.946066</f>
        <v>-107.946066</v>
      </c>
      <c r="BT336">
        <f>-246.2514269</f>
        <v>-246.25142690000001</v>
      </c>
      <c r="BU336">
        <f>-166.4874953</f>
        <v>-166.48749530000001</v>
      </c>
      <c r="BV336">
        <f>-160.267231</f>
        <v>-160.26723100000001</v>
      </c>
      <c r="BW336">
        <f>-150.7728</f>
        <v>-150.77279999999999</v>
      </c>
      <c r="BX336">
        <f>0</f>
        <v>0</v>
      </c>
      <c r="BY336">
        <f>0</f>
        <v>0</v>
      </c>
      <c r="BZ336">
        <f>0</f>
        <v>0</v>
      </c>
      <c r="CA336">
        <f>0</f>
        <v>0</v>
      </c>
      <c r="CB336">
        <f>0</f>
        <v>0</v>
      </c>
      <c r="CC336">
        <f>-20.00822207</f>
        <v>-20.008222069999999</v>
      </c>
      <c r="CD336">
        <f>-19.98561838</f>
        <v>-19.985618379999998</v>
      </c>
      <c r="CE336">
        <f>-20.09397718</f>
        <v>-20.09397718</v>
      </c>
      <c r="CF336">
        <f>-20.14253002</f>
        <v>-20.142530019999999</v>
      </c>
      <c r="CG336">
        <f>0</f>
        <v>0</v>
      </c>
      <c r="CH336">
        <f>0</f>
        <v>0</v>
      </c>
      <c r="CI336">
        <f>0</f>
        <v>0</v>
      </c>
      <c r="CJ336">
        <f>0</f>
        <v>0</v>
      </c>
      <c r="CK336">
        <f>0</f>
        <v>0</v>
      </c>
      <c r="CL336">
        <f>0</f>
        <v>0</v>
      </c>
      <c r="CM336">
        <f>0</f>
        <v>0</v>
      </c>
      <c r="CN336" t="str">
        <f>""</f>
        <v/>
      </c>
      <c r="CO336" t="str">
        <f>""</f>
        <v/>
      </c>
      <c r="CP336" t="str">
        <f>""</f>
        <v/>
      </c>
      <c r="CQ336" t="str">
        <f>""</f>
        <v/>
      </c>
      <c r="CR336" t="str">
        <f>""</f>
        <v/>
      </c>
      <c r="CS336" t="str">
        <f>""</f>
        <v/>
      </c>
      <c r="CT336" t="str">
        <f>""</f>
        <v/>
      </c>
      <c r="CU336" t="str">
        <f>""</f>
        <v/>
      </c>
      <c r="CV336" t="str">
        <f>""</f>
        <v/>
      </c>
      <c r="CW336" t="str">
        <f>""</f>
        <v/>
      </c>
      <c r="CX336" t="str">
        <f>""</f>
        <v/>
      </c>
      <c r="CY336" t="str">
        <f>""</f>
        <v/>
      </c>
      <c r="CZ336" t="str">
        <f>""</f>
        <v/>
      </c>
      <c r="DA336" t="str">
        <f>""</f>
        <v/>
      </c>
      <c r="DB336" t="str">
        <f>""</f>
        <v/>
      </c>
      <c r="DC336" t="str">
        <f>""</f>
        <v/>
      </c>
      <c r="DD336" t="str">
        <f>""</f>
        <v/>
      </c>
      <c r="DE336" t="str">
        <f>""</f>
        <v/>
      </c>
      <c r="DF336" t="str">
        <f>""</f>
        <v/>
      </c>
      <c r="DG336" t="str">
        <f>""</f>
        <v/>
      </c>
      <c r="DH336" t="str">
        <f>""</f>
        <v/>
      </c>
      <c r="DI336" t="str">
        <f>""</f>
        <v/>
      </c>
      <c r="DJ336" t="str">
        <f>""</f>
        <v/>
      </c>
      <c r="DK336" t="str">
        <f>""</f>
        <v/>
      </c>
      <c r="DL336" t="str">
        <f>""</f>
        <v/>
      </c>
      <c r="DM336" t="str">
        <f>""</f>
        <v/>
      </c>
      <c r="DN336" t="str">
        <f>""</f>
        <v/>
      </c>
      <c r="DO336" t="str">
        <f>""</f>
        <v/>
      </c>
      <c r="DP336" t="str">
        <f>""</f>
        <v/>
      </c>
      <c r="DQ336" t="str">
        <f>""</f>
        <v/>
      </c>
      <c r="DR336" t="str">
        <f>""</f>
        <v/>
      </c>
      <c r="DS336" t="str">
        <f>""</f>
        <v/>
      </c>
      <c r="DT336" t="str">
        <f>""</f>
        <v/>
      </c>
      <c r="DU336" t="str">
        <f>""</f>
        <v/>
      </c>
    </row>
    <row r="337" spans="1:125" x14ac:dyDescent="0.25">
      <c r="A337" t="str">
        <f>"    Chongqing Changan Automobile Co Ltd"</f>
        <v xml:space="preserve">    Chongqing Changan Automobile Co Ltd</v>
      </c>
      <c r="B337" t="str">
        <f>"200625 CH Equity"</f>
        <v>200625 CH Equity</v>
      </c>
      <c r="C337" t="str">
        <f t="shared" si="24"/>
        <v>RX530</v>
      </c>
      <c r="D337" t="str">
        <f t="shared" si="25"/>
        <v>T12M_DVDS_PAID</v>
      </c>
      <c r="E337" t="str">
        <f t="shared" si="26"/>
        <v>Dynamic</v>
      </c>
      <c r="F337" t="str">
        <f ca="1">IF(AND(ISNUMBER($F$838),$B$511=1),$F$838,HLOOKUP(INDIRECT(ADDRESS(2,COLUMN())),OFFSET($BN$2,0,0,ROW()-1,60),ROW()-1,FALSE))</f>
        <v/>
      </c>
      <c r="G337" t="str">
        <f ca="1">IF(AND(ISNUMBER($G$838),$B$511=1),$G$838,HLOOKUP(INDIRECT(ADDRESS(2,COLUMN())),OFFSET($BN$2,0,0,ROW()-1,60),ROW()-1,FALSE))</f>
        <v/>
      </c>
      <c r="H337" t="str">
        <f ca="1">IF(AND(ISNUMBER($H$838),$B$511=1),$H$838,HLOOKUP(INDIRECT(ADDRESS(2,COLUMN())),OFFSET($BN$2,0,0,ROW()-1,60),ROW()-1,FALSE))</f>
        <v/>
      </c>
      <c r="I337">
        <f ca="1">IF(AND(ISNUMBER($I$838),$B$511=1),$I$838,HLOOKUP(INDIRECT(ADDRESS(2,COLUMN())),OFFSET($BN$2,0,0,ROW()-1,60),ROW()-1,FALSE))</f>
        <v>0</v>
      </c>
      <c r="J337">
        <f ca="1">IF(AND(ISNUMBER($J$838),$B$511=1),$J$838,HLOOKUP(INDIRECT(ADDRESS(2,COLUMN())),OFFSET($BN$2,0,0,ROW()-1,60),ROW()-1,FALSE))</f>
        <v>-465.48903100000001</v>
      </c>
      <c r="K337">
        <f ca="1">IF(AND(ISNUMBER($K$838),$B$511=1),$K$838,HLOOKUP(INDIRECT(ADDRESS(2,COLUMN())),OFFSET($BN$2,0,0,ROW()-1,60),ROW()-1,FALSE))</f>
        <v>-456.27127430000002</v>
      </c>
      <c r="L337" t="str">
        <f ca="1">IF(AND(ISNUMBER($L$838),$B$511=1),$L$838,HLOOKUP(INDIRECT(ADDRESS(2,COLUMN())),OFFSET($BN$2,0,0,ROW()-1,60),ROW()-1,FALSE))</f>
        <v/>
      </c>
      <c r="M337" t="str">
        <f ca="1">IF(AND(ISNUMBER($M$838),$B$511=1),$M$838,HLOOKUP(INDIRECT(ADDRESS(2,COLUMN())),OFFSET($BN$2,0,0,ROW()-1,60),ROW()-1,FALSE))</f>
        <v/>
      </c>
      <c r="N337" t="str">
        <f ca="1">IF(AND(ISNUMBER($N$838),$B$511=1),$N$838,HLOOKUP(INDIRECT(ADDRESS(2,COLUMN())),OFFSET($BN$2,0,0,ROW()-1,60),ROW()-1,FALSE))</f>
        <v/>
      </c>
      <c r="O337" t="str">
        <f ca="1">IF(AND(ISNUMBER($O$838),$B$511=1),$O$838,HLOOKUP(INDIRECT(ADDRESS(2,COLUMN())),OFFSET($BN$2,0,0,ROW()-1,60),ROW()-1,FALSE))</f>
        <v/>
      </c>
      <c r="P337">
        <f ca="1">IF(AND(ISNUMBER($P$838),$B$511=1),$P$838,HLOOKUP(INDIRECT(ADDRESS(2,COLUMN())),OFFSET($BN$2,0,0,ROW()-1,60),ROW()-1,FALSE))</f>
        <v>-461.11993059999998</v>
      </c>
      <c r="Q337">
        <f ca="1">IF(AND(ISNUMBER($Q$838),$B$511=1),$Q$838,HLOOKUP(INDIRECT(ADDRESS(2,COLUMN())),OFFSET($BN$2,0,0,ROW()-1,60),ROW()-1,FALSE))</f>
        <v>-464.01537889999997</v>
      </c>
      <c r="R337">
        <f ca="1">IF(AND(ISNUMBER($R$838),$B$511=1),$R$838,HLOOKUP(INDIRECT(ADDRESS(2,COLUMN())),OFFSET($BN$2,0,0,ROW()-1,60),ROW()-1,FALSE))</f>
        <v>-183.8993906</v>
      </c>
      <c r="S337">
        <f ca="1">IF(AND(ISNUMBER($S$838),$B$511=1),$S$838,HLOOKUP(INDIRECT(ADDRESS(2,COLUMN())),OFFSET($BN$2,0,0,ROW()-1,60),ROW()-1,FALSE))</f>
        <v>-186.05490979999999</v>
      </c>
      <c r="T337" t="str">
        <f ca="1">IF(AND(ISNUMBER($T$838),$B$511=1),$T$838,HLOOKUP(INDIRECT(ADDRESS(2,COLUMN())),OFFSET($BN$2,0,0,ROW()-1,60),ROW()-1,FALSE))</f>
        <v/>
      </c>
      <c r="U337" t="str">
        <f ca="1">IF(AND(ISNUMBER($U$838),$B$511=1),$U$838,HLOOKUP(INDIRECT(ADDRESS(2,COLUMN())),OFFSET($BN$2,0,0,ROW()-1,60),ROW()-1,FALSE))</f>
        <v/>
      </c>
      <c r="V337" t="str">
        <f ca="1">IF(AND(ISNUMBER($V$838),$B$511=1),$V$838,HLOOKUP(INDIRECT(ADDRESS(2,COLUMN())),OFFSET($BN$2,0,0,ROW()-1,60),ROW()-1,FALSE))</f>
        <v/>
      </c>
      <c r="W337" t="str">
        <f ca="1">IF(AND(ISNUMBER($W$838),$B$511=1),$W$838,HLOOKUP(INDIRECT(ADDRESS(2,COLUMN())),OFFSET($BN$2,0,0,ROW()-1,60),ROW()-1,FALSE))</f>
        <v/>
      </c>
      <c r="X337">
        <f ca="1">IF(AND(ISNUMBER($X$838),$B$511=1),$X$838,HLOOKUP(INDIRECT(ADDRESS(2,COLUMN())),OFFSET($BN$2,0,0,ROW()-1,60),ROW()-1,FALSE))</f>
        <v>-76.737157830000001</v>
      </c>
      <c r="Y337" t="str">
        <f ca="1">IF(AND(ISNUMBER($Y$838),$B$511=1),$Y$838,HLOOKUP(INDIRECT(ADDRESS(2,COLUMN())),OFFSET($BN$2,0,0,ROW()-1,60),ROW()-1,FALSE))</f>
        <v/>
      </c>
      <c r="Z337" t="str">
        <f ca="1">IF(AND(ISNUMBER($Z$838),$B$511=1),$Z$838,HLOOKUP(INDIRECT(ADDRESS(2,COLUMN())),OFFSET($BN$2,0,0,ROW()-1,60),ROW()-1,FALSE))</f>
        <v/>
      </c>
      <c r="AA337" t="str">
        <f ca="1">IF(AND(ISNUMBER($AA$838),$B$511=1),$AA$838,HLOOKUP(INDIRECT(ADDRESS(2,COLUMN())),OFFSET($BN$2,0,0,ROW()-1,60),ROW()-1,FALSE))</f>
        <v/>
      </c>
      <c r="AB337" t="str">
        <f ca="1">IF(AND(ISNUMBER($AB$838),$B$511=1),$AB$838,HLOOKUP(INDIRECT(ADDRESS(2,COLUMN())),OFFSET($BN$2,0,0,ROW()-1,60),ROW()-1,FALSE))</f>
        <v/>
      </c>
      <c r="AC337">
        <f ca="1">IF(AND(ISNUMBER($AC$838),$B$511=1),$AC$838,HLOOKUP(INDIRECT(ADDRESS(2,COLUMN())),OFFSET($BN$2,0,0,ROW()-1,60),ROW()-1,FALSE))</f>
        <v>-66.538529080000004</v>
      </c>
      <c r="AD337">
        <f ca="1">IF(AND(ISNUMBER($AD$838),$B$511=1),$AD$838,HLOOKUP(INDIRECT(ADDRESS(2,COLUMN())),OFFSET($BN$2,0,0,ROW()-1,60),ROW()-1,FALSE))</f>
        <v>-29.69047046</v>
      </c>
      <c r="AE337">
        <f ca="1">IF(AND(ISNUMBER($AE$838),$B$511=1),$AE$838,HLOOKUP(INDIRECT(ADDRESS(2,COLUMN())),OFFSET($BN$2,0,0,ROW()-1,60),ROW()-1,FALSE))</f>
        <v>-29.591130020000001</v>
      </c>
      <c r="AF337" t="str">
        <f ca="1">IF(AND(ISNUMBER($AF$838),$B$511=1),$AF$838,HLOOKUP(INDIRECT(ADDRESS(2,COLUMN())),OFFSET($BN$2,0,0,ROW()-1,60),ROW()-1,FALSE))</f>
        <v/>
      </c>
      <c r="AG337" t="str">
        <f ca="1">IF(AND(ISNUMBER($AG$838),$B$511=1),$AG$838,HLOOKUP(INDIRECT(ADDRESS(2,COLUMN())),OFFSET($BN$2,0,0,ROW()-1,60),ROW()-1,FALSE))</f>
        <v/>
      </c>
      <c r="AH337" t="str">
        <f ca="1">IF(AND(ISNUMBER($AH$838),$B$511=1),$AH$838,HLOOKUP(INDIRECT(ADDRESS(2,COLUMN())),OFFSET($BN$2,0,0,ROW()-1,60),ROW()-1,FALSE))</f>
        <v/>
      </c>
      <c r="AI337" t="str">
        <f ca="1">IF(AND(ISNUMBER($AI$838),$B$511=1),$AI$838,HLOOKUP(INDIRECT(ADDRESS(2,COLUMN())),OFFSET($BN$2,0,0,ROW()-1,60),ROW()-1,FALSE))</f>
        <v/>
      </c>
      <c r="AJ337" t="str">
        <f ca="1">IF(AND(ISNUMBER($AJ$838),$B$511=1),$AJ$838,HLOOKUP(INDIRECT(ADDRESS(2,COLUMN())),OFFSET($BN$2,0,0,ROW()-1,60),ROW()-1,FALSE))</f>
        <v/>
      </c>
      <c r="AK337" t="str">
        <f ca="1">IF(AND(ISNUMBER($AK$838),$B$511=1),$AK$838,HLOOKUP(INDIRECT(ADDRESS(2,COLUMN())),OFFSET($BN$2,0,0,ROW()-1,60),ROW()-1,FALSE))</f>
        <v/>
      </c>
      <c r="AL337" t="str">
        <f ca="1">IF(AND(ISNUMBER($AL$838),$B$511=1),$AL$838,HLOOKUP(INDIRECT(ADDRESS(2,COLUMN())),OFFSET($BN$2,0,0,ROW()-1,60),ROW()-1,FALSE))</f>
        <v/>
      </c>
      <c r="AM337" t="str">
        <f ca="1">IF(AND(ISNUMBER($AM$838),$B$511=1),$AM$838,HLOOKUP(INDIRECT(ADDRESS(2,COLUMN())),OFFSET($BN$2,0,0,ROW()-1,60),ROW()-1,FALSE))</f>
        <v/>
      </c>
      <c r="AN337">
        <f ca="1">IF(AND(ISNUMBER($AN$838),$B$511=1),$AN$838,HLOOKUP(INDIRECT(ADDRESS(2,COLUMN())),OFFSET($BN$2,0,0,ROW()-1,60),ROW()-1,FALSE))</f>
        <v>-27.99235814</v>
      </c>
      <c r="AO337">
        <f ca="1">IF(AND(ISNUMBER($AO$838),$B$511=1),$AO$838,HLOOKUP(INDIRECT(ADDRESS(2,COLUMN())),OFFSET($BN$2,0,0,ROW()-1,60),ROW()-1,FALSE))</f>
        <v>-27.34890687</v>
      </c>
      <c r="AP337">
        <f ca="1">IF(AND(ISNUMBER($AP$838),$B$511=1),$AP$838,HLOOKUP(INDIRECT(ADDRESS(2,COLUMN())),OFFSET($BN$2,0,0,ROW()-1,60),ROW()-1,FALSE))</f>
        <v>-11.93727239</v>
      </c>
      <c r="AQ337">
        <f ca="1">IF(AND(ISNUMBER($AQ$838),$B$511=1),$AQ$838,HLOOKUP(INDIRECT(ADDRESS(2,COLUMN())),OFFSET($BN$2,0,0,ROW()-1,60),ROW()-1,FALSE))</f>
        <v>-11.932567580000001</v>
      </c>
      <c r="AR337">
        <f ca="1">IF(AND(ISNUMBER($AR$838),$B$511=1),$AR$838,HLOOKUP(INDIRECT(ADDRESS(2,COLUMN())),OFFSET($BN$2,0,0,ROW()-1,60),ROW()-1,FALSE))</f>
        <v>-6.1473830200000004</v>
      </c>
      <c r="AS337">
        <f ca="1">IF(AND(ISNUMBER($AS$838),$B$511=1),$AS$838,HLOOKUP(INDIRECT(ADDRESS(2,COLUMN())),OFFSET($BN$2,0,0,ROW()-1,60),ROW()-1,FALSE))</f>
        <v>-6.144349601</v>
      </c>
      <c r="AT337" t="str">
        <f ca="1">IF(AND(ISNUMBER($AT$838),$B$511=1),$AT$838,HLOOKUP(INDIRECT(ADDRESS(2,COLUMN())),OFFSET($BN$2,0,0,ROW()-1,60),ROW()-1,FALSE))</f>
        <v/>
      </c>
      <c r="AU337" t="str">
        <f ca="1">IF(AND(ISNUMBER($AU$838),$B$511=1),$AU$838,HLOOKUP(INDIRECT(ADDRESS(2,COLUMN())),OFFSET($BN$2,0,0,ROW()-1,60),ROW()-1,FALSE))</f>
        <v/>
      </c>
      <c r="AV337" t="str">
        <f ca="1">IF(AND(ISNUMBER($AV$838),$B$511=1),$AV$838,HLOOKUP(INDIRECT(ADDRESS(2,COLUMN())),OFFSET($BN$2,0,0,ROW()-1,60),ROW()-1,FALSE))</f>
        <v/>
      </c>
      <c r="AW337" t="str">
        <f ca="1">IF(AND(ISNUMBER($AW$838),$B$511=1),$AW$838,HLOOKUP(INDIRECT(ADDRESS(2,COLUMN())),OFFSET($BN$2,0,0,ROW()-1,60),ROW()-1,FALSE))</f>
        <v/>
      </c>
      <c r="AX337">
        <f ca="1">IF(AND(ISNUMBER($AX$838),$B$511=1),$AX$838,HLOOKUP(INDIRECT(ADDRESS(2,COLUMN())),OFFSET($BN$2,0,0,ROW()-1,60),ROW()-1,FALSE))</f>
        <v>-20.432841849999999</v>
      </c>
      <c r="AY337" t="str">
        <f ca="1">IF(AND(ISNUMBER($AY$838),$B$511=1),$AY$838,HLOOKUP(INDIRECT(ADDRESS(2,COLUMN())),OFFSET($BN$2,0,0,ROW()-1,60),ROW()-1,FALSE))</f>
        <v/>
      </c>
      <c r="AZ337" t="str">
        <f ca="1">IF(AND(ISNUMBER($AZ$838),$B$511=1),$AZ$838,HLOOKUP(INDIRECT(ADDRESS(2,COLUMN())),OFFSET($BN$2,0,0,ROW()-1,60),ROW()-1,FALSE))</f>
        <v/>
      </c>
      <c r="BA337" t="str">
        <f ca="1">IF(AND(ISNUMBER($BA$838),$B$511=1),$BA$838,HLOOKUP(INDIRECT(ADDRESS(2,COLUMN())),OFFSET($BN$2,0,0,ROW()-1,60),ROW()-1,FALSE))</f>
        <v/>
      </c>
      <c r="BB337" t="str">
        <f ca="1">IF(AND(ISNUMBER($BB$838),$B$511=1),$BB$838,HLOOKUP(INDIRECT(ADDRESS(2,COLUMN())),OFFSET($BN$2,0,0,ROW()-1,60),ROW()-1,FALSE))</f>
        <v/>
      </c>
      <c r="BC337" t="str">
        <f ca="1">IF(AND(ISNUMBER($BC$838),$B$511=1),$BC$838,HLOOKUP(INDIRECT(ADDRESS(2,COLUMN())),OFFSET($BN$2,0,0,ROW()-1,60),ROW()-1,FALSE))</f>
        <v/>
      </c>
      <c r="BD337" t="str">
        <f ca="1">IF(AND(ISNUMBER($BD$838),$B$511=1),$BD$838,HLOOKUP(INDIRECT(ADDRESS(2,COLUMN())),OFFSET($BN$2,0,0,ROW()-1,60),ROW()-1,FALSE))</f>
        <v/>
      </c>
      <c r="BE337" t="str">
        <f ca="1">IF(AND(ISNUMBER($BE$838),$B$511=1),$BE$838,HLOOKUP(INDIRECT(ADDRESS(2,COLUMN())),OFFSET($BN$2,0,0,ROW()-1,60),ROW()-1,FALSE))</f>
        <v/>
      </c>
      <c r="BF337" t="str">
        <f ca="1">IF(AND(ISNUMBER($BF$838),$B$511=1),$BF$838,HLOOKUP(INDIRECT(ADDRESS(2,COLUMN())),OFFSET($BN$2,0,0,ROW()-1,60),ROW()-1,FALSE))</f>
        <v/>
      </c>
      <c r="BG337" t="str">
        <f ca="1">IF(AND(ISNUMBER($BG$838),$B$511=1),$BG$838,HLOOKUP(INDIRECT(ADDRESS(2,COLUMN())),OFFSET($BN$2,0,0,ROW()-1,60),ROW()-1,FALSE))</f>
        <v/>
      </c>
      <c r="BH337" t="str">
        <f ca="1">IF(AND(ISNUMBER($BH$838),$B$511=1),$BH$838,HLOOKUP(INDIRECT(ADDRESS(2,COLUMN())),OFFSET($BN$2,0,0,ROW()-1,60),ROW()-1,FALSE))</f>
        <v/>
      </c>
      <c r="BI337" t="str">
        <f ca="1">IF(AND(ISNUMBER($BI$838),$B$511=1),$BI$838,HLOOKUP(INDIRECT(ADDRESS(2,COLUMN())),OFFSET($BN$2,0,0,ROW()-1,60),ROW()-1,FALSE))</f>
        <v/>
      </c>
      <c r="BJ337" t="str">
        <f ca="1">IF(AND(ISNUMBER($BJ$838),$B$511=1),$BJ$838,HLOOKUP(INDIRECT(ADDRESS(2,COLUMN())),OFFSET($BN$2,0,0,ROW()-1,60),ROW()-1,FALSE))</f>
        <v/>
      </c>
      <c r="BK337" t="str">
        <f ca="1">IF(AND(ISNUMBER($BK$838),$B$511=1),$BK$838,HLOOKUP(INDIRECT(ADDRESS(2,COLUMN())),OFFSET($BN$2,0,0,ROW()-1,60),ROW()-1,FALSE))</f>
        <v/>
      </c>
      <c r="BL337" t="str">
        <f ca="1">IF(AND(ISNUMBER($BL$838),$B$511=1),$BL$838,HLOOKUP(INDIRECT(ADDRESS(2,COLUMN())),OFFSET($BN$2,0,0,ROW()-1,60),ROW()-1,FALSE))</f>
        <v/>
      </c>
      <c r="BM337" t="str">
        <f ca="1">IF(AND(ISNUMBER($BM$838),$B$511=1),$BM$838,HLOOKUP(INDIRECT(ADDRESS(2,COLUMN())),OFFSET($BN$2,0,0,ROW()-1,60),ROW()-1,FALSE))</f>
        <v/>
      </c>
      <c r="BN337" t="str">
        <f>""</f>
        <v/>
      </c>
      <c r="BO337" t="str">
        <f>""</f>
        <v/>
      </c>
      <c r="BP337" t="str">
        <f>""</f>
        <v/>
      </c>
      <c r="BQ337">
        <f>0</f>
        <v>0</v>
      </c>
      <c r="BR337">
        <f>-465.489031</f>
        <v>-465.48903100000001</v>
      </c>
      <c r="BS337">
        <f>-456.2712743</f>
        <v>-456.27127430000002</v>
      </c>
      <c r="BT337" t="str">
        <f>""</f>
        <v/>
      </c>
      <c r="BU337" t="str">
        <f>""</f>
        <v/>
      </c>
      <c r="BV337" t="str">
        <f>""</f>
        <v/>
      </c>
      <c r="BW337" t="str">
        <f>""</f>
        <v/>
      </c>
      <c r="BX337">
        <f>-461.1199306</f>
        <v>-461.11993059999998</v>
      </c>
      <c r="BY337">
        <f>-464.0153789</f>
        <v>-464.01537889999997</v>
      </c>
      <c r="BZ337">
        <f>-183.8993906</f>
        <v>-183.8993906</v>
      </c>
      <c r="CA337">
        <f>-186.0549098</f>
        <v>-186.05490979999999</v>
      </c>
      <c r="CB337" t="str">
        <f>""</f>
        <v/>
      </c>
      <c r="CC337" t="str">
        <f>""</f>
        <v/>
      </c>
      <c r="CD337" t="str">
        <f>""</f>
        <v/>
      </c>
      <c r="CE337" t="str">
        <f>""</f>
        <v/>
      </c>
      <c r="CF337">
        <f>-76.73715783</f>
        <v>-76.737157830000001</v>
      </c>
      <c r="CG337" t="str">
        <f>""</f>
        <v/>
      </c>
      <c r="CH337" t="str">
        <f>""</f>
        <v/>
      </c>
      <c r="CI337" t="str">
        <f>""</f>
        <v/>
      </c>
      <c r="CJ337" t="str">
        <f>""</f>
        <v/>
      </c>
      <c r="CK337">
        <f>-66.53852908</f>
        <v>-66.538529080000004</v>
      </c>
      <c r="CL337">
        <f>-29.69047046</f>
        <v>-29.69047046</v>
      </c>
      <c r="CM337">
        <f>-29.59113002</f>
        <v>-29.591130020000001</v>
      </c>
      <c r="CN337" t="str">
        <f>""</f>
        <v/>
      </c>
      <c r="CO337" t="str">
        <f>""</f>
        <v/>
      </c>
      <c r="CP337" t="str">
        <f>""</f>
        <v/>
      </c>
      <c r="CQ337" t="str">
        <f>""</f>
        <v/>
      </c>
      <c r="CR337" t="str">
        <f>""</f>
        <v/>
      </c>
      <c r="CS337" t="str">
        <f>""</f>
        <v/>
      </c>
      <c r="CT337" t="str">
        <f>""</f>
        <v/>
      </c>
      <c r="CU337" t="str">
        <f>""</f>
        <v/>
      </c>
      <c r="CV337">
        <f>-27.99235814</f>
        <v>-27.99235814</v>
      </c>
      <c r="CW337">
        <f>-27.34890687</f>
        <v>-27.34890687</v>
      </c>
      <c r="CX337">
        <f>-11.93727239</f>
        <v>-11.93727239</v>
      </c>
      <c r="CY337">
        <f>-11.93256758</f>
        <v>-11.932567580000001</v>
      </c>
      <c r="CZ337">
        <f>-6.14738302</f>
        <v>-6.1473830200000004</v>
      </c>
      <c r="DA337">
        <f>-6.144349601</f>
        <v>-6.144349601</v>
      </c>
      <c r="DB337" t="str">
        <f>""</f>
        <v/>
      </c>
      <c r="DC337" t="str">
        <f>""</f>
        <v/>
      </c>
      <c r="DD337" t="str">
        <f>""</f>
        <v/>
      </c>
      <c r="DE337" t="str">
        <f>""</f>
        <v/>
      </c>
      <c r="DF337">
        <f>-20.43284185</f>
        <v>-20.432841849999999</v>
      </c>
      <c r="DG337" t="str">
        <f>""</f>
        <v/>
      </c>
      <c r="DH337" t="str">
        <f>""</f>
        <v/>
      </c>
      <c r="DI337" t="str">
        <f>""</f>
        <v/>
      </c>
      <c r="DJ337" t="str">
        <f>""</f>
        <v/>
      </c>
      <c r="DK337" t="str">
        <f>""</f>
        <v/>
      </c>
      <c r="DL337" t="str">
        <f>""</f>
        <v/>
      </c>
      <c r="DM337" t="str">
        <f>""</f>
        <v/>
      </c>
      <c r="DN337" t="str">
        <f>""</f>
        <v/>
      </c>
      <c r="DO337" t="str">
        <f>""</f>
        <v/>
      </c>
      <c r="DP337" t="str">
        <f>""</f>
        <v/>
      </c>
      <c r="DQ337" t="str">
        <f>""</f>
        <v/>
      </c>
      <c r="DR337" t="str">
        <f>""</f>
        <v/>
      </c>
      <c r="DS337" t="str">
        <f>""</f>
        <v/>
      </c>
      <c r="DT337" t="str">
        <f>""</f>
        <v/>
      </c>
      <c r="DU337" t="str">
        <f>""</f>
        <v/>
      </c>
    </row>
    <row r="338" spans="1:125" x14ac:dyDescent="0.25">
      <c r="A338" t="str">
        <f>"    Daihatsu Motor Co Ltd"</f>
        <v xml:space="preserve">    Daihatsu Motor Co Ltd</v>
      </c>
      <c r="B338" t="str">
        <f>"7262 JP Equity"</f>
        <v>7262 JP Equity</v>
      </c>
      <c r="C338" t="str">
        <f t="shared" si="24"/>
        <v>RX530</v>
      </c>
      <c r="D338" t="str">
        <f t="shared" si="25"/>
        <v>T12M_DVDS_PAID</v>
      </c>
      <c r="E338" t="str">
        <f t="shared" si="26"/>
        <v>Dynamic</v>
      </c>
      <c r="F338" t="str">
        <f ca="1">IF(AND(ISNUMBER($F$839),$B$511=1),$F$839,HLOOKUP(INDIRECT(ADDRESS(2,COLUMN())),OFFSET($BN$2,0,0,ROW()-1,60),ROW()-1,FALSE))</f>
        <v/>
      </c>
      <c r="G338" t="str">
        <f ca="1">IF(AND(ISNUMBER($G$839),$B$511=1),$G$839,HLOOKUP(INDIRECT(ADDRESS(2,COLUMN())),OFFSET($BN$2,0,0,ROW()-1,60),ROW()-1,FALSE))</f>
        <v/>
      </c>
      <c r="H338" t="str">
        <f ca="1">IF(AND(ISNUMBER($H$839),$B$511=1),$H$839,HLOOKUP(INDIRECT(ADDRESS(2,COLUMN())),OFFSET($BN$2,0,0,ROW()-1,60),ROW()-1,FALSE))</f>
        <v/>
      </c>
      <c r="I338" t="str">
        <f ca="1">IF(AND(ISNUMBER($I$839),$B$511=1),$I$839,HLOOKUP(INDIRECT(ADDRESS(2,COLUMN())),OFFSET($BN$2,0,0,ROW()-1,60),ROW()-1,FALSE))</f>
        <v/>
      </c>
      <c r="J338" t="str">
        <f ca="1">IF(AND(ISNUMBER($J$839),$B$511=1),$J$839,HLOOKUP(INDIRECT(ADDRESS(2,COLUMN())),OFFSET($BN$2,0,0,ROW()-1,60),ROW()-1,FALSE))</f>
        <v/>
      </c>
      <c r="K338" t="str">
        <f ca="1">IF(AND(ISNUMBER($K$839),$B$511=1),$K$839,HLOOKUP(INDIRECT(ADDRESS(2,COLUMN())),OFFSET($BN$2,0,0,ROW()-1,60),ROW()-1,FALSE))</f>
        <v/>
      </c>
      <c r="L338" t="str">
        <f ca="1">IF(AND(ISNUMBER($L$839),$B$511=1),$L$839,HLOOKUP(INDIRECT(ADDRESS(2,COLUMN())),OFFSET($BN$2,0,0,ROW()-1,60),ROW()-1,FALSE))</f>
        <v/>
      </c>
      <c r="M338" t="str">
        <f ca="1">IF(AND(ISNUMBER($M$839),$B$511=1),$M$839,HLOOKUP(INDIRECT(ADDRESS(2,COLUMN())),OFFSET($BN$2,0,0,ROW()-1,60),ROW()-1,FALSE))</f>
        <v/>
      </c>
      <c r="N338" t="str">
        <f ca="1">IF(AND(ISNUMBER($N$839),$B$511=1),$N$839,HLOOKUP(INDIRECT(ADDRESS(2,COLUMN())),OFFSET($BN$2,0,0,ROW()-1,60),ROW()-1,FALSE))</f>
        <v/>
      </c>
      <c r="O338" t="str">
        <f ca="1">IF(AND(ISNUMBER($O$839),$B$511=1),$O$839,HLOOKUP(INDIRECT(ADDRESS(2,COLUMN())),OFFSET($BN$2,0,0,ROW()-1,60),ROW()-1,FALSE))</f>
        <v/>
      </c>
      <c r="P338" t="str">
        <f ca="1">IF(AND(ISNUMBER($P$839),$B$511=1),$P$839,HLOOKUP(INDIRECT(ADDRESS(2,COLUMN())),OFFSET($BN$2,0,0,ROW()-1,60),ROW()-1,FALSE))</f>
        <v/>
      </c>
      <c r="Q338" t="str">
        <f ca="1">IF(AND(ISNUMBER($Q$839),$B$511=1),$Q$839,HLOOKUP(INDIRECT(ADDRESS(2,COLUMN())),OFFSET($BN$2,0,0,ROW()-1,60),ROW()-1,FALSE))</f>
        <v/>
      </c>
      <c r="R338" t="str">
        <f ca="1">IF(AND(ISNUMBER($R$839),$B$511=1),$R$839,HLOOKUP(INDIRECT(ADDRESS(2,COLUMN())),OFFSET($BN$2,0,0,ROW()-1,60),ROW()-1,FALSE))</f>
        <v/>
      </c>
      <c r="S338" t="str">
        <f ca="1">IF(AND(ISNUMBER($S$839),$B$511=1),$S$839,HLOOKUP(INDIRECT(ADDRESS(2,COLUMN())),OFFSET($BN$2,0,0,ROW()-1,60),ROW()-1,FALSE))</f>
        <v/>
      </c>
      <c r="T338" t="str">
        <f ca="1">IF(AND(ISNUMBER($T$839),$B$511=1),$T$839,HLOOKUP(INDIRECT(ADDRESS(2,COLUMN())),OFFSET($BN$2,0,0,ROW()-1,60),ROW()-1,FALSE))</f>
        <v/>
      </c>
      <c r="U338" t="str">
        <f ca="1">IF(AND(ISNUMBER($U$839),$B$511=1),$U$839,HLOOKUP(INDIRECT(ADDRESS(2,COLUMN())),OFFSET($BN$2,0,0,ROW()-1,60),ROW()-1,FALSE))</f>
        <v/>
      </c>
      <c r="V338" t="str">
        <f ca="1">IF(AND(ISNUMBER($V$839),$B$511=1),$V$839,HLOOKUP(INDIRECT(ADDRESS(2,COLUMN())),OFFSET($BN$2,0,0,ROW()-1,60),ROW()-1,FALSE))</f>
        <v/>
      </c>
      <c r="W338" t="str">
        <f ca="1">IF(AND(ISNUMBER($W$839),$B$511=1),$W$839,HLOOKUP(INDIRECT(ADDRESS(2,COLUMN())),OFFSET($BN$2,0,0,ROW()-1,60),ROW()-1,FALSE))</f>
        <v/>
      </c>
      <c r="X338" t="str">
        <f ca="1">IF(AND(ISNUMBER($X$839),$B$511=1),$X$839,HLOOKUP(INDIRECT(ADDRESS(2,COLUMN())),OFFSET($BN$2,0,0,ROW()-1,60),ROW()-1,FALSE))</f>
        <v/>
      </c>
      <c r="Y338" t="str">
        <f ca="1">IF(AND(ISNUMBER($Y$839),$B$511=1),$Y$839,HLOOKUP(INDIRECT(ADDRESS(2,COLUMN())),OFFSET($BN$2,0,0,ROW()-1,60),ROW()-1,FALSE))</f>
        <v/>
      </c>
      <c r="Z338" t="str">
        <f ca="1">IF(AND(ISNUMBER($Z$839),$B$511=1),$Z$839,HLOOKUP(INDIRECT(ADDRESS(2,COLUMN())),OFFSET($BN$2,0,0,ROW()-1,60),ROW()-1,FALSE))</f>
        <v/>
      </c>
      <c r="AA338" t="str">
        <f ca="1">IF(AND(ISNUMBER($AA$839),$B$511=1),$AA$839,HLOOKUP(INDIRECT(ADDRESS(2,COLUMN())),OFFSET($BN$2,0,0,ROW()-1,60),ROW()-1,FALSE))</f>
        <v/>
      </c>
      <c r="AB338" t="str">
        <f ca="1">IF(AND(ISNUMBER($AB$839),$B$511=1),$AB$839,HLOOKUP(INDIRECT(ADDRESS(2,COLUMN())),OFFSET($BN$2,0,0,ROW()-1,60),ROW()-1,FALSE))</f>
        <v/>
      </c>
      <c r="AC338" t="str">
        <f ca="1">IF(AND(ISNUMBER($AC$839),$B$511=1),$AC$839,HLOOKUP(INDIRECT(ADDRESS(2,COLUMN())),OFFSET($BN$2,0,0,ROW()-1,60),ROW()-1,FALSE))</f>
        <v/>
      </c>
      <c r="AD338" t="str">
        <f ca="1">IF(AND(ISNUMBER($AD$839),$B$511=1),$AD$839,HLOOKUP(INDIRECT(ADDRESS(2,COLUMN())),OFFSET($BN$2,0,0,ROW()-1,60),ROW()-1,FALSE))</f>
        <v/>
      </c>
      <c r="AE338" t="str">
        <f ca="1">IF(AND(ISNUMBER($AE$839),$B$511=1),$AE$839,HLOOKUP(INDIRECT(ADDRESS(2,COLUMN())),OFFSET($BN$2,0,0,ROW()-1,60),ROW()-1,FALSE))</f>
        <v/>
      </c>
      <c r="AF338" t="str">
        <f ca="1">IF(AND(ISNUMBER($AF$839),$B$511=1),$AF$839,HLOOKUP(INDIRECT(ADDRESS(2,COLUMN())),OFFSET($BN$2,0,0,ROW()-1,60),ROW()-1,FALSE))</f>
        <v/>
      </c>
      <c r="AG338" t="str">
        <f ca="1">IF(AND(ISNUMBER($AG$839),$B$511=1),$AG$839,HLOOKUP(INDIRECT(ADDRESS(2,COLUMN())),OFFSET($BN$2,0,0,ROW()-1,60),ROW()-1,FALSE))</f>
        <v/>
      </c>
      <c r="AH338" t="str">
        <f ca="1">IF(AND(ISNUMBER($AH$839),$B$511=1),$AH$839,HLOOKUP(INDIRECT(ADDRESS(2,COLUMN())),OFFSET($BN$2,0,0,ROW()-1,60),ROW()-1,FALSE))</f>
        <v/>
      </c>
      <c r="AI338" t="str">
        <f ca="1">IF(AND(ISNUMBER($AI$839),$B$511=1),$AI$839,HLOOKUP(INDIRECT(ADDRESS(2,COLUMN())),OFFSET($BN$2,0,0,ROW()-1,60),ROW()-1,FALSE))</f>
        <v/>
      </c>
      <c r="AJ338" t="str">
        <f ca="1">IF(AND(ISNUMBER($AJ$839),$B$511=1),$AJ$839,HLOOKUP(INDIRECT(ADDRESS(2,COLUMN())),OFFSET($BN$2,0,0,ROW()-1,60),ROW()-1,FALSE))</f>
        <v/>
      </c>
      <c r="AK338" t="str">
        <f ca="1">IF(AND(ISNUMBER($AK$839),$B$511=1),$AK$839,HLOOKUP(INDIRECT(ADDRESS(2,COLUMN())),OFFSET($BN$2,0,0,ROW()-1,60),ROW()-1,FALSE))</f>
        <v/>
      </c>
      <c r="AL338">
        <f ca="1">IF(AND(ISNUMBER($AL$839),$B$511=1),$AL$839,HLOOKUP(INDIRECT(ADDRESS(2,COLUMN())),OFFSET($BN$2,0,0,ROW()-1,60),ROW()-1,FALSE))</f>
        <v>-84.834108979999996</v>
      </c>
      <c r="AM338">
        <f ca="1">IF(AND(ISNUMBER($AM$839),$B$511=1),$AM$839,HLOOKUP(INDIRECT(ADDRESS(2,COLUMN())),OFFSET($BN$2,0,0,ROW()-1,60),ROW()-1,FALSE))</f>
        <v>-82.821503890000002</v>
      </c>
      <c r="AN338">
        <f ca="1">IF(AND(ISNUMBER($AN$839),$B$511=1),$AN$839,HLOOKUP(INDIRECT(ADDRESS(2,COLUMN())),OFFSET($BN$2,0,0,ROW()-1,60),ROW()-1,FALSE))</f>
        <v>-57.193682039999999</v>
      </c>
      <c r="AO338">
        <f ca="1">IF(AND(ISNUMBER($AO$839),$B$511=1),$AO$839,HLOOKUP(INDIRECT(ADDRESS(2,COLUMN())),OFFSET($BN$2,0,0,ROW()-1,60),ROW()-1,FALSE))</f>
        <v>-55.933360149999999</v>
      </c>
      <c r="AP338">
        <f ca="1">IF(AND(ISNUMBER($AP$839),$B$511=1),$AP$839,HLOOKUP(INDIRECT(ADDRESS(2,COLUMN())),OFFSET($BN$2,0,0,ROW()-1,60),ROW()-1,FALSE))</f>
        <v>-45.988637509999997</v>
      </c>
      <c r="AQ338">
        <f ca="1">IF(AND(ISNUMBER($AQ$839),$B$511=1),$AQ$839,HLOOKUP(INDIRECT(ADDRESS(2,COLUMN())),OFFSET($BN$2,0,0,ROW()-1,60),ROW()-1,FALSE))</f>
        <v>-45.635664970000001</v>
      </c>
      <c r="AR338">
        <f ca="1">IF(AND(ISNUMBER($AR$839),$B$511=1),$AR$839,HLOOKUP(INDIRECT(ADDRESS(2,COLUMN())),OFFSET($BN$2,0,0,ROW()-1,60),ROW()-1,FALSE))</f>
        <v>-53.86093632</v>
      </c>
      <c r="AS338">
        <f ca="1">IF(AND(ISNUMBER($AS$839),$B$511=1),$AS$839,HLOOKUP(INDIRECT(ADDRESS(2,COLUMN())),OFFSET($BN$2,0,0,ROW()-1,60),ROW()-1,FALSE))</f>
        <v>-52.048523580000001</v>
      </c>
      <c r="AT338">
        <f ca="1">IF(AND(ISNUMBER($AT$839),$B$511=1),$AT$839,HLOOKUP(INDIRECT(ADDRESS(2,COLUMN())),OFFSET($BN$2,0,0,ROW()-1,60),ROW()-1,FALSE))</f>
        <v>-72.460575890000001</v>
      </c>
      <c r="AU338">
        <f ca="1">IF(AND(ISNUMBER($AU$839),$B$511=1),$AU$839,HLOOKUP(INDIRECT(ADDRESS(2,COLUMN())),OFFSET($BN$2,0,0,ROW()-1,60),ROW()-1,FALSE))</f>
        <v>-70.347405190000003</v>
      </c>
      <c r="AV338">
        <f ca="1">IF(AND(ISNUMBER($AV$839),$B$511=1),$AV$839,HLOOKUP(INDIRECT(ADDRESS(2,COLUMN())),OFFSET($BN$2,0,0,ROW()-1,60),ROW()-1,FALSE))</f>
        <v>-67.465068709999997</v>
      </c>
      <c r="AW338">
        <f ca="1">IF(AND(ISNUMBER($AW$839),$B$511=1),$AW$839,HLOOKUP(INDIRECT(ADDRESS(2,COLUMN())),OFFSET($BN$2,0,0,ROW()-1,60),ROW()-1,FALSE))</f>
        <v>-66.017075660000003</v>
      </c>
      <c r="AX338">
        <f ca="1">IF(AND(ISNUMBER($AX$839),$B$511=1),$AX$839,HLOOKUP(INDIRECT(ADDRESS(2,COLUMN())),OFFSET($BN$2,0,0,ROW()-1,60),ROW()-1,FALSE))</f>
        <v>-59.976834770000004</v>
      </c>
      <c r="AY338">
        <f ca="1">IF(AND(ISNUMBER($AY$839),$B$511=1),$AY$839,HLOOKUP(INDIRECT(ADDRESS(2,COLUMN())),OFFSET($BN$2,0,0,ROW()-1,60),ROW()-1,FALSE))</f>
        <v>-58.060699730000003</v>
      </c>
      <c r="AZ338">
        <f ca="1">IF(AND(ISNUMBER($AZ$839),$B$511=1),$AZ$839,HLOOKUP(INDIRECT(ADDRESS(2,COLUMN())),OFFSET($BN$2,0,0,ROW()-1,60),ROW()-1,FALSE))</f>
        <v>-53.864740400000002</v>
      </c>
      <c r="BA338">
        <f ca="1">IF(AND(ISNUMBER($BA$839),$B$511=1),$BA$839,HLOOKUP(INDIRECT(ADDRESS(2,COLUMN())),OFFSET($BN$2,0,0,ROW()-1,60),ROW()-1,FALSE))</f>
        <v>-54.034948350000001</v>
      </c>
      <c r="BB338">
        <f ca="1">IF(AND(ISNUMBER($BB$839),$B$511=1),$BB$839,HLOOKUP(INDIRECT(ADDRESS(2,COLUMN())),OFFSET($BN$2,0,0,ROW()-1,60),ROW()-1,FALSE))</f>
        <v>-47.488517729999998</v>
      </c>
      <c r="BC338">
        <f ca="1">IF(AND(ISNUMBER($BC$839),$B$511=1),$BC$839,HLOOKUP(INDIRECT(ADDRESS(2,COLUMN())),OFFSET($BN$2,0,0,ROW()-1,60),ROW()-1,FALSE))</f>
        <v>-47.734161589999999</v>
      </c>
      <c r="BD338">
        <f ca="1">IF(AND(ISNUMBER($BD$839),$B$511=1),$BD$839,HLOOKUP(INDIRECT(ADDRESS(2,COLUMN())),OFFSET($BN$2,0,0,ROW()-1,60),ROW()-1,FALSE))</f>
        <v>-44.110679830000002</v>
      </c>
      <c r="BE338">
        <f ca="1">IF(AND(ISNUMBER($BE$839),$B$511=1),$BE$839,HLOOKUP(INDIRECT(ADDRESS(2,COLUMN())),OFFSET($BN$2,0,0,ROW()-1,60),ROW()-1,FALSE))</f>
        <v>-44.616209339999997</v>
      </c>
      <c r="BF338">
        <f ca="1">IF(AND(ISNUMBER($BF$839),$B$511=1),$BF$839,HLOOKUP(INDIRECT(ADDRESS(2,COLUMN())),OFFSET($BN$2,0,0,ROW()-1,60),ROW()-1,FALSE))</f>
        <v>-41.54314866</v>
      </c>
      <c r="BG338" t="str">
        <f ca="1">IF(AND(ISNUMBER($BG$839),$B$511=1),$BG$839,HLOOKUP(INDIRECT(ADDRESS(2,COLUMN())),OFFSET($BN$2,0,0,ROW()-1,60),ROW()-1,FALSE))</f>
        <v/>
      </c>
      <c r="BH338" t="str">
        <f ca="1">IF(AND(ISNUMBER($BH$839),$B$511=1),$BH$839,HLOOKUP(INDIRECT(ADDRESS(2,COLUMN())),OFFSET($BN$2,0,0,ROW()-1,60),ROW()-1,FALSE))</f>
        <v/>
      </c>
      <c r="BI338" t="str">
        <f ca="1">IF(AND(ISNUMBER($BI$839),$B$511=1),$BI$839,HLOOKUP(INDIRECT(ADDRESS(2,COLUMN())),OFFSET($BN$2,0,0,ROW()-1,60),ROW()-1,FALSE))</f>
        <v/>
      </c>
      <c r="BJ338" t="str">
        <f ca="1">IF(AND(ISNUMBER($BJ$839),$B$511=1),$BJ$839,HLOOKUP(INDIRECT(ADDRESS(2,COLUMN())),OFFSET($BN$2,0,0,ROW()-1,60),ROW()-1,FALSE))</f>
        <v/>
      </c>
      <c r="BK338" t="str">
        <f ca="1">IF(AND(ISNUMBER($BK$839),$B$511=1),$BK$839,HLOOKUP(INDIRECT(ADDRESS(2,COLUMN())),OFFSET($BN$2,0,0,ROW()-1,60),ROW()-1,FALSE))</f>
        <v/>
      </c>
      <c r="BL338" t="str">
        <f ca="1">IF(AND(ISNUMBER($BL$839),$B$511=1),$BL$839,HLOOKUP(INDIRECT(ADDRESS(2,COLUMN())),OFFSET($BN$2,0,0,ROW()-1,60),ROW()-1,FALSE))</f>
        <v/>
      </c>
      <c r="BM338" t="str">
        <f ca="1">IF(AND(ISNUMBER($BM$839),$B$511=1),$BM$839,HLOOKUP(INDIRECT(ADDRESS(2,COLUMN())),OFFSET($BN$2,0,0,ROW()-1,60),ROW()-1,FALSE))</f>
        <v/>
      </c>
      <c r="BN338" t="str">
        <f>""</f>
        <v/>
      </c>
      <c r="BO338" t="str">
        <f>""</f>
        <v/>
      </c>
      <c r="BP338" t="str">
        <f>""</f>
        <v/>
      </c>
      <c r="BQ338" t="str">
        <f>""</f>
        <v/>
      </c>
      <c r="BR338" t="str">
        <f>""</f>
        <v/>
      </c>
      <c r="BS338" t="str">
        <f>""</f>
        <v/>
      </c>
      <c r="BT338" t="str">
        <f>""</f>
        <v/>
      </c>
      <c r="BU338" t="str">
        <f>""</f>
        <v/>
      </c>
      <c r="BV338" t="str">
        <f>""</f>
        <v/>
      </c>
      <c r="BW338" t="str">
        <f>""</f>
        <v/>
      </c>
      <c r="BX338" t="str">
        <f>""</f>
        <v/>
      </c>
      <c r="BY338" t="str">
        <f>""</f>
        <v/>
      </c>
      <c r="BZ338" t="str">
        <f>""</f>
        <v/>
      </c>
      <c r="CA338" t="str">
        <f>""</f>
        <v/>
      </c>
      <c r="CB338" t="str">
        <f>""</f>
        <v/>
      </c>
      <c r="CC338" t="str">
        <f>""</f>
        <v/>
      </c>
      <c r="CD338" t="str">
        <f>""</f>
        <v/>
      </c>
      <c r="CE338" t="str">
        <f>""</f>
        <v/>
      </c>
      <c r="CF338" t="str">
        <f>""</f>
        <v/>
      </c>
      <c r="CG338" t="str">
        <f>""</f>
        <v/>
      </c>
      <c r="CH338" t="str">
        <f>""</f>
        <v/>
      </c>
      <c r="CI338" t="str">
        <f>""</f>
        <v/>
      </c>
      <c r="CJ338" t="str">
        <f>""</f>
        <v/>
      </c>
      <c r="CK338" t="str">
        <f>""</f>
        <v/>
      </c>
      <c r="CL338" t="str">
        <f>""</f>
        <v/>
      </c>
      <c r="CM338" t="str">
        <f>""</f>
        <v/>
      </c>
      <c r="CN338" t="str">
        <f>""</f>
        <v/>
      </c>
      <c r="CO338" t="str">
        <f>""</f>
        <v/>
      </c>
      <c r="CP338" t="str">
        <f>""</f>
        <v/>
      </c>
      <c r="CQ338" t="str">
        <f>""</f>
        <v/>
      </c>
      <c r="CR338" t="str">
        <f>""</f>
        <v/>
      </c>
      <c r="CS338" t="str">
        <f>""</f>
        <v/>
      </c>
      <c r="CT338">
        <f>-84.83410898</f>
        <v>-84.834108979999996</v>
      </c>
      <c r="CU338">
        <f>-82.82150389</f>
        <v>-82.821503890000002</v>
      </c>
      <c r="CV338">
        <f>-57.19368204</f>
        <v>-57.193682039999999</v>
      </c>
      <c r="CW338">
        <f>-55.93336015</f>
        <v>-55.933360149999999</v>
      </c>
      <c r="CX338">
        <f>-45.98863751</f>
        <v>-45.988637509999997</v>
      </c>
      <c r="CY338">
        <f>-45.63566497</f>
        <v>-45.635664970000001</v>
      </c>
      <c r="CZ338">
        <f>-53.86093632</f>
        <v>-53.86093632</v>
      </c>
      <c r="DA338">
        <f>-52.04852358</f>
        <v>-52.048523580000001</v>
      </c>
      <c r="DB338">
        <f>-72.46057589</f>
        <v>-72.460575890000001</v>
      </c>
      <c r="DC338">
        <f>-70.34740519</f>
        <v>-70.347405190000003</v>
      </c>
      <c r="DD338">
        <f>-67.46506871</f>
        <v>-67.465068709999997</v>
      </c>
      <c r="DE338">
        <f>-66.01707566</f>
        <v>-66.017075660000003</v>
      </c>
      <c r="DF338">
        <f>-59.97683477</f>
        <v>-59.976834770000004</v>
      </c>
      <c r="DG338">
        <f>-58.06069973</f>
        <v>-58.060699730000003</v>
      </c>
      <c r="DH338">
        <f>-53.8647404</f>
        <v>-53.864740400000002</v>
      </c>
      <c r="DI338">
        <f>-54.03494835</f>
        <v>-54.034948350000001</v>
      </c>
      <c r="DJ338">
        <f>-47.48851773</f>
        <v>-47.488517729999998</v>
      </c>
      <c r="DK338">
        <f>-47.73416159</f>
        <v>-47.734161589999999</v>
      </c>
      <c r="DL338">
        <f>-44.11067983</f>
        <v>-44.110679830000002</v>
      </c>
      <c r="DM338">
        <f>-44.61620934</f>
        <v>-44.616209339999997</v>
      </c>
      <c r="DN338">
        <f>-41.54314866</f>
        <v>-41.54314866</v>
      </c>
      <c r="DO338" t="str">
        <f>""</f>
        <v/>
      </c>
      <c r="DP338" t="str">
        <f>""</f>
        <v/>
      </c>
      <c r="DQ338" t="str">
        <f>""</f>
        <v/>
      </c>
      <c r="DR338" t="str">
        <f>""</f>
        <v/>
      </c>
      <c r="DS338" t="str">
        <f>""</f>
        <v/>
      </c>
      <c r="DT338" t="str">
        <f>""</f>
        <v/>
      </c>
      <c r="DU338" t="str">
        <f>""</f>
        <v/>
      </c>
    </row>
    <row r="339" spans="1:125" x14ac:dyDescent="0.25">
      <c r="A339" t="str">
        <f>"    Daimler AG"</f>
        <v xml:space="preserve">    Daimler AG</v>
      </c>
      <c r="B339" t="str">
        <f>"DAI GR Equity"</f>
        <v>DAI GR Equity</v>
      </c>
      <c r="C339" t="str">
        <f t="shared" si="24"/>
        <v>RX530</v>
      </c>
      <c r="D339" t="str">
        <f t="shared" si="25"/>
        <v>T12M_DVDS_PAID</v>
      </c>
      <c r="E339" t="str">
        <f t="shared" si="26"/>
        <v>Dynamic</v>
      </c>
      <c r="F339" t="str">
        <f ca="1">IF(AND(ISNUMBER($F$840),$B$511=1),$F$840,HLOOKUP(INDIRECT(ADDRESS(2,COLUMN())),OFFSET($BN$2,0,0,ROW()-1,60),ROW()-1,FALSE))</f>
        <v/>
      </c>
      <c r="G339">
        <f ca="1">IF(AND(ISNUMBER($G$840),$B$511=1),$G$840,HLOOKUP(INDIRECT(ADDRESS(2,COLUMN())),OFFSET($BN$2,0,0,ROW()-1,60),ROW()-1,FALSE))</f>
        <v>-4612.2904019999996</v>
      </c>
      <c r="H339">
        <f ca="1">IF(AND(ISNUMBER($H$840),$B$511=1),$H$840,HLOOKUP(INDIRECT(ADDRESS(2,COLUMN())),OFFSET($BN$2,0,0,ROW()-1,60),ROW()-1,FALSE))</f>
        <v>-4648.6713540000001</v>
      </c>
      <c r="I339">
        <f ca="1">IF(AND(ISNUMBER($I$840),$B$511=1),$I$840,HLOOKUP(INDIRECT(ADDRESS(2,COLUMN())),OFFSET($BN$2,0,0,ROW()-1,60),ROW()-1,FALSE))</f>
        <v>-4660.4395219999997</v>
      </c>
      <c r="J339">
        <f ca="1">IF(AND(ISNUMBER($J$840),$B$511=1),$J$840,HLOOKUP(INDIRECT(ADDRESS(2,COLUMN())),OFFSET($BN$2,0,0,ROW()-1,60),ROW()-1,FALSE))</f>
        <v>-4070.4071530000001</v>
      </c>
      <c r="K339">
        <f ca="1">IF(AND(ISNUMBER($K$840),$B$511=1),$K$840,HLOOKUP(INDIRECT(ADDRESS(2,COLUMN())),OFFSET($BN$2,0,0,ROW()-1,60),ROW()-1,FALSE))</f>
        <v>-3928.0409199999999</v>
      </c>
      <c r="L339">
        <f ca="1">IF(AND(ISNUMBER($L$840),$B$511=1),$L$840,HLOOKUP(INDIRECT(ADDRESS(2,COLUMN())),OFFSET($BN$2,0,0,ROW()-1,60),ROW()-1,FALSE))</f>
        <v>-3841.3214640000001</v>
      </c>
      <c r="M339">
        <f ca="1">IF(AND(ISNUMBER($M$840),$B$511=1),$M$840,HLOOKUP(INDIRECT(ADDRESS(2,COLUMN())),OFFSET($BN$2,0,0,ROW()-1,60),ROW()-1,FALSE))</f>
        <v>-3790.616141</v>
      </c>
      <c r="N339">
        <f ca="1">IF(AND(ISNUMBER($N$840),$B$511=1),$N$840,HLOOKUP(INDIRECT(ADDRESS(2,COLUMN())),OFFSET($BN$2,0,0,ROW()-1,60),ROW()-1,FALSE))</f>
        <v>-3815.3136319999999</v>
      </c>
      <c r="O339">
        <f ca="1">IF(AND(ISNUMBER($O$840),$B$511=1),$O$840,HLOOKUP(INDIRECT(ADDRESS(2,COLUMN())),OFFSET($BN$2,0,0,ROW()-1,60),ROW()-1,FALSE))</f>
        <v>-3848.4433140000001</v>
      </c>
      <c r="P339">
        <f ca="1">IF(AND(ISNUMBER($P$840),$B$511=1),$P$840,HLOOKUP(INDIRECT(ADDRESS(2,COLUMN())),OFFSET($BN$2,0,0,ROW()-1,60),ROW()-1,FALSE))</f>
        <v>-3863.1129540000002</v>
      </c>
      <c r="Q339">
        <f ca="1">IF(AND(ISNUMBER($Q$840),$B$511=1),$Q$840,HLOOKUP(INDIRECT(ADDRESS(2,COLUMN())),OFFSET($BN$2,0,0,ROW()-1,60),ROW()-1,FALSE))</f>
        <v>-3859.4130009999999</v>
      </c>
      <c r="R339">
        <f ca="1">IF(AND(ISNUMBER($R$840),$B$511=1),$R$840,HLOOKUP(INDIRECT(ADDRESS(2,COLUMN())),OFFSET($BN$2,0,0,ROW()-1,60),ROW()-1,FALSE))</f>
        <v>-2894.4973479999999</v>
      </c>
      <c r="S339">
        <f ca="1">IF(AND(ISNUMBER($S$840),$B$511=1),$S$840,HLOOKUP(INDIRECT(ADDRESS(2,COLUMN())),OFFSET($BN$2,0,0,ROW()-1,60),ROW()-1,FALSE))</f>
        <v>-2909.3116570000002</v>
      </c>
      <c r="T339">
        <f ca="1">IF(AND(ISNUMBER($T$840),$B$511=1),$T$840,HLOOKUP(INDIRECT(ADDRESS(2,COLUMN())),OFFSET($BN$2,0,0,ROW()-1,60),ROW()-1,FALSE))</f>
        <v>-3011.0938740000001</v>
      </c>
      <c r="U339">
        <f ca="1">IF(AND(ISNUMBER($U$840),$B$511=1),$U$840,HLOOKUP(INDIRECT(ADDRESS(2,COLUMN())),OFFSET($BN$2,0,0,ROW()-1,60),ROW()-1,FALSE))</f>
        <v>-3152.4822629999999</v>
      </c>
      <c r="V339">
        <f ca="1">IF(AND(ISNUMBER($V$840),$B$511=1),$V$840,HLOOKUP(INDIRECT(ADDRESS(2,COLUMN())),OFFSET($BN$2,0,0,ROW()-1,60),ROW()-1,FALSE))</f>
        <v>-3053.7003559999998</v>
      </c>
      <c r="W339">
        <f ca="1">IF(AND(ISNUMBER($W$840),$B$511=1),$W$840,HLOOKUP(INDIRECT(ADDRESS(2,COLUMN())),OFFSET($BN$2,0,0,ROW()-1,60),ROW()-1,FALSE))</f>
        <v>-3197.665332</v>
      </c>
      <c r="X339">
        <f ca="1">IF(AND(ISNUMBER($X$840),$B$511=1),$X$840,HLOOKUP(INDIRECT(ADDRESS(2,COLUMN())),OFFSET($BN$2,0,0,ROW()-1,60),ROW()-1,FALSE))</f>
        <v>-3266.3238999999999</v>
      </c>
      <c r="Y339">
        <f ca="1">IF(AND(ISNUMBER($Y$840),$B$511=1),$Y$840,HLOOKUP(INDIRECT(ADDRESS(2,COLUMN())),OFFSET($BN$2,0,0,ROW()-1,60),ROW()-1,FALSE))</f>
        <v>-3265.9425150000002</v>
      </c>
      <c r="Z339">
        <f ca="1">IF(AND(ISNUMBER($Z$840),$B$511=1),$Z$840,HLOOKUP(INDIRECT(ADDRESS(2,COLUMN())),OFFSET($BN$2,0,0,ROW()-1,60),ROW()-1,FALSE))</f>
        <v>-3149.0918999999999</v>
      </c>
      <c r="AA339">
        <f ca="1">IF(AND(ISNUMBER($AA$840),$B$511=1),$AA$840,HLOOKUP(INDIRECT(ADDRESS(2,COLUMN())),OFFSET($BN$2,0,0,ROW()-1,60),ROW()-1,FALSE))</f>
        <v>-3120.2035649999998</v>
      </c>
      <c r="AB339">
        <f ca="1">IF(AND(ISNUMBER($AB$840),$B$511=1),$AB$840,HLOOKUP(INDIRECT(ADDRESS(2,COLUMN())),OFFSET($BN$2,0,0,ROW()-1,60),ROW()-1,FALSE))</f>
        <v>-3082.1800499999999</v>
      </c>
      <c r="AC339">
        <f ca="1">IF(AND(ISNUMBER($AC$840),$B$511=1),$AC$840,HLOOKUP(INDIRECT(ADDRESS(2,COLUMN())),OFFSET($BN$2,0,0,ROW()-1,60),ROW()-1,FALSE))</f>
        <v>-3038.806482</v>
      </c>
      <c r="AD339">
        <f ca="1">IF(AND(ISNUMBER($AD$840),$B$511=1),$AD$840,HLOOKUP(INDIRECT(ADDRESS(2,COLUMN())),OFFSET($BN$2,0,0,ROW()-1,60),ROW()-1,FALSE))</f>
        <v>-3021.42301</v>
      </c>
      <c r="AE339">
        <f ca="1">IF(AND(ISNUMBER($AE$840),$B$511=1),$AE$840,HLOOKUP(INDIRECT(ADDRESS(2,COLUMN())),OFFSET($BN$2,0,0,ROW()-1,60),ROW()-1,FALSE))</f>
        <v>-3016.6535819999999</v>
      </c>
      <c r="AF339">
        <f ca="1">IF(AND(ISNUMBER($AF$840),$B$511=1),$AF$840,HLOOKUP(INDIRECT(ADDRESS(2,COLUMN())),OFFSET($BN$2,0,0,ROW()-1,60),ROW()-1,FALSE))</f>
        <v>-3045.863773</v>
      </c>
      <c r="AG339">
        <f ca="1">IF(AND(ISNUMBER($AG$840),$B$511=1),$AG$840,HLOOKUP(INDIRECT(ADDRESS(2,COLUMN())),OFFSET($BN$2,0,0,ROW()-1,60),ROW()-1,FALSE))</f>
        <v>-3141.373818</v>
      </c>
      <c r="AH339">
        <f ca="1">IF(AND(ISNUMBER($AH$840),$B$511=1),$AH$840,HLOOKUP(INDIRECT(ADDRESS(2,COLUMN())),OFFSET($BN$2,0,0,ROW()-1,60),ROW()-1,FALSE))</f>
        <v>-2715.9975979999999</v>
      </c>
      <c r="AI339">
        <f ca="1">IF(AND(ISNUMBER($AI$840),$B$511=1),$AI$840,HLOOKUP(INDIRECT(ADDRESS(2,COLUMN())),OFFSET($BN$2,0,0,ROW()-1,60),ROW()-1,FALSE))</f>
        <v>-2744.4246069999999</v>
      </c>
      <c r="AJ339">
        <f ca="1">IF(AND(ISNUMBER($AJ$840),$B$511=1),$AJ$840,HLOOKUP(INDIRECT(ADDRESS(2,COLUMN())),OFFSET($BN$2,0,0,ROW()-1,60),ROW()-1,FALSE))</f>
        <v>-2760.2480860000001</v>
      </c>
      <c r="AK339">
        <f ca="1">IF(AND(ISNUMBER($AK$840),$B$511=1),$AK$840,HLOOKUP(INDIRECT(ADDRESS(2,COLUMN())),OFFSET($BN$2,0,0,ROW()-1,60),ROW()-1,FALSE))</f>
        <v>-2704.2635059999998</v>
      </c>
      <c r="AL339">
        <f ca="1">IF(AND(ISNUMBER($AL$840),$B$511=1),$AL$840,HLOOKUP(INDIRECT(ADDRESS(2,COLUMN())),OFFSET($BN$2,0,0,ROW()-1,60),ROW()-1,FALSE))</f>
        <v>-93.932461380000007</v>
      </c>
      <c r="AM339">
        <f ca="1">IF(AND(ISNUMBER($AM$840),$B$511=1),$AM$840,HLOOKUP(INDIRECT(ADDRESS(2,COLUMN())),OFFSET($BN$2,0,0,ROW()-1,60),ROW()-1,FALSE))</f>
        <v>-123.3748351</v>
      </c>
      <c r="AN339">
        <f ca="1">IF(AND(ISNUMBER($AN$840),$B$511=1),$AN$840,HLOOKUP(INDIRECT(ADDRESS(2,COLUMN())),OFFSET($BN$2,0,0,ROW()-1,60),ROW()-1,FALSE))</f>
        <v>-164.14799500000001</v>
      </c>
      <c r="AO339">
        <f ca="1">IF(AND(ISNUMBER($AO$840),$B$511=1),$AO$840,HLOOKUP(INDIRECT(ADDRESS(2,COLUMN())),OFFSET($BN$2,0,0,ROW()-1,60),ROW()-1,FALSE))</f>
        <v>-182.28118470000001</v>
      </c>
      <c r="AP339">
        <f ca="1">IF(AND(ISNUMBER($AP$840),$B$511=1),$AP$840,HLOOKUP(INDIRECT(ADDRESS(2,COLUMN())),OFFSET($BN$2,0,0,ROW()-1,60),ROW()-1,FALSE))</f>
        <v>-938.74114299999997</v>
      </c>
      <c r="AQ339">
        <f ca="1">IF(AND(ISNUMBER($AQ$840),$B$511=1),$AQ$840,HLOOKUP(INDIRECT(ADDRESS(2,COLUMN())),OFFSET($BN$2,0,0,ROW()-1,60),ROW()-1,FALSE))</f>
        <v>-916.14490260000002</v>
      </c>
      <c r="AR339">
        <f ca="1">IF(AND(ISNUMBER($AR$840),$B$511=1),$AR$840,HLOOKUP(INDIRECT(ADDRESS(2,COLUMN())),OFFSET($BN$2,0,0,ROW()-1,60),ROW()-1,FALSE))</f>
        <v>-861.80525720000003</v>
      </c>
      <c r="AS339">
        <f ca="1">IF(AND(ISNUMBER($AS$840),$B$511=1),$AS$840,HLOOKUP(INDIRECT(ADDRESS(2,COLUMN())),OFFSET($BN$2,0,0,ROW()-1,60),ROW()-1,FALSE))</f>
        <v>-879.01012109999999</v>
      </c>
      <c r="AT339">
        <f ca="1">IF(AND(ISNUMBER($AT$840),$B$511=1),$AT$840,HLOOKUP(INDIRECT(ADDRESS(2,COLUMN())),OFFSET($BN$2,0,0,ROW()-1,60),ROW()-1,FALSE))</f>
        <v>-2894.786423</v>
      </c>
      <c r="AU339">
        <f ca="1">IF(AND(ISNUMBER($AU$840),$B$511=1),$AU$840,HLOOKUP(INDIRECT(ADDRESS(2,COLUMN())),OFFSET($BN$2,0,0,ROW()-1,60),ROW()-1,FALSE))</f>
        <v>-2971.1966050000001</v>
      </c>
      <c r="AV339">
        <f ca="1">IF(AND(ISNUMBER($AV$840),$B$511=1),$AV$840,HLOOKUP(INDIRECT(ADDRESS(2,COLUMN())),OFFSET($BN$2,0,0,ROW()-1,60),ROW()-1,FALSE))</f>
        <v>-3021.2630300000001</v>
      </c>
      <c r="AW339">
        <f ca="1">IF(AND(ISNUMBER($AW$840),$B$511=1),$AW$840,HLOOKUP(INDIRECT(ADDRESS(2,COLUMN())),OFFSET($BN$2,0,0,ROW()-1,60),ROW()-1,FALSE))</f>
        <v>-2933.276527</v>
      </c>
      <c r="AX339">
        <f ca="1">IF(AND(ISNUMBER($AX$840),$B$511=1),$AX$840,HLOOKUP(INDIRECT(ADDRESS(2,COLUMN())),OFFSET($BN$2,0,0,ROW()-1,60),ROW()-1,FALSE))</f>
        <v>-2237.1126429999999</v>
      </c>
      <c r="AY339">
        <f ca="1">IF(AND(ISNUMBER($AY$840),$B$511=1),$AY$840,HLOOKUP(INDIRECT(ADDRESS(2,COLUMN())),OFFSET($BN$2,0,0,ROW()-1,60),ROW()-1,FALSE))</f>
        <v>-2164.4906890000002</v>
      </c>
      <c r="AZ339">
        <f ca="1">IF(AND(ISNUMBER($AZ$840),$B$511=1),$AZ$840,HLOOKUP(INDIRECT(ADDRESS(2,COLUMN())),OFFSET($BN$2,0,0,ROW()-1,60),ROW()-1,FALSE))</f>
        <v>-2100.1414759999998</v>
      </c>
      <c r="BA339">
        <f ca="1">IF(AND(ISNUMBER($BA$840),$B$511=1),$BA$840,HLOOKUP(INDIRECT(ADDRESS(2,COLUMN())),OFFSET($BN$2,0,0,ROW()-1,60),ROW()-1,FALSE))</f>
        <v>-2060.6224090000001</v>
      </c>
      <c r="BB339">
        <f ca="1">IF(AND(ISNUMBER($BB$840),$B$511=1),$BB$840,HLOOKUP(INDIRECT(ADDRESS(2,COLUMN())),OFFSET($BN$2,0,0,ROW()-1,60),ROW()-1,FALSE))</f>
        <v>-1992.979922</v>
      </c>
      <c r="BC339">
        <f ca="1">IF(AND(ISNUMBER($BC$840),$B$511=1),$BC$840,HLOOKUP(INDIRECT(ADDRESS(2,COLUMN())),OFFSET($BN$2,0,0,ROW()-1,60),ROW()-1,FALSE))</f>
        <v>-1951.171161</v>
      </c>
      <c r="BD339">
        <f ca="1">IF(AND(ISNUMBER($BD$840),$B$511=1),$BD$840,HLOOKUP(INDIRECT(ADDRESS(2,COLUMN())),OFFSET($BN$2,0,0,ROW()-1,60),ROW()-1,FALSE))</f>
        <v>-1918.070369</v>
      </c>
      <c r="BE339">
        <f ca="1">IF(AND(ISNUMBER($BE$840),$B$511=1),$BE$840,HLOOKUP(INDIRECT(ADDRESS(2,COLUMN())),OFFSET($BN$2,0,0,ROW()-1,60),ROW()-1,FALSE))</f>
        <v>-1952.781043</v>
      </c>
      <c r="BF339">
        <f ca="1">IF(AND(ISNUMBER($BF$840),$B$511=1),$BF$840,HLOOKUP(INDIRECT(ADDRESS(2,COLUMN())),OFFSET($BN$2,0,0,ROW()-1,60),ROW()-1,FALSE))</f>
        <v>-1935.9902440000001</v>
      </c>
      <c r="BG339">
        <f ca="1">IF(AND(ISNUMBER($BG$840),$B$511=1),$BG$840,HLOOKUP(INDIRECT(ADDRESS(2,COLUMN())),OFFSET($BN$2,0,0,ROW()-1,60),ROW()-1,FALSE))</f>
        <v>-1979.54989</v>
      </c>
      <c r="BH339">
        <f ca="1">IF(AND(ISNUMBER($BH$840),$B$511=1),$BH$840,HLOOKUP(INDIRECT(ADDRESS(2,COLUMN())),OFFSET($BN$2,0,0,ROW()-1,60),ROW()-1,FALSE))</f>
        <v>-2047.459053</v>
      </c>
      <c r="BI339">
        <f ca="1">IF(AND(ISNUMBER($BI$840),$B$511=1),$BI$840,HLOOKUP(INDIRECT(ADDRESS(2,COLUMN())),OFFSET($BN$2,0,0,ROW()-1,60),ROW()-1,FALSE))</f>
        <v>-3947.2195299999998</v>
      </c>
      <c r="BJ339">
        <f ca="1">IF(AND(ISNUMBER($BJ$840),$B$511=1),$BJ$840,HLOOKUP(INDIRECT(ADDRESS(2,COLUMN())),OFFSET($BN$2,0,0,ROW()-1,60),ROW()-1,FALSE))</f>
        <v>-3889.3084170000002</v>
      </c>
      <c r="BK339">
        <f ca="1">IF(AND(ISNUMBER($BK$840),$B$511=1),$BK$840,HLOOKUP(INDIRECT(ADDRESS(2,COLUMN())),OFFSET($BN$2,0,0,ROW()-1,60),ROW()-1,FALSE))</f>
        <v>-3839.6536150000002</v>
      </c>
      <c r="BL339">
        <f ca="1">IF(AND(ISNUMBER($BL$840),$B$511=1),$BL$840,HLOOKUP(INDIRECT(ADDRESS(2,COLUMN())),OFFSET($BN$2,0,0,ROW()-1,60),ROW()-1,FALSE))</f>
        <v>-3744.5674260000001</v>
      </c>
      <c r="BM339">
        <f ca="1">IF(AND(ISNUMBER($BM$840),$B$511=1),$BM$840,HLOOKUP(INDIRECT(ADDRESS(2,COLUMN())),OFFSET($BN$2,0,0,ROW()-1,60),ROW()-1,FALSE))</f>
        <v>-3665.331005</v>
      </c>
      <c r="BN339" t="str">
        <f>""</f>
        <v/>
      </c>
      <c r="BO339">
        <f>-4612.290402</f>
        <v>-4612.2904019999996</v>
      </c>
      <c r="BP339">
        <f>-4648.671354</f>
        <v>-4648.6713540000001</v>
      </c>
      <c r="BQ339">
        <f>-4660.439522</f>
        <v>-4660.4395219999997</v>
      </c>
      <c r="BR339">
        <f>-4070.407153</f>
        <v>-4070.4071530000001</v>
      </c>
      <c r="BS339">
        <f>-3928.04092</f>
        <v>-3928.0409199999999</v>
      </c>
      <c r="BT339">
        <f>-3841.321464</f>
        <v>-3841.3214640000001</v>
      </c>
      <c r="BU339">
        <f>-3790.616141</f>
        <v>-3790.616141</v>
      </c>
      <c r="BV339">
        <f>-3815.313632</f>
        <v>-3815.3136319999999</v>
      </c>
      <c r="BW339">
        <f>-3848.443314</f>
        <v>-3848.4433140000001</v>
      </c>
      <c r="BX339">
        <f>-3863.112954</f>
        <v>-3863.1129540000002</v>
      </c>
      <c r="BY339">
        <f>-3859.413001</f>
        <v>-3859.4130009999999</v>
      </c>
      <c r="BZ339">
        <f>-2894.497348</f>
        <v>-2894.4973479999999</v>
      </c>
      <c r="CA339">
        <f>-2909.311657</f>
        <v>-2909.3116570000002</v>
      </c>
      <c r="CB339">
        <f>-3011.093874</f>
        <v>-3011.0938740000001</v>
      </c>
      <c r="CC339">
        <f>-3152.482263</f>
        <v>-3152.4822629999999</v>
      </c>
      <c r="CD339">
        <f>-3053.700356</f>
        <v>-3053.7003559999998</v>
      </c>
      <c r="CE339">
        <f>-3197.665332</f>
        <v>-3197.665332</v>
      </c>
      <c r="CF339">
        <f>-3266.3239</f>
        <v>-3266.3238999999999</v>
      </c>
      <c r="CG339">
        <f>-3265.942515</f>
        <v>-3265.9425150000002</v>
      </c>
      <c r="CH339">
        <f>-3149.0919</f>
        <v>-3149.0918999999999</v>
      </c>
      <c r="CI339">
        <f>-3120.203565</f>
        <v>-3120.2035649999998</v>
      </c>
      <c r="CJ339">
        <f>-3082.18005</f>
        <v>-3082.1800499999999</v>
      </c>
      <c r="CK339">
        <f>-3038.806482</f>
        <v>-3038.806482</v>
      </c>
      <c r="CL339">
        <f>-3021.42301</f>
        <v>-3021.42301</v>
      </c>
      <c r="CM339">
        <f>-3016.653582</f>
        <v>-3016.6535819999999</v>
      </c>
      <c r="CN339">
        <f>-3045.863773</f>
        <v>-3045.863773</v>
      </c>
      <c r="CO339">
        <f>-3141.373818</f>
        <v>-3141.373818</v>
      </c>
      <c r="CP339">
        <f>-2715.997598</f>
        <v>-2715.9975979999999</v>
      </c>
      <c r="CQ339">
        <f>-2744.424607</f>
        <v>-2744.4246069999999</v>
      </c>
      <c r="CR339">
        <f>-2760.248086</f>
        <v>-2760.2480860000001</v>
      </c>
      <c r="CS339">
        <f>-2704.263506</f>
        <v>-2704.2635059999998</v>
      </c>
      <c r="CT339">
        <f>-93.93246138</f>
        <v>-93.932461380000007</v>
      </c>
      <c r="CU339">
        <f>-123.3748351</f>
        <v>-123.3748351</v>
      </c>
      <c r="CV339">
        <f>-164.147995</f>
        <v>-164.14799500000001</v>
      </c>
      <c r="CW339">
        <f>-182.2811847</f>
        <v>-182.28118470000001</v>
      </c>
      <c r="CX339">
        <f>-938.741143</f>
        <v>-938.74114299999997</v>
      </c>
      <c r="CY339">
        <f>-916.1449026</f>
        <v>-916.14490260000002</v>
      </c>
      <c r="CZ339">
        <f>-861.8052572</f>
        <v>-861.80525720000003</v>
      </c>
      <c r="DA339">
        <f>-879.0101211</f>
        <v>-879.01012109999999</v>
      </c>
      <c r="DB339">
        <f>-2894.786423</f>
        <v>-2894.786423</v>
      </c>
      <c r="DC339">
        <f>-2971.196605</f>
        <v>-2971.1966050000001</v>
      </c>
      <c r="DD339">
        <f>-3021.26303</f>
        <v>-3021.2630300000001</v>
      </c>
      <c r="DE339">
        <f>-2933.276527</f>
        <v>-2933.276527</v>
      </c>
      <c r="DF339">
        <f>-2237.112643</f>
        <v>-2237.1126429999999</v>
      </c>
      <c r="DG339">
        <f>-2164.490689</f>
        <v>-2164.4906890000002</v>
      </c>
      <c r="DH339">
        <f>-2100.141476</f>
        <v>-2100.1414759999998</v>
      </c>
      <c r="DI339">
        <f>-2060.622409</f>
        <v>-2060.6224090000001</v>
      </c>
      <c r="DJ339">
        <f>-1992.979922</f>
        <v>-1992.979922</v>
      </c>
      <c r="DK339">
        <f>-1951.171161</f>
        <v>-1951.171161</v>
      </c>
      <c r="DL339">
        <f>-1918.070369</f>
        <v>-1918.070369</v>
      </c>
      <c r="DM339">
        <f>-1952.781043</f>
        <v>-1952.781043</v>
      </c>
      <c r="DN339">
        <f>-1935.990244</f>
        <v>-1935.9902440000001</v>
      </c>
      <c r="DO339">
        <f>-1979.54989</f>
        <v>-1979.54989</v>
      </c>
      <c r="DP339">
        <f>-2047.459053</f>
        <v>-2047.459053</v>
      </c>
      <c r="DQ339">
        <f>-3947.21953</f>
        <v>-3947.2195299999998</v>
      </c>
      <c r="DR339">
        <f>-3889.308417</f>
        <v>-3889.3084170000002</v>
      </c>
      <c r="DS339">
        <f>-3839.653615</f>
        <v>-3839.6536150000002</v>
      </c>
      <c r="DT339">
        <f>-3744.567426</f>
        <v>-3744.5674260000001</v>
      </c>
      <c r="DU339">
        <f>-3665.331005</f>
        <v>-3665.331005</v>
      </c>
    </row>
    <row r="340" spans="1:125" x14ac:dyDescent="0.25">
      <c r="A340" t="str">
        <f>"    Dongfeng Motor Group Co Ltd"</f>
        <v xml:space="preserve">    Dongfeng Motor Group Co Ltd</v>
      </c>
      <c r="B340" t="str">
        <f>"489 HK Equity"</f>
        <v>489 HK Equity</v>
      </c>
      <c r="C340" t="str">
        <f t="shared" si="24"/>
        <v>RX530</v>
      </c>
      <c r="D340" t="str">
        <f t="shared" si="25"/>
        <v>T12M_DVDS_PAID</v>
      </c>
      <c r="E340" t="str">
        <f t="shared" si="26"/>
        <v>Dynamic</v>
      </c>
      <c r="F340" t="str">
        <f ca="1">IF(AND(ISNUMBER($F$841),$B$511=1),$F$841,HLOOKUP(INDIRECT(ADDRESS(2,COLUMN())),OFFSET($BN$2,0,0,ROW()-1,60),ROW()-1,FALSE))</f>
        <v/>
      </c>
      <c r="G340" t="str">
        <f ca="1">IF(AND(ISNUMBER($G$841),$B$511=1),$G$841,HLOOKUP(INDIRECT(ADDRESS(2,COLUMN())),OFFSET($BN$2,0,0,ROW()-1,60),ROW()-1,FALSE))</f>
        <v/>
      </c>
      <c r="H340" t="str">
        <f ca="1">IF(AND(ISNUMBER($H$841),$B$511=1),$H$841,HLOOKUP(INDIRECT(ADDRESS(2,COLUMN())),OFFSET($BN$2,0,0,ROW()-1,60),ROW()-1,FALSE))</f>
        <v/>
      </c>
      <c r="I340" t="str">
        <f ca="1">IF(AND(ISNUMBER($I$841),$B$511=1),$I$841,HLOOKUP(INDIRECT(ADDRESS(2,COLUMN())),OFFSET($BN$2,0,0,ROW()-1,60),ROW()-1,FALSE))</f>
        <v/>
      </c>
      <c r="J340" t="str">
        <f ca="1">IF(AND(ISNUMBER($J$841),$B$511=1),$J$841,HLOOKUP(INDIRECT(ADDRESS(2,COLUMN())),OFFSET($BN$2,0,0,ROW()-1,60),ROW()-1,FALSE))</f>
        <v/>
      </c>
      <c r="K340" t="str">
        <f ca="1">IF(AND(ISNUMBER($K$841),$B$511=1),$K$841,HLOOKUP(INDIRECT(ADDRESS(2,COLUMN())),OFFSET($BN$2,0,0,ROW()-1,60),ROW()-1,FALSE))</f>
        <v/>
      </c>
      <c r="L340" t="str">
        <f ca="1">IF(AND(ISNUMBER($L$841),$B$511=1),$L$841,HLOOKUP(INDIRECT(ADDRESS(2,COLUMN())),OFFSET($BN$2,0,0,ROW()-1,60),ROW()-1,FALSE))</f>
        <v/>
      </c>
      <c r="M340" t="str">
        <f ca="1">IF(AND(ISNUMBER($M$841),$B$511=1),$M$841,HLOOKUP(INDIRECT(ADDRESS(2,COLUMN())),OFFSET($BN$2,0,0,ROW()-1,60),ROW()-1,FALSE))</f>
        <v/>
      </c>
      <c r="N340" t="str">
        <f ca="1">IF(AND(ISNUMBER($N$841),$B$511=1),$N$841,HLOOKUP(INDIRECT(ADDRESS(2,COLUMN())),OFFSET($BN$2,0,0,ROW()-1,60),ROW()-1,FALSE))</f>
        <v/>
      </c>
      <c r="O340" t="str">
        <f ca="1">IF(AND(ISNUMBER($O$841),$B$511=1),$O$841,HLOOKUP(INDIRECT(ADDRESS(2,COLUMN())),OFFSET($BN$2,0,0,ROW()-1,60),ROW()-1,FALSE))</f>
        <v/>
      </c>
      <c r="P340" t="str">
        <f ca="1">IF(AND(ISNUMBER($P$841),$B$511=1),$P$841,HLOOKUP(INDIRECT(ADDRESS(2,COLUMN())),OFFSET($BN$2,0,0,ROW()-1,60),ROW()-1,FALSE))</f>
        <v/>
      </c>
      <c r="Q340" t="str">
        <f ca="1">IF(AND(ISNUMBER($Q$841),$B$511=1),$Q$841,HLOOKUP(INDIRECT(ADDRESS(2,COLUMN())),OFFSET($BN$2,0,0,ROW()-1,60),ROW()-1,FALSE))</f>
        <v/>
      </c>
      <c r="R340" t="str">
        <f ca="1">IF(AND(ISNUMBER($R$841),$B$511=1),$R$841,HLOOKUP(INDIRECT(ADDRESS(2,COLUMN())),OFFSET($BN$2,0,0,ROW()-1,60),ROW()-1,FALSE))</f>
        <v/>
      </c>
      <c r="S340" t="str">
        <f ca="1">IF(AND(ISNUMBER($S$841),$B$511=1),$S$841,HLOOKUP(INDIRECT(ADDRESS(2,COLUMN())),OFFSET($BN$2,0,0,ROW()-1,60),ROW()-1,FALSE))</f>
        <v/>
      </c>
      <c r="T340" t="str">
        <f ca="1">IF(AND(ISNUMBER($T$841),$B$511=1),$T$841,HLOOKUP(INDIRECT(ADDRESS(2,COLUMN())),OFFSET($BN$2,0,0,ROW()-1,60),ROW()-1,FALSE))</f>
        <v/>
      </c>
      <c r="U340" t="str">
        <f ca="1">IF(AND(ISNUMBER($U$841),$B$511=1),$U$841,HLOOKUP(INDIRECT(ADDRESS(2,COLUMN())),OFFSET($BN$2,0,0,ROW()-1,60),ROW()-1,FALSE))</f>
        <v/>
      </c>
      <c r="V340" t="str">
        <f ca="1">IF(AND(ISNUMBER($V$841),$B$511=1),$V$841,HLOOKUP(INDIRECT(ADDRESS(2,COLUMN())),OFFSET($BN$2,0,0,ROW()-1,60),ROW()-1,FALSE))</f>
        <v/>
      </c>
      <c r="W340" t="str">
        <f ca="1">IF(AND(ISNUMBER($W$841),$B$511=1),$W$841,HLOOKUP(INDIRECT(ADDRESS(2,COLUMN())),OFFSET($BN$2,0,0,ROW()-1,60),ROW()-1,FALSE))</f>
        <v/>
      </c>
      <c r="X340" t="str">
        <f ca="1">IF(AND(ISNUMBER($X$841),$B$511=1),$X$841,HLOOKUP(INDIRECT(ADDRESS(2,COLUMN())),OFFSET($BN$2,0,0,ROW()-1,60),ROW()-1,FALSE))</f>
        <v/>
      </c>
      <c r="Y340" t="str">
        <f ca="1">IF(AND(ISNUMBER($Y$841),$B$511=1),$Y$841,HLOOKUP(INDIRECT(ADDRESS(2,COLUMN())),OFFSET($BN$2,0,0,ROW()-1,60),ROW()-1,FALSE))</f>
        <v/>
      </c>
      <c r="Z340" t="str">
        <f ca="1">IF(AND(ISNUMBER($Z$841),$B$511=1),$Z$841,HLOOKUP(INDIRECT(ADDRESS(2,COLUMN())),OFFSET($BN$2,0,0,ROW()-1,60),ROW()-1,FALSE))</f>
        <v/>
      </c>
      <c r="AA340" t="str">
        <f ca="1">IF(AND(ISNUMBER($AA$841),$B$511=1),$AA$841,HLOOKUP(INDIRECT(ADDRESS(2,COLUMN())),OFFSET($BN$2,0,0,ROW()-1,60),ROW()-1,FALSE))</f>
        <v/>
      </c>
      <c r="AB340" t="str">
        <f ca="1">IF(AND(ISNUMBER($AB$841),$B$511=1),$AB$841,HLOOKUP(INDIRECT(ADDRESS(2,COLUMN())),OFFSET($BN$2,0,0,ROW()-1,60),ROW()-1,FALSE))</f>
        <v/>
      </c>
      <c r="AC340" t="str">
        <f ca="1">IF(AND(ISNUMBER($AC$841),$B$511=1),$AC$841,HLOOKUP(INDIRECT(ADDRESS(2,COLUMN())),OFFSET($BN$2,0,0,ROW()-1,60),ROW()-1,FALSE))</f>
        <v/>
      </c>
      <c r="AD340" t="str">
        <f ca="1">IF(AND(ISNUMBER($AD$841),$B$511=1),$AD$841,HLOOKUP(INDIRECT(ADDRESS(2,COLUMN())),OFFSET($BN$2,0,0,ROW()-1,60),ROW()-1,FALSE))</f>
        <v/>
      </c>
      <c r="AE340" t="str">
        <f ca="1">IF(AND(ISNUMBER($AE$841),$B$511=1),$AE$841,HLOOKUP(INDIRECT(ADDRESS(2,COLUMN())),OFFSET($BN$2,0,0,ROW()-1,60),ROW()-1,FALSE))</f>
        <v/>
      </c>
      <c r="AF340" t="str">
        <f ca="1">IF(AND(ISNUMBER($AF$841),$B$511=1),$AF$841,HLOOKUP(INDIRECT(ADDRESS(2,COLUMN())),OFFSET($BN$2,0,0,ROW()-1,60),ROW()-1,FALSE))</f>
        <v/>
      </c>
      <c r="AG340" t="str">
        <f ca="1">IF(AND(ISNUMBER($AG$841),$B$511=1),$AG$841,HLOOKUP(INDIRECT(ADDRESS(2,COLUMN())),OFFSET($BN$2,0,0,ROW()-1,60),ROW()-1,FALSE))</f>
        <v/>
      </c>
      <c r="AH340" t="str">
        <f ca="1">IF(AND(ISNUMBER($AH$841),$B$511=1),$AH$841,HLOOKUP(INDIRECT(ADDRESS(2,COLUMN())),OFFSET($BN$2,0,0,ROW()-1,60),ROW()-1,FALSE))</f>
        <v/>
      </c>
      <c r="AI340" t="str">
        <f ca="1">IF(AND(ISNUMBER($AI$841),$B$511=1),$AI$841,HLOOKUP(INDIRECT(ADDRESS(2,COLUMN())),OFFSET($BN$2,0,0,ROW()-1,60),ROW()-1,FALSE))</f>
        <v/>
      </c>
      <c r="AJ340" t="str">
        <f ca="1">IF(AND(ISNUMBER($AJ$841),$B$511=1),$AJ$841,HLOOKUP(INDIRECT(ADDRESS(2,COLUMN())),OFFSET($BN$2,0,0,ROW()-1,60),ROW()-1,FALSE))</f>
        <v/>
      </c>
      <c r="AK340" t="str">
        <f ca="1">IF(AND(ISNUMBER($AK$841),$B$511=1),$AK$841,HLOOKUP(INDIRECT(ADDRESS(2,COLUMN())),OFFSET($BN$2,0,0,ROW()-1,60),ROW()-1,FALSE))</f>
        <v/>
      </c>
      <c r="AL340" t="str">
        <f ca="1">IF(AND(ISNUMBER($AL$841),$B$511=1),$AL$841,HLOOKUP(INDIRECT(ADDRESS(2,COLUMN())),OFFSET($BN$2,0,0,ROW()-1,60),ROW()-1,FALSE))</f>
        <v/>
      </c>
      <c r="AM340" t="str">
        <f ca="1">IF(AND(ISNUMBER($AM$841),$B$511=1),$AM$841,HLOOKUP(INDIRECT(ADDRESS(2,COLUMN())),OFFSET($BN$2,0,0,ROW()-1,60),ROW()-1,FALSE))</f>
        <v/>
      </c>
      <c r="AN340" t="str">
        <f ca="1">IF(AND(ISNUMBER($AN$841),$B$511=1),$AN$841,HLOOKUP(INDIRECT(ADDRESS(2,COLUMN())),OFFSET($BN$2,0,0,ROW()-1,60),ROW()-1,FALSE))</f>
        <v/>
      </c>
      <c r="AO340" t="str">
        <f ca="1">IF(AND(ISNUMBER($AO$841),$B$511=1),$AO$841,HLOOKUP(INDIRECT(ADDRESS(2,COLUMN())),OFFSET($BN$2,0,0,ROW()-1,60),ROW()-1,FALSE))</f>
        <v/>
      </c>
      <c r="AP340" t="str">
        <f ca="1">IF(AND(ISNUMBER($AP$841),$B$511=1),$AP$841,HLOOKUP(INDIRECT(ADDRESS(2,COLUMN())),OFFSET($BN$2,0,0,ROW()-1,60),ROW()-1,FALSE))</f>
        <v/>
      </c>
      <c r="AQ340" t="str">
        <f ca="1">IF(AND(ISNUMBER($AQ$841),$B$511=1),$AQ$841,HLOOKUP(INDIRECT(ADDRESS(2,COLUMN())),OFFSET($BN$2,0,0,ROW()-1,60),ROW()-1,FALSE))</f>
        <v/>
      </c>
      <c r="AR340" t="str">
        <f ca="1">IF(AND(ISNUMBER($AR$841),$B$511=1),$AR$841,HLOOKUP(INDIRECT(ADDRESS(2,COLUMN())),OFFSET($BN$2,0,0,ROW()-1,60),ROW()-1,FALSE))</f>
        <v/>
      </c>
      <c r="AS340" t="str">
        <f ca="1">IF(AND(ISNUMBER($AS$841),$B$511=1),$AS$841,HLOOKUP(INDIRECT(ADDRESS(2,COLUMN())),OFFSET($BN$2,0,0,ROW()-1,60),ROW()-1,FALSE))</f>
        <v/>
      </c>
      <c r="AT340" t="str">
        <f ca="1">IF(AND(ISNUMBER($AT$841),$B$511=1),$AT$841,HLOOKUP(INDIRECT(ADDRESS(2,COLUMN())),OFFSET($BN$2,0,0,ROW()-1,60),ROW()-1,FALSE))</f>
        <v/>
      </c>
      <c r="AU340" t="str">
        <f ca="1">IF(AND(ISNUMBER($AU$841),$B$511=1),$AU$841,HLOOKUP(INDIRECT(ADDRESS(2,COLUMN())),OFFSET($BN$2,0,0,ROW()-1,60),ROW()-1,FALSE))</f>
        <v/>
      </c>
      <c r="AV340" t="str">
        <f ca="1">IF(AND(ISNUMBER($AV$841),$B$511=1),$AV$841,HLOOKUP(INDIRECT(ADDRESS(2,COLUMN())),OFFSET($BN$2,0,0,ROW()-1,60),ROW()-1,FALSE))</f>
        <v/>
      </c>
      <c r="AW340" t="str">
        <f ca="1">IF(AND(ISNUMBER($AW$841),$B$511=1),$AW$841,HLOOKUP(INDIRECT(ADDRESS(2,COLUMN())),OFFSET($BN$2,0,0,ROW()-1,60),ROW()-1,FALSE))</f>
        <v/>
      </c>
      <c r="AX340" t="str">
        <f ca="1">IF(AND(ISNUMBER($AX$841),$B$511=1),$AX$841,HLOOKUP(INDIRECT(ADDRESS(2,COLUMN())),OFFSET($BN$2,0,0,ROW()-1,60),ROW()-1,FALSE))</f>
        <v/>
      </c>
      <c r="AY340" t="str">
        <f ca="1">IF(AND(ISNUMBER($AY$841),$B$511=1),$AY$841,HLOOKUP(INDIRECT(ADDRESS(2,COLUMN())),OFFSET($BN$2,0,0,ROW()-1,60),ROW()-1,FALSE))</f>
        <v/>
      </c>
      <c r="AZ340" t="str">
        <f ca="1">IF(AND(ISNUMBER($AZ$841),$B$511=1),$AZ$841,HLOOKUP(INDIRECT(ADDRESS(2,COLUMN())),OFFSET($BN$2,0,0,ROW()-1,60),ROW()-1,FALSE))</f>
        <v/>
      </c>
      <c r="BA340" t="str">
        <f ca="1">IF(AND(ISNUMBER($BA$841),$B$511=1),$BA$841,HLOOKUP(INDIRECT(ADDRESS(2,COLUMN())),OFFSET($BN$2,0,0,ROW()-1,60),ROW()-1,FALSE))</f>
        <v/>
      </c>
      <c r="BB340" t="str">
        <f ca="1">IF(AND(ISNUMBER($BB$841),$B$511=1),$BB$841,HLOOKUP(INDIRECT(ADDRESS(2,COLUMN())),OFFSET($BN$2,0,0,ROW()-1,60),ROW()-1,FALSE))</f>
        <v/>
      </c>
      <c r="BC340" t="str">
        <f ca="1">IF(AND(ISNUMBER($BC$841),$B$511=1),$BC$841,HLOOKUP(INDIRECT(ADDRESS(2,COLUMN())),OFFSET($BN$2,0,0,ROW()-1,60),ROW()-1,FALSE))</f>
        <v/>
      </c>
      <c r="BD340" t="str">
        <f ca="1">IF(AND(ISNUMBER($BD$841),$B$511=1),$BD$841,HLOOKUP(INDIRECT(ADDRESS(2,COLUMN())),OFFSET($BN$2,0,0,ROW()-1,60),ROW()-1,FALSE))</f>
        <v/>
      </c>
      <c r="BE340" t="str">
        <f ca="1">IF(AND(ISNUMBER($BE$841),$B$511=1),$BE$841,HLOOKUP(INDIRECT(ADDRESS(2,COLUMN())),OFFSET($BN$2,0,0,ROW()-1,60),ROW()-1,FALSE))</f>
        <v/>
      </c>
      <c r="BF340" t="str">
        <f ca="1">IF(AND(ISNUMBER($BF$841),$B$511=1),$BF$841,HLOOKUP(INDIRECT(ADDRESS(2,COLUMN())),OFFSET($BN$2,0,0,ROW()-1,60),ROW()-1,FALSE))</f>
        <v/>
      </c>
      <c r="BG340" t="str">
        <f ca="1">IF(AND(ISNUMBER($BG$841),$B$511=1),$BG$841,HLOOKUP(INDIRECT(ADDRESS(2,COLUMN())),OFFSET($BN$2,0,0,ROW()-1,60),ROW()-1,FALSE))</f>
        <v/>
      </c>
      <c r="BH340" t="str">
        <f ca="1">IF(AND(ISNUMBER($BH$841),$B$511=1),$BH$841,HLOOKUP(INDIRECT(ADDRESS(2,COLUMN())),OFFSET($BN$2,0,0,ROW()-1,60),ROW()-1,FALSE))</f>
        <v/>
      </c>
      <c r="BI340" t="str">
        <f ca="1">IF(AND(ISNUMBER($BI$841),$B$511=1),$BI$841,HLOOKUP(INDIRECT(ADDRESS(2,COLUMN())),OFFSET($BN$2,0,0,ROW()-1,60),ROW()-1,FALSE))</f>
        <v/>
      </c>
      <c r="BJ340" t="str">
        <f ca="1">IF(AND(ISNUMBER($BJ$841),$B$511=1),$BJ$841,HLOOKUP(INDIRECT(ADDRESS(2,COLUMN())),OFFSET($BN$2,0,0,ROW()-1,60),ROW()-1,FALSE))</f>
        <v/>
      </c>
      <c r="BK340" t="str">
        <f ca="1">IF(AND(ISNUMBER($BK$841),$B$511=1),$BK$841,HLOOKUP(INDIRECT(ADDRESS(2,COLUMN())),OFFSET($BN$2,0,0,ROW()-1,60),ROW()-1,FALSE))</f>
        <v/>
      </c>
      <c r="BL340" t="str">
        <f ca="1">IF(AND(ISNUMBER($BL$841),$B$511=1),$BL$841,HLOOKUP(INDIRECT(ADDRESS(2,COLUMN())),OFFSET($BN$2,0,0,ROW()-1,60),ROW()-1,FALSE))</f>
        <v/>
      </c>
      <c r="BM340" t="str">
        <f ca="1">IF(AND(ISNUMBER($BM$841),$B$511=1),$BM$841,HLOOKUP(INDIRECT(ADDRESS(2,COLUMN())),OFFSET($BN$2,0,0,ROW()-1,60),ROW()-1,FALSE))</f>
        <v/>
      </c>
      <c r="BN340" t="str">
        <f>""</f>
        <v/>
      </c>
      <c r="BO340" t="str">
        <f>""</f>
        <v/>
      </c>
      <c r="BP340" t="str">
        <f>""</f>
        <v/>
      </c>
      <c r="BQ340" t="str">
        <f>""</f>
        <v/>
      </c>
      <c r="BR340" t="str">
        <f>""</f>
        <v/>
      </c>
      <c r="BS340" t="str">
        <f>""</f>
        <v/>
      </c>
      <c r="BT340" t="str">
        <f>""</f>
        <v/>
      </c>
      <c r="BU340" t="str">
        <f>""</f>
        <v/>
      </c>
      <c r="BV340" t="str">
        <f>""</f>
        <v/>
      </c>
      <c r="BW340" t="str">
        <f>""</f>
        <v/>
      </c>
      <c r="BX340" t="str">
        <f>""</f>
        <v/>
      </c>
      <c r="BY340" t="str">
        <f>""</f>
        <v/>
      </c>
      <c r="BZ340" t="str">
        <f>""</f>
        <v/>
      </c>
      <c r="CA340" t="str">
        <f>""</f>
        <v/>
      </c>
      <c r="CB340" t="str">
        <f>""</f>
        <v/>
      </c>
      <c r="CC340" t="str">
        <f>""</f>
        <v/>
      </c>
      <c r="CD340" t="str">
        <f>""</f>
        <v/>
      </c>
      <c r="CE340" t="str">
        <f>""</f>
        <v/>
      </c>
      <c r="CF340" t="str">
        <f>""</f>
        <v/>
      </c>
      <c r="CG340" t="str">
        <f>""</f>
        <v/>
      </c>
      <c r="CH340" t="str">
        <f>""</f>
        <v/>
      </c>
      <c r="CI340" t="str">
        <f>""</f>
        <v/>
      </c>
      <c r="CJ340" t="str">
        <f>""</f>
        <v/>
      </c>
      <c r="CK340" t="str">
        <f>""</f>
        <v/>
      </c>
      <c r="CL340" t="str">
        <f>""</f>
        <v/>
      </c>
      <c r="CM340" t="str">
        <f>""</f>
        <v/>
      </c>
      <c r="CN340" t="str">
        <f>""</f>
        <v/>
      </c>
      <c r="CO340" t="str">
        <f>""</f>
        <v/>
      </c>
      <c r="CP340" t="str">
        <f>""</f>
        <v/>
      </c>
      <c r="CQ340" t="str">
        <f>""</f>
        <v/>
      </c>
      <c r="CR340" t="str">
        <f>""</f>
        <v/>
      </c>
      <c r="CS340" t="str">
        <f>""</f>
        <v/>
      </c>
      <c r="CT340" t="str">
        <f>""</f>
        <v/>
      </c>
      <c r="CU340" t="str">
        <f>""</f>
        <v/>
      </c>
      <c r="CV340" t="str">
        <f>""</f>
        <v/>
      </c>
      <c r="CW340" t="str">
        <f>""</f>
        <v/>
      </c>
      <c r="CX340" t="str">
        <f>""</f>
        <v/>
      </c>
      <c r="CY340" t="str">
        <f>""</f>
        <v/>
      </c>
      <c r="CZ340" t="str">
        <f>""</f>
        <v/>
      </c>
      <c r="DA340" t="str">
        <f>""</f>
        <v/>
      </c>
      <c r="DB340" t="str">
        <f>""</f>
        <v/>
      </c>
      <c r="DC340" t="str">
        <f>""</f>
        <v/>
      </c>
      <c r="DD340" t="str">
        <f>""</f>
        <v/>
      </c>
      <c r="DE340" t="str">
        <f>""</f>
        <v/>
      </c>
      <c r="DF340" t="str">
        <f>""</f>
        <v/>
      </c>
      <c r="DG340" t="str">
        <f>""</f>
        <v/>
      </c>
      <c r="DH340" t="str">
        <f>""</f>
        <v/>
      </c>
      <c r="DI340" t="str">
        <f>""</f>
        <v/>
      </c>
      <c r="DJ340" t="str">
        <f>""</f>
        <v/>
      </c>
      <c r="DK340" t="str">
        <f>""</f>
        <v/>
      </c>
      <c r="DL340" t="str">
        <f>""</f>
        <v/>
      </c>
      <c r="DM340" t="str">
        <f>""</f>
        <v/>
      </c>
      <c r="DN340" t="str">
        <f>""</f>
        <v/>
      </c>
      <c r="DO340" t="str">
        <f>""</f>
        <v/>
      </c>
      <c r="DP340" t="str">
        <f>""</f>
        <v/>
      </c>
      <c r="DQ340" t="str">
        <f>""</f>
        <v/>
      </c>
      <c r="DR340" t="str">
        <f>""</f>
        <v/>
      </c>
      <c r="DS340" t="str">
        <f>""</f>
        <v/>
      </c>
      <c r="DT340" t="str">
        <f>""</f>
        <v/>
      </c>
      <c r="DU340" t="str">
        <f>""</f>
        <v/>
      </c>
    </row>
    <row r="341" spans="1:125" x14ac:dyDescent="0.25">
      <c r="A341" t="str">
        <f>"    DRB-Hicom Bhd"</f>
        <v xml:space="preserve">    DRB-Hicom Bhd</v>
      </c>
      <c r="B341" t="str">
        <f>"DRB MK Equity"</f>
        <v>DRB MK Equity</v>
      </c>
      <c r="C341" t="str">
        <f t="shared" si="24"/>
        <v>RX530</v>
      </c>
      <c r="D341" t="str">
        <f t="shared" si="25"/>
        <v>T12M_DVDS_PAID</v>
      </c>
      <c r="E341" t="str">
        <f t="shared" si="26"/>
        <v>Dynamic</v>
      </c>
      <c r="F341" t="str">
        <f ca="1">IF(AND(ISNUMBER($F$842),$B$511=1),$F$842,HLOOKUP(INDIRECT(ADDRESS(2,COLUMN())),OFFSET($BN$2,0,0,ROW()-1,60),ROW()-1,FALSE))</f>
        <v/>
      </c>
      <c r="G341" t="str">
        <f ca="1">IF(AND(ISNUMBER($G$842),$B$511=1),$G$842,HLOOKUP(INDIRECT(ADDRESS(2,COLUMN())),OFFSET($BN$2,0,0,ROW()-1,60),ROW()-1,FALSE))</f>
        <v/>
      </c>
      <c r="H341">
        <f ca="1">IF(AND(ISNUMBER($H$842),$B$511=1),$H$842,HLOOKUP(INDIRECT(ADDRESS(2,COLUMN())),OFFSET($BN$2,0,0,ROW()-1,60),ROW()-1,FALSE))</f>
        <v>-24.452554859999999</v>
      </c>
      <c r="I341">
        <f ca="1">IF(AND(ISNUMBER($I$842),$B$511=1),$I$842,HLOOKUP(INDIRECT(ADDRESS(2,COLUMN())),OFFSET($BN$2,0,0,ROW()-1,60),ROW()-1,FALSE))</f>
        <v>-24.213190489999999</v>
      </c>
      <c r="J341">
        <f ca="1">IF(AND(ISNUMBER($J$842),$B$511=1),$J$842,HLOOKUP(INDIRECT(ADDRESS(2,COLUMN())),OFFSET($BN$2,0,0,ROW()-1,60),ROW()-1,FALSE))</f>
        <v>-23.67098395</v>
      </c>
      <c r="K341">
        <f ca="1">IF(AND(ISNUMBER($K$842),$B$511=1),$K$842,HLOOKUP(INDIRECT(ADDRESS(2,COLUMN())),OFFSET($BN$2,0,0,ROW()-1,60),ROW()-1,FALSE))</f>
        <v>-22.954306819999999</v>
      </c>
      <c r="L341">
        <f ca="1">IF(AND(ISNUMBER($L$842),$B$511=1),$L$842,HLOOKUP(INDIRECT(ADDRESS(2,COLUMN())),OFFSET($BN$2,0,0,ROW()-1,60),ROW()-1,FALSE))</f>
        <v>-27.22817044</v>
      </c>
      <c r="M341">
        <f ca="1">IF(AND(ISNUMBER($M$842),$B$511=1),$M$842,HLOOKUP(INDIRECT(ADDRESS(2,COLUMN())),OFFSET($BN$2,0,0,ROW()-1,60),ROW()-1,FALSE))</f>
        <v>-27.593665690000002</v>
      </c>
      <c r="N341">
        <f ca="1">IF(AND(ISNUMBER($N$842),$B$511=1),$N$842,HLOOKUP(INDIRECT(ADDRESS(2,COLUMN())),OFFSET($BN$2,0,0,ROW()-1,60),ROW()-1,FALSE))</f>
        <v>-28.190796330000001</v>
      </c>
      <c r="O341">
        <f ca="1">IF(AND(ISNUMBER($O$842),$B$511=1),$O$842,HLOOKUP(INDIRECT(ADDRESS(2,COLUMN())),OFFSET($BN$2,0,0,ROW()-1,60),ROW()-1,FALSE))</f>
        <v>-28.62249173</v>
      </c>
      <c r="P341">
        <f ca="1">IF(AND(ISNUMBER($P$842),$B$511=1),$P$842,HLOOKUP(INDIRECT(ADDRESS(2,COLUMN())),OFFSET($BN$2,0,0,ROW()-1,60),ROW()-1,FALSE))</f>
        <v>-40.384217239999998</v>
      </c>
      <c r="Q341">
        <f ca="1">IF(AND(ISNUMBER($Q$842),$B$511=1),$Q$842,HLOOKUP(INDIRECT(ADDRESS(2,COLUMN())),OFFSET($BN$2,0,0,ROW()-1,60),ROW()-1,FALSE))</f>
        <v>-39.732931209999997</v>
      </c>
      <c r="R341">
        <f ca="1">IF(AND(ISNUMBER($R$842),$B$511=1),$R$842,HLOOKUP(INDIRECT(ADDRESS(2,COLUMN())),OFFSET($BN$2,0,0,ROW()-1,60),ROW()-1,FALSE))</f>
        <v>-46.435206569999998</v>
      </c>
      <c r="S341">
        <f ca="1">IF(AND(ISNUMBER($S$842),$B$511=1),$S$842,HLOOKUP(INDIRECT(ADDRESS(2,COLUMN())),OFFSET($BN$2,0,0,ROW()-1,60),ROW()-1,FALSE))</f>
        <v>-46.447542470000002</v>
      </c>
      <c r="T341">
        <f ca="1">IF(AND(ISNUMBER($T$842),$B$511=1),$T$842,HLOOKUP(INDIRECT(ADDRESS(2,COLUMN())),OFFSET($BN$2,0,0,ROW()-1,60),ROW()-1,FALSE))</f>
        <v>-40.267534269999999</v>
      </c>
      <c r="U341">
        <f ca="1">IF(AND(ISNUMBER($U$842),$B$511=1),$U$842,HLOOKUP(INDIRECT(ADDRESS(2,COLUMN())),OFFSET($BN$2,0,0,ROW()-1,60),ROW()-1,FALSE))</f>
        <v>-41.651466489999997</v>
      </c>
      <c r="V341">
        <f ca="1">IF(AND(ISNUMBER($V$842),$B$511=1),$V$842,HLOOKUP(INDIRECT(ADDRESS(2,COLUMN())),OFFSET($BN$2,0,0,ROW()-1,60),ROW()-1,FALSE))</f>
        <v>-34.684209009999996</v>
      </c>
      <c r="W341">
        <f ca="1">IF(AND(ISNUMBER($W$842),$B$511=1),$W$842,HLOOKUP(INDIRECT(ADDRESS(2,COLUMN())),OFFSET($BN$2,0,0,ROW()-1,60),ROW()-1,FALSE))</f>
        <v>-35.457637570000003</v>
      </c>
      <c r="X341">
        <f ca="1">IF(AND(ISNUMBER($X$842),$B$511=1),$X$842,HLOOKUP(INDIRECT(ADDRESS(2,COLUMN())),OFFSET($BN$2,0,0,ROW()-1,60),ROW()-1,FALSE))</f>
        <v>-35.141561379999999</v>
      </c>
      <c r="Y341">
        <f ca="1">IF(AND(ISNUMBER($Y$842),$B$511=1),$Y$842,HLOOKUP(INDIRECT(ADDRESS(2,COLUMN())),OFFSET($BN$2,0,0,ROW()-1,60),ROW()-1,FALSE))</f>
        <v>-35.01785521</v>
      </c>
      <c r="Z341">
        <f ca="1">IF(AND(ISNUMBER($Z$842),$B$511=1),$Z$842,HLOOKUP(INDIRECT(ADDRESS(2,COLUMN())),OFFSET($BN$2,0,0,ROW()-1,60),ROW()-1,FALSE))</f>
        <v>-33.22571301</v>
      </c>
      <c r="AA341">
        <f ca="1">IF(AND(ISNUMBER($AA$842),$B$511=1),$AA$842,HLOOKUP(INDIRECT(ADDRESS(2,COLUMN())),OFFSET($BN$2,0,0,ROW()-1,60),ROW()-1,FALSE))</f>
        <v>-33.777564869999999</v>
      </c>
      <c r="AB341">
        <f ca="1">IF(AND(ISNUMBER($AB$842),$B$511=1),$AB$842,HLOOKUP(INDIRECT(ADDRESS(2,COLUMN())),OFFSET($BN$2,0,0,ROW()-1,60),ROW()-1,FALSE))</f>
        <v>-25.642817990000001</v>
      </c>
      <c r="AC341">
        <f ca="1">IF(AND(ISNUMBER($AC$842),$B$511=1),$AC$842,HLOOKUP(INDIRECT(ADDRESS(2,COLUMN())),OFFSET($BN$2,0,0,ROW()-1,60),ROW()-1,FALSE))</f>
        <v>-25.876007049999998</v>
      </c>
      <c r="AD341">
        <f ca="1">IF(AND(ISNUMBER($AD$842),$B$511=1),$AD$842,HLOOKUP(INDIRECT(ADDRESS(2,COLUMN())),OFFSET($BN$2,0,0,ROW()-1,60),ROW()-1,FALSE))</f>
        <v>-18.7523336</v>
      </c>
      <c r="AE341">
        <f ca="1">IF(AND(ISNUMBER($AE$842),$B$511=1),$AE$842,HLOOKUP(INDIRECT(ADDRESS(2,COLUMN())),OFFSET($BN$2,0,0,ROW()-1,60),ROW()-1,FALSE))</f>
        <v>-28.177813390000001</v>
      </c>
      <c r="AF341">
        <f ca="1">IF(AND(ISNUMBER($AF$842),$B$511=1),$AF$842,HLOOKUP(INDIRECT(ADDRESS(2,COLUMN())),OFFSET($BN$2,0,0,ROW()-1,60),ROW()-1,FALSE))</f>
        <v>-27.965371489999999</v>
      </c>
      <c r="AG341">
        <f ca="1">IF(AND(ISNUMBER($AG$842),$B$511=1),$AG$842,HLOOKUP(INDIRECT(ADDRESS(2,COLUMN())),OFFSET($BN$2,0,0,ROW()-1,60),ROW()-1,FALSE))</f>
        <v>-28.202018420000002</v>
      </c>
      <c r="AH341">
        <f ca="1">IF(AND(ISNUMBER($AH$842),$B$511=1),$AH$842,HLOOKUP(INDIRECT(ADDRESS(2,COLUMN())),OFFSET($BN$2,0,0,ROW()-1,60),ROW()-1,FALSE))</f>
        <v>-28.416309980000001</v>
      </c>
      <c r="AI341">
        <f ca="1">IF(AND(ISNUMBER($AI$842),$B$511=1),$AI$842,HLOOKUP(INDIRECT(ADDRESS(2,COLUMN())),OFFSET($BN$2,0,0,ROW()-1,60),ROW()-1,FALSE))</f>
        <v>-28.450073719999999</v>
      </c>
      <c r="AJ341">
        <f ca="1">IF(AND(ISNUMBER($AJ$842),$B$511=1),$AJ$842,HLOOKUP(INDIRECT(ADDRESS(2,COLUMN())),OFFSET($BN$2,0,0,ROW()-1,60),ROW()-1,FALSE))</f>
        <v>-21.39462447</v>
      </c>
      <c r="AK341">
        <f ca="1">IF(AND(ISNUMBER($AK$842),$B$511=1),$AK$842,HLOOKUP(INDIRECT(ADDRESS(2,COLUMN())),OFFSET($BN$2,0,0,ROW()-1,60),ROW()-1,FALSE))</f>
        <v>-21.16311735</v>
      </c>
      <c r="AL341">
        <f ca="1">IF(AND(ISNUMBER($AL$842),$B$511=1),$AL$842,HLOOKUP(INDIRECT(ADDRESS(2,COLUMN())),OFFSET($BN$2,0,0,ROW()-1,60),ROW()-1,FALSE))</f>
        <v>-20.794341410000001</v>
      </c>
      <c r="AM341">
        <f ca="1">IF(AND(ISNUMBER($AM$842),$B$511=1),$AM$842,HLOOKUP(INDIRECT(ADDRESS(2,COLUMN())),OFFSET($BN$2,0,0,ROW()-1,60),ROW()-1,FALSE))</f>
        <v>-11.27224476</v>
      </c>
      <c r="AN341">
        <f ca="1">IF(AND(ISNUMBER($AN$842),$B$511=1),$AN$842,HLOOKUP(INDIRECT(ADDRESS(2,COLUMN())),OFFSET($BN$2,0,0,ROW()-1,60),ROW()-1,FALSE))</f>
        <v>-11.023394659999999</v>
      </c>
      <c r="AO341">
        <f ca="1">IF(AND(ISNUMBER($AO$842),$B$511=1),$AO$842,HLOOKUP(INDIRECT(ADDRESS(2,COLUMN())),OFFSET($BN$2,0,0,ROW()-1,60),ROW()-1,FALSE))</f>
        <v>-10.722395990000001</v>
      </c>
      <c r="AP341">
        <f ca="1">IF(AND(ISNUMBER($AP$842),$B$511=1),$AP$842,HLOOKUP(INDIRECT(ADDRESS(2,COLUMN())),OFFSET($BN$2,0,0,ROW()-1,60),ROW()-1,FALSE))</f>
        <v>-10.482548489999999</v>
      </c>
      <c r="AQ341">
        <f ca="1">IF(AND(ISNUMBER($AQ$842),$B$511=1),$AQ$842,HLOOKUP(INDIRECT(ADDRESS(2,COLUMN())),OFFSET($BN$2,0,0,ROW()-1,60),ROW()-1,FALSE))</f>
        <v>-10.29688447</v>
      </c>
      <c r="AR341">
        <f ca="1">IF(AND(ISNUMBER($AR$842),$B$511=1),$AR$842,HLOOKUP(INDIRECT(ADDRESS(2,COLUMN())),OFFSET($BN$2,0,0,ROW()-1,60),ROW()-1,FALSE))</f>
        <v>-7.4326937519999996</v>
      </c>
      <c r="AS341">
        <f ca="1">IF(AND(ISNUMBER($AS$842),$B$511=1),$AS$842,HLOOKUP(INDIRECT(ADDRESS(2,COLUMN())),OFFSET($BN$2,0,0,ROW()-1,60),ROW()-1,FALSE))</f>
        <v>-36.245709609999999</v>
      </c>
      <c r="AT341">
        <f ca="1">IF(AND(ISNUMBER($AT$842),$B$511=1),$AT$842,HLOOKUP(INDIRECT(ADDRESS(2,COLUMN())),OFFSET($BN$2,0,0,ROW()-1,60),ROW()-1,FALSE))</f>
        <v>-37.184734659999997</v>
      </c>
      <c r="AU341">
        <f ca="1">IF(AND(ISNUMBER($AU$842),$B$511=1),$AU$842,HLOOKUP(INDIRECT(ADDRESS(2,COLUMN())),OFFSET($BN$2,0,0,ROW()-1,60),ROW()-1,FALSE))</f>
        <v>-41.611686890000001</v>
      </c>
      <c r="AV341">
        <f ca="1">IF(AND(ISNUMBER($AV$842),$B$511=1),$AV$842,HLOOKUP(INDIRECT(ADDRESS(2,COLUMN())),OFFSET($BN$2,0,0,ROW()-1,60),ROW()-1,FALSE))</f>
        <v>-39.721774099999998</v>
      </c>
      <c r="AW341">
        <f ca="1">IF(AND(ISNUMBER($AW$842),$B$511=1),$AW$842,HLOOKUP(INDIRECT(ADDRESS(2,COLUMN())),OFFSET($BN$2,0,0,ROW()-1,60),ROW()-1,FALSE))</f>
        <v>-8.931344631</v>
      </c>
      <c r="AX341">
        <f ca="1">IF(AND(ISNUMBER($AX$842),$B$511=1),$AX$842,HLOOKUP(INDIRECT(ADDRESS(2,COLUMN())),OFFSET($BN$2,0,0,ROW()-1,60),ROW()-1,FALSE))</f>
        <v>-10.970788929999999</v>
      </c>
      <c r="AY341">
        <f ca="1">IF(AND(ISNUMBER($AY$842),$B$511=1),$AY$842,HLOOKUP(INDIRECT(ADDRESS(2,COLUMN())),OFFSET($BN$2,0,0,ROW()-1,60),ROW()-1,FALSE))</f>
        <v>-7.4949692280000004</v>
      </c>
      <c r="AZ341">
        <f ca="1">IF(AND(ISNUMBER($AZ$842),$B$511=1),$AZ$842,HLOOKUP(INDIRECT(ADDRESS(2,COLUMN())),OFFSET($BN$2,0,0,ROW()-1,60),ROW()-1,FALSE))</f>
        <v>-6.2252989090000002</v>
      </c>
      <c r="BA341">
        <f ca="1">IF(AND(ISNUMBER($BA$842),$B$511=1),$BA$842,HLOOKUP(INDIRECT(ADDRESS(2,COLUMN())),OFFSET($BN$2,0,0,ROW()-1,60),ROW()-1,FALSE))</f>
        <v>-6.1366434510000003</v>
      </c>
      <c r="BB341">
        <f ca="1">IF(AND(ISNUMBER($BB$842),$B$511=1),$BB$842,HLOOKUP(INDIRECT(ADDRESS(2,COLUMN())),OFFSET($BN$2,0,0,ROW()-1,60),ROW()-1,FALSE))</f>
        <v>-4.0029275130000004</v>
      </c>
      <c r="BC341">
        <f ca="1">IF(AND(ISNUMBER($BC$842),$B$511=1),$BC$842,HLOOKUP(INDIRECT(ADDRESS(2,COLUMN())),OFFSET($BN$2,0,0,ROW()-1,60),ROW()-1,FALSE))</f>
        <v>-3.9403169199999999</v>
      </c>
      <c r="BD341">
        <f ca="1">IF(AND(ISNUMBER($BD$842),$B$511=1),$BD$842,HLOOKUP(INDIRECT(ADDRESS(2,COLUMN())),OFFSET($BN$2,0,0,ROW()-1,60),ROW()-1,FALSE))</f>
        <v>-5.7530568049999999</v>
      </c>
      <c r="BE341">
        <f ca="1">IF(AND(ISNUMBER($BE$842),$B$511=1),$BE$842,HLOOKUP(INDIRECT(ADDRESS(2,COLUMN())),OFFSET($BN$2,0,0,ROW()-1,60),ROW()-1,FALSE))</f>
        <v>-5.7140900449999998</v>
      </c>
      <c r="BF341">
        <f ca="1">IF(AND(ISNUMBER($BF$842),$B$511=1),$BF$842,HLOOKUP(INDIRECT(ADDRESS(2,COLUMN())),OFFSET($BN$2,0,0,ROW()-1,60),ROW()-1,FALSE))</f>
        <v>-5.6541487740000003</v>
      </c>
      <c r="BG341">
        <f ca="1">IF(AND(ISNUMBER($BG$842),$B$511=1),$BG$842,HLOOKUP(INDIRECT(ADDRESS(2,COLUMN())),OFFSET($BN$2,0,0,ROW()-1,60),ROW()-1,FALSE))</f>
        <v>-5.62672156</v>
      </c>
      <c r="BH341">
        <f ca="1">IF(AND(ISNUMBER($BH$842),$B$511=1),$BH$842,HLOOKUP(INDIRECT(ADDRESS(2,COLUMN())),OFFSET($BN$2,0,0,ROW()-1,60),ROW()-1,FALSE))</f>
        <v>-4.6636666609999997</v>
      </c>
      <c r="BI341">
        <f ca="1">IF(AND(ISNUMBER($BI$842),$B$511=1),$BI$842,HLOOKUP(INDIRECT(ADDRESS(2,COLUMN())),OFFSET($BN$2,0,0,ROW()-1,60),ROW()-1,FALSE))</f>
        <v>-4.6547367700000004</v>
      </c>
      <c r="BJ341">
        <f ca="1">IF(AND(ISNUMBER($BJ$842),$B$511=1),$BJ$842,HLOOKUP(INDIRECT(ADDRESS(2,COLUMN())),OFFSET($BN$2,0,0,ROW()-1,60),ROW()-1,FALSE))</f>
        <v>-4.6547367700000004</v>
      </c>
      <c r="BK341">
        <f ca="1">IF(AND(ISNUMBER($BK$842),$B$511=1),$BK$842,HLOOKUP(INDIRECT(ADDRESS(2,COLUMN())),OFFSET($BN$2,0,0,ROW()-1,60),ROW()-1,FALSE))</f>
        <v>-4.6547367700000004</v>
      </c>
      <c r="BL341">
        <f ca="1">IF(AND(ISNUMBER($BL$842),$B$511=1),$BL$842,HLOOKUP(INDIRECT(ADDRESS(2,COLUMN())),OFFSET($BN$2,0,0,ROW()-1,60),ROW()-1,FALSE))</f>
        <v>-3.7055264019999998</v>
      </c>
      <c r="BM341">
        <f ca="1">IF(AND(ISNUMBER($BM$842),$B$511=1),$BM$842,HLOOKUP(INDIRECT(ADDRESS(2,COLUMN())),OFFSET($BN$2,0,0,ROW()-1,60),ROW()-1,FALSE))</f>
        <v>-3.7055264019999998</v>
      </c>
      <c r="BN341" t="str">
        <f>""</f>
        <v/>
      </c>
      <c r="BO341" t="str">
        <f>""</f>
        <v/>
      </c>
      <c r="BP341">
        <f>-24.45255486</f>
        <v>-24.452554859999999</v>
      </c>
      <c r="BQ341">
        <f>-24.21319049</f>
        <v>-24.213190489999999</v>
      </c>
      <c r="BR341">
        <f>-23.67098395</f>
        <v>-23.67098395</v>
      </c>
      <c r="BS341">
        <f>-22.95430682</f>
        <v>-22.954306819999999</v>
      </c>
      <c r="BT341">
        <f>-27.22817044</f>
        <v>-27.22817044</v>
      </c>
      <c r="BU341">
        <f>-27.59366569</f>
        <v>-27.593665690000002</v>
      </c>
      <c r="BV341">
        <f>-28.19079633</f>
        <v>-28.190796330000001</v>
      </c>
      <c r="BW341">
        <f>-28.62249173</f>
        <v>-28.62249173</v>
      </c>
      <c r="BX341">
        <f>-40.38421724</f>
        <v>-40.384217239999998</v>
      </c>
      <c r="BY341">
        <f>-39.73293121</f>
        <v>-39.732931209999997</v>
      </c>
      <c r="BZ341">
        <f>-46.43520657</f>
        <v>-46.435206569999998</v>
      </c>
      <c r="CA341">
        <f>-46.44754247</f>
        <v>-46.447542470000002</v>
      </c>
      <c r="CB341">
        <f>-40.26753427</f>
        <v>-40.267534269999999</v>
      </c>
      <c r="CC341">
        <f>-41.65146649</f>
        <v>-41.651466489999997</v>
      </c>
      <c r="CD341">
        <f>-34.68420901</f>
        <v>-34.684209009999996</v>
      </c>
      <c r="CE341">
        <f>-35.45763757</f>
        <v>-35.457637570000003</v>
      </c>
      <c r="CF341">
        <f>-35.14156138</f>
        <v>-35.141561379999999</v>
      </c>
      <c r="CG341">
        <f>-35.01785521</f>
        <v>-35.01785521</v>
      </c>
      <c r="CH341">
        <f>-33.22571301</f>
        <v>-33.22571301</v>
      </c>
      <c r="CI341">
        <f>-33.77756487</f>
        <v>-33.777564869999999</v>
      </c>
      <c r="CJ341">
        <f>-25.64281799</f>
        <v>-25.642817990000001</v>
      </c>
      <c r="CK341">
        <f>-25.87600705</f>
        <v>-25.876007049999998</v>
      </c>
      <c r="CL341">
        <f>-18.7523336</f>
        <v>-18.7523336</v>
      </c>
      <c r="CM341">
        <f>-28.17781339</f>
        <v>-28.177813390000001</v>
      </c>
      <c r="CN341">
        <f>-27.96537149</f>
        <v>-27.965371489999999</v>
      </c>
      <c r="CO341">
        <f>-28.20201842</f>
        <v>-28.202018420000002</v>
      </c>
      <c r="CP341">
        <f>-28.41630998</f>
        <v>-28.416309980000001</v>
      </c>
      <c r="CQ341">
        <f>-28.45007372</f>
        <v>-28.450073719999999</v>
      </c>
      <c r="CR341">
        <f>-21.39462447</f>
        <v>-21.39462447</v>
      </c>
      <c r="CS341">
        <f>-21.16311735</f>
        <v>-21.16311735</v>
      </c>
      <c r="CT341">
        <f>-20.79434141</f>
        <v>-20.794341410000001</v>
      </c>
      <c r="CU341">
        <f>-11.27224476</f>
        <v>-11.27224476</v>
      </c>
      <c r="CV341">
        <f>-11.02339466</f>
        <v>-11.023394659999999</v>
      </c>
      <c r="CW341">
        <f>-10.72239599</f>
        <v>-10.722395990000001</v>
      </c>
      <c r="CX341">
        <f>-10.48254849</f>
        <v>-10.482548489999999</v>
      </c>
      <c r="CY341">
        <f>-10.29688447</f>
        <v>-10.29688447</v>
      </c>
      <c r="CZ341">
        <f>-7.432693752</f>
        <v>-7.4326937519999996</v>
      </c>
      <c r="DA341">
        <f>-36.24570961</f>
        <v>-36.245709609999999</v>
      </c>
      <c r="DB341">
        <f>-37.18473466</f>
        <v>-37.184734659999997</v>
      </c>
      <c r="DC341">
        <f>-41.61168689</f>
        <v>-41.611686890000001</v>
      </c>
      <c r="DD341">
        <f>-39.7217741</f>
        <v>-39.721774099999998</v>
      </c>
      <c r="DE341">
        <f>-8.931344631</f>
        <v>-8.931344631</v>
      </c>
      <c r="DF341">
        <f>-10.97078893</f>
        <v>-10.970788929999999</v>
      </c>
      <c r="DG341">
        <f>-7.494969228</f>
        <v>-7.4949692280000004</v>
      </c>
      <c r="DH341">
        <f>-6.225298909</f>
        <v>-6.2252989090000002</v>
      </c>
      <c r="DI341">
        <f>-6.136643451</f>
        <v>-6.1366434510000003</v>
      </c>
      <c r="DJ341">
        <f>-4.002927513</f>
        <v>-4.0029275130000004</v>
      </c>
      <c r="DK341">
        <f>-3.94031692</f>
        <v>-3.9403169199999999</v>
      </c>
      <c r="DL341">
        <f>-5.753056805</f>
        <v>-5.7530568049999999</v>
      </c>
      <c r="DM341">
        <f>-5.714090045</f>
        <v>-5.7140900449999998</v>
      </c>
      <c r="DN341">
        <f>-5.654148774</f>
        <v>-5.6541487740000003</v>
      </c>
      <c r="DO341">
        <f>-5.62672156</f>
        <v>-5.62672156</v>
      </c>
      <c r="DP341">
        <f>-4.663666661</f>
        <v>-4.6636666609999997</v>
      </c>
      <c r="DQ341">
        <f>-4.65473677</f>
        <v>-4.6547367700000004</v>
      </c>
      <c r="DR341">
        <f>-4.65473677</f>
        <v>-4.6547367700000004</v>
      </c>
      <c r="DS341">
        <f>-4.65473677</f>
        <v>-4.6547367700000004</v>
      </c>
      <c r="DT341">
        <f>-3.705526402</f>
        <v>-3.7055264019999998</v>
      </c>
      <c r="DU341">
        <f>-3.705526402</f>
        <v>-3.7055264019999998</v>
      </c>
    </row>
    <row r="342" spans="1:125" x14ac:dyDescent="0.25">
      <c r="A342" t="str">
        <f>"    FAW CAR Co Ltd"</f>
        <v xml:space="preserve">    FAW CAR Co Ltd</v>
      </c>
      <c r="B342" t="str">
        <f>"000800 CH Equity"</f>
        <v>000800 CH Equity</v>
      </c>
      <c r="C342" t="str">
        <f t="shared" si="24"/>
        <v>RX530</v>
      </c>
      <c r="D342" t="str">
        <f t="shared" si="25"/>
        <v>T12M_DVDS_PAID</v>
      </c>
      <c r="E342" t="str">
        <f t="shared" si="26"/>
        <v>Dynamic</v>
      </c>
      <c r="F342" t="str">
        <f ca="1">IF(AND(ISNUMBER($F$843),$B$511=1),$F$843,HLOOKUP(INDIRECT(ADDRESS(2,COLUMN())),OFFSET($BN$2,0,0,ROW()-1,60),ROW()-1,FALSE))</f>
        <v/>
      </c>
      <c r="G342" t="str">
        <f ca="1">IF(AND(ISNUMBER($G$843),$B$511=1),$G$843,HLOOKUP(INDIRECT(ADDRESS(2,COLUMN())),OFFSET($BN$2,0,0,ROW()-1,60),ROW()-1,FALSE))</f>
        <v/>
      </c>
      <c r="H342" t="str">
        <f ca="1">IF(AND(ISNUMBER($H$843),$B$511=1),$H$843,HLOOKUP(INDIRECT(ADDRESS(2,COLUMN())),OFFSET($BN$2,0,0,ROW()-1,60),ROW()-1,FALSE))</f>
        <v/>
      </c>
      <c r="I342">
        <f ca="1">IF(AND(ISNUMBER($I$843),$B$511=1),$I$843,HLOOKUP(INDIRECT(ADDRESS(2,COLUMN())),OFFSET($BN$2,0,0,ROW()-1,60),ROW()-1,FALSE))</f>
        <v>0</v>
      </c>
      <c r="J342">
        <f ca="1">IF(AND(ISNUMBER($J$843),$B$511=1),$J$843,HLOOKUP(INDIRECT(ADDRESS(2,COLUMN())),OFFSET($BN$2,0,0,ROW()-1,60),ROW()-1,FALSE))</f>
        <v>0</v>
      </c>
      <c r="K342">
        <f ca="1">IF(AND(ISNUMBER($K$843),$B$511=1),$K$843,HLOOKUP(INDIRECT(ADDRESS(2,COLUMN())),OFFSET($BN$2,0,0,ROW()-1,60),ROW()-1,FALSE))</f>
        <v>0</v>
      </c>
      <c r="L342">
        <f ca="1">IF(AND(ISNUMBER($L$843),$B$511=1),$L$843,HLOOKUP(INDIRECT(ADDRESS(2,COLUMN())),OFFSET($BN$2,0,0,ROW()-1,60),ROW()-1,FALSE))</f>
        <v>0</v>
      </c>
      <c r="M342">
        <f ca="1">IF(AND(ISNUMBER($M$843),$B$511=1),$M$843,HLOOKUP(INDIRECT(ADDRESS(2,COLUMN())),OFFSET($BN$2,0,0,ROW()-1,60),ROW()-1,FALSE))</f>
        <v>-10.279930139999999</v>
      </c>
      <c r="N342">
        <f ca="1">IF(AND(ISNUMBER($N$843),$B$511=1),$N$843,HLOOKUP(INDIRECT(ADDRESS(2,COLUMN())),OFFSET($BN$2,0,0,ROW()-1,60),ROW()-1,FALSE))</f>
        <v>-10.40467982</v>
      </c>
      <c r="O342">
        <f ca="1">IF(AND(ISNUMBER($O$843),$B$511=1),$O$843,HLOOKUP(INDIRECT(ADDRESS(2,COLUMN())),OFFSET($BN$2,0,0,ROW()-1,60),ROW()-1,FALSE))</f>
        <v>-10.53851618</v>
      </c>
      <c r="P342">
        <f ca="1">IF(AND(ISNUMBER($P$843),$B$511=1),$P$843,HLOOKUP(INDIRECT(ADDRESS(2,COLUMN())),OFFSET($BN$2,0,0,ROW()-1,60),ROW()-1,FALSE))</f>
        <v>-10.71561432</v>
      </c>
      <c r="Q342">
        <f ca="1">IF(AND(ISNUMBER($Q$843),$B$511=1),$Q$843,HLOOKUP(INDIRECT(ADDRESS(2,COLUMN())),OFFSET($BN$2,0,0,ROW()-1,60),ROW()-1,FALSE))</f>
        <v>-2.5274619650000001</v>
      </c>
      <c r="R342">
        <f ca="1">IF(AND(ISNUMBER($R$843),$B$511=1),$R$843,HLOOKUP(INDIRECT(ADDRESS(2,COLUMN())),OFFSET($BN$2,0,0,ROW()-1,60),ROW()-1,FALSE))</f>
        <v>-2.5600728830000001</v>
      </c>
      <c r="S342">
        <f ca="1">IF(AND(ISNUMBER($S$843),$B$511=1),$S$843,HLOOKUP(INDIRECT(ADDRESS(2,COLUMN())),OFFSET($BN$2,0,0,ROW()-1,60),ROW()-1,FALSE))</f>
        <v>-2.5900799769999998</v>
      </c>
      <c r="T342" t="str">
        <f ca="1">IF(AND(ISNUMBER($T$843),$B$511=1),$T$843,HLOOKUP(INDIRECT(ADDRESS(2,COLUMN())),OFFSET($BN$2,0,0,ROW()-1,60),ROW()-1,FALSE))</f>
        <v/>
      </c>
      <c r="U342" t="str">
        <f ca="1">IF(AND(ISNUMBER($U$843),$B$511=1),$U$843,HLOOKUP(INDIRECT(ADDRESS(2,COLUMN())),OFFSET($BN$2,0,0,ROW()-1,60),ROW()-1,FALSE))</f>
        <v/>
      </c>
      <c r="V342" t="str">
        <f ca="1">IF(AND(ISNUMBER($V$843),$B$511=1),$V$843,HLOOKUP(INDIRECT(ADDRESS(2,COLUMN())),OFFSET($BN$2,0,0,ROW()-1,60),ROW()-1,FALSE))</f>
        <v/>
      </c>
      <c r="W342" t="str">
        <f ca="1">IF(AND(ISNUMBER($W$843),$B$511=1),$W$843,HLOOKUP(INDIRECT(ADDRESS(2,COLUMN())),OFFSET($BN$2,0,0,ROW()-1,60),ROW()-1,FALSE))</f>
        <v/>
      </c>
      <c r="X342">
        <f ca="1">IF(AND(ISNUMBER($X$843),$B$511=1),$X$843,HLOOKUP(INDIRECT(ADDRESS(2,COLUMN())),OFFSET($BN$2,0,0,ROW()-1,60),ROW()-1,FALSE))</f>
        <v>-5.0311581939999996</v>
      </c>
      <c r="Y342">
        <f ca="1">IF(AND(ISNUMBER($Y$843),$B$511=1),$Y$843,HLOOKUP(INDIRECT(ADDRESS(2,COLUMN())),OFFSET($BN$2,0,0,ROW()-1,60),ROW()-1,FALSE))</f>
        <v>0</v>
      </c>
      <c r="Z342">
        <f ca="1">IF(AND(ISNUMBER($Z$843),$B$511=1),$Z$843,HLOOKUP(INDIRECT(ADDRESS(2,COLUMN())),OFFSET($BN$2,0,0,ROW()-1,60),ROW()-1,FALSE))</f>
        <v>0</v>
      </c>
      <c r="AA342">
        <f ca="1">IF(AND(ISNUMBER($AA$843),$B$511=1),$AA$843,HLOOKUP(INDIRECT(ADDRESS(2,COLUMN())),OFFSET($BN$2,0,0,ROW()-1,60),ROW()-1,FALSE))</f>
        <v>0</v>
      </c>
      <c r="AB342">
        <f ca="1">IF(AND(ISNUMBER($AB$843),$B$511=1),$AB$843,HLOOKUP(INDIRECT(ADDRESS(2,COLUMN())),OFFSET($BN$2,0,0,ROW()-1,60),ROW()-1,FALSE))</f>
        <v>0</v>
      </c>
      <c r="AC342">
        <f ca="1">IF(AND(ISNUMBER($AC$843),$B$511=1),$AC$843,HLOOKUP(INDIRECT(ADDRESS(2,COLUMN())),OFFSET($BN$2,0,0,ROW()-1,60),ROW()-1,FALSE))</f>
        <v>0</v>
      </c>
      <c r="AD342">
        <f ca="1">IF(AND(ISNUMBER($AD$843),$B$511=1),$AD$843,HLOOKUP(INDIRECT(ADDRESS(2,COLUMN())),OFFSET($BN$2,0,0,ROW()-1,60),ROW()-1,FALSE))</f>
        <v>0</v>
      </c>
      <c r="AE342">
        <f ca="1">IF(AND(ISNUMBER($AE$843),$B$511=1),$AE$843,HLOOKUP(INDIRECT(ADDRESS(2,COLUMN())),OFFSET($BN$2,0,0,ROW()-1,60),ROW()-1,FALSE))</f>
        <v>0</v>
      </c>
      <c r="AF342">
        <f ca="1">IF(AND(ISNUMBER($AF$843),$B$511=1),$AF$843,HLOOKUP(INDIRECT(ADDRESS(2,COLUMN())),OFFSET($BN$2,0,0,ROW()-1,60),ROW()-1,FALSE))</f>
        <v>0</v>
      </c>
      <c r="AG342">
        <f ca="1">IF(AND(ISNUMBER($AG$843),$B$511=1),$AG$843,HLOOKUP(INDIRECT(ADDRESS(2,COLUMN())),OFFSET($BN$2,0,0,ROW()-1,60),ROW()-1,FALSE))</f>
        <v>-76.85404681</v>
      </c>
      <c r="AH342">
        <f ca="1">IF(AND(ISNUMBER($AH$843),$B$511=1),$AH$843,HLOOKUP(INDIRECT(ADDRESS(2,COLUMN())),OFFSET($BN$2,0,0,ROW()-1,60),ROW()-1,FALSE))</f>
        <v>-76.347610209999999</v>
      </c>
      <c r="AI342">
        <f ca="1">IF(AND(ISNUMBER($AI$843),$B$511=1),$AI$843,HLOOKUP(INDIRECT(ADDRESS(2,COLUMN())),OFFSET($BN$2,0,0,ROW()-1,60),ROW()-1,FALSE))</f>
        <v>-75.555507320000004</v>
      </c>
      <c r="AJ342">
        <f ca="1">IF(AND(ISNUMBER($AJ$843),$B$511=1),$AJ$843,HLOOKUP(INDIRECT(ADDRESS(2,COLUMN())),OFFSET($BN$2,0,0,ROW()-1,60),ROW()-1,FALSE))</f>
        <v>-74.691659680000001</v>
      </c>
      <c r="AK342">
        <f ca="1">IF(AND(ISNUMBER($AK$843),$B$511=1),$AK$843,HLOOKUP(INDIRECT(ADDRESS(2,COLUMN())),OFFSET($BN$2,0,0,ROW()-1,60),ROW()-1,FALSE))</f>
        <v>-104.8877169</v>
      </c>
      <c r="AL342">
        <f ca="1">IF(AND(ISNUMBER($AL$843),$B$511=1),$AL$843,HLOOKUP(INDIRECT(ADDRESS(2,COLUMN())),OFFSET($BN$2,0,0,ROW()-1,60),ROW()-1,FALSE))</f>
        <v>-103.61766919999999</v>
      </c>
      <c r="AM342">
        <f ca="1">IF(AND(ISNUMBER($AM$843),$B$511=1),$AM$843,HLOOKUP(INDIRECT(ADDRESS(2,COLUMN())),OFFSET($BN$2,0,0,ROW()-1,60),ROW()-1,FALSE))</f>
        <v>-102.6877863</v>
      </c>
      <c r="AN342" t="str">
        <f ca="1">IF(AND(ISNUMBER($AN$843),$B$511=1),$AN$843,HLOOKUP(INDIRECT(ADDRESS(2,COLUMN())),OFFSET($BN$2,0,0,ROW()-1,60),ROW()-1,FALSE))</f>
        <v/>
      </c>
      <c r="AO342" t="str">
        <f ca="1">IF(AND(ISNUMBER($AO$843),$B$511=1),$AO$843,HLOOKUP(INDIRECT(ADDRESS(2,COLUMN())),OFFSET($BN$2,0,0,ROW()-1,60),ROW()-1,FALSE))</f>
        <v/>
      </c>
      <c r="AP342" t="str">
        <f ca="1">IF(AND(ISNUMBER($AP$843),$B$511=1),$AP$843,HLOOKUP(INDIRECT(ADDRESS(2,COLUMN())),OFFSET($BN$2,0,0,ROW()-1,60),ROW()-1,FALSE))</f>
        <v/>
      </c>
      <c r="AQ342" t="str">
        <f ca="1">IF(AND(ISNUMBER($AQ$843),$B$511=1),$AQ$843,HLOOKUP(INDIRECT(ADDRESS(2,COLUMN())),OFFSET($BN$2,0,0,ROW()-1,60),ROW()-1,FALSE))</f>
        <v/>
      </c>
      <c r="AR342" t="str">
        <f ca="1">IF(AND(ISNUMBER($AR$843),$B$511=1),$AR$843,HLOOKUP(INDIRECT(ADDRESS(2,COLUMN())),OFFSET($BN$2,0,0,ROW()-1,60),ROW()-1,FALSE))</f>
        <v/>
      </c>
      <c r="AS342" t="str">
        <f ca="1">IF(AND(ISNUMBER($AS$843),$B$511=1),$AS$843,HLOOKUP(INDIRECT(ADDRESS(2,COLUMN())),OFFSET($BN$2,0,0,ROW()-1,60),ROW()-1,FALSE))</f>
        <v/>
      </c>
      <c r="AT342">
        <f ca="1">IF(AND(ISNUMBER($AT$843),$B$511=1),$AT$843,HLOOKUP(INDIRECT(ADDRESS(2,COLUMN())),OFFSET($BN$2,0,0,ROW()-1,60),ROW()-1,FALSE))</f>
        <v>-94.751474689999995</v>
      </c>
      <c r="AU342">
        <f ca="1">IF(AND(ISNUMBER($AU$843),$B$511=1),$AU$843,HLOOKUP(INDIRECT(ADDRESS(2,COLUMN())),OFFSET($BN$2,0,0,ROW()-1,60),ROW()-1,FALSE))</f>
        <v>-90.657042570000002</v>
      </c>
      <c r="AV342">
        <f ca="1">IF(AND(ISNUMBER($AV$843),$B$511=1),$AV$843,HLOOKUP(INDIRECT(ADDRESS(2,COLUMN())),OFFSET($BN$2,0,0,ROW()-1,60),ROW()-1,FALSE))</f>
        <v>-68.821346730000002</v>
      </c>
      <c r="AW342">
        <f ca="1">IF(AND(ISNUMBER($AW$843),$B$511=1),$AW$843,HLOOKUP(INDIRECT(ADDRESS(2,COLUMN())),OFFSET($BN$2,0,0,ROW()-1,60),ROW()-1,FALSE))</f>
        <v>-89.510796970000001</v>
      </c>
      <c r="AX342">
        <f ca="1">IF(AND(ISNUMBER($AX$843),$B$511=1),$AX$843,HLOOKUP(INDIRECT(ADDRESS(2,COLUMN())),OFFSET($BN$2,0,0,ROW()-1,60),ROW()-1,FALSE))</f>
        <v>-43.650327539999999</v>
      </c>
      <c r="AY342">
        <f ca="1">IF(AND(ISNUMBER($AY$843),$B$511=1),$AY$843,HLOOKUP(INDIRECT(ADDRESS(2,COLUMN())),OFFSET($BN$2,0,0,ROW()-1,60),ROW()-1,FALSE))</f>
        <v>-42.781316439999998</v>
      </c>
      <c r="AZ342">
        <f ca="1">IF(AND(ISNUMBER($AZ$843),$B$511=1),$AZ$843,HLOOKUP(INDIRECT(ADDRESS(2,COLUMN())),OFFSET($BN$2,0,0,ROW()-1,60),ROW()-1,FALSE))</f>
        <v>-21.100140029999999</v>
      </c>
      <c r="BA342">
        <f ca="1">IF(AND(ISNUMBER($BA$843),$B$511=1),$BA$843,HLOOKUP(INDIRECT(ADDRESS(2,COLUMN())),OFFSET($BN$2,0,0,ROW()-1,60),ROW()-1,FALSE))</f>
        <v>-41.639025580000002</v>
      </c>
      <c r="BB342">
        <f ca="1">IF(AND(ISNUMBER($BB$843),$B$511=1),$BB$843,HLOOKUP(INDIRECT(ADDRESS(2,COLUMN())),OFFSET($BN$2,0,0,ROW()-1,60),ROW()-1,FALSE))</f>
        <v>-41.20883688</v>
      </c>
      <c r="BC342">
        <f ca="1">IF(AND(ISNUMBER($BC$843),$B$511=1),$BC$843,HLOOKUP(INDIRECT(ADDRESS(2,COLUMN())),OFFSET($BN$2,0,0,ROW()-1,60),ROW()-1,FALSE))</f>
        <v>-40.842819710000001</v>
      </c>
      <c r="BD342" t="str">
        <f ca="1">IF(AND(ISNUMBER($BD$843),$B$511=1),$BD$843,HLOOKUP(INDIRECT(ADDRESS(2,COLUMN())),OFFSET($BN$2,0,0,ROW()-1,60),ROW()-1,FALSE))</f>
        <v/>
      </c>
      <c r="BE342" t="str">
        <f ca="1">IF(AND(ISNUMBER($BE$843),$B$511=1),$BE$843,HLOOKUP(INDIRECT(ADDRESS(2,COLUMN())),OFFSET($BN$2,0,0,ROW()-1,60),ROW()-1,FALSE))</f>
        <v/>
      </c>
      <c r="BF342" t="str">
        <f ca="1">IF(AND(ISNUMBER($BF$843),$B$511=1),$BF$843,HLOOKUP(INDIRECT(ADDRESS(2,COLUMN())),OFFSET($BN$2,0,0,ROW()-1,60),ROW()-1,FALSE))</f>
        <v/>
      </c>
      <c r="BG342" t="str">
        <f ca="1">IF(AND(ISNUMBER($BG$843),$B$511=1),$BG$843,HLOOKUP(INDIRECT(ADDRESS(2,COLUMN())),OFFSET($BN$2,0,0,ROW()-1,60),ROW()-1,FALSE))</f>
        <v/>
      </c>
      <c r="BH342" t="str">
        <f ca="1">IF(AND(ISNUMBER($BH$843),$B$511=1),$BH$843,HLOOKUP(INDIRECT(ADDRESS(2,COLUMN())),OFFSET($BN$2,0,0,ROW()-1,60),ROW()-1,FALSE))</f>
        <v/>
      </c>
      <c r="BI342" t="str">
        <f ca="1">IF(AND(ISNUMBER($BI$843),$B$511=1),$BI$843,HLOOKUP(INDIRECT(ADDRESS(2,COLUMN())),OFFSET($BN$2,0,0,ROW()-1,60),ROW()-1,FALSE))</f>
        <v/>
      </c>
      <c r="BJ342" t="str">
        <f ca="1">IF(AND(ISNUMBER($BJ$843),$B$511=1),$BJ$843,HLOOKUP(INDIRECT(ADDRESS(2,COLUMN())),OFFSET($BN$2,0,0,ROW()-1,60),ROW()-1,FALSE))</f>
        <v/>
      </c>
      <c r="BK342" t="str">
        <f ca="1">IF(AND(ISNUMBER($BK$843),$B$511=1),$BK$843,HLOOKUP(INDIRECT(ADDRESS(2,COLUMN())),OFFSET($BN$2,0,0,ROW()-1,60),ROW()-1,FALSE))</f>
        <v/>
      </c>
      <c r="BL342" t="str">
        <f ca="1">IF(AND(ISNUMBER($BL$843),$B$511=1),$BL$843,HLOOKUP(INDIRECT(ADDRESS(2,COLUMN())),OFFSET($BN$2,0,0,ROW()-1,60),ROW()-1,FALSE))</f>
        <v/>
      </c>
      <c r="BM342" t="str">
        <f ca="1">IF(AND(ISNUMBER($BM$843),$B$511=1),$BM$843,HLOOKUP(INDIRECT(ADDRESS(2,COLUMN())),OFFSET($BN$2,0,0,ROW()-1,60),ROW()-1,FALSE))</f>
        <v/>
      </c>
      <c r="BN342" t="str">
        <f>""</f>
        <v/>
      </c>
      <c r="BO342" t="str">
        <f>""</f>
        <v/>
      </c>
      <c r="BP342" t="str">
        <f>""</f>
        <v/>
      </c>
      <c r="BQ342">
        <f>0</f>
        <v>0</v>
      </c>
      <c r="BR342">
        <f>0</f>
        <v>0</v>
      </c>
      <c r="BS342">
        <f>0</f>
        <v>0</v>
      </c>
      <c r="BT342">
        <f>0</f>
        <v>0</v>
      </c>
      <c r="BU342">
        <f>-10.27993014</f>
        <v>-10.279930139999999</v>
      </c>
      <c r="BV342">
        <f>-10.40467982</f>
        <v>-10.40467982</v>
      </c>
      <c r="BW342">
        <f>-10.53851618</f>
        <v>-10.53851618</v>
      </c>
      <c r="BX342">
        <f>-10.71561432</f>
        <v>-10.71561432</v>
      </c>
      <c r="BY342">
        <f>-2.527461965</f>
        <v>-2.5274619650000001</v>
      </c>
      <c r="BZ342">
        <f>-2.560072883</f>
        <v>-2.5600728830000001</v>
      </c>
      <c r="CA342">
        <f>-2.590079977</f>
        <v>-2.5900799769999998</v>
      </c>
      <c r="CB342" t="str">
        <f>""</f>
        <v/>
      </c>
      <c r="CC342" t="str">
        <f>""</f>
        <v/>
      </c>
      <c r="CD342" t="str">
        <f>""</f>
        <v/>
      </c>
      <c r="CE342" t="str">
        <f>""</f>
        <v/>
      </c>
      <c r="CF342">
        <f>-5.031158194</f>
        <v>-5.0311581939999996</v>
      </c>
      <c r="CG342">
        <f>0</f>
        <v>0</v>
      </c>
      <c r="CH342">
        <f>0</f>
        <v>0</v>
      </c>
      <c r="CI342">
        <f>0</f>
        <v>0</v>
      </c>
      <c r="CJ342">
        <f>0</f>
        <v>0</v>
      </c>
      <c r="CK342">
        <f>0</f>
        <v>0</v>
      </c>
      <c r="CL342">
        <f>0</f>
        <v>0</v>
      </c>
      <c r="CM342">
        <f>0</f>
        <v>0</v>
      </c>
      <c r="CN342">
        <f>0</f>
        <v>0</v>
      </c>
      <c r="CO342">
        <f>-76.85404681</f>
        <v>-76.85404681</v>
      </c>
      <c r="CP342">
        <f>-76.34761021</f>
        <v>-76.347610209999999</v>
      </c>
      <c r="CQ342">
        <f>-75.55550732</f>
        <v>-75.555507320000004</v>
      </c>
      <c r="CR342">
        <f>-74.69165968</f>
        <v>-74.691659680000001</v>
      </c>
      <c r="CS342">
        <f>-104.8877169</f>
        <v>-104.8877169</v>
      </c>
      <c r="CT342">
        <f>-103.6176692</f>
        <v>-103.61766919999999</v>
      </c>
      <c r="CU342">
        <f>-102.6877863</f>
        <v>-102.6877863</v>
      </c>
      <c r="CV342" t="str">
        <f>""</f>
        <v/>
      </c>
      <c r="CW342" t="str">
        <f>""</f>
        <v/>
      </c>
      <c r="CX342" t="str">
        <f>""</f>
        <v/>
      </c>
      <c r="CY342" t="str">
        <f>""</f>
        <v/>
      </c>
      <c r="CZ342" t="str">
        <f>""</f>
        <v/>
      </c>
      <c r="DA342" t="str">
        <f>""</f>
        <v/>
      </c>
      <c r="DB342">
        <f>-94.75147469</f>
        <v>-94.751474689999995</v>
      </c>
      <c r="DC342">
        <f>-90.65704257</f>
        <v>-90.657042570000002</v>
      </c>
      <c r="DD342">
        <f>-68.82134673</f>
        <v>-68.821346730000002</v>
      </c>
      <c r="DE342">
        <f>-89.51079697</f>
        <v>-89.510796970000001</v>
      </c>
      <c r="DF342">
        <f>-43.65032754</f>
        <v>-43.650327539999999</v>
      </c>
      <c r="DG342">
        <f>-42.78131644</f>
        <v>-42.781316439999998</v>
      </c>
      <c r="DH342">
        <f>-21.10014003</f>
        <v>-21.100140029999999</v>
      </c>
      <c r="DI342">
        <f>-41.63902558</f>
        <v>-41.639025580000002</v>
      </c>
      <c r="DJ342">
        <f>-41.20883688</f>
        <v>-41.20883688</v>
      </c>
      <c r="DK342">
        <f>-40.84281971</f>
        <v>-40.842819710000001</v>
      </c>
      <c r="DL342" t="str">
        <f>""</f>
        <v/>
      </c>
      <c r="DM342" t="str">
        <f>""</f>
        <v/>
      </c>
      <c r="DN342" t="str">
        <f>""</f>
        <v/>
      </c>
      <c r="DO342" t="str">
        <f>""</f>
        <v/>
      </c>
      <c r="DP342" t="str">
        <f>""</f>
        <v/>
      </c>
      <c r="DQ342" t="str">
        <f>""</f>
        <v/>
      </c>
      <c r="DR342" t="str">
        <f>""</f>
        <v/>
      </c>
      <c r="DS342" t="str">
        <f>""</f>
        <v/>
      </c>
      <c r="DT342" t="str">
        <f>""</f>
        <v/>
      </c>
      <c r="DU342" t="str">
        <f>""</f>
        <v/>
      </c>
    </row>
    <row r="343" spans="1:125" x14ac:dyDescent="0.25">
      <c r="A343" t="str">
        <f>"    Fiat Chrysler Automobiles NV"</f>
        <v xml:space="preserve">    Fiat Chrysler Automobiles NV</v>
      </c>
      <c r="B343" t="str">
        <f>"FCAU US Equity"</f>
        <v>FCAU US Equity</v>
      </c>
      <c r="C343" t="str">
        <f t="shared" si="24"/>
        <v>RX530</v>
      </c>
      <c r="D343" t="str">
        <f t="shared" si="25"/>
        <v>T12M_DVDS_PAID</v>
      </c>
      <c r="E343" t="str">
        <f t="shared" si="26"/>
        <v>Dynamic</v>
      </c>
      <c r="F343" t="str">
        <f ca="1">IF(AND(ISNUMBER($F$844),$B$511=1),$F$844,HLOOKUP(INDIRECT(ADDRESS(2,COLUMN())),OFFSET($BN$2,0,0,ROW()-1,60),ROW()-1,FALSE))</f>
        <v/>
      </c>
      <c r="G343">
        <f ca="1">IF(AND(ISNUMBER($G$844),$B$511=1),$G$844,HLOOKUP(INDIRECT(ADDRESS(2,COLUMN())),OFFSET($BN$2,0,0,ROW()-1,60),ROW()-1,FALSE))</f>
        <v>-1.181124303</v>
      </c>
      <c r="H343">
        <f ca="1">IF(AND(ISNUMBER($H$844),$B$511=1),$H$844,HLOOKUP(INDIRECT(ADDRESS(2,COLUMN())),OFFSET($BN$2,0,0,ROW()-1,60),ROW()-1,FALSE))</f>
        <v>-1.190440808</v>
      </c>
      <c r="I343">
        <f ca="1">IF(AND(ISNUMBER($I$844),$B$511=1),$I$844,HLOOKUP(INDIRECT(ADDRESS(2,COLUMN())),OFFSET($BN$2,0,0,ROW()-1,60),ROW()-1,FALSE))</f>
        <v>-1.1934544229999999</v>
      </c>
      <c r="J343">
        <f ca="1">IF(AND(ISNUMBER($J$844),$B$511=1),$J$844,HLOOKUP(INDIRECT(ADDRESS(2,COLUMN())),OFFSET($BN$2,0,0,ROW()-1,60),ROW()-1,FALSE))</f>
        <v>-1.1706664229999999</v>
      </c>
      <c r="K343">
        <f ca="1">IF(AND(ISNUMBER($K$844),$B$511=1),$K$844,HLOOKUP(INDIRECT(ADDRESS(2,COLUMN())),OFFSET($BN$2,0,0,ROW()-1,60),ROW()-1,FALSE))</f>
        <v>-1.129721288</v>
      </c>
      <c r="L343">
        <f ca="1">IF(AND(ISNUMBER($L$844),$B$511=1),$L$844,HLOOKUP(INDIRECT(ADDRESS(2,COLUMN())),OFFSET($BN$2,0,0,ROW()-1,60),ROW()-1,FALSE))</f>
        <v>-19.886047269999999</v>
      </c>
      <c r="M343">
        <f ca="1">IF(AND(ISNUMBER($M$844),$B$511=1),$M$844,HLOOKUP(INDIRECT(ADDRESS(2,COLUMN())),OFFSET($BN$2,0,0,ROW()-1,60),ROW()-1,FALSE))</f>
        <v>-19.623552069999999</v>
      </c>
      <c r="N343">
        <f ca="1">IF(AND(ISNUMBER($N$844),$B$511=1),$N$844,HLOOKUP(INDIRECT(ADDRESS(2,COLUMN())),OFFSET($BN$2,0,0,ROW()-1,60),ROW()-1,FALSE))</f>
        <v>-19.751407929999999</v>
      </c>
      <c r="O343">
        <f ca="1">IF(AND(ISNUMBER($O$844),$B$511=1),$O$844,HLOOKUP(INDIRECT(ADDRESS(2,COLUMN())),OFFSET($BN$2,0,0,ROW()-1,60),ROW()-1,FALSE))</f>
        <v>-19.92291621</v>
      </c>
      <c r="P343">
        <f ca="1">IF(AND(ISNUMBER($P$844),$B$511=1),$P$844,HLOOKUP(INDIRECT(ADDRESS(2,COLUMN())),OFFSET($BN$2,0,0,ROW()-1,60),ROW()-1,FALSE))</f>
        <v>-314.42650730000003</v>
      </c>
      <c r="Q343">
        <f ca="1">IF(AND(ISNUMBER($Q$844),$B$511=1),$Q$844,HLOOKUP(INDIRECT(ADDRESS(2,COLUMN())),OFFSET($BN$2,0,0,ROW()-1,60),ROW()-1,FALSE))</f>
        <v>-314.12536069999999</v>
      </c>
      <c r="R343">
        <f ca="1">IF(AND(ISNUMBER($R$844),$B$511=1),$R$844,HLOOKUP(INDIRECT(ADDRESS(2,COLUMN())),OFFSET($BN$2,0,0,ROW()-1,60),ROW()-1,FALSE))</f>
        <v>-312.53061789999998</v>
      </c>
      <c r="S343">
        <f ca="1">IF(AND(ISNUMBER($S$844),$B$511=1),$S$844,HLOOKUP(INDIRECT(ADDRESS(2,COLUMN())),OFFSET($BN$2,0,0,ROW()-1,60),ROW()-1,FALSE))</f>
        <v>-314.13017889999998</v>
      </c>
      <c r="T343">
        <f ca="1">IF(AND(ISNUMBER($T$844),$B$511=1),$T$844,HLOOKUP(INDIRECT(ADDRESS(2,COLUMN())),OFFSET($BN$2,0,0,ROW()-1,60),ROW()-1,FALSE))</f>
        <v>0</v>
      </c>
      <c r="U343">
        <f ca="1">IF(AND(ISNUMBER($U$844),$B$511=1),$U$844,HLOOKUP(INDIRECT(ADDRESS(2,COLUMN())),OFFSET($BN$2,0,0,ROW()-1,60),ROW()-1,FALSE))</f>
        <v>0</v>
      </c>
      <c r="V343">
        <f ca="1">IF(AND(ISNUMBER($V$844),$B$511=1),$V$844,HLOOKUP(INDIRECT(ADDRESS(2,COLUMN())),OFFSET($BN$2,0,0,ROW()-1,60),ROW()-1,FALSE))</f>
        <v>0</v>
      </c>
      <c r="W343">
        <f ca="1">IF(AND(ISNUMBER($W$844),$B$511=1),$W$844,HLOOKUP(INDIRECT(ADDRESS(2,COLUMN())),OFFSET($BN$2,0,0,ROW()-1,60),ROW()-1,FALSE))</f>
        <v>0</v>
      </c>
      <c r="X343" t="str">
        <f ca="1">IF(AND(ISNUMBER($X$844),$B$511=1),$X$844,HLOOKUP(INDIRECT(ADDRESS(2,COLUMN())),OFFSET($BN$2,0,0,ROW()-1,60),ROW()-1,FALSE))</f>
        <v/>
      </c>
      <c r="Y343" t="str">
        <f ca="1">IF(AND(ISNUMBER($Y$844),$B$511=1),$Y$844,HLOOKUP(INDIRECT(ADDRESS(2,COLUMN())),OFFSET($BN$2,0,0,ROW()-1,60),ROW()-1,FALSE))</f>
        <v/>
      </c>
      <c r="Z343" t="str">
        <f ca="1">IF(AND(ISNUMBER($Z$844),$B$511=1),$Z$844,HLOOKUP(INDIRECT(ADDRESS(2,COLUMN())),OFFSET($BN$2,0,0,ROW()-1,60),ROW()-1,FALSE))</f>
        <v/>
      </c>
      <c r="AA343" t="str">
        <f ca="1">IF(AND(ISNUMBER($AA$844),$B$511=1),$AA$844,HLOOKUP(INDIRECT(ADDRESS(2,COLUMN())),OFFSET($BN$2,0,0,ROW()-1,60),ROW()-1,FALSE))</f>
        <v/>
      </c>
      <c r="AB343" t="str">
        <f ca="1">IF(AND(ISNUMBER($AB$844),$B$511=1),$AB$844,HLOOKUP(INDIRECT(ADDRESS(2,COLUMN())),OFFSET($BN$2,0,0,ROW()-1,60),ROW()-1,FALSE))</f>
        <v/>
      </c>
      <c r="AC343" t="str">
        <f ca="1">IF(AND(ISNUMBER($AC$844),$B$511=1),$AC$844,HLOOKUP(INDIRECT(ADDRESS(2,COLUMN())),OFFSET($BN$2,0,0,ROW()-1,60),ROW()-1,FALSE))</f>
        <v/>
      </c>
      <c r="AD343" t="str">
        <f ca="1">IF(AND(ISNUMBER($AD$844),$B$511=1),$AD$844,HLOOKUP(INDIRECT(ADDRESS(2,COLUMN())),OFFSET($BN$2,0,0,ROW()-1,60),ROW()-1,FALSE))</f>
        <v/>
      </c>
      <c r="AE343" t="str">
        <f ca="1">IF(AND(ISNUMBER($AE$844),$B$511=1),$AE$844,HLOOKUP(INDIRECT(ADDRESS(2,COLUMN())),OFFSET($BN$2,0,0,ROW()-1,60),ROW()-1,FALSE))</f>
        <v/>
      </c>
      <c r="AF343" t="str">
        <f ca="1">IF(AND(ISNUMBER($AF$844),$B$511=1),$AF$844,HLOOKUP(INDIRECT(ADDRESS(2,COLUMN())),OFFSET($BN$2,0,0,ROW()-1,60),ROW()-1,FALSE))</f>
        <v/>
      </c>
      <c r="AG343" t="str">
        <f ca="1">IF(AND(ISNUMBER($AG$844),$B$511=1),$AG$844,HLOOKUP(INDIRECT(ADDRESS(2,COLUMN())),OFFSET($BN$2,0,0,ROW()-1,60),ROW()-1,FALSE))</f>
        <v/>
      </c>
      <c r="AH343" t="str">
        <f ca="1">IF(AND(ISNUMBER($AH$844),$B$511=1),$AH$844,HLOOKUP(INDIRECT(ADDRESS(2,COLUMN())),OFFSET($BN$2,0,0,ROW()-1,60),ROW()-1,FALSE))</f>
        <v/>
      </c>
      <c r="AI343" t="str">
        <f ca="1">IF(AND(ISNUMBER($AI$844),$B$511=1),$AI$844,HLOOKUP(INDIRECT(ADDRESS(2,COLUMN())),OFFSET($BN$2,0,0,ROW()-1,60),ROW()-1,FALSE))</f>
        <v/>
      </c>
      <c r="AJ343" t="str">
        <f ca="1">IF(AND(ISNUMBER($AJ$844),$B$511=1),$AJ$844,HLOOKUP(INDIRECT(ADDRESS(2,COLUMN())),OFFSET($BN$2,0,0,ROW()-1,60),ROW()-1,FALSE))</f>
        <v/>
      </c>
      <c r="AK343" t="str">
        <f ca="1">IF(AND(ISNUMBER($AK$844),$B$511=1),$AK$844,HLOOKUP(INDIRECT(ADDRESS(2,COLUMN())),OFFSET($BN$2,0,0,ROW()-1,60),ROW()-1,FALSE))</f>
        <v/>
      </c>
      <c r="AL343" t="str">
        <f ca="1">IF(AND(ISNUMBER($AL$844),$B$511=1),$AL$844,HLOOKUP(INDIRECT(ADDRESS(2,COLUMN())),OFFSET($BN$2,0,0,ROW()-1,60),ROW()-1,FALSE))</f>
        <v/>
      </c>
      <c r="AM343" t="str">
        <f ca="1">IF(AND(ISNUMBER($AM$844),$B$511=1),$AM$844,HLOOKUP(INDIRECT(ADDRESS(2,COLUMN())),OFFSET($BN$2,0,0,ROW()-1,60),ROW()-1,FALSE))</f>
        <v/>
      </c>
      <c r="AN343" t="str">
        <f ca="1">IF(AND(ISNUMBER($AN$844),$B$511=1),$AN$844,HLOOKUP(INDIRECT(ADDRESS(2,COLUMN())),OFFSET($BN$2,0,0,ROW()-1,60),ROW()-1,FALSE))</f>
        <v/>
      </c>
      <c r="AO343" t="str">
        <f ca="1">IF(AND(ISNUMBER($AO$844),$B$511=1),$AO$844,HLOOKUP(INDIRECT(ADDRESS(2,COLUMN())),OFFSET($BN$2,0,0,ROW()-1,60),ROW()-1,FALSE))</f>
        <v/>
      </c>
      <c r="AP343" t="str">
        <f ca="1">IF(AND(ISNUMBER($AP$844),$B$511=1),$AP$844,HLOOKUP(INDIRECT(ADDRESS(2,COLUMN())),OFFSET($BN$2,0,0,ROW()-1,60),ROW()-1,FALSE))</f>
        <v/>
      </c>
      <c r="AQ343" t="str">
        <f ca="1">IF(AND(ISNUMBER($AQ$844),$B$511=1),$AQ$844,HLOOKUP(INDIRECT(ADDRESS(2,COLUMN())),OFFSET($BN$2,0,0,ROW()-1,60),ROW()-1,FALSE))</f>
        <v/>
      </c>
      <c r="AR343" t="str">
        <f ca="1">IF(AND(ISNUMBER($AR$844),$B$511=1),$AR$844,HLOOKUP(INDIRECT(ADDRESS(2,COLUMN())),OFFSET($BN$2,0,0,ROW()-1,60),ROW()-1,FALSE))</f>
        <v/>
      </c>
      <c r="AS343" t="str">
        <f ca="1">IF(AND(ISNUMBER($AS$844),$B$511=1),$AS$844,HLOOKUP(INDIRECT(ADDRESS(2,COLUMN())),OFFSET($BN$2,0,0,ROW()-1,60),ROW()-1,FALSE))</f>
        <v/>
      </c>
      <c r="AT343" t="str">
        <f ca="1">IF(AND(ISNUMBER($AT$844),$B$511=1),$AT$844,HLOOKUP(INDIRECT(ADDRESS(2,COLUMN())),OFFSET($BN$2,0,0,ROW()-1,60),ROW()-1,FALSE))</f>
        <v/>
      </c>
      <c r="AU343" t="str">
        <f ca="1">IF(AND(ISNUMBER($AU$844),$B$511=1),$AU$844,HLOOKUP(INDIRECT(ADDRESS(2,COLUMN())),OFFSET($BN$2,0,0,ROW()-1,60),ROW()-1,FALSE))</f>
        <v/>
      </c>
      <c r="AV343" t="str">
        <f ca="1">IF(AND(ISNUMBER($AV$844),$B$511=1),$AV$844,HLOOKUP(INDIRECT(ADDRESS(2,COLUMN())),OFFSET($BN$2,0,0,ROW()-1,60),ROW()-1,FALSE))</f>
        <v/>
      </c>
      <c r="AW343" t="str">
        <f ca="1">IF(AND(ISNUMBER($AW$844),$B$511=1),$AW$844,HLOOKUP(INDIRECT(ADDRESS(2,COLUMN())),OFFSET($BN$2,0,0,ROW()-1,60),ROW()-1,FALSE))</f>
        <v/>
      </c>
      <c r="AX343" t="str">
        <f ca="1">IF(AND(ISNUMBER($AX$844),$B$511=1),$AX$844,HLOOKUP(INDIRECT(ADDRESS(2,COLUMN())),OFFSET($BN$2,0,0,ROW()-1,60),ROW()-1,FALSE))</f>
        <v/>
      </c>
      <c r="AY343" t="str">
        <f ca="1">IF(AND(ISNUMBER($AY$844),$B$511=1),$AY$844,HLOOKUP(INDIRECT(ADDRESS(2,COLUMN())),OFFSET($BN$2,0,0,ROW()-1,60),ROW()-1,FALSE))</f>
        <v/>
      </c>
      <c r="AZ343" t="str">
        <f ca="1">IF(AND(ISNUMBER($AZ$844),$B$511=1),$AZ$844,HLOOKUP(INDIRECT(ADDRESS(2,COLUMN())),OFFSET($BN$2,0,0,ROW()-1,60),ROW()-1,FALSE))</f>
        <v/>
      </c>
      <c r="BA343" t="str">
        <f ca="1">IF(AND(ISNUMBER($BA$844),$B$511=1),$BA$844,HLOOKUP(INDIRECT(ADDRESS(2,COLUMN())),OFFSET($BN$2,0,0,ROW()-1,60),ROW()-1,FALSE))</f>
        <v/>
      </c>
      <c r="BB343" t="str">
        <f ca="1">IF(AND(ISNUMBER($BB$844),$B$511=1),$BB$844,HLOOKUP(INDIRECT(ADDRESS(2,COLUMN())),OFFSET($BN$2,0,0,ROW()-1,60),ROW()-1,FALSE))</f>
        <v/>
      </c>
      <c r="BC343" t="str">
        <f ca="1">IF(AND(ISNUMBER($BC$844),$B$511=1),$BC$844,HLOOKUP(INDIRECT(ADDRESS(2,COLUMN())),OFFSET($BN$2,0,0,ROW()-1,60),ROW()-1,FALSE))</f>
        <v/>
      </c>
      <c r="BD343" t="str">
        <f ca="1">IF(AND(ISNUMBER($BD$844),$B$511=1),$BD$844,HLOOKUP(INDIRECT(ADDRESS(2,COLUMN())),OFFSET($BN$2,0,0,ROW()-1,60),ROW()-1,FALSE))</f>
        <v/>
      </c>
      <c r="BE343" t="str">
        <f ca="1">IF(AND(ISNUMBER($BE$844),$B$511=1),$BE$844,HLOOKUP(INDIRECT(ADDRESS(2,COLUMN())),OFFSET($BN$2,0,0,ROW()-1,60),ROW()-1,FALSE))</f>
        <v/>
      </c>
      <c r="BF343" t="str">
        <f ca="1">IF(AND(ISNUMBER($BF$844),$B$511=1),$BF$844,HLOOKUP(INDIRECT(ADDRESS(2,COLUMN())),OFFSET($BN$2,0,0,ROW()-1,60),ROW()-1,FALSE))</f>
        <v/>
      </c>
      <c r="BG343" t="str">
        <f ca="1">IF(AND(ISNUMBER($BG$844),$B$511=1),$BG$844,HLOOKUP(INDIRECT(ADDRESS(2,COLUMN())),OFFSET($BN$2,0,0,ROW()-1,60),ROW()-1,FALSE))</f>
        <v/>
      </c>
      <c r="BH343" t="str">
        <f ca="1">IF(AND(ISNUMBER($BH$844),$B$511=1),$BH$844,HLOOKUP(INDIRECT(ADDRESS(2,COLUMN())),OFFSET($BN$2,0,0,ROW()-1,60),ROW()-1,FALSE))</f>
        <v/>
      </c>
      <c r="BI343" t="str">
        <f ca="1">IF(AND(ISNUMBER($BI$844),$B$511=1),$BI$844,HLOOKUP(INDIRECT(ADDRESS(2,COLUMN())),OFFSET($BN$2,0,0,ROW()-1,60),ROW()-1,FALSE))</f>
        <v/>
      </c>
      <c r="BJ343" t="str">
        <f ca="1">IF(AND(ISNUMBER($BJ$844),$B$511=1),$BJ$844,HLOOKUP(INDIRECT(ADDRESS(2,COLUMN())),OFFSET($BN$2,0,0,ROW()-1,60),ROW()-1,FALSE))</f>
        <v/>
      </c>
      <c r="BK343" t="str">
        <f ca="1">IF(AND(ISNUMBER($BK$844),$B$511=1),$BK$844,HLOOKUP(INDIRECT(ADDRESS(2,COLUMN())),OFFSET($BN$2,0,0,ROW()-1,60),ROW()-1,FALSE))</f>
        <v/>
      </c>
      <c r="BL343" t="str">
        <f ca="1">IF(AND(ISNUMBER($BL$844),$B$511=1),$BL$844,HLOOKUP(INDIRECT(ADDRESS(2,COLUMN())),OFFSET($BN$2,0,0,ROW()-1,60),ROW()-1,FALSE))</f>
        <v/>
      </c>
      <c r="BM343" t="str">
        <f ca="1">IF(AND(ISNUMBER($BM$844),$B$511=1),$BM$844,HLOOKUP(INDIRECT(ADDRESS(2,COLUMN())),OFFSET($BN$2,0,0,ROW()-1,60),ROW()-1,FALSE))</f>
        <v/>
      </c>
      <c r="BN343" t="str">
        <f>""</f>
        <v/>
      </c>
      <c r="BO343">
        <f>-1.181124303</f>
        <v>-1.181124303</v>
      </c>
      <c r="BP343">
        <f>-1.190440808</f>
        <v>-1.190440808</v>
      </c>
      <c r="BQ343">
        <f>-1.193454423</f>
        <v>-1.1934544229999999</v>
      </c>
      <c r="BR343">
        <f>-1.170666423</f>
        <v>-1.1706664229999999</v>
      </c>
      <c r="BS343">
        <f>-1.129721288</f>
        <v>-1.129721288</v>
      </c>
      <c r="BT343">
        <f>-19.88604727</f>
        <v>-19.886047269999999</v>
      </c>
      <c r="BU343">
        <f>-19.62355207</f>
        <v>-19.623552069999999</v>
      </c>
      <c r="BV343">
        <f>-19.75140793</f>
        <v>-19.751407929999999</v>
      </c>
      <c r="BW343">
        <f>-19.92291621</f>
        <v>-19.92291621</v>
      </c>
      <c r="BX343">
        <f>-314.4265073</f>
        <v>-314.42650730000003</v>
      </c>
      <c r="BY343">
        <f>-314.1253607</f>
        <v>-314.12536069999999</v>
      </c>
      <c r="BZ343">
        <f>-312.5306179</f>
        <v>-312.53061789999998</v>
      </c>
      <c r="CA343">
        <f>-314.1301789</f>
        <v>-314.13017889999998</v>
      </c>
      <c r="CB343">
        <f>0</f>
        <v>0</v>
      </c>
      <c r="CC343">
        <f>0</f>
        <v>0</v>
      </c>
      <c r="CD343">
        <f>0</f>
        <v>0</v>
      </c>
      <c r="CE343">
        <f>0</f>
        <v>0</v>
      </c>
      <c r="CF343" t="str">
        <f>""</f>
        <v/>
      </c>
      <c r="CG343" t="str">
        <f>""</f>
        <v/>
      </c>
      <c r="CH343" t="str">
        <f>""</f>
        <v/>
      </c>
      <c r="CI343" t="str">
        <f>""</f>
        <v/>
      </c>
      <c r="CJ343" t="str">
        <f>""</f>
        <v/>
      </c>
      <c r="CK343" t="str">
        <f>""</f>
        <v/>
      </c>
      <c r="CL343" t="str">
        <f>""</f>
        <v/>
      </c>
      <c r="CM343" t="str">
        <f>""</f>
        <v/>
      </c>
      <c r="CN343" t="str">
        <f>""</f>
        <v/>
      </c>
      <c r="CO343" t="str">
        <f>""</f>
        <v/>
      </c>
      <c r="CP343" t="str">
        <f>""</f>
        <v/>
      </c>
      <c r="CQ343" t="str">
        <f>""</f>
        <v/>
      </c>
      <c r="CR343" t="str">
        <f>""</f>
        <v/>
      </c>
      <c r="CS343" t="str">
        <f>""</f>
        <v/>
      </c>
      <c r="CT343" t="str">
        <f>""</f>
        <v/>
      </c>
      <c r="CU343" t="str">
        <f>""</f>
        <v/>
      </c>
      <c r="CV343" t="str">
        <f>""</f>
        <v/>
      </c>
      <c r="CW343" t="str">
        <f>""</f>
        <v/>
      </c>
      <c r="CX343" t="str">
        <f>""</f>
        <v/>
      </c>
      <c r="CY343" t="str">
        <f>""</f>
        <v/>
      </c>
      <c r="CZ343" t="str">
        <f>""</f>
        <v/>
      </c>
      <c r="DA343" t="str">
        <f>""</f>
        <v/>
      </c>
      <c r="DB343" t="str">
        <f>""</f>
        <v/>
      </c>
      <c r="DC343" t="str">
        <f>""</f>
        <v/>
      </c>
      <c r="DD343" t="str">
        <f>""</f>
        <v/>
      </c>
      <c r="DE343" t="str">
        <f>""</f>
        <v/>
      </c>
      <c r="DF343" t="str">
        <f>""</f>
        <v/>
      </c>
      <c r="DG343" t="str">
        <f>""</f>
        <v/>
      </c>
      <c r="DH343" t="str">
        <f>""</f>
        <v/>
      </c>
      <c r="DI343" t="str">
        <f>""</f>
        <v/>
      </c>
      <c r="DJ343" t="str">
        <f>""</f>
        <v/>
      </c>
      <c r="DK343" t="str">
        <f>""</f>
        <v/>
      </c>
      <c r="DL343" t="str">
        <f>""</f>
        <v/>
      </c>
      <c r="DM343" t="str">
        <f>""</f>
        <v/>
      </c>
      <c r="DN343" t="str">
        <f>""</f>
        <v/>
      </c>
      <c r="DO343" t="str">
        <f>""</f>
        <v/>
      </c>
      <c r="DP343" t="str">
        <f>""</f>
        <v/>
      </c>
      <c r="DQ343" t="str">
        <f>""</f>
        <v/>
      </c>
      <c r="DR343" t="str">
        <f>""</f>
        <v/>
      </c>
      <c r="DS343" t="str">
        <f>""</f>
        <v/>
      </c>
      <c r="DT343" t="str">
        <f>""</f>
        <v/>
      </c>
      <c r="DU343" t="str">
        <f>""</f>
        <v/>
      </c>
    </row>
    <row r="344" spans="1:125" x14ac:dyDescent="0.25">
      <c r="A344" t="str">
        <f>"    Ford Motor Co"</f>
        <v xml:space="preserve">    Ford Motor Co</v>
      </c>
      <c r="B344" t="str">
        <f>"F US Equity"</f>
        <v>F US Equity</v>
      </c>
      <c r="C344" t="str">
        <f t="shared" si="24"/>
        <v>RX530</v>
      </c>
      <c r="D344" t="str">
        <f t="shared" si="25"/>
        <v>T12M_DVDS_PAID</v>
      </c>
      <c r="E344" t="str">
        <f t="shared" si="26"/>
        <v>Dynamic</v>
      </c>
      <c r="F344" t="str">
        <f ca="1">IF(AND(ISNUMBER($F$845),$B$511=1),$F$845,HLOOKUP(INDIRECT(ADDRESS(2,COLUMN())),OFFSET($BN$2,0,0,ROW()-1,60),ROW()-1,FALSE))</f>
        <v/>
      </c>
      <c r="G344">
        <f ca="1">IF(AND(ISNUMBER($G$845),$B$511=1),$G$845,HLOOKUP(INDIRECT(ADDRESS(2,COLUMN())),OFFSET($BN$2,0,0,ROW()-1,60),ROW()-1,FALSE))</f>
        <v>-2905</v>
      </c>
      <c r="H344">
        <f ca="1">IF(AND(ISNUMBER($H$845),$B$511=1),$H$845,HLOOKUP(INDIRECT(ADDRESS(2,COLUMN())),OFFSET($BN$2,0,0,ROW()-1,60),ROW()-1,FALSE))</f>
        <v>-2904</v>
      </c>
      <c r="I344">
        <f ca="1">IF(AND(ISNUMBER($I$845),$B$511=1),$I$845,HLOOKUP(INDIRECT(ADDRESS(2,COLUMN())),OFFSET($BN$2,0,0,ROW()-1,60),ROW()-1,FALSE))</f>
        <v>-2903</v>
      </c>
      <c r="J344">
        <f ca="1">IF(AND(ISNUMBER($J$845),$B$511=1),$J$845,HLOOKUP(INDIRECT(ADDRESS(2,COLUMN())),OFFSET($BN$2,0,0,ROW()-1,60),ROW()-1,FALSE))</f>
        <v>-2902</v>
      </c>
      <c r="K344">
        <f ca="1">IF(AND(ISNUMBER($K$845),$B$511=1),$K$845,HLOOKUP(INDIRECT(ADDRESS(2,COLUMN())),OFFSET($BN$2,0,0,ROW()-1,60),ROW()-1,FALSE))</f>
        <v>-2584</v>
      </c>
      <c r="L344">
        <f ca="1">IF(AND(ISNUMBER($L$845),$B$511=1),$L$845,HLOOKUP(INDIRECT(ADDRESS(2,COLUMN())),OFFSET($BN$2,0,0,ROW()-1,60),ROW()-1,FALSE))</f>
        <v>-2584</v>
      </c>
      <c r="M344">
        <f ca="1">IF(AND(ISNUMBER($M$845),$B$511=1),$M$845,HLOOKUP(INDIRECT(ADDRESS(2,COLUMN())),OFFSET($BN$2,0,0,ROW()-1,60),ROW()-1,FALSE))</f>
        <v>-2584</v>
      </c>
      <c r="N344">
        <f ca="1">IF(AND(ISNUMBER($N$845),$B$511=1),$N$845,HLOOKUP(INDIRECT(ADDRESS(2,COLUMN())),OFFSET($BN$2,0,0,ROW()-1,60),ROW()-1,FALSE))</f>
        <v>-2583</v>
      </c>
      <c r="O344">
        <f ca="1">IF(AND(ISNUMBER($O$845),$B$511=1),$O$845,HLOOKUP(INDIRECT(ADDRESS(2,COLUMN())),OFFSET($BN$2,0,0,ROW()-1,60),ROW()-1,FALSE))</f>
        <v>-3376</v>
      </c>
      <c r="P344">
        <f ca="1">IF(AND(ISNUMBER($P$845),$B$511=1),$P$845,HLOOKUP(INDIRECT(ADDRESS(2,COLUMN())),OFFSET($BN$2,0,0,ROW()-1,60),ROW()-1,FALSE))</f>
        <v>-3375</v>
      </c>
      <c r="Q344">
        <f ca="1">IF(AND(ISNUMBER($Q$845),$B$511=1),$Q$845,HLOOKUP(INDIRECT(ADDRESS(2,COLUMN())),OFFSET($BN$2,0,0,ROW()-1,60),ROW()-1,FALSE))</f>
        <v>-3374</v>
      </c>
      <c r="R344">
        <f ca="1">IF(AND(ISNUMBER($R$845),$B$511=1),$R$845,HLOOKUP(INDIRECT(ADDRESS(2,COLUMN())),OFFSET($BN$2,0,0,ROW()-1,60),ROW()-1,FALSE))</f>
        <v>-3375</v>
      </c>
      <c r="S344">
        <f ca="1">IF(AND(ISNUMBER($S$845),$B$511=1),$S$845,HLOOKUP(INDIRECT(ADDRESS(2,COLUMN())),OFFSET($BN$2,0,0,ROW()-1,60),ROW()-1,FALSE))</f>
        <v>-2380</v>
      </c>
      <c r="T344">
        <f ca="1">IF(AND(ISNUMBER($T$845),$B$511=1),$T$845,HLOOKUP(INDIRECT(ADDRESS(2,COLUMN())),OFFSET($BN$2,0,0,ROW()-1,60),ROW()-1,FALSE))</f>
        <v>-2267</v>
      </c>
      <c r="U344">
        <f ca="1">IF(AND(ISNUMBER($U$845),$B$511=1),$U$845,HLOOKUP(INDIRECT(ADDRESS(2,COLUMN())),OFFSET($BN$2,0,0,ROW()-1,60),ROW()-1,FALSE))</f>
        <v>-2155</v>
      </c>
      <c r="V344">
        <f ca="1">IF(AND(ISNUMBER($V$845),$B$511=1),$V$845,HLOOKUP(INDIRECT(ADDRESS(2,COLUMN())),OFFSET($BN$2,0,0,ROW()-1,60),ROW()-1,FALSE))</f>
        <v>-2052</v>
      </c>
      <c r="W344">
        <f ca="1">IF(AND(ISNUMBER($W$845),$B$511=1),$W$845,HLOOKUP(INDIRECT(ADDRESS(2,COLUMN())),OFFSET($BN$2,0,0,ROW()-1,60),ROW()-1,FALSE))</f>
        <v>-1952</v>
      </c>
      <c r="X344">
        <f ca="1">IF(AND(ISNUMBER($X$845),$B$511=1),$X$845,HLOOKUP(INDIRECT(ADDRESS(2,COLUMN())),OFFSET($BN$2,0,0,ROW()-1,60),ROW()-1,FALSE))</f>
        <v>-1865</v>
      </c>
      <c r="Y344">
        <f ca="1">IF(AND(ISNUMBER($Y$845),$B$511=1),$Y$845,HLOOKUP(INDIRECT(ADDRESS(2,COLUMN())),OFFSET($BN$2,0,0,ROW()-1,60),ROW()-1,FALSE))</f>
        <v>-1776</v>
      </c>
      <c r="Z344">
        <f ca="1">IF(AND(ISNUMBER($Z$845),$B$511=1),$Z$845,HLOOKUP(INDIRECT(ADDRESS(2,COLUMN())),OFFSET($BN$2,0,0,ROW()-1,60),ROW()-1,FALSE))</f>
        <v>-1675</v>
      </c>
      <c r="AA344">
        <f ca="1">IF(AND(ISNUMBER($AA$845),$B$511=1),$AA$845,HLOOKUP(INDIRECT(ADDRESS(2,COLUMN())),OFFSET($BN$2,0,0,ROW()-1,60),ROW()-1,FALSE))</f>
        <v>-1574</v>
      </c>
      <c r="AB344">
        <f ca="1">IF(AND(ISNUMBER($AB$845),$B$511=1),$AB$845,HLOOKUP(INDIRECT(ADDRESS(2,COLUMN())),OFFSET($BN$2,0,0,ROW()-1,60),ROW()-1,FALSE))</f>
        <v>-1370</v>
      </c>
      <c r="AC344">
        <f ca="1">IF(AND(ISNUMBER($AC$845),$B$511=1),$AC$845,HLOOKUP(INDIRECT(ADDRESS(2,COLUMN())),OFFSET($BN$2,0,0,ROW()-1,60),ROW()-1,FALSE))</f>
        <v>-1167</v>
      </c>
      <c r="AD344">
        <f ca="1">IF(AND(ISNUMBER($AD$845),$B$511=1),$AD$845,HLOOKUP(INDIRECT(ADDRESS(2,COLUMN())),OFFSET($BN$2,0,0,ROW()-1,60),ROW()-1,FALSE))</f>
        <v>-965</v>
      </c>
      <c r="AE344">
        <f ca="1">IF(AND(ISNUMBER($AE$845),$B$511=1),$AE$845,HLOOKUP(INDIRECT(ADDRESS(2,COLUMN())),OFFSET($BN$2,0,0,ROW()-1,60),ROW()-1,FALSE))</f>
        <v>-763</v>
      </c>
      <c r="AF344">
        <f ca="1">IF(AND(ISNUMBER($AF$845),$B$511=1),$AF$845,HLOOKUP(INDIRECT(ADDRESS(2,COLUMN())),OFFSET($BN$2,0,0,ROW()-1,60),ROW()-1,FALSE))</f>
        <v>-572</v>
      </c>
      <c r="AG344">
        <f ca="1">IF(AND(ISNUMBER($AG$845),$B$511=1),$AG$845,HLOOKUP(INDIRECT(ADDRESS(2,COLUMN())),OFFSET($BN$2,0,0,ROW()-1,60),ROW()-1,FALSE))</f>
        <v>-381</v>
      </c>
      <c r="AH344">
        <f ca="1">IF(AND(ISNUMBER($AH$845),$B$511=1),$AH$845,HLOOKUP(INDIRECT(ADDRESS(2,COLUMN())),OFFSET($BN$2,0,0,ROW()-1,60),ROW()-1,FALSE))</f>
        <v>-190</v>
      </c>
      <c r="AI344">
        <f ca="1">IF(AND(ISNUMBER($AI$845),$B$511=1),$AI$845,HLOOKUP(INDIRECT(ADDRESS(2,COLUMN())),OFFSET($BN$2,0,0,ROW()-1,60),ROW()-1,FALSE))</f>
        <v>0</v>
      </c>
      <c r="AJ344">
        <f ca="1">IF(AND(ISNUMBER($AJ$845),$B$511=1),$AJ$845,HLOOKUP(INDIRECT(ADDRESS(2,COLUMN())),OFFSET($BN$2,0,0,ROW()-1,60),ROW()-1,FALSE))</f>
        <v>0</v>
      </c>
      <c r="AK344">
        <f ca="1">IF(AND(ISNUMBER($AK$845),$B$511=1),$AK$845,HLOOKUP(INDIRECT(ADDRESS(2,COLUMN())),OFFSET($BN$2,0,0,ROW()-1,60),ROW()-1,FALSE))</f>
        <v>0</v>
      </c>
      <c r="AL344">
        <f ca="1">IF(AND(ISNUMBER($AL$845),$B$511=1),$AL$845,HLOOKUP(INDIRECT(ADDRESS(2,COLUMN())),OFFSET($BN$2,0,0,ROW()-1,60),ROW()-1,FALSE))</f>
        <v>0</v>
      </c>
      <c r="AM344">
        <f ca="1">IF(AND(ISNUMBER($AM$845),$B$511=1),$AM$845,HLOOKUP(INDIRECT(ADDRESS(2,COLUMN())),OFFSET($BN$2,0,0,ROW()-1,60),ROW()-1,FALSE))</f>
        <v>0</v>
      </c>
      <c r="AN344">
        <f ca="1">IF(AND(ISNUMBER($AN$845),$B$511=1),$AN$845,HLOOKUP(INDIRECT(ADDRESS(2,COLUMN())),OFFSET($BN$2,0,0,ROW()-1,60),ROW()-1,FALSE))</f>
        <v>0</v>
      </c>
      <c r="AO344">
        <f ca="1">IF(AND(ISNUMBER($AO$845),$B$511=1),$AO$845,HLOOKUP(INDIRECT(ADDRESS(2,COLUMN())),OFFSET($BN$2,0,0,ROW()-1,60),ROW()-1,FALSE))</f>
        <v>0</v>
      </c>
      <c r="AP344">
        <f ca="1">IF(AND(ISNUMBER($AP$845),$B$511=1),$AP$845,HLOOKUP(INDIRECT(ADDRESS(2,COLUMN())),OFFSET($BN$2,0,0,ROW()-1,60),ROW()-1,FALSE))</f>
        <v>0</v>
      </c>
      <c r="AQ344">
        <f ca="1">IF(AND(ISNUMBER($AQ$845),$B$511=1),$AQ$845,HLOOKUP(INDIRECT(ADDRESS(2,COLUMN())),OFFSET($BN$2,0,0,ROW()-1,60),ROW()-1,FALSE))</f>
        <v>0</v>
      </c>
      <c r="AR344">
        <f ca="1">IF(AND(ISNUMBER($AR$845),$B$511=1),$AR$845,HLOOKUP(INDIRECT(ADDRESS(2,COLUMN())),OFFSET($BN$2,0,0,ROW()-1,60),ROW()-1,FALSE))</f>
        <v>0</v>
      </c>
      <c r="AS344">
        <f ca="1">IF(AND(ISNUMBER($AS$845),$B$511=1),$AS$845,HLOOKUP(INDIRECT(ADDRESS(2,COLUMN())),OFFSET($BN$2,0,0,ROW()-1,60),ROW()-1,FALSE))</f>
        <v>0</v>
      </c>
      <c r="AT344">
        <f ca="1">IF(AND(ISNUMBER($AT$845),$B$511=1),$AT$845,HLOOKUP(INDIRECT(ADDRESS(2,COLUMN())),OFFSET($BN$2,0,0,ROW()-1,60),ROW()-1,FALSE))</f>
        <v>0</v>
      </c>
      <c r="AU344">
        <f ca="1">IF(AND(ISNUMBER($AU$845),$B$511=1),$AU$845,HLOOKUP(INDIRECT(ADDRESS(2,COLUMN())),OFFSET($BN$2,0,0,ROW()-1,60),ROW()-1,FALSE))</f>
        <v>0</v>
      </c>
      <c r="AV344">
        <f ca="1">IF(AND(ISNUMBER($AV$845),$B$511=1),$AV$845,HLOOKUP(INDIRECT(ADDRESS(2,COLUMN())),OFFSET($BN$2,0,0,ROW()-1,60),ROW()-1,FALSE))</f>
        <v>0</v>
      </c>
      <c r="AW344">
        <f ca="1">IF(AND(ISNUMBER($AW$845),$B$511=1),$AW$845,HLOOKUP(INDIRECT(ADDRESS(2,COLUMN())),OFFSET($BN$2,0,0,ROW()-1,60),ROW()-1,FALSE))</f>
        <v>0</v>
      </c>
      <c r="AX344">
        <f ca="1">IF(AND(ISNUMBER($AX$845),$B$511=1),$AX$845,HLOOKUP(INDIRECT(ADDRESS(2,COLUMN())),OFFSET($BN$2,0,0,ROW()-1,60),ROW()-1,FALSE))</f>
        <v>0</v>
      </c>
      <c r="AY344">
        <f ca="1">IF(AND(ISNUMBER($AY$845),$B$511=1),$AY$845,HLOOKUP(INDIRECT(ADDRESS(2,COLUMN())),OFFSET($BN$2,0,0,ROW()-1,60),ROW()-1,FALSE))</f>
        <v>0</v>
      </c>
      <c r="AZ344">
        <f ca="1">IF(AND(ISNUMBER($AZ$845),$B$511=1),$AZ$845,HLOOKUP(INDIRECT(ADDRESS(2,COLUMN())),OFFSET($BN$2,0,0,ROW()-1,60),ROW()-1,FALSE))</f>
        <v>0</v>
      </c>
      <c r="BA344">
        <f ca="1">IF(AND(ISNUMBER($BA$845),$B$511=1),$BA$845,HLOOKUP(INDIRECT(ADDRESS(2,COLUMN())),OFFSET($BN$2,0,0,ROW()-1,60),ROW()-1,FALSE))</f>
        <v>-94</v>
      </c>
      <c r="BB344">
        <f ca="1">IF(AND(ISNUMBER($BB$845),$B$511=1),$BB$845,HLOOKUP(INDIRECT(ADDRESS(2,COLUMN())),OFFSET($BN$2,0,0,ROW()-1,60),ROW()-1,FALSE))</f>
        <v>-282</v>
      </c>
      <c r="BC344">
        <f ca="1">IF(AND(ISNUMBER($BC$845),$B$511=1),$BC$845,HLOOKUP(INDIRECT(ADDRESS(2,COLUMN())),OFFSET($BN$2,0,0,ROW()-1,60),ROW()-1,FALSE))</f>
        <v>-468</v>
      </c>
      <c r="BD344">
        <f ca="1">IF(AND(ISNUMBER($BD$845),$B$511=1),$BD$845,HLOOKUP(INDIRECT(ADDRESS(2,COLUMN())),OFFSET($BN$2,0,0,ROW()-1,60),ROW()-1,FALSE))</f>
        <v>-654</v>
      </c>
      <c r="BE344">
        <f ca="1">IF(AND(ISNUMBER($BE$845),$B$511=1),$BE$845,HLOOKUP(INDIRECT(ADDRESS(2,COLUMN())),OFFSET($BN$2,0,0,ROW()-1,60),ROW()-1,FALSE))</f>
        <v>-745</v>
      </c>
      <c r="BF344">
        <f ca="1">IF(AND(ISNUMBER($BF$845),$B$511=1),$BF$845,HLOOKUP(INDIRECT(ADDRESS(2,COLUMN())),OFFSET($BN$2,0,0,ROW()-1,60),ROW()-1,FALSE))</f>
        <v>-741</v>
      </c>
      <c r="BG344">
        <f ca="1">IF(AND(ISNUMBER($BG$845),$B$511=1),$BG$845,HLOOKUP(INDIRECT(ADDRESS(2,COLUMN())),OFFSET($BN$2,0,0,ROW()-1,60),ROW()-1,FALSE))</f>
        <v>-738</v>
      </c>
      <c r="BH344">
        <f ca="1">IF(AND(ISNUMBER($BH$845),$B$511=1),$BH$845,HLOOKUP(INDIRECT(ADDRESS(2,COLUMN())),OFFSET($BN$2,0,0,ROW()-1,60),ROW()-1,FALSE))</f>
        <v>-736</v>
      </c>
      <c r="BI344">
        <f ca="1">IF(AND(ISNUMBER($BI$845),$B$511=1),$BI$845,HLOOKUP(INDIRECT(ADDRESS(2,COLUMN())),OFFSET($BN$2,0,0,ROW()-1,60),ROW()-1,FALSE))</f>
        <v>-734</v>
      </c>
      <c r="BJ344">
        <f ca="1">IF(AND(ISNUMBER($BJ$845),$B$511=1),$BJ$845,HLOOKUP(INDIRECT(ADDRESS(2,COLUMN())),OFFSET($BN$2,0,0,ROW()-1,60),ROW()-1,FALSE))</f>
        <v>-733</v>
      </c>
      <c r="BK344">
        <f ca="1">IF(AND(ISNUMBER($BK$845),$B$511=1),$BK$845,HLOOKUP(INDIRECT(ADDRESS(2,COLUMN())),OFFSET($BN$2,0,0,ROW()-1,60),ROW()-1,FALSE))</f>
        <v>-733</v>
      </c>
      <c r="BL344">
        <f ca="1">IF(AND(ISNUMBER($BL$845),$B$511=1),$BL$845,HLOOKUP(INDIRECT(ADDRESS(2,COLUMN())),OFFSET($BN$2,0,0,ROW()-1,60),ROW()-1,FALSE))</f>
        <v>-733</v>
      </c>
      <c r="BM344">
        <f ca="1">IF(AND(ISNUMBER($BM$845),$B$511=1),$BM$845,HLOOKUP(INDIRECT(ADDRESS(2,COLUMN())),OFFSET($BN$2,0,0,ROW()-1,60),ROW()-1,FALSE))</f>
        <v>-733</v>
      </c>
      <c r="BN344" t="str">
        <f>""</f>
        <v/>
      </c>
      <c r="BO344">
        <f>-2905</f>
        <v>-2905</v>
      </c>
      <c r="BP344">
        <f>-2904</f>
        <v>-2904</v>
      </c>
      <c r="BQ344">
        <f>-2903</f>
        <v>-2903</v>
      </c>
      <c r="BR344">
        <f>-2902</f>
        <v>-2902</v>
      </c>
      <c r="BS344">
        <f>-2584</f>
        <v>-2584</v>
      </c>
      <c r="BT344">
        <f>-2584</f>
        <v>-2584</v>
      </c>
      <c r="BU344">
        <f>-2584</f>
        <v>-2584</v>
      </c>
      <c r="BV344">
        <f>-2583</f>
        <v>-2583</v>
      </c>
      <c r="BW344">
        <f>-3376</f>
        <v>-3376</v>
      </c>
      <c r="BX344">
        <f>-3375</f>
        <v>-3375</v>
      </c>
      <c r="BY344">
        <f>-3374</f>
        <v>-3374</v>
      </c>
      <c r="BZ344">
        <f>-3375</f>
        <v>-3375</v>
      </c>
      <c r="CA344">
        <f>-2380</f>
        <v>-2380</v>
      </c>
      <c r="CB344">
        <f>-2267</f>
        <v>-2267</v>
      </c>
      <c r="CC344">
        <f>-2155</f>
        <v>-2155</v>
      </c>
      <c r="CD344">
        <f>-2052</f>
        <v>-2052</v>
      </c>
      <c r="CE344">
        <f>-1952</f>
        <v>-1952</v>
      </c>
      <c r="CF344">
        <f>-1865</f>
        <v>-1865</v>
      </c>
      <c r="CG344">
        <f>-1776</f>
        <v>-1776</v>
      </c>
      <c r="CH344">
        <f>-1675</f>
        <v>-1675</v>
      </c>
      <c r="CI344">
        <f>-1574</f>
        <v>-1574</v>
      </c>
      <c r="CJ344">
        <f>-1370</f>
        <v>-1370</v>
      </c>
      <c r="CK344">
        <f>-1167</f>
        <v>-1167</v>
      </c>
      <c r="CL344">
        <f>-965</f>
        <v>-965</v>
      </c>
      <c r="CM344">
        <f>-763</f>
        <v>-763</v>
      </c>
      <c r="CN344">
        <f>-572</f>
        <v>-572</v>
      </c>
      <c r="CO344">
        <f>-381</f>
        <v>-381</v>
      </c>
      <c r="CP344">
        <f>-190</f>
        <v>-190</v>
      </c>
      <c r="CQ344">
        <f>0</f>
        <v>0</v>
      </c>
      <c r="CR344">
        <f>0</f>
        <v>0</v>
      </c>
      <c r="CS344">
        <f>0</f>
        <v>0</v>
      </c>
      <c r="CT344">
        <f>0</f>
        <v>0</v>
      </c>
      <c r="CU344">
        <f>0</f>
        <v>0</v>
      </c>
      <c r="CV344">
        <f>0</f>
        <v>0</v>
      </c>
      <c r="CW344">
        <f>0</f>
        <v>0</v>
      </c>
      <c r="CX344">
        <f>0</f>
        <v>0</v>
      </c>
      <c r="CY344">
        <f>0</f>
        <v>0</v>
      </c>
      <c r="CZ344">
        <f>0</f>
        <v>0</v>
      </c>
      <c r="DA344">
        <f>0</f>
        <v>0</v>
      </c>
      <c r="DB344">
        <f>0</f>
        <v>0</v>
      </c>
      <c r="DC344">
        <f>0</f>
        <v>0</v>
      </c>
      <c r="DD344">
        <f>0</f>
        <v>0</v>
      </c>
      <c r="DE344">
        <f>0</f>
        <v>0</v>
      </c>
      <c r="DF344">
        <f>0</f>
        <v>0</v>
      </c>
      <c r="DG344">
        <f>0</f>
        <v>0</v>
      </c>
      <c r="DH344">
        <f>0</f>
        <v>0</v>
      </c>
      <c r="DI344">
        <f>-94</f>
        <v>-94</v>
      </c>
      <c r="DJ344">
        <f>-282</f>
        <v>-282</v>
      </c>
      <c r="DK344">
        <f>-468</f>
        <v>-468</v>
      </c>
      <c r="DL344">
        <f>-654</f>
        <v>-654</v>
      </c>
      <c r="DM344">
        <f>-745</f>
        <v>-745</v>
      </c>
      <c r="DN344">
        <f>-741</f>
        <v>-741</v>
      </c>
      <c r="DO344">
        <f>-738</f>
        <v>-738</v>
      </c>
      <c r="DP344">
        <f>-736</f>
        <v>-736</v>
      </c>
      <c r="DQ344">
        <f>-734</f>
        <v>-734</v>
      </c>
      <c r="DR344">
        <f>-733</f>
        <v>-733</v>
      </c>
      <c r="DS344">
        <f>-733</f>
        <v>-733</v>
      </c>
      <c r="DT344">
        <f>-733</f>
        <v>-733</v>
      </c>
      <c r="DU344">
        <f>-733</f>
        <v>-733</v>
      </c>
    </row>
    <row r="345" spans="1:125" x14ac:dyDescent="0.25">
      <c r="A345" t="str">
        <f>"    Ford Otomotiv Sanayi AS"</f>
        <v xml:space="preserve">    Ford Otomotiv Sanayi AS</v>
      </c>
      <c r="B345" t="str">
        <f>"FROTOTRY EO Equity"</f>
        <v>FROTOTRY EO Equity</v>
      </c>
      <c r="C345" t="str">
        <f t="shared" si="24"/>
        <v>RX530</v>
      </c>
      <c r="D345" t="str">
        <f t="shared" si="25"/>
        <v>T12M_DVDS_PAID</v>
      </c>
      <c r="E345" t="str">
        <f t="shared" si="26"/>
        <v>Dynamic</v>
      </c>
      <c r="F345" t="str">
        <f ca="1">IF(AND(ISNUMBER($F$846),$B$511=1),$F$846,HLOOKUP(INDIRECT(ADDRESS(2,COLUMN())),OFFSET($BN$2,0,0,ROW()-1,60),ROW()-1,FALSE))</f>
        <v/>
      </c>
      <c r="G345">
        <f ca="1">IF(AND(ISNUMBER($G$846),$B$511=1),$G$846,HLOOKUP(INDIRECT(ADDRESS(2,COLUMN())),OFFSET($BN$2,0,0,ROW()-1,60),ROW()-1,FALSE))</f>
        <v>-256.675724</v>
      </c>
      <c r="H345">
        <f ca="1">IF(AND(ISNUMBER($H$846),$B$511=1),$H$846,HLOOKUP(INDIRECT(ADDRESS(2,COLUMN())),OFFSET($BN$2,0,0,ROW()-1,60),ROW()-1,FALSE))</f>
        <v>-277.93623250000002</v>
      </c>
      <c r="I345">
        <f ca="1">IF(AND(ISNUMBER($I$846),$B$511=1),$I$846,HLOOKUP(INDIRECT(ADDRESS(2,COLUMN())),OFFSET($BN$2,0,0,ROW()-1,60),ROW()-1,FALSE))</f>
        <v>-309.12240489999999</v>
      </c>
      <c r="J345">
        <f ca="1">IF(AND(ISNUMBER($J$846),$B$511=1),$J$846,HLOOKUP(INDIRECT(ADDRESS(2,COLUMN())),OFFSET($BN$2,0,0,ROW()-1,60),ROW()-1,FALSE))</f>
        <v>-215.0560596</v>
      </c>
      <c r="K345">
        <f ca="1">IF(AND(ISNUMBER($K$846),$B$511=1),$K$846,HLOOKUP(INDIRECT(ADDRESS(2,COLUMN())),OFFSET($BN$2,0,0,ROW()-1,60),ROW()-1,FALSE))</f>
        <v>-216.76912250000001</v>
      </c>
      <c r="L345">
        <f ca="1">IF(AND(ISNUMBER($L$846),$B$511=1),$L$846,HLOOKUP(INDIRECT(ADDRESS(2,COLUMN())),OFFSET($BN$2,0,0,ROW()-1,60),ROW()-1,FALSE))</f>
        <v>-202.95194770000001</v>
      </c>
      <c r="M345">
        <f ca="1">IF(AND(ISNUMBER($M$846),$B$511=1),$M$846,HLOOKUP(INDIRECT(ADDRESS(2,COLUMN())),OFFSET($BN$2,0,0,ROW()-1,60),ROW()-1,FALSE))</f>
        <v>-212.41810720000001</v>
      </c>
      <c r="N345">
        <f ca="1">IF(AND(ISNUMBER($N$846),$B$511=1),$N$846,HLOOKUP(INDIRECT(ADDRESS(2,COLUMN())),OFFSET($BN$2,0,0,ROW()-1,60),ROW()-1,FALSE))</f>
        <v>-208.62770649999999</v>
      </c>
      <c r="O345">
        <f ca="1">IF(AND(ISNUMBER($O$846),$B$511=1),$O$846,HLOOKUP(INDIRECT(ADDRESS(2,COLUMN())),OFFSET($BN$2,0,0,ROW()-1,60),ROW()-1,FALSE))</f>
        <v>-220.05160280000001</v>
      </c>
      <c r="P345">
        <f ca="1">IF(AND(ISNUMBER($P$846),$B$511=1),$P$846,HLOOKUP(INDIRECT(ADDRESS(2,COLUMN())),OFFSET($BN$2,0,0,ROW()-1,60),ROW()-1,FALSE))</f>
        <v>-188.18957639999999</v>
      </c>
      <c r="Q345">
        <f ca="1">IF(AND(ISNUMBER($Q$846),$B$511=1),$Q$846,HLOOKUP(INDIRECT(ADDRESS(2,COLUMN())),OFFSET($BN$2,0,0,ROW()-1,60),ROW()-1,FALSE))</f>
        <v>-190.11035960000001</v>
      </c>
      <c r="R345">
        <f ca="1">IF(AND(ISNUMBER($R$846),$B$511=1),$R$846,HLOOKUP(INDIRECT(ADDRESS(2,COLUMN())),OFFSET($BN$2,0,0,ROW()-1,60),ROW()-1,FALSE))</f>
        <v>-70.506298959999995</v>
      </c>
      <c r="S345">
        <f ca="1">IF(AND(ISNUMBER($S$846),$B$511=1),$S$846,HLOOKUP(INDIRECT(ADDRESS(2,COLUMN())),OFFSET($BN$2,0,0,ROW()-1,60),ROW()-1,FALSE))</f>
        <v>-147.55708469999999</v>
      </c>
      <c r="T345">
        <f ca="1">IF(AND(ISNUMBER($T$846),$B$511=1),$T$846,HLOOKUP(INDIRECT(ADDRESS(2,COLUMN())),OFFSET($BN$2,0,0,ROW()-1,60),ROW()-1,FALSE))</f>
        <v>-147.83204900000001</v>
      </c>
      <c r="U345">
        <f ca="1">IF(AND(ISNUMBER($U$846),$B$511=1),$U$846,HLOOKUP(INDIRECT(ADDRESS(2,COLUMN())),OFFSET($BN$2,0,0,ROW()-1,60),ROW()-1,FALSE))</f>
        <v>-158.41067340000001</v>
      </c>
      <c r="V345">
        <f ca="1">IF(AND(ISNUMBER($V$846),$B$511=1),$V$846,HLOOKUP(INDIRECT(ADDRESS(2,COLUMN())),OFFSET($BN$2,0,0,ROW()-1,60),ROW()-1,FALSE))</f>
        <v>-167.6116644</v>
      </c>
      <c r="W345">
        <f ca="1">IF(AND(ISNUMBER($W$846),$B$511=1),$W$846,HLOOKUP(INDIRECT(ADDRESS(2,COLUMN())),OFFSET($BN$2,0,0,ROW()-1,60),ROW()-1,FALSE))</f>
        <v>-80.28077906</v>
      </c>
      <c r="X345">
        <f ca="1">IF(AND(ISNUMBER($X$846),$B$511=1),$X$846,HLOOKUP(INDIRECT(ADDRESS(2,COLUMN())),OFFSET($BN$2,0,0,ROW()-1,60),ROW()-1,FALSE))</f>
        <v>0</v>
      </c>
      <c r="Y345">
        <f ca="1">IF(AND(ISNUMBER($Y$846),$B$511=1),$Y$846,HLOOKUP(INDIRECT(ADDRESS(2,COLUMN())),OFFSET($BN$2,0,0,ROW()-1,60),ROW()-1,FALSE))</f>
        <v>0</v>
      </c>
      <c r="Z345">
        <f ca="1">IF(AND(ISNUMBER($Z$846),$B$511=1),$Z$846,HLOOKUP(INDIRECT(ADDRESS(2,COLUMN())),OFFSET($BN$2,0,0,ROW()-1,60),ROW()-1,FALSE))</f>
        <v>0</v>
      </c>
      <c r="AA345">
        <f ca="1">IF(AND(ISNUMBER($AA$846),$B$511=1),$AA$846,HLOOKUP(INDIRECT(ADDRESS(2,COLUMN())),OFFSET($BN$2,0,0,ROW()-1,60),ROW()-1,FALSE))</f>
        <v>-157.89395099999999</v>
      </c>
      <c r="AB345">
        <f ca="1">IF(AND(ISNUMBER($AB$846),$B$511=1),$AB$846,HLOOKUP(INDIRECT(ADDRESS(2,COLUMN())),OFFSET($BN$2,0,0,ROW()-1,60),ROW()-1,FALSE))</f>
        <v>-286.37003629999998</v>
      </c>
      <c r="AC345">
        <f ca="1">IF(AND(ISNUMBER($AC$846),$B$511=1),$AC$846,HLOOKUP(INDIRECT(ADDRESS(2,COLUMN())),OFFSET($BN$2,0,0,ROW()-1,60),ROW()-1,FALSE))</f>
        <v>-292.59013099999999</v>
      </c>
      <c r="AD345">
        <f ca="1">IF(AND(ISNUMBER($AD$846),$B$511=1),$AD$846,HLOOKUP(INDIRECT(ADDRESS(2,COLUMN())),OFFSET($BN$2,0,0,ROW()-1,60),ROW()-1,FALSE))</f>
        <v>-293.8545436</v>
      </c>
      <c r="AE345">
        <f ca="1">IF(AND(ISNUMBER($AE$846),$B$511=1),$AE$846,HLOOKUP(INDIRECT(ADDRESS(2,COLUMN())),OFFSET($BN$2,0,0,ROW()-1,60),ROW()-1,FALSE))</f>
        <v>-321.67820160000002</v>
      </c>
      <c r="AF345">
        <f ca="1">IF(AND(ISNUMBER($AF$846),$B$511=1),$AF$846,HLOOKUP(INDIRECT(ADDRESS(2,COLUMN())),OFFSET($BN$2,0,0,ROW()-1,60),ROW()-1,FALSE))</f>
        <v>-313.77007279999998</v>
      </c>
      <c r="AG345">
        <f ca="1">IF(AND(ISNUMBER($AG$846),$B$511=1),$AG$846,HLOOKUP(INDIRECT(ADDRESS(2,COLUMN())),OFFSET($BN$2,0,0,ROW()-1,60),ROW()-1,FALSE))</f>
        <v>-316.8760206</v>
      </c>
      <c r="AH345">
        <f ca="1">IF(AND(ISNUMBER($AH$846),$B$511=1),$AH$846,HLOOKUP(INDIRECT(ADDRESS(2,COLUMN())),OFFSET($BN$2,0,0,ROW()-1,60),ROW()-1,FALSE))</f>
        <v>-328.84101659999999</v>
      </c>
      <c r="AI345">
        <f ca="1">IF(AND(ISNUMBER($AI$846),$B$511=1),$AI$846,HLOOKUP(INDIRECT(ADDRESS(2,COLUMN())),OFFSET($BN$2,0,0,ROW()-1,60),ROW()-1,FALSE))</f>
        <v>-310.3193</v>
      </c>
      <c r="AJ345">
        <f ca="1">IF(AND(ISNUMBER($AJ$846),$B$511=1),$AJ$846,HLOOKUP(INDIRECT(ADDRESS(2,COLUMN())),OFFSET($BN$2,0,0,ROW()-1,60),ROW()-1,FALSE))</f>
        <v>-279.77633530000003</v>
      </c>
      <c r="AK345">
        <f ca="1">IF(AND(ISNUMBER($AK$846),$B$511=1),$AK$846,HLOOKUP(INDIRECT(ADDRESS(2,COLUMN())),OFFSET($BN$2,0,0,ROW()-1,60),ROW()-1,FALSE))</f>
        <v>-289.22351839999999</v>
      </c>
      <c r="AL345">
        <f ca="1">IF(AND(ISNUMBER($AL$846),$B$511=1),$AL$846,HLOOKUP(INDIRECT(ADDRESS(2,COLUMN())),OFFSET($BN$2,0,0,ROW()-1,60),ROW()-1,FALSE))</f>
        <v>-290.45691399999998</v>
      </c>
      <c r="AM345">
        <f ca="1">IF(AND(ISNUMBER($AM$846),$B$511=1),$AM$846,HLOOKUP(INDIRECT(ADDRESS(2,COLUMN())),OFFSET($BN$2,0,0,ROW()-1,60),ROW()-1,FALSE))</f>
        <v>-265.6099284</v>
      </c>
      <c r="AN345">
        <f ca="1">IF(AND(ISNUMBER($AN$846),$B$511=1),$AN$846,HLOOKUP(INDIRECT(ADDRESS(2,COLUMN())),OFFSET($BN$2,0,0,ROW()-1,60),ROW()-1,FALSE))</f>
        <v>-373.34182099999998</v>
      </c>
      <c r="AO345">
        <f ca="1">IF(AND(ISNUMBER($AO$846),$B$511=1),$AO$846,HLOOKUP(INDIRECT(ADDRESS(2,COLUMN())),OFFSET($BN$2,0,0,ROW()-1,60),ROW()-1,FALSE))</f>
        <v>-374.2888312</v>
      </c>
      <c r="AP345">
        <f ca="1">IF(AND(ISNUMBER($AP$846),$B$511=1),$AP$846,HLOOKUP(INDIRECT(ADDRESS(2,COLUMN())),OFFSET($BN$2,0,0,ROW()-1,60),ROW()-1,FALSE))</f>
        <v>-372.58805319999999</v>
      </c>
      <c r="AQ345">
        <f ca="1">IF(AND(ISNUMBER($AQ$846),$B$511=1),$AQ$846,HLOOKUP(INDIRECT(ADDRESS(2,COLUMN())),OFFSET($BN$2,0,0,ROW()-1,60),ROW()-1,FALSE))</f>
        <v>-255.7167067</v>
      </c>
      <c r="AR345">
        <f ca="1">IF(AND(ISNUMBER($AR$846),$B$511=1),$AR$846,HLOOKUP(INDIRECT(ADDRESS(2,COLUMN())),OFFSET($BN$2,0,0,ROW()-1,60),ROW()-1,FALSE))</f>
        <v>-181.97566749999999</v>
      </c>
      <c r="AS345">
        <f ca="1">IF(AND(ISNUMBER($AS$846),$B$511=1),$AS$846,HLOOKUP(INDIRECT(ADDRESS(2,COLUMN())),OFFSET($BN$2,0,0,ROW()-1,60),ROW()-1,FALSE))</f>
        <v>-193.32380180000001</v>
      </c>
      <c r="AT345">
        <f ca="1">IF(AND(ISNUMBER($AT$846),$B$511=1),$AT$846,HLOOKUP(INDIRECT(ADDRESS(2,COLUMN())),OFFSET($BN$2,0,0,ROW()-1,60),ROW()-1,FALSE))</f>
        <v>-381.0189507</v>
      </c>
      <c r="AU345" t="str">
        <f ca="1">IF(AND(ISNUMBER($AU$846),$B$511=1),$AU$846,HLOOKUP(INDIRECT(ADDRESS(2,COLUMN())),OFFSET($BN$2,0,0,ROW()-1,60),ROW()-1,FALSE))</f>
        <v/>
      </c>
      <c r="AV345" t="str">
        <f ca="1">IF(AND(ISNUMBER($AV$846),$B$511=1),$AV$846,HLOOKUP(INDIRECT(ADDRESS(2,COLUMN())),OFFSET($BN$2,0,0,ROW()-1,60),ROW()-1,FALSE))</f>
        <v/>
      </c>
      <c r="AW345" t="str">
        <f ca="1">IF(AND(ISNUMBER($AW$846),$B$511=1),$AW$846,HLOOKUP(INDIRECT(ADDRESS(2,COLUMN())),OFFSET($BN$2,0,0,ROW()-1,60),ROW()-1,FALSE))</f>
        <v/>
      </c>
      <c r="AX345" t="str">
        <f ca="1">IF(AND(ISNUMBER($AX$846),$B$511=1),$AX$846,HLOOKUP(INDIRECT(ADDRESS(2,COLUMN())),OFFSET($BN$2,0,0,ROW()-1,60),ROW()-1,FALSE))</f>
        <v/>
      </c>
      <c r="AY345" t="str">
        <f ca="1">IF(AND(ISNUMBER($AY$846),$B$511=1),$AY$846,HLOOKUP(INDIRECT(ADDRESS(2,COLUMN())),OFFSET($BN$2,0,0,ROW()-1,60),ROW()-1,FALSE))</f>
        <v/>
      </c>
      <c r="AZ345" t="str">
        <f ca="1">IF(AND(ISNUMBER($AZ$846),$B$511=1),$AZ$846,HLOOKUP(INDIRECT(ADDRESS(2,COLUMN())),OFFSET($BN$2,0,0,ROW()-1,60),ROW()-1,FALSE))</f>
        <v/>
      </c>
      <c r="BA345" t="str">
        <f ca="1">IF(AND(ISNUMBER($BA$846),$B$511=1),$BA$846,HLOOKUP(INDIRECT(ADDRESS(2,COLUMN())),OFFSET($BN$2,0,0,ROW()-1,60),ROW()-1,FALSE))</f>
        <v/>
      </c>
      <c r="BB345" t="str">
        <f ca="1">IF(AND(ISNUMBER($BB$846),$B$511=1),$BB$846,HLOOKUP(INDIRECT(ADDRESS(2,COLUMN())),OFFSET($BN$2,0,0,ROW()-1,60),ROW()-1,FALSE))</f>
        <v/>
      </c>
      <c r="BC345">
        <f ca="1">IF(AND(ISNUMBER($BC$846),$B$511=1),$BC$846,HLOOKUP(INDIRECT(ADDRESS(2,COLUMN())),OFFSET($BN$2,0,0,ROW()-1,60),ROW()-1,FALSE))</f>
        <v>-314.93513789999997</v>
      </c>
      <c r="BD345">
        <f ca="1">IF(AND(ISNUMBER($BD$846),$B$511=1),$BD$846,HLOOKUP(INDIRECT(ADDRESS(2,COLUMN())),OFFSET($BN$2,0,0,ROW()-1,60),ROW()-1,FALSE))</f>
        <v>-378.01274539999997</v>
      </c>
      <c r="BE345">
        <f ca="1">IF(AND(ISNUMBER($BE$846),$B$511=1),$BE$846,HLOOKUP(INDIRECT(ADDRESS(2,COLUMN())),OFFSET($BN$2,0,0,ROW()-1,60),ROW()-1,FALSE))</f>
        <v>-299.97125510000001</v>
      </c>
      <c r="BF345">
        <f ca="1">IF(AND(ISNUMBER($BF$846),$B$511=1),$BF$846,HLOOKUP(INDIRECT(ADDRESS(2,COLUMN())),OFFSET($BN$2,0,0,ROW()-1,60),ROW()-1,FALSE))</f>
        <v>-304.5111819</v>
      </c>
      <c r="BG345">
        <f ca="1">IF(AND(ISNUMBER($BG$846),$B$511=1),$BG$846,HLOOKUP(INDIRECT(ADDRESS(2,COLUMN())),OFFSET($BN$2,0,0,ROW()-1,60),ROW()-1,FALSE))</f>
        <v>-330.87581349999999</v>
      </c>
      <c r="BH345" t="str">
        <f ca="1">IF(AND(ISNUMBER($BH$846),$B$511=1),$BH$846,HLOOKUP(INDIRECT(ADDRESS(2,COLUMN())),OFFSET($BN$2,0,0,ROW()-1,60),ROW()-1,FALSE))</f>
        <v/>
      </c>
      <c r="BI345" t="str">
        <f ca="1">IF(AND(ISNUMBER($BI$846),$B$511=1),$BI$846,HLOOKUP(INDIRECT(ADDRESS(2,COLUMN())),OFFSET($BN$2,0,0,ROW()-1,60),ROW()-1,FALSE))</f>
        <v/>
      </c>
      <c r="BJ345" t="str">
        <f ca="1">IF(AND(ISNUMBER($BJ$846),$B$511=1),$BJ$846,HLOOKUP(INDIRECT(ADDRESS(2,COLUMN())),OFFSET($BN$2,0,0,ROW()-1,60),ROW()-1,FALSE))</f>
        <v/>
      </c>
      <c r="BK345" t="str">
        <f ca="1">IF(AND(ISNUMBER($BK$846),$B$511=1),$BK$846,HLOOKUP(INDIRECT(ADDRESS(2,COLUMN())),OFFSET($BN$2,0,0,ROW()-1,60),ROW()-1,FALSE))</f>
        <v/>
      </c>
      <c r="BL345" t="str">
        <f ca="1">IF(AND(ISNUMBER($BL$846),$B$511=1),$BL$846,HLOOKUP(INDIRECT(ADDRESS(2,COLUMN())),OFFSET($BN$2,0,0,ROW()-1,60),ROW()-1,FALSE))</f>
        <v/>
      </c>
      <c r="BM345" t="str">
        <f ca="1">IF(AND(ISNUMBER($BM$846),$B$511=1),$BM$846,HLOOKUP(INDIRECT(ADDRESS(2,COLUMN())),OFFSET($BN$2,0,0,ROW()-1,60),ROW()-1,FALSE))</f>
        <v/>
      </c>
      <c r="BN345" t="str">
        <f>""</f>
        <v/>
      </c>
      <c r="BO345">
        <f>-256.675724</f>
        <v>-256.675724</v>
      </c>
      <c r="BP345">
        <f>-277.9362325</f>
        <v>-277.93623250000002</v>
      </c>
      <c r="BQ345">
        <f>-309.1224049</f>
        <v>-309.12240489999999</v>
      </c>
      <c r="BR345">
        <f>-215.0560596</f>
        <v>-215.0560596</v>
      </c>
      <c r="BS345">
        <f>-216.7691225</f>
        <v>-216.76912250000001</v>
      </c>
      <c r="BT345">
        <f>-202.9519477</f>
        <v>-202.95194770000001</v>
      </c>
      <c r="BU345">
        <f>-212.4181072</f>
        <v>-212.41810720000001</v>
      </c>
      <c r="BV345">
        <f>-208.6277065</f>
        <v>-208.62770649999999</v>
      </c>
      <c r="BW345">
        <f>-220.0516028</f>
        <v>-220.05160280000001</v>
      </c>
      <c r="BX345">
        <f>-188.1895764</f>
        <v>-188.18957639999999</v>
      </c>
      <c r="BY345">
        <f>-190.1103596</f>
        <v>-190.11035960000001</v>
      </c>
      <c r="BZ345">
        <f>-70.50629896</f>
        <v>-70.506298959999995</v>
      </c>
      <c r="CA345">
        <f>-147.5570847</f>
        <v>-147.55708469999999</v>
      </c>
      <c r="CB345">
        <f>-147.832049</f>
        <v>-147.83204900000001</v>
      </c>
      <c r="CC345">
        <f>-158.4106734</f>
        <v>-158.41067340000001</v>
      </c>
      <c r="CD345">
        <f>-167.6116644</f>
        <v>-167.6116644</v>
      </c>
      <c r="CE345">
        <f>-80.28077906</f>
        <v>-80.28077906</v>
      </c>
      <c r="CF345">
        <f>0</f>
        <v>0</v>
      </c>
      <c r="CG345">
        <f>0</f>
        <v>0</v>
      </c>
      <c r="CH345">
        <f>0</f>
        <v>0</v>
      </c>
      <c r="CI345">
        <f>-157.893951</f>
        <v>-157.89395099999999</v>
      </c>
      <c r="CJ345">
        <f>-286.3700363</f>
        <v>-286.37003629999998</v>
      </c>
      <c r="CK345">
        <f>-292.590131</f>
        <v>-292.59013099999999</v>
      </c>
      <c r="CL345">
        <f>-293.8545436</f>
        <v>-293.8545436</v>
      </c>
      <c r="CM345">
        <f>-321.6782016</f>
        <v>-321.67820160000002</v>
      </c>
      <c r="CN345">
        <f>-313.7700728</f>
        <v>-313.77007279999998</v>
      </c>
      <c r="CO345">
        <f>-316.8760206</f>
        <v>-316.8760206</v>
      </c>
      <c r="CP345">
        <f>-328.8410166</f>
        <v>-328.84101659999999</v>
      </c>
      <c r="CQ345">
        <f>-310.3193</f>
        <v>-310.3193</v>
      </c>
      <c r="CR345">
        <f>-279.7763353</f>
        <v>-279.77633530000003</v>
      </c>
      <c r="CS345">
        <f>-289.2235184</f>
        <v>-289.22351839999999</v>
      </c>
      <c r="CT345">
        <f>-290.456914</f>
        <v>-290.45691399999998</v>
      </c>
      <c r="CU345">
        <f>-265.6099284</f>
        <v>-265.6099284</v>
      </c>
      <c r="CV345">
        <f>-373.341821</f>
        <v>-373.34182099999998</v>
      </c>
      <c r="CW345">
        <f>-374.2888312</f>
        <v>-374.2888312</v>
      </c>
      <c r="CX345">
        <f>-372.5880532</f>
        <v>-372.58805319999999</v>
      </c>
      <c r="CY345">
        <f>-255.7167067</f>
        <v>-255.7167067</v>
      </c>
      <c r="CZ345">
        <f>-181.9756675</f>
        <v>-181.97566749999999</v>
      </c>
      <c r="DA345">
        <f>-193.3238018</f>
        <v>-193.32380180000001</v>
      </c>
      <c r="DB345">
        <f>-381.0189507</f>
        <v>-381.0189507</v>
      </c>
      <c r="DC345" t="str">
        <f>""</f>
        <v/>
      </c>
      <c r="DD345" t="str">
        <f>""</f>
        <v/>
      </c>
      <c r="DE345" t="str">
        <f>""</f>
        <v/>
      </c>
      <c r="DF345" t="str">
        <f>""</f>
        <v/>
      </c>
      <c r="DG345" t="str">
        <f>""</f>
        <v/>
      </c>
      <c r="DH345" t="str">
        <f>""</f>
        <v/>
      </c>
      <c r="DI345" t="str">
        <f>""</f>
        <v/>
      </c>
      <c r="DJ345" t="str">
        <f>""</f>
        <v/>
      </c>
      <c r="DK345">
        <f>-314.9351379</f>
        <v>-314.93513789999997</v>
      </c>
      <c r="DL345">
        <f>-378.0127454</f>
        <v>-378.01274539999997</v>
      </c>
      <c r="DM345">
        <f>-299.9712551</f>
        <v>-299.97125510000001</v>
      </c>
      <c r="DN345">
        <f>-304.5111819</f>
        <v>-304.5111819</v>
      </c>
      <c r="DO345">
        <f>-330.8758135</f>
        <v>-330.87581349999999</v>
      </c>
      <c r="DP345" t="str">
        <f>""</f>
        <v/>
      </c>
      <c r="DQ345" t="str">
        <f>""</f>
        <v/>
      </c>
      <c r="DR345" t="str">
        <f>""</f>
        <v/>
      </c>
      <c r="DS345" t="str">
        <f>""</f>
        <v/>
      </c>
      <c r="DT345" t="str">
        <f>""</f>
        <v/>
      </c>
      <c r="DU345" t="str">
        <f>""</f>
        <v/>
      </c>
    </row>
    <row r="346" spans="1:125" x14ac:dyDescent="0.25">
      <c r="A346" t="str">
        <f>"    GAZ PJSC"</f>
        <v xml:space="preserve">    GAZ PJSC</v>
      </c>
      <c r="B346" t="str">
        <f>"GAZA RM Equity"</f>
        <v>GAZA RM Equity</v>
      </c>
      <c r="C346" t="str">
        <f t="shared" si="24"/>
        <v>RX530</v>
      </c>
      <c r="D346" t="str">
        <f t="shared" si="25"/>
        <v>T12M_DVDS_PAID</v>
      </c>
      <c r="E346" t="str">
        <f t="shared" si="26"/>
        <v>Dynamic</v>
      </c>
      <c r="F346" t="str">
        <f ca="1">IF(AND(ISNUMBER($F$847),$B$511=1),$F$847,HLOOKUP(INDIRECT(ADDRESS(2,COLUMN())),OFFSET($BN$2,0,0,ROW()-1,60),ROW()-1,FALSE))</f>
        <v/>
      </c>
      <c r="G346" t="str">
        <f ca="1">IF(AND(ISNUMBER($G$847),$B$511=1),$G$847,HLOOKUP(INDIRECT(ADDRESS(2,COLUMN())),OFFSET($BN$2,0,0,ROW()-1,60),ROW()-1,FALSE))</f>
        <v/>
      </c>
      <c r="H346" t="str">
        <f ca="1">IF(AND(ISNUMBER($H$847),$B$511=1),$H$847,HLOOKUP(INDIRECT(ADDRESS(2,COLUMN())),OFFSET($BN$2,0,0,ROW()-1,60),ROW()-1,FALSE))</f>
        <v/>
      </c>
      <c r="I346" t="str">
        <f ca="1">IF(AND(ISNUMBER($I$847),$B$511=1),$I$847,HLOOKUP(INDIRECT(ADDRESS(2,COLUMN())),OFFSET($BN$2,0,0,ROW()-1,60),ROW()-1,FALSE))</f>
        <v/>
      </c>
      <c r="J346" t="str">
        <f ca="1">IF(AND(ISNUMBER($J$847),$B$511=1),$J$847,HLOOKUP(INDIRECT(ADDRESS(2,COLUMN())),OFFSET($BN$2,0,0,ROW()-1,60),ROW()-1,FALSE))</f>
        <v/>
      </c>
      <c r="K346" t="str">
        <f ca="1">IF(AND(ISNUMBER($K$847),$B$511=1),$K$847,HLOOKUP(INDIRECT(ADDRESS(2,COLUMN())),OFFSET($BN$2,0,0,ROW()-1,60),ROW()-1,FALSE))</f>
        <v/>
      </c>
      <c r="L346" t="str">
        <f ca="1">IF(AND(ISNUMBER($L$847),$B$511=1),$L$847,HLOOKUP(INDIRECT(ADDRESS(2,COLUMN())),OFFSET($BN$2,0,0,ROW()-1,60),ROW()-1,FALSE))</f>
        <v/>
      </c>
      <c r="M346" t="str">
        <f ca="1">IF(AND(ISNUMBER($M$847),$B$511=1),$M$847,HLOOKUP(INDIRECT(ADDRESS(2,COLUMN())),OFFSET($BN$2,0,0,ROW()-1,60),ROW()-1,FALSE))</f>
        <v/>
      </c>
      <c r="N346" t="str">
        <f ca="1">IF(AND(ISNUMBER($N$847),$B$511=1),$N$847,HLOOKUP(INDIRECT(ADDRESS(2,COLUMN())),OFFSET($BN$2,0,0,ROW()-1,60),ROW()-1,FALSE))</f>
        <v/>
      </c>
      <c r="O346" t="str">
        <f ca="1">IF(AND(ISNUMBER($O$847),$B$511=1),$O$847,HLOOKUP(INDIRECT(ADDRESS(2,COLUMN())),OFFSET($BN$2,0,0,ROW()-1,60),ROW()-1,FALSE))</f>
        <v/>
      </c>
      <c r="P346" t="str">
        <f ca="1">IF(AND(ISNUMBER($P$847),$B$511=1),$P$847,HLOOKUP(INDIRECT(ADDRESS(2,COLUMN())),OFFSET($BN$2,0,0,ROW()-1,60),ROW()-1,FALSE))</f>
        <v/>
      </c>
      <c r="Q346" t="str">
        <f ca="1">IF(AND(ISNUMBER($Q$847),$B$511=1),$Q$847,HLOOKUP(INDIRECT(ADDRESS(2,COLUMN())),OFFSET($BN$2,0,0,ROW()-1,60),ROW()-1,FALSE))</f>
        <v/>
      </c>
      <c r="R346" t="str">
        <f ca="1">IF(AND(ISNUMBER($R$847),$B$511=1),$R$847,HLOOKUP(INDIRECT(ADDRESS(2,COLUMN())),OFFSET($BN$2,0,0,ROW()-1,60),ROW()-1,FALSE))</f>
        <v/>
      </c>
      <c r="S346" t="str">
        <f ca="1">IF(AND(ISNUMBER($S$847),$B$511=1),$S$847,HLOOKUP(INDIRECT(ADDRESS(2,COLUMN())),OFFSET($BN$2,0,0,ROW()-1,60),ROW()-1,FALSE))</f>
        <v/>
      </c>
      <c r="T346" t="str">
        <f ca="1">IF(AND(ISNUMBER($T$847),$B$511=1),$T$847,HLOOKUP(INDIRECT(ADDRESS(2,COLUMN())),OFFSET($BN$2,0,0,ROW()-1,60),ROW()-1,FALSE))</f>
        <v/>
      </c>
      <c r="U346" t="str">
        <f ca="1">IF(AND(ISNUMBER($U$847),$B$511=1),$U$847,HLOOKUP(INDIRECT(ADDRESS(2,COLUMN())),OFFSET($BN$2,0,0,ROW()-1,60),ROW()-1,FALSE))</f>
        <v/>
      </c>
      <c r="V346" t="str">
        <f ca="1">IF(AND(ISNUMBER($V$847),$B$511=1),$V$847,HLOOKUP(INDIRECT(ADDRESS(2,COLUMN())),OFFSET($BN$2,0,0,ROW()-1,60),ROW()-1,FALSE))</f>
        <v/>
      </c>
      <c r="W346" t="str">
        <f ca="1">IF(AND(ISNUMBER($W$847),$B$511=1),$W$847,HLOOKUP(INDIRECT(ADDRESS(2,COLUMN())),OFFSET($BN$2,0,0,ROW()-1,60),ROW()-1,FALSE))</f>
        <v/>
      </c>
      <c r="X346" t="str">
        <f ca="1">IF(AND(ISNUMBER($X$847),$B$511=1),$X$847,HLOOKUP(INDIRECT(ADDRESS(2,COLUMN())),OFFSET($BN$2,0,0,ROW()-1,60),ROW()-1,FALSE))</f>
        <v/>
      </c>
      <c r="Y346" t="str">
        <f ca="1">IF(AND(ISNUMBER($Y$847),$B$511=1),$Y$847,HLOOKUP(INDIRECT(ADDRESS(2,COLUMN())),OFFSET($BN$2,0,0,ROW()-1,60),ROW()-1,FALSE))</f>
        <v/>
      </c>
      <c r="Z346" t="str">
        <f ca="1">IF(AND(ISNUMBER($Z$847),$B$511=1),$Z$847,HLOOKUP(INDIRECT(ADDRESS(2,COLUMN())),OFFSET($BN$2,0,0,ROW()-1,60),ROW()-1,FALSE))</f>
        <v/>
      </c>
      <c r="AA346" t="str">
        <f ca="1">IF(AND(ISNUMBER($AA$847),$B$511=1),$AA$847,HLOOKUP(INDIRECT(ADDRESS(2,COLUMN())),OFFSET($BN$2,0,0,ROW()-1,60),ROW()-1,FALSE))</f>
        <v/>
      </c>
      <c r="AB346" t="str">
        <f ca="1">IF(AND(ISNUMBER($AB$847),$B$511=1),$AB$847,HLOOKUP(INDIRECT(ADDRESS(2,COLUMN())),OFFSET($BN$2,0,0,ROW()-1,60),ROW()-1,FALSE))</f>
        <v/>
      </c>
      <c r="AC346" t="str">
        <f ca="1">IF(AND(ISNUMBER($AC$847),$B$511=1),$AC$847,HLOOKUP(INDIRECT(ADDRESS(2,COLUMN())),OFFSET($BN$2,0,0,ROW()-1,60),ROW()-1,FALSE))</f>
        <v/>
      </c>
      <c r="AD346" t="str">
        <f ca="1">IF(AND(ISNUMBER($AD$847),$B$511=1),$AD$847,HLOOKUP(INDIRECT(ADDRESS(2,COLUMN())),OFFSET($BN$2,0,0,ROW()-1,60),ROW()-1,FALSE))</f>
        <v/>
      </c>
      <c r="AE346" t="str">
        <f ca="1">IF(AND(ISNUMBER($AE$847),$B$511=1),$AE$847,HLOOKUP(INDIRECT(ADDRESS(2,COLUMN())),OFFSET($BN$2,0,0,ROW()-1,60),ROW()-1,FALSE))</f>
        <v/>
      </c>
      <c r="AF346" t="str">
        <f ca="1">IF(AND(ISNUMBER($AF$847),$B$511=1),$AF$847,HLOOKUP(INDIRECT(ADDRESS(2,COLUMN())),OFFSET($BN$2,0,0,ROW()-1,60),ROW()-1,FALSE))</f>
        <v/>
      </c>
      <c r="AG346" t="str">
        <f ca="1">IF(AND(ISNUMBER($AG$847),$B$511=1),$AG$847,HLOOKUP(INDIRECT(ADDRESS(2,COLUMN())),OFFSET($BN$2,0,0,ROW()-1,60),ROW()-1,FALSE))</f>
        <v/>
      </c>
      <c r="AH346" t="str">
        <f ca="1">IF(AND(ISNUMBER($AH$847),$B$511=1),$AH$847,HLOOKUP(INDIRECT(ADDRESS(2,COLUMN())),OFFSET($BN$2,0,0,ROW()-1,60),ROW()-1,FALSE))</f>
        <v/>
      </c>
      <c r="AI346" t="str">
        <f ca="1">IF(AND(ISNUMBER($AI$847),$B$511=1),$AI$847,HLOOKUP(INDIRECT(ADDRESS(2,COLUMN())),OFFSET($BN$2,0,0,ROW()-1,60),ROW()-1,FALSE))</f>
        <v/>
      </c>
      <c r="AJ346" t="str">
        <f ca="1">IF(AND(ISNUMBER($AJ$847),$B$511=1),$AJ$847,HLOOKUP(INDIRECT(ADDRESS(2,COLUMN())),OFFSET($BN$2,0,0,ROW()-1,60),ROW()-1,FALSE))</f>
        <v/>
      </c>
      <c r="AK346" t="str">
        <f ca="1">IF(AND(ISNUMBER($AK$847),$B$511=1),$AK$847,HLOOKUP(INDIRECT(ADDRESS(2,COLUMN())),OFFSET($BN$2,0,0,ROW()-1,60),ROW()-1,FALSE))</f>
        <v/>
      </c>
      <c r="AL346" t="str">
        <f ca="1">IF(AND(ISNUMBER($AL$847),$B$511=1),$AL$847,HLOOKUP(INDIRECT(ADDRESS(2,COLUMN())),OFFSET($BN$2,0,0,ROW()-1,60),ROW()-1,FALSE))</f>
        <v/>
      </c>
      <c r="AM346" t="str">
        <f ca="1">IF(AND(ISNUMBER($AM$847),$B$511=1),$AM$847,HLOOKUP(INDIRECT(ADDRESS(2,COLUMN())),OFFSET($BN$2,0,0,ROW()-1,60),ROW()-1,FALSE))</f>
        <v/>
      </c>
      <c r="AN346" t="str">
        <f ca="1">IF(AND(ISNUMBER($AN$847),$B$511=1),$AN$847,HLOOKUP(INDIRECT(ADDRESS(2,COLUMN())),OFFSET($BN$2,0,0,ROW()-1,60),ROW()-1,FALSE))</f>
        <v/>
      </c>
      <c r="AO346" t="str">
        <f ca="1">IF(AND(ISNUMBER($AO$847),$B$511=1),$AO$847,HLOOKUP(INDIRECT(ADDRESS(2,COLUMN())),OFFSET($BN$2,0,0,ROW()-1,60),ROW()-1,FALSE))</f>
        <v/>
      </c>
      <c r="AP346" t="str">
        <f ca="1">IF(AND(ISNUMBER($AP$847),$B$511=1),$AP$847,HLOOKUP(INDIRECT(ADDRESS(2,COLUMN())),OFFSET($BN$2,0,0,ROW()-1,60),ROW()-1,FALSE))</f>
        <v/>
      </c>
      <c r="AQ346" t="str">
        <f ca="1">IF(AND(ISNUMBER($AQ$847),$B$511=1),$AQ$847,HLOOKUP(INDIRECT(ADDRESS(2,COLUMN())),OFFSET($BN$2,0,0,ROW()-1,60),ROW()-1,FALSE))</f>
        <v/>
      </c>
      <c r="AR346" t="str">
        <f ca="1">IF(AND(ISNUMBER($AR$847),$B$511=1),$AR$847,HLOOKUP(INDIRECT(ADDRESS(2,COLUMN())),OFFSET($BN$2,0,0,ROW()-1,60),ROW()-1,FALSE))</f>
        <v/>
      </c>
      <c r="AS346" t="str">
        <f ca="1">IF(AND(ISNUMBER($AS$847),$B$511=1),$AS$847,HLOOKUP(INDIRECT(ADDRESS(2,COLUMN())),OFFSET($BN$2,0,0,ROW()-1,60),ROW()-1,FALSE))</f>
        <v/>
      </c>
      <c r="AT346" t="str">
        <f ca="1">IF(AND(ISNUMBER($AT$847),$B$511=1),$AT$847,HLOOKUP(INDIRECT(ADDRESS(2,COLUMN())),OFFSET($BN$2,0,0,ROW()-1,60),ROW()-1,FALSE))</f>
        <v/>
      </c>
      <c r="AU346" t="str">
        <f ca="1">IF(AND(ISNUMBER($AU$847),$B$511=1),$AU$847,HLOOKUP(INDIRECT(ADDRESS(2,COLUMN())),OFFSET($BN$2,0,0,ROW()-1,60),ROW()-1,FALSE))</f>
        <v/>
      </c>
      <c r="AV346" t="str">
        <f ca="1">IF(AND(ISNUMBER($AV$847),$B$511=1),$AV$847,HLOOKUP(INDIRECT(ADDRESS(2,COLUMN())),OFFSET($BN$2,0,0,ROW()-1,60),ROW()-1,FALSE))</f>
        <v/>
      </c>
      <c r="AW346" t="str">
        <f ca="1">IF(AND(ISNUMBER($AW$847),$B$511=1),$AW$847,HLOOKUP(INDIRECT(ADDRESS(2,COLUMN())),OFFSET($BN$2,0,0,ROW()-1,60),ROW()-1,FALSE))</f>
        <v/>
      </c>
      <c r="AX346" t="str">
        <f ca="1">IF(AND(ISNUMBER($AX$847),$B$511=1),$AX$847,HLOOKUP(INDIRECT(ADDRESS(2,COLUMN())),OFFSET($BN$2,0,0,ROW()-1,60),ROW()-1,FALSE))</f>
        <v/>
      </c>
      <c r="AY346" t="str">
        <f ca="1">IF(AND(ISNUMBER($AY$847),$B$511=1),$AY$847,HLOOKUP(INDIRECT(ADDRESS(2,COLUMN())),OFFSET($BN$2,0,0,ROW()-1,60),ROW()-1,FALSE))</f>
        <v/>
      </c>
      <c r="AZ346" t="str">
        <f ca="1">IF(AND(ISNUMBER($AZ$847),$B$511=1),$AZ$847,HLOOKUP(INDIRECT(ADDRESS(2,COLUMN())),OFFSET($BN$2,0,0,ROW()-1,60),ROW()-1,FALSE))</f>
        <v/>
      </c>
      <c r="BA346" t="str">
        <f ca="1">IF(AND(ISNUMBER($BA$847),$B$511=1),$BA$847,HLOOKUP(INDIRECT(ADDRESS(2,COLUMN())),OFFSET($BN$2,0,0,ROW()-1,60),ROW()-1,FALSE))</f>
        <v/>
      </c>
      <c r="BB346" t="str">
        <f ca="1">IF(AND(ISNUMBER($BB$847),$B$511=1),$BB$847,HLOOKUP(INDIRECT(ADDRESS(2,COLUMN())),OFFSET($BN$2,0,0,ROW()-1,60),ROW()-1,FALSE))</f>
        <v/>
      </c>
      <c r="BC346" t="str">
        <f ca="1">IF(AND(ISNUMBER($BC$847),$B$511=1),$BC$847,HLOOKUP(INDIRECT(ADDRESS(2,COLUMN())),OFFSET($BN$2,0,0,ROW()-1,60),ROW()-1,FALSE))</f>
        <v/>
      </c>
      <c r="BD346" t="str">
        <f ca="1">IF(AND(ISNUMBER($BD$847),$B$511=1),$BD$847,HLOOKUP(INDIRECT(ADDRESS(2,COLUMN())),OFFSET($BN$2,0,0,ROW()-1,60),ROW()-1,FALSE))</f>
        <v/>
      </c>
      <c r="BE346" t="str">
        <f ca="1">IF(AND(ISNUMBER($BE$847),$B$511=1),$BE$847,HLOOKUP(INDIRECT(ADDRESS(2,COLUMN())),OFFSET($BN$2,0,0,ROW()-1,60),ROW()-1,FALSE))</f>
        <v/>
      </c>
      <c r="BF346" t="str">
        <f ca="1">IF(AND(ISNUMBER($BF$847),$B$511=1),$BF$847,HLOOKUP(INDIRECT(ADDRESS(2,COLUMN())),OFFSET($BN$2,0,0,ROW()-1,60),ROW()-1,FALSE))</f>
        <v/>
      </c>
      <c r="BG346" t="str">
        <f ca="1">IF(AND(ISNUMBER($BG$847),$B$511=1),$BG$847,HLOOKUP(INDIRECT(ADDRESS(2,COLUMN())),OFFSET($BN$2,0,0,ROW()-1,60),ROW()-1,FALSE))</f>
        <v/>
      </c>
      <c r="BH346" t="str">
        <f ca="1">IF(AND(ISNUMBER($BH$847),$B$511=1),$BH$847,HLOOKUP(INDIRECT(ADDRESS(2,COLUMN())),OFFSET($BN$2,0,0,ROW()-1,60),ROW()-1,FALSE))</f>
        <v/>
      </c>
      <c r="BI346" t="str">
        <f ca="1">IF(AND(ISNUMBER($BI$847),$B$511=1),$BI$847,HLOOKUP(INDIRECT(ADDRESS(2,COLUMN())),OFFSET($BN$2,0,0,ROW()-1,60),ROW()-1,FALSE))</f>
        <v/>
      </c>
      <c r="BJ346" t="str">
        <f ca="1">IF(AND(ISNUMBER($BJ$847),$B$511=1),$BJ$847,HLOOKUP(INDIRECT(ADDRESS(2,COLUMN())),OFFSET($BN$2,0,0,ROW()-1,60),ROW()-1,FALSE))</f>
        <v/>
      </c>
      <c r="BK346" t="str">
        <f ca="1">IF(AND(ISNUMBER($BK$847),$B$511=1),$BK$847,HLOOKUP(INDIRECT(ADDRESS(2,COLUMN())),OFFSET($BN$2,0,0,ROW()-1,60),ROW()-1,FALSE))</f>
        <v/>
      </c>
      <c r="BL346" t="str">
        <f ca="1">IF(AND(ISNUMBER($BL$847),$B$511=1),$BL$847,HLOOKUP(INDIRECT(ADDRESS(2,COLUMN())),OFFSET($BN$2,0,0,ROW()-1,60),ROW()-1,FALSE))</f>
        <v/>
      </c>
      <c r="BM346" t="str">
        <f ca="1">IF(AND(ISNUMBER($BM$847),$B$511=1),$BM$847,HLOOKUP(INDIRECT(ADDRESS(2,COLUMN())),OFFSET($BN$2,0,0,ROW()-1,60),ROW()-1,FALSE))</f>
        <v/>
      </c>
      <c r="BN346" t="str">
        <f>""</f>
        <v/>
      </c>
      <c r="BO346" t="str">
        <f>""</f>
        <v/>
      </c>
      <c r="BP346" t="str">
        <f>""</f>
        <v/>
      </c>
      <c r="BQ346" t="str">
        <f>""</f>
        <v/>
      </c>
      <c r="BR346" t="str">
        <f>""</f>
        <v/>
      </c>
      <c r="BS346" t="str">
        <f>""</f>
        <v/>
      </c>
      <c r="BT346" t="str">
        <f>""</f>
        <v/>
      </c>
      <c r="BU346" t="str">
        <f>""</f>
        <v/>
      </c>
      <c r="BV346" t="str">
        <f>""</f>
        <v/>
      </c>
      <c r="BW346" t="str">
        <f>""</f>
        <v/>
      </c>
      <c r="BX346" t="str">
        <f>""</f>
        <v/>
      </c>
      <c r="BY346" t="str">
        <f>""</f>
        <v/>
      </c>
      <c r="BZ346" t="str">
        <f>""</f>
        <v/>
      </c>
      <c r="CA346" t="str">
        <f>""</f>
        <v/>
      </c>
      <c r="CB346" t="str">
        <f>""</f>
        <v/>
      </c>
      <c r="CC346" t="str">
        <f>""</f>
        <v/>
      </c>
      <c r="CD346" t="str">
        <f>""</f>
        <v/>
      </c>
      <c r="CE346" t="str">
        <f>""</f>
        <v/>
      </c>
      <c r="CF346" t="str">
        <f>""</f>
        <v/>
      </c>
      <c r="CG346" t="str">
        <f>""</f>
        <v/>
      </c>
      <c r="CH346" t="str">
        <f>""</f>
        <v/>
      </c>
      <c r="CI346" t="str">
        <f>""</f>
        <v/>
      </c>
      <c r="CJ346" t="str">
        <f>""</f>
        <v/>
      </c>
      <c r="CK346" t="str">
        <f>""</f>
        <v/>
      </c>
      <c r="CL346" t="str">
        <f>""</f>
        <v/>
      </c>
      <c r="CM346" t="str">
        <f>""</f>
        <v/>
      </c>
      <c r="CN346" t="str">
        <f>""</f>
        <v/>
      </c>
      <c r="CO346" t="str">
        <f>""</f>
        <v/>
      </c>
      <c r="CP346" t="str">
        <f>""</f>
        <v/>
      </c>
      <c r="CQ346" t="str">
        <f>""</f>
        <v/>
      </c>
      <c r="CR346" t="str">
        <f>""</f>
        <v/>
      </c>
      <c r="CS346" t="str">
        <f>""</f>
        <v/>
      </c>
      <c r="CT346" t="str">
        <f>""</f>
        <v/>
      </c>
      <c r="CU346" t="str">
        <f>""</f>
        <v/>
      </c>
      <c r="CV346" t="str">
        <f>""</f>
        <v/>
      </c>
      <c r="CW346" t="str">
        <f>""</f>
        <v/>
      </c>
      <c r="CX346" t="str">
        <f>""</f>
        <v/>
      </c>
      <c r="CY346" t="str">
        <f>""</f>
        <v/>
      </c>
      <c r="CZ346" t="str">
        <f>""</f>
        <v/>
      </c>
      <c r="DA346" t="str">
        <f>""</f>
        <v/>
      </c>
      <c r="DB346" t="str">
        <f>""</f>
        <v/>
      </c>
      <c r="DC346" t="str">
        <f>""</f>
        <v/>
      </c>
      <c r="DD346" t="str">
        <f>""</f>
        <v/>
      </c>
      <c r="DE346" t="str">
        <f>""</f>
        <v/>
      </c>
      <c r="DF346" t="str">
        <f>""</f>
        <v/>
      </c>
      <c r="DG346" t="str">
        <f>""</f>
        <v/>
      </c>
      <c r="DH346" t="str">
        <f>""</f>
        <v/>
      </c>
      <c r="DI346" t="str">
        <f>""</f>
        <v/>
      </c>
      <c r="DJ346" t="str">
        <f>""</f>
        <v/>
      </c>
      <c r="DK346" t="str">
        <f>""</f>
        <v/>
      </c>
      <c r="DL346" t="str">
        <f>""</f>
        <v/>
      </c>
      <c r="DM346" t="str">
        <f>""</f>
        <v/>
      </c>
      <c r="DN346" t="str">
        <f>""</f>
        <v/>
      </c>
      <c r="DO346" t="str">
        <f>""</f>
        <v/>
      </c>
      <c r="DP346" t="str">
        <f>""</f>
        <v/>
      </c>
      <c r="DQ346" t="str">
        <f>""</f>
        <v/>
      </c>
      <c r="DR346" t="str">
        <f>""</f>
        <v/>
      </c>
      <c r="DS346" t="str">
        <f>""</f>
        <v/>
      </c>
      <c r="DT346" t="str">
        <f>""</f>
        <v/>
      </c>
      <c r="DU346" t="str">
        <f>""</f>
        <v/>
      </c>
    </row>
    <row r="347" spans="1:125" x14ac:dyDescent="0.25">
      <c r="A347" t="str">
        <f>"    Geely Automobile Holdings Ltd"</f>
        <v xml:space="preserve">    Geely Automobile Holdings Ltd</v>
      </c>
      <c r="B347" t="str">
        <f>"175 HK Equity"</f>
        <v>175 HK Equity</v>
      </c>
      <c r="C347" t="str">
        <f t="shared" si="24"/>
        <v>RX530</v>
      </c>
      <c r="D347" t="str">
        <f t="shared" si="25"/>
        <v>T12M_DVDS_PAID</v>
      </c>
      <c r="E347" t="str">
        <f t="shared" si="26"/>
        <v>Dynamic</v>
      </c>
      <c r="F347" t="str">
        <f ca="1">IF(AND(ISNUMBER($F$848),$B$511=1),$F$848,HLOOKUP(INDIRECT(ADDRESS(2,COLUMN())),OFFSET($BN$2,0,0,ROW()-1,60),ROW()-1,FALSE))</f>
        <v/>
      </c>
      <c r="G347" t="str">
        <f ca="1">IF(AND(ISNUMBER($G$848),$B$511=1),$G$848,HLOOKUP(INDIRECT(ADDRESS(2,COLUMN())),OFFSET($BN$2,0,0,ROW()-1,60),ROW()-1,FALSE))</f>
        <v/>
      </c>
      <c r="H347" t="str">
        <f ca="1">IF(AND(ISNUMBER($H$848),$B$511=1),$H$848,HLOOKUP(INDIRECT(ADDRESS(2,COLUMN())),OFFSET($BN$2,0,0,ROW()-1,60),ROW()-1,FALSE))</f>
        <v/>
      </c>
      <c r="I347" t="str">
        <f ca="1">IF(AND(ISNUMBER($I$848),$B$511=1),$I$848,HLOOKUP(INDIRECT(ADDRESS(2,COLUMN())),OFFSET($BN$2,0,0,ROW()-1,60),ROW()-1,FALSE))</f>
        <v/>
      </c>
      <c r="J347" t="str">
        <f ca="1">IF(AND(ISNUMBER($J$848),$B$511=1),$J$848,HLOOKUP(INDIRECT(ADDRESS(2,COLUMN())),OFFSET($BN$2,0,0,ROW()-1,60),ROW()-1,FALSE))</f>
        <v/>
      </c>
      <c r="K347" t="str">
        <f ca="1">IF(AND(ISNUMBER($K$848),$B$511=1),$K$848,HLOOKUP(INDIRECT(ADDRESS(2,COLUMN())),OFFSET($BN$2,0,0,ROW()-1,60),ROW()-1,FALSE))</f>
        <v/>
      </c>
      <c r="L347" t="str">
        <f ca="1">IF(AND(ISNUMBER($L$848),$B$511=1),$L$848,HLOOKUP(INDIRECT(ADDRESS(2,COLUMN())),OFFSET($BN$2,0,0,ROW()-1,60),ROW()-1,FALSE))</f>
        <v/>
      </c>
      <c r="M347" t="str">
        <f ca="1">IF(AND(ISNUMBER($M$848),$B$511=1),$M$848,HLOOKUP(INDIRECT(ADDRESS(2,COLUMN())),OFFSET($BN$2,0,0,ROW()-1,60),ROW()-1,FALSE))</f>
        <v/>
      </c>
      <c r="N347" t="str">
        <f ca="1">IF(AND(ISNUMBER($N$848),$B$511=1),$N$848,HLOOKUP(INDIRECT(ADDRESS(2,COLUMN())),OFFSET($BN$2,0,0,ROW()-1,60),ROW()-1,FALSE))</f>
        <v/>
      </c>
      <c r="O347" t="str">
        <f ca="1">IF(AND(ISNUMBER($O$848),$B$511=1),$O$848,HLOOKUP(INDIRECT(ADDRESS(2,COLUMN())),OFFSET($BN$2,0,0,ROW()-1,60),ROW()-1,FALSE))</f>
        <v/>
      </c>
      <c r="P347" t="str">
        <f ca="1">IF(AND(ISNUMBER($P$848),$B$511=1),$P$848,HLOOKUP(INDIRECT(ADDRESS(2,COLUMN())),OFFSET($BN$2,0,0,ROW()-1,60),ROW()-1,FALSE))</f>
        <v/>
      </c>
      <c r="Q347" t="str">
        <f ca="1">IF(AND(ISNUMBER($Q$848),$B$511=1),$Q$848,HLOOKUP(INDIRECT(ADDRESS(2,COLUMN())),OFFSET($BN$2,0,0,ROW()-1,60),ROW()-1,FALSE))</f>
        <v/>
      </c>
      <c r="R347" t="str">
        <f ca="1">IF(AND(ISNUMBER($R$848),$B$511=1),$R$848,HLOOKUP(INDIRECT(ADDRESS(2,COLUMN())),OFFSET($BN$2,0,0,ROW()-1,60),ROW()-1,FALSE))</f>
        <v/>
      </c>
      <c r="S347" t="str">
        <f ca="1">IF(AND(ISNUMBER($S$848),$B$511=1),$S$848,HLOOKUP(INDIRECT(ADDRESS(2,COLUMN())),OFFSET($BN$2,0,0,ROW()-1,60),ROW()-1,FALSE))</f>
        <v/>
      </c>
      <c r="T347" t="str">
        <f ca="1">IF(AND(ISNUMBER($T$848),$B$511=1),$T$848,HLOOKUP(INDIRECT(ADDRESS(2,COLUMN())),OFFSET($BN$2,0,0,ROW()-1,60),ROW()-1,FALSE))</f>
        <v/>
      </c>
      <c r="U347" t="str">
        <f ca="1">IF(AND(ISNUMBER($U$848),$B$511=1),$U$848,HLOOKUP(INDIRECT(ADDRESS(2,COLUMN())),OFFSET($BN$2,0,0,ROW()-1,60),ROW()-1,FALSE))</f>
        <v/>
      </c>
      <c r="V347" t="str">
        <f ca="1">IF(AND(ISNUMBER($V$848),$B$511=1),$V$848,HLOOKUP(INDIRECT(ADDRESS(2,COLUMN())),OFFSET($BN$2,0,0,ROW()-1,60),ROW()-1,FALSE))</f>
        <v/>
      </c>
      <c r="W347" t="str">
        <f ca="1">IF(AND(ISNUMBER($W$848),$B$511=1),$W$848,HLOOKUP(INDIRECT(ADDRESS(2,COLUMN())),OFFSET($BN$2,0,0,ROW()-1,60),ROW()-1,FALSE))</f>
        <v/>
      </c>
      <c r="X347" t="str">
        <f ca="1">IF(AND(ISNUMBER($X$848),$B$511=1),$X$848,HLOOKUP(INDIRECT(ADDRESS(2,COLUMN())),OFFSET($BN$2,0,0,ROW()-1,60),ROW()-1,FALSE))</f>
        <v/>
      </c>
      <c r="Y347" t="str">
        <f ca="1">IF(AND(ISNUMBER($Y$848),$B$511=1),$Y$848,HLOOKUP(INDIRECT(ADDRESS(2,COLUMN())),OFFSET($BN$2,0,0,ROW()-1,60),ROW()-1,FALSE))</f>
        <v/>
      </c>
      <c r="Z347" t="str">
        <f ca="1">IF(AND(ISNUMBER($Z$848),$B$511=1),$Z$848,HLOOKUP(INDIRECT(ADDRESS(2,COLUMN())),OFFSET($BN$2,0,0,ROW()-1,60),ROW()-1,FALSE))</f>
        <v/>
      </c>
      <c r="AA347" t="str">
        <f ca="1">IF(AND(ISNUMBER($AA$848),$B$511=1),$AA$848,HLOOKUP(INDIRECT(ADDRESS(2,COLUMN())),OFFSET($BN$2,0,0,ROW()-1,60),ROW()-1,FALSE))</f>
        <v/>
      </c>
      <c r="AB347" t="str">
        <f ca="1">IF(AND(ISNUMBER($AB$848),$B$511=1),$AB$848,HLOOKUP(INDIRECT(ADDRESS(2,COLUMN())),OFFSET($BN$2,0,0,ROW()-1,60),ROW()-1,FALSE))</f>
        <v/>
      </c>
      <c r="AC347" t="str">
        <f ca="1">IF(AND(ISNUMBER($AC$848),$B$511=1),$AC$848,HLOOKUP(INDIRECT(ADDRESS(2,COLUMN())),OFFSET($BN$2,0,0,ROW()-1,60),ROW()-1,FALSE))</f>
        <v/>
      </c>
      <c r="AD347" t="str">
        <f ca="1">IF(AND(ISNUMBER($AD$848),$B$511=1),$AD$848,HLOOKUP(INDIRECT(ADDRESS(2,COLUMN())),OFFSET($BN$2,0,0,ROW()-1,60),ROW()-1,FALSE))</f>
        <v/>
      </c>
      <c r="AE347" t="str">
        <f ca="1">IF(AND(ISNUMBER($AE$848),$B$511=1),$AE$848,HLOOKUP(INDIRECT(ADDRESS(2,COLUMN())),OFFSET($BN$2,0,0,ROW()-1,60),ROW()-1,FALSE))</f>
        <v/>
      </c>
      <c r="AF347" t="str">
        <f ca="1">IF(AND(ISNUMBER($AF$848),$B$511=1),$AF$848,HLOOKUP(INDIRECT(ADDRESS(2,COLUMN())),OFFSET($BN$2,0,0,ROW()-1,60),ROW()-1,FALSE))</f>
        <v/>
      </c>
      <c r="AG347" t="str">
        <f ca="1">IF(AND(ISNUMBER($AG$848),$B$511=1),$AG$848,HLOOKUP(INDIRECT(ADDRESS(2,COLUMN())),OFFSET($BN$2,0,0,ROW()-1,60),ROW()-1,FALSE))</f>
        <v/>
      </c>
      <c r="AH347" t="str">
        <f ca="1">IF(AND(ISNUMBER($AH$848),$B$511=1),$AH$848,HLOOKUP(INDIRECT(ADDRESS(2,COLUMN())),OFFSET($BN$2,0,0,ROW()-1,60),ROW()-1,FALSE))</f>
        <v/>
      </c>
      <c r="AI347" t="str">
        <f ca="1">IF(AND(ISNUMBER($AI$848),$B$511=1),$AI$848,HLOOKUP(INDIRECT(ADDRESS(2,COLUMN())),OFFSET($BN$2,0,0,ROW()-1,60),ROW()-1,FALSE))</f>
        <v/>
      </c>
      <c r="AJ347" t="str">
        <f ca="1">IF(AND(ISNUMBER($AJ$848),$B$511=1),$AJ$848,HLOOKUP(INDIRECT(ADDRESS(2,COLUMN())),OFFSET($BN$2,0,0,ROW()-1,60),ROW()-1,FALSE))</f>
        <v/>
      </c>
      <c r="AK347" t="str">
        <f ca="1">IF(AND(ISNUMBER($AK$848),$B$511=1),$AK$848,HLOOKUP(INDIRECT(ADDRESS(2,COLUMN())),OFFSET($BN$2,0,0,ROW()-1,60),ROW()-1,FALSE))</f>
        <v/>
      </c>
      <c r="AL347" t="str">
        <f ca="1">IF(AND(ISNUMBER($AL$848),$B$511=1),$AL$848,HLOOKUP(INDIRECT(ADDRESS(2,COLUMN())),OFFSET($BN$2,0,0,ROW()-1,60),ROW()-1,FALSE))</f>
        <v/>
      </c>
      <c r="AM347" t="str">
        <f ca="1">IF(AND(ISNUMBER($AM$848),$B$511=1),$AM$848,HLOOKUP(INDIRECT(ADDRESS(2,COLUMN())),OFFSET($BN$2,0,0,ROW()-1,60),ROW()-1,FALSE))</f>
        <v/>
      </c>
      <c r="AN347" t="str">
        <f ca="1">IF(AND(ISNUMBER($AN$848),$B$511=1),$AN$848,HLOOKUP(INDIRECT(ADDRESS(2,COLUMN())),OFFSET($BN$2,0,0,ROW()-1,60),ROW()-1,FALSE))</f>
        <v/>
      </c>
      <c r="AO347" t="str">
        <f ca="1">IF(AND(ISNUMBER($AO$848),$B$511=1),$AO$848,HLOOKUP(INDIRECT(ADDRESS(2,COLUMN())),OFFSET($BN$2,0,0,ROW()-1,60),ROW()-1,FALSE))</f>
        <v/>
      </c>
      <c r="AP347" t="str">
        <f ca="1">IF(AND(ISNUMBER($AP$848),$B$511=1),$AP$848,HLOOKUP(INDIRECT(ADDRESS(2,COLUMN())),OFFSET($BN$2,0,0,ROW()-1,60),ROW()-1,FALSE))</f>
        <v/>
      </c>
      <c r="AQ347" t="str">
        <f ca="1">IF(AND(ISNUMBER($AQ$848),$B$511=1),$AQ$848,HLOOKUP(INDIRECT(ADDRESS(2,COLUMN())),OFFSET($BN$2,0,0,ROW()-1,60),ROW()-1,FALSE))</f>
        <v/>
      </c>
      <c r="AR347" t="str">
        <f ca="1">IF(AND(ISNUMBER($AR$848),$B$511=1),$AR$848,HLOOKUP(INDIRECT(ADDRESS(2,COLUMN())),OFFSET($BN$2,0,0,ROW()-1,60),ROW()-1,FALSE))</f>
        <v/>
      </c>
      <c r="AS347" t="str">
        <f ca="1">IF(AND(ISNUMBER($AS$848),$B$511=1),$AS$848,HLOOKUP(INDIRECT(ADDRESS(2,COLUMN())),OFFSET($BN$2,0,0,ROW()-1,60),ROW()-1,FALSE))</f>
        <v/>
      </c>
      <c r="AT347" t="str">
        <f ca="1">IF(AND(ISNUMBER($AT$848),$B$511=1),$AT$848,HLOOKUP(INDIRECT(ADDRESS(2,COLUMN())),OFFSET($BN$2,0,0,ROW()-1,60),ROW()-1,FALSE))</f>
        <v/>
      </c>
      <c r="AU347" t="str">
        <f ca="1">IF(AND(ISNUMBER($AU$848),$B$511=1),$AU$848,HLOOKUP(INDIRECT(ADDRESS(2,COLUMN())),OFFSET($BN$2,0,0,ROW()-1,60),ROW()-1,FALSE))</f>
        <v/>
      </c>
      <c r="AV347" t="str">
        <f ca="1">IF(AND(ISNUMBER($AV$848),$B$511=1),$AV$848,HLOOKUP(INDIRECT(ADDRESS(2,COLUMN())),OFFSET($BN$2,0,0,ROW()-1,60),ROW()-1,FALSE))</f>
        <v/>
      </c>
      <c r="AW347" t="str">
        <f ca="1">IF(AND(ISNUMBER($AW$848),$B$511=1),$AW$848,HLOOKUP(INDIRECT(ADDRESS(2,COLUMN())),OFFSET($BN$2,0,0,ROW()-1,60),ROW()-1,FALSE))</f>
        <v/>
      </c>
      <c r="AX347" t="str">
        <f ca="1">IF(AND(ISNUMBER($AX$848),$B$511=1),$AX$848,HLOOKUP(INDIRECT(ADDRESS(2,COLUMN())),OFFSET($BN$2,0,0,ROW()-1,60),ROW()-1,FALSE))</f>
        <v/>
      </c>
      <c r="AY347" t="str">
        <f ca="1">IF(AND(ISNUMBER($AY$848),$B$511=1),$AY$848,HLOOKUP(INDIRECT(ADDRESS(2,COLUMN())),OFFSET($BN$2,0,0,ROW()-1,60),ROW()-1,FALSE))</f>
        <v/>
      </c>
      <c r="AZ347" t="str">
        <f ca="1">IF(AND(ISNUMBER($AZ$848),$B$511=1),$AZ$848,HLOOKUP(INDIRECT(ADDRESS(2,COLUMN())),OFFSET($BN$2,0,0,ROW()-1,60),ROW()-1,FALSE))</f>
        <v/>
      </c>
      <c r="BA347" t="str">
        <f ca="1">IF(AND(ISNUMBER($BA$848),$B$511=1),$BA$848,HLOOKUP(INDIRECT(ADDRESS(2,COLUMN())),OFFSET($BN$2,0,0,ROW()-1,60),ROW()-1,FALSE))</f>
        <v/>
      </c>
      <c r="BB347" t="str">
        <f ca="1">IF(AND(ISNUMBER($BB$848),$B$511=1),$BB$848,HLOOKUP(INDIRECT(ADDRESS(2,COLUMN())),OFFSET($BN$2,0,0,ROW()-1,60),ROW()-1,FALSE))</f>
        <v/>
      </c>
      <c r="BC347" t="str">
        <f ca="1">IF(AND(ISNUMBER($BC$848),$B$511=1),$BC$848,HLOOKUP(INDIRECT(ADDRESS(2,COLUMN())),OFFSET($BN$2,0,0,ROW()-1,60),ROW()-1,FALSE))</f>
        <v/>
      </c>
      <c r="BD347" t="str">
        <f ca="1">IF(AND(ISNUMBER($BD$848),$B$511=1),$BD$848,HLOOKUP(INDIRECT(ADDRESS(2,COLUMN())),OFFSET($BN$2,0,0,ROW()-1,60),ROW()-1,FALSE))</f>
        <v/>
      </c>
      <c r="BE347" t="str">
        <f ca="1">IF(AND(ISNUMBER($BE$848),$B$511=1),$BE$848,HLOOKUP(INDIRECT(ADDRESS(2,COLUMN())),OFFSET($BN$2,0,0,ROW()-1,60),ROW()-1,FALSE))</f>
        <v/>
      </c>
      <c r="BF347" t="str">
        <f ca="1">IF(AND(ISNUMBER($BF$848),$B$511=1),$BF$848,HLOOKUP(INDIRECT(ADDRESS(2,COLUMN())),OFFSET($BN$2,0,0,ROW()-1,60),ROW()-1,FALSE))</f>
        <v/>
      </c>
      <c r="BG347" t="str">
        <f ca="1">IF(AND(ISNUMBER($BG$848),$B$511=1),$BG$848,HLOOKUP(INDIRECT(ADDRESS(2,COLUMN())),OFFSET($BN$2,0,0,ROW()-1,60),ROW()-1,FALSE))</f>
        <v/>
      </c>
      <c r="BH347" t="str">
        <f ca="1">IF(AND(ISNUMBER($BH$848),$B$511=1),$BH$848,HLOOKUP(INDIRECT(ADDRESS(2,COLUMN())),OFFSET($BN$2,0,0,ROW()-1,60),ROW()-1,FALSE))</f>
        <v/>
      </c>
      <c r="BI347" t="str">
        <f ca="1">IF(AND(ISNUMBER($BI$848),$B$511=1),$BI$848,HLOOKUP(INDIRECT(ADDRESS(2,COLUMN())),OFFSET($BN$2,0,0,ROW()-1,60),ROW()-1,FALSE))</f>
        <v/>
      </c>
      <c r="BJ347" t="str">
        <f ca="1">IF(AND(ISNUMBER($BJ$848),$B$511=1),$BJ$848,HLOOKUP(INDIRECT(ADDRESS(2,COLUMN())),OFFSET($BN$2,0,0,ROW()-1,60),ROW()-1,FALSE))</f>
        <v/>
      </c>
      <c r="BK347" t="str">
        <f ca="1">IF(AND(ISNUMBER($BK$848),$B$511=1),$BK$848,HLOOKUP(INDIRECT(ADDRESS(2,COLUMN())),OFFSET($BN$2,0,0,ROW()-1,60),ROW()-1,FALSE))</f>
        <v/>
      </c>
      <c r="BL347" t="str">
        <f ca="1">IF(AND(ISNUMBER($BL$848),$B$511=1),$BL$848,HLOOKUP(INDIRECT(ADDRESS(2,COLUMN())),OFFSET($BN$2,0,0,ROW()-1,60),ROW()-1,FALSE))</f>
        <v/>
      </c>
      <c r="BM347" t="str">
        <f ca="1">IF(AND(ISNUMBER($BM$848),$B$511=1),$BM$848,HLOOKUP(INDIRECT(ADDRESS(2,COLUMN())),OFFSET($BN$2,0,0,ROW()-1,60),ROW()-1,FALSE))</f>
        <v/>
      </c>
      <c r="BN347" t="str">
        <f>""</f>
        <v/>
      </c>
      <c r="BO347" t="str">
        <f>""</f>
        <v/>
      </c>
      <c r="BP347" t="str">
        <f>""</f>
        <v/>
      </c>
      <c r="BQ347" t="str">
        <f>""</f>
        <v/>
      </c>
      <c r="BR347" t="str">
        <f>""</f>
        <v/>
      </c>
      <c r="BS347" t="str">
        <f>""</f>
        <v/>
      </c>
      <c r="BT347" t="str">
        <f>""</f>
        <v/>
      </c>
      <c r="BU347" t="str">
        <f>""</f>
        <v/>
      </c>
      <c r="BV347" t="str">
        <f>""</f>
        <v/>
      </c>
      <c r="BW347" t="str">
        <f>""</f>
        <v/>
      </c>
      <c r="BX347" t="str">
        <f>""</f>
        <v/>
      </c>
      <c r="BY347" t="str">
        <f>""</f>
        <v/>
      </c>
      <c r="BZ347" t="str">
        <f>""</f>
        <v/>
      </c>
      <c r="CA347" t="str">
        <f>""</f>
        <v/>
      </c>
      <c r="CB347" t="str">
        <f>""</f>
        <v/>
      </c>
      <c r="CC347" t="str">
        <f>""</f>
        <v/>
      </c>
      <c r="CD347" t="str">
        <f>""</f>
        <v/>
      </c>
      <c r="CE347" t="str">
        <f>""</f>
        <v/>
      </c>
      <c r="CF347" t="str">
        <f>""</f>
        <v/>
      </c>
      <c r="CG347" t="str">
        <f>""</f>
        <v/>
      </c>
      <c r="CH347" t="str">
        <f>""</f>
        <v/>
      </c>
      <c r="CI347" t="str">
        <f>""</f>
        <v/>
      </c>
      <c r="CJ347" t="str">
        <f>""</f>
        <v/>
      </c>
      <c r="CK347" t="str">
        <f>""</f>
        <v/>
      </c>
      <c r="CL347" t="str">
        <f>""</f>
        <v/>
      </c>
      <c r="CM347" t="str">
        <f>""</f>
        <v/>
      </c>
      <c r="CN347" t="str">
        <f>""</f>
        <v/>
      </c>
      <c r="CO347" t="str">
        <f>""</f>
        <v/>
      </c>
      <c r="CP347" t="str">
        <f>""</f>
        <v/>
      </c>
      <c r="CQ347" t="str">
        <f>""</f>
        <v/>
      </c>
      <c r="CR347" t="str">
        <f>""</f>
        <v/>
      </c>
      <c r="CS347" t="str">
        <f>""</f>
        <v/>
      </c>
      <c r="CT347" t="str">
        <f>""</f>
        <v/>
      </c>
      <c r="CU347" t="str">
        <f>""</f>
        <v/>
      </c>
      <c r="CV347" t="str">
        <f>""</f>
        <v/>
      </c>
      <c r="CW347" t="str">
        <f>""</f>
        <v/>
      </c>
      <c r="CX347" t="str">
        <f>""</f>
        <v/>
      </c>
      <c r="CY347" t="str">
        <f>""</f>
        <v/>
      </c>
      <c r="CZ347" t="str">
        <f>""</f>
        <v/>
      </c>
      <c r="DA347" t="str">
        <f>""</f>
        <v/>
      </c>
      <c r="DB347" t="str">
        <f>""</f>
        <v/>
      </c>
      <c r="DC347" t="str">
        <f>""</f>
        <v/>
      </c>
      <c r="DD347" t="str">
        <f>""</f>
        <v/>
      </c>
      <c r="DE347" t="str">
        <f>""</f>
        <v/>
      </c>
      <c r="DF347" t="str">
        <f>""</f>
        <v/>
      </c>
      <c r="DG347" t="str">
        <f>""</f>
        <v/>
      </c>
      <c r="DH347" t="str">
        <f>""</f>
        <v/>
      </c>
      <c r="DI347" t="str">
        <f>""</f>
        <v/>
      </c>
      <c r="DJ347" t="str">
        <f>""</f>
        <v/>
      </c>
      <c r="DK347" t="str">
        <f>""</f>
        <v/>
      </c>
      <c r="DL347" t="str">
        <f>""</f>
        <v/>
      </c>
      <c r="DM347" t="str">
        <f>""</f>
        <v/>
      </c>
      <c r="DN347" t="str">
        <f>""</f>
        <v/>
      </c>
      <c r="DO347" t="str">
        <f>""</f>
        <v/>
      </c>
      <c r="DP347" t="str">
        <f>""</f>
        <v/>
      </c>
      <c r="DQ347" t="str">
        <f>""</f>
        <v/>
      </c>
      <c r="DR347" t="str">
        <f>""</f>
        <v/>
      </c>
      <c r="DS347" t="str">
        <f>""</f>
        <v/>
      </c>
      <c r="DT347" t="str">
        <f>""</f>
        <v/>
      </c>
      <c r="DU347" t="str">
        <f>""</f>
        <v/>
      </c>
    </row>
    <row r="348" spans="1:125" x14ac:dyDescent="0.25">
      <c r="A348" t="str">
        <f>"    General Motors Co"</f>
        <v xml:space="preserve">    General Motors Co</v>
      </c>
      <c r="B348" t="str">
        <f>"GM US Equity"</f>
        <v>GM US Equity</v>
      </c>
      <c r="C348" t="str">
        <f t="shared" si="24"/>
        <v>RX530</v>
      </c>
      <c r="D348" t="str">
        <f t="shared" si="25"/>
        <v>T12M_DVDS_PAID</v>
      </c>
      <c r="E348" t="str">
        <f t="shared" si="26"/>
        <v>Dynamic</v>
      </c>
      <c r="F348" t="str">
        <f ca="1">IF(AND(ISNUMBER($F$849),$B$511=1),$F$849,HLOOKUP(INDIRECT(ADDRESS(2,COLUMN())),OFFSET($BN$2,0,0,ROW()-1,60),ROW()-1,FALSE))</f>
        <v/>
      </c>
      <c r="G348">
        <f ca="1">IF(AND(ISNUMBER($G$849),$B$511=1),$G$849,HLOOKUP(INDIRECT(ADDRESS(2,COLUMN())),OFFSET($BN$2,0,0,ROW()-1,60),ROW()-1,FALSE))</f>
        <v>-2242</v>
      </c>
      <c r="H348">
        <f ca="1">IF(AND(ISNUMBER($H$849),$B$511=1),$H$849,HLOOKUP(INDIRECT(ADDRESS(2,COLUMN())),OFFSET($BN$2,0,0,ROW()-1,60),ROW()-1,FALSE))</f>
        <v>-2222</v>
      </c>
      <c r="I348">
        <f ca="1">IF(AND(ISNUMBER($I$849),$B$511=1),$I$849,HLOOKUP(INDIRECT(ADDRESS(2,COLUMN())),OFFSET($BN$2,0,0,ROW()-1,60),ROW()-1,FALSE))</f>
        <v>-2192</v>
      </c>
      <c r="J348">
        <f ca="1">IF(AND(ISNUMBER($J$849),$B$511=1),$J$849,HLOOKUP(INDIRECT(ADDRESS(2,COLUMN())),OFFSET($BN$2,0,0,ROW()-1,60),ROW()-1,FALSE))</f>
        <v>-2226</v>
      </c>
      <c r="K348">
        <f ca="1">IF(AND(ISNUMBER($K$849),$B$511=1),$K$849,HLOOKUP(INDIRECT(ADDRESS(2,COLUMN())),OFFSET($BN$2,0,0,ROW()-1,60),ROW()-1,FALSE))</f>
        <v>-2233</v>
      </c>
      <c r="L348">
        <f ca="1">IF(AND(ISNUMBER($L$849),$B$511=1),$L$849,HLOOKUP(INDIRECT(ADDRESS(2,COLUMN())),OFFSET($BN$2,0,0,ROW()-1,60),ROW()-1,FALSE))</f>
        <v>-2287</v>
      </c>
      <c r="M348">
        <f ca="1">IF(AND(ISNUMBER($M$849),$B$511=1),$M$849,HLOOKUP(INDIRECT(ADDRESS(2,COLUMN())),OFFSET($BN$2,0,0,ROW()-1,60),ROW()-1,FALSE))</f>
        <v>-2325</v>
      </c>
      <c r="N348">
        <f ca="1">IF(AND(ISNUMBER($N$849),$B$511=1),$N$849,HLOOKUP(INDIRECT(ADDRESS(2,COLUMN())),OFFSET($BN$2,0,0,ROW()-1,60),ROW()-1,FALSE))</f>
        <v>-2353</v>
      </c>
      <c r="O348">
        <f ca="1">IF(AND(ISNUMBER($O$849),$B$511=1),$O$849,HLOOKUP(INDIRECT(ADDRESS(2,COLUMN())),OFFSET($BN$2,0,0,ROW()-1,60),ROW()-1,FALSE))</f>
        <v>-2368</v>
      </c>
      <c r="P348">
        <f ca="1">IF(AND(ISNUMBER($P$849),$B$511=1),$P$849,HLOOKUP(INDIRECT(ADDRESS(2,COLUMN())),OFFSET($BN$2,0,0,ROW()-1,60),ROW()-1,FALSE))</f>
        <v>-2346</v>
      </c>
      <c r="Q348">
        <f ca="1">IF(AND(ISNUMBER($Q$849),$B$511=1),$Q$849,HLOOKUP(INDIRECT(ADDRESS(2,COLUMN())),OFFSET($BN$2,0,0,ROW()-1,60),ROW()-1,FALSE))</f>
        <v>-2344</v>
      </c>
      <c r="R348">
        <f ca="1">IF(AND(ISNUMBER($R$849),$B$511=1),$R$849,HLOOKUP(INDIRECT(ADDRESS(2,COLUMN())),OFFSET($BN$2,0,0,ROW()-1,60),ROW()-1,FALSE))</f>
        <v>-2342</v>
      </c>
      <c r="S348">
        <f ca="1">IF(AND(ISNUMBER($S$849),$B$511=1),$S$849,HLOOKUP(INDIRECT(ADDRESS(2,COLUMN())),OFFSET($BN$2,0,0,ROW()-1,60),ROW()-1,FALSE))</f>
        <v>-2242</v>
      </c>
      <c r="T348">
        <f ca="1">IF(AND(ISNUMBER($T$849),$B$511=1),$T$849,HLOOKUP(INDIRECT(ADDRESS(2,COLUMN())),OFFSET($BN$2,0,0,ROW()-1,60),ROW()-1,FALSE))</f>
        <v>-3062</v>
      </c>
      <c r="U348">
        <f ca="1">IF(AND(ISNUMBER($U$849),$B$511=1),$U$849,HLOOKUP(INDIRECT(ADDRESS(2,COLUMN())),OFFSET($BN$2,0,0,ROW()-1,60),ROW()-1,FALSE))</f>
        <v>-3058</v>
      </c>
      <c r="V348">
        <f ca="1">IF(AND(ISNUMBER($V$849),$B$511=1),$V$849,HLOOKUP(INDIRECT(ADDRESS(2,COLUMN())),OFFSET($BN$2,0,0,ROW()-1,60),ROW()-1,FALSE))</f>
        <v>-3082</v>
      </c>
      <c r="W348">
        <f ca="1">IF(AND(ISNUMBER($W$849),$B$511=1),$W$849,HLOOKUP(INDIRECT(ADDRESS(2,COLUMN())),OFFSET($BN$2,0,0,ROW()-1,60),ROW()-1,FALSE))</f>
        <v>-3165</v>
      </c>
      <c r="X348">
        <f ca="1">IF(AND(ISNUMBER($X$849),$B$511=1),$X$849,HLOOKUP(INDIRECT(ADDRESS(2,COLUMN())),OFFSET($BN$2,0,0,ROW()-1,60),ROW()-1,FALSE))</f>
        <v>-1949</v>
      </c>
      <c r="Y348">
        <f ca="1">IF(AND(ISNUMBER($Y$849),$B$511=1),$Y$849,HLOOKUP(INDIRECT(ADDRESS(2,COLUMN())),OFFSET($BN$2,0,0,ROW()-1,60),ROW()-1,FALSE))</f>
        <v>-2406</v>
      </c>
      <c r="Z348">
        <f ca="1">IF(AND(ISNUMBER($Z$849),$B$511=1),$Z$849,HLOOKUP(INDIRECT(ADDRESS(2,COLUMN())),OFFSET($BN$2,0,0,ROW()-1,60),ROW()-1,FALSE))</f>
        <v>-2040</v>
      </c>
      <c r="AA348">
        <f ca="1">IF(AND(ISNUMBER($AA$849),$B$511=1),$AA$849,HLOOKUP(INDIRECT(ADDRESS(2,COLUMN())),OFFSET($BN$2,0,0,ROW()-1,60),ROW()-1,FALSE))</f>
        <v>-1687</v>
      </c>
      <c r="AB348">
        <f ca="1">IF(AND(ISNUMBER($AB$849),$B$511=1),$AB$849,HLOOKUP(INDIRECT(ADDRESS(2,COLUMN())),OFFSET($BN$2,0,0,ROW()-1,60),ROW()-1,FALSE))</f>
        <v>-1779</v>
      </c>
      <c r="AC348">
        <f ca="1">IF(AND(ISNUMBER($AC$849),$B$511=1),$AC$849,HLOOKUP(INDIRECT(ADDRESS(2,COLUMN())),OFFSET($BN$2,0,0,ROW()-1,60),ROW()-1,FALSE))</f>
        <v>-954</v>
      </c>
      <c r="AD348">
        <f ca="1">IF(AND(ISNUMBER($AD$849),$B$511=1),$AD$849,HLOOKUP(INDIRECT(ADDRESS(2,COLUMN())),OFFSET($BN$2,0,0,ROW()-1,60),ROW()-1,FALSE))</f>
        <v>-940</v>
      </c>
      <c r="AE348">
        <f ca="1">IF(AND(ISNUMBER($AE$849),$B$511=1),$AE$849,HLOOKUP(INDIRECT(ADDRESS(2,COLUMN())),OFFSET($BN$2,0,0,ROW()-1,60),ROW()-1,FALSE))</f>
        <v>-939</v>
      </c>
      <c r="AF348">
        <f ca="1">IF(AND(ISNUMBER($AF$849),$B$511=1),$AF$849,HLOOKUP(INDIRECT(ADDRESS(2,COLUMN())),OFFSET($BN$2,0,0,ROW()-1,60),ROW()-1,FALSE))</f>
        <v>-946</v>
      </c>
      <c r="AG348">
        <f ca="1">IF(AND(ISNUMBER($AG$849),$B$511=1),$AG$849,HLOOKUP(INDIRECT(ADDRESS(2,COLUMN())),OFFSET($BN$2,0,0,ROW()-1,60),ROW()-1,FALSE))</f>
        <v>-940</v>
      </c>
      <c r="AH348">
        <f ca="1">IF(AND(ISNUMBER($AH$849),$B$511=1),$AH$849,HLOOKUP(INDIRECT(ADDRESS(2,COLUMN())),OFFSET($BN$2,0,0,ROW()-1,60),ROW()-1,FALSE))</f>
        <v>-912</v>
      </c>
      <c r="AI348">
        <f ca="1">IF(AND(ISNUMBER($AI$849),$B$511=1),$AI$849,HLOOKUP(INDIRECT(ADDRESS(2,COLUMN())),OFFSET($BN$2,0,0,ROW()-1,60),ROW()-1,FALSE))</f>
        <v>-916</v>
      </c>
      <c r="AJ348">
        <f ca="1">IF(AND(ISNUMBER($AJ$849),$B$511=1),$AJ$849,HLOOKUP(INDIRECT(ADDRESS(2,COLUMN())),OFFSET($BN$2,0,0,ROW()-1,60),ROW()-1,FALSE))</f>
        <v>-1613</v>
      </c>
      <c r="AK348">
        <f ca="1">IF(AND(ISNUMBER($AK$849),$B$511=1),$AK$849,HLOOKUP(INDIRECT(ADDRESS(2,COLUMN())),OFFSET($BN$2,0,0,ROW()-1,60),ROW()-1,FALSE))</f>
        <v>-1602</v>
      </c>
      <c r="AL348">
        <f ca="1">IF(AND(ISNUMBER($AL$849),$B$511=1),$AL$849,HLOOKUP(INDIRECT(ADDRESS(2,COLUMN())),OFFSET($BN$2,0,0,ROW()-1,60),ROW()-1,FALSE))</f>
        <v>-1590</v>
      </c>
      <c r="AM348">
        <f ca="1">IF(AND(ISNUMBER($AM$849),$B$511=1),$AM$849,HLOOKUP(INDIRECT(ADDRESS(2,COLUMN())),OFFSET($BN$2,0,0,ROW()-1,60),ROW()-1,FALSE))</f>
        <v>-1572</v>
      </c>
      <c r="AN348">
        <f ca="1">IF(AND(ISNUMBER($AN$849),$B$511=1),$AN$849,HLOOKUP(INDIRECT(ADDRESS(2,COLUMN())),OFFSET($BN$2,0,0,ROW()-1,60),ROW()-1,FALSE))</f>
        <v>-664</v>
      </c>
      <c r="AO348">
        <f ca="1">IF(AND(ISNUMBER($AO$849),$B$511=1),$AO$849,HLOOKUP(INDIRECT(ADDRESS(2,COLUMN())),OFFSET($BN$2,0,0,ROW()-1,60),ROW()-1,FALSE))</f>
        <v>-502</v>
      </c>
      <c r="AP348">
        <f ca="1">IF(AND(ISNUMBER($AP$849),$B$511=1),$AP$849,HLOOKUP(INDIRECT(ADDRESS(2,COLUMN())),OFFSET($BN$2,0,0,ROW()-1,60),ROW()-1,FALSE))</f>
        <v>-300</v>
      </c>
      <c r="AQ348">
        <f ca="1">IF(AND(ISNUMBER($AQ$849),$B$511=1),$AQ$849,HLOOKUP(INDIRECT(ADDRESS(2,COLUMN())),OFFSET($BN$2,0,0,ROW()-1,60),ROW()-1,FALSE))</f>
        <v>-97</v>
      </c>
      <c r="AR348" t="str">
        <f ca="1">IF(AND(ISNUMBER($AR$849),$B$511=1),$AR$849,HLOOKUP(INDIRECT(ADDRESS(2,COLUMN())),OFFSET($BN$2,0,0,ROW()-1,60),ROW()-1,FALSE))</f>
        <v/>
      </c>
      <c r="AS348" t="str">
        <f ca="1">IF(AND(ISNUMBER($AS$849),$B$511=1),$AS$849,HLOOKUP(INDIRECT(ADDRESS(2,COLUMN())),OFFSET($BN$2,0,0,ROW()-1,60),ROW()-1,FALSE))</f>
        <v/>
      </c>
      <c r="AT348" t="str">
        <f ca="1">IF(AND(ISNUMBER($AT$849),$B$511=1),$AT$849,HLOOKUP(INDIRECT(ADDRESS(2,COLUMN())),OFFSET($BN$2,0,0,ROW()-1,60),ROW()-1,FALSE))</f>
        <v/>
      </c>
      <c r="AU348" t="str">
        <f ca="1">IF(AND(ISNUMBER($AU$849),$B$511=1),$AU$849,HLOOKUP(INDIRECT(ADDRESS(2,COLUMN())),OFFSET($BN$2,0,0,ROW()-1,60),ROW()-1,FALSE))</f>
        <v/>
      </c>
      <c r="AV348" t="str">
        <f ca="1">IF(AND(ISNUMBER($AV$849),$B$511=1),$AV$849,HLOOKUP(INDIRECT(ADDRESS(2,COLUMN())),OFFSET($BN$2,0,0,ROW()-1,60),ROW()-1,FALSE))</f>
        <v/>
      </c>
      <c r="AW348" t="str">
        <f ca="1">IF(AND(ISNUMBER($AW$849),$B$511=1),$AW$849,HLOOKUP(INDIRECT(ADDRESS(2,COLUMN())),OFFSET($BN$2,0,0,ROW()-1,60),ROW()-1,FALSE))</f>
        <v/>
      </c>
      <c r="AX348" t="str">
        <f ca="1">IF(AND(ISNUMBER($AX$849),$B$511=1),$AX$849,HLOOKUP(INDIRECT(ADDRESS(2,COLUMN())),OFFSET($BN$2,0,0,ROW()-1,60),ROW()-1,FALSE))</f>
        <v/>
      </c>
      <c r="AY348" t="str">
        <f ca="1">IF(AND(ISNUMBER($AY$849),$B$511=1),$AY$849,HLOOKUP(INDIRECT(ADDRESS(2,COLUMN())),OFFSET($BN$2,0,0,ROW()-1,60),ROW()-1,FALSE))</f>
        <v/>
      </c>
      <c r="AZ348" t="str">
        <f ca="1">IF(AND(ISNUMBER($AZ$849),$B$511=1),$AZ$849,HLOOKUP(INDIRECT(ADDRESS(2,COLUMN())),OFFSET($BN$2,0,0,ROW()-1,60),ROW()-1,FALSE))</f>
        <v/>
      </c>
      <c r="BA348" t="str">
        <f ca="1">IF(AND(ISNUMBER($BA$849),$B$511=1),$BA$849,HLOOKUP(INDIRECT(ADDRESS(2,COLUMN())),OFFSET($BN$2,0,0,ROW()-1,60),ROW()-1,FALSE))</f>
        <v/>
      </c>
      <c r="BB348" t="str">
        <f ca="1">IF(AND(ISNUMBER($BB$849),$B$511=1),$BB$849,HLOOKUP(INDIRECT(ADDRESS(2,COLUMN())),OFFSET($BN$2,0,0,ROW()-1,60),ROW()-1,FALSE))</f>
        <v/>
      </c>
      <c r="BC348" t="str">
        <f ca="1">IF(AND(ISNUMBER($BC$849),$B$511=1),$BC$849,HLOOKUP(INDIRECT(ADDRESS(2,COLUMN())),OFFSET($BN$2,0,0,ROW()-1,60),ROW()-1,FALSE))</f>
        <v/>
      </c>
      <c r="BD348" t="str">
        <f ca="1">IF(AND(ISNUMBER($BD$849),$B$511=1),$BD$849,HLOOKUP(INDIRECT(ADDRESS(2,COLUMN())),OFFSET($BN$2,0,0,ROW()-1,60),ROW()-1,FALSE))</f>
        <v/>
      </c>
      <c r="BE348" t="str">
        <f ca="1">IF(AND(ISNUMBER($BE$849),$B$511=1),$BE$849,HLOOKUP(INDIRECT(ADDRESS(2,COLUMN())),OFFSET($BN$2,0,0,ROW()-1,60),ROW()-1,FALSE))</f>
        <v/>
      </c>
      <c r="BF348" t="str">
        <f ca="1">IF(AND(ISNUMBER($BF$849),$B$511=1),$BF$849,HLOOKUP(INDIRECT(ADDRESS(2,COLUMN())),OFFSET($BN$2,0,0,ROW()-1,60),ROW()-1,FALSE))</f>
        <v/>
      </c>
      <c r="BG348" t="str">
        <f ca="1">IF(AND(ISNUMBER($BG$849),$B$511=1),$BG$849,HLOOKUP(INDIRECT(ADDRESS(2,COLUMN())),OFFSET($BN$2,0,0,ROW()-1,60),ROW()-1,FALSE))</f>
        <v/>
      </c>
      <c r="BH348" t="str">
        <f ca="1">IF(AND(ISNUMBER($BH$849),$B$511=1),$BH$849,HLOOKUP(INDIRECT(ADDRESS(2,COLUMN())),OFFSET($BN$2,0,0,ROW()-1,60),ROW()-1,FALSE))</f>
        <v/>
      </c>
      <c r="BI348" t="str">
        <f ca="1">IF(AND(ISNUMBER($BI$849),$B$511=1),$BI$849,HLOOKUP(INDIRECT(ADDRESS(2,COLUMN())),OFFSET($BN$2,0,0,ROW()-1,60),ROW()-1,FALSE))</f>
        <v/>
      </c>
      <c r="BJ348" t="str">
        <f ca="1">IF(AND(ISNUMBER($BJ$849),$B$511=1),$BJ$849,HLOOKUP(INDIRECT(ADDRESS(2,COLUMN())),OFFSET($BN$2,0,0,ROW()-1,60),ROW()-1,FALSE))</f>
        <v/>
      </c>
      <c r="BK348" t="str">
        <f ca="1">IF(AND(ISNUMBER($BK$849),$B$511=1),$BK$849,HLOOKUP(INDIRECT(ADDRESS(2,COLUMN())),OFFSET($BN$2,0,0,ROW()-1,60),ROW()-1,FALSE))</f>
        <v/>
      </c>
      <c r="BL348" t="str">
        <f ca="1">IF(AND(ISNUMBER($BL$849),$B$511=1),$BL$849,HLOOKUP(INDIRECT(ADDRESS(2,COLUMN())),OFFSET($BN$2,0,0,ROW()-1,60),ROW()-1,FALSE))</f>
        <v/>
      </c>
      <c r="BM348" t="str">
        <f ca="1">IF(AND(ISNUMBER($BM$849),$B$511=1),$BM$849,HLOOKUP(INDIRECT(ADDRESS(2,COLUMN())),OFFSET($BN$2,0,0,ROW()-1,60),ROW()-1,FALSE))</f>
        <v/>
      </c>
      <c r="BN348" t="str">
        <f>""</f>
        <v/>
      </c>
      <c r="BO348">
        <f>-2242</f>
        <v>-2242</v>
      </c>
      <c r="BP348">
        <f>-2222</f>
        <v>-2222</v>
      </c>
      <c r="BQ348">
        <f>-2192</f>
        <v>-2192</v>
      </c>
      <c r="BR348">
        <f>-2226</f>
        <v>-2226</v>
      </c>
      <c r="BS348">
        <f>-2233</f>
        <v>-2233</v>
      </c>
      <c r="BT348">
        <f>-2287</f>
        <v>-2287</v>
      </c>
      <c r="BU348">
        <f>-2325</f>
        <v>-2325</v>
      </c>
      <c r="BV348">
        <f>-2353</f>
        <v>-2353</v>
      </c>
      <c r="BW348">
        <f>-2368</f>
        <v>-2368</v>
      </c>
      <c r="BX348">
        <f>-2346</f>
        <v>-2346</v>
      </c>
      <c r="BY348">
        <f>-2344</f>
        <v>-2344</v>
      </c>
      <c r="BZ348">
        <f>-2342</f>
        <v>-2342</v>
      </c>
      <c r="CA348">
        <f>-2242</f>
        <v>-2242</v>
      </c>
      <c r="CB348">
        <f>-3062</f>
        <v>-3062</v>
      </c>
      <c r="CC348">
        <f>-3058</f>
        <v>-3058</v>
      </c>
      <c r="CD348">
        <f>-3082</f>
        <v>-3082</v>
      </c>
      <c r="CE348">
        <f>-3165</f>
        <v>-3165</v>
      </c>
      <c r="CF348">
        <f>-1949</f>
        <v>-1949</v>
      </c>
      <c r="CG348">
        <f>-2406</f>
        <v>-2406</v>
      </c>
      <c r="CH348">
        <f>-2040</f>
        <v>-2040</v>
      </c>
      <c r="CI348">
        <f>-1687</f>
        <v>-1687</v>
      </c>
      <c r="CJ348">
        <f>-1779</f>
        <v>-1779</v>
      </c>
      <c r="CK348">
        <f>-954</f>
        <v>-954</v>
      </c>
      <c r="CL348">
        <f>-940</f>
        <v>-940</v>
      </c>
      <c r="CM348">
        <f>-939</f>
        <v>-939</v>
      </c>
      <c r="CN348">
        <f>-946</f>
        <v>-946</v>
      </c>
      <c r="CO348">
        <f>-940</f>
        <v>-940</v>
      </c>
      <c r="CP348">
        <f>-912</f>
        <v>-912</v>
      </c>
      <c r="CQ348">
        <f>-916</f>
        <v>-916</v>
      </c>
      <c r="CR348">
        <f>-1613</f>
        <v>-1613</v>
      </c>
      <c r="CS348">
        <f>-1602</f>
        <v>-1602</v>
      </c>
      <c r="CT348">
        <f>-1590</f>
        <v>-1590</v>
      </c>
      <c r="CU348">
        <f>-1572</f>
        <v>-1572</v>
      </c>
      <c r="CV348">
        <f>-664</f>
        <v>-664</v>
      </c>
      <c r="CW348">
        <f>-502</f>
        <v>-502</v>
      </c>
      <c r="CX348">
        <f>-300</f>
        <v>-300</v>
      </c>
      <c r="CY348">
        <f>-97</f>
        <v>-97</v>
      </c>
      <c r="CZ348" t="str">
        <f>""</f>
        <v/>
      </c>
      <c r="DA348" t="str">
        <f>""</f>
        <v/>
      </c>
      <c r="DB348" t="str">
        <f>""</f>
        <v/>
      </c>
      <c r="DC348" t="str">
        <f>""</f>
        <v/>
      </c>
      <c r="DD348" t="str">
        <f>""</f>
        <v/>
      </c>
      <c r="DE348" t="str">
        <f>""</f>
        <v/>
      </c>
      <c r="DF348" t="str">
        <f>""</f>
        <v/>
      </c>
      <c r="DG348" t="str">
        <f>""</f>
        <v/>
      </c>
      <c r="DH348" t="str">
        <f>""</f>
        <v/>
      </c>
      <c r="DI348" t="str">
        <f>""</f>
        <v/>
      </c>
      <c r="DJ348" t="str">
        <f>""</f>
        <v/>
      </c>
      <c r="DK348" t="str">
        <f>""</f>
        <v/>
      </c>
      <c r="DL348" t="str">
        <f>""</f>
        <v/>
      </c>
      <c r="DM348" t="str">
        <f>""</f>
        <v/>
      </c>
      <c r="DN348" t="str">
        <f>""</f>
        <v/>
      </c>
      <c r="DO348" t="str">
        <f>""</f>
        <v/>
      </c>
      <c r="DP348" t="str">
        <f>""</f>
        <v/>
      </c>
      <c r="DQ348" t="str">
        <f>""</f>
        <v/>
      </c>
      <c r="DR348" t="str">
        <f>""</f>
        <v/>
      </c>
      <c r="DS348" t="str">
        <f>""</f>
        <v/>
      </c>
      <c r="DT348" t="str">
        <f>""</f>
        <v/>
      </c>
      <c r="DU348" t="str">
        <f>""</f>
        <v/>
      </c>
    </row>
    <row r="349" spans="1:125" x14ac:dyDescent="0.25">
      <c r="A349" t="str">
        <f>"    Great Wall Motor Co Ltd"</f>
        <v xml:space="preserve">    Great Wall Motor Co Ltd</v>
      </c>
      <c r="B349" t="str">
        <f>"2333 HK Equity"</f>
        <v>2333 HK Equity</v>
      </c>
      <c r="C349" t="str">
        <f t="shared" si="24"/>
        <v>RX530</v>
      </c>
      <c r="D349" t="str">
        <f t="shared" si="25"/>
        <v>T12M_DVDS_PAID</v>
      </c>
      <c r="E349" t="str">
        <f t="shared" si="26"/>
        <v>Dynamic</v>
      </c>
      <c r="F349" t="str">
        <f ca="1">IF(AND(ISNUMBER($F$850),$B$511=1),$F$850,HLOOKUP(INDIRECT(ADDRESS(2,COLUMN())),OFFSET($BN$2,0,0,ROW()-1,60),ROW()-1,FALSE))</f>
        <v/>
      </c>
      <c r="G349" t="str">
        <f ca="1">IF(AND(ISNUMBER($G$850),$B$511=1),$G$850,HLOOKUP(INDIRECT(ADDRESS(2,COLUMN())),OFFSET($BN$2,0,0,ROW()-1,60),ROW()-1,FALSE))</f>
        <v/>
      </c>
      <c r="H349" t="str">
        <f ca="1">IF(AND(ISNUMBER($H$850),$B$511=1),$H$850,HLOOKUP(INDIRECT(ADDRESS(2,COLUMN())),OFFSET($BN$2,0,0,ROW()-1,60),ROW()-1,FALSE))</f>
        <v/>
      </c>
      <c r="I349">
        <f ca="1">IF(AND(ISNUMBER($I$850),$B$511=1),$I$850,HLOOKUP(INDIRECT(ADDRESS(2,COLUMN())),OFFSET($BN$2,0,0,ROW()-1,60),ROW()-1,FALSE))</f>
        <v>-238.68489869999999</v>
      </c>
      <c r="J349">
        <f ca="1">IF(AND(ISNUMBER($J$850),$B$511=1),$J$850,HLOOKUP(INDIRECT(ADDRESS(2,COLUMN())),OFFSET($BN$2,0,0,ROW()-1,60),ROW()-1,FALSE))</f>
        <v>-482.82088659999999</v>
      </c>
      <c r="K349">
        <f ca="1">IF(AND(ISNUMBER($K$850),$B$511=1),$K$850,HLOOKUP(INDIRECT(ADDRESS(2,COLUMN())),OFFSET($BN$2,0,0,ROW()-1,60),ROW()-1,FALSE))</f>
        <v>-473.25991909999999</v>
      </c>
      <c r="L349" t="str">
        <f ca="1">IF(AND(ISNUMBER($L$850),$B$511=1),$L$850,HLOOKUP(INDIRECT(ADDRESS(2,COLUMN())),OFFSET($BN$2,0,0,ROW()-1,60),ROW()-1,FALSE))</f>
        <v/>
      </c>
      <c r="M349" t="str">
        <f ca="1">IF(AND(ISNUMBER($M$850),$B$511=1),$M$850,HLOOKUP(INDIRECT(ADDRESS(2,COLUMN())),OFFSET($BN$2,0,0,ROW()-1,60),ROW()-1,FALSE))</f>
        <v/>
      </c>
      <c r="N349" t="str">
        <f ca="1">IF(AND(ISNUMBER($N$850),$B$511=1),$N$850,HLOOKUP(INDIRECT(ADDRESS(2,COLUMN())),OFFSET($BN$2,0,0,ROW()-1,60),ROW()-1,FALSE))</f>
        <v/>
      </c>
      <c r="O349" t="str">
        <f ca="1">IF(AND(ISNUMBER($O$850),$B$511=1),$O$850,HLOOKUP(INDIRECT(ADDRESS(2,COLUMN())),OFFSET($BN$2,0,0,ROW()-1,60),ROW()-1,FALSE))</f>
        <v/>
      </c>
      <c r="P349" t="str">
        <f ca="1">IF(AND(ISNUMBER($P$850),$B$511=1),$P$850,HLOOKUP(INDIRECT(ADDRESS(2,COLUMN())),OFFSET($BN$2,0,0,ROW()-1,60),ROW()-1,FALSE))</f>
        <v/>
      </c>
      <c r="Q349" t="str">
        <f ca="1">IF(AND(ISNUMBER($Q$850),$B$511=1),$Q$850,HLOOKUP(INDIRECT(ADDRESS(2,COLUMN())),OFFSET($BN$2,0,0,ROW()-1,60),ROW()-1,FALSE))</f>
        <v/>
      </c>
      <c r="R349" t="str">
        <f ca="1">IF(AND(ISNUMBER($R$850),$B$511=1),$R$850,HLOOKUP(INDIRECT(ADDRESS(2,COLUMN())),OFFSET($BN$2,0,0,ROW()-1,60),ROW()-1,FALSE))</f>
        <v/>
      </c>
      <c r="S349" t="str">
        <f ca="1">IF(AND(ISNUMBER($S$850),$B$511=1),$S$850,HLOOKUP(INDIRECT(ADDRESS(2,COLUMN())),OFFSET($BN$2,0,0,ROW()-1,60),ROW()-1,FALSE))</f>
        <v/>
      </c>
      <c r="T349" t="str">
        <f ca="1">IF(AND(ISNUMBER($T$850),$B$511=1),$T$850,HLOOKUP(INDIRECT(ADDRESS(2,COLUMN())),OFFSET($BN$2,0,0,ROW()-1,60),ROW()-1,FALSE))</f>
        <v/>
      </c>
      <c r="U349" t="str">
        <f ca="1">IF(AND(ISNUMBER($U$850),$B$511=1),$U$850,HLOOKUP(INDIRECT(ADDRESS(2,COLUMN())),OFFSET($BN$2,0,0,ROW()-1,60),ROW()-1,FALSE))</f>
        <v/>
      </c>
      <c r="V349" t="str">
        <f ca="1">IF(AND(ISNUMBER($V$850),$B$511=1),$V$850,HLOOKUP(INDIRECT(ADDRESS(2,COLUMN())),OFFSET($BN$2,0,0,ROW()-1,60),ROW()-1,FALSE))</f>
        <v/>
      </c>
      <c r="W349" t="str">
        <f ca="1">IF(AND(ISNUMBER($W$850),$B$511=1),$W$850,HLOOKUP(INDIRECT(ADDRESS(2,COLUMN())),OFFSET($BN$2,0,0,ROW()-1,60),ROW()-1,FALSE))</f>
        <v/>
      </c>
      <c r="X349" t="str">
        <f ca="1">IF(AND(ISNUMBER($X$850),$B$511=1),$X$850,HLOOKUP(INDIRECT(ADDRESS(2,COLUMN())),OFFSET($BN$2,0,0,ROW()-1,60),ROW()-1,FALSE))</f>
        <v/>
      </c>
      <c r="Y349" t="str">
        <f ca="1">IF(AND(ISNUMBER($Y$850),$B$511=1),$Y$850,HLOOKUP(INDIRECT(ADDRESS(2,COLUMN())),OFFSET($BN$2,0,0,ROW()-1,60),ROW()-1,FALSE))</f>
        <v/>
      </c>
      <c r="Z349" t="str">
        <f ca="1">IF(AND(ISNUMBER($Z$850),$B$511=1),$Z$850,HLOOKUP(INDIRECT(ADDRESS(2,COLUMN())),OFFSET($BN$2,0,0,ROW()-1,60),ROW()-1,FALSE))</f>
        <v/>
      </c>
      <c r="AA349">
        <f ca="1">IF(AND(ISNUMBER($AA$850),$B$511=1),$AA$850,HLOOKUP(INDIRECT(ADDRESS(2,COLUMN())),OFFSET($BN$2,0,0,ROW()-1,60),ROW()-1,FALSE))</f>
        <v>-282.08535690000002</v>
      </c>
      <c r="AB349" t="str">
        <f ca="1">IF(AND(ISNUMBER($AB$850),$B$511=1),$AB$850,HLOOKUP(INDIRECT(ADDRESS(2,COLUMN())),OFFSET($BN$2,0,0,ROW()-1,60),ROW()-1,FALSE))</f>
        <v/>
      </c>
      <c r="AC349" t="str">
        <f ca="1">IF(AND(ISNUMBER($AC$850),$B$511=1),$AC$850,HLOOKUP(INDIRECT(ADDRESS(2,COLUMN())),OFFSET($BN$2,0,0,ROW()-1,60),ROW()-1,FALSE))</f>
        <v/>
      </c>
      <c r="AD349" t="str">
        <f ca="1">IF(AND(ISNUMBER($AD$850),$B$511=1),$AD$850,HLOOKUP(INDIRECT(ADDRESS(2,COLUMN())),OFFSET($BN$2,0,0,ROW()-1,60),ROW()-1,FALSE))</f>
        <v/>
      </c>
      <c r="AE349" t="str">
        <f ca="1">IF(AND(ISNUMBER($AE$850),$B$511=1),$AE$850,HLOOKUP(INDIRECT(ADDRESS(2,COLUMN())),OFFSET($BN$2,0,0,ROW()-1,60),ROW()-1,FALSE))</f>
        <v/>
      </c>
      <c r="AF349" t="str">
        <f ca="1">IF(AND(ISNUMBER($AF$850),$B$511=1),$AF$850,HLOOKUP(INDIRECT(ADDRESS(2,COLUMN())),OFFSET($BN$2,0,0,ROW()-1,60),ROW()-1,FALSE))</f>
        <v/>
      </c>
      <c r="AG349" t="str">
        <f ca="1">IF(AND(ISNUMBER($AG$850),$B$511=1),$AG$850,HLOOKUP(INDIRECT(ADDRESS(2,COLUMN())),OFFSET($BN$2,0,0,ROW()-1,60),ROW()-1,FALSE))</f>
        <v/>
      </c>
      <c r="AH349" t="str">
        <f ca="1">IF(AND(ISNUMBER($AH$850),$B$511=1),$AH$850,HLOOKUP(INDIRECT(ADDRESS(2,COLUMN())),OFFSET($BN$2,0,0,ROW()-1,60),ROW()-1,FALSE))</f>
        <v/>
      </c>
      <c r="AI349" t="str">
        <f ca="1">IF(AND(ISNUMBER($AI$850),$B$511=1),$AI$850,HLOOKUP(INDIRECT(ADDRESS(2,COLUMN())),OFFSET($BN$2,0,0,ROW()-1,60),ROW()-1,FALSE))</f>
        <v/>
      </c>
      <c r="AJ349" t="str">
        <f ca="1">IF(AND(ISNUMBER($AJ$850),$B$511=1),$AJ$850,HLOOKUP(INDIRECT(ADDRESS(2,COLUMN())),OFFSET($BN$2,0,0,ROW()-1,60),ROW()-1,FALSE))</f>
        <v/>
      </c>
      <c r="AK349" t="str">
        <f ca="1">IF(AND(ISNUMBER($AK$850),$B$511=1),$AK$850,HLOOKUP(INDIRECT(ADDRESS(2,COLUMN())),OFFSET($BN$2,0,0,ROW()-1,60),ROW()-1,FALSE))</f>
        <v/>
      </c>
      <c r="AL349" t="str">
        <f ca="1">IF(AND(ISNUMBER($AL$850),$B$511=1),$AL$850,HLOOKUP(INDIRECT(ADDRESS(2,COLUMN())),OFFSET($BN$2,0,0,ROW()-1,60),ROW()-1,FALSE))</f>
        <v/>
      </c>
      <c r="AM349" t="str">
        <f ca="1">IF(AND(ISNUMBER($AM$850),$B$511=1),$AM$850,HLOOKUP(INDIRECT(ADDRESS(2,COLUMN())),OFFSET($BN$2,0,0,ROW()-1,60),ROW()-1,FALSE))</f>
        <v/>
      </c>
      <c r="AN349" t="str">
        <f ca="1">IF(AND(ISNUMBER($AN$850),$B$511=1),$AN$850,HLOOKUP(INDIRECT(ADDRESS(2,COLUMN())),OFFSET($BN$2,0,0,ROW()-1,60),ROW()-1,FALSE))</f>
        <v/>
      </c>
      <c r="AO349" t="str">
        <f ca="1">IF(AND(ISNUMBER($AO$850),$B$511=1),$AO$850,HLOOKUP(INDIRECT(ADDRESS(2,COLUMN())),OFFSET($BN$2,0,0,ROW()-1,60),ROW()-1,FALSE))</f>
        <v/>
      </c>
      <c r="AP349" t="str">
        <f ca="1">IF(AND(ISNUMBER($AP$850),$B$511=1),$AP$850,HLOOKUP(INDIRECT(ADDRESS(2,COLUMN())),OFFSET($BN$2,0,0,ROW()-1,60),ROW()-1,FALSE))</f>
        <v/>
      </c>
      <c r="AQ349" t="str">
        <f ca="1">IF(AND(ISNUMBER($AQ$850),$B$511=1),$AQ$850,HLOOKUP(INDIRECT(ADDRESS(2,COLUMN())),OFFSET($BN$2,0,0,ROW()-1,60),ROW()-1,FALSE))</f>
        <v/>
      </c>
      <c r="AR349" t="str">
        <f ca="1">IF(AND(ISNUMBER($AR$850),$B$511=1),$AR$850,HLOOKUP(INDIRECT(ADDRESS(2,COLUMN())),OFFSET($BN$2,0,0,ROW()-1,60),ROW()-1,FALSE))</f>
        <v/>
      </c>
      <c r="AS349" t="str">
        <f ca="1">IF(AND(ISNUMBER($AS$850),$B$511=1),$AS$850,HLOOKUP(INDIRECT(ADDRESS(2,COLUMN())),OFFSET($BN$2,0,0,ROW()-1,60),ROW()-1,FALSE))</f>
        <v/>
      </c>
      <c r="AT349" t="str">
        <f ca="1">IF(AND(ISNUMBER($AT$850),$B$511=1),$AT$850,HLOOKUP(INDIRECT(ADDRESS(2,COLUMN())),OFFSET($BN$2,0,0,ROW()-1,60),ROW()-1,FALSE))</f>
        <v/>
      </c>
      <c r="AU349" t="str">
        <f ca="1">IF(AND(ISNUMBER($AU$850),$B$511=1),$AU$850,HLOOKUP(INDIRECT(ADDRESS(2,COLUMN())),OFFSET($BN$2,0,0,ROW()-1,60),ROW()-1,FALSE))</f>
        <v/>
      </c>
      <c r="AV349" t="str">
        <f ca="1">IF(AND(ISNUMBER($AV$850),$B$511=1),$AV$850,HLOOKUP(INDIRECT(ADDRESS(2,COLUMN())),OFFSET($BN$2,0,0,ROW()-1,60),ROW()-1,FALSE))</f>
        <v/>
      </c>
      <c r="AW349" t="str">
        <f ca="1">IF(AND(ISNUMBER($AW$850),$B$511=1),$AW$850,HLOOKUP(INDIRECT(ADDRESS(2,COLUMN())),OFFSET($BN$2,0,0,ROW()-1,60),ROW()-1,FALSE))</f>
        <v/>
      </c>
      <c r="AX349" t="str">
        <f ca="1">IF(AND(ISNUMBER($AX$850),$B$511=1),$AX$850,HLOOKUP(INDIRECT(ADDRESS(2,COLUMN())),OFFSET($BN$2,0,0,ROW()-1,60),ROW()-1,FALSE))</f>
        <v/>
      </c>
      <c r="AY349" t="str">
        <f ca="1">IF(AND(ISNUMBER($AY$850),$B$511=1),$AY$850,HLOOKUP(INDIRECT(ADDRESS(2,COLUMN())),OFFSET($BN$2,0,0,ROW()-1,60),ROW()-1,FALSE))</f>
        <v/>
      </c>
      <c r="AZ349" t="str">
        <f ca="1">IF(AND(ISNUMBER($AZ$850),$B$511=1),$AZ$850,HLOOKUP(INDIRECT(ADDRESS(2,COLUMN())),OFFSET($BN$2,0,0,ROW()-1,60),ROW()-1,FALSE))</f>
        <v/>
      </c>
      <c r="BA349" t="str">
        <f ca="1">IF(AND(ISNUMBER($BA$850),$B$511=1),$BA$850,HLOOKUP(INDIRECT(ADDRESS(2,COLUMN())),OFFSET($BN$2,0,0,ROW()-1,60),ROW()-1,FALSE))</f>
        <v/>
      </c>
      <c r="BB349" t="str">
        <f ca="1">IF(AND(ISNUMBER($BB$850),$B$511=1),$BB$850,HLOOKUP(INDIRECT(ADDRESS(2,COLUMN())),OFFSET($BN$2,0,0,ROW()-1,60),ROW()-1,FALSE))</f>
        <v/>
      </c>
      <c r="BC349" t="str">
        <f ca="1">IF(AND(ISNUMBER($BC$850),$B$511=1),$BC$850,HLOOKUP(INDIRECT(ADDRESS(2,COLUMN())),OFFSET($BN$2,0,0,ROW()-1,60),ROW()-1,FALSE))</f>
        <v/>
      </c>
      <c r="BD349" t="str">
        <f ca="1">IF(AND(ISNUMBER($BD$850),$B$511=1),$BD$850,HLOOKUP(INDIRECT(ADDRESS(2,COLUMN())),OFFSET($BN$2,0,0,ROW()-1,60),ROW()-1,FALSE))</f>
        <v/>
      </c>
      <c r="BE349" t="str">
        <f ca="1">IF(AND(ISNUMBER($BE$850),$B$511=1),$BE$850,HLOOKUP(INDIRECT(ADDRESS(2,COLUMN())),OFFSET($BN$2,0,0,ROW()-1,60),ROW()-1,FALSE))</f>
        <v/>
      </c>
      <c r="BF349" t="str">
        <f ca="1">IF(AND(ISNUMBER($BF$850),$B$511=1),$BF$850,HLOOKUP(INDIRECT(ADDRESS(2,COLUMN())),OFFSET($BN$2,0,0,ROW()-1,60),ROW()-1,FALSE))</f>
        <v/>
      </c>
      <c r="BG349" t="str">
        <f ca="1">IF(AND(ISNUMBER($BG$850),$B$511=1),$BG$850,HLOOKUP(INDIRECT(ADDRESS(2,COLUMN())),OFFSET($BN$2,0,0,ROW()-1,60),ROW()-1,FALSE))</f>
        <v/>
      </c>
      <c r="BH349" t="str">
        <f ca="1">IF(AND(ISNUMBER($BH$850),$B$511=1),$BH$850,HLOOKUP(INDIRECT(ADDRESS(2,COLUMN())),OFFSET($BN$2,0,0,ROW()-1,60),ROW()-1,FALSE))</f>
        <v/>
      </c>
      <c r="BI349" t="str">
        <f ca="1">IF(AND(ISNUMBER($BI$850),$B$511=1),$BI$850,HLOOKUP(INDIRECT(ADDRESS(2,COLUMN())),OFFSET($BN$2,0,0,ROW()-1,60),ROW()-1,FALSE))</f>
        <v/>
      </c>
      <c r="BJ349" t="str">
        <f ca="1">IF(AND(ISNUMBER($BJ$850),$B$511=1),$BJ$850,HLOOKUP(INDIRECT(ADDRESS(2,COLUMN())),OFFSET($BN$2,0,0,ROW()-1,60),ROW()-1,FALSE))</f>
        <v/>
      </c>
      <c r="BK349" t="str">
        <f ca="1">IF(AND(ISNUMBER($BK$850),$B$511=1),$BK$850,HLOOKUP(INDIRECT(ADDRESS(2,COLUMN())),OFFSET($BN$2,0,0,ROW()-1,60),ROW()-1,FALSE))</f>
        <v/>
      </c>
      <c r="BL349" t="str">
        <f ca="1">IF(AND(ISNUMBER($BL$850),$B$511=1),$BL$850,HLOOKUP(INDIRECT(ADDRESS(2,COLUMN())),OFFSET($BN$2,0,0,ROW()-1,60),ROW()-1,FALSE))</f>
        <v/>
      </c>
      <c r="BM349" t="str">
        <f ca="1">IF(AND(ISNUMBER($BM$850),$B$511=1),$BM$850,HLOOKUP(INDIRECT(ADDRESS(2,COLUMN())),OFFSET($BN$2,0,0,ROW()-1,60),ROW()-1,FALSE))</f>
        <v/>
      </c>
      <c r="BN349" t="str">
        <f>""</f>
        <v/>
      </c>
      <c r="BO349" t="str">
        <f>""</f>
        <v/>
      </c>
      <c r="BP349" t="str">
        <f>""</f>
        <v/>
      </c>
      <c r="BQ349">
        <f>-238.6848987</f>
        <v>-238.68489869999999</v>
      </c>
      <c r="BR349">
        <f>-482.8208866</f>
        <v>-482.82088659999999</v>
      </c>
      <c r="BS349">
        <f>-473.2599191</f>
        <v>-473.25991909999999</v>
      </c>
      <c r="BT349" t="str">
        <f>""</f>
        <v/>
      </c>
      <c r="BU349" t="str">
        <f>""</f>
        <v/>
      </c>
      <c r="BV349" t="str">
        <f>""</f>
        <v/>
      </c>
      <c r="BW349" t="str">
        <f>""</f>
        <v/>
      </c>
      <c r="BX349" t="str">
        <f>""</f>
        <v/>
      </c>
      <c r="BY349" t="str">
        <f>""</f>
        <v/>
      </c>
      <c r="BZ349" t="str">
        <f>""</f>
        <v/>
      </c>
      <c r="CA349" t="str">
        <f>""</f>
        <v/>
      </c>
      <c r="CB349" t="str">
        <f>""</f>
        <v/>
      </c>
      <c r="CC349" t="str">
        <f>""</f>
        <v/>
      </c>
      <c r="CD349" t="str">
        <f>""</f>
        <v/>
      </c>
      <c r="CE349" t="str">
        <f>""</f>
        <v/>
      </c>
      <c r="CF349" t="str">
        <f>""</f>
        <v/>
      </c>
      <c r="CG349" t="str">
        <f>""</f>
        <v/>
      </c>
      <c r="CH349" t="str">
        <f>""</f>
        <v/>
      </c>
      <c r="CI349">
        <f>-282.0853569</f>
        <v>-282.08535690000002</v>
      </c>
      <c r="CJ349" t="str">
        <f>""</f>
        <v/>
      </c>
      <c r="CK349" t="str">
        <f>""</f>
        <v/>
      </c>
      <c r="CL349" t="str">
        <f>""</f>
        <v/>
      </c>
      <c r="CM349" t="str">
        <f>""</f>
        <v/>
      </c>
      <c r="CN349" t="str">
        <f>""</f>
        <v/>
      </c>
      <c r="CO349" t="str">
        <f>""</f>
        <v/>
      </c>
      <c r="CP349" t="str">
        <f>""</f>
        <v/>
      </c>
      <c r="CQ349" t="str">
        <f>""</f>
        <v/>
      </c>
      <c r="CR349" t="str">
        <f>""</f>
        <v/>
      </c>
      <c r="CS349" t="str">
        <f>""</f>
        <v/>
      </c>
      <c r="CT349" t="str">
        <f>""</f>
        <v/>
      </c>
      <c r="CU349" t="str">
        <f>""</f>
        <v/>
      </c>
      <c r="CV349" t="str">
        <f>""</f>
        <v/>
      </c>
      <c r="CW349" t="str">
        <f>""</f>
        <v/>
      </c>
      <c r="CX349" t="str">
        <f>""</f>
        <v/>
      </c>
      <c r="CY349" t="str">
        <f>""</f>
        <v/>
      </c>
      <c r="CZ349" t="str">
        <f>""</f>
        <v/>
      </c>
      <c r="DA349" t="str">
        <f>""</f>
        <v/>
      </c>
      <c r="DB349" t="str">
        <f>""</f>
        <v/>
      </c>
      <c r="DC349" t="str">
        <f>""</f>
        <v/>
      </c>
      <c r="DD349" t="str">
        <f>""</f>
        <v/>
      </c>
      <c r="DE349" t="str">
        <f>""</f>
        <v/>
      </c>
      <c r="DF349" t="str">
        <f>""</f>
        <v/>
      </c>
      <c r="DG349" t="str">
        <f>""</f>
        <v/>
      </c>
      <c r="DH349" t="str">
        <f>""</f>
        <v/>
      </c>
      <c r="DI349" t="str">
        <f>""</f>
        <v/>
      </c>
      <c r="DJ349" t="str">
        <f>""</f>
        <v/>
      </c>
      <c r="DK349" t="str">
        <f>""</f>
        <v/>
      </c>
      <c r="DL349" t="str">
        <f>""</f>
        <v/>
      </c>
      <c r="DM349" t="str">
        <f>""</f>
        <v/>
      </c>
      <c r="DN349" t="str">
        <f>""</f>
        <v/>
      </c>
      <c r="DO349" t="str">
        <f>""</f>
        <v/>
      </c>
      <c r="DP349" t="str">
        <f>""</f>
        <v/>
      </c>
      <c r="DQ349" t="str">
        <f>""</f>
        <v/>
      </c>
      <c r="DR349" t="str">
        <f>""</f>
        <v/>
      </c>
      <c r="DS349" t="str">
        <f>""</f>
        <v/>
      </c>
      <c r="DT349" t="str">
        <f>""</f>
        <v/>
      </c>
      <c r="DU349" t="str">
        <f>""</f>
        <v/>
      </c>
    </row>
    <row r="350" spans="1:125" x14ac:dyDescent="0.25">
      <c r="A350" t="str">
        <f>"    Guangzhou Automobile Group Co Ltd"</f>
        <v xml:space="preserve">    Guangzhou Automobile Group Co Ltd</v>
      </c>
      <c r="B350" t="str">
        <f>"2238 HK Equity"</f>
        <v>2238 HK Equity</v>
      </c>
      <c r="C350" t="str">
        <f t="shared" si="24"/>
        <v>RX530</v>
      </c>
      <c r="D350" t="str">
        <f t="shared" si="25"/>
        <v>T12M_DVDS_PAID</v>
      </c>
      <c r="E350" t="str">
        <f t="shared" si="26"/>
        <v>Dynamic</v>
      </c>
      <c r="F350" t="str">
        <f ca="1">IF(AND(ISNUMBER($F$851),$B$511=1),$F$851,HLOOKUP(INDIRECT(ADDRESS(2,COLUMN())),OFFSET($BN$2,0,0,ROW()-1,60),ROW()-1,FALSE))</f>
        <v/>
      </c>
      <c r="G350" t="str">
        <f ca="1">IF(AND(ISNUMBER($G$851),$B$511=1),$G$851,HLOOKUP(INDIRECT(ADDRESS(2,COLUMN())),OFFSET($BN$2,0,0,ROW()-1,60),ROW()-1,FALSE))</f>
        <v/>
      </c>
      <c r="H350" t="str">
        <f ca="1">IF(AND(ISNUMBER($H$851),$B$511=1),$H$851,HLOOKUP(INDIRECT(ADDRESS(2,COLUMN())),OFFSET($BN$2,0,0,ROW()-1,60),ROW()-1,FALSE))</f>
        <v/>
      </c>
      <c r="I350" t="str">
        <f ca="1">IF(AND(ISNUMBER($I$851),$B$511=1),$I$851,HLOOKUP(INDIRECT(ADDRESS(2,COLUMN())),OFFSET($BN$2,0,0,ROW()-1,60),ROW()-1,FALSE))</f>
        <v/>
      </c>
      <c r="J350" t="str">
        <f ca="1">IF(AND(ISNUMBER($J$851),$B$511=1),$J$851,HLOOKUP(INDIRECT(ADDRESS(2,COLUMN())),OFFSET($BN$2,0,0,ROW()-1,60),ROW()-1,FALSE))</f>
        <v/>
      </c>
      <c r="K350" t="str">
        <f ca="1">IF(AND(ISNUMBER($K$851),$B$511=1),$K$851,HLOOKUP(INDIRECT(ADDRESS(2,COLUMN())),OFFSET($BN$2,0,0,ROW()-1,60),ROW()-1,FALSE))</f>
        <v/>
      </c>
      <c r="L350" t="str">
        <f ca="1">IF(AND(ISNUMBER($L$851),$B$511=1),$L$851,HLOOKUP(INDIRECT(ADDRESS(2,COLUMN())),OFFSET($BN$2,0,0,ROW()-1,60),ROW()-1,FALSE))</f>
        <v/>
      </c>
      <c r="M350" t="str">
        <f ca="1">IF(AND(ISNUMBER($M$851),$B$511=1),$M$851,HLOOKUP(INDIRECT(ADDRESS(2,COLUMN())),OFFSET($BN$2,0,0,ROW()-1,60),ROW()-1,FALSE))</f>
        <v/>
      </c>
      <c r="N350" t="str">
        <f ca="1">IF(AND(ISNUMBER($N$851),$B$511=1),$N$851,HLOOKUP(INDIRECT(ADDRESS(2,COLUMN())),OFFSET($BN$2,0,0,ROW()-1,60),ROW()-1,FALSE))</f>
        <v/>
      </c>
      <c r="O350" t="str">
        <f ca="1">IF(AND(ISNUMBER($O$851),$B$511=1),$O$851,HLOOKUP(INDIRECT(ADDRESS(2,COLUMN())),OFFSET($BN$2,0,0,ROW()-1,60),ROW()-1,FALSE))</f>
        <v/>
      </c>
      <c r="P350" t="str">
        <f ca="1">IF(AND(ISNUMBER($P$851),$B$511=1),$P$851,HLOOKUP(INDIRECT(ADDRESS(2,COLUMN())),OFFSET($BN$2,0,0,ROW()-1,60),ROW()-1,FALSE))</f>
        <v/>
      </c>
      <c r="Q350" t="str">
        <f ca="1">IF(AND(ISNUMBER($Q$851),$B$511=1),$Q$851,HLOOKUP(INDIRECT(ADDRESS(2,COLUMN())),OFFSET($BN$2,0,0,ROW()-1,60),ROW()-1,FALSE))</f>
        <v/>
      </c>
      <c r="R350" t="str">
        <f ca="1">IF(AND(ISNUMBER($R$851),$B$511=1),$R$851,HLOOKUP(INDIRECT(ADDRESS(2,COLUMN())),OFFSET($BN$2,0,0,ROW()-1,60),ROW()-1,FALSE))</f>
        <v/>
      </c>
      <c r="S350" t="str">
        <f ca="1">IF(AND(ISNUMBER($S$851),$B$511=1),$S$851,HLOOKUP(INDIRECT(ADDRESS(2,COLUMN())),OFFSET($BN$2,0,0,ROW()-1,60),ROW()-1,FALSE))</f>
        <v/>
      </c>
      <c r="T350" t="str">
        <f ca="1">IF(AND(ISNUMBER($T$851),$B$511=1),$T$851,HLOOKUP(INDIRECT(ADDRESS(2,COLUMN())),OFFSET($BN$2,0,0,ROW()-1,60),ROW()-1,FALSE))</f>
        <v/>
      </c>
      <c r="U350" t="str">
        <f ca="1">IF(AND(ISNUMBER($U$851),$B$511=1),$U$851,HLOOKUP(INDIRECT(ADDRESS(2,COLUMN())),OFFSET($BN$2,0,0,ROW()-1,60),ROW()-1,FALSE))</f>
        <v/>
      </c>
      <c r="V350" t="str">
        <f ca="1">IF(AND(ISNUMBER($V$851),$B$511=1),$V$851,HLOOKUP(INDIRECT(ADDRESS(2,COLUMN())),OFFSET($BN$2,0,0,ROW()-1,60),ROW()-1,FALSE))</f>
        <v/>
      </c>
      <c r="W350" t="str">
        <f ca="1">IF(AND(ISNUMBER($W$851),$B$511=1),$W$851,HLOOKUP(INDIRECT(ADDRESS(2,COLUMN())),OFFSET($BN$2,0,0,ROW()-1,60),ROW()-1,FALSE))</f>
        <v/>
      </c>
      <c r="X350" t="str">
        <f ca="1">IF(AND(ISNUMBER($X$851),$B$511=1),$X$851,HLOOKUP(INDIRECT(ADDRESS(2,COLUMN())),OFFSET($BN$2,0,0,ROW()-1,60),ROW()-1,FALSE))</f>
        <v/>
      </c>
      <c r="Y350" t="str">
        <f ca="1">IF(AND(ISNUMBER($Y$851),$B$511=1),$Y$851,HLOOKUP(INDIRECT(ADDRESS(2,COLUMN())),OFFSET($BN$2,0,0,ROW()-1,60),ROW()-1,FALSE))</f>
        <v/>
      </c>
      <c r="Z350" t="str">
        <f ca="1">IF(AND(ISNUMBER($Z$851),$B$511=1),$Z$851,HLOOKUP(INDIRECT(ADDRESS(2,COLUMN())),OFFSET($BN$2,0,0,ROW()-1,60),ROW()-1,FALSE))</f>
        <v/>
      </c>
      <c r="AA350" t="str">
        <f ca="1">IF(AND(ISNUMBER($AA$851),$B$511=1),$AA$851,HLOOKUP(INDIRECT(ADDRESS(2,COLUMN())),OFFSET($BN$2,0,0,ROW()-1,60),ROW()-1,FALSE))</f>
        <v/>
      </c>
      <c r="AB350" t="str">
        <f ca="1">IF(AND(ISNUMBER($AB$851),$B$511=1),$AB$851,HLOOKUP(INDIRECT(ADDRESS(2,COLUMN())),OFFSET($BN$2,0,0,ROW()-1,60),ROW()-1,FALSE))</f>
        <v/>
      </c>
      <c r="AC350" t="str">
        <f ca="1">IF(AND(ISNUMBER($AC$851),$B$511=1),$AC$851,HLOOKUP(INDIRECT(ADDRESS(2,COLUMN())),OFFSET($BN$2,0,0,ROW()-1,60),ROW()-1,FALSE))</f>
        <v/>
      </c>
      <c r="AD350" t="str">
        <f ca="1">IF(AND(ISNUMBER($AD$851),$B$511=1),$AD$851,HLOOKUP(INDIRECT(ADDRESS(2,COLUMN())),OFFSET($BN$2,0,0,ROW()-1,60),ROW()-1,FALSE))</f>
        <v/>
      </c>
      <c r="AE350" t="str">
        <f ca="1">IF(AND(ISNUMBER($AE$851),$B$511=1),$AE$851,HLOOKUP(INDIRECT(ADDRESS(2,COLUMN())),OFFSET($BN$2,0,0,ROW()-1,60),ROW()-1,FALSE))</f>
        <v/>
      </c>
      <c r="AF350" t="str">
        <f ca="1">IF(AND(ISNUMBER($AF$851),$B$511=1),$AF$851,HLOOKUP(INDIRECT(ADDRESS(2,COLUMN())),OFFSET($BN$2,0,0,ROW()-1,60),ROW()-1,FALSE))</f>
        <v/>
      </c>
      <c r="AG350" t="str">
        <f ca="1">IF(AND(ISNUMBER($AG$851),$B$511=1),$AG$851,HLOOKUP(INDIRECT(ADDRESS(2,COLUMN())),OFFSET($BN$2,0,0,ROW()-1,60),ROW()-1,FALSE))</f>
        <v/>
      </c>
      <c r="AH350" t="str">
        <f ca="1">IF(AND(ISNUMBER($AH$851),$B$511=1),$AH$851,HLOOKUP(INDIRECT(ADDRESS(2,COLUMN())),OFFSET($BN$2,0,0,ROW()-1,60),ROW()-1,FALSE))</f>
        <v/>
      </c>
      <c r="AI350" t="str">
        <f ca="1">IF(AND(ISNUMBER($AI$851),$B$511=1),$AI$851,HLOOKUP(INDIRECT(ADDRESS(2,COLUMN())),OFFSET($BN$2,0,0,ROW()-1,60),ROW()-1,FALSE))</f>
        <v/>
      </c>
      <c r="AJ350" t="str">
        <f ca="1">IF(AND(ISNUMBER($AJ$851),$B$511=1),$AJ$851,HLOOKUP(INDIRECT(ADDRESS(2,COLUMN())),OFFSET($BN$2,0,0,ROW()-1,60),ROW()-1,FALSE))</f>
        <v/>
      </c>
      <c r="AK350" t="str">
        <f ca="1">IF(AND(ISNUMBER($AK$851),$B$511=1),$AK$851,HLOOKUP(INDIRECT(ADDRESS(2,COLUMN())),OFFSET($BN$2,0,0,ROW()-1,60),ROW()-1,FALSE))</f>
        <v/>
      </c>
      <c r="AL350" t="str">
        <f ca="1">IF(AND(ISNUMBER($AL$851),$B$511=1),$AL$851,HLOOKUP(INDIRECT(ADDRESS(2,COLUMN())),OFFSET($BN$2,0,0,ROW()-1,60),ROW()-1,FALSE))</f>
        <v/>
      </c>
      <c r="AM350">
        <f ca="1">IF(AND(ISNUMBER($AM$851),$B$511=1),$AM$851,HLOOKUP(INDIRECT(ADDRESS(2,COLUMN())),OFFSET($BN$2,0,0,ROW()-1,60),ROW()-1,FALSE))</f>
        <v>0</v>
      </c>
      <c r="AN350" t="str">
        <f ca="1">IF(AND(ISNUMBER($AN$851),$B$511=1),$AN$851,HLOOKUP(INDIRECT(ADDRESS(2,COLUMN())),OFFSET($BN$2,0,0,ROW()-1,60),ROW()-1,FALSE))</f>
        <v/>
      </c>
      <c r="AO350" t="str">
        <f ca="1">IF(AND(ISNUMBER($AO$851),$B$511=1),$AO$851,HLOOKUP(INDIRECT(ADDRESS(2,COLUMN())),OFFSET($BN$2,0,0,ROW()-1,60),ROW()-1,FALSE))</f>
        <v/>
      </c>
      <c r="AP350" t="str">
        <f ca="1">IF(AND(ISNUMBER($AP$851),$B$511=1),$AP$851,HLOOKUP(INDIRECT(ADDRESS(2,COLUMN())),OFFSET($BN$2,0,0,ROW()-1,60),ROW()-1,FALSE))</f>
        <v/>
      </c>
      <c r="AQ350" t="str">
        <f ca="1">IF(AND(ISNUMBER($AQ$851),$B$511=1),$AQ$851,HLOOKUP(INDIRECT(ADDRESS(2,COLUMN())),OFFSET($BN$2,0,0,ROW()-1,60),ROW()-1,FALSE))</f>
        <v/>
      </c>
      <c r="AR350" t="str">
        <f ca="1">IF(AND(ISNUMBER($AR$851),$B$511=1),$AR$851,HLOOKUP(INDIRECT(ADDRESS(2,COLUMN())),OFFSET($BN$2,0,0,ROW()-1,60),ROW()-1,FALSE))</f>
        <v/>
      </c>
      <c r="AS350" t="str">
        <f ca="1">IF(AND(ISNUMBER($AS$851),$B$511=1),$AS$851,HLOOKUP(INDIRECT(ADDRESS(2,COLUMN())),OFFSET($BN$2,0,0,ROW()-1,60),ROW()-1,FALSE))</f>
        <v/>
      </c>
      <c r="AT350" t="str">
        <f ca="1">IF(AND(ISNUMBER($AT$851),$B$511=1),$AT$851,HLOOKUP(INDIRECT(ADDRESS(2,COLUMN())),OFFSET($BN$2,0,0,ROW()-1,60),ROW()-1,FALSE))</f>
        <v/>
      </c>
      <c r="AU350" t="str">
        <f ca="1">IF(AND(ISNUMBER($AU$851),$B$511=1),$AU$851,HLOOKUP(INDIRECT(ADDRESS(2,COLUMN())),OFFSET($BN$2,0,0,ROW()-1,60),ROW()-1,FALSE))</f>
        <v/>
      </c>
      <c r="AV350" t="str">
        <f ca="1">IF(AND(ISNUMBER($AV$851),$B$511=1),$AV$851,HLOOKUP(INDIRECT(ADDRESS(2,COLUMN())),OFFSET($BN$2,0,0,ROW()-1,60),ROW()-1,FALSE))</f>
        <v/>
      </c>
      <c r="AW350" t="str">
        <f ca="1">IF(AND(ISNUMBER($AW$851),$B$511=1),$AW$851,HLOOKUP(INDIRECT(ADDRESS(2,COLUMN())),OFFSET($BN$2,0,0,ROW()-1,60),ROW()-1,FALSE))</f>
        <v/>
      </c>
      <c r="AX350" t="str">
        <f ca="1">IF(AND(ISNUMBER($AX$851),$B$511=1),$AX$851,HLOOKUP(INDIRECT(ADDRESS(2,COLUMN())),OFFSET($BN$2,0,0,ROW()-1,60),ROW()-1,FALSE))</f>
        <v/>
      </c>
      <c r="AY350" t="str">
        <f ca="1">IF(AND(ISNUMBER($AY$851),$B$511=1),$AY$851,HLOOKUP(INDIRECT(ADDRESS(2,COLUMN())),OFFSET($BN$2,0,0,ROW()-1,60),ROW()-1,FALSE))</f>
        <v/>
      </c>
      <c r="AZ350" t="str">
        <f ca="1">IF(AND(ISNUMBER($AZ$851),$B$511=1),$AZ$851,HLOOKUP(INDIRECT(ADDRESS(2,COLUMN())),OFFSET($BN$2,0,0,ROW()-1,60),ROW()-1,FALSE))</f>
        <v/>
      </c>
      <c r="BA350" t="str">
        <f ca="1">IF(AND(ISNUMBER($BA$851),$B$511=1),$BA$851,HLOOKUP(INDIRECT(ADDRESS(2,COLUMN())),OFFSET($BN$2,0,0,ROW()-1,60),ROW()-1,FALSE))</f>
        <v/>
      </c>
      <c r="BB350" t="str">
        <f ca="1">IF(AND(ISNUMBER($BB$851),$B$511=1),$BB$851,HLOOKUP(INDIRECT(ADDRESS(2,COLUMN())),OFFSET($BN$2,0,0,ROW()-1,60),ROW()-1,FALSE))</f>
        <v/>
      </c>
      <c r="BC350" t="str">
        <f ca="1">IF(AND(ISNUMBER($BC$851),$B$511=1),$BC$851,HLOOKUP(INDIRECT(ADDRESS(2,COLUMN())),OFFSET($BN$2,0,0,ROW()-1,60),ROW()-1,FALSE))</f>
        <v/>
      </c>
      <c r="BD350" t="str">
        <f ca="1">IF(AND(ISNUMBER($BD$851),$B$511=1),$BD$851,HLOOKUP(INDIRECT(ADDRESS(2,COLUMN())),OFFSET($BN$2,0,0,ROW()-1,60),ROW()-1,FALSE))</f>
        <v/>
      </c>
      <c r="BE350" t="str">
        <f ca="1">IF(AND(ISNUMBER($BE$851),$B$511=1),$BE$851,HLOOKUP(INDIRECT(ADDRESS(2,COLUMN())),OFFSET($BN$2,0,0,ROW()-1,60),ROW()-1,FALSE))</f>
        <v/>
      </c>
      <c r="BF350" t="str">
        <f ca="1">IF(AND(ISNUMBER($BF$851),$B$511=1),$BF$851,HLOOKUP(INDIRECT(ADDRESS(2,COLUMN())),OFFSET($BN$2,0,0,ROW()-1,60),ROW()-1,FALSE))</f>
        <v/>
      </c>
      <c r="BG350" t="str">
        <f ca="1">IF(AND(ISNUMBER($BG$851),$B$511=1),$BG$851,HLOOKUP(INDIRECT(ADDRESS(2,COLUMN())),OFFSET($BN$2,0,0,ROW()-1,60),ROW()-1,FALSE))</f>
        <v/>
      </c>
      <c r="BH350" t="str">
        <f ca="1">IF(AND(ISNUMBER($BH$851),$B$511=1),$BH$851,HLOOKUP(INDIRECT(ADDRESS(2,COLUMN())),OFFSET($BN$2,0,0,ROW()-1,60),ROW()-1,FALSE))</f>
        <v/>
      </c>
      <c r="BI350" t="str">
        <f ca="1">IF(AND(ISNUMBER($BI$851),$B$511=1),$BI$851,HLOOKUP(INDIRECT(ADDRESS(2,COLUMN())),OFFSET($BN$2,0,0,ROW()-1,60),ROW()-1,FALSE))</f>
        <v/>
      </c>
      <c r="BJ350" t="str">
        <f ca="1">IF(AND(ISNUMBER($BJ$851),$B$511=1),$BJ$851,HLOOKUP(INDIRECT(ADDRESS(2,COLUMN())),OFFSET($BN$2,0,0,ROW()-1,60),ROW()-1,FALSE))</f>
        <v/>
      </c>
      <c r="BK350" t="str">
        <f ca="1">IF(AND(ISNUMBER($BK$851),$B$511=1),$BK$851,HLOOKUP(INDIRECT(ADDRESS(2,COLUMN())),OFFSET($BN$2,0,0,ROW()-1,60),ROW()-1,FALSE))</f>
        <v/>
      </c>
      <c r="BL350" t="str">
        <f ca="1">IF(AND(ISNUMBER($BL$851),$B$511=1),$BL$851,HLOOKUP(INDIRECT(ADDRESS(2,COLUMN())),OFFSET($BN$2,0,0,ROW()-1,60),ROW()-1,FALSE))</f>
        <v/>
      </c>
      <c r="BM350" t="str">
        <f ca="1">IF(AND(ISNUMBER($BM$851),$B$511=1),$BM$851,HLOOKUP(INDIRECT(ADDRESS(2,COLUMN())),OFFSET($BN$2,0,0,ROW()-1,60),ROW()-1,FALSE))</f>
        <v/>
      </c>
      <c r="BN350" t="str">
        <f>""</f>
        <v/>
      </c>
      <c r="BO350" t="str">
        <f>""</f>
        <v/>
      </c>
      <c r="BP350" t="str">
        <f>""</f>
        <v/>
      </c>
      <c r="BQ350" t="str">
        <f>""</f>
        <v/>
      </c>
      <c r="BR350" t="str">
        <f>""</f>
        <v/>
      </c>
      <c r="BS350" t="str">
        <f>""</f>
        <v/>
      </c>
      <c r="BT350" t="str">
        <f>""</f>
        <v/>
      </c>
      <c r="BU350" t="str">
        <f>""</f>
        <v/>
      </c>
      <c r="BV350" t="str">
        <f>""</f>
        <v/>
      </c>
      <c r="BW350" t="str">
        <f>""</f>
        <v/>
      </c>
      <c r="BX350" t="str">
        <f>""</f>
        <v/>
      </c>
      <c r="BY350" t="str">
        <f>""</f>
        <v/>
      </c>
      <c r="BZ350" t="str">
        <f>""</f>
        <v/>
      </c>
      <c r="CA350" t="str">
        <f>""</f>
        <v/>
      </c>
      <c r="CB350" t="str">
        <f>""</f>
        <v/>
      </c>
      <c r="CC350" t="str">
        <f>""</f>
        <v/>
      </c>
      <c r="CD350" t="str">
        <f>""</f>
        <v/>
      </c>
      <c r="CE350" t="str">
        <f>""</f>
        <v/>
      </c>
      <c r="CF350" t="str">
        <f>""</f>
        <v/>
      </c>
      <c r="CG350" t="str">
        <f>""</f>
        <v/>
      </c>
      <c r="CH350" t="str">
        <f>""</f>
        <v/>
      </c>
      <c r="CI350" t="str">
        <f>""</f>
        <v/>
      </c>
      <c r="CJ350" t="str">
        <f>""</f>
        <v/>
      </c>
      <c r="CK350" t="str">
        <f>""</f>
        <v/>
      </c>
      <c r="CL350" t="str">
        <f>""</f>
        <v/>
      </c>
      <c r="CM350" t="str">
        <f>""</f>
        <v/>
      </c>
      <c r="CN350" t="str">
        <f>""</f>
        <v/>
      </c>
      <c r="CO350" t="str">
        <f>""</f>
        <v/>
      </c>
      <c r="CP350" t="str">
        <f>""</f>
        <v/>
      </c>
      <c r="CQ350" t="str">
        <f>""</f>
        <v/>
      </c>
      <c r="CR350" t="str">
        <f>""</f>
        <v/>
      </c>
      <c r="CS350" t="str">
        <f>""</f>
        <v/>
      </c>
      <c r="CT350" t="str">
        <f>""</f>
        <v/>
      </c>
      <c r="CU350">
        <f>0</f>
        <v>0</v>
      </c>
      <c r="CV350" t="str">
        <f>""</f>
        <v/>
      </c>
      <c r="CW350" t="str">
        <f>""</f>
        <v/>
      </c>
      <c r="CX350" t="str">
        <f>""</f>
        <v/>
      </c>
      <c r="CY350" t="str">
        <f>""</f>
        <v/>
      </c>
      <c r="CZ350" t="str">
        <f>""</f>
        <v/>
      </c>
      <c r="DA350" t="str">
        <f>""</f>
        <v/>
      </c>
      <c r="DB350" t="str">
        <f>""</f>
        <v/>
      </c>
      <c r="DC350" t="str">
        <f>""</f>
        <v/>
      </c>
      <c r="DD350" t="str">
        <f>""</f>
        <v/>
      </c>
      <c r="DE350" t="str">
        <f>""</f>
        <v/>
      </c>
      <c r="DF350" t="str">
        <f>""</f>
        <v/>
      </c>
      <c r="DG350" t="str">
        <f>""</f>
        <v/>
      </c>
      <c r="DH350" t="str">
        <f>""</f>
        <v/>
      </c>
      <c r="DI350" t="str">
        <f>""</f>
        <v/>
      </c>
      <c r="DJ350" t="str">
        <f>""</f>
        <v/>
      </c>
      <c r="DK350" t="str">
        <f>""</f>
        <v/>
      </c>
      <c r="DL350" t="str">
        <f>""</f>
        <v/>
      </c>
      <c r="DM350" t="str">
        <f>""</f>
        <v/>
      </c>
      <c r="DN350" t="str">
        <f>""</f>
        <v/>
      </c>
      <c r="DO350" t="str">
        <f>""</f>
        <v/>
      </c>
      <c r="DP350" t="str">
        <f>""</f>
        <v/>
      </c>
      <c r="DQ350" t="str">
        <f>""</f>
        <v/>
      </c>
      <c r="DR350" t="str">
        <f>""</f>
        <v/>
      </c>
      <c r="DS350" t="str">
        <f>""</f>
        <v/>
      </c>
      <c r="DT350" t="str">
        <f>""</f>
        <v/>
      </c>
      <c r="DU350" t="str">
        <f>""</f>
        <v/>
      </c>
    </row>
    <row r="351" spans="1:125" x14ac:dyDescent="0.25">
      <c r="A351" t="str">
        <f>"    Honda Motor Co Ltd"</f>
        <v xml:space="preserve">    Honda Motor Co Ltd</v>
      </c>
      <c r="B351" t="str">
        <f>"7267 JP Equity"</f>
        <v>7267 JP Equity</v>
      </c>
      <c r="C351" t="str">
        <f t="shared" si="24"/>
        <v>RX530</v>
      </c>
      <c r="D351" t="str">
        <f t="shared" si="25"/>
        <v>T12M_DVDS_PAID</v>
      </c>
      <c r="E351" t="str">
        <f t="shared" si="26"/>
        <v>Dynamic</v>
      </c>
      <c r="F351" t="str">
        <f ca="1">IF(AND(ISNUMBER($F$852),$B$511=1),$F$852,HLOOKUP(INDIRECT(ADDRESS(2,COLUMN())),OFFSET($BN$2,0,0,ROW()-1,60),ROW()-1,FALSE))</f>
        <v/>
      </c>
      <c r="G351">
        <f ca="1">IF(AND(ISNUMBER($G$852),$B$511=1),$G$852,HLOOKUP(INDIRECT(ADDRESS(2,COLUMN())),OFFSET($BN$2,0,0,ROW()-1,60),ROW()-1,FALSE))</f>
        <v>-1716.0968439999999</v>
      </c>
      <c r="H351">
        <f ca="1">IF(AND(ISNUMBER($H$852),$B$511=1),$H$852,HLOOKUP(INDIRECT(ADDRESS(2,COLUMN())),OFFSET($BN$2,0,0,ROW()-1,60),ROW()-1,FALSE))</f>
        <v>-1661.045527</v>
      </c>
      <c r="I351">
        <f ca="1">IF(AND(ISNUMBER($I$852),$B$511=1),$I$852,HLOOKUP(INDIRECT(ADDRESS(2,COLUMN())),OFFSET($BN$2,0,0,ROW()-1,60),ROW()-1,FALSE))</f>
        <v>-1622.8751460000001</v>
      </c>
      <c r="J351">
        <f ca="1">IF(AND(ISNUMBER($J$852),$B$511=1),$J$852,HLOOKUP(INDIRECT(ADDRESS(2,COLUMN())),OFFSET($BN$2,0,0,ROW()-1,60),ROW()-1,FALSE))</f>
        <v>-1572.489358</v>
      </c>
      <c r="K351">
        <f ca="1">IF(AND(ISNUMBER($K$852),$B$511=1),$K$852,HLOOKUP(INDIRECT(ADDRESS(2,COLUMN())),OFFSET($BN$2,0,0,ROW()-1,60),ROW()-1,FALSE))</f>
        <v>-1543.15672</v>
      </c>
      <c r="L351">
        <f ca="1">IF(AND(ISNUMBER($L$852),$B$511=1),$L$852,HLOOKUP(INDIRECT(ADDRESS(2,COLUMN())),OFFSET($BN$2,0,0,ROW()-1,60),ROW()-1,FALSE))</f>
        <v>-1523.276378</v>
      </c>
      <c r="M351">
        <f ca="1">IF(AND(ISNUMBER($M$852),$B$511=1),$M$852,HLOOKUP(INDIRECT(ADDRESS(2,COLUMN())),OFFSET($BN$2,0,0,ROW()-1,60),ROW()-1,FALSE))</f>
        <v>-1522.7015389999999</v>
      </c>
      <c r="N351">
        <f ca="1">IF(AND(ISNUMBER($N$852),$B$511=1),$N$852,HLOOKUP(INDIRECT(ADDRESS(2,COLUMN())),OFFSET($BN$2,0,0,ROW()-1,60),ROW()-1,FALSE))</f>
        <v>-1500.470425</v>
      </c>
      <c r="O351">
        <f ca="1">IF(AND(ISNUMBER($O$852),$B$511=1),$O$852,HLOOKUP(INDIRECT(ADDRESS(2,COLUMN())),OFFSET($BN$2,0,0,ROW()-1,60),ROW()-1,FALSE))</f>
        <v>-1462.324406</v>
      </c>
      <c r="P351">
        <f ca="1">IF(AND(ISNUMBER($P$852),$B$511=1),$P$852,HLOOKUP(INDIRECT(ADDRESS(2,COLUMN())),OFFSET($BN$2,0,0,ROW()-1,60),ROW()-1,FALSE))</f>
        <v>-1425.8610819999999</v>
      </c>
      <c r="Q351">
        <f ca="1">IF(AND(ISNUMBER($Q$852),$B$511=1),$Q$852,HLOOKUP(INDIRECT(ADDRESS(2,COLUMN())),OFFSET($BN$2,0,0,ROW()-1,60),ROW()-1,FALSE))</f>
        <v>-1362.593361</v>
      </c>
      <c r="R351">
        <f ca="1">IF(AND(ISNUMBER($R$852),$B$511=1),$R$852,HLOOKUP(INDIRECT(ADDRESS(2,COLUMN())),OFFSET($BN$2,0,0,ROW()-1,60),ROW()-1,FALSE))</f>
        <v>-1322.195645</v>
      </c>
      <c r="S351">
        <f ca="1">IF(AND(ISNUMBER($S$852),$B$511=1),$S$852,HLOOKUP(INDIRECT(ADDRESS(2,COLUMN())),OFFSET($BN$2,0,0,ROW()-1,60),ROW()-1,FALSE))</f>
        <v>-1310.6551710000001</v>
      </c>
      <c r="T351">
        <f ca="1">IF(AND(ISNUMBER($T$852),$B$511=1),$T$852,HLOOKUP(INDIRECT(ADDRESS(2,COLUMN())),OFFSET($BN$2,0,0,ROW()-1,60),ROW()-1,FALSE))</f>
        <v>-1331.1799329999999</v>
      </c>
      <c r="U351">
        <f ca="1">IF(AND(ISNUMBER($U$852),$B$511=1),$U$852,HLOOKUP(INDIRECT(ADDRESS(2,COLUMN())),OFFSET($BN$2,0,0,ROW()-1,60),ROW()-1,FALSE))</f>
        <v>-1388.6844980000001</v>
      </c>
      <c r="V351">
        <f ca="1">IF(AND(ISNUMBER($V$852),$B$511=1),$V$852,HLOOKUP(INDIRECT(ADDRESS(2,COLUMN())),OFFSET($BN$2,0,0,ROW()-1,60),ROW()-1,FALSE))</f>
        <v>-1449.9638379999999</v>
      </c>
      <c r="W351">
        <f ca="1">IF(AND(ISNUMBER($W$852),$B$511=1),$W$852,HLOOKUP(INDIRECT(ADDRESS(2,COLUMN())),OFFSET($BN$2,0,0,ROW()-1,60),ROW()-1,FALSE))</f>
        <v>-1467.8092079999999</v>
      </c>
      <c r="X351">
        <f ca="1">IF(AND(ISNUMBER($X$852),$B$511=1),$X$852,HLOOKUP(INDIRECT(ADDRESS(2,COLUMN())),OFFSET($BN$2,0,0,ROW()-1,60),ROW()-1,FALSE))</f>
        <v>-1480.110576</v>
      </c>
      <c r="Y351">
        <f ca="1">IF(AND(ISNUMBER($Y$852),$B$511=1),$Y$852,HLOOKUP(INDIRECT(ADDRESS(2,COLUMN())),OFFSET($BN$2,0,0,ROW()-1,60),ROW()-1,FALSE))</f>
        <v>-1463.082314</v>
      </c>
      <c r="Z351">
        <f ca="1">IF(AND(ISNUMBER($Z$852),$B$511=1),$Z$852,HLOOKUP(INDIRECT(ADDRESS(2,COLUMN())),OFFSET($BN$2,0,0,ROW()-1,60),ROW()-1,FALSE))</f>
        <v>-1421.720069</v>
      </c>
      <c r="AA351">
        <f ca="1">IF(AND(ISNUMBER($AA$852),$B$511=1),$AA$852,HLOOKUP(INDIRECT(ADDRESS(2,COLUMN())),OFFSET($BN$2,0,0,ROW()-1,60),ROW()-1,FALSE))</f>
        <v>-1442.611674</v>
      </c>
      <c r="AB351">
        <f ca="1">IF(AND(ISNUMBER($AB$852),$B$511=1),$AB$852,HLOOKUP(INDIRECT(ADDRESS(2,COLUMN())),OFFSET($BN$2,0,0,ROW()-1,60),ROW()-1,FALSE))</f>
        <v>-1506.955755</v>
      </c>
      <c r="AC351">
        <f ca="1">IF(AND(ISNUMBER($AC$852),$B$511=1),$AC$852,HLOOKUP(INDIRECT(ADDRESS(2,COLUMN())),OFFSET($BN$2,0,0,ROW()-1,60),ROW()-1,FALSE))</f>
        <v>-1577.1102960000001</v>
      </c>
      <c r="AD351">
        <f ca="1">IF(AND(ISNUMBER($AD$852),$B$511=1),$AD$852,HLOOKUP(INDIRECT(ADDRESS(2,COLUMN())),OFFSET($BN$2,0,0,ROW()-1,60),ROW()-1,FALSE))</f>
        <v>-1570.4551289999999</v>
      </c>
      <c r="AE351">
        <f ca="1">IF(AND(ISNUMBER($AE$852),$B$511=1),$AE$852,HLOOKUP(INDIRECT(ADDRESS(2,COLUMN())),OFFSET($BN$2,0,0,ROW()-1,60),ROW()-1,FALSE))</f>
        <v>-1536.3993459999999</v>
      </c>
      <c r="AF351">
        <f ca="1">IF(AND(ISNUMBER($AF$852),$B$511=1),$AF$852,HLOOKUP(INDIRECT(ADDRESS(2,COLUMN())),OFFSET($BN$2,0,0,ROW()-1,60),ROW()-1,FALSE))</f>
        <v>-1463.62391</v>
      </c>
      <c r="AG351">
        <f ca="1">IF(AND(ISNUMBER($AG$852),$B$511=1),$AG$852,HLOOKUP(INDIRECT(ADDRESS(2,COLUMN())),OFFSET($BN$2,0,0,ROW()-1,60),ROW()-1,FALSE))</f>
        <v>-1376.5431000000001</v>
      </c>
      <c r="AH351">
        <f ca="1">IF(AND(ISNUMBER($AH$852),$B$511=1),$AH$852,HLOOKUP(INDIRECT(ADDRESS(2,COLUMN())),OFFSET($BN$2,0,0,ROW()-1,60),ROW()-1,FALSE))</f>
        <v>-1370.5201770000001</v>
      </c>
      <c r="AI351">
        <f ca="1">IF(AND(ISNUMBER($AI$852),$B$511=1),$AI$852,HLOOKUP(INDIRECT(ADDRESS(2,COLUMN())),OFFSET($BN$2,0,0,ROW()-1,60),ROW()-1,FALSE))</f>
        <v>-1358.369467</v>
      </c>
      <c r="AJ351">
        <f ca="1">IF(AND(ISNUMBER($AJ$852),$B$511=1),$AJ$852,HLOOKUP(INDIRECT(ADDRESS(2,COLUMN())),OFFSET($BN$2,0,0,ROW()-1,60),ROW()-1,FALSE))</f>
        <v>-1269.4778550000001</v>
      </c>
      <c r="AK351">
        <f ca="1">IF(AND(ISNUMBER($AK$852),$B$511=1),$AK$852,HLOOKUP(INDIRECT(ADDRESS(2,COLUMN())),OFFSET($BN$2,0,0,ROW()-1,60),ROW()-1,FALSE))</f>
        <v>-1174.0596969999999</v>
      </c>
      <c r="AL351">
        <f ca="1">IF(AND(ISNUMBER($AL$852),$B$511=1),$AL$852,HLOOKUP(INDIRECT(ADDRESS(2,COLUMN())),OFFSET($BN$2,0,0,ROW()-1,60),ROW()-1,FALSE))</f>
        <v>-1078.504803</v>
      </c>
      <c r="AM351">
        <f ca="1">IF(AND(ISNUMBER($AM$852),$B$511=1),$AM$852,HLOOKUP(INDIRECT(ADDRESS(2,COLUMN())),OFFSET($BN$2,0,0,ROW()-1,60),ROW()-1,FALSE))</f>
        <v>-951.38489470000002</v>
      </c>
      <c r="AN351">
        <f ca="1">IF(AND(ISNUMBER($AN$852),$B$511=1),$AN$852,HLOOKUP(INDIRECT(ADDRESS(2,COLUMN())),OFFSET($BN$2,0,0,ROW()-1,60),ROW()-1,FALSE))</f>
        <v>-851.21140179999998</v>
      </c>
      <c r="AO351">
        <f ca="1">IF(AND(ISNUMBER($AO$852),$B$511=1),$AO$852,HLOOKUP(INDIRECT(ADDRESS(2,COLUMN())),OFFSET($BN$2,0,0,ROW()-1,60),ROW()-1,FALSE))</f>
        <v>-753.59219399999995</v>
      </c>
      <c r="AP351">
        <f ca="1">IF(AND(ISNUMBER($AP$852),$B$511=1),$AP$852,HLOOKUP(INDIRECT(ADDRESS(2,COLUMN())),OFFSET($BN$2,0,0,ROW()-1,60),ROW()-1,FALSE))</f>
        <v>-665.25556389999997</v>
      </c>
      <c r="AQ351">
        <f ca="1">IF(AND(ISNUMBER($AQ$852),$B$511=1),$AQ$852,HLOOKUP(INDIRECT(ADDRESS(2,COLUMN())),OFFSET($BN$2,0,0,ROW()-1,60),ROW()-1,FALSE))</f>
        <v>-679.55945659999998</v>
      </c>
      <c r="AR351">
        <f ca="1">IF(AND(ISNUMBER($AR$852),$B$511=1),$AR$852,HLOOKUP(INDIRECT(ADDRESS(2,COLUMN())),OFFSET($BN$2,0,0,ROW()-1,60),ROW()-1,FALSE))</f>
        <v>-935.72589930000004</v>
      </c>
      <c r="AS351">
        <f ca="1">IF(AND(ISNUMBER($AS$852),$B$511=1),$AS$852,HLOOKUP(INDIRECT(ADDRESS(2,COLUMN())),OFFSET($BN$2,0,0,ROW()-1,60),ROW()-1,FALSE))</f>
        <v>-1162.5899119999999</v>
      </c>
      <c r="AT351">
        <f ca="1">IF(AND(ISNUMBER($AT$852),$B$511=1),$AT$852,HLOOKUP(INDIRECT(ADDRESS(2,COLUMN())),OFFSET($BN$2,0,0,ROW()-1,60),ROW()-1,FALSE))</f>
        <v>-1396.0950780000001</v>
      </c>
      <c r="AU351">
        <f ca="1">IF(AND(ISNUMBER($AU$852),$B$511=1),$AU$852,HLOOKUP(INDIRECT(ADDRESS(2,COLUMN())),OFFSET($BN$2,0,0,ROW()-1,60),ROW()-1,FALSE))</f>
        <v>-1549.010673</v>
      </c>
      <c r="AV351">
        <f ca="1">IF(AND(ISNUMBER($AV$852),$B$511=1),$AV$852,HLOOKUP(INDIRECT(ADDRESS(2,COLUMN())),OFFSET($BN$2,0,0,ROW()-1,60),ROW()-1,FALSE))</f>
        <v>-1484.9196460000001</v>
      </c>
      <c r="AW351">
        <f ca="1">IF(AND(ISNUMBER($AW$852),$B$511=1),$AW$852,HLOOKUP(INDIRECT(ADDRESS(2,COLUMN())),OFFSET($BN$2,0,0,ROW()-1,60),ROW()-1,FALSE))</f>
        <v>-1420.026842</v>
      </c>
      <c r="AX351">
        <f ca="1">IF(AND(ISNUMBER($AX$852),$B$511=1),$AX$852,HLOOKUP(INDIRECT(ADDRESS(2,COLUMN())),OFFSET($BN$2,0,0,ROW()-1,60),ROW()-1,FALSE))</f>
        <v>-1339.7548260000001</v>
      </c>
      <c r="AY351">
        <f ca="1">IF(AND(ISNUMBER($AY$852),$B$511=1),$AY$852,HLOOKUP(INDIRECT(ADDRESS(2,COLUMN())),OFFSET($BN$2,0,0,ROW()-1,60),ROW()-1,FALSE))</f>
        <v>-1221.0256099999999</v>
      </c>
      <c r="AZ351">
        <f ca="1">IF(AND(ISNUMBER($AZ$852),$B$511=1),$AZ$852,HLOOKUP(INDIRECT(ADDRESS(2,COLUMN())),OFFSET($BN$2,0,0,ROW()-1,60),ROW()-1,FALSE))</f>
        <v>-1332.7065359999999</v>
      </c>
      <c r="BA351">
        <f ca="1">IF(AND(ISNUMBER($BA$852),$B$511=1),$BA$852,HLOOKUP(INDIRECT(ADDRESS(2,COLUMN())),OFFSET($BN$2,0,0,ROW()-1,60),ROW()-1,FALSE))</f>
        <v>-1030.6972330000001</v>
      </c>
      <c r="BB351">
        <f ca="1">IF(AND(ISNUMBER($BB$852),$B$511=1),$BB$852,HLOOKUP(INDIRECT(ADDRESS(2,COLUMN())),OFFSET($BN$2,0,0,ROW()-1,60),ROW()-1,FALSE))</f>
        <v>-1201.8162400000001</v>
      </c>
      <c r="BC351">
        <f ca="1">IF(AND(ISNUMBER($BC$852),$B$511=1),$BC$852,HLOOKUP(INDIRECT(ADDRESS(2,COLUMN())),OFFSET($BN$2,0,0,ROW()-1,60),ROW()-1,FALSE))</f>
        <v>-941.56085189999999</v>
      </c>
      <c r="BD351">
        <f ca="1">IF(AND(ISNUMBER($BD$852),$B$511=1),$BD$852,HLOOKUP(INDIRECT(ADDRESS(2,COLUMN())),OFFSET($BN$2,0,0,ROW()-1,60),ROW()-1,FALSE))</f>
        <v>-788.76679149999995</v>
      </c>
      <c r="BE351">
        <f ca="1">IF(AND(ISNUMBER($BE$852),$B$511=1),$BE$852,HLOOKUP(INDIRECT(ADDRESS(2,COLUMN())),OFFSET($BN$2,0,0,ROW()-1,60),ROW()-1,FALSE))</f>
        <v>-797.80643659999998</v>
      </c>
      <c r="BF351">
        <f ca="1">IF(AND(ISNUMBER($BF$852),$B$511=1),$BF$852,HLOOKUP(INDIRECT(ADDRESS(2,COLUMN())),OFFSET($BN$2,0,0,ROW()-1,60),ROW()-1,FALSE))</f>
        <v>-628.50706560000003</v>
      </c>
      <c r="BG351">
        <f ca="1">IF(AND(ISNUMBER($BG$852),$B$511=1),$BG$852,HLOOKUP(INDIRECT(ADDRESS(2,COLUMN())),OFFSET($BN$2,0,0,ROW()-1,60),ROW()-1,FALSE))</f>
        <v>-646.29460440000003</v>
      </c>
      <c r="BH351">
        <f ca="1">IF(AND(ISNUMBER($BH$852),$B$511=1),$BH$852,HLOOKUP(INDIRECT(ADDRESS(2,COLUMN())),OFFSET($BN$2,0,0,ROW()-1,60),ROW()-1,FALSE))</f>
        <v>-563.28599829999996</v>
      </c>
      <c r="BI351">
        <f ca="1">IF(AND(ISNUMBER($BI$852),$B$511=1),$BI$852,HLOOKUP(INDIRECT(ADDRESS(2,COLUMN())),OFFSET($BN$2,0,0,ROW()-1,60),ROW()-1,FALSE))</f>
        <v>-564.91379119999999</v>
      </c>
      <c r="BJ351">
        <f ca="1">IF(AND(ISNUMBER($BJ$852),$B$511=1),$BJ$852,HLOOKUP(INDIRECT(ADDRESS(2,COLUMN())),OFFSET($BN$2,0,0,ROW()-1,60),ROW()-1,FALSE))</f>
        <v>-445.08500409999999</v>
      </c>
      <c r="BK351" t="str">
        <f ca="1">IF(AND(ISNUMBER($BK$852),$B$511=1),$BK$852,HLOOKUP(INDIRECT(ADDRESS(2,COLUMN())),OFFSET($BN$2,0,0,ROW()-1,60),ROW()-1,FALSE))</f>
        <v/>
      </c>
      <c r="BL351" t="str">
        <f ca="1">IF(AND(ISNUMBER($BL$852),$B$511=1),$BL$852,HLOOKUP(INDIRECT(ADDRESS(2,COLUMN())),OFFSET($BN$2,0,0,ROW()-1,60),ROW()-1,FALSE))</f>
        <v/>
      </c>
      <c r="BM351" t="str">
        <f ca="1">IF(AND(ISNUMBER($BM$852),$B$511=1),$BM$852,HLOOKUP(INDIRECT(ADDRESS(2,COLUMN())),OFFSET($BN$2,0,0,ROW()-1,60),ROW()-1,FALSE))</f>
        <v/>
      </c>
      <c r="BN351" t="str">
        <f>""</f>
        <v/>
      </c>
      <c r="BO351">
        <f>-1716.096844</f>
        <v>-1716.0968439999999</v>
      </c>
      <c r="BP351">
        <f>-1661.045527</f>
        <v>-1661.045527</v>
      </c>
      <c r="BQ351">
        <f>-1622.875146</f>
        <v>-1622.8751460000001</v>
      </c>
      <c r="BR351">
        <f>-1572.489358</f>
        <v>-1572.489358</v>
      </c>
      <c r="BS351">
        <f>-1543.15672</f>
        <v>-1543.15672</v>
      </c>
      <c r="BT351">
        <f>-1523.276378</f>
        <v>-1523.276378</v>
      </c>
      <c r="BU351">
        <f>-1522.701539</f>
        <v>-1522.7015389999999</v>
      </c>
      <c r="BV351">
        <f>-1500.470425</f>
        <v>-1500.470425</v>
      </c>
      <c r="BW351">
        <f>-1462.324406</f>
        <v>-1462.324406</v>
      </c>
      <c r="BX351">
        <f>-1425.861082</f>
        <v>-1425.8610819999999</v>
      </c>
      <c r="BY351">
        <f>-1362.593361</f>
        <v>-1362.593361</v>
      </c>
      <c r="BZ351">
        <f>-1322.195645</f>
        <v>-1322.195645</v>
      </c>
      <c r="CA351">
        <f>-1310.655171</f>
        <v>-1310.6551710000001</v>
      </c>
      <c r="CB351">
        <f>-1331.179933</f>
        <v>-1331.1799329999999</v>
      </c>
      <c r="CC351">
        <f>-1388.684498</f>
        <v>-1388.6844980000001</v>
      </c>
      <c r="CD351">
        <f>-1449.963838</f>
        <v>-1449.9638379999999</v>
      </c>
      <c r="CE351">
        <f>-1467.809208</f>
        <v>-1467.8092079999999</v>
      </c>
      <c r="CF351">
        <f>-1480.110576</f>
        <v>-1480.110576</v>
      </c>
      <c r="CG351">
        <f>-1463.082314</f>
        <v>-1463.082314</v>
      </c>
      <c r="CH351">
        <f>-1421.720069</f>
        <v>-1421.720069</v>
      </c>
      <c r="CI351">
        <f>-1442.611674</f>
        <v>-1442.611674</v>
      </c>
      <c r="CJ351">
        <f>-1506.955755</f>
        <v>-1506.955755</v>
      </c>
      <c r="CK351">
        <f>-1577.110296</f>
        <v>-1577.1102960000001</v>
      </c>
      <c r="CL351">
        <f>-1570.455129</f>
        <v>-1570.4551289999999</v>
      </c>
      <c r="CM351">
        <f>-1536.399346</f>
        <v>-1536.3993459999999</v>
      </c>
      <c r="CN351">
        <f>-1463.62391</f>
        <v>-1463.62391</v>
      </c>
      <c r="CO351">
        <f>-1376.5431</f>
        <v>-1376.5431000000001</v>
      </c>
      <c r="CP351">
        <f>-1370.520177</f>
        <v>-1370.5201770000001</v>
      </c>
      <c r="CQ351">
        <f>-1358.369467</f>
        <v>-1358.369467</v>
      </c>
      <c r="CR351">
        <f>-1269.477855</f>
        <v>-1269.4778550000001</v>
      </c>
      <c r="CS351">
        <f>-1174.059697</f>
        <v>-1174.0596969999999</v>
      </c>
      <c r="CT351">
        <f>-1078.504803</f>
        <v>-1078.504803</v>
      </c>
      <c r="CU351">
        <f>-951.3848947</f>
        <v>-951.38489470000002</v>
      </c>
      <c r="CV351">
        <f>-851.2114018</f>
        <v>-851.21140179999998</v>
      </c>
      <c r="CW351">
        <f>-753.592194</f>
        <v>-753.59219399999995</v>
      </c>
      <c r="CX351">
        <f>-665.2555639</f>
        <v>-665.25556389999997</v>
      </c>
      <c r="CY351">
        <f>-679.5594566</f>
        <v>-679.55945659999998</v>
      </c>
      <c r="CZ351">
        <f>-935.7258993</f>
        <v>-935.72589930000004</v>
      </c>
      <c r="DA351">
        <f>-1162.589912</f>
        <v>-1162.5899119999999</v>
      </c>
      <c r="DB351">
        <f>-1396.095078</f>
        <v>-1396.0950780000001</v>
      </c>
      <c r="DC351">
        <f>-1549.010673</f>
        <v>-1549.010673</v>
      </c>
      <c r="DD351">
        <f>-1484.919646</f>
        <v>-1484.9196460000001</v>
      </c>
      <c r="DE351">
        <f>-1420.026842</f>
        <v>-1420.026842</v>
      </c>
      <c r="DF351">
        <f>-1339.754826</f>
        <v>-1339.7548260000001</v>
      </c>
      <c r="DG351">
        <f>-1221.02561</f>
        <v>-1221.0256099999999</v>
      </c>
      <c r="DH351">
        <f>-1332.706536</f>
        <v>-1332.7065359999999</v>
      </c>
      <c r="DI351">
        <f>-1030.697233</f>
        <v>-1030.6972330000001</v>
      </c>
      <c r="DJ351">
        <f>-1201.81624</f>
        <v>-1201.8162400000001</v>
      </c>
      <c r="DK351">
        <f>-941.5608519</f>
        <v>-941.56085189999999</v>
      </c>
      <c r="DL351">
        <f>-788.7667915</f>
        <v>-788.76679149999995</v>
      </c>
      <c r="DM351">
        <f>-797.8064366</f>
        <v>-797.80643659999998</v>
      </c>
      <c r="DN351">
        <f>-628.5070656</f>
        <v>-628.50706560000003</v>
      </c>
      <c r="DO351">
        <f>-646.2946044</f>
        <v>-646.29460440000003</v>
      </c>
      <c r="DP351">
        <f>-563.2859983</f>
        <v>-563.28599829999996</v>
      </c>
      <c r="DQ351">
        <f>-564.9137912</f>
        <v>-564.91379119999999</v>
      </c>
      <c r="DR351">
        <f>-445.0850041</f>
        <v>-445.08500409999999</v>
      </c>
      <c r="DS351" t="str">
        <f>""</f>
        <v/>
      </c>
      <c r="DT351" t="str">
        <f>""</f>
        <v/>
      </c>
      <c r="DU351" t="str">
        <f>""</f>
        <v/>
      </c>
    </row>
    <row r="352" spans="1:125" x14ac:dyDescent="0.25">
      <c r="A352" t="str">
        <f>"    Hyundai Motor Co"</f>
        <v xml:space="preserve">    Hyundai Motor Co</v>
      </c>
      <c r="B352" t="str">
        <f>"005380 KS Equity"</f>
        <v>005380 KS Equity</v>
      </c>
      <c r="C352" t="str">
        <f t="shared" si="24"/>
        <v>RX530</v>
      </c>
      <c r="D352" t="str">
        <f t="shared" si="25"/>
        <v>T12M_DVDS_PAID</v>
      </c>
      <c r="E352" t="str">
        <f t="shared" si="26"/>
        <v>Dynamic</v>
      </c>
      <c r="F352" t="str">
        <f ca="1">IF(AND(ISNUMBER($F$853),$B$511=1),$F$853,HLOOKUP(INDIRECT(ADDRESS(2,COLUMN())),OFFSET($BN$2,0,0,ROW()-1,60),ROW()-1,FALSE))</f>
        <v/>
      </c>
      <c r="G352" t="str">
        <f ca="1">IF(AND(ISNUMBER($G$853),$B$511=1),$G$853,HLOOKUP(INDIRECT(ADDRESS(2,COLUMN())),OFFSET($BN$2,0,0,ROW()-1,60),ROW()-1,FALSE))</f>
        <v/>
      </c>
      <c r="H352">
        <f ca="1">IF(AND(ISNUMBER($H$853),$B$511=1),$H$853,HLOOKUP(INDIRECT(ADDRESS(2,COLUMN())),OFFSET($BN$2,0,0,ROW()-1,60),ROW()-1,FALSE))</f>
        <v>-1051.541663</v>
      </c>
      <c r="I352">
        <f ca="1">IF(AND(ISNUMBER($I$853),$B$511=1),$I$853,HLOOKUP(INDIRECT(ADDRESS(2,COLUMN())),OFFSET($BN$2,0,0,ROW()-1,60),ROW()-1,FALSE))</f>
        <v>-1051.4997599999999</v>
      </c>
      <c r="J352">
        <f ca="1">IF(AND(ISNUMBER($J$853),$B$511=1),$J$853,HLOOKUP(INDIRECT(ADDRESS(2,COLUMN())),OFFSET($BN$2,0,0,ROW()-1,60),ROW()-1,FALSE))</f>
        <v>-1029.5437649999999</v>
      </c>
      <c r="K352">
        <f ca="1">IF(AND(ISNUMBER($K$853),$B$511=1),$K$853,HLOOKUP(INDIRECT(ADDRESS(2,COLUMN())),OFFSET($BN$2,0,0,ROW()-1,60),ROW()-1,FALSE))</f>
        <v>-1007.539673</v>
      </c>
      <c r="L352">
        <f ca="1">IF(AND(ISNUMBER($L$853),$B$511=1),$L$853,HLOOKUP(INDIRECT(ADDRESS(2,COLUMN())),OFFSET($BN$2,0,0,ROW()-1,60),ROW()-1,FALSE))</f>
        <v>-975.22394039999995</v>
      </c>
      <c r="M352">
        <f ca="1">IF(AND(ISNUMBER($M$853),$B$511=1),$M$853,HLOOKUP(INDIRECT(ADDRESS(2,COLUMN())),OFFSET($BN$2,0,0,ROW()-1,60),ROW()-1,FALSE))</f>
        <v>-978.17986489999998</v>
      </c>
      <c r="N352">
        <f ca="1">IF(AND(ISNUMBER($N$853),$B$511=1),$N$853,HLOOKUP(INDIRECT(ADDRESS(2,COLUMN())),OFFSET($BN$2,0,0,ROW()-1,60),ROW()-1,FALSE))</f>
        <v>-944.61952199999996</v>
      </c>
      <c r="O352">
        <f ca="1">IF(AND(ISNUMBER($O$853),$B$511=1),$O$853,HLOOKUP(INDIRECT(ADDRESS(2,COLUMN())),OFFSET($BN$2,0,0,ROW()-1,60),ROW()-1,FALSE))</f>
        <v>-935.23548740000001</v>
      </c>
      <c r="P352">
        <f ca="1">IF(AND(ISNUMBER($P$853),$B$511=1),$P$853,HLOOKUP(INDIRECT(ADDRESS(2,COLUMN())),OFFSET($BN$2,0,0,ROW()-1,60),ROW()-1,FALSE))</f>
        <v>-1047.8012120000001</v>
      </c>
      <c r="Q352">
        <f ca="1">IF(AND(ISNUMBER($Q$853),$B$511=1),$Q$853,HLOOKUP(INDIRECT(ADDRESS(2,COLUMN())),OFFSET($BN$2,0,0,ROW()-1,60),ROW()-1,FALSE))</f>
        <v>-1152.2727170000001</v>
      </c>
      <c r="R352">
        <f ca="1">IF(AND(ISNUMBER($R$853),$B$511=1),$R$853,HLOOKUP(INDIRECT(ADDRESS(2,COLUMN())),OFFSET($BN$2,0,0,ROW()-1,60),ROW()-1,FALSE))</f>
        <v>-1170.93948</v>
      </c>
      <c r="S352">
        <f ca="1">IF(AND(ISNUMBER($S$853),$B$511=1),$S$853,HLOOKUP(INDIRECT(ADDRESS(2,COLUMN())),OFFSET($BN$2,0,0,ROW()-1,60),ROW()-1,FALSE))</f>
        <v>-1195.7976900000001</v>
      </c>
      <c r="T352">
        <f ca="1">IF(AND(ISNUMBER($T$853),$B$511=1),$T$853,HLOOKUP(INDIRECT(ADDRESS(2,COLUMN())),OFFSET($BN$2,0,0,ROW()-1,60),ROW()-1,FALSE))</f>
        <v>-1098.809481</v>
      </c>
      <c r="U352">
        <f ca="1">IF(AND(ISNUMBER($U$853),$B$511=1),$U$853,HLOOKUP(INDIRECT(ADDRESS(2,COLUMN())),OFFSET($BN$2,0,0,ROW()-1,60),ROW()-1,FALSE))</f>
        <v>-759.74930740000002</v>
      </c>
      <c r="V352">
        <f ca="1">IF(AND(ISNUMBER($V$853),$B$511=1),$V$853,HLOOKUP(INDIRECT(ADDRESS(2,COLUMN())),OFFSET($BN$2,0,0,ROW()-1,60),ROW()-1,FALSE))</f>
        <v>-553.74920659999998</v>
      </c>
      <c r="W352">
        <f ca="1">IF(AND(ISNUMBER($W$853),$B$511=1),$W$853,HLOOKUP(INDIRECT(ADDRESS(2,COLUMN())),OFFSET($BN$2,0,0,ROW()-1,60),ROW()-1,FALSE))</f>
        <v>-557.64533759999995</v>
      </c>
      <c r="X352">
        <f ca="1">IF(AND(ISNUMBER($X$853),$B$511=1),$X$853,HLOOKUP(INDIRECT(ADDRESS(2,COLUMN())),OFFSET($BN$2,0,0,ROW()-1,60),ROW()-1,FALSE))</f>
        <v>-635.00273560000005</v>
      </c>
      <c r="Y352">
        <f ca="1">IF(AND(ISNUMBER($Y$853),$B$511=1),$Y$853,HLOOKUP(INDIRECT(ADDRESS(2,COLUMN())),OFFSET($BN$2,0,0,ROW()-1,60),ROW()-1,FALSE))</f>
        <v>-622.93809229999999</v>
      </c>
      <c r="Z352">
        <f ca="1">IF(AND(ISNUMBER($Z$853),$B$511=1),$Z$853,HLOOKUP(INDIRECT(ADDRESS(2,COLUMN())),OFFSET($BN$2,0,0,ROW()-1,60),ROW()-1,FALSE))</f>
        <v>-580.22340020000001</v>
      </c>
      <c r="AA352">
        <f ca="1">IF(AND(ISNUMBER($AA$853),$B$511=1),$AA$853,HLOOKUP(INDIRECT(ADDRESS(2,COLUMN())),OFFSET($BN$2,0,0,ROW()-1,60),ROW()-1,FALSE))</f>
        <v>-578.13526839999997</v>
      </c>
      <c r="AB352">
        <f ca="1">IF(AND(ISNUMBER($AB$853),$B$511=1),$AB$853,HLOOKUP(INDIRECT(ADDRESS(2,COLUMN())),OFFSET($BN$2,0,0,ROW()-1,60),ROW()-1,FALSE))</f>
        <v>-542.24070570000003</v>
      </c>
      <c r="AC352">
        <f ca="1">IF(AND(ISNUMBER($AC$853),$B$511=1),$AC$853,HLOOKUP(INDIRECT(ADDRESS(2,COLUMN())),OFFSET($BN$2,0,0,ROW()-1,60),ROW()-1,FALSE))</f>
        <v>-539.38652779999995</v>
      </c>
      <c r="AD352">
        <f ca="1">IF(AND(ISNUMBER($AD$853),$B$511=1),$AD$853,HLOOKUP(INDIRECT(ADDRESS(2,COLUMN())),OFFSET($BN$2,0,0,ROW()-1,60),ROW()-1,FALSE))</f>
        <v>-469.64824069999997</v>
      </c>
      <c r="AE352">
        <f ca="1">IF(AND(ISNUMBER($AE$853),$B$511=1),$AE$853,HLOOKUP(INDIRECT(ADDRESS(2,COLUMN())),OFFSET($BN$2,0,0,ROW()-1,60),ROW()-1,FALSE))</f>
        <v>-464.85649089999998</v>
      </c>
      <c r="AF352">
        <f ca="1">IF(AND(ISNUMBER($AF$853),$B$511=1),$AF$853,HLOOKUP(INDIRECT(ADDRESS(2,COLUMN())),OFFSET($BN$2,0,0,ROW()-1,60),ROW()-1,FALSE))</f>
        <v>-421.15379189999999</v>
      </c>
      <c r="AG352">
        <f ca="1">IF(AND(ISNUMBER($AG$853),$B$511=1),$AG$853,HLOOKUP(INDIRECT(ADDRESS(2,COLUMN())),OFFSET($BN$2,0,0,ROW()-1,60),ROW()-1,FALSE))</f>
        <v>-426.01849859999999</v>
      </c>
      <c r="AH352">
        <f ca="1">IF(AND(ISNUMBER($AH$853),$B$511=1),$AH$853,HLOOKUP(INDIRECT(ADDRESS(2,COLUMN())),OFFSET($BN$2,0,0,ROW()-1,60),ROW()-1,FALSE))</f>
        <v>-412.38618359999998</v>
      </c>
      <c r="AI352">
        <f ca="1">IF(AND(ISNUMBER($AI$853),$B$511=1),$AI$853,HLOOKUP(INDIRECT(ADDRESS(2,COLUMN())),OFFSET($BN$2,0,0,ROW()-1,60),ROW()-1,FALSE))</f>
        <v>-413.49048310000001</v>
      </c>
      <c r="AJ352">
        <f ca="1">IF(AND(ISNUMBER($AJ$853),$B$511=1),$AJ$853,HLOOKUP(INDIRECT(ADDRESS(2,COLUMN())),OFFSET($BN$2,0,0,ROW()-1,60),ROW()-1,FALSE))</f>
        <v>-514.64990650000004</v>
      </c>
      <c r="AK352">
        <f ca="1">IF(AND(ISNUMBER($AK$853),$B$511=1),$AK$853,HLOOKUP(INDIRECT(ADDRESS(2,COLUMN())),OFFSET($BN$2,0,0,ROW()-1,60),ROW()-1,FALSE))</f>
        <v>-503.70394140000002</v>
      </c>
      <c r="AL352">
        <f ca="1">IF(AND(ISNUMBER($AL$853),$B$511=1),$AL$853,HLOOKUP(INDIRECT(ADDRESS(2,COLUMN())),OFFSET($BN$2,0,0,ROW()-1,60),ROW()-1,FALSE))</f>
        <v>-511.4997285</v>
      </c>
      <c r="AM352">
        <f ca="1">IF(AND(ISNUMBER($AM$853),$B$511=1),$AM$853,HLOOKUP(INDIRECT(ADDRESS(2,COLUMN())),OFFSET($BN$2,0,0,ROW()-1,60),ROW()-1,FALSE))</f>
        <v>-508.630762</v>
      </c>
      <c r="AN352" t="str">
        <f ca="1">IF(AND(ISNUMBER($AN$853),$B$511=1),$AN$853,HLOOKUP(INDIRECT(ADDRESS(2,COLUMN())),OFFSET($BN$2,0,0,ROW()-1,60),ROW()-1,FALSE))</f>
        <v/>
      </c>
      <c r="AO352" t="str">
        <f ca="1">IF(AND(ISNUMBER($AO$853),$B$511=1),$AO$853,HLOOKUP(INDIRECT(ADDRESS(2,COLUMN())),OFFSET($BN$2,0,0,ROW()-1,60),ROW()-1,FALSE))</f>
        <v/>
      </c>
      <c r="AP352" t="str">
        <f ca="1">IF(AND(ISNUMBER($AP$853),$B$511=1),$AP$853,HLOOKUP(INDIRECT(ADDRESS(2,COLUMN())),OFFSET($BN$2,0,0,ROW()-1,60),ROW()-1,FALSE))</f>
        <v/>
      </c>
      <c r="AQ352" t="str">
        <f ca="1">IF(AND(ISNUMBER($AQ$853),$B$511=1),$AQ$853,HLOOKUP(INDIRECT(ADDRESS(2,COLUMN())),OFFSET($BN$2,0,0,ROW()-1,60),ROW()-1,FALSE))</f>
        <v/>
      </c>
      <c r="AR352" t="str">
        <f ca="1">IF(AND(ISNUMBER($AR$853),$B$511=1),$AR$853,HLOOKUP(INDIRECT(ADDRESS(2,COLUMN())),OFFSET($BN$2,0,0,ROW()-1,60),ROW()-1,FALSE))</f>
        <v/>
      </c>
      <c r="AS352" t="str">
        <f ca="1">IF(AND(ISNUMBER($AS$853),$B$511=1),$AS$853,HLOOKUP(INDIRECT(ADDRESS(2,COLUMN())),OFFSET($BN$2,0,0,ROW()-1,60),ROW()-1,FALSE))</f>
        <v/>
      </c>
      <c r="AT352" t="str">
        <f ca="1">IF(AND(ISNUMBER($AT$853),$B$511=1),$AT$853,HLOOKUP(INDIRECT(ADDRESS(2,COLUMN())),OFFSET($BN$2,0,0,ROW()-1,60),ROW()-1,FALSE))</f>
        <v/>
      </c>
      <c r="AU352" t="str">
        <f ca="1">IF(AND(ISNUMBER($AU$853),$B$511=1),$AU$853,HLOOKUP(INDIRECT(ADDRESS(2,COLUMN())),OFFSET($BN$2,0,0,ROW()-1,60),ROW()-1,FALSE))</f>
        <v/>
      </c>
      <c r="AV352" t="str">
        <f ca="1">IF(AND(ISNUMBER($AV$853),$B$511=1),$AV$853,HLOOKUP(INDIRECT(ADDRESS(2,COLUMN())),OFFSET($BN$2,0,0,ROW()-1,60),ROW()-1,FALSE))</f>
        <v/>
      </c>
      <c r="AW352" t="str">
        <f ca="1">IF(AND(ISNUMBER($AW$853),$B$511=1),$AW$853,HLOOKUP(INDIRECT(ADDRESS(2,COLUMN())),OFFSET($BN$2,0,0,ROW()-1,60),ROW()-1,FALSE))</f>
        <v/>
      </c>
      <c r="AX352" t="str">
        <f ca="1">IF(AND(ISNUMBER($AX$853),$B$511=1),$AX$853,HLOOKUP(INDIRECT(ADDRESS(2,COLUMN())),OFFSET($BN$2,0,0,ROW()-1,60),ROW()-1,FALSE))</f>
        <v/>
      </c>
      <c r="AY352" t="str">
        <f ca="1">IF(AND(ISNUMBER($AY$853),$B$511=1),$AY$853,HLOOKUP(INDIRECT(ADDRESS(2,COLUMN())),OFFSET($BN$2,0,0,ROW()-1,60),ROW()-1,FALSE))</f>
        <v/>
      </c>
      <c r="AZ352" t="str">
        <f ca="1">IF(AND(ISNUMBER($AZ$853),$B$511=1),$AZ$853,HLOOKUP(INDIRECT(ADDRESS(2,COLUMN())),OFFSET($BN$2,0,0,ROW()-1,60),ROW()-1,FALSE))</f>
        <v/>
      </c>
      <c r="BA352" t="str">
        <f ca="1">IF(AND(ISNUMBER($BA$853),$B$511=1),$BA$853,HLOOKUP(INDIRECT(ADDRESS(2,COLUMN())),OFFSET($BN$2,0,0,ROW()-1,60),ROW()-1,FALSE))</f>
        <v/>
      </c>
      <c r="BB352" t="str">
        <f ca="1">IF(AND(ISNUMBER($BB$853),$B$511=1),$BB$853,HLOOKUP(INDIRECT(ADDRESS(2,COLUMN())),OFFSET($BN$2,0,0,ROW()-1,60),ROW()-1,FALSE))</f>
        <v/>
      </c>
      <c r="BC352" t="str">
        <f ca="1">IF(AND(ISNUMBER($BC$853),$B$511=1),$BC$853,HLOOKUP(INDIRECT(ADDRESS(2,COLUMN())),OFFSET($BN$2,0,0,ROW()-1,60),ROW()-1,FALSE))</f>
        <v/>
      </c>
      <c r="BD352" t="str">
        <f ca="1">IF(AND(ISNUMBER($BD$853),$B$511=1),$BD$853,HLOOKUP(INDIRECT(ADDRESS(2,COLUMN())),OFFSET($BN$2,0,0,ROW()-1,60),ROW()-1,FALSE))</f>
        <v/>
      </c>
      <c r="BE352" t="str">
        <f ca="1">IF(AND(ISNUMBER($BE$853),$B$511=1),$BE$853,HLOOKUP(INDIRECT(ADDRESS(2,COLUMN())),OFFSET($BN$2,0,0,ROW()-1,60),ROW()-1,FALSE))</f>
        <v/>
      </c>
      <c r="BF352" t="str">
        <f ca="1">IF(AND(ISNUMBER($BF$853),$B$511=1),$BF$853,HLOOKUP(INDIRECT(ADDRESS(2,COLUMN())),OFFSET($BN$2,0,0,ROW()-1,60),ROW()-1,FALSE))</f>
        <v/>
      </c>
      <c r="BG352" t="str">
        <f ca="1">IF(AND(ISNUMBER($BG$853),$B$511=1),$BG$853,HLOOKUP(INDIRECT(ADDRESS(2,COLUMN())),OFFSET($BN$2,0,0,ROW()-1,60),ROW()-1,FALSE))</f>
        <v/>
      </c>
      <c r="BH352" t="str">
        <f ca="1">IF(AND(ISNUMBER($BH$853),$B$511=1),$BH$853,HLOOKUP(INDIRECT(ADDRESS(2,COLUMN())),OFFSET($BN$2,0,0,ROW()-1,60),ROW()-1,FALSE))</f>
        <v/>
      </c>
      <c r="BI352" t="str">
        <f ca="1">IF(AND(ISNUMBER($BI$853),$B$511=1),$BI$853,HLOOKUP(INDIRECT(ADDRESS(2,COLUMN())),OFFSET($BN$2,0,0,ROW()-1,60),ROW()-1,FALSE))</f>
        <v/>
      </c>
      <c r="BJ352" t="str">
        <f ca="1">IF(AND(ISNUMBER($BJ$853),$B$511=1),$BJ$853,HLOOKUP(INDIRECT(ADDRESS(2,COLUMN())),OFFSET($BN$2,0,0,ROW()-1,60),ROW()-1,FALSE))</f>
        <v/>
      </c>
      <c r="BK352" t="str">
        <f ca="1">IF(AND(ISNUMBER($BK$853),$B$511=1),$BK$853,HLOOKUP(INDIRECT(ADDRESS(2,COLUMN())),OFFSET($BN$2,0,0,ROW()-1,60),ROW()-1,FALSE))</f>
        <v/>
      </c>
      <c r="BL352" t="str">
        <f ca="1">IF(AND(ISNUMBER($BL$853),$B$511=1),$BL$853,HLOOKUP(INDIRECT(ADDRESS(2,COLUMN())),OFFSET($BN$2,0,0,ROW()-1,60),ROW()-1,FALSE))</f>
        <v/>
      </c>
      <c r="BM352" t="str">
        <f ca="1">IF(AND(ISNUMBER($BM$853),$B$511=1),$BM$853,HLOOKUP(INDIRECT(ADDRESS(2,COLUMN())),OFFSET($BN$2,0,0,ROW()-1,60),ROW()-1,FALSE))</f>
        <v/>
      </c>
      <c r="BN352" t="str">
        <f>""</f>
        <v/>
      </c>
      <c r="BO352" t="str">
        <f>""</f>
        <v/>
      </c>
      <c r="BP352">
        <f>-1051.541663</f>
        <v>-1051.541663</v>
      </c>
      <c r="BQ352">
        <f>-1051.49976</f>
        <v>-1051.4997599999999</v>
      </c>
      <c r="BR352">
        <f>-1029.543765</f>
        <v>-1029.5437649999999</v>
      </c>
      <c r="BS352">
        <f>-1007.539673</f>
        <v>-1007.539673</v>
      </c>
      <c r="BT352">
        <f>-975.2239404</f>
        <v>-975.22394039999995</v>
      </c>
      <c r="BU352">
        <f>-978.1798649</f>
        <v>-978.17986489999998</v>
      </c>
      <c r="BV352">
        <f>-944.619522</f>
        <v>-944.61952199999996</v>
      </c>
      <c r="BW352">
        <f>-935.2354874</f>
        <v>-935.23548740000001</v>
      </c>
      <c r="BX352">
        <f>-1047.801212</f>
        <v>-1047.8012120000001</v>
      </c>
      <c r="BY352">
        <f>-1152.272717</f>
        <v>-1152.2727170000001</v>
      </c>
      <c r="BZ352">
        <f>-1170.93948</f>
        <v>-1170.93948</v>
      </c>
      <c r="CA352">
        <f>-1195.79769</f>
        <v>-1195.7976900000001</v>
      </c>
      <c r="CB352">
        <f>-1098.809481</f>
        <v>-1098.809481</v>
      </c>
      <c r="CC352">
        <f>-759.7493074</f>
        <v>-759.74930740000002</v>
      </c>
      <c r="CD352">
        <f>-553.7492066</f>
        <v>-553.74920659999998</v>
      </c>
      <c r="CE352">
        <f>-557.6453376</f>
        <v>-557.64533759999995</v>
      </c>
      <c r="CF352">
        <f>-635.0027356</f>
        <v>-635.00273560000005</v>
      </c>
      <c r="CG352">
        <f>-622.9380923</f>
        <v>-622.93809229999999</v>
      </c>
      <c r="CH352">
        <f>-580.2234002</f>
        <v>-580.22340020000001</v>
      </c>
      <c r="CI352">
        <f>-578.1352684</f>
        <v>-578.13526839999997</v>
      </c>
      <c r="CJ352">
        <f>-542.2407057</f>
        <v>-542.24070570000003</v>
      </c>
      <c r="CK352">
        <f>-539.3865278</f>
        <v>-539.38652779999995</v>
      </c>
      <c r="CL352">
        <f>-469.6482407</f>
        <v>-469.64824069999997</v>
      </c>
      <c r="CM352">
        <f>-464.8564909</f>
        <v>-464.85649089999998</v>
      </c>
      <c r="CN352">
        <f>-421.1537919</f>
        <v>-421.15379189999999</v>
      </c>
      <c r="CO352">
        <f>-426.0184986</f>
        <v>-426.01849859999999</v>
      </c>
      <c r="CP352">
        <f>-412.3861836</f>
        <v>-412.38618359999998</v>
      </c>
      <c r="CQ352">
        <f>-413.4904831</f>
        <v>-413.49048310000001</v>
      </c>
      <c r="CR352">
        <f>-514.6499065</f>
        <v>-514.64990650000004</v>
      </c>
      <c r="CS352">
        <f>-503.7039414</f>
        <v>-503.70394140000002</v>
      </c>
      <c r="CT352">
        <f>-511.4997285</f>
        <v>-511.4997285</v>
      </c>
      <c r="CU352">
        <f>-508.630762</f>
        <v>-508.630762</v>
      </c>
      <c r="CV352" t="str">
        <f>""</f>
        <v/>
      </c>
      <c r="CW352" t="str">
        <f>""</f>
        <v/>
      </c>
      <c r="CX352" t="str">
        <f>""</f>
        <v/>
      </c>
      <c r="CY352" t="str">
        <f>""</f>
        <v/>
      </c>
      <c r="CZ352" t="str">
        <f>""</f>
        <v/>
      </c>
      <c r="DA352" t="str">
        <f>""</f>
        <v/>
      </c>
      <c r="DB352" t="str">
        <f>""</f>
        <v/>
      </c>
      <c r="DC352" t="str">
        <f>""</f>
        <v/>
      </c>
      <c r="DD352" t="str">
        <f>""</f>
        <v/>
      </c>
      <c r="DE352" t="str">
        <f>""</f>
        <v/>
      </c>
      <c r="DF352" t="str">
        <f>""</f>
        <v/>
      </c>
      <c r="DG352" t="str">
        <f>""</f>
        <v/>
      </c>
      <c r="DH352" t="str">
        <f>""</f>
        <v/>
      </c>
      <c r="DI352" t="str">
        <f>""</f>
        <v/>
      </c>
      <c r="DJ352" t="str">
        <f>""</f>
        <v/>
      </c>
      <c r="DK352" t="str">
        <f>""</f>
        <v/>
      </c>
      <c r="DL352" t="str">
        <f>""</f>
        <v/>
      </c>
      <c r="DM352" t="str">
        <f>""</f>
        <v/>
      </c>
      <c r="DN352" t="str">
        <f>""</f>
        <v/>
      </c>
      <c r="DO352" t="str">
        <f>""</f>
        <v/>
      </c>
      <c r="DP352" t="str">
        <f>""</f>
        <v/>
      </c>
      <c r="DQ352" t="str">
        <f>""</f>
        <v/>
      </c>
      <c r="DR352" t="str">
        <f>""</f>
        <v/>
      </c>
      <c r="DS352" t="str">
        <f>""</f>
        <v/>
      </c>
      <c r="DT352" t="str">
        <f>""</f>
        <v/>
      </c>
      <c r="DU352" t="str">
        <f>""</f>
        <v/>
      </c>
    </row>
    <row r="353" spans="1:125" x14ac:dyDescent="0.25">
      <c r="A353" t="str">
        <f>"    Kia Motors Corp"</f>
        <v xml:space="preserve">    Kia Motors Corp</v>
      </c>
      <c r="B353" t="str">
        <f>"000270 KS Equity"</f>
        <v>000270 KS Equity</v>
      </c>
      <c r="C353" t="str">
        <f t="shared" si="24"/>
        <v>RX530</v>
      </c>
      <c r="D353" t="str">
        <f t="shared" si="25"/>
        <v>T12M_DVDS_PAID</v>
      </c>
      <c r="E353" t="str">
        <f t="shared" si="26"/>
        <v>Dynamic</v>
      </c>
      <c r="F353" t="str">
        <f ca="1">IF(AND(ISNUMBER($F$854),$B$511=1),$F$854,HLOOKUP(INDIRECT(ADDRESS(2,COLUMN())),OFFSET($BN$2,0,0,ROW()-1,60),ROW()-1,FALSE))</f>
        <v/>
      </c>
      <c r="G353" t="str">
        <f ca="1">IF(AND(ISNUMBER($G$854),$B$511=1),$G$854,HLOOKUP(INDIRECT(ADDRESS(2,COLUMN())),OFFSET($BN$2,0,0,ROW()-1,60),ROW()-1,FALSE))</f>
        <v/>
      </c>
      <c r="H353">
        <f ca="1">IF(AND(ISNUMBER($H$854),$B$511=1),$H$854,HLOOKUP(INDIRECT(ADDRESS(2,COLUMN())),OFFSET($BN$2,0,0,ROW()-1,60),ROW()-1,FALSE))</f>
        <v>-293.00894019999998</v>
      </c>
      <c r="I353">
        <f ca="1">IF(AND(ISNUMBER($I$854),$B$511=1),$I$854,HLOOKUP(INDIRECT(ADDRESS(2,COLUMN())),OFFSET($BN$2,0,0,ROW()-1,60),ROW()-1,FALSE))</f>
        <v>-292.29590389999998</v>
      </c>
      <c r="J353">
        <f ca="1">IF(AND(ISNUMBER($J$854),$B$511=1),$J$854,HLOOKUP(INDIRECT(ADDRESS(2,COLUMN())),OFFSET($BN$2,0,0,ROW()-1,60),ROW()-1,FALSE))</f>
        <v>-397.35806359999998</v>
      </c>
      <c r="K353">
        <f ca="1">IF(AND(ISNUMBER($K$854),$B$511=1),$K$854,HLOOKUP(INDIRECT(ADDRESS(2,COLUMN())),OFFSET($BN$2,0,0,ROW()-1,60),ROW()-1,FALSE))</f>
        <v>-390.23833860000002</v>
      </c>
      <c r="L353">
        <f ca="1">IF(AND(ISNUMBER($L$854),$B$511=1),$L$854,HLOOKUP(INDIRECT(ADDRESS(2,COLUMN())),OFFSET($BN$2,0,0,ROW()-1,60),ROW()-1,FALSE))</f>
        <v>-385.72594989999999</v>
      </c>
      <c r="M353">
        <f ca="1">IF(AND(ISNUMBER($M$854),$B$511=1),$M$854,HLOOKUP(INDIRECT(ADDRESS(2,COLUMN())),OFFSET($BN$2,0,0,ROW()-1,60),ROW()-1,FALSE))</f>
        <v>-386.82640350000003</v>
      </c>
      <c r="N353">
        <f ca="1">IF(AND(ISNUMBER($N$854),$B$511=1),$N$854,HLOOKUP(INDIRECT(ADDRESS(2,COLUMN())),OFFSET($BN$2,0,0,ROW()-1,60),ROW()-1,FALSE))</f>
        <v>-384.12462420000003</v>
      </c>
      <c r="O353">
        <f ca="1">IF(AND(ISNUMBER($O$854),$B$511=1),$O$854,HLOOKUP(INDIRECT(ADDRESS(2,COLUMN())),OFFSET($BN$2,0,0,ROW()-1,60),ROW()-1,FALSE))</f>
        <v>-380.3086553</v>
      </c>
      <c r="P353">
        <f ca="1">IF(AND(ISNUMBER($P$854),$B$511=1),$P$854,HLOOKUP(INDIRECT(ADDRESS(2,COLUMN())),OFFSET($BN$2,0,0,ROW()-1,60),ROW()-1,FALSE))</f>
        <v>-380.39031999999997</v>
      </c>
      <c r="Q353">
        <f ca="1">IF(AND(ISNUMBER($Q$854),$B$511=1),$Q$854,HLOOKUP(INDIRECT(ADDRESS(2,COLUMN())),OFFSET($BN$2,0,0,ROW()-1,60),ROW()-1,FALSE))</f>
        <v>-376.21584369999999</v>
      </c>
      <c r="R353">
        <f ca="1">IF(AND(ISNUMBER($R$854),$B$511=1),$R$854,HLOOKUP(INDIRECT(ADDRESS(2,COLUMN())),OFFSET($BN$2,0,0,ROW()-1,60),ROW()-1,FALSE))</f>
        <v>-349.81439289999997</v>
      </c>
      <c r="S353">
        <f ca="1">IF(AND(ISNUMBER($S$854),$B$511=1),$S$854,HLOOKUP(INDIRECT(ADDRESS(2,COLUMN())),OFFSET($BN$2,0,0,ROW()-1,60),ROW()-1,FALSE))</f>
        <v>-357.24070269999999</v>
      </c>
      <c r="T353">
        <f ca="1">IF(AND(ISNUMBER($T$854),$B$511=1),$T$854,HLOOKUP(INDIRECT(ADDRESS(2,COLUMN())),OFFSET($BN$2,0,0,ROW()-1,60),ROW()-1,FALSE))</f>
        <v>-362.96824839999999</v>
      </c>
      <c r="U353">
        <f ca="1">IF(AND(ISNUMBER($U$854),$B$511=1),$U$854,HLOOKUP(INDIRECT(ADDRESS(2,COLUMN())),OFFSET($BN$2,0,0,ROW()-1,60),ROW()-1,FALSE))</f>
        <v>-375.09290570000002</v>
      </c>
      <c r="V353">
        <f ca="1">IF(AND(ISNUMBER($V$854),$B$511=1),$V$854,HLOOKUP(INDIRECT(ADDRESS(2,COLUMN())),OFFSET($BN$2,0,0,ROW()-1,60),ROW()-1,FALSE))</f>
        <v>-267.45892889999999</v>
      </c>
      <c r="W353">
        <f ca="1">IF(AND(ISNUMBER($W$854),$B$511=1),$W$854,HLOOKUP(INDIRECT(ADDRESS(2,COLUMN())),OFFSET($BN$2,0,0,ROW()-1,60),ROW()-1,FALSE))</f>
        <v>-269.3453356</v>
      </c>
      <c r="X353">
        <f ca="1">IF(AND(ISNUMBER($X$854),$B$511=1),$X$854,HLOOKUP(INDIRECT(ADDRESS(2,COLUMN())),OFFSET($BN$2,0,0,ROW()-1,60),ROW()-1,FALSE))</f>
        <v>-270.91221510000003</v>
      </c>
      <c r="Y353">
        <f ca="1">IF(AND(ISNUMBER($Y$854),$B$511=1),$Y$854,HLOOKUP(INDIRECT(ADDRESS(2,COLUMN())),OFFSET($BN$2,0,0,ROW()-1,60),ROW()-1,FALSE))</f>
        <v>-265.76505730000002</v>
      </c>
      <c r="Z353">
        <f ca="1">IF(AND(ISNUMBER($Z$854),$B$511=1),$Z$854,HLOOKUP(INDIRECT(ADDRESS(2,COLUMN())),OFFSET($BN$2,0,0,ROW()-1,60),ROW()-1,FALSE))</f>
        <v>-241.47194500000001</v>
      </c>
      <c r="AA353">
        <f ca="1">IF(AND(ISNUMBER($AA$854),$B$511=1),$AA$854,HLOOKUP(INDIRECT(ADDRESS(2,COLUMN())),OFFSET($BN$2,0,0,ROW()-1,60),ROW()-1,FALSE))</f>
        <v>-240.60292580000001</v>
      </c>
      <c r="AB353">
        <f ca="1">IF(AND(ISNUMBER($AB$854),$B$511=1),$AB$854,HLOOKUP(INDIRECT(ADDRESS(2,COLUMN())),OFFSET($BN$2,0,0,ROW()-1,60),ROW()-1,FALSE))</f>
        <v>-239.00126639999999</v>
      </c>
      <c r="AC353">
        <f ca="1">IF(AND(ISNUMBER($AC$854),$B$511=1),$AC$854,HLOOKUP(INDIRECT(ADDRESS(2,COLUMN())),OFFSET($BN$2,0,0,ROW()-1,60),ROW()-1,FALSE))</f>
        <v>-237.74324189999999</v>
      </c>
      <c r="AD353">
        <f ca="1">IF(AND(ISNUMBER($AD$854),$B$511=1),$AD$854,HLOOKUP(INDIRECT(ADDRESS(2,COLUMN())),OFFSET($BN$2,0,0,ROW()-1,60),ROW()-1,FALSE))</f>
        <v>-217.3108077</v>
      </c>
      <c r="AE353">
        <f ca="1">IF(AND(ISNUMBER($AE$854),$B$511=1),$AE$854,HLOOKUP(INDIRECT(ADDRESS(2,COLUMN())),OFFSET($BN$2,0,0,ROW()-1,60),ROW()-1,FALSE))</f>
        <v>-215.09361849999999</v>
      </c>
      <c r="AF353">
        <f ca="1">IF(AND(ISNUMBER($AF$854),$B$511=1),$AF$854,HLOOKUP(INDIRECT(ADDRESS(2,COLUMN())),OFFSET($BN$2,0,0,ROW()-1,60),ROW()-1,FALSE))</f>
        <v>-212.41494789999999</v>
      </c>
      <c r="AG353">
        <f ca="1">IF(AND(ISNUMBER($AG$854),$B$511=1),$AG$854,HLOOKUP(INDIRECT(ADDRESS(2,COLUMN())),OFFSET($BN$2,0,0,ROW()-1,60),ROW()-1,FALSE))</f>
        <v>-214.8729687</v>
      </c>
      <c r="AH353">
        <f ca="1">IF(AND(ISNUMBER($AH$854),$B$511=1),$AH$854,HLOOKUP(INDIRECT(ADDRESS(2,COLUMN())),OFFSET($BN$2,0,0,ROW()-1,60),ROW()-1,FALSE))</f>
        <v>-179.08148739999999</v>
      </c>
      <c r="AI353">
        <f ca="1">IF(AND(ISNUMBER($AI$854),$B$511=1),$AI$854,HLOOKUP(INDIRECT(ADDRESS(2,COLUMN())),OFFSET($BN$2,0,0,ROW()-1,60),ROW()-1,FALSE))</f>
        <v>-179.55868269999999</v>
      </c>
      <c r="AJ353">
        <f ca="1">IF(AND(ISNUMBER($AJ$854),$B$511=1),$AJ$854,HLOOKUP(INDIRECT(ADDRESS(2,COLUMN())),OFFSET($BN$2,0,0,ROW()-1,60),ROW()-1,FALSE))</f>
        <v>-179.99315279999999</v>
      </c>
      <c r="AK353">
        <f ca="1">IF(AND(ISNUMBER($AK$854),$B$511=1),$AK$854,HLOOKUP(INDIRECT(ADDRESS(2,COLUMN())),OFFSET($BN$2,0,0,ROW()-1,60),ROW()-1,FALSE))</f>
        <v>-176.1622624</v>
      </c>
      <c r="AL353">
        <f ca="1">IF(AND(ISNUMBER($AL$854),$B$511=1),$AL$854,HLOOKUP(INDIRECT(ADDRESS(2,COLUMN())),OFFSET($BN$2,0,0,ROW()-1,60),ROW()-1,FALSE))</f>
        <v>-84.392617450000003</v>
      </c>
      <c r="AM353">
        <f ca="1">IF(AND(ISNUMBER($AM$854),$B$511=1),$AM$854,HLOOKUP(INDIRECT(ADDRESS(2,COLUMN())),OFFSET($BN$2,0,0,ROW()-1,60),ROW()-1,FALSE))</f>
        <v>-83.919265109999998</v>
      </c>
      <c r="AN353" t="str">
        <f ca="1">IF(AND(ISNUMBER($AN$854),$B$511=1),$AN$854,HLOOKUP(INDIRECT(ADDRESS(2,COLUMN())),OFFSET($BN$2,0,0,ROW()-1,60),ROW()-1,FALSE))</f>
        <v/>
      </c>
      <c r="AO353" t="str">
        <f ca="1">IF(AND(ISNUMBER($AO$854),$B$511=1),$AO$854,HLOOKUP(INDIRECT(ADDRESS(2,COLUMN())),OFFSET($BN$2,0,0,ROW()-1,60),ROW()-1,FALSE))</f>
        <v/>
      </c>
      <c r="AP353" t="str">
        <f ca="1">IF(AND(ISNUMBER($AP$854),$B$511=1),$AP$854,HLOOKUP(INDIRECT(ADDRESS(2,COLUMN())),OFFSET($BN$2,0,0,ROW()-1,60),ROW()-1,FALSE))</f>
        <v/>
      </c>
      <c r="AQ353" t="str">
        <f ca="1">IF(AND(ISNUMBER($AQ$854),$B$511=1),$AQ$854,HLOOKUP(INDIRECT(ADDRESS(2,COLUMN())),OFFSET($BN$2,0,0,ROW()-1,60),ROW()-1,FALSE))</f>
        <v/>
      </c>
      <c r="AR353" t="str">
        <f ca="1">IF(AND(ISNUMBER($AR$854),$B$511=1),$AR$854,HLOOKUP(INDIRECT(ADDRESS(2,COLUMN())),OFFSET($BN$2,0,0,ROW()-1,60),ROW()-1,FALSE))</f>
        <v/>
      </c>
      <c r="AS353" t="str">
        <f ca="1">IF(AND(ISNUMBER($AS$854),$B$511=1),$AS$854,HLOOKUP(INDIRECT(ADDRESS(2,COLUMN())),OFFSET($BN$2,0,0,ROW()-1,60),ROW()-1,FALSE))</f>
        <v/>
      </c>
      <c r="AT353" t="str">
        <f ca="1">IF(AND(ISNUMBER($AT$854),$B$511=1),$AT$854,HLOOKUP(INDIRECT(ADDRESS(2,COLUMN())),OFFSET($BN$2,0,0,ROW()-1,60),ROW()-1,FALSE))</f>
        <v/>
      </c>
      <c r="AU353" t="str">
        <f ca="1">IF(AND(ISNUMBER($AU$854),$B$511=1),$AU$854,HLOOKUP(INDIRECT(ADDRESS(2,COLUMN())),OFFSET($BN$2,0,0,ROW()-1,60),ROW()-1,FALSE))</f>
        <v/>
      </c>
      <c r="AV353" t="str">
        <f ca="1">IF(AND(ISNUMBER($AV$854),$B$511=1),$AV$854,HLOOKUP(INDIRECT(ADDRESS(2,COLUMN())),OFFSET($BN$2,0,0,ROW()-1,60),ROW()-1,FALSE))</f>
        <v/>
      </c>
      <c r="AW353" t="str">
        <f ca="1">IF(AND(ISNUMBER($AW$854),$B$511=1),$AW$854,HLOOKUP(INDIRECT(ADDRESS(2,COLUMN())),OFFSET($BN$2,0,0,ROW()-1,60),ROW()-1,FALSE))</f>
        <v/>
      </c>
      <c r="AX353" t="str">
        <f ca="1">IF(AND(ISNUMBER($AX$854),$B$511=1),$AX$854,HLOOKUP(INDIRECT(ADDRESS(2,COLUMN())),OFFSET($BN$2,0,0,ROW()-1,60),ROW()-1,FALSE))</f>
        <v/>
      </c>
      <c r="AY353" t="str">
        <f ca="1">IF(AND(ISNUMBER($AY$854),$B$511=1),$AY$854,HLOOKUP(INDIRECT(ADDRESS(2,COLUMN())),OFFSET($BN$2,0,0,ROW()-1,60),ROW()-1,FALSE))</f>
        <v/>
      </c>
      <c r="AZ353" t="str">
        <f ca="1">IF(AND(ISNUMBER($AZ$854),$B$511=1),$AZ$854,HLOOKUP(INDIRECT(ADDRESS(2,COLUMN())),OFFSET($BN$2,0,0,ROW()-1,60),ROW()-1,FALSE))</f>
        <v/>
      </c>
      <c r="BA353" t="str">
        <f ca="1">IF(AND(ISNUMBER($BA$854),$B$511=1),$BA$854,HLOOKUP(INDIRECT(ADDRESS(2,COLUMN())),OFFSET($BN$2,0,0,ROW()-1,60),ROW()-1,FALSE))</f>
        <v/>
      </c>
      <c r="BB353" t="str">
        <f ca="1">IF(AND(ISNUMBER($BB$854),$B$511=1),$BB$854,HLOOKUP(INDIRECT(ADDRESS(2,COLUMN())),OFFSET($BN$2,0,0,ROW()-1,60),ROW()-1,FALSE))</f>
        <v/>
      </c>
      <c r="BC353" t="str">
        <f ca="1">IF(AND(ISNUMBER($BC$854),$B$511=1),$BC$854,HLOOKUP(INDIRECT(ADDRESS(2,COLUMN())),OFFSET($BN$2,0,0,ROW()-1,60),ROW()-1,FALSE))</f>
        <v/>
      </c>
      <c r="BD353" t="str">
        <f ca="1">IF(AND(ISNUMBER($BD$854),$B$511=1),$BD$854,HLOOKUP(INDIRECT(ADDRESS(2,COLUMN())),OFFSET($BN$2,0,0,ROW()-1,60),ROW()-1,FALSE))</f>
        <v/>
      </c>
      <c r="BE353" t="str">
        <f ca="1">IF(AND(ISNUMBER($BE$854),$B$511=1),$BE$854,HLOOKUP(INDIRECT(ADDRESS(2,COLUMN())),OFFSET($BN$2,0,0,ROW()-1,60),ROW()-1,FALSE))</f>
        <v/>
      </c>
      <c r="BF353" t="str">
        <f ca="1">IF(AND(ISNUMBER($BF$854),$B$511=1),$BF$854,HLOOKUP(INDIRECT(ADDRESS(2,COLUMN())),OFFSET($BN$2,0,0,ROW()-1,60),ROW()-1,FALSE))</f>
        <v/>
      </c>
      <c r="BG353" t="str">
        <f ca="1">IF(AND(ISNUMBER($BG$854),$B$511=1),$BG$854,HLOOKUP(INDIRECT(ADDRESS(2,COLUMN())),OFFSET($BN$2,0,0,ROW()-1,60),ROW()-1,FALSE))</f>
        <v/>
      </c>
      <c r="BH353" t="str">
        <f ca="1">IF(AND(ISNUMBER($BH$854),$B$511=1),$BH$854,HLOOKUP(INDIRECT(ADDRESS(2,COLUMN())),OFFSET($BN$2,0,0,ROW()-1,60),ROW()-1,FALSE))</f>
        <v/>
      </c>
      <c r="BI353" t="str">
        <f ca="1">IF(AND(ISNUMBER($BI$854),$B$511=1),$BI$854,HLOOKUP(INDIRECT(ADDRESS(2,COLUMN())),OFFSET($BN$2,0,0,ROW()-1,60),ROW()-1,FALSE))</f>
        <v/>
      </c>
      <c r="BJ353" t="str">
        <f ca="1">IF(AND(ISNUMBER($BJ$854),$B$511=1),$BJ$854,HLOOKUP(INDIRECT(ADDRESS(2,COLUMN())),OFFSET($BN$2,0,0,ROW()-1,60),ROW()-1,FALSE))</f>
        <v/>
      </c>
      <c r="BK353" t="str">
        <f ca="1">IF(AND(ISNUMBER($BK$854),$B$511=1),$BK$854,HLOOKUP(INDIRECT(ADDRESS(2,COLUMN())),OFFSET($BN$2,0,0,ROW()-1,60),ROW()-1,FALSE))</f>
        <v/>
      </c>
      <c r="BL353" t="str">
        <f ca="1">IF(AND(ISNUMBER($BL$854),$B$511=1),$BL$854,HLOOKUP(INDIRECT(ADDRESS(2,COLUMN())),OFFSET($BN$2,0,0,ROW()-1,60),ROW()-1,FALSE))</f>
        <v/>
      </c>
      <c r="BM353" t="str">
        <f ca="1">IF(AND(ISNUMBER($BM$854),$B$511=1),$BM$854,HLOOKUP(INDIRECT(ADDRESS(2,COLUMN())),OFFSET($BN$2,0,0,ROW()-1,60),ROW()-1,FALSE))</f>
        <v/>
      </c>
      <c r="BN353" t="str">
        <f>""</f>
        <v/>
      </c>
      <c r="BO353" t="str">
        <f>""</f>
        <v/>
      </c>
      <c r="BP353">
        <f>-293.0089402</f>
        <v>-293.00894019999998</v>
      </c>
      <c r="BQ353">
        <f>-292.2959039</f>
        <v>-292.29590389999998</v>
      </c>
      <c r="BR353">
        <f>-397.3580636</f>
        <v>-397.35806359999998</v>
      </c>
      <c r="BS353">
        <f>-390.2383386</f>
        <v>-390.23833860000002</v>
      </c>
      <c r="BT353">
        <f>-385.7259499</f>
        <v>-385.72594989999999</v>
      </c>
      <c r="BU353">
        <f>-386.8264035</f>
        <v>-386.82640350000003</v>
      </c>
      <c r="BV353">
        <f>-384.1246242</f>
        <v>-384.12462420000003</v>
      </c>
      <c r="BW353">
        <f>-380.3086553</f>
        <v>-380.3086553</v>
      </c>
      <c r="BX353">
        <f>-380.39032</f>
        <v>-380.39031999999997</v>
      </c>
      <c r="BY353">
        <f>-376.2158437</f>
        <v>-376.21584369999999</v>
      </c>
      <c r="BZ353">
        <f>-349.8143929</f>
        <v>-349.81439289999997</v>
      </c>
      <c r="CA353">
        <f>-357.2407027</f>
        <v>-357.24070269999999</v>
      </c>
      <c r="CB353">
        <f>-362.9682484</f>
        <v>-362.96824839999999</v>
      </c>
      <c r="CC353">
        <f>-375.0929057</f>
        <v>-375.09290570000002</v>
      </c>
      <c r="CD353">
        <f>-267.4589289</f>
        <v>-267.45892889999999</v>
      </c>
      <c r="CE353">
        <f>-269.3453356</f>
        <v>-269.3453356</v>
      </c>
      <c r="CF353">
        <f>-270.9122151</f>
        <v>-270.91221510000003</v>
      </c>
      <c r="CG353">
        <f>-265.7650573</f>
        <v>-265.76505730000002</v>
      </c>
      <c r="CH353">
        <f>-241.471945</f>
        <v>-241.47194500000001</v>
      </c>
      <c r="CI353">
        <f>-240.6029258</f>
        <v>-240.60292580000001</v>
      </c>
      <c r="CJ353">
        <f>-239.0012664</f>
        <v>-239.00126639999999</v>
      </c>
      <c r="CK353">
        <f>-237.7432419</f>
        <v>-237.74324189999999</v>
      </c>
      <c r="CL353">
        <f>-217.3108077</f>
        <v>-217.3108077</v>
      </c>
      <c r="CM353">
        <f>-215.0936185</f>
        <v>-215.09361849999999</v>
      </c>
      <c r="CN353">
        <f>-212.4149479</f>
        <v>-212.41494789999999</v>
      </c>
      <c r="CO353">
        <f>-214.8729687</f>
        <v>-214.8729687</v>
      </c>
      <c r="CP353">
        <f>-179.0814874</f>
        <v>-179.08148739999999</v>
      </c>
      <c r="CQ353">
        <f>-179.5586827</f>
        <v>-179.55868269999999</v>
      </c>
      <c r="CR353">
        <f>-179.9931528</f>
        <v>-179.99315279999999</v>
      </c>
      <c r="CS353">
        <f>-176.1622624</f>
        <v>-176.1622624</v>
      </c>
      <c r="CT353">
        <f>-84.39261745</f>
        <v>-84.392617450000003</v>
      </c>
      <c r="CU353">
        <f>-83.91926511</f>
        <v>-83.919265109999998</v>
      </c>
      <c r="CV353" t="str">
        <f>""</f>
        <v/>
      </c>
      <c r="CW353" t="str">
        <f>""</f>
        <v/>
      </c>
      <c r="CX353" t="str">
        <f>""</f>
        <v/>
      </c>
      <c r="CY353" t="str">
        <f>""</f>
        <v/>
      </c>
      <c r="CZ353" t="str">
        <f>""</f>
        <v/>
      </c>
      <c r="DA353" t="str">
        <f>""</f>
        <v/>
      </c>
      <c r="DB353" t="str">
        <f>""</f>
        <v/>
      </c>
      <c r="DC353" t="str">
        <f>""</f>
        <v/>
      </c>
      <c r="DD353" t="str">
        <f>""</f>
        <v/>
      </c>
      <c r="DE353" t="str">
        <f>""</f>
        <v/>
      </c>
      <c r="DF353" t="str">
        <f>""</f>
        <v/>
      </c>
      <c r="DG353" t="str">
        <f>""</f>
        <v/>
      </c>
      <c r="DH353" t="str">
        <f>""</f>
        <v/>
      </c>
      <c r="DI353" t="str">
        <f>""</f>
        <v/>
      </c>
      <c r="DJ353" t="str">
        <f>""</f>
        <v/>
      </c>
      <c r="DK353" t="str">
        <f>""</f>
        <v/>
      </c>
      <c r="DL353" t="str">
        <f>""</f>
        <v/>
      </c>
      <c r="DM353" t="str">
        <f>""</f>
        <v/>
      </c>
      <c r="DN353" t="str">
        <f>""</f>
        <v/>
      </c>
      <c r="DO353" t="str">
        <f>""</f>
        <v/>
      </c>
      <c r="DP353" t="str">
        <f>""</f>
        <v/>
      </c>
      <c r="DQ353" t="str">
        <f>""</f>
        <v/>
      </c>
      <c r="DR353" t="str">
        <f>""</f>
        <v/>
      </c>
      <c r="DS353" t="str">
        <f>""</f>
        <v/>
      </c>
      <c r="DT353" t="str">
        <f>""</f>
        <v/>
      </c>
      <c r="DU353" t="str">
        <f>""</f>
        <v/>
      </c>
    </row>
    <row r="354" spans="1:125" x14ac:dyDescent="0.25">
      <c r="A354" t="str">
        <f>"    Mazda Motor Corp"</f>
        <v xml:space="preserve">    Mazda Motor Corp</v>
      </c>
      <c r="B354" t="str">
        <f>"7261 JP Equity"</f>
        <v>7261 JP Equity</v>
      </c>
      <c r="C354" t="str">
        <f t="shared" si="24"/>
        <v>RX530</v>
      </c>
      <c r="D354" t="str">
        <f t="shared" si="25"/>
        <v>T12M_DVDS_PAID</v>
      </c>
      <c r="E354" t="str">
        <f t="shared" si="26"/>
        <v>Dynamic</v>
      </c>
      <c r="F354" t="str">
        <f ca="1">IF(AND(ISNUMBER($F$855),$B$511=1),$F$855,HLOOKUP(INDIRECT(ADDRESS(2,COLUMN())),OFFSET($BN$2,0,0,ROW()-1,60),ROW()-1,FALSE))</f>
        <v/>
      </c>
      <c r="G354">
        <f ca="1">IF(AND(ISNUMBER($G$855),$B$511=1),$G$855,HLOOKUP(INDIRECT(ADDRESS(2,COLUMN())),OFFSET($BN$2,0,0,ROW()-1,60),ROW()-1,FALSE))</f>
        <v>-199.67381040000001</v>
      </c>
      <c r="H354">
        <f ca="1">IF(AND(ISNUMBER($H$855),$B$511=1),$H$855,HLOOKUP(INDIRECT(ADDRESS(2,COLUMN())),OFFSET($BN$2,0,0,ROW()-1,60),ROW()-1,FALSE))</f>
        <v>-195.2865999</v>
      </c>
      <c r="I354">
        <f ca="1">IF(AND(ISNUMBER($I$855),$B$511=1),$I$855,HLOOKUP(INDIRECT(ADDRESS(2,COLUMN())),OFFSET($BN$2,0,0,ROW()-1,60),ROW()-1,FALSE))</f>
        <v>-195.5193696</v>
      </c>
      <c r="J354">
        <f ca="1">IF(AND(ISNUMBER($J$855),$B$511=1),$J$855,HLOOKUP(INDIRECT(ADDRESS(2,COLUMN())),OFFSET($BN$2,0,0,ROW()-1,60),ROW()-1,FALSE))</f>
        <v>-188.8564945</v>
      </c>
      <c r="K354">
        <f ca="1">IF(AND(ISNUMBER($K$855),$B$511=1),$K$855,HLOOKUP(INDIRECT(ADDRESS(2,COLUMN())),OFFSET($BN$2,0,0,ROW()-1,60),ROW()-1,FALSE))</f>
        <v>-186.6122684</v>
      </c>
      <c r="L354">
        <f ca="1">IF(AND(ISNUMBER($L$855),$B$511=1),$L$855,HLOOKUP(INDIRECT(ADDRESS(2,COLUMN())),OFFSET($BN$2,0,0,ROW()-1,60),ROW()-1,FALSE))</f>
        <v>-188.13695989999999</v>
      </c>
      <c r="M354">
        <f ca="1">IF(AND(ISNUMBER($M$855),$B$511=1),$M$855,HLOOKUP(INDIRECT(ADDRESS(2,COLUMN())),OFFSET($BN$2,0,0,ROW()-1,60),ROW()-1,FALSE))</f>
        <v>-192.15487089999999</v>
      </c>
      <c r="N354">
        <f ca="1">IF(AND(ISNUMBER($N$855),$B$511=1),$N$855,HLOOKUP(INDIRECT(ADDRESS(2,COLUMN())),OFFSET($BN$2,0,0,ROW()-1,60),ROW()-1,FALSE))</f>
        <v>-165.90695149999999</v>
      </c>
      <c r="O354">
        <f ca="1">IF(AND(ISNUMBER($O$855),$B$511=1),$O$855,HLOOKUP(INDIRECT(ADDRESS(2,COLUMN())),OFFSET($BN$2,0,0,ROW()-1,60),ROW()-1,FALSE))</f>
        <v>-165.36332189999999</v>
      </c>
      <c r="P354">
        <f ca="1">IF(AND(ISNUMBER($P$855),$B$511=1),$P$855,HLOOKUP(INDIRECT(ADDRESS(2,COLUMN())),OFFSET($BN$2,0,0,ROW()-1,60),ROW()-1,FALSE))</f>
        <v>-161.2399576</v>
      </c>
      <c r="Q354">
        <f ca="1">IF(AND(ISNUMBER($Q$855),$B$511=1),$Q$855,HLOOKUP(INDIRECT(ADDRESS(2,COLUMN())),OFFSET($BN$2,0,0,ROW()-1,60),ROW()-1,FALSE))</f>
        <v>-154.08548450000001</v>
      </c>
      <c r="R354">
        <f ca="1">IF(AND(ISNUMBER($R$855),$B$511=1),$R$855,HLOOKUP(INDIRECT(ADDRESS(2,COLUMN())),OFFSET($BN$2,0,0,ROW()-1,60),ROW()-1,FALSE))</f>
        <v>-124.5990638</v>
      </c>
      <c r="S354">
        <f ca="1">IF(AND(ISNUMBER($S$855),$B$511=1),$S$855,HLOOKUP(INDIRECT(ADDRESS(2,COLUMN())),OFFSET($BN$2,0,0,ROW()-1,60),ROW()-1,FALSE))</f>
        <v>-123.51230889999999</v>
      </c>
      <c r="T354">
        <f ca="1">IF(AND(ISNUMBER($T$855),$B$511=1),$T$855,HLOOKUP(INDIRECT(ADDRESS(2,COLUMN())),OFFSET($BN$2,0,0,ROW()-1,60),ROW()-1,FALSE))</f>
        <v>-50.174927259999997</v>
      </c>
      <c r="U354">
        <f ca="1">IF(AND(ISNUMBER($U$855),$B$511=1),$U$855,HLOOKUP(INDIRECT(ADDRESS(2,COLUMN())),OFFSET($BN$2,0,0,ROW()-1,60),ROW()-1,FALSE))</f>
        <v>-52.342393350000002</v>
      </c>
      <c r="V354">
        <f ca="1">IF(AND(ISNUMBER($V$855),$B$511=1),$V$855,HLOOKUP(INDIRECT(ADDRESS(2,COLUMN())),OFFSET($BN$2,0,0,ROW()-1,60),ROW()-1,FALSE))</f>
        <v>-27.326069260000001</v>
      </c>
      <c r="W354">
        <f ca="1">IF(AND(ISNUMBER($W$855),$B$511=1),$W$855,HLOOKUP(INDIRECT(ADDRESS(2,COLUMN())),OFFSET($BN$2,0,0,ROW()-1,60),ROW()-1,FALSE))</f>
        <v>-28.30559122</v>
      </c>
      <c r="X354">
        <f ca="1">IF(AND(ISNUMBER($X$855),$B$511=1),$X$855,HLOOKUP(INDIRECT(ADDRESS(2,COLUMN())),OFFSET($BN$2,0,0,ROW()-1,60),ROW()-1,FALSE))</f>
        <v>-29.2224854</v>
      </c>
      <c r="Y354">
        <f ca="1">IF(AND(ISNUMBER($Y$855),$B$511=1),$Y$855,HLOOKUP(INDIRECT(ADDRESS(2,COLUMN())),OFFSET($BN$2,0,0,ROW()-1,60),ROW()-1,FALSE))</f>
        <v>-29.590718030000001</v>
      </c>
      <c r="Z354">
        <f ca="1">IF(AND(ISNUMBER($Z$855),$B$511=1),$Z$855,HLOOKUP(INDIRECT(ADDRESS(2,COLUMN())),OFFSET($BN$2,0,0,ROW()-1,60),ROW()-1,FALSE))</f>
        <v>0</v>
      </c>
      <c r="AA354">
        <f ca="1">IF(AND(ISNUMBER($AA$855),$B$511=1),$AA$855,HLOOKUP(INDIRECT(ADDRESS(2,COLUMN())),OFFSET($BN$2,0,0,ROW()-1,60),ROW()-1,FALSE))</f>
        <v>0</v>
      </c>
      <c r="AB354">
        <f ca="1">IF(AND(ISNUMBER($AB$855),$B$511=1),$AB$855,HLOOKUP(INDIRECT(ADDRESS(2,COLUMN())),OFFSET($BN$2,0,0,ROW()-1,60),ROW()-1,FALSE))</f>
        <v>0</v>
      </c>
      <c r="AC354">
        <f ca="1">IF(AND(ISNUMBER($AC$855),$B$511=1),$AC$855,HLOOKUP(INDIRECT(ADDRESS(2,COLUMN())),OFFSET($BN$2,0,0,ROW()-1,60),ROW()-1,FALSE))</f>
        <v>0</v>
      </c>
      <c r="AD354">
        <f ca="1">IF(AND(ISNUMBER($AD$855),$B$511=1),$AD$855,HLOOKUP(INDIRECT(ADDRESS(2,COLUMN())),OFFSET($BN$2,0,0,ROW()-1,60),ROW()-1,FALSE))</f>
        <v>0</v>
      </c>
      <c r="AE354">
        <f ca="1">IF(AND(ISNUMBER($AE$855),$B$511=1),$AE$855,HLOOKUP(INDIRECT(ADDRESS(2,COLUMN())),OFFSET($BN$2,0,0,ROW()-1,60),ROW()-1,FALSE))</f>
        <v>0</v>
      </c>
      <c r="AF354">
        <f ca="1">IF(AND(ISNUMBER($AF$855),$B$511=1),$AF$855,HLOOKUP(INDIRECT(ADDRESS(2,COLUMN())),OFFSET($BN$2,0,0,ROW()-1,60),ROW()-1,FALSE))</f>
        <v>0</v>
      </c>
      <c r="AG354">
        <f ca="1">IF(AND(ISNUMBER($AG$855),$B$511=1),$AG$855,HLOOKUP(INDIRECT(ADDRESS(2,COLUMN())),OFFSET($BN$2,0,0,ROW()-1,60),ROW()-1,FALSE))</f>
        <v>0</v>
      </c>
      <c r="AH354">
        <f ca="1">IF(AND(ISNUMBER($AH$855),$B$511=1),$AH$855,HLOOKUP(INDIRECT(ADDRESS(2,COLUMN())),OFFSET($BN$2,0,0,ROW()-1,60),ROW()-1,FALSE))</f>
        <v>0</v>
      </c>
      <c r="AI354">
        <f ca="1">IF(AND(ISNUMBER($AI$855),$B$511=1),$AI$855,HLOOKUP(INDIRECT(ADDRESS(2,COLUMN())),OFFSET($BN$2,0,0,ROW()-1,60),ROW()-1,FALSE))</f>
        <v>0</v>
      </c>
      <c r="AJ354">
        <f ca="1">IF(AND(ISNUMBER($AJ$855),$B$511=1),$AJ$855,HLOOKUP(INDIRECT(ADDRESS(2,COLUMN())),OFFSET($BN$2,0,0,ROW()-1,60),ROW()-1,FALSE))</f>
        <v>0</v>
      </c>
      <c r="AK354">
        <f ca="1">IF(AND(ISNUMBER($AK$855),$B$511=1),$AK$855,HLOOKUP(INDIRECT(ADDRESS(2,COLUMN())),OFFSET($BN$2,0,0,ROW()-1,60),ROW()-1,FALSE))</f>
        <v>-3.0367041000000001</v>
      </c>
      <c r="AL354">
        <f ca="1">IF(AND(ISNUMBER($AL$855),$B$511=1),$AL$855,HLOOKUP(INDIRECT(ADDRESS(2,COLUMN())),OFFSET($BN$2,0,0,ROW()-1,60),ROW()-1,FALSE))</f>
        <v>-62.145372799999997</v>
      </c>
      <c r="AM354">
        <f ca="1">IF(AND(ISNUMBER($AM$855),$B$511=1),$AM$855,HLOOKUP(INDIRECT(ADDRESS(2,COLUMN())),OFFSET($BN$2,0,0,ROW()-1,60),ROW()-1,FALSE))</f>
        <v>-60.67103547</v>
      </c>
      <c r="AN354">
        <f ca="1">IF(AND(ISNUMBER($AN$855),$B$511=1),$AN$855,HLOOKUP(INDIRECT(ADDRESS(2,COLUMN())),OFFSET($BN$2,0,0,ROW()-1,60),ROW()-1,FALSE))</f>
        <v>-59.350458240000002</v>
      </c>
      <c r="AO354">
        <f ca="1">IF(AND(ISNUMBER($AO$855),$B$511=1),$AO$855,HLOOKUP(INDIRECT(ADDRESS(2,COLUMN())),OFFSET($BN$2,0,0,ROW()-1,60),ROW()-1,FALSE))</f>
        <v>-55.288563689999997</v>
      </c>
      <c r="AP354">
        <f ca="1">IF(AND(ISNUMBER($AP$855),$B$511=1),$AP$855,HLOOKUP(INDIRECT(ADDRESS(2,COLUMN())),OFFSET($BN$2,0,0,ROW()-1,60),ROW()-1,FALSE))</f>
        <v>0</v>
      </c>
      <c r="AQ354">
        <f ca="1">IF(AND(ISNUMBER($AQ$855),$B$511=1),$AQ$855,HLOOKUP(INDIRECT(ADDRESS(2,COLUMN())),OFFSET($BN$2,0,0,ROW()-1,60),ROW()-1,FALSE))</f>
        <v>0</v>
      </c>
      <c r="AR354">
        <f ca="1">IF(AND(ISNUMBER($AR$855),$B$511=1),$AR$855,HLOOKUP(INDIRECT(ADDRESS(2,COLUMN())),OFFSET($BN$2,0,0,ROW()-1,60),ROW()-1,FALSE))</f>
        <v>-44.463160600000002</v>
      </c>
      <c r="AS354">
        <f ca="1">IF(AND(ISNUMBER($AS$855),$B$511=1),$AS$855,HLOOKUP(INDIRECT(ADDRESS(2,COLUMN())),OFFSET($BN$2,0,0,ROW()-1,60),ROW()-1,FALSE))</f>
        <v>-45.214485320000001</v>
      </c>
      <c r="AT354">
        <f ca="1">IF(AND(ISNUMBER($AT$855),$B$511=1),$AT$855,HLOOKUP(INDIRECT(ADDRESS(2,COLUMN())),OFFSET($BN$2,0,0,ROW()-1,60),ROW()-1,FALSE))</f>
        <v>-84.460734689999995</v>
      </c>
      <c r="AU354" t="str">
        <f ca="1">IF(AND(ISNUMBER($AU$855),$B$511=1),$AU$855,HLOOKUP(INDIRECT(ADDRESS(2,COLUMN())),OFFSET($BN$2,0,0,ROW()-1,60),ROW()-1,FALSE))</f>
        <v/>
      </c>
      <c r="AV354" t="str">
        <f ca="1">IF(AND(ISNUMBER($AV$855),$B$511=1),$AV$855,HLOOKUP(INDIRECT(ADDRESS(2,COLUMN())),OFFSET($BN$2,0,0,ROW()-1,60),ROW()-1,FALSE))</f>
        <v/>
      </c>
      <c r="AW354" t="str">
        <f ca="1">IF(AND(ISNUMBER($AW$855),$B$511=1),$AW$855,HLOOKUP(INDIRECT(ADDRESS(2,COLUMN())),OFFSET($BN$2,0,0,ROW()-1,60),ROW()-1,FALSE))</f>
        <v/>
      </c>
      <c r="AX354" t="str">
        <f ca="1">IF(AND(ISNUMBER($AX$855),$B$511=1),$AX$855,HLOOKUP(INDIRECT(ADDRESS(2,COLUMN())),OFFSET($BN$2,0,0,ROW()-1,60),ROW()-1,FALSE))</f>
        <v/>
      </c>
      <c r="AY354" t="str">
        <f ca="1">IF(AND(ISNUMBER($AY$855),$B$511=1),$AY$855,HLOOKUP(INDIRECT(ADDRESS(2,COLUMN())),OFFSET($BN$2,0,0,ROW()-1,60),ROW()-1,FALSE))</f>
        <v/>
      </c>
      <c r="AZ354" t="str">
        <f ca="1">IF(AND(ISNUMBER($AZ$855),$B$511=1),$AZ$855,HLOOKUP(INDIRECT(ADDRESS(2,COLUMN())),OFFSET($BN$2,0,0,ROW()-1,60),ROW()-1,FALSE))</f>
        <v/>
      </c>
      <c r="BA354" t="str">
        <f ca="1">IF(AND(ISNUMBER($BA$855),$B$511=1),$BA$855,HLOOKUP(INDIRECT(ADDRESS(2,COLUMN())),OFFSET($BN$2,0,0,ROW()-1,60),ROW()-1,FALSE))</f>
        <v/>
      </c>
      <c r="BB354" t="str">
        <f ca="1">IF(AND(ISNUMBER($BB$855),$B$511=1),$BB$855,HLOOKUP(INDIRECT(ADDRESS(2,COLUMN())),OFFSET($BN$2,0,0,ROW()-1,60),ROW()-1,FALSE))</f>
        <v/>
      </c>
      <c r="BC354" t="str">
        <f ca="1">IF(AND(ISNUMBER($BC$855),$B$511=1),$BC$855,HLOOKUP(INDIRECT(ADDRESS(2,COLUMN())),OFFSET($BN$2,0,0,ROW()-1,60),ROW()-1,FALSE))</f>
        <v/>
      </c>
      <c r="BD354" t="str">
        <f ca="1">IF(AND(ISNUMBER($BD$855),$B$511=1),$BD$855,HLOOKUP(INDIRECT(ADDRESS(2,COLUMN())),OFFSET($BN$2,0,0,ROW()-1,60),ROW()-1,FALSE))</f>
        <v/>
      </c>
      <c r="BE354" t="str">
        <f ca="1">IF(AND(ISNUMBER($BE$855),$B$511=1),$BE$855,HLOOKUP(INDIRECT(ADDRESS(2,COLUMN())),OFFSET($BN$2,0,0,ROW()-1,60),ROW()-1,FALSE))</f>
        <v/>
      </c>
      <c r="BF354" t="str">
        <f ca="1">IF(AND(ISNUMBER($BF$855),$B$511=1),$BF$855,HLOOKUP(INDIRECT(ADDRESS(2,COLUMN())),OFFSET($BN$2,0,0,ROW()-1,60),ROW()-1,FALSE))</f>
        <v/>
      </c>
      <c r="BG354" t="str">
        <f ca="1">IF(AND(ISNUMBER($BG$855),$B$511=1),$BG$855,HLOOKUP(INDIRECT(ADDRESS(2,COLUMN())),OFFSET($BN$2,0,0,ROW()-1,60),ROW()-1,FALSE))</f>
        <v/>
      </c>
      <c r="BH354" t="str">
        <f ca="1">IF(AND(ISNUMBER($BH$855),$B$511=1),$BH$855,HLOOKUP(INDIRECT(ADDRESS(2,COLUMN())),OFFSET($BN$2,0,0,ROW()-1,60),ROW()-1,FALSE))</f>
        <v/>
      </c>
      <c r="BI354" t="str">
        <f ca="1">IF(AND(ISNUMBER($BI$855),$B$511=1),$BI$855,HLOOKUP(INDIRECT(ADDRESS(2,COLUMN())),OFFSET($BN$2,0,0,ROW()-1,60),ROW()-1,FALSE))</f>
        <v/>
      </c>
      <c r="BJ354" t="str">
        <f ca="1">IF(AND(ISNUMBER($BJ$855),$B$511=1),$BJ$855,HLOOKUP(INDIRECT(ADDRESS(2,COLUMN())),OFFSET($BN$2,0,0,ROW()-1,60),ROW()-1,FALSE))</f>
        <v/>
      </c>
      <c r="BK354" t="str">
        <f ca="1">IF(AND(ISNUMBER($BK$855),$B$511=1),$BK$855,HLOOKUP(INDIRECT(ADDRESS(2,COLUMN())),OFFSET($BN$2,0,0,ROW()-1,60),ROW()-1,FALSE))</f>
        <v/>
      </c>
      <c r="BL354" t="str">
        <f ca="1">IF(AND(ISNUMBER($BL$855),$B$511=1),$BL$855,HLOOKUP(INDIRECT(ADDRESS(2,COLUMN())),OFFSET($BN$2,0,0,ROW()-1,60),ROW()-1,FALSE))</f>
        <v/>
      </c>
      <c r="BM354" t="str">
        <f ca="1">IF(AND(ISNUMBER($BM$855),$B$511=1),$BM$855,HLOOKUP(INDIRECT(ADDRESS(2,COLUMN())),OFFSET($BN$2,0,0,ROW()-1,60),ROW()-1,FALSE))</f>
        <v/>
      </c>
      <c r="BN354" t="str">
        <f>""</f>
        <v/>
      </c>
      <c r="BO354">
        <f>-199.6738104</f>
        <v>-199.67381040000001</v>
      </c>
      <c r="BP354">
        <f>-195.2865999</f>
        <v>-195.2865999</v>
      </c>
      <c r="BQ354">
        <f>-195.5193696</f>
        <v>-195.5193696</v>
      </c>
      <c r="BR354">
        <f>-188.8564945</f>
        <v>-188.8564945</v>
      </c>
      <c r="BS354">
        <f>-186.6122684</f>
        <v>-186.6122684</v>
      </c>
      <c r="BT354">
        <f>-188.1369599</f>
        <v>-188.13695989999999</v>
      </c>
      <c r="BU354">
        <f>-192.1548709</f>
        <v>-192.15487089999999</v>
      </c>
      <c r="BV354">
        <f>-165.9069515</f>
        <v>-165.90695149999999</v>
      </c>
      <c r="BW354">
        <f>-165.3633219</f>
        <v>-165.36332189999999</v>
      </c>
      <c r="BX354">
        <f>-161.2399576</f>
        <v>-161.2399576</v>
      </c>
      <c r="BY354">
        <f>-154.0854845</f>
        <v>-154.08548450000001</v>
      </c>
      <c r="BZ354">
        <f>-124.5990638</f>
        <v>-124.5990638</v>
      </c>
      <c r="CA354">
        <f>-123.5123089</f>
        <v>-123.51230889999999</v>
      </c>
      <c r="CB354">
        <f>-50.17492726</f>
        <v>-50.174927259999997</v>
      </c>
      <c r="CC354">
        <f>-52.34239335</f>
        <v>-52.342393350000002</v>
      </c>
      <c r="CD354">
        <f>-27.32606926</f>
        <v>-27.326069260000001</v>
      </c>
      <c r="CE354">
        <f>-28.30559122</f>
        <v>-28.30559122</v>
      </c>
      <c r="CF354">
        <f>-29.2224854</f>
        <v>-29.2224854</v>
      </c>
      <c r="CG354">
        <f>-29.59071803</f>
        <v>-29.590718030000001</v>
      </c>
      <c r="CH354">
        <f>0</f>
        <v>0</v>
      </c>
      <c r="CI354">
        <f>0</f>
        <v>0</v>
      </c>
      <c r="CJ354">
        <f>0</f>
        <v>0</v>
      </c>
      <c r="CK354">
        <f>0</f>
        <v>0</v>
      </c>
      <c r="CL354">
        <f>0</f>
        <v>0</v>
      </c>
      <c r="CM354">
        <f>0</f>
        <v>0</v>
      </c>
      <c r="CN354">
        <f>0</f>
        <v>0</v>
      </c>
      <c r="CO354">
        <f>0</f>
        <v>0</v>
      </c>
      <c r="CP354">
        <f>0</f>
        <v>0</v>
      </c>
      <c r="CQ354">
        <f>0</f>
        <v>0</v>
      </c>
      <c r="CR354">
        <f>0</f>
        <v>0</v>
      </c>
      <c r="CS354">
        <f>-3.0367041</f>
        <v>-3.0367041000000001</v>
      </c>
      <c r="CT354">
        <f>-62.1453728</f>
        <v>-62.145372799999997</v>
      </c>
      <c r="CU354">
        <f>-60.67103547</f>
        <v>-60.67103547</v>
      </c>
      <c r="CV354">
        <f>-59.35045824</f>
        <v>-59.350458240000002</v>
      </c>
      <c r="CW354">
        <f>-55.28856369</f>
        <v>-55.288563689999997</v>
      </c>
      <c r="CX354">
        <f>0</f>
        <v>0</v>
      </c>
      <c r="CY354">
        <f>0</f>
        <v>0</v>
      </c>
      <c r="CZ354">
        <f>-44.4631606</f>
        <v>-44.463160600000002</v>
      </c>
      <c r="DA354">
        <f>-45.21448532</f>
        <v>-45.214485320000001</v>
      </c>
      <c r="DB354">
        <f>-84.46073469</f>
        <v>-84.460734689999995</v>
      </c>
      <c r="DC354" t="str">
        <f>""</f>
        <v/>
      </c>
      <c r="DD354" t="str">
        <f>""</f>
        <v/>
      </c>
      <c r="DE354" t="str">
        <f>""</f>
        <v/>
      </c>
      <c r="DF354" t="str">
        <f>""</f>
        <v/>
      </c>
      <c r="DG354" t="str">
        <f>""</f>
        <v/>
      </c>
      <c r="DH354" t="str">
        <f>""</f>
        <v/>
      </c>
      <c r="DI354" t="str">
        <f>""</f>
        <v/>
      </c>
      <c r="DJ354" t="str">
        <f>""</f>
        <v/>
      </c>
      <c r="DK354" t="str">
        <f>""</f>
        <v/>
      </c>
      <c r="DL354" t="str">
        <f>""</f>
        <v/>
      </c>
      <c r="DM354" t="str">
        <f>""</f>
        <v/>
      </c>
      <c r="DN354" t="str">
        <f>""</f>
        <v/>
      </c>
      <c r="DO354" t="str">
        <f>""</f>
        <v/>
      </c>
      <c r="DP354" t="str">
        <f>""</f>
        <v/>
      </c>
      <c r="DQ354" t="str">
        <f>""</f>
        <v/>
      </c>
      <c r="DR354" t="str">
        <f>""</f>
        <v/>
      </c>
      <c r="DS354" t="str">
        <f>""</f>
        <v/>
      </c>
      <c r="DT354" t="str">
        <f>""</f>
        <v/>
      </c>
      <c r="DU354" t="str">
        <f>""</f>
        <v/>
      </c>
    </row>
    <row r="355" spans="1:125" x14ac:dyDescent="0.25">
      <c r="A355" t="str">
        <f>"    Mitsubishi Motors Corp"</f>
        <v xml:space="preserve">    Mitsubishi Motors Corp</v>
      </c>
      <c r="B355" t="str">
        <f>"7211 JP Equity"</f>
        <v>7211 JP Equity</v>
      </c>
      <c r="C355" t="str">
        <f t="shared" si="24"/>
        <v>RX530</v>
      </c>
      <c r="D355" t="str">
        <f t="shared" si="25"/>
        <v>T12M_DVDS_PAID</v>
      </c>
      <c r="E355" t="str">
        <f t="shared" si="26"/>
        <v>Dynamic</v>
      </c>
      <c r="F355" t="str">
        <f ca="1">IF(AND(ISNUMBER($F$856),$B$511=1),$F$856,HLOOKUP(INDIRECT(ADDRESS(2,COLUMN())),OFFSET($BN$2,0,0,ROW()-1,60),ROW()-1,FALSE))</f>
        <v/>
      </c>
      <c r="G355" t="str">
        <f ca="1">IF(AND(ISNUMBER($G$856),$B$511=1),$G$856,HLOOKUP(INDIRECT(ADDRESS(2,COLUMN())),OFFSET($BN$2,0,0,ROW()-1,60),ROW()-1,FALSE))</f>
        <v/>
      </c>
      <c r="H355" t="str">
        <f ca="1">IF(AND(ISNUMBER($H$856),$B$511=1),$H$856,HLOOKUP(INDIRECT(ADDRESS(2,COLUMN())),OFFSET($BN$2,0,0,ROW()-1,60),ROW()-1,FALSE))</f>
        <v/>
      </c>
      <c r="I355" t="str">
        <f ca="1">IF(AND(ISNUMBER($I$856),$B$511=1),$I$856,HLOOKUP(INDIRECT(ADDRESS(2,COLUMN())),OFFSET($BN$2,0,0,ROW()-1,60),ROW()-1,FALSE))</f>
        <v/>
      </c>
      <c r="J355" t="str">
        <f ca="1">IF(AND(ISNUMBER($J$856),$B$511=1),$J$856,HLOOKUP(INDIRECT(ADDRESS(2,COLUMN())),OFFSET($BN$2,0,0,ROW()-1,60),ROW()-1,FALSE))</f>
        <v/>
      </c>
      <c r="K355" t="str">
        <f ca="1">IF(AND(ISNUMBER($K$856),$B$511=1),$K$856,HLOOKUP(INDIRECT(ADDRESS(2,COLUMN())),OFFSET($BN$2,0,0,ROW()-1,60),ROW()-1,FALSE))</f>
        <v/>
      </c>
      <c r="L355" t="str">
        <f ca="1">IF(AND(ISNUMBER($L$856),$B$511=1),$L$856,HLOOKUP(INDIRECT(ADDRESS(2,COLUMN())),OFFSET($BN$2,0,0,ROW()-1,60),ROW()-1,FALSE))</f>
        <v/>
      </c>
      <c r="M355" t="str">
        <f ca="1">IF(AND(ISNUMBER($M$856),$B$511=1),$M$856,HLOOKUP(INDIRECT(ADDRESS(2,COLUMN())),OFFSET($BN$2,0,0,ROW()-1,60),ROW()-1,FALSE))</f>
        <v/>
      </c>
      <c r="N355" t="str">
        <f ca="1">IF(AND(ISNUMBER($N$856),$B$511=1),$N$856,HLOOKUP(INDIRECT(ADDRESS(2,COLUMN())),OFFSET($BN$2,0,0,ROW()-1,60),ROW()-1,FALSE))</f>
        <v/>
      </c>
      <c r="O355" t="str">
        <f ca="1">IF(AND(ISNUMBER($O$856),$B$511=1),$O$856,HLOOKUP(INDIRECT(ADDRESS(2,COLUMN())),OFFSET($BN$2,0,0,ROW()-1,60),ROW()-1,FALSE))</f>
        <v/>
      </c>
      <c r="P355" t="str">
        <f ca="1">IF(AND(ISNUMBER($P$856),$B$511=1),$P$856,HLOOKUP(INDIRECT(ADDRESS(2,COLUMN())),OFFSET($BN$2,0,0,ROW()-1,60),ROW()-1,FALSE))</f>
        <v/>
      </c>
      <c r="Q355" t="str">
        <f ca="1">IF(AND(ISNUMBER($Q$856),$B$511=1),$Q$856,HLOOKUP(INDIRECT(ADDRESS(2,COLUMN())),OFFSET($BN$2,0,0,ROW()-1,60),ROW()-1,FALSE))</f>
        <v/>
      </c>
      <c r="R355" t="str">
        <f ca="1">IF(AND(ISNUMBER($R$856),$B$511=1),$R$856,HLOOKUP(INDIRECT(ADDRESS(2,COLUMN())),OFFSET($BN$2,0,0,ROW()-1,60),ROW()-1,FALSE))</f>
        <v/>
      </c>
      <c r="S355" t="str">
        <f ca="1">IF(AND(ISNUMBER($S$856),$B$511=1),$S$856,HLOOKUP(INDIRECT(ADDRESS(2,COLUMN())),OFFSET($BN$2,0,0,ROW()-1,60),ROW()-1,FALSE))</f>
        <v/>
      </c>
      <c r="T355" t="str">
        <f ca="1">IF(AND(ISNUMBER($T$856),$B$511=1),$T$856,HLOOKUP(INDIRECT(ADDRESS(2,COLUMN())),OFFSET($BN$2,0,0,ROW()-1,60),ROW()-1,FALSE))</f>
        <v/>
      </c>
      <c r="U355" t="str">
        <f ca="1">IF(AND(ISNUMBER($U$856),$B$511=1),$U$856,HLOOKUP(INDIRECT(ADDRESS(2,COLUMN())),OFFSET($BN$2,0,0,ROW()-1,60),ROW()-1,FALSE))</f>
        <v/>
      </c>
      <c r="V355" t="str">
        <f ca="1">IF(AND(ISNUMBER($V$856),$B$511=1),$V$856,HLOOKUP(INDIRECT(ADDRESS(2,COLUMN())),OFFSET($BN$2,0,0,ROW()-1,60),ROW()-1,FALSE))</f>
        <v/>
      </c>
      <c r="W355" t="str">
        <f ca="1">IF(AND(ISNUMBER($W$856),$B$511=1),$W$856,HLOOKUP(INDIRECT(ADDRESS(2,COLUMN())),OFFSET($BN$2,0,0,ROW()-1,60),ROW()-1,FALSE))</f>
        <v/>
      </c>
      <c r="X355" t="str">
        <f ca="1">IF(AND(ISNUMBER($X$856),$B$511=1),$X$856,HLOOKUP(INDIRECT(ADDRESS(2,COLUMN())),OFFSET($BN$2,0,0,ROW()-1,60),ROW()-1,FALSE))</f>
        <v/>
      </c>
      <c r="Y355" t="str">
        <f ca="1">IF(AND(ISNUMBER($Y$856),$B$511=1),$Y$856,HLOOKUP(INDIRECT(ADDRESS(2,COLUMN())),OFFSET($BN$2,0,0,ROW()-1,60),ROW()-1,FALSE))</f>
        <v/>
      </c>
      <c r="Z355" t="str">
        <f ca="1">IF(AND(ISNUMBER($Z$856),$B$511=1),$Z$856,HLOOKUP(INDIRECT(ADDRESS(2,COLUMN())),OFFSET($BN$2,0,0,ROW()-1,60),ROW()-1,FALSE))</f>
        <v/>
      </c>
      <c r="AA355" t="str">
        <f ca="1">IF(AND(ISNUMBER($AA$856),$B$511=1),$AA$856,HLOOKUP(INDIRECT(ADDRESS(2,COLUMN())),OFFSET($BN$2,0,0,ROW()-1,60),ROW()-1,FALSE))</f>
        <v/>
      </c>
      <c r="AB355" t="str">
        <f ca="1">IF(AND(ISNUMBER($AB$856),$B$511=1),$AB$856,HLOOKUP(INDIRECT(ADDRESS(2,COLUMN())),OFFSET($BN$2,0,0,ROW()-1,60),ROW()-1,FALSE))</f>
        <v/>
      </c>
      <c r="AC355" t="str">
        <f ca="1">IF(AND(ISNUMBER($AC$856),$B$511=1),$AC$856,HLOOKUP(INDIRECT(ADDRESS(2,COLUMN())),OFFSET($BN$2,0,0,ROW()-1,60),ROW()-1,FALSE))</f>
        <v/>
      </c>
      <c r="AD355" t="str">
        <f ca="1">IF(AND(ISNUMBER($AD$856),$B$511=1),$AD$856,HLOOKUP(INDIRECT(ADDRESS(2,COLUMN())),OFFSET($BN$2,0,0,ROW()-1,60),ROW()-1,FALSE))</f>
        <v/>
      </c>
      <c r="AE355" t="str">
        <f ca="1">IF(AND(ISNUMBER($AE$856),$B$511=1),$AE$856,HLOOKUP(INDIRECT(ADDRESS(2,COLUMN())),OFFSET($BN$2,0,0,ROW()-1,60),ROW()-1,FALSE))</f>
        <v/>
      </c>
      <c r="AF355" t="str">
        <f ca="1">IF(AND(ISNUMBER($AF$856),$B$511=1),$AF$856,HLOOKUP(INDIRECT(ADDRESS(2,COLUMN())),OFFSET($BN$2,0,0,ROW()-1,60),ROW()-1,FALSE))</f>
        <v/>
      </c>
      <c r="AG355" t="str">
        <f ca="1">IF(AND(ISNUMBER($AG$856),$B$511=1),$AG$856,HLOOKUP(INDIRECT(ADDRESS(2,COLUMN())),OFFSET($BN$2,0,0,ROW()-1,60),ROW()-1,FALSE))</f>
        <v/>
      </c>
      <c r="AH355" t="str">
        <f ca="1">IF(AND(ISNUMBER($AH$856),$B$511=1),$AH$856,HLOOKUP(INDIRECT(ADDRESS(2,COLUMN())),OFFSET($BN$2,0,0,ROW()-1,60),ROW()-1,FALSE))</f>
        <v/>
      </c>
      <c r="AI355" t="str">
        <f ca="1">IF(AND(ISNUMBER($AI$856),$B$511=1),$AI$856,HLOOKUP(INDIRECT(ADDRESS(2,COLUMN())),OFFSET($BN$2,0,0,ROW()-1,60),ROW()-1,FALSE))</f>
        <v/>
      </c>
      <c r="AJ355" t="str">
        <f ca="1">IF(AND(ISNUMBER($AJ$856),$B$511=1),$AJ$856,HLOOKUP(INDIRECT(ADDRESS(2,COLUMN())),OFFSET($BN$2,0,0,ROW()-1,60),ROW()-1,FALSE))</f>
        <v/>
      </c>
      <c r="AK355" t="str">
        <f ca="1">IF(AND(ISNUMBER($AK$856),$B$511=1),$AK$856,HLOOKUP(INDIRECT(ADDRESS(2,COLUMN())),OFFSET($BN$2,0,0,ROW()-1,60),ROW()-1,FALSE))</f>
        <v/>
      </c>
      <c r="AL355">
        <f ca="1">IF(AND(ISNUMBER($AL$856),$B$511=1),$AL$856,HLOOKUP(INDIRECT(ADDRESS(2,COLUMN())),OFFSET($BN$2,0,0,ROW()-1,60),ROW()-1,FALSE))</f>
        <v>0</v>
      </c>
      <c r="AM355">
        <f ca="1">IF(AND(ISNUMBER($AM$856),$B$511=1),$AM$856,HLOOKUP(INDIRECT(ADDRESS(2,COLUMN())),OFFSET($BN$2,0,0,ROW()-1,60),ROW()-1,FALSE))</f>
        <v>0</v>
      </c>
      <c r="AN355">
        <f ca="1">IF(AND(ISNUMBER($AN$856),$B$511=1),$AN$856,HLOOKUP(INDIRECT(ADDRESS(2,COLUMN())),OFFSET($BN$2,0,0,ROW()-1,60),ROW()-1,FALSE))</f>
        <v>0</v>
      </c>
      <c r="AO355">
        <f ca="1">IF(AND(ISNUMBER($AO$856),$B$511=1),$AO$856,HLOOKUP(INDIRECT(ADDRESS(2,COLUMN())),OFFSET($BN$2,0,0,ROW()-1,60),ROW()-1,FALSE))</f>
        <v>0</v>
      </c>
      <c r="AP355">
        <f ca="1">IF(AND(ISNUMBER($AP$856),$B$511=1),$AP$856,HLOOKUP(INDIRECT(ADDRESS(2,COLUMN())),OFFSET($BN$2,0,0,ROW()-1,60),ROW()-1,FALSE))</f>
        <v>0</v>
      </c>
      <c r="AQ355">
        <f ca="1">IF(AND(ISNUMBER($AQ$856),$B$511=1),$AQ$856,HLOOKUP(INDIRECT(ADDRESS(2,COLUMN())),OFFSET($BN$2,0,0,ROW()-1,60),ROW()-1,FALSE))</f>
        <v>0</v>
      </c>
      <c r="AR355">
        <f ca="1">IF(AND(ISNUMBER($AR$856),$B$511=1),$AR$856,HLOOKUP(INDIRECT(ADDRESS(2,COLUMN())),OFFSET($BN$2,0,0,ROW()-1,60),ROW()-1,FALSE))</f>
        <v>0</v>
      </c>
      <c r="AS355">
        <f ca="1">IF(AND(ISNUMBER($AS$856),$B$511=1),$AS$856,HLOOKUP(INDIRECT(ADDRESS(2,COLUMN())),OFFSET($BN$2,0,0,ROW()-1,60),ROW()-1,FALSE))</f>
        <v>0</v>
      </c>
      <c r="AT355">
        <f ca="1">IF(AND(ISNUMBER($AT$856),$B$511=1),$AT$856,HLOOKUP(INDIRECT(ADDRESS(2,COLUMN())),OFFSET($BN$2,0,0,ROW()-1,60),ROW()-1,FALSE))</f>
        <v>0</v>
      </c>
      <c r="AU355" t="str">
        <f ca="1">IF(AND(ISNUMBER($AU$856),$B$511=1),$AU$856,HLOOKUP(INDIRECT(ADDRESS(2,COLUMN())),OFFSET($BN$2,0,0,ROW()-1,60),ROW()-1,FALSE))</f>
        <v/>
      </c>
      <c r="AV355" t="str">
        <f ca="1">IF(AND(ISNUMBER($AV$856),$B$511=1),$AV$856,HLOOKUP(INDIRECT(ADDRESS(2,COLUMN())),OFFSET($BN$2,0,0,ROW()-1,60),ROW()-1,FALSE))</f>
        <v/>
      </c>
      <c r="AW355" t="str">
        <f ca="1">IF(AND(ISNUMBER($AW$856),$B$511=1),$AW$856,HLOOKUP(INDIRECT(ADDRESS(2,COLUMN())),OFFSET($BN$2,0,0,ROW()-1,60),ROW()-1,FALSE))</f>
        <v/>
      </c>
      <c r="AX355" t="str">
        <f ca="1">IF(AND(ISNUMBER($AX$856),$B$511=1),$AX$856,HLOOKUP(INDIRECT(ADDRESS(2,COLUMN())),OFFSET($BN$2,0,0,ROW()-1,60),ROW()-1,FALSE))</f>
        <v/>
      </c>
      <c r="AY355" t="str">
        <f ca="1">IF(AND(ISNUMBER($AY$856),$B$511=1),$AY$856,HLOOKUP(INDIRECT(ADDRESS(2,COLUMN())),OFFSET($BN$2,0,0,ROW()-1,60),ROW()-1,FALSE))</f>
        <v/>
      </c>
      <c r="AZ355" t="str">
        <f ca="1">IF(AND(ISNUMBER($AZ$856),$B$511=1),$AZ$856,HLOOKUP(INDIRECT(ADDRESS(2,COLUMN())),OFFSET($BN$2,0,0,ROW()-1,60),ROW()-1,FALSE))</f>
        <v/>
      </c>
      <c r="BA355" t="str">
        <f ca="1">IF(AND(ISNUMBER($BA$856),$B$511=1),$BA$856,HLOOKUP(INDIRECT(ADDRESS(2,COLUMN())),OFFSET($BN$2,0,0,ROW()-1,60),ROW()-1,FALSE))</f>
        <v/>
      </c>
      <c r="BB355" t="str">
        <f ca="1">IF(AND(ISNUMBER($BB$856),$B$511=1),$BB$856,HLOOKUP(INDIRECT(ADDRESS(2,COLUMN())),OFFSET($BN$2,0,0,ROW()-1,60),ROW()-1,FALSE))</f>
        <v/>
      </c>
      <c r="BC355" t="str">
        <f ca="1">IF(AND(ISNUMBER($BC$856),$B$511=1),$BC$856,HLOOKUP(INDIRECT(ADDRESS(2,COLUMN())),OFFSET($BN$2,0,0,ROW()-1,60),ROW()-1,FALSE))</f>
        <v/>
      </c>
      <c r="BD355" t="str">
        <f ca="1">IF(AND(ISNUMBER($BD$856),$B$511=1),$BD$856,HLOOKUP(INDIRECT(ADDRESS(2,COLUMN())),OFFSET($BN$2,0,0,ROW()-1,60),ROW()-1,FALSE))</f>
        <v/>
      </c>
      <c r="BE355" t="str">
        <f ca="1">IF(AND(ISNUMBER($BE$856),$B$511=1),$BE$856,HLOOKUP(INDIRECT(ADDRESS(2,COLUMN())),OFFSET($BN$2,0,0,ROW()-1,60),ROW()-1,FALSE))</f>
        <v/>
      </c>
      <c r="BF355" t="str">
        <f ca="1">IF(AND(ISNUMBER($BF$856),$B$511=1),$BF$856,HLOOKUP(INDIRECT(ADDRESS(2,COLUMN())),OFFSET($BN$2,0,0,ROW()-1,60),ROW()-1,FALSE))</f>
        <v/>
      </c>
      <c r="BG355" t="str">
        <f ca="1">IF(AND(ISNUMBER($BG$856),$B$511=1),$BG$856,HLOOKUP(INDIRECT(ADDRESS(2,COLUMN())),OFFSET($BN$2,0,0,ROW()-1,60),ROW()-1,FALSE))</f>
        <v/>
      </c>
      <c r="BH355" t="str">
        <f ca="1">IF(AND(ISNUMBER($BH$856),$B$511=1),$BH$856,HLOOKUP(INDIRECT(ADDRESS(2,COLUMN())),OFFSET($BN$2,0,0,ROW()-1,60),ROW()-1,FALSE))</f>
        <v/>
      </c>
      <c r="BI355" t="str">
        <f ca="1">IF(AND(ISNUMBER($BI$856),$B$511=1),$BI$856,HLOOKUP(INDIRECT(ADDRESS(2,COLUMN())),OFFSET($BN$2,0,0,ROW()-1,60),ROW()-1,FALSE))</f>
        <v/>
      </c>
      <c r="BJ355" t="str">
        <f ca="1">IF(AND(ISNUMBER($BJ$856),$B$511=1),$BJ$856,HLOOKUP(INDIRECT(ADDRESS(2,COLUMN())),OFFSET($BN$2,0,0,ROW()-1,60),ROW()-1,FALSE))</f>
        <v/>
      </c>
      <c r="BK355" t="str">
        <f ca="1">IF(AND(ISNUMBER($BK$856),$B$511=1),$BK$856,HLOOKUP(INDIRECT(ADDRESS(2,COLUMN())),OFFSET($BN$2,0,0,ROW()-1,60),ROW()-1,FALSE))</f>
        <v/>
      </c>
      <c r="BL355" t="str">
        <f ca="1">IF(AND(ISNUMBER($BL$856),$B$511=1),$BL$856,HLOOKUP(INDIRECT(ADDRESS(2,COLUMN())),OFFSET($BN$2,0,0,ROW()-1,60),ROW()-1,FALSE))</f>
        <v/>
      </c>
      <c r="BM355" t="str">
        <f ca="1">IF(AND(ISNUMBER($BM$856),$B$511=1),$BM$856,HLOOKUP(INDIRECT(ADDRESS(2,COLUMN())),OFFSET($BN$2,0,0,ROW()-1,60),ROW()-1,FALSE))</f>
        <v/>
      </c>
      <c r="BN355" t="str">
        <f>""</f>
        <v/>
      </c>
      <c r="BO355" t="str">
        <f>""</f>
        <v/>
      </c>
      <c r="BP355" t="str">
        <f>""</f>
        <v/>
      </c>
      <c r="BQ355" t="str">
        <f>""</f>
        <v/>
      </c>
      <c r="BR355" t="str">
        <f>""</f>
        <v/>
      </c>
      <c r="BS355" t="str">
        <f>""</f>
        <v/>
      </c>
      <c r="BT355" t="str">
        <f>""</f>
        <v/>
      </c>
      <c r="BU355" t="str">
        <f>""</f>
        <v/>
      </c>
      <c r="BV355" t="str">
        <f>""</f>
        <v/>
      </c>
      <c r="BW355" t="str">
        <f>""</f>
        <v/>
      </c>
      <c r="BX355" t="str">
        <f>""</f>
        <v/>
      </c>
      <c r="BY355" t="str">
        <f>""</f>
        <v/>
      </c>
      <c r="BZ355" t="str">
        <f>""</f>
        <v/>
      </c>
      <c r="CA355" t="str">
        <f>""</f>
        <v/>
      </c>
      <c r="CB355" t="str">
        <f>""</f>
        <v/>
      </c>
      <c r="CC355" t="str">
        <f>""</f>
        <v/>
      </c>
      <c r="CD355" t="str">
        <f>""</f>
        <v/>
      </c>
      <c r="CE355" t="str">
        <f>""</f>
        <v/>
      </c>
      <c r="CF355" t="str">
        <f>""</f>
        <v/>
      </c>
      <c r="CG355" t="str">
        <f>""</f>
        <v/>
      </c>
      <c r="CH355" t="str">
        <f>""</f>
        <v/>
      </c>
      <c r="CI355" t="str">
        <f>""</f>
        <v/>
      </c>
      <c r="CJ355" t="str">
        <f>""</f>
        <v/>
      </c>
      <c r="CK355" t="str">
        <f>""</f>
        <v/>
      </c>
      <c r="CL355" t="str">
        <f>""</f>
        <v/>
      </c>
      <c r="CM355" t="str">
        <f>""</f>
        <v/>
      </c>
      <c r="CN355" t="str">
        <f>""</f>
        <v/>
      </c>
      <c r="CO355" t="str">
        <f>""</f>
        <v/>
      </c>
      <c r="CP355" t="str">
        <f>""</f>
        <v/>
      </c>
      <c r="CQ355" t="str">
        <f>""</f>
        <v/>
      </c>
      <c r="CR355" t="str">
        <f>""</f>
        <v/>
      </c>
      <c r="CS355" t="str">
        <f>""</f>
        <v/>
      </c>
      <c r="CT355">
        <f>0</f>
        <v>0</v>
      </c>
      <c r="CU355">
        <f>0</f>
        <v>0</v>
      </c>
      <c r="CV355">
        <f>0</f>
        <v>0</v>
      </c>
      <c r="CW355">
        <f>0</f>
        <v>0</v>
      </c>
      <c r="CX355">
        <f>0</f>
        <v>0</v>
      </c>
      <c r="CY355">
        <f>0</f>
        <v>0</v>
      </c>
      <c r="CZ355">
        <f>0</f>
        <v>0</v>
      </c>
      <c r="DA355">
        <f>0</f>
        <v>0</v>
      </c>
      <c r="DB355">
        <f>0</f>
        <v>0</v>
      </c>
      <c r="DC355" t="str">
        <f>""</f>
        <v/>
      </c>
      <c r="DD355" t="str">
        <f>""</f>
        <v/>
      </c>
      <c r="DE355" t="str">
        <f>""</f>
        <v/>
      </c>
      <c r="DF355" t="str">
        <f>""</f>
        <v/>
      </c>
      <c r="DG355" t="str">
        <f>""</f>
        <v/>
      </c>
      <c r="DH355" t="str">
        <f>""</f>
        <v/>
      </c>
      <c r="DI355" t="str">
        <f>""</f>
        <v/>
      </c>
      <c r="DJ355" t="str">
        <f>""</f>
        <v/>
      </c>
      <c r="DK355" t="str">
        <f>""</f>
        <v/>
      </c>
      <c r="DL355" t="str">
        <f>""</f>
        <v/>
      </c>
      <c r="DM355" t="str">
        <f>""</f>
        <v/>
      </c>
      <c r="DN355" t="str">
        <f>""</f>
        <v/>
      </c>
      <c r="DO355" t="str">
        <f>""</f>
        <v/>
      </c>
      <c r="DP355" t="str">
        <f>""</f>
        <v/>
      </c>
      <c r="DQ355" t="str">
        <f>""</f>
        <v/>
      </c>
      <c r="DR355" t="str">
        <f>""</f>
        <v/>
      </c>
      <c r="DS355" t="str">
        <f>""</f>
        <v/>
      </c>
      <c r="DT355" t="str">
        <f>""</f>
        <v/>
      </c>
      <c r="DU355" t="str">
        <f>""</f>
        <v/>
      </c>
    </row>
    <row r="356" spans="1:125" x14ac:dyDescent="0.25">
      <c r="A356" t="str">
        <f>"    Nissan Motor Co Ltd"</f>
        <v xml:space="preserve">    Nissan Motor Co Ltd</v>
      </c>
      <c r="B356" t="str">
        <f>"7201 JP Equity"</f>
        <v>7201 JP Equity</v>
      </c>
      <c r="C356" t="str">
        <f t="shared" si="24"/>
        <v>RX530</v>
      </c>
      <c r="D356" t="str">
        <f t="shared" si="25"/>
        <v>T12M_DVDS_PAID</v>
      </c>
      <c r="E356" t="str">
        <f t="shared" si="26"/>
        <v>Dynamic</v>
      </c>
      <c r="F356" t="str">
        <f ca="1">IF(AND(ISNUMBER($F$857),$B$511=1),$F$857,HLOOKUP(INDIRECT(ADDRESS(2,COLUMN())),OFFSET($BN$2,0,0,ROW()-1,60),ROW()-1,FALSE))</f>
        <v/>
      </c>
      <c r="G356">
        <f ca="1">IF(AND(ISNUMBER($G$857),$B$511=1),$G$857,HLOOKUP(INDIRECT(ADDRESS(2,COLUMN())),OFFSET($BN$2,0,0,ROW()-1,60),ROW()-1,FALSE))</f>
        <v>-1948.55441</v>
      </c>
      <c r="H356">
        <f ca="1">IF(AND(ISNUMBER($H$857),$B$511=1),$H$857,HLOOKUP(INDIRECT(ADDRESS(2,COLUMN())),OFFSET($BN$2,0,0,ROW()-1,60),ROW()-1,FALSE))</f>
        <v>-1877.2890070000001</v>
      </c>
      <c r="I356">
        <f ca="1">IF(AND(ISNUMBER($I$857),$B$511=1),$I$857,HLOOKUP(INDIRECT(ADDRESS(2,COLUMN())),OFFSET($BN$2,0,0,ROW()-1,60),ROW()-1,FALSE))</f>
        <v>-1879.526621</v>
      </c>
      <c r="J356">
        <f ca="1">IF(AND(ISNUMBER($J$857),$B$511=1),$J$857,HLOOKUP(INDIRECT(ADDRESS(2,COLUMN())),OFFSET($BN$2,0,0,ROW()-1,60),ROW()-1,FALSE))</f>
        <v>-1782.9717439999999</v>
      </c>
      <c r="K356">
        <f ca="1">IF(AND(ISNUMBER($K$857),$B$511=1),$K$857,HLOOKUP(INDIRECT(ADDRESS(2,COLUMN())),OFFSET($BN$2,0,0,ROW()-1,60),ROW()-1,FALSE))</f>
        <v>-1761.868475</v>
      </c>
      <c r="L356">
        <f ca="1">IF(AND(ISNUMBER($L$857),$B$511=1),$L$857,HLOOKUP(INDIRECT(ADDRESS(2,COLUMN())),OFFSET($BN$2,0,0,ROW()-1,60),ROW()-1,FALSE))</f>
        <v>-1700.6955370000001</v>
      </c>
      <c r="M356">
        <f ca="1">IF(AND(ISNUMBER($M$857),$B$511=1),$M$857,HLOOKUP(INDIRECT(ADDRESS(2,COLUMN())),OFFSET($BN$2,0,0,ROW()-1,60),ROW()-1,FALSE))</f>
        <v>-1737.016116</v>
      </c>
      <c r="N356">
        <f ca="1">IF(AND(ISNUMBER($N$857),$B$511=1),$N$857,HLOOKUP(INDIRECT(ADDRESS(2,COLUMN())),OFFSET($BN$2,0,0,ROW()-1,60),ROW()-1,FALSE))</f>
        <v>-1691.011344</v>
      </c>
      <c r="O356">
        <f ca="1">IF(AND(ISNUMBER($O$857),$B$511=1),$O$857,HLOOKUP(INDIRECT(ADDRESS(2,COLUMN())),OFFSET($BN$2,0,0,ROW()-1,60),ROW()-1,FALSE))</f>
        <v>-1685.7101070000001</v>
      </c>
      <c r="P356">
        <f ca="1">IF(AND(ISNUMBER($P$857),$B$511=1),$P$857,HLOOKUP(INDIRECT(ADDRESS(2,COLUMN())),OFFSET($BN$2,0,0,ROW()-1,60),ROW()-1,FALSE))</f>
        <v>-1578.5423310000001</v>
      </c>
      <c r="Q356">
        <f ca="1">IF(AND(ISNUMBER($Q$857),$B$511=1),$Q$857,HLOOKUP(INDIRECT(ADDRESS(2,COLUMN())),OFFSET($BN$2,0,0,ROW()-1,60),ROW()-1,FALSE))</f>
        <v>-1508.4999</v>
      </c>
      <c r="R356">
        <f ca="1">IF(AND(ISNUMBER($R$857),$B$511=1),$R$857,HLOOKUP(INDIRECT(ADDRESS(2,COLUMN())),OFFSET($BN$2,0,0,ROW()-1,60),ROW()-1,FALSE))</f>
        <v>-1310.8411739999999</v>
      </c>
      <c r="S356">
        <f ca="1">IF(AND(ISNUMBER($S$857),$B$511=1),$S$857,HLOOKUP(INDIRECT(ADDRESS(2,COLUMN())),OFFSET($BN$2,0,0,ROW()-1,60),ROW()-1,FALSE))</f>
        <v>-1299.1931360000001</v>
      </c>
      <c r="T356">
        <f ca="1">IF(AND(ISNUMBER($T$857),$B$511=1),$T$857,HLOOKUP(INDIRECT(ADDRESS(2,COLUMN())),OFFSET($BN$2,0,0,ROW()-1,60),ROW()-1,FALSE))</f>
        <v>-1161.3926120000001</v>
      </c>
      <c r="U356">
        <f ca="1">IF(AND(ISNUMBER($U$857),$B$511=1),$U$857,HLOOKUP(INDIRECT(ADDRESS(2,COLUMN())),OFFSET($BN$2,0,0,ROW()-1,60),ROW()-1,FALSE))</f>
        <v>-1211.562672</v>
      </c>
      <c r="V356">
        <f ca="1">IF(AND(ISNUMBER($V$857),$B$511=1),$V$857,HLOOKUP(INDIRECT(ADDRESS(2,COLUMN())),OFFSET($BN$2,0,0,ROW()-1,60),ROW()-1,FALSE))</f>
        <v>-1207.2655569999999</v>
      </c>
      <c r="W356">
        <f ca="1">IF(AND(ISNUMBER($W$857),$B$511=1),$W$857,HLOOKUP(INDIRECT(ADDRESS(2,COLUMN())),OFFSET($BN$2,0,0,ROW()-1,60),ROW()-1,FALSE))</f>
        <v>-1250.550301</v>
      </c>
      <c r="X356">
        <f ca="1">IF(AND(ISNUMBER($X$857),$B$511=1),$X$857,HLOOKUP(INDIRECT(ADDRESS(2,COLUMN())),OFFSET($BN$2,0,0,ROW()-1,60),ROW()-1,FALSE))</f>
        <v>-1229.417042</v>
      </c>
      <c r="Y356">
        <f ca="1">IF(AND(ISNUMBER($Y$857),$B$511=1),$Y$857,HLOOKUP(INDIRECT(ADDRESS(2,COLUMN())),OFFSET($BN$2,0,0,ROW()-1,60),ROW()-1,FALSE))</f>
        <v>-1244.9089300000001</v>
      </c>
      <c r="Z356">
        <f ca="1">IF(AND(ISNUMBER($Z$857),$B$511=1),$Z$857,HLOOKUP(INDIRECT(ADDRESS(2,COLUMN())),OFFSET($BN$2,0,0,ROW()-1,60),ROW()-1,FALSE))</f>
        <v>-1150.9580900000001</v>
      </c>
      <c r="AA356">
        <f ca="1">IF(AND(ISNUMBER($AA$857),$B$511=1),$AA$857,HLOOKUP(INDIRECT(ADDRESS(2,COLUMN())),OFFSET($BN$2,0,0,ROW()-1,60),ROW()-1,FALSE))</f>
        <v>-1182.8309489999999</v>
      </c>
      <c r="AB356">
        <f ca="1">IF(AND(ISNUMBER($AB$857),$B$511=1),$AB$857,HLOOKUP(INDIRECT(ADDRESS(2,COLUMN())),OFFSET($BN$2,0,0,ROW()-1,60),ROW()-1,FALSE))</f>
        <v>-1137.8397689999999</v>
      </c>
      <c r="AC356">
        <f ca="1">IF(AND(ISNUMBER($AC$857),$B$511=1),$AC$857,HLOOKUP(INDIRECT(ADDRESS(2,COLUMN())),OFFSET($BN$2,0,0,ROW()-1,60),ROW()-1,FALSE))</f>
        <v>-1206.476596</v>
      </c>
      <c r="AD356">
        <f ca="1">IF(AND(ISNUMBER($AD$857),$B$511=1),$AD$857,HLOOKUP(INDIRECT(ADDRESS(2,COLUMN())),OFFSET($BN$2,0,0,ROW()-1,60),ROW()-1,FALSE))</f>
        <v>-1141.3196270000001</v>
      </c>
      <c r="AE356">
        <f ca="1">IF(AND(ISNUMBER($AE$857),$B$511=1),$AE$857,HLOOKUP(INDIRECT(ADDRESS(2,COLUMN())),OFFSET($BN$2,0,0,ROW()-1,60),ROW()-1,FALSE))</f>
        <v>-1182.2487410000001</v>
      </c>
      <c r="AF356">
        <f ca="1">IF(AND(ISNUMBER($AF$857),$B$511=1),$AF$857,HLOOKUP(INDIRECT(ADDRESS(2,COLUMN())),OFFSET($BN$2,0,0,ROW()-1,60),ROW()-1,FALSE))</f>
        <v>-1062.6427040000001</v>
      </c>
      <c r="AG356">
        <f ca="1">IF(AND(ISNUMBER($AG$857),$B$511=1),$AG$857,HLOOKUP(INDIRECT(ADDRESS(2,COLUMN())),OFFSET($BN$2,0,0,ROW()-1,60),ROW()-1,FALSE))</f>
        <v>-1066.0450390000001</v>
      </c>
      <c r="AH356">
        <f ca="1">IF(AND(ISNUMBER($AH$857),$B$511=1),$AH$857,HLOOKUP(INDIRECT(ADDRESS(2,COLUMN())),OFFSET($BN$2,0,0,ROW()-1,60),ROW()-1,FALSE))</f>
        <v>-795.25606259999995</v>
      </c>
      <c r="AI356">
        <f ca="1">IF(AND(ISNUMBER($AI$857),$B$511=1),$AI$857,HLOOKUP(INDIRECT(ADDRESS(2,COLUMN())),OFFSET($BN$2,0,0,ROW()-1,60),ROW()-1,FALSE))</f>
        <v>-788.21279790000006</v>
      </c>
      <c r="AJ356">
        <f ca="1">IF(AND(ISNUMBER($AJ$857),$B$511=1),$AJ$857,HLOOKUP(INDIRECT(ADDRESS(2,COLUMN())),OFFSET($BN$2,0,0,ROW()-1,60),ROW()-1,FALSE))</f>
        <v>-517.00474559999998</v>
      </c>
      <c r="AK356">
        <f ca="1">IF(AND(ISNUMBER($AK$857),$B$511=1),$AK$857,HLOOKUP(INDIRECT(ADDRESS(2,COLUMN())),OFFSET($BN$2,0,0,ROW()-1,60),ROW()-1,FALSE))</f>
        <v>-504.16518309999998</v>
      </c>
      <c r="AL356">
        <f ca="1">IF(AND(ISNUMBER($AL$857),$B$511=1),$AL$857,HLOOKUP(INDIRECT(ADDRESS(2,COLUMN())),OFFSET($BN$2,0,0,ROW()-1,60),ROW()-1,FALSE))</f>
        <v>-244.81368660000001</v>
      </c>
      <c r="AM356">
        <f ca="1">IF(AND(ISNUMBER($AM$857),$B$511=1),$AM$857,HLOOKUP(INDIRECT(ADDRESS(2,COLUMN())),OFFSET($BN$2,0,0,ROW()-1,60),ROW()-1,FALSE))</f>
        <v>-239.0057247</v>
      </c>
      <c r="AN356">
        <f ca="1">IF(AND(ISNUMBER($AN$857),$B$511=1),$AN$857,HLOOKUP(INDIRECT(ADDRESS(2,COLUMN())),OFFSET($BN$2,0,0,ROW()-1,60),ROW()-1,FALSE))</f>
        <v>0</v>
      </c>
      <c r="AO356">
        <f ca="1">IF(AND(ISNUMBER($AO$857),$B$511=1),$AO$857,HLOOKUP(INDIRECT(ADDRESS(2,COLUMN())),OFFSET($BN$2,0,0,ROW()-1,60),ROW()-1,FALSE))</f>
        <v>0</v>
      </c>
      <c r="AP356">
        <f ca="1">IF(AND(ISNUMBER($AP$857),$B$511=1),$AP$857,HLOOKUP(INDIRECT(ADDRESS(2,COLUMN())),OFFSET($BN$2,0,0,ROW()-1,60),ROW()-1,FALSE))</f>
        <v>0</v>
      </c>
      <c r="AQ356">
        <f ca="1">IF(AND(ISNUMBER($AQ$857),$B$511=1),$AQ$857,HLOOKUP(INDIRECT(ADDRESS(2,COLUMN())),OFFSET($BN$2,0,0,ROW()-1,60),ROW()-1,FALSE))</f>
        <v>0</v>
      </c>
      <c r="AR356">
        <f ca="1">IF(AND(ISNUMBER($AR$857),$B$511=1),$AR$857,HLOOKUP(INDIRECT(ADDRESS(2,COLUMN())),OFFSET($BN$2,0,0,ROW()-1,60),ROW()-1,FALSE))</f>
        <v>-471.54102649999999</v>
      </c>
      <c r="AS356">
        <f ca="1">IF(AND(ISNUMBER($AS$857),$B$511=1),$AS$857,HLOOKUP(INDIRECT(ADDRESS(2,COLUMN())),OFFSET($BN$2,0,0,ROW()-1,60),ROW()-1,FALSE))</f>
        <v>-455.67373900000001</v>
      </c>
      <c r="AT356">
        <f ca="1">IF(AND(ISNUMBER($AT$857),$B$511=1),$AT$857,HLOOKUP(INDIRECT(ADDRESS(2,COLUMN())),OFFSET($BN$2,0,0,ROW()-1,60),ROW()-1,FALSE))</f>
        <v>-1261.995052</v>
      </c>
      <c r="AU356" t="str">
        <f ca="1">IF(AND(ISNUMBER($AU$857),$B$511=1),$AU$857,HLOOKUP(INDIRECT(ADDRESS(2,COLUMN())),OFFSET($BN$2,0,0,ROW()-1,60),ROW()-1,FALSE))</f>
        <v/>
      </c>
      <c r="AV356" t="str">
        <f ca="1">IF(AND(ISNUMBER($AV$857),$B$511=1),$AV$857,HLOOKUP(INDIRECT(ADDRESS(2,COLUMN())),OFFSET($BN$2,0,0,ROW()-1,60),ROW()-1,FALSE))</f>
        <v/>
      </c>
      <c r="AW356" t="str">
        <f ca="1">IF(AND(ISNUMBER($AW$857),$B$511=1),$AW$857,HLOOKUP(INDIRECT(ADDRESS(2,COLUMN())),OFFSET($BN$2,0,0,ROW()-1,60),ROW()-1,FALSE))</f>
        <v/>
      </c>
      <c r="AX356" t="str">
        <f ca="1">IF(AND(ISNUMBER($AX$857),$B$511=1),$AX$857,HLOOKUP(INDIRECT(ADDRESS(2,COLUMN())),OFFSET($BN$2,0,0,ROW()-1,60),ROW()-1,FALSE))</f>
        <v/>
      </c>
      <c r="AY356" t="str">
        <f ca="1">IF(AND(ISNUMBER($AY$857),$B$511=1),$AY$857,HLOOKUP(INDIRECT(ADDRESS(2,COLUMN())),OFFSET($BN$2,0,0,ROW()-1,60),ROW()-1,FALSE))</f>
        <v/>
      </c>
      <c r="AZ356" t="str">
        <f ca="1">IF(AND(ISNUMBER($AZ$857),$B$511=1),$AZ$857,HLOOKUP(INDIRECT(ADDRESS(2,COLUMN())),OFFSET($BN$2,0,0,ROW()-1,60),ROW()-1,FALSE))</f>
        <v/>
      </c>
      <c r="BA356" t="str">
        <f ca="1">IF(AND(ISNUMBER($BA$857),$B$511=1),$BA$857,HLOOKUP(INDIRECT(ADDRESS(2,COLUMN())),OFFSET($BN$2,0,0,ROW()-1,60),ROW()-1,FALSE))</f>
        <v/>
      </c>
      <c r="BB356" t="str">
        <f ca="1">IF(AND(ISNUMBER($BB$857),$B$511=1),$BB$857,HLOOKUP(INDIRECT(ADDRESS(2,COLUMN())),OFFSET($BN$2,0,0,ROW()-1,60),ROW()-1,FALSE))</f>
        <v/>
      </c>
      <c r="BC356" t="str">
        <f ca="1">IF(AND(ISNUMBER($BC$857),$B$511=1),$BC$857,HLOOKUP(INDIRECT(ADDRESS(2,COLUMN())),OFFSET($BN$2,0,0,ROW()-1,60),ROW()-1,FALSE))</f>
        <v/>
      </c>
      <c r="BD356" t="str">
        <f ca="1">IF(AND(ISNUMBER($BD$857),$B$511=1),$BD$857,HLOOKUP(INDIRECT(ADDRESS(2,COLUMN())),OFFSET($BN$2,0,0,ROW()-1,60),ROW()-1,FALSE))</f>
        <v/>
      </c>
      <c r="BE356" t="str">
        <f ca="1">IF(AND(ISNUMBER($BE$857),$B$511=1),$BE$857,HLOOKUP(INDIRECT(ADDRESS(2,COLUMN())),OFFSET($BN$2,0,0,ROW()-1,60),ROW()-1,FALSE))</f>
        <v/>
      </c>
      <c r="BF356" t="str">
        <f ca="1">IF(AND(ISNUMBER($BF$857),$B$511=1),$BF$857,HLOOKUP(INDIRECT(ADDRESS(2,COLUMN())),OFFSET($BN$2,0,0,ROW()-1,60),ROW()-1,FALSE))</f>
        <v/>
      </c>
      <c r="BG356" t="str">
        <f ca="1">IF(AND(ISNUMBER($BG$857),$B$511=1),$BG$857,HLOOKUP(INDIRECT(ADDRESS(2,COLUMN())),OFFSET($BN$2,0,0,ROW()-1,60),ROW()-1,FALSE))</f>
        <v/>
      </c>
      <c r="BH356" t="str">
        <f ca="1">IF(AND(ISNUMBER($BH$857),$B$511=1),$BH$857,HLOOKUP(INDIRECT(ADDRESS(2,COLUMN())),OFFSET($BN$2,0,0,ROW()-1,60),ROW()-1,FALSE))</f>
        <v/>
      </c>
      <c r="BI356" t="str">
        <f ca="1">IF(AND(ISNUMBER($BI$857),$B$511=1),$BI$857,HLOOKUP(INDIRECT(ADDRESS(2,COLUMN())),OFFSET($BN$2,0,0,ROW()-1,60),ROW()-1,FALSE))</f>
        <v/>
      </c>
      <c r="BJ356" t="str">
        <f ca="1">IF(AND(ISNUMBER($BJ$857),$B$511=1),$BJ$857,HLOOKUP(INDIRECT(ADDRESS(2,COLUMN())),OFFSET($BN$2,0,0,ROW()-1,60),ROW()-1,FALSE))</f>
        <v/>
      </c>
      <c r="BK356" t="str">
        <f ca="1">IF(AND(ISNUMBER($BK$857),$B$511=1),$BK$857,HLOOKUP(INDIRECT(ADDRESS(2,COLUMN())),OFFSET($BN$2,0,0,ROW()-1,60),ROW()-1,FALSE))</f>
        <v/>
      </c>
      <c r="BL356" t="str">
        <f ca="1">IF(AND(ISNUMBER($BL$857),$B$511=1),$BL$857,HLOOKUP(INDIRECT(ADDRESS(2,COLUMN())),OFFSET($BN$2,0,0,ROW()-1,60),ROW()-1,FALSE))</f>
        <v/>
      </c>
      <c r="BM356" t="str">
        <f ca="1">IF(AND(ISNUMBER($BM$857),$B$511=1),$BM$857,HLOOKUP(INDIRECT(ADDRESS(2,COLUMN())),OFFSET($BN$2,0,0,ROW()-1,60),ROW()-1,FALSE))</f>
        <v/>
      </c>
      <c r="BN356" t="str">
        <f>""</f>
        <v/>
      </c>
      <c r="BO356">
        <f>-1948.55441</f>
        <v>-1948.55441</v>
      </c>
      <c r="BP356">
        <f>-1877.289007</f>
        <v>-1877.2890070000001</v>
      </c>
      <c r="BQ356">
        <f>-1879.526621</f>
        <v>-1879.526621</v>
      </c>
      <c r="BR356">
        <f>-1782.971744</f>
        <v>-1782.9717439999999</v>
      </c>
      <c r="BS356">
        <f>-1761.868475</f>
        <v>-1761.868475</v>
      </c>
      <c r="BT356">
        <f>-1700.695537</f>
        <v>-1700.6955370000001</v>
      </c>
      <c r="BU356">
        <f>-1737.016116</f>
        <v>-1737.016116</v>
      </c>
      <c r="BV356">
        <f>-1691.011344</f>
        <v>-1691.011344</v>
      </c>
      <c r="BW356">
        <f>-1685.710107</f>
        <v>-1685.7101070000001</v>
      </c>
      <c r="BX356">
        <f>-1578.542331</f>
        <v>-1578.5423310000001</v>
      </c>
      <c r="BY356">
        <f>-1508.4999</f>
        <v>-1508.4999</v>
      </c>
      <c r="BZ356">
        <f>-1310.841174</f>
        <v>-1310.8411739999999</v>
      </c>
      <c r="CA356">
        <f>-1299.193136</f>
        <v>-1299.1931360000001</v>
      </c>
      <c r="CB356">
        <f>-1161.392612</f>
        <v>-1161.3926120000001</v>
      </c>
      <c r="CC356">
        <f>-1211.562672</f>
        <v>-1211.562672</v>
      </c>
      <c r="CD356">
        <f>-1207.265557</f>
        <v>-1207.2655569999999</v>
      </c>
      <c r="CE356">
        <f>-1250.550301</f>
        <v>-1250.550301</v>
      </c>
      <c r="CF356">
        <f>-1229.417042</f>
        <v>-1229.417042</v>
      </c>
      <c r="CG356">
        <f>-1244.90893</f>
        <v>-1244.9089300000001</v>
      </c>
      <c r="CH356">
        <f>-1150.95809</f>
        <v>-1150.9580900000001</v>
      </c>
      <c r="CI356">
        <f>-1182.830949</f>
        <v>-1182.8309489999999</v>
      </c>
      <c r="CJ356">
        <f>-1137.839769</f>
        <v>-1137.8397689999999</v>
      </c>
      <c r="CK356">
        <f>-1206.476596</f>
        <v>-1206.476596</v>
      </c>
      <c r="CL356">
        <f>-1141.319627</f>
        <v>-1141.3196270000001</v>
      </c>
      <c r="CM356">
        <f>-1182.248741</f>
        <v>-1182.2487410000001</v>
      </c>
      <c r="CN356">
        <f>-1062.642704</f>
        <v>-1062.6427040000001</v>
      </c>
      <c r="CO356">
        <f>-1066.045039</f>
        <v>-1066.0450390000001</v>
      </c>
      <c r="CP356">
        <f>-795.2560626</f>
        <v>-795.25606259999995</v>
      </c>
      <c r="CQ356">
        <f>-788.2127979</f>
        <v>-788.21279790000006</v>
      </c>
      <c r="CR356">
        <f>-517.0047456</f>
        <v>-517.00474559999998</v>
      </c>
      <c r="CS356">
        <f>-504.1651831</f>
        <v>-504.16518309999998</v>
      </c>
      <c r="CT356">
        <f>-244.8136866</f>
        <v>-244.81368660000001</v>
      </c>
      <c r="CU356">
        <f>-239.0057247</f>
        <v>-239.0057247</v>
      </c>
      <c r="CV356">
        <f>0</f>
        <v>0</v>
      </c>
      <c r="CW356">
        <f>0</f>
        <v>0</v>
      </c>
      <c r="CX356">
        <f>0</f>
        <v>0</v>
      </c>
      <c r="CY356">
        <f>0</f>
        <v>0</v>
      </c>
      <c r="CZ356">
        <f>-471.5410265</f>
        <v>-471.54102649999999</v>
      </c>
      <c r="DA356">
        <f>-455.673739</f>
        <v>-455.67373900000001</v>
      </c>
      <c r="DB356">
        <f>-1261.995052</f>
        <v>-1261.995052</v>
      </c>
      <c r="DC356" t="str">
        <f>""</f>
        <v/>
      </c>
      <c r="DD356" t="str">
        <f>""</f>
        <v/>
      </c>
      <c r="DE356" t="str">
        <f>""</f>
        <v/>
      </c>
      <c r="DF356" t="str">
        <f>""</f>
        <v/>
      </c>
      <c r="DG356" t="str">
        <f>""</f>
        <v/>
      </c>
      <c r="DH356" t="str">
        <f>""</f>
        <v/>
      </c>
      <c r="DI356" t="str">
        <f>""</f>
        <v/>
      </c>
      <c r="DJ356" t="str">
        <f>""</f>
        <v/>
      </c>
      <c r="DK356" t="str">
        <f>""</f>
        <v/>
      </c>
      <c r="DL356" t="str">
        <f>""</f>
        <v/>
      </c>
      <c r="DM356" t="str">
        <f>""</f>
        <v/>
      </c>
      <c r="DN356" t="str">
        <f>""</f>
        <v/>
      </c>
      <c r="DO356" t="str">
        <f>""</f>
        <v/>
      </c>
      <c r="DP356" t="str">
        <f>""</f>
        <v/>
      </c>
      <c r="DQ356" t="str">
        <f>""</f>
        <v/>
      </c>
      <c r="DR356" t="str">
        <f>""</f>
        <v/>
      </c>
      <c r="DS356" t="str">
        <f>""</f>
        <v/>
      </c>
      <c r="DT356" t="str">
        <f>""</f>
        <v/>
      </c>
      <c r="DU356" t="str">
        <f>""</f>
        <v/>
      </c>
    </row>
    <row r="357" spans="1:125" x14ac:dyDescent="0.25">
      <c r="A357" t="str">
        <f>"    Peugeot SA"</f>
        <v xml:space="preserve">    Peugeot SA</v>
      </c>
      <c r="B357" t="str">
        <f>"UG FP Equity"</f>
        <v>UG FP Equity</v>
      </c>
      <c r="C357" t="str">
        <f t="shared" si="24"/>
        <v>RX530</v>
      </c>
      <c r="D357" t="str">
        <f t="shared" si="25"/>
        <v>T12M_DVDS_PAID</v>
      </c>
      <c r="E357" t="str">
        <f t="shared" si="26"/>
        <v>Dynamic</v>
      </c>
      <c r="F357" t="str">
        <f ca="1">IF(AND(ISNUMBER($F$858),$B$511=1),$F$858,HLOOKUP(INDIRECT(ADDRESS(2,COLUMN())),OFFSET($BN$2,0,0,ROW()-1,60),ROW()-1,FALSE))</f>
        <v/>
      </c>
      <c r="G357" t="str">
        <f ca="1">IF(AND(ISNUMBER($G$858),$B$511=1),$G$858,HLOOKUP(INDIRECT(ADDRESS(2,COLUMN())),OFFSET($BN$2,0,0,ROW()-1,60),ROW()-1,FALSE))</f>
        <v/>
      </c>
      <c r="H357" t="str">
        <f ca="1">IF(AND(ISNUMBER($H$858),$B$511=1),$H$858,HLOOKUP(INDIRECT(ADDRESS(2,COLUMN())),OFFSET($BN$2,0,0,ROW()-1,60),ROW()-1,FALSE))</f>
        <v/>
      </c>
      <c r="I357" t="str">
        <f ca="1">IF(AND(ISNUMBER($I$858),$B$511=1),$I$858,HLOOKUP(INDIRECT(ADDRESS(2,COLUMN())),OFFSET($BN$2,0,0,ROW()-1,60),ROW()-1,FALSE))</f>
        <v/>
      </c>
      <c r="J357" t="str">
        <f ca="1">IF(AND(ISNUMBER($J$858),$B$511=1),$J$858,HLOOKUP(INDIRECT(ADDRESS(2,COLUMN())),OFFSET($BN$2,0,0,ROW()-1,60),ROW()-1,FALSE))</f>
        <v/>
      </c>
      <c r="K357" t="str">
        <f ca="1">IF(AND(ISNUMBER($K$858),$B$511=1),$K$858,HLOOKUP(INDIRECT(ADDRESS(2,COLUMN())),OFFSET($BN$2,0,0,ROW()-1,60),ROW()-1,FALSE))</f>
        <v/>
      </c>
      <c r="L357" t="str">
        <f ca="1">IF(AND(ISNUMBER($L$858),$B$511=1),$L$858,HLOOKUP(INDIRECT(ADDRESS(2,COLUMN())),OFFSET($BN$2,0,0,ROW()-1,60),ROW()-1,FALSE))</f>
        <v/>
      </c>
      <c r="M357" t="str">
        <f ca="1">IF(AND(ISNUMBER($M$858),$B$511=1),$M$858,HLOOKUP(INDIRECT(ADDRESS(2,COLUMN())),OFFSET($BN$2,0,0,ROW()-1,60),ROW()-1,FALSE))</f>
        <v/>
      </c>
      <c r="N357" t="str">
        <f ca="1">IF(AND(ISNUMBER($N$858),$B$511=1),$N$858,HLOOKUP(INDIRECT(ADDRESS(2,COLUMN())),OFFSET($BN$2,0,0,ROW()-1,60),ROW()-1,FALSE))</f>
        <v/>
      </c>
      <c r="O357" t="str">
        <f ca="1">IF(AND(ISNUMBER($O$858),$B$511=1),$O$858,HLOOKUP(INDIRECT(ADDRESS(2,COLUMN())),OFFSET($BN$2,0,0,ROW()-1,60),ROW()-1,FALSE))</f>
        <v/>
      </c>
      <c r="P357" t="str">
        <f ca="1">IF(AND(ISNUMBER($P$858),$B$511=1),$P$858,HLOOKUP(INDIRECT(ADDRESS(2,COLUMN())),OFFSET($BN$2,0,0,ROW()-1,60),ROW()-1,FALSE))</f>
        <v/>
      </c>
      <c r="Q357" t="str">
        <f ca="1">IF(AND(ISNUMBER($Q$858),$B$511=1),$Q$858,HLOOKUP(INDIRECT(ADDRESS(2,COLUMN())),OFFSET($BN$2,0,0,ROW()-1,60),ROW()-1,FALSE))</f>
        <v/>
      </c>
      <c r="R357" t="str">
        <f ca="1">IF(AND(ISNUMBER($R$858),$B$511=1),$R$858,HLOOKUP(INDIRECT(ADDRESS(2,COLUMN())),OFFSET($BN$2,0,0,ROW()-1,60),ROW()-1,FALSE))</f>
        <v/>
      </c>
      <c r="S357" t="str">
        <f ca="1">IF(AND(ISNUMBER($S$858),$B$511=1),$S$858,HLOOKUP(INDIRECT(ADDRESS(2,COLUMN())),OFFSET($BN$2,0,0,ROW()-1,60),ROW()-1,FALSE))</f>
        <v/>
      </c>
      <c r="T357" t="str">
        <f ca="1">IF(AND(ISNUMBER($T$858),$B$511=1),$T$858,HLOOKUP(INDIRECT(ADDRESS(2,COLUMN())),OFFSET($BN$2,0,0,ROW()-1,60),ROW()-1,FALSE))</f>
        <v/>
      </c>
      <c r="U357" t="str">
        <f ca="1">IF(AND(ISNUMBER($U$858),$B$511=1),$U$858,HLOOKUP(INDIRECT(ADDRESS(2,COLUMN())),OFFSET($BN$2,0,0,ROW()-1,60),ROW()-1,FALSE))</f>
        <v/>
      </c>
      <c r="V357" t="str">
        <f ca="1">IF(AND(ISNUMBER($V$858),$B$511=1),$V$858,HLOOKUP(INDIRECT(ADDRESS(2,COLUMN())),OFFSET($BN$2,0,0,ROW()-1,60),ROW()-1,FALSE))</f>
        <v/>
      </c>
      <c r="W357" t="str">
        <f ca="1">IF(AND(ISNUMBER($W$858),$B$511=1),$W$858,HLOOKUP(INDIRECT(ADDRESS(2,COLUMN())),OFFSET($BN$2,0,0,ROW()-1,60),ROW()-1,FALSE))</f>
        <v/>
      </c>
      <c r="X357" t="str">
        <f ca="1">IF(AND(ISNUMBER($X$858),$B$511=1),$X$858,HLOOKUP(INDIRECT(ADDRESS(2,COLUMN())),OFFSET($BN$2,0,0,ROW()-1,60),ROW()-1,FALSE))</f>
        <v/>
      </c>
      <c r="Y357" t="str">
        <f ca="1">IF(AND(ISNUMBER($Y$858),$B$511=1),$Y$858,HLOOKUP(INDIRECT(ADDRESS(2,COLUMN())),OFFSET($BN$2,0,0,ROW()-1,60),ROW()-1,FALSE))</f>
        <v/>
      </c>
      <c r="Z357" t="str">
        <f ca="1">IF(AND(ISNUMBER($Z$858),$B$511=1),$Z$858,HLOOKUP(INDIRECT(ADDRESS(2,COLUMN())),OFFSET($BN$2,0,0,ROW()-1,60),ROW()-1,FALSE))</f>
        <v/>
      </c>
      <c r="AA357" t="str">
        <f ca="1">IF(AND(ISNUMBER($AA$858),$B$511=1),$AA$858,HLOOKUP(INDIRECT(ADDRESS(2,COLUMN())),OFFSET($BN$2,0,0,ROW()-1,60),ROW()-1,FALSE))</f>
        <v/>
      </c>
      <c r="AB357" t="str">
        <f ca="1">IF(AND(ISNUMBER($AB$858),$B$511=1),$AB$858,HLOOKUP(INDIRECT(ADDRESS(2,COLUMN())),OFFSET($BN$2,0,0,ROW()-1,60),ROW()-1,FALSE))</f>
        <v/>
      </c>
      <c r="AC357" t="str">
        <f ca="1">IF(AND(ISNUMBER($AC$858),$B$511=1),$AC$858,HLOOKUP(INDIRECT(ADDRESS(2,COLUMN())),OFFSET($BN$2,0,0,ROW()-1,60),ROW()-1,FALSE))</f>
        <v/>
      </c>
      <c r="AD357" t="str">
        <f ca="1">IF(AND(ISNUMBER($AD$858),$B$511=1),$AD$858,HLOOKUP(INDIRECT(ADDRESS(2,COLUMN())),OFFSET($BN$2,0,0,ROW()-1,60),ROW()-1,FALSE))</f>
        <v/>
      </c>
      <c r="AE357" t="str">
        <f ca="1">IF(AND(ISNUMBER($AE$858),$B$511=1),$AE$858,HLOOKUP(INDIRECT(ADDRESS(2,COLUMN())),OFFSET($BN$2,0,0,ROW()-1,60),ROW()-1,FALSE))</f>
        <v/>
      </c>
      <c r="AF357" t="str">
        <f ca="1">IF(AND(ISNUMBER($AF$858),$B$511=1),$AF$858,HLOOKUP(INDIRECT(ADDRESS(2,COLUMN())),OFFSET($BN$2,0,0,ROW()-1,60),ROW()-1,FALSE))</f>
        <v/>
      </c>
      <c r="AG357" t="str">
        <f ca="1">IF(AND(ISNUMBER($AG$858),$B$511=1),$AG$858,HLOOKUP(INDIRECT(ADDRESS(2,COLUMN())),OFFSET($BN$2,0,0,ROW()-1,60),ROW()-1,FALSE))</f>
        <v/>
      </c>
      <c r="AH357" t="str">
        <f ca="1">IF(AND(ISNUMBER($AH$858),$B$511=1),$AH$858,HLOOKUP(INDIRECT(ADDRESS(2,COLUMN())),OFFSET($BN$2,0,0,ROW()-1,60),ROW()-1,FALSE))</f>
        <v/>
      </c>
      <c r="AI357" t="str">
        <f ca="1">IF(AND(ISNUMBER($AI$858),$B$511=1),$AI$858,HLOOKUP(INDIRECT(ADDRESS(2,COLUMN())),OFFSET($BN$2,0,0,ROW()-1,60),ROW()-1,FALSE))</f>
        <v/>
      </c>
      <c r="AJ357" t="str">
        <f ca="1">IF(AND(ISNUMBER($AJ$858),$B$511=1),$AJ$858,HLOOKUP(INDIRECT(ADDRESS(2,COLUMN())),OFFSET($BN$2,0,0,ROW()-1,60),ROW()-1,FALSE))</f>
        <v/>
      </c>
      <c r="AK357" t="str">
        <f ca="1">IF(AND(ISNUMBER($AK$858),$B$511=1),$AK$858,HLOOKUP(INDIRECT(ADDRESS(2,COLUMN())),OFFSET($BN$2,0,0,ROW()-1,60),ROW()-1,FALSE))</f>
        <v/>
      </c>
      <c r="AL357" t="str">
        <f ca="1">IF(AND(ISNUMBER($AL$858),$B$511=1),$AL$858,HLOOKUP(INDIRECT(ADDRESS(2,COLUMN())),OFFSET($BN$2,0,0,ROW()-1,60),ROW()-1,FALSE))</f>
        <v/>
      </c>
      <c r="AM357" t="str">
        <f ca="1">IF(AND(ISNUMBER($AM$858),$B$511=1),$AM$858,HLOOKUP(INDIRECT(ADDRESS(2,COLUMN())),OFFSET($BN$2,0,0,ROW()-1,60),ROW()-1,FALSE))</f>
        <v/>
      </c>
      <c r="AN357" t="str">
        <f ca="1">IF(AND(ISNUMBER($AN$858),$B$511=1),$AN$858,HLOOKUP(INDIRECT(ADDRESS(2,COLUMN())),OFFSET($BN$2,0,0,ROW()-1,60),ROW()-1,FALSE))</f>
        <v/>
      </c>
      <c r="AO357" t="str">
        <f ca="1">IF(AND(ISNUMBER($AO$858),$B$511=1),$AO$858,HLOOKUP(INDIRECT(ADDRESS(2,COLUMN())),OFFSET($BN$2,0,0,ROW()-1,60),ROW()-1,FALSE))</f>
        <v/>
      </c>
      <c r="AP357" t="str">
        <f ca="1">IF(AND(ISNUMBER($AP$858),$B$511=1),$AP$858,HLOOKUP(INDIRECT(ADDRESS(2,COLUMN())),OFFSET($BN$2,0,0,ROW()-1,60),ROW()-1,FALSE))</f>
        <v/>
      </c>
      <c r="AQ357" t="str">
        <f ca="1">IF(AND(ISNUMBER($AQ$858),$B$511=1),$AQ$858,HLOOKUP(INDIRECT(ADDRESS(2,COLUMN())),OFFSET($BN$2,0,0,ROW()-1,60),ROW()-1,FALSE))</f>
        <v/>
      </c>
      <c r="AR357" t="str">
        <f ca="1">IF(AND(ISNUMBER($AR$858),$B$511=1),$AR$858,HLOOKUP(INDIRECT(ADDRESS(2,COLUMN())),OFFSET($BN$2,0,0,ROW()-1,60),ROW()-1,FALSE))</f>
        <v/>
      </c>
      <c r="AS357" t="str">
        <f ca="1">IF(AND(ISNUMBER($AS$858),$B$511=1),$AS$858,HLOOKUP(INDIRECT(ADDRESS(2,COLUMN())),OFFSET($BN$2,0,0,ROW()-1,60),ROW()-1,FALSE))</f>
        <v/>
      </c>
      <c r="AT357" t="str">
        <f ca="1">IF(AND(ISNUMBER($AT$858),$B$511=1),$AT$858,HLOOKUP(INDIRECT(ADDRESS(2,COLUMN())),OFFSET($BN$2,0,0,ROW()-1,60),ROW()-1,FALSE))</f>
        <v/>
      </c>
      <c r="AU357" t="str">
        <f ca="1">IF(AND(ISNUMBER($AU$858),$B$511=1),$AU$858,HLOOKUP(INDIRECT(ADDRESS(2,COLUMN())),OFFSET($BN$2,0,0,ROW()-1,60),ROW()-1,FALSE))</f>
        <v/>
      </c>
      <c r="AV357" t="str">
        <f ca="1">IF(AND(ISNUMBER($AV$858),$B$511=1),$AV$858,HLOOKUP(INDIRECT(ADDRESS(2,COLUMN())),OFFSET($BN$2,0,0,ROW()-1,60),ROW()-1,FALSE))</f>
        <v/>
      </c>
      <c r="AW357" t="str">
        <f ca="1">IF(AND(ISNUMBER($AW$858),$B$511=1),$AW$858,HLOOKUP(INDIRECT(ADDRESS(2,COLUMN())),OFFSET($BN$2,0,0,ROW()-1,60),ROW()-1,FALSE))</f>
        <v/>
      </c>
      <c r="AX357" t="str">
        <f ca="1">IF(AND(ISNUMBER($AX$858),$B$511=1),$AX$858,HLOOKUP(INDIRECT(ADDRESS(2,COLUMN())),OFFSET($BN$2,0,0,ROW()-1,60),ROW()-1,FALSE))</f>
        <v/>
      </c>
      <c r="AY357" t="str">
        <f ca="1">IF(AND(ISNUMBER($AY$858),$B$511=1),$AY$858,HLOOKUP(INDIRECT(ADDRESS(2,COLUMN())),OFFSET($BN$2,0,0,ROW()-1,60),ROW()-1,FALSE))</f>
        <v/>
      </c>
      <c r="AZ357" t="str">
        <f ca="1">IF(AND(ISNUMBER($AZ$858),$B$511=1),$AZ$858,HLOOKUP(INDIRECT(ADDRESS(2,COLUMN())),OFFSET($BN$2,0,0,ROW()-1,60),ROW()-1,FALSE))</f>
        <v/>
      </c>
      <c r="BA357" t="str">
        <f ca="1">IF(AND(ISNUMBER($BA$858),$B$511=1),$BA$858,HLOOKUP(INDIRECT(ADDRESS(2,COLUMN())),OFFSET($BN$2,0,0,ROW()-1,60),ROW()-1,FALSE))</f>
        <v/>
      </c>
      <c r="BB357" t="str">
        <f ca="1">IF(AND(ISNUMBER($BB$858),$B$511=1),$BB$858,HLOOKUP(INDIRECT(ADDRESS(2,COLUMN())),OFFSET($BN$2,0,0,ROW()-1,60),ROW()-1,FALSE))</f>
        <v/>
      </c>
      <c r="BC357" t="str">
        <f ca="1">IF(AND(ISNUMBER($BC$858),$B$511=1),$BC$858,HLOOKUP(INDIRECT(ADDRESS(2,COLUMN())),OFFSET($BN$2,0,0,ROW()-1,60),ROW()-1,FALSE))</f>
        <v/>
      </c>
      <c r="BD357" t="str">
        <f ca="1">IF(AND(ISNUMBER($BD$858),$B$511=1),$BD$858,HLOOKUP(INDIRECT(ADDRESS(2,COLUMN())),OFFSET($BN$2,0,0,ROW()-1,60),ROW()-1,FALSE))</f>
        <v/>
      </c>
      <c r="BE357" t="str">
        <f ca="1">IF(AND(ISNUMBER($BE$858),$B$511=1),$BE$858,HLOOKUP(INDIRECT(ADDRESS(2,COLUMN())),OFFSET($BN$2,0,0,ROW()-1,60),ROW()-1,FALSE))</f>
        <v/>
      </c>
      <c r="BF357" t="str">
        <f ca="1">IF(AND(ISNUMBER($BF$858),$B$511=1),$BF$858,HLOOKUP(INDIRECT(ADDRESS(2,COLUMN())),OFFSET($BN$2,0,0,ROW()-1,60),ROW()-1,FALSE))</f>
        <v/>
      </c>
      <c r="BG357" t="str">
        <f ca="1">IF(AND(ISNUMBER($BG$858),$B$511=1),$BG$858,HLOOKUP(INDIRECT(ADDRESS(2,COLUMN())),OFFSET($BN$2,0,0,ROW()-1,60),ROW()-1,FALSE))</f>
        <v/>
      </c>
      <c r="BH357" t="str">
        <f ca="1">IF(AND(ISNUMBER($BH$858),$B$511=1),$BH$858,HLOOKUP(INDIRECT(ADDRESS(2,COLUMN())),OFFSET($BN$2,0,0,ROW()-1,60),ROW()-1,FALSE))</f>
        <v/>
      </c>
      <c r="BI357" t="str">
        <f ca="1">IF(AND(ISNUMBER($BI$858),$B$511=1),$BI$858,HLOOKUP(INDIRECT(ADDRESS(2,COLUMN())),OFFSET($BN$2,0,0,ROW()-1,60),ROW()-1,FALSE))</f>
        <v/>
      </c>
      <c r="BJ357" t="str">
        <f ca="1">IF(AND(ISNUMBER($BJ$858),$B$511=1),$BJ$858,HLOOKUP(INDIRECT(ADDRESS(2,COLUMN())),OFFSET($BN$2,0,0,ROW()-1,60),ROW()-1,FALSE))</f>
        <v/>
      </c>
      <c r="BK357" t="str">
        <f ca="1">IF(AND(ISNUMBER($BK$858),$B$511=1),$BK$858,HLOOKUP(INDIRECT(ADDRESS(2,COLUMN())),OFFSET($BN$2,0,0,ROW()-1,60),ROW()-1,FALSE))</f>
        <v/>
      </c>
      <c r="BL357" t="str">
        <f ca="1">IF(AND(ISNUMBER($BL$858),$B$511=1),$BL$858,HLOOKUP(INDIRECT(ADDRESS(2,COLUMN())),OFFSET($BN$2,0,0,ROW()-1,60),ROW()-1,FALSE))</f>
        <v/>
      </c>
      <c r="BM357" t="str">
        <f ca="1">IF(AND(ISNUMBER($BM$858),$B$511=1),$BM$858,HLOOKUP(INDIRECT(ADDRESS(2,COLUMN())),OFFSET($BN$2,0,0,ROW()-1,60),ROW()-1,FALSE))</f>
        <v/>
      </c>
      <c r="BN357" t="str">
        <f>""</f>
        <v/>
      </c>
      <c r="BO357" t="str">
        <f>""</f>
        <v/>
      </c>
      <c r="BP357" t="str">
        <f>""</f>
        <v/>
      </c>
      <c r="BQ357" t="str">
        <f>""</f>
        <v/>
      </c>
      <c r="BR357" t="str">
        <f>""</f>
        <v/>
      </c>
      <c r="BS357" t="str">
        <f>""</f>
        <v/>
      </c>
      <c r="BT357" t="str">
        <f>""</f>
        <v/>
      </c>
      <c r="BU357" t="str">
        <f>""</f>
        <v/>
      </c>
      <c r="BV357" t="str">
        <f>""</f>
        <v/>
      </c>
      <c r="BW357" t="str">
        <f>""</f>
        <v/>
      </c>
      <c r="BX357" t="str">
        <f>""</f>
        <v/>
      </c>
      <c r="BY357" t="str">
        <f>""</f>
        <v/>
      </c>
      <c r="BZ357" t="str">
        <f>""</f>
        <v/>
      </c>
      <c r="CA357" t="str">
        <f>""</f>
        <v/>
      </c>
      <c r="CB357" t="str">
        <f>""</f>
        <v/>
      </c>
      <c r="CC357" t="str">
        <f>""</f>
        <v/>
      </c>
      <c r="CD357" t="str">
        <f>""</f>
        <v/>
      </c>
      <c r="CE357" t="str">
        <f>""</f>
        <v/>
      </c>
      <c r="CF357" t="str">
        <f>""</f>
        <v/>
      </c>
      <c r="CG357" t="str">
        <f>""</f>
        <v/>
      </c>
      <c r="CH357" t="str">
        <f>""</f>
        <v/>
      </c>
      <c r="CI357" t="str">
        <f>""</f>
        <v/>
      </c>
      <c r="CJ357" t="str">
        <f>""</f>
        <v/>
      </c>
      <c r="CK357" t="str">
        <f>""</f>
        <v/>
      </c>
      <c r="CL357" t="str">
        <f>""</f>
        <v/>
      </c>
      <c r="CM357" t="str">
        <f>""</f>
        <v/>
      </c>
      <c r="CN357" t="str">
        <f>""</f>
        <v/>
      </c>
      <c r="CO357" t="str">
        <f>""</f>
        <v/>
      </c>
      <c r="CP357" t="str">
        <f>""</f>
        <v/>
      </c>
      <c r="CQ357" t="str">
        <f>""</f>
        <v/>
      </c>
      <c r="CR357" t="str">
        <f>""</f>
        <v/>
      </c>
      <c r="CS357" t="str">
        <f>""</f>
        <v/>
      </c>
      <c r="CT357" t="str">
        <f>""</f>
        <v/>
      </c>
      <c r="CU357" t="str">
        <f>""</f>
        <v/>
      </c>
      <c r="CV357" t="str">
        <f>""</f>
        <v/>
      </c>
      <c r="CW357" t="str">
        <f>""</f>
        <v/>
      </c>
      <c r="CX357" t="str">
        <f>""</f>
        <v/>
      </c>
      <c r="CY357" t="str">
        <f>""</f>
        <v/>
      </c>
      <c r="CZ357" t="str">
        <f>""</f>
        <v/>
      </c>
      <c r="DA357" t="str">
        <f>""</f>
        <v/>
      </c>
      <c r="DB357" t="str">
        <f>""</f>
        <v/>
      </c>
      <c r="DC357" t="str">
        <f>""</f>
        <v/>
      </c>
      <c r="DD357" t="str">
        <f>""</f>
        <v/>
      </c>
      <c r="DE357" t="str">
        <f>""</f>
        <v/>
      </c>
      <c r="DF357" t="str">
        <f>""</f>
        <v/>
      </c>
      <c r="DG357" t="str">
        <f>""</f>
        <v/>
      </c>
      <c r="DH357" t="str">
        <f>""</f>
        <v/>
      </c>
      <c r="DI357" t="str">
        <f>""</f>
        <v/>
      </c>
      <c r="DJ357" t="str">
        <f>""</f>
        <v/>
      </c>
      <c r="DK357" t="str">
        <f>""</f>
        <v/>
      </c>
      <c r="DL357" t="str">
        <f>""</f>
        <v/>
      </c>
      <c r="DM357" t="str">
        <f>""</f>
        <v/>
      </c>
      <c r="DN357" t="str">
        <f>""</f>
        <v/>
      </c>
      <c r="DO357" t="str">
        <f>""</f>
        <v/>
      </c>
      <c r="DP357" t="str">
        <f>""</f>
        <v/>
      </c>
      <c r="DQ357" t="str">
        <f>""</f>
        <v/>
      </c>
      <c r="DR357" t="str">
        <f>""</f>
        <v/>
      </c>
      <c r="DS357" t="str">
        <f>""</f>
        <v/>
      </c>
      <c r="DT357" t="str">
        <f>""</f>
        <v/>
      </c>
      <c r="DU357" t="str">
        <f>""</f>
        <v/>
      </c>
    </row>
    <row r="358" spans="1:125" x14ac:dyDescent="0.25">
      <c r="A358" t="str">
        <f>"    Renault SA"</f>
        <v xml:space="preserve">    Renault SA</v>
      </c>
      <c r="B358" t="str">
        <f>"RNO FP Equity"</f>
        <v>RNO FP Equity</v>
      </c>
      <c r="C358" t="str">
        <f t="shared" si="24"/>
        <v>RX530</v>
      </c>
      <c r="D358" t="str">
        <f t="shared" si="25"/>
        <v>T12M_DVDS_PAID</v>
      </c>
      <c r="E358" t="str">
        <f t="shared" si="26"/>
        <v>Dynamic</v>
      </c>
      <c r="F358" t="str">
        <f ca="1">IF(AND(ISNUMBER($F$859),$B$511=1),$F$859,HLOOKUP(INDIRECT(ADDRESS(2,COLUMN())),OFFSET($BN$2,0,0,ROW()-1,60),ROW()-1,FALSE))</f>
        <v/>
      </c>
      <c r="G358" t="str">
        <f ca="1">IF(AND(ISNUMBER($G$859),$B$511=1),$G$859,HLOOKUP(INDIRECT(ADDRESS(2,COLUMN())),OFFSET($BN$2,0,0,ROW()-1,60),ROW()-1,FALSE))</f>
        <v/>
      </c>
      <c r="H358" t="str">
        <f ca="1">IF(AND(ISNUMBER($H$859),$B$511=1),$H$859,HLOOKUP(INDIRECT(ADDRESS(2,COLUMN())),OFFSET($BN$2,0,0,ROW()-1,60),ROW()-1,FALSE))</f>
        <v/>
      </c>
      <c r="I358" t="str">
        <f ca="1">IF(AND(ISNUMBER($I$859),$B$511=1),$I$859,HLOOKUP(INDIRECT(ADDRESS(2,COLUMN())),OFFSET($BN$2,0,0,ROW()-1,60),ROW()-1,FALSE))</f>
        <v/>
      </c>
      <c r="J358" t="str">
        <f ca="1">IF(AND(ISNUMBER($J$859),$B$511=1),$J$859,HLOOKUP(INDIRECT(ADDRESS(2,COLUMN())),OFFSET($BN$2,0,0,ROW()-1,60),ROW()-1,FALSE))</f>
        <v/>
      </c>
      <c r="K358" t="str">
        <f ca="1">IF(AND(ISNUMBER($K$859),$B$511=1),$K$859,HLOOKUP(INDIRECT(ADDRESS(2,COLUMN())),OFFSET($BN$2,0,0,ROW()-1,60),ROW()-1,FALSE))</f>
        <v/>
      </c>
      <c r="L358" t="str">
        <f ca="1">IF(AND(ISNUMBER($L$859),$B$511=1),$L$859,HLOOKUP(INDIRECT(ADDRESS(2,COLUMN())),OFFSET($BN$2,0,0,ROW()-1,60),ROW()-1,FALSE))</f>
        <v/>
      </c>
      <c r="M358" t="str">
        <f ca="1">IF(AND(ISNUMBER($M$859),$B$511=1),$M$859,HLOOKUP(INDIRECT(ADDRESS(2,COLUMN())),OFFSET($BN$2,0,0,ROW()-1,60),ROW()-1,FALSE))</f>
        <v/>
      </c>
      <c r="N358" t="str">
        <f ca="1">IF(AND(ISNUMBER($N$859),$B$511=1),$N$859,HLOOKUP(INDIRECT(ADDRESS(2,COLUMN())),OFFSET($BN$2,0,0,ROW()-1,60),ROW()-1,FALSE))</f>
        <v/>
      </c>
      <c r="O358" t="str">
        <f ca="1">IF(AND(ISNUMBER($O$859),$B$511=1),$O$859,HLOOKUP(INDIRECT(ADDRESS(2,COLUMN())),OFFSET($BN$2,0,0,ROW()-1,60),ROW()-1,FALSE))</f>
        <v/>
      </c>
      <c r="P358" t="str">
        <f ca="1">IF(AND(ISNUMBER($P$859),$B$511=1),$P$859,HLOOKUP(INDIRECT(ADDRESS(2,COLUMN())),OFFSET($BN$2,0,0,ROW()-1,60),ROW()-1,FALSE))</f>
        <v/>
      </c>
      <c r="Q358" t="str">
        <f ca="1">IF(AND(ISNUMBER($Q$859),$B$511=1),$Q$859,HLOOKUP(INDIRECT(ADDRESS(2,COLUMN())),OFFSET($BN$2,0,0,ROW()-1,60),ROW()-1,FALSE))</f>
        <v/>
      </c>
      <c r="R358" t="str">
        <f ca="1">IF(AND(ISNUMBER($R$859),$B$511=1),$R$859,HLOOKUP(INDIRECT(ADDRESS(2,COLUMN())),OFFSET($BN$2,0,0,ROW()-1,60),ROW()-1,FALSE))</f>
        <v/>
      </c>
      <c r="S358" t="str">
        <f ca="1">IF(AND(ISNUMBER($S$859),$B$511=1),$S$859,HLOOKUP(INDIRECT(ADDRESS(2,COLUMN())),OFFSET($BN$2,0,0,ROW()-1,60),ROW()-1,FALSE))</f>
        <v/>
      </c>
      <c r="T358" t="str">
        <f ca="1">IF(AND(ISNUMBER($T$859),$B$511=1),$T$859,HLOOKUP(INDIRECT(ADDRESS(2,COLUMN())),OFFSET($BN$2,0,0,ROW()-1,60),ROW()-1,FALSE))</f>
        <v/>
      </c>
      <c r="U358" t="str">
        <f ca="1">IF(AND(ISNUMBER($U$859),$B$511=1),$U$859,HLOOKUP(INDIRECT(ADDRESS(2,COLUMN())),OFFSET($BN$2,0,0,ROW()-1,60),ROW()-1,FALSE))</f>
        <v/>
      </c>
      <c r="V358" t="str">
        <f ca="1">IF(AND(ISNUMBER($V$859),$B$511=1),$V$859,HLOOKUP(INDIRECT(ADDRESS(2,COLUMN())),OFFSET($BN$2,0,0,ROW()-1,60),ROW()-1,FALSE))</f>
        <v/>
      </c>
      <c r="W358" t="str">
        <f ca="1">IF(AND(ISNUMBER($W$859),$B$511=1),$W$859,HLOOKUP(INDIRECT(ADDRESS(2,COLUMN())),OFFSET($BN$2,0,0,ROW()-1,60),ROW()-1,FALSE))</f>
        <v/>
      </c>
      <c r="X358" t="str">
        <f ca="1">IF(AND(ISNUMBER($X$859),$B$511=1),$X$859,HLOOKUP(INDIRECT(ADDRESS(2,COLUMN())),OFFSET($BN$2,0,0,ROW()-1,60),ROW()-1,FALSE))</f>
        <v/>
      </c>
      <c r="Y358" t="str">
        <f ca="1">IF(AND(ISNUMBER($Y$859),$B$511=1),$Y$859,HLOOKUP(INDIRECT(ADDRESS(2,COLUMN())),OFFSET($BN$2,0,0,ROW()-1,60),ROW()-1,FALSE))</f>
        <v/>
      </c>
      <c r="Z358" t="str">
        <f ca="1">IF(AND(ISNUMBER($Z$859),$B$511=1),$Z$859,HLOOKUP(INDIRECT(ADDRESS(2,COLUMN())),OFFSET($BN$2,0,0,ROW()-1,60),ROW()-1,FALSE))</f>
        <v/>
      </c>
      <c r="AA358" t="str">
        <f ca="1">IF(AND(ISNUMBER($AA$859),$B$511=1),$AA$859,HLOOKUP(INDIRECT(ADDRESS(2,COLUMN())),OFFSET($BN$2,0,0,ROW()-1,60),ROW()-1,FALSE))</f>
        <v/>
      </c>
      <c r="AB358" t="str">
        <f ca="1">IF(AND(ISNUMBER($AB$859),$B$511=1),$AB$859,HLOOKUP(INDIRECT(ADDRESS(2,COLUMN())),OFFSET($BN$2,0,0,ROW()-1,60),ROW()-1,FALSE))</f>
        <v/>
      </c>
      <c r="AC358" t="str">
        <f ca="1">IF(AND(ISNUMBER($AC$859),$B$511=1),$AC$859,HLOOKUP(INDIRECT(ADDRESS(2,COLUMN())),OFFSET($BN$2,0,0,ROW()-1,60),ROW()-1,FALSE))</f>
        <v/>
      </c>
      <c r="AD358" t="str">
        <f ca="1">IF(AND(ISNUMBER($AD$859),$B$511=1),$AD$859,HLOOKUP(INDIRECT(ADDRESS(2,COLUMN())),OFFSET($BN$2,0,0,ROW()-1,60),ROW()-1,FALSE))</f>
        <v/>
      </c>
      <c r="AE358" t="str">
        <f ca="1">IF(AND(ISNUMBER($AE$859),$B$511=1),$AE$859,HLOOKUP(INDIRECT(ADDRESS(2,COLUMN())),OFFSET($BN$2,0,0,ROW()-1,60),ROW()-1,FALSE))</f>
        <v/>
      </c>
      <c r="AF358" t="str">
        <f ca="1">IF(AND(ISNUMBER($AF$859),$B$511=1),$AF$859,HLOOKUP(INDIRECT(ADDRESS(2,COLUMN())),OFFSET($BN$2,0,0,ROW()-1,60),ROW()-1,FALSE))</f>
        <v/>
      </c>
      <c r="AG358" t="str">
        <f ca="1">IF(AND(ISNUMBER($AG$859),$B$511=1),$AG$859,HLOOKUP(INDIRECT(ADDRESS(2,COLUMN())),OFFSET($BN$2,0,0,ROW()-1,60),ROW()-1,FALSE))</f>
        <v/>
      </c>
      <c r="AH358" t="str">
        <f ca="1">IF(AND(ISNUMBER($AH$859),$B$511=1),$AH$859,HLOOKUP(INDIRECT(ADDRESS(2,COLUMN())),OFFSET($BN$2,0,0,ROW()-1,60),ROW()-1,FALSE))</f>
        <v/>
      </c>
      <c r="AI358" t="str">
        <f ca="1">IF(AND(ISNUMBER($AI$859),$B$511=1),$AI$859,HLOOKUP(INDIRECT(ADDRESS(2,COLUMN())),OFFSET($BN$2,0,0,ROW()-1,60),ROW()-1,FALSE))</f>
        <v/>
      </c>
      <c r="AJ358" t="str">
        <f ca="1">IF(AND(ISNUMBER($AJ$859),$B$511=1),$AJ$859,HLOOKUP(INDIRECT(ADDRESS(2,COLUMN())),OFFSET($BN$2,0,0,ROW()-1,60),ROW()-1,FALSE))</f>
        <v/>
      </c>
      <c r="AK358" t="str">
        <f ca="1">IF(AND(ISNUMBER($AK$859),$B$511=1),$AK$859,HLOOKUP(INDIRECT(ADDRESS(2,COLUMN())),OFFSET($BN$2,0,0,ROW()-1,60),ROW()-1,FALSE))</f>
        <v/>
      </c>
      <c r="AL358" t="str">
        <f ca="1">IF(AND(ISNUMBER($AL$859),$B$511=1),$AL$859,HLOOKUP(INDIRECT(ADDRESS(2,COLUMN())),OFFSET($BN$2,0,0,ROW()-1,60),ROW()-1,FALSE))</f>
        <v/>
      </c>
      <c r="AM358" t="str">
        <f ca="1">IF(AND(ISNUMBER($AM$859),$B$511=1),$AM$859,HLOOKUP(INDIRECT(ADDRESS(2,COLUMN())),OFFSET($BN$2,0,0,ROW()-1,60),ROW()-1,FALSE))</f>
        <v/>
      </c>
      <c r="AN358" t="str">
        <f ca="1">IF(AND(ISNUMBER($AN$859),$B$511=1),$AN$859,HLOOKUP(INDIRECT(ADDRESS(2,COLUMN())),OFFSET($BN$2,0,0,ROW()-1,60),ROW()-1,FALSE))</f>
        <v/>
      </c>
      <c r="AO358" t="str">
        <f ca="1">IF(AND(ISNUMBER($AO$859),$B$511=1),$AO$859,HLOOKUP(INDIRECT(ADDRESS(2,COLUMN())),OFFSET($BN$2,0,0,ROW()-1,60),ROW()-1,FALSE))</f>
        <v/>
      </c>
      <c r="AP358" t="str">
        <f ca="1">IF(AND(ISNUMBER($AP$859),$B$511=1),$AP$859,HLOOKUP(INDIRECT(ADDRESS(2,COLUMN())),OFFSET($BN$2,0,0,ROW()-1,60),ROW()-1,FALSE))</f>
        <v/>
      </c>
      <c r="AQ358" t="str">
        <f ca="1">IF(AND(ISNUMBER($AQ$859),$B$511=1),$AQ$859,HLOOKUP(INDIRECT(ADDRESS(2,COLUMN())),OFFSET($BN$2,0,0,ROW()-1,60),ROW()-1,FALSE))</f>
        <v/>
      </c>
      <c r="AR358" t="str">
        <f ca="1">IF(AND(ISNUMBER($AR$859),$B$511=1),$AR$859,HLOOKUP(INDIRECT(ADDRESS(2,COLUMN())),OFFSET($BN$2,0,0,ROW()-1,60),ROW()-1,FALSE))</f>
        <v/>
      </c>
      <c r="AS358" t="str">
        <f ca="1">IF(AND(ISNUMBER($AS$859),$B$511=1),$AS$859,HLOOKUP(INDIRECT(ADDRESS(2,COLUMN())),OFFSET($BN$2,0,0,ROW()-1,60),ROW()-1,FALSE))</f>
        <v/>
      </c>
      <c r="AT358" t="str">
        <f ca="1">IF(AND(ISNUMBER($AT$859),$B$511=1),$AT$859,HLOOKUP(INDIRECT(ADDRESS(2,COLUMN())),OFFSET($BN$2,0,0,ROW()-1,60),ROW()-1,FALSE))</f>
        <v/>
      </c>
      <c r="AU358" t="str">
        <f ca="1">IF(AND(ISNUMBER($AU$859),$B$511=1),$AU$859,HLOOKUP(INDIRECT(ADDRESS(2,COLUMN())),OFFSET($BN$2,0,0,ROW()-1,60),ROW()-1,FALSE))</f>
        <v/>
      </c>
      <c r="AV358" t="str">
        <f ca="1">IF(AND(ISNUMBER($AV$859),$B$511=1),$AV$859,HLOOKUP(INDIRECT(ADDRESS(2,COLUMN())),OFFSET($BN$2,0,0,ROW()-1,60),ROW()-1,FALSE))</f>
        <v/>
      </c>
      <c r="AW358" t="str">
        <f ca="1">IF(AND(ISNUMBER($AW$859),$B$511=1),$AW$859,HLOOKUP(INDIRECT(ADDRESS(2,COLUMN())),OFFSET($BN$2,0,0,ROW()-1,60),ROW()-1,FALSE))</f>
        <v/>
      </c>
      <c r="AX358" t="str">
        <f ca="1">IF(AND(ISNUMBER($AX$859),$B$511=1),$AX$859,HLOOKUP(INDIRECT(ADDRESS(2,COLUMN())),OFFSET($BN$2,0,0,ROW()-1,60),ROW()-1,FALSE))</f>
        <v/>
      </c>
      <c r="AY358" t="str">
        <f ca="1">IF(AND(ISNUMBER($AY$859),$B$511=1),$AY$859,HLOOKUP(INDIRECT(ADDRESS(2,COLUMN())),OFFSET($BN$2,0,0,ROW()-1,60),ROW()-1,FALSE))</f>
        <v/>
      </c>
      <c r="AZ358" t="str">
        <f ca="1">IF(AND(ISNUMBER($AZ$859),$B$511=1),$AZ$859,HLOOKUP(INDIRECT(ADDRESS(2,COLUMN())),OFFSET($BN$2,0,0,ROW()-1,60),ROW()-1,FALSE))</f>
        <v/>
      </c>
      <c r="BA358" t="str">
        <f ca="1">IF(AND(ISNUMBER($BA$859),$B$511=1),$BA$859,HLOOKUP(INDIRECT(ADDRESS(2,COLUMN())),OFFSET($BN$2,0,0,ROW()-1,60),ROW()-1,FALSE))</f>
        <v/>
      </c>
      <c r="BB358" t="str">
        <f ca="1">IF(AND(ISNUMBER($BB$859),$B$511=1),$BB$859,HLOOKUP(INDIRECT(ADDRESS(2,COLUMN())),OFFSET($BN$2,0,0,ROW()-1,60),ROW()-1,FALSE))</f>
        <v/>
      </c>
      <c r="BC358" t="str">
        <f ca="1">IF(AND(ISNUMBER($BC$859),$B$511=1),$BC$859,HLOOKUP(INDIRECT(ADDRESS(2,COLUMN())),OFFSET($BN$2,0,0,ROW()-1,60),ROW()-1,FALSE))</f>
        <v/>
      </c>
      <c r="BD358" t="str">
        <f ca="1">IF(AND(ISNUMBER($BD$859),$B$511=1),$BD$859,HLOOKUP(INDIRECT(ADDRESS(2,COLUMN())),OFFSET($BN$2,0,0,ROW()-1,60),ROW()-1,FALSE))</f>
        <v/>
      </c>
      <c r="BE358" t="str">
        <f ca="1">IF(AND(ISNUMBER($BE$859),$B$511=1),$BE$859,HLOOKUP(INDIRECT(ADDRESS(2,COLUMN())),OFFSET($BN$2,0,0,ROW()-1,60),ROW()-1,FALSE))</f>
        <v/>
      </c>
      <c r="BF358" t="str">
        <f ca="1">IF(AND(ISNUMBER($BF$859),$B$511=1),$BF$859,HLOOKUP(INDIRECT(ADDRESS(2,COLUMN())),OFFSET($BN$2,0,0,ROW()-1,60),ROW()-1,FALSE))</f>
        <v/>
      </c>
      <c r="BG358" t="str">
        <f ca="1">IF(AND(ISNUMBER($BG$859),$B$511=1),$BG$859,HLOOKUP(INDIRECT(ADDRESS(2,COLUMN())),OFFSET($BN$2,0,0,ROW()-1,60),ROW()-1,FALSE))</f>
        <v/>
      </c>
      <c r="BH358" t="str">
        <f ca="1">IF(AND(ISNUMBER($BH$859),$B$511=1),$BH$859,HLOOKUP(INDIRECT(ADDRESS(2,COLUMN())),OFFSET($BN$2,0,0,ROW()-1,60),ROW()-1,FALSE))</f>
        <v/>
      </c>
      <c r="BI358" t="str">
        <f ca="1">IF(AND(ISNUMBER($BI$859),$B$511=1),$BI$859,HLOOKUP(INDIRECT(ADDRESS(2,COLUMN())),OFFSET($BN$2,0,0,ROW()-1,60),ROW()-1,FALSE))</f>
        <v/>
      </c>
      <c r="BJ358" t="str">
        <f ca="1">IF(AND(ISNUMBER($BJ$859),$B$511=1),$BJ$859,HLOOKUP(INDIRECT(ADDRESS(2,COLUMN())),OFFSET($BN$2,0,0,ROW()-1,60),ROW()-1,FALSE))</f>
        <v/>
      </c>
      <c r="BK358" t="str">
        <f ca="1">IF(AND(ISNUMBER($BK$859),$B$511=1),$BK$859,HLOOKUP(INDIRECT(ADDRESS(2,COLUMN())),OFFSET($BN$2,0,0,ROW()-1,60),ROW()-1,FALSE))</f>
        <v/>
      </c>
      <c r="BL358" t="str">
        <f ca="1">IF(AND(ISNUMBER($BL$859),$B$511=1),$BL$859,HLOOKUP(INDIRECT(ADDRESS(2,COLUMN())),OFFSET($BN$2,0,0,ROW()-1,60),ROW()-1,FALSE))</f>
        <v/>
      </c>
      <c r="BM358" t="str">
        <f ca="1">IF(AND(ISNUMBER($BM$859),$B$511=1),$BM$859,HLOOKUP(INDIRECT(ADDRESS(2,COLUMN())),OFFSET($BN$2,0,0,ROW()-1,60),ROW()-1,FALSE))</f>
        <v/>
      </c>
      <c r="BN358" t="str">
        <f>""</f>
        <v/>
      </c>
      <c r="BO358" t="str">
        <f>""</f>
        <v/>
      </c>
      <c r="BP358" t="str">
        <f>""</f>
        <v/>
      </c>
      <c r="BQ358" t="str">
        <f>""</f>
        <v/>
      </c>
      <c r="BR358" t="str">
        <f>""</f>
        <v/>
      </c>
      <c r="BS358" t="str">
        <f>""</f>
        <v/>
      </c>
      <c r="BT358" t="str">
        <f>""</f>
        <v/>
      </c>
      <c r="BU358" t="str">
        <f>""</f>
        <v/>
      </c>
      <c r="BV358" t="str">
        <f>""</f>
        <v/>
      </c>
      <c r="BW358" t="str">
        <f>""</f>
        <v/>
      </c>
      <c r="BX358" t="str">
        <f>""</f>
        <v/>
      </c>
      <c r="BY358" t="str">
        <f>""</f>
        <v/>
      </c>
      <c r="BZ358" t="str">
        <f>""</f>
        <v/>
      </c>
      <c r="CA358" t="str">
        <f>""</f>
        <v/>
      </c>
      <c r="CB358" t="str">
        <f>""</f>
        <v/>
      </c>
      <c r="CC358" t="str">
        <f>""</f>
        <v/>
      </c>
      <c r="CD358" t="str">
        <f>""</f>
        <v/>
      </c>
      <c r="CE358" t="str">
        <f>""</f>
        <v/>
      </c>
      <c r="CF358" t="str">
        <f>""</f>
        <v/>
      </c>
      <c r="CG358" t="str">
        <f>""</f>
        <v/>
      </c>
      <c r="CH358" t="str">
        <f>""</f>
        <v/>
      </c>
      <c r="CI358" t="str">
        <f>""</f>
        <v/>
      </c>
      <c r="CJ358" t="str">
        <f>""</f>
        <v/>
      </c>
      <c r="CK358" t="str">
        <f>""</f>
        <v/>
      </c>
      <c r="CL358" t="str">
        <f>""</f>
        <v/>
      </c>
      <c r="CM358" t="str">
        <f>""</f>
        <v/>
      </c>
      <c r="CN358" t="str">
        <f>""</f>
        <v/>
      </c>
      <c r="CO358" t="str">
        <f>""</f>
        <v/>
      </c>
      <c r="CP358" t="str">
        <f>""</f>
        <v/>
      </c>
      <c r="CQ358" t="str">
        <f>""</f>
        <v/>
      </c>
      <c r="CR358" t="str">
        <f>""</f>
        <v/>
      </c>
      <c r="CS358" t="str">
        <f>""</f>
        <v/>
      </c>
      <c r="CT358" t="str">
        <f>""</f>
        <v/>
      </c>
      <c r="CU358" t="str">
        <f>""</f>
        <v/>
      </c>
      <c r="CV358" t="str">
        <f>""</f>
        <v/>
      </c>
      <c r="CW358" t="str">
        <f>""</f>
        <v/>
      </c>
      <c r="CX358" t="str">
        <f>""</f>
        <v/>
      </c>
      <c r="CY358" t="str">
        <f>""</f>
        <v/>
      </c>
      <c r="CZ358" t="str">
        <f>""</f>
        <v/>
      </c>
      <c r="DA358" t="str">
        <f>""</f>
        <v/>
      </c>
      <c r="DB358" t="str">
        <f>""</f>
        <v/>
      </c>
      <c r="DC358" t="str">
        <f>""</f>
        <v/>
      </c>
      <c r="DD358" t="str">
        <f>""</f>
        <v/>
      </c>
      <c r="DE358" t="str">
        <f>""</f>
        <v/>
      </c>
      <c r="DF358" t="str">
        <f>""</f>
        <v/>
      </c>
      <c r="DG358" t="str">
        <f>""</f>
        <v/>
      </c>
      <c r="DH358" t="str">
        <f>""</f>
        <v/>
      </c>
      <c r="DI358" t="str">
        <f>""</f>
        <v/>
      </c>
      <c r="DJ358" t="str">
        <f>""</f>
        <v/>
      </c>
      <c r="DK358" t="str">
        <f>""</f>
        <v/>
      </c>
      <c r="DL358" t="str">
        <f>""</f>
        <v/>
      </c>
      <c r="DM358" t="str">
        <f>""</f>
        <v/>
      </c>
      <c r="DN358" t="str">
        <f>""</f>
        <v/>
      </c>
      <c r="DO358" t="str">
        <f>""</f>
        <v/>
      </c>
      <c r="DP358" t="str">
        <f>""</f>
        <v/>
      </c>
      <c r="DQ358" t="str">
        <f>""</f>
        <v/>
      </c>
      <c r="DR358" t="str">
        <f>""</f>
        <v/>
      </c>
      <c r="DS358" t="str">
        <f>""</f>
        <v/>
      </c>
      <c r="DT358" t="str">
        <f>""</f>
        <v/>
      </c>
      <c r="DU358" t="str">
        <f>""</f>
        <v/>
      </c>
    </row>
    <row r="359" spans="1:125" x14ac:dyDescent="0.25">
      <c r="A359" t="str">
        <f>"    SAIC Motor Corp Ltd"</f>
        <v xml:space="preserve">    SAIC Motor Corp Ltd</v>
      </c>
      <c r="B359" t="str">
        <f>"600104 CH Equity"</f>
        <v>600104 CH Equity</v>
      </c>
      <c r="C359" t="str">
        <f t="shared" si="24"/>
        <v>RX530</v>
      </c>
      <c r="D359" t="str">
        <f t="shared" si="25"/>
        <v>T12M_DVDS_PAID</v>
      </c>
      <c r="E359" t="str">
        <f t="shared" si="26"/>
        <v>Dynamic</v>
      </c>
      <c r="F359" t="str">
        <f ca="1">IF(AND(ISNUMBER($F$860),$B$511=1),$F$860,HLOOKUP(INDIRECT(ADDRESS(2,COLUMN())),OFFSET($BN$2,0,0,ROW()-1,60),ROW()-1,FALSE))</f>
        <v/>
      </c>
      <c r="G359" t="str">
        <f ca="1">IF(AND(ISNUMBER($G$860),$B$511=1),$G$860,HLOOKUP(INDIRECT(ADDRESS(2,COLUMN())),OFFSET($BN$2,0,0,ROW()-1,60),ROW()-1,FALSE))</f>
        <v/>
      </c>
      <c r="H359" t="str">
        <f ca="1">IF(AND(ISNUMBER($H$860),$B$511=1),$H$860,HLOOKUP(INDIRECT(ADDRESS(2,COLUMN())),OFFSET($BN$2,0,0,ROW()-1,60),ROW()-1,FALSE))</f>
        <v/>
      </c>
      <c r="I359" t="str">
        <f ca="1">IF(AND(ISNUMBER($I$860),$B$511=1),$I$860,HLOOKUP(INDIRECT(ADDRESS(2,COLUMN())),OFFSET($BN$2,0,0,ROW()-1,60),ROW()-1,FALSE))</f>
        <v/>
      </c>
      <c r="J359" t="str">
        <f ca="1">IF(AND(ISNUMBER($J$860),$B$511=1),$J$860,HLOOKUP(INDIRECT(ADDRESS(2,COLUMN())),OFFSET($BN$2,0,0,ROW()-1,60),ROW()-1,FALSE))</f>
        <v/>
      </c>
      <c r="K359" t="str">
        <f ca="1">IF(AND(ISNUMBER($K$860),$B$511=1),$K$860,HLOOKUP(INDIRECT(ADDRESS(2,COLUMN())),OFFSET($BN$2,0,0,ROW()-1,60),ROW()-1,FALSE))</f>
        <v/>
      </c>
      <c r="L359" t="str">
        <f ca="1">IF(AND(ISNUMBER($L$860),$B$511=1),$L$860,HLOOKUP(INDIRECT(ADDRESS(2,COLUMN())),OFFSET($BN$2,0,0,ROW()-1,60),ROW()-1,FALSE))</f>
        <v/>
      </c>
      <c r="M359" t="str">
        <f ca="1">IF(AND(ISNUMBER($M$860),$B$511=1),$M$860,HLOOKUP(INDIRECT(ADDRESS(2,COLUMN())),OFFSET($BN$2,0,0,ROW()-1,60),ROW()-1,FALSE))</f>
        <v/>
      </c>
      <c r="N359" t="str">
        <f ca="1">IF(AND(ISNUMBER($N$860),$B$511=1),$N$860,HLOOKUP(INDIRECT(ADDRESS(2,COLUMN())),OFFSET($BN$2,0,0,ROW()-1,60),ROW()-1,FALSE))</f>
        <v/>
      </c>
      <c r="O359" t="str">
        <f ca="1">IF(AND(ISNUMBER($O$860),$B$511=1),$O$860,HLOOKUP(INDIRECT(ADDRESS(2,COLUMN())),OFFSET($BN$2,0,0,ROW()-1,60),ROW()-1,FALSE))</f>
        <v/>
      </c>
      <c r="P359">
        <f ca="1">IF(AND(ISNUMBER($P$860),$B$511=1),$P$860,HLOOKUP(INDIRECT(ADDRESS(2,COLUMN())),OFFSET($BN$2,0,0,ROW()-1,60),ROW()-1,FALSE))</f>
        <v>-4472.2943310000001</v>
      </c>
      <c r="Q359" t="str">
        <f ca="1">IF(AND(ISNUMBER($Q$860),$B$511=1),$Q$860,HLOOKUP(INDIRECT(ADDRESS(2,COLUMN())),OFFSET($BN$2,0,0,ROW()-1,60),ROW()-1,FALSE))</f>
        <v/>
      </c>
      <c r="R359" t="str">
        <f ca="1">IF(AND(ISNUMBER($R$860),$B$511=1),$R$860,HLOOKUP(INDIRECT(ADDRESS(2,COLUMN())),OFFSET($BN$2,0,0,ROW()-1,60),ROW()-1,FALSE))</f>
        <v/>
      </c>
      <c r="S359" t="str">
        <f ca="1">IF(AND(ISNUMBER($S$860),$B$511=1),$S$860,HLOOKUP(INDIRECT(ADDRESS(2,COLUMN())),OFFSET($BN$2,0,0,ROW()-1,60),ROW()-1,FALSE))</f>
        <v/>
      </c>
      <c r="T359" t="str">
        <f ca="1">IF(AND(ISNUMBER($T$860),$B$511=1),$T$860,HLOOKUP(INDIRECT(ADDRESS(2,COLUMN())),OFFSET($BN$2,0,0,ROW()-1,60),ROW()-1,FALSE))</f>
        <v/>
      </c>
      <c r="U359" t="str">
        <f ca="1">IF(AND(ISNUMBER($U$860),$B$511=1),$U$860,HLOOKUP(INDIRECT(ADDRESS(2,COLUMN())),OFFSET($BN$2,0,0,ROW()-1,60),ROW()-1,FALSE))</f>
        <v/>
      </c>
      <c r="V359" t="str">
        <f ca="1">IF(AND(ISNUMBER($V$860),$B$511=1),$V$860,HLOOKUP(INDIRECT(ADDRESS(2,COLUMN())),OFFSET($BN$2,0,0,ROW()-1,60),ROW()-1,FALSE))</f>
        <v/>
      </c>
      <c r="W359" t="str">
        <f ca="1">IF(AND(ISNUMBER($W$860),$B$511=1),$W$860,HLOOKUP(INDIRECT(ADDRESS(2,COLUMN())),OFFSET($BN$2,0,0,ROW()-1,60),ROW()-1,FALSE))</f>
        <v/>
      </c>
      <c r="X359" t="str">
        <f ca="1">IF(AND(ISNUMBER($X$860),$B$511=1),$X$860,HLOOKUP(INDIRECT(ADDRESS(2,COLUMN())),OFFSET($BN$2,0,0,ROW()-1,60),ROW()-1,FALSE))</f>
        <v/>
      </c>
      <c r="Y359" t="str">
        <f ca="1">IF(AND(ISNUMBER($Y$860),$B$511=1),$Y$860,HLOOKUP(INDIRECT(ADDRESS(2,COLUMN())),OFFSET($BN$2,0,0,ROW()-1,60),ROW()-1,FALSE))</f>
        <v/>
      </c>
      <c r="Z359" t="str">
        <f ca="1">IF(AND(ISNUMBER($Z$860),$B$511=1),$Z$860,HLOOKUP(INDIRECT(ADDRESS(2,COLUMN())),OFFSET($BN$2,0,0,ROW()-1,60),ROW()-1,FALSE))</f>
        <v/>
      </c>
      <c r="AA359" t="str">
        <f ca="1">IF(AND(ISNUMBER($AA$860),$B$511=1),$AA$860,HLOOKUP(INDIRECT(ADDRESS(2,COLUMN())),OFFSET($BN$2,0,0,ROW()-1,60),ROW()-1,FALSE))</f>
        <v/>
      </c>
      <c r="AB359" t="str">
        <f ca="1">IF(AND(ISNUMBER($AB$860),$B$511=1),$AB$860,HLOOKUP(INDIRECT(ADDRESS(2,COLUMN())),OFFSET($BN$2,0,0,ROW()-1,60),ROW()-1,FALSE))</f>
        <v/>
      </c>
      <c r="AC359" t="str">
        <f ca="1">IF(AND(ISNUMBER($AC$860),$B$511=1),$AC$860,HLOOKUP(INDIRECT(ADDRESS(2,COLUMN())),OFFSET($BN$2,0,0,ROW()-1,60),ROW()-1,FALSE))</f>
        <v/>
      </c>
      <c r="AD359" t="str">
        <f ca="1">IF(AND(ISNUMBER($AD$860),$B$511=1),$AD$860,HLOOKUP(INDIRECT(ADDRESS(2,COLUMN())),OFFSET($BN$2,0,0,ROW()-1,60),ROW()-1,FALSE))</f>
        <v/>
      </c>
      <c r="AE359" t="str">
        <f ca="1">IF(AND(ISNUMBER($AE$860),$B$511=1),$AE$860,HLOOKUP(INDIRECT(ADDRESS(2,COLUMN())),OFFSET($BN$2,0,0,ROW()-1,60),ROW()-1,FALSE))</f>
        <v/>
      </c>
      <c r="AF359" t="str">
        <f ca="1">IF(AND(ISNUMBER($AF$860),$B$511=1),$AF$860,HLOOKUP(INDIRECT(ADDRESS(2,COLUMN())),OFFSET($BN$2,0,0,ROW()-1,60),ROW()-1,FALSE))</f>
        <v/>
      </c>
      <c r="AG359" t="str">
        <f ca="1">IF(AND(ISNUMBER($AG$860),$B$511=1),$AG$860,HLOOKUP(INDIRECT(ADDRESS(2,COLUMN())),OFFSET($BN$2,0,0,ROW()-1,60),ROW()-1,FALSE))</f>
        <v/>
      </c>
      <c r="AH359" t="str">
        <f ca="1">IF(AND(ISNUMBER($AH$860),$B$511=1),$AH$860,HLOOKUP(INDIRECT(ADDRESS(2,COLUMN())),OFFSET($BN$2,0,0,ROW()-1,60),ROW()-1,FALSE))</f>
        <v/>
      </c>
      <c r="AI359" t="str">
        <f ca="1">IF(AND(ISNUMBER($AI$860),$B$511=1),$AI$860,HLOOKUP(INDIRECT(ADDRESS(2,COLUMN())),OFFSET($BN$2,0,0,ROW()-1,60),ROW()-1,FALSE))</f>
        <v/>
      </c>
      <c r="AJ359" t="str">
        <f ca="1">IF(AND(ISNUMBER($AJ$860),$B$511=1),$AJ$860,HLOOKUP(INDIRECT(ADDRESS(2,COLUMN())),OFFSET($BN$2,0,0,ROW()-1,60),ROW()-1,FALSE))</f>
        <v/>
      </c>
      <c r="AK359" t="str">
        <f ca="1">IF(AND(ISNUMBER($AK$860),$B$511=1),$AK$860,HLOOKUP(INDIRECT(ADDRESS(2,COLUMN())),OFFSET($BN$2,0,0,ROW()-1,60),ROW()-1,FALSE))</f>
        <v/>
      </c>
      <c r="AL359" t="str">
        <f ca="1">IF(AND(ISNUMBER($AL$860),$B$511=1),$AL$860,HLOOKUP(INDIRECT(ADDRESS(2,COLUMN())),OFFSET($BN$2,0,0,ROW()-1,60),ROW()-1,FALSE))</f>
        <v/>
      </c>
      <c r="AM359" t="str">
        <f ca="1">IF(AND(ISNUMBER($AM$860),$B$511=1),$AM$860,HLOOKUP(INDIRECT(ADDRESS(2,COLUMN())),OFFSET($BN$2,0,0,ROW()-1,60),ROW()-1,FALSE))</f>
        <v/>
      </c>
      <c r="AN359">
        <f ca="1">IF(AND(ISNUMBER($AN$860),$B$511=1),$AN$860,HLOOKUP(INDIRECT(ADDRESS(2,COLUMN())),OFFSET($BN$2,0,0,ROW()-1,60),ROW()-1,FALSE))</f>
        <v>-127.58329639999999</v>
      </c>
      <c r="AO359">
        <f ca="1">IF(AND(ISNUMBER($AO$860),$B$511=1),$AO$860,HLOOKUP(INDIRECT(ADDRESS(2,COLUMN())),OFFSET($BN$2,0,0,ROW()-1,60),ROW()-1,FALSE))</f>
        <v>-88.218283080000006</v>
      </c>
      <c r="AP359" t="str">
        <f ca="1">IF(AND(ISNUMBER($AP$860),$B$511=1),$AP$860,HLOOKUP(INDIRECT(ADDRESS(2,COLUMN())),OFFSET($BN$2,0,0,ROW()-1,60),ROW()-1,FALSE))</f>
        <v/>
      </c>
      <c r="AQ359" t="str">
        <f ca="1">IF(AND(ISNUMBER($AQ$860),$B$511=1),$AQ$860,HLOOKUP(INDIRECT(ADDRESS(2,COLUMN())),OFFSET($BN$2,0,0,ROW()-1,60),ROW()-1,FALSE))</f>
        <v/>
      </c>
      <c r="AR359" t="str">
        <f ca="1">IF(AND(ISNUMBER($AR$860),$B$511=1),$AR$860,HLOOKUP(INDIRECT(ADDRESS(2,COLUMN())),OFFSET($BN$2,0,0,ROW()-1,60),ROW()-1,FALSE))</f>
        <v/>
      </c>
      <c r="AS359" t="str">
        <f ca="1">IF(AND(ISNUMBER($AS$860),$B$511=1),$AS$860,HLOOKUP(INDIRECT(ADDRESS(2,COLUMN())),OFFSET($BN$2,0,0,ROW()-1,60),ROW()-1,FALSE))</f>
        <v/>
      </c>
      <c r="AT359" t="str">
        <f ca="1">IF(AND(ISNUMBER($AT$860),$B$511=1),$AT$860,HLOOKUP(INDIRECT(ADDRESS(2,COLUMN())),OFFSET($BN$2,0,0,ROW()-1,60),ROW()-1,FALSE))</f>
        <v/>
      </c>
      <c r="AU359" t="str">
        <f ca="1">IF(AND(ISNUMBER($AU$860),$B$511=1),$AU$860,HLOOKUP(INDIRECT(ADDRESS(2,COLUMN())),OFFSET($BN$2,0,0,ROW()-1,60),ROW()-1,FALSE))</f>
        <v/>
      </c>
      <c r="AV359" t="str">
        <f ca="1">IF(AND(ISNUMBER($AV$860),$B$511=1),$AV$860,HLOOKUP(INDIRECT(ADDRESS(2,COLUMN())),OFFSET($BN$2,0,0,ROW()-1,60),ROW()-1,FALSE))</f>
        <v/>
      </c>
      <c r="AW359" t="str">
        <f ca="1">IF(AND(ISNUMBER($AW$860),$B$511=1),$AW$860,HLOOKUP(INDIRECT(ADDRESS(2,COLUMN())),OFFSET($BN$2,0,0,ROW()-1,60),ROW()-1,FALSE))</f>
        <v/>
      </c>
      <c r="AX359" t="str">
        <f ca="1">IF(AND(ISNUMBER($AX$860),$B$511=1),$AX$860,HLOOKUP(INDIRECT(ADDRESS(2,COLUMN())),OFFSET($BN$2,0,0,ROW()-1,60),ROW()-1,FALSE))</f>
        <v/>
      </c>
      <c r="AY359" t="str">
        <f ca="1">IF(AND(ISNUMBER($AY$860),$B$511=1),$AY$860,HLOOKUP(INDIRECT(ADDRESS(2,COLUMN())),OFFSET($BN$2,0,0,ROW()-1,60),ROW()-1,FALSE))</f>
        <v/>
      </c>
      <c r="AZ359" t="str">
        <f ca="1">IF(AND(ISNUMBER($AZ$860),$B$511=1),$AZ$860,HLOOKUP(INDIRECT(ADDRESS(2,COLUMN())),OFFSET($BN$2,0,0,ROW()-1,60),ROW()-1,FALSE))</f>
        <v/>
      </c>
      <c r="BA359" t="str">
        <f ca="1">IF(AND(ISNUMBER($BA$860),$B$511=1),$BA$860,HLOOKUP(INDIRECT(ADDRESS(2,COLUMN())),OFFSET($BN$2,0,0,ROW()-1,60),ROW()-1,FALSE))</f>
        <v/>
      </c>
      <c r="BB359" t="str">
        <f ca="1">IF(AND(ISNUMBER($BB$860),$B$511=1),$BB$860,HLOOKUP(INDIRECT(ADDRESS(2,COLUMN())),OFFSET($BN$2,0,0,ROW()-1,60),ROW()-1,FALSE))</f>
        <v/>
      </c>
      <c r="BC359" t="str">
        <f ca="1">IF(AND(ISNUMBER($BC$860),$B$511=1),$BC$860,HLOOKUP(INDIRECT(ADDRESS(2,COLUMN())),OFFSET($BN$2,0,0,ROW()-1,60),ROW()-1,FALSE))</f>
        <v/>
      </c>
      <c r="BD359">
        <f ca="1">IF(AND(ISNUMBER($BD$860),$B$511=1),$BD$860,HLOOKUP(INDIRECT(ADDRESS(2,COLUMN())),OFFSET($BN$2,0,0,ROW()-1,60),ROW()-1,FALSE))</f>
        <v>-102.29943729999999</v>
      </c>
      <c r="BE359" t="str">
        <f ca="1">IF(AND(ISNUMBER($BE$860),$B$511=1),$BE$860,HLOOKUP(INDIRECT(ADDRESS(2,COLUMN())),OFFSET($BN$2,0,0,ROW()-1,60),ROW()-1,FALSE))</f>
        <v/>
      </c>
      <c r="BF359" t="str">
        <f ca="1">IF(AND(ISNUMBER($BF$860),$B$511=1),$BF$860,HLOOKUP(INDIRECT(ADDRESS(2,COLUMN())),OFFSET($BN$2,0,0,ROW()-1,60),ROW()-1,FALSE))</f>
        <v/>
      </c>
      <c r="BG359" t="str">
        <f ca="1">IF(AND(ISNUMBER($BG$860),$B$511=1),$BG$860,HLOOKUP(INDIRECT(ADDRESS(2,COLUMN())),OFFSET($BN$2,0,0,ROW()-1,60),ROW()-1,FALSE))</f>
        <v/>
      </c>
      <c r="BH359" t="str">
        <f ca="1">IF(AND(ISNUMBER($BH$860),$B$511=1),$BH$860,HLOOKUP(INDIRECT(ADDRESS(2,COLUMN())),OFFSET($BN$2,0,0,ROW()-1,60),ROW()-1,FALSE))</f>
        <v/>
      </c>
      <c r="BI359" t="str">
        <f ca="1">IF(AND(ISNUMBER($BI$860),$B$511=1),$BI$860,HLOOKUP(INDIRECT(ADDRESS(2,COLUMN())),OFFSET($BN$2,0,0,ROW()-1,60),ROW()-1,FALSE))</f>
        <v/>
      </c>
      <c r="BJ359" t="str">
        <f ca="1">IF(AND(ISNUMBER($BJ$860),$B$511=1),$BJ$860,HLOOKUP(INDIRECT(ADDRESS(2,COLUMN())),OFFSET($BN$2,0,0,ROW()-1,60),ROW()-1,FALSE))</f>
        <v/>
      </c>
      <c r="BK359" t="str">
        <f ca="1">IF(AND(ISNUMBER($BK$860),$B$511=1),$BK$860,HLOOKUP(INDIRECT(ADDRESS(2,COLUMN())),OFFSET($BN$2,0,0,ROW()-1,60),ROW()-1,FALSE))</f>
        <v/>
      </c>
      <c r="BL359" t="str">
        <f ca="1">IF(AND(ISNUMBER($BL$860),$B$511=1),$BL$860,HLOOKUP(INDIRECT(ADDRESS(2,COLUMN())),OFFSET($BN$2,0,0,ROW()-1,60),ROW()-1,FALSE))</f>
        <v/>
      </c>
      <c r="BM359" t="str">
        <f ca="1">IF(AND(ISNUMBER($BM$860),$B$511=1),$BM$860,HLOOKUP(INDIRECT(ADDRESS(2,COLUMN())),OFFSET($BN$2,0,0,ROW()-1,60),ROW()-1,FALSE))</f>
        <v/>
      </c>
      <c r="BN359" t="str">
        <f>""</f>
        <v/>
      </c>
      <c r="BO359" t="str">
        <f>""</f>
        <v/>
      </c>
      <c r="BP359" t="str">
        <f>""</f>
        <v/>
      </c>
      <c r="BQ359" t="str">
        <f>""</f>
        <v/>
      </c>
      <c r="BR359" t="str">
        <f>""</f>
        <v/>
      </c>
      <c r="BS359" t="str">
        <f>""</f>
        <v/>
      </c>
      <c r="BT359" t="str">
        <f>""</f>
        <v/>
      </c>
      <c r="BU359" t="str">
        <f>""</f>
        <v/>
      </c>
      <c r="BV359" t="str">
        <f>""</f>
        <v/>
      </c>
      <c r="BW359" t="str">
        <f>""</f>
        <v/>
      </c>
      <c r="BX359">
        <f>-4472.294331</f>
        <v>-4472.2943310000001</v>
      </c>
      <c r="BY359" t="str">
        <f>""</f>
        <v/>
      </c>
      <c r="BZ359" t="str">
        <f>""</f>
        <v/>
      </c>
      <c r="CA359" t="str">
        <f>""</f>
        <v/>
      </c>
      <c r="CB359" t="str">
        <f>""</f>
        <v/>
      </c>
      <c r="CC359" t="str">
        <f>""</f>
        <v/>
      </c>
      <c r="CD359" t="str">
        <f>""</f>
        <v/>
      </c>
      <c r="CE359" t="str">
        <f>""</f>
        <v/>
      </c>
      <c r="CF359" t="str">
        <f>""</f>
        <v/>
      </c>
      <c r="CG359" t="str">
        <f>""</f>
        <v/>
      </c>
      <c r="CH359" t="str">
        <f>""</f>
        <v/>
      </c>
      <c r="CI359" t="str">
        <f>""</f>
        <v/>
      </c>
      <c r="CJ359" t="str">
        <f>""</f>
        <v/>
      </c>
      <c r="CK359" t="str">
        <f>""</f>
        <v/>
      </c>
      <c r="CL359" t="str">
        <f>""</f>
        <v/>
      </c>
      <c r="CM359" t="str">
        <f>""</f>
        <v/>
      </c>
      <c r="CN359" t="str">
        <f>""</f>
        <v/>
      </c>
      <c r="CO359" t="str">
        <f>""</f>
        <v/>
      </c>
      <c r="CP359" t="str">
        <f>""</f>
        <v/>
      </c>
      <c r="CQ359" t="str">
        <f>""</f>
        <v/>
      </c>
      <c r="CR359" t="str">
        <f>""</f>
        <v/>
      </c>
      <c r="CS359" t="str">
        <f>""</f>
        <v/>
      </c>
      <c r="CT359" t="str">
        <f>""</f>
        <v/>
      </c>
      <c r="CU359" t="str">
        <f>""</f>
        <v/>
      </c>
      <c r="CV359">
        <f>-127.5832964</f>
        <v>-127.58329639999999</v>
      </c>
      <c r="CW359">
        <f>-88.21828308</f>
        <v>-88.218283080000006</v>
      </c>
      <c r="CX359" t="str">
        <f>""</f>
        <v/>
      </c>
      <c r="CY359" t="str">
        <f>""</f>
        <v/>
      </c>
      <c r="CZ359" t="str">
        <f>""</f>
        <v/>
      </c>
      <c r="DA359" t="str">
        <f>""</f>
        <v/>
      </c>
      <c r="DB359" t="str">
        <f>""</f>
        <v/>
      </c>
      <c r="DC359" t="str">
        <f>""</f>
        <v/>
      </c>
      <c r="DD359" t="str">
        <f>""</f>
        <v/>
      </c>
      <c r="DE359" t="str">
        <f>""</f>
        <v/>
      </c>
      <c r="DF359" t="str">
        <f>""</f>
        <v/>
      </c>
      <c r="DG359" t="str">
        <f>""</f>
        <v/>
      </c>
      <c r="DH359" t="str">
        <f>""</f>
        <v/>
      </c>
      <c r="DI359" t="str">
        <f>""</f>
        <v/>
      </c>
      <c r="DJ359" t="str">
        <f>""</f>
        <v/>
      </c>
      <c r="DK359" t="str">
        <f>""</f>
        <v/>
      </c>
      <c r="DL359">
        <f>-102.2994373</f>
        <v>-102.29943729999999</v>
      </c>
      <c r="DM359" t="str">
        <f>""</f>
        <v/>
      </c>
      <c r="DN359" t="str">
        <f>""</f>
        <v/>
      </c>
      <c r="DO359" t="str">
        <f>""</f>
        <v/>
      </c>
      <c r="DP359" t="str">
        <f>""</f>
        <v/>
      </c>
      <c r="DQ359" t="str">
        <f>""</f>
        <v/>
      </c>
      <c r="DR359" t="str">
        <f>""</f>
        <v/>
      </c>
      <c r="DS359" t="str">
        <f>""</f>
        <v/>
      </c>
      <c r="DT359" t="str">
        <f>""</f>
        <v/>
      </c>
      <c r="DU359" t="str">
        <f>""</f>
        <v/>
      </c>
    </row>
    <row r="360" spans="1:125" x14ac:dyDescent="0.25">
      <c r="A360" t="str">
        <f>"    Sanyang Motor Co Ltd"</f>
        <v xml:space="preserve">    Sanyang Motor Co Ltd</v>
      </c>
      <c r="B360" t="str">
        <f>"2206 TT Equity"</f>
        <v>2206 TT Equity</v>
      </c>
      <c r="C360" t="str">
        <f t="shared" si="24"/>
        <v>RX530</v>
      </c>
      <c r="D360" t="str">
        <f t="shared" si="25"/>
        <v>T12M_DVDS_PAID</v>
      </c>
      <c r="E360" t="str">
        <f t="shared" si="26"/>
        <v>Dynamic</v>
      </c>
      <c r="F360" t="str">
        <f ca="1">IF(AND(ISNUMBER($F$861),$B$511=1),$F$861,HLOOKUP(INDIRECT(ADDRESS(2,COLUMN())),OFFSET($BN$2,0,0,ROW()-1,60),ROW()-1,FALSE))</f>
        <v/>
      </c>
      <c r="G360" t="str">
        <f ca="1">IF(AND(ISNUMBER($G$861),$B$511=1),$G$861,HLOOKUP(INDIRECT(ADDRESS(2,COLUMN())),OFFSET($BN$2,0,0,ROW()-1,60),ROW()-1,FALSE))</f>
        <v/>
      </c>
      <c r="H360">
        <f ca="1">IF(AND(ISNUMBER($H$861),$B$511=1),$H$861,HLOOKUP(INDIRECT(ADDRESS(2,COLUMN())),OFFSET($BN$2,0,0,ROW()-1,60),ROW()-1,FALSE))</f>
        <v>-28.087526690000001</v>
      </c>
      <c r="I360">
        <f ca="1">IF(AND(ISNUMBER($I$861),$B$511=1),$I$861,HLOOKUP(INDIRECT(ADDRESS(2,COLUMN())),OFFSET($BN$2,0,0,ROW()-1,60),ROW()-1,FALSE))</f>
        <v>-29.478946319999999</v>
      </c>
      <c r="J360">
        <f ca="1">IF(AND(ISNUMBER($J$861),$B$511=1),$J$861,HLOOKUP(INDIRECT(ADDRESS(2,COLUMN())),OFFSET($BN$2,0,0,ROW()-1,60),ROW()-1,FALSE))</f>
        <v>-29.36164479</v>
      </c>
      <c r="K360">
        <f ca="1">IF(AND(ISNUMBER($K$861),$B$511=1),$K$861,HLOOKUP(INDIRECT(ADDRESS(2,COLUMN())),OFFSET($BN$2,0,0,ROW()-1,60),ROW()-1,FALSE))</f>
        <v>-28.931129240000001</v>
      </c>
      <c r="L360" t="str">
        <f ca="1">IF(AND(ISNUMBER($L$861),$B$511=1),$L$861,HLOOKUP(INDIRECT(ADDRESS(2,COLUMN())),OFFSET($BN$2,0,0,ROW()-1,60),ROW()-1,FALSE))</f>
        <v/>
      </c>
      <c r="M360" t="str">
        <f ca="1">IF(AND(ISNUMBER($M$861),$B$511=1),$M$861,HLOOKUP(INDIRECT(ADDRESS(2,COLUMN())),OFFSET($BN$2,0,0,ROW()-1,60),ROW()-1,FALSE))</f>
        <v/>
      </c>
      <c r="N360" t="str">
        <f ca="1">IF(AND(ISNUMBER($N$861),$B$511=1),$N$861,HLOOKUP(INDIRECT(ADDRESS(2,COLUMN())),OFFSET($BN$2,0,0,ROW()-1,60),ROW()-1,FALSE))</f>
        <v/>
      </c>
      <c r="O360" t="str">
        <f ca="1">IF(AND(ISNUMBER($O$861),$B$511=1),$O$861,HLOOKUP(INDIRECT(ADDRESS(2,COLUMN())),OFFSET($BN$2,0,0,ROW()-1,60),ROW()-1,FALSE))</f>
        <v/>
      </c>
      <c r="P360">
        <f ca="1">IF(AND(ISNUMBER($P$861),$B$511=1),$P$861,HLOOKUP(INDIRECT(ADDRESS(2,COLUMN())),OFFSET($BN$2,0,0,ROW()-1,60),ROW()-1,FALSE))</f>
        <v>-27.132804530000001</v>
      </c>
      <c r="Q360">
        <f ca="1">IF(AND(ISNUMBER($Q$861),$B$511=1),$Q$861,HLOOKUP(INDIRECT(ADDRESS(2,COLUMN())),OFFSET($BN$2,0,0,ROW()-1,60),ROW()-1,FALSE))</f>
        <v>0</v>
      </c>
      <c r="R360">
        <f ca="1">IF(AND(ISNUMBER($R$861),$B$511=1),$R$861,HLOOKUP(INDIRECT(ADDRESS(2,COLUMN())),OFFSET($BN$2,0,0,ROW()-1,60),ROW()-1,FALSE))</f>
        <v>0</v>
      </c>
      <c r="S360">
        <f ca="1">IF(AND(ISNUMBER($S$861),$B$511=1),$S$861,HLOOKUP(INDIRECT(ADDRESS(2,COLUMN())),OFFSET($BN$2,0,0,ROW()-1,60),ROW()-1,FALSE))</f>
        <v>0</v>
      </c>
      <c r="T360">
        <f ca="1">IF(AND(ISNUMBER($T$861),$B$511=1),$T$861,HLOOKUP(INDIRECT(ADDRESS(2,COLUMN())),OFFSET($BN$2,0,0,ROW()-1,60),ROW()-1,FALSE))</f>
        <v>0</v>
      </c>
      <c r="U360">
        <f ca="1">IF(AND(ISNUMBER($U$861),$B$511=1),$U$861,HLOOKUP(INDIRECT(ADDRESS(2,COLUMN())),OFFSET($BN$2,0,0,ROW()-1,60),ROW()-1,FALSE))</f>
        <v>0</v>
      </c>
      <c r="V360">
        <f ca="1">IF(AND(ISNUMBER($V$861),$B$511=1),$V$861,HLOOKUP(INDIRECT(ADDRESS(2,COLUMN())),OFFSET($BN$2,0,0,ROW()-1,60),ROW()-1,FALSE))</f>
        <v>-13.17587455</v>
      </c>
      <c r="W360">
        <f ca="1">IF(AND(ISNUMBER($W$861),$B$511=1),$W$861,HLOOKUP(INDIRECT(ADDRESS(2,COLUMN())),OFFSET($BN$2,0,0,ROW()-1,60),ROW()-1,FALSE))</f>
        <v>-13.30750495</v>
      </c>
      <c r="X360">
        <f ca="1">IF(AND(ISNUMBER($X$861),$B$511=1),$X$861,HLOOKUP(INDIRECT(ADDRESS(2,COLUMN())),OFFSET($BN$2,0,0,ROW()-1,60),ROW()-1,FALSE))</f>
        <v>-13.451948979999999</v>
      </c>
      <c r="Y360">
        <f ca="1">IF(AND(ISNUMBER($Y$861),$B$511=1),$Y$861,HLOOKUP(INDIRECT(ADDRESS(2,COLUMN())),OFFSET($BN$2,0,0,ROW()-1,60),ROW()-1,FALSE))</f>
        <v>-26.94188389</v>
      </c>
      <c r="Z360">
        <f ca="1">IF(AND(ISNUMBER($Z$861),$B$511=1),$Z$861,HLOOKUP(INDIRECT(ADDRESS(2,COLUMN())),OFFSET($BN$2,0,0,ROW()-1,60),ROW()-1,FALSE))</f>
        <v>-13.499460150000001</v>
      </c>
      <c r="AA360">
        <f ca="1">IF(AND(ISNUMBER($AA$861),$B$511=1),$AA$861,HLOOKUP(INDIRECT(ADDRESS(2,COLUMN())),OFFSET($BN$2,0,0,ROW()-1,60),ROW()-1,FALSE))</f>
        <v>-13.58694607</v>
      </c>
      <c r="AB360">
        <f ca="1">IF(AND(ISNUMBER($AB$861),$B$511=1),$AB$861,HLOOKUP(INDIRECT(ADDRESS(2,COLUMN())),OFFSET($BN$2,0,0,ROW()-1,60),ROW()-1,FALSE))</f>
        <v>-13.63477705</v>
      </c>
      <c r="AC360">
        <f ca="1">IF(AND(ISNUMBER($AC$861),$B$511=1),$AC$861,HLOOKUP(INDIRECT(ADDRESS(2,COLUMN())),OFFSET($BN$2,0,0,ROW()-1,60),ROW()-1,FALSE))</f>
        <v>0</v>
      </c>
      <c r="AD360">
        <f ca="1">IF(AND(ISNUMBER($AD$861),$B$511=1),$AD$861,HLOOKUP(INDIRECT(ADDRESS(2,COLUMN())),OFFSET($BN$2,0,0,ROW()-1,60),ROW()-1,FALSE))</f>
        <v>0</v>
      </c>
      <c r="AE360">
        <f ca="1">IF(AND(ISNUMBER($AE$861),$B$511=1),$AE$861,HLOOKUP(INDIRECT(ADDRESS(2,COLUMN())),OFFSET($BN$2,0,0,ROW()-1,60),ROW()-1,FALSE))</f>
        <v>0</v>
      </c>
      <c r="AF360">
        <f ca="1">IF(AND(ISNUMBER($AF$861),$B$511=1),$AF$861,HLOOKUP(INDIRECT(ADDRESS(2,COLUMN())),OFFSET($BN$2,0,0,ROW()-1,60),ROW()-1,FALSE))</f>
        <v>-3.3500000000000001E-5</v>
      </c>
      <c r="AG360">
        <f ca="1">IF(AND(ISNUMBER($AG$861),$B$511=1),$AG$861,HLOOKUP(INDIRECT(ADDRESS(2,COLUMN())),OFFSET($BN$2,0,0,ROW()-1,60),ROW()-1,FALSE))</f>
        <v>-2.8492540420000001</v>
      </c>
      <c r="AH360">
        <f ca="1">IF(AND(ISNUMBER($AH$861),$B$511=1),$AH$861,HLOOKUP(INDIRECT(ADDRESS(2,COLUMN())),OFFSET($BN$2,0,0,ROW()-1,60),ROW()-1,FALSE))</f>
        <v>-2.8679672279999999</v>
      </c>
      <c r="AI360">
        <f ca="1">IF(AND(ISNUMBER($AI$861),$B$511=1),$AI$861,HLOOKUP(INDIRECT(ADDRESS(2,COLUMN())),OFFSET($BN$2,0,0,ROW()-1,60),ROW()-1,FALSE))</f>
        <v>-2.8772959340000002</v>
      </c>
      <c r="AJ360">
        <f ca="1">IF(AND(ISNUMBER($AJ$861),$B$511=1),$AJ$861,HLOOKUP(INDIRECT(ADDRESS(2,COLUMN())),OFFSET($BN$2,0,0,ROW()-1,60),ROW()-1,FALSE))</f>
        <v>-2.8758630310000002</v>
      </c>
      <c r="AK360">
        <f ca="1">IF(AND(ISNUMBER($AK$861),$B$511=1),$AK$861,HLOOKUP(INDIRECT(ADDRESS(2,COLUMN())),OFFSET($BN$2,0,0,ROW()-1,60),ROW()-1,FALSE))</f>
        <v>0</v>
      </c>
      <c r="AL360">
        <f ca="1">IF(AND(ISNUMBER($AL$861),$B$511=1),$AL$861,HLOOKUP(INDIRECT(ADDRESS(2,COLUMN())),OFFSET($BN$2,0,0,ROW()-1,60),ROW()-1,FALSE))</f>
        <v>0</v>
      </c>
      <c r="AM360">
        <f ca="1">IF(AND(ISNUMBER($AM$861),$B$511=1),$AM$861,HLOOKUP(INDIRECT(ADDRESS(2,COLUMN())),OFFSET($BN$2,0,0,ROW()-1,60),ROW()-1,FALSE))</f>
        <v>0</v>
      </c>
      <c r="AN360">
        <f ca="1">IF(AND(ISNUMBER($AN$861),$B$511=1),$AN$861,HLOOKUP(INDIRECT(ADDRESS(2,COLUMN())),OFFSET($BN$2,0,0,ROW()-1,60),ROW()-1,FALSE))</f>
        <v>0</v>
      </c>
      <c r="AO360">
        <f ca="1">IF(AND(ISNUMBER($AO$861),$B$511=1),$AO$861,HLOOKUP(INDIRECT(ADDRESS(2,COLUMN())),OFFSET($BN$2,0,0,ROW()-1,60),ROW()-1,FALSE))</f>
        <v>0</v>
      </c>
      <c r="AP360">
        <f ca="1">IF(AND(ISNUMBER($AP$861),$B$511=1),$AP$861,HLOOKUP(INDIRECT(ADDRESS(2,COLUMN())),OFFSET($BN$2,0,0,ROW()-1,60),ROW()-1,FALSE))</f>
        <v>0</v>
      </c>
      <c r="AQ360">
        <f ca="1">IF(AND(ISNUMBER($AQ$861),$B$511=1),$AQ$861,HLOOKUP(INDIRECT(ADDRESS(2,COLUMN())),OFFSET($BN$2,0,0,ROW()-1,60),ROW()-1,FALSE))</f>
        <v>0</v>
      </c>
      <c r="AR360">
        <f ca="1">IF(AND(ISNUMBER($AR$861),$B$511=1),$AR$861,HLOOKUP(INDIRECT(ADDRESS(2,COLUMN())),OFFSET($BN$2,0,0,ROW()-1,60),ROW()-1,FALSE))</f>
        <v>0</v>
      </c>
      <c r="AS360">
        <f ca="1">IF(AND(ISNUMBER($AS$861),$B$511=1),$AS$861,HLOOKUP(INDIRECT(ADDRESS(2,COLUMN())),OFFSET($BN$2,0,0,ROW()-1,60),ROW()-1,FALSE))</f>
        <v>0</v>
      </c>
      <c r="AT360">
        <f ca="1">IF(AND(ISNUMBER($AT$861),$B$511=1),$AT$861,HLOOKUP(INDIRECT(ADDRESS(2,COLUMN())),OFFSET($BN$2,0,0,ROW()-1,60),ROW()-1,FALSE))</f>
        <v>0</v>
      </c>
      <c r="AU360" t="str">
        <f ca="1">IF(AND(ISNUMBER($AU$861),$B$511=1),$AU$861,HLOOKUP(INDIRECT(ADDRESS(2,COLUMN())),OFFSET($BN$2,0,0,ROW()-1,60),ROW()-1,FALSE))</f>
        <v/>
      </c>
      <c r="AV360" t="str">
        <f ca="1">IF(AND(ISNUMBER($AV$861),$B$511=1),$AV$861,HLOOKUP(INDIRECT(ADDRESS(2,COLUMN())),OFFSET($BN$2,0,0,ROW()-1,60),ROW()-1,FALSE))</f>
        <v/>
      </c>
      <c r="AW360" t="str">
        <f ca="1">IF(AND(ISNUMBER($AW$861),$B$511=1),$AW$861,HLOOKUP(INDIRECT(ADDRESS(2,COLUMN())),OFFSET($BN$2,0,0,ROW()-1,60),ROW()-1,FALSE))</f>
        <v/>
      </c>
      <c r="AX360" t="str">
        <f ca="1">IF(AND(ISNUMBER($AX$861),$B$511=1),$AX$861,HLOOKUP(INDIRECT(ADDRESS(2,COLUMN())),OFFSET($BN$2,0,0,ROW()-1,60),ROW()-1,FALSE))</f>
        <v/>
      </c>
      <c r="AY360" t="str">
        <f ca="1">IF(AND(ISNUMBER($AY$861),$B$511=1),$AY$861,HLOOKUP(INDIRECT(ADDRESS(2,COLUMN())),OFFSET($BN$2,0,0,ROW()-1,60),ROW()-1,FALSE))</f>
        <v/>
      </c>
      <c r="AZ360" t="str">
        <f ca="1">IF(AND(ISNUMBER($AZ$861),$B$511=1),$AZ$861,HLOOKUP(INDIRECT(ADDRESS(2,COLUMN())),OFFSET($BN$2,0,0,ROW()-1,60),ROW()-1,FALSE))</f>
        <v/>
      </c>
      <c r="BA360" t="str">
        <f ca="1">IF(AND(ISNUMBER($BA$861),$B$511=1),$BA$861,HLOOKUP(INDIRECT(ADDRESS(2,COLUMN())),OFFSET($BN$2,0,0,ROW()-1,60),ROW()-1,FALSE))</f>
        <v/>
      </c>
      <c r="BB360" t="str">
        <f ca="1">IF(AND(ISNUMBER($BB$861),$B$511=1),$BB$861,HLOOKUP(INDIRECT(ADDRESS(2,COLUMN())),OFFSET($BN$2,0,0,ROW()-1,60),ROW()-1,FALSE))</f>
        <v/>
      </c>
      <c r="BC360" t="str">
        <f ca="1">IF(AND(ISNUMBER($BC$861),$B$511=1),$BC$861,HLOOKUP(INDIRECT(ADDRESS(2,COLUMN())),OFFSET($BN$2,0,0,ROW()-1,60),ROW()-1,FALSE))</f>
        <v/>
      </c>
      <c r="BD360" t="str">
        <f ca="1">IF(AND(ISNUMBER($BD$861),$B$511=1),$BD$861,HLOOKUP(INDIRECT(ADDRESS(2,COLUMN())),OFFSET($BN$2,0,0,ROW()-1,60),ROW()-1,FALSE))</f>
        <v/>
      </c>
      <c r="BE360" t="str">
        <f ca="1">IF(AND(ISNUMBER($BE$861),$B$511=1),$BE$861,HLOOKUP(INDIRECT(ADDRESS(2,COLUMN())),OFFSET($BN$2,0,0,ROW()-1,60),ROW()-1,FALSE))</f>
        <v/>
      </c>
      <c r="BF360" t="str">
        <f ca="1">IF(AND(ISNUMBER($BF$861),$B$511=1),$BF$861,HLOOKUP(INDIRECT(ADDRESS(2,COLUMN())),OFFSET($BN$2,0,0,ROW()-1,60),ROW()-1,FALSE))</f>
        <v/>
      </c>
      <c r="BG360" t="str">
        <f ca="1">IF(AND(ISNUMBER($BG$861),$B$511=1),$BG$861,HLOOKUP(INDIRECT(ADDRESS(2,COLUMN())),OFFSET($BN$2,0,0,ROW()-1,60),ROW()-1,FALSE))</f>
        <v/>
      </c>
      <c r="BH360" t="str">
        <f ca="1">IF(AND(ISNUMBER($BH$861),$B$511=1),$BH$861,HLOOKUP(INDIRECT(ADDRESS(2,COLUMN())),OFFSET($BN$2,0,0,ROW()-1,60),ROW()-1,FALSE))</f>
        <v/>
      </c>
      <c r="BI360" t="str">
        <f ca="1">IF(AND(ISNUMBER($BI$861),$B$511=1),$BI$861,HLOOKUP(INDIRECT(ADDRESS(2,COLUMN())),OFFSET($BN$2,0,0,ROW()-1,60),ROW()-1,FALSE))</f>
        <v/>
      </c>
      <c r="BJ360" t="str">
        <f ca="1">IF(AND(ISNUMBER($BJ$861),$B$511=1),$BJ$861,HLOOKUP(INDIRECT(ADDRESS(2,COLUMN())),OFFSET($BN$2,0,0,ROW()-1,60),ROW()-1,FALSE))</f>
        <v/>
      </c>
      <c r="BK360" t="str">
        <f ca="1">IF(AND(ISNUMBER($BK$861),$B$511=1),$BK$861,HLOOKUP(INDIRECT(ADDRESS(2,COLUMN())),OFFSET($BN$2,0,0,ROW()-1,60),ROW()-1,FALSE))</f>
        <v/>
      </c>
      <c r="BL360" t="str">
        <f ca="1">IF(AND(ISNUMBER($BL$861),$B$511=1),$BL$861,HLOOKUP(INDIRECT(ADDRESS(2,COLUMN())),OFFSET($BN$2,0,0,ROW()-1,60),ROW()-1,FALSE))</f>
        <v/>
      </c>
      <c r="BM360" t="str">
        <f ca="1">IF(AND(ISNUMBER($BM$861),$B$511=1),$BM$861,HLOOKUP(INDIRECT(ADDRESS(2,COLUMN())),OFFSET($BN$2,0,0,ROW()-1,60),ROW()-1,FALSE))</f>
        <v/>
      </c>
      <c r="BN360" t="str">
        <f>""</f>
        <v/>
      </c>
      <c r="BO360" t="str">
        <f>""</f>
        <v/>
      </c>
      <c r="BP360">
        <f>-28.08752669</f>
        <v>-28.087526690000001</v>
      </c>
      <c r="BQ360">
        <f>-29.47894632</f>
        <v>-29.478946319999999</v>
      </c>
      <c r="BR360">
        <f>-29.36164479</f>
        <v>-29.36164479</v>
      </c>
      <c r="BS360">
        <f>-28.93112924</f>
        <v>-28.931129240000001</v>
      </c>
      <c r="BT360" t="str">
        <f>""</f>
        <v/>
      </c>
      <c r="BU360" t="str">
        <f>""</f>
        <v/>
      </c>
      <c r="BV360" t="str">
        <f>""</f>
        <v/>
      </c>
      <c r="BW360" t="str">
        <f>""</f>
        <v/>
      </c>
      <c r="BX360">
        <f>-27.13280453</f>
        <v>-27.132804530000001</v>
      </c>
      <c r="BY360">
        <f>0</f>
        <v>0</v>
      </c>
      <c r="BZ360">
        <f>0</f>
        <v>0</v>
      </c>
      <c r="CA360">
        <f>0</f>
        <v>0</v>
      </c>
      <c r="CB360">
        <f>0</f>
        <v>0</v>
      </c>
      <c r="CC360">
        <f>0</f>
        <v>0</v>
      </c>
      <c r="CD360">
        <f>-13.17587455</f>
        <v>-13.17587455</v>
      </c>
      <c r="CE360">
        <f>-13.30750495</f>
        <v>-13.30750495</v>
      </c>
      <c r="CF360">
        <f>-13.45194898</f>
        <v>-13.451948979999999</v>
      </c>
      <c r="CG360">
        <f>-26.94188389</f>
        <v>-26.94188389</v>
      </c>
      <c r="CH360">
        <f>-13.49946015</f>
        <v>-13.499460150000001</v>
      </c>
      <c r="CI360">
        <f>-13.58694607</f>
        <v>-13.58694607</v>
      </c>
      <c r="CJ360">
        <f>-13.63477705</f>
        <v>-13.63477705</v>
      </c>
      <c r="CK360">
        <f>0</f>
        <v>0</v>
      </c>
      <c r="CL360">
        <f>0</f>
        <v>0</v>
      </c>
      <c r="CM360">
        <f>0</f>
        <v>0</v>
      </c>
      <c r="CN360">
        <f>-0.0000335</f>
        <v>-3.3500000000000001E-5</v>
      </c>
      <c r="CO360">
        <f>-2.849254042</f>
        <v>-2.8492540420000001</v>
      </c>
      <c r="CP360">
        <f>-2.867967228</f>
        <v>-2.8679672279999999</v>
      </c>
      <c r="CQ360">
        <f>-2.877295934</f>
        <v>-2.8772959340000002</v>
      </c>
      <c r="CR360">
        <f>-2.875863031</f>
        <v>-2.8758630310000002</v>
      </c>
      <c r="CS360">
        <f>0</f>
        <v>0</v>
      </c>
      <c r="CT360">
        <f>0</f>
        <v>0</v>
      </c>
      <c r="CU360">
        <f>0</f>
        <v>0</v>
      </c>
      <c r="CV360">
        <f>0</f>
        <v>0</v>
      </c>
      <c r="CW360">
        <f>0</f>
        <v>0</v>
      </c>
      <c r="CX360">
        <f>0</f>
        <v>0</v>
      </c>
      <c r="CY360">
        <f>0</f>
        <v>0</v>
      </c>
      <c r="CZ360">
        <f>0</f>
        <v>0</v>
      </c>
      <c r="DA360">
        <f>0</f>
        <v>0</v>
      </c>
      <c r="DB360">
        <f>0</f>
        <v>0</v>
      </c>
      <c r="DC360" t="str">
        <f>""</f>
        <v/>
      </c>
      <c r="DD360" t="str">
        <f>""</f>
        <v/>
      </c>
      <c r="DE360" t="str">
        <f>""</f>
        <v/>
      </c>
      <c r="DF360" t="str">
        <f>""</f>
        <v/>
      </c>
      <c r="DG360" t="str">
        <f>""</f>
        <v/>
      </c>
      <c r="DH360" t="str">
        <f>""</f>
        <v/>
      </c>
      <c r="DI360" t="str">
        <f>""</f>
        <v/>
      </c>
      <c r="DJ360" t="str">
        <f>""</f>
        <v/>
      </c>
      <c r="DK360" t="str">
        <f>""</f>
        <v/>
      </c>
      <c r="DL360" t="str">
        <f>""</f>
        <v/>
      </c>
      <c r="DM360" t="str">
        <f>""</f>
        <v/>
      </c>
      <c r="DN360" t="str">
        <f>""</f>
        <v/>
      </c>
      <c r="DO360" t="str">
        <f>""</f>
        <v/>
      </c>
      <c r="DP360" t="str">
        <f>""</f>
        <v/>
      </c>
      <c r="DQ360" t="str">
        <f>""</f>
        <v/>
      </c>
      <c r="DR360" t="str">
        <f>""</f>
        <v/>
      </c>
      <c r="DS360" t="str">
        <f>""</f>
        <v/>
      </c>
      <c r="DT360" t="str">
        <f>""</f>
        <v/>
      </c>
      <c r="DU360" t="str">
        <f>""</f>
        <v/>
      </c>
    </row>
    <row r="361" spans="1:125" x14ac:dyDescent="0.25">
      <c r="A361" t="str">
        <f>"    Sollers PJSC"</f>
        <v xml:space="preserve">    Sollers PJSC</v>
      </c>
      <c r="B361" t="str">
        <f>"SVAV RM Equity"</f>
        <v>SVAV RM Equity</v>
      </c>
      <c r="C361" t="str">
        <f t="shared" si="24"/>
        <v>RX530</v>
      </c>
      <c r="D361" t="str">
        <f t="shared" si="25"/>
        <v>T12M_DVDS_PAID</v>
      </c>
      <c r="E361" t="str">
        <f t="shared" si="26"/>
        <v>Dynamic</v>
      </c>
      <c r="F361" t="str">
        <f ca="1">IF(AND(ISNUMBER($F$862),$B$511=1),$F$862,HLOOKUP(INDIRECT(ADDRESS(2,COLUMN())),OFFSET($BN$2,0,0,ROW()-1,60),ROW()-1,FALSE))</f>
        <v/>
      </c>
      <c r="G361" t="str">
        <f ca="1">IF(AND(ISNUMBER($G$862),$B$511=1),$G$862,HLOOKUP(INDIRECT(ADDRESS(2,COLUMN())),OFFSET($BN$2,0,0,ROW()-1,60),ROW()-1,FALSE))</f>
        <v/>
      </c>
      <c r="H361" t="str">
        <f ca="1">IF(AND(ISNUMBER($H$862),$B$511=1),$H$862,HLOOKUP(INDIRECT(ADDRESS(2,COLUMN())),OFFSET($BN$2,0,0,ROW()-1,60),ROW()-1,FALSE))</f>
        <v/>
      </c>
      <c r="I361" t="str">
        <f ca="1">IF(AND(ISNUMBER($I$862),$B$511=1),$I$862,HLOOKUP(INDIRECT(ADDRESS(2,COLUMN())),OFFSET($BN$2,0,0,ROW()-1,60),ROW()-1,FALSE))</f>
        <v/>
      </c>
      <c r="J361" t="str">
        <f ca="1">IF(AND(ISNUMBER($J$862),$B$511=1),$J$862,HLOOKUP(INDIRECT(ADDRESS(2,COLUMN())),OFFSET($BN$2,0,0,ROW()-1,60),ROW()-1,FALSE))</f>
        <v/>
      </c>
      <c r="K361" t="str">
        <f ca="1">IF(AND(ISNUMBER($K$862),$B$511=1),$K$862,HLOOKUP(INDIRECT(ADDRESS(2,COLUMN())),OFFSET($BN$2,0,0,ROW()-1,60),ROW()-1,FALSE))</f>
        <v/>
      </c>
      <c r="L361" t="str">
        <f ca="1">IF(AND(ISNUMBER($L$862),$B$511=1),$L$862,HLOOKUP(INDIRECT(ADDRESS(2,COLUMN())),OFFSET($BN$2,0,0,ROW()-1,60),ROW()-1,FALSE))</f>
        <v/>
      </c>
      <c r="M361" t="str">
        <f ca="1">IF(AND(ISNUMBER($M$862),$B$511=1),$M$862,HLOOKUP(INDIRECT(ADDRESS(2,COLUMN())),OFFSET($BN$2,0,0,ROW()-1,60),ROW()-1,FALSE))</f>
        <v/>
      </c>
      <c r="N361" t="str">
        <f ca="1">IF(AND(ISNUMBER($N$862),$B$511=1),$N$862,HLOOKUP(INDIRECT(ADDRESS(2,COLUMN())),OFFSET($BN$2,0,0,ROW()-1,60),ROW()-1,FALSE))</f>
        <v/>
      </c>
      <c r="O361" t="str">
        <f ca="1">IF(AND(ISNUMBER($O$862),$B$511=1),$O$862,HLOOKUP(INDIRECT(ADDRESS(2,COLUMN())),OFFSET($BN$2,0,0,ROW()-1,60),ROW()-1,FALSE))</f>
        <v/>
      </c>
      <c r="P361" t="str">
        <f ca="1">IF(AND(ISNUMBER($P$862),$B$511=1),$P$862,HLOOKUP(INDIRECT(ADDRESS(2,COLUMN())),OFFSET($BN$2,0,0,ROW()-1,60),ROW()-1,FALSE))</f>
        <v/>
      </c>
      <c r="Q361" t="str">
        <f ca="1">IF(AND(ISNUMBER($Q$862),$B$511=1),$Q$862,HLOOKUP(INDIRECT(ADDRESS(2,COLUMN())),OFFSET($BN$2,0,0,ROW()-1,60),ROW()-1,FALSE))</f>
        <v/>
      </c>
      <c r="R361" t="str">
        <f ca="1">IF(AND(ISNUMBER($R$862),$B$511=1),$R$862,HLOOKUP(INDIRECT(ADDRESS(2,COLUMN())),OFFSET($BN$2,0,0,ROW()-1,60),ROW()-1,FALSE))</f>
        <v/>
      </c>
      <c r="S361" t="str">
        <f ca="1">IF(AND(ISNUMBER($S$862),$B$511=1),$S$862,HLOOKUP(INDIRECT(ADDRESS(2,COLUMN())),OFFSET($BN$2,0,0,ROW()-1,60),ROW()-1,FALSE))</f>
        <v/>
      </c>
      <c r="T361" t="str">
        <f ca="1">IF(AND(ISNUMBER($T$862),$B$511=1),$T$862,HLOOKUP(INDIRECT(ADDRESS(2,COLUMN())),OFFSET($BN$2,0,0,ROW()-1,60),ROW()-1,FALSE))</f>
        <v/>
      </c>
      <c r="U361" t="str">
        <f ca="1">IF(AND(ISNUMBER($U$862),$B$511=1),$U$862,HLOOKUP(INDIRECT(ADDRESS(2,COLUMN())),OFFSET($BN$2,0,0,ROW()-1,60),ROW()-1,FALSE))</f>
        <v/>
      </c>
      <c r="V361" t="str">
        <f ca="1">IF(AND(ISNUMBER($V$862),$B$511=1),$V$862,HLOOKUP(INDIRECT(ADDRESS(2,COLUMN())),OFFSET($BN$2,0,0,ROW()-1,60),ROW()-1,FALSE))</f>
        <v/>
      </c>
      <c r="W361" t="str">
        <f ca="1">IF(AND(ISNUMBER($W$862),$B$511=1),$W$862,HLOOKUP(INDIRECT(ADDRESS(2,COLUMN())),OFFSET($BN$2,0,0,ROW()-1,60),ROW()-1,FALSE))</f>
        <v/>
      </c>
      <c r="X361" t="str">
        <f ca="1">IF(AND(ISNUMBER($X$862),$B$511=1),$X$862,HLOOKUP(INDIRECT(ADDRESS(2,COLUMN())),OFFSET($BN$2,0,0,ROW()-1,60),ROW()-1,FALSE))</f>
        <v/>
      </c>
      <c r="Y361" t="str">
        <f ca="1">IF(AND(ISNUMBER($Y$862),$B$511=1),$Y$862,HLOOKUP(INDIRECT(ADDRESS(2,COLUMN())),OFFSET($BN$2,0,0,ROW()-1,60),ROW()-1,FALSE))</f>
        <v/>
      </c>
      <c r="Z361" t="str">
        <f ca="1">IF(AND(ISNUMBER($Z$862),$B$511=1),$Z$862,HLOOKUP(INDIRECT(ADDRESS(2,COLUMN())),OFFSET($BN$2,0,0,ROW()-1,60),ROW()-1,FALSE))</f>
        <v/>
      </c>
      <c r="AA361" t="str">
        <f ca="1">IF(AND(ISNUMBER($AA$862),$B$511=1),$AA$862,HLOOKUP(INDIRECT(ADDRESS(2,COLUMN())),OFFSET($BN$2,0,0,ROW()-1,60),ROW()-1,FALSE))</f>
        <v/>
      </c>
      <c r="AB361" t="str">
        <f ca="1">IF(AND(ISNUMBER($AB$862),$B$511=1),$AB$862,HLOOKUP(INDIRECT(ADDRESS(2,COLUMN())),OFFSET($BN$2,0,0,ROW()-1,60),ROW()-1,FALSE))</f>
        <v/>
      </c>
      <c r="AC361" t="str">
        <f ca="1">IF(AND(ISNUMBER($AC$862),$B$511=1),$AC$862,HLOOKUP(INDIRECT(ADDRESS(2,COLUMN())),OFFSET($BN$2,0,0,ROW()-1,60),ROW()-1,FALSE))</f>
        <v/>
      </c>
      <c r="AD361" t="str">
        <f ca="1">IF(AND(ISNUMBER($AD$862),$B$511=1),$AD$862,HLOOKUP(INDIRECT(ADDRESS(2,COLUMN())),OFFSET($BN$2,0,0,ROW()-1,60),ROW()-1,FALSE))</f>
        <v/>
      </c>
      <c r="AE361" t="str">
        <f ca="1">IF(AND(ISNUMBER($AE$862),$B$511=1),$AE$862,HLOOKUP(INDIRECT(ADDRESS(2,COLUMN())),OFFSET($BN$2,0,0,ROW()-1,60),ROW()-1,FALSE))</f>
        <v/>
      </c>
      <c r="AF361" t="str">
        <f ca="1">IF(AND(ISNUMBER($AF$862),$B$511=1),$AF$862,HLOOKUP(INDIRECT(ADDRESS(2,COLUMN())),OFFSET($BN$2,0,0,ROW()-1,60),ROW()-1,FALSE))</f>
        <v/>
      </c>
      <c r="AG361" t="str">
        <f ca="1">IF(AND(ISNUMBER($AG$862),$B$511=1),$AG$862,HLOOKUP(INDIRECT(ADDRESS(2,COLUMN())),OFFSET($BN$2,0,0,ROW()-1,60),ROW()-1,FALSE))</f>
        <v/>
      </c>
      <c r="AH361" t="str">
        <f ca="1">IF(AND(ISNUMBER($AH$862),$B$511=1),$AH$862,HLOOKUP(INDIRECT(ADDRESS(2,COLUMN())),OFFSET($BN$2,0,0,ROW()-1,60),ROW()-1,FALSE))</f>
        <v/>
      </c>
      <c r="AI361" t="str">
        <f ca="1">IF(AND(ISNUMBER($AI$862),$B$511=1),$AI$862,HLOOKUP(INDIRECT(ADDRESS(2,COLUMN())),OFFSET($BN$2,0,0,ROW()-1,60),ROW()-1,FALSE))</f>
        <v/>
      </c>
      <c r="AJ361" t="str">
        <f ca="1">IF(AND(ISNUMBER($AJ$862),$B$511=1),$AJ$862,HLOOKUP(INDIRECT(ADDRESS(2,COLUMN())),OFFSET($BN$2,0,0,ROW()-1,60),ROW()-1,FALSE))</f>
        <v/>
      </c>
      <c r="AK361" t="str">
        <f ca="1">IF(AND(ISNUMBER($AK$862),$B$511=1),$AK$862,HLOOKUP(INDIRECT(ADDRESS(2,COLUMN())),OFFSET($BN$2,0,0,ROW()-1,60),ROW()-1,FALSE))</f>
        <v/>
      </c>
      <c r="AL361" t="str">
        <f ca="1">IF(AND(ISNUMBER($AL$862),$B$511=1),$AL$862,HLOOKUP(INDIRECT(ADDRESS(2,COLUMN())),OFFSET($BN$2,0,0,ROW()-1,60),ROW()-1,FALSE))</f>
        <v/>
      </c>
      <c r="AM361" t="str">
        <f ca="1">IF(AND(ISNUMBER($AM$862),$B$511=1),$AM$862,HLOOKUP(INDIRECT(ADDRESS(2,COLUMN())),OFFSET($BN$2,0,0,ROW()-1,60),ROW()-1,FALSE))</f>
        <v/>
      </c>
      <c r="AN361" t="str">
        <f ca="1">IF(AND(ISNUMBER($AN$862),$B$511=1),$AN$862,HLOOKUP(INDIRECT(ADDRESS(2,COLUMN())),OFFSET($BN$2,0,0,ROW()-1,60),ROW()-1,FALSE))</f>
        <v/>
      </c>
      <c r="AO361" t="str">
        <f ca="1">IF(AND(ISNUMBER($AO$862),$B$511=1),$AO$862,HLOOKUP(INDIRECT(ADDRESS(2,COLUMN())),OFFSET($BN$2,0,0,ROW()-1,60),ROW()-1,FALSE))</f>
        <v/>
      </c>
      <c r="AP361" t="str">
        <f ca="1">IF(AND(ISNUMBER($AP$862),$B$511=1),$AP$862,HLOOKUP(INDIRECT(ADDRESS(2,COLUMN())),OFFSET($BN$2,0,0,ROW()-1,60),ROW()-1,FALSE))</f>
        <v/>
      </c>
      <c r="AQ361" t="str">
        <f ca="1">IF(AND(ISNUMBER($AQ$862),$B$511=1),$AQ$862,HLOOKUP(INDIRECT(ADDRESS(2,COLUMN())),OFFSET($BN$2,0,0,ROW()-1,60),ROW()-1,FALSE))</f>
        <v/>
      </c>
      <c r="AR361" t="str">
        <f ca="1">IF(AND(ISNUMBER($AR$862),$B$511=1),$AR$862,HLOOKUP(INDIRECT(ADDRESS(2,COLUMN())),OFFSET($BN$2,0,0,ROW()-1,60),ROW()-1,FALSE))</f>
        <v/>
      </c>
      <c r="AS361" t="str">
        <f ca="1">IF(AND(ISNUMBER($AS$862),$B$511=1),$AS$862,HLOOKUP(INDIRECT(ADDRESS(2,COLUMN())),OFFSET($BN$2,0,0,ROW()-1,60),ROW()-1,FALSE))</f>
        <v/>
      </c>
      <c r="AT361" t="str">
        <f ca="1">IF(AND(ISNUMBER($AT$862),$B$511=1),$AT$862,HLOOKUP(INDIRECT(ADDRESS(2,COLUMN())),OFFSET($BN$2,0,0,ROW()-1,60),ROW()-1,FALSE))</f>
        <v/>
      </c>
      <c r="AU361" t="str">
        <f ca="1">IF(AND(ISNUMBER($AU$862),$B$511=1),$AU$862,HLOOKUP(INDIRECT(ADDRESS(2,COLUMN())),OFFSET($BN$2,0,0,ROW()-1,60),ROW()-1,FALSE))</f>
        <v/>
      </c>
      <c r="AV361" t="str">
        <f ca="1">IF(AND(ISNUMBER($AV$862),$B$511=1),$AV$862,HLOOKUP(INDIRECT(ADDRESS(2,COLUMN())),OFFSET($BN$2,0,0,ROW()-1,60),ROW()-1,FALSE))</f>
        <v/>
      </c>
      <c r="AW361" t="str">
        <f ca="1">IF(AND(ISNUMBER($AW$862),$B$511=1),$AW$862,HLOOKUP(INDIRECT(ADDRESS(2,COLUMN())),OFFSET($BN$2,0,0,ROW()-1,60),ROW()-1,FALSE))</f>
        <v/>
      </c>
      <c r="AX361" t="str">
        <f ca="1">IF(AND(ISNUMBER($AX$862),$B$511=1),$AX$862,HLOOKUP(INDIRECT(ADDRESS(2,COLUMN())),OFFSET($BN$2,0,0,ROW()-1,60),ROW()-1,FALSE))</f>
        <v/>
      </c>
      <c r="AY361" t="str">
        <f ca="1">IF(AND(ISNUMBER($AY$862),$B$511=1),$AY$862,HLOOKUP(INDIRECT(ADDRESS(2,COLUMN())),OFFSET($BN$2,0,0,ROW()-1,60),ROW()-1,FALSE))</f>
        <v/>
      </c>
      <c r="AZ361" t="str">
        <f ca="1">IF(AND(ISNUMBER($AZ$862),$B$511=1),$AZ$862,HLOOKUP(INDIRECT(ADDRESS(2,COLUMN())),OFFSET($BN$2,0,0,ROW()-1,60),ROW()-1,FALSE))</f>
        <v/>
      </c>
      <c r="BA361" t="str">
        <f ca="1">IF(AND(ISNUMBER($BA$862),$B$511=1),$BA$862,HLOOKUP(INDIRECT(ADDRESS(2,COLUMN())),OFFSET($BN$2,0,0,ROW()-1,60),ROW()-1,FALSE))</f>
        <v/>
      </c>
      <c r="BB361" t="str">
        <f ca="1">IF(AND(ISNUMBER($BB$862),$B$511=1),$BB$862,HLOOKUP(INDIRECT(ADDRESS(2,COLUMN())),OFFSET($BN$2,0,0,ROW()-1,60),ROW()-1,FALSE))</f>
        <v/>
      </c>
      <c r="BC361" t="str">
        <f ca="1">IF(AND(ISNUMBER($BC$862),$B$511=1),$BC$862,HLOOKUP(INDIRECT(ADDRESS(2,COLUMN())),OFFSET($BN$2,0,0,ROW()-1,60),ROW()-1,FALSE))</f>
        <v/>
      </c>
      <c r="BD361" t="str">
        <f ca="1">IF(AND(ISNUMBER($BD$862),$B$511=1),$BD$862,HLOOKUP(INDIRECT(ADDRESS(2,COLUMN())),OFFSET($BN$2,0,0,ROW()-1,60),ROW()-1,FALSE))</f>
        <v/>
      </c>
      <c r="BE361" t="str">
        <f ca="1">IF(AND(ISNUMBER($BE$862),$B$511=1),$BE$862,HLOOKUP(INDIRECT(ADDRESS(2,COLUMN())),OFFSET($BN$2,0,0,ROW()-1,60),ROW()-1,FALSE))</f>
        <v/>
      </c>
      <c r="BF361" t="str">
        <f ca="1">IF(AND(ISNUMBER($BF$862),$B$511=1),$BF$862,HLOOKUP(INDIRECT(ADDRESS(2,COLUMN())),OFFSET($BN$2,0,0,ROW()-1,60),ROW()-1,FALSE))</f>
        <v/>
      </c>
      <c r="BG361" t="str">
        <f ca="1">IF(AND(ISNUMBER($BG$862),$B$511=1),$BG$862,HLOOKUP(INDIRECT(ADDRESS(2,COLUMN())),OFFSET($BN$2,0,0,ROW()-1,60),ROW()-1,FALSE))</f>
        <v/>
      </c>
      <c r="BH361" t="str">
        <f ca="1">IF(AND(ISNUMBER($BH$862),$B$511=1),$BH$862,HLOOKUP(INDIRECT(ADDRESS(2,COLUMN())),OFFSET($BN$2,0,0,ROW()-1,60),ROW()-1,FALSE))</f>
        <v/>
      </c>
      <c r="BI361" t="str">
        <f ca="1">IF(AND(ISNUMBER($BI$862),$B$511=1),$BI$862,HLOOKUP(INDIRECT(ADDRESS(2,COLUMN())),OFFSET($BN$2,0,0,ROW()-1,60),ROW()-1,FALSE))</f>
        <v/>
      </c>
      <c r="BJ361" t="str">
        <f ca="1">IF(AND(ISNUMBER($BJ$862),$B$511=1),$BJ$862,HLOOKUP(INDIRECT(ADDRESS(2,COLUMN())),OFFSET($BN$2,0,0,ROW()-1,60),ROW()-1,FALSE))</f>
        <v/>
      </c>
      <c r="BK361" t="str">
        <f ca="1">IF(AND(ISNUMBER($BK$862),$B$511=1),$BK$862,HLOOKUP(INDIRECT(ADDRESS(2,COLUMN())),OFFSET($BN$2,0,0,ROW()-1,60),ROW()-1,FALSE))</f>
        <v/>
      </c>
      <c r="BL361" t="str">
        <f ca="1">IF(AND(ISNUMBER($BL$862),$B$511=1),$BL$862,HLOOKUP(INDIRECT(ADDRESS(2,COLUMN())),OFFSET($BN$2,0,0,ROW()-1,60),ROW()-1,FALSE))</f>
        <v/>
      </c>
      <c r="BM361" t="str">
        <f ca="1">IF(AND(ISNUMBER($BM$862),$B$511=1),$BM$862,HLOOKUP(INDIRECT(ADDRESS(2,COLUMN())),OFFSET($BN$2,0,0,ROW()-1,60),ROW()-1,FALSE))</f>
        <v/>
      </c>
      <c r="BN361" t="str">
        <f>""</f>
        <v/>
      </c>
      <c r="BO361" t="str">
        <f>""</f>
        <v/>
      </c>
      <c r="BP361" t="str">
        <f>""</f>
        <v/>
      </c>
      <c r="BQ361" t="str">
        <f>""</f>
        <v/>
      </c>
      <c r="BR361" t="str">
        <f>""</f>
        <v/>
      </c>
      <c r="BS361" t="str">
        <f>""</f>
        <v/>
      </c>
      <c r="BT361" t="str">
        <f>""</f>
        <v/>
      </c>
      <c r="BU361" t="str">
        <f>""</f>
        <v/>
      </c>
      <c r="BV361" t="str">
        <f>""</f>
        <v/>
      </c>
      <c r="BW361" t="str">
        <f>""</f>
        <v/>
      </c>
      <c r="BX361" t="str">
        <f>""</f>
        <v/>
      </c>
      <c r="BY361" t="str">
        <f>""</f>
        <v/>
      </c>
      <c r="BZ361" t="str">
        <f>""</f>
        <v/>
      </c>
      <c r="CA361" t="str">
        <f>""</f>
        <v/>
      </c>
      <c r="CB361" t="str">
        <f>""</f>
        <v/>
      </c>
      <c r="CC361" t="str">
        <f>""</f>
        <v/>
      </c>
      <c r="CD361" t="str">
        <f>""</f>
        <v/>
      </c>
      <c r="CE361" t="str">
        <f>""</f>
        <v/>
      </c>
      <c r="CF361" t="str">
        <f>""</f>
        <v/>
      </c>
      <c r="CG361" t="str">
        <f>""</f>
        <v/>
      </c>
      <c r="CH361" t="str">
        <f>""</f>
        <v/>
      </c>
      <c r="CI361" t="str">
        <f>""</f>
        <v/>
      </c>
      <c r="CJ361" t="str">
        <f>""</f>
        <v/>
      </c>
      <c r="CK361" t="str">
        <f>""</f>
        <v/>
      </c>
      <c r="CL361" t="str">
        <f>""</f>
        <v/>
      </c>
      <c r="CM361" t="str">
        <f>""</f>
        <v/>
      </c>
      <c r="CN361" t="str">
        <f>""</f>
        <v/>
      </c>
      <c r="CO361" t="str">
        <f>""</f>
        <v/>
      </c>
      <c r="CP361" t="str">
        <f>""</f>
        <v/>
      </c>
      <c r="CQ361" t="str">
        <f>""</f>
        <v/>
      </c>
      <c r="CR361" t="str">
        <f>""</f>
        <v/>
      </c>
      <c r="CS361" t="str">
        <f>""</f>
        <v/>
      </c>
      <c r="CT361" t="str">
        <f>""</f>
        <v/>
      </c>
      <c r="CU361" t="str">
        <f>""</f>
        <v/>
      </c>
      <c r="CV361" t="str">
        <f>""</f>
        <v/>
      </c>
      <c r="CW361" t="str">
        <f>""</f>
        <v/>
      </c>
      <c r="CX361" t="str">
        <f>""</f>
        <v/>
      </c>
      <c r="CY361" t="str">
        <f>""</f>
        <v/>
      </c>
      <c r="CZ361" t="str">
        <f>""</f>
        <v/>
      </c>
      <c r="DA361" t="str">
        <f>""</f>
        <v/>
      </c>
      <c r="DB361" t="str">
        <f>""</f>
        <v/>
      </c>
      <c r="DC361" t="str">
        <f>""</f>
        <v/>
      </c>
      <c r="DD361" t="str">
        <f>""</f>
        <v/>
      </c>
      <c r="DE361" t="str">
        <f>""</f>
        <v/>
      </c>
      <c r="DF361" t="str">
        <f>""</f>
        <v/>
      </c>
      <c r="DG361" t="str">
        <f>""</f>
        <v/>
      </c>
      <c r="DH361" t="str">
        <f>""</f>
        <v/>
      </c>
      <c r="DI361" t="str">
        <f>""</f>
        <v/>
      </c>
      <c r="DJ361" t="str">
        <f>""</f>
        <v/>
      </c>
      <c r="DK361" t="str">
        <f>""</f>
        <v/>
      </c>
      <c r="DL361" t="str">
        <f>""</f>
        <v/>
      </c>
      <c r="DM361" t="str">
        <f>""</f>
        <v/>
      </c>
      <c r="DN361" t="str">
        <f>""</f>
        <v/>
      </c>
      <c r="DO361" t="str">
        <f>""</f>
        <v/>
      </c>
      <c r="DP361" t="str">
        <f>""</f>
        <v/>
      </c>
      <c r="DQ361" t="str">
        <f>""</f>
        <v/>
      </c>
      <c r="DR361" t="str">
        <f>""</f>
        <v/>
      </c>
      <c r="DS361" t="str">
        <f>""</f>
        <v/>
      </c>
      <c r="DT361" t="str">
        <f>""</f>
        <v/>
      </c>
      <c r="DU361" t="str">
        <f>""</f>
        <v/>
      </c>
    </row>
    <row r="362" spans="1:125" x14ac:dyDescent="0.25">
      <c r="A362" t="str">
        <f>"    Ssangyong Motor Co"</f>
        <v xml:space="preserve">    Ssangyong Motor Co</v>
      </c>
      <c r="B362" t="str">
        <f>"003620 KS Equity"</f>
        <v>003620 KS Equity</v>
      </c>
      <c r="C362" t="str">
        <f t="shared" si="24"/>
        <v>RX530</v>
      </c>
      <c r="D362" t="str">
        <f t="shared" si="25"/>
        <v>T12M_DVDS_PAID</v>
      </c>
      <c r="E362" t="str">
        <f t="shared" si="26"/>
        <v>Dynamic</v>
      </c>
      <c r="F362" t="str">
        <f ca="1">IF(AND(ISNUMBER($F$863),$B$511=1),$F$863,HLOOKUP(INDIRECT(ADDRESS(2,COLUMN())),OFFSET($BN$2,0,0,ROW()-1,60),ROW()-1,FALSE))</f>
        <v/>
      </c>
      <c r="G362" t="str">
        <f ca="1">IF(AND(ISNUMBER($G$863),$B$511=1),$G$863,HLOOKUP(INDIRECT(ADDRESS(2,COLUMN())),OFFSET($BN$2,0,0,ROW()-1,60),ROW()-1,FALSE))</f>
        <v/>
      </c>
      <c r="H362">
        <f ca="1">IF(AND(ISNUMBER($H$863),$B$511=1),$H$863,HLOOKUP(INDIRECT(ADDRESS(2,COLUMN())),OFFSET($BN$2,0,0,ROW()-1,60),ROW()-1,FALSE))</f>
        <v>0</v>
      </c>
      <c r="I362">
        <f ca="1">IF(AND(ISNUMBER($I$863),$B$511=1),$I$863,HLOOKUP(INDIRECT(ADDRESS(2,COLUMN())),OFFSET($BN$2,0,0,ROW()-1,60),ROW()-1,FALSE))</f>
        <v>0</v>
      </c>
      <c r="J362">
        <f ca="1">IF(AND(ISNUMBER($J$863),$B$511=1),$J$863,HLOOKUP(INDIRECT(ADDRESS(2,COLUMN())),OFFSET($BN$2,0,0,ROW()-1,60),ROW()-1,FALSE))</f>
        <v>0</v>
      </c>
      <c r="K362">
        <f ca="1">IF(AND(ISNUMBER($K$863),$B$511=1),$K$863,HLOOKUP(INDIRECT(ADDRESS(2,COLUMN())),OFFSET($BN$2,0,0,ROW()-1,60),ROW()-1,FALSE))</f>
        <v>0</v>
      </c>
      <c r="L362">
        <f ca="1">IF(AND(ISNUMBER($L$863),$B$511=1),$L$863,HLOOKUP(INDIRECT(ADDRESS(2,COLUMN())),OFFSET($BN$2,0,0,ROW()-1,60),ROW()-1,FALSE))</f>
        <v>0</v>
      </c>
      <c r="M362">
        <f ca="1">IF(AND(ISNUMBER($M$863),$B$511=1),$M$863,HLOOKUP(INDIRECT(ADDRESS(2,COLUMN())),OFFSET($BN$2,0,0,ROW()-1,60),ROW()-1,FALSE))</f>
        <v>0</v>
      </c>
      <c r="N362">
        <f ca="1">IF(AND(ISNUMBER($N$863),$B$511=1),$N$863,HLOOKUP(INDIRECT(ADDRESS(2,COLUMN())),OFFSET($BN$2,0,0,ROW()-1,60),ROW()-1,FALSE))</f>
        <v>0</v>
      </c>
      <c r="O362">
        <f ca="1">IF(AND(ISNUMBER($O$863),$B$511=1),$O$863,HLOOKUP(INDIRECT(ADDRESS(2,COLUMN())),OFFSET($BN$2,0,0,ROW()-1,60),ROW()-1,FALSE))</f>
        <v>0</v>
      </c>
      <c r="P362">
        <f ca="1">IF(AND(ISNUMBER($P$863),$B$511=1),$P$863,HLOOKUP(INDIRECT(ADDRESS(2,COLUMN())),OFFSET($BN$2,0,0,ROW()-1,60),ROW()-1,FALSE))</f>
        <v>0</v>
      </c>
      <c r="Q362">
        <f ca="1">IF(AND(ISNUMBER($Q$863),$B$511=1),$Q$863,HLOOKUP(INDIRECT(ADDRESS(2,COLUMN())),OFFSET($BN$2,0,0,ROW()-1,60),ROW()-1,FALSE))</f>
        <v>0</v>
      </c>
      <c r="R362">
        <f ca="1">IF(AND(ISNUMBER($R$863),$B$511=1),$R$863,HLOOKUP(INDIRECT(ADDRESS(2,COLUMN())),OFFSET($BN$2,0,0,ROW()-1,60),ROW()-1,FALSE))</f>
        <v>0</v>
      </c>
      <c r="S362">
        <f ca="1">IF(AND(ISNUMBER($S$863),$B$511=1),$S$863,HLOOKUP(INDIRECT(ADDRESS(2,COLUMN())),OFFSET($BN$2,0,0,ROW()-1,60),ROW()-1,FALSE))</f>
        <v>0</v>
      </c>
      <c r="T362">
        <f ca="1">IF(AND(ISNUMBER($T$863),$B$511=1),$T$863,HLOOKUP(INDIRECT(ADDRESS(2,COLUMN())),OFFSET($BN$2,0,0,ROW()-1,60),ROW()-1,FALSE))</f>
        <v>0</v>
      </c>
      <c r="U362">
        <f ca="1">IF(AND(ISNUMBER($U$863),$B$511=1),$U$863,HLOOKUP(INDIRECT(ADDRESS(2,COLUMN())),OFFSET($BN$2,0,0,ROW()-1,60),ROW()-1,FALSE))</f>
        <v>0</v>
      </c>
      <c r="V362">
        <f ca="1">IF(AND(ISNUMBER($V$863),$B$511=1),$V$863,HLOOKUP(INDIRECT(ADDRESS(2,COLUMN())),OFFSET($BN$2,0,0,ROW()-1,60),ROW()-1,FALSE))</f>
        <v>0</v>
      </c>
      <c r="W362">
        <f ca="1">IF(AND(ISNUMBER($W$863),$B$511=1),$W$863,HLOOKUP(INDIRECT(ADDRESS(2,COLUMN())),OFFSET($BN$2,0,0,ROW()-1,60),ROW()-1,FALSE))</f>
        <v>0</v>
      </c>
      <c r="X362">
        <f ca="1">IF(AND(ISNUMBER($X$863),$B$511=1),$X$863,HLOOKUP(INDIRECT(ADDRESS(2,COLUMN())),OFFSET($BN$2,0,0,ROW()-1,60),ROW()-1,FALSE))</f>
        <v>0</v>
      </c>
      <c r="Y362">
        <f ca="1">IF(AND(ISNUMBER($Y$863),$B$511=1),$Y$863,HLOOKUP(INDIRECT(ADDRESS(2,COLUMN())),OFFSET($BN$2,0,0,ROW()-1,60),ROW()-1,FALSE))</f>
        <v>0</v>
      </c>
      <c r="Z362">
        <f ca="1">IF(AND(ISNUMBER($Z$863),$B$511=1),$Z$863,HLOOKUP(INDIRECT(ADDRESS(2,COLUMN())),OFFSET($BN$2,0,0,ROW()-1,60),ROW()-1,FALSE))</f>
        <v>0</v>
      </c>
      <c r="AA362">
        <f ca="1">IF(AND(ISNUMBER($AA$863),$B$511=1),$AA$863,HLOOKUP(INDIRECT(ADDRESS(2,COLUMN())),OFFSET($BN$2,0,0,ROW()-1,60),ROW()-1,FALSE))</f>
        <v>0</v>
      </c>
      <c r="AB362">
        <f ca="1">IF(AND(ISNUMBER($AB$863),$B$511=1),$AB$863,HLOOKUP(INDIRECT(ADDRESS(2,COLUMN())),OFFSET($BN$2,0,0,ROW()-1,60),ROW()-1,FALSE))</f>
        <v>0</v>
      </c>
      <c r="AC362">
        <f ca="1">IF(AND(ISNUMBER($AC$863),$B$511=1),$AC$863,HLOOKUP(INDIRECT(ADDRESS(2,COLUMN())),OFFSET($BN$2,0,0,ROW()-1,60),ROW()-1,FALSE))</f>
        <v>0</v>
      </c>
      <c r="AD362">
        <f ca="1">IF(AND(ISNUMBER($AD$863),$B$511=1),$AD$863,HLOOKUP(INDIRECT(ADDRESS(2,COLUMN())),OFFSET($BN$2,0,0,ROW()-1,60),ROW()-1,FALSE))</f>
        <v>0</v>
      </c>
      <c r="AE362">
        <f ca="1">IF(AND(ISNUMBER($AE$863),$B$511=1),$AE$863,HLOOKUP(INDIRECT(ADDRESS(2,COLUMN())),OFFSET($BN$2,0,0,ROW()-1,60),ROW()-1,FALSE))</f>
        <v>0</v>
      </c>
      <c r="AF362" t="str">
        <f ca="1">IF(AND(ISNUMBER($AF$863),$B$511=1),$AF$863,HLOOKUP(INDIRECT(ADDRESS(2,COLUMN())),OFFSET($BN$2,0,0,ROW()-1,60),ROW()-1,FALSE))</f>
        <v/>
      </c>
      <c r="AG362" t="str">
        <f ca="1">IF(AND(ISNUMBER($AG$863),$B$511=1),$AG$863,HLOOKUP(INDIRECT(ADDRESS(2,COLUMN())),OFFSET($BN$2,0,0,ROW()-1,60),ROW()-1,FALSE))</f>
        <v/>
      </c>
      <c r="AH362" t="str">
        <f ca="1">IF(AND(ISNUMBER($AH$863),$B$511=1),$AH$863,HLOOKUP(INDIRECT(ADDRESS(2,COLUMN())),OFFSET($BN$2,0,0,ROW()-1,60),ROW()-1,FALSE))</f>
        <v/>
      </c>
      <c r="AI362" t="str">
        <f ca="1">IF(AND(ISNUMBER($AI$863),$B$511=1),$AI$863,HLOOKUP(INDIRECT(ADDRESS(2,COLUMN())),OFFSET($BN$2,0,0,ROW()-1,60),ROW()-1,FALSE))</f>
        <v/>
      </c>
      <c r="AJ362" t="str">
        <f ca="1">IF(AND(ISNUMBER($AJ$863),$B$511=1),$AJ$863,HLOOKUP(INDIRECT(ADDRESS(2,COLUMN())),OFFSET($BN$2,0,0,ROW()-1,60),ROW()-1,FALSE))</f>
        <v/>
      </c>
      <c r="AK362" t="str">
        <f ca="1">IF(AND(ISNUMBER($AK$863),$B$511=1),$AK$863,HLOOKUP(INDIRECT(ADDRESS(2,COLUMN())),OFFSET($BN$2,0,0,ROW()-1,60),ROW()-1,FALSE))</f>
        <v/>
      </c>
      <c r="AL362" t="str">
        <f ca="1">IF(AND(ISNUMBER($AL$863),$B$511=1),$AL$863,HLOOKUP(INDIRECT(ADDRESS(2,COLUMN())),OFFSET($BN$2,0,0,ROW()-1,60),ROW()-1,FALSE))</f>
        <v/>
      </c>
      <c r="AM362" t="str">
        <f ca="1">IF(AND(ISNUMBER($AM$863),$B$511=1),$AM$863,HLOOKUP(INDIRECT(ADDRESS(2,COLUMN())),OFFSET($BN$2,0,0,ROW()-1,60),ROW()-1,FALSE))</f>
        <v/>
      </c>
      <c r="AN362" t="str">
        <f ca="1">IF(AND(ISNUMBER($AN$863),$B$511=1),$AN$863,HLOOKUP(INDIRECT(ADDRESS(2,COLUMN())),OFFSET($BN$2,0,0,ROW()-1,60),ROW()-1,FALSE))</f>
        <v/>
      </c>
      <c r="AO362" t="str">
        <f ca="1">IF(AND(ISNUMBER($AO$863),$B$511=1),$AO$863,HLOOKUP(INDIRECT(ADDRESS(2,COLUMN())),OFFSET($BN$2,0,0,ROW()-1,60),ROW()-1,FALSE))</f>
        <v/>
      </c>
      <c r="AP362" t="str">
        <f ca="1">IF(AND(ISNUMBER($AP$863),$B$511=1),$AP$863,HLOOKUP(INDIRECT(ADDRESS(2,COLUMN())),OFFSET($BN$2,0,0,ROW()-1,60),ROW()-1,FALSE))</f>
        <v/>
      </c>
      <c r="AQ362" t="str">
        <f ca="1">IF(AND(ISNUMBER($AQ$863),$B$511=1),$AQ$863,HLOOKUP(INDIRECT(ADDRESS(2,COLUMN())),OFFSET($BN$2,0,0,ROW()-1,60),ROW()-1,FALSE))</f>
        <v/>
      </c>
      <c r="AR362" t="str">
        <f ca="1">IF(AND(ISNUMBER($AR$863),$B$511=1),$AR$863,HLOOKUP(INDIRECT(ADDRESS(2,COLUMN())),OFFSET($BN$2,0,0,ROW()-1,60),ROW()-1,FALSE))</f>
        <v/>
      </c>
      <c r="AS362" t="str">
        <f ca="1">IF(AND(ISNUMBER($AS$863),$B$511=1),$AS$863,HLOOKUP(INDIRECT(ADDRESS(2,COLUMN())),OFFSET($BN$2,0,0,ROW()-1,60),ROW()-1,FALSE))</f>
        <v/>
      </c>
      <c r="AT362" t="str">
        <f ca="1">IF(AND(ISNUMBER($AT$863),$B$511=1),$AT$863,HLOOKUP(INDIRECT(ADDRESS(2,COLUMN())),OFFSET($BN$2,0,0,ROW()-1,60),ROW()-1,FALSE))</f>
        <v/>
      </c>
      <c r="AU362" t="str">
        <f ca="1">IF(AND(ISNUMBER($AU$863),$B$511=1),$AU$863,HLOOKUP(INDIRECT(ADDRESS(2,COLUMN())),OFFSET($BN$2,0,0,ROW()-1,60),ROW()-1,FALSE))</f>
        <v/>
      </c>
      <c r="AV362" t="str">
        <f ca="1">IF(AND(ISNUMBER($AV$863),$B$511=1),$AV$863,HLOOKUP(INDIRECT(ADDRESS(2,COLUMN())),OFFSET($BN$2,0,0,ROW()-1,60),ROW()-1,FALSE))</f>
        <v/>
      </c>
      <c r="AW362" t="str">
        <f ca="1">IF(AND(ISNUMBER($AW$863),$B$511=1),$AW$863,HLOOKUP(INDIRECT(ADDRESS(2,COLUMN())),OFFSET($BN$2,0,0,ROW()-1,60),ROW()-1,FALSE))</f>
        <v/>
      </c>
      <c r="AX362" t="str">
        <f ca="1">IF(AND(ISNUMBER($AX$863),$B$511=1),$AX$863,HLOOKUP(INDIRECT(ADDRESS(2,COLUMN())),OFFSET($BN$2,0,0,ROW()-1,60),ROW()-1,FALSE))</f>
        <v/>
      </c>
      <c r="AY362" t="str">
        <f ca="1">IF(AND(ISNUMBER($AY$863),$B$511=1),$AY$863,HLOOKUP(INDIRECT(ADDRESS(2,COLUMN())),OFFSET($BN$2,0,0,ROW()-1,60),ROW()-1,FALSE))</f>
        <v/>
      </c>
      <c r="AZ362" t="str">
        <f ca="1">IF(AND(ISNUMBER($AZ$863),$B$511=1),$AZ$863,HLOOKUP(INDIRECT(ADDRESS(2,COLUMN())),OFFSET($BN$2,0,0,ROW()-1,60),ROW()-1,FALSE))</f>
        <v/>
      </c>
      <c r="BA362" t="str">
        <f ca="1">IF(AND(ISNUMBER($BA$863),$B$511=1),$BA$863,HLOOKUP(INDIRECT(ADDRESS(2,COLUMN())),OFFSET($BN$2,0,0,ROW()-1,60),ROW()-1,FALSE))</f>
        <v/>
      </c>
      <c r="BB362" t="str">
        <f ca="1">IF(AND(ISNUMBER($BB$863),$B$511=1),$BB$863,HLOOKUP(INDIRECT(ADDRESS(2,COLUMN())),OFFSET($BN$2,0,0,ROW()-1,60),ROW()-1,FALSE))</f>
        <v/>
      </c>
      <c r="BC362" t="str">
        <f ca="1">IF(AND(ISNUMBER($BC$863),$B$511=1),$BC$863,HLOOKUP(INDIRECT(ADDRESS(2,COLUMN())),OFFSET($BN$2,0,0,ROW()-1,60),ROW()-1,FALSE))</f>
        <v/>
      </c>
      <c r="BD362" t="str">
        <f ca="1">IF(AND(ISNUMBER($BD$863),$B$511=1),$BD$863,HLOOKUP(INDIRECT(ADDRESS(2,COLUMN())),OFFSET($BN$2,0,0,ROW()-1,60),ROW()-1,FALSE))</f>
        <v/>
      </c>
      <c r="BE362" t="str">
        <f ca="1">IF(AND(ISNUMBER($BE$863),$B$511=1),$BE$863,HLOOKUP(INDIRECT(ADDRESS(2,COLUMN())),OFFSET($BN$2,0,0,ROW()-1,60),ROW()-1,FALSE))</f>
        <v/>
      </c>
      <c r="BF362" t="str">
        <f ca="1">IF(AND(ISNUMBER($BF$863),$B$511=1),$BF$863,HLOOKUP(INDIRECT(ADDRESS(2,COLUMN())),OFFSET($BN$2,0,0,ROW()-1,60),ROW()-1,FALSE))</f>
        <v/>
      </c>
      <c r="BG362" t="str">
        <f ca="1">IF(AND(ISNUMBER($BG$863),$B$511=1),$BG$863,HLOOKUP(INDIRECT(ADDRESS(2,COLUMN())),OFFSET($BN$2,0,0,ROW()-1,60),ROW()-1,FALSE))</f>
        <v/>
      </c>
      <c r="BH362" t="str">
        <f ca="1">IF(AND(ISNUMBER($BH$863),$B$511=1),$BH$863,HLOOKUP(INDIRECT(ADDRESS(2,COLUMN())),OFFSET($BN$2,0,0,ROW()-1,60),ROW()-1,FALSE))</f>
        <v/>
      </c>
      <c r="BI362" t="str">
        <f ca="1">IF(AND(ISNUMBER($BI$863),$B$511=1),$BI$863,HLOOKUP(INDIRECT(ADDRESS(2,COLUMN())),OFFSET($BN$2,0,0,ROW()-1,60),ROW()-1,FALSE))</f>
        <v/>
      </c>
      <c r="BJ362" t="str">
        <f ca="1">IF(AND(ISNUMBER($BJ$863),$B$511=1),$BJ$863,HLOOKUP(INDIRECT(ADDRESS(2,COLUMN())),OFFSET($BN$2,0,0,ROW()-1,60),ROW()-1,FALSE))</f>
        <v/>
      </c>
      <c r="BK362" t="str">
        <f ca="1">IF(AND(ISNUMBER($BK$863),$B$511=1),$BK$863,HLOOKUP(INDIRECT(ADDRESS(2,COLUMN())),OFFSET($BN$2,0,0,ROW()-1,60),ROW()-1,FALSE))</f>
        <v/>
      </c>
      <c r="BL362" t="str">
        <f ca="1">IF(AND(ISNUMBER($BL$863),$B$511=1),$BL$863,HLOOKUP(INDIRECT(ADDRESS(2,COLUMN())),OFFSET($BN$2,0,0,ROW()-1,60),ROW()-1,FALSE))</f>
        <v/>
      </c>
      <c r="BM362" t="str">
        <f ca="1">IF(AND(ISNUMBER($BM$863),$B$511=1),$BM$863,HLOOKUP(INDIRECT(ADDRESS(2,COLUMN())),OFFSET($BN$2,0,0,ROW()-1,60),ROW()-1,FALSE))</f>
        <v/>
      </c>
      <c r="BN362" t="str">
        <f>""</f>
        <v/>
      </c>
      <c r="BO362" t="str">
        <f>""</f>
        <v/>
      </c>
      <c r="BP362">
        <f>0</f>
        <v>0</v>
      </c>
      <c r="BQ362">
        <f>0</f>
        <v>0</v>
      </c>
      <c r="BR362">
        <f>0</f>
        <v>0</v>
      </c>
      <c r="BS362">
        <f>0</f>
        <v>0</v>
      </c>
      <c r="BT362">
        <f>0</f>
        <v>0</v>
      </c>
      <c r="BU362">
        <f>0</f>
        <v>0</v>
      </c>
      <c r="BV362">
        <f>0</f>
        <v>0</v>
      </c>
      <c r="BW362">
        <f>0</f>
        <v>0</v>
      </c>
      <c r="BX362">
        <f>0</f>
        <v>0</v>
      </c>
      <c r="BY362">
        <f>0</f>
        <v>0</v>
      </c>
      <c r="BZ362">
        <f>0</f>
        <v>0</v>
      </c>
      <c r="CA362">
        <f>0</f>
        <v>0</v>
      </c>
      <c r="CB362">
        <f>0</f>
        <v>0</v>
      </c>
      <c r="CC362">
        <f>0</f>
        <v>0</v>
      </c>
      <c r="CD362">
        <f>0</f>
        <v>0</v>
      </c>
      <c r="CE362">
        <f>0</f>
        <v>0</v>
      </c>
      <c r="CF362">
        <f>0</f>
        <v>0</v>
      </c>
      <c r="CG362">
        <f>0</f>
        <v>0</v>
      </c>
      <c r="CH362">
        <f>0</f>
        <v>0</v>
      </c>
      <c r="CI362">
        <f>0</f>
        <v>0</v>
      </c>
      <c r="CJ362">
        <f>0</f>
        <v>0</v>
      </c>
      <c r="CK362">
        <f>0</f>
        <v>0</v>
      </c>
      <c r="CL362">
        <f>0</f>
        <v>0</v>
      </c>
      <c r="CM362">
        <f>0</f>
        <v>0</v>
      </c>
      <c r="CN362" t="str">
        <f>""</f>
        <v/>
      </c>
      <c r="CO362" t="str">
        <f>""</f>
        <v/>
      </c>
      <c r="CP362" t="str">
        <f>""</f>
        <v/>
      </c>
      <c r="CQ362" t="str">
        <f>""</f>
        <v/>
      </c>
      <c r="CR362" t="str">
        <f>""</f>
        <v/>
      </c>
      <c r="CS362" t="str">
        <f>""</f>
        <v/>
      </c>
      <c r="CT362" t="str">
        <f>""</f>
        <v/>
      </c>
      <c r="CU362" t="str">
        <f>""</f>
        <v/>
      </c>
      <c r="CV362" t="str">
        <f>""</f>
        <v/>
      </c>
      <c r="CW362" t="str">
        <f>""</f>
        <v/>
      </c>
      <c r="CX362" t="str">
        <f>""</f>
        <v/>
      </c>
      <c r="CY362" t="str">
        <f>""</f>
        <v/>
      </c>
      <c r="CZ362" t="str">
        <f>""</f>
        <v/>
      </c>
      <c r="DA362" t="str">
        <f>""</f>
        <v/>
      </c>
      <c r="DB362" t="str">
        <f>""</f>
        <v/>
      </c>
      <c r="DC362" t="str">
        <f>""</f>
        <v/>
      </c>
      <c r="DD362" t="str">
        <f>""</f>
        <v/>
      </c>
      <c r="DE362" t="str">
        <f>""</f>
        <v/>
      </c>
      <c r="DF362" t="str">
        <f>""</f>
        <v/>
      </c>
      <c r="DG362" t="str">
        <f>""</f>
        <v/>
      </c>
      <c r="DH362" t="str">
        <f>""</f>
        <v/>
      </c>
      <c r="DI362" t="str">
        <f>""</f>
        <v/>
      </c>
      <c r="DJ362" t="str">
        <f>""</f>
        <v/>
      </c>
      <c r="DK362" t="str">
        <f>""</f>
        <v/>
      </c>
      <c r="DL362" t="str">
        <f>""</f>
        <v/>
      </c>
      <c r="DM362" t="str">
        <f>""</f>
        <v/>
      </c>
      <c r="DN362" t="str">
        <f>""</f>
        <v/>
      </c>
      <c r="DO362" t="str">
        <f>""</f>
        <v/>
      </c>
      <c r="DP362" t="str">
        <f>""</f>
        <v/>
      </c>
      <c r="DQ362" t="str">
        <f>""</f>
        <v/>
      </c>
      <c r="DR362" t="str">
        <f>""</f>
        <v/>
      </c>
      <c r="DS362" t="str">
        <f>""</f>
        <v/>
      </c>
      <c r="DT362" t="str">
        <f>""</f>
        <v/>
      </c>
      <c r="DU362" t="str">
        <f>""</f>
        <v/>
      </c>
    </row>
    <row r="363" spans="1:125" x14ac:dyDescent="0.25">
      <c r="A363" t="str">
        <f>"    Subaru Corp"</f>
        <v xml:space="preserve">    Subaru Corp</v>
      </c>
      <c r="B363" t="str">
        <f>"7270 JP Equity"</f>
        <v>7270 JP Equity</v>
      </c>
      <c r="C363" t="str">
        <f t="shared" si="24"/>
        <v>RX530</v>
      </c>
      <c r="D363" t="str">
        <f t="shared" si="25"/>
        <v>T12M_DVDS_PAID</v>
      </c>
      <c r="E363" t="str">
        <f t="shared" si="26"/>
        <v>Dynamic</v>
      </c>
      <c r="F363" t="str">
        <f ca="1">IF(AND(ISNUMBER($F$864),$B$511=1),$F$864,HLOOKUP(INDIRECT(ADDRESS(2,COLUMN())),OFFSET($BN$2,0,0,ROW()-1,60),ROW()-1,FALSE))</f>
        <v/>
      </c>
      <c r="G363">
        <f ca="1">IF(AND(ISNUMBER($G$864),$B$511=1),$G$864,HLOOKUP(INDIRECT(ADDRESS(2,COLUMN())),OFFSET($BN$2,0,0,ROW()-1,60),ROW()-1,FALSE))</f>
        <v>-999.1028139</v>
      </c>
      <c r="H363">
        <f ca="1">IF(AND(ISNUMBER($H$864),$B$511=1),$H$864,HLOOKUP(INDIRECT(ADDRESS(2,COLUMN())),OFFSET($BN$2,0,0,ROW()-1,60),ROW()-1,FALSE))</f>
        <v>-999.49100069999997</v>
      </c>
      <c r="I363">
        <f ca="1">IF(AND(ISNUMBER($I$864),$B$511=1),$I$864,HLOOKUP(INDIRECT(ADDRESS(2,COLUMN())),OFFSET($BN$2,0,0,ROW()-1,60),ROW()-1,FALSE))</f>
        <v>-997.49969180000005</v>
      </c>
      <c r="J363">
        <f ca="1">IF(AND(ISNUMBER($J$864),$B$511=1),$J$864,HLOOKUP(INDIRECT(ADDRESS(2,COLUMN())),OFFSET($BN$2,0,0,ROW()-1,60),ROW()-1,FALSE))</f>
        <v>-995.78386579999994</v>
      </c>
      <c r="K363">
        <f ca="1">IF(AND(ISNUMBER($K$864),$B$511=1),$K$864,HLOOKUP(INDIRECT(ADDRESS(2,COLUMN())),OFFSET($BN$2,0,0,ROW()-1,60),ROW()-1,FALSE))</f>
        <v>-985.46939459999999</v>
      </c>
      <c r="L363">
        <f ca="1">IF(AND(ISNUMBER($L$864),$B$511=1),$L$864,HLOOKUP(INDIRECT(ADDRESS(2,COLUMN())),OFFSET($BN$2,0,0,ROW()-1,60),ROW()-1,FALSE))</f>
        <v>-993.4106233</v>
      </c>
      <c r="M363">
        <f ca="1">IF(AND(ISNUMBER($M$864),$B$511=1),$M$864,HLOOKUP(INDIRECT(ADDRESS(2,COLUMN())),OFFSET($BN$2,0,0,ROW()-1,60),ROW()-1,FALSE))</f>
        <v>-1015.847608</v>
      </c>
      <c r="N363">
        <f ca="1">IF(AND(ISNUMBER($N$864),$B$511=1),$N$864,HLOOKUP(INDIRECT(ADDRESS(2,COLUMN())),OFFSET($BN$2,0,0,ROW()-1,60),ROW()-1,FALSE))</f>
        <v>-1030.8247080000001</v>
      </c>
      <c r="O363">
        <f ca="1">IF(AND(ISNUMBER($O$864),$B$511=1),$O$864,HLOOKUP(INDIRECT(ADDRESS(2,COLUMN())),OFFSET($BN$2,0,0,ROW()-1,60),ROW()-1,FALSE))</f>
        <v>-1025.5660809999999</v>
      </c>
      <c r="P363">
        <f ca="1">IF(AND(ISNUMBER($P$864),$B$511=1),$P$864,HLOOKUP(INDIRECT(ADDRESS(2,COLUMN())),OFFSET($BN$2,0,0,ROW()-1,60),ROW()-1,FALSE))</f>
        <v>-1008.848792</v>
      </c>
      <c r="Q363">
        <f ca="1">IF(AND(ISNUMBER($Q$864),$B$511=1),$Q$864,HLOOKUP(INDIRECT(ADDRESS(2,COLUMN())),OFFSET($BN$2,0,0,ROW()-1,60),ROW()-1,FALSE))</f>
        <v>-959.66003350000005</v>
      </c>
      <c r="R363">
        <f ca="1">IF(AND(ISNUMBER($R$864),$B$511=1),$R$864,HLOOKUP(INDIRECT(ADDRESS(2,COLUMN())),OFFSET($BN$2,0,0,ROW()-1,60),ROW()-1,FALSE))</f>
        <v>-708.09549579999998</v>
      </c>
      <c r="S363">
        <f ca="1">IF(AND(ISNUMBER($S$864),$B$511=1),$S$864,HLOOKUP(INDIRECT(ADDRESS(2,COLUMN())),OFFSET($BN$2,0,0,ROW()-1,60),ROW()-1,FALSE))</f>
        <v>-701.34926689999998</v>
      </c>
      <c r="T363">
        <f ca="1">IF(AND(ISNUMBER($T$864),$B$511=1),$T$864,HLOOKUP(INDIRECT(ADDRESS(2,COLUMN())),OFFSET($BN$2,0,0,ROW()-1,60),ROW()-1,FALSE))</f>
        <v>-444.78419550000001</v>
      </c>
      <c r="U363">
        <f ca="1">IF(AND(ISNUMBER($U$864),$B$511=1),$U$864,HLOOKUP(INDIRECT(ADDRESS(2,COLUMN())),OFFSET($BN$2,0,0,ROW()-1,60),ROW()-1,FALSE))</f>
        <v>-463.6916137</v>
      </c>
      <c r="V363">
        <f ca="1">IF(AND(ISNUMBER($V$864),$B$511=1),$V$864,HLOOKUP(INDIRECT(ADDRESS(2,COLUMN())),OFFSET($BN$2,0,0,ROW()-1,60),ROW()-1,FALSE))</f>
        <v>-456.07748989999999</v>
      </c>
      <c r="W363">
        <f ca="1">IF(AND(ISNUMBER($W$864),$B$511=1),$W$864,HLOOKUP(INDIRECT(ADDRESS(2,COLUMN())),OFFSET($BN$2,0,0,ROW()-1,60),ROW()-1,FALSE))</f>
        <v>-471.687251</v>
      </c>
      <c r="X363">
        <f ca="1">IF(AND(ISNUMBER($X$864),$B$511=1),$X$864,HLOOKUP(INDIRECT(ADDRESS(2,COLUMN())),OFFSET($BN$2,0,0,ROW()-1,60),ROW()-1,FALSE))</f>
        <v>-405.87871580000001</v>
      </c>
      <c r="Y363">
        <f ca="1">IF(AND(ISNUMBER($Y$864),$B$511=1),$Y$864,HLOOKUP(INDIRECT(ADDRESS(2,COLUMN())),OFFSET($BN$2,0,0,ROW()-1,60),ROW()-1,FALSE))</f>
        <v>-407.14214440000001</v>
      </c>
      <c r="Z363">
        <f ca="1">IF(AND(ISNUMBER($Z$864),$B$511=1),$Z$864,HLOOKUP(INDIRECT(ADDRESS(2,COLUMN())),OFFSET($BN$2,0,0,ROW()-1,60),ROW()-1,FALSE))</f>
        <v>-235.4538824</v>
      </c>
      <c r="AA363">
        <f ca="1">IF(AND(ISNUMBER($AA$864),$B$511=1),$AA$864,HLOOKUP(INDIRECT(ADDRESS(2,COLUMN())),OFFSET($BN$2,0,0,ROW()-1,60),ROW()-1,FALSE))</f>
        <v>-242.28413639999999</v>
      </c>
      <c r="AB363">
        <f ca="1">IF(AND(ISNUMBER($AB$864),$B$511=1),$AB$864,HLOOKUP(INDIRECT(ADDRESS(2,COLUMN())),OFFSET($BN$2,0,0,ROW()-1,60),ROW()-1,FALSE))</f>
        <v>-126.7994635</v>
      </c>
      <c r="AC363">
        <f ca="1">IF(AND(ISNUMBER($AC$864),$B$511=1),$AC$864,HLOOKUP(INDIRECT(ADDRESS(2,COLUMN())),OFFSET($BN$2,0,0,ROW()-1,60),ROW()-1,FALSE))</f>
        <v>-132.81328769999999</v>
      </c>
      <c r="AD363">
        <f ca="1">IF(AND(ISNUMBER($AD$864),$B$511=1),$AD$864,HLOOKUP(INDIRECT(ADDRESS(2,COLUMN())),OFFSET($BN$2,0,0,ROW()-1,60),ROW()-1,FALSE))</f>
        <v>-89.46021125</v>
      </c>
      <c r="AE363">
        <f ca="1">IF(AND(ISNUMBER($AE$864),$B$511=1),$AE$864,HLOOKUP(INDIRECT(ADDRESS(2,COLUMN())),OFFSET($BN$2,0,0,ROW()-1,60),ROW()-1,FALSE))</f>
        <v>-92.806262899999993</v>
      </c>
      <c r="AF363">
        <f ca="1">IF(AND(ISNUMBER($AF$864),$B$511=1),$AF$864,HLOOKUP(INDIRECT(ADDRESS(2,COLUMN())),OFFSET($BN$2,0,0,ROW()-1,60),ROW()-1,FALSE))</f>
        <v>-89.025161940000004</v>
      </c>
      <c r="AG363">
        <f ca="1">IF(AND(ISNUMBER($AG$864),$B$511=1),$AG$864,HLOOKUP(INDIRECT(ADDRESS(2,COLUMN())),OFFSET($BN$2,0,0,ROW()-1,60),ROW()-1,FALSE))</f>
        <v>-89.819379979999994</v>
      </c>
      <c r="AH363">
        <f ca="1">IF(AND(ISNUMBER($AH$864),$B$511=1),$AH$864,HLOOKUP(INDIRECT(ADDRESS(2,COLUMN())),OFFSET($BN$2,0,0,ROW()-1,60),ROW()-1,FALSE))</f>
        <v>-89.058844129999997</v>
      </c>
      <c r="AI363">
        <f ca="1">IF(AND(ISNUMBER($AI$864),$B$511=1),$AI$864,HLOOKUP(INDIRECT(ADDRESS(2,COLUMN())),OFFSET($BN$2,0,0,ROW()-1,60),ROW()-1,FALSE))</f>
        <v>-88.006292819999999</v>
      </c>
      <c r="AJ363">
        <f ca="1">IF(AND(ISNUMBER($AJ$864),$B$511=1),$AJ$864,HLOOKUP(INDIRECT(ADDRESS(2,COLUMN())),OFFSET($BN$2,0,0,ROW()-1,60),ROW()-1,FALSE))</f>
        <v>-86.624677719999994</v>
      </c>
      <c r="AK363">
        <f ca="1">IF(AND(ISNUMBER($AK$864),$B$511=1),$AK$864,HLOOKUP(INDIRECT(ADDRESS(2,COLUMN())),OFFSET($BN$2,0,0,ROW()-1,60),ROW()-1,FALSE))</f>
        <v>-81.641548720000003</v>
      </c>
      <c r="AL363">
        <f ca="1">IF(AND(ISNUMBER($AL$864),$B$511=1),$AL$864,HLOOKUP(INDIRECT(ADDRESS(2,COLUMN())),OFFSET($BN$2,0,0,ROW()-1,60),ROW()-1,FALSE))</f>
        <v>-40.930994929999997</v>
      </c>
      <c r="AM363">
        <f ca="1">IF(AND(ISNUMBER($AM$864),$B$511=1),$AM$864,HLOOKUP(INDIRECT(ADDRESS(2,COLUMN())),OFFSET($BN$2,0,0,ROW()-1,60),ROW()-1,FALSE))</f>
        <v>-39.731474560000002</v>
      </c>
      <c r="AN363">
        <f ca="1">IF(AND(ISNUMBER($AN$864),$B$511=1),$AN$864,HLOOKUP(INDIRECT(ADDRESS(2,COLUMN())),OFFSET($BN$2,0,0,ROW()-1,60),ROW()-1,FALSE))</f>
        <v>0</v>
      </c>
      <c r="AO363">
        <f ca="1">IF(AND(ISNUMBER($AO$864),$B$511=1),$AO$864,HLOOKUP(INDIRECT(ADDRESS(2,COLUMN())),OFFSET($BN$2,0,0,ROW()-1,60),ROW()-1,FALSE))</f>
        <v>0</v>
      </c>
      <c r="AP363">
        <f ca="1">IF(AND(ISNUMBER($AP$864),$B$511=1),$AP$864,HLOOKUP(INDIRECT(ADDRESS(2,COLUMN())),OFFSET($BN$2,0,0,ROW()-1,60),ROW()-1,FALSE))</f>
        <v>0</v>
      </c>
      <c r="AQ363">
        <f ca="1">IF(AND(ISNUMBER($AQ$864),$B$511=1),$AQ$864,HLOOKUP(INDIRECT(ADDRESS(2,COLUMN())),OFFSET($BN$2,0,0,ROW()-1,60),ROW()-1,FALSE))</f>
        <v>-1.5194054930000001</v>
      </c>
      <c r="AR363">
        <f ca="1">IF(AND(ISNUMBER($AR$864),$B$511=1),$AR$864,HLOOKUP(INDIRECT(ADDRESS(2,COLUMN())),OFFSET($BN$2,0,0,ROW()-1,60),ROW()-1,FALSE))</f>
        <v>-36.949149550000001</v>
      </c>
      <c r="AS363">
        <f ca="1">IF(AND(ISNUMBER($AS$864),$B$511=1),$AS$864,HLOOKUP(INDIRECT(ADDRESS(2,COLUMN())),OFFSET($BN$2,0,0,ROW()-1,60),ROW()-1,FALSE))</f>
        <v>-39.753356519999997</v>
      </c>
      <c r="AT363">
        <f ca="1">IF(AND(ISNUMBER($AT$864),$B$511=1),$AT$864,HLOOKUP(INDIRECT(ADDRESS(2,COLUMN())),OFFSET($BN$2,0,0,ROW()-1,60),ROW()-1,FALSE))</f>
        <v>-67.384738530000007</v>
      </c>
      <c r="AU363" t="str">
        <f ca="1">IF(AND(ISNUMBER($AU$864),$B$511=1),$AU$864,HLOOKUP(INDIRECT(ADDRESS(2,COLUMN())),OFFSET($BN$2,0,0,ROW()-1,60),ROW()-1,FALSE))</f>
        <v/>
      </c>
      <c r="AV363" t="str">
        <f ca="1">IF(AND(ISNUMBER($AV$864),$B$511=1),$AV$864,HLOOKUP(INDIRECT(ADDRESS(2,COLUMN())),OFFSET($BN$2,0,0,ROW()-1,60),ROW()-1,FALSE))</f>
        <v/>
      </c>
      <c r="AW363" t="str">
        <f ca="1">IF(AND(ISNUMBER($AW$864),$B$511=1),$AW$864,HLOOKUP(INDIRECT(ADDRESS(2,COLUMN())),OFFSET($BN$2,0,0,ROW()-1,60),ROW()-1,FALSE))</f>
        <v/>
      </c>
      <c r="AX363" t="str">
        <f ca="1">IF(AND(ISNUMBER($AX$864),$B$511=1),$AX$864,HLOOKUP(INDIRECT(ADDRESS(2,COLUMN())),OFFSET($BN$2,0,0,ROW()-1,60),ROW()-1,FALSE))</f>
        <v/>
      </c>
      <c r="AY363" t="str">
        <f ca="1">IF(AND(ISNUMBER($AY$864),$B$511=1),$AY$864,HLOOKUP(INDIRECT(ADDRESS(2,COLUMN())),OFFSET($BN$2,0,0,ROW()-1,60),ROW()-1,FALSE))</f>
        <v/>
      </c>
      <c r="AZ363" t="str">
        <f ca="1">IF(AND(ISNUMBER($AZ$864),$B$511=1),$AZ$864,HLOOKUP(INDIRECT(ADDRESS(2,COLUMN())),OFFSET($BN$2,0,0,ROW()-1,60),ROW()-1,FALSE))</f>
        <v/>
      </c>
      <c r="BA363" t="str">
        <f ca="1">IF(AND(ISNUMBER($BA$864),$B$511=1),$BA$864,HLOOKUP(INDIRECT(ADDRESS(2,COLUMN())),OFFSET($BN$2,0,0,ROW()-1,60),ROW()-1,FALSE))</f>
        <v/>
      </c>
      <c r="BB363" t="str">
        <f ca="1">IF(AND(ISNUMBER($BB$864),$B$511=1),$BB$864,HLOOKUP(INDIRECT(ADDRESS(2,COLUMN())),OFFSET($BN$2,0,0,ROW()-1,60),ROW()-1,FALSE))</f>
        <v/>
      </c>
      <c r="BC363" t="str">
        <f ca="1">IF(AND(ISNUMBER($BC$864),$B$511=1),$BC$864,HLOOKUP(INDIRECT(ADDRESS(2,COLUMN())),OFFSET($BN$2,0,0,ROW()-1,60),ROW()-1,FALSE))</f>
        <v/>
      </c>
      <c r="BD363" t="str">
        <f ca="1">IF(AND(ISNUMBER($BD$864),$B$511=1),$BD$864,HLOOKUP(INDIRECT(ADDRESS(2,COLUMN())),OFFSET($BN$2,0,0,ROW()-1,60),ROW()-1,FALSE))</f>
        <v/>
      </c>
      <c r="BE363" t="str">
        <f ca="1">IF(AND(ISNUMBER($BE$864),$B$511=1),$BE$864,HLOOKUP(INDIRECT(ADDRESS(2,COLUMN())),OFFSET($BN$2,0,0,ROW()-1,60),ROW()-1,FALSE))</f>
        <v/>
      </c>
      <c r="BF363" t="str">
        <f ca="1">IF(AND(ISNUMBER($BF$864),$B$511=1),$BF$864,HLOOKUP(INDIRECT(ADDRESS(2,COLUMN())),OFFSET($BN$2,0,0,ROW()-1,60),ROW()-1,FALSE))</f>
        <v/>
      </c>
      <c r="BG363" t="str">
        <f ca="1">IF(AND(ISNUMBER($BG$864),$B$511=1),$BG$864,HLOOKUP(INDIRECT(ADDRESS(2,COLUMN())),OFFSET($BN$2,0,0,ROW()-1,60),ROW()-1,FALSE))</f>
        <v/>
      </c>
      <c r="BH363" t="str">
        <f ca="1">IF(AND(ISNUMBER($BH$864),$B$511=1),$BH$864,HLOOKUP(INDIRECT(ADDRESS(2,COLUMN())),OFFSET($BN$2,0,0,ROW()-1,60),ROW()-1,FALSE))</f>
        <v/>
      </c>
      <c r="BI363" t="str">
        <f ca="1">IF(AND(ISNUMBER($BI$864),$B$511=1),$BI$864,HLOOKUP(INDIRECT(ADDRESS(2,COLUMN())),OFFSET($BN$2,0,0,ROW()-1,60),ROW()-1,FALSE))</f>
        <v/>
      </c>
      <c r="BJ363" t="str">
        <f ca="1">IF(AND(ISNUMBER($BJ$864),$B$511=1),$BJ$864,HLOOKUP(INDIRECT(ADDRESS(2,COLUMN())),OFFSET($BN$2,0,0,ROW()-1,60),ROW()-1,FALSE))</f>
        <v/>
      </c>
      <c r="BK363" t="str">
        <f ca="1">IF(AND(ISNUMBER($BK$864),$B$511=1),$BK$864,HLOOKUP(INDIRECT(ADDRESS(2,COLUMN())),OFFSET($BN$2,0,0,ROW()-1,60),ROW()-1,FALSE))</f>
        <v/>
      </c>
      <c r="BL363" t="str">
        <f ca="1">IF(AND(ISNUMBER($BL$864),$B$511=1),$BL$864,HLOOKUP(INDIRECT(ADDRESS(2,COLUMN())),OFFSET($BN$2,0,0,ROW()-1,60),ROW()-1,FALSE))</f>
        <v/>
      </c>
      <c r="BM363" t="str">
        <f ca="1">IF(AND(ISNUMBER($BM$864),$B$511=1),$BM$864,HLOOKUP(INDIRECT(ADDRESS(2,COLUMN())),OFFSET($BN$2,0,0,ROW()-1,60),ROW()-1,FALSE))</f>
        <v/>
      </c>
      <c r="BN363" t="str">
        <f>""</f>
        <v/>
      </c>
      <c r="BO363">
        <f>-999.1028139</f>
        <v>-999.1028139</v>
      </c>
      <c r="BP363">
        <f>-999.4910007</f>
        <v>-999.49100069999997</v>
      </c>
      <c r="BQ363">
        <f>-997.4996918</f>
        <v>-997.49969180000005</v>
      </c>
      <c r="BR363">
        <f>-995.7838658</f>
        <v>-995.78386579999994</v>
      </c>
      <c r="BS363">
        <f>-985.4693946</f>
        <v>-985.46939459999999</v>
      </c>
      <c r="BT363">
        <f>-993.4106233</f>
        <v>-993.4106233</v>
      </c>
      <c r="BU363">
        <f>-1015.847608</f>
        <v>-1015.847608</v>
      </c>
      <c r="BV363">
        <f>-1030.824708</f>
        <v>-1030.8247080000001</v>
      </c>
      <c r="BW363">
        <f>-1025.566081</f>
        <v>-1025.5660809999999</v>
      </c>
      <c r="BX363">
        <f>-1008.848792</f>
        <v>-1008.848792</v>
      </c>
      <c r="BY363">
        <f>-959.6600335</f>
        <v>-959.66003350000005</v>
      </c>
      <c r="BZ363">
        <f>-708.0954958</f>
        <v>-708.09549579999998</v>
      </c>
      <c r="CA363">
        <f>-701.3492669</f>
        <v>-701.34926689999998</v>
      </c>
      <c r="CB363">
        <f>-444.7841955</f>
        <v>-444.78419550000001</v>
      </c>
      <c r="CC363">
        <f>-463.6916137</f>
        <v>-463.6916137</v>
      </c>
      <c r="CD363">
        <f>-456.0774899</f>
        <v>-456.07748989999999</v>
      </c>
      <c r="CE363">
        <f>-471.687251</f>
        <v>-471.687251</v>
      </c>
      <c r="CF363">
        <f>-405.8787158</f>
        <v>-405.87871580000001</v>
      </c>
      <c r="CG363">
        <f>-407.1421444</f>
        <v>-407.14214440000001</v>
      </c>
      <c r="CH363">
        <f>-235.4538824</f>
        <v>-235.4538824</v>
      </c>
      <c r="CI363">
        <f>-242.2841364</f>
        <v>-242.28413639999999</v>
      </c>
      <c r="CJ363">
        <f>-126.7994635</f>
        <v>-126.7994635</v>
      </c>
      <c r="CK363">
        <f>-132.8132877</f>
        <v>-132.81328769999999</v>
      </c>
      <c r="CL363">
        <f>-89.46021125</f>
        <v>-89.46021125</v>
      </c>
      <c r="CM363">
        <f>-92.8062629</f>
        <v>-92.806262899999993</v>
      </c>
      <c r="CN363">
        <f>-89.02516194</f>
        <v>-89.025161940000004</v>
      </c>
      <c r="CO363">
        <f>-89.81937998</f>
        <v>-89.819379979999994</v>
      </c>
      <c r="CP363">
        <f>-89.05884413</f>
        <v>-89.058844129999997</v>
      </c>
      <c r="CQ363">
        <f>-88.00629282</f>
        <v>-88.006292819999999</v>
      </c>
      <c r="CR363">
        <f>-86.62467772</f>
        <v>-86.624677719999994</v>
      </c>
      <c r="CS363">
        <f>-81.64154872</f>
        <v>-81.641548720000003</v>
      </c>
      <c r="CT363">
        <f>-40.93099493</f>
        <v>-40.930994929999997</v>
      </c>
      <c r="CU363">
        <f>-39.73147456</f>
        <v>-39.731474560000002</v>
      </c>
      <c r="CV363">
        <f>0</f>
        <v>0</v>
      </c>
      <c r="CW363">
        <f>0</f>
        <v>0</v>
      </c>
      <c r="CX363">
        <f>0</f>
        <v>0</v>
      </c>
      <c r="CY363">
        <f>-1.519405493</f>
        <v>-1.5194054930000001</v>
      </c>
      <c r="CZ363">
        <f>-36.94914955</f>
        <v>-36.949149550000001</v>
      </c>
      <c r="DA363">
        <f>-39.75335652</f>
        <v>-39.753356519999997</v>
      </c>
      <c r="DB363">
        <f>-67.38473853</f>
        <v>-67.384738530000007</v>
      </c>
      <c r="DC363" t="str">
        <f>""</f>
        <v/>
      </c>
      <c r="DD363" t="str">
        <f>""</f>
        <v/>
      </c>
      <c r="DE363" t="str">
        <f>""</f>
        <v/>
      </c>
      <c r="DF363" t="str">
        <f>""</f>
        <v/>
      </c>
      <c r="DG363" t="str">
        <f>""</f>
        <v/>
      </c>
      <c r="DH363" t="str">
        <f>""</f>
        <v/>
      </c>
      <c r="DI363" t="str">
        <f>""</f>
        <v/>
      </c>
      <c r="DJ363" t="str">
        <f>""</f>
        <v/>
      </c>
      <c r="DK363" t="str">
        <f>""</f>
        <v/>
      </c>
      <c r="DL363" t="str">
        <f>""</f>
        <v/>
      </c>
      <c r="DM363" t="str">
        <f>""</f>
        <v/>
      </c>
      <c r="DN363" t="str">
        <f>""</f>
        <v/>
      </c>
      <c r="DO363" t="str">
        <f>""</f>
        <v/>
      </c>
      <c r="DP363" t="str">
        <f>""</f>
        <v/>
      </c>
      <c r="DQ363" t="str">
        <f>""</f>
        <v/>
      </c>
      <c r="DR363" t="str">
        <f>""</f>
        <v/>
      </c>
      <c r="DS363" t="str">
        <f>""</f>
        <v/>
      </c>
      <c r="DT363" t="str">
        <f>""</f>
        <v/>
      </c>
      <c r="DU363" t="str">
        <f>""</f>
        <v/>
      </c>
    </row>
    <row r="364" spans="1:125" x14ac:dyDescent="0.25">
      <c r="A364" t="str">
        <f>"    Suzuki Motor Corp"</f>
        <v xml:space="preserve">    Suzuki Motor Corp</v>
      </c>
      <c r="B364" t="str">
        <f>"7269 JP Equity"</f>
        <v>7269 JP Equity</v>
      </c>
      <c r="C364" t="str">
        <f t="shared" si="24"/>
        <v>RX530</v>
      </c>
      <c r="D364" t="str">
        <f t="shared" si="25"/>
        <v>T12M_DVDS_PAID</v>
      </c>
      <c r="E364" t="str">
        <f t="shared" si="26"/>
        <v>Dynamic</v>
      </c>
      <c r="F364" t="str">
        <f ca="1">IF(AND(ISNUMBER($F$865),$B$511=1),$F$865,HLOOKUP(INDIRECT(ADDRESS(2,COLUMN())),OFFSET($BN$2,0,0,ROW()-1,60),ROW()-1,FALSE))</f>
        <v/>
      </c>
      <c r="G364" t="str">
        <f ca="1">IF(AND(ISNUMBER($G$865),$B$511=1),$G$865,HLOOKUP(INDIRECT(ADDRESS(2,COLUMN())),OFFSET($BN$2,0,0,ROW()-1,60),ROW()-1,FALSE))</f>
        <v/>
      </c>
      <c r="H364" t="str">
        <f ca="1">IF(AND(ISNUMBER($H$865),$B$511=1),$H$865,HLOOKUP(INDIRECT(ADDRESS(2,COLUMN())),OFFSET($BN$2,0,0,ROW()-1,60),ROW()-1,FALSE))</f>
        <v/>
      </c>
      <c r="I364" t="str">
        <f ca="1">IF(AND(ISNUMBER($I$865),$B$511=1),$I$865,HLOOKUP(INDIRECT(ADDRESS(2,COLUMN())),OFFSET($BN$2,0,0,ROW()-1,60),ROW()-1,FALSE))</f>
        <v/>
      </c>
      <c r="J364" t="str">
        <f ca="1">IF(AND(ISNUMBER($J$865),$B$511=1),$J$865,HLOOKUP(INDIRECT(ADDRESS(2,COLUMN())),OFFSET($BN$2,0,0,ROW()-1,60),ROW()-1,FALSE))</f>
        <v/>
      </c>
      <c r="K364">
        <f ca="1">IF(AND(ISNUMBER($K$865),$B$511=1),$K$865,HLOOKUP(INDIRECT(ADDRESS(2,COLUMN())),OFFSET($BN$2,0,0,ROW()-1,60),ROW()-1,FALSE))</f>
        <v>-224.3753207</v>
      </c>
      <c r="L364">
        <f ca="1">IF(AND(ISNUMBER($L$865),$B$511=1),$L$865,HLOOKUP(INDIRECT(ADDRESS(2,COLUMN())),OFFSET($BN$2,0,0,ROW()-1,60),ROW()-1,FALSE))</f>
        <v>-174.60483780000001</v>
      </c>
      <c r="M364">
        <f ca="1">IF(AND(ISNUMBER($M$865),$B$511=1),$M$865,HLOOKUP(INDIRECT(ADDRESS(2,COLUMN())),OFFSET($BN$2,0,0,ROW()-1,60),ROW()-1,FALSE))</f>
        <v>-178.3337526</v>
      </c>
      <c r="N364">
        <f ca="1">IF(AND(ISNUMBER($N$865),$B$511=1),$N$865,HLOOKUP(INDIRECT(ADDRESS(2,COLUMN())),OFFSET($BN$2,0,0,ROW()-1,60),ROW()-1,FALSE))</f>
        <v>-138.8123621</v>
      </c>
      <c r="O364">
        <f ca="1">IF(AND(ISNUMBER($O$865),$B$511=1),$O$865,HLOOKUP(INDIRECT(ADDRESS(2,COLUMN())),OFFSET($BN$2,0,0,ROW()-1,60),ROW()-1,FALSE))</f>
        <v>-138.3575137</v>
      </c>
      <c r="P364">
        <f ca="1">IF(AND(ISNUMBER($P$865),$B$511=1),$P$865,HLOOKUP(INDIRECT(ADDRESS(2,COLUMN())),OFFSET($BN$2,0,0,ROW()-1,60),ROW()-1,FALSE))</f>
        <v>-126.9601718</v>
      </c>
      <c r="Q364">
        <f ca="1">IF(AND(ISNUMBER($Q$865),$B$511=1),$Q$865,HLOOKUP(INDIRECT(ADDRESS(2,COLUMN())),OFFSET($BN$2,0,0,ROW()-1,60),ROW()-1,FALSE))</f>
        <v>-121.3267472</v>
      </c>
      <c r="R364">
        <f ca="1">IF(AND(ISNUMBER($R$865),$B$511=1),$R$865,HLOOKUP(INDIRECT(ADDRESS(2,COLUMN())),OFFSET($BN$2,0,0,ROW()-1,60),ROW()-1,FALSE))</f>
        <v>-134.71137909999999</v>
      </c>
      <c r="S364">
        <f ca="1">IF(AND(ISNUMBER($S$865),$B$511=1),$S$865,HLOOKUP(INDIRECT(ADDRESS(2,COLUMN())),OFFSET($BN$2,0,0,ROW()-1,60),ROW()-1,FALSE))</f>
        <v>-133.54468829999999</v>
      </c>
      <c r="T364">
        <f ca="1">IF(AND(ISNUMBER($T$865),$B$511=1),$T$865,HLOOKUP(INDIRECT(ADDRESS(2,COLUMN())),OFFSET($BN$2,0,0,ROW()-1,60),ROW()-1,FALSE))</f>
        <v>-127.16633040000001</v>
      </c>
      <c r="U364">
        <f ca="1">IF(AND(ISNUMBER($U$865),$B$511=1),$U$865,HLOOKUP(INDIRECT(ADDRESS(2,COLUMN())),OFFSET($BN$2,0,0,ROW()-1,60),ROW()-1,FALSE))</f>
        <v>-132.65968580000001</v>
      </c>
      <c r="V364">
        <f ca="1">IF(AND(ISNUMBER($V$865),$B$511=1),$V$865,HLOOKUP(INDIRECT(ADDRESS(2,COLUMN())),OFFSET($BN$2,0,0,ROW()-1,60),ROW()-1,FALSE))</f>
        <v>-123.1273004</v>
      </c>
      <c r="W364">
        <f ca="1">IF(AND(ISNUMBER($W$865),$B$511=1),$W$865,HLOOKUP(INDIRECT(ADDRESS(2,COLUMN())),OFFSET($BN$2,0,0,ROW()-1,60),ROW()-1,FALSE))</f>
        <v>-127.5314142</v>
      </c>
      <c r="X364">
        <f ca="1">IF(AND(ISNUMBER($X$865),$B$511=1),$X$865,HLOOKUP(INDIRECT(ADDRESS(2,COLUMN())),OFFSET($BN$2,0,0,ROW()-1,60),ROW()-1,FALSE))</f>
        <v>-131.6722762</v>
      </c>
      <c r="Y364">
        <f ca="1">IF(AND(ISNUMBER($Y$865),$B$511=1),$Y$865,HLOOKUP(INDIRECT(ADDRESS(2,COLUMN())),OFFSET($BN$2,0,0,ROW()-1,60),ROW()-1,FALSE))</f>
        <v>-133.33147890000001</v>
      </c>
      <c r="Z364">
        <f ca="1">IF(AND(ISNUMBER($Z$865),$B$511=1),$Z$865,HLOOKUP(INDIRECT(ADDRESS(2,COLUMN())),OFFSET($BN$2,0,0,ROW()-1,60),ROW()-1,FALSE))</f>
        <v>-112.0752492</v>
      </c>
      <c r="AA364">
        <f ca="1">IF(AND(ISNUMBER($AA$865),$B$511=1),$AA$865,HLOOKUP(INDIRECT(ADDRESS(2,COLUMN())),OFFSET($BN$2,0,0,ROW()-1,60),ROW()-1,FALSE))</f>
        <v>-115.17988769999999</v>
      </c>
      <c r="AB364">
        <f ca="1">IF(AND(ISNUMBER($AB$865),$B$511=1),$AB$865,HLOOKUP(INDIRECT(ADDRESS(2,COLUMN())),OFFSET($BN$2,0,0,ROW()-1,60),ROW()-1,FALSE))</f>
        <v>-109.6966841</v>
      </c>
      <c r="AC364">
        <f ca="1">IF(AND(ISNUMBER($AC$865),$B$511=1),$AC$865,HLOOKUP(INDIRECT(ADDRESS(2,COLUMN())),OFFSET($BN$2,0,0,ROW()-1,60),ROW()-1,FALSE))</f>
        <v>-116.3138129</v>
      </c>
      <c r="AD364">
        <f ca="1">IF(AND(ISNUMBER($AD$865),$B$511=1),$AD$865,HLOOKUP(INDIRECT(ADDRESS(2,COLUMN())),OFFSET($BN$2,0,0,ROW()-1,60),ROW()-1,FALSE))</f>
        <v>-108.6665634</v>
      </c>
      <c r="AE364">
        <f ca="1">IF(AND(ISNUMBER($AE$865),$B$511=1),$AE$865,HLOOKUP(INDIRECT(ADDRESS(2,COLUMN())),OFFSET($BN$2,0,0,ROW()-1,60),ROW()-1,FALSE))</f>
        <v>-112.56347890000001</v>
      </c>
      <c r="AF364">
        <f ca="1">IF(AND(ISNUMBER($AF$865),$B$511=1),$AF$865,HLOOKUP(INDIRECT(ADDRESS(2,COLUMN())),OFFSET($BN$2,0,0,ROW()-1,60),ROW()-1,FALSE))</f>
        <v>-106.8149677</v>
      </c>
      <c r="AG364">
        <f ca="1">IF(AND(ISNUMBER($AG$865),$B$511=1),$AG$865,HLOOKUP(INDIRECT(ADDRESS(2,COLUMN())),OFFSET($BN$2,0,0,ROW()-1,60),ROW()-1,FALSE))</f>
        <v>-107.15696440000001</v>
      </c>
      <c r="AH364">
        <f ca="1">IF(AND(ISNUMBER($AH$865),$B$511=1),$AH$865,HLOOKUP(INDIRECT(ADDRESS(2,COLUMN())),OFFSET($BN$2,0,0,ROW()-1,60),ROW()-1,FALSE))</f>
        <v>-99.57810422</v>
      </c>
      <c r="AI364">
        <f ca="1">IF(AND(ISNUMBER($AI$865),$B$511=1),$AI$865,HLOOKUP(INDIRECT(ADDRESS(2,COLUMN())),OFFSET($BN$2,0,0,ROW()-1,60),ROW()-1,FALSE))</f>
        <v>-98.696180799999993</v>
      </c>
      <c r="AJ364">
        <f ca="1">IF(AND(ISNUMBER($AJ$865),$B$511=1),$AJ$865,HLOOKUP(INDIRECT(ADDRESS(2,COLUMN())),OFFSET($BN$2,0,0,ROW()-1,60),ROW()-1,FALSE))</f>
        <v>-90.158865710000001</v>
      </c>
      <c r="AK364">
        <f ca="1">IF(AND(ISNUMBER($AK$865),$B$511=1),$AK$865,HLOOKUP(INDIRECT(ADDRESS(2,COLUMN())),OFFSET($BN$2,0,0,ROW()-1,60),ROW()-1,FALSE))</f>
        <v>-87.919813950000005</v>
      </c>
      <c r="AL364">
        <f ca="1">IF(AND(ISNUMBER($AL$865),$B$511=1),$AL$865,HLOOKUP(INDIRECT(ADDRESS(2,COLUMN())),OFFSET($BN$2,0,0,ROW()-1,60),ROW()-1,FALSE))</f>
        <v>-85.068134110000003</v>
      </c>
      <c r="AM364">
        <f ca="1">IF(AND(ISNUMBER($AM$865),$B$511=1),$AM$865,HLOOKUP(INDIRECT(ADDRESS(2,COLUMN())),OFFSET($BN$2,0,0,ROW()-1,60),ROW()-1,FALSE))</f>
        <v>-83.061400660000004</v>
      </c>
      <c r="AN364">
        <f ca="1">IF(AND(ISNUMBER($AN$865),$B$511=1),$AN$865,HLOOKUP(INDIRECT(ADDRESS(2,COLUMN())),OFFSET($BN$2,0,0,ROW()-1,60),ROW()-1,FALSE))</f>
        <v>-67.92168805</v>
      </c>
      <c r="AO364">
        <f ca="1">IF(AND(ISNUMBER($AO$865),$B$511=1),$AO$865,HLOOKUP(INDIRECT(ADDRESS(2,COLUMN())),OFFSET($BN$2,0,0,ROW()-1,60),ROW()-1,FALSE))</f>
        <v>-66.424963460000001</v>
      </c>
      <c r="AP364">
        <f ca="1">IF(AND(ISNUMBER($AP$865),$B$511=1),$AP$865,HLOOKUP(INDIRECT(ADDRESS(2,COLUMN())),OFFSET($BN$2,0,0,ROW()-1,60),ROW()-1,FALSE))</f>
        <v>-60.922814049999999</v>
      </c>
      <c r="AQ364">
        <f ca="1">IF(AND(ISNUMBER($AQ$865),$B$511=1),$AQ$865,HLOOKUP(INDIRECT(ADDRESS(2,COLUMN())),OFFSET($BN$2,0,0,ROW()-1,60),ROW()-1,FALSE))</f>
        <v>-60.455218549999998</v>
      </c>
      <c r="AR364">
        <f ca="1">IF(AND(ISNUMBER($AR$865),$B$511=1),$AR$865,HLOOKUP(INDIRECT(ADDRESS(2,COLUMN())),OFFSET($BN$2,0,0,ROW()-1,60),ROW()-1,FALSE))</f>
        <v>-74.571823899999998</v>
      </c>
      <c r="AS364">
        <f ca="1">IF(AND(ISNUMBER($AS$865),$B$511=1),$AS$865,HLOOKUP(INDIRECT(ADDRESS(2,COLUMN())),OFFSET($BN$2,0,0,ROW()-1,60),ROW()-1,FALSE))</f>
        <v>-72.062492789999993</v>
      </c>
      <c r="AT364">
        <f ca="1">IF(AND(ISNUMBER($AT$865),$B$511=1),$AT$865,HLOOKUP(INDIRECT(ADDRESS(2,COLUMN())),OFFSET($BN$2,0,0,ROW()-1,60),ROW()-1,FALSE))</f>
        <v>-72.150829909999999</v>
      </c>
      <c r="AU364" t="str">
        <f ca="1">IF(AND(ISNUMBER($AU$865),$B$511=1),$AU$865,HLOOKUP(INDIRECT(ADDRESS(2,COLUMN())),OFFSET($BN$2,0,0,ROW()-1,60),ROW()-1,FALSE))</f>
        <v/>
      </c>
      <c r="AV364" t="str">
        <f ca="1">IF(AND(ISNUMBER($AV$865),$B$511=1),$AV$865,HLOOKUP(INDIRECT(ADDRESS(2,COLUMN())),OFFSET($BN$2,0,0,ROW()-1,60),ROW()-1,FALSE))</f>
        <v/>
      </c>
      <c r="AW364" t="str">
        <f ca="1">IF(AND(ISNUMBER($AW$865),$B$511=1),$AW$865,HLOOKUP(INDIRECT(ADDRESS(2,COLUMN())),OFFSET($BN$2,0,0,ROW()-1,60),ROW()-1,FALSE))</f>
        <v/>
      </c>
      <c r="AX364" t="str">
        <f ca="1">IF(AND(ISNUMBER($AX$865),$B$511=1),$AX$865,HLOOKUP(INDIRECT(ADDRESS(2,COLUMN())),OFFSET($BN$2,0,0,ROW()-1,60),ROW()-1,FALSE))</f>
        <v/>
      </c>
      <c r="AY364" t="str">
        <f ca="1">IF(AND(ISNUMBER($AY$865),$B$511=1),$AY$865,HLOOKUP(INDIRECT(ADDRESS(2,COLUMN())),OFFSET($BN$2,0,0,ROW()-1,60),ROW()-1,FALSE))</f>
        <v/>
      </c>
      <c r="AZ364" t="str">
        <f ca="1">IF(AND(ISNUMBER($AZ$865),$B$511=1),$AZ$865,HLOOKUP(INDIRECT(ADDRESS(2,COLUMN())),OFFSET($BN$2,0,0,ROW()-1,60),ROW()-1,FALSE))</f>
        <v/>
      </c>
      <c r="BA364" t="str">
        <f ca="1">IF(AND(ISNUMBER($BA$865),$B$511=1),$BA$865,HLOOKUP(INDIRECT(ADDRESS(2,COLUMN())),OFFSET($BN$2,0,0,ROW()-1,60),ROW()-1,FALSE))</f>
        <v/>
      </c>
      <c r="BB364" t="str">
        <f ca="1">IF(AND(ISNUMBER($BB$865),$B$511=1),$BB$865,HLOOKUP(INDIRECT(ADDRESS(2,COLUMN())),OFFSET($BN$2,0,0,ROW()-1,60),ROW()-1,FALSE))</f>
        <v/>
      </c>
      <c r="BC364" t="str">
        <f ca="1">IF(AND(ISNUMBER($BC$865),$B$511=1),$BC$865,HLOOKUP(INDIRECT(ADDRESS(2,COLUMN())),OFFSET($BN$2,0,0,ROW()-1,60),ROW()-1,FALSE))</f>
        <v/>
      </c>
      <c r="BD364" t="str">
        <f ca="1">IF(AND(ISNUMBER($BD$865),$B$511=1),$BD$865,HLOOKUP(INDIRECT(ADDRESS(2,COLUMN())),OFFSET($BN$2,0,0,ROW()-1,60),ROW()-1,FALSE))</f>
        <v/>
      </c>
      <c r="BE364" t="str">
        <f ca="1">IF(AND(ISNUMBER($BE$865),$B$511=1),$BE$865,HLOOKUP(INDIRECT(ADDRESS(2,COLUMN())),OFFSET($BN$2,0,0,ROW()-1,60),ROW()-1,FALSE))</f>
        <v/>
      </c>
      <c r="BF364" t="str">
        <f ca="1">IF(AND(ISNUMBER($BF$865),$B$511=1),$BF$865,HLOOKUP(INDIRECT(ADDRESS(2,COLUMN())),OFFSET($BN$2,0,0,ROW()-1,60),ROW()-1,FALSE))</f>
        <v/>
      </c>
      <c r="BG364" t="str">
        <f ca="1">IF(AND(ISNUMBER($BG$865),$B$511=1),$BG$865,HLOOKUP(INDIRECT(ADDRESS(2,COLUMN())),OFFSET($BN$2,0,0,ROW()-1,60),ROW()-1,FALSE))</f>
        <v/>
      </c>
      <c r="BH364" t="str">
        <f ca="1">IF(AND(ISNUMBER($BH$865),$B$511=1),$BH$865,HLOOKUP(INDIRECT(ADDRESS(2,COLUMN())),OFFSET($BN$2,0,0,ROW()-1,60),ROW()-1,FALSE))</f>
        <v/>
      </c>
      <c r="BI364" t="str">
        <f ca="1">IF(AND(ISNUMBER($BI$865),$B$511=1),$BI$865,HLOOKUP(INDIRECT(ADDRESS(2,COLUMN())),OFFSET($BN$2,0,0,ROW()-1,60),ROW()-1,FALSE))</f>
        <v/>
      </c>
      <c r="BJ364" t="str">
        <f ca="1">IF(AND(ISNUMBER($BJ$865),$B$511=1),$BJ$865,HLOOKUP(INDIRECT(ADDRESS(2,COLUMN())),OFFSET($BN$2,0,0,ROW()-1,60),ROW()-1,FALSE))</f>
        <v/>
      </c>
      <c r="BK364" t="str">
        <f ca="1">IF(AND(ISNUMBER($BK$865),$B$511=1),$BK$865,HLOOKUP(INDIRECT(ADDRESS(2,COLUMN())),OFFSET($BN$2,0,0,ROW()-1,60),ROW()-1,FALSE))</f>
        <v/>
      </c>
      <c r="BL364" t="str">
        <f ca="1">IF(AND(ISNUMBER($BL$865),$B$511=1),$BL$865,HLOOKUP(INDIRECT(ADDRESS(2,COLUMN())),OFFSET($BN$2,0,0,ROW()-1,60),ROW()-1,FALSE))</f>
        <v/>
      </c>
      <c r="BM364" t="str">
        <f ca="1">IF(AND(ISNUMBER($BM$865),$B$511=1),$BM$865,HLOOKUP(INDIRECT(ADDRESS(2,COLUMN())),OFFSET($BN$2,0,0,ROW()-1,60),ROW()-1,FALSE))</f>
        <v/>
      </c>
      <c r="BN364" t="str">
        <f>""</f>
        <v/>
      </c>
      <c r="BO364" t="str">
        <f>""</f>
        <v/>
      </c>
      <c r="BP364" t="str">
        <f>""</f>
        <v/>
      </c>
      <c r="BQ364" t="str">
        <f>""</f>
        <v/>
      </c>
      <c r="BR364" t="str">
        <f>""</f>
        <v/>
      </c>
      <c r="BS364">
        <f>-224.3753207</f>
        <v>-224.3753207</v>
      </c>
      <c r="BT364">
        <f>-174.6048378</f>
        <v>-174.60483780000001</v>
      </c>
      <c r="BU364">
        <f>-178.3337526</f>
        <v>-178.3337526</v>
      </c>
      <c r="BV364">
        <f>-138.8123621</f>
        <v>-138.8123621</v>
      </c>
      <c r="BW364">
        <f>-138.3575137</f>
        <v>-138.3575137</v>
      </c>
      <c r="BX364">
        <f>-126.9601718</f>
        <v>-126.9601718</v>
      </c>
      <c r="BY364">
        <f>-121.3267472</f>
        <v>-121.3267472</v>
      </c>
      <c r="BZ364">
        <f>-134.7113791</f>
        <v>-134.71137909999999</v>
      </c>
      <c r="CA364">
        <f>-133.5446883</f>
        <v>-133.54468829999999</v>
      </c>
      <c r="CB364">
        <f>-127.1663304</f>
        <v>-127.16633040000001</v>
      </c>
      <c r="CC364">
        <f>-132.6596858</f>
        <v>-132.65968580000001</v>
      </c>
      <c r="CD364">
        <f>-123.1273004</f>
        <v>-123.1273004</v>
      </c>
      <c r="CE364">
        <f>-127.5314142</f>
        <v>-127.5314142</v>
      </c>
      <c r="CF364">
        <f>-131.6722762</f>
        <v>-131.6722762</v>
      </c>
      <c r="CG364">
        <f>-133.3314789</f>
        <v>-133.33147890000001</v>
      </c>
      <c r="CH364">
        <f>-112.0752492</f>
        <v>-112.0752492</v>
      </c>
      <c r="CI364">
        <f>-115.1798877</f>
        <v>-115.17988769999999</v>
      </c>
      <c r="CJ364">
        <f>-109.6966841</f>
        <v>-109.6966841</v>
      </c>
      <c r="CK364">
        <f>-116.3138129</f>
        <v>-116.3138129</v>
      </c>
      <c r="CL364">
        <f>-108.6665634</f>
        <v>-108.6665634</v>
      </c>
      <c r="CM364">
        <f>-112.5634789</f>
        <v>-112.56347890000001</v>
      </c>
      <c r="CN364">
        <f>-106.8149677</f>
        <v>-106.8149677</v>
      </c>
      <c r="CO364">
        <f>-107.1569644</f>
        <v>-107.15696440000001</v>
      </c>
      <c r="CP364">
        <f>-99.57810422</f>
        <v>-99.57810422</v>
      </c>
      <c r="CQ364">
        <f>-98.6961808</f>
        <v>-98.696180799999993</v>
      </c>
      <c r="CR364">
        <f>-90.15886571</f>
        <v>-90.158865710000001</v>
      </c>
      <c r="CS364">
        <f>-87.91981395</f>
        <v>-87.919813950000005</v>
      </c>
      <c r="CT364">
        <f>-85.06813411</f>
        <v>-85.068134110000003</v>
      </c>
      <c r="CU364">
        <f>-83.06140066</f>
        <v>-83.061400660000004</v>
      </c>
      <c r="CV364">
        <f>-67.92168805</f>
        <v>-67.92168805</v>
      </c>
      <c r="CW364">
        <f>-66.42496346</f>
        <v>-66.424963460000001</v>
      </c>
      <c r="CX364">
        <f>-60.92281405</f>
        <v>-60.922814049999999</v>
      </c>
      <c r="CY364">
        <f>-60.45521855</f>
        <v>-60.455218549999998</v>
      </c>
      <c r="CZ364">
        <f>-74.5718239</f>
        <v>-74.571823899999998</v>
      </c>
      <c r="DA364">
        <f>-72.06249279</f>
        <v>-72.062492789999993</v>
      </c>
      <c r="DB364">
        <f>-72.15082991</f>
        <v>-72.150829909999999</v>
      </c>
      <c r="DC364" t="str">
        <f>""</f>
        <v/>
      </c>
      <c r="DD364" t="str">
        <f>""</f>
        <v/>
      </c>
      <c r="DE364" t="str">
        <f>""</f>
        <v/>
      </c>
      <c r="DF364" t="str">
        <f>""</f>
        <v/>
      </c>
      <c r="DG364" t="str">
        <f>""</f>
        <v/>
      </c>
      <c r="DH364" t="str">
        <f>""</f>
        <v/>
      </c>
      <c r="DI364" t="str">
        <f>""</f>
        <v/>
      </c>
      <c r="DJ364" t="str">
        <f>""</f>
        <v/>
      </c>
      <c r="DK364" t="str">
        <f>""</f>
        <v/>
      </c>
      <c r="DL364" t="str">
        <f>""</f>
        <v/>
      </c>
      <c r="DM364" t="str">
        <f>""</f>
        <v/>
      </c>
      <c r="DN364" t="str">
        <f>""</f>
        <v/>
      </c>
      <c r="DO364" t="str">
        <f>""</f>
        <v/>
      </c>
      <c r="DP364" t="str">
        <f>""</f>
        <v/>
      </c>
      <c r="DQ364" t="str">
        <f>""</f>
        <v/>
      </c>
      <c r="DR364" t="str">
        <f>""</f>
        <v/>
      </c>
      <c r="DS364" t="str">
        <f>""</f>
        <v/>
      </c>
      <c r="DT364" t="str">
        <f>""</f>
        <v/>
      </c>
      <c r="DU364" t="str">
        <f>""</f>
        <v/>
      </c>
    </row>
    <row r="365" spans="1:125" x14ac:dyDescent="0.25">
      <c r="A365" t="str">
        <f>"    Tata Motors Ltd"</f>
        <v xml:space="preserve">    Tata Motors Ltd</v>
      </c>
      <c r="B365" t="str">
        <f>"TTMT IN Equity"</f>
        <v>TTMT IN Equity</v>
      </c>
      <c r="C365" t="str">
        <f t="shared" si="24"/>
        <v>RX530</v>
      </c>
      <c r="D365" t="str">
        <f t="shared" si="25"/>
        <v>T12M_DVDS_PAID</v>
      </c>
      <c r="E365" t="str">
        <f t="shared" si="26"/>
        <v>Dynamic</v>
      </c>
      <c r="F365" t="str">
        <f ca="1">IF(AND(ISNUMBER($F$866),$B$511=1),$F$866,HLOOKUP(INDIRECT(ADDRESS(2,COLUMN())),OFFSET($BN$2,0,0,ROW()-1,60),ROW()-1,FALSE))</f>
        <v/>
      </c>
      <c r="G365" t="str">
        <f ca="1">IF(AND(ISNUMBER($G$866),$B$511=1),$G$866,HLOOKUP(INDIRECT(ADDRESS(2,COLUMN())),OFFSET($BN$2,0,0,ROW()-1,60),ROW()-1,FALSE))</f>
        <v/>
      </c>
      <c r="H365" t="str">
        <f ca="1">IF(AND(ISNUMBER($H$866),$B$511=1),$H$866,HLOOKUP(INDIRECT(ADDRESS(2,COLUMN())),OFFSET($BN$2,0,0,ROW()-1,60),ROW()-1,FALSE))</f>
        <v/>
      </c>
      <c r="I365" t="str">
        <f ca="1">IF(AND(ISNUMBER($I$866),$B$511=1),$I$866,HLOOKUP(INDIRECT(ADDRESS(2,COLUMN())),OFFSET($BN$2,0,0,ROW()-1,60),ROW()-1,FALSE))</f>
        <v/>
      </c>
      <c r="J365" t="str">
        <f ca="1">IF(AND(ISNUMBER($J$866),$B$511=1),$J$866,HLOOKUP(INDIRECT(ADDRESS(2,COLUMN())),OFFSET($BN$2,0,0,ROW()-1,60),ROW()-1,FALSE))</f>
        <v/>
      </c>
      <c r="K365" t="str">
        <f ca="1">IF(AND(ISNUMBER($K$866),$B$511=1),$K$866,HLOOKUP(INDIRECT(ADDRESS(2,COLUMN())),OFFSET($BN$2,0,0,ROW()-1,60),ROW()-1,FALSE))</f>
        <v/>
      </c>
      <c r="L365" t="str">
        <f ca="1">IF(AND(ISNUMBER($L$866),$B$511=1),$L$866,HLOOKUP(INDIRECT(ADDRESS(2,COLUMN())),OFFSET($BN$2,0,0,ROW()-1,60),ROW()-1,FALSE))</f>
        <v/>
      </c>
      <c r="M365" t="str">
        <f ca="1">IF(AND(ISNUMBER($M$866),$B$511=1),$M$866,HLOOKUP(INDIRECT(ADDRESS(2,COLUMN())),OFFSET($BN$2,0,0,ROW()-1,60),ROW()-1,FALSE))</f>
        <v/>
      </c>
      <c r="N365" t="str">
        <f ca="1">IF(AND(ISNUMBER($N$866),$B$511=1),$N$866,HLOOKUP(INDIRECT(ADDRESS(2,COLUMN())),OFFSET($BN$2,0,0,ROW()-1,60),ROW()-1,FALSE))</f>
        <v/>
      </c>
      <c r="O365" t="str">
        <f ca="1">IF(AND(ISNUMBER($O$866),$B$511=1),$O$866,HLOOKUP(INDIRECT(ADDRESS(2,COLUMN())),OFFSET($BN$2,0,0,ROW()-1,60),ROW()-1,FALSE))</f>
        <v/>
      </c>
      <c r="P365" t="str">
        <f ca="1">IF(AND(ISNUMBER($P$866),$B$511=1),$P$866,HLOOKUP(INDIRECT(ADDRESS(2,COLUMN())),OFFSET($BN$2,0,0,ROW()-1,60),ROW()-1,FALSE))</f>
        <v/>
      </c>
      <c r="Q365" t="str">
        <f ca="1">IF(AND(ISNUMBER($Q$866),$B$511=1),$Q$866,HLOOKUP(INDIRECT(ADDRESS(2,COLUMN())),OFFSET($BN$2,0,0,ROW()-1,60),ROW()-1,FALSE))</f>
        <v/>
      </c>
      <c r="R365" t="str">
        <f ca="1">IF(AND(ISNUMBER($R$866),$B$511=1),$R$866,HLOOKUP(INDIRECT(ADDRESS(2,COLUMN())),OFFSET($BN$2,0,0,ROW()-1,60),ROW()-1,FALSE))</f>
        <v/>
      </c>
      <c r="S365" t="str">
        <f ca="1">IF(AND(ISNUMBER($S$866),$B$511=1),$S$866,HLOOKUP(INDIRECT(ADDRESS(2,COLUMN())),OFFSET($BN$2,0,0,ROW()-1,60),ROW()-1,FALSE))</f>
        <v/>
      </c>
      <c r="T365" t="str">
        <f ca="1">IF(AND(ISNUMBER($T$866),$B$511=1),$T$866,HLOOKUP(INDIRECT(ADDRESS(2,COLUMN())),OFFSET($BN$2,0,0,ROW()-1,60),ROW()-1,FALSE))</f>
        <v/>
      </c>
      <c r="U365" t="str">
        <f ca="1">IF(AND(ISNUMBER($U$866),$B$511=1),$U$866,HLOOKUP(INDIRECT(ADDRESS(2,COLUMN())),OFFSET($BN$2,0,0,ROW()-1,60),ROW()-1,FALSE))</f>
        <v/>
      </c>
      <c r="V365" t="str">
        <f ca="1">IF(AND(ISNUMBER($V$866),$B$511=1),$V$866,HLOOKUP(INDIRECT(ADDRESS(2,COLUMN())),OFFSET($BN$2,0,0,ROW()-1,60),ROW()-1,FALSE))</f>
        <v/>
      </c>
      <c r="W365" t="str">
        <f ca="1">IF(AND(ISNUMBER($W$866),$B$511=1),$W$866,HLOOKUP(INDIRECT(ADDRESS(2,COLUMN())),OFFSET($BN$2,0,0,ROW()-1,60),ROW()-1,FALSE))</f>
        <v/>
      </c>
      <c r="X365" t="str">
        <f ca="1">IF(AND(ISNUMBER($X$866),$B$511=1),$X$866,HLOOKUP(INDIRECT(ADDRESS(2,COLUMN())),OFFSET($BN$2,0,0,ROW()-1,60),ROW()-1,FALSE))</f>
        <v/>
      </c>
      <c r="Y365" t="str">
        <f ca="1">IF(AND(ISNUMBER($Y$866),$B$511=1),$Y$866,HLOOKUP(INDIRECT(ADDRESS(2,COLUMN())),OFFSET($BN$2,0,0,ROW()-1,60),ROW()-1,FALSE))</f>
        <v/>
      </c>
      <c r="Z365" t="str">
        <f ca="1">IF(AND(ISNUMBER($Z$866),$B$511=1),$Z$866,HLOOKUP(INDIRECT(ADDRESS(2,COLUMN())),OFFSET($BN$2,0,0,ROW()-1,60),ROW()-1,FALSE))</f>
        <v/>
      </c>
      <c r="AA365" t="str">
        <f ca="1">IF(AND(ISNUMBER($AA$866),$B$511=1),$AA$866,HLOOKUP(INDIRECT(ADDRESS(2,COLUMN())),OFFSET($BN$2,0,0,ROW()-1,60),ROW()-1,FALSE))</f>
        <v/>
      </c>
      <c r="AB365" t="str">
        <f ca="1">IF(AND(ISNUMBER($AB$866),$B$511=1),$AB$866,HLOOKUP(INDIRECT(ADDRESS(2,COLUMN())),OFFSET($BN$2,0,0,ROW()-1,60),ROW()-1,FALSE))</f>
        <v/>
      </c>
      <c r="AC365" t="str">
        <f ca="1">IF(AND(ISNUMBER($AC$866),$B$511=1),$AC$866,HLOOKUP(INDIRECT(ADDRESS(2,COLUMN())),OFFSET($BN$2,0,0,ROW()-1,60),ROW()-1,FALSE))</f>
        <v/>
      </c>
      <c r="AD365" t="str">
        <f ca="1">IF(AND(ISNUMBER($AD$866),$B$511=1),$AD$866,HLOOKUP(INDIRECT(ADDRESS(2,COLUMN())),OFFSET($BN$2,0,0,ROW()-1,60),ROW()-1,FALSE))</f>
        <v/>
      </c>
      <c r="AE365" t="str">
        <f ca="1">IF(AND(ISNUMBER($AE$866),$B$511=1),$AE$866,HLOOKUP(INDIRECT(ADDRESS(2,COLUMN())),OFFSET($BN$2,0,0,ROW()-1,60),ROW()-1,FALSE))</f>
        <v/>
      </c>
      <c r="AF365" t="str">
        <f ca="1">IF(AND(ISNUMBER($AF$866),$B$511=1),$AF$866,HLOOKUP(INDIRECT(ADDRESS(2,COLUMN())),OFFSET($BN$2,0,0,ROW()-1,60),ROW()-1,FALSE))</f>
        <v/>
      </c>
      <c r="AG365" t="str">
        <f ca="1">IF(AND(ISNUMBER($AG$866),$B$511=1),$AG$866,HLOOKUP(INDIRECT(ADDRESS(2,COLUMN())),OFFSET($BN$2,0,0,ROW()-1,60),ROW()-1,FALSE))</f>
        <v/>
      </c>
      <c r="AH365" t="str">
        <f ca="1">IF(AND(ISNUMBER($AH$866),$B$511=1),$AH$866,HLOOKUP(INDIRECT(ADDRESS(2,COLUMN())),OFFSET($BN$2,0,0,ROW()-1,60),ROW()-1,FALSE))</f>
        <v/>
      </c>
      <c r="AI365" t="str">
        <f ca="1">IF(AND(ISNUMBER($AI$866),$B$511=1),$AI$866,HLOOKUP(INDIRECT(ADDRESS(2,COLUMN())),OFFSET($BN$2,0,0,ROW()-1,60),ROW()-1,FALSE))</f>
        <v/>
      </c>
      <c r="AJ365" t="str">
        <f ca="1">IF(AND(ISNUMBER($AJ$866),$B$511=1),$AJ$866,HLOOKUP(INDIRECT(ADDRESS(2,COLUMN())),OFFSET($BN$2,0,0,ROW()-1,60),ROW()-1,FALSE))</f>
        <v/>
      </c>
      <c r="AK365" t="str">
        <f ca="1">IF(AND(ISNUMBER($AK$866),$B$511=1),$AK$866,HLOOKUP(INDIRECT(ADDRESS(2,COLUMN())),OFFSET($BN$2,0,0,ROW()-1,60),ROW()-1,FALSE))</f>
        <v/>
      </c>
      <c r="AL365" t="str">
        <f ca="1">IF(AND(ISNUMBER($AL$866),$B$511=1),$AL$866,HLOOKUP(INDIRECT(ADDRESS(2,COLUMN())),OFFSET($BN$2,0,0,ROW()-1,60),ROW()-1,FALSE))</f>
        <v/>
      </c>
      <c r="AM365" t="str">
        <f ca="1">IF(AND(ISNUMBER($AM$866),$B$511=1),$AM$866,HLOOKUP(INDIRECT(ADDRESS(2,COLUMN())),OFFSET($BN$2,0,0,ROW()-1,60),ROW()-1,FALSE))</f>
        <v/>
      </c>
      <c r="AN365" t="str">
        <f ca="1">IF(AND(ISNUMBER($AN$866),$B$511=1),$AN$866,HLOOKUP(INDIRECT(ADDRESS(2,COLUMN())),OFFSET($BN$2,0,0,ROW()-1,60),ROW()-1,FALSE))</f>
        <v/>
      </c>
      <c r="AO365" t="str">
        <f ca="1">IF(AND(ISNUMBER($AO$866),$B$511=1),$AO$866,HLOOKUP(INDIRECT(ADDRESS(2,COLUMN())),OFFSET($BN$2,0,0,ROW()-1,60),ROW()-1,FALSE))</f>
        <v/>
      </c>
      <c r="AP365" t="str">
        <f ca="1">IF(AND(ISNUMBER($AP$866),$B$511=1),$AP$866,HLOOKUP(INDIRECT(ADDRESS(2,COLUMN())),OFFSET($BN$2,0,0,ROW()-1,60),ROW()-1,FALSE))</f>
        <v/>
      </c>
      <c r="AQ365" t="str">
        <f ca="1">IF(AND(ISNUMBER($AQ$866),$B$511=1),$AQ$866,HLOOKUP(INDIRECT(ADDRESS(2,COLUMN())),OFFSET($BN$2,0,0,ROW()-1,60),ROW()-1,FALSE))</f>
        <v/>
      </c>
      <c r="AR365" t="str">
        <f ca="1">IF(AND(ISNUMBER($AR$866),$B$511=1),$AR$866,HLOOKUP(INDIRECT(ADDRESS(2,COLUMN())),OFFSET($BN$2,0,0,ROW()-1,60),ROW()-1,FALSE))</f>
        <v/>
      </c>
      <c r="AS365" t="str">
        <f ca="1">IF(AND(ISNUMBER($AS$866),$B$511=1),$AS$866,HLOOKUP(INDIRECT(ADDRESS(2,COLUMN())),OFFSET($BN$2,0,0,ROW()-1,60),ROW()-1,FALSE))</f>
        <v/>
      </c>
      <c r="AT365" t="str">
        <f ca="1">IF(AND(ISNUMBER($AT$866),$B$511=1),$AT$866,HLOOKUP(INDIRECT(ADDRESS(2,COLUMN())),OFFSET($BN$2,0,0,ROW()-1,60),ROW()-1,FALSE))</f>
        <v/>
      </c>
      <c r="AU365" t="str">
        <f ca="1">IF(AND(ISNUMBER($AU$866),$B$511=1),$AU$866,HLOOKUP(INDIRECT(ADDRESS(2,COLUMN())),OFFSET($BN$2,0,0,ROW()-1,60),ROW()-1,FALSE))</f>
        <v/>
      </c>
      <c r="AV365" t="str">
        <f ca="1">IF(AND(ISNUMBER($AV$866),$B$511=1),$AV$866,HLOOKUP(INDIRECT(ADDRESS(2,COLUMN())),OFFSET($BN$2,0,0,ROW()-1,60),ROW()-1,FALSE))</f>
        <v/>
      </c>
      <c r="AW365" t="str">
        <f ca="1">IF(AND(ISNUMBER($AW$866),$B$511=1),$AW$866,HLOOKUP(INDIRECT(ADDRESS(2,COLUMN())),OFFSET($BN$2,0,0,ROW()-1,60),ROW()-1,FALSE))</f>
        <v/>
      </c>
      <c r="AX365" t="str">
        <f ca="1">IF(AND(ISNUMBER($AX$866),$B$511=1),$AX$866,HLOOKUP(INDIRECT(ADDRESS(2,COLUMN())),OFFSET($BN$2,0,0,ROW()-1,60),ROW()-1,FALSE))</f>
        <v/>
      </c>
      <c r="AY365" t="str">
        <f ca="1">IF(AND(ISNUMBER($AY$866),$B$511=1),$AY$866,HLOOKUP(INDIRECT(ADDRESS(2,COLUMN())),OFFSET($BN$2,0,0,ROW()-1,60),ROW()-1,FALSE))</f>
        <v/>
      </c>
      <c r="AZ365" t="str">
        <f ca="1">IF(AND(ISNUMBER($AZ$866),$B$511=1),$AZ$866,HLOOKUP(INDIRECT(ADDRESS(2,COLUMN())),OFFSET($BN$2,0,0,ROW()-1,60),ROW()-1,FALSE))</f>
        <v/>
      </c>
      <c r="BA365" t="str">
        <f ca="1">IF(AND(ISNUMBER($BA$866),$B$511=1),$BA$866,HLOOKUP(INDIRECT(ADDRESS(2,COLUMN())),OFFSET($BN$2,0,0,ROW()-1,60),ROW()-1,FALSE))</f>
        <v/>
      </c>
      <c r="BB365" t="str">
        <f ca="1">IF(AND(ISNUMBER($BB$866),$B$511=1),$BB$866,HLOOKUP(INDIRECT(ADDRESS(2,COLUMN())),OFFSET($BN$2,0,0,ROW()-1,60),ROW()-1,FALSE))</f>
        <v/>
      </c>
      <c r="BC365" t="str">
        <f ca="1">IF(AND(ISNUMBER($BC$866),$B$511=1),$BC$866,HLOOKUP(INDIRECT(ADDRESS(2,COLUMN())),OFFSET($BN$2,0,0,ROW()-1,60),ROW()-1,FALSE))</f>
        <v/>
      </c>
      <c r="BD365" t="str">
        <f ca="1">IF(AND(ISNUMBER($BD$866),$B$511=1),$BD$866,HLOOKUP(INDIRECT(ADDRESS(2,COLUMN())),OFFSET($BN$2,0,0,ROW()-1,60),ROW()-1,FALSE))</f>
        <v/>
      </c>
      <c r="BE365" t="str">
        <f ca="1">IF(AND(ISNUMBER($BE$866),$B$511=1),$BE$866,HLOOKUP(INDIRECT(ADDRESS(2,COLUMN())),OFFSET($BN$2,0,0,ROW()-1,60),ROW()-1,FALSE))</f>
        <v/>
      </c>
      <c r="BF365" t="str">
        <f ca="1">IF(AND(ISNUMBER($BF$866),$B$511=1),$BF$866,HLOOKUP(INDIRECT(ADDRESS(2,COLUMN())),OFFSET($BN$2,0,0,ROW()-1,60),ROW()-1,FALSE))</f>
        <v/>
      </c>
      <c r="BG365" t="str">
        <f ca="1">IF(AND(ISNUMBER($BG$866),$B$511=1),$BG$866,HLOOKUP(INDIRECT(ADDRESS(2,COLUMN())),OFFSET($BN$2,0,0,ROW()-1,60),ROW()-1,FALSE))</f>
        <v/>
      </c>
      <c r="BH365" t="str">
        <f ca="1">IF(AND(ISNUMBER($BH$866),$B$511=1),$BH$866,HLOOKUP(INDIRECT(ADDRESS(2,COLUMN())),OFFSET($BN$2,0,0,ROW()-1,60),ROW()-1,FALSE))</f>
        <v/>
      </c>
      <c r="BI365" t="str">
        <f ca="1">IF(AND(ISNUMBER($BI$866),$B$511=1),$BI$866,HLOOKUP(INDIRECT(ADDRESS(2,COLUMN())),OFFSET($BN$2,0,0,ROW()-1,60),ROW()-1,FALSE))</f>
        <v/>
      </c>
      <c r="BJ365" t="str">
        <f ca="1">IF(AND(ISNUMBER($BJ$866),$B$511=1),$BJ$866,HLOOKUP(INDIRECT(ADDRESS(2,COLUMN())),OFFSET($BN$2,0,0,ROW()-1,60),ROW()-1,FALSE))</f>
        <v/>
      </c>
      <c r="BK365" t="str">
        <f ca="1">IF(AND(ISNUMBER($BK$866),$B$511=1),$BK$866,HLOOKUP(INDIRECT(ADDRESS(2,COLUMN())),OFFSET($BN$2,0,0,ROW()-1,60),ROW()-1,FALSE))</f>
        <v/>
      </c>
      <c r="BL365" t="str">
        <f ca="1">IF(AND(ISNUMBER($BL$866),$B$511=1),$BL$866,HLOOKUP(INDIRECT(ADDRESS(2,COLUMN())),OFFSET($BN$2,0,0,ROW()-1,60),ROW()-1,FALSE))</f>
        <v/>
      </c>
      <c r="BM365" t="str">
        <f ca="1">IF(AND(ISNUMBER($BM$866),$B$511=1),$BM$866,HLOOKUP(INDIRECT(ADDRESS(2,COLUMN())),OFFSET($BN$2,0,0,ROW()-1,60),ROW()-1,FALSE))</f>
        <v/>
      </c>
      <c r="BN365" t="str">
        <f>""</f>
        <v/>
      </c>
      <c r="BO365" t="str">
        <f>""</f>
        <v/>
      </c>
      <c r="BP365" t="str">
        <f>""</f>
        <v/>
      </c>
      <c r="BQ365" t="str">
        <f>""</f>
        <v/>
      </c>
      <c r="BR365" t="str">
        <f>""</f>
        <v/>
      </c>
      <c r="BS365" t="str">
        <f>""</f>
        <v/>
      </c>
      <c r="BT365" t="str">
        <f>""</f>
        <v/>
      </c>
      <c r="BU365" t="str">
        <f>""</f>
        <v/>
      </c>
      <c r="BV365" t="str">
        <f>""</f>
        <v/>
      </c>
      <c r="BW365" t="str">
        <f>""</f>
        <v/>
      </c>
      <c r="BX365" t="str">
        <f>""</f>
        <v/>
      </c>
      <c r="BY365" t="str">
        <f>""</f>
        <v/>
      </c>
      <c r="BZ365" t="str">
        <f>""</f>
        <v/>
      </c>
      <c r="CA365" t="str">
        <f>""</f>
        <v/>
      </c>
      <c r="CB365" t="str">
        <f>""</f>
        <v/>
      </c>
      <c r="CC365" t="str">
        <f>""</f>
        <v/>
      </c>
      <c r="CD365" t="str">
        <f>""</f>
        <v/>
      </c>
      <c r="CE365" t="str">
        <f>""</f>
        <v/>
      </c>
      <c r="CF365" t="str">
        <f>""</f>
        <v/>
      </c>
      <c r="CG365" t="str">
        <f>""</f>
        <v/>
      </c>
      <c r="CH365" t="str">
        <f>""</f>
        <v/>
      </c>
      <c r="CI365" t="str">
        <f>""</f>
        <v/>
      </c>
      <c r="CJ365" t="str">
        <f>""</f>
        <v/>
      </c>
      <c r="CK365" t="str">
        <f>""</f>
        <v/>
      </c>
      <c r="CL365" t="str">
        <f>""</f>
        <v/>
      </c>
      <c r="CM365" t="str">
        <f>""</f>
        <v/>
      </c>
      <c r="CN365" t="str">
        <f>""</f>
        <v/>
      </c>
      <c r="CO365" t="str">
        <f>""</f>
        <v/>
      </c>
      <c r="CP365" t="str">
        <f>""</f>
        <v/>
      </c>
      <c r="CQ365" t="str">
        <f>""</f>
        <v/>
      </c>
      <c r="CR365" t="str">
        <f>""</f>
        <v/>
      </c>
      <c r="CS365" t="str">
        <f>""</f>
        <v/>
      </c>
      <c r="CT365" t="str">
        <f>""</f>
        <v/>
      </c>
      <c r="CU365" t="str">
        <f>""</f>
        <v/>
      </c>
      <c r="CV365" t="str">
        <f>""</f>
        <v/>
      </c>
      <c r="CW365" t="str">
        <f>""</f>
        <v/>
      </c>
      <c r="CX365" t="str">
        <f>""</f>
        <v/>
      </c>
      <c r="CY365" t="str">
        <f>""</f>
        <v/>
      </c>
      <c r="CZ365" t="str">
        <f>""</f>
        <v/>
      </c>
      <c r="DA365" t="str">
        <f>""</f>
        <v/>
      </c>
      <c r="DB365" t="str">
        <f>""</f>
        <v/>
      </c>
      <c r="DC365" t="str">
        <f>""</f>
        <v/>
      </c>
      <c r="DD365" t="str">
        <f>""</f>
        <v/>
      </c>
      <c r="DE365" t="str">
        <f>""</f>
        <v/>
      </c>
      <c r="DF365" t="str">
        <f>""</f>
        <v/>
      </c>
      <c r="DG365" t="str">
        <f>""</f>
        <v/>
      </c>
      <c r="DH365" t="str">
        <f>""</f>
        <v/>
      </c>
      <c r="DI365" t="str">
        <f>""</f>
        <v/>
      </c>
      <c r="DJ365" t="str">
        <f>""</f>
        <v/>
      </c>
      <c r="DK365" t="str">
        <f>""</f>
        <v/>
      </c>
      <c r="DL365" t="str">
        <f>""</f>
        <v/>
      </c>
      <c r="DM365" t="str">
        <f>""</f>
        <v/>
      </c>
      <c r="DN365" t="str">
        <f>""</f>
        <v/>
      </c>
      <c r="DO365" t="str">
        <f>""</f>
        <v/>
      </c>
      <c r="DP365" t="str">
        <f>""</f>
        <v/>
      </c>
      <c r="DQ365" t="str">
        <f>""</f>
        <v/>
      </c>
      <c r="DR365" t="str">
        <f>""</f>
        <v/>
      </c>
      <c r="DS365" t="str">
        <f>""</f>
        <v/>
      </c>
      <c r="DT365" t="str">
        <f>""</f>
        <v/>
      </c>
      <c r="DU365" t="str">
        <f>""</f>
        <v/>
      </c>
    </row>
    <row r="366" spans="1:125" x14ac:dyDescent="0.25">
      <c r="A366" t="str">
        <f>"    Tesla Inc"</f>
        <v xml:space="preserve">    Tesla Inc</v>
      </c>
      <c r="B366" t="str">
        <f>"TSLA US Equity"</f>
        <v>TSLA US Equity</v>
      </c>
      <c r="C366" t="str">
        <f t="shared" si="24"/>
        <v>RX530</v>
      </c>
      <c r="D366" t="str">
        <f t="shared" si="25"/>
        <v>T12M_DVDS_PAID</v>
      </c>
      <c r="E366" t="str">
        <f t="shared" si="26"/>
        <v>Dynamic</v>
      </c>
      <c r="F366" t="str">
        <f ca="1">IF(AND(ISNUMBER($F$867),$B$511=1),$F$867,HLOOKUP(INDIRECT(ADDRESS(2,COLUMN())),OFFSET($BN$2,0,0,ROW()-1,60),ROW()-1,FALSE))</f>
        <v/>
      </c>
      <c r="G366">
        <f ca="1">IF(AND(ISNUMBER($G$867),$B$511=1),$G$867,HLOOKUP(INDIRECT(ADDRESS(2,COLUMN())),OFFSET($BN$2,0,0,ROW()-1,60),ROW()-1,FALSE))</f>
        <v>0</v>
      </c>
      <c r="H366">
        <f ca="1">IF(AND(ISNUMBER($H$867),$B$511=1),$H$867,HLOOKUP(INDIRECT(ADDRESS(2,COLUMN())),OFFSET($BN$2,0,0,ROW()-1,60),ROW()-1,FALSE))</f>
        <v>0</v>
      </c>
      <c r="I366">
        <f ca="1">IF(AND(ISNUMBER($I$867),$B$511=1),$I$867,HLOOKUP(INDIRECT(ADDRESS(2,COLUMN())),OFFSET($BN$2,0,0,ROW()-1,60),ROW()-1,FALSE))</f>
        <v>0</v>
      </c>
      <c r="J366">
        <f ca="1">IF(AND(ISNUMBER($J$867),$B$511=1),$J$867,HLOOKUP(INDIRECT(ADDRESS(2,COLUMN())),OFFSET($BN$2,0,0,ROW()-1,60),ROW()-1,FALSE))</f>
        <v>0</v>
      </c>
      <c r="K366">
        <f ca="1">IF(AND(ISNUMBER($K$867),$B$511=1),$K$867,HLOOKUP(INDIRECT(ADDRESS(2,COLUMN())),OFFSET($BN$2,0,0,ROW()-1,60),ROW()-1,FALSE))</f>
        <v>0</v>
      </c>
      <c r="L366">
        <f ca="1">IF(AND(ISNUMBER($L$867),$B$511=1),$L$867,HLOOKUP(INDIRECT(ADDRESS(2,COLUMN())),OFFSET($BN$2,0,0,ROW()-1,60),ROW()-1,FALSE))</f>
        <v>0</v>
      </c>
      <c r="M366">
        <f ca="1">IF(AND(ISNUMBER($M$867),$B$511=1),$M$867,HLOOKUP(INDIRECT(ADDRESS(2,COLUMN())),OFFSET($BN$2,0,0,ROW()-1,60),ROW()-1,FALSE))</f>
        <v>0</v>
      </c>
      <c r="N366">
        <f ca="1">IF(AND(ISNUMBER($N$867),$B$511=1),$N$867,HLOOKUP(INDIRECT(ADDRESS(2,COLUMN())),OFFSET($BN$2,0,0,ROW()-1,60),ROW()-1,FALSE))</f>
        <v>0</v>
      </c>
      <c r="O366">
        <f ca="1">IF(AND(ISNUMBER($O$867),$B$511=1),$O$867,HLOOKUP(INDIRECT(ADDRESS(2,COLUMN())),OFFSET($BN$2,0,0,ROW()-1,60),ROW()-1,FALSE))</f>
        <v>0</v>
      </c>
      <c r="P366">
        <f ca="1">IF(AND(ISNUMBER($P$867),$B$511=1),$P$867,HLOOKUP(INDIRECT(ADDRESS(2,COLUMN())),OFFSET($BN$2,0,0,ROW()-1,60),ROW()-1,FALSE))</f>
        <v>0</v>
      </c>
      <c r="Q366">
        <f ca="1">IF(AND(ISNUMBER($Q$867),$B$511=1),$Q$867,HLOOKUP(INDIRECT(ADDRESS(2,COLUMN())),OFFSET($BN$2,0,0,ROW()-1,60),ROW()-1,FALSE))</f>
        <v>0</v>
      </c>
      <c r="R366">
        <f ca="1">IF(AND(ISNUMBER($R$867),$B$511=1),$R$867,HLOOKUP(INDIRECT(ADDRESS(2,COLUMN())),OFFSET($BN$2,0,0,ROW()-1,60),ROW()-1,FALSE))</f>
        <v>0</v>
      </c>
      <c r="S366">
        <f ca="1">IF(AND(ISNUMBER($S$867),$B$511=1),$S$867,HLOOKUP(INDIRECT(ADDRESS(2,COLUMN())),OFFSET($BN$2,0,0,ROW()-1,60),ROW()-1,FALSE))</f>
        <v>0</v>
      </c>
      <c r="T366">
        <f ca="1">IF(AND(ISNUMBER($T$867),$B$511=1),$T$867,HLOOKUP(INDIRECT(ADDRESS(2,COLUMN())),OFFSET($BN$2,0,0,ROW()-1,60),ROW()-1,FALSE))</f>
        <v>0</v>
      </c>
      <c r="U366">
        <f ca="1">IF(AND(ISNUMBER($U$867),$B$511=1),$U$867,HLOOKUP(INDIRECT(ADDRESS(2,COLUMN())),OFFSET($BN$2,0,0,ROW()-1,60),ROW()-1,FALSE))</f>
        <v>0</v>
      </c>
      <c r="V366">
        <f ca="1">IF(AND(ISNUMBER($V$867),$B$511=1),$V$867,HLOOKUP(INDIRECT(ADDRESS(2,COLUMN())),OFFSET($BN$2,0,0,ROW()-1,60),ROW()-1,FALSE))</f>
        <v>0</v>
      </c>
      <c r="W366">
        <f ca="1">IF(AND(ISNUMBER($W$867),$B$511=1),$W$867,HLOOKUP(INDIRECT(ADDRESS(2,COLUMN())),OFFSET($BN$2,0,0,ROW()-1,60),ROW()-1,FALSE))</f>
        <v>0</v>
      </c>
      <c r="X366">
        <f ca="1">IF(AND(ISNUMBER($X$867),$B$511=1),$X$867,HLOOKUP(INDIRECT(ADDRESS(2,COLUMN())),OFFSET($BN$2,0,0,ROW()-1,60),ROW()-1,FALSE))</f>
        <v>0</v>
      </c>
      <c r="Y366">
        <f ca="1">IF(AND(ISNUMBER($Y$867),$B$511=1),$Y$867,HLOOKUP(INDIRECT(ADDRESS(2,COLUMN())),OFFSET($BN$2,0,0,ROW()-1,60),ROW()-1,FALSE))</f>
        <v>0</v>
      </c>
      <c r="Z366">
        <f ca="1">IF(AND(ISNUMBER($Z$867),$B$511=1),$Z$867,HLOOKUP(INDIRECT(ADDRESS(2,COLUMN())),OFFSET($BN$2,0,0,ROW()-1,60),ROW()-1,FALSE))</f>
        <v>0</v>
      </c>
      <c r="AA366">
        <f ca="1">IF(AND(ISNUMBER($AA$867),$B$511=1),$AA$867,HLOOKUP(INDIRECT(ADDRESS(2,COLUMN())),OFFSET($BN$2,0,0,ROW()-1,60),ROW()-1,FALSE))</f>
        <v>0</v>
      </c>
      <c r="AB366">
        <f ca="1">IF(AND(ISNUMBER($AB$867),$B$511=1),$AB$867,HLOOKUP(INDIRECT(ADDRESS(2,COLUMN())),OFFSET($BN$2,0,0,ROW()-1,60),ROW()-1,FALSE))</f>
        <v>0</v>
      </c>
      <c r="AC366">
        <f ca="1">IF(AND(ISNUMBER($AC$867),$B$511=1),$AC$867,HLOOKUP(INDIRECT(ADDRESS(2,COLUMN())),OFFSET($BN$2,0,0,ROW()-1,60),ROW()-1,FALSE))</f>
        <v>0</v>
      </c>
      <c r="AD366">
        <f ca="1">IF(AND(ISNUMBER($AD$867),$B$511=1),$AD$867,HLOOKUP(INDIRECT(ADDRESS(2,COLUMN())),OFFSET($BN$2,0,0,ROW()-1,60),ROW()-1,FALSE))</f>
        <v>0</v>
      </c>
      <c r="AE366">
        <f ca="1">IF(AND(ISNUMBER($AE$867),$B$511=1),$AE$867,HLOOKUP(INDIRECT(ADDRESS(2,COLUMN())),OFFSET($BN$2,0,0,ROW()-1,60),ROW()-1,FALSE))</f>
        <v>0</v>
      </c>
      <c r="AF366">
        <f ca="1">IF(AND(ISNUMBER($AF$867),$B$511=1),$AF$867,HLOOKUP(INDIRECT(ADDRESS(2,COLUMN())),OFFSET($BN$2,0,0,ROW()-1,60),ROW()-1,FALSE))</f>
        <v>0</v>
      </c>
      <c r="AG366">
        <f ca="1">IF(AND(ISNUMBER($AG$867),$B$511=1),$AG$867,HLOOKUP(INDIRECT(ADDRESS(2,COLUMN())),OFFSET($BN$2,0,0,ROW()-1,60),ROW()-1,FALSE))</f>
        <v>0</v>
      </c>
      <c r="AH366">
        <f ca="1">IF(AND(ISNUMBER($AH$867),$B$511=1),$AH$867,HLOOKUP(INDIRECT(ADDRESS(2,COLUMN())),OFFSET($BN$2,0,0,ROW()-1,60),ROW()-1,FALSE))</f>
        <v>0</v>
      </c>
      <c r="AI366">
        <f ca="1">IF(AND(ISNUMBER($AI$867),$B$511=1),$AI$867,HLOOKUP(INDIRECT(ADDRESS(2,COLUMN())),OFFSET($BN$2,0,0,ROW()-1,60),ROW()-1,FALSE))</f>
        <v>0</v>
      </c>
      <c r="AJ366">
        <f ca="1">IF(AND(ISNUMBER($AJ$867),$B$511=1),$AJ$867,HLOOKUP(INDIRECT(ADDRESS(2,COLUMN())),OFFSET($BN$2,0,0,ROW()-1,60),ROW()-1,FALSE))</f>
        <v>0</v>
      </c>
      <c r="AK366">
        <f ca="1">IF(AND(ISNUMBER($AK$867),$B$511=1),$AK$867,HLOOKUP(INDIRECT(ADDRESS(2,COLUMN())),OFFSET($BN$2,0,0,ROW()-1,60),ROW()-1,FALSE))</f>
        <v>0</v>
      </c>
      <c r="AL366">
        <f ca="1">IF(AND(ISNUMBER($AL$867),$B$511=1),$AL$867,HLOOKUP(INDIRECT(ADDRESS(2,COLUMN())),OFFSET($BN$2,0,0,ROW()-1,60),ROW()-1,FALSE))</f>
        <v>0</v>
      </c>
      <c r="AM366">
        <f ca="1">IF(AND(ISNUMBER($AM$867),$B$511=1),$AM$867,HLOOKUP(INDIRECT(ADDRESS(2,COLUMN())),OFFSET($BN$2,0,0,ROW()-1,60),ROW()-1,FALSE))</f>
        <v>0</v>
      </c>
      <c r="AN366">
        <f ca="1">IF(AND(ISNUMBER($AN$867),$B$511=1),$AN$867,HLOOKUP(INDIRECT(ADDRESS(2,COLUMN())),OFFSET($BN$2,0,0,ROW()-1,60),ROW()-1,FALSE))</f>
        <v>0</v>
      </c>
      <c r="AO366" t="str">
        <f ca="1">IF(AND(ISNUMBER($AO$867),$B$511=1),$AO$867,HLOOKUP(INDIRECT(ADDRESS(2,COLUMN())),OFFSET($BN$2,0,0,ROW()-1,60),ROW()-1,FALSE))</f>
        <v/>
      </c>
      <c r="AP366" t="str">
        <f ca="1">IF(AND(ISNUMBER($AP$867),$B$511=1),$AP$867,HLOOKUP(INDIRECT(ADDRESS(2,COLUMN())),OFFSET($BN$2,0,0,ROW()-1,60),ROW()-1,FALSE))</f>
        <v/>
      </c>
      <c r="AQ366" t="str">
        <f ca="1">IF(AND(ISNUMBER($AQ$867),$B$511=1),$AQ$867,HLOOKUP(INDIRECT(ADDRESS(2,COLUMN())),OFFSET($BN$2,0,0,ROW()-1,60),ROW()-1,FALSE))</f>
        <v/>
      </c>
      <c r="AR366" t="str">
        <f ca="1">IF(AND(ISNUMBER($AR$867),$B$511=1),$AR$867,HLOOKUP(INDIRECT(ADDRESS(2,COLUMN())),OFFSET($BN$2,0,0,ROW()-1,60),ROW()-1,FALSE))</f>
        <v/>
      </c>
      <c r="AS366" t="str">
        <f ca="1">IF(AND(ISNUMBER($AS$867),$B$511=1),$AS$867,HLOOKUP(INDIRECT(ADDRESS(2,COLUMN())),OFFSET($BN$2,0,0,ROW()-1,60),ROW()-1,FALSE))</f>
        <v/>
      </c>
      <c r="AT366" t="str">
        <f ca="1">IF(AND(ISNUMBER($AT$867),$B$511=1),$AT$867,HLOOKUP(INDIRECT(ADDRESS(2,COLUMN())),OFFSET($BN$2,0,0,ROW()-1,60),ROW()-1,FALSE))</f>
        <v/>
      </c>
      <c r="AU366" t="str">
        <f ca="1">IF(AND(ISNUMBER($AU$867),$B$511=1),$AU$867,HLOOKUP(INDIRECT(ADDRESS(2,COLUMN())),OFFSET($BN$2,0,0,ROW()-1,60),ROW()-1,FALSE))</f>
        <v/>
      </c>
      <c r="AV366" t="str">
        <f ca="1">IF(AND(ISNUMBER($AV$867),$B$511=1),$AV$867,HLOOKUP(INDIRECT(ADDRESS(2,COLUMN())),OFFSET($BN$2,0,0,ROW()-1,60),ROW()-1,FALSE))</f>
        <v/>
      </c>
      <c r="AW366" t="str">
        <f ca="1">IF(AND(ISNUMBER($AW$867),$B$511=1),$AW$867,HLOOKUP(INDIRECT(ADDRESS(2,COLUMN())),OFFSET($BN$2,0,0,ROW()-1,60),ROW()-1,FALSE))</f>
        <v/>
      </c>
      <c r="AX366" t="str">
        <f ca="1">IF(AND(ISNUMBER($AX$867),$B$511=1),$AX$867,HLOOKUP(INDIRECT(ADDRESS(2,COLUMN())),OFFSET($BN$2,0,0,ROW()-1,60),ROW()-1,FALSE))</f>
        <v/>
      </c>
      <c r="AY366" t="str">
        <f ca="1">IF(AND(ISNUMBER($AY$867),$B$511=1),$AY$867,HLOOKUP(INDIRECT(ADDRESS(2,COLUMN())),OFFSET($BN$2,0,0,ROW()-1,60),ROW()-1,FALSE))</f>
        <v/>
      </c>
      <c r="AZ366" t="str">
        <f ca="1">IF(AND(ISNUMBER($AZ$867),$B$511=1),$AZ$867,HLOOKUP(INDIRECT(ADDRESS(2,COLUMN())),OFFSET($BN$2,0,0,ROW()-1,60),ROW()-1,FALSE))</f>
        <v/>
      </c>
      <c r="BA366" t="str">
        <f ca="1">IF(AND(ISNUMBER($BA$867),$B$511=1),$BA$867,HLOOKUP(INDIRECT(ADDRESS(2,COLUMN())),OFFSET($BN$2,0,0,ROW()-1,60),ROW()-1,FALSE))</f>
        <v/>
      </c>
      <c r="BB366" t="str">
        <f ca="1">IF(AND(ISNUMBER($BB$867),$B$511=1),$BB$867,HLOOKUP(INDIRECT(ADDRESS(2,COLUMN())),OFFSET($BN$2,0,0,ROW()-1,60),ROW()-1,FALSE))</f>
        <v/>
      </c>
      <c r="BC366" t="str">
        <f ca="1">IF(AND(ISNUMBER($BC$867),$B$511=1),$BC$867,HLOOKUP(INDIRECT(ADDRESS(2,COLUMN())),OFFSET($BN$2,0,0,ROW()-1,60),ROW()-1,FALSE))</f>
        <v/>
      </c>
      <c r="BD366" t="str">
        <f ca="1">IF(AND(ISNUMBER($BD$867),$B$511=1),$BD$867,HLOOKUP(INDIRECT(ADDRESS(2,COLUMN())),OFFSET($BN$2,0,0,ROW()-1,60),ROW()-1,FALSE))</f>
        <v/>
      </c>
      <c r="BE366" t="str">
        <f ca="1">IF(AND(ISNUMBER($BE$867),$B$511=1),$BE$867,HLOOKUP(INDIRECT(ADDRESS(2,COLUMN())),OFFSET($BN$2,0,0,ROW()-1,60),ROW()-1,FALSE))</f>
        <v/>
      </c>
      <c r="BF366" t="str">
        <f ca="1">IF(AND(ISNUMBER($BF$867),$B$511=1),$BF$867,HLOOKUP(INDIRECT(ADDRESS(2,COLUMN())),OFFSET($BN$2,0,0,ROW()-1,60),ROW()-1,FALSE))</f>
        <v/>
      </c>
      <c r="BG366" t="str">
        <f ca="1">IF(AND(ISNUMBER($BG$867),$B$511=1),$BG$867,HLOOKUP(INDIRECT(ADDRESS(2,COLUMN())),OFFSET($BN$2,0,0,ROW()-1,60),ROW()-1,FALSE))</f>
        <v/>
      </c>
      <c r="BH366" t="str">
        <f ca="1">IF(AND(ISNUMBER($BH$867),$B$511=1),$BH$867,HLOOKUP(INDIRECT(ADDRESS(2,COLUMN())),OFFSET($BN$2,0,0,ROW()-1,60),ROW()-1,FALSE))</f>
        <v/>
      </c>
      <c r="BI366" t="str">
        <f ca="1">IF(AND(ISNUMBER($BI$867),$B$511=1),$BI$867,HLOOKUP(INDIRECT(ADDRESS(2,COLUMN())),OFFSET($BN$2,0,0,ROW()-1,60),ROW()-1,FALSE))</f>
        <v/>
      </c>
      <c r="BJ366" t="str">
        <f ca="1">IF(AND(ISNUMBER($BJ$867),$B$511=1),$BJ$867,HLOOKUP(INDIRECT(ADDRESS(2,COLUMN())),OFFSET($BN$2,0,0,ROW()-1,60),ROW()-1,FALSE))</f>
        <v/>
      </c>
      <c r="BK366" t="str">
        <f ca="1">IF(AND(ISNUMBER($BK$867),$B$511=1),$BK$867,HLOOKUP(INDIRECT(ADDRESS(2,COLUMN())),OFFSET($BN$2,0,0,ROW()-1,60),ROW()-1,FALSE))</f>
        <v/>
      </c>
      <c r="BL366" t="str">
        <f ca="1">IF(AND(ISNUMBER($BL$867),$B$511=1),$BL$867,HLOOKUP(INDIRECT(ADDRESS(2,COLUMN())),OFFSET($BN$2,0,0,ROW()-1,60),ROW()-1,FALSE))</f>
        <v/>
      </c>
      <c r="BM366" t="str">
        <f ca="1">IF(AND(ISNUMBER($BM$867),$B$511=1),$BM$867,HLOOKUP(INDIRECT(ADDRESS(2,COLUMN())),OFFSET($BN$2,0,0,ROW()-1,60),ROW()-1,FALSE))</f>
        <v/>
      </c>
      <c r="BN366" t="str">
        <f>""</f>
        <v/>
      </c>
      <c r="BO366">
        <f>0</f>
        <v>0</v>
      </c>
      <c r="BP366">
        <f>0</f>
        <v>0</v>
      </c>
      <c r="BQ366">
        <f>0</f>
        <v>0</v>
      </c>
      <c r="BR366">
        <f>0</f>
        <v>0</v>
      </c>
      <c r="BS366">
        <f>0</f>
        <v>0</v>
      </c>
      <c r="BT366">
        <f>0</f>
        <v>0</v>
      </c>
      <c r="BU366">
        <f>0</f>
        <v>0</v>
      </c>
      <c r="BV366">
        <f>0</f>
        <v>0</v>
      </c>
      <c r="BW366">
        <f>0</f>
        <v>0</v>
      </c>
      <c r="BX366">
        <f>0</f>
        <v>0</v>
      </c>
      <c r="BY366">
        <f>0</f>
        <v>0</v>
      </c>
      <c r="BZ366">
        <f>0</f>
        <v>0</v>
      </c>
      <c r="CA366">
        <f>0</f>
        <v>0</v>
      </c>
      <c r="CB366">
        <f>0</f>
        <v>0</v>
      </c>
      <c r="CC366">
        <f>0</f>
        <v>0</v>
      </c>
      <c r="CD366">
        <f>0</f>
        <v>0</v>
      </c>
      <c r="CE366">
        <f>0</f>
        <v>0</v>
      </c>
      <c r="CF366">
        <f>0</f>
        <v>0</v>
      </c>
      <c r="CG366">
        <f>0</f>
        <v>0</v>
      </c>
      <c r="CH366">
        <f>0</f>
        <v>0</v>
      </c>
      <c r="CI366">
        <f>0</f>
        <v>0</v>
      </c>
      <c r="CJ366">
        <f>0</f>
        <v>0</v>
      </c>
      <c r="CK366">
        <f>0</f>
        <v>0</v>
      </c>
      <c r="CL366">
        <f>0</f>
        <v>0</v>
      </c>
      <c r="CM366">
        <f>0</f>
        <v>0</v>
      </c>
      <c r="CN366">
        <f>0</f>
        <v>0</v>
      </c>
      <c r="CO366">
        <f>0</f>
        <v>0</v>
      </c>
      <c r="CP366">
        <f>0</f>
        <v>0</v>
      </c>
      <c r="CQ366">
        <f>0</f>
        <v>0</v>
      </c>
      <c r="CR366">
        <f>0</f>
        <v>0</v>
      </c>
      <c r="CS366">
        <f>0</f>
        <v>0</v>
      </c>
      <c r="CT366">
        <f>0</f>
        <v>0</v>
      </c>
      <c r="CU366">
        <f>0</f>
        <v>0</v>
      </c>
      <c r="CV366">
        <f>0</f>
        <v>0</v>
      </c>
      <c r="CW366" t="str">
        <f>""</f>
        <v/>
      </c>
      <c r="CX366" t="str">
        <f>""</f>
        <v/>
      </c>
      <c r="CY366" t="str">
        <f>""</f>
        <v/>
      </c>
      <c r="CZ366" t="str">
        <f>""</f>
        <v/>
      </c>
      <c r="DA366" t="str">
        <f>""</f>
        <v/>
      </c>
      <c r="DB366" t="str">
        <f>""</f>
        <v/>
      </c>
      <c r="DC366" t="str">
        <f>""</f>
        <v/>
      </c>
      <c r="DD366" t="str">
        <f>""</f>
        <v/>
      </c>
      <c r="DE366" t="str">
        <f>""</f>
        <v/>
      </c>
      <c r="DF366" t="str">
        <f>""</f>
        <v/>
      </c>
      <c r="DG366" t="str">
        <f>""</f>
        <v/>
      </c>
      <c r="DH366" t="str">
        <f>""</f>
        <v/>
      </c>
      <c r="DI366" t="str">
        <f>""</f>
        <v/>
      </c>
      <c r="DJ366" t="str">
        <f>""</f>
        <v/>
      </c>
      <c r="DK366" t="str">
        <f>""</f>
        <v/>
      </c>
      <c r="DL366" t="str">
        <f>""</f>
        <v/>
      </c>
      <c r="DM366" t="str">
        <f>""</f>
        <v/>
      </c>
      <c r="DN366" t="str">
        <f>""</f>
        <v/>
      </c>
      <c r="DO366" t="str">
        <f>""</f>
        <v/>
      </c>
      <c r="DP366" t="str">
        <f>""</f>
        <v/>
      </c>
      <c r="DQ366" t="str">
        <f>""</f>
        <v/>
      </c>
      <c r="DR366" t="str">
        <f>""</f>
        <v/>
      </c>
      <c r="DS366" t="str">
        <f>""</f>
        <v/>
      </c>
      <c r="DT366" t="str">
        <f>""</f>
        <v/>
      </c>
      <c r="DU366" t="str">
        <f>""</f>
        <v/>
      </c>
    </row>
    <row r="367" spans="1:125" x14ac:dyDescent="0.25">
      <c r="A367" t="str">
        <f>"    Tianjin Faw Xiali Automobile Co Ltd"</f>
        <v xml:space="preserve">    Tianjin Faw Xiali Automobile Co Ltd</v>
      </c>
      <c r="B367" t="str">
        <f>"000927 CH Equity"</f>
        <v>000927 CH Equity</v>
      </c>
      <c r="C367" t="str">
        <f t="shared" si="24"/>
        <v>RX530</v>
      </c>
      <c r="D367" t="str">
        <f t="shared" si="25"/>
        <v>T12M_DVDS_PAID</v>
      </c>
      <c r="E367" t="str">
        <f t="shared" si="26"/>
        <v>Dynamic</v>
      </c>
      <c r="F367" t="str">
        <f ca="1">IF(AND(ISNUMBER($F$868),$B$511=1),$F$868,HLOOKUP(INDIRECT(ADDRESS(2,COLUMN())),OFFSET($BN$2,0,0,ROW()-1,60),ROW()-1,FALSE))</f>
        <v/>
      </c>
      <c r="G367" t="str">
        <f ca="1">IF(AND(ISNUMBER($G$868),$B$511=1),$G$868,HLOOKUP(INDIRECT(ADDRESS(2,COLUMN())),OFFSET($BN$2,0,0,ROW()-1,60),ROW()-1,FALSE))</f>
        <v/>
      </c>
      <c r="H367">
        <f ca="1">IF(AND(ISNUMBER($H$868),$B$511=1),$H$868,HLOOKUP(INDIRECT(ADDRESS(2,COLUMN())),OFFSET($BN$2,0,0,ROW()-1,60),ROW()-1,FALSE))</f>
        <v>0</v>
      </c>
      <c r="I367">
        <f ca="1">IF(AND(ISNUMBER($I$868),$B$511=1),$I$868,HLOOKUP(INDIRECT(ADDRESS(2,COLUMN())),OFFSET($BN$2,0,0,ROW()-1,60),ROW()-1,FALSE))</f>
        <v>0</v>
      </c>
      <c r="J367">
        <f ca="1">IF(AND(ISNUMBER($J$868),$B$511=1),$J$868,HLOOKUP(INDIRECT(ADDRESS(2,COLUMN())),OFFSET($BN$2,0,0,ROW()-1,60),ROW()-1,FALSE))</f>
        <v>0</v>
      </c>
      <c r="K367">
        <f ca="1">IF(AND(ISNUMBER($K$868),$B$511=1),$K$868,HLOOKUP(INDIRECT(ADDRESS(2,COLUMN())),OFFSET($BN$2,0,0,ROW()-1,60),ROW()-1,FALSE))</f>
        <v>0</v>
      </c>
      <c r="L367">
        <f ca="1">IF(AND(ISNUMBER($L$868),$B$511=1),$L$868,HLOOKUP(INDIRECT(ADDRESS(2,COLUMN())),OFFSET($BN$2,0,0,ROW()-1,60),ROW()-1,FALSE))</f>
        <v>0</v>
      </c>
      <c r="M367">
        <f ca="1">IF(AND(ISNUMBER($M$868),$B$511=1),$M$868,HLOOKUP(INDIRECT(ADDRESS(2,COLUMN())),OFFSET($BN$2,0,0,ROW()-1,60),ROW()-1,FALSE))</f>
        <v>0</v>
      </c>
      <c r="N367">
        <f ca="1">IF(AND(ISNUMBER($N$868),$B$511=1),$N$868,HLOOKUP(INDIRECT(ADDRESS(2,COLUMN())),OFFSET($BN$2,0,0,ROW()-1,60),ROW()-1,FALSE))</f>
        <v>0</v>
      </c>
      <c r="O367">
        <f ca="1">IF(AND(ISNUMBER($O$868),$B$511=1),$O$868,HLOOKUP(INDIRECT(ADDRESS(2,COLUMN())),OFFSET($BN$2,0,0,ROW()-1,60),ROW()-1,FALSE))</f>
        <v>0</v>
      </c>
      <c r="P367">
        <f ca="1">IF(AND(ISNUMBER($P$868),$B$511=1),$P$868,HLOOKUP(INDIRECT(ADDRESS(2,COLUMN())),OFFSET($BN$2,0,0,ROW()-1,60),ROW()-1,FALSE))</f>
        <v>0</v>
      </c>
      <c r="Q367">
        <f ca="1">IF(AND(ISNUMBER($Q$868),$B$511=1),$Q$868,HLOOKUP(INDIRECT(ADDRESS(2,COLUMN())),OFFSET($BN$2,0,0,ROW()-1,60),ROW()-1,FALSE))</f>
        <v>0</v>
      </c>
      <c r="R367">
        <f ca="1">IF(AND(ISNUMBER($R$868),$B$511=1),$R$868,HLOOKUP(INDIRECT(ADDRESS(2,COLUMN())),OFFSET($BN$2,0,0,ROW()-1,60),ROW()-1,FALSE))</f>
        <v>0</v>
      </c>
      <c r="S367">
        <f ca="1">IF(AND(ISNUMBER($S$868),$B$511=1),$S$868,HLOOKUP(INDIRECT(ADDRESS(2,COLUMN())),OFFSET($BN$2,0,0,ROW()-1,60),ROW()-1,FALSE))</f>
        <v>0</v>
      </c>
      <c r="T367">
        <f ca="1">IF(AND(ISNUMBER($T$868),$B$511=1),$T$868,HLOOKUP(INDIRECT(ADDRESS(2,COLUMN())),OFFSET($BN$2,0,0,ROW()-1,60),ROW()-1,FALSE))</f>
        <v>0</v>
      </c>
      <c r="U367">
        <f ca="1">IF(AND(ISNUMBER($U$868),$B$511=1),$U$868,HLOOKUP(INDIRECT(ADDRESS(2,COLUMN())),OFFSET($BN$2,0,0,ROW()-1,60),ROW()-1,FALSE))</f>
        <v>0</v>
      </c>
      <c r="V367">
        <f ca="1">IF(AND(ISNUMBER($V$868),$B$511=1),$V$868,HLOOKUP(INDIRECT(ADDRESS(2,COLUMN())),OFFSET($BN$2,0,0,ROW()-1,60),ROW()-1,FALSE))</f>
        <v>0</v>
      </c>
      <c r="W367">
        <f ca="1">IF(AND(ISNUMBER($W$868),$B$511=1),$W$868,HLOOKUP(INDIRECT(ADDRESS(2,COLUMN())),OFFSET($BN$2,0,0,ROW()-1,60),ROW()-1,FALSE))</f>
        <v>0</v>
      </c>
      <c r="X367">
        <f ca="1">IF(AND(ISNUMBER($X$868),$B$511=1),$X$868,HLOOKUP(INDIRECT(ADDRESS(2,COLUMN())),OFFSET($BN$2,0,0,ROW()-1,60),ROW()-1,FALSE))</f>
        <v>0</v>
      </c>
      <c r="Y367">
        <f ca="1">IF(AND(ISNUMBER($Y$868),$B$511=1),$Y$868,HLOOKUP(INDIRECT(ADDRESS(2,COLUMN())),OFFSET($BN$2,0,0,ROW()-1,60),ROW()-1,FALSE))</f>
        <v>-2.5995747900000001</v>
      </c>
      <c r="Z367">
        <f ca="1">IF(AND(ISNUMBER($Z$868),$B$511=1),$Z$868,HLOOKUP(INDIRECT(ADDRESS(2,COLUMN())),OFFSET($BN$2,0,0,ROW()-1,60),ROW()-1,FALSE))</f>
        <v>-2.6075589849999998</v>
      </c>
      <c r="AA367">
        <f ca="1">IF(AND(ISNUMBER($AA$868),$B$511=1),$AA$868,HLOOKUP(INDIRECT(ADDRESS(2,COLUMN())),OFFSET($BN$2,0,0,ROW()-1,60),ROW()-1,FALSE))</f>
        <v>-2.5947418309999999</v>
      </c>
      <c r="AB367">
        <f ca="1">IF(AND(ISNUMBER($AB$868),$B$511=1),$AB$868,HLOOKUP(INDIRECT(ADDRESS(2,COLUMN())),OFFSET($BN$2,0,0,ROW()-1,60),ROW()-1,FALSE))</f>
        <v>-2.577782037</v>
      </c>
      <c r="AC367">
        <f ca="1">IF(AND(ISNUMBER($AC$868),$B$511=1),$AC$868,HLOOKUP(INDIRECT(ADDRESS(2,COLUMN())),OFFSET($BN$2,0,0,ROW()-1,60),ROW()-1,FALSE))</f>
        <v>-5.1087069249999999</v>
      </c>
      <c r="AD367">
        <f ca="1">IF(AND(ISNUMBER($AD$868),$B$511=1),$AD$868,HLOOKUP(INDIRECT(ADDRESS(2,COLUMN())),OFFSET($BN$2,0,0,ROW()-1,60),ROW()-1,FALSE))</f>
        <v>-5.0733103809999998</v>
      </c>
      <c r="AE367">
        <f ca="1">IF(AND(ISNUMBER($AE$868),$B$511=1),$AE$868,HLOOKUP(INDIRECT(ADDRESS(2,COLUMN())),OFFSET($BN$2,0,0,ROW()-1,60),ROW()-1,FALSE))</f>
        <v>-5.0563357470000003</v>
      </c>
      <c r="AF367">
        <f ca="1">IF(AND(ISNUMBER($AF$868),$B$511=1),$AF$868,HLOOKUP(INDIRECT(ADDRESS(2,COLUMN())),OFFSET($BN$2,0,0,ROW()-1,60),ROW()-1,FALSE))</f>
        <v>-5.0344911120000004</v>
      </c>
      <c r="AG367">
        <f ca="1">IF(AND(ISNUMBER($AG$868),$B$511=1),$AG$868,HLOOKUP(INDIRECT(ADDRESS(2,COLUMN())),OFFSET($BN$2,0,0,ROW()-1,60),ROW()-1,FALSE))</f>
        <v>0</v>
      </c>
      <c r="AH367">
        <f ca="1">IF(AND(ISNUMBER($AH$868),$B$511=1),$AH$868,HLOOKUP(INDIRECT(ADDRESS(2,COLUMN())),OFFSET($BN$2,0,0,ROW()-1,60),ROW()-1,FALSE))</f>
        <v>-7.7958526800000003</v>
      </c>
      <c r="AI367">
        <f ca="1">IF(AND(ISNUMBER($AI$868),$B$511=1),$AI$868,HLOOKUP(INDIRECT(ADDRESS(2,COLUMN())),OFFSET($BN$2,0,0,ROW()-1,60),ROW()-1,FALSE))</f>
        <v>-7.7149710730000001</v>
      </c>
      <c r="AJ367" t="str">
        <f ca="1">IF(AND(ISNUMBER($AJ$868),$B$511=1),$AJ$868,HLOOKUP(INDIRECT(ADDRESS(2,COLUMN())),OFFSET($BN$2,0,0,ROW()-1,60),ROW()-1,FALSE))</f>
        <v/>
      </c>
      <c r="AK367" t="str">
        <f ca="1">IF(AND(ISNUMBER($AK$868),$B$511=1),$AK$868,HLOOKUP(INDIRECT(ADDRESS(2,COLUMN())),OFFSET($BN$2,0,0,ROW()-1,60),ROW()-1,FALSE))</f>
        <v/>
      </c>
      <c r="AL367" t="str">
        <f ca="1">IF(AND(ISNUMBER($AL$868),$B$511=1),$AL$868,HLOOKUP(INDIRECT(ADDRESS(2,COLUMN())),OFFSET($BN$2,0,0,ROW()-1,60),ROW()-1,FALSE))</f>
        <v/>
      </c>
      <c r="AM367" t="str">
        <f ca="1">IF(AND(ISNUMBER($AM$868),$B$511=1),$AM$868,HLOOKUP(INDIRECT(ADDRESS(2,COLUMN())),OFFSET($BN$2,0,0,ROW()-1,60),ROW()-1,FALSE))</f>
        <v/>
      </c>
      <c r="AN367" t="str">
        <f ca="1">IF(AND(ISNUMBER($AN$868),$B$511=1),$AN$868,HLOOKUP(INDIRECT(ADDRESS(2,COLUMN())),OFFSET($BN$2,0,0,ROW()-1,60),ROW()-1,FALSE))</f>
        <v/>
      </c>
      <c r="AO367" t="str">
        <f ca="1">IF(AND(ISNUMBER($AO$868),$B$511=1),$AO$868,HLOOKUP(INDIRECT(ADDRESS(2,COLUMN())),OFFSET($BN$2,0,0,ROW()-1,60),ROW()-1,FALSE))</f>
        <v/>
      </c>
      <c r="AP367" t="str">
        <f ca="1">IF(AND(ISNUMBER($AP$868),$B$511=1),$AP$868,HLOOKUP(INDIRECT(ADDRESS(2,COLUMN())),OFFSET($BN$2,0,0,ROW()-1,60),ROW()-1,FALSE))</f>
        <v/>
      </c>
      <c r="AQ367" t="str">
        <f ca="1">IF(AND(ISNUMBER($AQ$868),$B$511=1),$AQ$868,HLOOKUP(INDIRECT(ADDRESS(2,COLUMN())),OFFSET($BN$2,0,0,ROW()-1,60),ROW()-1,FALSE))</f>
        <v/>
      </c>
      <c r="AR367">
        <f ca="1">IF(AND(ISNUMBER($AR$868),$B$511=1),$AR$868,HLOOKUP(INDIRECT(ADDRESS(2,COLUMN())),OFFSET($BN$2,0,0,ROW()-1,60),ROW()-1,FALSE))</f>
        <v>-23.339175730000001</v>
      </c>
      <c r="AS367" t="str">
        <f ca="1">IF(AND(ISNUMBER($AS$868),$B$511=1),$AS$868,HLOOKUP(INDIRECT(ADDRESS(2,COLUMN())),OFFSET($BN$2,0,0,ROW()-1,60),ROW()-1,FALSE))</f>
        <v/>
      </c>
      <c r="AT367" t="str">
        <f ca="1">IF(AND(ISNUMBER($AT$868),$B$511=1),$AT$868,HLOOKUP(INDIRECT(ADDRESS(2,COLUMN())),OFFSET($BN$2,0,0,ROW()-1,60),ROW()-1,FALSE))</f>
        <v/>
      </c>
      <c r="AU367" t="str">
        <f ca="1">IF(AND(ISNUMBER($AU$868),$B$511=1),$AU$868,HLOOKUP(INDIRECT(ADDRESS(2,COLUMN())),OFFSET($BN$2,0,0,ROW()-1,60),ROW()-1,FALSE))</f>
        <v/>
      </c>
      <c r="AV367" t="str">
        <f ca="1">IF(AND(ISNUMBER($AV$868),$B$511=1),$AV$868,HLOOKUP(INDIRECT(ADDRESS(2,COLUMN())),OFFSET($BN$2,0,0,ROW()-1,60),ROW()-1,FALSE))</f>
        <v/>
      </c>
      <c r="AW367" t="str">
        <f ca="1">IF(AND(ISNUMBER($AW$868),$B$511=1),$AW$868,HLOOKUP(INDIRECT(ADDRESS(2,COLUMN())),OFFSET($BN$2,0,0,ROW()-1,60),ROW()-1,FALSE))</f>
        <v/>
      </c>
      <c r="AX367" t="str">
        <f ca="1">IF(AND(ISNUMBER($AX$868),$B$511=1),$AX$868,HLOOKUP(INDIRECT(ADDRESS(2,COLUMN())),OFFSET($BN$2,0,0,ROW()-1,60),ROW()-1,FALSE))</f>
        <v/>
      </c>
      <c r="AY367" t="str">
        <f ca="1">IF(AND(ISNUMBER($AY$868),$B$511=1),$AY$868,HLOOKUP(INDIRECT(ADDRESS(2,COLUMN())),OFFSET($BN$2,0,0,ROW()-1,60),ROW()-1,FALSE))</f>
        <v/>
      </c>
      <c r="AZ367" t="str">
        <f ca="1">IF(AND(ISNUMBER($AZ$868),$B$511=1),$AZ$868,HLOOKUP(INDIRECT(ADDRESS(2,COLUMN())),OFFSET($BN$2,0,0,ROW()-1,60),ROW()-1,FALSE))</f>
        <v/>
      </c>
      <c r="BA367" t="str">
        <f ca="1">IF(AND(ISNUMBER($BA$868),$B$511=1),$BA$868,HLOOKUP(INDIRECT(ADDRESS(2,COLUMN())),OFFSET($BN$2,0,0,ROW()-1,60),ROW()-1,FALSE))</f>
        <v/>
      </c>
      <c r="BB367">
        <f ca="1">IF(AND(ISNUMBER($BB$868),$B$511=1),$BB$868,HLOOKUP(INDIRECT(ADDRESS(2,COLUMN())),OFFSET($BN$2,0,0,ROW()-1,60),ROW()-1,FALSE))</f>
        <v>0</v>
      </c>
      <c r="BC367">
        <f ca="1">IF(AND(ISNUMBER($BC$868),$B$511=1),$BC$868,HLOOKUP(INDIRECT(ADDRESS(2,COLUMN())),OFFSET($BN$2,0,0,ROW()-1,60),ROW()-1,FALSE))</f>
        <v>0</v>
      </c>
      <c r="BD367">
        <f ca="1">IF(AND(ISNUMBER($BD$868),$B$511=1),$BD$868,HLOOKUP(INDIRECT(ADDRESS(2,COLUMN())),OFFSET($BN$2,0,0,ROW()-1,60),ROW()-1,FALSE))</f>
        <v>0</v>
      </c>
      <c r="BE367">
        <f ca="1">IF(AND(ISNUMBER($BE$868),$B$511=1),$BE$868,HLOOKUP(INDIRECT(ADDRESS(2,COLUMN())),OFFSET($BN$2,0,0,ROW()-1,60),ROW()-1,FALSE))</f>
        <v>0</v>
      </c>
      <c r="BF367">
        <f ca="1">IF(AND(ISNUMBER($BF$868),$B$511=1),$BF$868,HLOOKUP(INDIRECT(ADDRESS(2,COLUMN())),OFFSET($BN$2,0,0,ROW()-1,60),ROW()-1,FALSE))</f>
        <v>0</v>
      </c>
      <c r="BG367">
        <f ca="1">IF(AND(ISNUMBER($BG$868),$B$511=1),$BG$868,HLOOKUP(INDIRECT(ADDRESS(2,COLUMN())),OFFSET($BN$2,0,0,ROW()-1,60),ROW()-1,FALSE))</f>
        <v>0</v>
      </c>
      <c r="BH367" t="str">
        <f ca="1">IF(AND(ISNUMBER($BH$868),$B$511=1),$BH$868,HLOOKUP(INDIRECT(ADDRESS(2,COLUMN())),OFFSET($BN$2,0,0,ROW()-1,60),ROW()-1,FALSE))</f>
        <v/>
      </c>
      <c r="BI367" t="str">
        <f ca="1">IF(AND(ISNUMBER($BI$868),$B$511=1),$BI$868,HLOOKUP(INDIRECT(ADDRESS(2,COLUMN())),OFFSET($BN$2,0,0,ROW()-1,60),ROW()-1,FALSE))</f>
        <v/>
      </c>
      <c r="BJ367" t="str">
        <f ca="1">IF(AND(ISNUMBER($BJ$868),$B$511=1),$BJ$868,HLOOKUP(INDIRECT(ADDRESS(2,COLUMN())),OFFSET($BN$2,0,0,ROW()-1,60),ROW()-1,FALSE))</f>
        <v/>
      </c>
      <c r="BK367" t="str">
        <f ca="1">IF(AND(ISNUMBER($BK$868),$B$511=1),$BK$868,HLOOKUP(INDIRECT(ADDRESS(2,COLUMN())),OFFSET($BN$2,0,0,ROW()-1,60),ROW()-1,FALSE))</f>
        <v/>
      </c>
      <c r="BL367">
        <f ca="1">IF(AND(ISNUMBER($BL$868),$B$511=1),$BL$868,HLOOKUP(INDIRECT(ADDRESS(2,COLUMN())),OFFSET($BN$2,0,0,ROW()-1,60),ROW()-1,FALSE))</f>
        <v>0</v>
      </c>
      <c r="BM367">
        <f ca="1">IF(AND(ISNUMBER($BM$868),$B$511=1),$BM$868,HLOOKUP(INDIRECT(ADDRESS(2,COLUMN())),OFFSET($BN$2,0,0,ROW()-1,60),ROW()-1,FALSE))</f>
        <v>0</v>
      </c>
      <c r="BN367" t="str">
        <f>""</f>
        <v/>
      </c>
      <c r="BO367" t="str">
        <f>""</f>
        <v/>
      </c>
      <c r="BP367">
        <f>0</f>
        <v>0</v>
      </c>
      <c r="BQ367">
        <f>0</f>
        <v>0</v>
      </c>
      <c r="BR367">
        <f>0</f>
        <v>0</v>
      </c>
      <c r="BS367">
        <f>0</f>
        <v>0</v>
      </c>
      <c r="BT367">
        <f>0</f>
        <v>0</v>
      </c>
      <c r="BU367">
        <f>0</f>
        <v>0</v>
      </c>
      <c r="BV367">
        <f>0</f>
        <v>0</v>
      </c>
      <c r="BW367">
        <f>0</f>
        <v>0</v>
      </c>
      <c r="BX367">
        <f>0</f>
        <v>0</v>
      </c>
      <c r="BY367">
        <f>0</f>
        <v>0</v>
      </c>
      <c r="BZ367">
        <f>0</f>
        <v>0</v>
      </c>
      <c r="CA367">
        <f>0</f>
        <v>0</v>
      </c>
      <c r="CB367">
        <f>0</f>
        <v>0</v>
      </c>
      <c r="CC367">
        <f>0</f>
        <v>0</v>
      </c>
      <c r="CD367">
        <f>0</f>
        <v>0</v>
      </c>
      <c r="CE367">
        <f>0</f>
        <v>0</v>
      </c>
      <c r="CF367">
        <f>0</f>
        <v>0</v>
      </c>
      <c r="CG367">
        <f>-2.59957479</f>
        <v>-2.5995747900000001</v>
      </c>
      <c r="CH367">
        <f>-2.607558985</f>
        <v>-2.6075589849999998</v>
      </c>
      <c r="CI367">
        <f>-2.594741831</f>
        <v>-2.5947418309999999</v>
      </c>
      <c r="CJ367">
        <f>-2.577782037</f>
        <v>-2.577782037</v>
      </c>
      <c r="CK367">
        <f>-5.108706925</f>
        <v>-5.1087069249999999</v>
      </c>
      <c r="CL367">
        <f>-5.073310381</f>
        <v>-5.0733103809999998</v>
      </c>
      <c r="CM367">
        <f>-5.056335747</f>
        <v>-5.0563357470000003</v>
      </c>
      <c r="CN367">
        <f>-5.034491112</f>
        <v>-5.0344911120000004</v>
      </c>
      <c r="CO367">
        <f>0</f>
        <v>0</v>
      </c>
      <c r="CP367">
        <f>-7.79585268</f>
        <v>-7.7958526800000003</v>
      </c>
      <c r="CQ367">
        <f>-7.714971073</f>
        <v>-7.7149710730000001</v>
      </c>
      <c r="CR367" t="str">
        <f>""</f>
        <v/>
      </c>
      <c r="CS367" t="str">
        <f>""</f>
        <v/>
      </c>
      <c r="CT367" t="str">
        <f>""</f>
        <v/>
      </c>
      <c r="CU367" t="str">
        <f>""</f>
        <v/>
      </c>
      <c r="CV367" t="str">
        <f>""</f>
        <v/>
      </c>
      <c r="CW367" t="str">
        <f>""</f>
        <v/>
      </c>
      <c r="CX367" t="str">
        <f>""</f>
        <v/>
      </c>
      <c r="CY367" t="str">
        <f>""</f>
        <v/>
      </c>
      <c r="CZ367">
        <f>-23.33917573</f>
        <v>-23.339175730000001</v>
      </c>
      <c r="DA367" t="str">
        <f>""</f>
        <v/>
      </c>
      <c r="DB367" t="str">
        <f>""</f>
        <v/>
      </c>
      <c r="DC367" t="str">
        <f>""</f>
        <v/>
      </c>
      <c r="DD367" t="str">
        <f>""</f>
        <v/>
      </c>
      <c r="DE367" t="str">
        <f>""</f>
        <v/>
      </c>
      <c r="DF367" t="str">
        <f>""</f>
        <v/>
      </c>
      <c r="DG367" t="str">
        <f>""</f>
        <v/>
      </c>
      <c r="DH367" t="str">
        <f>""</f>
        <v/>
      </c>
      <c r="DI367" t="str">
        <f>""</f>
        <v/>
      </c>
      <c r="DJ367">
        <f>0</f>
        <v>0</v>
      </c>
      <c r="DK367">
        <f>0</f>
        <v>0</v>
      </c>
      <c r="DL367">
        <f>0</f>
        <v>0</v>
      </c>
      <c r="DM367">
        <f>0</f>
        <v>0</v>
      </c>
      <c r="DN367">
        <f>0</f>
        <v>0</v>
      </c>
      <c r="DO367">
        <f>0</f>
        <v>0</v>
      </c>
      <c r="DP367" t="str">
        <f>""</f>
        <v/>
      </c>
      <c r="DQ367" t="str">
        <f>""</f>
        <v/>
      </c>
      <c r="DR367" t="str">
        <f>""</f>
        <v/>
      </c>
      <c r="DS367" t="str">
        <f>""</f>
        <v/>
      </c>
      <c r="DT367">
        <f>0</f>
        <v>0</v>
      </c>
      <c r="DU367">
        <f>0</f>
        <v>0</v>
      </c>
    </row>
    <row r="368" spans="1:125" x14ac:dyDescent="0.25">
      <c r="A368" t="str">
        <f>"    Tofas Turk Otomobil Fabrikasi AS"</f>
        <v xml:space="preserve">    Tofas Turk Otomobil Fabrikasi AS</v>
      </c>
      <c r="B368" t="str">
        <f>"TOASOTRY EO Equity"</f>
        <v>TOASOTRY EO Equity</v>
      </c>
      <c r="C368" t="str">
        <f t="shared" si="24"/>
        <v>RX530</v>
      </c>
      <c r="D368" t="str">
        <f t="shared" si="25"/>
        <v>T12M_DVDS_PAID</v>
      </c>
      <c r="E368" t="str">
        <f t="shared" si="26"/>
        <v>Dynamic</v>
      </c>
      <c r="F368" t="str">
        <f ca="1">IF(AND(ISNUMBER($F$869),$B$511=1),$F$869,HLOOKUP(INDIRECT(ADDRESS(2,COLUMN())),OFFSET($BN$2,0,0,ROW()-1,60),ROW()-1,FALSE))</f>
        <v/>
      </c>
      <c r="G368">
        <f ca="1">IF(AND(ISNUMBER($G$869),$B$511=1),$G$869,HLOOKUP(INDIRECT(ADDRESS(2,COLUMN())),OFFSET($BN$2,0,0,ROW()-1,60),ROW()-1,FALSE))</f>
        <v>-170.60221329999999</v>
      </c>
      <c r="H368">
        <f ca="1">IF(AND(ISNUMBER($H$869),$B$511=1),$H$869,HLOOKUP(INDIRECT(ADDRESS(2,COLUMN())),OFFSET($BN$2,0,0,ROW()-1,60),ROW()-1,FALSE))</f>
        <v>-186.9129768</v>
      </c>
      <c r="I368">
        <f ca="1">IF(AND(ISNUMBER($I$869),$B$511=1),$I$869,HLOOKUP(INDIRECT(ADDRESS(2,COLUMN())),OFFSET($BN$2,0,0,ROW()-1,60),ROW()-1,FALSE))</f>
        <v>-207.8857764</v>
      </c>
      <c r="J368">
        <f ca="1">IF(AND(ISNUMBER($J$869),$B$511=1),$J$869,HLOOKUP(INDIRECT(ADDRESS(2,COLUMN())),OFFSET($BN$2,0,0,ROW()-1,60),ROW()-1,FALSE))</f>
        <v>-313.23550599999999</v>
      </c>
      <c r="K368">
        <f ca="1">IF(AND(ISNUMBER($K$869),$B$511=1),$K$869,HLOOKUP(INDIRECT(ADDRESS(2,COLUMN())),OFFSET($BN$2,0,0,ROW()-1,60),ROW()-1,FALSE))</f>
        <v>-96.091930430000005</v>
      </c>
      <c r="L368">
        <f ca="1">IF(AND(ISNUMBER($L$869),$B$511=1),$L$869,HLOOKUP(INDIRECT(ADDRESS(2,COLUMN())),OFFSET($BN$2,0,0,ROW()-1,60),ROW()-1,FALSE))</f>
        <v>-99.717061670000007</v>
      </c>
      <c r="M368">
        <f ca="1">IF(AND(ISNUMBER($M$869),$B$511=1),$M$869,HLOOKUP(INDIRECT(ADDRESS(2,COLUMN())),OFFSET($BN$2,0,0,ROW()-1,60),ROW()-1,FALSE))</f>
        <v>-104.36810370000001</v>
      </c>
      <c r="N368">
        <f ca="1">IF(AND(ISNUMBER($N$869),$B$511=1),$N$869,HLOOKUP(INDIRECT(ADDRESS(2,COLUMN())),OFFSET($BN$2,0,0,ROW()-1,60),ROW()-1,FALSE))</f>
        <v>-114.8172903</v>
      </c>
      <c r="O368">
        <f ca="1">IF(AND(ISNUMBER($O$869),$B$511=1),$O$869,HLOOKUP(INDIRECT(ADDRESS(2,COLUMN())),OFFSET($BN$2,0,0,ROW()-1,60),ROW()-1,FALSE))</f>
        <v>-121.1043797</v>
      </c>
      <c r="P368">
        <f ca="1">IF(AND(ISNUMBER($P$869),$B$511=1),$P$869,HLOOKUP(INDIRECT(ADDRESS(2,COLUMN())),OFFSET($BN$2,0,0,ROW()-1,60),ROW()-1,FALSE))</f>
        <v>-124.6789177</v>
      </c>
      <c r="Q368">
        <f ca="1">IF(AND(ISNUMBER($Q$869),$B$511=1),$Q$869,HLOOKUP(INDIRECT(ADDRESS(2,COLUMN())),OFFSET($BN$2,0,0,ROW()-1,60),ROW()-1,FALSE))</f>
        <v>-125.95147129999999</v>
      </c>
      <c r="R368">
        <f ca="1">IF(AND(ISNUMBER($R$869),$B$511=1),$R$869,HLOOKUP(INDIRECT(ADDRESS(2,COLUMN())),OFFSET($BN$2,0,0,ROW()-1,60),ROW()-1,FALSE))</f>
        <v>-170.80174600000001</v>
      </c>
      <c r="S368">
        <f ca="1">IF(AND(ISNUMBER($S$869),$B$511=1),$S$869,HLOOKUP(INDIRECT(ADDRESS(2,COLUMN())),OFFSET($BN$2,0,0,ROW()-1,60),ROW()-1,FALSE))</f>
        <v>-178.7287699</v>
      </c>
      <c r="T368">
        <f ca="1">IF(AND(ISNUMBER($T$869),$B$511=1),$T$869,HLOOKUP(INDIRECT(ADDRESS(2,COLUMN())),OFFSET($BN$2,0,0,ROW()-1,60),ROW()-1,FALSE))</f>
        <v>-190.77614439999999</v>
      </c>
      <c r="U368">
        <f ca="1">IF(AND(ISNUMBER($U$869),$B$511=1),$U$869,HLOOKUP(INDIRECT(ADDRESS(2,COLUMN())),OFFSET($BN$2,0,0,ROW()-1,60),ROW()-1,FALSE))</f>
        <v>-204.4277835</v>
      </c>
      <c r="V368">
        <f ca="1">IF(AND(ISNUMBER($V$869),$B$511=1),$V$869,HLOOKUP(INDIRECT(ADDRESS(2,COLUMN())),OFFSET($BN$2,0,0,ROW()-1,60),ROW()-1,FALSE))</f>
        <v>0</v>
      </c>
      <c r="W368">
        <f ca="1">IF(AND(ISNUMBER($W$869),$B$511=1),$W$869,HLOOKUP(INDIRECT(ADDRESS(2,COLUMN())),OFFSET($BN$2,0,0,ROW()-1,60),ROW()-1,FALSE))</f>
        <v>-148.7062392</v>
      </c>
      <c r="X368">
        <f ca="1">IF(AND(ISNUMBER($X$869),$B$511=1),$X$869,HLOOKUP(INDIRECT(ADDRESS(2,COLUMN())),OFFSET($BN$2,0,0,ROW()-1,60),ROW()-1,FALSE))</f>
        <v>-152.97369090000001</v>
      </c>
      <c r="Y368">
        <f ca="1">IF(AND(ISNUMBER($Y$869),$B$511=1),$Y$869,HLOOKUP(INDIRECT(ADDRESS(2,COLUMN())),OFFSET($BN$2,0,0,ROW()-1,60),ROW()-1,FALSE))</f>
        <v>-156.71740220000001</v>
      </c>
      <c r="Z368">
        <f ca="1">IF(AND(ISNUMBER($Z$869),$B$511=1),$Z$869,HLOOKUP(INDIRECT(ADDRESS(2,COLUMN())),OFFSET($BN$2,0,0,ROW()-1,60),ROW()-1,FALSE))</f>
        <v>-162.4137144</v>
      </c>
      <c r="AA368">
        <f ca="1">IF(AND(ISNUMBER($AA$869),$B$511=1),$AA$869,HLOOKUP(INDIRECT(ADDRESS(2,COLUMN())),OFFSET($BN$2,0,0,ROW()-1,60),ROW()-1,FALSE))</f>
        <v>-252.6067066</v>
      </c>
      <c r="AB368">
        <f ca="1">IF(AND(ISNUMBER($AB$869),$B$511=1),$AB$869,HLOOKUP(INDIRECT(ADDRESS(2,COLUMN())),OFFSET($BN$2,0,0,ROW()-1,60),ROW()-1,FALSE))</f>
        <v>-260.2774632</v>
      </c>
      <c r="AC368">
        <f ca="1">IF(AND(ISNUMBER($AC$869),$B$511=1),$AC$869,HLOOKUP(INDIRECT(ADDRESS(2,COLUMN())),OFFSET($BN$2,0,0,ROW()-1,60),ROW()-1,FALSE))</f>
        <v>-265.93081469999998</v>
      </c>
      <c r="AD368">
        <f ca="1">IF(AND(ISNUMBER($AD$869),$B$511=1),$AD$869,HLOOKUP(INDIRECT(ADDRESS(2,COLUMN())),OFFSET($BN$2,0,0,ROW()-1,60),ROW()-1,FALSE))</f>
        <v>-406.18419449999999</v>
      </c>
      <c r="AE368">
        <f ca="1">IF(AND(ISNUMBER($AE$869),$B$511=1),$AE$869,HLOOKUP(INDIRECT(ADDRESS(2,COLUMN())),OFFSET($BN$2,0,0,ROW()-1,60),ROW()-1,FALSE))</f>
        <v>-138.89350870000001</v>
      </c>
      <c r="AF368">
        <f ca="1">IF(AND(ISNUMBER($AF$869),$B$511=1),$AF$869,HLOOKUP(INDIRECT(ADDRESS(2,COLUMN())),OFFSET($BN$2,0,0,ROW()-1,60),ROW()-1,FALSE))</f>
        <v>-138.07305460000001</v>
      </c>
      <c r="AG368">
        <f ca="1">IF(AND(ISNUMBER($AG$869),$B$511=1),$AG$869,HLOOKUP(INDIRECT(ADDRESS(2,COLUMN())),OFFSET($BN$2,0,0,ROW()-1,60),ROW()-1,FALSE))</f>
        <v>-139.43981239999999</v>
      </c>
      <c r="AH368">
        <f ca="1">IF(AND(ISNUMBER($AH$869),$B$511=1),$AH$869,HLOOKUP(INDIRECT(ADDRESS(2,COLUMN())),OFFSET($BN$2,0,0,ROW()-1,60),ROW()-1,FALSE))</f>
        <v>-144.7338967</v>
      </c>
      <c r="AI368">
        <f ca="1">IF(AND(ISNUMBER($AI$869),$B$511=1),$AI$869,HLOOKUP(INDIRECT(ADDRESS(2,COLUMN())),OFFSET($BN$2,0,0,ROW()-1,60),ROW()-1,FALSE))</f>
        <v>-149.5105154</v>
      </c>
      <c r="AJ368">
        <f ca="1">IF(AND(ISNUMBER($AJ$869),$B$511=1),$AJ$869,HLOOKUP(INDIRECT(ADDRESS(2,COLUMN())),OFFSET($BN$2,0,0,ROW()-1,60),ROW()-1,FALSE))</f>
        <v>-158.2237088</v>
      </c>
      <c r="AK368">
        <f ca="1">IF(AND(ISNUMBER($AK$869),$B$511=1),$AK$869,HLOOKUP(INDIRECT(ADDRESS(2,COLUMN())),OFFSET($BN$2,0,0,ROW()-1,60),ROW()-1,FALSE))</f>
        <v>-163.56643299999999</v>
      </c>
      <c r="AL368">
        <f ca="1">IF(AND(ISNUMBER($AL$869),$B$511=1),$AL$869,HLOOKUP(INDIRECT(ADDRESS(2,COLUMN())),OFFSET($BN$2,0,0,ROW()-1,60),ROW()-1,FALSE))</f>
        <v>0</v>
      </c>
      <c r="AM368">
        <f ca="1">IF(AND(ISNUMBER($AM$869),$B$511=1),$AM$869,HLOOKUP(INDIRECT(ADDRESS(2,COLUMN())),OFFSET($BN$2,0,0,ROW()-1,60),ROW()-1,FALSE))</f>
        <v>-86.351669180000002</v>
      </c>
      <c r="AN368">
        <f ca="1">IF(AND(ISNUMBER($AN$869),$B$511=1),$AN$869,HLOOKUP(INDIRECT(ADDRESS(2,COLUMN())),OFFSET($BN$2,0,0,ROW()-1,60),ROW()-1,FALSE))</f>
        <v>-85.943306640000003</v>
      </c>
      <c r="AO368">
        <f ca="1">IF(AND(ISNUMBER($AO$869),$B$511=1),$AO$869,HLOOKUP(INDIRECT(ADDRESS(2,COLUMN())),OFFSET($BN$2,0,0,ROW()-1,60),ROW()-1,FALSE))</f>
        <v>-86.161308460000001</v>
      </c>
      <c r="AP368">
        <f ca="1">IF(AND(ISNUMBER($AP$869),$B$511=1),$AP$869,HLOOKUP(INDIRECT(ADDRESS(2,COLUMN())),OFFSET($BN$2,0,0,ROW()-1,60),ROW()-1,FALSE))</f>
        <v>-109.6076703</v>
      </c>
      <c r="AQ368">
        <f ca="1">IF(AND(ISNUMBER($AQ$869),$B$511=1),$AQ$869,HLOOKUP(INDIRECT(ADDRESS(2,COLUMN())),OFFSET($BN$2,0,0,ROW()-1,60),ROW()-1,FALSE))</f>
        <v>-23.31015464</v>
      </c>
      <c r="AR368">
        <f ca="1">IF(AND(ISNUMBER($AR$869),$B$511=1),$AR$869,HLOOKUP(INDIRECT(ADDRESS(2,COLUMN())),OFFSET($BN$2,0,0,ROW()-1,60),ROW()-1,FALSE))</f>
        <v>-23.14156848</v>
      </c>
      <c r="AS368">
        <f ca="1">IF(AND(ISNUMBER($AS$869),$B$511=1),$AS$869,HLOOKUP(INDIRECT(ADDRESS(2,COLUMN())),OFFSET($BN$2,0,0,ROW()-1,60),ROW()-1,FALSE))</f>
        <v>-24.5846935</v>
      </c>
      <c r="AT368">
        <f ca="1">IF(AND(ISNUMBER($AT$869),$B$511=1),$AT$869,HLOOKUP(INDIRECT(ADDRESS(2,COLUMN())),OFFSET($BN$2,0,0,ROW()-1,60),ROW()-1,FALSE))</f>
        <v>-64.716704890000003</v>
      </c>
      <c r="AU368" t="str">
        <f ca="1">IF(AND(ISNUMBER($AU$869),$B$511=1),$AU$869,HLOOKUP(INDIRECT(ADDRESS(2,COLUMN())),OFFSET($BN$2,0,0,ROW()-1,60),ROW()-1,FALSE))</f>
        <v/>
      </c>
      <c r="AV368" t="str">
        <f ca="1">IF(AND(ISNUMBER($AV$869),$B$511=1),$AV$869,HLOOKUP(INDIRECT(ADDRESS(2,COLUMN())),OFFSET($BN$2,0,0,ROW()-1,60),ROW()-1,FALSE))</f>
        <v/>
      </c>
      <c r="AW368" t="str">
        <f ca="1">IF(AND(ISNUMBER($AW$869),$B$511=1),$AW$869,HLOOKUP(INDIRECT(ADDRESS(2,COLUMN())),OFFSET($BN$2,0,0,ROW()-1,60),ROW()-1,FALSE))</f>
        <v/>
      </c>
      <c r="AX368" t="str">
        <f ca="1">IF(AND(ISNUMBER($AX$869),$B$511=1),$AX$869,HLOOKUP(INDIRECT(ADDRESS(2,COLUMN())),OFFSET($BN$2,0,0,ROW()-1,60),ROW()-1,FALSE))</f>
        <v/>
      </c>
      <c r="AY368" t="str">
        <f ca="1">IF(AND(ISNUMBER($AY$869),$B$511=1),$AY$869,HLOOKUP(INDIRECT(ADDRESS(2,COLUMN())),OFFSET($BN$2,0,0,ROW()-1,60),ROW()-1,FALSE))</f>
        <v/>
      </c>
      <c r="AZ368" t="str">
        <f ca="1">IF(AND(ISNUMBER($AZ$869),$B$511=1),$AZ$869,HLOOKUP(INDIRECT(ADDRESS(2,COLUMN())),OFFSET($BN$2,0,0,ROW()-1,60),ROW()-1,FALSE))</f>
        <v/>
      </c>
      <c r="BA368" t="str">
        <f ca="1">IF(AND(ISNUMBER($BA$869),$B$511=1),$BA$869,HLOOKUP(INDIRECT(ADDRESS(2,COLUMN())),OFFSET($BN$2,0,0,ROW()-1,60),ROW()-1,FALSE))</f>
        <v/>
      </c>
      <c r="BB368" t="str">
        <f ca="1">IF(AND(ISNUMBER($BB$869),$B$511=1),$BB$869,HLOOKUP(INDIRECT(ADDRESS(2,COLUMN())),OFFSET($BN$2,0,0,ROW()-1,60),ROW()-1,FALSE))</f>
        <v/>
      </c>
      <c r="BC368">
        <f ca="1">IF(AND(ISNUMBER($BC$869),$B$511=1),$BC$869,HLOOKUP(INDIRECT(ADDRESS(2,COLUMN())),OFFSET($BN$2,0,0,ROW()-1,60),ROW()-1,FALSE))</f>
        <v>-34.922705399999998</v>
      </c>
      <c r="BD368">
        <f ca="1">IF(AND(ISNUMBER($BD$869),$B$511=1),$BD$869,HLOOKUP(INDIRECT(ADDRESS(2,COLUMN())),OFFSET($BN$2,0,0,ROW()-1,60),ROW()-1,FALSE))</f>
        <v>-35.553395690000002</v>
      </c>
      <c r="BE368">
        <f ca="1">IF(AND(ISNUMBER($BE$869),$B$511=1),$BE$869,HLOOKUP(INDIRECT(ADDRESS(2,COLUMN())),OFFSET($BN$2,0,0,ROW()-1,60),ROW()-1,FALSE))</f>
        <v>-36.531518630000001</v>
      </c>
      <c r="BF368">
        <f ca="1">IF(AND(ISNUMBER($BF$869),$B$511=1),$BF$869,HLOOKUP(INDIRECT(ADDRESS(2,COLUMN())),OFFSET($BN$2,0,0,ROW()-1,60),ROW()-1,FALSE))</f>
        <v>-22.250643820000001</v>
      </c>
      <c r="BG368">
        <f ca="1">IF(AND(ISNUMBER($BG$869),$B$511=1),$BG$869,HLOOKUP(INDIRECT(ADDRESS(2,COLUMN())),OFFSET($BN$2,0,0,ROW()-1,60),ROW()-1,FALSE))</f>
        <v>-22.27340023</v>
      </c>
      <c r="BH368" t="str">
        <f ca="1">IF(AND(ISNUMBER($BH$869),$B$511=1),$BH$869,HLOOKUP(INDIRECT(ADDRESS(2,COLUMN())),OFFSET($BN$2,0,0,ROW()-1,60),ROW()-1,FALSE))</f>
        <v/>
      </c>
      <c r="BI368" t="str">
        <f ca="1">IF(AND(ISNUMBER($BI$869),$B$511=1),$BI$869,HLOOKUP(INDIRECT(ADDRESS(2,COLUMN())),OFFSET($BN$2,0,0,ROW()-1,60),ROW()-1,FALSE))</f>
        <v/>
      </c>
      <c r="BJ368" t="str">
        <f ca="1">IF(AND(ISNUMBER($BJ$869),$B$511=1),$BJ$869,HLOOKUP(INDIRECT(ADDRESS(2,COLUMN())),OFFSET($BN$2,0,0,ROW()-1,60),ROW()-1,FALSE))</f>
        <v/>
      </c>
      <c r="BK368" t="str">
        <f ca="1">IF(AND(ISNUMBER($BK$869),$B$511=1),$BK$869,HLOOKUP(INDIRECT(ADDRESS(2,COLUMN())),OFFSET($BN$2,0,0,ROW()-1,60),ROW()-1,FALSE))</f>
        <v/>
      </c>
      <c r="BL368" t="str">
        <f ca="1">IF(AND(ISNUMBER($BL$869),$B$511=1),$BL$869,HLOOKUP(INDIRECT(ADDRESS(2,COLUMN())),OFFSET($BN$2,0,0,ROW()-1,60),ROW()-1,FALSE))</f>
        <v/>
      </c>
      <c r="BM368" t="str">
        <f ca="1">IF(AND(ISNUMBER($BM$869),$B$511=1),$BM$869,HLOOKUP(INDIRECT(ADDRESS(2,COLUMN())),OFFSET($BN$2,0,0,ROW()-1,60),ROW()-1,FALSE))</f>
        <v/>
      </c>
      <c r="BN368" t="str">
        <f>""</f>
        <v/>
      </c>
      <c r="BO368">
        <f>-170.6022133</f>
        <v>-170.60221329999999</v>
      </c>
      <c r="BP368">
        <f>-186.9129768</f>
        <v>-186.9129768</v>
      </c>
      <c r="BQ368">
        <f>-207.8857764</f>
        <v>-207.8857764</v>
      </c>
      <c r="BR368">
        <f>-313.235506</f>
        <v>-313.23550599999999</v>
      </c>
      <c r="BS368">
        <f>-96.09193043</f>
        <v>-96.091930430000005</v>
      </c>
      <c r="BT368">
        <f>-99.71706167</f>
        <v>-99.717061670000007</v>
      </c>
      <c r="BU368">
        <f>-104.3681037</f>
        <v>-104.36810370000001</v>
      </c>
      <c r="BV368">
        <f>-114.8172903</f>
        <v>-114.8172903</v>
      </c>
      <c r="BW368">
        <f>-121.1043797</f>
        <v>-121.1043797</v>
      </c>
      <c r="BX368">
        <f>-124.6789177</f>
        <v>-124.6789177</v>
      </c>
      <c r="BY368">
        <f>-125.9514713</f>
        <v>-125.95147129999999</v>
      </c>
      <c r="BZ368">
        <f>-170.801746</f>
        <v>-170.80174600000001</v>
      </c>
      <c r="CA368">
        <f>-178.7287699</f>
        <v>-178.7287699</v>
      </c>
      <c r="CB368">
        <f>-190.7761444</f>
        <v>-190.77614439999999</v>
      </c>
      <c r="CC368">
        <f>-204.4277835</f>
        <v>-204.4277835</v>
      </c>
      <c r="CD368">
        <f>0</f>
        <v>0</v>
      </c>
      <c r="CE368">
        <f>-148.7062392</f>
        <v>-148.7062392</v>
      </c>
      <c r="CF368">
        <f>-152.9736909</f>
        <v>-152.97369090000001</v>
      </c>
      <c r="CG368">
        <f>-156.7174022</f>
        <v>-156.71740220000001</v>
      </c>
      <c r="CH368">
        <f>-162.4137144</f>
        <v>-162.4137144</v>
      </c>
      <c r="CI368">
        <f>-252.6067066</f>
        <v>-252.6067066</v>
      </c>
      <c r="CJ368">
        <f>-260.2774632</f>
        <v>-260.2774632</v>
      </c>
      <c r="CK368">
        <f>-265.9308147</f>
        <v>-265.93081469999998</v>
      </c>
      <c r="CL368">
        <f>-406.1841945</f>
        <v>-406.18419449999999</v>
      </c>
      <c r="CM368">
        <f>-138.8935087</f>
        <v>-138.89350870000001</v>
      </c>
      <c r="CN368">
        <f>-138.0730546</f>
        <v>-138.07305460000001</v>
      </c>
      <c r="CO368">
        <f>-139.4398124</f>
        <v>-139.43981239999999</v>
      </c>
      <c r="CP368">
        <f>-144.7338967</f>
        <v>-144.7338967</v>
      </c>
      <c r="CQ368">
        <f>-149.5105154</f>
        <v>-149.5105154</v>
      </c>
      <c r="CR368">
        <f>-158.2237088</f>
        <v>-158.2237088</v>
      </c>
      <c r="CS368">
        <f>-163.566433</f>
        <v>-163.56643299999999</v>
      </c>
      <c r="CT368">
        <f>0</f>
        <v>0</v>
      </c>
      <c r="CU368">
        <f>-86.35166918</f>
        <v>-86.351669180000002</v>
      </c>
      <c r="CV368">
        <f>-85.94330664</f>
        <v>-85.943306640000003</v>
      </c>
      <c r="CW368">
        <f>-86.16130846</f>
        <v>-86.161308460000001</v>
      </c>
      <c r="CX368">
        <f>-109.6076703</f>
        <v>-109.6076703</v>
      </c>
      <c r="CY368">
        <f>-23.31015464</f>
        <v>-23.31015464</v>
      </c>
      <c r="CZ368">
        <f>-23.14156848</f>
        <v>-23.14156848</v>
      </c>
      <c r="DA368">
        <f>-24.5846935</f>
        <v>-24.5846935</v>
      </c>
      <c r="DB368">
        <f>-64.71670489</f>
        <v>-64.716704890000003</v>
      </c>
      <c r="DC368" t="str">
        <f>""</f>
        <v/>
      </c>
      <c r="DD368" t="str">
        <f>""</f>
        <v/>
      </c>
      <c r="DE368" t="str">
        <f>""</f>
        <v/>
      </c>
      <c r="DF368" t="str">
        <f>""</f>
        <v/>
      </c>
      <c r="DG368" t="str">
        <f>""</f>
        <v/>
      </c>
      <c r="DH368" t="str">
        <f>""</f>
        <v/>
      </c>
      <c r="DI368" t="str">
        <f>""</f>
        <v/>
      </c>
      <c r="DJ368" t="str">
        <f>""</f>
        <v/>
      </c>
      <c r="DK368">
        <f>-34.9227054</f>
        <v>-34.922705399999998</v>
      </c>
      <c r="DL368">
        <f>-35.55339569</f>
        <v>-35.553395690000002</v>
      </c>
      <c r="DM368">
        <f>-36.53151863</f>
        <v>-36.531518630000001</v>
      </c>
      <c r="DN368">
        <f>-22.25064382</f>
        <v>-22.250643820000001</v>
      </c>
      <c r="DO368">
        <f>-22.27340023</f>
        <v>-22.27340023</v>
      </c>
      <c r="DP368" t="str">
        <f>""</f>
        <v/>
      </c>
      <c r="DQ368" t="str">
        <f>""</f>
        <v/>
      </c>
      <c r="DR368" t="str">
        <f>""</f>
        <v/>
      </c>
      <c r="DS368" t="str">
        <f>""</f>
        <v/>
      </c>
      <c r="DT368" t="str">
        <f>""</f>
        <v/>
      </c>
      <c r="DU368" t="str">
        <f>""</f>
        <v/>
      </c>
    </row>
    <row r="369" spans="1:125" x14ac:dyDescent="0.25">
      <c r="A369" t="str">
        <f>"    Toyota Motor Corp"</f>
        <v xml:space="preserve">    Toyota Motor Corp</v>
      </c>
      <c r="B369" t="str">
        <f>"7203 JP Equity"</f>
        <v>7203 JP Equity</v>
      </c>
      <c r="C369" t="str">
        <f t="shared" si="24"/>
        <v>RX530</v>
      </c>
      <c r="D369" t="str">
        <f t="shared" si="25"/>
        <v>T12M_DVDS_PAID</v>
      </c>
      <c r="E369" t="str">
        <f t="shared" si="26"/>
        <v>Dynamic</v>
      </c>
      <c r="F369" t="str">
        <f ca="1">IF(AND(ISNUMBER($F$870),$B$511=1),$F$870,HLOOKUP(INDIRECT(ADDRESS(2,COLUMN())),OFFSET($BN$2,0,0,ROW()-1,60),ROW()-1,FALSE))</f>
        <v/>
      </c>
      <c r="G369">
        <f ca="1">IF(AND(ISNUMBER($G$870),$B$511=1),$G$870,HLOOKUP(INDIRECT(ADDRESS(2,COLUMN())),OFFSET($BN$2,0,0,ROW()-1,60),ROW()-1,FALSE))</f>
        <v>-5841.1700700000001</v>
      </c>
      <c r="H369">
        <f ca="1">IF(AND(ISNUMBER($H$870),$B$511=1),$H$870,HLOOKUP(INDIRECT(ADDRESS(2,COLUMN())),OFFSET($BN$2,0,0,ROW()-1,60),ROW()-1,FALSE))</f>
        <v>-5887.7691750000004</v>
      </c>
      <c r="I369">
        <f ca="1">IF(AND(ISNUMBER($I$870),$B$511=1),$I$870,HLOOKUP(INDIRECT(ADDRESS(2,COLUMN())),OFFSET($BN$2,0,0,ROW()-1,60),ROW()-1,FALSE))</f>
        <v>-5894.7870389999998</v>
      </c>
      <c r="J369">
        <f ca="1">IF(AND(ISNUMBER($J$870),$B$511=1),$J$870,HLOOKUP(INDIRECT(ADDRESS(2,COLUMN())),OFFSET($BN$2,0,0,ROW()-1,60),ROW()-1,FALSE))</f>
        <v>-5658.2214450000001</v>
      </c>
      <c r="K369">
        <f ca="1">IF(AND(ISNUMBER($K$870),$B$511=1),$K$870,HLOOKUP(INDIRECT(ADDRESS(2,COLUMN())),OFFSET($BN$2,0,0,ROW()-1,60),ROW()-1,FALSE))</f>
        <v>-5591.2506869999997</v>
      </c>
      <c r="L369">
        <f ca="1">IF(AND(ISNUMBER($L$870),$B$511=1),$L$870,HLOOKUP(INDIRECT(ADDRESS(2,COLUMN())),OFFSET($BN$2,0,0,ROW()-1,60),ROW()-1,FALSE))</f>
        <v>-5653.8285489999998</v>
      </c>
      <c r="M369">
        <f ca="1">IF(AND(ISNUMBER($M$870),$B$511=1),$M$870,HLOOKUP(INDIRECT(ADDRESS(2,COLUMN())),OFFSET($BN$2,0,0,ROW()-1,60),ROW()-1,FALSE))</f>
        <v>-5774.5734560000001</v>
      </c>
      <c r="N369">
        <f ca="1">IF(AND(ISNUMBER($N$870),$B$511=1),$N$870,HLOOKUP(INDIRECT(ADDRESS(2,COLUMN())),OFFSET($BN$2,0,0,ROW()-1,60),ROW()-1,FALSE))</f>
        <v>-5869.1931409999997</v>
      </c>
      <c r="O369">
        <f ca="1">IF(AND(ISNUMBER($O$870),$B$511=1),$O$870,HLOOKUP(INDIRECT(ADDRESS(2,COLUMN())),OFFSET($BN$2,0,0,ROW()-1,60),ROW()-1,FALSE))</f>
        <v>-5849.9614730000003</v>
      </c>
      <c r="P369">
        <f ca="1">IF(AND(ISNUMBER($P$870),$B$511=1),$P$870,HLOOKUP(INDIRECT(ADDRESS(2,COLUMN())),OFFSET($BN$2,0,0,ROW()-1,60),ROW()-1,FALSE))</f>
        <v>-5814.3838930000002</v>
      </c>
      <c r="Q369">
        <f ca="1">IF(AND(ISNUMBER($Q$870),$B$511=1),$Q$870,HLOOKUP(INDIRECT(ADDRESS(2,COLUMN())),OFFSET($BN$2,0,0,ROW()-1,60),ROW()-1,FALSE))</f>
        <v>-5556.3904409999996</v>
      </c>
      <c r="R369">
        <f ca="1">IF(AND(ISNUMBER($R$870),$B$511=1),$R$870,HLOOKUP(INDIRECT(ADDRESS(2,COLUMN())),OFFSET($BN$2,0,0,ROW()-1,60),ROW()-1,FALSE))</f>
        <v>-5875.0467710000003</v>
      </c>
      <c r="S369">
        <f ca="1">IF(AND(ISNUMBER($S$870),$B$511=1),$S$870,HLOOKUP(INDIRECT(ADDRESS(2,COLUMN())),OFFSET($BN$2,0,0,ROW()-1,60),ROW()-1,FALSE))</f>
        <v>-5823.8045240000001</v>
      </c>
      <c r="T369">
        <f ca="1">IF(AND(ISNUMBER($T$870),$B$511=1),$T$870,HLOOKUP(INDIRECT(ADDRESS(2,COLUMN())),OFFSET($BN$2,0,0,ROW()-1,60),ROW()-1,FALSE))</f>
        <v>-5298.7341889999998</v>
      </c>
      <c r="U369">
        <f ca="1">IF(AND(ISNUMBER($U$870),$B$511=1),$U$870,HLOOKUP(INDIRECT(ADDRESS(2,COLUMN())),OFFSET($BN$2,0,0,ROW()-1,60),ROW()-1,FALSE))</f>
        <v>-5527.629919</v>
      </c>
      <c r="V369">
        <f ca="1">IF(AND(ISNUMBER($V$870),$B$511=1),$V$870,HLOOKUP(INDIRECT(ADDRESS(2,COLUMN())),OFFSET($BN$2,0,0,ROW()-1,60),ROW()-1,FALSE))</f>
        <v>-5073.3146850000003</v>
      </c>
      <c r="W369">
        <f ca="1">IF(AND(ISNUMBER($W$870),$B$511=1),$W$870,HLOOKUP(INDIRECT(ADDRESS(2,COLUMN())),OFFSET($BN$2,0,0,ROW()-1,60),ROW()-1,FALSE))</f>
        <v>-5255.1711789999999</v>
      </c>
      <c r="X369">
        <f ca="1">IF(AND(ISNUMBER($X$870),$B$511=1),$X$870,HLOOKUP(INDIRECT(ADDRESS(2,COLUMN())),OFFSET($BN$2,0,0,ROW()-1,60),ROW()-1,FALSE))</f>
        <v>-5112.8204050000004</v>
      </c>
      <c r="Y369">
        <f ca="1">IF(AND(ISNUMBER($Y$870),$B$511=1),$Y$870,HLOOKUP(INDIRECT(ADDRESS(2,COLUMN())),OFFSET($BN$2,0,0,ROW()-1,60),ROW()-1,FALSE))</f>
        <v>-5177.2470700000003</v>
      </c>
      <c r="Z369">
        <f ca="1">IF(AND(ISNUMBER($Z$870),$B$511=1),$Z$870,HLOOKUP(INDIRECT(ADDRESS(2,COLUMN())),OFFSET($BN$2,0,0,ROW()-1,60),ROW()-1,FALSE))</f>
        <v>-3954.4868980000001</v>
      </c>
      <c r="AA369">
        <f ca="1">IF(AND(ISNUMBER($AA$870),$B$511=1),$AA$870,HLOOKUP(INDIRECT(ADDRESS(2,COLUMN())),OFFSET($BN$2,0,0,ROW()-1,60),ROW()-1,FALSE))</f>
        <v>-4064.0316200000002</v>
      </c>
      <c r="AB369">
        <f ca="1">IF(AND(ISNUMBER($AB$870),$B$511=1),$AB$870,HLOOKUP(INDIRECT(ADDRESS(2,COLUMN())),OFFSET($BN$2,0,0,ROW()-1,60),ROW()-1,FALSE))</f>
        <v>-3095.3315980000002</v>
      </c>
      <c r="AC369">
        <f ca="1">IF(AND(ISNUMBER($AC$870),$B$511=1),$AC$870,HLOOKUP(INDIRECT(ADDRESS(2,COLUMN())),OFFSET($BN$2,0,0,ROW()-1,60),ROW()-1,FALSE))</f>
        <v>-3282.0483439999998</v>
      </c>
      <c r="AD369">
        <f ca="1">IF(AND(ISNUMBER($AD$870),$B$511=1),$AD$870,HLOOKUP(INDIRECT(ADDRESS(2,COLUMN())),OFFSET($BN$2,0,0,ROW()-1,60),ROW()-1,FALSE))</f>
        <v>-2299.5340670000001</v>
      </c>
      <c r="AE369">
        <f ca="1">IF(AND(ISNUMBER($AE$870),$B$511=1),$AE$870,HLOOKUP(INDIRECT(ADDRESS(2,COLUMN())),OFFSET($BN$2,0,0,ROW()-1,60),ROW()-1,FALSE))</f>
        <v>-2381.9981630000002</v>
      </c>
      <c r="AF369">
        <f ca="1">IF(AND(ISNUMBER($AF$870),$B$511=1),$AF$870,HLOOKUP(INDIRECT(ADDRESS(2,COLUMN())),OFFSET($BN$2,0,0,ROW()-1,60),ROW()-1,FALSE))</f>
        <v>-2001.2643230000001</v>
      </c>
      <c r="AG369">
        <f ca="1">IF(AND(ISNUMBER($AG$870),$B$511=1),$AG$870,HLOOKUP(INDIRECT(ADDRESS(2,COLUMN())),OFFSET($BN$2,0,0,ROW()-1,60),ROW()-1,FALSE))</f>
        <v>-2007.671906</v>
      </c>
      <c r="AH369">
        <f ca="1">IF(AND(ISNUMBER($AH$870),$B$511=1),$AH$870,HLOOKUP(INDIRECT(ADDRESS(2,COLUMN())),OFFSET($BN$2,0,0,ROW()-1,60),ROW()-1,FALSE))</f>
        <v>-1987.0628830000001</v>
      </c>
      <c r="AI369">
        <f ca="1">IF(AND(ISNUMBER($AI$870),$B$511=1),$AI$870,HLOOKUP(INDIRECT(ADDRESS(2,COLUMN())),OFFSET($BN$2,0,0,ROW()-1,60),ROW()-1,FALSE))</f>
        <v>-1969.464262</v>
      </c>
      <c r="AJ369">
        <f ca="1">IF(AND(ISNUMBER($AJ$870),$B$511=1),$AJ$870,HLOOKUP(INDIRECT(ADDRESS(2,COLUMN())),OFFSET($BN$2,0,0,ROW()-1,60),ROW()-1,FALSE))</f>
        <v>-1937.5135299999999</v>
      </c>
      <c r="AK369">
        <f ca="1">IF(AND(ISNUMBER($AK$870),$B$511=1),$AK$870,HLOOKUP(INDIRECT(ADDRESS(2,COLUMN())),OFFSET($BN$2,0,0,ROW()-1,60),ROW()-1,FALSE))</f>
        <v>-1889.3963200000001</v>
      </c>
      <c r="AL369">
        <f ca="1">IF(AND(ISNUMBER($AL$870),$B$511=1),$AL$870,HLOOKUP(INDIRECT(ADDRESS(2,COLUMN())),OFFSET($BN$2,0,0,ROW()-1,60),ROW()-1,FALSE))</f>
        <v>-1651.281305</v>
      </c>
      <c r="AM369">
        <f ca="1">IF(AND(ISNUMBER($AM$870),$B$511=1),$AM$870,HLOOKUP(INDIRECT(ADDRESS(2,COLUMN())),OFFSET($BN$2,0,0,ROW()-1,60),ROW()-1,FALSE))</f>
        <v>-1612.1062939999999</v>
      </c>
      <c r="AN369">
        <f ca="1">IF(AND(ISNUMBER($AN$870),$B$511=1),$AN$870,HLOOKUP(INDIRECT(ADDRESS(2,COLUMN())),OFFSET($BN$2,0,0,ROW()-1,60),ROW()-1,FALSE))</f>
        <v>-1577.016883</v>
      </c>
      <c r="AO369">
        <f ca="1">IF(AND(ISNUMBER($AO$870),$B$511=1),$AO$870,HLOOKUP(INDIRECT(ADDRESS(2,COLUMN())),OFFSET($BN$2,0,0,ROW()-1,60),ROW()-1,FALSE))</f>
        <v>-1542.2656870000001</v>
      </c>
      <c r="AP369">
        <f ca="1">IF(AND(ISNUMBER($AP$870),$B$511=1),$AP$870,HLOOKUP(INDIRECT(ADDRESS(2,COLUMN())),OFFSET($BN$2,0,0,ROW()-1,60),ROW()-1,FALSE))</f>
        <v>-1859.7740309999999</v>
      </c>
      <c r="AQ369">
        <f ca="1">IF(AND(ISNUMBER($AQ$870),$B$511=1),$AQ$870,HLOOKUP(INDIRECT(ADDRESS(2,COLUMN())),OFFSET($BN$2,0,0,ROW()-1,60),ROW()-1,FALSE))</f>
        <v>-1845.4998720000001</v>
      </c>
      <c r="AR369">
        <f ca="1">IF(AND(ISNUMBER($AR$870),$B$511=1),$AR$870,HLOOKUP(INDIRECT(ADDRESS(2,COLUMN())),OFFSET($BN$2,0,0,ROW()-1,60),ROW()-1,FALSE))</f>
        <v>-3299.7663739999998</v>
      </c>
      <c r="AS369">
        <f ca="1">IF(AND(ISNUMBER($AS$870),$B$511=1),$AS$870,HLOOKUP(INDIRECT(ADDRESS(2,COLUMN())),OFFSET($BN$2,0,0,ROW()-1,60),ROW()-1,FALSE))</f>
        <v>-3188.7297119999998</v>
      </c>
      <c r="AT369">
        <f ca="1">IF(AND(ISNUMBER($AT$870),$B$511=1),$AT$870,HLOOKUP(INDIRECT(ADDRESS(2,COLUMN())),OFFSET($BN$2,0,0,ROW()-1,60),ROW()-1,FALSE))</f>
        <v>-4396.3146310000002</v>
      </c>
      <c r="AU369" t="str">
        <f ca="1">IF(AND(ISNUMBER($AU$870),$B$511=1),$AU$870,HLOOKUP(INDIRECT(ADDRESS(2,COLUMN())),OFFSET($BN$2,0,0,ROW()-1,60),ROW()-1,FALSE))</f>
        <v/>
      </c>
      <c r="AV369" t="str">
        <f ca="1">IF(AND(ISNUMBER($AV$870),$B$511=1),$AV$870,HLOOKUP(INDIRECT(ADDRESS(2,COLUMN())),OFFSET($BN$2,0,0,ROW()-1,60),ROW()-1,FALSE))</f>
        <v/>
      </c>
      <c r="AW369" t="str">
        <f ca="1">IF(AND(ISNUMBER($AW$870),$B$511=1),$AW$870,HLOOKUP(INDIRECT(ADDRESS(2,COLUMN())),OFFSET($BN$2,0,0,ROW()-1,60),ROW()-1,FALSE))</f>
        <v/>
      </c>
      <c r="AX369" t="str">
        <f ca="1">IF(AND(ISNUMBER($AX$870),$B$511=1),$AX$870,HLOOKUP(INDIRECT(ADDRESS(2,COLUMN())),OFFSET($BN$2,0,0,ROW()-1,60),ROW()-1,FALSE))</f>
        <v/>
      </c>
      <c r="AY369" t="str">
        <f ca="1">IF(AND(ISNUMBER($AY$870),$B$511=1),$AY$870,HLOOKUP(INDIRECT(ADDRESS(2,COLUMN())),OFFSET($BN$2,0,0,ROW()-1,60),ROW()-1,FALSE))</f>
        <v/>
      </c>
      <c r="AZ369" t="str">
        <f ca="1">IF(AND(ISNUMBER($AZ$870),$B$511=1),$AZ$870,HLOOKUP(INDIRECT(ADDRESS(2,COLUMN())),OFFSET($BN$2,0,0,ROW()-1,60),ROW()-1,FALSE))</f>
        <v/>
      </c>
      <c r="BA369" t="str">
        <f ca="1">IF(AND(ISNUMBER($BA$870),$B$511=1),$BA$870,HLOOKUP(INDIRECT(ADDRESS(2,COLUMN())),OFFSET($BN$2,0,0,ROW()-1,60),ROW()-1,FALSE))</f>
        <v/>
      </c>
      <c r="BB369" t="str">
        <f ca="1">IF(AND(ISNUMBER($BB$870),$B$511=1),$BB$870,HLOOKUP(INDIRECT(ADDRESS(2,COLUMN())),OFFSET($BN$2,0,0,ROW()-1,60),ROW()-1,FALSE))</f>
        <v/>
      </c>
      <c r="BC369" t="str">
        <f ca="1">IF(AND(ISNUMBER($BC$870),$B$511=1),$BC$870,HLOOKUP(INDIRECT(ADDRESS(2,COLUMN())),OFFSET($BN$2,0,0,ROW()-1,60),ROW()-1,FALSE))</f>
        <v/>
      </c>
      <c r="BD369" t="str">
        <f ca="1">IF(AND(ISNUMBER($BD$870),$B$511=1),$BD$870,HLOOKUP(INDIRECT(ADDRESS(2,COLUMN())),OFFSET($BN$2,0,0,ROW()-1,60),ROW()-1,FALSE))</f>
        <v/>
      </c>
      <c r="BE369" t="str">
        <f ca="1">IF(AND(ISNUMBER($BE$870),$B$511=1),$BE$870,HLOOKUP(INDIRECT(ADDRESS(2,COLUMN())),OFFSET($BN$2,0,0,ROW()-1,60),ROW()-1,FALSE))</f>
        <v/>
      </c>
      <c r="BF369" t="str">
        <f ca="1">IF(AND(ISNUMBER($BF$870),$B$511=1),$BF$870,HLOOKUP(INDIRECT(ADDRESS(2,COLUMN())),OFFSET($BN$2,0,0,ROW()-1,60),ROW()-1,FALSE))</f>
        <v/>
      </c>
      <c r="BG369" t="str">
        <f ca="1">IF(AND(ISNUMBER($BG$870),$B$511=1),$BG$870,HLOOKUP(INDIRECT(ADDRESS(2,COLUMN())),OFFSET($BN$2,0,0,ROW()-1,60),ROW()-1,FALSE))</f>
        <v/>
      </c>
      <c r="BH369" t="str">
        <f ca="1">IF(AND(ISNUMBER($BH$870),$B$511=1),$BH$870,HLOOKUP(INDIRECT(ADDRESS(2,COLUMN())),OFFSET($BN$2,0,0,ROW()-1,60),ROW()-1,FALSE))</f>
        <v/>
      </c>
      <c r="BI369" t="str">
        <f ca="1">IF(AND(ISNUMBER($BI$870),$B$511=1),$BI$870,HLOOKUP(INDIRECT(ADDRESS(2,COLUMN())),OFFSET($BN$2,0,0,ROW()-1,60),ROW()-1,FALSE))</f>
        <v/>
      </c>
      <c r="BJ369" t="str">
        <f ca="1">IF(AND(ISNUMBER($BJ$870),$B$511=1),$BJ$870,HLOOKUP(INDIRECT(ADDRESS(2,COLUMN())),OFFSET($BN$2,0,0,ROW()-1,60),ROW()-1,FALSE))</f>
        <v/>
      </c>
      <c r="BK369" t="str">
        <f ca="1">IF(AND(ISNUMBER($BK$870),$B$511=1),$BK$870,HLOOKUP(INDIRECT(ADDRESS(2,COLUMN())),OFFSET($BN$2,0,0,ROW()-1,60),ROW()-1,FALSE))</f>
        <v/>
      </c>
      <c r="BL369" t="str">
        <f ca="1">IF(AND(ISNUMBER($BL$870),$B$511=1),$BL$870,HLOOKUP(INDIRECT(ADDRESS(2,COLUMN())),OFFSET($BN$2,0,0,ROW()-1,60),ROW()-1,FALSE))</f>
        <v/>
      </c>
      <c r="BM369" t="str">
        <f ca="1">IF(AND(ISNUMBER($BM$870),$B$511=1),$BM$870,HLOOKUP(INDIRECT(ADDRESS(2,COLUMN())),OFFSET($BN$2,0,0,ROW()-1,60),ROW()-1,FALSE))</f>
        <v/>
      </c>
      <c r="BN369" t="str">
        <f>""</f>
        <v/>
      </c>
      <c r="BO369">
        <f>-5841.17007</f>
        <v>-5841.1700700000001</v>
      </c>
      <c r="BP369">
        <f>-5887.769175</f>
        <v>-5887.7691750000004</v>
      </c>
      <c r="BQ369">
        <f>-5894.787039</f>
        <v>-5894.7870389999998</v>
      </c>
      <c r="BR369">
        <f>-5658.221445</f>
        <v>-5658.2214450000001</v>
      </c>
      <c r="BS369">
        <f>-5591.250687</f>
        <v>-5591.2506869999997</v>
      </c>
      <c r="BT369">
        <f>-5653.828549</f>
        <v>-5653.8285489999998</v>
      </c>
      <c r="BU369">
        <f>-5774.573456</f>
        <v>-5774.5734560000001</v>
      </c>
      <c r="BV369">
        <f>-5869.193141</f>
        <v>-5869.1931409999997</v>
      </c>
      <c r="BW369">
        <f>-5849.961473</f>
        <v>-5849.9614730000003</v>
      </c>
      <c r="BX369">
        <f>-5814.383893</f>
        <v>-5814.3838930000002</v>
      </c>
      <c r="BY369">
        <f>-5556.390441</f>
        <v>-5556.3904409999996</v>
      </c>
      <c r="BZ369">
        <f>-5875.046771</f>
        <v>-5875.0467710000003</v>
      </c>
      <c r="CA369">
        <f>-5823.804524</f>
        <v>-5823.8045240000001</v>
      </c>
      <c r="CB369">
        <f>-5298.734189</f>
        <v>-5298.7341889999998</v>
      </c>
      <c r="CC369">
        <f>-5527.629919</f>
        <v>-5527.629919</v>
      </c>
      <c r="CD369">
        <f>-5073.314685</f>
        <v>-5073.3146850000003</v>
      </c>
      <c r="CE369">
        <f>-5255.171179</f>
        <v>-5255.1711789999999</v>
      </c>
      <c r="CF369">
        <f>-5112.820405</f>
        <v>-5112.8204050000004</v>
      </c>
      <c r="CG369">
        <f>-5177.24707</f>
        <v>-5177.2470700000003</v>
      </c>
      <c r="CH369">
        <f>-3954.486898</f>
        <v>-3954.4868980000001</v>
      </c>
      <c r="CI369">
        <f>-4064.03162</f>
        <v>-4064.0316200000002</v>
      </c>
      <c r="CJ369">
        <f>-3095.331598</f>
        <v>-3095.3315980000002</v>
      </c>
      <c r="CK369">
        <f>-3282.048344</f>
        <v>-3282.0483439999998</v>
      </c>
      <c r="CL369">
        <f>-2299.534067</f>
        <v>-2299.5340670000001</v>
      </c>
      <c r="CM369">
        <f>-2381.998163</f>
        <v>-2381.9981630000002</v>
      </c>
      <c r="CN369">
        <f>-2001.264323</f>
        <v>-2001.2643230000001</v>
      </c>
      <c r="CO369">
        <f>-2007.671906</f>
        <v>-2007.671906</v>
      </c>
      <c r="CP369">
        <f>-1987.062883</f>
        <v>-1987.0628830000001</v>
      </c>
      <c r="CQ369">
        <f>-1969.464262</f>
        <v>-1969.464262</v>
      </c>
      <c r="CR369">
        <f>-1937.51353</f>
        <v>-1937.5135299999999</v>
      </c>
      <c r="CS369">
        <f>-1889.39632</f>
        <v>-1889.3963200000001</v>
      </c>
      <c r="CT369">
        <f>-1651.281305</f>
        <v>-1651.281305</v>
      </c>
      <c r="CU369">
        <f>-1612.106294</f>
        <v>-1612.1062939999999</v>
      </c>
      <c r="CV369">
        <f>-1577.016883</f>
        <v>-1577.016883</v>
      </c>
      <c r="CW369">
        <f>-1542.265687</f>
        <v>-1542.2656870000001</v>
      </c>
      <c r="CX369">
        <f>-1859.774031</f>
        <v>-1859.7740309999999</v>
      </c>
      <c r="CY369">
        <f>-1845.499872</f>
        <v>-1845.4998720000001</v>
      </c>
      <c r="CZ369">
        <f>-3299.766374</f>
        <v>-3299.7663739999998</v>
      </c>
      <c r="DA369">
        <f>-3188.729712</f>
        <v>-3188.7297119999998</v>
      </c>
      <c r="DB369">
        <f>-4396.314631</f>
        <v>-4396.3146310000002</v>
      </c>
      <c r="DC369" t="str">
        <f>""</f>
        <v/>
      </c>
      <c r="DD369" t="str">
        <f>""</f>
        <v/>
      </c>
      <c r="DE369" t="str">
        <f>""</f>
        <v/>
      </c>
      <c r="DF369" t="str">
        <f>""</f>
        <v/>
      </c>
      <c r="DG369" t="str">
        <f>""</f>
        <v/>
      </c>
      <c r="DH369" t="str">
        <f>""</f>
        <v/>
      </c>
      <c r="DI369" t="str">
        <f>""</f>
        <v/>
      </c>
      <c r="DJ369" t="str">
        <f>""</f>
        <v/>
      </c>
      <c r="DK369" t="str">
        <f>""</f>
        <v/>
      </c>
      <c r="DL369" t="str">
        <f>""</f>
        <v/>
      </c>
      <c r="DM369" t="str">
        <f>""</f>
        <v/>
      </c>
      <c r="DN369" t="str">
        <f>""</f>
        <v/>
      </c>
      <c r="DO369" t="str">
        <f>""</f>
        <v/>
      </c>
      <c r="DP369" t="str">
        <f>""</f>
        <v/>
      </c>
      <c r="DQ369" t="str">
        <f>""</f>
        <v/>
      </c>
      <c r="DR369" t="str">
        <f>""</f>
        <v/>
      </c>
      <c r="DS369" t="str">
        <f>""</f>
        <v/>
      </c>
      <c r="DT369" t="str">
        <f>""</f>
        <v/>
      </c>
      <c r="DU369" t="str">
        <f>""</f>
        <v/>
      </c>
    </row>
    <row r="370" spans="1:125" x14ac:dyDescent="0.25">
      <c r="A370" t="str">
        <f>"    Volkswagen AG"</f>
        <v xml:space="preserve">    Volkswagen AG</v>
      </c>
      <c r="B370" t="str">
        <f>"VOW GR Equity"</f>
        <v>VOW GR Equity</v>
      </c>
      <c r="C370" t="str">
        <f t="shared" si="24"/>
        <v>RX530</v>
      </c>
      <c r="D370" t="str">
        <f t="shared" si="25"/>
        <v>T12M_DVDS_PAID</v>
      </c>
      <c r="E370" t="str">
        <f t="shared" si="26"/>
        <v>Dynamic</v>
      </c>
      <c r="F370" t="str">
        <f ca="1">IF(AND(ISNUMBER($F$871),$B$511=1),$F$871,HLOOKUP(INDIRECT(ADDRESS(2,COLUMN())),OFFSET($BN$2,0,0,ROW()-1,60),ROW()-1,FALSE))</f>
        <v/>
      </c>
      <c r="G370" t="str">
        <f ca="1">IF(AND(ISNUMBER($G$871),$B$511=1),$G$871,HLOOKUP(INDIRECT(ADDRESS(2,COLUMN())),OFFSET($BN$2,0,0,ROW()-1,60),ROW()-1,FALSE))</f>
        <v/>
      </c>
      <c r="H370">
        <f ca="1">IF(AND(ISNUMBER($H$871),$B$511=1),$H$871,HLOOKUP(INDIRECT(ADDRESS(2,COLUMN())),OFFSET($BN$2,0,0,ROW()-1,60),ROW()-1,FALSE))</f>
        <v>-2803.4881019999998</v>
      </c>
      <c r="I370">
        <f ca="1">IF(AND(ISNUMBER($I$871),$B$511=1),$I$871,HLOOKUP(INDIRECT(ADDRESS(2,COLUMN())),OFFSET($BN$2,0,0,ROW()-1,60),ROW()-1,FALSE))</f>
        <v>-2817.7458929999998</v>
      </c>
      <c r="J370">
        <f ca="1">IF(AND(ISNUMBER($J$871),$B$511=1),$J$871,HLOOKUP(INDIRECT(ADDRESS(2,COLUMN())),OFFSET($BN$2,0,0,ROW()-1,60),ROW()-1,FALSE))</f>
        <v>-1559.3276760000001</v>
      </c>
      <c r="K370">
        <f ca="1">IF(AND(ISNUMBER($K$871),$B$511=1),$K$871,HLOOKUP(INDIRECT(ADDRESS(2,COLUMN())),OFFSET($BN$2,0,0,ROW()-1,60),ROW()-1,FALSE))</f>
        <v>-1504.7887559999999</v>
      </c>
      <c r="L370">
        <f ca="1">IF(AND(ISNUMBER($L$871),$B$511=1),$L$871,HLOOKUP(INDIRECT(ADDRESS(2,COLUMN())),OFFSET($BN$2,0,0,ROW()-1,60),ROW()-1,FALSE))</f>
        <v>-1448.367109</v>
      </c>
      <c r="M370">
        <f ca="1">IF(AND(ISNUMBER($M$871),$B$511=1),$M$871,HLOOKUP(INDIRECT(ADDRESS(2,COLUMN())),OFFSET($BN$2,0,0,ROW()-1,60),ROW()-1,FALSE))</f>
        <v>-1429.248709</v>
      </c>
      <c r="N370">
        <f ca="1">IF(AND(ISNUMBER($N$871),$B$511=1),$N$871,HLOOKUP(INDIRECT(ADDRESS(2,COLUMN())),OFFSET($BN$2,0,0,ROW()-1,60),ROW()-1,FALSE))</f>
        <v>-399.41736040000001</v>
      </c>
      <c r="O370">
        <f ca="1">IF(AND(ISNUMBER($O$871),$B$511=1),$O$871,HLOOKUP(INDIRECT(ADDRESS(2,COLUMN())),OFFSET($BN$2,0,0,ROW()-1,60),ROW()-1,FALSE))</f>
        <v>-402.8856389</v>
      </c>
      <c r="P370">
        <f ca="1">IF(AND(ISNUMBER($P$871),$B$511=1),$P$871,HLOOKUP(INDIRECT(ADDRESS(2,COLUMN())),OFFSET($BN$2,0,0,ROW()-1,60),ROW()-1,FALSE))</f>
        <v>-405.53242110000002</v>
      </c>
      <c r="Q370">
        <f ca="1">IF(AND(ISNUMBER($Q$871),$B$511=1),$Q$871,HLOOKUP(INDIRECT(ADDRESS(2,COLUMN())),OFFSET($BN$2,0,0,ROW()-1,60),ROW()-1,FALSE))</f>
        <v>-404.0340329</v>
      </c>
      <c r="R370">
        <f ca="1">IF(AND(ISNUMBER($R$871),$B$511=1),$R$871,HLOOKUP(INDIRECT(ADDRESS(2,COLUMN())),OFFSET($BN$2,0,0,ROW()-1,60),ROW()-1,FALSE))</f>
        <v>-2862.471243</v>
      </c>
      <c r="S370">
        <f ca="1">IF(AND(ISNUMBER($S$871),$B$511=1),$S$871,HLOOKUP(INDIRECT(ADDRESS(2,COLUMN())),OFFSET($BN$2,0,0,ROW()-1,60),ROW()-1,FALSE))</f>
        <v>-2792.761591</v>
      </c>
      <c r="T370">
        <f ca="1">IF(AND(ISNUMBER($T$871),$B$511=1),$T$871,HLOOKUP(INDIRECT(ADDRESS(2,COLUMN())),OFFSET($BN$2,0,0,ROW()-1,60),ROW()-1,FALSE))</f>
        <v>-2889.3174709999998</v>
      </c>
      <c r="U370">
        <f ca="1">IF(AND(ISNUMBER($U$871),$B$511=1),$U$871,HLOOKUP(INDIRECT(ADDRESS(2,COLUMN())),OFFSET($BN$2,0,0,ROW()-1,60),ROW()-1,FALSE))</f>
        <v>-3026.1905280000001</v>
      </c>
      <c r="V370">
        <f ca="1">IF(AND(ISNUMBER($V$871),$B$511=1),$V$871,HLOOKUP(INDIRECT(ADDRESS(2,COLUMN())),OFFSET($BN$2,0,0,ROW()-1,60),ROW()-1,FALSE))</f>
        <v>-2651.5304299999998</v>
      </c>
      <c r="W370">
        <f ca="1">IF(AND(ISNUMBER($W$871),$B$511=1),$W$871,HLOOKUP(INDIRECT(ADDRESS(2,COLUMN())),OFFSET($BN$2,0,0,ROW()-1,60),ROW()-1,FALSE))</f>
        <v>-2606.489149</v>
      </c>
      <c r="X370">
        <f ca="1">IF(AND(ISNUMBER($X$871),$B$511=1),$X$871,HLOOKUP(INDIRECT(ADDRESS(2,COLUMN())),OFFSET($BN$2,0,0,ROW()-1,60),ROW()-1,FALSE))</f>
        <v>-2662.4542970000002</v>
      </c>
      <c r="Y370">
        <f ca="1">IF(AND(ISNUMBER($Y$871),$B$511=1),$Y$871,HLOOKUP(INDIRECT(ADDRESS(2,COLUMN())),OFFSET($BN$2,0,0,ROW()-1,60),ROW()-1,FALSE))</f>
        <v>-2544.0973060000001</v>
      </c>
      <c r="Z370">
        <f ca="1">IF(AND(ISNUMBER($Z$871),$B$511=1),$Z$871,HLOOKUP(INDIRECT(ADDRESS(2,COLUMN())),OFFSET($BN$2,0,0,ROW()-1,60),ROW()-1,FALSE))</f>
        <v>0</v>
      </c>
      <c r="AA370">
        <f ca="1">IF(AND(ISNUMBER($AA$871),$B$511=1),$AA$871,HLOOKUP(INDIRECT(ADDRESS(2,COLUMN())),OFFSET($BN$2,0,0,ROW()-1,60),ROW()-1,FALSE))</f>
        <v>0</v>
      </c>
      <c r="AB370">
        <f ca="1">IF(AND(ISNUMBER($AB$871),$B$511=1),$AB$871,HLOOKUP(INDIRECT(ADDRESS(2,COLUMN())),OFFSET($BN$2,0,0,ROW()-1,60),ROW()-1,FALSE))</f>
        <v>0</v>
      </c>
      <c r="AC370">
        <f ca="1">IF(AND(ISNUMBER($AC$871),$B$511=1),$AC$871,HLOOKUP(INDIRECT(ADDRESS(2,COLUMN())),OFFSET($BN$2,0,0,ROW()-1,60),ROW()-1,FALSE))</f>
        <v>0</v>
      </c>
      <c r="AD370">
        <f ca="1">IF(AND(ISNUMBER($AD$871),$B$511=1),$AD$871,HLOOKUP(INDIRECT(ADDRESS(2,COLUMN())),OFFSET($BN$2,0,0,ROW()-1,60),ROW()-1,FALSE))</f>
        <v>0</v>
      </c>
      <c r="AE370">
        <f ca="1">IF(AND(ISNUMBER($AE$871),$B$511=1),$AE$871,HLOOKUP(INDIRECT(ADDRESS(2,COLUMN())),OFFSET($BN$2,0,0,ROW()-1,60),ROW()-1,FALSE))</f>
        <v>0</v>
      </c>
      <c r="AF370">
        <f ca="1">IF(AND(ISNUMBER($AF$871),$B$511=1),$AF$871,HLOOKUP(INDIRECT(ADDRESS(2,COLUMN())),OFFSET($BN$2,0,0,ROW()-1,60),ROW()-1,FALSE))</f>
        <v>0</v>
      </c>
      <c r="AG370">
        <f ca="1">IF(AND(ISNUMBER($AG$871),$B$511=1),$AG$871,HLOOKUP(INDIRECT(ADDRESS(2,COLUMN())),OFFSET($BN$2,0,0,ROW()-1,60),ROW()-1,FALSE))</f>
        <v>0</v>
      </c>
      <c r="AH370">
        <f ca="1">IF(AND(ISNUMBER($AH$871),$B$511=1),$AH$871,HLOOKUP(INDIRECT(ADDRESS(2,COLUMN())),OFFSET($BN$2,0,0,ROW()-1,60),ROW()-1,FALSE))</f>
        <v>0</v>
      </c>
      <c r="AI370">
        <f ca="1">IF(AND(ISNUMBER($AI$871),$B$511=1),$AI$871,HLOOKUP(INDIRECT(ADDRESS(2,COLUMN())),OFFSET($BN$2,0,0,ROW()-1,60),ROW()-1,FALSE))</f>
        <v>0</v>
      </c>
      <c r="AJ370">
        <f ca="1">IF(AND(ISNUMBER($AJ$871),$B$511=1),$AJ$871,HLOOKUP(INDIRECT(ADDRESS(2,COLUMN())),OFFSET($BN$2,0,0,ROW()-1,60),ROW()-1,FALSE))</f>
        <v>0</v>
      </c>
      <c r="AK370">
        <f ca="1">IF(AND(ISNUMBER($AK$871),$B$511=1),$AK$871,HLOOKUP(INDIRECT(ADDRESS(2,COLUMN())),OFFSET($BN$2,0,0,ROW()-1,60),ROW()-1,FALSE))</f>
        <v>0</v>
      </c>
      <c r="AL370">
        <f ca="1">IF(AND(ISNUMBER($AL$871),$B$511=1),$AL$871,HLOOKUP(INDIRECT(ADDRESS(2,COLUMN())),OFFSET($BN$2,0,0,ROW()-1,60),ROW()-1,FALSE))</f>
        <v>0</v>
      </c>
      <c r="AM370">
        <f ca="1">IF(AND(ISNUMBER($AM$871),$B$511=1),$AM$871,HLOOKUP(INDIRECT(ADDRESS(2,COLUMN())),OFFSET($BN$2,0,0,ROW()-1,60),ROW()-1,FALSE))</f>
        <v>0</v>
      </c>
      <c r="AN370">
        <f ca="1">IF(AND(ISNUMBER($AN$871),$B$511=1),$AN$871,HLOOKUP(INDIRECT(ADDRESS(2,COLUMN())),OFFSET($BN$2,0,0,ROW()-1,60),ROW()-1,FALSE))</f>
        <v>0</v>
      </c>
      <c r="AO370">
        <f ca="1">IF(AND(ISNUMBER($AO$871),$B$511=1),$AO$871,HLOOKUP(INDIRECT(ADDRESS(2,COLUMN())),OFFSET($BN$2,0,0,ROW()-1,60),ROW()-1,FALSE))</f>
        <v>0</v>
      </c>
      <c r="AP370">
        <f ca="1">IF(AND(ISNUMBER($AP$871),$B$511=1),$AP$871,HLOOKUP(INDIRECT(ADDRESS(2,COLUMN())),OFFSET($BN$2,0,0,ROW()-1,60),ROW()-1,FALSE))</f>
        <v>0</v>
      </c>
      <c r="AQ370">
        <f ca="1">IF(AND(ISNUMBER($AQ$871),$B$511=1),$AQ$871,HLOOKUP(INDIRECT(ADDRESS(2,COLUMN())),OFFSET($BN$2,0,0,ROW()-1,60),ROW()-1,FALSE))</f>
        <v>0</v>
      </c>
      <c r="AR370" t="str">
        <f ca="1">IF(AND(ISNUMBER($AR$871),$B$511=1),$AR$871,HLOOKUP(INDIRECT(ADDRESS(2,COLUMN())),OFFSET($BN$2,0,0,ROW()-1,60),ROW()-1,FALSE))</f>
        <v/>
      </c>
      <c r="AS370" t="str">
        <f ca="1">IF(AND(ISNUMBER($AS$871),$B$511=1),$AS$871,HLOOKUP(INDIRECT(ADDRESS(2,COLUMN())),OFFSET($BN$2,0,0,ROW()-1,60),ROW()-1,FALSE))</f>
        <v/>
      </c>
      <c r="AT370" t="str">
        <f ca="1">IF(AND(ISNUMBER($AT$871),$B$511=1),$AT$871,HLOOKUP(INDIRECT(ADDRESS(2,COLUMN())),OFFSET($BN$2,0,0,ROW()-1,60),ROW()-1,FALSE))</f>
        <v/>
      </c>
      <c r="AU370" t="str">
        <f ca="1">IF(AND(ISNUMBER($AU$871),$B$511=1),$AU$871,HLOOKUP(INDIRECT(ADDRESS(2,COLUMN())),OFFSET($BN$2,0,0,ROW()-1,60),ROW()-1,FALSE))</f>
        <v/>
      </c>
      <c r="AV370">
        <f ca="1">IF(AND(ISNUMBER($AV$871),$B$511=1),$AV$871,HLOOKUP(INDIRECT(ADDRESS(2,COLUMN())),OFFSET($BN$2,0,0,ROW()-1,60),ROW()-1,FALSE))</f>
        <v>-747.04861979999998</v>
      </c>
      <c r="AW370">
        <f ca="1">IF(AND(ISNUMBER($AW$871),$B$511=1),$AW$871,HLOOKUP(INDIRECT(ADDRESS(2,COLUMN())),OFFSET($BN$2,0,0,ROW()-1,60),ROW()-1,FALSE))</f>
        <v>-731.11255459999995</v>
      </c>
      <c r="AX370">
        <f ca="1">IF(AND(ISNUMBER($AX$871),$B$511=1),$AX$871,HLOOKUP(INDIRECT(ADDRESS(2,COLUMN())),OFFSET($BN$2,0,0,ROW()-1,60),ROW()-1,FALSE))</f>
        <v>-704.59124450000002</v>
      </c>
      <c r="AY370">
        <f ca="1">IF(AND(ISNUMBER($AY$871),$B$511=1),$AY$871,HLOOKUP(INDIRECT(ADDRESS(2,COLUMN())),OFFSET($BN$2,0,0,ROW()-1,60),ROW()-1,FALSE))</f>
        <v>-681.28680980000001</v>
      </c>
      <c r="AZ370" t="str">
        <f ca="1">IF(AND(ISNUMBER($AZ$871),$B$511=1),$AZ$871,HLOOKUP(INDIRECT(ADDRESS(2,COLUMN())),OFFSET($BN$2,0,0,ROW()-1,60),ROW()-1,FALSE))</f>
        <v/>
      </c>
      <c r="BA370" t="str">
        <f ca="1">IF(AND(ISNUMBER($BA$871),$B$511=1),$BA$871,HLOOKUP(INDIRECT(ADDRESS(2,COLUMN())),OFFSET($BN$2,0,0,ROW()-1,60),ROW()-1,FALSE))</f>
        <v/>
      </c>
      <c r="BB370" t="str">
        <f ca="1">IF(AND(ISNUMBER($BB$871),$B$511=1),$BB$871,HLOOKUP(INDIRECT(ADDRESS(2,COLUMN())),OFFSET($BN$2,0,0,ROW()-1,60),ROW()-1,FALSE))</f>
        <v/>
      </c>
      <c r="BC370" t="str">
        <f ca="1">IF(AND(ISNUMBER($BC$871),$B$511=1),$BC$871,HLOOKUP(INDIRECT(ADDRESS(2,COLUMN())),OFFSET($BN$2,0,0,ROW()-1,60),ROW()-1,FALSE))</f>
        <v/>
      </c>
      <c r="BD370" t="str">
        <f ca="1">IF(AND(ISNUMBER($BD$871),$B$511=1),$BD$871,HLOOKUP(INDIRECT(ADDRESS(2,COLUMN())),OFFSET($BN$2,0,0,ROW()-1,60),ROW()-1,FALSE))</f>
        <v/>
      </c>
      <c r="BE370" t="str">
        <f ca="1">IF(AND(ISNUMBER($BE$871),$B$511=1),$BE$871,HLOOKUP(INDIRECT(ADDRESS(2,COLUMN())),OFFSET($BN$2,0,0,ROW()-1,60),ROW()-1,FALSE))</f>
        <v/>
      </c>
      <c r="BF370" t="str">
        <f ca="1">IF(AND(ISNUMBER($BF$871),$B$511=1),$BF$871,HLOOKUP(INDIRECT(ADDRESS(2,COLUMN())),OFFSET($BN$2,0,0,ROW()-1,60),ROW()-1,FALSE))</f>
        <v/>
      </c>
      <c r="BG370" t="str">
        <f ca="1">IF(AND(ISNUMBER($BG$871),$B$511=1),$BG$871,HLOOKUP(INDIRECT(ADDRESS(2,COLUMN())),OFFSET($BN$2,0,0,ROW()-1,60),ROW()-1,FALSE))</f>
        <v/>
      </c>
      <c r="BH370" t="str">
        <f ca="1">IF(AND(ISNUMBER($BH$871),$B$511=1),$BH$871,HLOOKUP(INDIRECT(ADDRESS(2,COLUMN())),OFFSET($BN$2,0,0,ROW()-1,60),ROW()-1,FALSE))</f>
        <v/>
      </c>
      <c r="BI370" t="str">
        <f ca="1">IF(AND(ISNUMBER($BI$871),$B$511=1),$BI$871,HLOOKUP(INDIRECT(ADDRESS(2,COLUMN())),OFFSET($BN$2,0,0,ROW()-1,60),ROW()-1,FALSE))</f>
        <v/>
      </c>
      <c r="BJ370" t="str">
        <f ca="1">IF(AND(ISNUMBER($BJ$871),$B$511=1),$BJ$871,HLOOKUP(INDIRECT(ADDRESS(2,COLUMN())),OFFSET($BN$2,0,0,ROW()-1,60),ROW()-1,FALSE))</f>
        <v/>
      </c>
      <c r="BK370" t="str">
        <f ca="1">IF(AND(ISNUMBER($BK$871),$B$511=1),$BK$871,HLOOKUP(INDIRECT(ADDRESS(2,COLUMN())),OFFSET($BN$2,0,0,ROW()-1,60),ROW()-1,FALSE))</f>
        <v/>
      </c>
      <c r="BL370" t="str">
        <f ca="1">IF(AND(ISNUMBER($BL$871),$B$511=1),$BL$871,HLOOKUP(INDIRECT(ADDRESS(2,COLUMN())),OFFSET($BN$2,0,0,ROW()-1,60),ROW()-1,FALSE))</f>
        <v/>
      </c>
      <c r="BM370" t="str">
        <f ca="1">IF(AND(ISNUMBER($BM$871),$B$511=1),$BM$871,HLOOKUP(INDIRECT(ADDRESS(2,COLUMN())),OFFSET($BN$2,0,0,ROW()-1,60),ROW()-1,FALSE))</f>
        <v/>
      </c>
      <c r="BN370" t="str">
        <f>""</f>
        <v/>
      </c>
      <c r="BO370" t="str">
        <f>""</f>
        <v/>
      </c>
      <c r="BP370">
        <f>-2803.488102</f>
        <v>-2803.4881019999998</v>
      </c>
      <c r="BQ370">
        <f>-2817.745893</f>
        <v>-2817.7458929999998</v>
      </c>
      <c r="BR370">
        <f>-1559.327676</f>
        <v>-1559.3276760000001</v>
      </c>
      <c r="BS370">
        <f>-1504.788756</f>
        <v>-1504.7887559999999</v>
      </c>
      <c r="BT370">
        <f>-1448.367109</f>
        <v>-1448.367109</v>
      </c>
      <c r="BU370">
        <f>-1429.248709</f>
        <v>-1429.248709</v>
      </c>
      <c r="BV370">
        <f>-399.4173604</f>
        <v>-399.41736040000001</v>
      </c>
      <c r="BW370">
        <f>-402.8856389</f>
        <v>-402.8856389</v>
      </c>
      <c r="BX370">
        <f>-405.5324211</f>
        <v>-405.53242110000002</v>
      </c>
      <c r="BY370">
        <f>-404.0340329</f>
        <v>-404.0340329</v>
      </c>
      <c r="BZ370">
        <f>-2862.471243</f>
        <v>-2862.471243</v>
      </c>
      <c r="CA370">
        <f>-2792.761591</f>
        <v>-2792.761591</v>
      </c>
      <c r="CB370">
        <f>-2889.317471</f>
        <v>-2889.3174709999998</v>
      </c>
      <c r="CC370">
        <f>-3026.190528</f>
        <v>-3026.1905280000001</v>
      </c>
      <c r="CD370">
        <f>-2651.53043</f>
        <v>-2651.5304299999998</v>
      </c>
      <c r="CE370">
        <f>-2606.489149</f>
        <v>-2606.489149</v>
      </c>
      <c r="CF370">
        <f>-2662.454297</f>
        <v>-2662.4542970000002</v>
      </c>
      <c r="CG370">
        <f>-2544.097306</f>
        <v>-2544.0973060000001</v>
      </c>
      <c r="CH370">
        <f>0</f>
        <v>0</v>
      </c>
      <c r="CI370">
        <f>0</f>
        <v>0</v>
      </c>
      <c r="CJ370">
        <f>0</f>
        <v>0</v>
      </c>
      <c r="CK370">
        <f>0</f>
        <v>0</v>
      </c>
      <c r="CL370">
        <f>0</f>
        <v>0</v>
      </c>
      <c r="CM370">
        <f>0</f>
        <v>0</v>
      </c>
      <c r="CN370">
        <f>0</f>
        <v>0</v>
      </c>
      <c r="CO370">
        <f>0</f>
        <v>0</v>
      </c>
      <c r="CP370">
        <f>0</f>
        <v>0</v>
      </c>
      <c r="CQ370">
        <f>0</f>
        <v>0</v>
      </c>
      <c r="CR370">
        <f>0</f>
        <v>0</v>
      </c>
      <c r="CS370">
        <f>0</f>
        <v>0</v>
      </c>
      <c r="CT370">
        <f>0</f>
        <v>0</v>
      </c>
      <c r="CU370">
        <f>0</f>
        <v>0</v>
      </c>
      <c r="CV370">
        <f>0</f>
        <v>0</v>
      </c>
      <c r="CW370">
        <f>0</f>
        <v>0</v>
      </c>
      <c r="CX370">
        <f>0</f>
        <v>0</v>
      </c>
      <c r="CY370">
        <f>0</f>
        <v>0</v>
      </c>
      <c r="CZ370" t="str">
        <f>""</f>
        <v/>
      </c>
      <c r="DA370" t="str">
        <f>""</f>
        <v/>
      </c>
      <c r="DB370" t="str">
        <f>""</f>
        <v/>
      </c>
      <c r="DC370" t="str">
        <f>""</f>
        <v/>
      </c>
      <c r="DD370">
        <f>-747.0486198</f>
        <v>-747.04861979999998</v>
      </c>
      <c r="DE370">
        <f>-731.1125546</f>
        <v>-731.11255459999995</v>
      </c>
      <c r="DF370">
        <f>-704.5912445</f>
        <v>-704.59124450000002</v>
      </c>
      <c r="DG370">
        <f>-681.2868098</f>
        <v>-681.28680980000001</v>
      </c>
      <c r="DH370" t="str">
        <f>""</f>
        <v/>
      </c>
      <c r="DI370" t="str">
        <f>""</f>
        <v/>
      </c>
      <c r="DJ370" t="str">
        <f>""</f>
        <v/>
      </c>
      <c r="DK370" t="str">
        <f>""</f>
        <v/>
      </c>
      <c r="DL370" t="str">
        <f>""</f>
        <v/>
      </c>
      <c r="DM370" t="str">
        <f>""</f>
        <v/>
      </c>
      <c r="DN370" t="str">
        <f>""</f>
        <v/>
      </c>
      <c r="DO370" t="str">
        <f>""</f>
        <v/>
      </c>
      <c r="DP370" t="str">
        <f>""</f>
        <v/>
      </c>
      <c r="DQ370" t="str">
        <f>""</f>
        <v/>
      </c>
      <c r="DR370" t="str">
        <f>""</f>
        <v/>
      </c>
      <c r="DS370" t="str">
        <f>""</f>
        <v/>
      </c>
      <c r="DT370" t="str">
        <f>""</f>
        <v/>
      </c>
      <c r="DU370" t="str">
        <f>""</f>
        <v/>
      </c>
    </row>
    <row r="371" spans="1:125" x14ac:dyDescent="0.25">
      <c r="A371" t="str">
        <f>"    Yulon Motor Co Ltd"</f>
        <v xml:space="preserve">    Yulon Motor Co Ltd</v>
      </c>
      <c r="B371" t="str">
        <f>"2201 TT Equity"</f>
        <v>2201 TT Equity</v>
      </c>
      <c r="C371" t="str">
        <f t="shared" si="24"/>
        <v>RX530</v>
      </c>
      <c r="D371" t="str">
        <f t="shared" si="25"/>
        <v>T12M_DVDS_PAID</v>
      </c>
      <c r="E371" t="str">
        <f t="shared" si="26"/>
        <v>Dynamic</v>
      </c>
      <c r="F371" t="str">
        <f ca="1">IF(AND(ISNUMBER($F$872),$B$511=1),$F$872,HLOOKUP(INDIRECT(ADDRESS(2,COLUMN())),OFFSET($BN$2,0,0,ROW()-1,60),ROW()-1,FALSE))</f>
        <v/>
      </c>
      <c r="G371" t="str">
        <f ca="1">IF(AND(ISNUMBER($G$872),$B$511=1),$G$872,HLOOKUP(INDIRECT(ADDRESS(2,COLUMN())),OFFSET($BN$2,0,0,ROW()-1,60),ROW()-1,FALSE))</f>
        <v/>
      </c>
      <c r="H371">
        <f ca="1">IF(AND(ISNUMBER($H$872),$B$511=1),$H$872,HLOOKUP(INDIRECT(ADDRESS(2,COLUMN())),OFFSET($BN$2,0,0,ROW()-1,60),ROW()-1,FALSE))</f>
        <v>-74.316748070000003</v>
      </c>
      <c r="I371">
        <f ca="1">IF(AND(ISNUMBER($I$872),$B$511=1),$I$872,HLOOKUP(INDIRECT(ADDRESS(2,COLUMN())),OFFSET($BN$2,0,0,ROW()-1,60),ROW()-1,FALSE))</f>
        <v>-70.075710709999996</v>
      </c>
      <c r="J371">
        <f ca="1">IF(AND(ISNUMBER($J$872),$B$511=1),$J$872,HLOOKUP(INDIRECT(ADDRESS(2,COLUMN())),OFFSET($BN$2,0,0,ROW()-1,60),ROW()-1,FALSE))</f>
        <v>-67.038949650000006</v>
      </c>
      <c r="K371">
        <f ca="1">IF(AND(ISNUMBER($K$872),$B$511=1),$K$872,HLOOKUP(INDIRECT(ADDRESS(2,COLUMN())),OFFSET($BN$2,0,0,ROW()-1,60),ROW()-1,FALSE))</f>
        <v>-66.055990070000007</v>
      </c>
      <c r="L371" t="str">
        <f ca="1">IF(AND(ISNUMBER($L$872),$B$511=1),$L$872,HLOOKUP(INDIRECT(ADDRESS(2,COLUMN())),OFFSET($BN$2,0,0,ROW()-1,60),ROW()-1,FALSE))</f>
        <v/>
      </c>
      <c r="M371" t="str">
        <f ca="1">IF(AND(ISNUMBER($M$872),$B$511=1),$M$872,HLOOKUP(INDIRECT(ADDRESS(2,COLUMN())),OFFSET($BN$2,0,0,ROW()-1,60),ROW()-1,FALSE))</f>
        <v/>
      </c>
      <c r="N371" t="str">
        <f ca="1">IF(AND(ISNUMBER($N$872),$B$511=1),$N$872,HLOOKUP(INDIRECT(ADDRESS(2,COLUMN())),OFFSET($BN$2,0,0,ROW()-1,60),ROW()-1,FALSE))</f>
        <v/>
      </c>
      <c r="O371" t="str">
        <f ca="1">IF(AND(ISNUMBER($O$872),$B$511=1),$O$872,HLOOKUP(INDIRECT(ADDRESS(2,COLUMN())),OFFSET($BN$2,0,0,ROW()-1,60),ROW()-1,FALSE))</f>
        <v/>
      </c>
      <c r="P371">
        <f ca="1">IF(AND(ISNUMBER($P$872),$B$511=1),$P$872,HLOOKUP(INDIRECT(ADDRESS(2,COLUMN())),OFFSET($BN$2,0,0,ROW()-1,60),ROW()-1,FALSE))</f>
        <v>-80.537237739999995</v>
      </c>
      <c r="Q371">
        <f ca="1">IF(AND(ISNUMBER($Q$872),$B$511=1),$Q$872,HLOOKUP(INDIRECT(ADDRESS(2,COLUMN())),OFFSET($BN$2,0,0,ROW()-1,60),ROW()-1,FALSE))</f>
        <v>-63.740335600000002</v>
      </c>
      <c r="R371">
        <f ca="1">IF(AND(ISNUMBER($R$872),$B$511=1),$R$872,HLOOKUP(INDIRECT(ADDRESS(2,COLUMN())),OFFSET($BN$2,0,0,ROW()-1,60),ROW()-1,FALSE))</f>
        <v>-65.835855940000002</v>
      </c>
      <c r="S371">
        <f ca="1">IF(AND(ISNUMBER($S$872),$B$511=1),$S$872,HLOOKUP(INDIRECT(ADDRESS(2,COLUMN())),OFFSET($BN$2,0,0,ROW()-1,60),ROW()-1,FALSE))</f>
        <v>-66.676767760000004</v>
      </c>
      <c r="T371">
        <f ca="1">IF(AND(ISNUMBER($T$872),$B$511=1),$T$872,HLOOKUP(INDIRECT(ADDRESS(2,COLUMN())),OFFSET($BN$2,0,0,ROW()-1,60),ROW()-1,FALSE))</f>
        <v>-67.124121729999999</v>
      </c>
      <c r="U371">
        <f ca="1">IF(AND(ISNUMBER($U$872),$B$511=1),$U$872,HLOOKUP(INDIRECT(ADDRESS(2,COLUMN())),OFFSET($BN$2,0,0,ROW()-1,60),ROW()-1,FALSE))</f>
        <v>-64.141924029999998</v>
      </c>
      <c r="V371">
        <f ca="1">IF(AND(ISNUMBER($V$872),$B$511=1),$V$872,HLOOKUP(INDIRECT(ADDRESS(2,COLUMN())),OFFSET($BN$2,0,0,ROW()-1,60),ROW()-1,FALSE))</f>
        <v>-66.373161800000005</v>
      </c>
      <c r="W371">
        <f ca="1">IF(AND(ISNUMBER($W$872),$B$511=1),$W$872,HLOOKUP(INDIRECT(ADDRESS(2,COLUMN())),OFFSET($BN$2,0,0,ROW()-1,60),ROW()-1,FALSE))</f>
        <v>-67.321881390000001</v>
      </c>
      <c r="X371">
        <f ca="1">IF(AND(ISNUMBER($X$872),$B$511=1),$X$872,HLOOKUP(INDIRECT(ADDRESS(2,COLUMN())),OFFSET($BN$2,0,0,ROW()-1,60),ROW()-1,FALSE))</f>
        <v>-66.169569100000004</v>
      </c>
      <c r="Y371">
        <f ca="1">IF(AND(ISNUMBER($Y$872),$B$511=1),$Y$872,HLOOKUP(INDIRECT(ADDRESS(2,COLUMN())),OFFSET($BN$2,0,0,ROW()-1,60),ROW()-1,FALSE))</f>
        <v>-60.2920248</v>
      </c>
      <c r="Z371">
        <f ca="1">IF(AND(ISNUMBER($Z$872),$B$511=1),$Z$872,HLOOKUP(INDIRECT(ADDRESS(2,COLUMN())),OFFSET($BN$2,0,0,ROW()-1,60),ROW()-1,FALSE))</f>
        <v>-58.490342609999999</v>
      </c>
      <c r="AA371">
        <f ca="1">IF(AND(ISNUMBER($AA$872),$B$511=1),$AA$872,HLOOKUP(INDIRECT(ADDRESS(2,COLUMN())),OFFSET($BN$2,0,0,ROW()-1,60),ROW()-1,FALSE))</f>
        <v>-58.506325519999997</v>
      </c>
      <c r="AB371" t="str">
        <f ca="1">IF(AND(ISNUMBER($AB$872),$B$511=1),$AB$872,HLOOKUP(INDIRECT(ADDRESS(2,COLUMN())),OFFSET($BN$2,0,0,ROW()-1,60),ROW()-1,FALSE))</f>
        <v/>
      </c>
      <c r="AC371" t="str">
        <f ca="1">IF(AND(ISNUMBER($AC$872),$B$511=1),$AC$872,HLOOKUP(INDIRECT(ADDRESS(2,COLUMN())),OFFSET($BN$2,0,0,ROW()-1,60),ROW()-1,FALSE))</f>
        <v/>
      </c>
      <c r="AD371" t="str">
        <f ca="1">IF(AND(ISNUMBER($AD$872),$B$511=1),$AD$872,HLOOKUP(INDIRECT(ADDRESS(2,COLUMN())),OFFSET($BN$2,0,0,ROW()-1,60),ROW()-1,FALSE))</f>
        <v/>
      </c>
      <c r="AE371" t="str">
        <f ca="1">IF(AND(ISNUMBER($AE$872),$B$511=1),$AE$872,HLOOKUP(INDIRECT(ADDRESS(2,COLUMN())),OFFSET($BN$2,0,0,ROW()-1,60),ROW()-1,FALSE))</f>
        <v/>
      </c>
      <c r="AF371">
        <f ca="1">IF(AND(ISNUMBER($AF$872),$B$511=1),$AF$872,HLOOKUP(INDIRECT(ADDRESS(2,COLUMN())),OFFSET($BN$2,0,0,ROW()-1,60),ROW()-1,FALSE))</f>
        <v>-73.003816420000007</v>
      </c>
      <c r="AG371">
        <f ca="1">IF(AND(ISNUMBER($AG$872),$B$511=1),$AG$872,HLOOKUP(INDIRECT(ADDRESS(2,COLUMN())),OFFSET($BN$2,0,0,ROW()-1,60),ROW()-1,FALSE))</f>
        <v>-52.405498979999997</v>
      </c>
      <c r="AH371">
        <f ca="1">IF(AND(ISNUMBER($AH$872),$B$511=1),$AH$872,HLOOKUP(INDIRECT(ADDRESS(2,COLUMN())),OFFSET($BN$2,0,0,ROW()-1,60),ROW()-1,FALSE))</f>
        <v>-50.550313389999999</v>
      </c>
      <c r="AI371">
        <f ca="1">IF(AND(ISNUMBER($AI$872),$B$511=1),$AI$872,HLOOKUP(INDIRECT(ADDRESS(2,COLUMN())),OFFSET($BN$2,0,0,ROW()-1,60),ROW()-1,FALSE))</f>
        <v>-50.717461610000001</v>
      </c>
      <c r="AJ371">
        <f ca="1">IF(AND(ISNUMBER($AJ$872),$B$511=1),$AJ$872,HLOOKUP(INDIRECT(ADDRESS(2,COLUMN())),OFFSET($BN$2,0,0,ROW()-1,60),ROW()-1,FALSE))</f>
        <v>-50.64264103</v>
      </c>
      <c r="AK371">
        <f ca="1">IF(AND(ISNUMBER($AK$872),$B$511=1),$AK$872,HLOOKUP(INDIRECT(ADDRESS(2,COLUMN())),OFFSET($BN$2,0,0,ROW()-1,60),ROW()-1,FALSE))</f>
        <v>-18.152677749999999</v>
      </c>
      <c r="AL371">
        <f ca="1">IF(AND(ISNUMBER($AL$872),$B$511=1),$AL$872,HLOOKUP(INDIRECT(ADDRESS(2,COLUMN())),OFFSET($BN$2,0,0,ROW()-1,60),ROW()-1,FALSE))</f>
        <v>-17.71270801</v>
      </c>
      <c r="AM371">
        <f ca="1">IF(AND(ISNUMBER($AM$872),$B$511=1),$AM$872,HLOOKUP(INDIRECT(ADDRESS(2,COLUMN())),OFFSET($BN$2,0,0,ROW()-1,60),ROW()-1,FALSE))</f>
        <v>-17.337343579999999</v>
      </c>
      <c r="AN371">
        <f ca="1">IF(AND(ISNUMBER($AN$872),$B$511=1),$AN$872,HLOOKUP(INDIRECT(ADDRESS(2,COLUMN())),OFFSET($BN$2,0,0,ROW()-1,60),ROW()-1,FALSE))</f>
        <v>-17.076750029999999</v>
      </c>
      <c r="AO371">
        <f ca="1">IF(AND(ISNUMBER($AO$872),$B$511=1),$AO$872,HLOOKUP(INDIRECT(ADDRESS(2,COLUMN())),OFFSET($BN$2,0,0,ROW()-1,60),ROW()-1,FALSE))</f>
        <v>-3.7315969500000001</v>
      </c>
      <c r="AP371">
        <f ca="1">IF(AND(ISNUMBER($AP$872),$B$511=1),$AP$872,HLOOKUP(INDIRECT(ADDRESS(2,COLUMN())),OFFSET($BN$2,0,0,ROW()-1,60),ROW()-1,FALSE))</f>
        <v>-3.696916876</v>
      </c>
      <c r="AQ371">
        <f ca="1">IF(AND(ISNUMBER($AQ$872),$B$511=1),$AQ$872,HLOOKUP(INDIRECT(ADDRESS(2,COLUMN())),OFFSET($BN$2,0,0,ROW()-1,60),ROW()-1,FALSE))</f>
        <v>-3.6460213189999999</v>
      </c>
      <c r="AR371">
        <f ca="1">IF(AND(ISNUMBER($AR$872),$B$511=1),$AR$872,HLOOKUP(INDIRECT(ADDRESS(2,COLUMN())),OFFSET($BN$2,0,0,ROW()-1,60),ROW()-1,FALSE))</f>
        <v>-3.6649376149999999</v>
      </c>
      <c r="AS371">
        <f ca="1">IF(AND(ISNUMBER($AS$872),$B$511=1),$AS$872,HLOOKUP(INDIRECT(ADDRESS(2,COLUMN())),OFFSET($BN$2,0,0,ROW()-1,60),ROW()-1,FALSE))</f>
        <v>-26.759948659999999</v>
      </c>
      <c r="AT371">
        <f ca="1">IF(AND(ISNUMBER($AT$872),$B$511=1),$AT$872,HLOOKUP(INDIRECT(ADDRESS(2,COLUMN())),OFFSET($BN$2,0,0,ROW()-1,60),ROW()-1,FALSE))</f>
        <v>-27.322176469999999</v>
      </c>
      <c r="AU371">
        <f ca="1">IF(AND(ISNUMBER($AU$872),$B$511=1),$AU$872,HLOOKUP(INDIRECT(ADDRESS(2,COLUMN())),OFFSET($BN$2,0,0,ROW()-1,60),ROW()-1,FALSE))</f>
        <v>-27.798366909999999</v>
      </c>
      <c r="AV371" t="str">
        <f ca="1">IF(AND(ISNUMBER($AV$872),$B$511=1),$AV$872,HLOOKUP(INDIRECT(ADDRESS(2,COLUMN())),OFFSET($BN$2,0,0,ROW()-1,60),ROW()-1,FALSE))</f>
        <v/>
      </c>
      <c r="AW371" t="str">
        <f ca="1">IF(AND(ISNUMBER($AW$872),$B$511=1),$AW$872,HLOOKUP(INDIRECT(ADDRESS(2,COLUMN())),OFFSET($BN$2,0,0,ROW()-1,60),ROW()-1,FALSE))</f>
        <v/>
      </c>
      <c r="AX371" t="str">
        <f ca="1">IF(AND(ISNUMBER($AX$872),$B$511=1),$AX$872,HLOOKUP(INDIRECT(ADDRESS(2,COLUMN())),OFFSET($BN$2,0,0,ROW()-1,60),ROW()-1,FALSE))</f>
        <v/>
      </c>
      <c r="AY371" t="str">
        <f ca="1">IF(AND(ISNUMBER($AY$872),$B$511=1),$AY$872,HLOOKUP(INDIRECT(ADDRESS(2,COLUMN())),OFFSET($BN$2,0,0,ROW()-1,60),ROW()-1,FALSE))</f>
        <v/>
      </c>
      <c r="AZ371" t="str">
        <f ca="1">IF(AND(ISNUMBER($AZ$872),$B$511=1),$AZ$872,HLOOKUP(INDIRECT(ADDRESS(2,COLUMN())),OFFSET($BN$2,0,0,ROW()-1,60),ROW()-1,FALSE))</f>
        <v/>
      </c>
      <c r="BA371" t="str">
        <f ca="1">IF(AND(ISNUMBER($BA$872),$B$511=1),$BA$872,HLOOKUP(INDIRECT(ADDRESS(2,COLUMN())),OFFSET($BN$2,0,0,ROW()-1,60),ROW()-1,FALSE))</f>
        <v/>
      </c>
      <c r="BB371" t="str">
        <f ca="1">IF(AND(ISNUMBER($BB$872),$B$511=1),$BB$872,HLOOKUP(INDIRECT(ADDRESS(2,COLUMN())),OFFSET($BN$2,0,0,ROW()-1,60),ROW()-1,FALSE))</f>
        <v/>
      </c>
      <c r="BC371" t="str">
        <f ca="1">IF(AND(ISNUMBER($BC$872),$B$511=1),$BC$872,HLOOKUP(INDIRECT(ADDRESS(2,COLUMN())),OFFSET($BN$2,0,0,ROW()-1,60),ROW()-1,FALSE))</f>
        <v/>
      </c>
      <c r="BD371" t="str">
        <f ca="1">IF(AND(ISNUMBER($BD$872),$B$511=1),$BD$872,HLOOKUP(INDIRECT(ADDRESS(2,COLUMN())),OFFSET($BN$2,0,0,ROW()-1,60),ROW()-1,FALSE))</f>
        <v/>
      </c>
      <c r="BE371" t="str">
        <f ca="1">IF(AND(ISNUMBER($BE$872),$B$511=1),$BE$872,HLOOKUP(INDIRECT(ADDRESS(2,COLUMN())),OFFSET($BN$2,0,0,ROW()-1,60),ROW()-1,FALSE))</f>
        <v/>
      </c>
      <c r="BF371" t="str">
        <f ca="1">IF(AND(ISNUMBER($BF$872),$B$511=1),$BF$872,HLOOKUP(INDIRECT(ADDRESS(2,COLUMN())),OFFSET($BN$2,0,0,ROW()-1,60),ROW()-1,FALSE))</f>
        <v/>
      </c>
      <c r="BG371" t="str">
        <f ca="1">IF(AND(ISNUMBER($BG$872),$B$511=1),$BG$872,HLOOKUP(INDIRECT(ADDRESS(2,COLUMN())),OFFSET($BN$2,0,0,ROW()-1,60),ROW()-1,FALSE))</f>
        <v/>
      </c>
      <c r="BH371" t="str">
        <f ca="1">IF(AND(ISNUMBER($BH$872),$B$511=1),$BH$872,HLOOKUP(INDIRECT(ADDRESS(2,COLUMN())),OFFSET($BN$2,0,0,ROW()-1,60),ROW()-1,FALSE))</f>
        <v/>
      </c>
      <c r="BI371" t="str">
        <f ca="1">IF(AND(ISNUMBER($BI$872),$B$511=1),$BI$872,HLOOKUP(INDIRECT(ADDRESS(2,COLUMN())),OFFSET($BN$2,0,0,ROW()-1,60),ROW()-1,FALSE))</f>
        <v/>
      </c>
      <c r="BJ371" t="str">
        <f ca="1">IF(AND(ISNUMBER($BJ$872),$B$511=1),$BJ$872,HLOOKUP(INDIRECT(ADDRESS(2,COLUMN())),OFFSET($BN$2,0,0,ROW()-1,60),ROW()-1,FALSE))</f>
        <v/>
      </c>
      <c r="BK371" t="str">
        <f ca="1">IF(AND(ISNUMBER($BK$872),$B$511=1),$BK$872,HLOOKUP(INDIRECT(ADDRESS(2,COLUMN())),OFFSET($BN$2,0,0,ROW()-1,60),ROW()-1,FALSE))</f>
        <v/>
      </c>
      <c r="BL371" t="str">
        <f ca="1">IF(AND(ISNUMBER($BL$872),$B$511=1),$BL$872,HLOOKUP(INDIRECT(ADDRESS(2,COLUMN())),OFFSET($BN$2,0,0,ROW()-1,60),ROW()-1,FALSE))</f>
        <v/>
      </c>
      <c r="BM371" t="str">
        <f ca="1">IF(AND(ISNUMBER($BM$872),$B$511=1),$BM$872,HLOOKUP(INDIRECT(ADDRESS(2,COLUMN())),OFFSET($BN$2,0,0,ROW()-1,60),ROW()-1,FALSE))</f>
        <v/>
      </c>
      <c r="BN371" t="str">
        <f>""</f>
        <v/>
      </c>
      <c r="BO371" t="str">
        <f>""</f>
        <v/>
      </c>
      <c r="BP371">
        <f>-74.31674807</f>
        <v>-74.316748070000003</v>
      </c>
      <c r="BQ371">
        <f>-70.07571071</f>
        <v>-70.075710709999996</v>
      </c>
      <c r="BR371">
        <f>-67.03894965</f>
        <v>-67.038949650000006</v>
      </c>
      <c r="BS371">
        <f>-66.05599007</f>
        <v>-66.055990070000007</v>
      </c>
      <c r="BT371" t="str">
        <f>""</f>
        <v/>
      </c>
      <c r="BU371" t="str">
        <f>""</f>
        <v/>
      </c>
      <c r="BV371" t="str">
        <f>""</f>
        <v/>
      </c>
      <c r="BW371" t="str">
        <f>""</f>
        <v/>
      </c>
      <c r="BX371">
        <f>-80.53723774</f>
        <v>-80.537237739999995</v>
      </c>
      <c r="BY371">
        <f>-63.7403356</f>
        <v>-63.740335600000002</v>
      </c>
      <c r="BZ371">
        <f>-65.83585594</f>
        <v>-65.835855940000002</v>
      </c>
      <c r="CA371">
        <f>-66.67676776</f>
        <v>-66.676767760000004</v>
      </c>
      <c r="CB371">
        <f>-67.12412173</f>
        <v>-67.124121729999999</v>
      </c>
      <c r="CC371">
        <f>-64.14192403</f>
        <v>-64.141924029999998</v>
      </c>
      <c r="CD371">
        <f>-66.3731618</f>
        <v>-66.373161800000005</v>
      </c>
      <c r="CE371">
        <f>-67.32188139</f>
        <v>-67.321881390000001</v>
      </c>
      <c r="CF371">
        <f>-66.1695691</f>
        <v>-66.169569100000004</v>
      </c>
      <c r="CG371">
        <f>-60.2920248</f>
        <v>-60.2920248</v>
      </c>
      <c r="CH371">
        <f>-58.49034261</f>
        <v>-58.490342609999999</v>
      </c>
      <c r="CI371">
        <f>-58.50632552</f>
        <v>-58.506325519999997</v>
      </c>
      <c r="CJ371" t="str">
        <f>""</f>
        <v/>
      </c>
      <c r="CK371" t="str">
        <f>""</f>
        <v/>
      </c>
      <c r="CL371" t="str">
        <f>""</f>
        <v/>
      </c>
      <c r="CM371" t="str">
        <f>""</f>
        <v/>
      </c>
      <c r="CN371">
        <f>-73.00381642</f>
        <v>-73.003816420000007</v>
      </c>
      <c r="CO371">
        <f>-52.40549898</f>
        <v>-52.405498979999997</v>
      </c>
      <c r="CP371">
        <f>-50.55031339</f>
        <v>-50.550313389999999</v>
      </c>
      <c r="CQ371">
        <f>-50.71746161</f>
        <v>-50.717461610000001</v>
      </c>
      <c r="CR371">
        <f>-50.64264103</f>
        <v>-50.64264103</v>
      </c>
      <c r="CS371">
        <f>-18.15267775</f>
        <v>-18.152677749999999</v>
      </c>
      <c r="CT371">
        <f>-17.71270801</f>
        <v>-17.71270801</v>
      </c>
      <c r="CU371">
        <f>-17.33734358</f>
        <v>-17.337343579999999</v>
      </c>
      <c r="CV371">
        <f>-17.07675003</f>
        <v>-17.076750029999999</v>
      </c>
      <c r="CW371">
        <f>-3.73159695</f>
        <v>-3.7315969500000001</v>
      </c>
      <c r="CX371">
        <f>-3.696916876</f>
        <v>-3.696916876</v>
      </c>
      <c r="CY371">
        <f>-3.646021319</f>
        <v>-3.6460213189999999</v>
      </c>
      <c r="CZ371">
        <f>-3.664937615</f>
        <v>-3.6649376149999999</v>
      </c>
      <c r="DA371">
        <f>-26.75994866</f>
        <v>-26.759948659999999</v>
      </c>
      <c r="DB371">
        <f>-27.32217647</f>
        <v>-27.322176469999999</v>
      </c>
      <c r="DC371">
        <f>-27.79836691</f>
        <v>-27.798366909999999</v>
      </c>
      <c r="DD371" t="str">
        <f>""</f>
        <v/>
      </c>
      <c r="DE371" t="str">
        <f>""</f>
        <v/>
      </c>
      <c r="DF371" t="str">
        <f>""</f>
        <v/>
      </c>
      <c r="DG371" t="str">
        <f>""</f>
        <v/>
      </c>
      <c r="DH371" t="str">
        <f>""</f>
        <v/>
      </c>
      <c r="DI371" t="str">
        <f>""</f>
        <v/>
      </c>
      <c r="DJ371" t="str">
        <f>""</f>
        <v/>
      </c>
      <c r="DK371" t="str">
        <f>""</f>
        <v/>
      </c>
      <c r="DL371" t="str">
        <f>""</f>
        <v/>
      </c>
      <c r="DM371" t="str">
        <f>""</f>
        <v/>
      </c>
      <c r="DN371" t="str">
        <f>""</f>
        <v/>
      </c>
      <c r="DO371" t="str">
        <f>""</f>
        <v/>
      </c>
      <c r="DP371" t="str">
        <f>""</f>
        <v/>
      </c>
      <c r="DQ371" t="str">
        <f>""</f>
        <v/>
      </c>
      <c r="DR371" t="str">
        <f>""</f>
        <v/>
      </c>
      <c r="DS371" t="str">
        <f>""</f>
        <v/>
      </c>
      <c r="DT371" t="str">
        <f>""</f>
        <v/>
      </c>
      <c r="DU371" t="str">
        <f>""</f>
        <v/>
      </c>
    </row>
    <row r="372" spans="1:125" x14ac:dyDescent="0.25">
      <c r="A372" t="str">
        <f>"Other Data"</f>
        <v>Other Data</v>
      </c>
      <c r="B372" t="str">
        <f>""</f>
        <v/>
      </c>
      <c r="E372" t="str">
        <f>"Heading"</f>
        <v>Heading</v>
      </c>
      <c r="BN372" t="str">
        <f>""</f>
        <v/>
      </c>
      <c r="BO372" t="str">
        <f>""</f>
        <v/>
      </c>
      <c r="BP372" t="str">
        <f>""</f>
        <v/>
      </c>
      <c r="BQ372" t="str">
        <f>""</f>
        <v/>
      </c>
      <c r="BR372" t="str">
        <f>""</f>
        <v/>
      </c>
      <c r="BS372" t="str">
        <f>""</f>
        <v/>
      </c>
      <c r="BT372" t="str">
        <f>""</f>
        <v/>
      </c>
      <c r="BU372" t="str">
        <f>""</f>
        <v/>
      </c>
      <c r="BV372" t="str">
        <f>""</f>
        <v/>
      </c>
      <c r="BW372" t="str">
        <f>""</f>
        <v/>
      </c>
      <c r="BX372" t="str">
        <f>""</f>
        <v/>
      </c>
      <c r="BY372" t="str">
        <f>""</f>
        <v/>
      </c>
      <c r="BZ372" t="str">
        <f>""</f>
        <v/>
      </c>
      <c r="CA372" t="str">
        <f>""</f>
        <v/>
      </c>
      <c r="CB372" t="str">
        <f>""</f>
        <v/>
      </c>
      <c r="CC372" t="str">
        <f>""</f>
        <v/>
      </c>
      <c r="CD372" t="str">
        <f>""</f>
        <v/>
      </c>
      <c r="CE372" t="str">
        <f>""</f>
        <v/>
      </c>
      <c r="CF372" t="str">
        <f>""</f>
        <v/>
      </c>
      <c r="CG372" t="str">
        <f>""</f>
        <v/>
      </c>
      <c r="CH372" t="str">
        <f>""</f>
        <v/>
      </c>
      <c r="CI372" t="str">
        <f>""</f>
        <v/>
      </c>
      <c r="CJ372" t="str">
        <f>""</f>
        <v/>
      </c>
      <c r="CK372" t="str">
        <f>""</f>
        <v/>
      </c>
      <c r="CL372" t="str">
        <f>""</f>
        <v/>
      </c>
      <c r="CM372" t="str">
        <f>""</f>
        <v/>
      </c>
      <c r="CN372" t="str">
        <f>""</f>
        <v/>
      </c>
      <c r="CO372" t="str">
        <f>""</f>
        <v/>
      </c>
      <c r="CP372" t="str">
        <f>""</f>
        <v/>
      </c>
      <c r="CQ372" t="str">
        <f>""</f>
        <v/>
      </c>
      <c r="CR372" t="str">
        <f>""</f>
        <v/>
      </c>
      <c r="CS372" t="str">
        <f>""</f>
        <v/>
      </c>
      <c r="CT372" t="str">
        <f>""</f>
        <v/>
      </c>
      <c r="CU372" t="str">
        <f>""</f>
        <v/>
      </c>
      <c r="CV372" t="str">
        <f>""</f>
        <v/>
      </c>
      <c r="CW372" t="str">
        <f>""</f>
        <v/>
      </c>
      <c r="CX372" t="str">
        <f>""</f>
        <v/>
      </c>
      <c r="CY372" t="str">
        <f>""</f>
        <v/>
      </c>
      <c r="CZ372" t="str">
        <f>""</f>
        <v/>
      </c>
      <c r="DA372" t="str">
        <f>""</f>
        <v/>
      </c>
      <c r="DB372" t="str">
        <f>""</f>
        <v/>
      </c>
      <c r="DC372" t="str">
        <f>""</f>
        <v/>
      </c>
      <c r="DD372" t="str">
        <f>""</f>
        <v/>
      </c>
      <c r="DE372" t="str">
        <f>""</f>
        <v/>
      </c>
      <c r="DF372" t="str">
        <f>""</f>
        <v/>
      </c>
      <c r="DG372" t="str">
        <f>""</f>
        <v/>
      </c>
      <c r="DH372" t="str">
        <f>""</f>
        <v/>
      </c>
      <c r="DI372" t="str">
        <f>""</f>
        <v/>
      </c>
      <c r="DJ372" t="str">
        <f>""</f>
        <v/>
      </c>
      <c r="DK372" t="str">
        <f>""</f>
        <v/>
      </c>
      <c r="DL372" t="str">
        <f>""</f>
        <v/>
      </c>
      <c r="DM372" t="str">
        <f>""</f>
        <v/>
      </c>
      <c r="DN372" t="str">
        <f>""</f>
        <v/>
      </c>
      <c r="DO372" t="str">
        <f>""</f>
        <v/>
      </c>
      <c r="DP372" t="str">
        <f>""</f>
        <v/>
      </c>
      <c r="DQ372" t="str">
        <f>""</f>
        <v/>
      </c>
      <c r="DR372" t="str">
        <f>""</f>
        <v/>
      </c>
      <c r="DS372" t="str">
        <f>""</f>
        <v/>
      </c>
      <c r="DT372" t="str">
        <f>""</f>
        <v/>
      </c>
      <c r="DU372" t="str">
        <f>""</f>
        <v/>
      </c>
    </row>
    <row r="373" spans="1:125" x14ac:dyDescent="0.25">
      <c r="A373" t="str">
        <f>"EV ($M)"</f>
        <v>EV ($M)</v>
      </c>
      <c r="B373" t="str">
        <f>""</f>
        <v/>
      </c>
      <c r="E373" t="str">
        <f>"Average"</f>
        <v>Average</v>
      </c>
      <c r="F373">
        <f ca="1">IF(ISERROR(IF(AVERAGE($F$374:$F$413) = 0, "", AVERAGE($F$374:$F$413))), "", (IF(AVERAGE($F$374:$F$413) = 0, "", AVERAGE($F$374:$F$413))))</f>
        <v>38826.852701748001</v>
      </c>
      <c r="G373">
        <f ca="1">IF(ISERROR(IF(AVERAGE($G$374:$G$413) = 0, "", AVERAGE($G$374:$G$413))), "", (IF(AVERAGE($G$374:$G$413) = 0, "", AVERAGE($G$374:$G$413))))</f>
        <v>34934.756862706454</v>
      </c>
      <c r="H373">
        <f ca="1">IF(ISERROR(IF(AVERAGE($H$374:$H$413) = 0, "", AVERAGE($H$374:$H$413))), "", (IF(AVERAGE($H$374:$H$413) = 0, "", AVERAGE($H$374:$H$413))))</f>
        <v>37677.340947506447</v>
      </c>
      <c r="I373">
        <f ca="1">IF(ISERROR(IF(AVERAGE($I$374:$I$413) = 0, "", AVERAGE($I$374:$I$413))), "", (IF(AVERAGE($I$374:$I$413) = 0, "", AVERAGE($I$374:$I$413))))</f>
        <v>39288.75107712904</v>
      </c>
      <c r="J373">
        <f ca="1">IF(ISERROR(IF(AVERAGE($J$374:$J$413) = 0, "", AVERAGE($J$374:$J$413))), "", (IF(AVERAGE($J$374:$J$413) = 0, "", AVERAGE($J$374:$J$413))))</f>
        <v>41170.169668329028</v>
      </c>
      <c r="K373">
        <f ca="1">IF(ISERROR(IF(AVERAGE($K$374:$K$413) = 0, "", AVERAGE($K$374:$K$413))), "", (IF(AVERAGE($K$374:$K$413) = 0, "", AVERAGE($K$374:$K$413))))</f>
        <v>41702.167920764514</v>
      </c>
      <c r="L373">
        <f ca="1">IF(ISERROR(IF(AVERAGE($L$374:$L$413) = 0, "", AVERAGE($L$374:$L$413))), "", (IF(AVERAGE($L$374:$L$413) = 0, "", AVERAGE($L$374:$L$413))))</f>
        <v>39639.936313503218</v>
      </c>
      <c r="M373">
        <f ca="1">IF(ISERROR(IF(AVERAGE($M$374:$M$413) = 0, "", AVERAGE($M$374:$M$413))), "", (IF(AVERAGE($M$374:$M$413) = 0, "", AVERAGE($M$374:$M$413))))</f>
        <v>36566.062996770976</v>
      </c>
      <c r="N373">
        <f ca="1">IF(ISERROR(IF(AVERAGE($N$374:$N$413) = 0, "", AVERAGE($N$374:$N$413))), "", (IF(AVERAGE($N$374:$N$413) = 0, "", AVERAGE($N$374:$N$413))))</f>
        <v>36579.012271235493</v>
      </c>
      <c r="O373">
        <f ca="1">IF(ISERROR(IF(AVERAGE($O$374:$O$413) = 0, "", AVERAGE($O$374:$O$413))), "", (IF(AVERAGE($O$374:$O$413) = 0, "", AVERAGE($O$374:$O$413))))</f>
        <v>35322.91265266452</v>
      </c>
      <c r="P373">
        <f ca="1">IF(ISERROR(IF(AVERAGE($P$374:$P$413) = 0, "", AVERAGE($P$374:$P$413))), "", (IF(AVERAGE($P$374:$P$413) = 0, "", AVERAGE($P$374:$P$413))))</f>
        <v>33446.64279677187</v>
      </c>
      <c r="Q373">
        <f ca="1">IF(ISERROR(IF(AVERAGE($Q$374:$Q$413) = 0, "", AVERAGE($Q$374:$Q$413))), "", (IF(AVERAGE($Q$374:$Q$413) = 0, "", AVERAGE($Q$374:$Q$413))))</f>
        <v>30818.162128437496</v>
      </c>
      <c r="R373">
        <f ca="1">IF(ISERROR(IF(AVERAGE($R$374:$R$413) = 0, "", AVERAGE($R$374:$R$413))), "", (IF(AVERAGE($R$374:$R$413) = 0, "", AVERAGE($R$374:$R$413))))</f>
        <v>33641.482616724999</v>
      </c>
      <c r="S373">
        <f ca="1">IF(ISERROR(IF(AVERAGE($S$374:$S$413) = 0, "", AVERAGE($S$374:$S$413))), "", (IF(AVERAGE($S$374:$S$413) = 0, "", AVERAGE($S$374:$S$413))))</f>
        <v>36865.9417942625</v>
      </c>
      <c r="T373">
        <f ca="1">IF(ISERROR(IF(AVERAGE($T$374:$T$413) = 0, "", AVERAGE($T$374:$T$413))), "", (IF(AVERAGE($T$374:$T$413) = 0, "", AVERAGE($T$374:$T$413))))</f>
        <v>33751.945872250006</v>
      </c>
      <c r="U373">
        <f ca="1">IF(ISERROR(IF(AVERAGE($U$374:$U$413) = 0, "", AVERAGE($U$374:$U$413))), "", (IF(AVERAGE($U$374:$U$413) = 0, "", AVERAGE($U$374:$U$413))))</f>
        <v>40975.636906387095</v>
      </c>
      <c r="V373">
        <f ca="1">IF(ISERROR(IF(AVERAGE($V$374:$V$413) = 0, "", AVERAGE($V$374:$V$413))), "", (IF(AVERAGE($V$374:$V$413) = 0, "", AVERAGE($V$374:$V$413))))</f>
        <v>42142.122605935474</v>
      </c>
      <c r="W373">
        <f ca="1">IF(ISERROR(IF(AVERAGE($W$374:$W$413) = 0, "", AVERAGE($W$374:$W$413))), "", (IF(AVERAGE($W$374:$W$413) = 0, "", AVERAGE($W$374:$W$413))))</f>
        <v>38763.242112870976</v>
      </c>
      <c r="X373">
        <f ca="1">IF(ISERROR(IF(AVERAGE($X$374:$X$413) = 0, "", AVERAGE($X$374:$X$413))), "", (IF(AVERAGE($X$374:$X$413) = 0, "", AVERAGE($X$374:$X$413))))</f>
        <v>37975.951853060003</v>
      </c>
      <c r="Y373">
        <f ca="1">IF(ISERROR(IF(AVERAGE($Y$374:$Y$413) = 0, "", AVERAGE($Y$374:$Y$413))), "", (IF(AVERAGE($Y$374:$Y$413) = 0, "", AVERAGE($Y$374:$Y$413))))</f>
        <v>40451.3938481</v>
      </c>
      <c r="Z373">
        <f ca="1">IF(ISERROR(IF(AVERAGE($Z$374:$Z$413) = 0, "", AVERAGE($Z$374:$Z$413))), "", (IF(AVERAGE($Z$374:$Z$413) = 0, "", AVERAGE($Z$374:$Z$413))))</f>
        <v>39003.492805999987</v>
      </c>
      <c r="AA373">
        <f ca="1">IF(ISERROR(IF(AVERAGE($AA$374:$AA$413) = 0, "", AVERAGE($AA$374:$AA$413))), "", (IF(AVERAGE($AA$374:$AA$413) = 0, "", AVERAGE($AA$374:$AA$413))))</f>
        <v>39749.913764646662</v>
      </c>
      <c r="AB373">
        <f ca="1">IF(ISERROR(IF(AVERAGE($AB$374:$AB$413) = 0, "", AVERAGE($AB$374:$AB$413))), "", (IF(AVERAGE($AB$374:$AB$413) = 0, "", AVERAGE($AB$374:$AB$413))))</f>
        <v>38858.557351173338</v>
      </c>
      <c r="AC373">
        <f ca="1">IF(ISERROR(IF(AVERAGE($AC$374:$AC$413) = 0, "", AVERAGE($AC$374:$AC$413))), "", (IF(AVERAGE($AC$374:$AC$413) = 0, "", AVERAGE($AC$374:$AC$413))))</f>
        <v>35131.046609456665</v>
      </c>
      <c r="AD373">
        <f ca="1">IF(ISERROR(IF(AVERAGE($AD$374:$AD$413) = 0, "", AVERAGE($AD$374:$AD$413))), "", (IF(AVERAGE($AD$374:$AD$413) = 0, "", AVERAGE($AD$374:$AD$413))))</f>
        <v>33196.409852673329</v>
      </c>
      <c r="AE373">
        <f ca="1">IF(ISERROR(IF(AVERAGE($AE$374:$AE$413) = 0, "", AVERAGE($AE$374:$AE$413))), "", (IF(AVERAGE($AE$374:$AE$413) = 0, "", AVERAGE($AE$374:$AE$413))))</f>
        <v>33305.556335369998</v>
      </c>
      <c r="AF373">
        <f ca="1">IF(ISERROR(IF(AVERAGE($AF$374:$AF$413) = 0, "", AVERAGE($AF$374:$AF$413))), "", (IF(AVERAGE($AF$374:$AF$413) = 0, "", AVERAGE($AF$374:$AF$413))))</f>
        <v>29716.287669727586</v>
      </c>
      <c r="AG373">
        <f ca="1">IF(ISERROR(IF(AVERAGE($AG$374:$AG$413) = 0, "", AVERAGE($AG$374:$AG$413))), "", (IF(AVERAGE($AG$374:$AG$413) = 0, "", AVERAGE($AG$374:$AG$413))))</f>
        <v>29235.340499955164</v>
      </c>
      <c r="AH373">
        <f ca="1">IF(ISERROR(IF(AVERAGE($AH$374:$AH$413) = 0, "", AVERAGE($AH$374:$AH$413))), "", (IF(AVERAGE($AH$374:$AH$413) = 0, "", AVERAGE($AH$374:$AH$413))))</f>
        <v>32340.437302975868</v>
      </c>
      <c r="AI373">
        <f ca="1">IF(ISERROR(IF(AVERAGE($AI$374:$AI$413) = 0, "", AVERAGE($AI$374:$AI$413))), "", (IF(AVERAGE($AI$374:$AI$413) = 0, "", AVERAGE($AI$374:$AI$413))))</f>
        <v>27505.652269220685</v>
      </c>
      <c r="AJ373">
        <f ca="1">IF(ISERROR(IF(AVERAGE($AJ$374:$AJ$413) = 0, "", AVERAGE($AJ$374:$AJ$413))), "", (IF(AVERAGE($AJ$374:$AJ$413) = 0, "", AVERAGE($AJ$374:$AJ$413))))</f>
        <v>26964.76282045172</v>
      </c>
      <c r="AK373">
        <f ca="1">IF(ISERROR(IF(AVERAGE($AK$374:$AK$413) = 0, "", AVERAGE($AK$374:$AK$413))), "", (IF(AVERAGE($AK$374:$AK$413) = 0, "", AVERAGE($AK$374:$AK$413))))</f>
        <v>32909.367938417243</v>
      </c>
      <c r="AL373">
        <f ca="1">IF(ISERROR(IF(AVERAGE($AL$374:$AL$413) = 0, "", AVERAGE($AL$374:$AL$413))), "", (IF(AVERAGE($AL$374:$AL$413) = 0, "", AVERAGE($AL$374:$AL$413))))</f>
        <v>31667.247880482766</v>
      </c>
      <c r="AM373">
        <f ca="1">IF(ISERROR(IF(AVERAGE($AM$374:$AM$413) = 0, "", AVERAGE($AM$374:$AM$413))), "", (IF(AVERAGE($AM$374:$AM$413) = 0, "", AVERAGE($AM$374:$AM$413))))</f>
        <v>33079.884098339287</v>
      </c>
      <c r="AN373">
        <f ca="1">IF(ISERROR(IF(AVERAGE($AN$374:$AN$413) = 0, "", AVERAGE($AN$374:$AN$413))), "", (IF(AVERAGE($AN$374:$AN$413) = 0, "", AVERAGE($AN$374:$AN$413))))</f>
        <v>28667.622710524007</v>
      </c>
      <c r="AO373">
        <f ca="1">IF(ISERROR(IF(AVERAGE($AO$374:$AO$413) = 0, "", AVERAGE($AO$374:$AO$413))), "", (IF(AVERAGE($AO$374:$AO$413) = 0, "", AVERAGE($AO$374:$AO$413))))</f>
        <v>26146.733900520834</v>
      </c>
      <c r="AP373">
        <f ca="1">IF(ISERROR(IF(AVERAGE($AP$374:$AP$413) = 0, "", AVERAGE($AP$374:$AP$413))), "", (IF(AVERAGE($AP$374:$AP$413) = 0, "", AVERAGE($AP$374:$AP$413))))</f>
        <v>29536.000630056522</v>
      </c>
      <c r="AQ373">
        <f ca="1">IF(ISERROR(IF(AVERAGE($AQ$374:$AQ$413) = 0, "", AVERAGE($AQ$374:$AQ$413))), "", (IF(AVERAGE($AQ$374:$AQ$413) = 0, "", AVERAGE($AQ$374:$AQ$413))))</f>
        <v>35843.134872827279</v>
      </c>
      <c r="AR373">
        <f ca="1">IF(ISERROR(IF(AVERAGE($AR$374:$AR$413) = 0, "", AVERAGE($AR$374:$AR$413))), "", (IF(AVERAGE($AR$374:$AR$413) = 0, "", AVERAGE($AR$374:$AR$413))))</f>
        <v>34240.273371509087</v>
      </c>
      <c r="AS373">
        <f ca="1">IF(ISERROR(IF(AVERAGE($AS$374:$AS$413) = 0, "", AVERAGE($AS$374:$AS$413))), "", (IF(AVERAGE($AS$374:$AS$413) = 0, "", AVERAGE($AS$374:$AS$413))))</f>
        <v>34450.475660577278</v>
      </c>
      <c r="AT373">
        <f ca="1">IF(ISERROR(IF(AVERAGE($AT$374:$AT$413) = 0, "", AVERAGE($AT$374:$AT$413))), "", (IF(AVERAGE($AT$374:$AT$413) = 0, "", AVERAGE($AT$374:$AT$413))))</f>
        <v>31413.113347113642</v>
      </c>
      <c r="AU373">
        <f ca="1">IF(ISERROR(IF(AVERAGE($AU$374:$AU$413) = 0, "", AVERAGE($AU$374:$AU$413))), "", (IF(AVERAGE($AU$374:$AU$413) = 0, "", AVERAGE($AU$374:$AU$413))))</f>
        <v>39938.062569747621</v>
      </c>
      <c r="AV373">
        <f ca="1">IF(ISERROR(IF(AVERAGE($AV$374:$AV$413) = 0, "", AVERAGE($AV$374:$AV$413))), "", (IF(AVERAGE($AV$374:$AV$413) = 0, "", AVERAGE($AV$374:$AV$413))))</f>
        <v>43482.517840785717</v>
      </c>
      <c r="AW373">
        <f ca="1">IF(ISERROR(IF(AVERAGE($AW$374:$AW$413) = 0, "", AVERAGE($AW$374:$AW$413))), "", (IF(AVERAGE($AW$374:$AW$413) = 0, "", AVERAGE($AW$374:$AW$413))))</f>
        <v>42709.966861222725</v>
      </c>
      <c r="AX373">
        <f ca="1">IF(ISERROR(IF(AVERAGE($AX$374:$AX$413) = 0, "", AVERAGE($AX$374:$AX$413))), "", (IF(AVERAGE($AX$374:$AX$413) = 0, "", AVERAGE($AX$374:$AX$413))))</f>
        <v>43562.104088404543</v>
      </c>
      <c r="AY373">
        <f ca="1">IF(ISERROR(IF(AVERAGE($AY$374:$AY$413) = 0, "", AVERAGE($AY$374:$AY$413))), "", (IF(AVERAGE($AY$374:$AY$413) = 0, "", AVERAGE($AY$374:$AY$413))))</f>
        <v>52515.366025557894</v>
      </c>
      <c r="AZ373">
        <f ca="1">IF(ISERROR(IF(AVERAGE($AZ$374:$AZ$413) = 0, "", AVERAGE($AZ$374:$AZ$413))), "", (IF(AVERAGE($AZ$374:$AZ$413) = 0, "", AVERAGE($AZ$374:$AZ$413))))</f>
        <v>52448.589967478947</v>
      </c>
      <c r="BA373">
        <f ca="1">IF(ISERROR(IF(AVERAGE($BA$374:$BA$413) = 0, "", AVERAGE($BA$374:$BA$413))), "", (IF(AVERAGE($BA$374:$BA$413) = 0, "", AVERAGE($BA$374:$BA$413))))</f>
        <v>51862.597628715783</v>
      </c>
      <c r="BB373">
        <f ca="1">IF(ISERROR(IF(AVERAGE($BB$374:$BB$413) = 0, "", AVERAGE($BB$374:$BB$413))), "", (IF(AVERAGE($BB$374:$BB$413) = 0, "", AVERAGE($BB$374:$BB$413))))</f>
        <v>50124.812738389475</v>
      </c>
      <c r="BC373">
        <f ca="1">IF(ISERROR(IF(AVERAGE($BC$374:$BC$413) = 0, "", AVERAGE($BC$374:$BC$413))), "", (IF(AVERAGE($BC$374:$BC$413) = 0, "", AVERAGE($BC$374:$BC$413))))</f>
        <v>51192.888319694728</v>
      </c>
      <c r="BD373">
        <f ca="1">IF(ISERROR(IF(AVERAGE($BD$374:$BD$413) = 0, "", AVERAGE($BD$374:$BD$413))), "", (IF(AVERAGE($BD$374:$BD$413) = 0, "", AVERAGE($BD$374:$BD$413))))</f>
        <v>43580.742378010531</v>
      </c>
      <c r="BE373">
        <f ca="1">IF(ISERROR(IF(AVERAGE($BE$374:$BE$413) = 0, "", AVERAGE($BE$374:$BE$413))), "", (IF(AVERAGE($BE$374:$BE$413) = 0, "", AVERAGE($BE$374:$BE$413))))</f>
        <v>42272.266804252635</v>
      </c>
      <c r="BF373">
        <f ca="1">IF(ISERROR(IF(AVERAGE($BF$374:$BF$413) = 0, "", AVERAGE($BF$374:$BF$413))), "", (IF(AVERAGE($BF$374:$BF$413) = 0, "", AVERAGE($BF$374:$BF$413))))</f>
        <v>44048.526162268419</v>
      </c>
      <c r="BG373">
        <f ca="1">IF(ISERROR(IF(AVERAGE($BG$374:$BG$413) = 0, "", AVERAGE($BG$374:$BG$413))), "", (IF(AVERAGE($BG$374:$BG$413) = 0, "", AVERAGE($BG$374:$BG$413))))</f>
        <v>46533.462831915793</v>
      </c>
      <c r="BH373">
        <f ca="1">IF(ISERROR(IF(AVERAGE($BH$374:$BH$413) = 0, "", AVERAGE($BH$374:$BH$413))), "", (IF(AVERAGE($BH$374:$BH$413) = 0, "", AVERAGE($BH$374:$BH$413))))</f>
        <v>45117.932008405267</v>
      </c>
      <c r="BI373">
        <f ca="1">IF(ISERROR(IF(AVERAGE($BI$374:$BI$413) = 0, "", AVERAGE($BI$374:$BI$413))), "", (IF(AVERAGE($BI$374:$BI$413) = 0, "", AVERAGE($BI$374:$BI$413))))</f>
        <v>41709.247389868426</v>
      </c>
      <c r="BJ373">
        <f ca="1">IF(ISERROR(IF(AVERAGE($BJ$374:$BJ$413) = 0, "", AVERAGE($BJ$374:$BJ$413))), "", (IF(AVERAGE($BJ$374:$BJ$413) = 0, "", AVERAGE($BJ$374:$BJ$413))))</f>
        <v>43139.296668368428</v>
      </c>
      <c r="BK373">
        <f ca="1">IF(ISERROR(IF(AVERAGE($BK$374:$BK$413) = 0, "", AVERAGE($BK$374:$BK$413))), "", (IF(AVERAGE($BK$374:$BK$413) = 0, "", AVERAGE($BK$374:$BK$413))))</f>
        <v>44870.806439584194</v>
      </c>
      <c r="BL373">
        <f ca="1">IF(ISERROR(IF(AVERAGE($BL$374:$BL$413) = 0, "", AVERAGE($BL$374:$BL$413))), "", (IF(AVERAGE($BL$374:$BL$413) = 0, "", AVERAGE($BL$374:$BL$413))))</f>
        <v>43190.583166729404</v>
      </c>
      <c r="BM373">
        <f ca="1">IF(ISERROR(IF(AVERAGE($BM$374:$BM$413) = 0, "", AVERAGE($BM$374:$BM$413))), "", (IF(AVERAGE($BM$374:$BM$413) = 0, "", AVERAGE($BM$374:$BM$413))))</f>
        <v>43500.484354476481</v>
      </c>
      <c r="BN373">
        <f>38826.8527</f>
        <v>38826.852700000003</v>
      </c>
      <c r="BO373">
        <f>34934.75686</f>
        <v>34934.756860000001</v>
      </c>
      <c r="BP373">
        <f>37677.34095</f>
        <v>37677.340949999998</v>
      </c>
      <c r="BQ373">
        <f>39288.75108</f>
        <v>39288.751080000002</v>
      </c>
      <c r="BR373">
        <f>41170.16967</f>
        <v>41170.169670000003</v>
      </c>
      <c r="BS373">
        <f>41702.16792</f>
        <v>41702.16792</v>
      </c>
      <c r="BT373">
        <f>39639.93631</f>
        <v>39639.936309999997</v>
      </c>
      <c r="BU373">
        <f>36566.063</f>
        <v>36566.063000000002</v>
      </c>
      <c r="BV373">
        <f>36579.01227</f>
        <v>36579.012269999999</v>
      </c>
      <c r="BW373">
        <f>35322.91265</f>
        <v>35322.912649999998</v>
      </c>
      <c r="BX373">
        <f>33446.64279</f>
        <v>33446.642789999998</v>
      </c>
      <c r="BY373">
        <f>30818.16213</f>
        <v>30818.162130000001</v>
      </c>
      <c r="BZ373">
        <f>33641.48262</f>
        <v>33641.482620000002</v>
      </c>
      <c r="CA373">
        <f>36865.9418</f>
        <v>36865.941800000001</v>
      </c>
      <c r="CB373">
        <f>33751.94587</f>
        <v>33751.945870000003</v>
      </c>
      <c r="CC373">
        <f>40975.6369</f>
        <v>40975.636899999998</v>
      </c>
      <c r="CD373">
        <f>42142.12261</f>
        <v>42142.122609999999</v>
      </c>
      <c r="CE373">
        <f>38763.24211</f>
        <v>38763.242109999999</v>
      </c>
      <c r="CF373">
        <f>37975.95185</f>
        <v>37975.951849999998</v>
      </c>
      <c r="CG373">
        <f>40451.39385</f>
        <v>40451.39385</v>
      </c>
      <c r="CH373">
        <f>39003.49281</f>
        <v>39003.492810000003</v>
      </c>
      <c r="CI373">
        <f>39749.91376</f>
        <v>39749.913760000003</v>
      </c>
      <c r="CJ373">
        <f>38858.55735</f>
        <v>38858.557350000003</v>
      </c>
      <c r="CK373">
        <f>35131.04661</f>
        <v>35131.046609999998</v>
      </c>
      <c r="CL373">
        <f>33196.40985</f>
        <v>33196.409849999996</v>
      </c>
      <c r="CM373">
        <f>33305.55633</f>
        <v>33305.556329999999</v>
      </c>
      <c r="CN373">
        <f>29716.28767</f>
        <v>29716.287670000002</v>
      </c>
      <c r="CO373">
        <f>29235.3405</f>
        <v>29235.340499999998</v>
      </c>
      <c r="CP373">
        <f>32340.43731</f>
        <v>32340.437310000001</v>
      </c>
      <c r="CQ373">
        <f>27505.65227</f>
        <v>27505.652269999999</v>
      </c>
      <c r="CR373">
        <f>26964.76282</f>
        <v>26964.76282</v>
      </c>
      <c r="CS373">
        <f>32909.36794</f>
        <v>32909.367939999996</v>
      </c>
      <c r="CT373">
        <f>31667.24788</f>
        <v>31667.247879999999</v>
      </c>
      <c r="CU373">
        <f>33079.8841</f>
        <v>33079.884100000003</v>
      </c>
      <c r="CV373">
        <f>28667.62271</f>
        <v>28667.62271</v>
      </c>
      <c r="CW373">
        <f>26146.7339</f>
        <v>26146.733899999999</v>
      </c>
      <c r="CX373">
        <f>29536.00063</f>
        <v>29536.000629999999</v>
      </c>
      <c r="CY373">
        <f>35843.13487</f>
        <v>35843.134870000002</v>
      </c>
      <c r="CZ373">
        <f>34240.27337</f>
        <v>34240.273370000003</v>
      </c>
      <c r="DA373">
        <f>34450.4756599999</f>
        <v>34450.475659999996</v>
      </c>
      <c r="DB373">
        <f>31413.1133499999</f>
        <v>31413.11335</v>
      </c>
      <c r="DC373">
        <f>39938.06257</f>
        <v>39938.062570000002</v>
      </c>
      <c r="DD373">
        <f>43482.51784</f>
        <v>43482.51784</v>
      </c>
      <c r="DE373">
        <f>42709.96686</f>
        <v>42709.96686</v>
      </c>
      <c r="DF373">
        <f>43562.10409</f>
        <v>43562.104090000001</v>
      </c>
      <c r="DG373">
        <f>52515.36603</f>
        <v>52515.366029999997</v>
      </c>
      <c r="DH373">
        <f>52448.58997</f>
        <v>52448.589970000001</v>
      </c>
      <c r="DI373">
        <f>51862.59763</f>
        <v>51862.597629999997</v>
      </c>
      <c r="DJ373">
        <f>50124.81274</f>
        <v>50124.812740000001</v>
      </c>
      <c r="DK373">
        <f>51192.88832</f>
        <v>51192.888319999998</v>
      </c>
      <c r="DL373">
        <f>43580.74238</f>
        <v>43580.742380000003</v>
      </c>
      <c r="DM373">
        <f>42272.26681</f>
        <v>42272.266810000001</v>
      </c>
      <c r="DN373">
        <f>44048.52616</f>
        <v>44048.526160000001</v>
      </c>
      <c r="DO373">
        <f>46533.46284</f>
        <v>46533.46284</v>
      </c>
      <c r="DP373">
        <f>45117.93201</f>
        <v>45117.932009999997</v>
      </c>
      <c r="DQ373">
        <f>41709.24739</f>
        <v>41709.247389999997</v>
      </c>
      <c r="DR373">
        <f>43139.29667</f>
        <v>43139.296670000003</v>
      </c>
      <c r="DS373">
        <f>44870.80644</f>
        <v>44870.80644</v>
      </c>
      <c r="DT373">
        <f>43190.5831699999</f>
        <v>43190.583169999998</v>
      </c>
      <c r="DU373">
        <f>43500.48435</f>
        <v>43500.484349999999</v>
      </c>
    </row>
    <row r="374" spans="1:125" x14ac:dyDescent="0.25">
      <c r="A374" t="str">
        <f>"    AUDI AG"</f>
        <v xml:space="preserve">    AUDI AG</v>
      </c>
      <c r="B374" t="str">
        <f>"NSU GR Equity"</f>
        <v>NSU GR Equity</v>
      </c>
      <c r="C374" t="str">
        <f t="shared" ref="C374:C413" si="27">"RR937"</f>
        <v>RR937</v>
      </c>
      <c r="D374" t="str">
        <f t="shared" ref="D374:D413" si="28">"CRNCY_ADJ_CURR_EV"</f>
        <v>CRNCY_ADJ_CURR_EV</v>
      </c>
      <c r="E374" t="str">
        <f t="shared" ref="E374:E413" si="29">"Dynamic"</f>
        <v>Dynamic</v>
      </c>
      <c r="F374" t="str">
        <f ca="1">IF(AND(ISNUMBER($F$873),$B$511=1),$F$873,HLOOKUP(INDIRECT(ADDRESS(2,COLUMN())),OFFSET($BN$2,0,0,ROW()-1,60),ROW()-1,FALSE))</f>
        <v/>
      </c>
      <c r="G374" t="str">
        <f ca="1">IF(AND(ISNUMBER($G$873),$B$511=1),$G$873,HLOOKUP(INDIRECT(ADDRESS(2,COLUMN())),OFFSET($BN$2,0,0,ROW()-1,60),ROW()-1,FALSE))</f>
        <v/>
      </c>
      <c r="H374" t="str">
        <f ca="1">IF(AND(ISNUMBER($H$873),$B$511=1),$H$873,HLOOKUP(INDIRECT(ADDRESS(2,COLUMN())),OFFSET($BN$2,0,0,ROW()-1,60),ROW()-1,FALSE))</f>
        <v/>
      </c>
      <c r="I374" t="str">
        <f ca="1">IF(AND(ISNUMBER($I$873),$B$511=1),$I$873,HLOOKUP(INDIRECT(ADDRESS(2,COLUMN())),OFFSET($BN$2,0,0,ROW()-1,60),ROW()-1,FALSE))</f>
        <v/>
      </c>
      <c r="J374" t="str">
        <f ca="1">IF(AND(ISNUMBER($J$873),$B$511=1),$J$873,HLOOKUP(INDIRECT(ADDRESS(2,COLUMN())),OFFSET($BN$2,0,0,ROW()-1,60),ROW()-1,FALSE))</f>
        <v/>
      </c>
      <c r="K374" t="str">
        <f ca="1">IF(AND(ISNUMBER($K$873),$B$511=1),$K$873,HLOOKUP(INDIRECT(ADDRESS(2,COLUMN())),OFFSET($BN$2,0,0,ROW()-1,60),ROW()-1,FALSE))</f>
        <v/>
      </c>
      <c r="L374" t="str">
        <f ca="1">IF(AND(ISNUMBER($L$873),$B$511=1),$L$873,HLOOKUP(INDIRECT(ADDRESS(2,COLUMN())),OFFSET($BN$2,0,0,ROW()-1,60),ROW()-1,FALSE))</f>
        <v/>
      </c>
      <c r="M374" t="str">
        <f ca="1">IF(AND(ISNUMBER($M$873),$B$511=1),$M$873,HLOOKUP(INDIRECT(ADDRESS(2,COLUMN())),OFFSET($BN$2,0,0,ROW()-1,60),ROW()-1,FALSE))</f>
        <v/>
      </c>
      <c r="N374" t="str">
        <f ca="1">IF(AND(ISNUMBER($N$873),$B$511=1),$N$873,HLOOKUP(INDIRECT(ADDRESS(2,COLUMN())),OFFSET($BN$2,0,0,ROW()-1,60),ROW()-1,FALSE))</f>
        <v/>
      </c>
      <c r="O374" t="str">
        <f ca="1">IF(AND(ISNUMBER($O$873),$B$511=1),$O$873,HLOOKUP(INDIRECT(ADDRESS(2,COLUMN())),OFFSET($BN$2,0,0,ROW()-1,60),ROW()-1,FALSE))</f>
        <v/>
      </c>
      <c r="P374" t="str">
        <f ca="1">IF(AND(ISNUMBER($P$873),$B$511=1),$P$873,HLOOKUP(INDIRECT(ADDRESS(2,COLUMN())),OFFSET($BN$2,0,0,ROW()-1,60),ROW()-1,FALSE))</f>
        <v/>
      </c>
      <c r="Q374" t="str">
        <f ca="1">IF(AND(ISNUMBER($Q$873),$B$511=1),$Q$873,HLOOKUP(INDIRECT(ADDRESS(2,COLUMN())),OFFSET($BN$2,0,0,ROW()-1,60),ROW()-1,FALSE))</f>
        <v/>
      </c>
      <c r="R374" t="str">
        <f ca="1">IF(AND(ISNUMBER($R$873),$B$511=1),$R$873,HLOOKUP(INDIRECT(ADDRESS(2,COLUMN())),OFFSET($BN$2,0,0,ROW()-1,60),ROW()-1,FALSE))</f>
        <v/>
      </c>
      <c r="S374" t="str">
        <f ca="1">IF(AND(ISNUMBER($S$873),$B$511=1),$S$873,HLOOKUP(INDIRECT(ADDRESS(2,COLUMN())),OFFSET($BN$2,0,0,ROW()-1,60),ROW()-1,FALSE))</f>
        <v/>
      </c>
      <c r="T374" t="str">
        <f ca="1">IF(AND(ISNUMBER($T$873),$B$511=1),$T$873,HLOOKUP(INDIRECT(ADDRESS(2,COLUMN())),OFFSET($BN$2,0,0,ROW()-1,60),ROW()-1,FALSE))</f>
        <v/>
      </c>
      <c r="U374" t="str">
        <f ca="1">IF(AND(ISNUMBER($U$873),$B$511=1),$U$873,HLOOKUP(INDIRECT(ADDRESS(2,COLUMN())),OFFSET($BN$2,0,0,ROW()-1,60),ROW()-1,FALSE))</f>
        <v/>
      </c>
      <c r="V374" t="str">
        <f ca="1">IF(AND(ISNUMBER($V$873),$B$511=1),$V$873,HLOOKUP(INDIRECT(ADDRESS(2,COLUMN())),OFFSET($BN$2,0,0,ROW()-1,60),ROW()-1,FALSE))</f>
        <v/>
      </c>
      <c r="W374" t="str">
        <f ca="1">IF(AND(ISNUMBER($W$873),$B$511=1),$W$873,HLOOKUP(INDIRECT(ADDRESS(2,COLUMN())),OFFSET($BN$2,0,0,ROW()-1,60),ROW()-1,FALSE))</f>
        <v/>
      </c>
      <c r="X374" t="str">
        <f ca="1">IF(AND(ISNUMBER($X$873),$B$511=1),$X$873,HLOOKUP(INDIRECT(ADDRESS(2,COLUMN())),OFFSET($BN$2,0,0,ROW()-1,60),ROW()-1,FALSE))</f>
        <v/>
      </c>
      <c r="Y374" t="str">
        <f ca="1">IF(AND(ISNUMBER($Y$873),$B$511=1),$Y$873,HLOOKUP(INDIRECT(ADDRESS(2,COLUMN())),OFFSET($BN$2,0,0,ROW()-1,60),ROW()-1,FALSE))</f>
        <v/>
      </c>
      <c r="Z374" t="str">
        <f ca="1">IF(AND(ISNUMBER($Z$873),$B$511=1),$Z$873,HLOOKUP(INDIRECT(ADDRESS(2,COLUMN())),OFFSET($BN$2,0,0,ROW()-1,60),ROW()-1,FALSE))</f>
        <v/>
      </c>
      <c r="AA374" t="str">
        <f ca="1">IF(AND(ISNUMBER($AA$873),$B$511=1),$AA$873,HLOOKUP(INDIRECT(ADDRESS(2,COLUMN())),OFFSET($BN$2,0,0,ROW()-1,60),ROW()-1,FALSE))</f>
        <v/>
      </c>
      <c r="AB374" t="str">
        <f ca="1">IF(AND(ISNUMBER($AB$873),$B$511=1),$AB$873,HLOOKUP(INDIRECT(ADDRESS(2,COLUMN())),OFFSET($BN$2,0,0,ROW()-1,60),ROW()-1,FALSE))</f>
        <v/>
      </c>
      <c r="AC374" t="str">
        <f ca="1">IF(AND(ISNUMBER($AC$873),$B$511=1),$AC$873,HLOOKUP(INDIRECT(ADDRESS(2,COLUMN())),OFFSET($BN$2,0,0,ROW()-1,60),ROW()-1,FALSE))</f>
        <v/>
      </c>
      <c r="AD374" t="str">
        <f ca="1">IF(AND(ISNUMBER($AD$873),$B$511=1),$AD$873,HLOOKUP(INDIRECT(ADDRESS(2,COLUMN())),OFFSET($BN$2,0,0,ROW()-1,60),ROW()-1,FALSE))</f>
        <v/>
      </c>
      <c r="AE374" t="str">
        <f ca="1">IF(AND(ISNUMBER($AE$873),$B$511=1),$AE$873,HLOOKUP(INDIRECT(ADDRESS(2,COLUMN())),OFFSET($BN$2,0,0,ROW()-1,60),ROW()-1,FALSE))</f>
        <v/>
      </c>
      <c r="AF374" t="str">
        <f ca="1">IF(AND(ISNUMBER($AF$873),$B$511=1),$AF$873,HLOOKUP(INDIRECT(ADDRESS(2,COLUMN())),OFFSET($BN$2,0,0,ROW()-1,60),ROW()-1,FALSE))</f>
        <v/>
      </c>
      <c r="AG374" t="str">
        <f ca="1">IF(AND(ISNUMBER($AG$873),$B$511=1),$AG$873,HLOOKUP(INDIRECT(ADDRESS(2,COLUMN())),OFFSET($BN$2,0,0,ROW()-1,60),ROW()-1,FALSE))</f>
        <v/>
      </c>
      <c r="AH374" t="str">
        <f ca="1">IF(AND(ISNUMBER($AH$873),$B$511=1),$AH$873,HLOOKUP(INDIRECT(ADDRESS(2,COLUMN())),OFFSET($BN$2,0,0,ROW()-1,60),ROW()-1,FALSE))</f>
        <v/>
      </c>
      <c r="AI374" t="str">
        <f ca="1">IF(AND(ISNUMBER($AI$873),$B$511=1),$AI$873,HLOOKUP(INDIRECT(ADDRESS(2,COLUMN())),OFFSET($BN$2,0,0,ROW()-1,60),ROW()-1,FALSE))</f>
        <v/>
      </c>
      <c r="AJ374" t="str">
        <f ca="1">IF(AND(ISNUMBER($AJ$873),$B$511=1),$AJ$873,HLOOKUP(INDIRECT(ADDRESS(2,COLUMN())),OFFSET($BN$2,0,0,ROW()-1,60),ROW()-1,FALSE))</f>
        <v/>
      </c>
      <c r="AK374" t="str">
        <f ca="1">IF(AND(ISNUMBER($AK$873),$B$511=1),$AK$873,HLOOKUP(INDIRECT(ADDRESS(2,COLUMN())),OFFSET($BN$2,0,0,ROW()-1,60),ROW()-1,FALSE))</f>
        <v/>
      </c>
      <c r="AL374" t="str">
        <f ca="1">IF(AND(ISNUMBER($AL$873),$B$511=1),$AL$873,HLOOKUP(INDIRECT(ADDRESS(2,COLUMN())),OFFSET($BN$2,0,0,ROW()-1,60),ROW()-1,FALSE))</f>
        <v/>
      </c>
      <c r="AM374" t="str">
        <f ca="1">IF(AND(ISNUMBER($AM$873),$B$511=1),$AM$873,HLOOKUP(INDIRECT(ADDRESS(2,COLUMN())),OFFSET($BN$2,0,0,ROW()-1,60),ROW()-1,FALSE))</f>
        <v/>
      </c>
      <c r="AN374" t="str">
        <f ca="1">IF(AND(ISNUMBER($AN$873),$B$511=1),$AN$873,HLOOKUP(INDIRECT(ADDRESS(2,COLUMN())),OFFSET($BN$2,0,0,ROW()-1,60),ROW()-1,FALSE))</f>
        <v/>
      </c>
      <c r="AO374" t="str">
        <f ca="1">IF(AND(ISNUMBER($AO$873),$B$511=1),$AO$873,HLOOKUP(INDIRECT(ADDRESS(2,COLUMN())),OFFSET($BN$2,0,0,ROW()-1,60),ROW()-1,FALSE))</f>
        <v/>
      </c>
      <c r="AP374" t="str">
        <f ca="1">IF(AND(ISNUMBER($AP$873),$B$511=1),$AP$873,HLOOKUP(INDIRECT(ADDRESS(2,COLUMN())),OFFSET($BN$2,0,0,ROW()-1,60),ROW()-1,FALSE))</f>
        <v/>
      </c>
      <c r="AQ374" t="str">
        <f ca="1">IF(AND(ISNUMBER($AQ$873),$B$511=1),$AQ$873,HLOOKUP(INDIRECT(ADDRESS(2,COLUMN())),OFFSET($BN$2,0,0,ROW()-1,60),ROW()-1,FALSE))</f>
        <v/>
      </c>
      <c r="AR374" t="str">
        <f ca="1">IF(AND(ISNUMBER($AR$873),$B$511=1),$AR$873,HLOOKUP(INDIRECT(ADDRESS(2,COLUMN())),OFFSET($BN$2,0,0,ROW()-1,60),ROW()-1,FALSE))</f>
        <v/>
      </c>
      <c r="AS374" t="str">
        <f ca="1">IF(AND(ISNUMBER($AS$873),$B$511=1),$AS$873,HLOOKUP(INDIRECT(ADDRESS(2,COLUMN())),OFFSET($BN$2,0,0,ROW()-1,60),ROW()-1,FALSE))</f>
        <v/>
      </c>
      <c r="AT374" t="str">
        <f ca="1">IF(AND(ISNUMBER($AT$873),$B$511=1),$AT$873,HLOOKUP(INDIRECT(ADDRESS(2,COLUMN())),OFFSET($BN$2,0,0,ROW()-1,60),ROW()-1,FALSE))</f>
        <v/>
      </c>
      <c r="AU374" t="str">
        <f ca="1">IF(AND(ISNUMBER($AU$873),$B$511=1),$AU$873,HLOOKUP(INDIRECT(ADDRESS(2,COLUMN())),OFFSET($BN$2,0,0,ROW()-1,60),ROW()-1,FALSE))</f>
        <v/>
      </c>
      <c r="AV374" t="str">
        <f ca="1">IF(AND(ISNUMBER($AV$873),$B$511=1),$AV$873,HLOOKUP(INDIRECT(ADDRESS(2,COLUMN())),OFFSET($BN$2,0,0,ROW()-1,60),ROW()-1,FALSE))</f>
        <v/>
      </c>
      <c r="AW374" t="str">
        <f ca="1">IF(AND(ISNUMBER($AW$873),$B$511=1),$AW$873,HLOOKUP(INDIRECT(ADDRESS(2,COLUMN())),OFFSET($BN$2,0,0,ROW()-1,60),ROW()-1,FALSE))</f>
        <v/>
      </c>
      <c r="AX374" t="str">
        <f ca="1">IF(AND(ISNUMBER($AX$873),$B$511=1),$AX$873,HLOOKUP(INDIRECT(ADDRESS(2,COLUMN())),OFFSET($BN$2,0,0,ROW()-1,60),ROW()-1,FALSE))</f>
        <v/>
      </c>
      <c r="AY374" t="str">
        <f ca="1">IF(AND(ISNUMBER($AY$873),$B$511=1),$AY$873,HLOOKUP(INDIRECT(ADDRESS(2,COLUMN())),OFFSET($BN$2,0,0,ROW()-1,60),ROW()-1,FALSE))</f>
        <v/>
      </c>
      <c r="AZ374" t="str">
        <f ca="1">IF(AND(ISNUMBER($AZ$873),$B$511=1),$AZ$873,HLOOKUP(INDIRECT(ADDRESS(2,COLUMN())),OFFSET($BN$2,0,0,ROW()-1,60),ROW()-1,FALSE))</f>
        <v/>
      </c>
      <c r="BA374" t="str">
        <f ca="1">IF(AND(ISNUMBER($BA$873),$B$511=1),$BA$873,HLOOKUP(INDIRECT(ADDRESS(2,COLUMN())),OFFSET($BN$2,0,0,ROW()-1,60),ROW()-1,FALSE))</f>
        <v/>
      </c>
      <c r="BB374" t="str">
        <f ca="1">IF(AND(ISNUMBER($BB$873),$B$511=1),$BB$873,HLOOKUP(INDIRECT(ADDRESS(2,COLUMN())),OFFSET($BN$2,0,0,ROW()-1,60),ROW()-1,FALSE))</f>
        <v/>
      </c>
      <c r="BC374" t="str">
        <f ca="1">IF(AND(ISNUMBER($BC$873),$B$511=1),$BC$873,HLOOKUP(INDIRECT(ADDRESS(2,COLUMN())),OFFSET($BN$2,0,0,ROW()-1,60),ROW()-1,FALSE))</f>
        <v/>
      </c>
      <c r="BD374" t="str">
        <f ca="1">IF(AND(ISNUMBER($BD$873),$B$511=1),$BD$873,HLOOKUP(INDIRECT(ADDRESS(2,COLUMN())),OFFSET($BN$2,0,0,ROW()-1,60),ROW()-1,FALSE))</f>
        <v/>
      </c>
      <c r="BE374" t="str">
        <f ca="1">IF(AND(ISNUMBER($BE$873),$B$511=1),$BE$873,HLOOKUP(INDIRECT(ADDRESS(2,COLUMN())),OFFSET($BN$2,0,0,ROW()-1,60),ROW()-1,FALSE))</f>
        <v/>
      </c>
      <c r="BF374" t="str">
        <f ca="1">IF(AND(ISNUMBER($BF$873),$B$511=1),$BF$873,HLOOKUP(INDIRECT(ADDRESS(2,COLUMN())),OFFSET($BN$2,0,0,ROW()-1,60),ROW()-1,FALSE))</f>
        <v/>
      </c>
      <c r="BG374" t="str">
        <f ca="1">IF(AND(ISNUMBER($BG$873),$B$511=1),$BG$873,HLOOKUP(INDIRECT(ADDRESS(2,COLUMN())),OFFSET($BN$2,0,0,ROW()-1,60),ROW()-1,FALSE))</f>
        <v/>
      </c>
      <c r="BH374" t="str">
        <f ca="1">IF(AND(ISNUMBER($BH$873),$B$511=1),$BH$873,HLOOKUP(INDIRECT(ADDRESS(2,COLUMN())),OFFSET($BN$2,0,0,ROW()-1,60),ROW()-1,FALSE))</f>
        <v/>
      </c>
      <c r="BI374" t="str">
        <f ca="1">IF(AND(ISNUMBER($BI$873),$B$511=1),$BI$873,HLOOKUP(INDIRECT(ADDRESS(2,COLUMN())),OFFSET($BN$2,0,0,ROW()-1,60),ROW()-1,FALSE))</f>
        <v/>
      </c>
      <c r="BJ374" t="str">
        <f ca="1">IF(AND(ISNUMBER($BJ$873),$B$511=1),$BJ$873,HLOOKUP(INDIRECT(ADDRESS(2,COLUMN())),OFFSET($BN$2,0,0,ROW()-1,60),ROW()-1,FALSE))</f>
        <v/>
      </c>
      <c r="BK374" t="str">
        <f ca="1">IF(AND(ISNUMBER($BK$873),$B$511=1),$BK$873,HLOOKUP(INDIRECT(ADDRESS(2,COLUMN())),OFFSET($BN$2,0,0,ROW()-1,60),ROW()-1,FALSE))</f>
        <v/>
      </c>
      <c r="BL374" t="str">
        <f ca="1">IF(AND(ISNUMBER($BL$873),$B$511=1),$BL$873,HLOOKUP(INDIRECT(ADDRESS(2,COLUMN())),OFFSET($BN$2,0,0,ROW()-1,60),ROW()-1,FALSE))</f>
        <v/>
      </c>
      <c r="BM374" t="str">
        <f ca="1">IF(AND(ISNUMBER($BM$873),$B$511=1),$BM$873,HLOOKUP(INDIRECT(ADDRESS(2,COLUMN())),OFFSET($BN$2,0,0,ROW()-1,60),ROW()-1,FALSE))</f>
        <v/>
      </c>
      <c r="BN374" t="str">
        <f>""</f>
        <v/>
      </c>
      <c r="BO374" t="str">
        <f>""</f>
        <v/>
      </c>
      <c r="BP374" t="str">
        <f>""</f>
        <v/>
      </c>
      <c r="BQ374" t="str">
        <f>""</f>
        <v/>
      </c>
      <c r="BR374" t="str">
        <f>""</f>
        <v/>
      </c>
      <c r="BS374" t="str">
        <f>""</f>
        <v/>
      </c>
      <c r="BT374" t="str">
        <f>""</f>
        <v/>
      </c>
      <c r="BU374" t="str">
        <f>""</f>
        <v/>
      </c>
      <c r="BV374" t="str">
        <f>""</f>
        <v/>
      </c>
      <c r="BW374" t="str">
        <f>""</f>
        <v/>
      </c>
      <c r="BX374" t="str">
        <f>""</f>
        <v/>
      </c>
      <c r="BY374" t="str">
        <f>""</f>
        <v/>
      </c>
      <c r="BZ374" t="str">
        <f>""</f>
        <v/>
      </c>
      <c r="CA374" t="str">
        <f>""</f>
        <v/>
      </c>
      <c r="CB374" t="str">
        <f>""</f>
        <v/>
      </c>
      <c r="CC374" t="str">
        <f>""</f>
        <v/>
      </c>
      <c r="CD374" t="str">
        <f>""</f>
        <v/>
      </c>
      <c r="CE374" t="str">
        <f>""</f>
        <v/>
      </c>
      <c r="CF374" t="str">
        <f>""</f>
        <v/>
      </c>
      <c r="CG374" t="str">
        <f>""</f>
        <v/>
      </c>
      <c r="CH374" t="str">
        <f>""</f>
        <v/>
      </c>
      <c r="CI374" t="str">
        <f>""</f>
        <v/>
      </c>
      <c r="CJ374" t="str">
        <f>""</f>
        <v/>
      </c>
      <c r="CK374" t="str">
        <f>""</f>
        <v/>
      </c>
      <c r="CL374" t="str">
        <f>""</f>
        <v/>
      </c>
      <c r="CM374" t="str">
        <f>""</f>
        <v/>
      </c>
      <c r="CN374" t="str">
        <f>""</f>
        <v/>
      </c>
      <c r="CO374" t="str">
        <f>""</f>
        <v/>
      </c>
      <c r="CP374" t="str">
        <f>""</f>
        <v/>
      </c>
      <c r="CQ374" t="str">
        <f>""</f>
        <v/>
      </c>
      <c r="CR374" t="str">
        <f>""</f>
        <v/>
      </c>
      <c r="CS374" t="str">
        <f>""</f>
        <v/>
      </c>
      <c r="CT374" t="str">
        <f>""</f>
        <v/>
      </c>
      <c r="CU374" t="str">
        <f>""</f>
        <v/>
      </c>
      <c r="CV374" t="str">
        <f>""</f>
        <v/>
      </c>
      <c r="CW374" t="str">
        <f>""</f>
        <v/>
      </c>
      <c r="CX374" t="str">
        <f>""</f>
        <v/>
      </c>
      <c r="CY374" t="str">
        <f>""</f>
        <v/>
      </c>
      <c r="CZ374" t="str">
        <f>""</f>
        <v/>
      </c>
      <c r="DA374" t="str">
        <f>""</f>
        <v/>
      </c>
      <c r="DB374" t="str">
        <f>""</f>
        <v/>
      </c>
      <c r="DC374" t="str">
        <f>""</f>
        <v/>
      </c>
      <c r="DD374" t="str">
        <f>""</f>
        <v/>
      </c>
      <c r="DE374" t="str">
        <f>""</f>
        <v/>
      </c>
      <c r="DF374" t="str">
        <f>""</f>
        <v/>
      </c>
      <c r="DG374" t="str">
        <f>""</f>
        <v/>
      </c>
      <c r="DH374" t="str">
        <f>""</f>
        <v/>
      </c>
      <c r="DI374" t="str">
        <f>""</f>
        <v/>
      </c>
      <c r="DJ374" t="str">
        <f>""</f>
        <v/>
      </c>
      <c r="DK374" t="str">
        <f>""</f>
        <v/>
      </c>
      <c r="DL374" t="str">
        <f>""</f>
        <v/>
      </c>
      <c r="DM374" t="str">
        <f>""</f>
        <v/>
      </c>
      <c r="DN374" t="str">
        <f>""</f>
        <v/>
      </c>
      <c r="DO374" t="str">
        <f>""</f>
        <v/>
      </c>
      <c r="DP374" t="str">
        <f>""</f>
        <v/>
      </c>
      <c r="DQ374" t="str">
        <f>""</f>
        <v/>
      </c>
      <c r="DR374" t="str">
        <f>""</f>
        <v/>
      </c>
      <c r="DS374" t="str">
        <f>""</f>
        <v/>
      </c>
      <c r="DT374" t="str">
        <f>""</f>
        <v/>
      </c>
      <c r="DU374" t="str">
        <f>""</f>
        <v/>
      </c>
    </row>
    <row r="375" spans="1:125" x14ac:dyDescent="0.25">
      <c r="A375" t="str">
        <f>"    Avtovaz PJSC"</f>
        <v xml:space="preserve">    Avtovaz PJSC</v>
      </c>
      <c r="B375" t="str">
        <f>"AVAZ RM Equity"</f>
        <v>AVAZ RM Equity</v>
      </c>
      <c r="C375" t="str">
        <f t="shared" si="27"/>
        <v>RR937</v>
      </c>
      <c r="D375" t="str">
        <f t="shared" si="28"/>
        <v>CRNCY_ADJ_CURR_EV</v>
      </c>
      <c r="E375" t="str">
        <f t="shared" si="29"/>
        <v>Dynamic</v>
      </c>
      <c r="F375">
        <f ca="1">IF(AND(ISNUMBER($F$874),$B$511=1),$F$874,HLOOKUP(INDIRECT(ADDRESS(2,COLUMN())),OFFSET($BN$2,0,0,ROW()-1,60),ROW()-1,FALSE))</f>
        <v>3139.7305110000002</v>
      </c>
      <c r="G375">
        <f ca="1">IF(AND(ISNUMBER($G$874),$B$511=1),$G$874,HLOOKUP(INDIRECT(ADDRESS(2,COLUMN())),OFFSET($BN$2,0,0,ROW()-1,60),ROW()-1,FALSE))</f>
        <v>2949.3606519999998</v>
      </c>
      <c r="H375">
        <f ca="1">IF(AND(ISNUMBER($H$874),$B$511=1),$H$874,HLOOKUP(INDIRECT(ADDRESS(2,COLUMN())),OFFSET($BN$2,0,0,ROW()-1,60),ROW()-1,FALSE))</f>
        <v>1983.8025689999999</v>
      </c>
      <c r="I375">
        <f ca="1">IF(AND(ISNUMBER($I$874),$B$511=1),$I$874,HLOOKUP(INDIRECT(ADDRESS(2,COLUMN())),OFFSET($BN$2,0,0,ROW()-1,60),ROW()-1,FALSE))</f>
        <v>2104.9237870000002</v>
      </c>
      <c r="J375">
        <f ca="1">IF(AND(ISNUMBER($J$874),$B$511=1),$J$874,HLOOKUP(INDIRECT(ADDRESS(2,COLUMN())),OFFSET($BN$2,0,0,ROW()-1,60),ROW()-1,FALSE))</f>
        <v>2391.8251129999999</v>
      </c>
      <c r="K375">
        <f ca="1">IF(AND(ISNUMBER($K$874),$B$511=1),$K$874,HLOOKUP(INDIRECT(ADDRESS(2,COLUMN())),OFFSET($BN$2,0,0,ROW()-1,60),ROW()-1,FALSE))</f>
        <v>2463.06898</v>
      </c>
      <c r="L375">
        <f ca="1">IF(AND(ISNUMBER($L$874),$B$511=1),$L$874,HLOOKUP(INDIRECT(ADDRESS(2,COLUMN())),OFFSET($BN$2,0,0,ROW()-1,60),ROW()-1,FALSE))</f>
        <v>2625.8947870000002</v>
      </c>
      <c r="M375">
        <f ca="1">IF(AND(ISNUMBER($M$874),$B$511=1),$M$874,HLOOKUP(INDIRECT(ADDRESS(2,COLUMN())),OFFSET($BN$2,0,0,ROW()-1,60),ROW()-1,FALSE))</f>
        <v>2366.4299839999999</v>
      </c>
      <c r="N375">
        <f ca="1">IF(AND(ISNUMBER($N$874),$B$511=1),$N$874,HLOOKUP(INDIRECT(ADDRESS(2,COLUMN())),OFFSET($BN$2,0,0,ROW()-1,60),ROW()-1,FALSE))</f>
        <v>2567.7148699999998</v>
      </c>
      <c r="O375">
        <f ca="1">IF(AND(ISNUMBER($O$874),$B$511=1),$O$874,HLOOKUP(INDIRECT(ADDRESS(2,COLUMN())),OFFSET($BN$2,0,0,ROW()-1,60),ROW()-1,FALSE))</f>
        <v>2322.0092100000002</v>
      </c>
      <c r="P375">
        <f ca="1">IF(AND(ISNUMBER($P$874),$B$511=1),$P$874,HLOOKUP(INDIRECT(ADDRESS(2,COLUMN())),OFFSET($BN$2,0,0,ROW()-1,60),ROW()-1,FALSE))</f>
        <v>1958.6759850000001</v>
      </c>
      <c r="Q375">
        <f ca="1">IF(AND(ISNUMBER($Q$874),$B$511=1),$Q$874,HLOOKUP(INDIRECT(ADDRESS(2,COLUMN())),OFFSET($BN$2,0,0,ROW()-1,60),ROW()-1,FALSE))</f>
        <v>1868.871206</v>
      </c>
      <c r="R375">
        <f ca="1">IF(AND(ISNUMBER($R$874),$B$511=1),$R$874,HLOOKUP(INDIRECT(ADDRESS(2,COLUMN())),OFFSET($BN$2,0,0,ROW()-1,60),ROW()-1,FALSE))</f>
        <v>1844.472604</v>
      </c>
      <c r="S375">
        <f ca="1">IF(AND(ISNUMBER($S$874),$B$511=1),$S$874,HLOOKUP(INDIRECT(ADDRESS(2,COLUMN())),OFFSET($BN$2,0,0,ROW()-1,60),ROW()-1,FALSE))</f>
        <v>1564.875104</v>
      </c>
      <c r="T375">
        <f ca="1">IF(AND(ISNUMBER($T$874),$B$511=1),$T$874,HLOOKUP(INDIRECT(ADDRESS(2,COLUMN())),OFFSET($BN$2,0,0,ROW()-1,60),ROW()-1,FALSE))</f>
        <v>1602.929441</v>
      </c>
      <c r="U375" t="str">
        <f ca="1">IF(AND(ISNUMBER($U$874),$B$511=1),$U$874,HLOOKUP(INDIRECT(ADDRESS(2,COLUMN())),OFFSET($BN$2,0,0,ROW()-1,60),ROW()-1,FALSE))</f>
        <v/>
      </c>
      <c r="V375" t="str">
        <f ca="1">IF(AND(ISNUMBER($V$874),$B$511=1),$V$874,HLOOKUP(INDIRECT(ADDRESS(2,COLUMN())),OFFSET($BN$2,0,0,ROW()-1,60),ROW()-1,FALSE))</f>
        <v/>
      </c>
      <c r="W375" t="str">
        <f ca="1">IF(AND(ISNUMBER($W$874),$B$511=1),$W$874,HLOOKUP(INDIRECT(ADDRESS(2,COLUMN())),OFFSET($BN$2,0,0,ROW()-1,60),ROW()-1,FALSE))</f>
        <v/>
      </c>
      <c r="X375" t="str">
        <f ca="1">IF(AND(ISNUMBER($X$874),$B$511=1),$X$874,HLOOKUP(INDIRECT(ADDRESS(2,COLUMN())),OFFSET($BN$2,0,0,ROW()-1,60),ROW()-1,FALSE))</f>
        <v/>
      </c>
      <c r="Y375" t="str">
        <f ca="1">IF(AND(ISNUMBER($Y$874),$B$511=1),$Y$874,HLOOKUP(INDIRECT(ADDRESS(2,COLUMN())),OFFSET($BN$2,0,0,ROW()-1,60),ROW()-1,FALSE))</f>
        <v/>
      </c>
      <c r="Z375" t="str">
        <f ca="1">IF(AND(ISNUMBER($Z$874),$B$511=1),$Z$874,HLOOKUP(INDIRECT(ADDRESS(2,COLUMN())),OFFSET($BN$2,0,0,ROW()-1,60),ROW()-1,FALSE))</f>
        <v/>
      </c>
      <c r="AA375" t="str">
        <f ca="1">IF(AND(ISNUMBER($AA$874),$B$511=1),$AA$874,HLOOKUP(INDIRECT(ADDRESS(2,COLUMN())),OFFSET($BN$2,0,0,ROW()-1,60),ROW()-1,FALSE))</f>
        <v/>
      </c>
      <c r="AB375" t="str">
        <f ca="1">IF(AND(ISNUMBER($AB$874),$B$511=1),$AB$874,HLOOKUP(INDIRECT(ADDRESS(2,COLUMN())),OFFSET($BN$2,0,0,ROW()-1,60),ROW()-1,FALSE))</f>
        <v/>
      </c>
      <c r="AC375" t="str">
        <f ca="1">IF(AND(ISNUMBER($AC$874),$B$511=1),$AC$874,HLOOKUP(INDIRECT(ADDRESS(2,COLUMN())),OFFSET($BN$2,0,0,ROW()-1,60),ROW()-1,FALSE))</f>
        <v/>
      </c>
      <c r="AD375" t="str">
        <f ca="1">IF(AND(ISNUMBER($AD$874),$B$511=1),$AD$874,HLOOKUP(INDIRECT(ADDRESS(2,COLUMN())),OFFSET($BN$2,0,0,ROW()-1,60),ROW()-1,FALSE))</f>
        <v/>
      </c>
      <c r="AE375" t="str">
        <f ca="1">IF(AND(ISNUMBER($AE$874),$B$511=1),$AE$874,HLOOKUP(INDIRECT(ADDRESS(2,COLUMN())),OFFSET($BN$2,0,0,ROW()-1,60),ROW()-1,FALSE))</f>
        <v/>
      </c>
      <c r="AF375" t="str">
        <f ca="1">IF(AND(ISNUMBER($AF$874),$B$511=1),$AF$874,HLOOKUP(INDIRECT(ADDRESS(2,COLUMN())),OFFSET($BN$2,0,0,ROW()-1,60),ROW()-1,FALSE))</f>
        <v/>
      </c>
      <c r="AG375" t="str">
        <f ca="1">IF(AND(ISNUMBER($AG$874),$B$511=1),$AG$874,HLOOKUP(INDIRECT(ADDRESS(2,COLUMN())),OFFSET($BN$2,0,0,ROW()-1,60),ROW()-1,FALSE))</f>
        <v/>
      </c>
      <c r="AH375" t="str">
        <f ca="1">IF(AND(ISNUMBER($AH$874),$B$511=1),$AH$874,HLOOKUP(INDIRECT(ADDRESS(2,COLUMN())),OFFSET($BN$2,0,0,ROW()-1,60),ROW()-1,FALSE))</f>
        <v/>
      </c>
      <c r="AI375" t="str">
        <f ca="1">IF(AND(ISNUMBER($AI$874),$B$511=1),$AI$874,HLOOKUP(INDIRECT(ADDRESS(2,COLUMN())),OFFSET($BN$2,0,0,ROW()-1,60),ROW()-1,FALSE))</f>
        <v/>
      </c>
      <c r="AJ375" t="str">
        <f ca="1">IF(AND(ISNUMBER($AJ$874),$B$511=1),$AJ$874,HLOOKUP(INDIRECT(ADDRESS(2,COLUMN())),OFFSET($BN$2,0,0,ROW()-1,60),ROW()-1,FALSE))</f>
        <v/>
      </c>
      <c r="AK375" t="str">
        <f ca="1">IF(AND(ISNUMBER($AK$874),$B$511=1),$AK$874,HLOOKUP(INDIRECT(ADDRESS(2,COLUMN())),OFFSET($BN$2,0,0,ROW()-1,60),ROW()-1,FALSE))</f>
        <v/>
      </c>
      <c r="AL375" t="str">
        <f ca="1">IF(AND(ISNUMBER($AL$874),$B$511=1),$AL$874,HLOOKUP(INDIRECT(ADDRESS(2,COLUMN())),OFFSET($BN$2,0,0,ROW()-1,60),ROW()-1,FALSE))</f>
        <v/>
      </c>
      <c r="AM375" t="str">
        <f ca="1">IF(AND(ISNUMBER($AM$874),$B$511=1),$AM$874,HLOOKUP(INDIRECT(ADDRESS(2,COLUMN())),OFFSET($BN$2,0,0,ROW()-1,60),ROW()-1,FALSE))</f>
        <v/>
      </c>
      <c r="AN375" t="str">
        <f ca="1">IF(AND(ISNUMBER($AN$874),$B$511=1),$AN$874,HLOOKUP(INDIRECT(ADDRESS(2,COLUMN())),OFFSET($BN$2,0,0,ROW()-1,60),ROW()-1,FALSE))</f>
        <v/>
      </c>
      <c r="AO375" t="str">
        <f ca="1">IF(AND(ISNUMBER($AO$874),$B$511=1),$AO$874,HLOOKUP(INDIRECT(ADDRESS(2,COLUMN())),OFFSET($BN$2,0,0,ROW()-1,60),ROW()-1,FALSE))</f>
        <v/>
      </c>
      <c r="AP375" t="str">
        <f ca="1">IF(AND(ISNUMBER($AP$874),$B$511=1),$AP$874,HLOOKUP(INDIRECT(ADDRESS(2,COLUMN())),OFFSET($BN$2,0,0,ROW()-1,60),ROW()-1,FALSE))</f>
        <v/>
      </c>
      <c r="AQ375" t="str">
        <f ca="1">IF(AND(ISNUMBER($AQ$874),$B$511=1),$AQ$874,HLOOKUP(INDIRECT(ADDRESS(2,COLUMN())),OFFSET($BN$2,0,0,ROW()-1,60),ROW()-1,FALSE))</f>
        <v/>
      </c>
      <c r="AR375" t="str">
        <f ca="1">IF(AND(ISNUMBER($AR$874),$B$511=1),$AR$874,HLOOKUP(INDIRECT(ADDRESS(2,COLUMN())),OFFSET($BN$2,0,0,ROW()-1,60),ROW()-1,FALSE))</f>
        <v/>
      </c>
      <c r="AS375" t="str">
        <f ca="1">IF(AND(ISNUMBER($AS$874),$B$511=1),$AS$874,HLOOKUP(INDIRECT(ADDRESS(2,COLUMN())),OFFSET($BN$2,0,0,ROW()-1,60),ROW()-1,FALSE))</f>
        <v/>
      </c>
      <c r="AT375" t="str">
        <f ca="1">IF(AND(ISNUMBER($AT$874),$B$511=1),$AT$874,HLOOKUP(INDIRECT(ADDRESS(2,COLUMN())),OFFSET($BN$2,0,0,ROW()-1,60),ROW()-1,FALSE))</f>
        <v/>
      </c>
      <c r="AU375" t="str">
        <f ca="1">IF(AND(ISNUMBER($AU$874),$B$511=1),$AU$874,HLOOKUP(INDIRECT(ADDRESS(2,COLUMN())),OFFSET($BN$2,0,0,ROW()-1,60),ROW()-1,FALSE))</f>
        <v/>
      </c>
      <c r="AV375" t="str">
        <f ca="1">IF(AND(ISNUMBER($AV$874),$B$511=1),$AV$874,HLOOKUP(INDIRECT(ADDRESS(2,COLUMN())),OFFSET($BN$2,0,0,ROW()-1,60),ROW()-1,FALSE))</f>
        <v/>
      </c>
      <c r="AW375" t="str">
        <f ca="1">IF(AND(ISNUMBER($AW$874),$B$511=1),$AW$874,HLOOKUP(INDIRECT(ADDRESS(2,COLUMN())),OFFSET($BN$2,0,0,ROW()-1,60),ROW()-1,FALSE))</f>
        <v/>
      </c>
      <c r="AX375" t="str">
        <f ca="1">IF(AND(ISNUMBER($AX$874),$B$511=1),$AX$874,HLOOKUP(INDIRECT(ADDRESS(2,COLUMN())),OFFSET($BN$2,0,0,ROW()-1,60),ROW()-1,FALSE))</f>
        <v/>
      </c>
      <c r="AY375" t="str">
        <f ca="1">IF(AND(ISNUMBER($AY$874),$B$511=1),$AY$874,HLOOKUP(INDIRECT(ADDRESS(2,COLUMN())),OFFSET($BN$2,0,0,ROW()-1,60),ROW()-1,FALSE))</f>
        <v/>
      </c>
      <c r="AZ375" t="str">
        <f ca="1">IF(AND(ISNUMBER($AZ$874),$B$511=1),$AZ$874,HLOOKUP(INDIRECT(ADDRESS(2,COLUMN())),OFFSET($BN$2,0,0,ROW()-1,60),ROW()-1,FALSE))</f>
        <v/>
      </c>
      <c r="BA375" t="str">
        <f ca="1">IF(AND(ISNUMBER($BA$874),$B$511=1),$BA$874,HLOOKUP(INDIRECT(ADDRESS(2,COLUMN())),OFFSET($BN$2,0,0,ROW()-1,60),ROW()-1,FALSE))</f>
        <v/>
      </c>
      <c r="BB375" t="str">
        <f ca="1">IF(AND(ISNUMBER($BB$874),$B$511=1),$BB$874,HLOOKUP(INDIRECT(ADDRESS(2,COLUMN())),OFFSET($BN$2,0,0,ROW()-1,60),ROW()-1,FALSE))</f>
        <v/>
      </c>
      <c r="BC375" t="str">
        <f ca="1">IF(AND(ISNUMBER($BC$874),$B$511=1),$BC$874,HLOOKUP(INDIRECT(ADDRESS(2,COLUMN())),OFFSET($BN$2,0,0,ROW()-1,60),ROW()-1,FALSE))</f>
        <v/>
      </c>
      <c r="BD375" t="str">
        <f ca="1">IF(AND(ISNUMBER($BD$874),$B$511=1),$BD$874,HLOOKUP(INDIRECT(ADDRESS(2,COLUMN())),OFFSET($BN$2,0,0,ROW()-1,60),ROW()-1,FALSE))</f>
        <v/>
      </c>
      <c r="BE375" t="str">
        <f ca="1">IF(AND(ISNUMBER($BE$874),$B$511=1),$BE$874,HLOOKUP(INDIRECT(ADDRESS(2,COLUMN())),OFFSET($BN$2,0,0,ROW()-1,60),ROW()-1,FALSE))</f>
        <v/>
      </c>
      <c r="BF375" t="str">
        <f ca="1">IF(AND(ISNUMBER($BF$874),$B$511=1),$BF$874,HLOOKUP(INDIRECT(ADDRESS(2,COLUMN())),OFFSET($BN$2,0,0,ROW()-1,60),ROW()-1,FALSE))</f>
        <v/>
      </c>
      <c r="BG375" t="str">
        <f ca="1">IF(AND(ISNUMBER($BG$874),$B$511=1),$BG$874,HLOOKUP(INDIRECT(ADDRESS(2,COLUMN())),OFFSET($BN$2,0,0,ROW()-1,60),ROW()-1,FALSE))</f>
        <v/>
      </c>
      <c r="BH375" t="str">
        <f ca="1">IF(AND(ISNUMBER($BH$874),$B$511=1),$BH$874,HLOOKUP(INDIRECT(ADDRESS(2,COLUMN())),OFFSET($BN$2,0,0,ROW()-1,60),ROW()-1,FALSE))</f>
        <v/>
      </c>
      <c r="BI375" t="str">
        <f ca="1">IF(AND(ISNUMBER($BI$874),$B$511=1),$BI$874,HLOOKUP(INDIRECT(ADDRESS(2,COLUMN())),OFFSET($BN$2,0,0,ROW()-1,60),ROW()-1,FALSE))</f>
        <v/>
      </c>
      <c r="BJ375" t="str">
        <f ca="1">IF(AND(ISNUMBER($BJ$874),$B$511=1),$BJ$874,HLOOKUP(INDIRECT(ADDRESS(2,COLUMN())),OFFSET($BN$2,0,0,ROW()-1,60),ROW()-1,FALSE))</f>
        <v/>
      </c>
      <c r="BK375" t="str">
        <f ca="1">IF(AND(ISNUMBER($BK$874),$B$511=1),$BK$874,HLOOKUP(INDIRECT(ADDRESS(2,COLUMN())),OFFSET($BN$2,0,0,ROW()-1,60),ROW()-1,FALSE))</f>
        <v/>
      </c>
      <c r="BL375" t="str">
        <f ca="1">IF(AND(ISNUMBER($BL$874),$B$511=1),$BL$874,HLOOKUP(INDIRECT(ADDRESS(2,COLUMN())),OFFSET($BN$2,0,0,ROW()-1,60),ROW()-1,FALSE))</f>
        <v/>
      </c>
      <c r="BM375" t="str">
        <f ca="1">IF(AND(ISNUMBER($BM$874),$B$511=1),$BM$874,HLOOKUP(INDIRECT(ADDRESS(2,COLUMN())),OFFSET($BN$2,0,0,ROW()-1,60),ROW()-1,FALSE))</f>
        <v/>
      </c>
      <c r="BN375">
        <f>3139.730511</f>
        <v>3139.7305110000002</v>
      </c>
      <c r="BO375">
        <f>2949.360652</f>
        <v>2949.3606519999998</v>
      </c>
      <c r="BP375">
        <f>1983.802569</f>
        <v>1983.8025689999999</v>
      </c>
      <c r="BQ375">
        <f>2104.923787</f>
        <v>2104.9237870000002</v>
      </c>
      <c r="BR375">
        <f>2391.825113</f>
        <v>2391.8251129999999</v>
      </c>
      <c r="BS375">
        <f>2463.06898</f>
        <v>2463.06898</v>
      </c>
      <c r="BT375">
        <f>2625.894787</f>
        <v>2625.8947870000002</v>
      </c>
      <c r="BU375">
        <f>2366.429984</f>
        <v>2366.4299839999999</v>
      </c>
      <c r="BV375">
        <f>2567.71487</f>
        <v>2567.7148699999998</v>
      </c>
      <c r="BW375">
        <f>2322.00921</f>
        <v>2322.0092100000002</v>
      </c>
      <c r="BX375">
        <f>1958.675985</f>
        <v>1958.6759850000001</v>
      </c>
      <c r="BY375">
        <f>1868.871206</f>
        <v>1868.871206</v>
      </c>
      <c r="BZ375">
        <f>1844.472604</f>
        <v>1844.472604</v>
      </c>
      <c r="CA375">
        <f>1564.875104</f>
        <v>1564.875104</v>
      </c>
      <c r="CB375">
        <f>1602.929441</f>
        <v>1602.929441</v>
      </c>
      <c r="CC375" t="str">
        <f>""</f>
        <v/>
      </c>
      <c r="CD375" t="str">
        <f>""</f>
        <v/>
      </c>
      <c r="CE375" t="str">
        <f>""</f>
        <v/>
      </c>
      <c r="CF375" t="str">
        <f>""</f>
        <v/>
      </c>
      <c r="CG375" t="str">
        <f>""</f>
        <v/>
      </c>
      <c r="CH375" t="str">
        <f>""</f>
        <v/>
      </c>
      <c r="CI375" t="str">
        <f>""</f>
        <v/>
      </c>
      <c r="CJ375" t="str">
        <f>""</f>
        <v/>
      </c>
      <c r="CK375" t="str">
        <f>""</f>
        <v/>
      </c>
      <c r="CL375" t="str">
        <f>""</f>
        <v/>
      </c>
      <c r="CM375" t="str">
        <f>""</f>
        <v/>
      </c>
      <c r="CN375" t="str">
        <f>""</f>
        <v/>
      </c>
      <c r="CO375" t="str">
        <f>""</f>
        <v/>
      </c>
      <c r="CP375" t="str">
        <f>""</f>
        <v/>
      </c>
      <c r="CQ375" t="str">
        <f>""</f>
        <v/>
      </c>
      <c r="CR375" t="str">
        <f>""</f>
        <v/>
      </c>
      <c r="CS375" t="str">
        <f>""</f>
        <v/>
      </c>
      <c r="CT375" t="str">
        <f>""</f>
        <v/>
      </c>
      <c r="CU375" t="str">
        <f>""</f>
        <v/>
      </c>
      <c r="CV375" t="str">
        <f>""</f>
        <v/>
      </c>
      <c r="CW375" t="str">
        <f>""</f>
        <v/>
      </c>
      <c r="CX375" t="str">
        <f>""</f>
        <v/>
      </c>
      <c r="CY375" t="str">
        <f>""</f>
        <v/>
      </c>
      <c r="CZ375" t="str">
        <f>""</f>
        <v/>
      </c>
      <c r="DA375" t="str">
        <f>""</f>
        <v/>
      </c>
      <c r="DB375" t="str">
        <f>""</f>
        <v/>
      </c>
      <c r="DC375" t="str">
        <f>""</f>
        <v/>
      </c>
      <c r="DD375" t="str">
        <f>""</f>
        <v/>
      </c>
      <c r="DE375" t="str">
        <f>""</f>
        <v/>
      </c>
      <c r="DF375" t="str">
        <f>""</f>
        <v/>
      </c>
      <c r="DG375" t="str">
        <f>""</f>
        <v/>
      </c>
      <c r="DH375" t="str">
        <f>""</f>
        <v/>
      </c>
      <c r="DI375" t="str">
        <f>""</f>
        <v/>
      </c>
      <c r="DJ375" t="str">
        <f>""</f>
        <v/>
      </c>
      <c r="DK375" t="str">
        <f>""</f>
        <v/>
      </c>
      <c r="DL375" t="str">
        <f>""</f>
        <v/>
      </c>
      <c r="DM375" t="str">
        <f>""</f>
        <v/>
      </c>
      <c r="DN375" t="str">
        <f>""</f>
        <v/>
      </c>
      <c r="DO375" t="str">
        <f>""</f>
        <v/>
      </c>
      <c r="DP375" t="str">
        <f>""</f>
        <v/>
      </c>
      <c r="DQ375" t="str">
        <f>""</f>
        <v/>
      </c>
      <c r="DR375" t="str">
        <f>""</f>
        <v/>
      </c>
      <c r="DS375" t="str">
        <f>""</f>
        <v/>
      </c>
      <c r="DT375" t="str">
        <f>""</f>
        <v/>
      </c>
      <c r="DU375" t="str">
        <f>""</f>
        <v/>
      </c>
    </row>
    <row r="376" spans="1:125" x14ac:dyDescent="0.25">
      <c r="A376" t="str">
        <f>"    Bayerische Motoren Werke AG"</f>
        <v xml:space="preserve">    Bayerische Motoren Werke AG</v>
      </c>
      <c r="B376" t="str">
        <f>"BMW GR Equity"</f>
        <v>BMW GR Equity</v>
      </c>
      <c r="C376" t="str">
        <f t="shared" si="27"/>
        <v>RR937</v>
      </c>
      <c r="D376" t="str">
        <f t="shared" si="28"/>
        <v>CRNCY_ADJ_CURR_EV</v>
      </c>
      <c r="E376" t="str">
        <f t="shared" si="29"/>
        <v>Dynamic</v>
      </c>
      <c r="F376">
        <f ca="1">IF(AND(ISNUMBER($F$875),$B$511=1),$F$875,HLOOKUP(INDIRECT(ADDRESS(2,COLUMN())),OFFSET($BN$2,0,0,ROW()-1,60),ROW()-1,FALSE))</f>
        <v>103715.11810000001</v>
      </c>
      <c r="G376">
        <f ca="1">IF(AND(ISNUMBER($G$875),$B$511=1),$G$875,HLOOKUP(INDIRECT(ADDRESS(2,COLUMN())),OFFSET($BN$2,0,0,ROW()-1,60),ROW()-1,FALSE))</f>
        <v>102846.7597</v>
      </c>
      <c r="H376">
        <f ca="1">IF(AND(ISNUMBER($H$875),$B$511=1),$H$875,HLOOKUP(INDIRECT(ADDRESS(2,COLUMN())),OFFSET($BN$2,0,0,ROW()-1,60),ROW()-1,FALSE))</f>
        <v>109498.455</v>
      </c>
      <c r="I376">
        <f ca="1">IF(AND(ISNUMBER($I$875),$B$511=1),$I$875,HLOOKUP(INDIRECT(ADDRESS(2,COLUMN())),OFFSET($BN$2,0,0,ROW()-1,60),ROW()-1,FALSE))</f>
        <v>107807.0114</v>
      </c>
      <c r="J376">
        <f ca="1">IF(AND(ISNUMBER($J$875),$B$511=1),$J$875,HLOOKUP(INDIRECT(ADDRESS(2,COLUMN())),OFFSET($BN$2,0,0,ROW()-1,60),ROW()-1,FALSE))</f>
        <v>118941.7899</v>
      </c>
      <c r="K376">
        <f ca="1">IF(AND(ISNUMBER($K$875),$B$511=1),$K$875,HLOOKUP(INDIRECT(ADDRESS(2,COLUMN())),OFFSET($BN$2,0,0,ROW()-1,60),ROW()-1,FALSE))</f>
        <v>114425.3318</v>
      </c>
      <c r="L376">
        <f ca="1">IF(AND(ISNUMBER($L$875),$B$511=1),$L$875,HLOOKUP(INDIRECT(ADDRESS(2,COLUMN())),OFFSET($BN$2,0,0,ROW()-1,60),ROW()-1,FALSE))</f>
        <v>113592.61599999999</v>
      </c>
      <c r="M376">
        <f ca="1">IF(AND(ISNUMBER($M$875),$B$511=1),$M$875,HLOOKUP(INDIRECT(ADDRESS(2,COLUMN())),OFFSET($BN$2,0,0,ROW()-1,60),ROW()-1,FALSE))</f>
        <v>108290.8646</v>
      </c>
      <c r="N376">
        <f ca="1">IF(AND(ISNUMBER($N$875),$B$511=1),$N$875,HLOOKUP(INDIRECT(ADDRESS(2,COLUMN())),OFFSET($BN$2,0,0,ROW()-1,60),ROW()-1,FALSE))</f>
        <v>104461.79549999999</v>
      </c>
      <c r="O376">
        <f ca="1">IF(AND(ISNUMBER($O$875),$B$511=1),$O$875,HLOOKUP(INDIRECT(ADDRESS(2,COLUMN())),OFFSET($BN$2,0,0,ROW()-1,60),ROW()-1,FALSE))</f>
        <v>101868.9486</v>
      </c>
      <c r="P376">
        <f ca="1">IF(AND(ISNUMBER($P$875),$B$511=1),$P$875,HLOOKUP(INDIRECT(ADDRESS(2,COLUMN())),OFFSET($BN$2,0,0,ROW()-1,60),ROW()-1,FALSE))</f>
        <v>100828.8504</v>
      </c>
      <c r="Q376">
        <f ca="1">IF(AND(ISNUMBER($Q$875),$B$511=1),$Q$875,HLOOKUP(INDIRECT(ADDRESS(2,COLUMN())),OFFSET($BN$2,0,0,ROW()-1,60),ROW()-1,FALSE))</f>
        <v>94781.907619999998</v>
      </c>
      <c r="R376">
        <f ca="1">IF(AND(ISNUMBER($R$875),$B$511=1),$R$875,HLOOKUP(INDIRECT(ADDRESS(2,COLUMN())),OFFSET($BN$2,0,0,ROW()-1,60),ROW()-1,FALSE))</f>
        <v>106683.098</v>
      </c>
      <c r="S376">
        <f ca="1">IF(AND(ISNUMBER($S$875),$B$511=1),$S$875,HLOOKUP(INDIRECT(ADDRESS(2,COLUMN())),OFFSET($BN$2,0,0,ROW()-1,60),ROW()-1,FALSE))</f>
        <v>110470.164</v>
      </c>
      <c r="T376">
        <f ca="1">IF(AND(ISNUMBER($T$875),$B$511=1),$T$875,HLOOKUP(INDIRECT(ADDRESS(2,COLUMN())),OFFSET($BN$2,0,0,ROW()-1,60),ROW()-1,FALSE))</f>
        <v>104039.96219999999</v>
      </c>
      <c r="U376">
        <f ca="1">IF(AND(ISNUMBER($U$875),$B$511=1),$U$875,HLOOKUP(INDIRECT(ADDRESS(2,COLUMN())),OFFSET($BN$2,0,0,ROW()-1,60),ROW()-1,FALSE))</f>
        <v>118408.8517</v>
      </c>
      <c r="V376">
        <f ca="1">IF(AND(ISNUMBER($V$875),$B$511=1),$V$875,HLOOKUP(INDIRECT(ADDRESS(2,COLUMN())),OFFSET($BN$2,0,0,ROW()-1,60),ROW()-1,FALSE))</f>
        <v>125322.0753</v>
      </c>
      <c r="W376">
        <f ca="1">IF(AND(ISNUMBER($W$875),$B$511=1),$W$875,HLOOKUP(INDIRECT(ADDRESS(2,COLUMN())),OFFSET($BN$2,0,0,ROW()-1,60),ROW()-1,FALSE))</f>
        <v>114863.4561</v>
      </c>
      <c r="X376">
        <f ca="1">IF(AND(ISNUMBER($X$875),$B$511=1),$X$875,HLOOKUP(INDIRECT(ADDRESS(2,COLUMN())),OFFSET($BN$2,0,0,ROW()-1,60),ROW()-1,FALSE))</f>
        <v>112266.5047</v>
      </c>
      <c r="Y376">
        <f ca="1">IF(AND(ISNUMBER($Y$875),$B$511=1),$Y$875,HLOOKUP(INDIRECT(ADDRESS(2,COLUMN())),OFFSET($BN$2,0,0,ROW()-1,60),ROW()-1,FALSE))</f>
        <v>124524.96580000001</v>
      </c>
      <c r="Z376">
        <f ca="1">IF(AND(ISNUMBER($Z$875),$B$511=1),$Z$875,HLOOKUP(INDIRECT(ADDRESS(2,COLUMN())),OFFSET($BN$2,0,0,ROW()-1,60),ROW()-1,FALSE))</f>
        <v>119918.70540000001</v>
      </c>
      <c r="AA376">
        <f ca="1">IF(AND(ISNUMBER($AA$875),$B$511=1),$AA$875,HLOOKUP(INDIRECT(ADDRESS(2,COLUMN())),OFFSET($BN$2,0,0,ROW()-1,60),ROW()-1,FALSE))</f>
        <v>114834.3204</v>
      </c>
      <c r="AB376">
        <f ca="1">IF(AND(ISNUMBER($AB$875),$B$511=1),$AB$875,HLOOKUP(INDIRECT(ADDRESS(2,COLUMN())),OFFSET($BN$2,0,0,ROW()-1,60),ROW()-1,FALSE))</f>
        <v>106082.1059</v>
      </c>
      <c r="AC376">
        <f ca="1">IF(AND(ISNUMBER($AC$875),$B$511=1),$AC$875,HLOOKUP(INDIRECT(ADDRESS(2,COLUMN())),OFFSET($BN$2,0,0,ROW()-1,60),ROW()-1,FALSE))</f>
        <v>91656.776719999994</v>
      </c>
      <c r="AD376">
        <f ca="1">IF(AND(ISNUMBER($AD$875),$B$511=1),$AD$875,HLOOKUP(INDIRECT(ADDRESS(2,COLUMN())),OFFSET($BN$2,0,0,ROW()-1,60),ROW()-1,FALSE))</f>
        <v>91549.083450000006</v>
      </c>
      <c r="AE376">
        <f ca="1">IF(AND(ISNUMBER($AE$875),$B$511=1),$AE$875,HLOOKUP(INDIRECT(ADDRESS(2,COLUMN())),OFFSET($BN$2,0,0,ROW()-1,60),ROW()-1,FALSE))</f>
        <v>97516.721600000004</v>
      </c>
      <c r="AF376">
        <f ca="1">IF(AND(ISNUMBER($AF$875),$B$511=1),$AF$875,HLOOKUP(INDIRECT(ADDRESS(2,COLUMN())),OFFSET($BN$2,0,0,ROW()-1,60),ROW()-1,FALSE))</f>
        <v>83048.270189999996</v>
      </c>
      <c r="AG376">
        <f ca="1">IF(AND(ISNUMBER($AG$875),$B$511=1),$AG$875,HLOOKUP(INDIRECT(ADDRESS(2,COLUMN())),OFFSET($BN$2,0,0,ROW()-1,60),ROW()-1,FALSE))</f>
        <v>83207.841409999994</v>
      </c>
      <c r="AH376">
        <f ca="1">IF(AND(ISNUMBER($AH$875),$B$511=1),$AH$875,HLOOKUP(INDIRECT(ADDRESS(2,COLUMN())),OFFSET($BN$2,0,0,ROW()-1,60),ROW()-1,FALSE))</f>
        <v>93897.100909999994</v>
      </c>
      <c r="AI376">
        <f ca="1">IF(AND(ISNUMBER($AI$875),$B$511=1),$AI$875,HLOOKUP(INDIRECT(ADDRESS(2,COLUMN())),OFFSET($BN$2,0,0,ROW()-1,60),ROW()-1,FALSE))</f>
        <v>81150.712409999993</v>
      </c>
      <c r="AJ376">
        <f ca="1">IF(AND(ISNUMBER($AJ$875),$B$511=1),$AJ$875,HLOOKUP(INDIRECT(ADDRESS(2,COLUMN())),OFFSET($BN$2,0,0,ROW()-1,60),ROW()-1,FALSE))</f>
        <v>81154.475059999997</v>
      </c>
      <c r="AK376">
        <f ca="1">IF(AND(ISNUMBER($AK$875),$B$511=1),$AK$875,HLOOKUP(INDIRECT(ADDRESS(2,COLUMN())),OFFSET($BN$2,0,0,ROW()-1,60),ROW()-1,FALSE))</f>
        <v>98128.377550000005</v>
      </c>
      <c r="AL376">
        <f ca="1">IF(AND(ISNUMBER($AL$875),$B$511=1),$AL$875,HLOOKUP(INDIRECT(ADDRESS(2,COLUMN())),OFFSET($BN$2,0,0,ROW()-1,60),ROW()-1,FALSE))</f>
        <v>88880.20147</v>
      </c>
      <c r="AM376">
        <f ca="1">IF(AND(ISNUMBER($AM$875),$B$511=1),$AM$875,HLOOKUP(INDIRECT(ADDRESS(2,COLUMN())),OFFSET($BN$2,0,0,ROW()-1,60),ROW()-1,FALSE))</f>
        <v>86276.069210000001</v>
      </c>
      <c r="AN376">
        <f ca="1">IF(AND(ISNUMBER($AN$875),$B$511=1),$AN$875,HLOOKUP(INDIRECT(ADDRESS(2,COLUMN())),OFFSET($BN$2,0,0,ROW()-1,60),ROW()-1,FALSE))</f>
        <v>79876.081829999996</v>
      </c>
      <c r="AO376">
        <f ca="1">IF(AND(ISNUMBER($AO$875),$B$511=1),$AO$875,HLOOKUP(INDIRECT(ADDRESS(2,COLUMN())),OFFSET($BN$2,0,0,ROW()-1,60),ROW()-1,FALSE))</f>
        <v>67169.396059999999</v>
      </c>
      <c r="AP376">
        <f ca="1">IF(AND(ISNUMBER($AP$875),$B$511=1),$AP$875,HLOOKUP(INDIRECT(ADDRESS(2,COLUMN())),OFFSET($BN$2,0,0,ROW()-1,60),ROW()-1,FALSE))</f>
        <v>67553.454249999995</v>
      </c>
      <c r="AQ376">
        <f ca="1">IF(AND(ISNUMBER($AQ$875),$B$511=1),$AQ$875,HLOOKUP(INDIRECT(ADDRESS(2,COLUMN())),OFFSET($BN$2,0,0,ROW()-1,60),ROW()-1,FALSE))</f>
        <v>71575.615909999993</v>
      </c>
      <c r="AR376">
        <f ca="1">IF(AND(ISNUMBER($AR$875),$B$511=1),$AR$875,HLOOKUP(INDIRECT(ADDRESS(2,COLUMN())),OFFSET($BN$2,0,0,ROW()-1,60),ROW()-1,FALSE))</f>
        <v>71455.023239999995</v>
      </c>
      <c r="AS376">
        <f ca="1">IF(AND(ISNUMBER($AS$875),$B$511=1),$AS$875,HLOOKUP(INDIRECT(ADDRESS(2,COLUMN())),OFFSET($BN$2,0,0,ROW()-1,60),ROW()-1,FALSE))</f>
        <v>61036.434050000003</v>
      </c>
      <c r="AT376">
        <f ca="1">IF(AND(ISNUMBER($AT$875),$B$511=1),$AT$875,HLOOKUP(INDIRECT(ADDRESS(2,COLUMN())),OFFSET($BN$2,0,0,ROW()-1,60),ROW()-1,FALSE))</f>
        <v>55619.800380000001</v>
      </c>
      <c r="AU376">
        <f ca="1">IF(AND(ISNUMBER($AU$875),$B$511=1),$AU$875,HLOOKUP(INDIRECT(ADDRESS(2,COLUMN())),OFFSET($BN$2,0,0,ROW()-1,60),ROW()-1,FALSE))</f>
        <v>87144.849789999993</v>
      </c>
      <c r="AV376">
        <f ca="1">IF(AND(ISNUMBER($AV$875),$B$511=1),$AV$875,HLOOKUP(INDIRECT(ADDRESS(2,COLUMN())),OFFSET($BN$2,0,0,ROW()-1,60),ROW()-1,FALSE))</f>
        <v>90277.897889999993</v>
      </c>
      <c r="AW376">
        <f ca="1">IF(AND(ISNUMBER($AW$875),$B$511=1),$AW$875,HLOOKUP(INDIRECT(ADDRESS(2,COLUMN())),OFFSET($BN$2,0,0,ROW()-1,60),ROW()-1,FALSE))</f>
        <v>93619.664789999995</v>
      </c>
      <c r="AX376">
        <f ca="1">IF(AND(ISNUMBER($AX$875),$B$511=1),$AX$875,HLOOKUP(INDIRECT(ADDRESS(2,COLUMN())),OFFSET($BN$2,0,0,ROW()-1,60),ROW()-1,FALSE))</f>
        <v>94368.758100000006</v>
      </c>
      <c r="AY376">
        <f ca="1">IF(AND(ISNUMBER($AY$875),$B$511=1),$AY$875,HLOOKUP(INDIRECT(ADDRESS(2,COLUMN())),OFFSET($BN$2,0,0,ROW()-1,60),ROW()-1,FALSE))</f>
        <v>96401.581999999995</v>
      </c>
      <c r="AZ376">
        <f ca="1">IF(AND(ISNUMBER($AZ$875),$B$511=1),$AZ$875,HLOOKUP(INDIRECT(ADDRESS(2,COLUMN())),OFFSET($BN$2,0,0,ROW()-1,60),ROW()-1,FALSE))</f>
        <v>93836.692299999995</v>
      </c>
      <c r="BA376">
        <f ca="1">IF(AND(ISNUMBER($BA$875),$B$511=1),$BA$875,HLOOKUP(INDIRECT(ADDRESS(2,COLUMN())),OFFSET($BN$2,0,0,ROW()-1,60),ROW()-1,FALSE))</f>
        <v>90692.571400000001</v>
      </c>
      <c r="BB376">
        <f ca="1">IF(AND(ISNUMBER($BB$875),$B$511=1),$BB$875,HLOOKUP(INDIRECT(ADDRESS(2,COLUMN())),OFFSET($BN$2,0,0,ROW()-1,60),ROW()-1,FALSE))</f>
        <v>83089.13867</v>
      </c>
      <c r="BC376">
        <f ca="1">IF(AND(ISNUMBER($BC$875),$B$511=1),$BC$875,HLOOKUP(INDIRECT(ADDRESS(2,COLUMN())),OFFSET($BN$2,0,0,ROW()-1,60),ROW()-1,FALSE))</f>
        <v>79890.699359999999</v>
      </c>
      <c r="BD376">
        <f ca="1">IF(AND(ISNUMBER($BD$875),$B$511=1),$BD$875,HLOOKUP(INDIRECT(ADDRESS(2,COLUMN())),OFFSET($BN$2,0,0,ROW()-1,60),ROW()-1,FALSE))</f>
        <v>73806.310029999993</v>
      </c>
      <c r="BE376">
        <f ca="1">IF(AND(ISNUMBER($BE$875),$B$511=1),$BE$875,HLOOKUP(INDIRECT(ADDRESS(2,COLUMN())),OFFSET($BN$2,0,0,ROW()-1,60),ROW()-1,FALSE))</f>
        <v>70109.267370000001</v>
      </c>
      <c r="BF376">
        <f ca="1">IF(AND(ISNUMBER($BF$875),$B$511=1),$BF$875,HLOOKUP(INDIRECT(ADDRESS(2,COLUMN())),OFFSET($BN$2,0,0,ROW()-1,60),ROW()-1,FALSE))</f>
        <v>71747.418319999997</v>
      </c>
      <c r="BG376">
        <f ca="1">IF(AND(ISNUMBER($BG$875),$B$511=1),$BG$875,HLOOKUP(INDIRECT(ADDRESS(2,COLUMN())),OFFSET($BN$2,0,0,ROW()-1,60),ROW()-1,FALSE))</f>
        <v>65244.677620000002</v>
      </c>
      <c r="BH376">
        <f ca="1">IF(AND(ISNUMBER($BH$875),$B$511=1),$BH$875,HLOOKUP(INDIRECT(ADDRESS(2,COLUMN())),OFFSET($BN$2,0,0,ROW()-1,60),ROW()-1,FALSE))</f>
        <v>65289.48287</v>
      </c>
      <c r="BI376">
        <f ca="1">IF(AND(ISNUMBER($BI$875),$B$511=1),$BI$875,HLOOKUP(INDIRECT(ADDRESS(2,COLUMN())),OFFSET($BN$2,0,0,ROW()-1,60),ROW()-1,FALSE))</f>
        <v>64300.759539999999</v>
      </c>
      <c r="BJ376">
        <f ca="1">IF(AND(ISNUMBER($BJ$875),$B$511=1),$BJ$875,HLOOKUP(INDIRECT(ADDRESS(2,COLUMN())),OFFSET($BN$2,0,0,ROW()-1,60),ROW()-1,FALSE))</f>
        <v>65818.678020000007</v>
      </c>
      <c r="BK376">
        <f ca="1">IF(AND(ISNUMBER($BK$875),$B$511=1),$BK$875,HLOOKUP(INDIRECT(ADDRESS(2,COLUMN())),OFFSET($BN$2,0,0,ROW()-1,60),ROW()-1,FALSE))</f>
        <v>63055.343220000002</v>
      </c>
      <c r="BL376">
        <f ca="1">IF(AND(ISNUMBER($BL$875),$B$511=1),$BL$875,HLOOKUP(INDIRECT(ADDRESS(2,COLUMN())),OFFSET($BN$2,0,0,ROW()-1,60),ROW()-1,FALSE))</f>
        <v>57952.821920000002</v>
      </c>
      <c r="BM376">
        <f ca="1">IF(AND(ISNUMBER($BM$875),$B$511=1),$BM$875,HLOOKUP(INDIRECT(ADDRESS(2,COLUMN())),OFFSET($BN$2,0,0,ROW()-1,60),ROW()-1,FALSE))</f>
        <v>58795.033539999997</v>
      </c>
      <c r="BN376">
        <f>103715.1181</f>
        <v>103715.11810000001</v>
      </c>
      <c r="BO376">
        <f>102846.7597</f>
        <v>102846.7597</v>
      </c>
      <c r="BP376">
        <f>109498.455</f>
        <v>109498.455</v>
      </c>
      <c r="BQ376">
        <f>107807.0114</f>
        <v>107807.0114</v>
      </c>
      <c r="BR376">
        <f>118941.7899</f>
        <v>118941.7899</v>
      </c>
      <c r="BS376">
        <f>114425.3318</f>
        <v>114425.3318</v>
      </c>
      <c r="BT376">
        <f>113592.616</f>
        <v>113592.61599999999</v>
      </c>
      <c r="BU376">
        <f>108290.8646</f>
        <v>108290.8646</v>
      </c>
      <c r="BV376">
        <f>104461.7955</f>
        <v>104461.79549999999</v>
      </c>
      <c r="BW376">
        <f>101868.9486</f>
        <v>101868.9486</v>
      </c>
      <c r="BX376">
        <f>100828.8504</f>
        <v>100828.8504</v>
      </c>
      <c r="BY376">
        <f>94781.90762</f>
        <v>94781.907619999998</v>
      </c>
      <c r="BZ376">
        <f>106683.098</f>
        <v>106683.098</v>
      </c>
      <c r="CA376">
        <f>110470.164</f>
        <v>110470.164</v>
      </c>
      <c r="CB376">
        <f>104039.9622</f>
        <v>104039.96219999999</v>
      </c>
      <c r="CC376">
        <f>118408.8517</f>
        <v>118408.8517</v>
      </c>
      <c r="CD376">
        <f>125322.0753</f>
        <v>125322.0753</v>
      </c>
      <c r="CE376">
        <f>114863.4561</f>
        <v>114863.4561</v>
      </c>
      <c r="CF376">
        <f>112266.5047</f>
        <v>112266.5047</v>
      </c>
      <c r="CG376">
        <f>124524.9658</f>
        <v>124524.96580000001</v>
      </c>
      <c r="CH376">
        <f>119918.7054</f>
        <v>119918.70540000001</v>
      </c>
      <c r="CI376">
        <f>114834.3204</f>
        <v>114834.3204</v>
      </c>
      <c r="CJ376">
        <f>106082.1059</f>
        <v>106082.1059</v>
      </c>
      <c r="CK376">
        <f>91656.77672</f>
        <v>91656.776719999994</v>
      </c>
      <c r="CL376">
        <f>91549.08345</f>
        <v>91549.083450000006</v>
      </c>
      <c r="CM376">
        <f>97516.7216</f>
        <v>97516.721600000004</v>
      </c>
      <c r="CN376">
        <f>83048.27019</f>
        <v>83048.270189999996</v>
      </c>
      <c r="CO376">
        <f>83207.84141</f>
        <v>83207.841409999994</v>
      </c>
      <c r="CP376">
        <f>93897.10091</f>
        <v>93897.100909999994</v>
      </c>
      <c r="CQ376">
        <f>81150.71241</f>
        <v>81150.712409999993</v>
      </c>
      <c r="CR376">
        <f>81154.47506</f>
        <v>81154.475059999997</v>
      </c>
      <c r="CS376">
        <f>98128.37755</f>
        <v>98128.377550000005</v>
      </c>
      <c r="CT376">
        <f>88880.20147</f>
        <v>88880.20147</v>
      </c>
      <c r="CU376">
        <f>86276.06921</f>
        <v>86276.069210000001</v>
      </c>
      <c r="CV376">
        <f>79876.08183</f>
        <v>79876.081829999996</v>
      </c>
      <c r="CW376">
        <f>67169.39606</f>
        <v>67169.396059999999</v>
      </c>
      <c r="CX376">
        <f>67553.45425</f>
        <v>67553.454249999995</v>
      </c>
      <c r="CY376">
        <f>71575.61591</f>
        <v>71575.615909999993</v>
      </c>
      <c r="CZ376">
        <f>71455.02324</f>
        <v>71455.023239999995</v>
      </c>
      <c r="DA376">
        <f>61036.43405</f>
        <v>61036.434050000003</v>
      </c>
      <c r="DB376">
        <f>55619.80038</f>
        <v>55619.800380000001</v>
      </c>
      <c r="DC376">
        <f>87144.84979</f>
        <v>87144.849789999993</v>
      </c>
      <c r="DD376">
        <f>90277.89789</f>
        <v>90277.897889999993</v>
      </c>
      <c r="DE376">
        <f>93619.66479</f>
        <v>93619.664789999995</v>
      </c>
      <c r="DF376">
        <f>94368.7581</f>
        <v>94368.758100000006</v>
      </c>
      <c r="DG376">
        <f>96401.582</f>
        <v>96401.581999999995</v>
      </c>
      <c r="DH376">
        <f>93836.6923</f>
        <v>93836.692299999995</v>
      </c>
      <c r="DI376">
        <f>90692.5714</f>
        <v>90692.571400000001</v>
      </c>
      <c r="DJ376">
        <f>83089.13867</f>
        <v>83089.13867</v>
      </c>
      <c r="DK376">
        <f>79890.69936</f>
        <v>79890.699359999999</v>
      </c>
      <c r="DL376">
        <f>73806.31003</f>
        <v>73806.310029999993</v>
      </c>
      <c r="DM376">
        <f>70109.26737</f>
        <v>70109.267370000001</v>
      </c>
      <c r="DN376">
        <f>71747.41832</f>
        <v>71747.418319999997</v>
      </c>
      <c r="DO376">
        <f>65244.67762</f>
        <v>65244.677620000002</v>
      </c>
      <c r="DP376">
        <f>65289.48287</f>
        <v>65289.48287</v>
      </c>
      <c r="DQ376">
        <f>64300.7595399999</f>
        <v>64300.759539999999</v>
      </c>
      <c r="DR376">
        <f>65818.67802</f>
        <v>65818.678020000007</v>
      </c>
      <c r="DS376">
        <f>63055.34322</f>
        <v>63055.343220000002</v>
      </c>
      <c r="DT376">
        <f>57952.82192</f>
        <v>57952.821920000002</v>
      </c>
      <c r="DU376">
        <f>58795.03354</f>
        <v>58795.033539999997</v>
      </c>
    </row>
    <row r="377" spans="1:125" x14ac:dyDescent="0.25">
      <c r="A377" t="str">
        <f>"    Brilliance China Automotive Holdings Ltd"</f>
        <v xml:space="preserve">    Brilliance China Automotive Holdings Ltd</v>
      </c>
      <c r="B377" t="str">
        <f>"1114 HK Equity"</f>
        <v>1114 HK Equity</v>
      </c>
      <c r="C377" t="str">
        <f t="shared" si="27"/>
        <v>RR937</v>
      </c>
      <c r="D377" t="str">
        <f t="shared" si="28"/>
        <v>CRNCY_ADJ_CURR_EV</v>
      </c>
      <c r="E377" t="str">
        <f t="shared" si="29"/>
        <v>Dynamic</v>
      </c>
      <c r="F377" t="str">
        <f ca="1">IF(AND(ISNUMBER($F$876),$B$511=1),$F$876,HLOOKUP(INDIRECT(ADDRESS(2,COLUMN())),OFFSET($BN$2,0,0,ROW()-1,60),ROW()-1,FALSE))</f>
        <v/>
      </c>
      <c r="G377" t="str">
        <f ca="1">IF(AND(ISNUMBER($G$876),$B$511=1),$G$876,HLOOKUP(INDIRECT(ADDRESS(2,COLUMN())),OFFSET($BN$2,0,0,ROW()-1,60),ROW()-1,FALSE))</f>
        <v/>
      </c>
      <c r="H377" t="str">
        <f ca="1">IF(AND(ISNUMBER($H$876),$B$511=1),$H$876,HLOOKUP(INDIRECT(ADDRESS(2,COLUMN())),OFFSET($BN$2,0,0,ROW()-1,60),ROW()-1,FALSE))</f>
        <v/>
      </c>
      <c r="I377" t="str">
        <f ca="1">IF(AND(ISNUMBER($I$876),$B$511=1),$I$876,HLOOKUP(INDIRECT(ADDRESS(2,COLUMN())),OFFSET($BN$2,0,0,ROW()-1,60),ROW()-1,FALSE))</f>
        <v/>
      </c>
      <c r="J377" t="str">
        <f ca="1">IF(AND(ISNUMBER($J$876),$B$511=1),$J$876,HLOOKUP(INDIRECT(ADDRESS(2,COLUMN())),OFFSET($BN$2,0,0,ROW()-1,60),ROW()-1,FALSE))</f>
        <v/>
      </c>
      <c r="K377" t="str">
        <f ca="1">IF(AND(ISNUMBER($K$876),$B$511=1),$K$876,HLOOKUP(INDIRECT(ADDRESS(2,COLUMN())),OFFSET($BN$2,0,0,ROW()-1,60),ROW()-1,FALSE))</f>
        <v/>
      </c>
      <c r="L377" t="str">
        <f ca="1">IF(AND(ISNUMBER($L$876),$B$511=1),$L$876,HLOOKUP(INDIRECT(ADDRESS(2,COLUMN())),OFFSET($BN$2,0,0,ROW()-1,60),ROW()-1,FALSE))</f>
        <v/>
      </c>
      <c r="M377" t="str">
        <f ca="1">IF(AND(ISNUMBER($M$876),$B$511=1),$M$876,HLOOKUP(INDIRECT(ADDRESS(2,COLUMN())),OFFSET($BN$2,0,0,ROW()-1,60),ROW()-1,FALSE))</f>
        <v/>
      </c>
      <c r="N377" t="str">
        <f ca="1">IF(AND(ISNUMBER($N$876),$B$511=1),$N$876,HLOOKUP(INDIRECT(ADDRESS(2,COLUMN())),OFFSET($BN$2,0,0,ROW()-1,60),ROW()-1,FALSE))</f>
        <v/>
      </c>
      <c r="O377" t="str">
        <f ca="1">IF(AND(ISNUMBER($O$876),$B$511=1),$O$876,HLOOKUP(INDIRECT(ADDRESS(2,COLUMN())),OFFSET($BN$2,0,0,ROW()-1,60),ROW()-1,FALSE))</f>
        <v/>
      </c>
      <c r="P377" t="str">
        <f ca="1">IF(AND(ISNUMBER($P$876),$B$511=1),$P$876,HLOOKUP(INDIRECT(ADDRESS(2,COLUMN())),OFFSET($BN$2,0,0,ROW()-1,60),ROW()-1,FALSE))</f>
        <v/>
      </c>
      <c r="Q377" t="str">
        <f ca="1">IF(AND(ISNUMBER($Q$876),$B$511=1),$Q$876,HLOOKUP(INDIRECT(ADDRESS(2,COLUMN())),OFFSET($BN$2,0,0,ROW()-1,60),ROW()-1,FALSE))</f>
        <v/>
      </c>
      <c r="R377" t="str">
        <f ca="1">IF(AND(ISNUMBER($R$876),$B$511=1),$R$876,HLOOKUP(INDIRECT(ADDRESS(2,COLUMN())),OFFSET($BN$2,0,0,ROW()-1,60),ROW()-1,FALSE))</f>
        <v/>
      </c>
      <c r="S377" t="str">
        <f ca="1">IF(AND(ISNUMBER($S$876),$B$511=1),$S$876,HLOOKUP(INDIRECT(ADDRESS(2,COLUMN())),OFFSET($BN$2,0,0,ROW()-1,60),ROW()-1,FALSE))</f>
        <v/>
      </c>
      <c r="T377" t="str">
        <f ca="1">IF(AND(ISNUMBER($T$876),$B$511=1),$T$876,HLOOKUP(INDIRECT(ADDRESS(2,COLUMN())),OFFSET($BN$2,0,0,ROW()-1,60),ROW()-1,FALSE))</f>
        <v/>
      </c>
      <c r="U377" t="str">
        <f ca="1">IF(AND(ISNUMBER($U$876),$B$511=1),$U$876,HLOOKUP(INDIRECT(ADDRESS(2,COLUMN())),OFFSET($BN$2,0,0,ROW()-1,60),ROW()-1,FALSE))</f>
        <v/>
      </c>
      <c r="V377" t="str">
        <f ca="1">IF(AND(ISNUMBER($V$876),$B$511=1),$V$876,HLOOKUP(INDIRECT(ADDRESS(2,COLUMN())),OFFSET($BN$2,0,0,ROW()-1,60),ROW()-1,FALSE))</f>
        <v/>
      </c>
      <c r="W377" t="str">
        <f ca="1">IF(AND(ISNUMBER($W$876),$B$511=1),$W$876,HLOOKUP(INDIRECT(ADDRESS(2,COLUMN())),OFFSET($BN$2,0,0,ROW()-1,60),ROW()-1,FALSE))</f>
        <v/>
      </c>
      <c r="X377" t="str">
        <f ca="1">IF(AND(ISNUMBER($X$876),$B$511=1),$X$876,HLOOKUP(INDIRECT(ADDRESS(2,COLUMN())),OFFSET($BN$2,0,0,ROW()-1,60),ROW()-1,FALSE))</f>
        <v/>
      </c>
      <c r="Y377" t="str">
        <f ca="1">IF(AND(ISNUMBER($Y$876),$B$511=1),$Y$876,HLOOKUP(INDIRECT(ADDRESS(2,COLUMN())),OFFSET($BN$2,0,0,ROW()-1,60),ROW()-1,FALSE))</f>
        <v/>
      </c>
      <c r="Z377" t="str">
        <f ca="1">IF(AND(ISNUMBER($Z$876),$B$511=1),$Z$876,HLOOKUP(INDIRECT(ADDRESS(2,COLUMN())),OFFSET($BN$2,0,0,ROW()-1,60),ROW()-1,FALSE))</f>
        <v/>
      </c>
      <c r="AA377" t="str">
        <f ca="1">IF(AND(ISNUMBER($AA$876),$B$511=1),$AA$876,HLOOKUP(INDIRECT(ADDRESS(2,COLUMN())),OFFSET($BN$2,0,0,ROW()-1,60),ROW()-1,FALSE))</f>
        <v/>
      </c>
      <c r="AB377" t="str">
        <f ca="1">IF(AND(ISNUMBER($AB$876),$B$511=1),$AB$876,HLOOKUP(INDIRECT(ADDRESS(2,COLUMN())),OFFSET($BN$2,0,0,ROW()-1,60),ROW()-1,FALSE))</f>
        <v/>
      </c>
      <c r="AC377" t="str">
        <f ca="1">IF(AND(ISNUMBER($AC$876),$B$511=1),$AC$876,HLOOKUP(INDIRECT(ADDRESS(2,COLUMN())),OFFSET($BN$2,0,0,ROW()-1,60),ROW()-1,FALSE))</f>
        <v/>
      </c>
      <c r="AD377" t="str">
        <f ca="1">IF(AND(ISNUMBER($AD$876),$B$511=1),$AD$876,HLOOKUP(INDIRECT(ADDRESS(2,COLUMN())),OFFSET($BN$2,0,0,ROW()-1,60),ROW()-1,FALSE))</f>
        <v/>
      </c>
      <c r="AE377" t="str">
        <f ca="1">IF(AND(ISNUMBER($AE$876),$B$511=1),$AE$876,HLOOKUP(INDIRECT(ADDRESS(2,COLUMN())),OFFSET($BN$2,0,0,ROW()-1,60),ROW()-1,FALSE))</f>
        <v/>
      </c>
      <c r="AF377" t="str">
        <f ca="1">IF(AND(ISNUMBER($AF$876),$B$511=1),$AF$876,HLOOKUP(INDIRECT(ADDRESS(2,COLUMN())),OFFSET($BN$2,0,0,ROW()-1,60),ROW()-1,FALSE))</f>
        <v/>
      </c>
      <c r="AG377" t="str">
        <f ca="1">IF(AND(ISNUMBER($AG$876),$B$511=1),$AG$876,HLOOKUP(INDIRECT(ADDRESS(2,COLUMN())),OFFSET($BN$2,0,0,ROW()-1,60),ROW()-1,FALSE))</f>
        <v/>
      </c>
      <c r="AH377" t="str">
        <f ca="1">IF(AND(ISNUMBER($AH$876),$B$511=1),$AH$876,HLOOKUP(INDIRECT(ADDRESS(2,COLUMN())),OFFSET($BN$2,0,0,ROW()-1,60),ROW()-1,FALSE))</f>
        <v/>
      </c>
      <c r="AI377" t="str">
        <f ca="1">IF(AND(ISNUMBER($AI$876),$B$511=1),$AI$876,HLOOKUP(INDIRECT(ADDRESS(2,COLUMN())),OFFSET($BN$2,0,0,ROW()-1,60),ROW()-1,FALSE))</f>
        <v/>
      </c>
      <c r="AJ377" t="str">
        <f ca="1">IF(AND(ISNUMBER($AJ$876),$B$511=1),$AJ$876,HLOOKUP(INDIRECT(ADDRESS(2,COLUMN())),OFFSET($BN$2,0,0,ROW()-1,60),ROW()-1,FALSE))</f>
        <v/>
      </c>
      <c r="AK377" t="str">
        <f ca="1">IF(AND(ISNUMBER($AK$876),$B$511=1),$AK$876,HLOOKUP(INDIRECT(ADDRESS(2,COLUMN())),OFFSET($BN$2,0,0,ROW()-1,60),ROW()-1,FALSE))</f>
        <v/>
      </c>
      <c r="AL377" t="str">
        <f ca="1">IF(AND(ISNUMBER($AL$876),$B$511=1),$AL$876,HLOOKUP(INDIRECT(ADDRESS(2,COLUMN())),OFFSET($BN$2,0,0,ROW()-1,60),ROW()-1,FALSE))</f>
        <v/>
      </c>
      <c r="AM377" t="str">
        <f ca="1">IF(AND(ISNUMBER($AM$876),$B$511=1),$AM$876,HLOOKUP(INDIRECT(ADDRESS(2,COLUMN())),OFFSET($BN$2,0,0,ROW()-1,60),ROW()-1,FALSE))</f>
        <v/>
      </c>
      <c r="AN377" t="str">
        <f ca="1">IF(AND(ISNUMBER($AN$876),$B$511=1),$AN$876,HLOOKUP(INDIRECT(ADDRESS(2,COLUMN())),OFFSET($BN$2,0,0,ROW()-1,60),ROW()-1,FALSE))</f>
        <v/>
      </c>
      <c r="AO377" t="str">
        <f ca="1">IF(AND(ISNUMBER($AO$876),$B$511=1),$AO$876,HLOOKUP(INDIRECT(ADDRESS(2,COLUMN())),OFFSET($BN$2,0,0,ROW()-1,60),ROW()-1,FALSE))</f>
        <v/>
      </c>
      <c r="AP377" t="str">
        <f ca="1">IF(AND(ISNUMBER($AP$876),$B$511=1),$AP$876,HLOOKUP(INDIRECT(ADDRESS(2,COLUMN())),OFFSET($BN$2,0,0,ROW()-1,60),ROW()-1,FALSE))</f>
        <v/>
      </c>
      <c r="AQ377" t="str">
        <f ca="1">IF(AND(ISNUMBER($AQ$876),$B$511=1),$AQ$876,HLOOKUP(INDIRECT(ADDRESS(2,COLUMN())),OFFSET($BN$2,0,0,ROW()-1,60),ROW()-1,FALSE))</f>
        <v/>
      </c>
      <c r="AR377" t="str">
        <f ca="1">IF(AND(ISNUMBER($AR$876),$B$511=1),$AR$876,HLOOKUP(INDIRECT(ADDRESS(2,COLUMN())),OFFSET($BN$2,0,0,ROW()-1,60),ROW()-1,FALSE))</f>
        <v/>
      </c>
      <c r="AS377" t="str">
        <f ca="1">IF(AND(ISNUMBER($AS$876),$B$511=1),$AS$876,HLOOKUP(INDIRECT(ADDRESS(2,COLUMN())),OFFSET($BN$2,0,0,ROW()-1,60),ROW()-1,FALSE))</f>
        <v/>
      </c>
      <c r="AT377" t="str">
        <f ca="1">IF(AND(ISNUMBER($AT$876),$B$511=1),$AT$876,HLOOKUP(INDIRECT(ADDRESS(2,COLUMN())),OFFSET($BN$2,0,0,ROW()-1,60),ROW()-1,FALSE))</f>
        <v/>
      </c>
      <c r="AU377" t="str">
        <f ca="1">IF(AND(ISNUMBER($AU$876),$B$511=1),$AU$876,HLOOKUP(INDIRECT(ADDRESS(2,COLUMN())),OFFSET($BN$2,0,0,ROW()-1,60),ROW()-1,FALSE))</f>
        <v/>
      </c>
      <c r="AV377" t="str">
        <f ca="1">IF(AND(ISNUMBER($AV$876),$B$511=1),$AV$876,HLOOKUP(INDIRECT(ADDRESS(2,COLUMN())),OFFSET($BN$2,0,0,ROW()-1,60),ROW()-1,FALSE))</f>
        <v/>
      </c>
      <c r="AW377" t="str">
        <f ca="1">IF(AND(ISNUMBER($AW$876),$B$511=1),$AW$876,HLOOKUP(INDIRECT(ADDRESS(2,COLUMN())),OFFSET($BN$2,0,0,ROW()-1,60),ROW()-1,FALSE))</f>
        <v/>
      </c>
      <c r="AX377" t="str">
        <f ca="1">IF(AND(ISNUMBER($AX$876),$B$511=1),$AX$876,HLOOKUP(INDIRECT(ADDRESS(2,COLUMN())),OFFSET($BN$2,0,0,ROW()-1,60),ROW()-1,FALSE))</f>
        <v/>
      </c>
      <c r="AY377" t="str">
        <f ca="1">IF(AND(ISNUMBER($AY$876),$B$511=1),$AY$876,HLOOKUP(INDIRECT(ADDRESS(2,COLUMN())),OFFSET($BN$2,0,0,ROW()-1,60),ROW()-1,FALSE))</f>
        <v/>
      </c>
      <c r="AZ377" t="str">
        <f ca="1">IF(AND(ISNUMBER($AZ$876),$B$511=1),$AZ$876,HLOOKUP(INDIRECT(ADDRESS(2,COLUMN())),OFFSET($BN$2,0,0,ROW()-1,60),ROW()-1,FALSE))</f>
        <v/>
      </c>
      <c r="BA377" t="str">
        <f ca="1">IF(AND(ISNUMBER($BA$876),$B$511=1),$BA$876,HLOOKUP(INDIRECT(ADDRESS(2,COLUMN())),OFFSET($BN$2,0,0,ROW()-1,60),ROW()-1,FALSE))</f>
        <v/>
      </c>
      <c r="BB377" t="str">
        <f ca="1">IF(AND(ISNUMBER($BB$876),$B$511=1),$BB$876,HLOOKUP(INDIRECT(ADDRESS(2,COLUMN())),OFFSET($BN$2,0,0,ROW()-1,60),ROW()-1,FALSE))</f>
        <v/>
      </c>
      <c r="BC377" t="str">
        <f ca="1">IF(AND(ISNUMBER($BC$876),$B$511=1),$BC$876,HLOOKUP(INDIRECT(ADDRESS(2,COLUMN())),OFFSET($BN$2,0,0,ROW()-1,60),ROW()-1,FALSE))</f>
        <v/>
      </c>
      <c r="BD377" t="str">
        <f ca="1">IF(AND(ISNUMBER($BD$876),$B$511=1),$BD$876,HLOOKUP(INDIRECT(ADDRESS(2,COLUMN())),OFFSET($BN$2,0,0,ROW()-1,60),ROW()-1,FALSE))</f>
        <v/>
      </c>
      <c r="BE377" t="str">
        <f ca="1">IF(AND(ISNUMBER($BE$876),$B$511=1),$BE$876,HLOOKUP(INDIRECT(ADDRESS(2,COLUMN())),OFFSET($BN$2,0,0,ROW()-1,60),ROW()-1,FALSE))</f>
        <v/>
      </c>
      <c r="BF377" t="str">
        <f ca="1">IF(AND(ISNUMBER($BF$876),$B$511=1),$BF$876,HLOOKUP(INDIRECT(ADDRESS(2,COLUMN())),OFFSET($BN$2,0,0,ROW()-1,60),ROW()-1,FALSE))</f>
        <v/>
      </c>
      <c r="BG377" t="str">
        <f ca="1">IF(AND(ISNUMBER($BG$876),$B$511=1),$BG$876,HLOOKUP(INDIRECT(ADDRESS(2,COLUMN())),OFFSET($BN$2,0,0,ROW()-1,60),ROW()-1,FALSE))</f>
        <v/>
      </c>
      <c r="BH377" t="str">
        <f ca="1">IF(AND(ISNUMBER($BH$876),$B$511=1),$BH$876,HLOOKUP(INDIRECT(ADDRESS(2,COLUMN())),OFFSET($BN$2,0,0,ROW()-1,60),ROW()-1,FALSE))</f>
        <v/>
      </c>
      <c r="BI377" t="str">
        <f ca="1">IF(AND(ISNUMBER($BI$876),$B$511=1),$BI$876,HLOOKUP(INDIRECT(ADDRESS(2,COLUMN())),OFFSET($BN$2,0,0,ROW()-1,60),ROW()-1,FALSE))</f>
        <v/>
      </c>
      <c r="BJ377" t="str">
        <f ca="1">IF(AND(ISNUMBER($BJ$876),$B$511=1),$BJ$876,HLOOKUP(INDIRECT(ADDRESS(2,COLUMN())),OFFSET($BN$2,0,0,ROW()-1,60),ROW()-1,FALSE))</f>
        <v/>
      </c>
      <c r="BK377" t="str">
        <f ca="1">IF(AND(ISNUMBER($BK$876),$B$511=1),$BK$876,HLOOKUP(INDIRECT(ADDRESS(2,COLUMN())),OFFSET($BN$2,0,0,ROW()-1,60),ROW()-1,FALSE))</f>
        <v/>
      </c>
      <c r="BL377" t="str">
        <f ca="1">IF(AND(ISNUMBER($BL$876),$B$511=1),$BL$876,HLOOKUP(INDIRECT(ADDRESS(2,COLUMN())),OFFSET($BN$2,0,0,ROW()-1,60),ROW()-1,FALSE))</f>
        <v/>
      </c>
      <c r="BM377" t="str">
        <f ca="1">IF(AND(ISNUMBER($BM$876),$B$511=1),$BM$876,HLOOKUP(INDIRECT(ADDRESS(2,COLUMN())),OFFSET($BN$2,0,0,ROW()-1,60),ROW()-1,FALSE))</f>
        <v/>
      </c>
      <c r="BN377" t="str">
        <f>""</f>
        <v/>
      </c>
      <c r="BO377" t="str">
        <f>""</f>
        <v/>
      </c>
      <c r="BP377" t="str">
        <f>""</f>
        <v/>
      </c>
      <c r="BQ377" t="str">
        <f>""</f>
        <v/>
      </c>
      <c r="BR377" t="str">
        <f>""</f>
        <v/>
      </c>
      <c r="BS377" t="str">
        <f>""</f>
        <v/>
      </c>
      <c r="BT377" t="str">
        <f>""</f>
        <v/>
      </c>
      <c r="BU377" t="str">
        <f>""</f>
        <v/>
      </c>
      <c r="BV377" t="str">
        <f>""</f>
        <v/>
      </c>
      <c r="BW377" t="str">
        <f>""</f>
        <v/>
      </c>
      <c r="BX377" t="str">
        <f>""</f>
        <v/>
      </c>
      <c r="BY377" t="str">
        <f>""</f>
        <v/>
      </c>
      <c r="BZ377" t="str">
        <f>""</f>
        <v/>
      </c>
      <c r="CA377" t="str">
        <f>""</f>
        <v/>
      </c>
      <c r="CB377" t="str">
        <f>""</f>
        <v/>
      </c>
      <c r="CC377" t="str">
        <f>""</f>
        <v/>
      </c>
      <c r="CD377" t="str">
        <f>""</f>
        <v/>
      </c>
      <c r="CE377" t="str">
        <f>""</f>
        <v/>
      </c>
      <c r="CF377" t="str">
        <f>""</f>
        <v/>
      </c>
      <c r="CG377" t="str">
        <f>""</f>
        <v/>
      </c>
      <c r="CH377" t="str">
        <f>""</f>
        <v/>
      </c>
      <c r="CI377" t="str">
        <f>""</f>
        <v/>
      </c>
      <c r="CJ377" t="str">
        <f>""</f>
        <v/>
      </c>
      <c r="CK377" t="str">
        <f>""</f>
        <v/>
      </c>
      <c r="CL377" t="str">
        <f>""</f>
        <v/>
      </c>
      <c r="CM377" t="str">
        <f>""</f>
        <v/>
      </c>
      <c r="CN377" t="str">
        <f>""</f>
        <v/>
      </c>
      <c r="CO377" t="str">
        <f>""</f>
        <v/>
      </c>
      <c r="CP377" t="str">
        <f>""</f>
        <v/>
      </c>
      <c r="CQ377" t="str">
        <f>""</f>
        <v/>
      </c>
      <c r="CR377" t="str">
        <f>""</f>
        <v/>
      </c>
      <c r="CS377" t="str">
        <f>""</f>
        <v/>
      </c>
      <c r="CT377" t="str">
        <f>""</f>
        <v/>
      </c>
      <c r="CU377" t="str">
        <f>""</f>
        <v/>
      </c>
      <c r="CV377" t="str">
        <f>""</f>
        <v/>
      </c>
      <c r="CW377" t="str">
        <f>""</f>
        <v/>
      </c>
      <c r="CX377" t="str">
        <f>""</f>
        <v/>
      </c>
      <c r="CY377" t="str">
        <f>""</f>
        <v/>
      </c>
      <c r="CZ377" t="str">
        <f>""</f>
        <v/>
      </c>
      <c r="DA377" t="str">
        <f>""</f>
        <v/>
      </c>
      <c r="DB377" t="str">
        <f>""</f>
        <v/>
      </c>
      <c r="DC377" t="str">
        <f>""</f>
        <v/>
      </c>
      <c r="DD377" t="str">
        <f>""</f>
        <v/>
      </c>
      <c r="DE377" t="str">
        <f>""</f>
        <v/>
      </c>
      <c r="DF377" t="str">
        <f>""</f>
        <v/>
      </c>
      <c r="DG377" t="str">
        <f>""</f>
        <v/>
      </c>
      <c r="DH377" t="str">
        <f>""</f>
        <v/>
      </c>
      <c r="DI377" t="str">
        <f>""</f>
        <v/>
      </c>
      <c r="DJ377" t="str">
        <f>""</f>
        <v/>
      </c>
      <c r="DK377" t="str">
        <f>""</f>
        <v/>
      </c>
      <c r="DL377" t="str">
        <f>""</f>
        <v/>
      </c>
      <c r="DM377" t="str">
        <f>""</f>
        <v/>
      </c>
      <c r="DN377" t="str">
        <f>""</f>
        <v/>
      </c>
      <c r="DO377" t="str">
        <f>""</f>
        <v/>
      </c>
      <c r="DP377" t="str">
        <f>""</f>
        <v/>
      </c>
      <c r="DQ377" t="str">
        <f>""</f>
        <v/>
      </c>
      <c r="DR377" t="str">
        <f>""</f>
        <v/>
      </c>
      <c r="DS377" t="str">
        <f>""</f>
        <v/>
      </c>
      <c r="DT377" t="str">
        <f>""</f>
        <v/>
      </c>
      <c r="DU377" t="str">
        <f>""</f>
        <v/>
      </c>
    </row>
    <row r="378" spans="1:125" x14ac:dyDescent="0.25">
      <c r="A378" t="str">
        <f>"    BYD Co Ltd"</f>
        <v xml:space="preserve">    BYD Co Ltd</v>
      </c>
      <c r="B378" t="str">
        <f>"1211 HK Equity"</f>
        <v>1211 HK Equity</v>
      </c>
      <c r="C378" t="str">
        <f t="shared" si="27"/>
        <v>RR937</v>
      </c>
      <c r="D378" t="str">
        <f t="shared" si="28"/>
        <v>CRNCY_ADJ_CURR_EV</v>
      </c>
      <c r="E378" t="str">
        <f t="shared" si="29"/>
        <v>Dynamic</v>
      </c>
      <c r="F378">
        <f ca="1">IF(AND(ISNUMBER($F$877),$B$511=1),$F$877,HLOOKUP(INDIRECT(ADDRESS(2,COLUMN())),OFFSET($BN$2,0,0,ROW()-1,60),ROW()-1,FALSE))</f>
        <v>28062.839469999999</v>
      </c>
      <c r="G378">
        <f ca="1">IF(AND(ISNUMBER($G$877),$B$511=1),$G$877,HLOOKUP(INDIRECT(ADDRESS(2,COLUMN())),OFFSET($BN$2,0,0,ROW()-1,60),ROW()-1,FALSE))</f>
        <v>27487.935310000001</v>
      </c>
      <c r="H378">
        <f ca="1">IF(AND(ISNUMBER($H$877),$B$511=1),$H$877,HLOOKUP(INDIRECT(ADDRESS(2,COLUMN())),OFFSET($BN$2,0,0,ROW()-1,60),ROW()-1,FALSE))</f>
        <v>27750.30055</v>
      </c>
      <c r="I378">
        <f ca="1">IF(AND(ISNUMBER($I$877),$B$511=1),$I$877,HLOOKUP(INDIRECT(ADDRESS(2,COLUMN())),OFFSET($BN$2,0,0,ROW()-1,60),ROW()-1,FALSE))</f>
        <v>30376.169320000001</v>
      </c>
      <c r="J378">
        <f ca="1">IF(AND(ISNUMBER($J$877),$B$511=1),$J$877,HLOOKUP(INDIRECT(ADDRESS(2,COLUMN())),OFFSET($BN$2,0,0,ROW()-1,60),ROW()-1,FALSE))</f>
        <v>35589.868629999997</v>
      </c>
      <c r="K378">
        <f ca="1">IF(AND(ISNUMBER($K$877),$B$511=1),$K$877,HLOOKUP(INDIRECT(ADDRESS(2,COLUMN())),OFFSET($BN$2,0,0,ROW()-1,60),ROW()-1,FALSE))</f>
        <v>37379.805910000003</v>
      </c>
      <c r="L378">
        <f ca="1">IF(AND(ISNUMBER($L$877),$B$511=1),$L$877,HLOOKUP(INDIRECT(ADDRESS(2,COLUMN())),OFFSET($BN$2,0,0,ROW()-1,60),ROW()-1,FALSE))</f>
        <v>37850.471879999997</v>
      </c>
      <c r="M378">
        <f ca="1">IF(AND(ISNUMBER($M$877),$B$511=1),$M$877,HLOOKUP(INDIRECT(ADDRESS(2,COLUMN())),OFFSET($BN$2,0,0,ROW()-1,60),ROW()-1,FALSE))</f>
        <v>29108.180090000002</v>
      </c>
      <c r="N378">
        <f ca="1">IF(AND(ISNUMBER($N$877),$B$511=1),$N$877,HLOOKUP(INDIRECT(ADDRESS(2,COLUMN())),OFFSET($BN$2,0,0,ROW()-1,60),ROW()-1,FALSE))</f>
        <v>27059.702089999999</v>
      </c>
      <c r="O378">
        <f ca="1">IF(AND(ISNUMBER($O$877),$B$511=1),$O$877,HLOOKUP(INDIRECT(ADDRESS(2,COLUMN())),OFFSET($BN$2,0,0,ROW()-1,60),ROW()-1,FALSE))</f>
        <v>26244.446680000001</v>
      </c>
      <c r="P378">
        <f ca="1">IF(AND(ISNUMBER($P$877),$B$511=1),$P$877,HLOOKUP(INDIRECT(ADDRESS(2,COLUMN())),OFFSET($BN$2,0,0,ROW()-1,60),ROW()-1,FALSE))</f>
        <v>28828.877820000002</v>
      </c>
      <c r="Q378">
        <f ca="1">IF(AND(ISNUMBER($Q$877),$B$511=1),$Q$877,HLOOKUP(INDIRECT(ADDRESS(2,COLUMN())),OFFSET($BN$2,0,0,ROW()-1,60),ROW()-1,FALSE))</f>
        <v>28908.714520000001</v>
      </c>
      <c r="R378">
        <f ca="1">IF(AND(ISNUMBER($R$877),$B$511=1),$R$877,HLOOKUP(INDIRECT(ADDRESS(2,COLUMN())),OFFSET($BN$2,0,0,ROW()-1,60),ROW()-1,FALSE))</f>
        <v>28223.625970000001</v>
      </c>
      <c r="S378">
        <f ca="1">IF(AND(ISNUMBER($S$877),$B$511=1),$S$877,HLOOKUP(INDIRECT(ADDRESS(2,COLUMN())),OFFSET($BN$2,0,0,ROW()-1,60),ROW()-1,FALSE))</f>
        <v>27898.360509999999</v>
      </c>
      <c r="T378">
        <f ca="1">IF(AND(ISNUMBER($T$877),$B$511=1),$T$877,HLOOKUP(INDIRECT(ADDRESS(2,COLUMN())),OFFSET($BN$2,0,0,ROW()-1,60),ROW()-1,FALSE))</f>
        <v>27750.341710000001</v>
      </c>
      <c r="U378">
        <f ca="1">IF(AND(ISNUMBER($U$877),$B$511=1),$U$877,HLOOKUP(INDIRECT(ADDRESS(2,COLUMN())),OFFSET($BN$2,0,0,ROW()-1,60),ROW()-1,FALSE))</f>
        <v>26895.552169999999</v>
      </c>
      <c r="V378">
        <f ca="1">IF(AND(ISNUMBER($V$877),$B$511=1),$V$877,HLOOKUP(INDIRECT(ADDRESS(2,COLUMN())),OFFSET($BN$2,0,0,ROW()-1,60),ROW()-1,FALSE))</f>
        <v>24641.828689999998</v>
      </c>
      <c r="W378">
        <f ca="1">IF(AND(ISNUMBER($W$877),$B$511=1),$W$877,HLOOKUP(INDIRECT(ADDRESS(2,COLUMN())),OFFSET($BN$2,0,0,ROW()-1,60),ROW()-1,FALSE))</f>
        <v>20296.430970000001</v>
      </c>
      <c r="X378">
        <f ca="1">IF(AND(ISNUMBER($X$877),$B$511=1),$X$877,HLOOKUP(INDIRECT(ADDRESS(2,COLUMN())),OFFSET($BN$2,0,0,ROW()-1,60),ROW()-1,FALSE))</f>
        <v>25224.578839999998</v>
      </c>
      <c r="Y378">
        <f ca="1">IF(AND(ISNUMBER($Y$877),$B$511=1),$Y$877,HLOOKUP(INDIRECT(ADDRESS(2,COLUMN())),OFFSET($BN$2,0,0,ROW()-1,60),ROW()-1,FALSE))</f>
        <v>23204.895530000002</v>
      </c>
      <c r="Z378">
        <f ca="1">IF(AND(ISNUMBER($Z$877),$B$511=1),$Z$877,HLOOKUP(INDIRECT(ADDRESS(2,COLUMN())),OFFSET($BN$2,0,0,ROW()-1,60),ROW()-1,FALSE))</f>
        <v>22610.142650000002</v>
      </c>
      <c r="AA378">
        <f ca="1">IF(AND(ISNUMBER($AA$877),$B$511=1),$AA$877,HLOOKUP(INDIRECT(ADDRESS(2,COLUMN())),OFFSET($BN$2,0,0,ROW()-1,60),ROW()-1,FALSE))</f>
        <v>19601.71689</v>
      </c>
      <c r="AB378">
        <f ca="1">IF(AND(ISNUMBER($AB$877),$B$511=1),$AB$877,HLOOKUP(INDIRECT(ADDRESS(2,COLUMN())),OFFSET($BN$2,0,0,ROW()-1,60),ROW()-1,FALSE))</f>
        <v>19244.28714</v>
      </c>
      <c r="AC378">
        <f ca="1">IF(AND(ISNUMBER($AC$877),$B$511=1),$AC$877,HLOOKUP(INDIRECT(ADDRESS(2,COLUMN())),OFFSET($BN$2,0,0,ROW()-1,60),ROW()-1,FALSE))</f>
        <v>15536.709919999999</v>
      </c>
      <c r="AD378">
        <f ca="1">IF(AND(ISNUMBER($AD$877),$B$511=1),$AD$877,HLOOKUP(INDIRECT(ADDRESS(2,COLUMN())),OFFSET($BN$2,0,0,ROW()-1,60),ROW()-1,FALSE))</f>
        <v>13100.051289999999</v>
      </c>
      <c r="AE378">
        <f ca="1">IF(AND(ISNUMBER($AE$877),$B$511=1),$AE$877,HLOOKUP(INDIRECT(ADDRESS(2,COLUMN())),OFFSET($BN$2,0,0,ROW()-1,60),ROW()-1,FALSE))</f>
        <v>12017.25733</v>
      </c>
      <c r="AF378">
        <f ca="1">IF(AND(ISNUMBER($AF$877),$B$511=1),$AF$877,HLOOKUP(INDIRECT(ADDRESS(2,COLUMN())),OFFSET($BN$2,0,0,ROW()-1,60),ROW()-1,FALSE))</f>
        <v>9679.8455950000007</v>
      </c>
      <c r="AG378">
        <f ca="1">IF(AND(ISNUMBER($AG$877),$B$511=1),$AG$877,HLOOKUP(INDIRECT(ADDRESS(2,COLUMN())),OFFSET($BN$2,0,0,ROW()-1,60),ROW()-1,FALSE))</f>
        <v>10879.936729999999</v>
      </c>
      <c r="AH378">
        <f ca="1">IF(AND(ISNUMBER($AH$877),$B$511=1),$AH$877,HLOOKUP(INDIRECT(ADDRESS(2,COLUMN())),OFFSET($BN$2,0,0,ROW()-1,60),ROW()-1,FALSE))</f>
        <v>13432.33423</v>
      </c>
      <c r="AI378">
        <f ca="1">IF(AND(ISNUMBER($AI$877),$B$511=1),$AI$877,HLOOKUP(INDIRECT(ADDRESS(2,COLUMN())),OFFSET($BN$2,0,0,ROW()-1,60),ROW()-1,FALSE))</f>
        <v>11487.3549</v>
      </c>
      <c r="AJ378">
        <f ca="1">IF(AND(ISNUMBER($AJ$877),$B$511=1),$AJ$877,HLOOKUP(INDIRECT(ADDRESS(2,COLUMN())),OFFSET($BN$2,0,0,ROW()-1,60),ROW()-1,FALSE))</f>
        <v>10136.28211</v>
      </c>
      <c r="AK378">
        <f ca="1">IF(AND(ISNUMBER($AK$877),$B$511=1),$AK$877,HLOOKUP(INDIRECT(ADDRESS(2,COLUMN())),OFFSET($BN$2,0,0,ROW()-1,60),ROW()-1,FALSE))</f>
        <v>10947.530570000001</v>
      </c>
      <c r="AL378">
        <f ca="1">IF(AND(ISNUMBER($AL$877),$B$511=1),$AL$877,HLOOKUP(INDIRECT(ADDRESS(2,COLUMN())),OFFSET($BN$2,0,0,ROW()-1,60),ROW()-1,FALSE))</f>
        <v>10957.65228</v>
      </c>
      <c r="AM378">
        <f ca="1">IF(AND(ISNUMBER($AM$877),$B$511=1),$AM$877,HLOOKUP(INDIRECT(ADDRESS(2,COLUMN())),OFFSET($BN$2,0,0,ROW()-1,60),ROW()-1,FALSE))</f>
        <v>14197.346320000001</v>
      </c>
      <c r="AN378">
        <f ca="1">IF(AND(ISNUMBER($AN$877),$B$511=1),$AN$877,HLOOKUP(INDIRECT(ADDRESS(2,COLUMN())),OFFSET($BN$2,0,0,ROW()-1,60),ROW()-1,FALSE))</f>
        <v>19637.620940000001</v>
      </c>
      <c r="AO378">
        <f ca="1">IF(AND(ISNUMBER($AO$877),$B$511=1),$AO$877,HLOOKUP(INDIRECT(ADDRESS(2,COLUMN())),OFFSET($BN$2,0,0,ROW()-1,60),ROW()-1,FALSE))</f>
        <v>18082.290410000001</v>
      </c>
      <c r="AP378">
        <f ca="1">IF(AND(ISNUMBER($AP$877),$B$511=1),$AP$877,HLOOKUP(INDIRECT(ADDRESS(2,COLUMN())),OFFSET($BN$2,0,0,ROW()-1,60),ROW()-1,FALSE))</f>
        <v>23233.85972</v>
      </c>
      <c r="AQ378">
        <f ca="1">IF(AND(ISNUMBER($AQ$877),$B$511=1),$AQ$877,HLOOKUP(INDIRECT(ADDRESS(2,COLUMN())),OFFSET($BN$2,0,0,ROW()-1,60),ROW()-1,FALSE))</f>
        <v>20624.719160000001</v>
      </c>
      <c r="AR378">
        <f ca="1">IF(AND(ISNUMBER($AR$877),$B$511=1),$AR$877,HLOOKUP(INDIRECT(ADDRESS(2,COLUMN())),OFFSET($BN$2,0,0,ROW()-1,60),ROW()-1,FALSE))</f>
        <v>19366.928339999999</v>
      </c>
      <c r="AS378" t="str">
        <f ca="1">IF(AND(ISNUMBER($AS$877),$B$511=1),$AS$877,HLOOKUP(INDIRECT(ADDRESS(2,COLUMN())),OFFSET($BN$2,0,0,ROW()-1,60),ROW()-1,FALSE))</f>
        <v/>
      </c>
      <c r="AT378" t="str">
        <f ca="1">IF(AND(ISNUMBER($AT$877),$B$511=1),$AT$877,HLOOKUP(INDIRECT(ADDRESS(2,COLUMN())),OFFSET($BN$2,0,0,ROW()-1,60),ROW()-1,FALSE))</f>
        <v/>
      </c>
      <c r="AU378" t="str">
        <f ca="1">IF(AND(ISNUMBER($AU$877),$B$511=1),$AU$877,HLOOKUP(INDIRECT(ADDRESS(2,COLUMN())),OFFSET($BN$2,0,0,ROW()-1,60),ROW()-1,FALSE))</f>
        <v/>
      </c>
      <c r="AV378" t="str">
        <f ca="1">IF(AND(ISNUMBER($AV$877),$B$511=1),$AV$877,HLOOKUP(INDIRECT(ADDRESS(2,COLUMN())),OFFSET($BN$2,0,0,ROW()-1,60),ROW()-1,FALSE))</f>
        <v/>
      </c>
      <c r="AW378" t="str">
        <f ca="1">IF(AND(ISNUMBER($AW$877),$B$511=1),$AW$877,HLOOKUP(INDIRECT(ADDRESS(2,COLUMN())),OFFSET($BN$2,0,0,ROW()-1,60),ROW()-1,FALSE))</f>
        <v/>
      </c>
      <c r="AX378" t="str">
        <f ca="1">IF(AND(ISNUMBER($AX$877),$B$511=1),$AX$877,HLOOKUP(INDIRECT(ADDRESS(2,COLUMN())),OFFSET($BN$2,0,0,ROW()-1,60),ROW()-1,FALSE))</f>
        <v/>
      </c>
      <c r="AY378" t="str">
        <f ca="1">IF(AND(ISNUMBER($AY$877),$B$511=1),$AY$877,HLOOKUP(INDIRECT(ADDRESS(2,COLUMN())),OFFSET($BN$2,0,0,ROW()-1,60),ROW()-1,FALSE))</f>
        <v/>
      </c>
      <c r="AZ378" t="str">
        <f ca="1">IF(AND(ISNUMBER($AZ$877),$B$511=1),$AZ$877,HLOOKUP(INDIRECT(ADDRESS(2,COLUMN())),OFFSET($BN$2,0,0,ROW()-1,60),ROW()-1,FALSE))</f>
        <v/>
      </c>
      <c r="BA378" t="str">
        <f ca="1">IF(AND(ISNUMBER($BA$877),$B$511=1),$BA$877,HLOOKUP(INDIRECT(ADDRESS(2,COLUMN())),OFFSET($BN$2,0,0,ROW()-1,60),ROW()-1,FALSE))</f>
        <v/>
      </c>
      <c r="BB378" t="str">
        <f ca="1">IF(AND(ISNUMBER($BB$877),$B$511=1),$BB$877,HLOOKUP(INDIRECT(ADDRESS(2,COLUMN())),OFFSET($BN$2,0,0,ROW()-1,60),ROW()-1,FALSE))</f>
        <v/>
      </c>
      <c r="BC378" t="str">
        <f ca="1">IF(AND(ISNUMBER($BC$877),$B$511=1),$BC$877,HLOOKUP(INDIRECT(ADDRESS(2,COLUMN())),OFFSET($BN$2,0,0,ROW()-1,60),ROW()-1,FALSE))</f>
        <v/>
      </c>
      <c r="BD378" t="str">
        <f ca="1">IF(AND(ISNUMBER($BD$877),$B$511=1),$BD$877,HLOOKUP(INDIRECT(ADDRESS(2,COLUMN())),OFFSET($BN$2,0,0,ROW()-1,60),ROW()-1,FALSE))</f>
        <v/>
      </c>
      <c r="BE378" t="str">
        <f ca="1">IF(AND(ISNUMBER($BE$877),$B$511=1),$BE$877,HLOOKUP(INDIRECT(ADDRESS(2,COLUMN())),OFFSET($BN$2,0,0,ROW()-1,60),ROW()-1,FALSE))</f>
        <v/>
      </c>
      <c r="BF378" t="str">
        <f ca="1">IF(AND(ISNUMBER($BF$877),$B$511=1),$BF$877,HLOOKUP(INDIRECT(ADDRESS(2,COLUMN())),OFFSET($BN$2,0,0,ROW()-1,60),ROW()-1,FALSE))</f>
        <v/>
      </c>
      <c r="BG378" t="str">
        <f ca="1">IF(AND(ISNUMBER($BG$877),$B$511=1),$BG$877,HLOOKUP(INDIRECT(ADDRESS(2,COLUMN())),OFFSET($BN$2,0,0,ROW()-1,60),ROW()-1,FALSE))</f>
        <v/>
      </c>
      <c r="BH378" t="str">
        <f ca="1">IF(AND(ISNUMBER($BH$877),$B$511=1),$BH$877,HLOOKUP(INDIRECT(ADDRESS(2,COLUMN())),OFFSET($BN$2,0,0,ROW()-1,60),ROW()-1,FALSE))</f>
        <v/>
      </c>
      <c r="BI378" t="str">
        <f ca="1">IF(AND(ISNUMBER($BI$877),$B$511=1),$BI$877,HLOOKUP(INDIRECT(ADDRESS(2,COLUMN())),OFFSET($BN$2,0,0,ROW()-1,60),ROW()-1,FALSE))</f>
        <v/>
      </c>
      <c r="BJ378" t="str">
        <f ca="1">IF(AND(ISNUMBER($BJ$877),$B$511=1),$BJ$877,HLOOKUP(INDIRECT(ADDRESS(2,COLUMN())),OFFSET($BN$2,0,0,ROW()-1,60),ROW()-1,FALSE))</f>
        <v/>
      </c>
      <c r="BK378" t="str">
        <f ca="1">IF(AND(ISNUMBER($BK$877),$B$511=1),$BK$877,HLOOKUP(INDIRECT(ADDRESS(2,COLUMN())),OFFSET($BN$2,0,0,ROW()-1,60),ROW()-1,FALSE))</f>
        <v/>
      </c>
      <c r="BL378" t="str">
        <f ca="1">IF(AND(ISNUMBER($BL$877),$B$511=1),$BL$877,HLOOKUP(INDIRECT(ADDRESS(2,COLUMN())),OFFSET($BN$2,0,0,ROW()-1,60),ROW()-1,FALSE))</f>
        <v/>
      </c>
      <c r="BM378" t="str">
        <f ca="1">IF(AND(ISNUMBER($BM$877),$B$511=1),$BM$877,HLOOKUP(INDIRECT(ADDRESS(2,COLUMN())),OFFSET($BN$2,0,0,ROW()-1,60),ROW()-1,FALSE))</f>
        <v/>
      </c>
      <c r="BN378">
        <f>28062.83947</f>
        <v>28062.839469999999</v>
      </c>
      <c r="BO378">
        <f>27487.93531</f>
        <v>27487.935310000001</v>
      </c>
      <c r="BP378">
        <f>27750.30055</f>
        <v>27750.30055</v>
      </c>
      <c r="BQ378">
        <f>30376.16932</f>
        <v>30376.169320000001</v>
      </c>
      <c r="BR378">
        <f>35589.86863</f>
        <v>35589.868629999997</v>
      </c>
      <c r="BS378">
        <f>37379.80591</f>
        <v>37379.805910000003</v>
      </c>
      <c r="BT378">
        <f>37850.47188</f>
        <v>37850.471879999997</v>
      </c>
      <c r="BU378">
        <f>29108.18009</f>
        <v>29108.180090000002</v>
      </c>
      <c r="BV378">
        <f>27059.70209</f>
        <v>27059.702089999999</v>
      </c>
      <c r="BW378">
        <f>26244.44668</f>
        <v>26244.446680000001</v>
      </c>
      <c r="BX378">
        <f>28828.87782</f>
        <v>28828.877820000002</v>
      </c>
      <c r="BY378">
        <f>28908.71452</f>
        <v>28908.714520000001</v>
      </c>
      <c r="BZ378">
        <f>28223.62597</f>
        <v>28223.625970000001</v>
      </c>
      <c r="CA378">
        <f>27898.36051</f>
        <v>27898.360509999999</v>
      </c>
      <c r="CB378">
        <f>27750.34171</f>
        <v>27750.341710000001</v>
      </c>
      <c r="CC378">
        <f>26895.55217</f>
        <v>26895.552169999999</v>
      </c>
      <c r="CD378">
        <f>24641.82869</f>
        <v>24641.828689999998</v>
      </c>
      <c r="CE378">
        <f>20296.43097</f>
        <v>20296.430970000001</v>
      </c>
      <c r="CF378">
        <f>25224.57884</f>
        <v>25224.578839999998</v>
      </c>
      <c r="CG378">
        <f>23204.89553</f>
        <v>23204.895530000002</v>
      </c>
      <c r="CH378">
        <f>22610.14265</f>
        <v>22610.142650000002</v>
      </c>
      <c r="CI378">
        <f>19601.71689</f>
        <v>19601.71689</v>
      </c>
      <c r="CJ378">
        <f>19244.28714</f>
        <v>19244.28714</v>
      </c>
      <c r="CK378">
        <f>15536.70992</f>
        <v>15536.709919999999</v>
      </c>
      <c r="CL378">
        <f>13100.05129</f>
        <v>13100.051289999999</v>
      </c>
      <c r="CM378">
        <f>12017.25733</f>
        <v>12017.25733</v>
      </c>
      <c r="CN378">
        <f>9679.845595</f>
        <v>9679.8455950000007</v>
      </c>
      <c r="CO378">
        <f>10879.93673</f>
        <v>10879.936729999999</v>
      </c>
      <c r="CP378">
        <f>13432.33423</f>
        <v>13432.33423</v>
      </c>
      <c r="CQ378">
        <f>11487.3549</f>
        <v>11487.3549</v>
      </c>
      <c r="CR378">
        <f>10136.28211</f>
        <v>10136.28211</v>
      </c>
      <c r="CS378">
        <f>10947.53057</f>
        <v>10947.530570000001</v>
      </c>
      <c r="CT378">
        <f>10957.65228</f>
        <v>10957.65228</v>
      </c>
      <c r="CU378">
        <f>14197.34632</f>
        <v>14197.346320000001</v>
      </c>
      <c r="CV378">
        <f>19637.62094</f>
        <v>19637.620940000001</v>
      </c>
      <c r="CW378">
        <f>18082.29041</f>
        <v>18082.290410000001</v>
      </c>
      <c r="CX378">
        <f>23233.85972</f>
        <v>23233.85972</v>
      </c>
      <c r="CY378">
        <f>20624.71916</f>
        <v>20624.719160000001</v>
      </c>
      <c r="CZ378">
        <f>19366.92834</f>
        <v>19366.928339999999</v>
      </c>
      <c r="DA378" t="str">
        <f>""</f>
        <v/>
      </c>
      <c r="DB378" t="str">
        <f>""</f>
        <v/>
      </c>
      <c r="DC378" t="str">
        <f>""</f>
        <v/>
      </c>
      <c r="DD378" t="str">
        <f>""</f>
        <v/>
      </c>
      <c r="DE378" t="str">
        <f>""</f>
        <v/>
      </c>
      <c r="DF378" t="str">
        <f>""</f>
        <v/>
      </c>
      <c r="DG378" t="str">
        <f>""</f>
        <v/>
      </c>
      <c r="DH378" t="str">
        <f>""</f>
        <v/>
      </c>
      <c r="DI378" t="str">
        <f>""</f>
        <v/>
      </c>
      <c r="DJ378" t="str">
        <f>""</f>
        <v/>
      </c>
      <c r="DK378" t="str">
        <f>""</f>
        <v/>
      </c>
      <c r="DL378" t="str">
        <f>""</f>
        <v/>
      </c>
      <c r="DM378" t="str">
        <f>""</f>
        <v/>
      </c>
      <c r="DN378" t="str">
        <f>""</f>
        <v/>
      </c>
      <c r="DO378" t="str">
        <f>""</f>
        <v/>
      </c>
      <c r="DP378" t="str">
        <f>""</f>
        <v/>
      </c>
      <c r="DQ378" t="str">
        <f>""</f>
        <v/>
      </c>
      <c r="DR378" t="str">
        <f>""</f>
        <v/>
      </c>
      <c r="DS378" t="str">
        <f>""</f>
        <v/>
      </c>
      <c r="DT378" t="str">
        <f>""</f>
        <v/>
      </c>
      <c r="DU378" t="str">
        <f>""</f>
        <v/>
      </c>
    </row>
    <row r="379" spans="1:125" x14ac:dyDescent="0.25">
      <c r="A379" t="str">
        <f>"    Chongqing Changan Automobile Co Ltd"</f>
        <v xml:space="preserve">    Chongqing Changan Automobile Co Ltd</v>
      </c>
      <c r="B379" t="str">
        <f>"200625 CH Equity"</f>
        <v>200625 CH Equity</v>
      </c>
      <c r="C379" t="str">
        <f t="shared" si="27"/>
        <v>RR937</v>
      </c>
      <c r="D379" t="str">
        <f t="shared" si="28"/>
        <v>CRNCY_ADJ_CURR_EV</v>
      </c>
      <c r="E379" t="str">
        <f t="shared" si="29"/>
        <v>Dynamic</v>
      </c>
      <c r="F379">
        <f ca="1">IF(AND(ISNUMBER($F$878),$B$511=1),$F$878,HLOOKUP(INDIRECT(ADDRESS(2,COLUMN())),OFFSET($BN$2,0,0,ROW()-1,60),ROW()-1,FALSE))</f>
        <v>3273.7126830000002</v>
      </c>
      <c r="G379">
        <f ca="1">IF(AND(ISNUMBER($G$878),$B$511=1),$G$878,HLOOKUP(INDIRECT(ADDRESS(2,COLUMN())),OFFSET($BN$2,0,0,ROW()-1,60),ROW()-1,FALSE))</f>
        <v>1873.1552469999999</v>
      </c>
      <c r="H379">
        <f ca="1">IF(AND(ISNUMBER($H$878),$B$511=1),$H$878,HLOOKUP(INDIRECT(ADDRESS(2,COLUMN())),OFFSET($BN$2,0,0,ROW()-1,60),ROW()-1,FALSE))</f>
        <v>2594.9764279999999</v>
      </c>
      <c r="I379">
        <f ca="1">IF(AND(ISNUMBER($I$878),$B$511=1),$I$878,HLOOKUP(INDIRECT(ADDRESS(2,COLUMN())),OFFSET($BN$2,0,0,ROW()-1,60),ROW()-1,FALSE))</f>
        <v>5687.1507600000004</v>
      </c>
      <c r="J379">
        <f ca="1">IF(AND(ISNUMBER($J$878),$B$511=1),$J$878,HLOOKUP(INDIRECT(ADDRESS(2,COLUMN())),OFFSET($BN$2,0,0,ROW()-1,60),ROW()-1,FALSE))</f>
        <v>7252.1546289999997</v>
      </c>
      <c r="K379">
        <f ca="1">IF(AND(ISNUMBER($K$878),$B$511=1),$K$878,HLOOKUP(INDIRECT(ADDRESS(2,COLUMN())),OFFSET($BN$2,0,0,ROW()-1,60),ROW()-1,FALSE))</f>
        <v>8027.094024</v>
      </c>
      <c r="L379">
        <f ca="1">IF(AND(ISNUMBER($L$878),$B$511=1),$L$878,HLOOKUP(INDIRECT(ADDRESS(2,COLUMN())),OFFSET($BN$2,0,0,ROW()-1,60),ROW()-1,FALSE))</f>
        <v>8894.6916639999999</v>
      </c>
      <c r="M379">
        <f ca="1">IF(AND(ISNUMBER($M$878),$B$511=1),$M$878,HLOOKUP(INDIRECT(ADDRESS(2,COLUMN())),OFFSET($BN$2,0,0,ROW()-1,60),ROW()-1,FALSE))</f>
        <v>8901.9189409999999</v>
      </c>
      <c r="N379">
        <f ca="1">IF(AND(ISNUMBER($N$878),$B$511=1),$N$878,HLOOKUP(INDIRECT(ADDRESS(2,COLUMN())),OFFSET($BN$2,0,0,ROW()-1,60),ROW()-1,FALSE))</f>
        <v>9678.0496210000001</v>
      </c>
      <c r="O379">
        <f ca="1">IF(AND(ISNUMBER($O$878),$B$511=1),$O$878,HLOOKUP(INDIRECT(ADDRESS(2,COLUMN())),OFFSET($BN$2,0,0,ROW()-1,60),ROW()-1,FALSE))</f>
        <v>9676.7718810000006</v>
      </c>
      <c r="P379">
        <f ca="1">IF(AND(ISNUMBER($P$878),$B$511=1),$P$878,HLOOKUP(INDIRECT(ADDRESS(2,COLUMN())),OFFSET($BN$2,0,0,ROW()-1,60),ROW()-1,FALSE))</f>
        <v>10114.48985</v>
      </c>
      <c r="Q379">
        <f ca="1">IF(AND(ISNUMBER($Q$878),$B$511=1),$Q$878,HLOOKUP(INDIRECT(ADDRESS(2,COLUMN())),OFFSET($BN$2,0,0,ROW()-1,60),ROW()-1,FALSE))</f>
        <v>9427.5924500000001</v>
      </c>
      <c r="R379">
        <f ca="1">IF(AND(ISNUMBER($R$878),$B$511=1),$R$878,HLOOKUP(INDIRECT(ADDRESS(2,COLUMN())),OFFSET($BN$2,0,0,ROW()-1,60),ROW()-1,FALSE))</f>
        <v>11397.138989999999</v>
      </c>
      <c r="S379">
        <f ca="1">IF(AND(ISNUMBER($S$878),$B$511=1),$S$878,HLOOKUP(INDIRECT(ADDRESS(2,COLUMN())),OFFSET($BN$2,0,0,ROW()-1,60),ROW()-1,FALSE))</f>
        <v>12251.89518</v>
      </c>
      <c r="T379">
        <f ca="1">IF(AND(ISNUMBER($T$878),$B$511=1),$T$878,HLOOKUP(INDIRECT(ADDRESS(2,COLUMN())),OFFSET($BN$2,0,0,ROW()-1,60),ROW()-1,FALSE))</f>
        <v>10557.86657</v>
      </c>
      <c r="U379">
        <f ca="1">IF(AND(ISNUMBER($U$878),$B$511=1),$U$878,HLOOKUP(INDIRECT(ADDRESS(2,COLUMN())),OFFSET($BN$2,0,0,ROW()-1,60),ROW()-1,FALSE))</f>
        <v>16077.634550000001</v>
      </c>
      <c r="V379">
        <f ca="1">IF(AND(ISNUMBER($V$878),$B$511=1),$V$878,HLOOKUP(INDIRECT(ADDRESS(2,COLUMN())),OFFSET($BN$2,0,0,ROW()-1,60),ROW()-1,FALSE))</f>
        <v>15448.756149999999</v>
      </c>
      <c r="W379">
        <f ca="1">IF(AND(ISNUMBER($W$878),$B$511=1),$W$878,HLOOKUP(INDIRECT(ADDRESS(2,COLUMN())),OFFSET($BN$2,0,0,ROW()-1,60),ROW()-1,FALSE))</f>
        <v>12903.388849999999</v>
      </c>
      <c r="X379">
        <f ca="1">IF(AND(ISNUMBER($X$878),$B$511=1),$X$878,HLOOKUP(INDIRECT(ADDRESS(2,COLUMN())),OFFSET($BN$2,0,0,ROW()-1,60),ROW()-1,FALSE))</f>
        <v>11505.795340000001</v>
      </c>
      <c r="Y379">
        <f ca="1">IF(AND(ISNUMBER($Y$878),$B$511=1),$Y$878,HLOOKUP(INDIRECT(ADDRESS(2,COLUMN())),OFFSET($BN$2,0,0,ROW()-1,60),ROW()-1,FALSE))</f>
        <v>10319.680109999999</v>
      </c>
      <c r="Z379">
        <f ca="1">IF(AND(ISNUMBER($Z$878),$B$511=1),$Z$878,HLOOKUP(INDIRECT(ADDRESS(2,COLUMN())),OFFSET($BN$2,0,0,ROW()-1,60),ROW()-1,FALSE))</f>
        <v>8996.8633840000002</v>
      </c>
      <c r="AA379">
        <f ca="1">IF(AND(ISNUMBER($AA$878),$B$511=1),$AA$878,HLOOKUP(INDIRECT(ADDRESS(2,COLUMN())),OFFSET($BN$2,0,0,ROW()-1,60),ROW()-1,FALSE))</f>
        <v>10660.18895</v>
      </c>
      <c r="AB379">
        <f ca="1">IF(AND(ISNUMBER($AB$878),$B$511=1),$AB$878,HLOOKUP(INDIRECT(ADDRESS(2,COLUMN())),OFFSET($BN$2,0,0,ROW()-1,60),ROW()-1,FALSE))</f>
        <v>8975.2341269999997</v>
      </c>
      <c r="AC379">
        <f ca="1">IF(AND(ISNUMBER($AC$878),$B$511=1),$AC$878,HLOOKUP(INDIRECT(ADDRESS(2,COLUMN())),OFFSET($BN$2,0,0,ROW()-1,60),ROW()-1,FALSE))</f>
        <v>7974.2173149999999</v>
      </c>
      <c r="AD379">
        <f ca="1">IF(AND(ISNUMBER($AD$878),$B$511=1),$AD$878,HLOOKUP(INDIRECT(ADDRESS(2,COLUMN())),OFFSET($BN$2,0,0,ROW()-1,60),ROW()-1,FALSE))</f>
        <v>7920.8044010000003</v>
      </c>
      <c r="AE379">
        <f ca="1">IF(AND(ISNUMBER($AE$878),$B$511=1),$AE$878,HLOOKUP(INDIRECT(ADDRESS(2,COLUMN())),OFFSET($BN$2,0,0,ROW()-1,60),ROW()-1,FALSE))</f>
        <v>5852.6211919999996</v>
      </c>
      <c r="AF379">
        <f ca="1">IF(AND(ISNUMBER($AF$878),$B$511=1),$AF$878,HLOOKUP(INDIRECT(ADDRESS(2,COLUMN())),OFFSET($BN$2,0,0,ROW()-1,60),ROW()-1,FALSE))</f>
        <v>4656.446758</v>
      </c>
      <c r="AG379">
        <f ca="1">IF(AND(ISNUMBER($AG$878),$B$511=1),$AG$878,HLOOKUP(INDIRECT(ADDRESS(2,COLUMN())),OFFSET($BN$2,0,0,ROW()-1,60),ROW()-1,FALSE))</f>
        <v>4183.5816709999999</v>
      </c>
      <c r="AH379">
        <f ca="1">IF(AND(ISNUMBER($AH$878),$B$511=1),$AH$878,HLOOKUP(INDIRECT(ADDRESS(2,COLUMN())),OFFSET($BN$2,0,0,ROW()-1,60),ROW()-1,FALSE))</f>
        <v>3718.9160149999998</v>
      </c>
      <c r="AI379">
        <f ca="1">IF(AND(ISNUMBER($AI$878),$B$511=1),$AI$878,HLOOKUP(INDIRECT(ADDRESS(2,COLUMN())),OFFSET($BN$2,0,0,ROW()-1,60),ROW()-1,FALSE))</f>
        <v>3167.5242119999998</v>
      </c>
      <c r="AJ379">
        <f ca="1">IF(AND(ISNUMBER($AJ$878),$B$511=1),$AJ$878,HLOOKUP(INDIRECT(ADDRESS(2,COLUMN())),OFFSET($BN$2,0,0,ROW()-1,60),ROW()-1,FALSE))</f>
        <v>3090.6089619999998</v>
      </c>
      <c r="AK379">
        <f ca="1">IF(AND(ISNUMBER($AK$878),$B$511=1),$AK$878,HLOOKUP(INDIRECT(ADDRESS(2,COLUMN())),OFFSET($BN$2,0,0,ROW()-1,60),ROW()-1,FALSE))</f>
        <v>3260.5687990000001</v>
      </c>
      <c r="AL379">
        <f ca="1">IF(AND(ISNUMBER($AL$878),$B$511=1),$AL$878,HLOOKUP(INDIRECT(ADDRESS(2,COLUMN())),OFFSET($BN$2,0,0,ROW()-1,60),ROW()-1,FALSE))</f>
        <v>3084.7643200000002</v>
      </c>
      <c r="AM379">
        <f ca="1">IF(AND(ISNUMBER($AM$878),$B$511=1),$AM$878,HLOOKUP(INDIRECT(ADDRESS(2,COLUMN())),OFFSET($BN$2,0,0,ROW()-1,60),ROW()-1,FALSE))</f>
        <v>3140.9434719999999</v>
      </c>
      <c r="AN379">
        <f ca="1">IF(AND(ISNUMBER($AN$878),$B$511=1),$AN$878,HLOOKUP(INDIRECT(ADDRESS(2,COLUMN())),OFFSET($BN$2,0,0,ROW()-1,60),ROW()-1,FALSE))</f>
        <v>3294.9815450000001</v>
      </c>
      <c r="AO379">
        <f ca="1">IF(AND(ISNUMBER($AO$878),$B$511=1),$AO$878,HLOOKUP(INDIRECT(ADDRESS(2,COLUMN())),OFFSET($BN$2,0,0,ROW()-1,60),ROW()-1,FALSE))</f>
        <v>2571.395501</v>
      </c>
      <c r="AP379">
        <f ca="1">IF(AND(ISNUMBER($AP$878),$B$511=1),$AP$878,HLOOKUP(INDIRECT(ADDRESS(2,COLUMN())),OFFSET($BN$2,0,0,ROW()-1,60),ROW()-1,FALSE))</f>
        <v>3644.8124950000001</v>
      </c>
      <c r="AQ379">
        <f ca="1">IF(AND(ISNUMBER($AQ$878),$B$511=1),$AQ$878,HLOOKUP(INDIRECT(ADDRESS(2,COLUMN())),OFFSET($BN$2,0,0,ROW()-1,60),ROW()-1,FALSE))</f>
        <v>4189.0948699999999</v>
      </c>
      <c r="AR379">
        <f ca="1">IF(AND(ISNUMBER($AR$878),$B$511=1),$AR$878,HLOOKUP(INDIRECT(ADDRESS(2,COLUMN())),OFFSET($BN$2,0,0,ROW()-1,60),ROW()-1,FALSE))</f>
        <v>3090.4819040000002</v>
      </c>
      <c r="AS379">
        <f ca="1">IF(AND(ISNUMBER($AS$878),$B$511=1),$AS$878,HLOOKUP(INDIRECT(ADDRESS(2,COLUMN())),OFFSET($BN$2,0,0,ROW()-1,60),ROW()-1,FALSE))</f>
        <v>2497.861758</v>
      </c>
      <c r="AT379">
        <f ca="1">IF(AND(ISNUMBER($AT$878),$B$511=1),$AT$878,HLOOKUP(INDIRECT(ADDRESS(2,COLUMN())),OFFSET($BN$2,0,0,ROW()-1,60),ROW()-1,FALSE))</f>
        <v>2330.1232409999998</v>
      </c>
      <c r="AU379">
        <f ca="1">IF(AND(ISNUMBER($AU$878),$B$511=1),$AU$878,HLOOKUP(INDIRECT(ADDRESS(2,COLUMN())),OFFSET($BN$2,0,0,ROW()-1,60),ROW()-1,FALSE))</f>
        <v>1281.9017160000001</v>
      </c>
      <c r="AV379">
        <f ca="1">IF(AND(ISNUMBER($AV$878),$B$511=1),$AV$878,HLOOKUP(INDIRECT(ADDRESS(2,COLUMN())),OFFSET($BN$2,0,0,ROW()-1,60),ROW()-1,FALSE))</f>
        <v>1375.292976</v>
      </c>
      <c r="AW379">
        <f ca="1">IF(AND(ISNUMBER($AW$878),$B$511=1),$AW$878,HLOOKUP(INDIRECT(ADDRESS(2,COLUMN())),OFFSET($BN$2,0,0,ROW()-1,60),ROW()-1,FALSE))</f>
        <v>1589.2975489999999</v>
      </c>
      <c r="AX379">
        <f ca="1">IF(AND(ISNUMBER($AX$878),$B$511=1),$AX$878,HLOOKUP(INDIRECT(ADDRESS(2,COLUMN())),OFFSET($BN$2,0,0,ROW()-1,60),ROW()-1,FALSE))</f>
        <v>2579.9174560000001</v>
      </c>
      <c r="AY379">
        <f ca="1">IF(AND(ISNUMBER($AY$878),$B$511=1),$AY$878,HLOOKUP(INDIRECT(ADDRESS(2,COLUMN())),OFFSET($BN$2,0,0,ROW()-1,60),ROW()-1,FALSE))</f>
        <v>4320.7330769999999</v>
      </c>
      <c r="AZ379">
        <f ca="1">IF(AND(ISNUMBER($AZ$878),$B$511=1),$AZ$878,HLOOKUP(INDIRECT(ADDRESS(2,COLUMN())),OFFSET($BN$2,0,0,ROW()-1,60),ROW()-1,FALSE))</f>
        <v>5373.5856510000003</v>
      </c>
      <c r="BA379">
        <f ca="1">IF(AND(ISNUMBER($BA$878),$B$511=1),$BA$878,HLOOKUP(INDIRECT(ADDRESS(2,COLUMN())),OFFSET($BN$2,0,0,ROW()-1,60),ROW()-1,FALSE))</f>
        <v>3308.3248659999999</v>
      </c>
      <c r="BB379">
        <f ca="1">IF(AND(ISNUMBER($BB$878),$B$511=1),$BB$878,HLOOKUP(INDIRECT(ADDRESS(2,COLUMN())),OFFSET($BN$2,0,0,ROW()-1,60),ROW()-1,FALSE))</f>
        <v>3084.8703559999999</v>
      </c>
      <c r="BC379">
        <f ca="1">IF(AND(ISNUMBER($BC$878),$B$511=1),$BC$878,HLOOKUP(INDIRECT(ADDRESS(2,COLUMN())),OFFSET($BN$2,0,0,ROW()-1,60),ROW()-1,FALSE))</f>
        <v>1992.7876209999999</v>
      </c>
      <c r="BD379">
        <f ca="1">IF(AND(ISNUMBER($BD$878),$B$511=1),$BD$878,HLOOKUP(INDIRECT(ADDRESS(2,COLUMN())),OFFSET($BN$2,0,0,ROW()-1,60),ROW()-1,FALSE))</f>
        <v>1359.571046</v>
      </c>
      <c r="BE379">
        <f ca="1">IF(AND(ISNUMBER($BE$878),$B$511=1),$BE$878,HLOOKUP(INDIRECT(ADDRESS(2,COLUMN())),OFFSET($BN$2,0,0,ROW()-1,60),ROW()-1,FALSE))</f>
        <v>1305.1292539999999</v>
      </c>
      <c r="BF379">
        <f ca="1">IF(AND(ISNUMBER($BF$878),$B$511=1),$BF$878,HLOOKUP(INDIRECT(ADDRESS(2,COLUMN())),OFFSET($BN$2,0,0,ROW()-1,60),ROW()-1,FALSE))</f>
        <v>1197.2300749999999</v>
      </c>
      <c r="BG379">
        <f ca="1">IF(AND(ISNUMBER($BG$878),$B$511=1),$BG$878,HLOOKUP(INDIRECT(ADDRESS(2,COLUMN())),OFFSET($BN$2,0,0,ROW()-1,60),ROW()-1,FALSE))</f>
        <v>862.36937750000004</v>
      </c>
      <c r="BH379">
        <f ca="1">IF(AND(ISNUMBER($BH$878),$B$511=1),$BH$878,HLOOKUP(INDIRECT(ADDRESS(2,COLUMN())),OFFSET($BN$2,0,0,ROW()-1,60),ROW()-1,FALSE))</f>
        <v>974.72385029999998</v>
      </c>
      <c r="BI379">
        <f ca="1">IF(AND(ISNUMBER($BI$878),$B$511=1),$BI$878,HLOOKUP(INDIRECT(ADDRESS(2,COLUMN())),OFFSET($BN$2,0,0,ROW()-1,60),ROW()-1,FALSE))</f>
        <v>992.21037609999996</v>
      </c>
      <c r="BJ379">
        <f ca="1">IF(AND(ISNUMBER($BJ$878),$B$511=1),$BJ$878,HLOOKUP(INDIRECT(ADDRESS(2,COLUMN())),OFFSET($BN$2,0,0,ROW()-1,60),ROW()-1,FALSE))</f>
        <v>789.93798249999998</v>
      </c>
      <c r="BK379">
        <f ca="1">IF(AND(ISNUMBER($BK$878),$B$511=1),$BK$878,HLOOKUP(INDIRECT(ADDRESS(2,COLUMN())),OFFSET($BN$2,0,0,ROW()-1,60),ROW()-1,FALSE))</f>
        <v>864.64577829999996</v>
      </c>
      <c r="BL379" t="str">
        <f ca="1">IF(AND(ISNUMBER($BL$878),$B$511=1),$BL$878,HLOOKUP(INDIRECT(ADDRESS(2,COLUMN())),OFFSET($BN$2,0,0,ROW()-1,60),ROW()-1,FALSE))</f>
        <v/>
      </c>
      <c r="BM379" t="str">
        <f ca="1">IF(AND(ISNUMBER($BM$878),$B$511=1),$BM$878,HLOOKUP(INDIRECT(ADDRESS(2,COLUMN())),OFFSET($BN$2,0,0,ROW()-1,60),ROW()-1,FALSE))</f>
        <v/>
      </c>
      <c r="BN379">
        <f>3273.712683</f>
        <v>3273.7126830000002</v>
      </c>
      <c r="BO379">
        <f>1873.155247</f>
        <v>1873.1552469999999</v>
      </c>
      <c r="BP379">
        <f>2594.976428</f>
        <v>2594.9764279999999</v>
      </c>
      <c r="BQ379">
        <f>5687.15076</f>
        <v>5687.1507600000004</v>
      </c>
      <c r="BR379">
        <f>7252.154629</f>
        <v>7252.1546289999997</v>
      </c>
      <c r="BS379">
        <f>8027.094024</f>
        <v>8027.094024</v>
      </c>
      <c r="BT379">
        <f>8894.691664</f>
        <v>8894.6916639999999</v>
      </c>
      <c r="BU379">
        <f>8901.918941</f>
        <v>8901.9189409999999</v>
      </c>
      <c r="BV379">
        <f>9678.049621</f>
        <v>9678.0496210000001</v>
      </c>
      <c r="BW379">
        <f>9676.771881</f>
        <v>9676.7718810000006</v>
      </c>
      <c r="BX379">
        <f>10114.48985</f>
        <v>10114.48985</v>
      </c>
      <c r="BY379">
        <f>9427.59245</f>
        <v>9427.5924500000001</v>
      </c>
      <c r="BZ379">
        <f>11397.13899</f>
        <v>11397.138989999999</v>
      </c>
      <c r="CA379">
        <f>12251.89518</f>
        <v>12251.89518</v>
      </c>
      <c r="CB379">
        <f>10557.86657</f>
        <v>10557.86657</v>
      </c>
      <c r="CC379">
        <f>16077.63455</f>
        <v>16077.634550000001</v>
      </c>
      <c r="CD379">
        <f>15448.75615</f>
        <v>15448.756149999999</v>
      </c>
      <c r="CE379">
        <f>12903.38885</f>
        <v>12903.388849999999</v>
      </c>
      <c r="CF379">
        <f>11505.79534</f>
        <v>11505.795340000001</v>
      </c>
      <c r="CG379">
        <f>10319.68011</f>
        <v>10319.680109999999</v>
      </c>
      <c r="CH379">
        <f>8996.863384</f>
        <v>8996.8633840000002</v>
      </c>
      <c r="CI379">
        <f>10660.18895</f>
        <v>10660.18895</v>
      </c>
      <c r="CJ379">
        <f>8975.234127</f>
        <v>8975.2341269999997</v>
      </c>
      <c r="CK379">
        <f>7974.217315</f>
        <v>7974.2173149999999</v>
      </c>
      <c r="CL379">
        <f>7920.804401</f>
        <v>7920.8044010000003</v>
      </c>
      <c r="CM379">
        <f>5852.621192</f>
        <v>5852.6211919999996</v>
      </c>
      <c r="CN379">
        <f>4656.446758</f>
        <v>4656.446758</v>
      </c>
      <c r="CO379">
        <f>4183.581671</f>
        <v>4183.5816709999999</v>
      </c>
      <c r="CP379">
        <f>3718.916015</f>
        <v>3718.9160149999998</v>
      </c>
      <c r="CQ379">
        <f>3167.524212</f>
        <v>3167.5242119999998</v>
      </c>
      <c r="CR379">
        <f>3090.608962</f>
        <v>3090.6089619999998</v>
      </c>
      <c r="CS379">
        <f>3260.568799</f>
        <v>3260.5687990000001</v>
      </c>
      <c r="CT379">
        <f>3084.76432</f>
        <v>3084.7643200000002</v>
      </c>
      <c r="CU379">
        <f>3140.943472</f>
        <v>3140.9434719999999</v>
      </c>
      <c r="CV379">
        <f>3294.981545</f>
        <v>3294.9815450000001</v>
      </c>
      <c r="CW379">
        <f>2571.395501</f>
        <v>2571.395501</v>
      </c>
      <c r="CX379">
        <f>3644.812495</f>
        <v>3644.8124950000001</v>
      </c>
      <c r="CY379">
        <f>4189.09487</f>
        <v>4189.0948699999999</v>
      </c>
      <c r="CZ379">
        <f>3090.481904</f>
        <v>3090.4819040000002</v>
      </c>
      <c r="DA379">
        <f>2497.861758</f>
        <v>2497.861758</v>
      </c>
      <c r="DB379">
        <f>2330.123241</f>
        <v>2330.1232409999998</v>
      </c>
      <c r="DC379">
        <f>1281.901716</f>
        <v>1281.9017160000001</v>
      </c>
      <c r="DD379">
        <f>1375.292976</f>
        <v>1375.292976</v>
      </c>
      <c r="DE379">
        <f>1589.297549</f>
        <v>1589.2975489999999</v>
      </c>
      <c r="DF379">
        <f>2579.917456</f>
        <v>2579.9174560000001</v>
      </c>
      <c r="DG379">
        <f>4320.733077</f>
        <v>4320.7330769999999</v>
      </c>
      <c r="DH379">
        <f>5373.585651</f>
        <v>5373.5856510000003</v>
      </c>
      <c r="DI379">
        <f>3308.324866</f>
        <v>3308.3248659999999</v>
      </c>
      <c r="DJ379">
        <f>3084.870356</f>
        <v>3084.8703559999999</v>
      </c>
      <c r="DK379">
        <f>1992.787621</f>
        <v>1992.7876209999999</v>
      </c>
      <c r="DL379">
        <f>1359.571046</f>
        <v>1359.571046</v>
      </c>
      <c r="DM379">
        <f>1305.129254</f>
        <v>1305.1292539999999</v>
      </c>
      <c r="DN379">
        <f>1197.230075</f>
        <v>1197.2300749999999</v>
      </c>
      <c r="DO379">
        <f>862.3693775</f>
        <v>862.36937750000004</v>
      </c>
      <c r="DP379">
        <f>974.7238503</f>
        <v>974.72385029999998</v>
      </c>
      <c r="DQ379">
        <f>992.2103761</f>
        <v>992.21037609999996</v>
      </c>
      <c r="DR379">
        <f>789.9379825</f>
        <v>789.93798249999998</v>
      </c>
      <c r="DS379">
        <f>864.6457783</f>
        <v>864.64577829999996</v>
      </c>
      <c r="DT379" t="str">
        <f>""</f>
        <v/>
      </c>
      <c r="DU379" t="str">
        <f>""</f>
        <v/>
      </c>
    </row>
    <row r="380" spans="1:125" x14ac:dyDescent="0.25">
      <c r="A380" t="str">
        <f>"    Daihatsu Motor Co Ltd"</f>
        <v xml:space="preserve">    Daihatsu Motor Co Ltd</v>
      </c>
      <c r="B380" t="str">
        <f>"7262 JP Equity"</f>
        <v>7262 JP Equity</v>
      </c>
      <c r="C380" t="str">
        <f t="shared" si="27"/>
        <v>RR937</v>
      </c>
      <c r="D380" t="str">
        <f t="shared" si="28"/>
        <v>CRNCY_ADJ_CURR_EV</v>
      </c>
      <c r="E380" t="str">
        <f t="shared" si="29"/>
        <v>Dynamic</v>
      </c>
      <c r="F380" t="str">
        <f ca="1">IF(AND(ISNUMBER($F$879),$B$511=1),$F$879,HLOOKUP(INDIRECT(ADDRESS(2,COLUMN())),OFFSET($BN$2,0,0,ROW()-1,60),ROW()-1,FALSE))</f>
        <v/>
      </c>
      <c r="G380" t="str">
        <f ca="1">IF(AND(ISNUMBER($G$879),$B$511=1),$G$879,HLOOKUP(INDIRECT(ADDRESS(2,COLUMN())),OFFSET($BN$2,0,0,ROW()-1,60),ROW()-1,FALSE))</f>
        <v/>
      </c>
      <c r="H380" t="str">
        <f ca="1">IF(AND(ISNUMBER($H$879),$B$511=1),$H$879,HLOOKUP(INDIRECT(ADDRESS(2,COLUMN())),OFFSET($BN$2,0,0,ROW()-1,60),ROW()-1,FALSE))</f>
        <v/>
      </c>
      <c r="I380" t="str">
        <f ca="1">IF(AND(ISNUMBER($I$879),$B$511=1),$I$879,HLOOKUP(INDIRECT(ADDRESS(2,COLUMN())),OFFSET($BN$2,0,0,ROW()-1,60),ROW()-1,FALSE))</f>
        <v/>
      </c>
      <c r="J380" t="str">
        <f ca="1">IF(AND(ISNUMBER($J$879),$B$511=1),$J$879,HLOOKUP(INDIRECT(ADDRESS(2,COLUMN())),OFFSET($BN$2,0,0,ROW()-1,60),ROW()-1,FALSE))</f>
        <v/>
      </c>
      <c r="K380" t="str">
        <f ca="1">IF(AND(ISNUMBER($K$879),$B$511=1),$K$879,HLOOKUP(INDIRECT(ADDRESS(2,COLUMN())),OFFSET($BN$2,0,0,ROW()-1,60),ROW()-1,FALSE))</f>
        <v/>
      </c>
      <c r="L380" t="str">
        <f ca="1">IF(AND(ISNUMBER($L$879),$B$511=1),$L$879,HLOOKUP(INDIRECT(ADDRESS(2,COLUMN())),OFFSET($BN$2,0,0,ROW()-1,60),ROW()-1,FALSE))</f>
        <v/>
      </c>
      <c r="M380" t="str">
        <f ca="1">IF(AND(ISNUMBER($M$879),$B$511=1),$M$879,HLOOKUP(INDIRECT(ADDRESS(2,COLUMN())),OFFSET($BN$2,0,0,ROW()-1,60),ROW()-1,FALSE))</f>
        <v/>
      </c>
      <c r="N380" t="str">
        <f ca="1">IF(AND(ISNUMBER($N$879),$B$511=1),$N$879,HLOOKUP(INDIRECT(ADDRESS(2,COLUMN())),OFFSET($BN$2,0,0,ROW()-1,60),ROW()-1,FALSE))</f>
        <v/>
      </c>
      <c r="O380" t="str">
        <f ca="1">IF(AND(ISNUMBER($O$879),$B$511=1),$O$879,HLOOKUP(INDIRECT(ADDRESS(2,COLUMN())),OFFSET($BN$2,0,0,ROW()-1,60),ROW()-1,FALSE))</f>
        <v/>
      </c>
      <c r="P380">
        <f ca="1">IF(AND(ISNUMBER($P$879),$B$511=1),$P$879,HLOOKUP(INDIRECT(ADDRESS(2,COLUMN())),OFFSET($BN$2,0,0,ROW()-1,60),ROW()-1,FALSE))</f>
        <v>8012.2943640000003</v>
      </c>
      <c r="Q380">
        <f ca="1">IF(AND(ISNUMBER($Q$879),$B$511=1),$Q$879,HLOOKUP(INDIRECT(ADDRESS(2,COLUMN())),OFFSET($BN$2,0,0,ROW()-1,60),ROW()-1,FALSE))</f>
        <v>7441.1441990000003</v>
      </c>
      <c r="R380">
        <f ca="1">IF(AND(ISNUMBER($R$879),$B$511=1),$R$879,HLOOKUP(INDIRECT(ADDRESS(2,COLUMN())),OFFSET($BN$2,0,0,ROW()-1,60),ROW()-1,FALSE))</f>
        <v>7823.8667299999997</v>
      </c>
      <c r="S380">
        <f ca="1">IF(AND(ISNUMBER($S$879),$B$511=1),$S$879,HLOOKUP(INDIRECT(ADDRESS(2,COLUMN())),OFFSET($BN$2,0,0,ROW()-1,60),ROW()-1,FALSE))</f>
        <v>7455.9635989999997</v>
      </c>
      <c r="T380">
        <f ca="1">IF(AND(ISNUMBER($T$879),$B$511=1),$T$879,HLOOKUP(INDIRECT(ADDRESS(2,COLUMN())),OFFSET($BN$2,0,0,ROW()-1,60),ROW()-1,FALSE))</f>
        <v>6724.8917970000002</v>
      </c>
      <c r="U380">
        <f ca="1">IF(AND(ISNUMBER($U$879),$B$511=1),$U$879,HLOOKUP(INDIRECT(ADDRESS(2,COLUMN())),OFFSET($BN$2,0,0,ROW()-1,60),ROW()-1,FALSE))</f>
        <v>7893.9429339999997</v>
      </c>
      <c r="V380">
        <f ca="1">IF(AND(ISNUMBER($V$879),$B$511=1),$V$879,HLOOKUP(INDIRECT(ADDRESS(2,COLUMN())),OFFSET($BN$2,0,0,ROW()-1,60),ROW()-1,FALSE))</f>
        <v>8117.2821329999997</v>
      </c>
      <c r="W380">
        <f ca="1">IF(AND(ISNUMBER($W$879),$B$511=1),$W$879,HLOOKUP(INDIRECT(ADDRESS(2,COLUMN())),OFFSET($BN$2,0,0,ROW()-1,60),ROW()-1,FALSE))</f>
        <v>7078.8058469999996</v>
      </c>
      <c r="X380">
        <f ca="1">IF(AND(ISNUMBER($X$879),$B$511=1),$X$879,HLOOKUP(INDIRECT(ADDRESS(2,COLUMN())),OFFSET($BN$2,0,0,ROW()-1,60),ROW()-1,FALSE))</f>
        <v>8407.1134889999994</v>
      </c>
      <c r="Y380">
        <f ca="1">IF(AND(ISNUMBER($Y$879),$B$511=1),$Y$879,HLOOKUP(INDIRECT(ADDRESS(2,COLUMN())),OFFSET($BN$2,0,0,ROW()-1,60),ROW()-1,FALSE))</f>
        <v>9296.8648690000009</v>
      </c>
      <c r="Z380">
        <f ca="1">IF(AND(ISNUMBER($Z$879),$B$511=1),$Z$879,HLOOKUP(INDIRECT(ADDRESS(2,COLUMN())),OFFSET($BN$2,0,0,ROW()-1,60),ROW()-1,FALSE))</f>
        <v>8901.5537750000003</v>
      </c>
      <c r="AA380">
        <f ca="1">IF(AND(ISNUMBER($AA$879),$B$511=1),$AA$879,HLOOKUP(INDIRECT(ADDRESS(2,COLUMN())),OFFSET($BN$2,0,0,ROW()-1,60),ROW()-1,FALSE))</f>
        <v>8536.4589489999998</v>
      </c>
      <c r="AB380">
        <f ca="1">IF(AND(ISNUMBER($AB$879),$B$511=1),$AB$879,HLOOKUP(INDIRECT(ADDRESS(2,COLUMN())),OFFSET($BN$2,0,0,ROW()-1,60),ROW()-1,FALSE))</f>
        <v>9746.7632130000002</v>
      </c>
      <c r="AC380">
        <f ca="1">IF(AND(ISNUMBER($AC$879),$B$511=1),$AC$879,HLOOKUP(INDIRECT(ADDRESS(2,COLUMN())),OFFSET($BN$2,0,0,ROW()-1,60),ROW()-1,FALSE))</f>
        <v>9582.8063629999997</v>
      </c>
      <c r="AD380">
        <f ca="1">IF(AND(ISNUMBER($AD$879),$B$511=1),$AD$879,HLOOKUP(INDIRECT(ADDRESS(2,COLUMN())),OFFSET($BN$2,0,0,ROW()-1,60),ROW()-1,FALSE))</f>
        <v>10331.023859999999</v>
      </c>
      <c r="AE380">
        <f ca="1">IF(AND(ISNUMBER($AE$879),$B$511=1),$AE$879,HLOOKUP(INDIRECT(ADDRESS(2,COLUMN())),OFFSET($BN$2,0,0,ROW()-1,60),ROW()-1,FALSE))</f>
        <v>10222.716410000001</v>
      </c>
      <c r="AF380">
        <f ca="1">IF(AND(ISNUMBER($AF$879),$B$511=1),$AF$879,HLOOKUP(INDIRECT(ADDRESS(2,COLUMN())),OFFSET($BN$2,0,0,ROW()-1,60),ROW()-1,FALSE))</f>
        <v>9069.3419859999995</v>
      </c>
      <c r="AG380">
        <f ca="1">IF(AND(ISNUMBER($AG$879),$B$511=1),$AG$879,HLOOKUP(INDIRECT(ADDRESS(2,COLUMN())),OFFSET($BN$2,0,0,ROW()-1,60),ROW()-1,FALSE))</f>
        <v>9247.6889890000002</v>
      </c>
      <c r="AH380">
        <f ca="1">IF(AND(ISNUMBER($AH$879),$B$511=1),$AH$879,HLOOKUP(INDIRECT(ADDRESS(2,COLUMN())),OFFSET($BN$2,0,0,ROW()-1,60),ROW()-1,FALSE))</f>
        <v>9577.5075219999999</v>
      </c>
      <c r="AI380">
        <f ca="1">IF(AND(ISNUMBER($AI$879),$B$511=1),$AI$879,HLOOKUP(INDIRECT(ADDRESS(2,COLUMN())),OFFSET($BN$2,0,0,ROW()-1,60),ROW()-1,FALSE))</f>
        <v>9351.7857189999995</v>
      </c>
      <c r="AJ380">
        <f ca="1">IF(AND(ISNUMBER($AJ$879),$B$511=1),$AJ$879,HLOOKUP(INDIRECT(ADDRESS(2,COLUMN())),OFFSET($BN$2,0,0,ROW()-1,60),ROW()-1,FALSE))</f>
        <v>9711.2300630000009</v>
      </c>
      <c r="AK380">
        <f ca="1">IF(AND(ISNUMBER($AK$879),$B$511=1),$AK$879,HLOOKUP(INDIRECT(ADDRESS(2,COLUMN())),OFFSET($BN$2,0,0,ROW()-1,60),ROW()-1,FALSE))</f>
        <v>9000.8286079999998</v>
      </c>
      <c r="AL380">
        <f ca="1">IF(AND(ISNUMBER($AL$879),$B$511=1),$AL$879,HLOOKUP(INDIRECT(ADDRESS(2,COLUMN())),OFFSET($BN$2,0,0,ROW()-1,60),ROW()-1,FALSE))</f>
        <v>8158.3129159999999</v>
      </c>
      <c r="AM380">
        <f ca="1">IF(AND(ISNUMBER($AM$879),$B$511=1),$AM$879,HLOOKUP(INDIRECT(ADDRESS(2,COLUMN())),OFFSET($BN$2,0,0,ROW()-1,60),ROW()-1,FALSE))</f>
        <v>8383.9642810000005</v>
      </c>
      <c r="AN380">
        <f ca="1">IF(AND(ISNUMBER($AN$879),$B$511=1),$AN$879,HLOOKUP(INDIRECT(ADDRESS(2,COLUMN())),OFFSET($BN$2,0,0,ROW()-1,60),ROW()-1,FALSE))</f>
        <v>7667.6896139999999</v>
      </c>
      <c r="AO380">
        <f ca="1">IF(AND(ISNUMBER($AO$879),$B$511=1),$AO$879,HLOOKUP(INDIRECT(ADDRESS(2,COLUMN())),OFFSET($BN$2,0,0,ROW()-1,60),ROW()-1,FALSE))</f>
        <v>5927.3321089999999</v>
      </c>
      <c r="AP380">
        <f ca="1">IF(AND(ISNUMBER($AP$879),$B$511=1),$AP$879,HLOOKUP(INDIRECT(ADDRESS(2,COLUMN())),OFFSET($BN$2,0,0,ROW()-1,60),ROW()-1,FALSE))</f>
        <v>6297.2049049999996</v>
      </c>
      <c r="AQ380">
        <f ca="1">IF(AND(ISNUMBER($AQ$879),$B$511=1),$AQ$879,HLOOKUP(INDIRECT(ADDRESS(2,COLUMN())),OFFSET($BN$2,0,0,ROW()-1,60),ROW()-1,FALSE))</f>
        <v>6290.0060830000002</v>
      </c>
      <c r="AR380">
        <f ca="1">IF(AND(ISNUMBER($AR$879),$B$511=1),$AR$879,HLOOKUP(INDIRECT(ADDRESS(2,COLUMN())),OFFSET($BN$2,0,0,ROW()-1,60),ROW()-1,FALSE))</f>
        <v>6715.4970789999998</v>
      </c>
      <c r="AS380">
        <f ca="1">IF(AND(ISNUMBER($AS$879),$B$511=1),$AS$879,HLOOKUP(INDIRECT(ADDRESS(2,COLUMN())),OFFSET($BN$2,0,0,ROW()-1,60),ROW()-1,FALSE))</f>
        <v>6177.4962759999999</v>
      </c>
      <c r="AT380">
        <f ca="1">IF(AND(ISNUMBER($AT$879),$B$511=1),$AT$879,HLOOKUP(INDIRECT(ADDRESS(2,COLUMN())),OFFSET($BN$2,0,0,ROW()-1,60),ROW()-1,FALSE))</f>
        <v>5595.9997599999997</v>
      </c>
      <c r="AU380">
        <f ca="1">IF(AND(ISNUMBER($AU$879),$B$511=1),$AU$879,HLOOKUP(INDIRECT(ADDRESS(2,COLUMN())),OFFSET($BN$2,0,0,ROW()-1,60),ROW()-1,FALSE))</f>
        <v>5668.4080359999998</v>
      </c>
      <c r="AV380">
        <f ca="1">IF(AND(ISNUMBER($AV$879),$B$511=1),$AV$879,HLOOKUP(INDIRECT(ADDRESS(2,COLUMN())),OFFSET($BN$2,0,0,ROW()-1,60),ROW()-1,FALSE))</f>
        <v>6432.6321109999999</v>
      </c>
      <c r="AW380">
        <f ca="1">IF(AND(ISNUMBER($AW$879),$B$511=1),$AW$879,HLOOKUP(INDIRECT(ADDRESS(2,COLUMN())),OFFSET($BN$2,0,0,ROW()-1,60),ROW()-1,FALSE))</f>
        <v>6705.4576779999998</v>
      </c>
      <c r="AX380">
        <f ca="1">IF(AND(ISNUMBER($AX$879),$B$511=1),$AX$879,HLOOKUP(INDIRECT(ADDRESS(2,COLUMN())),OFFSET($BN$2,0,0,ROW()-1,60),ROW()-1,FALSE))</f>
        <v>7148.4599840000001</v>
      </c>
      <c r="AY380">
        <f ca="1">IF(AND(ISNUMBER($AY$879),$B$511=1),$AY$879,HLOOKUP(INDIRECT(ADDRESS(2,COLUMN())),OFFSET($BN$2,0,0,ROW()-1,60),ROW()-1,FALSE))</f>
        <v>5721.358671</v>
      </c>
      <c r="AZ380">
        <f ca="1">IF(AND(ISNUMBER($AZ$879),$B$511=1),$AZ$879,HLOOKUP(INDIRECT(ADDRESS(2,COLUMN())),OFFSET($BN$2,0,0,ROW()-1,60),ROW()-1,FALSE))</f>
        <v>6186.5132590000003</v>
      </c>
      <c r="BA380">
        <f ca="1">IF(AND(ISNUMBER($BA$879),$B$511=1),$BA$879,HLOOKUP(INDIRECT(ADDRESS(2,COLUMN())),OFFSET($BN$2,0,0,ROW()-1,60),ROW()-1,FALSE))</f>
        <v>5489.7531559999998</v>
      </c>
      <c r="BB380">
        <f ca="1">IF(AND(ISNUMBER($BB$879),$B$511=1),$BB$879,HLOOKUP(INDIRECT(ADDRESS(2,COLUMN())),OFFSET($BN$2,0,0,ROW()-1,60),ROW()-1,FALSE))</f>
        <v>5581.2908420000003</v>
      </c>
      <c r="BC380">
        <f ca="1">IF(AND(ISNUMBER($BC$879),$B$511=1),$BC$879,HLOOKUP(INDIRECT(ADDRESS(2,COLUMN())),OFFSET($BN$2,0,0,ROW()-1,60),ROW()-1,FALSE))</f>
        <v>5721.059002</v>
      </c>
      <c r="BD380">
        <f ca="1">IF(AND(ISNUMBER($BD$879),$B$511=1),$BD$879,HLOOKUP(INDIRECT(ADDRESS(2,COLUMN())),OFFSET($BN$2,0,0,ROW()-1,60),ROW()-1,FALSE))</f>
        <v>5388.3659349999998</v>
      </c>
      <c r="BE380">
        <f ca="1">IF(AND(ISNUMBER($BE$879),$B$511=1),$BE$879,HLOOKUP(INDIRECT(ADDRESS(2,COLUMN())),OFFSET($BN$2,0,0,ROW()-1,60),ROW()-1,FALSE))</f>
        <v>4794.5417980000002</v>
      </c>
      <c r="BF380">
        <f ca="1">IF(AND(ISNUMBER($BF$879),$B$511=1),$BF$879,HLOOKUP(INDIRECT(ADDRESS(2,COLUMN())),OFFSET($BN$2,0,0,ROW()-1,60),ROW()-1,FALSE))</f>
        <v>5870.9601089999996</v>
      </c>
      <c r="BG380">
        <f ca="1">IF(AND(ISNUMBER($BG$879),$B$511=1),$BG$879,HLOOKUP(INDIRECT(ADDRESS(2,COLUMN())),OFFSET($BN$2,0,0,ROW()-1,60),ROW()-1,FALSE))</f>
        <v>5969.3041190000004</v>
      </c>
      <c r="BH380">
        <f ca="1">IF(AND(ISNUMBER($BH$879),$B$511=1),$BH$879,HLOOKUP(INDIRECT(ADDRESS(2,COLUMN())),OFFSET($BN$2,0,0,ROW()-1,60),ROW()-1,FALSE))</f>
        <v>5715.3789509999997</v>
      </c>
      <c r="BI380">
        <f ca="1">IF(AND(ISNUMBER($BI$879),$B$511=1),$BI$879,HLOOKUP(INDIRECT(ADDRESS(2,COLUMN())),OFFSET($BN$2,0,0,ROW()-1,60),ROW()-1,FALSE))</f>
        <v>5075.231691</v>
      </c>
      <c r="BJ380">
        <f ca="1">IF(AND(ISNUMBER($BJ$879),$B$511=1),$BJ$879,HLOOKUP(INDIRECT(ADDRESS(2,COLUMN())),OFFSET($BN$2,0,0,ROW()-1,60),ROW()-1,FALSE))</f>
        <v>4772.2033700000002</v>
      </c>
      <c r="BK380">
        <f ca="1">IF(AND(ISNUMBER($BK$879),$B$511=1),$BK$879,HLOOKUP(INDIRECT(ADDRESS(2,COLUMN())),OFFSET($BN$2,0,0,ROW()-1,60),ROW()-1,FALSE))</f>
        <v>4813.5514739999999</v>
      </c>
      <c r="BL380">
        <f ca="1">IF(AND(ISNUMBER($BL$879),$B$511=1),$BL$879,HLOOKUP(INDIRECT(ADDRESS(2,COLUMN())),OFFSET($BN$2,0,0,ROW()-1,60),ROW()-1,FALSE))</f>
        <v>4822.2184440000001</v>
      </c>
      <c r="BM380">
        <f ca="1">IF(AND(ISNUMBER($BM$879),$B$511=1),$BM$879,HLOOKUP(INDIRECT(ADDRESS(2,COLUMN())),OFFSET($BN$2,0,0,ROW()-1,60),ROW()-1,FALSE))</f>
        <v>4461.5071390000003</v>
      </c>
      <c r="BN380" t="str">
        <f>""</f>
        <v/>
      </c>
      <c r="BO380" t="str">
        <f>""</f>
        <v/>
      </c>
      <c r="BP380" t="str">
        <f>""</f>
        <v/>
      </c>
      <c r="BQ380" t="str">
        <f>""</f>
        <v/>
      </c>
      <c r="BR380" t="str">
        <f>""</f>
        <v/>
      </c>
      <c r="BS380" t="str">
        <f>""</f>
        <v/>
      </c>
      <c r="BT380" t="str">
        <f>""</f>
        <v/>
      </c>
      <c r="BU380" t="str">
        <f>""</f>
        <v/>
      </c>
      <c r="BV380" t="str">
        <f>""</f>
        <v/>
      </c>
      <c r="BW380" t="str">
        <f>""</f>
        <v/>
      </c>
      <c r="BX380">
        <f>8012.294364</f>
        <v>8012.2943640000003</v>
      </c>
      <c r="BY380">
        <f>7441.144199</f>
        <v>7441.1441990000003</v>
      </c>
      <c r="BZ380">
        <f>7823.86673</f>
        <v>7823.8667299999997</v>
      </c>
      <c r="CA380">
        <f>7455.963599</f>
        <v>7455.9635989999997</v>
      </c>
      <c r="CB380">
        <f>6724.891797</f>
        <v>6724.8917970000002</v>
      </c>
      <c r="CC380">
        <f>7893.942934</f>
        <v>7893.9429339999997</v>
      </c>
      <c r="CD380">
        <f>8117.282133</f>
        <v>8117.2821329999997</v>
      </c>
      <c r="CE380">
        <f>7078.805847</f>
        <v>7078.8058469999996</v>
      </c>
      <c r="CF380">
        <f>8407.113489</f>
        <v>8407.1134889999994</v>
      </c>
      <c r="CG380">
        <f>9296.864869</f>
        <v>9296.8648690000009</v>
      </c>
      <c r="CH380">
        <f>8901.553775</f>
        <v>8901.5537750000003</v>
      </c>
      <c r="CI380">
        <f>8536.458949</f>
        <v>8536.4589489999998</v>
      </c>
      <c r="CJ380">
        <f>9746.763213</f>
        <v>9746.7632130000002</v>
      </c>
      <c r="CK380">
        <f>9582.806363</f>
        <v>9582.8063629999997</v>
      </c>
      <c r="CL380">
        <f>10331.02386</f>
        <v>10331.023859999999</v>
      </c>
      <c r="CM380">
        <f>10222.71641</f>
        <v>10222.716410000001</v>
      </c>
      <c r="CN380">
        <f>9069.341986</f>
        <v>9069.3419859999995</v>
      </c>
      <c r="CO380">
        <f>9247.688989</f>
        <v>9247.6889890000002</v>
      </c>
      <c r="CP380">
        <f>9577.50752199999</f>
        <v>9577.5075219999999</v>
      </c>
      <c r="CQ380">
        <f>9351.785719</f>
        <v>9351.7857189999995</v>
      </c>
      <c r="CR380">
        <f>9711.230063</f>
        <v>9711.2300630000009</v>
      </c>
      <c r="CS380">
        <f>9000.828608</f>
        <v>9000.8286079999998</v>
      </c>
      <c r="CT380">
        <f>8158.312916</f>
        <v>8158.3129159999999</v>
      </c>
      <c r="CU380">
        <f>8383.964281</f>
        <v>8383.9642810000005</v>
      </c>
      <c r="CV380">
        <f>7667.689614</f>
        <v>7667.6896139999999</v>
      </c>
      <c r="CW380">
        <f>5927.332109</f>
        <v>5927.3321089999999</v>
      </c>
      <c r="CX380">
        <f>6297.204905</f>
        <v>6297.2049049999996</v>
      </c>
      <c r="CY380">
        <f>6290.006083</f>
        <v>6290.0060830000002</v>
      </c>
      <c r="CZ380">
        <f>6715.497079</f>
        <v>6715.4970789999998</v>
      </c>
      <c r="DA380">
        <f>6177.496276</f>
        <v>6177.4962759999999</v>
      </c>
      <c r="DB380">
        <f>5595.99976</f>
        <v>5595.9997599999997</v>
      </c>
      <c r="DC380">
        <f>5668.408036</f>
        <v>5668.4080359999998</v>
      </c>
      <c r="DD380">
        <f>6432.632111</f>
        <v>6432.6321109999999</v>
      </c>
      <c r="DE380">
        <f>6705.457678</f>
        <v>6705.4576779999998</v>
      </c>
      <c r="DF380">
        <f>7148.459984</f>
        <v>7148.4599840000001</v>
      </c>
      <c r="DG380">
        <f>5721.358671</f>
        <v>5721.358671</v>
      </c>
      <c r="DH380">
        <f>6186.513259</f>
        <v>6186.5132590000003</v>
      </c>
      <c r="DI380">
        <f>5489.753156</f>
        <v>5489.7531559999998</v>
      </c>
      <c r="DJ380">
        <f>5581.290842</f>
        <v>5581.2908420000003</v>
      </c>
      <c r="DK380">
        <f>5721.059002</f>
        <v>5721.059002</v>
      </c>
      <c r="DL380">
        <f>5388.365935</f>
        <v>5388.3659349999998</v>
      </c>
      <c r="DM380">
        <f>4794.541798</f>
        <v>4794.5417980000002</v>
      </c>
      <c r="DN380">
        <f>5870.960109</f>
        <v>5870.9601089999996</v>
      </c>
      <c r="DO380">
        <f>5969.304119</f>
        <v>5969.3041190000004</v>
      </c>
      <c r="DP380">
        <f>5715.378951</f>
        <v>5715.3789509999997</v>
      </c>
      <c r="DQ380">
        <f>5075.231691</f>
        <v>5075.231691</v>
      </c>
      <c r="DR380">
        <f>4772.20337</f>
        <v>4772.2033700000002</v>
      </c>
      <c r="DS380">
        <f>4813.551474</f>
        <v>4813.5514739999999</v>
      </c>
      <c r="DT380">
        <f>4822.218444</f>
        <v>4822.2184440000001</v>
      </c>
      <c r="DU380">
        <f>4461.507139</f>
        <v>4461.5071390000003</v>
      </c>
    </row>
    <row r="381" spans="1:125" x14ac:dyDescent="0.25">
      <c r="A381" t="str">
        <f>"    Daimler AG"</f>
        <v xml:space="preserve">    Daimler AG</v>
      </c>
      <c r="B381" t="str">
        <f>"DAI GR Equity"</f>
        <v>DAI GR Equity</v>
      </c>
      <c r="C381" t="str">
        <f t="shared" si="27"/>
        <v>RR937</v>
      </c>
      <c r="D381" t="str">
        <f t="shared" si="28"/>
        <v>CRNCY_ADJ_CURR_EV</v>
      </c>
      <c r="E381" t="str">
        <f t="shared" si="29"/>
        <v>Dynamic</v>
      </c>
      <c r="F381">
        <f ca="1">IF(AND(ISNUMBER($F$880),$B$511=1),$F$880,HLOOKUP(INDIRECT(ADDRESS(2,COLUMN())),OFFSET($BN$2,0,0,ROW()-1,60),ROW()-1,FALSE))</f>
        <v>43700.945540000001</v>
      </c>
      <c r="G381">
        <f ca="1">IF(AND(ISNUMBER($G$880),$B$511=1),$G$880,HLOOKUP(INDIRECT(ADDRESS(2,COLUMN())),OFFSET($BN$2,0,0,ROW()-1,60),ROW()-1,FALSE))</f>
        <v>36331.166870000001</v>
      </c>
      <c r="H381">
        <f ca="1">IF(AND(ISNUMBER($H$880),$B$511=1),$H$880,HLOOKUP(INDIRECT(ADDRESS(2,COLUMN())),OFFSET($BN$2,0,0,ROW()-1,60),ROW()-1,FALSE))</f>
        <v>48705.814279999999</v>
      </c>
      <c r="I381">
        <f ca="1">IF(AND(ISNUMBER($I$880),$B$511=1),$I$880,HLOOKUP(INDIRECT(ADDRESS(2,COLUMN())),OFFSET($BN$2,0,0,ROW()-1,60),ROW()-1,FALSE))</f>
        <v>48143.264969999997</v>
      </c>
      <c r="J381">
        <f ca="1">IF(AND(ISNUMBER($J$880),$B$511=1),$J$880,HLOOKUP(INDIRECT(ADDRESS(2,COLUMN())),OFFSET($BN$2,0,0,ROW()-1,60),ROW()-1,FALSE))</f>
        <v>64856.863140000001</v>
      </c>
      <c r="K381">
        <f ca="1">IF(AND(ISNUMBER($K$880),$B$511=1),$K$880,HLOOKUP(INDIRECT(ADDRESS(2,COLUMN())),OFFSET($BN$2,0,0,ROW()-1,60),ROW()-1,FALSE))</f>
        <v>68433.421180000005</v>
      </c>
      <c r="L381">
        <f ca="1">IF(AND(ISNUMBER($L$880),$B$511=1),$L$880,HLOOKUP(INDIRECT(ADDRESS(2,COLUMN())),OFFSET($BN$2,0,0,ROW()-1,60),ROW()-1,FALSE))</f>
        <v>55912.995349999997</v>
      </c>
      <c r="M381">
        <f ca="1">IF(AND(ISNUMBER($M$880),$B$511=1),$M$880,HLOOKUP(INDIRECT(ADDRESS(2,COLUMN())),OFFSET($BN$2,0,0,ROW()-1,60),ROW()-1,FALSE))</f>
        <v>52039.485229999998</v>
      </c>
      <c r="N381">
        <f ca="1">IF(AND(ISNUMBER($N$880),$B$511=1),$N$880,HLOOKUP(INDIRECT(ADDRESS(2,COLUMN())),OFFSET($BN$2,0,0,ROW()-1,60),ROW()-1,FALSE))</f>
        <v>52562.98934</v>
      </c>
      <c r="O381">
        <f ca="1">IF(AND(ISNUMBER($O$880),$B$511=1),$O$880,HLOOKUP(INDIRECT(ADDRESS(2,COLUMN())),OFFSET($BN$2,0,0,ROW()-1,60),ROW()-1,FALSE))</f>
        <v>56890.413679999998</v>
      </c>
      <c r="P381">
        <f ca="1">IF(AND(ISNUMBER($P$880),$B$511=1),$P$880,HLOOKUP(INDIRECT(ADDRESS(2,COLUMN())),OFFSET($BN$2,0,0,ROW()-1,60),ROW()-1,FALSE))</f>
        <v>52481.930659999998</v>
      </c>
      <c r="Q381">
        <f ca="1">IF(AND(ISNUMBER($Q$880),$B$511=1),$Q$880,HLOOKUP(INDIRECT(ADDRESS(2,COLUMN())),OFFSET($BN$2,0,0,ROW()-1,60),ROW()-1,FALSE))</f>
        <v>42215.978470000002</v>
      </c>
      <c r="R381">
        <f ca="1">IF(AND(ISNUMBER($R$880),$B$511=1),$R$880,HLOOKUP(INDIRECT(ADDRESS(2,COLUMN())),OFFSET($BN$2,0,0,ROW()-1,60),ROW()-1,FALSE))</f>
        <v>58777.253270000001</v>
      </c>
      <c r="S381">
        <f ca="1">IF(AND(ISNUMBER($S$880),$B$511=1),$S$880,HLOOKUP(INDIRECT(ADDRESS(2,COLUMN())),OFFSET($BN$2,0,0,ROW()-1,60),ROW()-1,FALSE))</f>
        <v>68683.638269999996</v>
      </c>
      <c r="T381">
        <f ca="1">IF(AND(ISNUMBER($T$880),$B$511=1),$T$880,HLOOKUP(INDIRECT(ADDRESS(2,COLUMN())),OFFSET($BN$2,0,0,ROW()-1,60),ROW()-1,FALSE))</f>
        <v>53197.079270000002</v>
      </c>
      <c r="U381">
        <f ca="1">IF(AND(ISNUMBER($U$880),$B$511=1),$U$880,HLOOKUP(INDIRECT(ADDRESS(2,COLUMN())),OFFSET($BN$2,0,0,ROW()-1,60),ROW()-1,FALSE))</f>
        <v>74976.537949999998</v>
      </c>
      <c r="V381">
        <f ca="1">IF(AND(ISNUMBER($V$880),$B$511=1),$V$880,HLOOKUP(INDIRECT(ADDRESS(2,COLUMN())),OFFSET($BN$2,0,0,ROW()-1,60),ROW()-1,FALSE))</f>
        <v>78756.296910000005</v>
      </c>
      <c r="W381">
        <f ca="1">IF(AND(ISNUMBER($W$880),$B$511=1),$W$880,HLOOKUP(INDIRECT(ADDRESS(2,COLUMN())),OFFSET($BN$2,0,0,ROW()-1,60),ROW()-1,FALSE))</f>
        <v>66754.920530000003</v>
      </c>
      <c r="X381">
        <f ca="1">IF(AND(ISNUMBER($X$880),$B$511=1),$X$880,HLOOKUP(INDIRECT(ADDRESS(2,COLUMN())),OFFSET($BN$2,0,0,ROW()-1,60),ROW()-1,FALSE))</f>
        <v>55848.670510000004</v>
      </c>
      <c r="Y381">
        <f ca="1">IF(AND(ISNUMBER($Y$880),$B$511=1),$Y$880,HLOOKUP(INDIRECT(ADDRESS(2,COLUMN())),OFFSET($BN$2,0,0,ROW()-1,60),ROW()-1,FALSE))</f>
        <v>78579.629830000005</v>
      </c>
      <c r="Z381">
        <f ca="1">IF(AND(ISNUMBER($Z$880),$B$511=1),$Z$880,HLOOKUP(INDIRECT(ADDRESS(2,COLUMN())),OFFSET($BN$2,0,0,ROW()-1,60),ROW()-1,FALSE))</f>
        <v>76772.107969999997</v>
      </c>
      <c r="AA381">
        <f ca="1">IF(AND(ISNUMBER($AA$880),$B$511=1),$AA$880,HLOOKUP(INDIRECT(ADDRESS(2,COLUMN())),OFFSET($BN$2,0,0,ROW()-1,60),ROW()-1,FALSE))</f>
        <v>70153.026719999994</v>
      </c>
      <c r="AB381">
        <f ca="1">IF(AND(ISNUMBER($AB$880),$B$511=1),$AB$880,HLOOKUP(INDIRECT(ADDRESS(2,COLUMN())),OFFSET($BN$2,0,0,ROW()-1,60),ROW()-1,FALSE))</f>
        <v>61891.828939999999</v>
      </c>
      <c r="AC381">
        <f ca="1">IF(AND(ISNUMBER($AC$880),$B$511=1),$AC$880,HLOOKUP(INDIRECT(ADDRESS(2,COLUMN())),OFFSET($BN$2,0,0,ROW()-1,60),ROW()-1,FALSE))</f>
        <v>45310.828200000004</v>
      </c>
      <c r="AD381">
        <f ca="1">IF(AND(ISNUMBER($AD$880),$B$511=1),$AD$880,HLOOKUP(INDIRECT(ADDRESS(2,COLUMN())),OFFSET($BN$2,0,0,ROW()-1,60),ROW()-1,FALSE))</f>
        <v>42775.776360000003</v>
      </c>
      <c r="AE381">
        <f ca="1">IF(AND(ISNUMBER($AE$880),$B$511=1),$AE$880,HLOOKUP(INDIRECT(ADDRESS(2,COLUMN())),OFFSET($BN$2,0,0,ROW()-1,60),ROW()-1,FALSE))</f>
        <v>41641.939380000003</v>
      </c>
      <c r="AF381">
        <f ca="1">IF(AND(ISNUMBER($AF$880),$B$511=1),$AF$880,HLOOKUP(INDIRECT(ADDRESS(2,COLUMN())),OFFSET($BN$2,0,0,ROW()-1,60),ROW()-1,FALSE))</f>
        <v>39615.617109999999</v>
      </c>
      <c r="AG381">
        <f ca="1">IF(AND(ISNUMBER($AG$880),$B$511=1),$AG$880,HLOOKUP(INDIRECT(ADDRESS(2,COLUMN())),OFFSET($BN$2,0,0,ROW()-1,60),ROW()-1,FALSE))</f>
        <v>34931.513039999998</v>
      </c>
      <c r="AH381">
        <f ca="1">IF(AND(ISNUMBER($AH$880),$B$511=1),$AH$880,HLOOKUP(INDIRECT(ADDRESS(2,COLUMN())),OFFSET($BN$2,0,0,ROW()-1,60),ROW()-1,FALSE))</f>
        <v>49114.304349999999</v>
      </c>
      <c r="AI381">
        <f ca="1">IF(AND(ISNUMBER($AI$880),$B$511=1),$AI$880,HLOOKUP(INDIRECT(ADDRESS(2,COLUMN())),OFFSET($BN$2,0,0,ROW()-1,60),ROW()-1,FALSE))</f>
        <v>29561.833910000001</v>
      </c>
      <c r="AJ381">
        <f ca="1">IF(AND(ISNUMBER($AJ$880),$B$511=1),$AJ$880,HLOOKUP(INDIRECT(ADDRESS(2,COLUMN())),OFFSET($BN$2,0,0,ROW()-1,60),ROW()-1,FALSE))</f>
        <v>32329.606800000001</v>
      </c>
      <c r="AK381">
        <f ca="1">IF(AND(ISNUMBER($AK$880),$B$511=1),$AK$880,HLOOKUP(INDIRECT(ADDRESS(2,COLUMN())),OFFSET($BN$2,0,0,ROW()-1,60),ROW()-1,FALSE))</f>
        <v>61047.860330000003</v>
      </c>
      <c r="AL381">
        <f ca="1">IF(AND(ISNUMBER($AL$880),$B$511=1),$AL$880,HLOOKUP(INDIRECT(ADDRESS(2,COLUMN())),OFFSET($BN$2,0,0,ROW()-1,60),ROW()-1,FALSE))</f>
        <v>55818.373979999997</v>
      </c>
      <c r="AM381">
        <f ca="1">IF(AND(ISNUMBER($AM$880),$B$511=1),$AM$880,HLOOKUP(INDIRECT(ADDRESS(2,COLUMN())),OFFSET($BN$2,0,0,ROW()-1,60),ROW()-1,FALSE))</f>
        <v>54787.347470000001</v>
      </c>
      <c r="AN381">
        <f ca="1">IF(AND(ISNUMBER($AN$880),$B$511=1),$AN$880,HLOOKUP(INDIRECT(ADDRESS(2,COLUMN())),OFFSET($BN$2,0,0,ROW()-1,60),ROW()-1,FALSE))</f>
        <v>49236.324130000001</v>
      </c>
      <c r="AO381">
        <f ca="1">IF(AND(ISNUMBER($AO$880),$B$511=1),$AO$880,HLOOKUP(INDIRECT(ADDRESS(2,COLUMN())),OFFSET($BN$2,0,0,ROW()-1,60),ROW()-1,FALSE))</f>
        <v>41509.088060000002</v>
      </c>
      <c r="AP381">
        <f ca="1">IF(AND(ISNUMBER($AP$880),$B$511=1),$AP$880,HLOOKUP(INDIRECT(ADDRESS(2,COLUMN())),OFFSET($BN$2,0,0,ROW()-1,60),ROW()-1,FALSE))</f>
        <v>39240.578320000001</v>
      </c>
      <c r="AQ381">
        <f ca="1">IF(AND(ISNUMBER($AQ$880),$B$511=1),$AQ$880,HLOOKUP(INDIRECT(ADDRESS(2,COLUMN())),OFFSET($BN$2,0,0,ROW()-1,60),ROW()-1,FALSE))</f>
        <v>47852.100209999997</v>
      </c>
      <c r="AR381">
        <f ca="1">IF(AND(ISNUMBER($AR$880),$B$511=1),$AR$880,HLOOKUP(INDIRECT(ADDRESS(2,COLUMN())),OFFSET($BN$2,0,0,ROW()-1,60),ROW()-1,FALSE))</f>
        <v>43194.835149999999</v>
      </c>
      <c r="AS381">
        <f ca="1">IF(AND(ISNUMBER($AS$880),$B$511=1),$AS$880,HLOOKUP(INDIRECT(ADDRESS(2,COLUMN())),OFFSET($BN$2,0,0,ROW()-1,60),ROW()-1,FALSE))</f>
        <v>30693.674230000001</v>
      </c>
      <c r="AT381">
        <f ca="1">IF(AND(ISNUMBER($AT$880),$B$511=1),$AT$880,HLOOKUP(INDIRECT(ADDRESS(2,COLUMN())),OFFSET($BN$2,0,0,ROW()-1,60),ROW()-1,FALSE))</f>
        <v>21613.989280000002</v>
      </c>
      <c r="AU381">
        <f ca="1">IF(AND(ISNUMBER($AU$880),$B$511=1),$AU$880,HLOOKUP(INDIRECT(ADDRESS(2,COLUMN())),OFFSET($BN$2,0,0,ROW()-1,60),ROW()-1,FALSE))</f>
        <v>119083.6032</v>
      </c>
      <c r="AV381">
        <f ca="1">IF(AND(ISNUMBER($AV$880),$B$511=1),$AV$880,HLOOKUP(INDIRECT(ADDRESS(2,COLUMN())),OFFSET($BN$2,0,0,ROW()-1,60),ROW()-1,FALSE))</f>
        <v>125390.20269999999</v>
      </c>
      <c r="AW381">
        <f ca="1">IF(AND(ISNUMBER($AW$880),$B$511=1),$AW$880,HLOOKUP(INDIRECT(ADDRESS(2,COLUMN())),OFFSET($BN$2,0,0,ROW()-1,60),ROW()-1,FALSE))</f>
        <v>136936.73199999999</v>
      </c>
      <c r="AX381">
        <f ca="1">IF(AND(ISNUMBER($AX$880),$B$511=1),$AX$880,HLOOKUP(INDIRECT(ADDRESS(2,COLUMN())),OFFSET($BN$2,0,0,ROW()-1,60),ROW()-1,FALSE))</f>
        <v>156807.89439999999</v>
      </c>
      <c r="AY381">
        <f ca="1">IF(AND(ISNUMBER($AY$880),$B$511=1),$AY$880,HLOOKUP(INDIRECT(ADDRESS(2,COLUMN())),OFFSET($BN$2,0,0,ROW()-1,60),ROW()-1,FALSE))</f>
        <v>167542.2536</v>
      </c>
      <c r="AZ381">
        <f ca="1">IF(AND(ISNUMBER($AZ$880),$B$511=1),$AZ$880,HLOOKUP(INDIRECT(ADDRESS(2,COLUMN())),OFFSET($BN$2,0,0,ROW()-1,60),ROW()-1,FALSE))</f>
        <v>166470.71419999999</v>
      </c>
      <c r="BA381">
        <f ca="1">IF(AND(ISNUMBER($BA$880),$B$511=1),$BA$880,HLOOKUP(INDIRECT(ADDRESS(2,COLUMN())),OFFSET($BN$2,0,0,ROW()-1,60),ROW()-1,FALSE))</f>
        <v>182934.41959999999</v>
      </c>
      <c r="BB381">
        <f ca="1">IF(AND(ISNUMBER($BB$880),$B$511=1),$BB$880,HLOOKUP(INDIRECT(ADDRESS(2,COLUMN())),OFFSET($BN$2,0,0,ROW()-1,60),ROW()-1,FALSE))</f>
        <v>202209.98509999999</v>
      </c>
      <c r="BC381">
        <f ca="1">IF(AND(ISNUMBER($BC$880),$B$511=1),$BC$880,HLOOKUP(INDIRECT(ADDRESS(2,COLUMN())),OFFSET($BN$2,0,0,ROW()-1,60),ROW()-1,FALSE))</f>
        <v>188196.0816</v>
      </c>
      <c r="BD381">
        <f ca="1">IF(AND(ISNUMBER($BD$880),$B$511=1),$BD$880,HLOOKUP(INDIRECT(ADDRESS(2,COLUMN())),OFFSET($BN$2,0,0,ROW()-1,60),ROW()-1,FALSE))</f>
        <v>141529.1967</v>
      </c>
      <c r="BE381">
        <f ca="1">IF(AND(ISNUMBER($BE$880),$B$511=1),$BE$880,HLOOKUP(INDIRECT(ADDRESS(2,COLUMN())),OFFSET($BN$2,0,0,ROW()-1,60),ROW()-1,FALSE))</f>
        <v>139794.93280000001</v>
      </c>
      <c r="BF381">
        <f ca="1">IF(AND(ISNUMBER($BF$880),$B$511=1),$BF$880,HLOOKUP(INDIRECT(ADDRESS(2,COLUMN())),OFFSET($BN$2,0,0,ROW()-1,60),ROW()-1,FALSE))</f>
        <v>142698.9613</v>
      </c>
      <c r="BG381">
        <f ca="1">IF(AND(ISNUMBER($BG$880),$B$511=1),$BG$880,HLOOKUP(INDIRECT(ADDRESS(2,COLUMN())),OFFSET($BN$2,0,0,ROW()-1,60),ROW()-1,FALSE))</f>
        <v>133525.03169999999</v>
      </c>
      <c r="BH381">
        <f ca="1">IF(AND(ISNUMBER($BH$880),$B$511=1),$BH$880,HLOOKUP(INDIRECT(ADDRESS(2,COLUMN())),OFFSET($BN$2,0,0,ROW()-1,60),ROW()-1,FALSE))</f>
        <v>134785.53769999999</v>
      </c>
      <c r="BI381">
        <f ca="1">IF(AND(ISNUMBER($BI$880),$B$511=1),$BI$880,HLOOKUP(INDIRECT(ADDRESS(2,COLUMN())),OFFSET($BN$2,0,0,ROW()-1,60),ROW()-1,FALSE))</f>
        <v>122320.9964</v>
      </c>
      <c r="BJ381">
        <f ca="1">IF(AND(ISNUMBER($BJ$880),$B$511=1),$BJ$880,HLOOKUP(INDIRECT(ADDRESS(2,COLUMN())),OFFSET($BN$2,0,0,ROW()-1,60),ROW()-1,FALSE))</f>
        <v>129829.0879</v>
      </c>
      <c r="BK381">
        <f ca="1">IF(AND(ISNUMBER($BK$880),$B$511=1),$BK$880,HLOOKUP(INDIRECT(ADDRESS(2,COLUMN())),OFFSET($BN$2,0,0,ROW()-1,60),ROW()-1,FALSE))</f>
        <v>138533.06460000001</v>
      </c>
      <c r="BL381">
        <f ca="1">IF(AND(ISNUMBER($BL$880),$B$511=1),$BL$880,HLOOKUP(INDIRECT(ADDRESS(2,COLUMN())),OFFSET($BN$2,0,0,ROW()-1,60),ROW()-1,FALSE))</f>
        <v>122920.36</v>
      </c>
      <c r="BM381">
        <f ca="1">IF(AND(ISNUMBER($BM$880),$B$511=1),$BM$880,HLOOKUP(INDIRECT(ADDRESS(2,COLUMN())),OFFSET($BN$2,0,0,ROW()-1,60),ROW()-1,FALSE))</f>
        <v>127882.311</v>
      </c>
      <c r="BN381">
        <f>43700.94554</f>
        <v>43700.945540000001</v>
      </c>
      <c r="BO381">
        <f>36331.16687</f>
        <v>36331.166870000001</v>
      </c>
      <c r="BP381">
        <f>48705.81428</f>
        <v>48705.814279999999</v>
      </c>
      <c r="BQ381">
        <f>48143.26497</f>
        <v>48143.264969999997</v>
      </c>
      <c r="BR381">
        <f>64856.86314</f>
        <v>64856.863140000001</v>
      </c>
      <c r="BS381">
        <f>68433.42118</f>
        <v>68433.421180000005</v>
      </c>
      <c r="BT381">
        <f>55912.99535</f>
        <v>55912.995349999997</v>
      </c>
      <c r="BU381">
        <f>52039.48523</f>
        <v>52039.485229999998</v>
      </c>
      <c r="BV381">
        <f>52562.98934</f>
        <v>52562.98934</v>
      </c>
      <c r="BW381">
        <f>56890.4136799999</f>
        <v>56890.413679999998</v>
      </c>
      <c r="BX381">
        <f>52481.93066</f>
        <v>52481.930659999998</v>
      </c>
      <c r="BY381">
        <f>42215.97847</f>
        <v>42215.978470000002</v>
      </c>
      <c r="BZ381">
        <f>58777.25327</f>
        <v>58777.253270000001</v>
      </c>
      <c r="CA381">
        <f>68683.63827</f>
        <v>68683.638269999996</v>
      </c>
      <c r="CB381">
        <f>53197.07927</f>
        <v>53197.079270000002</v>
      </c>
      <c r="CC381">
        <f>74976.53795</f>
        <v>74976.537949999998</v>
      </c>
      <c r="CD381">
        <f>78756.29691</f>
        <v>78756.296910000005</v>
      </c>
      <c r="CE381">
        <f>66754.92053</f>
        <v>66754.920530000003</v>
      </c>
      <c r="CF381">
        <f>55848.67051</f>
        <v>55848.670510000004</v>
      </c>
      <c r="CG381">
        <f>78579.62983</f>
        <v>78579.629830000005</v>
      </c>
      <c r="CH381">
        <f>76772.10797</f>
        <v>76772.107969999997</v>
      </c>
      <c r="CI381">
        <f>70153.02672</f>
        <v>70153.026719999994</v>
      </c>
      <c r="CJ381">
        <f>61891.82894</f>
        <v>61891.828939999999</v>
      </c>
      <c r="CK381">
        <f>45310.8282</f>
        <v>45310.828200000004</v>
      </c>
      <c r="CL381">
        <f>42775.77636</f>
        <v>42775.776360000003</v>
      </c>
      <c r="CM381">
        <f>41641.93938</f>
        <v>41641.939380000003</v>
      </c>
      <c r="CN381">
        <f>39615.61711</f>
        <v>39615.617109999999</v>
      </c>
      <c r="CO381">
        <f>34931.51304</f>
        <v>34931.513039999998</v>
      </c>
      <c r="CP381">
        <f>49114.30435</f>
        <v>49114.304349999999</v>
      </c>
      <c r="CQ381">
        <f>29561.83391</f>
        <v>29561.833910000001</v>
      </c>
      <c r="CR381">
        <f>32329.6068</f>
        <v>32329.606800000001</v>
      </c>
      <c r="CS381">
        <f>61047.86033</f>
        <v>61047.860330000003</v>
      </c>
      <c r="CT381">
        <f>55818.37398</f>
        <v>55818.373979999997</v>
      </c>
      <c r="CU381">
        <f>54787.34747</f>
        <v>54787.347470000001</v>
      </c>
      <c r="CV381">
        <f>49236.32413</f>
        <v>49236.324130000001</v>
      </c>
      <c r="CW381">
        <f>41509.08806</f>
        <v>41509.088060000002</v>
      </c>
      <c r="CX381">
        <f>39240.57832</f>
        <v>39240.578320000001</v>
      </c>
      <c r="CY381">
        <f>47852.10021</f>
        <v>47852.100209999997</v>
      </c>
      <c r="CZ381">
        <f>43194.83515</f>
        <v>43194.835149999999</v>
      </c>
      <c r="DA381">
        <f>30693.67423</f>
        <v>30693.674230000001</v>
      </c>
      <c r="DB381">
        <f>21613.98928</f>
        <v>21613.989280000002</v>
      </c>
      <c r="DC381">
        <f>119083.6032</f>
        <v>119083.6032</v>
      </c>
      <c r="DD381">
        <f>125390.2027</f>
        <v>125390.20269999999</v>
      </c>
      <c r="DE381">
        <f>136936.732</f>
        <v>136936.73199999999</v>
      </c>
      <c r="DF381">
        <f>156807.8944</f>
        <v>156807.89439999999</v>
      </c>
      <c r="DG381">
        <f>167542.2536</f>
        <v>167542.2536</v>
      </c>
      <c r="DH381">
        <f>166470.7142</f>
        <v>166470.71419999999</v>
      </c>
      <c r="DI381">
        <f>182934.4196</f>
        <v>182934.41959999999</v>
      </c>
      <c r="DJ381">
        <f>202209.9851</f>
        <v>202209.98509999999</v>
      </c>
      <c r="DK381">
        <f>188196.0816</f>
        <v>188196.0816</v>
      </c>
      <c r="DL381">
        <f>141529.1967</f>
        <v>141529.1967</v>
      </c>
      <c r="DM381">
        <f>139794.9328</f>
        <v>139794.93280000001</v>
      </c>
      <c r="DN381">
        <f>142698.9613</f>
        <v>142698.9613</v>
      </c>
      <c r="DO381">
        <f>133525.0317</f>
        <v>133525.03169999999</v>
      </c>
      <c r="DP381">
        <f>134785.5377</f>
        <v>134785.53769999999</v>
      </c>
      <c r="DQ381">
        <f>122320.9964</f>
        <v>122320.9964</v>
      </c>
      <c r="DR381">
        <f>129829.0879</f>
        <v>129829.0879</v>
      </c>
      <c r="DS381">
        <f>138533.0646</f>
        <v>138533.06460000001</v>
      </c>
      <c r="DT381">
        <f>122920.36</f>
        <v>122920.36</v>
      </c>
      <c r="DU381">
        <f>127882.311</f>
        <v>127882.311</v>
      </c>
    </row>
    <row r="382" spans="1:125" x14ac:dyDescent="0.25">
      <c r="A382" t="str">
        <f>"    Dongfeng Motor Group Co Ltd"</f>
        <v xml:space="preserve">    Dongfeng Motor Group Co Ltd</v>
      </c>
      <c r="B382" t="str">
        <f>"489 HK Equity"</f>
        <v>489 HK Equity</v>
      </c>
      <c r="C382" t="str">
        <f t="shared" si="27"/>
        <v>RR937</v>
      </c>
      <c r="D382" t="str">
        <f t="shared" si="28"/>
        <v>CRNCY_ADJ_CURR_EV</v>
      </c>
      <c r="E382" t="str">
        <f t="shared" si="29"/>
        <v>Dynamic</v>
      </c>
      <c r="F382" t="str">
        <f ca="1">IF(AND(ISNUMBER($F$881),$B$511=1),$F$881,HLOOKUP(INDIRECT(ADDRESS(2,COLUMN())),OFFSET($BN$2,0,0,ROW()-1,60),ROW()-1,FALSE))</f>
        <v/>
      </c>
      <c r="G382" t="str">
        <f ca="1">IF(AND(ISNUMBER($G$881),$B$511=1),$G$881,HLOOKUP(INDIRECT(ADDRESS(2,COLUMN())),OFFSET($BN$2,0,0,ROW()-1,60),ROW()-1,FALSE))</f>
        <v/>
      </c>
      <c r="H382" t="str">
        <f ca="1">IF(AND(ISNUMBER($H$881),$B$511=1),$H$881,HLOOKUP(INDIRECT(ADDRESS(2,COLUMN())),OFFSET($BN$2,0,0,ROW()-1,60),ROW()-1,FALSE))</f>
        <v/>
      </c>
      <c r="I382" t="str">
        <f ca="1">IF(AND(ISNUMBER($I$881),$B$511=1),$I$881,HLOOKUP(INDIRECT(ADDRESS(2,COLUMN())),OFFSET($BN$2,0,0,ROW()-1,60),ROW()-1,FALSE))</f>
        <v/>
      </c>
      <c r="J382" t="str">
        <f ca="1">IF(AND(ISNUMBER($J$881),$B$511=1),$J$881,HLOOKUP(INDIRECT(ADDRESS(2,COLUMN())),OFFSET($BN$2,0,0,ROW()-1,60),ROW()-1,FALSE))</f>
        <v/>
      </c>
      <c r="K382" t="str">
        <f ca="1">IF(AND(ISNUMBER($K$881),$B$511=1),$K$881,HLOOKUP(INDIRECT(ADDRESS(2,COLUMN())),OFFSET($BN$2,0,0,ROW()-1,60),ROW()-1,FALSE))</f>
        <v/>
      </c>
      <c r="L382" t="str">
        <f ca="1">IF(AND(ISNUMBER($L$881),$B$511=1),$L$881,HLOOKUP(INDIRECT(ADDRESS(2,COLUMN())),OFFSET($BN$2,0,0,ROW()-1,60),ROW()-1,FALSE))</f>
        <v/>
      </c>
      <c r="M382" t="str">
        <f ca="1">IF(AND(ISNUMBER($M$881),$B$511=1),$M$881,HLOOKUP(INDIRECT(ADDRESS(2,COLUMN())),OFFSET($BN$2,0,0,ROW()-1,60),ROW()-1,FALSE))</f>
        <v/>
      </c>
      <c r="N382" t="str">
        <f ca="1">IF(AND(ISNUMBER($N$881),$B$511=1),$N$881,HLOOKUP(INDIRECT(ADDRESS(2,COLUMN())),OFFSET($BN$2,0,0,ROW()-1,60),ROW()-1,FALSE))</f>
        <v/>
      </c>
      <c r="O382" t="str">
        <f ca="1">IF(AND(ISNUMBER($O$881),$B$511=1),$O$881,HLOOKUP(INDIRECT(ADDRESS(2,COLUMN())),OFFSET($BN$2,0,0,ROW()-1,60),ROW()-1,FALSE))</f>
        <v/>
      </c>
      <c r="P382" t="str">
        <f ca="1">IF(AND(ISNUMBER($P$881),$B$511=1),$P$881,HLOOKUP(INDIRECT(ADDRESS(2,COLUMN())),OFFSET($BN$2,0,0,ROW()-1,60),ROW()-1,FALSE))</f>
        <v/>
      </c>
      <c r="Q382" t="str">
        <f ca="1">IF(AND(ISNUMBER($Q$881),$B$511=1),$Q$881,HLOOKUP(INDIRECT(ADDRESS(2,COLUMN())),OFFSET($BN$2,0,0,ROW()-1,60),ROW()-1,FALSE))</f>
        <v/>
      </c>
      <c r="R382" t="str">
        <f ca="1">IF(AND(ISNUMBER($R$881),$B$511=1),$R$881,HLOOKUP(INDIRECT(ADDRESS(2,COLUMN())),OFFSET($BN$2,0,0,ROW()-1,60),ROW()-1,FALSE))</f>
        <v/>
      </c>
      <c r="S382" t="str">
        <f ca="1">IF(AND(ISNUMBER($S$881),$B$511=1),$S$881,HLOOKUP(INDIRECT(ADDRESS(2,COLUMN())),OFFSET($BN$2,0,0,ROW()-1,60),ROW()-1,FALSE))</f>
        <v/>
      </c>
      <c r="T382" t="str">
        <f ca="1">IF(AND(ISNUMBER($T$881),$B$511=1),$T$881,HLOOKUP(INDIRECT(ADDRESS(2,COLUMN())),OFFSET($BN$2,0,0,ROW()-1,60),ROW()-1,FALSE))</f>
        <v/>
      </c>
      <c r="U382" t="str">
        <f ca="1">IF(AND(ISNUMBER($U$881),$B$511=1),$U$881,HLOOKUP(INDIRECT(ADDRESS(2,COLUMN())),OFFSET($BN$2,0,0,ROW()-1,60),ROW()-1,FALSE))</f>
        <v/>
      </c>
      <c r="V382" t="str">
        <f ca="1">IF(AND(ISNUMBER($V$881),$B$511=1),$V$881,HLOOKUP(INDIRECT(ADDRESS(2,COLUMN())),OFFSET($BN$2,0,0,ROW()-1,60),ROW()-1,FALSE))</f>
        <v/>
      </c>
      <c r="W382" t="str">
        <f ca="1">IF(AND(ISNUMBER($W$881),$B$511=1),$W$881,HLOOKUP(INDIRECT(ADDRESS(2,COLUMN())),OFFSET($BN$2,0,0,ROW()-1,60),ROW()-1,FALSE))</f>
        <v/>
      </c>
      <c r="X382" t="str">
        <f ca="1">IF(AND(ISNUMBER($X$881),$B$511=1),$X$881,HLOOKUP(INDIRECT(ADDRESS(2,COLUMN())),OFFSET($BN$2,0,0,ROW()-1,60),ROW()-1,FALSE))</f>
        <v/>
      </c>
      <c r="Y382" t="str">
        <f ca="1">IF(AND(ISNUMBER($Y$881),$B$511=1),$Y$881,HLOOKUP(INDIRECT(ADDRESS(2,COLUMN())),OFFSET($BN$2,0,0,ROW()-1,60),ROW()-1,FALSE))</f>
        <v/>
      </c>
      <c r="Z382" t="str">
        <f ca="1">IF(AND(ISNUMBER($Z$881),$B$511=1),$Z$881,HLOOKUP(INDIRECT(ADDRESS(2,COLUMN())),OFFSET($BN$2,0,0,ROW()-1,60),ROW()-1,FALSE))</f>
        <v/>
      </c>
      <c r="AA382" t="str">
        <f ca="1">IF(AND(ISNUMBER($AA$881),$B$511=1),$AA$881,HLOOKUP(INDIRECT(ADDRESS(2,COLUMN())),OFFSET($BN$2,0,0,ROW()-1,60),ROW()-1,FALSE))</f>
        <v/>
      </c>
      <c r="AB382" t="str">
        <f ca="1">IF(AND(ISNUMBER($AB$881),$B$511=1),$AB$881,HLOOKUP(INDIRECT(ADDRESS(2,COLUMN())),OFFSET($BN$2,0,0,ROW()-1,60),ROW()-1,FALSE))</f>
        <v/>
      </c>
      <c r="AC382" t="str">
        <f ca="1">IF(AND(ISNUMBER($AC$881),$B$511=1),$AC$881,HLOOKUP(INDIRECT(ADDRESS(2,COLUMN())),OFFSET($BN$2,0,0,ROW()-1,60),ROW()-1,FALSE))</f>
        <v/>
      </c>
      <c r="AD382" t="str">
        <f ca="1">IF(AND(ISNUMBER($AD$881),$B$511=1),$AD$881,HLOOKUP(INDIRECT(ADDRESS(2,COLUMN())),OFFSET($BN$2,0,0,ROW()-1,60),ROW()-1,FALSE))</f>
        <v/>
      </c>
      <c r="AE382" t="str">
        <f ca="1">IF(AND(ISNUMBER($AE$881),$B$511=1),$AE$881,HLOOKUP(INDIRECT(ADDRESS(2,COLUMN())),OFFSET($BN$2,0,0,ROW()-1,60),ROW()-1,FALSE))</f>
        <v/>
      </c>
      <c r="AF382" t="str">
        <f ca="1">IF(AND(ISNUMBER($AF$881),$B$511=1),$AF$881,HLOOKUP(INDIRECT(ADDRESS(2,COLUMN())),OFFSET($BN$2,0,0,ROW()-1,60),ROW()-1,FALSE))</f>
        <v/>
      </c>
      <c r="AG382" t="str">
        <f ca="1">IF(AND(ISNUMBER($AG$881),$B$511=1),$AG$881,HLOOKUP(INDIRECT(ADDRESS(2,COLUMN())),OFFSET($BN$2,0,0,ROW()-1,60),ROW()-1,FALSE))</f>
        <v/>
      </c>
      <c r="AH382" t="str">
        <f ca="1">IF(AND(ISNUMBER($AH$881),$B$511=1),$AH$881,HLOOKUP(INDIRECT(ADDRESS(2,COLUMN())),OFFSET($BN$2,0,0,ROW()-1,60),ROW()-1,FALSE))</f>
        <v/>
      </c>
      <c r="AI382" t="str">
        <f ca="1">IF(AND(ISNUMBER($AI$881),$B$511=1),$AI$881,HLOOKUP(INDIRECT(ADDRESS(2,COLUMN())),OFFSET($BN$2,0,0,ROW()-1,60),ROW()-1,FALSE))</f>
        <v/>
      </c>
      <c r="AJ382" t="str">
        <f ca="1">IF(AND(ISNUMBER($AJ$881),$B$511=1),$AJ$881,HLOOKUP(INDIRECT(ADDRESS(2,COLUMN())),OFFSET($BN$2,0,0,ROW()-1,60),ROW()-1,FALSE))</f>
        <v/>
      </c>
      <c r="AK382" t="str">
        <f ca="1">IF(AND(ISNUMBER($AK$881),$B$511=1),$AK$881,HLOOKUP(INDIRECT(ADDRESS(2,COLUMN())),OFFSET($BN$2,0,0,ROW()-1,60),ROW()-1,FALSE))</f>
        <v/>
      </c>
      <c r="AL382" t="str">
        <f ca="1">IF(AND(ISNUMBER($AL$881),$B$511=1),$AL$881,HLOOKUP(INDIRECT(ADDRESS(2,COLUMN())),OFFSET($BN$2,0,0,ROW()-1,60),ROW()-1,FALSE))</f>
        <v/>
      </c>
      <c r="AM382" t="str">
        <f ca="1">IF(AND(ISNUMBER($AM$881),$B$511=1),$AM$881,HLOOKUP(INDIRECT(ADDRESS(2,COLUMN())),OFFSET($BN$2,0,0,ROW()-1,60),ROW()-1,FALSE))</f>
        <v/>
      </c>
      <c r="AN382" t="str">
        <f ca="1">IF(AND(ISNUMBER($AN$881),$B$511=1),$AN$881,HLOOKUP(INDIRECT(ADDRESS(2,COLUMN())),OFFSET($BN$2,0,0,ROW()-1,60),ROW()-1,FALSE))</f>
        <v/>
      </c>
      <c r="AO382" t="str">
        <f ca="1">IF(AND(ISNUMBER($AO$881),$B$511=1),$AO$881,HLOOKUP(INDIRECT(ADDRESS(2,COLUMN())),OFFSET($BN$2,0,0,ROW()-1,60),ROW()-1,FALSE))</f>
        <v/>
      </c>
      <c r="AP382" t="str">
        <f ca="1">IF(AND(ISNUMBER($AP$881),$B$511=1),$AP$881,HLOOKUP(INDIRECT(ADDRESS(2,COLUMN())),OFFSET($BN$2,0,0,ROW()-1,60),ROW()-1,FALSE))</f>
        <v/>
      </c>
      <c r="AQ382" t="str">
        <f ca="1">IF(AND(ISNUMBER($AQ$881),$B$511=1),$AQ$881,HLOOKUP(INDIRECT(ADDRESS(2,COLUMN())),OFFSET($BN$2,0,0,ROW()-1,60),ROW()-1,FALSE))</f>
        <v/>
      </c>
      <c r="AR382" t="str">
        <f ca="1">IF(AND(ISNUMBER($AR$881),$B$511=1),$AR$881,HLOOKUP(INDIRECT(ADDRESS(2,COLUMN())),OFFSET($BN$2,0,0,ROW()-1,60),ROW()-1,FALSE))</f>
        <v/>
      </c>
      <c r="AS382" t="str">
        <f ca="1">IF(AND(ISNUMBER($AS$881),$B$511=1),$AS$881,HLOOKUP(INDIRECT(ADDRESS(2,COLUMN())),OFFSET($BN$2,0,0,ROW()-1,60),ROW()-1,FALSE))</f>
        <v/>
      </c>
      <c r="AT382" t="str">
        <f ca="1">IF(AND(ISNUMBER($AT$881),$B$511=1),$AT$881,HLOOKUP(INDIRECT(ADDRESS(2,COLUMN())),OFFSET($BN$2,0,0,ROW()-1,60),ROW()-1,FALSE))</f>
        <v/>
      </c>
      <c r="AU382" t="str">
        <f ca="1">IF(AND(ISNUMBER($AU$881),$B$511=1),$AU$881,HLOOKUP(INDIRECT(ADDRESS(2,COLUMN())),OFFSET($BN$2,0,0,ROW()-1,60),ROW()-1,FALSE))</f>
        <v/>
      </c>
      <c r="AV382" t="str">
        <f ca="1">IF(AND(ISNUMBER($AV$881),$B$511=1),$AV$881,HLOOKUP(INDIRECT(ADDRESS(2,COLUMN())),OFFSET($BN$2,0,0,ROW()-1,60),ROW()-1,FALSE))</f>
        <v/>
      </c>
      <c r="AW382" t="str">
        <f ca="1">IF(AND(ISNUMBER($AW$881),$B$511=1),$AW$881,HLOOKUP(INDIRECT(ADDRESS(2,COLUMN())),OFFSET($BN$2,0,0,ROW()-1,60),ROW()-1,FALSE))</f>
        <v/>
      </c>
      <c r="AX382" t="str">
        <f ca="1">IF(AND(ISNUMBER($AX$881),$B$511=1),$AX$881,HLOOKUP(INDIRECT(ADDRESS(2,COLUMN())),OFFSET($BN$2,0,0,ROW()-1,60),ROW()-1,FALSE))</f>
        <v/>
      </c>
      <c r="AY382" t="str">
        <f ca="1">IF(AND(ISNUMBER($AY$881),$B$511=1),$AY$881,HLOOKUP(INDIRECT(ADDRESS(2,COLUMN())),OFFSET($BN$2,0,0,ROW()-1,60),ROW()-1,FALSE))</f>
        <v/>
      </c>
      <c r="AZ382" t="str">
        <f ca="1">IF(AND(ISNUMBER($AZ$881),$B$511=1),$AZ$881,HLOOKUP(INDIRECT(ADDRESS(2,COLUMN())),OFFSET($BN$2,0,0,ROW()-1,60),ROW()-1,FALSE))</f>
        <v/>
      </c>
      <c r="BA382" t="str">
        <f ca="1">IF(AND(ISNUMBER($BA$881),$B$511=1),$BA$881,HLOOKUP(INDIRECT(ADDRESS(2,COLUMN())),OFFSET($BN$2,0,0,ROW()-1,60),ROW()-1,FALSE))</f>
        <v/>
      </c>
      <c r="BB382" t="str">
        <f ca="1">IF(AND(ISNUMBER($BB$881),$B$511=1),$BB$881,HLOOKUP(INDIRECT(ADDRESS(2,COLUMN())),OFFSET($BN$2,0,0,ROW()-1,60),ROW()-1,FALSE))</f>
        <v/>
      </c>
      <c r="BC382" t="str">
        <f ca="1">IF(AND(ISNUMBER($BC$881),$B$511=1),$BC$881,HLOOKUP(INDIRECT(ADDRESS(2,COLUMN())),OFFSET($BN$2,0,0,ROW()-1,60),ROW()-1,FALSE))</f>
        <v/>
      </c>
      <c r="BD382" t="str">
        <f ca="1">IF(AND(ISNUMBER($BD$881),$B$511=1),$BD$881,HLOOKUP(INDIRECT(ADDRESS(2,COLUMN())),OFFSET($BN$2,0,0,ROW()-1,60),ROW()-1,FALSE))</f>
        <v/>
      </c>
      <c r="BE382" t="str">
        <f ca="1">IF(AND(ISNUMBER($BE$881),$B$511=1),$BE$881,HLOOKUP(INDIRECT(ADDRESS(2,COLUMN())),OFFSET($BN$2,0,0,ROW()-1,60),ROW()-1,FALSE))</f>
        <v/>
      </c>
      <c r="BF382" t="str">
        <f ca="1">IF(AND(ISNUMBER($BF$881),$B$511=1),$BF$881,HLOOKUP(INDIRECT(ADDRESS(2,COLUMN())),OFFSET($BN$2,0,0,ROW()-1,60),ROW()-1,FALSE))</f>
        <v/>
      </c>
      <c r="BG382" t="str">
        <f ca="1">IF(AND(ISNUMBER($BG$881),$B$511=1),$BG$881,HLOOKUP(INDIRECT(ADDRESS(2,COLUMN())),OFFSET($BN$2,0,0,ROW()-1,60),ROW()-1,FALSE))</f>
        <v/>
      </c>
      <c r="BH382" t="str">
        <f ca="1">IF(AND(ISNUMBER($BH$881),$B$511=1),$BH$881,HLOOKUP(INDIRECT(ADDRESS(2,COLUMN())),OFFSET($BN$2,0,0,ROW()-1,60),ROW()-1,FALSE))</f>
        <v/>
      </c>
      <c r="BI382" t="str">
        <f ca="1">IF(AND(ISNUMBER($BI$881),$B$511=1),$BI$881,HLOOKUP(INDIRECT(ADDRESS(2,COLUMN())),OFFSET($BN$2,0,0,ROW()-1,60),ROW()-1,FALSE))</f>
        <v/>
      </c>
      <c r="BJ382" t="str">
        <f ca="1">IF(AND(ISNUMBER($BJ$881),$B$511=1),$BJ$881,HLOOKUP(INDIRECT(ADDRESS(2,COLUMN())),OFFSET($BN$2,0,0,ROW()-1,60),ROW()-1,FALSE))</f>
        <v/>
      </c>
      <c r="BK382" t="str">
        <f ca="1">IF(AND(ISNUMBER($BK$881),$B$511=1),$BK$881,HLOOKUP(INDIRECT(ADDRESS(2,COLUMN())),OFFSET($BN$2,0,0,ROW()-1,60),ROW()-1,FALSE))</f>
        <v/>
      </c>
      <c r="BL382" t="str">
        <f ca="1">IF(AND(ISNUMBER($BL$881),$B$511=1),$BL$881,HLOOKUP(INDIRECT(ADDRESS(2,COLUMN())),OFFSET($BN$2,0,0,ROW()-1,60),ROW()-1,FALSE))</f>
        <v/>
      </c>
      <c r="BM382" t="str">
        <f ca="1">IF(AND(ISNUMBER($BM$881),$B$511=1),$BM$881,HLOOKUP(INDIRECT(ADDRESS(2,COLUMN())),OFFSET($BN$2,0,0,ROW()-1,60),ROW()-1,FALSE))</f>
        <v/>
      </c>
      <c r="BN382" t="str">
        <f>""</f>
        <v/>
      </c>
      <c r="BO382" t="str">
        <f>""</f>
        <v/>
      </c>
      <c r="BP382" t="str">
        <f>""</f>
        <v/>
      </c>
      <c r="BQ382" t="str">
        <f>""</f>
        <v/>
      </c>
      <c r="BR382" t="str">
        <f>""</f>
        <v/>
      </c>
      <c r="BS382" t="str">
        <f>""</f>
        <v/>
      </c>
      <c r="BT382" t="str">
        <f>""</f>
        <v/>
      </c>
      <c r="BU382" t="str">
        <f>""</f>
        <v/>
      </c>
      <c r="BV382" t="str">
        <f>""</f>
        <v/>
      </c>
      <c r="BW382" t="str">
        <f>""</f>
        <v/>
      </c>
      <c r="BX382" t="str">
        <f>""</f>
        <v/>
      </c>
      <c r="BY382" t="str">
        <f>""</f>
        <v/>
      </c>
      <c r="BZ382" t="str">
        <f>""</f>
        <v/>
      </c>
      <c r="CA382" t="str">
        <f>""</f>
        <v/>
      </c>
      <c r="CB382" t="str">
        <f>""</f>
        <v/>
      </c>
      <c r="CC382" t="str">
        <f>""</f>
        <v/>
      </c>
      <c r="CD382" t="str">
        <f>""</f>
        <v/>
      </c>
      <c r="CE382" t="str">
        <f>""</f>
        <v/>
      </c>
      <c r="CF382" t="str">
        <f>""</f>
        <v/>
      </c>
      <c r="CG382" t="str">
        <f>""</f>
        <v/>
      </c>
      <c r="CH382" t="str">
        <f>""</f>
        <v/>
      </c>
      <c r="CI382" t="str">
        <f>""</f>
        <v/>
      </c>
      <c r="CJ382" t="str">
        <f>""</f>
        <v/>
      </c>
      <c r="CK382" t="str">
        <f>""</f>
        <v/>
      </c>
      <c r="CL382" t="str">
        <f>""</f>
        <v/>
      </c>
      <c r="CM382" t="str">
        <f>""</f>
        <v/>
      </c>
      <c r="CN382" t="str">
        <f>""</f>
        <v/>
      </c>
      <c r="CO382" t="str">
        <f>""</f>
        <v/>
      </c>
      <c r="CP382" t="str">
        <f>""</f>
        <v/>
      </c>
      <c r="CQ382" t="str">
        <f>""</f>
        <v/>
      </c>
      <c r="CR382" t="str">
        <f>""</f>
        <v/>
      </c>
      <c r="CS382" t="str">
        <f>""</f>
        <v/>
      </c>
      <c r="CT382" t="str">
        <f>""</f>
        <v/>
      </c>
      <c r="CU382" t="str">
        <f>""</f>
        <v/>
      </c>
      <c r="CV382" t="str">
        <f>""</f>
        <v/>
      </c>
      <c r="CW382" t="str">
        <f>""</f>
        <v/>
      </c>
      <c r="CX382" t="str">
        <f>""</f>
        <v/>
      </c>
      <c r="CY382" t="str">
        <f>""</f>
        <v/>
      </c>
      <c r="CZ382" t="str">
        <f>""</f>
        <v/>
      </c>
      <c r="DA382" t="str">
        <f>""</f>
        <v/>
      </c>
      <c r="DB382" t="str">
        <f>""</f>
        <v/>
      </c>
      <c r="DC382" t="str">
        <f>""</f>
        <v/>
      </c>
      <c r="DD382" t="str">
        <f>""</f>
        <v/>
      </c>
      <c r="DE382" t="str">
        <f>""</f>
        <v/>
      </c>
      <c r="DF382" t="str">
        <f>""</f>
        <v/>
      </c>
      <c r="DG382" t="str">
        <f>""</f>
        <v/>
      </c>
      <c r="DH382" t="str">
        <f>""</f>
        <v/>
      </c>
      <c r="DI382" t="str">
        <f>""</f>
        <v/>
      </c>
      <c r="DJ382" t="str">
        <f>""</f>
        <v/>
      </c>
      <c r="DK382" t="str">
        <f>""</f>
        <v/>
      </c>
      <c r="DL382" t="str">
        <f>""</f>
        <v/>
      </c>
      <c r="DM382" t="str">
        <f>""</f>
        <v/>
      </c>
      <c r="DN382" t="str">
        <f>""</f>
        <v/>
      </c>
      <c r="DO382" t="str">
        <f>""</f>
        <v/>
      </c>
      <c r="DP382" t="str">
        <f>""</f>
        <v/>
      </c>
      <c r="DQ382" t="str">
        <f>""</f>
        <v/>
      </c>
      <c r="DR382" t="str">
        <f>""</f>
        <v/>
      </c>
      <c r="DS382" t="str">
        <f>""</f>
        <v/>
      </c>
      <c r="DT382" t="str">
        <f>""</f>
        <v/>
      </c>
      <c r="DU382" t="str">
        <f>""</f>
        <v/>
      </c>
    </row>
    <row r="383" spans="1:125" x14ac:dyDescent="0.25">
      <c r="A383" t="str">
        <f>"    DRB-Hicom Bhd"</f>
        <v xml:space="preserve">    DRB-Hicom Bhd</v>
      </c>
      <c r="B383" t="str">
        <f>"DRB MK Equity"</f>
        <v>DRB MK Equity</v>
      </c>
      <c r="C383" t="str">
        <f t="shared" si="27"/>
        <v>RR937</v>
      </c>
      <c r="D383" t="str">
        <f t="shared" si="28"/>
        <v>CRNCY_ADJ_CURR_EV</v>
      </c>
      <c r="E383" t="str">
        <f t="shared" si="29"/>
        <v>Dynamic</v>
      </c>
      <c r="F383" t="str">
        <f ca="1">IF(AND(ISNUMBER($F$882),$B$511=1),$F$882,HLOOKUP(INDIRECT(ADDRESS(2,COLUMN())),OFFSET($BN$2,0,0,ROW()-1,60),ROW()-1,FALSE))</f>
        <v/>
      </c>
      <c r="G383">
        <f ca="1">IF(AND(ISNUMBER($G$882),$B$511=1),$G$882,HLOOKUP(INDIRECT(ADDRESS(2,COLUMN())),OFFSET($BN$2,0,0,ROW()-1,60),ROW()-1,FALSE))</f>
        <v>1854.762549</v>
      </c>
      <c r="H383">
        <f ca="1">IF(AND(ISNUMBER($H$882),$B$511=1),$H$882,HLOOKUP(INDIRECT(ADDRESS(2,COLUMN())),OFFSET($BN$2,0,0,ROW()-1,60),ROW()-1,FALSE))</f>
        <v>2090.3811529999998</v>
      </c>
      <c r="I383">
        <f ca="1">IF(AND(ISNUMBER($I$882),$B$511=1),$I$882,HLOOKUP(INDIRECT(ADDRESS(2,COLUMN())),OFFSET($BN$2,0,0,ROW()-1,60),ROW()-1,FALSE))</f>
        <v>2350.2372799999998</v>
      </c>
      <c r="J383">
        <f ca="1">IF(AND(ISNUMBER($J$882),$B$511=1),$J$882,HLOOKUP(INDIRECT(ADDRESS(2,COLUMN())),OFFSET($BN$2,0,0,ROW()-1,60),ROW()-1,FALSE))</f>
        <v>2340.4883199999999</v>
      </c>
      <c r="K383">
        <f ca="1">IF(AND(ISNUMBER($K$882),$B$511=1),$K$882,HLOOKUP(INDIRECT(ADDRESS(2,COLUMN())),OFFSET($BN$2,0,0,ROW()-1,60),ROW()-1,FALSE))</f>
        <v>2027.388537</v>
      </c>
      <c r="L383">
        <f ca="1">IF(AND(ISNUMBER($L$882),$B$511=1),$L$882,HLOOKUP(INDIRECT(ADDRESS(2,COLUMN())),OFFSET($BN$2,0,0,ROW()-1,60),ROW()-1,FALSE))</f>
        <v>2306.0645100000002</v>
      </c>
      <c r="M383">
        <f ca="1">IF(AND(ISNUMBER($M$882),$B$511=1),$M$882,HLOOKUP(INDIRECT(ADDRESS(2,COLUMN())),OFFSET($BN$2,0,0,ROW()-1,60),ROW()-1,FALSE))</f>
        <v>2289.9518360000002</v>
      </c>
      <c r="N383">
        <f ca="1">IF(AND(ISNUMBER($N$882),$B$511=1),$N$882,HLOOKUP(INDIRECT(ADDRESS(2,COLUMN())),OFFSET($BN$2,0,0,ROW()-1,60),ROW()-1,FALSE))</f>
        <v>2028.4625209999999</v>
      </c>
      <c r="O383">
        <f ca="1">IF(AND(ISNUMBER($O$882),$B$511=1),$O$882,HLOOKUP(INDIRECT(ADDRESS(2,COLUMN())),OFFSET($BN$2,0,0,ROW()-1,60),ROW()-1,FALSE))</f>
        <v>1840.8615150000001</v>
      </c>
      <c r="P383">
        <f ca="1">IF(AND(ISNUMBER($P$882),$B$511=1),$P$882,HLOOKUP(INDIRECT(ADDRESS(2,COLUMN())),OFFSET($BN$2,0,0,ROW()-1,60),ROW()-1,FALSE))</f>
        <v>2038.386471</v>
      </c>
      <c r="Q383">
        <f ca="1">IF(AND(ISNUMBER($Q$882),$B$511=1),$Q$882,HLOOKUP(INDIRECT(ADDRESS(2,COLUMN())),OFFSET($BN$2,0,0,ROW()-1,60),ROW()-1,FALSE))</f>
        <v>1754.994328</v>
      </c>
      <c r="R383">
        <f ca="1">IF(AND(ISNUMBER($R$882),$B$511=1),$R$882,HLOOKUP(INDIRECT(ADDRESS(2,COLUMN())),OFFSET($BN$2,0,0,ROW()-1,60),ROW()-1,FALSE))</f>
        <v>1960.1385829999999</v>
      </c>
      <c r="S383">
        <f ca="1">IF(AND(ISNUMBER($S$882),$B$511=1),$S$882,HLOOKUP(INDIRECT(ADDRESS(2,COLUMN())),OFFSET($BN$2,0,0,ROW()-1,60),ROW()-1,FALSE))</f>
        <v>1572.7472419999999</v>
      </c>
      <c r="T383">
        <f ca="1">IF(AND(ISNUMBER($T$882),$B$511=1),$T$882,HLOOKUP(INDIRECT(ADDRESS(2,COLUMN())),OFFSET($BN$2,0,0,ROW()-1,60),ROW()-1,FALSE))</f>
        <v>2235.2868880000001</v>
      </c>
      <c r="U383">
        <f ca="1">IF(AND(ISNUMBER($U$882),$B$511=1),$U$882,HLOOKUP(INDIRECT(ADDRESS(2,COLUMN())),OFFSET($BN$2,0,0,ROW()-1,60),ROW()-1,FALSE))</f>
        <v>2693.6735640000002</v>
      </c>
      <c r="V383">
        <f ca="1">IF(AND(ISNUMBER($V$882),$B$511=1),$V$882,HLOOKUP(INDIRECT(ADDRESS(2,COLUMN())),OFFSET($BN$2,0,0,ROW()-1,60),ROW()-1,FALSE))</f>
        <v>2122.7448680000002</v>
      </c>
      <c r="W383">
        <f ca="1">IF(AND(ISNUMBER($W$882),$B$511=1),$W$882,HLOOKUP(INDIRECT(ADDRESS(2,COLUMN())),OFFSET($BN$2,0,0,ROW()-1,60),ROW()-1,FALSE))</f>
        <v>2644.613981</v>
      </c>
      <c r="X383">
        <f ca="1">IF(AND(ISNUMBER($X$882),$B$511=1),$X$882,HLOOKUP(INDIRECT(ADDRESS(2,COLUMN())),OFFSET($BN$2,0,0,ROW()-1,60),ROW()-1,FALSE))</f>
        <v>2970.9552610000001</v>
      </c>
      <c r="Y383">
        <f ca="1">IF(AND(ISNUMBER($Y$882),$B$511=1),$Y$882,HLOOKUP(INDIRECT(ADDRESS(2,COLUMN())),OFFSET($BN$2,0,0,ROW()-1,60),ROW()-1,FALSE))</f>
        <v>2963.0793619999999</v>
      </c>
      <c r="Z383">
        <f ca="1">IF(AND(ISNUMBER($Z$882),$B$511=1),$Z$882,HLOOKUP(INDIRECT(ADDRESS(2,COLUMN())),OFFSET($BN$2,0,0,ROW()-1,60),ROW()-1,FALSE))</f>
        <v>2636.5286470000001</v>
      </c>
      <c r="AA383">
        <f ca="1">IF(AND(ISNUMBER($AA$882),$B$511=1),$AA$882,HLOOKUP(INDIRECT(ADDRESS(2,COLUMN())),OFFSET($BN$2,0,0,ROW()-1,60),ROW()-1,FALSE))</f>
        <v>2310.3905260000001</v>
      </c>
      <c r="AB383">
        <f ca="1">IF(AND(ISNUMBER($AB$882),$B$511=1),$AB$882,HLOOKUP(INDIRECT(ADDRESS(2,COLUMN())),OFFSET($BN$2,0,0,ROW()-1,60),ROW()-1,FALSE))</f>
        <v>2322.22721</v>
      </c>
      <c r="AC383">
        <f ca="1">IF(AND(ISNUMBER($AC$882),$B$511=1),$AC$882,HLOOKUP(INDIRECT(ADDRESS(2,COLUMN())),OFFSET($BN$2,0,0,ROW()-1,60),ROW()-1,FALSE))</f>
        <v>2446.864654</v>
      </c>
      <c r="AD383">
        <f ca="1">IF(AND(ISNUMBER($AD$882),$B$511=1),$AD$882,HLOOKUP(INDIRECT(ADDRESS(2,COLUMN())),OFFSET($BN$2,0,0,ROW()-1,60),ROW()-1,FALSE))</f>
        <v>1406.279837</v>
      </c>
      <c r="AE383">
        <f ca="1">IF(AND(ISNUMBER($AE$882),$B$511=1),$AE$882,HLOOKUP(INDIRECT(ADDRESS(2,COLUMN())),OFFSET($BN$2,0,0,ROW()-1,60),ROW()-1,FALSE))</f>
        <v>2380.7828939999999</v>
      </c>
      <c r="AF383">
        <f ca="1">IF(AND(ISNUMBER($AF$882),$B$511=1),$AF$882,HLOOKUP(INDIRECT(ADDRESS(2,COLUMN())),OFFSET($BN$2,0,0,ROW()-1,60),ROW()-1,FALSE))</f>
        <v>2121.450601</v>
      </c>
      <c r="AG383">
        <f ca="1">IF(AND(ISNUMBER($AG$882),$B$511=1),$AG$882,HLOOKUP(INDIRECT(ADDRESS(2,COLUMN())),OFFSET($BN$2,0,0,ROW()-1,60),ROW()-1,FALSE))</f>
        <v>2141.4501529999998</v>
      </c>
      <c r="AH383">
        <f ca="1">IF(AND(ISNUMBER($AH$882),$B$511=1),$AH$882,HLOOKUP(INDIRECT(ADDRESS(2,COLUMN())),OFFSET($BN$2,0,0,ROW()-1,60),ROW()-1,FALSE))</f>
        <v>849.23657739999999</v>
      </c>
      <c r="AI383">
        <f ca="1">IF(AND(ISNUMBER($AI$882),$B$511=1),$AI$882,HLOOKUP(INDIRECT(ADDRESS(2,COLUMN())),OFFSET($BN$2,0,0,ROW()-1,60),ROW()-1,FALSE))</f>
        <v>576.41389660000004</v>
      </c>
      <c r="AJ383">
        <f ca="1">IF(AND(ISNUMBER($AJ$882),$B$511=1),$AJ$882,HLOOKUP(INDIRECT(ADDRESS(2,COLUMN())),OFFSET($BN$2,0,0,ROW()-1,60),ROW()-1,FALSE))</f>
        <v>428.61632689999999</v>
      </c>
      <c r="AK383">
        <f ca="1">IF(AND(ISNUMBER($AK$882),$B$511=1),$AK$882,HLOOKUP(INDIRECT(ADDRESS(2,COLUMN())),OFFSET($BN$2,0,0,ROW()-1,60),ROW()-1,FALSE))</f>
        <v>-866.29490390000001</v>
      </c>
      <c r="AL383">
        <f ca="1">IF(AND(ISNUMBER($AL$882),$B$511=1),$AL$882,HLOOKUP(INDIRECT(ADDRESS(2,COLUMN())),OFFSET($BN$2,0,0,ROW()-1,60),ROW()-1,FALSE))</f>
        <v>-722.43257670000003</v>
      </c>
      <c r="AM383">
        <f ca="1">IF(AND(ISNUMBER($AM$882),$B$511=1),$AM$882,HLOOKUP(INDIRECT(ADDRESS(2,COLUMN())),OFFSET($BN$2,0,0,ROW()-1,60),ROW()-1,FALSE))</f>
        <v>3321.3724900000002</v>
      </c>
      <c r="AN383">
        <f ca="1">IF(AND(ISNUMBER($AN$882),$B$511=1),$AN$882,HLOOKUP(INDIRECT(ADDRESS(2,COLUMN())),OFFSET($BN$2,0,0,ROW()-1,60),ROW()-1,FALSE))</f>
        <v>3519.6399179999999</v>
      </c>
      <c r="AO383">
        <f ca="1">IF(AND(ISNUMBER($AO$882),$B$511=1),$AO$882,HLOOKUP(INDIRECT(ADDRESS(2,COLUMN())),OFFSET($BN$2,0,0,ROW()-1,60),ROW()-1,FALSE))</f>
        <v>3338.6971149999999</v>
      </c>
      <c r="AP383">
        <f ca="1">IF(AND(ISNUMBER($AP$882),$B$511=1),$AP$882,HLOOKUP(INDIRECT(ADDRESS(2,COLUMN())),OFFSET($BN$2,0,0,ROW()-1,60),ROW()-1,FALSE))</f>
        <v>-1543.493872</v>
      </c>
      <c r="AQ383">
        <f ca="1">IF(AND(ISNUMBER($AQ$882),$B$511=1),$AQ$882,HLOOKUP(INDIRECT(ADDRESS(2,COLUMN())),OFFSET($BN$2,0,0,ROW()-1,60),ROW()-1,FALSE))</f>
        <v>-551.03098829999999</v>
      </c>
      <c r="AR383">
        <f ca="1">IF(AND(ISNUMBER($AR$882),$B$511=1),$AR$882,HLOOKUP(INDIRECT(ADDRESS(2,COLUMN())),OFFSET($BN$2,0,0,ROW()-1,60),ROW()-1,FALSE))</f>
        <v>-792.85825799999998</v>
      </c>
      <c r="AS383">
        <f ca="1">IF(AND(ISNUMBER($AS$882),$B$511=1),$AS$882,HLOOKUP(INDIRECT(ADDRESS(2,COLUMN())),OFFSET($BN$2,0,0,ROW()-1,60),ROW()-1,FALSE))</f>
        <v>3042.7276080000001</v>
      </c>
      <c r="AT383">
        <f ca="1">IF(AND(ISNUMBER($AT$882),$B$511=1),$AT$882,HLOOKUP(INDIRECT(ADDRESS(2,COLUMN())),OFFSET($BN$2,0,0,ROW()-1,60),ROW()-1,FALSE))</f>
        <v>-769.09160010000005</v>
      </c>
      <c r="AU383">
        <f ca="1">IF(AND(ISNUMBER($AU$882),$B$511=1),$AU$882,HLOOKUP(INDIRECT(ADDRESS(2,COLUMN())),OFFSET($BN$2,0,0,ROW()-1,60),ROW()-1,FALSE))</f>
        <v>-650.14165639999999</v>
      </c>
      <c r="AV383">
        <f ca="1">IF(AND(ISNUMBER($AV$882),$B$511=1),$AV$882,HLOOKUP(INDIRECT(ADDRESS(2,COLUMN())),OFFSET($BN$2,0,0,ROW()-1,60),ROW()-1,FALSE))</f>
        <v>281.0452573</v>
      </c>
      <c r="AW383">
        <f ca="1">IF(AND(ISNUMBER($AW$882),$B$511=1),$AW$882,HLOOKUP(INDIRECT(ADDRESS(2,COLUMN())),OFFSET($BN$2,0,0,ROW()-1,60),ROW()-1,FALSE))</f>
        <v>284.70813529999998</v>
      </c>
      <c r="AX383">
        <f ca="1">IF(AND(ISNUMBER($AX$882),$B$511=1),$AX$882,HLOOKUP(INDIRECT(ADDRESS(2,COLUMN())),OFFSET($BN$2,0,0,ROW()-1,60),ROW()-1,FALSE))</f>
        <v>793.35171019999996</v>
      </c>
      <c r="AY383">
        <f ca="1">IF(AND(ISNUMBER($AY$882),$B$511=1),$AY$882,HLOOKUP(INDIRECT(ADDRESS(2,COLUMN())),OFFSET($BN$2,0,0,ROW()-1,60),ROW()-1,FALSE))</f>
        <v>855.62927260000004</v>
      </c>
      <c r="AZ383">
        <f ca="1">IF(AND(ISNUMBER($AZ$882),$B$511=1),$AZ$882,HLOOKUP(INDIRECT(ADDRESS(2,COLUMN())),OFFSET($BN$2,0,0,ROW()-1,60),ROW()-1,FALSE))</f>
        <v>880.89432009999996</v>
      </c>
      <c r="BA383">
        <f ca="1">IF(AND(ISNUMBER($BA$882),$B$511=1),$BA$882,HLOOKUP(INDIRECT(ADDRESS(2,COLUMN())),OFFSET($BN$2,0,0,ROW()-1,60),ROW()-1,FALSE))</f>
        <v>773.45894959999998</v>
      </c>
      <c r="BB383">
        <f ca="1">IF(AND(ISNUMBER($BB$882),$B$511=1),$BB$882,HLOOKUP(INDIRECT(ADDRESS(2,COLUMN())),OFFSET($BN$2,0,0,ROW()-1,60),ROW()-1,FALSE))</f>
        <v>992.01500439999995</v>
      </c>
      <c r="BC383">
        <f ca="1">IF(AND(ISNUMBER($BC$882),$B$511=1),$BC$882,HLOOKUP(INDIRECT(ADDRESS(2,COLUMN())),OFFSET($BN$2,0,0,ROW()-1,60),ROW()-1,FALSE))</f>
        <v>958.99771999999996</v>
      </c>
      <c r="BD383">
        <f ca="1">IF(AND(ISNUMBER($BD$882),$B$511=1),$BD$882,HLOOKUP(INDIRECT(ADDRESS(2,COLUMN())),OFFSET($BN$2,0,0,ROW()-1,60),ROW()-1,FALSE))</f>
        <v>902.91618140000003</v>
      </c>
      <c r="BE383">
        <f ca="1">IF(AND(ISNUMBER($BE$882),$B$511=1),$BE$882,HLOOKUP(INDIRECT(ADDRESS(2,COLUMN())),OFFSET($BN$2,0,0,ROW()-1,60),ROW()-1,FALSE))</f>
        <v>966.84960620000004</v>
      </c>
      <c r="BF383">
        <f ca="1">IF(AND(ISNUMBER($BF$882),$B$511=1),$BF$882,HLOOKUP(INDIRECT(ADDRESS(2,COLUMN())),OFFSET($BN$2,0,0,ROW()-1,60),ROW()-1,FALSE))</f>
        <v>927.63489770000001</v>
      </c>
      <c r="BG383">
        <f ca="1">IF(AND(ISNUMBER($BG$882),$B$511=1),$BG$882,HLOOKUP(INDIRECT(ADDRESS(2,COLUMN())),OFFSET($BN$2,0,0,ROW()-1,60),ROW()-1,FALSE))</f>
        <v>873.35504960000003</v>
      </c>
      <c r="BH383">
        <f ca="1">IF(AND(ISNUMBER($BH$882),$B$511=1),$BH$882,HLOOKUP(INDIRECT(ADDRESS(2,COLUMN())),OFFSET($BN$2,0,0,ROW()-1,60),ROW()-1,FALSE))</f>
        <v>972.51637540000002</v>
      </c>
      <c r="BI383">
        <f ca="1">IF(AND(ISNUMBER($BI$882),$B$511=1),$BI$882,HLOOKUP(INDIRECT(ADDRESS(2,COLUMN())),OFFSET($BN$2,0,0,ROW()-1,60),ROW()-1,FALSE))</f>
        <v>894.48914360000003</v>
      </c>
      <c r="BJ383">
        <f ca="1">IF(AND(ISNUMBER($BJ$882),$B$511=1),$BJ$882,HLOOKUP(INDIRECT(ADDRESS(2,COLUMN())),OFFSET($BN$2,0,0,ROW()-1,60),ROW()-1,FALSE))</f>
        <v>1013.77364</v>
      </c>
      <c r="BK383">
        <f ca="1">IF(AND(ISNUMBER($BK$882),$B$511=1),$BK$882,HLOOKUP(INDIRECT(ADDRESS(2,COLUMN())),OFFSET($BN$2,0,0,ROW()-1,60),ROW()-1,FALSE))</f>
        <v>1124.1676090000001</v>
      </c>
      <c r="BL383">
        <f ca="1">IF(AND(ISNUMBER($BL$882),$B$511=1),$BL$882,HLOOKUP(INDIRECT(ADDRESS(2,COLUMN())),OFFSET($BN$2,0,0,ROW()-1,60),ROW()-1,FALSE))</f>
        <v>1120.9513899999999</v>
      </c>
      <c r="BM383">
        <f ca="1">IF(AND(ISNUMBER($BM$882),$B$511=1),$BM$882,HLOOKUP(INDIRECT(ADDRESS(2,COLUMN())),OFFSET($BN$2,0,0,ROW()-1,60),ROW()-1,FALSE))</f>
        <v>976.49944200000004</v>
      </c>
      <c r="BN383" t="str">
        <f>""</f>
        <v/>
      </c>
      <c r="BO383">
        <f>1854.762549</f>
        <v>1854.762549</v>
      </c>
      <c r="BP383">
        <f>2090.381153</f>
        <v>2090.3811529999998</v>
      </c>
      <c r="BQ383">
        <f>2350.23728</f>
        <v>2350.2372799999998</v>
      </c>
      <c r="BR383">
        <f>2340.48832</f>
        <v>2340.4883199999999</v>
      </c>
      <c r="BS383">
        <f>2027.388537</f>
        <v>2027.388537</v>
      </c>
      <c r="BT383">
        <f>2306.06451</f>
        <v>2306.0645100000002</v>
      </c>
      <c r="BU383">
        <f>2289.951836</f>
        <v>2289.9518360000002</v>
      </c>
      <c r="BV383">
        <f>2028.462521</f>
        <v>2028.4625209999999</v>
      </c>
      <c r="BW383">
        <f>1840.861515</f>
        <v>1840.8615150000001</v>
      </c>
      <c r="BX383">
        <f>2038.386471</f>
        <v>2038.386471</v>
      </c>
      <c r="BY383">
        <f>1754.994328</f>
        <v>1754.994328</v>
      </c>
      <c r="BZ383">
        <f>1960.138583</f>
        <v>1960.1385829999999</v>
      </c>
      <c r="CA383">
        <f>1572.747242</f>
        <v>1572.7472419999999</v>
      </c>
      <c r="CB383">
        <f>2235.286888</f>
        <v>2235.2868880000001</v>
      </c>
      <c r="CC383">
        <f>2693.673564</f>
        <v>2693.6735640000002</v>
      </c>
      <c r="CD383">
        <f>2122.744868</f>
        <v>2122.7448680000002</v>
      </c>
      <c r="CE383">
        <f>2644.613981</f>
        <v>2644.613981</v>
      </c>
      <c r="CF383">
        <f>2970.955261</f>
        <v>2970.9552610000001</v>
      </c>
      <c r="CG383">
        <f>2963.079362</f>
        <v>2963.0793619999999</v>
      </c>
      <c r="CH383">
        <f>2636.528647</f>
        <v>2636.5286470000001</v>
      </c>
      <c r="CI383">
        <f>2310.390526</f>
        <v>2310.3905260000001</v>
      </c>
      <c r="CJ383">
        <f>2322.22721</f>
        <v>2322.22721</v>
      </c>
      <c r="CK383">
        <f>2446.864654</f>
        <v>2446.864654</v>
      </c>
      <c r="CL383">
        <f>1406.279837</f>
        <v>1406.279837</v>
      </c>
      <c r="CM383">
        <f>2380.782894</f>
        <v>2380.7828939999999</v>
      </c>
      <c r="CN383">
        <f>2121.450601</f>
        <v>2121.450601</v>
      </c>
      <c r="CO383">
        <f>2141.450153</f>
        <v>2141.4501529999998</v>
      </c>
      <c r="CP383">
        <f>849.2365774</f>
        <v>849.23657739999999</v>
      </c>
      <c r="CQ383">
        <f>576.4138966</f>
        <v>576.41389660000004</v>
      </c>
      <c r="CR383">
        <f>428.6163269</f>
        <v>428.61632689999999</v>
      </c>
      <c r="CS383">
        <f>-866.2949039</f>
        <v>-866.29490390000001</v>
      </c>
      <c r="CT383">
        <f>-722.4325767</f>
        <v>-722.43257670000003</v>
      </c>
      <c r="CU383">
        <f>3321.37249</f>
        <v>3321.3724900000002</v>
      </c>
      <c r="CV383">
        <f>3519.639918</f>
        <v>3519.6399179999999</v>
      </c>
      <c r="CW383">
        <f>3338.697115</f>
        <v>3338.6971149999999</v>
      </c>
      <c r="CX383">
        <f>-1543.493872</f>
        <v>-1543.493872</v>
      </c>
      <c r="CY383">
        <f>-551.0309883</f>
        <v>-551.03098829999999</v>
      </c>
      <c r="CZ383">
        <f>-792.858258</f>
        <v>-792.85825799999998</v>
      </c>
      <c r="DA383">
        <f>3042.727608</f>
        <v>3042.7276080000001</v>
      </c>
      <c r="DB383">
        <f>-769.0916001</f>
        <v>-769.09160010000005</v>
      </c>
      <c r="DC383">
        <f>-650.1416564</f>
        <v>-650.14165639999999</v>
      </c>
      <c r="DD383">
        <f>281.0452573</f>
        <v>281.0452573</v>
      </c>
      <c r="DE383">
        <f>284.7081353</f>
        <v>284.70813529999998</v>
      </c>
      <c r="DF383">
        <f>793.3517102</f>
        <v>793.35171019999996</v>
      </c>
      <c r="DG383">
        <f>855.6292726</f>
        <v>855.62927260000004</v>
      </c>
      <c r="DH383">
        <f>880.8943201</f>
        <v>880.89432009999996</v>
      </c>
      <c r="DI383">
        <f>773.4589496</f>
        <v>773.45894959999998</v>
      </c>
      <c r="DJ383">
        <f>992.0150044</f>
        <v>992.01500439999995</v>
      </c>
      <c r="DK383">
        <f>958.99772</f>
        <v>958.99771999999996</v>
      </c>
      <c r="DL383">
        <f>902.9161814</f>
        <v>902.91618140000003</v>
      </c>
      <c r="DM383">
        <f>966.8496062</f>
        <v>966.84960620000004</v>
      </c>
      <c r="DN383">
        <f>927.6348977</f>
        <v>927.63489770000001</v>
      </c>
      <c r="DO383">
        <f>873.3550496</f>
        <v>873.35504960000003</v>
      </c>
      <c r="DP383">
        <f>972.5163754</f>
        <v>972.51637540000002</v>
      </c>
      <c r="DQ383">
        <f>894.4891436</f>
        <v>894.48914360000003</v>
      </c>
      <c r="DR383">
        <f>1013.77364</f>
        <v>1013.77364</v>
      </c>
      <c r="DS383">
        <f>1124.167609</f>
        <v>1124.1676090000001</v>
      </c>
      <c r="DT383">
        <f>1120.95139</f>
        <v>1120.9513899999999</v>
      </c>
      <c r="DU383">
        <f>976.499442</f>
        <v>976.49944200000004</v>
      </c>
    </row>
    <row r="384" spans="1:125" x14ac:dyDescent="0.25">
      <c r="A384" t="str">
        <f>"    FAW CAR Co Ltd"</f>
        <v xml:space="preserve">    FAW CAR Co Ltd</v>
      </c>
      <c r="B384" t="str">
        <f>"000800 CH Equity"</f>
        <v>000800 CH Equity</v>
      </c>
      <c r="C384" t="str">
        <f t="shared" si="27"/>
        <v>RR937</v>
      </c>
      <c r="D384" t="str">
        <f t="shared" si="28"/>
        <v>CRNCY_ADJ_CURR_EV</v>
      </c>
      <c r="E384" t="str">
        <f t="shared" si="29"/>
        <v>Dynamic</v>
      </c>
      <c r="F384">
        <f ca="1">IF(AND(ISNUMBER($F$883),$B$511=1),$F$883,HLOOKUP(INDIRECT(ADDRESS(2,COLUMN())),OFFSET($BN$2,0,0,ROW()-1,60),ROW()-1,FALSE))</f>
        <v>1860.9005529999999</v>
      </c>
      <c r="G384">
        <f ca="1">IF(AND(ISNUMBER($G$883),$B$511=1),$G$883,HLOOKUP(INDIRECT(ADDRESS(2,COLUMN())),OFFSET($BN$2,0,0,ROW()-1,60),ROW()-1,FALSE))</f>
        <v>1478.1677609999999</v>
      </c>
      <c r="H384">
        <f ca="1">IF(AND(ISNUMBER($H$883),$B$511=1),$H$883,HLOOKUP(INDIRECT(ADDRESS(2,COLUMN())),OFFSET($BN$2,0,0,ROW()-1,60),ROW()-1,FALSE))</f>
        <v>1473.0180800000001</v>
      </c>
      <c r="I384">
        <f ca="1">IF(AND(ISNUMBER($I$883),$B$511=1),$I$883,HLOOKUP(INDIRECT(ADDRESS(2,COLUMN())),OFFSET($BN$2,0,0,ROW()-1,60),ROW()-1,FALSE))</f>
        <v>1760.117174</v>
      </c>
      <c r="J384">
        <f ca="1">IF(AND(ISNUMBER($J$883),$B$511=1),$J$883,HLOOKUP(INDIRECT(ADDRESS(2,COLUMN())),OFFSET($BN$2,0,0,ROW()-1,60),ROW()-1,FALSE))</f>
        <v>2392.587184</v>
      </c>
      <c r="K384">
        <f ca="1">IF(AND(ISNUMBER($K$883),$B$511=1),$K$883,HLOOKUP(INDIRECT(ADDRESS(2,COLUMN())),OFFSET($BN$2,0,0,ROW()-1,60),ROW()-1,FALSE))</f>
        <v>2531.9245639999999</v>
      </c>
      <c r="L384">
        <f ca="1">IF(AND(ISNUMBER($L$883),$B$511=1),$L$883,HLOOKUP(INDIRECT(ADDRESS(2,COLUMN())),OFFSET($BN$2,0,0,ROW()-1,60),ROW()-1,FALSE))</f>
        <v>3393.3127840000002</v>
      </c>
      <c r="M384">
        <f ca="1">IF(AND(ISNUMBER($M$883),$B$511=1),$M$883,HLOOKUP(INDIRECT(ADDRESS(2,COLUMN())),OFFSET($BN$2,0,0,ROW()-1,60),ROW()-1,FALSE))</f>
        <v>2608.7536100000002</v>
      </c>
      <c r="N384">
        <f ca="1">IF(AND(ISNUMBER($N$883),$B$511=1),$N$883,HLOOKUP(INDIRECT(ADDRESS(2,COLUMN())),OFFSET($BN$2,0,0,ROW()-1,60),ROW()-1,FALSE))</f>
        <v>2918.913153</v>
      </c>
      <c r="O384">
        <f ca="1">IF(AND(ISNUMBER($O$883),$B$511=1),$O$883,HLOOKUP(INDIRECT(ADDRESS(2,COLUMN())),OFFSET($BN$2,0,0,ROW()-1,60),ROW()-1,FALSE))</f>
        <v>2774.9747860000002</v>
      </c>
      <c r="P384">
        <f ca="1">IF(AND(ISNUMBER($P$883),$B$511=1),$P$883,HLOOKUP(INDIRECT(ADDRESS(2,COLUMN())),OFFSET($BN$2,0,0,ROW()-1,60),ROW()-1,FALSE))</f>
        <v>2979.3080490000002</v>
      </c>
      <c r="Q384">
        <f ca="1">IF(AND(ISNUMBER($Q$883),$B$511=1),$Q$883,HLOOKUP(INDIRECT(ADDRESS(2,COLUMN())),OFFSET($BN$2,0,0,ROW()-1,60),ROW()-1,FALSE))</f>
        <v>3066.1743839999999</v>
      </c>
      <c r="R384">
        <f ca="1">IF(AND(ISNUMBER($R$883),$B$511=1),$R$883,HLOOKUP(INDIRECT(ADDRESS(2,COLUMN())),OFFSET($BN$2,0,0,ROW()-1,60),ROW()-1,FALSE))</f>
        <v>3945.8987090000001</v>
      </c>
      <c r="S384">
        <f ca="1">IF(AND(ISNUMBER($S$883),$B$511=1),$S$883,HLOOKUP(INDIRECT(ADDRESS(2,COLUMN())),OFFSET($BN$2,0,0,ROW()-1,60),ROW()-1,FALSE))</f>
        <v>4361.1827620000004</v>
      </c>
      <c r="T384">
        <f ca="1">IF(AND(ISNUMBER($T$883),$B$511=1),$T$883,HLOOKUP(INDIRECT(ADDRESS(2,COLUMN())),OFFSET($BN$2,0,0,ROW()-1,60),ROW()-1,FALSE))</f>
        <v>4062.1202090000002</v>
      </c>
      <c r="U384">
        <f ca="1">IF(AND(ISNUMBER($U$883),$B$511=1),$U$883,HLOOKUP(INDIRECT(ADDRESS(2,COLUMN())),OFFSET($BN$2,0,0,ROW()-1,60),ROW()-1,FALSE))</f>
        <v>6869.8547040000003</v>
      </c>
      <c r="V384">
        <f ca="1">IF(AND(ISNUMBER($V$883),$B$511=1),$V$883,HLOOKUP(INDIRECT(ADDRESS(2,COLUMN())),OFFSET($BN$2,0,0,ROW()-1,60),ROW()-1,FALSE))</f>
        <v>5367.0100709999997</v>
      </c>
      <c r="W384">
        <f ca="1">IF(AND(ISNUMBER($W$883),$B$511=1),$W$883,HLOOKUP(INDIRECT(ADDRESS(2,COLUMN())),OFFSET($BN$2,0,0,ROW()-1,60),ROW()-1,FALSE))</f>
        <v>4193.1258079999998</v>
      </c>
      <c r="X384">
        <f ca="1">IF(AND(ISNUMBER($X$883),$B$511=1),$X$883,HLOOKUP(INDIRECT(ADDRESS(2,COLUMN())),OFFSET($BN$2,0,0,ROW()-1,60),ROW()-1,FALSE))</f>
        <v>3074.2266639999998</v>
      </c>
      <c r="Y384">
        <f ca="1">IF(AND(ISNUMBER($Y$883),$B$511=1),$Y$883,HLOOKUP(INDIRECT(ADDRESS(2,COLUMN())),OFFSET($BN$2,0,0,ROW()-1,60),ROW()-1,FALSE))</f>
        <v>2669.833149</v>
      </c>
      <c r="Z384">
        <f ca="1">IF(AND(ISNUMBER($Z$883),$B$511=1),$Z$883,HLOOKUP(INDIRECT(ADDRESS(2,COLUMN())),OFFSET($BN$2,0,0,ROW()-1,60),ROW()-1,FALSE))</f>
        <v>2804.7174180000002</v>
      </c>
      <c r="AA384">
        <f ca="1">IF(AND(ISNUMBER($AA$883),$B$511=1),$AA$883,HLOOKUP(INDIRECT(ADDRESS(2,COLUMN())),OFFSET($BN$2,0,0,ROW()-1,60),ROW()-1,FALSE))</f>
        <v>3397.3053020000002</v>
      </c>
      <c r="AB384">
        <f ca="1">IF(AND(ISNUMBER($AB$883),$B$511=1),$AB$883,HLOOKUP(INDIRECT(ADDRESS(2,COLUMN())),OFFSET($BN$2,0,0,ROW()-1,60),ROW()-1,FALSE))</f>
        <v>3642.9558040000002</v>
      </c>
      <c r="AC384">
        <f ca="1">IF(AND(ISNUMBER($AC$883),$B$511=1),$AC$883,HLOOKUP(INDIRECT(ADDRESS(2,COLUMN())),OFFSET($BN$2,0,0,ROW()-1,60),ROW()-1,FALSE))</f>
        <v>3429.1111930000002</v>
      </c>
      <c r="AD384">
        <f ca="1">IF(AND(ISNUMBER($AD$883),$B$511=1),$AD$883,HLOOKUP(INDIRECT(ADDRESS(2,COLUMN())),OFFSET($BN$2,0,0,ROW()-1,60),ROW()-1,FALSE))</f>
        <v>2267.9736269999999</v>
      </c>
      <c r="AE384">
        <f ca="1">IF(AND(ISNUMBER($AE$883),$B$511=1),$AE$883,HLOOKUP(INDIRECT(ADDRESS(2,COLUMN())),OFFSET($BN$2,0,0,ROW()-1,60),ROW()-1,FALSE))</f>
        <v>2285.5089520000001</v>
      </c>
      <c r="AF384">
        <f ca="1">IF(AND(ISNUMBER($AF$883),$B$511=1),$AF$883,HLOOKUP(INDIRECT(ADDRESS(2,COLUMN())),OFFSET($BN$2,0,0,ROW()-1,60),ROW()-1,FALSE))</f>
        <v>1807.20047</v>
      </c>
      <c r="AG384">
        <f ca="1">IF(AND(ISNUMBER($AG$883),$B$511=1),$AG$883,HLOOKUP(INDIRECT(ADDRESS(2,COLUMN())),OFFSET($BN$2,0,0,ROW()-1,60),ROW()-1,FALSE))</f>
        <v>2638.214387</v>
      </c>
      <c r="AH384">
        <f ca="1">IF(AND(ISNUMBER($AH$883),$B$511=1),$AH$883,HLOOKUP(INDIRECT(ADDRESS(2,COLUMN())),OFFSET($BN$2,0,0,ROW()-1,60),ROW()-1,FALSE))</f>
        <v>2679.1011509999998</v>
      </c>
      <c r="AI384">
        <f ca="1">IF(AND(ISNUMBER($AI$883),$B$511=1),$AI$883,HLOOKUP(INDIRECT(ADDRESS(2,COLUMN())),OFFSET($BN$2,0,0,ROW()-1,60),ROW()-1,FALSE))</f>
        <v>2251.0567160000001</v>
      </c>
      <c r="AJ384">
        <f ca="1">IF(AND(ISNUMBER($AJ$883),$B$511=1),$AJ$883,HLOOKUP(INDIRECT(ADDRESS(2,COLUMN())),OFFSET($BN$2,0,0,ROW()-1,60),ROW()-1,FALSE))</f>
        <v>2903.934694</v>
      </c>
      <c r="AK384">
        <f ca="1">IF(AND(ISNUMBER($AK$883),$B$511=1),$AK$883,HLOOKUP(INDIRECT(ADDRESS(2,COLUMN())),OFFSET($BN$2,0,0,ROW()-1,60),ROW()-1,FALSE))</f>
        <v>3343.4176870000001</v>
      </c>
      <c r="AL384">
        <f ca="1">IF(AND(ISNUMBER($AL$883),$B$511=1),$AL$883,HLOOKUP(INDIRECT(ADDRESS(2,COLUMN())),OFFSET($BN$2,0,0,ROW()-1,60),ROW()-1,FALSE))</f>
        <v>3858.261759</v>
      </c>
      <c r="AM384">
        <f ca="1">IF(AND(ISNUMBER($AM$883),$B$511=1),$AM$883,HLOOKUP(INDIRECT(ADDRESS(2,COLUMN())),OFFSET($BN$2,0,0,ROW()-1,60),ROW()-1,FALSE))</f>
        <v>3432.14597</v>
      </c>
      <c r="AN384">
        <f ca="1">IF(AND(ISNUMBER($AN$883),$B$511=1),$AN$883,HLOOKUP(INDIRECT(ADDRESS(2,COLUMN())),OFFSET($BN$2,0,0,ROW()-1,60),ROW()-1,FALSE))</f>
        <v>3785.2451179999998</v>
      </c>
      <c r="AO384">
        <f ca="1">IF(AND(ISNUMBER($AO$883),$B$511=1),$AO$883,HLOOKUP(INDIRECT(ADDRESS(2,COLUMN())),OFFSET($BN$2,0,0,ROW()-1,60),ROW()-1,FALSE))</f>
        <v>3138.9887629999998</v>
      </c>
      <c r="AP384">
        <f ca="1">IF(AND(ISNUMBER($AP$883),$B$511=1),$AP$883,HLOOKUP(INDIRECT(ADDRESS(2,COLUMN())),OFFSET($BN$2,0,0,ROW()-1,60),ROW()-1,FALSE))</f>
        <v>4680.6438099999996</v>
      </c>
      <c r="AQ384">
        <f ca="1">IF(AND(ISNUMBER($AQ$883),$B$511=1),$AQ$883,HLOOKUP(INDIRECT(ADDRESS(2,COLUMN())),OFFSET($BN$2,0,0,ROW()-1,60),ROW()-1,FALSE))</f>
        <v>5830.9836089999999</v>
      </c>
      <c r="AR384">
        <f ca="1">IF(AND(ISNUMBER($AR$883),$B$511=1),$AR$883,HLOOKUP(INDIRECT(ADDRESS(2,COLUMN())),OFFSET($BN$2,0,0,ROW()-1,60),ROW()-1,FALSE))</f>
        <v>3565.4207839999999</v>
      </c>
      <c r="AS384">
        <f ca="1">IF(AND(ISNUMBER($AS$883),$B$511=1),$AS$883,HLOOKUP(INDIRECT(ADDRESS(2,COLUMN())),OFFSET($BN$2,0,0,ROW()-1,60),ROW()-1,FALSE))</f>
        <v>3222.018004</v>
      </c>
      <c r="AT384">
        <f ca="1">IF(AND(ISNUMBER($AT$883),$B$511=1),$AT$883,HLOOKUP(INDIRECT(ADDRESS(2,COLUMN())),OFFSET($BN$2,0,0,ROW()-1,60),ROW()-1,FALSE))</f>
        <v>2462.4588899999999</v>
      </c>
      <c r="AU384">
        <f ca="1">IF(AND(ISNUMBER($AU$883),$B$511=1),$AU$883,HLOOKUP(INDIRECT(ADDRESS(2,COLUMN())),OFFSET($BN$2,0,0,ROW()-1,60),ROW()-1,FALSE))</f>
        <v>1437.372799</v>
      </c>
      <c r="AV384">
        <f ca="1">IF(AND(ISNUMBER($AV$883),$B$511=1),$AV$883,HLOOKUP(INDIRECT(ADDRESS(2,COLUMN())),OFFSET($BN$2,0,0,ROW()-1,60),ROW()-1,FALSE))</f>
        <v>1313.1127309999999</v>
      </c>
      <c r="AW384">
        <f ca="1">IF(AND(ISNUMBER($AW$883),$B$511=1),$AW$883,HLOOKUP(INDIRECT(ADDRESS(2,COLUMN())),OFFSET($BN$2,0,0,ROW()-1,60),ROW()-1,FALSE))</f>
        <v>1561.597403</v>
      </c>
      <c r="AX384">
        <f ca="1">IF(AND(ISNUMBER($AX$883),$B$511=1),$AX$883,HLOOKUP(INDIRECT(ADDRESS(2,COLUMN())),OFFSET($BN$2,0,0,ROW()-1,60),ROW()-1,FALSE))</f>
        <v>2667.8996339999999</v>
      </c>
      <c r="AY384">
        <f ca="1">IF(AND(ISNUMBER($AY$883),$B$511=1),$AY$883,HLOOKUP(INDIRECT(ADDRESS(2,COLUMN())),OFFSET($BN$2,0,0,ROW()-1,60),ROW()-1,FALSE))</f>
        <v>3948.4461219999998</v>
      </c>
      <c r="AZ384">
        <f ca="1">IF(AND(ISNUMBER($AZ$883),$B$511=1),$AZ$883,HLOOKUP(INDIRECT(ADDRESS(2,COLUMN())),OFFSET($BN$2,0,0,ROW()-1,60),ROW()-1,FALSE))</f>
        <v>4316.7800669999997</v>
      </c>
      <c r="BA384">
        <f ca="1">IF(AND(ISNUMBER($BA$883),$B$511=1),$BA$883,HLOOKUP(INDIRECT(ADDRESS(2,COLUMN())),OFFSET($BN$2,0,0,ROW()-1,60),ROW()-1,FALSE))</f>
        <v>1974.047478</v>
      </c>
      <c r="BB384">
        <f ca="1">IF(AND(ISNUMBER($BB$883),$B$511=1),$BB$883,HLOOKUP(INDIRECT(ADDRESS(2,COLUMN())),OFFSET($BN$2,0,0,ROW()-1,60),ROW()-1,FALSE))</f>
        <v>1524.0747260000001</v>
      </c>
      <c r="BC384">
        <f ca="1">IF(AND(ISNUMBER($BC$883),$B$511=1),$BC$883,HLOOKUP(INDIRECT(ADDRESS(2,COLUMN())),OFFSET($BN$2,0,0,ROW()-1,60),ROW()-1,FALSE))</f>
        <v>495.65807719999998</v>
      </c>
      <c r="BD384">
        <f ca="1">IF(AND(ISNUMBER($BD$883),$B$511=1),$BD$883,HLOOKUP(INDIRECT(ADDRESS(2,COLUMN())),OFFSET($BN$2,0,0,ROW()-1,60),ROW()-1,FALSE))</f>
        <v>305.37952519999999</v>
      </c>
      <c r="BE384">
        <f ca="1">IF(AND(ISNUMBER($BE$883),$B$511=1),$BE$883,HLOOKUP(INDIRECT(ADDRESS(2,COLUMN())),OFFSET($BN$2,0,0,ROW()-1,60),ROW()-1,FALSE))</f>
        <v>403.93799860000001</v>
      </c>
      <c r="BF384">
        <f ca="1">IF(AND(ISNUMBER($BF$883),$B$511=1),$BF$883,HLOOKUP(INDIRECT(ADDRESS(2,COLUMN())),OFFSET($BN$2,0,0,ROW()-1,60),ROW()-1,FALSE))</f>
        <v>318.65580440000002</v>
      </c>
      <c r="BG384">
        <f ca="1">IF(AND(ISNUMBER($BG$883),$B$511=1),$BG$883,HLOOKUP(INDIRECT(ADDRESS(2,COLUMN())),OFFSET($BN$2,0,0,ROW()-1,60),ROW()-1,FALSE))</f>
        <v>270.04541819999997</v>
      </c>
      <c r="BH384">
        <f ca="1">IF(AND(ISNUMBER($BH$883),$B$511=1),$BH$883,HLOOKUP(INDIRECT(ADDRESS(2,COLUMN())),OFFSET($BN$2,0,0,ROW()-1,60),ROW()-1,FALSE))</f>
        <v>219.2504816</v>
      </c>
      <c r="BI384">
        <f ca="1">IF(AND(ISNUMBER($BI$883),$B$511=1),$BI$883,HLOOKUP(INDIRECT(ADDRESS(2,COLUMN())),OFFSET($BN$2,0,0,ROW()-1,60),ROW()-1,FALSE))</f>
        <v>170.34521190000001</v>
      </c>
      <c r="BJ384">
        <f ca="1">IF(AND(ISNUMBER($BJ$883),$B$511=1),$BJ$883,HLOOKUP(INDIRECT(ADDRESS(2,COLUMN())),OFFSET($BN$2,0,0,ROW()-1,60),ROW()-1,FALSE))</f>
        <v>443.1754214</v>
      </c>
      <c r="BK384">
        <f ca="1">IF(AND(ISNUMBER($BK$883),$B$511=1),$BK$883,HLOOKUP(INDIRECT(ADDRESS(2,COLUMN())),OFFSET($BN$2,0,0,ROW()-1,60),ROW()-1,FALSE))</f>
        <v>642.59771439999997</v>
      </c>
      <c r="BL384">
        <f ca="1">IF(AND(ISNUMBER($BL$883),$B$511=1),$BL$883,HLOOKUP(INDIRECT(ADDRESS(2,COLUMN())),OFFSET($BN$2,0,0,ROW()-1,60),ROW()-1,FALSE))</f>
        <v>984.0500184</v>
      </c>
      <c r="BM384">
        <f ca="1">IF(AND(ISNUMBER($BM$883),$B$511=1),$BM$883,HLOOKUP(INDIRECT(ADDRESS(2,COLUMN())),OFFSET($BN$2,0,0,ROW()-1,60),ROW()-1,FALSE))</f>
        <v>920.45441960000005</v>
      </c>
      <c r="BN384">
        <f>1860.900553</f>
        <v>1860.9005529999999</v>
      </c>
      <c r="BO384">
        <f>1478.167761</f>
        <v>1478.1677609999999</v>
      </c>
      <c r="BP384">
        <f>1473.01808</f>
        <v>1473.0180800000001</v>
      </c>
      <c r="BQ384">
        <f>1760.117174</f>
        <v>1760.117174</v>
      </c>
      <c r="BR384">
        <f>2392.587184</f>
        <v>2392.587184</v>
      </c>
      <c r="BS384">
        <f>2531.924564</f>
        <v>2531.9245639999999</v>
      </c>
      <c r="BT384">
        <f>3393.312784</f>
        <v>3393.3127840000002</v>
      </c>
      <c r="BU384">
        <f>2608.75361</f>
        <v>2608.7536100000002</v>
      </c>
      <c r="BV384">
        <f>2918.913153</f>
        <v>2918.913153</v>
      </c>
      <c r="BW384">
        <f>2774.974786</f>
        <v>2774.9747860000002</v>
      </c>
      <c r="BX384">
        <f>2979.308049</f>
        <v>2979.3080490000002</v>
      </c>
      <c r="BY384">
        <f>3066.174384</f>
        <v>3066.1743839999999</v>
      </c>
      <c r="BZ384">
        <f>3945.898709</f>
        <v>3945.8987090000001</v>
      </c>
      <c r="CA384">
        <f>4361.182762</f>
        <v>4361.1827620000004</v>
      </c>
      <c r="CB384">
        <f>4062.120209</f>
        <v>4062.1202090000002</v>
      </c>
      <c r="CC384">
        <f>6869.854704</f>
        <v>6869.8547040000003</v>
      </c>
      <c r="CD384">
        <f>5367.010071</f>
        <v>5367.0100709999997</v>
      </c>
      <c r="CE384">
        <f>4193.125808</f>
        <v>4193.1258079999998</v>
      </c>
      <c r="CF384">
        <f>3074.226664</f>
        <v>3074.2266639999998</v>
      </c>
      <c r="CG384">
        <f>2669.833149</f>
        <v>2669.833149</v>
      </c>
      <c r="CH384">
        <f>2804.717418</f>
        <v>2804.7174180000002</v>
      </c>
      <c r="CI384">
        <f>3397.305302</f>
        <v>3397.3053020000002</v>
      </c>
      <c r="CJ384">
        <f>3642.955804</f>
        <v>3642.9558040000002</v>
      </c>
      <c r="CK384">
        <f>3429.111193</f>
        <v>3429.1111930000002</v>
      </c>
      <c r="CL384">
        <f>2267.973627</f>
        <v>2267.9736269999999</v>
      </c>
      <c r="CM384">
        <f>2285.508952</f>
        <v>2285.5089520000001</v>
      </c>
      <c r="CN384">
        <f>1807.20047</f>
        <v>1807.20047</v>
      </c>
      <c r="CO384">
        <f>2638.214387</f>
        <v>2638.214387</v>
      </c>
      <c r="CP384">
        <f>2679.101151</f>
        <v>2679.1011509999998</v>
      </c>
      <c r="CQ384">
        <f>2251.056716</f>
        <v>2251.0567160000001</v>
      </c>
      <c r="CR384">
        <f>2903.934694</f>
        <v>2903.934694</v>
      </c>
      <c r="CS384">
        <f>3343.417687</f>
        <v>3343.4176870000001</v>
      </c>
      <c r="CT384">
        <f>3858.261759</f>
        <v>3858.261759</v>
      </c>
      <c r="CU384">
        <f>3432.14597</f>
        <v>3432.14597</v>
      </c>
      <c r="CV384">
        <f>3785.245118</f>
        <v>3785.2451179999998</v>
      </c>
      <c r="CW384">
        <f>3138.988763</f>
        <v>3138.9887629999998</v>
      </c>
      <c r="CX384">
        <f>4680.64381</f>
        <v>4680.6438099999996</v>
      </c>
      <c r="CY384">
        <f>5830.983609</f>
        <v>5830.9836089999999</v>
      </c>
      <c r="CZ384">
        <f>3565.420784</f>
        <v>3565.4207839999999</v>
      </c>
      <c r="DA384">
        <f>3222.018004</f>
        <v>3222.018004</v>
      </c>
      <c r="DB384">
        <f>2462.45889</f>
        <v>2462.4588899999999</v>
      </c>
      <c r="DC384">
        <f>1437.372799</f>
        <v>1437.372799</v>
      </c>
      <c r="DD384">
        <f>1313.112731</f>
        <v>1313.1127309999999</v>
      </c>
      <c r="DE384">
        <f>1561.597403</f>
        <v>1561.597403</v>
      </c>
      <c r="DF384">
        <f>2667.899634</f>
        <v>2667.8996339999999</v>
      </c>
      <c r="DG384">
        <f>3948.446122</f>
        <v>3948.4461219999998</v>
      </c>
      <c r="DH384">
        <f>4316.780067</f>
        <v>4316.7800669999997</v>
      </c>
      <c r="DI384">
        <f>1974.047478</f>
        <v>1974.047478</v>
      </c>
      <c r="DJ384">
        <f>1524.074726</f>
        <v>1524.0747260000001</v>
      </c>
      <c r="DK384">
        <f>495.6580772</f>
        <v>495.65807719999998</v>
      </c>
      <c r="DL384">
        <f>305.3795252</f>
        <v>305.37952519999999</v>
      </c>
      <c r="DM384">
        <f>403.9379986</f>
        <v>403.93799860000001</v>
      </c>
      <c r="DN384">
        <f>318.6558044</f>
        <v>318.65580440000002</v>
      </c>
      <c r="DO384">
        <f>270.0454182</f>
        <v>270.04541819999997</v>
      </c>
      <c r="DP384">
        <f>219.2504816</f>
        <v>219.2504816</v>
      </c>
      <c r="DQ384">
        <f>170.3452119</f>
        <v>170.34521190000001</v>
      </c>
      <c r="DR384">
        <f>443.1754214</f>
        <v>443.1754214</v>
      </c>
      <c r="DS384">
        <f>642.5977144</f>
        <v>642.59771439999997</v>
      </c>
      <c r="DT384">
        <f>984.0500184</f>
        <v>984.0500184</v>
      </c>
      <c r="DU384">
        <f>920.4544196</f>
        <v>920.45441960000005</v>
      </c>
    </row>
    <row r="385" spans="1:125" x14ac:dyDescent="0.25">
      <c r="A385" t="str">
        <f>"    Fiat Chrysler Automobiles NV"</f>
        <v xml:space="preserve">    Fiat Chrysler Automobiles NV</v>
      </c>
      <c r="B385" t="str">
        <f>"FCAU US Equity"</f>
        <v>FCAU US Equity</v>
      </c>
      <c r="C385" t="str">
        <f t="shared" si="27"/>
        <v>RR937</v>
      </c>
      <c r="D385" t="str">
        <f t="shared" si="28"/>
        <v>CRNCY_ADJ_CURR_EV</v>
      </c>
      <c r="E385" t="str">
        <f t="shared" si="29"/>
        <v>Dynamic</v>
      </c>
      <c r="F385">
        <f ca="1">IF(AND(ISNUMBER($F$884),$B$511=1),$F$884,HLOOKUP(INDIRECT(ADDRESS(2,COLUMN())),OFFSET($BN$2,0,0,ROW()-1,60),ROW()-1,FALSE))</f>
        <v>25426.943139999999</v>
      </c>
      <c r="G385">
        <f ca="1">IF(AND(ISNUMBER($G$884),$B$511=1),$G$884,HLOOKUP(INDIRECT(ADDRESS(2,COLUMN())),OFFSET($BN$2,0,0,ROW()-1,60),ROW()-1,FALSE))</f>
        <v>24651.63436</v>
      </c>
      <c r="H385">
        <f ca="1">IF(AND(ISNUMBER($H$884),$B$511=1),$H$884,HLOOKUP(INDIRECT(ADDRESS(2,COLUMN())),OFFSET($BN$2,0,0,ROW()-1,60),ROW()-1,FALSE))</f>
        <v>29932.866529999999</v>
      </c>
      <c r="I385">
        <f ca="1">IF(AND(ISNUMBER($I$884),$B$511=1),$I$884,HLOOKUP(INDIRECT(ADDRESS(2,COLUMN())),OFFSET($BN$2,0,0,ROW()-1,60),ROW()-1,FALSE))</f>
        <v>31415.212070000001</v>
      </c>
      <c r="J385">
        <f ca="1">IF(AND(ISNUMBER($J$884),$B$511=1),$J$884,HLOOKUP(INDIRECT(ADDRESS(2,COLUMN())),OFFSET($BN$2,0,0,ROW()-1,60),ROW()-1,FALSE))</f>
        <v>36094.599240000003</v>
      </c>
      <c r="K385">
        <f ca="1">IF(AND(ISNUMBER($K$884),$B$511=1),$K$884,HLOOKUP(INDIRECT(ADDRESS(2,COLUMN())),OFFSET($BN$2,0,0,ROW()-1,60),ROW()-1,FALSE))</f>
        <v>33821.613870000001</v>
      </c>
      <c r="L385">
        <f ca="1">IF(AND(ISNUMBER($L$884),$B$511=1),$L$884,HLOOKUP(INDIRECT(ADDRESS(2,COLUMN())),OFFSET($BN$2,0,0,ROW()-1,60),ROW()-1,FALSE))</f>
        <v>34652.508540000003</v>
      </c>
      <c r="M385">
        <f ca="1">IF(AND(ISNUMBER($M$884),$B$511=1),$M$884,HLOOKUP(INDIRECT(ADDRESS(2,COLUMN())),OFFSET($BN$2,0,0,ROW()-1,60),ROW()-1,FALSE))</f>
        <v>23154.998240000001</v>
      </c>
      <c r="N385">
        <f ca="1">IF(AND(ISNUMBER($N$884),$B$511=1),$N$884,HLOOKUP(INDIRECT(ADDRESS(2,COLUMN())),OFFSET($BN$2,0,0,ROW()-1,60),ROW()-1,FALSE))</f>
        <v>23649.729810000001</v>
      </c>
      <c r="O385">
        <f ca="1">IF(AND(ISNUMBER($O$884),$B$511=1),$O$884,HLOOKUP(INDIRECT(ADDRESS(2,COLUMN())),OFFSET($BN$2,0,0,ROW()-1,60),ROW()-1,FALSE))</f>
        <v>19633.591270000001</v>
      </c>
      <c r="P385">
        <f ca="1">IF(AND(ISNUMBER($P$884),$B$511=1),$P$884,HLOOKUP(INDIRECT(ADDRESS(2,COLUMN())),OFFSET($BN$2,0,0,ROW()-1,60),ROW()-1,FALSE))</f>
        <v>17019.155500000001</v>
      </c>
      <c r="Q385">
        <f ca="1">IF(AND(ISNUMBER($Q$884),$B$511=1),$Q$884,HLOOKUP(INDIRECT(ADDRESS(2,COLUMN())),OFFSET($BN$2,0,0,ROW()-1,60),ROW()-1,FALSE))</f>
        <v>15097.165650000001</v>
      </c>
      <c r="R385">
        <f ca="1">IF(AND(ISNUMBER($R$884),$B$511=1),$R$884,HLOOKUP(INDIRECT(ADDRESS(2,COLUMN())),OFFSET($BN$2,0,0,ROW()-1,60),ROW()-1,FALSE))</f>
        <v>19376.86651</v>
      </c>
      <c r="S385">
        <f ca="1">IF(AND(ISNUMBER($S$884),$B$511=1),$S$884,HLOOKUP(INDIRECT(ADDRESS(2,COLUMN())),OFFSET($BN$2,0,0,ROW()-1,60),ROW()-1,FALSE))</f>
        <v>24512.977610000002</v>
      </c>
      <c r="T385">
        <f ca="1">IF(AND(ISNUMBER($T$884),$B$511=1),$T$884,HLOOKUP(INDIRECT(ADDRESS(2,COLUMN())),OFFSET($BN$2,0,0,ROW()-1,60),ROW()-1,FALSE))</f>
        <v>28727.420529999999</v>
      </c>
      <c r="U385">
        <f ca="1">IF(AND(ISNUMBER($U$884),$B$511=1),$U$884,HLOOKUP(INDIRECT(ADDRESS(2,COLUMN())),OFFSET($BN$2,0,0,ROW()-1,60),ROW()-1,FALSE))</f>
        <v>29963.476589999998</v>
      </c>
      <c r="V385">
        <f ca="1">IF(AND(ISNUMBER($V$884),$B$511=1),$V$884,HLOOKUP(INDIRECT(ADDRESS(2,COLUMN())),OFFSET($BN$2,0,0,ROW()-1,60),ROW()-1,FALSE))</f>
        <v>32267.397099999998</v>
      </c>
      <c r="W385">
        <f ca="1">IF(AND(ISNUMBER($W$884),$B$511=1),$W$884,HLOOKUP(INDIRECT(ADDRESS(2,COLUMN())),OFFSET($BN$2,0,0,ROW()-1,60),ROW()-1,FALSE))</f>
        <v>26496.578450000001</v>
      </c>
      <c r="X385" t="str">
        <f ca="1">IF(AND(ISNUMBER($X$884),$B$511=1),$X$884,HLOOKUP(INDIRECT(ADDRESS(2,COLUMN())),OFFSET($BN$2,0,0,ROW()-1,60),ROW()-1,FALSE))</f>
        <v/>
      </c>
      <c r="Y385" t="str">
        <f ca="1">IF(AND(ISNUMBER($Y$884),$B$511=1),$Y$884,HLOOKUP(INDIRECT(ADDRESS(2,COLUMN())),OFFSET($BN$2,0,0,ROW()-1,60),ROW()-1,FALSE))</f>
        <v/>
      </c>
      <c r="Z385" t="str">
        <f ca="1">IF(AND(ISNUMBER($Z$884),$B$511=1),$Z$884,HLOOKUP(INDIRECT(ADDRESS(2,COLUMN())),OFFSET($BN$2,0,0,ROW()-1,60),ROW()-1,FALSE))</f>
        <v/>
      </c>
      <c r="AA385" t="str">
        <f ca="1">IF(AND(ISNUMBER($AA$884),$B$511=1),$AA$884,HLOOKUP(INDIRECT(ADDRESS(2,COLUMN())),OFFSET($BN$2,0,0,ROW()-1,60),ROW()-1,FALSE))</f>
        <v/>
      </c>
      <c r="AB385" t="str">
        <f ca="1">IF(AND(ISNUMBER($AB$884),$B$511=1),$AB$884,HLOOKUP(INDIRECT(ADDRESS(2,COLUMN())),OFFSET($BN$2,0,0,ROW()-1,60),ROW()-1,FALSE))</f>
        <v/>
      </c>
      <c r="AC385" t="str">
        <f ca="1">IF(AND(ISNUMBER($AC$884),$B$511=1),$AC$884,HLOOKUP(INDIRECT(ADDRESS(2,COLUMN())),OFFSET($BN$2,0,0,ROW()-1,60),ROW()-1,FALSE))</f>
        <v/>
      </c>
      <c r="AD385" t="str">
        <f ca="1">IF(AND(ISNUMBER($AD$884),$B$511=1),$AD$884,HLOOKUP(INDIRECT(ADDRESS(2,COLUMN())),OFFSET($BN$2,0,0,ROW()-1,60),ROW()-1,FALSE))</f>
        <v/>
      </c>
      <c r="AE385" t="str">
        <f ca="1">IF(AND(ISNUMBER($AE$884),$B$511=1),$AE$884,HLOOKUP(INDIRECT(ADDRESS(2,COLUMN())),OFFSET($BN$2,0,0,ROW()-1,60),ROW()-1,FALSE))</f>
        <v/>
      </c>
      <c r="AF385" t="str">
        <f ca="1">IF(AND(ISNUMBER($AF$884),$B$511=1),$AF$884,HLOOKUP(INDIRECT(ADDRESS(2,COLUMN())),OFFSET($BN$2,0,0,ROW()-1,60),ROW()-1,FALSE))</f>
        <v/>
      </c>
      <c r="AG385" t="str">
        <f ca="1">IF(AND(ISNUMBER($AG$884),$B$511=1),$AG$884,HLOOKUP(INDIRECT(ADDRESS(2,COLUMN())),OFFSET($BN$2,0,0,ROW()-1,60),ROW()-1,FALSE))</f>
        <v/>
      </c>
      <c r="AH385" t="str">
        <f ca="1">IF(AND(ISNUMBER($AH$884),$B$511=1),$AH$884,HLOOKUP(INDIRECT(ADDRESS(2,COLUMN())),OFFSET($BN$2,0,0,ROW()-1,60),ROW()-1,FALSE))</f>
        <v/>
      </c>
      <c r="AI385" t="str">
        <f ca="1">IF(AND(ISNUMBER($AI$884),$B$511=1),$AI$884,HLOOKUP(INDIRECT(ADDRESS(2,COLUMN())),OFFSET($BN$2,0,0,ROW()-1,60),ROW()-1,FALSE))</f>
        <v/>
      </c>
      <c r="AJ385" t="str">
        <f ca="1">IF(AND(ISNUMBER($AJ$884),$B$511=1),$AJ$884,HLOOKUP(INDIRECT(ADDRESS(2,COLUMN())),OFFSET($BN$2,0,0,ROW()-1,60),ROW()-1,FALSE))</f>
        <v/>
      </c>
      <c r="AK385" t="str">
        <f ca="1">IF(AND(ISNUMBER($AK$884),$B$511=1),$AK$884,HLOOKUP(INDIRECT(ADDRESS(2,COLUMN())),OFFSET($BN$2,0,0,ROW()-1,60),ROW()-1,FALSE))</f>
        <v/>
      </c>
      <c r="AL385" t="str">
        <f ca="1">IF(AND(ISNUMBER($AL$884),$B$511=1),$AL$884,HLOOKUP(INDIRECT(ADDRESS(2,COLUMN())),OFFSET($BN$2,0,0,ROW()-1,60),ROW()-1,FALSE))</f>
        <v/>
      </c>
      <c r="AM385" t="str">
        <f ca="1">IF(AND(ISNUMBER($AM$884),$B$511=1),$AM$884,HLOOKUP(INDIRECT(ADDRESS(2,COLUMN())),OFFSET($BN$2,0,0,ROW()-1,60),ROW()-1,FALSE))</f>
        <v/>
      </c>
      <c r="AN385" t="str">
        <f ca="1">IF(AND(ISNUMBER($AN$884),$B$511=1),$AN$884,HLOOKUP(INDIRECT(ADDRESS(2,COLUMN())),OFFSET($BN$2,0,0,ROW()-1,60),ROW()-1,FALSE))</f>
        <v/>
      </c>
      <c r="AO385" t="str">
        <f ca="1">IF(AND(ISNUMBER($AO$884),$B$511=1),$AO$884,HLOOKUP(INDIRECT(ADDRESS(2,COLUMN())),OFFSET($BN$2,0,0,ROW()-1,60),ROW()-1,FALSE))</f>
        <v/>
      </c>
      <c r="AP385" t="str">
        <f ca="1">IF(AND(ISNUMBER($AP$884),$B$511=1),$AP$884,HLOOKUP(INDIRECT(ADDRESS(2,COLUMN())),OFFSET($BN$2,0,0,ROW()-1,60),ROW()-1,FALSE))</f>
        <v/>
      </c>
      <c r="AQ385" t="str">
        <f ca="1">IF(AND(ISNUMBER($AQ$884),$B$511=1),$AQ$884,HLOOKUP(INDIRECT(ADDRESS(2,COLUMN())),OFFSET($BN$2,0,0,ROW()-1,60),ROW()-1,FALSE))</f>
        <v/>
      </c>
      <c r="AR385" t="str">
        <f ca="1">IF(AND(ISNUMBER($AR$884),$B$511=1),$AR$884,HLOOKUP(INDIRECT(ADDRESS(2,COLUMN())),OFFSET($BN$2,0,0,ROW()-1,60),ROW()-1,FALSE))</f>
        <v/>
      </c>
      <c r="AS385" t="str">
        <f ca="1">IF(AND(ISNUMBER($AS$884),$B$511=1),$AS$884,HLOOKUP(INDIRECT(ADDRESS(2,COLUMN())),OFFSET($BN$2,0,0,ROW()-1,60),ROW()-1,FALSE))</f>
        <v/>
      </c>
      <c r="AT385" t="str">
        <f ca="1">IF(AND(ISNUMBER($AT$884),$B$511=1),$AT$884,HLOOKUP(INDIRECT(ADDRESS(2,COLUMN())),OFFSET($BN$2,0,0,ROW()-1,60),ROW()-1,FALSE))</f>
        <v/>
      </c>
      <c r="AU385" t="str">
        <f ca="1">IF(AND(ISNUMBER($AU$884),$B$511=1),$AU$884,HLOOKUP(INDIRECT(ADDRESS(2,COLUMN())),OFFSET($BN$2,0,0,ROW()-1,60),ROW()-1,FALSE))</f>
        <v/>
      </c>
      <c r="AV385" t="str">
        <f ca="1">IF(AND(ISNUMBER($AV$884),$B$511=1),$AV$884,HLOOKUP(INDIRECT(ADDRESS(2,COLUMN())),OFFSET($BN$2,0,0,ROW()-1,60),ROW()-1,FALSE))</f>
        <v/>
      </c>
      <c r="AW385" t="str">
        <f ca="1">IF(AND(ISNUMBER($AW$884),$B$511=1),$AW$884,HLOOKUP(INDIRECT(ADDRESS(2,COLUMN())),OFFSET($BN$2,0,0,ROW()-1,60),ROW()-1,FALSE))</f>
        <v/>
      </c>
      <c r="AX385" t="str">
        <f ca="1">IF(AND(ISNUMBER($AX$884),$B$511=1),$AX$884,HLOOKUP(INDIRECT(ADDRESS(2,COLUMN())),OFFSET($BN$2,0,0,ROW()-1,60),ROW()-1,FALSE))</f>
        <v/>
      </c>
      <c r="AY385" t="str">
        <f ca="1">IF(AND(ISNUMBER($AY$884),$B$511=1),$AY$884,HLOOKUP(INDIRECT(ADDRESS(2,COLUMN())),OFFSET($BN$2,0,0,ROW()-1,60),ROW()-1,FALSE))</f>
        <v/>
      </c>
      <c r="AZ385" t="str">
        <f ca="1">IF(AND(ISNUMBER($AZ$884),$B$511=1),$AZ$884,HLOOKUP(INDIRECT(ADDRESS(2,COLUMN())),OFFSET($BN$2,0,0,ROW()-1,60),ROW()-1,FALSE))</f>
        <v/>
      </c>
      <c r="BA385" t="str">
        <f ca="1">IF(AND(ISNUMBER($BA$884),$B$511=1),$BA$884,HLOOKUP(INDIRECT(ADDRESS(2,COLUMN())),OFFSET($BN$2,0,0,ROW()-1,60),ROW()-1,FALSE))</f>
        <v/>
      </c>
      <c r="BB385" t="str">
        <f ca="1">IF(AND(ISNUMBER($BB$884),$B$511=1),$BB$884,HLOOKUP(INDIRECT(ADDRESS(2,COLUMN())),OFFSET($BN$2,0,0,ROW()-1,60),ROW()-1,FALSE))</f>
        <v/>
      </c>
      <c r="BC385" t="str">
        <f ca="1">IF(AND(ISNUMBER($BC$884),$B$511=1),$BC$884,HLOOKUP(INDIRECT(ADDRESS(2,COLUMN())),OFFSET($BN$2,0,0,ROW()-1,60),ROW()-1,FALSE))</f>
        <v/>
      </c>
      <c r="BD385" t="str">
        <f ca="1">IF(AND(ISNUMBER($BD$884),$B$511=1),$BD$884,HLOOKUP(INDIRECT(ADDRESS(2,COLUMN())),OFFSET($BN$2,0,0,ROW()-1,60),ROW()-1,FALSE))</f>
        <v/>
      </c>
      <c r="BE385" t="str">
        <f ca="1">IF(AND(ISNUMBER($BE$884),$B$511=1),$BE$884,HLOOKUP(INDIRECT(ADDRESS(2,COLUMN())),OFFSET($BN$2,0,0,ROW()-1,60),ROW()-1,FALSE))</f>
        <v/>
      </c>
      <c r="BF385" t="str">
        <f ca="1">IF(AND(ISNUMBER($BF$884),$B$511=1),$BF$884,HLOOKUP(INDIRECT(ADDRESS(2,COLUMN())),OFFSET($BN$2,0,0,ROW()-1,60),ROW()-1,FALSE))</f>
        <v/>
      </c>
      <c r="BG385" t="str">
        <f ca="1">IF(AND(ISNUMBER($BG$884),$B$511=1),$BG$884,HLOOKUP(INDIRECT(ADDRESS(2,COLUMN())),OFFSET($BN$2,0,0,ROW()-1,60),ROW()-1,FALSE))</f>
        <v/>
      </c>
      <c r="BH385" t="str">
        <f ca="1">IF(AND(ISNUMBER($BH$884),$B$511=1),$BH$884,HLOOKUP(INDIRECT(ADDRESS(2,COLUMN())),OFFSET($BN$2,0,0,ROW()-1,60),ROW()-1,FALSE))</f>
        <v/>
      </c>
      <c r="BI385" t="str">
        <f ca="1">IF(AND(ISNUMBER($BI$884),$B$511=1),$BI$884,HLOOKUP(INDIRECT(ADDRESS(2,COLUMN())),OFFSET($BN$2,0,0,ROW()-1,60),ROW()-1,FALSE))</f>
        <v/>
      </c>
      <c r="BJ385" t="str">
        <f ca="1">IF(AND(ISNUMBER($BJ$884),$B$511=1),$BJ$884,HLOOKUP(INDIRECT(ADDRESS(2,COLUMN())),OFFSET($BN$2,0,0,ROW()-1,60),ROW()-1,FALSE))</f>
        <v/>
      </c>
      <c r="BK385" t="str">
        <f ca="1">IF(AND(ISNUMBER($BK$884),$B$511=1),$BK$884,HLOOKUP(INDIRECT(ADDRESS(2,COLUMN())),OFFSET($BN$2,0,0,ROW()-1,60),ROW()-1,FALSE))</f>
        <v/>
      </c>
      <c r="BL385" t="str">
        <f ca="1">IF(AND(ISNUMBER($BL$884),$B$511=1),$BL$884,HLOOKUP(INDIRECT(ADDRESS(2,COLUMN())),OFFSET($BN$2,0,0,ROW()-1,60),ROW()-1,FALSE))</f>
        <v/>
      </c>
      <c r="BM385" t="str">
        <f ca="1">IF(AND(ISNUMBER($BM$884),$B$511=1),$BM$884,HLOOKUP(INDIRECT(ADDRESS(2,COLUMN())),OFFSET($BN$2,0,0,ROW()-1,60),ROW()-1,FALSE))</f>
        <v/>
      </c>
      <c r="BN385">
        <f>25426.94314</f>
        <v>25426.943139999999</v>
      </c>
      <c r="BO385">
        <f>24651.63436</f>
        <v>24651.63436</v>
      </c>
      <c r="BP385">
        <f>29932.8665299999</f>
        <v>29932.866529999999</v>
      </c>
      <c r="BQ385">
        <f>31415.21207</f>
        <v>31415.212070000001</v>
      </c>
      <c r="BR385">
        <f>36094.59924</f>
        <v>36094.599240000003</v>
      </c>
      <c r="BS385">
        <f>33821.61387</f>
        <v>33821.613870000001</v>
      </c>
      <c r="BT385">
        <f>34652.50854</f>
        <v>34652.508540000003</v>
      </c>
      <c r="BU385">
        <f>23154.99824</f>
        <v>23154.998240000001</v>
      </c>
      <c r="BV385">
        <f>23649.72981</f>
        <v>23649.729810000001</v>
      </c>
      <c r="BW385">
        <f>19633.59127</f>
        <v>19633.591270000001</v>
      </c>
      <c r="BX385">
        <f>17019.1555</f>
        <v>17019.155500000001</v>
      </c>
      <c r="BY385">
        <f>15097.16565</f>
        <v>15097.165650000001</v>
      </c>
      <c r="BZ385">
        <f>19376.86651</f>
        <v>19376.86651</v>
      </c>
      <c r="CA385">
        <f>24512.97761</f>
        <v>24512.977610000002</v>
      </c>
      <c r="CB385">
        <f>28727.42053</f>
        <v>28727.420529999999</v>
      </c>
      <c r="CC385">
        <f>29963.47659</f>
        <v>29963.476589999998</v>
      </c>
      <c r="CD385">
        <f>32267.3971</f>
        <v>32267.397099999998</v>
      </c>
      <c r="CE385">
        <f>26496.57845</f>
        <v>26496.578450000001</v>
      </c>
      <c r="CF385" t="str">
        <f>""</f>
        <v/>
      </c>
      <c r="CG385" t="str">
        <f>""</f>
        <v/>
      </c>
      <c r="CH385" t="str">
        <f>""</f>
        <v/>
      </c>
      <c r="CI385" t="str">
        <f>""</f>
        <v/>
      </c>
      <c r="CJ385" t="str">
        <f>""</f>
        <v/>
      </c>
      <c r="CK385" t="str">
        <f>""</f>
        <v/>
      </c>
      <c r="CL385" t="str">
        <f>""</f>
        <v/>
      </c>
      <c r="CM385" t="str">
        <f>""</f>
        <v/>
      </c>
      <c r="CN385" t="str">
        <f>""</f>
        <v/>
      </c>
      <c r="CO385" t="str">
        <f>""</f>
        <v/>
      </c>
      <c r="CP385" t="str">
        <f>""</f>
        <v/>
      </c>
      <c r="CQ385" t="str">
        <f>""</f>
        <v/>
      </c>
      <c r="CR385" t="str">
        <f>""</f>
        <v/>
      </c>
      <c r="CS385" t="str">
        <f>""</f>
        <v/>
      </c>
      <c r="CT385" t="str">
        <f>""</f>
        <v/>
      </c>
      <c r="CU385" t="str">
        <f>""</f>
        <v/>
      </c>
      <c r="CV385" t="str">
        <f>""</f>
        <v/>
      </c>
      <c r="CW385" t="str">
        <f>""</f>
        <v/>
      </c>
      <c r="CX385" t="str">
        <f>""</f>
        <v/>
      </c>
      <c r="CY385" t="str">
        <f>""</f>
        <v/>
      </c>
      <c r="CZ385" t="str">
        <f>""</f>
        <v/>
      </c>
      <c r="DA385" t="str">
        <f>""</f>
        <v/>
      </c>
      <c r="DB385" t="str">
        <f>""</f>
        <v/>
      </c>
      <c r="DC385" t="str">
        <f>""</f>
        <v/>
      </c>
      <c r="DD385" t="str">
        <f>""</f>
        <v/>
      </c>
      <c r="DE385" t="str">
        <f>""</f>
        <v/>
      </c>
      <c r="DF385" t="str">
        <f>""</f>
        <v/>
      </c>
      <c r="DG385" t="str">
        <f>""</f>
        <v/>
      </c>
      <c r="DH385" t="str">
        <f>""</f>
        <v/>
      </c>
      <c r="DI385" t="str">
        <f>""</f>
        <v/>
      </c>
      <c r="DJ385" t="str">
        <f>""</f>
        <v/>
      </c>
      <c r="DK385" t="str">
        <f>""</f>
        <v/>
      </c>
      <c r="DL385" t="str">
        <f>""</f>
        <v/>
      </c>
      <c r="DM385" t="str">
        <f>""</f>
        <v/>
      </c>
      <c r="DN385" t="str">
        <f>""</f>
        <v/>
      </c>
      <c r="DO385" t="str">
        <f>""</f>
        <v/>
      </c>
      <c r="DP385" t="str">
        <f>""</f>
        <v/>
      </c>
      <c r="DQ385" t="str">
        <f>""</f>
        <v/>
      </c>
      <c r="DR385" t="str">
        <f>""</f>
        <v/>
      </c>
      <c r="DS385" t="str">
        <f>""</f>
        <v/>
      </c>
      <c r="DT385" t="str">
        <f>""</f>
        <v/>
      </c>
      <c r="DU385" t="str">
        <f>""</f>
        <v/>
      </c>
    </row>
    <row r="386" spans="1:125" x14ac:dyDescent="0.25">
      <c r="A386" t="str">
        <f>"    Ford Motor Co"</f>
        <v xml:space="preserve">    Ford Motor Co</v>
      </c>
      <c r="B386" t="str">
        <f>"F US Equity"</f>
        <v>F US Equity</v>
      </c>
      <c r="C386" t="str">
        <f t="shared" si="27"/>
        <v>RR937</v>
      </c>
      <c r="D386" t="str">
        <f t="shared" si="28"/>
        <v>CRNCY_ADJ_CURR_EV</v>
      </c>
      <c r="E386" t="str">
        <f t="shared" si="29"/>
        <v>Dynamic</v>
      </c>
      <c r="F386">
        <f ca="1">IF(AND(ISNUMBER($F$885),$B$511=1),$F$885,HLOOKUP(INDIRECT(ADDRESS(2,COLUMN())),OFFSET($BN$2,0,0,ROW()-1,60),ROW()-1,FALSE))</f>
        <v>25298.18563</v>
      </c>
      <c r="G386">
        <f ca="1">IF(AND(ISNUMBER($G$885),$B$511=1),$G$885,HLOOKUP(INDIRECT(ADDRESS(2,COLUMN())),OFFSET($BN$2,0,0,ROW()-1,60),ROW()-1,FALSE))</f>
        <v>21075.960899999998</v>
      </c>
      <c r="H386">
        <f ca="1">IF(AND(ISNUMBER($H$885),$B$511=1),$H$885,HLOOKUP(INDIRECT(ADDRESS(2,COLUMN())),OFFSET($BN$2,0,0,ROW()-1,60),ROW()-1,FALSE))</f>
        <v>28054.97048</v>
      </c>
      <c r="I386">
        <f ca="1">IF(AND(ISNUMBER($I$885),$B$511=1),$I$885,HLOOKUP(INDIRECT(ADDRESS(2,COLUMN())),OFFSET($BN$2,0,0,ROW()-1,60),ROW()-1,FALSE))</f>
        <v>34739.437059999997</v>
      </c>
      <c r="J386">
        <f ca="1">IF(AND(ISNUMBER($J$885),$B$511=1),$J$885,HLOOKUP(INDIRECT(ADDRESS(2,COLUMN())),OFFSET($BN$2,0,0,ROW()-1,60),ROW()-1,FALSE))</f>
        <v>32383.736349999999</v>
      </c>
      <c r="K386">
        <f ca="1">IF(AND(ISNUMBER($K$885),$B$511=1),$K$885,HLOOKUP(INDIRECT(ADDRESS(2,COLUMN())),OFFSET($BN$2,0,0,ROW()-1,60),ROW()-1,FALSE))</f>
        <v>39183.054380000001</v>
      </c>
      <c r="L386">
        <f ca="1">IF(AND(ISNUMBER($L$885),$B$511=1),$L$885,HLOOKUP(INDIRECT(ADDRESS(2,COLUMN())),OFFSET($BN$2,0,0,ROW()-1,60),ROW()-1,FALSE))</f>
        <v>37702.909039999999</v>
      </c>
      <c r="M386">
        <f ca="1">IF(AND(ISNUMBER($M$885),$B$511=1),$M$885,HLOOKUP(INDIRECT(ADDRESS(2,COLUMN())),OFFSET($BN$2,0,0,ROW()-1,60),ROW()-1,FALSE))</f>
        <v>32429.426780000002</v>
      </c>
      <c r="N386">
        <f ca="1">IF(AND(ISNUMBER($N$885),$B$511=1),$N$885,HLOOKUP(INDIRECT(ADDRESS(2,COLUMN())),OFFSET($BN$2,0,0,ROW()-1,60),ROW()-1,FALSE))</f>
        <v>34644.289550000001</v>
      </c>
      <c r="O386">
        <f ca="1">IF(AND(ISNUMBER($O$885),$B$511=1),$O$885,HLOOKUP(INDIRECT(ADDRESS(2,COLUMN())),OFFSET($BN$2,0,0,ROW()-1,60),ROW()-1,FALSE))</f>
        <v>36751.158369999997</v>
      </c>
      <c r="P386">
        <f ca="1">IF(AND(ISNUMBER($P$885),$B$511=1),$P$885,HLOOKUP(INDIRECT(ADDRESS(2,COLUMN())),OFFSET($BN$2,0,0,ROW()-1,60),ROW()-1,FALSE))</f>
        <v>36905.015800000001</v>
      </c>
      <c r="Q386">
        <f ca="1">IF(AND(ISNUMBER($Q$885),$B$511=1),$Q$885,HLOOKUP(INDIRECT(ADDRESS(2,COLUMN())),OFFSET($BN$2,0,0,ROW()-1,60),ROW()-1,FALSE))</f>
        <v>35907.538820000002</v>
      </c>
      <c r="R386">
        <f ca="1">IF(AND(ISNUMBER($R$885),$B$511=1),$R$885,HLOOKUP(INDIRECT(ADDRESS(2,COLUMN())),OFFSET($BN$2,0,0,ROW()-1,60),ROW()-1,FALSE))</f>
        <v>40293.923159999998</v>
      </c>
      <c r="S386">
        <f ca="1">IF(AND(ISNUMBER($S$885),$B$511=1),$S$885,HLOOKUP(INDIRECT(ADDRESS(2,COLUMN())),OFFSET($BN$2,0,0,ROW()-1,60),ROW()-1,FALSE))</f>
        <v>45298.998809999997</v>
      </c>
      <c r="T386">
        <f ca="1">IF(AND(ISNUMBER($T$885),$B$511=1),$T$885,HLOOKUP(INDIRECT(ADDRESS(2,COLUMN())),OFFSET($BN$2,0,0,ROW()-1,60),ROW()-1,FALSE))</f>
        <v>42180.560490000003</v>
      </c>
      <c r="U386">
        <f ca="1">IF(AND(ISNUMBER($U$885),$B$511=1),$U$885,HLOOKUP(INDIRECT(ADDRESS(2,COLUMN())),OFFSET($BN$2,0,0,ROW()-1,60),ROW()-1,FALSE))</f>
        <v>50003.096920000004</v>
      </c>
      <c r="V386">
        <f ca="1">IF(AND(ISNUMBER($V$885),$B$511=1),$V$885,HLOOKUP(INDIRECT(ADDRESS(2,COLUMN())),OFFSET($BN$2,0,0,ROW()-1,60),ROW()-1,FALSE))</f>
        <v>56195.258260000002</v>
      </c>
      <c r="W386">
        <f ca="1">IF(AND(ISNUMBER($W$885),$B$511=1),$W$885,HLOOKUP(INDIRECT(ADDRESS(2,COLUMN())),OFFSET($BN$2,0,0,ROW()-1,60),ROW()-1,FALSE))</f>
        <v>50446.656600000002</v>
      </c>
      <c r="X386">
        <f ca="1">IF(AND(ISNUMBER($X$885),$B$511=1),$X$885,HLOOKUP(INDIRECT(ADDRESS(2,COLUMN())),OFFSET($BN$2,0,0,ROW()-1,60),ROW()-1,FALSE))</f>
        <v>47839.397879999997</v>
      </c>
      <c r="Y386">
        <f ca="1">IF(AND(ISNUMBER($Y$885),$B$511=1),$Y$885,HLOOKUP(INDIRECT(ADDRESS(2,COLUMN())),OFFSET($BN$2,0,0,ROW()-1,60),ROW()-1,FALSE))</f>
        <v>56074.413500000002</v>
      </c>
      <c r="Z386">
        <f ca="1">IF(AND(ISNUMBER($Z$885),$B$511=1),$Z$885,HLOOKUP(INDIRECT(ADDRESS(2,COLUMN())),OFFSET($BN$2,0,0,ROW()-1,60),ROW()-1,FALSE))</f>
        <v>51493.186979999999</v>
      </c>
      <c r="AA386">
        <f ca="1">IF(AND(ISNUMBER($AA$885),$B$511=1),$AA$885,HLOOKUP(INDIRECT(ADDRESS(2,COLUMN())),OFFSET($BN$2,0,0,ROW()-1,60),ROW()-1,FALSE))</f>
        <v>51666.655910000001</v>
      </c>
      <c r="AB386">
        <f ca="1">IF(AND(ISNUMBER($AB$885),$B$511=1),$AB$885,HLOOKUP(INDIRECT(ADDRESS(2,COLUMN())),OFFSET($BN$2,0,0,ROW()-1,60),ROW()-1,FALSE))</f>
        <v>54655.194900000002</v>
      </c>
      <c r="AC386">
        <f ca="1">IF(AND(ISNUMBER($AC$885),$B$511=1),$AC$885,HLOOKUP(INDIRECT(ADDRESS(2,COLUMN())),OFFSET($BN$2,0,0,ROW()-1,60),ROW()-1,FALSE))</f>
        <v>49310.758020000001</v>
      </c>
      <c r="AD386">
        <f ca="1">IF(AND(ISNUMBER($AD$885),$B$511=1),$AD$885,HLOOKUP(INDIRECT(ADDRESS(2,COLUMN())),OFFSET($BN$2,0,0,ROW()-1,60),ROW()-1,FALSE))</f>
        <v>42734.555999999997</v>
      </c>
      <c r="AE386">
        <f ca="1">IF(AND(ISNUMBER($AE$885),$B$511=1),$AE$885,HLOOKUP(INDIRECT(ADDRESS(2,COLUMN())),OFFSET($BN$2,0,0,ROW()-1,60),ROW()-1,FALSE))</f>
        <v>38153.971749999997</v>
      </c>
      <c r="AF386">
        <f ca="1">IF(AND(ISNUMBER($AF$885),$B$511=1),$AF$885,HLOOKUP(INDIRECT(ADDRESS(2,COLUMN())),OFFSET($BN$2,0,0,ROW()-1,60),ROW()-1,FALSE))</f>
        <v>26235.908049999998</v>
      </c>
      <c r="AG386">
        <f ca="1">IF(AND(ISNUMBER($AG$885),$B$511=1),$AG$885,HLOOKUP(INDIRECT(ADDRESS(2,COLUMN())),OFFSET($BN$2,0,0,ROW()-1,60),ROW()-1,FALSE))</f>
        <v>25156.964110000001</v>
      </c>
      <c r="AH386">
        <f ca="1">IF(AND(ISNUMBER($AH$885),$B$511=1),$AH$885,HLOOKUP(INDIRECT(ADDRESS(2,COLUMN())),OFFSET($BN$2,0,0,ROW()-1,60),ROW()-1,FALSE))</f>
        <v>36928.317230000001</v>
      </c>
      <c r="AI386">
        <f ca="1">IF(AND(ISNUMBER($AI$885),$B$511=1),$AI$885,HLOOKUP(INDIRECT(ADDRESS(2,COLUMN())),OFFSET($BN$2,0,0,ROW()-1,60),ROW()-1,FALSE))</f>
        <v>29721.077539999998</v>
      </c>
      <c r="AJ386">
        <f ca="1">IF(AND(ISNUMBER($AJ$885),$B$511=1),$AJ$885,HLOOKUP(INDIRECT(ADDRESS(2,COLUMN())),OFFSET($BN$2,0,0,ROW()-1,60),ROW()-1,FALSE))</f>
        <v>27179.34549</v>
      </c>
      <c r="AK386">
        <f ca="1">IF(AND(ISNUMBER($AK$885),$B$511=1),$AK$885,HLOOKUP(INDIRECT(ADDRESS(2,COLUMN())),OFFSET($BN$2,0,0,ROW()-1,60),ROW()-1,FALSE))</f>
        <v>42886.060120000002</v>
      </c>
      <c r="AL386">
        <f ca="1">IF(AND(ISNUMBER($AL$885),$B$511=1),$AL$885,HLOOKUP(INDIRECT(ADDRESS(2,COLUMN())),OFFSET($BN$2,0,0,ROW()-1,60),ROW()-1,FALSE))</f>
        <v>50826.220759999997</v>
      </c>
      <c r="AM386">
        <f ca="1">IF(AND(ISNUMBER($AM$885),$B$511=1),$AM$885,HLOOKUP(INDIRECT(ADDRESS(2,COLUMN())),OFFSET($BN$2,0,0,ROW()-1,60),ROW()-1,FALSE))</f>
        <v>60230.815320000002</v>
      </c>
      <c r="AN386">
        <f ca="1">IF(AND(ISNUMBER($AN$885),$B$511=1),$AN$885,HLOOKUP(INDIRECT(ADDRESS(2,COLUMN())),OFFSET($BN$2,0,0,ROW()-1,60),ROW()-1,FALSE))</f>
        <v>42501.266239999997</v>
      </c>
      <c r="AO386">
        <f ca="1">IF(AND(ISNUMBER($AO$885),$B$511=1),$AO$885,HLOOKUP(INDIRECT(ADDRESS(2,COLUMN())),OFFSET($BN$2,0,0,ROW()-1,60),ROW()-1,FALSE))</f>
        <v>37142.335030000002</v>
      </c>
      <c r="AP386">
        <f ca="1">IF(AND(ISNUMBER($AP$885),$B$511=1),$AP$885,HLOOKUP(INDIRECT(ADDRESS(2,COLUMN())),OFFSET($BN$2,0,0,ROW()-1,60),ROW()-1,FALSE))</f>
        <v>51336.099479999997</v>
      </c>
      <c r="AQ386">
        <f ca="1">IF(AND(ISNUMBER($AQ$885),$B$511=1),$AQ$885,HLOOKUP(INDIRECT(ADDRESS(2,COLUMN())),OFFSET($BN$2,0,0,ROW()-1,60),ROW()-1,FALSE))</f>
        <v>39580.008759999997</v>
      </c>
      <c r="AR386">
        <f ca="1">IF(AND(ISNUMBER($AR$885),$B$511=1),$AR$885,HLOOKUP(INDIRECT(ADDRESS(2,COLUMN())),OFFSET($BN$2,0,0,ROW()-1,60),ROW()-1,FALSE))</f>
        <v>26771.499749999999</v>
      </c>
      <c r="AS386">
        <f ca="1">IF(AND(ISNUMBER($AS$885),$B$511=1),$AS$885,HLOOKUP(INDIRECT(ADDRESS(2,COLUMN())),OFFSET($BN$2,0,0,ROW()-1,60),ROW()-1,FALSE))</f>
        <v>25398.776300000001</v>
      </c>
      <c r="AT386">
        <f ca="1">IF(AND(ISNUMBER($AT$885),$B$511=1),$AT$885,HLOOKUP(INDIRECT(ADDRESS(2,COLUMN())),OFFSET($BN$2,0,0,ROW()-1,60),ROW()-1,FALSE))</f>
        <v>17949.323830000001</v>
      </c>
      <c r="AU386">
        <f ca="1">IF(AND(ISNUMBER($AU$885),$B$511=1),$AU$885,HLOOKUP(INDIRECT(ADDRESS(2,COLUMN())),OFFSET($BN$2,0,0,ROW()-1,60),ROW()-1,FALSE))</f>
        <v>15219.47913</v>
      </c>
      <c r="AV386">
        <f ca="1">IF(AND(ISNUMBER($AV$885),$B$511=1),$AV$885,HLOOKUP(INDIRECT(ADDRESS(2,COLUMN())),OFFSET($BN$2,0,0,ROW()-1,60),ROW()-1,FALSE))</f>
        <v>17271.02202</v>
      </c>
      <c r="AW386">
        <f ca="1">IF(AND(ISNUMBER($AW$885),$B$511=1),$AW$885,HLOOKUP(INDIRECT(ADDRESS(2,COLUMN())),OFFSET($BN$2,0,0,ROW()-1,60),ROW()-1,FALSE))</f>
        <v>10625.02022</v>
      </c>
      <c r="AX386">
        <f ca="1">IF(AND(ISNUMBER($AX$885),$B$511=1),$AX$885,HLOOKUP(INDIRECT(ADDRESS(2,COLUMN())),OFFSET($BN$2,0,0,ROW()-1,60),ROW()-1,FALSE))</f>
        <v>9132.0528300000005</v>
      </c>
      <c r="AY386">
        <f ca="1">IF(AND(ISNUMBER($AY$885),$B$511=1),$AY$885,HLOOKUP(INDIRECT(ADDRESS(2,COLUMN())),OFFSET($BN$2,0,0,ROW()-1,60),ROW()-1,FALSE))</f>
        <v>9282.6837699999996</v>
      </c>
      <c r="AZ386">
        <f ca="1">IF(AND(ISNUMBER($AZ$885),$B$511=1),$AZ$885,HLOOKUP(INDIRECT(ADDRESS(2,COLUMN())),OFFSET($BN$2,0,0,ROW()-1,60),ROW()-1,FALSE))</f>
        <v>13043.55754</v>
      </c>
      <c r="BA386">
        <f ca="1">IF(AND(ISNUMBER($BA$885),$B$511=1),$BA$885,HLOOKUP(INDIRECT(ADDRESS(2,COLUMN())),OFFSET($BN$2,0,0,ROW()-1,60),ROW()-1,FALSE))</f>
        <v>13555.990659999999</v>
      </c>
      <c r="BB386">
        <f ca="1">IF(AND(ISNUMBER($BB$885),$B$511=1),$BB$885,HLOOKUP(INDIRECT(ADDRESS(2,COLUMN())),OFFSET($BN$2,0,0,ROW()-1,60),ROW()-1,FALSE))</f>
        <v>12804.12875</v>
      </c>
      <c r="BC386">
        <f ca="1">IF(AND(ISNUMBER($BC$885),$B$511=1),$BC$885,HLOOKUP(INDIRECT(ADDRESS(2,COLUMN())),OFFSET($BN$2,0,0,ROW()-1,60),ROW()-1,FALSE))</f>
        <v>12552.592769999999</v>
      </c>
      <c r="BD386">
        <f ca="1">IF(AND(ISNUMBER($BD$885),$B$511=1),$BD$885,HLOOKUP(INDIRECT(ADDRESS(2,COLUMN())),OFFSET($BN$2,0,0,ROW()-1,60),ROW()-1,FALSE))</f>
        <v>12034.3753</v>
      </c>
      <c r="BE386">
        <f ca="1">IF(AND(ISNUMBER($BE$885),$B$511=1),$BE$885,HLOOKUP(INDIRECT(ADDRESS(2,COLUMN())),OFFSET($BN$2,0,0,ROW()-1,60),ROW()-1,FALSE))</f>
        <v>8153.3436300000003</v>
      </c>
      <c r="BF386">
        <f ca="1">IF(AND(ISNUMBER($BF$885),$B$511=1),$BF$885,HLOOKUP(INDIRECT(ADDRESS(2,COLUMN())),OFFSET($BN$2,0,0,ROW()-1,60),ROW()-1,FALSE))</f>
        <v>11426.54225</v>
      </c>
      <c r="BG386">
        <f ca="1">IF(AND(ISNUMBER($BG$885),$B$511=1),$BG$885,HLOOKUP(INDIRECT(ADDRESS(2,COLUMN())),OFFSET($BN$2,0,0,ROW()-1,60),ROW()-1,FALSE))</f>
        <v>127251.7626</v>
      </c>
      <c r="BH386">
        <f ca="1">IF(AND(ISNUMBER($BH$885),$B$511=1),$BH$885,HLOOKUP(INDIRECT(ADDRESS(2,COLUMN())),OFFSET($BN$2,0,0,ROW()-1,60),ROW()-1,FALSE))</f>
        <v>123674.0727</v>
      </c>
      <c r="BI386">
        <f ca="1">IF(AND(ISNUMBER($BI$885),$B$511=1),$BI$885,HLOOKUP(INDIRECT(ADDRESS(2,COLUMN())),OFFSET($BN$2,0,0,ROW()-1,60),ROW()-1,FALSE))</f>
        <v>138611.21419999999</v>
      </c>
      <c r="BJ386">
        <f ca="1">IF(AND(ISNUMBER($BJ$885),$B$511=1),$BJ$885,HLOOKUP(INDIRECT(ADDRESS(2,COLUMN())),OFFSET($BN$2,0,0,ROW()-1,60),ROW()-1,FALSE))</f>
        <v>148529.10190000001</v>
      </c>
      <c r="BK386">
        <f ca="1">IF(AND(ISNUMBER($BK$885),$B$511=1),$BK$885,HLOOKUP(INDIRECT(ADDRESS(2,COLUMN())),OFFSET($BN$2,0,0,ROW()-1,60),ROW()-1,FALSE))</f>
        <v>159165.3376</v>
      </c>
      <c r="BL386">
        <f ca="1">IF(AND(ISNUMBER($BL$885),$B$511=1),$BL$885,HLOOKUP(INDIRECT(ADDRESS(2,COLUMN())),OFFSET($BN$2,0,0,ROW()-1,60),ROW()-1,FALSE))</f>
        <v>162197.5092</v>
      </c>
      <c r="BM386">
        <f ca="1">IF(AND(ISNUMBER($BM$885),$B$511=1),$BM$885,HLOOKUP(INDIRECT(ADDRESS(2,COLUMN())),OFFSET($BN$2,0,0,ROW()-1,60),ROW()-1,FALSE))</f>
        <v>163880.6936</v>
      </c>
      <c r="BN386">
        <f>25298.18563</f>
        <v>25298.18563</v>
      </c>
      <c r="BO386">
        <f>21075.9609</f>
        <v>21075.960899999998</v>
      </c>
      <c r="BP386">
        <f>28054.97048</f>
        <v>28054.97048</v>
      </c>
      <c r="BQ386">
        <f>34739.43706</f>
        <v>34739.437059999997</v>
      </c>
      <c r="BR386">
        <f>32383.73635</f>
        <v>32383.736349999999</v>
      </c>
      <c r="BS386">
        <f>39183.05438</f>
        <v>39183.054380000001</v>
      </c>
      <c r="BT386">
        <f>37702.90904</f>
        <v>37702.909039999999</v>
      </c>
      <c r="BU386">
        <f>32429.42678</f>
        <v>32429.426780000002</v>
      </c>
      <c r="BV386">
        <f>34644.28955</f>
        <v>34644.289550000001</v>
      </c>
      <c r="BW386">
        <f>36751.15837</f>
        <v>36751.158369999997</v>
      </c>
      <c r="BX386">
        <f>36905.0158</f>
        <v>36905.015800000001</v>
      </c>
      <c r="BY386">
        <f>35907.53882</f>
        <v>35907.538820000002</v>
      </c>
      <c r="BZ386">
        <f>40293.92316</f>
        <v>40293.923159999998</v>
      </c>
      <c r="CA386">
        <f>45298.99881</f>
        <v>45298.998809999997</v>
      </c>
      <c r="CB386">
        <f>42180.56049</f>
        <v>42180.560490000003</v>
      </c>
      <c r="CC386">
        <f>50003.09692</f>
        <v>50003.096920000004</v>
      </c>
      <c r="CD386">
        <f>56195.25826</f>
        <v>56195.258260000002</v>
      </c>
      <c r="CE386">
        <f>50446.6566</f>
        <v>50446.656600000002</v>
      </c>
      <c r="CF386">
        <f>47839.39788</f>
        <v>47839.397879999997</v>
      </c>
      <c r="CG386">
        <f>56074.4135</f>
        <v>56074.413500000002</v>
      </c>
      <c r="CH386">
        <f>51493.1869799999</f>
        <v>51493.186979999999</v>
      </c>
      <c r="CI386">
        <f>51666.65591</f>
        <v>51666.655910000001</v>
      </c>
      <c r="CJ386">
        <f>54655.1949</f>
        <v>54655.194900000002</v>
      </c>
      <c r="CK386">
        <f>49310.75802</f>
        <v>49310.758020000001</v>
      </c>
      <c r="CL386">
        <f>42734.556</f>
        <v>42734.555999999997</v>
      </c>
      <c r="CM386">
        <f>38153.97175</f>
        <v>38153.971749999997</v>
      </c>
      <c r="CN386">
        <f>26235.90805</f>
        <v>26235.908049999998</v>
      </c>
      <c r="CO386">
        <f>25156.96411</f>
        <v>25156.964110000001</v>
      </c>
      <c r="CP386">
        <f>36928.31723</f>
        <v>36928.317230000001</v>
      </c>
      <c r="CQ386">
        <f>29721.07754</f>
        <v>29721.077539999998</v>
      </c>
      <c r="CR386">
        <f>27179.34549</f>
        <v>27179.34549</v>
      </c>
      <c r="CS386">
        <f>42886.06012</f>
        <v>42886.060120000002</v>
      </c>
      <c r="CT386">
        <f>50826.22076</f>
        <v>50826.220759999997</v>
      </c>
      <c r="CU386">
        <f>60230.81532</f>
        <v>60230.815320000002</v>
      </c>
      <c r="CV386">
        <f>42501.26624</f>
        <v>42501.266239999997</v>
      </c>
      <c r="CW386">
        <f>37142.33503</f>
        <v>37142.335030000002</v>
      </c>
      <c r="CX386">
        <f>51336.09948</f>
        <v>51336.099479999997</v>
      </c>
      <c r="CY386">
        <f>39580.00876</f>
        <v>39580.008759999997</v>
      </c>
      <c r="CZ386">
        <f>26771.49975</f>
        <v>26771.499749999999</v>
      </c>
      <c r="DA386">
        <f>25398.7763</f>
        <v>25398.776300000001</v>
      </c>
      <c r="DB386">
        <f>17949.32383</f>
        <v>17949.323830000001</v>
      </c>
      <c r="DC386">
        <f>15219.47913</f>
        <v>15219.47913</v>
      </c>
      <c r="DD386">
        <f>17271.02202</f>
        <v>17271.02202</v>
      </c>
      <c r="DE386">
        <f>10625.02022</f>
        <v>10625.02022</v>
      </c>
      <c r="DF386">
        <f>9132.05283</f>
        <v>9132.0528300000005</v>
      </c>
      <c r="DG386">
        <f>9282.68377</f>
        <v>9282.6837699999996</v>
      </c>
      <c r="DH386">
        <f>13043.55754</f>
        <v>13043.55754</v>
      </c>
      <c r="DI386">
        <f>13555.99066</f>
        <v>13555.990659999999</v>
      </c>
      <c r="DJ386">
        <f>12804.12875</f>
        <v>12804.12875</v>
      </c>
      <c r="DK386">
        <f>12552.59277</f>
        <v>12552.592769999999</v>
      </c>
      <c r="DL386">
        <f>12034.3753</f>
        <v>12034.3753</v>
      </c>
      <c r="DM386">
        <f>8153.34363</f>
        <v>8153.3436300000003</v>
      </c>
      <c r="DN386">
        <f>11426.54225</f>
        <v>11426.54225</v>
      </c>
      <c r="DO386">
        <f>127251.7626</f>
        <v>127251.7626</v>
      </c>
      <c r="DP386">
        <f>123674.0727</f>
        <v>123674.0727</v>
      </c>
      <c r="DQ386">
        <f>138611.2142</f>
        <v>138611.21419999999</v>
      </c>
      <c r="DR386">
        <f>148529.1019</f>
        <v>148529.10190000001</v>
      </c>
      <c r="DS386">
        <f>159165.3376</f>
        <v>159165.3376</v>
      </c>
      <c r="DT386">
        <f>162197.5092</f>
        <v>162197.5092</v>
      </c>
      <c r="DU386">
        <f>163880.6936</f>
        <v>163880.6936</v>
      </c>
    </row>
    <row r="387" spans="1:125" x14ac:dyDescent="0.25">
      <c r="A387" t="str">
        <f>"    Ford Otomotiv Sanayi AS"</f>
        <v xml:space="preserve">    Ford Otomotiv Sanayi AS</v>
      </c>
      <c r="B387" t="str">
        <f>"FROTOTRY EO Equity"</f>
        <v>FROTOTRY EO Equity</v>
      </c>
      <c r="C387" t="str">
        <f t="shared" si="27"/>
        <v>RR937</v>
      </c>
      <c r="D387" t="str">
        <f t="shared" si="28"/>
        <v>CRNCY_ADJ_CURR_EV</v>
      </c>
      <c r="E387" t="str">
        <f t="shared" si="29"/>
        <v>Dynamic</v>
      </c>
      <c r="F387">
        <f ca="1">IF(AND(ISNUMBER($F$886),$B$511=1),$F$886,HLOOKUP(INDIRECT(ADDRESS(2,COLUMN())),OFFSET($BN$2,0,0,ROW()-1,60),ROW()-1,FALSE))</f>
        <v>4220.0657190000002</v>
      </c>
      <c r="G387">
        <f ca="1">IF(AND(ISNUMBER($G$886),$B$511=1),$G$886,HLOOKUP(INDIRECT(ADDRESS(2,COLUMN())),OFFSET($BN$2,0,0,ROW()-1,60),ROW()-1,FALSE))</f>
        <v>3900.269335</v>
      </c>
      <c r="H387">
        <f ca="1">IF(AND(ISNUMBER($H$886),$B$511=1),$H$886,HLOOKUP(INDIRECT(ADDRESS(2,COLUMN())),OFFSET($BN$2,0,0,ROW()-1,60),ROW()-1,FALSE))</f>
        <v>4440.0157529999997</v>
      </c>
      <c r="I387">
        <f ca="1">IF(AND(ISNUMBER($I$886),$B$511=1),$I$886,HLOOKUP(INDIRECT(ADDRESS(2,COLUMN())),OFFSET($BN$2,0,0,ROW()-1,60),ROW()-1,FALSE))</f>
        <v>5279.9392870000001</v>
      </c>
      <c r="J387">
        <f ca="1">IF(AND(ISNUMBER($J$886),$B$511=1),$J$886,HLOOKUP(INDIRECT(ADDRESS(2,COLUMN())),OFFSET($BN$2,0,0,ROW()-1,60),ROW()-1,FALSE))</f>
        <v>6039.559303</v>
      </c>
      <c r="K387">
        <f ca="1">IF(AND(ISNUMBER($K$886),$B$511=1),$K$886,HLOOKUP(INDIRECT(ADDRESS(2,COLUMN())),OFFSET($BN$2,0,0,ROW()-1,60),ROW()-1,FALSE))</f>
        <v>6057.3588669999999</v>
      </c>
      <c r="L387">
        <f ca="1">IF(AND(ISNUMBER($L$886),$B$511=1),$L$886,HLOOKUP(INDIRECT(ADDRESS(2,COLUMN())),OFFSET($BN$2,0,0,ROW()-1,60),ROW()-1,FALSE))</f>
        <v>5062.5788629999997</v>
      </c>
      <c r="M387">
        <f ca="1">IF(AND(ISNUMBER($M$886),$B$511=1),$M$886,HLOOKUP(INDIRECT(ADDRESS(2,COLUMN())),OFFSET($BN$2,0,0,ROW()-1,60),ROW()-1,FALSE))</f>
        <v>4810.0514819999999</v>
      </c>
      <c r="N387">
        <f ca="1">IF(AND(ISNUMBER($N$886),$B$511=1),$N$886,HLOOKUP(INDIRECT(ADDRESS(2,COLUMN())),OFFSET($BN$2,0,0,ROW()-1,60),ROW()-1,FALSE))</f>
        <v>3909.8027259999999</v>
      </c>
      <c r="O387">
        <f ca="1">IF(AND(ISNUMBER($O$886),$B$511=1),$O$886,HLOOKUP(INDIRECT(ADDRESS(2,COLUMN())),OFFSET($BN$2,0,0,ROW()-1,60),ROW()-1,FALSE))</f>
        <v>3516.007055</v>
      </c>
      <c r="P387">
        <f ca="1">IF(AND(ISNUMBER($P$886),$B$511=1),$P$886,HLOOKUP(INDIRECT(ADDRESS(2,COLUMN())),OFFSET($BN$2,0,0,ROW()-1,60),ROW()-1,FALSE))</f>
        <v>4391.3850350000002</v>
      </c>
      <c r="Q387">
        <f ca="1">IF(AND(ISNUMBER($Q$886),$B$511=1),$Q$886,HLOOKUP(INDIRECT(ADDRESS(2,COLUMN())),OFFSET($BN$2,0,0,ROW()-1,60),ROW()-1,FALSE))</f>
        <v>4460.0911720000004</v>
      </c>
      <c r="R387">
        <f ca="1">IF(AND(ISNUMBER($R$886),$B$511=1),$R$886,HLOOKUP(INDIRECT(ADDRESS(2,COLUMN())),OFFSET($BN$2,0,0,ROW()-1,60),ROW()-1,FALSE))</f>
        <v>5280.2773459999999</v>
      </c>
      <c r="S387">
        <f ca="1">IF(AND(ISNUMBER($S$886),$B$511=1),$S$886,HLOOKUP(INDIRECT(ADDRESS(2,COLUMN())),OFFSET($BN$2,0,0,ROW()-1,60),ROW()-1,FALSE))</f>
        <v>4184.422208</v>
      </c>
      <c r="T387">
        <f ca="1">IF(AND(ISNUMBER($T$886),$B$511=1),$T$886,HLOOKUP(INDIRECT(ADDRESS(2,COLUMN())),OFFSET($BN$2,0,0,ROW()-1,60),ROW()-1,FALSE))</f>
        <v>4468.2940680000002</v>
      </c>
      <c r="U387">
        <f ca="1">IF(AND(ISNUMBER($U$886),$B$511=1),$U$886,HLOOKUP(INDIRECT(ADDRESS(2,COLUMN())),OFFSET($BN$2,0,0,ROW()-1,60),ROW()-1,FALSE))</f>
        <v>5607.5152870000002</v>
      </c>
      <c r="V387">
        <f ca="1">IF(AND(ISNUMBER($V$886),$B$511=1),$V$886,HLOOKUP(INDIRECT(ADDRESS(2,COLUMN())),OFFSET($BN$2,0,0,ROW()-1,60),ROW()-1,FALSE))</f>
        <v>5314.7090029999999</v>
      </c>
      <c r="W387">
        <f ca="1">IF(AND(ISNUMBER($W$886),$B$511=1),$W$886,HLOOKUP(INDIRECT(ADDRESS(2,COLUMN())),OFFSET($BN$2,0,0,ROW()-1,60),ROW()-1,FALSE))</f>
        <v>5645.9777009999998</v>
      </c>
      <c r="X387">
        <f ca="1">IF(AND(ISNUMBER($X$886),$B$511=1),$X$886,HLOOKUP(INDIRECT(ADDRESS(2,COLUMN())),OFFSET($BN$2,0,0,ROW()-1,60),ROW()-1,FALSE))</f>
        <v>4965.9286089999996</v>
      </c>
      <c r="Y387">
        <f ca="1">IF(AND(ISNUMBER($Y$886),$B$511=1),$Y$886,HLOOKUP(INDIRECT(ADDRESS(2,COLUMN())),OFFSET($BN$2,0,0,ROW()-1,60),ROW()-1,FALSE))</f>
        <v>5281.50612</v>
      </c>
      <c r="Z387">
        <f ca="1">IF(AND(ISNUMBER($Z$886),$B$511=1),$Z$886,HLOOKUP(INDIRECT(ADDRESS(2,COLUMN())),OFFSET($BN$2,0,0,ROW()-1,60),ROW()-1,FALSE))</f>
        <v>4575.4090990000004</v>
      </c>
      <c r="AA387">
        <f ca="1">IF(AND(ISNUMBER($AA$886),$B$511=1),$AA$886,HLOOKUP(INDIRECT(ADDRESS(2,COLUMN())),OFFSET($BN$2,0,0,ROW()-1,60),ROW()-1,FALSE))</f>
        <v>4656.2845509999997</v>
      </c>
      <c r="AB387">
        <f ca="1">IF(AND(ISNUMBER($AB$886),$B$511=1),$AB$886,HLOOKUP(INDIRECT(ADDRESS(2,COLUMN())),OFFSET($BN$2,0,0,ROW()-1,60),ROW()-1,FALSE))</f>
        <v>5594.706228</v>
      </c>
      <c r="AC387">
        <f ca="1">IF(AND(ISNUMBER($AC$886),$B$511=1),$AC$886,HLOOKUP(INDIRECT(ADDRESS(2,COLUMN())),OFFSET($BN$2,0,0,ROW()-1,60),ROW()-1,FALSE))</f>
        <v>5475.8075779999999</v>
      </c>
      <c r="AD387">
        <f ca="1">IF(AND(ISNUMBER($AD$886),$B$511=1),$AD$886,HLOOKUP(INDIRECT(ADDRESS(2,COLUMN())),OFFSET($BN$2,0,0,ROW()-1,60),ROW()-1,FALSE))</f>
        <v>5539.5864529999999</v>
      </c>
      <c r="AE387">
        <f ca="1">IF(AND(ISNUMBER($AE$886),$B$511=1),$AE$886,HLOOKUP(INDIRECT(ADDRESS(2,COLUMN())),OFFSET($BN$2,0,0,ROW()-1,60),ROW()-1,FALSE))</f>
        <v>4746.0956729999998</v>
      </c>
      <c r="AF387">
        <f ca="1">IF(AND(ISNUMBER($AF$886),$B$511=1),$AF$886,HLOOKUP(INDIRECT(ADDRESS(2,COLUMN())),OFFSET($BN$2,0,0,ROW()-1,60),ROW()-1,FALSE))</f>
        <v>3987.5193789999998</v>
      </c>
      <c r="AG387">
        <f ca="1">IF(AND(ISNUMBER($AG$886),$B$511=1),$AG$886,HLOOKUP(INDIRECT(ADDRESS(2,COLUMN())),OFFSET($BN$2,0,0,ROW()-1,60),ROW()-1,FALSE))</f>
        <v>3367.2967119999998</v>
      </c>
      <c r="AH387">
        <f ca="1">IF(AND(ISNUMBER($AH$886),$B$511=1),$AH$886,HLOOKUP(INDIRECT(ADDRESS(2,COLUMN())),OFFSET($BN$2,0,0,ROW()-1,60),ROW()-1,FALSE))</f>
        <v>3320.3360769999999</v>
      </c>
      <c r="AI387">
        <f ca="1">IF(AND(ISNUMBER($AI$886),$B$511=1),$AI$886,HLOOKUP(INDIRECT(ADDRESS(2,COLUMN())),OFFSET($BN$2,0,0,ROW()-1,60),ROW()-1,FALSE))</f>
        <v>2884.943178</v>
      </c>
      <c r="AJ387">
        <f ca="1">IF(AND(ISNUMBER($AJ$886),$B$511=1),$AJ$886,HLOOKUP(INDIRECT(ADDRESS(2,COLUMN())),OFFSET($BN$2,0,0,ROW()-1,60),ROW()-1,FALSE))</f>
        <v>2418.8038889999998</v>
      </c>
      <c r="AK387">
        <f ca="1">IF(AND(ISNUMBER($AK$886),$B$511=1),$AK$886,HLOOKUP(INDIRECT(ADDRESS(2,COLUMN())),OFFSET($BN$2,0,0,ROW()-1,60),ROW()-1,FALSE))</f>
        <v>2948.108815</v>
      </c>
      <c r="AL387">
        <f ca="1">IF(AND(ISNUMBER($AL$886),$B$511=1),$AL$886,HLOOKUP(INDIRECT(ADDRESS(2,COLUMN())),OFFSET($BN$2,0,0,ROW()-1,60),ROW()-1,FALSE))</f>
        <v>3157.5863909999998</v>
      </c>
      <c r="AM387">
        <f ca="1">IF(AND(ISNUMBER($AM$886),$B$511=1),$AM$886,HLOOKUP(INDIRECT(ADDRESS(2,COLUMN())),OFFSET($BN$2,0,0,ROW()-1,60),ROW()-1,FALSE))</f>
        <v>2970.385691</v>
      </c>
      <c r="AN387">
        <f ca="1">IF(AND(ISNUMBER($AN$886),$B$511=1),$AN$886,HLOOKUP(INDIRECT(ADDRESS(2,COLUMN())),OFFSET($BN$2,0,0,ROW()-1,60),ROW()-1,FALSE))</f>
        <v>2879.4333329999999</v>
      </c>
      <c r="AO387">
        <f ca="1">IF(AND(ISNUMBER($AO$886),$B$511=1),$AO$886,HLOOKUP(INDIRECT(ADDRESS(2,COLUMN())),OFFSET($BN$2,0,0,ROW()-1,60),ROW()-1,FALSE))</f>
        <v>2275.8374170000002</v>
      </c>
      <c r="AP387">
        <f ca="1">IF(AND(ISNUMBER($AP$886),$B$511=1),$AP$886,HLOOKUP(INDIRECT(ADDRESS(2,COLUMN())),OFFSET($BN$2,0,0,ROW()-1,60),ROW()-1,FALSE))</f>
        <v>2459.1486759999998</v>
      </c>
      <c r="AQ387">
        <f ca="1">IF(AND(ISNUMBER($AQ$886),$B$511=1),$AQ$886,HLOOKUP(INDIRECT(ADDRESS(2,COLUMN())),OFFSET($BN$2,0,0,ROW()-1,60),ROW()-1,FALSE))</f>
        <v>2137.393947</v>
      </c>
      <c r="AR387">
        <f ca="1">IF(AND(ISNUMBER($AR$886),$B$511=1),$AR$886,HLOOKUP(INDIRECT(ADDRESS(2,COLUMN())),OFFSET($BN$2,0,0,ROW()-1,60),ROW()-1,FALSE))</f>
        <v>2108.897821</v>
      </c>
      <c r="AS387">
        <f ca="1">IF(AND(ISNUMBER($AS$886),$B$511=1),$AS$886,HLOOKUP(INDIRECT(ADDRESS(2,COLUMN())),OFFSET($BN$2,0,0,ROW()-1,60),ROW()-1,FALSE))</f>
        <v>1269.533983</v>
      </c>
      <c r="AT387">
        <f ca="1">IF(AND(ISNUMBER($AT$886),$B$511=1),$AT$886,HLOOKUP(INDIRECT(ADDRESS(2,COLUMN())),OFFSET($BN$2,0,0,ROW()-1,60),ROW()-1,FALSE))</f>
        <v>862.78421860000003</v>
      </c>
      <c r="AU387">
        <f ca="1">IF(AND(ISNUMBER($AU$886),$B$511=1),$AU$886,HLOOKUP(INDIRECT(ADDRESS(2,COLUMN())),OFFSET($BN$2,0,0,ROW()-1,60),ROW()-1,FALSE))</f>
        <v>1071.6644980000001</v>
      </c>
      <c r="AV387">
        <f ca="1">IF(AND(ISNUMBER($AV$886),$B$511=1),$AV$886,HLOOKUP(INDIRECT(ADDRESS(2,COLUMN())),OFFSET($BN$2,0,0,ROW()-1,60),ROW()-1,FALSE))</f>
        <v>1766.1264269999999</v>
      </c>
      <c r="AW387">
        <f ca="1">IF(AND(ISNUMBER($AW$886),$B$511=1),$AW$886,HLOOKUP(INDIRECT(ADDRESS(2,COLUMN())),OFFSET($BN$2,0,0,ROW()-1,60),ROW()-1,FALSE))</f>
        <v>2705.0552739999998</v>
      </c>
      <c r="AX387">
        <f ca="1">IF(AND(ISNUMBER($AX$886),$B$511=1),$AX$886,HLOOKUP(INDIRECT(ADDRESS(2,COLUMN())),OFFSET($BN$2,0,0,ROW()-1,60),ROW()-1,FALSE))</f>
        <v>2701.3370359999999</v>
      </c>
      <c r="AY387">
        <f ca="1">IF(AND(ISNUMBER($AY$886),$B$511=1),$AY$886,HLOOKUP(INDIRECT(ADDRESS(2,COLUMN())),OFFSET($BN$2,0,0,ROW()-1,60),ROW()-1,FALSE))</f>
        <v>3671.8174359999998</v>
      </c>
      <c r="AZ387">
        <f ca="1">IF(AND(ISNUMBER($AZ$886),$B$511=1),$AZ$886,HLOOKUP(INDIRECT(ADDRESS(2,COLUMN())),OFFSET($BN$2,0,0,ROW()-1,60),ROW()-1,FALSE))</f>
        <v>3786.2155630000002</v>
      </c>
      <c r="BA387">
        <f ca="1">IF(AND(ISNUMBER($BA$886),$B$511=1),$BA$886,HLOOKUP(INDIRECT(ADDRESS(2,COLUMN())),OFFSET($BN$2,0,0,ROW()-1,60),ROW()-1,FALSE))</f>
        <v>3511.2093890000001</v>
      </c>
      <c r="BB387">
        <f ca="1">IF(AND(ISNUMBER($BB$886),$B$511=1),$BB$886,HLOOKUP(INDIRECT(ADDRESS(2,COLUMN())),OFFSET($BN$2,0,0,ROW()-1,60),ROW()-1,FALSE))</f>
        <v>3232.661204</v>
      </c>
      <c r="BC387">
        <f ca="1">IF(AND(ISNUMBER($BC$886),$B$511=1),$BC$886,HLOOKUP(INDIRECT(ADDRESS(2,COLUMN())),OFFSET($BN$2,0,0,ROW()-1,60),ROW()-1,FALSE))</f>
        <v>2992.634035</v>
      </c>
      <c r="BD387">
        <f ca="1">IF(AND(ISNUMBER($BD$886),$B$511=1),$BD$886,HLOOKUP(INDIRECT(ADDRESS(2,COLUMN())),OFFSET($BN$2,0,0,ROW()-1,60),ROW()-1,FALSE))</f>
        <v>2511.553038</v>
      </c>
      <c r="BE387">
        <f ca="1">IF(AND(ISNUMBER($BE$886),$B$511=1),$BE$886,HLOOKUP(INDIRECT(ADDRESS(2,COLUMN())),OFFSET($BN$2,0,0,ROW()-1,60),ROW()-1,FALSE))</f>
        <v>2384.3806100000002</v>
      </c>
      <c r="BF387">
        <f ca="1">IF(AND(ISNUMBER($BF$886),$B$511=1),$BF$886,HLOOKUP(INDIRECT(ADDRESS(2,COLUMN())),OFFSET($BN$2,0,0,ROW()-1,60),ROW()-1,FALSE))</f>
        <v>3173.68507</v>
      </c>
      <c r="BG387">
        <f ca="1">IF(AND(ISNUMBER($BG$886),$B$511=1),$BG$886,HLOOKUP(INDIRECT(ADDRESS(2,COLUMN())),OFFSET($BN$2,0,0,ROW()-1,60),ROW()-1,FALSE))</f>
        <v>3140.5333780000001</v>
      </c>
      <c r="BH387">
        <f ca="1">IF(AND(ISNUMBER($BH$886),$B$511=1),$BH$886,HLOOKUP(INDIRECT(ADDRESS(2,COLUMN())),OFFSET($BN$2,0,0,ROW()-1,60),ROW()-1,FALSE))</f>
        <v>2447.9797400000002</v>
      </c>
      <c r="BI387">
        <f ca="1">IF(AND(ISNUMBER($BI$886),$B$511=1),$BI$886,HLOOKUP(INDIRECT(ADDRESS(2,COLUMN())),OFFSET($BN$2,0,0,ROW()-1,60),ROW()-1,FALSE))</f>
        <v>2305.9605379999998</v>
      </c>
      <c r="BJ387">
        <f ca="1">IF(AND(ISNUMBER($BJ$886),$B$511=1),$BJ$886,HLOOKUP(INDIRECT(ADDRESS(2,COLUMN())),OFFSET($BN$2,0,0,ROW()-1,60),ROW()-1,FALSE))</f>
        <v>2347.9621579999998</v>
      </c>
      <c r="BK387">
        <f ca="1">IF(AND(ISNUMBER($BK$886),$B$511=1),$BK$886,HLOOKUP(INDIRECT(ADDRESS(2,COLUMN())),OFFSET($BN$2,0,0,ROW()-1,60),ROW()-1,FALSE))</f>
        <v>2338.265026</v>
      </c>
      <c r="BL387">
        <f ca="1">IF(AND(ISNUMBER($BL$886),$B$511=1),$BL$886,HLOOKUP(INDIRECT(ADDRESS(2,COLUMN())),OFFSET($BN$2,0,0,ROW()-1,60),ROW()-1,FALSE))</f>
        <v>2408.937007</v>
      </c>
      <c r="BM387">
        <f ca="1">IF(AND(ISNUMBER($BM$886),$B$511=1),$BM$886,HLOOKUP(INDIRECT(ADDRESS(2,COLUMN())),OFFSET($BN$2,0,0,ROW()-1,60),ROW()-1,FALSE))</f>
        <v>2305.1305790000001</v>
      </c>
      <c r="BN387">
        <f>4220.065719</f>
        <v>4220.0657190000002</v>
      </c>
      <c r="BO387">
        <f>3900.269335</f>
        <v>3900.269335</v>
      </c>
      <c r="BP387">
        <f>4440.015753</f>
        <v>4440.0157529999997</v>
      </c>
      <c r="BQ387">
        <f>5279.939287</f>
        <v>5279.9392870000001</v>
      </c>
      <c r="BR387">
        <f>6039.559303</f>
        <v>6039.559303</v>
      </c>
      <c r="BS387">
        <f>6057.358867</f>
        <v>6057.3588669999999</v>
      </c>
      <c r="BT387">
        <f>5062.578863</f>
        <v>5062.5788629999997</v>
      </c>
      <c r="BU387">
        <f>4810.051482</f>
        <v>4810.0514819999999</v>
      </c>
      <c r="BV387">
        <f>3909.802726</f>
        <v>3909.8027259999999</v>
      </c>
      <c r="BW387">
        <f>3516.007055</f>
        <v>3516.007055</v>
      </c>
      <c r="BX387">
        <f>4391.385035</f>
        <v>4391.3850350000002</v>
      </c>
      <c r="BY387">
        <f>4460.091172</f>
        <v>4460.0911720000004</v>
      </c>
      <c r="BZ387">
        <f>5280.277346</f>
        <v>5280.2773459999999</v>
      </c>
      <c r="CA387">
        <f>4184.422208</f>
        <v>4184.422208</v>
      </c>
      <c r="CB387">
        <f>4468.294068</f>
        <v>4468.2940680000002</v>
      </c>
      <c r="CC387">
        <f>5607.515287</f>
        <v>5607.5152870000002</v>
      </c>
      <c r="CD387">
        <f>5314.709003</f>
        <v>5314.7090029999999</v>
      </c>
      <c r="CE387">
        <f>5645.977701</f>
        <v>5645.9777009999998</v>
      </c>
      <c r="CF387">
        <f>4965.928609</f>
        <v>4965.9286089999996</v>
      </c>
      <c r="CG387">
        <f>5281.50612</f>
        <v>5281.50612</v>
      </c>
      <c r="CH387">
        <f>4575.409099</f>
        <v>4575.4090990000004</v>
      </c>
      <c r="CI387">
        <f>4656.284551</f>
        <v>4656.2845509999997</v>
      </c>
      <c r="CJ387">
        <f>5594.706228</f>
        <v>5594.706228</v>
      </c>
      <c r="CK387">
        <f>5475.807578</f>
        <v>5475.8075779999999</v>
      </c>
      <c r="CL387">
        <f>5539.586453</f>
        <v>5539.5864529999999</v>
      </c>
      <c r="CM387">
        <f>4746.095673</f>
        <v>4746.0956729999998</v>
      </c>
      <c r="CN387">
        <f>3987.519379</f>
        <v>3987.5193789999998</v>
      </c>
      <c r="CO387">
        <f>3367.296712</f>
        <v>3367.2967119999998</v>
      </c>
      <c r="CP387">
        <f>3320.336077</f>
        <v>3320.3360769999999</v>
      </c>
      <c r="CQ387">
        <f>2884.943178</f>
        <v>2884.943178</v>
      </c>
      <c r="CR387">
        <f>2418.803889</f>
        <v>2418.8038889999998</v>
      </c>
      <c r="CS387">
        <f>2948.108815</f>
        <v>2948.108815</v>
      </c>
      <c r="CT387">
        <f>3157.586391</f>
        <v>3157.5863909999998</v>
      </c>
      <c r="CU387">
        <f>2970.385691</f>
        <v>2970.385691</v>
      </c>
      <c r="CV387">
        <f>2879.433333</f>
        <v>2879.4333329999999</v>
      </c>
      <c r="CW387">
        <f>2275.837417</f>
        <v>2275.8374170000002</v>
      </c>
      <c r="CX387">
        <f>2459.148676</f>
        <v>2459.1486759999998</v>
      </c>
      <c r="CY387">
        <f>2137.393947</f>
        <v>2137.393947</v>
      </c>
      <c r="CZ387">
        <f>2108.897821</f>
        <v>2108.897821</v>
      </c>
      <c r="DA387">
        <f>1269.533983</f>
        <v>1269.533983</v>
      </c>
      <c r="DB387">
        <f>862.7842186</f>
        <v>862.78421860000003</v>
      </c>
      <c r="DC387">
        <f>1071.664498</f>
        <v>1071.6644980000001</v>
      </c>
      <c r="DD387">
        <f>1766.126427</f>
        <v>1766.1264269999999</v>
      </c>
      <c r="DE387">
        <f>2705.055274</f>
        <v>2705.0552739999998</v>
      </c>
      <c r="DF387">
        <f>2701.337036</f>
        <v>2701.3370359999999</v>
      </c>
      <c r="DG387">
        <f>3671.817436</f>
        <v>3671.8174359999998</v>
      </c>
      <c r="DH387">
        <f>3786.215563</f>
        <v>3786.2155630000002</v>
      </c>
      <c r="DI387">
        <f>3511.209389</f>
        <v>3511.2093890000001</v>
      </c>
      <c r="DJ387">
        <f>3232.661204</f>
        <v>3232.661204</v>
      </c>
      <c r="DK387">
        <f>2992.634035</f>
        <v>2992.634035</v>
      </c>
      <c r="DL387">
        <f>2511.553038</f>
        <v>2511.553038</v>
      </c>
      <c r="DM387">
        <f>2384.38061</f>
        <v>2384.3806100000002</v>
      </c>
      <c r="DN387">
        <f>3173.68507</f>
        <v>3173.68507</v>
      </c>
      <c r="DO387">
        <f>3140.533378</f>
        <v>3140.5333780000001</v>
      </c>
      <c r="DP387">
        <f>2447.97974</f>
        <v>2447.9797400000002</v>
      </c>
      <c r="DQ387">
        <f>2305.960538</f>
        <v>2305.9605379999998</v>
      </c>
      <c r="DR387">
        <f>2347.962158</f>
        <v>2347.9621579999998</v>
      </c>
      <c r="DS387">
        <f>2338.265026</f>
        <v>2338.265026</v>
      </c>
      <c r="DT387">
        <f>2408.937007</f>
        <v>2408.937007</v>
      </c>
      <c r="DU387">
        <f>2305.130579</f>
        <v>2305.1305790000001</v>
      </c>
    </row>
    <row r="388" spans="1:125" x14ac:dyDescent="0.25">
      <c r="A388" t="str">
        <f>"    GAZ PJSC"</f>
        <v xml:space="preserve">    GAZ PJSC</v>
      </c>
      <c r="B388" t="str">
        <f>"GAZA RM Equity"</f>
        <v>GAZA RM Equity</v>
      </c>
      <c r="C388" t="str">
        <f t="shared" si="27"/>
        <v>RR937</v>
      </c>
      <c r="D388" t="str">
        <f t="shared" si="28"/>
        <v>CRNCY_ADJ_CURR_EV</v>
      </c>
      <c r="E388" t="str">
        <f t="shared" si="29"/>
        <v>Dynamic</v>
      </c>
      <c r="F388" t="str">
        <f ca="1">IF(AND(ISNUMBER($F$887),$B$511=1),$F$887,HLOOKUP(INDIRECT(ADDRESS(2,COLUMN())),OFFSET($BN$2,0,0,ROW()-1,60),ROW()-1,FALSE))</f>
        <v/>
      </c>
      <c r="G388" t="str">
        <f ca="1">IF(AND(ISNUMBER($G$887),$B$511=1),$G$887,HLOOKUP(INDIRECT(ADDRESS(2,COLUMN())),OFFSET($BN$2,0,0,ROW()-1,60),ROW()-1,FALSE))</f>
        <v/>
      </c>
      <c r="H388" t="str">
        <f ca="1">IF(AND(ISNUMBER($H$887),$B$511=1),$H$887,HLOOKUP(INDIRECT(ADDRESS(2,COLUMN())),OFFSET($BN$2,0,0,ROW()-1,60),ROW()-1,FALSE))</f>
        <v/>
      </c>
      <c r="I388" t="str">
        <f ca="1">IF(AND(ISNUMBER($I$887),$B$511=1),$I$887,HLOOKUP(INDIRECT(ADDRESS(2,COLUMN())),OFFSET($BN$2,0,0,ROW()-1,60),ROW()-1,FALSE))</f>
        <v/>
      </c>
      <c r="J388" t="str">
        <f ca="1">IF(AND(ISNUMBER($J$887),$B$511=1),$J$887,HLOOKUP(INDIRECT(ADDRESS(2,COLUMN())),OFFSET($BN$2,0,0,ROW()-1,60),ROW()-1,FALSE))</f>
        <v/>
      </c>
      <c r="K388" t="str">
        <f ca="1">IF(AND(ISNUMBER($K$887),$B$511=1),$K$887,HLOOKUP(INDIRECT(ADDRESS(2,COLUMN())),OFFSET($BN$2,0,0,ROW()-1,60),ROW()-1,FALSE))</f>
        <v/>
      </c>
      <c r="L388" t="str">
        <f ca="1">IF(AND(ISNUMBER($L$887),$B$511=1),$L$887,HLOOKUP(INDIRECT(ADDRESS(2,COLUMN())),OFFSET($BN$2,0,0,ROW()-1,60),ROW()-1,FALSE))</f>
        <v/>
      </c>
      <c r="M388" t="str">
        <f ca="1">IF(AND(ISNUMBER($M$887),$B$511=1),$M$887,HLOOKUP(INDIRECT(ADDRESS(2,COLUMN())),OFFSET($BN$2,0,0,ROW()-1,60),ROW()-1,FALSE))</f>
        <v/>
      </c>
      <c r="N388" t="str">
        <f ca="1">IF(AND(ISNUMBER($N$887),$B$511=1),$N$887,HLOOKUP(INDIRECT(ADDRESS(2,COLUMN())),OFFSET($BN$2,0,0,ROW()-1,60),ROW()-1,FALSE))</f>
        <v/>
      </c>
      <c r="O388" t="str">
        <f ca="1">IF(AND(ISNUMBER($O$887),$B$511=1),$O$887,HLOOKUP(INDIRECT(ADDRESS(2,COLUMN())),OFFSET($BN$2,0,0,ROW()-1,60),ROW()-1,FALSE))</f>
        <v/>
      </c>
      <c r="P388" t="str">
        <f ca="1">IF(AND(ISNUMBER($P$887),$B$511=1),$P$887,HLOOKUP(INDIRECT(ADDRESS(2,COLUMN())),OFFSET($BN$2,0,0,ROW()-1,60),ROW()-1,FALSE))</f>
        <v/>
      </c>
      <c r="Q388" t="str">
        <f ca="1">IF(AND(ISNUMBER($Q$887),$B$511=1),$Q$887,HLOOKUP(INDIRECT(ADDRESS(2,COLUMN())),OFFSET($BN$2,0,0,ROW()-1,60),ROW()-1,FALSE))</f>
        <v/>
      </c>
      <c r="R388" t="str">
        <f ca="1">IF(AND(ISNUMBER($R$887),$B$511=1),$R$887,HLOOKUP(INDIRECT(ADDRESS(2,COLUMN())),OFFSET($BN$2,0,0,ROW()-1,60),ROW()-1,FALSE))</f>
        <v/>
      </c>
      <c r="S388" t="str">
        <f ca="1">IF(AND(ISNUMBER($S$887),$B$511=1),$S$887,HLOOKUP(INDIRECT(ADDRESS(2,COLUMN())),OFFSET($BN$2,0,0,ROW()-1,60),ROW()-1,FALSE))</f>
        <v/>
      </c>
      <c r="T388" t="str">
        <f ca="1">IF(AND(ISNUMBER($T$887),$B$511=1),$T$887,HLOOKUP(INDIRECT(ADDRESS(2,COLUMN())),OFFSET($BN$2,0,0,ROW()-1,60),ROW()-1,FALSE))</f>
        <v/>
      </c>
      <c r="U388" t="str">
        <f ca="1">IF(AND(ISNUMBER($U$887),$B$511=1),$U$887,HLOOKUP(INDIRECT(ADDRESS(2,COLUMN())),OFFSET($BN$2,0,0,ROW()-1,60),ROW()-1,FALSE))</f>
        <v/>
      </c>
      <c r="V388" t="str">
        <f ca="1">IF(AND(ISNUMBER($V$887),$B$511=1),$V$887,HLOOKUP(INDIRECT(ADDRESS(2,COLUMN())),OFFSET($BN$2,0,0,ROW()-1,60),ROW()-1,FALSE))</f>
        <v/>
      </c>
      <c r="W388" t="str">
        <f ca="1">IF(AND(ISNUMBER($W$887),$B$511=1),$W$887,HLOOKUP(INDIRECT(ADDRESS(2,COLUMN())),OFFSET($BN$2,0,0,ROW()-1,60),ROW()-1,FALSE))</f>
        <v/>
      </c>
      <c r="X388" t="str">
        <f ca="1">IF(AND(ISNUMBER($X$887),$B$511=1),$X$887,HLOOKUP(INDIRECT(ADDRESS(2,COLUMN())),OFFSET($BN$2,0,0,ROW()-1,60),ROW()-1,FALSE))</f>
        <v/>
      </c>
      <c r="Y388" t="str">
        <f ca="1">IF(AND(ISNUMBER($Y$887),$B$511=1),$Y$887,HLOOKUP(INDIRECT(ADDRESS(2,COLUMN())),OFFSET($BN$2,0,0,ROW()-1,60),ROW()-1,FALSE))</f>
        <v/>
      </c>
      <c r="Z388" t="str">
        <f ca="1">IF(AND(ISNUMBER($Z$887),$B$511=1),$Z$887,HLOOKUP(INDIRECT(ADDRESS(2,COLUMN())),OFFSET($BN$2,0,0,ROW()-1,60),ROW()-1,FALSE))</f>
        <v/>
      </c>
      <c r="AA388" t="str">
        <f ca="1">IF(AND(ISNUMBER($AA$887),$B$511=1),$AA$887,HLOOKUP(INDIRECT(ADDRESS(2,COLUMN())),OFFSET($BN$2,0,0,ROW()-1,60),ROW()-1,FALSE))</f>
        <v/>
      </c>
      <c r="AB388" t="str">
        <f ca="1">IF(AND(ISNUMBER($AB$887),$B$511=1),$AB$887,HLOOKUP(INDIRECT(ADDRESS(2,COLUMN())),OFFSET($BN$2,0,0,ROW()-1,60),ROW()-1,FALSE))</f>
        <v/>
      </c>
      <c r="AC388" t="str">
        <f ca="1">IF(AND(ISNUMBER($AC$887),$B$511=1),$AC$887,HLOOKUP(INDIRECT(ADDRESS(2,COLUMN())),OFFSET($BN$2,0,0,ROW()-1,60),ROW()-1,FALSE))</f>
        <v/>
      </c>
      <c r="AD388" t="str">
        <f ca="1">IF(AND(ISNUMBER($AD$887),$B$511=1),$AD$887,HLOOKUP(INDIRECT(ADDRESS(2,COLUMN())),OFFSET($BN$2,0,0,ROW()-1,60),ROW()-1,FALSE))</f>
        <v/>
      </c>
      <c r="AE388" t="str">
        <f ca="1">IF(AND(ISNUMBER($AE$887),$B$511=1),$AE$887,HLOOKUP(INDIRECT(ADDRESS(2,COLUMN())),OFFSET($BN$2,0,0,ROW()-1,60),ROW()-1,FALSE))</f>
        <v/>
      </c>
      <c r="AF388" t="str">
        <f ca="1">IF(AND(ISNUMBER($AF$887),$B$511=1),$AF$887,HLOOKUP(INDIRECT(ADDRESS(2,COLUMN())),OFFSET($BN$2,0,0,ROW()-1,60),ROW()-1,FALSE))</f>
        <v/>
      </c>
      <c r="AG388" t="str">
        <f ca="1">IF(AND(ISNUMBER($AG$887),$B$511=1),$AG$887,HLOOKUP(INDIRECT(ADDRESS(2,COLUMN())),OFFSET($BN$2,0,0,ROW()-1,60),ROW()-1,FALSE))</f>
        <v/>
      </c>
      <c r="AH388" t="str">
        <f ca="1">IF(AND(ISNUMBER($AH$887),$B$511=1),$AH$887,HLOOKUP(INDIRECT(ADDRESS(2,COLUMN())),OFFSET($BN$2,0,0,ROW()-1,60),ROW()-1,FALSE))</f>
        <v/>
      </c>
      <c r="AI388" t="str">
        <f ca="1">IF(AND(ISNUMBER($AI$887),$B$511=1),$AI$887,HLOOKUP(INDIRECT(ADDRESS(2,COLUMN())),OFFSET($BN$2,0,0,ROW()-1,60),ROW()-1,FALSE))</f>
        <v/>
      </c>
      <c r="AJ388" t="str">
        <f ca="1">IF(AND(ISNUMBER($AJ$887),$B$511=1),$AJ$887,HLOOKUP(INDIRECT(ADDRESS(2,COLUMN())),OFFSET($BN$2,0,0,ROW()-1,60),ROW()-1,FALSE))</f>
        <v/>
      </c>
      <c r="AK388" t="str">
        <f ca="1">IF(AND(ISNUMBER($AK$887),$B$511=1),$AK$887,HLOOKUP(INDIRECT(ADDRESS(2,COLUMN())),OFFSET($BN$2,0,0,ROW()-1,60),ROW()-1,FALSE))</f>
        <v/>
      </c>
      <c r="AL388" t="str">
        <f ca="1">IF(AND(ISNUMBER($AL$887),$B$511=1),$AL$887,HLOOKUP(INDIRECT(ADDRESS(2,COLUMN())),OFFSET($BN$2,0,0,ROW()-1,60),ROW()-1,FALSE))</f>
        <v/>
      </c>
      <c r="AM388" t="str">
        <f ca="1">IF(AND(ISNUMBER($AM$887),$B$511=1),$AM$887,HLOOKUP(INDIRECT(ADDRESS(2,COLUMN())),OFFSET($BN$2,0,0,ROW()-1,60),ROW()-1,FALSE))</f>
        <v/>
      </c>
      <c r="AN388" t="str">
        <f ca="1">IF(AND(ISNUMBER($AN$887),$B$511=1),$AN$887,HLOOKUP(INDIRECT(ADDRESS(2,COLUMN())),OFFSET($BN$2,0,0,ROW()-1,60),ROW()-1,FALSE))</f>
        <v/>
      </c>
      <c r="AO388" t="str">
        <f ca="1">IF(AND(ISNUMBER($AO$887),$B$511=1),$AO$887,HLOOKUP(INDIRECT(ADDRESS(2,COLUMN())),OFFSET($BN$2,0,0,ROW()-1,60),ROW()-1,FALSE))</f>
        <v/>
      </c>
      <c r="AP388" t="str">
        <f ca="1">IF(AND(ISNUMBER($AP$887),$B$511=1),$AP$887,HLOOKUP(INDIRECT(ADDRESS(2,COLUMN())),OFFSET($BN$2,0,0,ROW()-1,60),ROW()-1,FALSE))</f>
        <v/>
      </c>
      <c r="AQ388" t="str">
        <f ca="1">IF(AND(ISNUMBER($AQ$887),$B$511=1),$AQ$887,HLOOKUP(INDIRECT(ADDRESS(2,COLUMN())),OFFSET($BN$2,0,0,ROW()-1,60),ROW()-1,FALSE))</f>
        <v/>
      </c>
      <c r="AR388" t="str">
        <f ca="1">IF(AND(ISNUMBER($AR$887),$B$511=1),$AR$887,HLOOKUP(INDIRECT(ADDRESS(2,COLUMN())),OFFSET($BN$2,0,0,ROW()-1,60),ROW()-1,FALSE))</f>
        <v/>
      </c>
      <c r="AS388" t="str">
        <f ca="1">IF(AND(ISNUMBER($AS$887),$B$511=1),$AS$887,HLOOKUP(INDIRECT(ADDRESS(2,COLUMN())),OFFSET($BN$2,0,0,ROW()-1,60),ROW()-1,FALSE))</f>
        <v/>
      </c>
      <c r="AT388" t="str">
        <f ca="1">IF(AND(ISNUMBER($AT$887),$B$511=1),$AT$887,HLOOKUP(INDIRECT(ADDRESS(2,COLUMN())),OFFSET($BN$2,0,0,ROW()-1,60),ROW()-1,FALSE))</f>
        <v/>
      </c>
      <c r="AU388" t="str">
        <f ca="1">IF(AND(ISNUMBER($AU$887),$B$511=1),$AU$887,HLOOKUP(INDIRECT(ADDRESS(2,COLUMN())),OFFSET($BN$2,0,0,ROW()-1,60),ROW()-1,FALSE))</f>
        <v/>
      </c>
      <c r="AV388" t="str">
        <f ca="1">IF(AND(ISNUMBER($AV$887),$B$511=1),$AV$887,HLOOKUP(INDIRECT(ADDRESS(2,COLUMN())),OFFSET($BN$2,0,0,ROW()-1,60),ROW()-1,FALSE))</f>
        <v/>
      </c>
      <c r="AW388" t="str">
        <f ca="1">IF(AND(ISNUMBER($AW$887),$B$511=1),$AW$887,HLOOKUP(INDIRECT(ADDRESS(2,COLUMN())),OFFSET($BN$2,0,0,ROW()-1,60),ROW()-1,FALSE))</f>
        <v/>
      </c>
      <c r="AX388" t="str">
        <f ca="1">IF(AND(ISNUMBER($AX$887),$B$511=1),$AX$887,HLOOKUP(INDIRECT(ADDRESS(2,COLUMN())),OFFSET($BN$2,0,0,ROW()-1,60),ROW()-1,FALSE))</f>
        <v/>
      </c>
      <c r="AY388" t="str">
        <f ca="1">IF(AND(ISNUMBER($AY$887),$B$511=1),$AY$887,HLOOKUP(INDIRECT(ADDRESS(2,COLUMN())),OFFSET($BN$2,0,0,ROW()-1,60),ROW()-1,FALSE))</f>
        <v/>
      </c>
      <c r="AZ388" t="str">
        <f ca="1">IF(AND(ISNUMBER($AZ$887),$B$511=1),$AZ$887,HLOOKUP(INDIRECT(ADDRESS(2,COLUMN())),OFFSET($BN$2,0,0,ROW()-1,60),ROW()-1,FALSE))</f>
        <v/>
      </c>
      <c r="BA388" t="str">
        <f ca="1">IF(AND(ISNUMBER($BA$887),$B$511=1),$BA$887,HLOOKUP(INDIRECT(ADDRESS(2,COLUMN())),OFFSET($BN$2,0,0,ROW()-1,60),ROW()-1,FALSE))</f>
        <v/>
      </c>
      <c r="BB388" t="str">
        <f ca="1">IF(AND(ISNUMBER($BB$887),$B$511=1),$BB$887,HLOOKUP(INDIRECT(ADDRESS(2,COLUMN())),OFFSET($BN$2,0,0,ROW()-1,60),ROW()-1,FALSE))</f>
        <v/>
      </c>
      <c r="BC388" t="str">
        <f ca="1">IF(AND(ISNUMBER($BC$887),$B$511=1),$BC$887,HLOOKUP(INDIRECT(ADDRESS(2,COLUMN())),OFFSET($BN$2,0,0,ROW()-1,60),ROW()-1,FALSE))</f>
        <v/>
      </c>
      <c r="BD388" t="str">
        <f ca="1">IF(AND(ISNUMBER($BD$887),$B$511=1),$BD$887,HLOOKUP(INDIRECT(ADDRESS(2,COLUMN())),OFFSET($BN$2,0,0,ROW()-1,60),ROW()-1,FALSE))</f>
        <v/>
      </c>
      <c r="BE388" t="str">
        <f ca="1">IF(AND(ISNUMBER($BE$887),$B$511=1),$BE$887,HLOOKUP(INDIRECT(ADDRESS(2,COLUMN())),OFFSET($BN$2,0,0,ROW()-1,60),ROW()-1,FALSE))</f>
        <v/>
      </c>
      <c r="BF388" t="str">
        <f ca="1">IF(AND(ISNUMBER($BF$887),$B$511=1),$BF$887,HLOOKUP(INDIRECT(ADDRESS(2,COLUMN())),OFFSET($BN$2,0,0,ROW()-1,60),ROW()-1,FALSE))</f>
        <v/>
      </c>
      <c r="BG388" t="str">
        <f ca="1">IF(AND(ISNUMBER($BG$887),$B$511=1),$BG$887,HLOOKUP(INDIRECT(ADDRESS(2,COLUMN())),OFFSET($BN$2,0,0,ROW()-1,60),ROW()-1,FALSE))</f>
        <v/>
      </c>
      <c r="BH388" t="str">
        <f ca="1">IF(AND(ISNUMBER($BH$887),$B$511=1),$BH$887,HLOOKUP(INDIRECT(ADDRESS(2,COLUMN())),OFFSET($BN$2,0,0,ROW()-1,60),ROW()-1,FALSE))</f>
        <v/>
      </c>
      <c r="BI388" t="str">
        <f ca="1">IF(AND(ISNUMBER($BI$887),$B$511=1),$BI$887,HLOOKUP(INDIRECT(ADDRESS(2,COLUMN())),OFFSET($BN$2,0,0,ROW()-1,60),ROW()-1,FALSE))</f>
        <v/>
      </c>
      <c r="BJ388" t="str">
        <f ca="1">IF(AND(ISNUMBER($BJ$887),$B$511=1),$BJ$887,HLOOKUP(INDIRECT(ADDRESS(2,COLUMN())),OFFSET($BN$2,0,0,ROW()-1,60),ROW()-1,FALSE))</f>
        <v/>
      </c>
      <c r="BK388" t="str">
        <f ca="1">IF(AND(ISNUMBER($BK$887),$B$511=1),$BK$887,HLOOKUP(INDIRECT(ADDRESS(2,COLUMN())),OFFSET($BN$2,0,0,ROW()-1,60),ROW()-1,FALSE))</f>
        <v/>
      </c>
      <c r="BL388" t="str">
        <f ca="1">IF(AND(ISNUMBER($BL$887),$B$511=1),$BL$887,HLOOKUP(INDIRECT(ADDRESS(2,COLUMN())),OFFSET($BN$2,0,0,ROW()-1,60),ROW()-1,FALSE))</f>
        <v/>
      </c>
      <c r="BM388" t="str">
        <f ca="1">IF(AND(ISNUMBER($BM$887),$B$511=1),$BM$887,HLOOKUP(INDIRECT(ADDRESS(2,COLUMN())),OFFSET($BN$2,0,0,ROW()-1,60),ROW()-1,FALSE))</f>
        <v/>
      </c>
      <c r="BN388" t="str">
        <f>""</f>
        <v/>
      </c>
      <c r="BO388" t="str">
        <f>""</f>
        <v/>
      </c>
      <c r="BP388" t="str">
        <f>""</f>
        <v/>
      </c>
      <c r="BQ388" t="str">
        <f>""</f>
        <v/>
      </c>
      <c r="BR388" t="str">
        <f>""</f>
        <v/>
      </c>
      <c r="BS388" t="str">
        <f>""</f>
        <v/>
      </c>
      <c r="BT388" t="str">
        <f>""</f>
        <v/>
      </c>
      <c r="BU388" t="str">
        <f>""</f>
        <v/>
      </c>
      <c r="BV388" t="str">
        <f>""</f>
        <v/>
      </c>
      <c r="BW388" t="str">
        <f>""</f>
        <v/>
      </c>
      <c r="BX388" t="str">
        <f>""</f>
        <v/>
      </c>
      <c r="BY388" t="str">
        <f>""</f>
        <v/>
      </c>
      <c r="BZ388" t="str">
        <f>""</f>
        <v/>
      </c>
      <c r="CA388" t="str">
        <f>""</f>
        <v/>
      </c>
      <c r="CB388" t="str">
        <f>""</f>
        <v/>
      </c>
      <c r="CC388" t="str">
        <f>""</f>
        <v/>
      </c>
      <c r="CD388" t="str">
        <f>""</f>
        <v/>
      </c>
      <c r="CE388" t="str">
        <f>""</f>
        <v/>
      </c>
      <c r="CF388" t="str">
        <f>""</f>
        <v/>
      </c>
      <c r="CG388" t="str">
        <f>""</f>
        <v/>
      </c>
      <c r="CH388" t="str">
        <f>""</f>
        <v/>
      </c>
      <c r="CI388" t="str">
        <f>""</f>
        <v/>
      </c>
      <c r="CJ388" t="str">
        <f>""</f>
        <v/>
      </c>
      <c r="CK388" t="str">
        <f>""</f>
        <v/>
      </c>
      <c r="CL388" t="str">
        <f>""</f>
        <v/>
      </c>
      <c r="CM388" t="str">
        <f>""</f>
        <v/>
      </c>
      <c r="CN388" t="str">
        <f>""</f>
        <v/>
      </c>
      <c r="CO388" t="str">
        <f>""</f>
        <v/>
      </c>
      <c r="CP388" t="str">
        <f>""</f>
        <v/>
      </c>
      <c r="CQ388" t="str">
        <f>""</f>
        <v/>
      </c>
      <c r="CR388" t="str">
        <f>""</f>
        <v/>
      </c>
      <c r="CS388" t="str">
        <f>""</f>
        <v/>
      </c>
      <c r="CT388" t="str">
        <f>""</f>
        <v/>
      </c>
      <c r="CU388" t="str">
        <f>""</f>
        <v/>
      </c>
      <c r="CV388" t="str">
        <f>""</f>
        <v/>
      </c>
      <c r="CW388" t="str">
        <f>""</f>
        <v/>
      </c>
      <c r="CX388" t="str">
        <f>""</f>
        <v/>
      </c>
      <c r="CY388" t="str">
        <f>""</f>
        <v/>
      </c>
      <c r="CZ388" t="str">
        <f>""</f>
        <v/>
      </c>
      <c r="DA388" t="str">
        <f>""</f>
        <v/>
      </c>
      <c r="DB388" t="str">
        <f>""</f>
        <v/>
      </c>
      <c r="DC388" t="str">
        <f>""</f>
        <v/>
      </c>
      <c r="DD388" t="str">
        <f>""</f>
        <v/>
      </c>
      <c r="DE388" t="str">
        <f>""</f>
        <v/>
      </c>
      <c r="DF388" t="str">
        <f>""</f>
        <v/>
      </c>
      <c r="DG388" t="str">
        <f>""</f>
        <v/>
      </c>
      <c r="DH388" t="str">
        <f>""</f>
        <v/>
      </c>
      <c r="DI388" t="str">
        <f>""</f>
        <v/>
      </c>
      <c r="DJ388" t="str">
        <f>""</f>
        <v/>
      </c>
      <c r="DK388" t="str">
        <f>""</f>
        <v/>
      </c>
      <c r="DL388" t="str">
        <f>""</f>
        <v/>
      </c>
      <c r="DM388" t="str">
        <f>""</f>
        <v/>
      </c>
      <c r="DN388" t="str">
        <f>""</f>
        <v/>
      </c>
      <c r="DO388" t="str">
        <f>""</f>
        <v/>
      </c>
      <c r="DP388" t="str">
        <f>""</f>
        <v/>
      </c>
      <c r="DQ388" t="str">
        <f>""</f>
        <v/>
      </c>
      <c r="DR388" t="str">
        <f>""</f>
        <v/>
      </c>
      <c r="DS388" t="str">
        <f>""</f>
        <v/>
      </c>
      <c r="DT388" t="str">
        <f>""</f>
        <v/>
      </c>
      <c r="DU388" t="str">
        <f>""</f>
        <v/>
      </c>
    </row>
    <row r="389" spans="1:125" x14ac:dyDescent="0.25">
      <c r="A389" t="str">
        <f>"    Geely Automobile Holdings Ltd"</f>
        <v xml:space="preserve">    Geely Automobile Holdings Ltd</v>
      </c>
      <c r="B389" t="str">
        <f>"175 HK Equity"</f>
        <v>175 HK Equity</v>
      </c>
      <c r="C389" t="str">
        <f t="shared" si="27"/>
        <v>RR937</v>
      </c>
      <c r="D389" t="str">
        <f t="shared" si="28"/>
        <v>CRNCY_ADJ_CURR_EV</v>
      </c>
      <c r="E389" t="str">
        <f t="shared" si="29"/>
        <v>Dynamic</v>
      </c>
      <c r="F389" t="str">
        <f ca="1">IF(AND(ISNUMBER($F$888),$B$511=1),$F$888,HLOOKUP(INDIRECT(ADDRESS(2,COLUMN())),OFFSET($BN$2,0,0,ROW()-1,60),ROW()-1,FALSE))</f>
        <v/>
      </c>
      <c r="G389" t="str">
        <f ca="1">IF(AND(ISNUMBER($G$888),$B$511=1),$G$888,HLOOKUP(INDIRECT(ADDRESS(2,COLUMN())),OFFSET($BN$2,0,0,ROW()-1,60),ROW()-1,FALSE))</f>
        <v/>
      </c>
      <c r="H389" t="str">
        <f ca="1">IF(AND(ISNUMBER($H$888),$B$511=1),$H$888,HLOOKUP(INDIRECT(ADDRESS(2,COLUMN())),OFFSET($BN$2,0,0,ROW()-1,60),ROW()-1,FALSE))</f>
        <v/>
      </c>
      <c r="I389" t="str">
        <f ca="1">IF(AND(ISNUMBER($I$888),$B$511=1),$I$888,HLOOKUP(INDIRECT(ADDRESS(2,COLUMN())),OFFSET($BN$2,0,0,ROW()-1,60),ROW()-1,FALSE))</f>
        <v/>
      </c>
      <c r="J389" t="str">
        <f ca="1">IF(AND(ISNUMBER($J$888),$B$511=1),$J$888,HLOOKUP(INDIRECT(ADDRESS(2,COLUMN())),OFFSET($BN$2,0,0,ROW()-1,60),ROW()-1,FALSE))</f>
        <v/>
      </c>
      <c r="K389" t="str">
        <f ca="1">IF(AND(ISNUMBER($K$888),$B$511=1),$K$888,HLOOKUP(INDIRECT(ADDRESS(2,COLUMN())),OFFSET($BN$2,0,0,ROW()-1,60),ROW()-1,FALSE))</f>
        <v/>
      </c>
      <c r="L389" t="str">
        <f ca="1">IF(AND(ISNUMBER($L$888),$B$511=1),$L$888,HLOOKUP(INDIRECT(ADDRESS(2,COLUMN())),OFFSET($BN$2,0,0,ROW()-1,60),ROW()-1,FALSE))</f>
        <v/>
      </c>
      <c r="M389" t="str">
        <f ca="1">IF(AND(ISNUMBER($M$888),$B$511=1),$M$888,HLOOKUP(INDIRECT(ADDRESS(2,COLUMN())),OFFSET($BN$2,0,0,ROW()-1,60),ROW()-1,FALSE))</f>
        <v/>
      </c>
      <c r="N389" t="str">
        <f ca="1">IF(AND(ISNUMBER($N$888),$B$511=1),$N$888,HLOOKUP(INDIRECT(ADDRESS(2,COLUMN())),OFFSET($BN$2,0,0,ROW()-1,60),ROW()-1,FALSE))</f>
        <v/>
      </c>
      <c r="O389" t="str">
        <f ca="1">IF(AND(ISNUMBER($O$888),$B$511=1),$O$888,HLOOKUP(INDIRECT(ADDRESS(2,COLUMN())),OFFSET($BN$2,0,0,ROW()-1,60),ROW()-1,FALSE))</f>
        <v/>
      </c>
      <c r="P389" t="str">
        <f ca="1">IF(AND(ISNUMBER($P$888),$B$511=1),$P$888,HLOOKUP(INDIRECT(ADDRESS(2,COLUMN())),OFFSET($BN$2,0,0,ROW()-1,60),ROW()-1,FALSE))</f>
        <v/>
      </c>
      <c r="Q389" t="str">
        <f ca="1">IF(AND(ISNUMBER($Q$888),$B$511=1),$Q$888,HLOOKUP(INDIRECT(ADDRESS(2,COLUMN())),OFFSET($BN$2,0,0,ROW()-1,60),ROW()-1,FALSE))</f>
        <v/>
      </c>
      <c r="R389" t="str">
        <f ca="1">IF(AND(ISNUMBER($R$888),$B$511=1),$R$888,HLOOKUP(INDIRECT(ADDRESS(2,COLUMN())),OFFSET($BN$2,0,0,ROW()-1,60),ROW()-1,FALSE))</f>
        <v/>
      </c>
      <c r="S389" t="str">
        <f ca="1">IF(AND(ISNUMBER($S$888),$B$511=1),$S$888,HLOOKUP(INDIRECT(ADDRESS(2,COLUMN())),OFFSET($BN$2,0,0,ROW()-1,60),ROW()-1,FALSE))</f>
        <v/>
      </c>
      <c r="T389" t="str">
        <f ca="1">IF(AND(ISNUMBER($T$888),$B$511=1),$T$888,HLOOKUP(INDIRECT(ADDRESS(2,COLUMN())),OFFSET($BN$2,0,0,ROW()-1,60),ROW()-1,FALSE))</f>
        <v/>
      </c>
      <c r="U389" t="str">
        <f ca="1">IF(AND(ISNUMBER($U$888),$B$511=1),$U$888,HLOOKUP(INDIRECT(ADDRESS(2,COLUMN())),OFFSET($BN$2,0,0,ROW()-1,60),ROW()-1,FALSE))</f>
        <v/>
      </c>
      <c r="V389" t="str">
        <f ca="1">IF(AND(ISNUMBER($V$888),$B$511=1),$V$888,HLOOKUP(INDIRECT(ADDRESS(2,COLUMN())),OFFSET($BN$2,0,0,ROW()-1,60),ROW()-1,FALSE))</f>
        <v/>
      </c>
      <c r="W389" t="str">
        <f ca="1">IF(AND(ISNUMBER($W$888),$B$511=1),$W$888,HLOOKUP(INDIRECT(ADDRESS(2,COLUMN())),OFFSET($BN$2,0,0,ROW()-1,60),ROW()-1,FALSE))</f>
        <v/>
      </c>
      <c r="X389" t="str">
        <f ca="1">IF(AND(ISNUMBER($X$888),$B$511=1),$X$888,HLOOKUP(INDIRECT(ADDRESS(2,COLUMN())),OFFSET($BN$2,0,0,ROW()-1,60),ROW()-1,FALSE))</f>
        <v/>
      </c>
      <c r="Y389" t="str">
        <f ca="1">IF(AND(ISNUMBER($Y$888),$B$511=1),$Y$888,HLOOKUP(INDIRECT(ADDRESS(2,COLUMN())),OFFSET($BN$2,0,0,ROW()-1,60),ROW()-1,FALSE))</f>
        <v/>
      </c>
      <c r="Z389" t="str">
        <f ca="1">IF(AND(ISNUMBER($Z$888),$B$511=1),$Z$888,HLOOKUP(INDIRECT(ADDRESS(2,COLUMN())),OFFSET($BN$2,0,0,ROW()-1,60),ROW()-1,FALSE))</f>
        <v/>
      </c>
      <c r="AA389" t="str">
        <f ca="1">IF(AND(ISNUMBER($AA$888),$B$511=1),$AA$888,HLOOKUP(INDIRECT(ADDRESS(2,COLUMN())),OFFSET($BN$2,0,0,ROW()-1,60),ROW()-1,FALSE))</f>
        <v/>
      </c>
      <c r="AB389" t="str">
        <f ca="1">IF(AND(ISNUMBER($AB$888),$B$511=1),$AB$888,HLOOKUP(INDIRECT(ADDRESS(2,COLUMN())),OFFSET($BN$2,0,0,ROW()-1,60),ROW()-1,FALSE))</f>
        <v/>
      </c>
      <c r="AC389" t="str">
        <f ca="1">IF(AND(ISNUMBER($AC$888),$B$511=1),$AC$888,HLOOKUP(INDIRECT(ADDRESS(2,COLUMN())),OFFSET($BN$2,0,0,ROW()-1,60),ROW()-1,FALSE))</f>
        <v/>
      </c>
      <c r="AD389" t="str">
        <f ca="1">IF(AND(ISNUMBER($AD$888),$B$511=1),$AD$888,HLOOKUP(INDIRECT(ADDRESS(2,COLUMN())),OFFSET($BN$2,0,0,ROW()-1,60),ROW()-1,FALSE))</f>
        <v/>
      </c>
      <c r="AE389" t="str">
        <f ca="1">IF(AND(ISNUMBER($AE$888),$B$511=1),$AE$888,HLOOKUP(INDIRECT(ADDRESS(2,COLUMN())),OFFSET($BN$2,0,0,ROW()-1,60),ROW()-1,FALSE))</f>
        <v/>
      </c>
      <c r="AF389" t="str">
        <f ca="1">IF(AND(ISNUMBER($AF$888),$B$511=1),$AF$888,HLOOKUP(INDIRECT(ADDRESS(2,COLUMN())),OFFSET($BN$2,0,0,ROW()-1,60),ROW()-1,FALSE))</f>
        <v/>
      </c>
      <c r="AG389" t="str">
        <f ca="1">IF(AND(ISNUMBER($AG$888),$B$511=1),$AG$888,HLOOKUP(INDIRECT(ADDRESS(2,COLUMN())),OFFSET($BN$2,0,0,ROW()-1,60),ROW()-1,FALSE))</f>
        <v/>
      </c>
      <c r="AH389" t="str">
        <f ca="1">IF(AND(ISNUMBER($AH$888),$B$511=1),$AH$888,HLOOKUP(INDIRECT(ADDRESS(2,COLUMN())),OFFSET($BN$2,0,0,ROW()-1,60),ROW()-1,FALSE))</f>
        <v/>
      </c>
      <c r="AI389" t="str">
        <f ca="1">IF(AND(ISNUMBER($AI$888),$B$511=1),$AI$888,HLOOKUP(INDIRECT(ADDRESS(2,COLUMN())),OFFSET($BN$2,0,0,ROW()-1,60),ROW()-1,FALSE))</f>
        <v/>
      </c>
      <c r="AJ389" t="str">
        <f ca="1">IF(AND(ISNUMBER($AJ$888),$B$511=1),$AJ$888,HLOOKUP(INDIRECT(ADDRESS(2,COLUMN())),OFFSET($BN$2,0,0,ROW()-1,60),ROW()-1,FALSE))</f>
        <v/>
      </c>
      <c r="AK389" t="str">
        <f ca="1">IF(AND(ISNUMBER($AK$888),$B$511=1),$AK$888,HLOOKUP(INDIRECT(ADDRESS(2,COLUMN())),OFFSET($BN$2,0,0,ROW()-1,60),ROW()-1,FALSE))</f>
        <v/>
      </c>
      <c r="AL389" t="str">
        <f ca="1">IF(AND(ISNUMBER($AL$888),$B$511=1),$AL$888,HLOOKUP(INDIRECT(ADDRESS(2,COLUMN())),OFFSET($BN$2,0,0,ROW()-1,60),ROW()-1,FALSE))</f>
        <v/>
      </c>
      <c r="AM389" t="str">
        <f ca="1">IF(AND(ISNUMBER($AM$888),$B$511=1),$AM$888,HLOOKUP(INDIRECT(ADDRESS(2,COLUMN())),OFFSET($BN$2,0,0,ROW()-1,60),ROW()-1,FALSE))</f>
        <v/>
      </c>
      <c r="AN389" t="str">
        <f ca="1">IF(AND(ISNUMBER($AN$888),$B$511=1),$AN$888,HLOOKUP(INDIRECT(ADDRESS(2,COLUMN())),OFFSET($BN$2,0,0,ROW()-1,60),ROW()-1,FALSE))</f>
        <v/>
      </c>
      <c r="AO389" t="str">
        <f ca="1">IF(AND(ISNUMBER($AO$888),$B$511=1),$AO$888,HLOOKUP(INDIRECT(ADDRESS(2,COLUMN())),OFFSET($BN$2,0,0,ROW()-1,60),ROW()-1,FALSE))</f>
        <v/>
      </c>
      <c r="AP389" t="str">
        <f ca="1">IF(AND(ISNUMBER($AP$888),$B$511=1),$AP$888,HLOOKUP(INDIRECT(ADDRESS(2,COLUMN())),OFFSET($BN$2,0,0,ROW()-1,60),ROW()-1,FALSE))</f>
        <v/>
      </c>
      <c r="AQ389" t="str">
        <f ca="1">IF(AND(ISNUMBER($AQ$888),$B$511=1),$AQ$888,HLOOKUP(INDIRECT(ADDRESS(2,COLUMN())),OFFSET($BN$2,0,0,ROW()-1,60),ROW()-1,FALSE))</f>
        <v/>
      </c>
      <c r="AR389" t="str">
        <f ca="1">IF(AND(ISNUMBER($AR$888),$B$511=1),$AR$888,HLOOKUP(INDIRECT(ADDRESS(2,COLUMN())),OFFSET($BN$2,0,0,ROW()-1,60),ROW()-1,FALSE))</f>
        <v/>
      </c>
      <c r="AS389" t="str">
        <f ca="1">IF(AND(ISNUMBER($AS$888),$B$511=1),$AS$888,HLOOKUP(INDIRECT(ADDRESS(2,COLUMN())),OFFSET($BN$2,0,0,ROW()-1,60),ROW()-1,FALSE))</f>
        <v/>
      </c>
      <c r="AT389" t="str">
        <f ca="1">IF(AND(ISNUMBER($AT$888),$B$511=1),$AT$888,HLOOKUP(INDIRECT(ADDRESS(2,COLUMN())),OFFSET($BN$2,0,0,ROW()-1,60),ROW()-1,FALSE))</f>
        <v/>
      </c>
      <c r="AU389" t="str">
        <f ca="1">IF(AND(ISNUMBER($AU$888),$B$511=1),$AU$888,HLOOKUP(INDIRECT(ADDRESS(2,COLUMN())),OFFSET($BN$2,0,0,ROW()-1,60),ROW()-1,FALSE))</f>
        <v/>
      </c>
      <c r="AV389" t="str">
        <f ca="1">IF(AND(ISNUMBER($AV$888),$B$511=1),$AV$888,HLOOKUP(INDIRECT(ADDRESS(2,COLUMN())),OFFSET($BN$2,0,0,ROW()-1,60),ROW()-1,FALSE))</f>
        <v/>
      </c>
      <c r="AW389" t="str">
        <f ca="1">IF(AND(ISNUMBER($AW$888),$B$511=1),$AW$888,HLOOKUP(INDIRECT(ADDRESS(2,COLUMN())),OFFSET($BN$2,0,0,ROW()-1,60),ROW()-1,FALSE))</f>
        <v/>
      </c>
      <c r="AX389" t="str">
        <f ca="1">IF(AND(ISNUMBER($AX$888),$B$511=1),$AX$888,HLOOKUP(INDIRECT(ADDRESS(2,COLUMN())),OFFSET($BN$2,0,0,ROW()-1,60),ROW()-1,FALSE))</f>
        <v/>
      </c>
      <c r="AY389" t="str">
        <f ca="1">IF(AND(ISNUMBER($AY$888),$B$511=1),$AY$888,HLOOKUP(INDIRECT(ADDRESS(2,COLUMN())),OFFSET($BN$2,0,0,ROW()-1,60),ROW()-1,FALSE))</f>
        <v/>
      </c>
      <c r="AZ389" t="str">
        <f ca="1">IF(AND(ISNUMBER($AZ$888),$B$511=1),$AZ$888,HLOOKUP(INDIRECT(ADDRESS(2,COLUMN())),OFFSET($BN$2,0,0,ROW()-1,60),ROW()-1,FALSE))</f>
        <v/>
      </c>
      <c r="BA389" t="str">
        <f ca="1">IF(AND(ISNUMBER($BA$888),$B$511=1),$BA$888,HLOOKUP(INDIRECT(ADDRESS(2,COLUMN())),OFFSET($BN$2,0,0,ROW()-1,60),ROW()-1,FALSE))</f>
        <v/>
      </c>
      <c r="BB389" t="str">
        <f ca="1">IF(AND(ISNUMBER($BB$888),$B$511=1),$BB$888,HLOOKUP(INDIRECT(ADDRESS(2,COLUMN())),OFFSET($BN$2,0,0,ROW()-1,60),ROW()-1,FALSE))</f>
        <v/>
      </c>
      <c r="BC389" t="str">
        <f ca="1">IF(AND(ISNUMBER($BC$888),$B$511=1),$BC$888,HLOOKUP(INDIRECT(ADDRESS(2,COLUMN())),OFFSET($BN$2,0,0,ROW()-1,60),ROW()-1,FALSE))</f>
        <v/>
      </c>
      <c r="BD389" t="str">
        <f ca="1">IF(AND(ISNUMBER($BD$888),$B$511=1),$BD$888,HLOOKUP(INDIRECT(ADDRESS(2,COLUMN())),OFFSET($BN$2,0,0,ROW()-1,60),ROW()-1,FALSE))</f>
        <v/>
      </c>
      <c r="BE389" t="str">
        <f ca="1">IF(AND(ISNUMBER($BE$888),$B$511=1),$BE$888,HLOOKUP(INDIRECT(ADDRESS(2,COLUMN())),OFFSET($BN$2,0,0,ROW()-1,60),ROW()-1,FALSE))</f>
        <v/>
      </c>
      <c r="BF389" t="str">
        <f ca="1">IF(AND(ISNUMBER($BF$888),$B$511=1),$BF$888,HLOOKUP(INDIRECT(ADDRESS(2,COLUMN())),OFFSET($BN$2,0,0,ROW()-1,60),ROW()-1,FALSE))</f>
        <v/>
      </c>
      <c r="BG389" t="str">
        <f ca="1">IF(AND(ISNUMBER($BG$888),$B$511=1),$BG$888,HLOOKUP(INDIRECT(ADDRESS(2,COLUMN())),OFFSET($BN$2,0,0,ROW()-1,60),ROW()-1,FALSE))</f>
        <v/>
      </c>
      <c r="BH389" t="str">
        <f ca="1">IF(AND(ISNUMBER($BH$888),$B$511=1),$BH$888,HLOOKUP(INDIRECT(ADDRESS(2,COLUMN())),OFFSET($BN$2,0,0,ROW()-1,60),ROW()-1,FALSE))</f>
        <v/>
      </c>
      <c r="BI389" t="str">
        <f ca="1">IF(AND(ISNUMBER($BI$888),$B$511=1),$BI$888,HLOOKUP(INDIRECT(ADDRESS(2,COLUMN())),OFFSET($BN$2,0,0,ROW()-1,60),ROW()-1,FALSE))</f>
        <v/>
      </c>
      <c r="BJ389" t="str">
        <f ca="1">IF(AND(ISNUMBER($BJ$888),$B$511=1),$BJ$888,HLOOKUP(INDIRECT(ADDRESS(2,COLUMN())),OFFSET($BN$2,0,0,ROW()-1,60),ROW()-1,FALSE))</f>
        <v/>
      </c>
      <c r="BK389" t="str">
        <f ca="1">IF(AND(ISNUMBER($BK$888),$B$511=1),$BK$888,HLOOKUP(INDIRECT(ADDRESS(2,COLUMN())),OFFSET($BN$2,0,0,ROW()-1,60),ROW()-1,FALSE))</f>
        <v/>
      </c>
      <c r="BL389" t="str">
        <f ca="1">IF(AND(ISNUMBER($BL$888),$B$511=1),$BL$888,HLOOKUP(INDIRECT(ADDRESS(2,COLUMN())),OFFSET($BN$2,0,0,ROW()-1,60),ROW()-1,FALSE))</f>
        <v/>
      </c>
      <c r="BM389" t="str">
        <f ca="1">IF(AND(ISNUMBER($BM$888),$B$511=1),$BM$888,HLOOKUP(INDIRECT(ADDRESS(2,COLUMN())),OFFSET($BN$2,0,0,ROW()-1,60),ROW()-1,FALSE))</f>
        <v/>
      </c>
      <c r="BN389" t="str">
        <f>""</f>
        <v/>
      </c>
      <c r="BO389" t="str">
        <f>""</f>
        <v/>
      </c>
      <c r="BP389" t="str">
        <f>""</f>
        <v/>
      </c>
      <c r="BQ389" t="str">
        <f>""</f>
        <v/>
      </c>
      <c r="BR389" t="str">
        <f>""</f>
        <v/>
      </c>
      <c r="BS389" t="str">
        <f>""</f>
        <v/>
      </c>
      <c r="BT389" t="str">
        <f>""</f>
        <v/>
      </c>
      <c r="BU389" t="str">
        <f>""</f>
        <v/>
      </c>
      <c r="BV389" t="str">
        <f>""</f>
        <v/>
      </c>
      <c r="BW389" t="str">
        <f>""</f>
        <v/>
      </c>
      <c r="BX389" t="str">
        <f>""</f>
        <v/>
      </c>
      <c r="BY389" t="str">
        <f>""</f>
        <v/>
      </c>
      <c r="BZ389" t="str">
        <f>""</f>
        <v/>
      </c>
      <c r="CA389" t="str">
        <f>""</f>
        <v/>
      </c>
      <c r="CB389" t="str">
        <f>""</f>
        <v/>
      </c>
      <c r="CC389" t="str">
        <f>""</f>
        <v/>
      </c>
      <c r="CD389" t="str">
        <f>""</f>
        <v/>
      </c>
      <c r="CE389" t="str">
        <f>""</f>
        <v/>
      </c>
      <c r="CF389" t="str">
        <f>""</f>
        <v/>
      </c>
      <c r="CG389" t="str">
        <f>""</f>
        <v/>
      </c>
      <c r="CH389" t="str">
        <f>""</f>
        <v/>
      </c>
      <c r="CI389" t="str">
        <f>""</f>
        <v/>
      </c>
      <c r="CJ389" t="str">
        <f>""</f>
        <v/>
      </c>
      <c r="CK389" t="str">
        <f>""</f>
        <v/>
      </c>
      <c r="CL389" t="str">
        <f>""</f>
        <v/>
      </c>
      <c r="CM389" t="str">
        <f>""</f>
        <v/>
      </c>
      <c r="CN389" t="str">
        <f>""</f>
        <v/>
      </c>
      <c r="CO389" t="str">
        <f>""</f>
        <v/>
      </c>
      <c r="CP389" t="str">
        <f>""</f>
        <v/>
      </c>
      <c r="CQ389" t="str">
        <f>""</f>
        <v/>
      </c>
      <c r="CR389" t="str">
        <f>""</f>
        <v/>
      </c>
      <c r="CS389" t="str">
        <f>""</f>
        <v/>
      </c>
      <c r="CT389" t="str">
        <f>""</f>
        <v/>
      </c>
      <c r="CU389" t="str">
        <f>""</f>
        <v/>
      </c>
      <c r="CV389" t="str">
        <f>""</f>
        <v/>
      </c>
      <c r="CW389" t="str">
        <f>""</f>
        <v/>
      </c>
      <c r="CX389" t="str">
        <f>""</f>
        <v/>
      </c>
      <c r="CY389" t="str">
        <f>""</f>
        <v/>
      </c>
      <c r="CZ389" t="str">
        <f>""</f>
        <v/>
      </c>
      <c r="DA389" t="str">
        <f>""</f>
        <v/>
      </c>
      <c r="DB389" t="str">
        <f>""</f>
        <v/>
      </c>
      <c r="DC389" t="str">
        <f>""</f>
        <v/>
      </c>
      <c r="DD389" t="str">
        <f>""</f>
        <v/>
      </c>
      <c r="DE389" t="str">
        <f>""</f>
        <v/>
      </c>
      <c r="DF389" t="str">
        <f>""</f>
        <v/>
      </c>
      <c r="DG389" t="str">
        <f>""</f>
        <v/>
      </c>
      <c r="DH389" t="str">
        <f>""</f>
        <v/>
      </c>
      <c r="DI389" t="str">
        <f>""</f>
        <v/>
      </c>
      <c r="DJ389" t="str">
        <f>""</f>
        <v/>
      </c>
      <c r="DK389" t="str">
        <f>""</f>
        <v/>
      </c>
      <c r="DL389" t="str">
        <f>""</f>
        <v/>
      </c>
      <c r="DM389" t="str">
        <f>""</f>
        <v/>
      </c>
      <c r="DN389" t="str">
        <f>""</f>
        <v/>
      </c>
      <c r="DO389" t="str">
        <f>""</f>
        <v/>
      </c>
      <c r="DP389" t="str">
        <f>""</f>
        <v/>
      </c>
      <c r="DQ389" t="str">
        <f>""</f>
        <v/>
      </c>
      <c r="DR389" t="str">
        <f>""</f>
        <v/>
      </c>
      <c r="DS389" t="str">
        <f>""</f>
        <v/>
      </c>
      <c r="DT389" t="str">
        <f>""</f>
        <v/>
      </c>
      <c r="DU389" t="str">
        <f>""</f>
        <v/>
      </c>
    </row>
    <row r="390" spans="1:125" x14ac:dyDescent="0.25">
      <c r="A390" t="str">
        <f>"    General Motors Co"</f>
        <v xml:space="preserve">    General Motors Co</v>
      </c>
      <c r="B390" t="str">
        <f>"GM US Equity"</f>
        <v>GM US Equity</v>
      </c>
      <c r="C390" t="str">
        <f t="shared" si="27"/>
        <v>RR937</v>
      </c>
      <c r="D390" t="str">
        <f t="shared" si="28"/>
        <v>CRNCY_ADJ_CURR_EV</v>
      </c>
      <c r="E390" t="str">
        <f t="shared" si="29"/>
        <v>Dynamic</v>
      </c>
      <c r="F390">
        <f ca="1">IF(AND(ISNUMBER($F$889),$B$511=1),$F$889,HLOOKUP(INDIRECT(ADDRESS(2,COLUMN())),OFFSET($BN$2,0,0,ROW()-1,60),ROW()-1,FALSE))</f>
        <v>53693.286970000001</v>
      </c>
      <c r="G390">
        <f ca="1">IF(AND(ISNUMBER($G$889),$B$511=1),$G$889,HLOOKUP(INDIRECT(ADDRESS(2,COLUMN())),OFFSET($BN$2,0,0,ROW()-1,60),ROW()-1,FALSE))</f>
        <v>45547.451520000002</v>
      </c>
      <c r="H390">
        <f ca="1">IF(AND(ISNUMBER($H$889),$B$511=1),$H$889,HLOOKUP(INDIRECT(ADDRESS(2,COLUMN())),OFFSET($BN$2,0,0,ROW()-1,60),ROW()-1,FALSE))</f>
        <v>47071.609600000003</v>
      </c>
      <c r="I390">
        <f ca="1">IF(AND(ISNUMBER($I$889),$B$511=1),$I$889,HLOOKUP(INDIRECT(ADDRESS(2,COLUMN())),OFFSET($BN$2,0,0,ROW()-1,60),ROW()-1,FALSE))</f>
        <v>54248.00621</v>
      </c>
      <c r="J390">
        <f ca="1">IF(AND(ISNUMBER($J$889),$B$511=1),$J$889,HLOOKUP(INDIRECT(ADDRESS(2,COLUMN())),OFFSET($BN$2,0,0,ROW()-1,60),ROW()-1,FALSE))</f>
        <v>50165.055350000002</v>
      </c>
      <c r="K390">
        <f ca="1">IF(AND(ISNUMBER($K$889),$B$511=1),$K$889,HLOOKUP(INDIRECT(ADDRESS(2,COLUMN())),OFFSET($BN$2,0,0,ROW()-1,60),ROW()-1,FALSE))</f>
        <v>53386.505879999997</v>
      </c>
      <c r="L390">
        <f ca="1">IF(AND(ISNUMBER($L$889),$B$511=1),$L$889,HLOOKUP(INDIRECT(ADDRESS(2,COLUMN())),OFFSET($BN$2,0,0,ROW()-1,60),ROW()-1,FALSE))</f>
        <v>56885.0697</v>
      </c>
      <c r="M390">
        <f ca="1">IF(AND(ISNUMBER($M$889),$B$511=1),$M$889,HLOOKUP(INDIRECT(ADDRESS(2,COLUMN())),OFFSET($BN$2,0,0,ROW()-1,60),ROW()-1,FALSE))</f>
        <v>43438.259559999999</v>
      </c>
      <c r="N390">
        <f ca="1">IF(AND(ISNUMBER($N$889),$B$511=1),$N$889,HLOOKUP(INDIRECT(ADDRESS(2,COLUMN())),OFFSET($BN$2,0,0,ROW()-1,60),ROW()-1,FALSE))</f>
        <v>43732.02824</v>
      </c>
      <c r="O390">
        <f ca="1">IF(AND(ISNUMBER($O$889),$B$511=1),$O$889,HLOOKUP(INDIRECT(ADDRESS(2,COLUMN())),OFFSET($BN$2,0,0,ROW()-1,60),ROW()-1,FALSE))</f>
        <v>42307.144760000003</v>
      </c>
      <c r="P390">
        <f ca="1">IF(AND(ISNUMBER($P$889),$B$511=1),$P$889,HLOOKUP(INDIRECT(ADDRESS(2,COLUMN())),OFFSET($BN$2,0,0,ROW()-1,60),ROW()-1,FALSE))</f>
        <v>39932.257969999999</v>
      </c>
      <c r="Q390">
        <f ca="1">IF(AND(ISNUMBER($Q$889),$B$511=1),$Q$889,HLOOKUP(INDIRECT(ADDRESS(2,COLUMN())),OFFSET($BN$2,0,0,ROW()-1,60),ROW()-1,FALSE))</f>
        <v>35615.056479999999</v>
      </c>
      <c r="R390">
        <f ca="1">IF(AND(ISNUMBER($R$889),$B$511=1),$R$889,HLOOKUP(INDIRECT(ADDRESS(2,COLUMN())),OFFSET($BN$2,0,0,ROW()-1,60),ROW()-1,FALSE))</f>
        <v>42083.400959999999</v>
      </c>
      <c r="S390">
        <f ca="1">IF(AND(ISNUMBER($S$889),$B$511=1),$S$889,HLOOKUP(INDIRECT(ADDRESS(2,COLUMN())),OFFSET($BN$2,0,0,ROW()-1,60),ROW()-1,FALSE))</f>
        <v>41802.575680000002</v>
      </c>
      <c r="T390">
        <f ca="1">IF(AND(ISNUMBER($T$889),$B$511=1),$T$889,HLOOKUP(INDIRECT(ADDRESS(2,COLUMN())),OFFSET($BN$2,0,0,ROW()-1,60),ROW()-1,FALSE))</f>
        <v>35681.603040000002</v>
      </c>
      <c r="U390">
        <f ca="1">IF(AND(ISNUMBER($U$889),$B$511=1),$U$889,HLOOKUP(INDIRECT(ADDRESS(2,COLUMN())),OFFSET($BN$2,0,0,ROW()-1,60),ROW()-1,FALSE))</f>
        <v>40864.230689999997</v>
      </c>
      <c r="V390">
        <f ca="1">IF(AND(ISNUMBER($V$889),$B$511=1),$V$889,HLOOKUP(INDIRECT(ADDRESS(2,COLUMN())),OFFSET($BN$2,0,0,ROW()-1,60),ROW()-1,FALSE))</f>
        <v>46364.723749999997</v>
      </c>
      <c r="W390">
        <f ca="1">IF(AND(ISNUMBER($W$889),$B$511=1),$W$889,HLOOKUP(INDIRECT(ADDRESS(2,COLUMN())),OFFSET($BN$2,0,0,ROW()-1,60),ROW()-1,FALSE))</f>
        <v>40804.767449999999</v>
      </c>
      <c r="X390">
        <f ca="1">IF(AND(ISNUMBER($X$889),$B$511=1),$X$889,HLOOKUP(INDIRECT(ADDRESS(2,COLUMN())),OFFSET($BN$2,0,0,ROW()-1,60),ROW()-1,FALSE))</f>
        <v>36141.539400000001</v>
      </c>
      <c r="Y390">
        <f ca="1">IF(AND(ISNUMBER($Y$889),$B$511=1),$Y$889,HLOOKUP(INDIRECT(ADDRESS(2,COLUMN())),OFFSET($BN$2,0,0,ROW()-1,60),ROW()-1,FALSE))</f>
        <v>41327.977330000002</v>
      </c>
      <c r="Z390">
        <f ca="1">IF(AND(ISNUMBER($Z$889),$B$511=1),$Z$889,HLOOKUP(INDIRECT(ADDRESS(2,COLUMN())),OFFSET($BN$2,0,0,ROW()-1,60),ROW()-1,FALSE))</f>
        <v>40377.514320000002</v>
      </c>
      <c r="AA390">
        <f ca="1">IF(AND(ISNUMBER($AA$889),$B$511=1),$AA$889,HLOOKUP(INDIRECT(ADDRESS(2,COLUMN())),OFFSET($BN$2,0,0,ROW()-1,60),ROW()-1,FALSE))</f>
        <v>39661.357360000002</v>
      </c>
      <c r="AB390">
        <f ca="1">IF(AND(ISNUMBER($AB$889),$B$511=1),$AB$889,HLOOKUP(INDIRECT(ADDRESS(2,COLUMN())),OFFSET($BN$2,0,0,ROW()-1,60),ROW()-1,FALSE))</f>
        <v>39968.437290000002</v>
      </c>
      <c r="AC390">
        <f ca="1">IF(AND(ISNUMBER($AC$889),$B$511=1),$AC$889,HLOOKUP(INDIRECT(ADDRESS(2,COLUMN())),OFFSET($BN$2,0,0,ROW()-1,60),ROW()-1,FALSE))</f>
        <v>36575.795899999997</v>
      </c>
      <c r="AD390">
        <f ca="1">IF(AND(ISNUMBER($AD$889),$B$511=1),$AD$889,HLOOKUP(INDIRECT(ADDRESS(2,COLUMN())),OFFSET($BN$2,0,0,ROW()-1,60),ROW()-1,FALSE))</f>
        <v>30022.454259999999</v>
      </c>
      <c r="AE390">
        <f ca="1">IF(AND(ISNUMBER($AE$889),$B$511=1),$AE$889,HLOOKUP(INDIRECT(ADDRESS(2,COLUMN())),OFFSET($BN$2,0,0,ROW()-1,60),ROW()-1,FALSE))</f>
        <v>35346.353640000001</v>
      </c>
      <c r="AF390">
        <f ca="1">IF(AND(ISNUMBER($AF$889),$B$511=1),$AF$889,HLOOKUP(INDIRECT(ADDRESS(2,COLUMN())),OFFSET($BN$2,0,0,ROW()-1,60),ROW()-1,FALSE))</f>
        <v>20652.46414</v>
      </c>
      <c r="AG390">
        <f ca="1">IF(AND(ISNUMBER($AG$889),$B$511=1),$AG$889,HLOOKUP(INDIRECT(ADDRESS(2,COLUMN())),OFFSET($BN$2,0,0,ROW()-1,60),ROW()-1,FALSE))</f>
        <v>24359.662619999999</v>
      </c>
      <c r="AH390">
        <f ca="1">IF(AND(ISNUMBER($AH$889),$B$511=1),$AH$889,HLOOKUP(INDIRECT(ADDRESS(2,COLUMN())),OFFSET($BN$2,0,0,ROW()-1,60),ROW()-1,FALSE))</f>
        <v>34205.794349999996</v>
      </c>
      <c r="AI390">
        <f ca="1">IF(AND(ISNUMBER($AI$889),$B$511=1),$AI$889,HLOOKUP(INDIRECT(ADDRESS(2,COLUMN())),OFFSET($BN$2,0,0,ROW()-1,60),ROW()-1,FALSE))</f>
        <v>16623.6695</v>
      </c>
      <c r="AJ390">
        <f ca="1">IF(AND(ISNUMBER($AJ$889),$B$511=1),$AJ$889,HLOOKUP(INDIRECT(ADDRESS(2,COLUMN())),OFFSET($BN$2,0,0,ROW()-1,60),ROW()-1,FALSE))</f>
        <v>22774.440170000002</v>
      </c>
      <c r="AK390">
        <f ca="1">IF(AND(ISNUMBER($AK$889),$B$511=1),$AK$889,HLOOKUP(INDIRECT(ADDRESS(2,COLUMN())),OFFSET($BN$2,0,0,ROW()-1,60),ROW()-1,FALSE))</f>
        <v>38135.466990000001</v>
      </c>
      <c r="AL390">
        <f ca="1">IF(AND(ISNUMBER($AL$889),$B$511=1),$AL$889,HLOOKUP(INDIRECT(ADDRESS(2,COLUMN())),OFFSET($BN$2,0,0,ROW()-1,60),ROW()-1,FALSE))</f>
        <v>42932.856590000003</v>
      </c>
      <c r="AM390">
        <f ca="1">IF(AND(ISNUMBER($AM$889),$B$511=1),$AM$889,HLOOKUP(INDIRECT(ADDRESS(2,COLUMN())),OFFSET($BN$2,0,0,ROW()-1,60),ROW()-1,FALSE))</f>
        <v>51634</v>
      </c>
      <c r="AN390" t="str">
        <f ca="1">IF(AND(ISNUMBER($AN$889),$B$511=1),$AN$889,HLOOKUP(INDIRECT(ADDRESS(2,COLUMN())),OFFSET($BN$2,0,0,ROW()-1,60),ROW()-1,FALSE))</f>
        <v/>
      </c>
      <c r="AO390" t="str">
        <f ca="1">IF(AND(ISNUMBER($AO$889),$B$511=1),$AO$889,HLOOKUP(INDIRECT(ADDRESS(2,COLUMN())),OFFSET($BN$2,0,0,ROW()-1,60),ROW()-1,FALSE))</f>
        <v/>
      </c>
      <c r="AP390" t="str">
        <f ca="1">IF(AND(ISNUMBER($AP$889),$B$511=1),$AP$889,HLOOKUP(INDIRECT(ADDRESS(2,COLUMN())),OFFSET($BN$2,0,0,ROW()-1,60),ROW()-1,FALSE))</f>
        <v/>
      </c>
      <c r="AQ390" t="str">
        <f ca="1">IF(AND(ISNUMBER($AQ$889),$B$511=1),$AQ$889,HLOOKUP(INDIRECT(ADDRESS(2,COLUMN())),OFFSET($BN$2,0,0,ROW()-1,60),ROW()-1,FALSE))</f>
        <v/>
      </c>
      <c r="AR390" t="str">
        <f ca="1">IF(AND(ISNUMBER($AR$889),$B$511=1),$AR$889,HLOOKUP(INDIRECT(ADDRESS(2,COLUMN())),OFFSET($BN$2,0,0,ROW()-1,60),ROW()-1,FALSE))</f>
        <v/>
      </c>
      <c r="AS390" t="str">
        <f ca="1">IF(AND(ISNUMBER($AS$889),$B$511=1),$AS$889,HLOOKUP(INDIRECT(ADDRESS(2,COLUMN())),OFFSET($BN$2,0,0,ROW()-1,60),ROW()-1,FALSE))</f>
        <v/>
      </c>
      <c r="AT390" t="str">
        <f ca="1">IF(AND(ISNUMBER($AT$889),$B$511=1),$AT$889,HLOOKUP(INDIRECT(ADDRESS(2,COLUMN())),OFFSET($BN$2,0,0,ROW()-1,60),ROW()-1,FALSE))</f>
        <v/>
      </c>
      <c r="AU390" t="str">
        <f ca="1">IF(AND(ISNUMBER($AU$889),$B$511=1),$AU$889,HLOOKUP(INDIRECT(ADDRESS(2,COLUMN())),OFFSET($BN$2,0,0,ROW()-1,60),ROW()-1,FALSE))</f>
        <v/>
      </c>
      <c r="AV390" t="str">
        <f ca="1">IF(AND(ISNUMBER($AV$889),$B$511=1),$AV$889,HLOOKUP(INDIRECT(ADDRESS(2,COLUMN())),OFFSET($BN$2,0,0,ROW()-1,60),ROW()-1,FALSE))</f>
        <v/>
      </c>
      <c r="AW390" t="str">
        <f ca="1">IF(AND(ISNUMBER($AW$889),$B$511=1),$AW$889,HLOOKUP(INDIRECT(ADDRESS(2,COLUMN())),OFFSET($BN$2,0,0,ROW()-1,60),ROW()-1,FALSE))</f>
        <v/>
      </c>
      <c r="AX390" t="str">
        <f ca="1">IF(AND(ISNUMBER($AX$889),$B$511=1),$AX$889,HLOOKUP(INDIRECT(ADDRESS(2,COLUMN())),OFFSET($BN$2,0,0,ROW()-1,60),ROW()-1,FALSE))</f>
        <v/>
      </c>
      <c r="AY390" t="str">
        <f ca="1">IF(AND(ISNUMBER($AY$889),$B$511=1),$AY$889,HLOOKUP(INDIRECT(ADDRESS(2,COLUMN())),OFFSET($BN$2,0,0,ROW()-1,60),ROW()-1,FALSE))</f>
        <v/>
      </c>
      <c r="AZ390" t="str">
        <f ca="1">IF(AND(ISNUMBER($AZ$889),$B$511=1),$AZ$889,HLOOKUP(INDIRECT(ADDRESS(2,COLUMN())),OFFSET($BN$2,0,0,ROW()-1,60),ROW()-1,FALSE))</f>
        <v/>
      </c>
      <c r="BA390" t="str">
        <f ca="1">IF(AND(ISNUMBER($BA$889),$B$511=1),$BA$889,HLOOKUP(INDIRECT(ADDRESS(2,COLUMN())),OFFSET($BN$2,0,0,ROW()-1,60),ROW()-1,FALSE))</f>
        <v/>
      </c>
      <c r="BB390" t="str">
        <f ca="1">IF(AND(ISNUMBER($BB$889),$B$511=1),$BB$889,HLOOKUP(INDIRECT(ADDRESS(2,COLUMN())),OFFSET($BN$2,0,0,ROW()-1,60),ROW()-1,FALSE))</f>
        <v/>
      </c>
      <c r="BC390" t="str">
        <f ca="1">IF(AND(ISNUMBER($BC$889),$B$511=1),$BC$889,HLOOKUP(INDIRECT(ADDRESS(2,COLUMN())),OFFSET($BN$2,0,0,ROW()-1,60),ROW()-1,FALSE))</f>
        <v/>
      </c>
      <c r="BD390" t="str">
        <f ca="1">IF(AND(ISNUMBER($BD$889),$B$511=1),$BD$889,HLOOKUP(INDIRECT(ADDRESS(2,COLUMN())),OFFSET($BN$2,0,0,ROW()-1,60),ROW()-1,FALSE))</f>
        <v/>
      </c>
      <c r="BE390" t="str">
        <f ca="1">IF(AND(ISNUMBER($BE$889),$B$511=1),$BE$889,HLOOKUP(INDIRECT(ADDRESS(2,COLUMN())),OFFSET($BN$2,0,0,ROW()-1,60),ROW()-1,FALSE))</f>
        <v/>
      </c>
      <c r="BF390" t="str">
        <f ca="1">IF(AND(ISNUMBER($BF$889),$B$511=1),$BF$889,HLOOKUP(INDIRECT(ADDRESS(2,COLUMN())),OFFSET($BN$2,0,0,ROW()-1,60),ROW()-1,FALSE))</f>
        <v/>
      </c>
      <c r="BG390" t="str">
        <f ca="1">IF(AND(ISNUMBER($BG$889),$B$511=1),$BG$889,HLOOKUP(INDIRECT(ADDRESS(2,COLUMN())),OFFSET($BN$2,0,0,ROW()-1,60),ROW()-1,FALSE))</f>
        <v/>
      </c>
      <c r="BH390" t="str">
        <f ca="1">IF(AND(ISNUMBER($BH$889),$B$511=1),$BH$889,HLOOKUP(INDIRECT(ADDRESS(2,COLUMN())),OFFSET($BN$2,0,0,ROW()-1,60),ROW()-1,FALSE))</f>
        <v/>
      </c>
      <c r="BI390" t="str">
        <f ca="1">IF(AND(ISNUMBER($BI$889),$B$511=1),$BI$889,HLOOKUP(INDIRECT(ADDRESS(2,COLUMN())),OFFSET($BN$2,0,0,ROW()-1,60),ROW()-1,FALSE))</f>
        <v/>
      </c>
      <c r="BJ390" t="str">
        <f ca="1">IF(AND(ISNUMBER($BJ$889),$B$511=1),$BJ$889,HLOOKUP(INDIRECT(ADDRESS(2,COLUMN())),OFFSET($BN$2,0,0,ROW()-1,60),ROW()-1,FALSE))</f>
        <v/>
      </c>
      <c r="BK390" t="str">
        <f ca="1">IF(AND(ISNUMBER($BK$889),$B$511=1),$BK$889,HLOOKUP(INDIRECT(ADDRESS(2,COLUMN())),OFFSET($BN$2,0,0,ROW()-1,60),ROW()-1,FALSE))</f>
        <v/>
      </c>
      <c r="BL390" t="str">
        <f ca="1">IF(AND(ISNUMBER($BL$889),$B$511=1),$BL$889,HLOOKUP(INDIRECT(ADDRESS(2,COLUMN())),OFFSET($BN$2,0,0,ROW()-1,60),ROW()-1,FALSE))</f>
        <v/>
      </c>
      <c r="BM390" t="str">
        <f ca="1">IF(AND(ISNUMBER($BM$889),$B$511=1),$BM$889,HLOOKUP(INDIRECT(ADDRESS(2,COLUMN())),OFFSET($BN$2,0,0,ROW()-1,60),ROW()-1,FALSE))</f>
        <v/>
      </c>
      <c r="BN390">
        <f>53693.28697</f>
        <v>53693.286970000001</v>
      </c>
      <c r="BO390">
        <f>45547.45152</f>
        <v>45547.451520000002</v>
      </c>
      <c r="BP390">
        <f>47071.6096</f>
        <v>47071.609600000003</v>
      </c>
      <c r="BQ390">
        <f>54248.00621</f>
        <v>54248.00621</v>
      </c>
      <c r="BR390">
        <f>50165.05535</f>
        <v>50165.055350000002</v>
      </c>
      <c r="BS390">
        <f>53386.50588</f>
        <v>53386.505879999997</v>
      </c>
      <c r="BT390">
        <f>56885.0697</f>
        <v>56885.0697</v>
      </c>
      <c r="BU390">
        <f>43438.25956</f>
        <v>43438.259559999999</v>
      </c>
      <c r="BV390">
        <f>43732.02824</f>
        <v>43732.02824</v>
      </c>
      <c r="BW390">
        <f>42307.14476</f>
        <v>42307.144760000003</v>
      </c>
      <c r="BX390">
        <f>39932.25797</f>
        <v>39932.257969999999</v>
      </c>
      <c r="BY390">
        <f>35615.05648</f>
        <v>35615.056479999999</v>
      </c>
      <c r="BZ390">
        <f>42083.4009599999</f>
        <v>42083.400959999999</v>
      </c>
      <c r="CA390">
        <f>41802.57568</f>
        <v>41802.575680000002</v>
      </c>
      <c r="CB390">
        <f>35681.60304</f>
        <v>35681.603040000002</v>
      </c>
      <c r="CC390">
        <f>40864.23069</f>
        <v>40864.230689999997</v>
      </c>
      <c r="CD390">
        <f>46364.72375</f>
        <v>46364.723749999997</v>
      </c>
      <c r="CE390">
        <f>40804.76745</f>
        <v>40804.767449999999</v>
      </c>
      <c r="CF390">
        <f>36141.5394</f>
        <v>36141.539400000001</v>
      </c>
      <c r="CG390">
        <f>41327.97733</f>
        <v>41327.977330000002</v>
      </c>
      <c r="CH390">
        <f>40377.51432</f>
        <v>40377.514320000002</v>
      </c>
      <c r="CI390">
        <f>39661.35736</f>
        <v>39661.357360000002</v>
      </c>
      <c r="CJ390">
        <f>39968.43729</f>
        <v>39968.437290000002</v>
      </c>
      <c r="CK390">
        <f>36575.7959</f>
        <v>36575.795899999997</v>
      </c>
      <c r="CL390">
        <f>30022.45426</f>
        <v>30022.454259999999</v>
      </c>
      <c r="CM390">
        <f>35346.35364</f>
        <v>35346.353640000001</v>
      </c>
      <c r="CN390">
        <f>20652.46414</f>
        <v>20652.46414</v>
      </c>
      <c r="CO390">
        <f>24359.66262</f>
        <v>24359.662619999999</v>
      </c>
      <c r="CP390">
        <f>34205.79435</f>
        <v>34205.794349999996</v>
      </c>
      <c r="CQ390">
        <f>16623.6695</f>
        <v>16623.6695</v>
      </c>
      <c r="CR390">
        <f>22774.44017</f>
        <v>22774.440170000002</v>
      </c>
      <c r="CS390">
        <f>38135.46699</f>
        <v>38135.466990000001</v>
      </c>
      <c r="CT390">
        <f>42932.85659</f>
        <v>42932.856590000003</v>
      </c>
      <c r="CU390">
        <f>51634</f>
        <v>51634</v>
      </c>
      <c r="CV390" t="str">
        <f>""</f>
        <v/>
      </c>
      <c r="CW390" t="str">
        <f>""</f>
        <v/>
      </c>
      <c r="CX390" t="str">
        <f>""</f>
        <v/>
      </c>
      <c r="CY390" t="str">
        <f>""</f>
        <v/>
      </c>
      <c r="CZ390" t="str">
        <f>""</f>
        <v/>
      </c>
      <c r="DA390" t="str">
        <f>""</f>
        <v/>
      </c>
      <c r="DB390" t="str">
        <f>""</f>
        <v/>
      </c>
      <c r="DC390" t="str">
        <f>""</f>
        <v/>
      </c>
      <c r="DD390" t="str">
        <f>""</f>
        <v/>
      </c>
      <c r="DE390" t="str">
        <f>""</f>
        <v/>
      </c>
      <c r="DF390" t="str">
        <f>""</f>
        <v/>
      </c>
      <c r="DG390" t="str">
        <f>""</f>
        <v/>
      </c>
      <c r="DH390" t="str">
        <f>""</f>
        <v/>
      </c>
      <c r="DI390" t="str">
        <f>""</f>
        <v/>
      </c>
      <c r="DJ390" t="str">
        <f>""</f>
        <v/>
      </c>
      <c r="DK390" t="str">
        <f>""</f>
        <v/>
      </c>
      <c r="DL390" t="str">
        <f>""</f>
        <v/>
      </c>
      <c r="DM390" t="str">
        <f>""</f>
        <v/>
      </c>
      <c r="DN390" t="str">
        <f>""</f>
        <v/>
      </c>
      <c r="DO390" t="str">
        <f>""</f>
        <v/>
      </c>
      <c r="DP390" t="str">
        <f>""</f>
        <v/>
      </c>
      <c r="DQ390" t="str">
        <f>""</f>
        <v/>
      </c>
      <c r="DR390" t="str">
        <f>""</f>
        <v/>
      </c>
      <c r="DS390" t="str">
        <f>""</f>
        <v/>
      </c>
      <c r="DT390" t="str">
        <f>""</f>
        <v/>
      </c>
      <c r="DU390" t="str">
        <f>""</f>
        <v/>
      </c>
    </row>
    <row r="391" spans="1:125" x14ac:dyDescent="0.25">
      <c r="A391" t="str">
        <f>"    Great Wall Motor Co Ltd"</f>
        <v xml:space="preserve">    Great Wall Motor Co Ltd</v>
      </c>
      <c r="B391" t="str">
        <f>"2333 HK Equity"</f>
        <v>2333 HK Equity</v>
      </c>
      <c r="C391" t="str">
        <f t="shared" si="27"/>
        <v>RR937</v>
      </c>
      <c r="D391" t="str">
        <f t="shared" si="28"/>
        <v>CRNCY_ADJ_CURR_EV</v>
      </c>
      <c r="E391" t="str">
        <f t="shared" si="29"/>
        <v>Dynamic</v>
      </c>
      <c r="F391">
        <f ca="1">IF(AND(ISNUMBER($F$890),$B$511=1),$F$890,HLOOKUP(INDIRECT(ADDRESS(2,COLUMN())),OFFSET($BN$2,0,0,ROW()-1,60),ROW()-1,FALSE))</f>
        <v>10168.642620000001</v>
      </c>
      <c r="G391">
        <f ca="1">IF(AND(ISNUMBER($G$890),$B$511=1),$G$890,HLOOKUP(INDIRECT(ADDRESS(2,COLUMN())),OFFSET($BN$2,0,0,ROW()-1,60),ROW()-1,FALSE))</f>
        <v>6899.0164860000004</v>
      </c>
      <c r="H391">
        <f ca="1">IF(AND(ISNUMBER($H$890),$B$511=1),$H$890,HLOOKUP(INDIRECT(ADDRESS(2,COLUMN())),OFFSET($BN$2,0,0,ROW()-1,60),ROW()-1,FALSE))</f>
        <v>9098.4114740000005</v>
      </c>
      <c r="I391">
        <f ca="1">IF(AND(ISNUMBER($I$890),$B$511=1),$I$890,HLOOKUP(INDIRECT(ADDRESS(2,COLUMN())),OFFSET($BN$2,0,0,ROW()-1,60),ROW()-1,FALSE))</f>
        <v>12241.184359999999</v>
      </c>
      <c r="J391">
        <f ca="1">IF(AND(ISNUMBER($J$890),$B$511=1),$J$890,HLOOKUP(INDIRECT(ADDRESS(2,COLUMN())),OFFSET($BN$2,0,0,ROW()-1,60),ROW()-1,FALSE))</f>
        <v>17041.17438</v>
      </c>
      <c r="K391">
        <f ca="1">IF(AND(ISNUMBER($K$890),$B$511=1),$K$890,HLOOKUP(INDIRECT(ADDRESS(2,COLUMN())),OFFSET($BN$2,0,0,ROW()-1,60),ROW()-1,FALSE))</f>
        <v>16239.834290000001</v>
      </c>
      <c r="L391">
        <f ca="1">IF(AND(ISNUMBER($L$890),$B$511=1),$L$890,HLOOKUP(INDIRECT(ADDRESS(2,COLUMN())),OFFSET($BN$2,0,0,ROW()-1,60),ROW()-1,FALSE))</f>
        <v>15917.514510000001</v>
      </c>
      <c r="M391">
        <f ca="1">IF(AND(ISNUMBER($M$890),$B$511=1),$M$890,HLOOKUP(INDIRECT(ADDRESS(2,COLUMN())),OFFSET($BN$2,0,0,ROW()-1,60),ROW()-1,FALSE))</f>
        <v>15743.11702</v>
      </c>
      <c r="N391">
        <f ca="1">IF(AND(ISNUMBER($N$890),$B$511=1),$N$890,HLOOKUP(INDIRECT(ADDRESS(2,COLUMN())),OFFSET($BN$2,0,0,ROW()-1,60),ROW()-1,FALSE))</f>
        <v>15810.331120000001</v>
      </c>
      <c r="O391">
        <f ca="1">IF(AND(ISNUMBER($O$890),$B$511=1),$O$890,HLOOKUP(INDIRECT(ADDRESS(2,COLUMN())),OFFSET($BN$2,0,0,ROW()-1,60),ROW()-1,FALSE))</f>
        <v>12692.587030000001</v>
      </c>
      <c r="P391">
        <f ca="1">IF(AND(ISNUMBER($P$890),$B$511=1),$P$890,HLOOKUP(INDIRECT(ADDRESS(2,COLUMN())),OFFSET($BN$2,0,0,ROW()-1,60),ROW()-1,FALSE))</f>
        <v>12829.53709</v>
      </c>
      <c r="Q391">
        <f ca="1">IF(AND(ISNUMBER($Q$890),$B$511=1),$Q$890,HLOOKUP(INDIRECT(ADDRESS(2,COLUMN())),OFFSET($BN$2,0,0,ROW()-1,60),ROW()-1,FALSE))</f>
        <v>10465.833780000001</v>
      </c>
      <c r="R391">
        <f ca="1">IF(AND(ISNUMBER($R$890),$B$511=1),$R$890,HLOOKUP(INDIRECT(ADDRESS(2,COLUMN())),OFFSET($BN$2,0,0,ROW()-1,60),ROW()-1,FALSE))</f>
        <v>11380.846250000001</v>
      </c>
      <c r="S391">
        <f ca="1">IF(AND(ISNUMBER($S$890),$B$511=1),$S$890,HLOOKUP(INDIRECT(ADDRESS(2,COLUMN())),OFFSET($BN$2,0,0,ROW()-1,60),ROW()-1,FALSE))</f>
        <v>15177.56265</v>
      </c>
      <c r="T391">
        <f ca="1">IF(AND(ISNUMBER($T$890),$B$511=1),$T$890,HLOOKUP(INDIRECT(ADDRESS(2,COLUMN())),OFFSET($BN$2,0,0,ROW()-1,60),ROW()-1,FALSE))</f>
        <v>13801.199710000001</v>
      </c>
      <c r="U391">
        <f ca="1">IF(AND(ISNUMBER($U$890),$B$511=1),$U$890,HLOOKUP(INDIRECT(ADDRESS(2,COLUMN())),OFFSET($BN$2,0,0,ROW()-1,60),ROW()-1,FALSE))</f>
        <v>18998.898300000001</v>
      </c>
      <c r="V391">
        <f ca="1">IF(AND(ISNUMBER($V$890),$B$511=1),$V$890,HLOOKUP(INDIRECT(ADDRESS(2,COLUMN())),OFFSET($BN$2,0,0,ROW()-1,60),ROW()-1,FALSE))</f>
        <v>24423.606619999999</v>
      </c>
      <c r="W391">
        <f ca="1">IF(AND(ISNUMBER($W$890),$B$511=1),$W$890,HLOOKUP(INDIRECT(ADDRESS(2,COLUMN())),OFFSET($BN$2,0,0,ROW()-1,60),ROW()-1,FALSE))</f>
        <v>19518.423190000001</v>
      </c>
      <c r="X391">
        <f ca="1">IF(AND(ISNUMBER($X$890),$B$511=1),$X$890,HLOOKUP(INDIRECT(ADDRESS(2,COLUMN())),OFFSET($BN$2,0,0,ROW()-1,60),ROW()-1,FALSE))</f>
        <v>13805.18384</v>
      </c>
      <c r="Y391">
        <f ca="1">IF(AND(ISNUMBER($Y$890),$B$511=1),$Y$890,HLOOKUP(INDIRECT(ADDRESS(2,COLUMN())),OFFSET($BN$2,0,0,ROW()-1,60),ROW()-1,FALSE))</f>
        <v>12081.53715</v>
      </c>
      <c r="Z391">
        <f ca="1">IF(AND(ISNUMBER($Z$890),$B$511=1),$Z$890,HLOOKUP(INDIRECT(ADDRESS(2,COLUMN())),OFFSET($BN$2,0,0,ROW()-1,60),ROW()-1,FALSE))</f>
        <v>15359.29867</v>
      </c>
      <c r="AA391">
        <f ca="1">IF(AND(ISNUMBER($AA$890),$B$511=1),$AA$890,HLOOKUP(INDIRECT(ADDRESS(2,COLUMN())),OFFSET($BN$2,0,0,ROW()-1,60),ROW()-1,FALSE))</f>
        <v>19251.530050000001</v>
      </c>
      <c r="AB391">
        <f ca="1">IF(AND(ISNUMBER($AB$890),$B$511=1),$AB$890,HLOOKUP(INDIRECT(ADDRESS(2,COLUMN())),OFFSET($BN$2,0,0,ROW()-1,60),ROW()-1,FALSE))</f>
        <v>21743.454580000001</v>
      </c>
      <c r="AC391">
        <f ca="1">IF(AND(ISNUMBER($AC$890),$B$511=1),$AC$890,HLOOKUP(INDIRECT(ADDRESS(2,COLUMN())),OFFSET($BN$2,0,0,ROW()-1,60),ROW()-1,FALSE))</f>
        <v>15672.46485</v>
      </c>
      <c r="AD391">
        <f ca="1">IF(AND(ISNUMBER($AD$890),$B$511=1),$AD$890,HLOOKUP(INDIRECT(ADDRESS(2,COLUMN())),OFFSET($BN$2,0,0,ROW()-1,60),ROW()-1,FALSE))</f>
        <v>13586.82948</v>
      </c>
      <c r="AE391">
        <f ca="1">IF(AND(ISNUMBER($AE$890),$B$511=1),$AE$890,HLOOKUP(INDIRECT(ADDRESS(2,COLUMN())),OFFSET($BN$2,0,0,ROW()-1,60),ROW()-1,FALSE))</f>
        <v>10724.418900000001</v>
      </c>
      <c r="AF391">
        <f ca="1">IF(AND(ISNUMBER($AF$890),$B$511=1),$AF$890,HLOOKUP(INDIRECT(ADDRESS(2,COLUMN())),OFFSET($BN$2,0,0,ROW()-1,60),ROW()-1,FALSE))</f>
        <v>8064.2496629999996</v>
      </c>
      <c r="AG391">
        <f ca="1">IF(AND(ISNUMBER($AG$890),$B$511=1),$AG$890,HLOOKUP(INDIRECT(ADDRESS(2,COLUMN())),OFFSET($BN$2,0,0,ROW()-1,60),ROW()-1,FALSE))</f>
        <v>7622.3918240000003</v>
      </c>
      <c r="AH391">
        <f ca="1">IF(AND(ISNUMBER($AH$890),$B$511=1),$AH$890,HLOOKUP(INDIRECT(ADDRESS(2,COLUMN())),OFFSET($BN$2,0,0,ROW()-1,60),ROW()-1,FALSE))</f>
        <v>6008.1730449999995</v>
      </c>
      <c r="AI391">
        <f ca="1">IF(AND(ISNUMBER($AI$890),$B$511=1),$AI$890,HLOOKUP(INDIRECT(ADDRESS(2,COLUMN())),OFFSET($BN$2,0,0,ROW()-1,60),ROW()-1,FALSE))</f>
        <v>4854.8512819999996</v>
      </c>
      <c r="AJ391">
        <f ca="1">IF(AND(ISNUMBER($AJ$890),$B$511=1),$AJ$890,HLOOKUP(INDIRECT(ADDRESS(2,COLUMN())),OFFSET($BN$2,0,0,ROW()-1,60),ROW()-1,FALSE))</f>
        <v>4705.8685869999999</v>
      </c>
      <c r="AK391">
        <f ca="1">IF(AND(ISNUMBER($AK$890),$B$511=1),$AK$890,HLOOKUP(INDIRECT(ADDRESS(2,COLUMN())),OFFSET($BN$2,0,0,ROW()-1,60),ROW()-1,FALSE))</f>
        <v>4880.2276140000004</v>
      </c>
      <c r="AL391">
        <f ca="1">IF(AND(ISNUMBER($AL$890),$B$511=1),$AL$890,HLOOKUP(INDIRECT(ADDRESS(2,COLUMN())),OFFSET($BN$2,0,0,ROW()-1,60),ROW()-1,FALSE))</f>
        <v>5439.503076</v>
      </c>
      <c r="AM391" t="str">
        <f ca="1">IF(AND(ISNUMBER($AM$890),$B$511=1),$AM$890,HLOOKUP(INDIRECT(ADDRESS(2,COLUMN())),OFFSET($BN$2,0,0,ROW()-1,60),ROW()-1,FALSE))</f>
        <v/>
      </c>
      <c r="AN391" t="str">
        <f ca="1">IF(AND(ISNUMBER($AN$890),$B$511=1),$AN$890,HLOOKUP(INDIRECT(ADDRESS(2,COLUMN())),OFFSET($BN$2,0,0,ROW()-1,60),ROW()-1,FALSE))</f>
        <v/>
      </c>
      <c r="AO391" t="str">
        <f ca="1">IF(AND(ISNUMBER($AO$890),$B$511=1),$AO$890,HLOOKUP(INDIRECT(ADDRESS(2,COLUMN())),OFFSET($BN$2,0,0,ROW()-1,60),ROW()-1,FALSE))</f>
        <v/>
      </c>
      <c r="AP391" t="str">
        <f ca="1">IF(AND(ISNUMBER($AP$890),$B$511=1),$AP$890,HLOOKUP(INDIRECT(ADDRESS(2,COLUMN())),OFFSET($BN$2,0,0,ROW()-1,60),ROW()-1,FALSE))</f>
        <v/>
      </c>
      <c r="AQ391" t="str">
        <f ca="1">IF(AND(ISNUMBER($AQ$890),$B$511=1),$AQ$890,HLOOKUP(INDIRECT(ADDRESS(2,COLUMN())),OFFSET($BN$2,0,0,ROW()-1,60),ROW()-1,FALSE))</f>
        <v/>
      </c>
      <c r="AR391" t="str">
        <f ca="1">IF(AND(ISNUMBER($AR$890),$B$511=1),$AR$890,HLOOKUP(INDIRECT(ADDRESS(2,COLUMN())),OFFSET($BN$2,0,0,ROW()-1,60),ROW()-1,FALSE))</f>
        <v/>
      </c>
      <c r="AS391" t="str">
        <f ca="1">IF(AND(ISNUMBER($AS$890),$B$511=1),$AS$890,HLOOKUP(INDIRECT(ADDRESS(2,COLUMN())),OFFSET($BN$2,0,0,ROW()-1,60),ROW()-1,FALSE))</f>
        <v/>
      </c>
      <c r="AT391" t="str">
        <f ca="1">IF(AND(ISNUMBER($AT$890),$B$511=1),$AT$890,HLOOKUP(INDIRECT(ADDRESS(2,COLUMN())),OFFSET($BN$2,0,0,ROW()-1,60),ROW()-1,FALSE))</f>
        <v/>
      </c>
      <c r="AU391" t="str">
        <f ca="1">IF(AND(ISNUMBER($AU$890),$B$511=1),$AU$890,HLOOKUP(INDIRECT(ADDRESS(2,COLUMN())),OFFSET($BN$2,0,0,ROW()-1,60),ROW()-1,FALSE))</f>
        <v/>
      </c>
      <c r="AV391" t="str">
        <f ca="1">IF(AND(ISNUMBER($AV$890),$B$511=1),$AV$890,HLOOKUP(INDIRECT(ADDRESS(2,COLUMN())),OFFSET($BN$2,0,0,ROW()-1,60),ROW()-1,FALSE))</f>
        <v/>
      </c>
      <c r="AW391" t="str">
        <f ca="1">IF(AND(ISNUMBER($AW$890),$B$511=1),$AW$890,HLOOKUP(INDIRECT(ADDRESS(2,COLUMN())),OFFSET($BN$2,0,0,ROW()-1,60),ROW()-1,FALSE))</f>
        <v/>
      </c>
      <c r="AX391" t="str">
        <f ca="1">IF(AND(ISNUMBER($AX$890),$B$511=1),$AX$890,HLOOKUP(INDIRECT(ADDRESS(2,COLUMN())),OFFSET($BN$2,0,0,ROW()-1,60),ROW()-1,FALSE))</f>
        <v/>
      </c>
      <c r="AY391" t="str">
        <f ca="1">IF(AND(ISNUMBER($AY$890),$B$511=1),$AY$890,HLOOKUP(INDIRECT(ADDRESS(2,COLUMN())),OFFSET($BN$2,0,0,ROW()-1,60),ROW()-1,FALSE))</f>
        <v/>
      </c>
      <c r="AZ391" t="str">
        <f ca="1">IF(AND(ISNUMBER($AZ$890),$B$511=1),$AZ$890,HLOOKUP(INDIRECT(ADDRESS(2,COLUMN())),OFFSET($BN$2,0,0,ROW()-1,60),ROW()-1,FALSE))</f>
        <v/>
      </c>
      <c r="BA391" t="str">
        <f ca="1">IF(AND(ISNUMBER($BA$890),$B$511=1),$BA$890,HLOOKUP(INDIRECT(ADDRESS(2,COLUMN())),OFFSET($BN$2,0,0,ROW()-1,60),ROW()-1,FALSE))</f>
        <v/>
      </c>
      <c r="BB391" t="str">
        <f ca="1">IF(AND(ISNUMBER($BB$890),$B$511=1),$BB$890,HLOOKUP(INDIRECT(ADDRESS(2,COLUMN())),OFFSET($BN$2,0,0,ROW()-1,60),ROW()-1,FALSE))</f>
        <v/>
      </c>
      <c r="BC391" t="str">
        <f ca="1">IF(AND(ISNUMBER($BC$890),$B$511=1),$BC$890,HLOOKUP(INDIRECT(ADDRESS(2,COLUMN())),OFFSET($BN$2,0,0,ROW()-1,60),ROW()-1,FALSE))</f>
        <v/>
      </c>
      <c r="BD391" t="str">
        <f ca="1">IF(AND(ISNUMBER($BD$890),$B$511=1),$BD$890,HLOOKUP(INDIRECT(ADDRESS(2,COLUMN())),OFFSET($BN$2,0,0,ROW()-1,60),ROW()-1,FALSE))</f>
        <v/>
      </c>
      <c r="BE391" t="str">
        <f ca="1">IF(AND(ISNUMBER($BE$890),$B$511=1),$BE$890,HLOOKUP(INDIRECT(ADDRESS(2,COLUMN())),OFFSET($BN$2,0,0,ROW()-1,60),ROW()-1,FALSE))</f>
        <v/>
      </c>
      <c r="BF391" t="str">
        <f ca="1">IF(AND(ISNUMBER($BF$890),$B$511=1),$BF$890,HLOOKUP(INDIRECT(ADDRESS(2,COLUMN())),OFFSET($BN$2,0,0,ROW()-1,60),ROW()-1,FALSE))</f>
        <v/>
      </c>
      <c r="BG391" t="str">
        <f ca="1">IF(AND(ISNUMBER($BG$890),$B$511=1),$BG$890,HLOOKUP(INDIRECT(ADDRESS(2,COLUMN())),OFFSET($BN$2,0,0,ROW()-1,60),ROW()-1,FALSE))</f>
        <v/>
      </c>
      <c r="BH391" t="str">
        <f ca="1">IF(AND(ISNUMBER($BH$890),$B$511=1),$BH$890,HLOOKUP(INDIRECT(ADDRESS(2,COLUMN())),OFFSET($BN$2,0,0,ROW()-1,60),ROW()-1,FALSE))</f>
        <v/>
      </c>
      <c r="BI391" t="str">
        <f ca="1">IF(AND(ISNUMBER($BI$890),$B$511=1),$BI$890,HLOOKUP(INDIRECT(ADDRESS(2,COLUMN())),OFFSET($BN$2,0,0,ROW()-1,60),ROW()-1,FALSE))</f>
        <v/>
      </c>
      <c r="BJ391" t="str">
        <f ca="1">IF(AND(ISNUMBER($BJ$890),$B$511=1),$BJ$890,HLOOKUP(INDIRECT(ADDRESS(2,COLUMN())),OFFSET($BN$2,0,0,ROW()-1,60),ROW()-1,FALSE))</f>
        <v/>
      </c>
      <c r="BK391" t="str">
        <f ca="1">IF(AND(ISNUMBER($BK$890),$B$511=1),$BK$890,HLOOKUP(INDIRECT(ADDRESS(2,COLUMN())),OFFSET($BN$2,0,0,ROW()-1,60),ROW()-1,FALSE))</f>
        <v/>
      </c>
      <c r="BL391" t="str">
        <f ca="1">IF(AND(ISNUMBER($BL$890),$B$511=1),$BL$890,HLOOKUP(INDIRECT(ADDRESS(2,COLUMN())),OFFSET($BN$2,0,0,ROW()-1,60),ROW()-1,FALSE))</f>
        <v/>
      </c>
      <c r="BM391" t="str">
        <f ca="1">IF(AND(ISNUMBER($BM$890),$B$511=1),$BM$890,HLOOKUP(INDIRECT(ADDRESS(2,COLUMN())),OFFSET($BN$2,0,0,ROW()-1,60),ROW()-1,FALSE))</f>
        <v/>
      </c>
      <c r="BN391">
        <f>10168.64262</f>
        <v>10168.642620000001</v>
      </c>
      <c r="BO391">
        <f>6899.016486</f>
        <v>6899.0164860000004</v>
      </c>
      <c r="BP391">
        <f>9098.411474</f>
        <v>9098.4114740000005</v>
      </c>
      <c r="BQ391">
        <f>12241.18436</f>
        <v>12241.184359999999</v>
      </c>
      <c r="BR391">
        <f>17041.17438</f>
        <v>17041.17438</v>
      </c>
      <c r="BS391">
        <f>16239.83429</f>
        <v>16239.834290000001</v>
      </c>
      <c r="BT391">
        <f>15917.51451</f>
        <v>15917.514510000001</v>
      </c>
      <c r="BU391">
        <f>15743.11702</f>
        <v>15743.11702</v>
      </c>
      <c r="BV391">
        <f>15810.33112</f>
        <v>15810.331120000001</v>
      </c>
      <c r="BW391">
        <f>12692.58703</f>
        <v>12692.587030000001</v>
      </c>
      <c r="BX391">
        <f>12829.53709</f>
        <v>12829.53709</v>
      </c>
      <c r="BY391">
        <f>10465.83378</f>
        <v>10465.833780000001</v>
      </c>
      <c r="BZ391">
        <f>11380.84625</f>
        <v>11380.846250000001</v>
      </c>
      <c r="CA391">
        <f>15177.56265</f>
        <v>15177.56265</v>
      </c>
      <c r="CB391">
        <f>13801.19971</f>
        <v>13801.199710000001</v>
      </c>
      <c r="CC391">
        <f>18998.8983</f>
        <v>18998.898300000001</v>
      </c>
      <c r="CD391">
        <f>24423.60662</f>
        <v>24423.606619999999</v>
      </c>
      <c r="CE391">
        <f>19518.42319</f>
        <v>19518.423190000001</v>
      </c>
      <c r="CF391">
        <f>13805.18384</f>
        <v>13805.18384</v>
      </c>
      <c r="CG391">
        <f>12081.53715</f>
        <v>12081.53715</v>
      </c>
      <c r="CH391">
        <f>15359.29867</f>
        <v>15359.29867</v>
      </c>
      <c r="CI391">
        <f>19251.53005</f>
        <v>19251.530050000001</v>
      </c>
      <c r="CJ391">
        <f>21743.45458</f>
        <v>21743.454580000001</v>
      </c>
      <c r="CK391">
        <f>15672.46485</f>
        <v>15672.46485</v>
      </c>
      <c r="CL391">
        <f>13586.82948</f>
        <v>13586.82948</v>
      </c>
      <c r="CM391">
        <f>10724.4189</f>
        <v>10724.418900000001</v>
      </c>
      <c r="CN391">
        <f>8064.249663</f>
        <v>8064.2496629999996</v>
      </c>
      <c r="CO391">
        <f>7622.391824</f>
        <v>7622.3918240000003</v>
      </c>
      <c r="CP391">
        <f>6008.173045</f>
        <v>6008.1730449999995</v>
      </c>
      <c r="CQ391">
        <f>4854.851282</f>
        <v>4854.8512819999996</v>
      </c>
      <c r="CR391">
        <f>4705.868587</f>
        <v>4705.8685869999999</v>
      </c>
      <c r="CS391">
        <f>4880.227614</f>
        <v>4880.2276140000004</v>
      </c>
      <c r="CT391">
        <f>5439.503076</f>
        <v>5439.503076</v>
      </c>
      <c r="CU391" t="str">
        <f>""</f>
        <v/>
      </c>
      <c r="CV391" t="str">
        <f>""</f>
        <v/>
      </c>
      <c r="CW391" t="str">
        <f>""</f>
        <v/>
      </c>
      <c r="CX391" t="str">
        <f>""</f>
        <v/>
      </c>
      <c r="CY391" t="str">
        <f>""</f>
        <v/>
      </c>
      <c r="CZ391" t="str">
        <f>""</f>
        <v/>
      </c>
      <c r="DA391" t="str">
        <f>""</f>
        <v/>
      </c>
      <c r="DB391" t="str">
        <f>""</f>
        <v/>
      </c>
      <c r="DC391" t="str">
        <f>""</f>
        <v/>
      </c>
      <c r="DD391" t="str">
        <f>""</f>
        <v/>
      </c>
      <c r="DE391" t="str">
        <f>""</f>
        <v/>
      </c>
      <c r="DF391" t="str">
        <f>""</f>
        <v/>
      </c>
      <c r="DG391" t="str">
        <f>""</f>
        <v/>
      </c>
      <c r="DH391" t="str">
        <f>""</f>
        <v/>
      </c>
      <c r="DI391" t="str">
        <f>""</f>
        <v/>
      </c>
      <c r="DJ391" t="str">
        <f>""</f>
        <v/>
      </c>
      <c r="DK391" t="str">
        <f>""</f>
        <v/>
      </c>
      <c r="DL391" t="str">
        <f>""</f>
        <v/>
      </c>
      <c r="DM391" t="str">
        <f>""</f>
        <v/>
      </c>
      <c r="DN391" t="str">
        <f>""</f>
        <v/>
      </c>
      <c r="DO391" t="str">
        <f>""</f>
        <v/>
      </c>
      <c r="DP391" t="str">
        <f>""</f>
        <v/>
      </c>
      <c r="DQ391" t="str">
        <f>""</f>
        <v/>
      </c>
      <c r="DR391" t="str">
        <f>""</f>
        <v/>
      </c>
      <c r="DS391" t="str">
        <f>""</f>
        <v/>
      </c>
      <c r="DT391" t="str">
        <f>""</f>
        <v/>
      </c>
      <c r="DU391" t="str">
        <f>""</f>
        <v/>
      </c>
    </row>
    <row r="392" spans="1:125" x14ac:dyDescent="0.25">
      <c r="A392" t="str">
        <f>"    Guangzhou Automobile Group Co Ltd"</f>
        <v xml:space="preserve">    Guangzhou Automobile Group Co Ltd</v>
      </c>
      <c r="B392" t="str">
        <f>"2238 HK Equity"</f>
        <v>2238 HK Equity</v>
      </c>
      <c r="C392" t="str">
        <f t="shared" si="27"/>
        <v>RR937</v>
      </c>
      <c r="D392" t="str">
        <f t="shared" si="28"/>
        <v>CRNCY_ADJ_CURR_EV</v>
      </c>
      <c r="E392" t="str">
        <f t="shared" si="29"/>
        <v>Dynamic</v>
      </c>
      <c r="F392">
        <f ca="1">IF(AND(ISNUMBER($F$891),$B$511=1),$F$891,HLOOKUP(INDIRECT(ADDRESS(2,COLUMN())),OFFSET($BN$2,0,0,ROW()-1,60),ROW()-1,FALSE))</f>
        <v>13547.67642</v>
      </c>
      <c r="G392">
        <f ca="1">IF(AND(ISNUMBER($G$891),$B$511=1),$G$891,HLOOKUP(INDIRECT(ADDRESS(2,COLUMN())),OFFSET($BN$2,0,0,ROW()-1,60),ROW()-1,FALSE))</f>
        <v>10452.403619999999</v>
      </c>
      <c r="H392">
        <f ca="1">IF(AND(ISNUMBER($H$891),$B$511=1),$H$891,HLOOKUP(INDIRECT(ADDRESS(2,COLUMN())),OFFSET($BN$2,0,0,ROW()-1,60),ROW()-1,FALSE))</f>
        <v>11570.13942</v>
      </c>
      <c r="I392">
        <f ca="1">IF(AND(ISNUMBER($I$891),$B$511=1),$I$891,HLOOKUP(INDIRECT(ADDRESS(2,COLUMN())),OFFSET($BN$2,0,0,ROW()-1,60),ROW()-1,FALSE))</f>
        <v>11657.54912</v>
      </c>
      <c r="J392">
        <f ca="1">IF(AND(ISNUMBER($J$891),$B$511=1),$J$891,HLOOKUP(INDIRECT(ADDRESS(2,COLUMN())),OFFSET($BN$2,0,0,ROW()-1,60),ROW()-1,FALSE))</f>
        <v>16969.413659999998</v>
      </c>
      <c r="K392">
        <f ca="1">IF(AND(ISNUMBER($K$891),$B$511=1),$K$891,HLOOKUP(INDIRECT(ADDRESS(2,COLUMN())),OFFSET($BN$2,0,0,ROW()-1,60),ROW()-1,FALSE))</f>
        <v>20193.914130000001</v>
      </c>
      <c r="L392">
        <f ca="1">IF(AND(ISNUMBER($L$891),$B$511=1),$L$891,HLOOKUP(INDIRECT(ADDRESS(2,COLUMN())),OFFSET($BN$2,0,0,ROW()-1,60),ROW()-1,FALSE))</f>
        <v>20720.24871</v>
      </c>
      <c r="M392">
        <f ca="1">IF(AND(ISNUMBER($M$891),$B$511=1),$M$891,HLOOKUP(INDIRECT(ADDRESS(2,COLUMN())),OFFSET($BN$2,0,0,ROW()-1,60),ROW()-1,FALSE))</f>
        <v>18897.51425</v>
      </c>
      <c r="N392">
        <f ca="1">IF(AND(ISNUMBER($N$891),$B$511=1),$N$891,HLOOKUP(INDIRECT(ADDRESS(2,COLUMN())),OFFSET($BN$2,0,0,ROW()-1,60),ROW()-1,FALSE))</f>
        <v>19046.526860000002</v>
      </c>
      <c r="O392">
        <f ca="1">IF(AND(ISNUMBER($O$891),$B$511=1),$O$891,HLOOKUP(INDIRECT(ADDRESS(2,COLUMN())),OFFSET($BN$2,0,0,ROW()-1,60),ROW()-1,FALSE))</f>
        <v>15930.84036</v>
      </c>
      <c r="P392">
        <f ca="1">IF(AND(ISNUMBER($P$891),$B$511=1),$P$891,HLOOKUP(INDIRECT(ADDRESS(2,COLUMN())),OFFSET($BN$2,0,0,ROW()-1,60),ROW()-1,FALSE))</f>
        <v>16926.334579999999</v>
      </c>
      <c r="Q392">
        <f ca="1">IF(AND(ISNUMBER($Q$891),$B$511=1),$Q$891,HLOOKUP(INDIRECT(ADDRESS(2,COLUMN())),OFFSET($BN$2,0,0,ROW()-1,60),ROW()-1,FALSE))</f>
        <v>16605.728050000002</v>
      </c>
      <c r="R392">
        <f ca="1">IF(AND(ISNUMBER($R$891),$B$511=1),$R$891,HLOOKUP(INDIRECT(ADDRESS(2,COLUMN())),OFFSET($BN$2,0,0,ROW()-1,60),ROW()-1,FALSE))</f>
        <v>15426.371139999999</v>
      </c>
      <c r="S392">
        <f ca="1">IF(AND(ISNUMBER($S$891),$B$511=1),$S$891,HLOOKUP(INDIRECT(ADDRESS(2,COLUMN())),OFFSET($BN$2,0,0,ROW()-1,60),ROW()-1,FALSE))</f>
        <v>16216.034830000001</v>
      </c>
      <c r="T392">
        <f ca="1">IF(AND(ISNUMBER($T$891),$B$511=1),$T$891,HLOOKUP(INDIRECT(ADDRESS(2,COLUMN())),OFFSET($BN$2,0,0,ROW()-1,60),ROW()-1,FALSE))</f>
        <v>13188.335080000001</v>
      </c>
      <c r="U392">
        <f ca="1">IF(AND(ISNUMBER($U$891),$B$511=1),$U$891,HLOOKUP(INDIRECT(ADDRESS(2,COLUMN())),OFFSET($BN$2,0,0,ROW()-1,60),ROW()-1,FALSE))</f>
        <v>12064.723190000001</v>
      </c>
      <c r="V392">
        <f ca="1">IF(AND(ISNUMBER($V$891),$B$511=1),$V$891,HLOOKUP(INDIRECT(ADDRESS(2,COLUMN())),OFFSET($BN$2,0,0,ROW()-1,60),ROW()-1,FALSE))</f>
        <v>8147.8162819999998</v>
      </c>
      <c r="W392">
        <f ca="1">IF(AND(ISNUMBER($W$891),$B$511=1),$W$891,HLOOKUP(INDIRECT(ADDRESS(2,COLUMN())),OFFSET($BN$2,0,0,ROW()-1,60),ROW()-1,FALSE))</f>
        <v>7591.8403310000003</v>
      </c>
      <c r="X392">
        <f ca="1">IF(AND(ISNUMBER($X$891),$B$511=1),$X$891,HLOOKUP(INDIRECT(ADDRESS(2,COLUMN())),OFFSET($BN$2,0,0,ROW()-1,60),ROW()-1,FALSE))</f>
        <v>7573.5648890000002</v>
      </c>
      <c r="Y392">
        <f ca="1">IF(AND(ISNUMBER($Y$891),$B$511=1),$Y$891,HLOOKUP(INDIRECT(ADDRESS(2,COLUMN())),OFFSET($BN$2,0,0,ROW()-1,60),ROW()-1,FALSE))</f>
        <v>7054.5044989999997</v>
      </c>
      <c r="Z392">
        <f ca="1">IF(AND(ISNUMBER($Z$891),$B$511=1),$Z$891,HLOOKUP(INDIRECT(ADDRESS(2,COLUMN())),OFFSET($BN$2,0,0,ROW()-1,60),ROW()-1,FALSE))</f>
        <v>6687.827252</v>
      </c>
      <c r="AA392">
        <f ca="1">IF(AND(ISNUMBER($AA$891),$B$511=1),$AA$891,HLOOKUP(INDIRECT(ADDRESS(2,COLUMN())),OFFSET($BN$2,0,0,ROW()-1,60),ROW()-1,FALSE))</f>
        <v>7649.1991379999999</v>
      </c>
      <c r="AB392">
        <f ca="1">IF(AND(ISNUMBER($AB$891),$B$511=1),$AB$891,HLOOKUP(INDIRECT(ADDRESS(2,COLUMN())),OFFSET($BN$2,0,0,ROW()-1,60),ROW()-1,FALSE))</f>
        <v>7349.5350410000001</v>
      </c>
      <c r="AC392">
        <f ca="1">IF(AND(ISNUMBER($AC$891),$B$511=1),$AC$891,HLOOKUP(INDIRECT(ADDRESS(2,COLUMN())),OFFSET($BN$2,0,0,ROW()-1,60),ROW()-1,FALSE))</f>
        <v>6381.1100020000003</v>
      </c>
      <c r="AD392">
        <f ca="1">IF(AND(ISNUMBER($AD$891),$B$511=1),$AD$891,HLOOKUP(INDIRECT(ADDRESS(2,COLUMN())),OFFSET($BN$2,0,0,ROW()-1,60),ROW()-1,FALSE))</f>
        <v>5279.698249</v>
      </c>
      <c r="AE392">
        <f ca="1">IF(AND(ISNUMBER($AE$891),$B$511=1),$AE$891,HLOOKUP(INDIRECT(ADDRESS(2,COLUMN())),OFFSET($BN$2,0,0,ROW()-1,60),ROW()-1,FALSE))</f>
        <v>5684.3628079999999</v>
      </c>
      <c r="AF392">
        <f ca="1">IF(AND(ISNUMBER($AF$891),$B$511=1),$AF$891,HLOOKUP(INDIRECT(ADDRESS(2,COLUMN())),OFFSET($BN$2,0,0,ROW()-1,60),ROW()-1,FALSE))</f>
        <v>4511.4069449999997</v>
      </c>
      <c r="AG392">
        <f ca="1">IF(AND(ISNUMBER($AG$891),$B$511=1),$AG$891,HLOOKUP(INDIRECT(ADDRESS(2,COLUMN())),OFFSET($BN$2,0,0,ROW()-1,60),ROW()-1,FALSE))</f>
        <v>6317.0456139999997</v>
      </c>
      <c r="AH392">
        <f ca="1">IF(AND(ISNUMBER($AH$891),$B$511=1),$AH$891,HLOOKUP(INDIRECT(ADDRESS(2,COLUMN())),OFFSET($BN$2,0,0,ROW()-1,60),ROW()-1,FALSE))</f>
        <v>7643.2720799999997</v>
      </c>
      <c r="AI392">
        <f ca="1">IF(AND(ISNUMBER($AI$891),$B$511=1),$AI$891,HLOOKUP(INDIRECT(ADDRESS(2,COLUMN())),OFFSET($BN$2,0,0,ROW()-1,60),ROW()-1,FALSE))</f>
        <v>4279.6980940000003</v>
      </c>
      <c r="AJ392">
        <f ca="1">IF(AND(ISNUMBER($AJ$891),$B$511=1),$AJ$891,HLOOKUP(INDIRECT(ADDRESS(2,COLUMN())),OFFSET($BN$2,0,0,ROW()-1,60),ROW()-1,FALSE))</f>
        <v>5286.4794359999996</v>
      </c>
      <c r="AK392">
        <f ca="1">IF(AND(ISNUMBER($AK$891),$B$511=1),$AK$891,HLOOKUP(INDIRECT(ADDRESS(2,COLUMN())),OFFSET($BN$2,0,0,ROW()-1,60),ROW()-1,FALSE))</f>
        <v>6652.2032360000003</v>
      </c>
      <c r="AL392">
        <f ca="1">IF(AND(ISNUMBER($AL$891),$B$511=1),$AL$891,HLOOKUP(INDIRECT(ADDRESS(2,COLUMN())),OFFSET($BN$2,0,0,ROW()-1,60),ROW()-1,FALSE))</f>
        <v>6765.2274360000001</v>
      </c>
      <c r="AM392">
        <f ca="1">IF(AND(ISNUMBER($AM$891),$B$511=1),$AM$891,HLOOKUP(INDIRECT(ADDRESS(2,COLUMN())),OFFSET($BN$2,0,0,ROW()-1,60),ROW()-1,FALSE))</f>
        <v>7657.0878050000001</v>
      </c>
      <c r="AN392">
        <f ca="1">IF(AND(ISNUMBER($AN$891),$B$511=1),$AN$891,HLOOKUP(INDIRECT(ADDRESS(2,COLUMN())),OFFSET($BN$2,0,0,ROW()-1,60),ROW()-1,FALSE))</f>
        <v>9726.1730979999993</v>
      </c>
      <c r="AO392" t="str">
        <f ca="1">IF(AND(ISNUMBER($AO$891),$B$511=1),$AO$891,HLOOKUP(INDIRECT(ADDRESS(2,COLUMN())),OFFSET($BN$2,0,0,ROW()-1,60),ROW()-1,FALSE))</f>
        <v/>
      </c>
      <c r="AP392" t="str">
        <f ca="1">IF(AND(ISNUMBER($AP$891),$B$511=1),$AP$891,HLOOKUP(INDIRECT(ADDRESS(2,COLUMN())),OFFSET($BN$2,0,0,ROW()-1,60),ROW()-1,FALSE))</f>
        <v/>
      </c>
      <c r="AQ392" t="str">
        <f ca="1">IF(AND(ISNUMBER($AQ$891),$B$511=1),$AQ$891,HLOOKUP(INDIRECT(ADDRESS(2,COLUMN())),OFFSET($BN$2,0,0,ROW()-1,60),ROW()-1,FALSE))</f>
        <v/>
      </c>
      <c r="AR392" t="str">
        <f ca="1">IF(AND(ISNUMBER($AR$891),$B$511=1),$AR$891,HLOOKUP(INDIRECT(ADDRESS(2,COLUMN())),OFFSET($BN$2,0,0,ROW()-1,60),ROW()-1,FALSE))</f>
        <v/>
      </c>
      <c r="AS392" t="str">
        <f ca="1">IF(AND(ISNUMBER($AS$891),$B$511=1),$AS$891,HLOOKUP(INDIRECT(ADDRESS(2,COLUMN())),OFFSET($BN$2,0,0,ROW()-1,60),ROW()-1,FALSE))</f>
        <v/>
      </c>
      <c r="AT392" t="str">
        <f ca="1">IF(AND(ISNUMBER($AT$891),$B$511=1),$AT$891,HLOOKUP(INDIRECT(ADDRESS(2,COLUMN())),OFFSET($BN$2,0,0,ROW()-1,60),ROW()-1,FALSE))</f>
        <v/>
      </c>
      <c r="AU392" t="str">
        <f ca="1">IF(AND(ISNUMBER($AU$891),$B$511=1),$AU$891,HLOOKUP(INDIRECT(ADDRESS(2,COLUMN())),OFFSET($BN$2,0,0,ROW()-1,60),ROW()-1,FALSE))</f>
        <v/>
      </c>
      <c r="AV392" t="str">
        <f ca="1">IF(AND(ISNUMBER($AV$891),$B$511=1),$AV$891,HLOOKUP(INDIRECT(ADDRESS(2,COLUMN())),OFFSET($BN$2,0,0,ROW()-1,60),ROW()-1,FALSE))</f>
        <v/>
      </c>
      <c r="AW392" t="str">
        <f ca="1">IF(AND(ISNUMBER($AW$891),$B$511=1),$AW$891,HLOOKUP(INDIRECT(ADDRESS(2,COLUMN())),OFFSET($BN$2,0,0,ROW()-1,60),ROW()-1,FALSE))</f>
        <v/>
      </c>
      <c r="AX392" t="str">
        <f ca="1">IF(AND(ISNUMBER($AX$891),$B$511=1),$AX$891,HLOOKUP(INDIRECT(ADDRESS(2,COLUMN())),OFFSET($BN$2,0,0,ROW()-1,60),ROW()-1,FALSE))</f>
        <v/>
      </c>
      <c r="AY392" t="str">
        <f ca="1">IF(AND(ISNUMBER($AY$891),$B$511=1),$AY$891,HLOOKUP(INDIRECT(ADDRESS(2,COLUMN())),OFFSET($BN$2,0,0,ROW()-1,60),ROW()-1,FALSE))</f>
        <v/>
      </c>
      <c r="AZ392" t="str">
        <f ca="1">IF(AND(ISNUMBER($AZ$891),$B$511=1),$AZ$891,HLOOKUP(INDIRECT(ADDRESS(2,COLUMN())),OFFSET($BN$2,0,0,ROW()-1,60),ROW()-1,FALSE))</f>
        <v/>
      </c>
      <c r="BA392" t="str">
        <f ca="1">IF(AND(ISNUMBER($BA$891),$B$511=1),$BA$891,HLOOKUP(INDIRECT(ADDRESS(2,COLUMN())),OFFSET($BN$2,0,0,ROW()-1,60),ROW()-1,FALSE))</f>
        <v/>
      </c>
      <c r="BB392" t="str">
        <f ca="1">IF(AND(ISNUMBER($BB$891),$B$511=1),$BB$891,HLOOKUP(INDIRECT(ADDRESS(2,COLUMN())),OFFSET($BN$2,0,0,ROW()-1,60),ROW()-1,FALSE))</f>
        <v/>
      </c>
      <c r="BC392" t="str">
        <f ca="1">IF(AND(ISNUMBER($BC$891),$B$511=1),$BC$891,HLOOKUP(INDIRECT(ADDRESS(2,COLUMN())),OFFSET($BN$2,0,0,ROW()-1,60),ROW()-1,FALSE))</f>
        <v/>
      </c>
      <c r="BD392" t="str">
        <f ca="1">IF(AND(ISNUMBER($BD$891),$B$511=1),$BD$891,HLOOKUP(INDIRECT(ADDRESS(2,COLUMN())),OFFSET($BN$2,0,0,ROW()-1,60),ROW()-1,FALSE))</f>
        <v/>
      </c>
      <c r="BE392" t="str">
        <f ca="1">IF(AND(ISNUMBER($BE$891),$B$511=1),$BE$891,HLOOKUP(INDIRECT(ADDRESS(2,COLUMN())),OFFSET($BN$2,0,0,ROW()-1,60),ROW()-1,FALSE))</f>
        <v/>
      </c>
      <c r="BF392" t="str">
        <f ca="1">IF(AND(ISNUMBER($BF$891),$B$511=1),$BF$891,HLOOKUP(INDIRECT(ADDRESS(2,COLUMN())),OFFSET($BN$2,0,0,ROW()-1,60),ROW()-1,FALSE))</f>
        <v/>
      </c>
      <c r="BG392" t="str">
        <f ca="1">IF(AND(ISNUMBER($BG$891),$B$511=1),$BG$891,HLOOKUP(INDIRECT(ADDRESS(2,COLUMN())),OFFSET($BN$2,0,0,ROW()-1,60),ROW()-1,FALSE))</f>
        <v/>
      </c>
      <c r="BH392" t="str">
        <f ca="1">IF(AND(ISNUMBER($BH$891),$B$511=1),$BH$891,HLOOKUP(INDIRECT(ADDRESS(2,COLUMN())),OFFSET($BN$2,0,0,ROW()-1,60),ROW()-1,FALSE))</f>
        <v/>
      </c>
      <c r="BI392" t="str">
        <f ca="1">IF(AND(ISNUMBER($BI$891),$B$511=1),$BI$891,HLOOKUP(INDIRECT(ADDRESS(2,COLUMN())),OFFSET($BN$2,0,0,ROW()-1,60),ROW()-1,FALSE))</f>
        <v/>
      </c>
      <c r="BJ392" t="str">
        <f ca="1">IF(AND(ISNUMBER($BJ$891),$B$511=1),$BJ$891,HLOOKUP(INDIRECT(ADDRESS(2,COLUMN())),OFFSET($BN$2,0,0,ROW()-1,60),ROW()-1,FALSE))</f>
        <v/>
      </c>
      <c r="BK392" t="str">
        <f ca="1">IF(AND(ISNUMBER($BK$891),$B$511=1),$BK$891,HLOOKUP(INDIRECT(ADDRESS(2,COLUMN())),OFFSET($BN$2,0,0,ROW()-1,60),ROW()-1,FALSE))</f>
        <v/>
      </c>
      <c r="BL392" t="str">
        <f ca="1">IF(AND(ISNUMBER($BL$891),$B$511=1),$BL$891,HLOOKUP(INDIRECT(ADDRESS(2,COLUMN())),OFFSET($BN$2,0,0,ROW()-1,60),ROW()-1,FALSE))</f>
        <v/>
      </c>
      <c r="BM392" t="str">
        <f ca="1">IF(AND(ISNUMBER($BM$891),$B$511=1),$BM$891,HLOOKUP(INDIRECT(ADDRESS(2,COLUMN())),OFFSET($BN$2,0,0,ROW()-1,60),ROW()-1,FALSE))</f>
        <v/>
      </c>
      <c r="BN392">
        <f>13547.67642</f>
        <v>13547.67642</v>
      </c>
      <c r="BO392">
        <f>10452.40362</f>
        <v>10452.403619999999</v>
      </c>
      <c r="BP392">
        <f>11570.13942</f>
        <v>11570.13942</v>
      </c>
      <c r="BQ392">
        <f>11657.54912</f>
        <v>11657.54912</v>
      </c>
      <c r="BR392">
        <f>16969.41366</f>
        <v>16969.413659999998</v>
      </c>
      <c r="BS392">
        <f>20193.91413</f>
        <v>20193.914130000001</v>
      </c>
      <c r="BT392">
        <f>20720.24871</f>
        <v>20720.24871</v>
      </c>
      <c r="BU392">
        <f>18897.51425</f>
        <v>18897.51425</v>
      </c>
      <c r="BV392">
        <f>19046.52686</f>
        <v>19046.526860000002</v>
      </c>
      <c r="BW392">
        <f>15930.84036</f>
        <v>15930.84036</v>
      </c>
      <c r="BX392">
        <f>16926.33458</f>
        <v>16926.334579999999</v>
      </c>
      <c r="BY392">
        <f>16605.72805</f>
        <v>16605.728050000002</v>
      </c>
      <c r="BZ392">
        <f>15426.37114</f>
        <v>15426.371139999999</v>
      </c>
      <c r="CA392">
        <f>16216.03483</f>
        <v>16216.034830000001</v>
      </c>
      <c r="CB392">
        <f>13188.33508</f>
        <v>13188.335080000001</v>
      </c>
      <c r="CC392">
        <f>12064.72319</f>
        <v>12064.723190000001</v>
      </c>
      <c r="CD392">
        <f>8147.816282</f>
        <v>8147.8162819999998</v>
      </c>
      <c r="CE392">
        <f>7591.840331</f>
        <v>7591.8403310000003</v>
      </c>
      <c r="CF392">
        <f>7573.564889</f>
        <v>7573.5648890000002</v>
      </c>
      <c r="CG392">
        <f>7054.504499</f>
        <v>7054.5044989999997</v>
      </c>
      <c r="CH392">
        <f>6687.827252</f>
        <v>6687.827252</v>
      </c>
      <c r="CI392">
        <f>7649.199138</f>
        <v>7649.1991379999999</v>
      </c>
      <c r="CJ392">
        <f>7349.535041</f>
        <v>7349.5350410000001</v>
      </c>
      <c r="CK392">
        <f>6381.110002</f>
        <v>6381.1100020000003</v>
      </c>
      <c r="CL392">
        <f>5279.698249</f>
        <v>5279.698249</v>
      </c>
      <c r="CM392">
        <f>5684.362808</f>
        <v>5684.3628079999999</v>
      </c>
      <c r="CN392">
        <f>4511.406945</f>
        <v>4511.4069449999997</v>
      </c>
      <c r="CO392">
        <f>6317.045614</f>
        <v>6317.0456139999997</v>
      </c>
      <c r="CP392">
        <f>7643.27208</f>
        <v>7643.2720799999997</v>
      </c>
      <c r="CQ392">
        <f>4279.698094</f>
        <v>4279.6980940000003</v>
      </c>
      <c r="CR392">
        <f>5286.479436</f>
        <v>5286.4794359999996</v>
      </c>
      <c r="CS392">
        <f>6652.203236</f>
        <v>6652.2032360000003</v>
      </c>
      <c r="CT392">
        <f>6765.227436</f>
        <v>6765.2274360000001</v>
      </c>
      <c r="CU392">
        <f>7657.087805</f>
        <v>7657.0878050000001</v>
      </c>
      <c r="CV392">
        <f>9726.17309799999</f>
        <v>9726.1730979999993</v>
      </c>
      <c r="CW392" t="str">
        <f>""</f>
        <v/>
      </c>
      <c r="CX392" t="str">
        <f>""</f>
        <v/>
      </c>
      <c r="CY392" t="str">
        <f>""</f>
        <v/>
      </c>
      <c r="CZ392" t="str">
        <f>""</f>
        <v/>
      </c>
      <c r="DA392" t="str">
        <f>""</f>
        <v/>
      </c>
      <c r="DB392" t="str">
        <f>""</f>
        <v/>
      </c>
      <c r="DC392" t="str">
        <f>""</f>
        <v/>
      </c>
      <c r="DD392" t="str">
        <f>""</f>
        <v/>
      </c>
      <c r="DE392" t="str">
        <f>""</f>
        <v/>
      </c>
      <c r="DF392" t="str">
        <f>""</f>
        <v/>
      </c>
      <c r="DG392" t="str">
        <f>""</f>
        <v/>
      </c>
      <c r="DH392" t="str">
        <f>""</f>
        <v/>
      </c>
      <c r="DI392" t="str">
        <f>""</f>
        <v/>
      </c>
      <c r="DJ392" t="str">
        <f>""</f>
        <v/>
      </c>
      <c r="DK392" t="str">
        <f>""</f>
        <v/>
      </c>
      <c r="DL392" t="str">
        <f>""</f>
        <v/>
      </c>
      <c r="DM392" t="str">
        <f>""</f>
        <v/>
      </c>
      <c r="DN392" t="str">
        <f>""</f>
        <v/>
      </c>
      <c r="DO392" t="str">
        <f>""</f>
        <v/>
      </c>
      <c r="DP392" t="str">
        <f>""</f>
        <v/>
      </c>
      <c r="DQ392" t="str">
        <f>""</f>
        <v/>
      </c>
      <c r="DR392" t="str">
        <f>""</f>
        <v/>
      </c>
      <c r="DS392" t="str">
        <f>""</f>
        <v/>
      </c>
      <c r="DT392" t="str">
        <f>""</f>
        <v/>
      </c>
      <c r="DU392" t="str">
        <f>""</f>
        <v/>
      </c>
    </row>
    <row r="393" spans="1:125" x14ac:dyDescent="0.25">
      <c r="A393" t="str">
        <f>"    Honda Motor Co Ltd"</f>
        <v xml:space="preserve">    Honda Motor Co Ltd</v>
      </c>
      <c r="B393" t="str">
        <f>"7267 JP Equity"</f>
        <v>7267 JP Equity</v>
      </c>
      <c r="C393" t="str">
        <f t="shared" si="27"/>
        <v>RR937</v>
      </c>
      <c r="D393" t="str">
        <f t="shared" si="28"/>
        <v>CRNCY_ADJ_CURR_EV</v>
      </c>
      <c r="E393" t="str">
        <f t="shared" si="29"/>
        <v>Dynamic</v>
      </c>
      <c r="F393">
        <f ca="1">IF(AND(ISNUMBER($F$892),$B$511=1),$F$892,HLOOKUP(INDIRECT(ADDRESS(2,COLUMN())),OFFSET($BN$2,0,0,ROW()-1,60),ROW()-1,FALSE))</f>
        <v>98466.213090000005</v>
      </c>
      <c r="G393">
        <f ca="1">IF(AND(ISNUMBER($G$892),$B$511=1),$G$892,HLOOKUP(INDIRECT(ADDRESS(2,COLUMN())),OFFSET($BN$2,0,0,ROW()-1,60),ROW()-1,FALSE))</f>
        <v>94836.152440000005</v>
      </c>
      <c r="H393">
        <f ca="1">IF(AND(ISNUMBER($H$892),$B$511=1),$H$892,HLOOKUP(INDIRECT(ADDRESS(2,COLUMN())),OFFSET($BN$2,0,0,ROW()-1,60),ROW()-1,FALSE))</f>
        <v>101758.5848</v>
      </c>
      <c r="I393">
        <f ca="1">IF(AND(ISNUMBER($I$892),$B$511=1),$I$892,HLOOKUP(INDIRECT(ADDRESS(2,COLUMN())),OFFSET($BN$2,0,0,ROW()-1,60),ROW()-1,FALSE))</f>
        <v>99377.312539999999</v>
      </c>
      <c r="J393">
        <f ca="1">IF(AND(ISNUMBER($J$892),$B$511=1),$J$892,HLOOKUP(INDIRECT(ADDRESS(2,COLUMN())),OFFSET($BN$2,0,0,ROW()-1,60),ROW()-1,FALSE))</f>
        <v>108694.5025</v>
      </c>
      <c r="K393">
        <f ca="1">IF(AND(ISNUMBER($K$892),$B$511=1),$K$892,HLOOKUP(INDIRECT(ADDRESS(2,COLUMN())),OFFSET($BN$2,0,0,ROW()-1,60),ROW()-1,FALSE))</f>
        <v>108527.2037</v>
      </c>
      <c r="L393">
        <f ca="1">IF(AND(ISNUMBER($L$892),$B$511=1),$L$892,HLOOKUP(INDIRECT(ADDRESS(2,COLUMN())),OFFSET($BN$2,0,0,ROW()-1,60),ROW()-1,FALSE))</f>
        <v>98474.50301</v>
      </c>
      <c r="M393">
        <f ca="1">IF(AND(ISNUMBER($M$892),$B$511=1),$M$892,HLOOKUP(INDIRECT(ADDRESS(2,COLUMN())),OFFSET($BN$2,0,0,ROW()-1,60),ROW()-1,FALSE))</f>
        <v>94695.156409999996</v>
      </c>
      <c r="N393">
        <f ca="1">IF(AND(ISNUMBER($N$892),$B$511=1),$N$892,HLOOKUP(INDIRECT(ADDRESS(2,COLUMN())),OFFSET($BN$2,0,0,ROW()-1,60),ROW()-1,FALSE))</f>
        <v>99873.621350000001</v>
      </c>
      <c r="O393">
        <f ca="1">IF(AND(ISNUMBER($O$892),$B$511=1),$O$892,HLOOKUP(INDIRECT(ADDRESS(2,COLUMN())),OFFSET($BN$2,0,0,ROW()-1,60),ROW()-1,FALSE))</f>
        <v>99361.404439999998</v>
      </c>
      <c r="P393">
        <f ca="1">IF(AND(ISNUMBER($P$892),$B$511=1),$P$892,HLOOKUP(INDIRECT(ADDRESS(2,COLUMN())),OFFSET($BN$2,0,0,ROW()-1,60),ROW()-1,FALSE))</f>
        <v>97192.730930000005</v>
      </c>
      <c r="Q393">
        <f ca="1">IF(AND(ISNUMBER($Q$892),$B$511=1),$Q$892,HLOOKUP(INDIRECT(ADDRESS(2,COLUMN())),OFFSET($BN$2,0,0,ROW()-1,60),ROW()-1,FALSE))</f>
        <v>90627.742329999994</v>
      </c>
      <c r="R393">
        <f ca="1">IF(AND(ISNUMBER($R$892),$B$511=1),$R$892,HLOOKUP(INDIRECT(ADDRESS(2,COLUMN())),OFFSET($BN$2,0,0,ROW()-1,60),ROW()-1,FALSE))</f>
        <v>95097.07776</v>
      </c>
      <c r="S393">
        <f ca="1">IF(AND(ISNUMBER($S$892),$B$511=1),$S$892,HLOOKUP(INDIRECT(ADDRESS(2,COLUMN())),OFFSET($BN$2,0,0,ROW()-1,60),ROW()-1,FALSE))</f>
        <v>104172.8986</v>
      </c>
      <c r="T393">
        <f ca="1">IF(AND(ISNUMBER($T$892),$B$511=1),$T$892,HLOOKUP(INDIRECT(ADDRESS(2,COLUMN())),OFFSET($BN$2,0,0,ROW()-1,60),ROW()-1,FALSE))</f>
        <v>98801.097550000006</v>
      </c>
      <c r="U393">
        <f ca="1">IF(AND(ISNUMBER($U$892),$B$511=1),$U$892,HLOOKUP(INDIRECT(ADDRESS(2,COLUMN())),OFFSET($BN$2,0,0,ROW()-1,60),ROW()-1,FALSE))</f>
        <v>104320.6508</v>
      </c>
      <c r="V393">
        <f ca="1">IF(AND(ISNUMBER($V$892),$B$511=1),$V$892,HLOOKUP(INDIRECT(ADDRESS(2,COLUMN())),OFFSET($BN$2,0,0,ROW()-1,60),ROW()-1,FALSE))</f>
        <v>105311.57399999999</v>
      </c>
      <c r="W393">
        <f ca="1">IF(AND(ISNUMBER($W$892),$B$511=1),$W$892,HLOOKUP(INDIRECT(ADDRESS(2,COLUMN())),OFFSET($BN$2,0,0,ROW()-1,60),ROW()-1,FALSE))</f>
        <v>102155.89969999999</v>
      </c>
      <c r="X393">
        <f ca="1">IF(AND(ISNUMBER($X$892),$B$511=1),$X$892,HLOOKUP(INDIRECT(ADDRESS(2,COLUMN())),OFFSET($BN$2,0,0,ROW()-1,60),ROW()-1,FALSE))</f>
        <v>111337.5358</v>
      </c>
      <c r="Y393">
        <f ca="1">IF(AND(ISNUMBER($Y$892),$B$511=1),$Y$892,HLOOKUP(INDIRECT(ADDRESS(2,COLUMN())),OFFSET($BN$2,0,0,ROW()-1,60),ROW()-1,FALSE))</f>
        <v>111885.33409999999</v>
      </c>
      <c r="Z393">
        <f ca="1">IF(AND(ISNUMBER($Z$892),$B$511=1),$Z$892,HLOOKUP(INDIRECT(ADDRESS(2,COLUMN())),OFFSET($BN$2,0,0,ROW()-1,60),ROW()-1,FALSE))</f>
        <v>111236.1507</v>
      </c>
      <c r="AA393">
        <f ca="1">IF(AND(ISNUMBER($AA$892),$B$511=1),$AA$892,HLOOKUP(INDIRECT(ADDRESS(2,COLUMN())),OFFSET($BN$2,0,0,ROW()-1,60),ROW()-1,FALSE))</f>
        <v>121863.56359999999</v>
      </c>
      <c r="AB393">
        <f ca="1">IF(AND(ISNUMBER($AB$892),$B$511=1),$AB$892,HLOOKUP(INDIRECT(ADDRESS(2,COLUMN())),OFFSET($BN$2,0,0,ROW()-1,60),ROW()-1,FALSE))</f>
        <v>114062.84819999999</v>
      </c>
      <c r="AC393">
        <f ca="1">IF(AND(ISNUMBER($AC$892),$B$511=1),$AC$892,HLOOKUP(INDIRECT(ADDRESS(2,COLUMN())),OFFSET($BN$2,0,0,ROW()-1,60),ROW()-1,FALSE))</f>
        <v>110003.0595</v>
      </c>
      <c r="AD393">
        <f ca="1">IF(AND(ISNUMBER($AD$892),$B$511=1),$AD$892,HLOOKUP(INDIRECT(ADDRESS(2,COLUMN())),OFFSET($BN$2,0,0,ROW()-1,60),ROW()-1,FALSE))</f>
        <v>109190.75320000001</v>
      </c>
      <c r="AE393">
        <f ca="1">IF(AND(ISNUMBER($AE$892),$B$511=1),$AE$892,HLOOKUP(INDIRECT(ADDRESS(2,COLUMN())),OFFSET($BN$2,0,0,ROW()-1,60),ROW()-1,FALSE))</f>
        <v>107547.5156</v>
      </c>
      <c r="AF393">
        <f ca="1">IF(AND(ISNUMBER($AF$892),$B$511=1),$AF$892,HLOOKUP(INDIRECT(ADDRESS(2,COLUMN())),OFFSET($BN$2,0,0,ROW()-1,60),ROW()-1,FALSE))</f>
        <v>96310.430470000007</v>
      </c>
      <c r="AG393">
        <f ca="1">IF(AND(ISNUMBER($AG$892),$B$511=1),$AG$892,HLOOKUP(INDIRECT(ADDRESS(2,COLUMN())),OFFSET($BN$2,0,0,ROW()-1,60),ROW()-1,FALSE))</f>
        <v>99782.926309999995</v>
      </c>
      <c r="AH393">
        <f ca="1">IF(AND(ISNUMBER($AH$892),$B$511=1),$AH$892,HLOOKUP(INDIRECT(ADDRESS(2,COLUMN())),OFFSET($BN$2,0,0,ROW()-1,60),ROW()-1,FALSE))</f>
        <v>105128.2723</v>
      </c>
      <c r="AI393">
        <f ca="1">IF(AND(ISNUMBER($AI$892),$B$511=1),$AI$892,HLOOKUP(INDIRECT(ADDRESS(2,COLUMN())),OFFSET($BN$2,0,0,ROW()-1,60),ROW()-1,FALSE))</f>
        <v>91702.399709999998</v>
      </c>
      <c r="AJ393">
        <f ca="1">IF(AND(ISNUMBER($AJ$892),$B$511=1),$AJ$892,HLOOKUP(INDIRECT(ADDRESS(2,COLUMN())),OFFSET($BN$2,0,0,ROW()-1,60),ROW()-1,FALSE))</f>
        <v>87109.654710000003</v>
      </c>
      <c r="AK393">
        <f ca="1">IF(AND(ISNUMBER($AK$892),$B$511=1),$AK$892,HLOOKUP(INDIRECT(ADDRESS(2,COLUMN())),OFFSET($BN$2,0,0,ROW()-1,60),ROW()-1,FALSE))</f>
        <v>105280.01270000001</v>
      </c>
      <c r="AL393">
        <f ca="1">IF(AND(ISNUMBER($AL$892),$B$511=1),$AL$892,HLOOKUP(INDIRECT(ADDRESS(2,COLUMN())),OFFSET($BN$2,0,0,ROW()-1,60),ROW()-1,FALSE))</f>
        <v>104008.95759999999</v>
      </c>
      <c r="AM393">
        <f ca="1">IF(AND(ISNUMBER($AM$892),$B$511=1),$AM$892,HLOOKUP(INDIRECT(ADDRESS(2,COLUMN())),OFFSET($BN$2,0,0,ROW()-1,60),ROW()-1,FALSE))</f>
        <v>108216.5833</v>
      </c>
      <c r="AN393">
        <f ca="1">IF(AND(ISNUMBER($AN$892),$B$511=1),$AN$892,HLOOKUP(INDIRECT(ADDRESS(2,COLUMN())),OFFSET($BN$2,0,0,ROW()-1,60),ROW()-1,FALSE))</f>
        <v>99360.838090000005</v>
      </c>
      <c r="AO393">
        <f ca="1">IF(AND(ISNUMBER($AO$892),$B$511=1),$AO$892,HLOOKUP(INDIRECT(ADDRESS(2,COLUMN())),OFFSET($BN$2,0,0,ROW()-1,60),ROW()-1,FALSE))</f>
        <v>88490.350810000004</v>
      </c>
      <c r="AP393">
        <f ca="1">IF(AND(ISNUMBER($AP$892),$B$511=1),$AP$892,HLOOKUP(INDIRECT(ADDRESS(2,COLUMN())),OFFSET($BN$2,0,0,ROW()-1,60),ROW()-1,FALSE))</f>
        <v>98053.645310000007</v>
      </c>
      <c r="AQ393">
        <f ca="1">IF(AND(ISNUMBER($AQ$892),$B$511=1),$AQ$892,HLOOKUP(INDIRECT(ADDRESS(2,COLUMN())),OFFSET($BN$2,0,0,ROW()-1,60),ROW()-1,FALSE))</f>
        <v>97558.857199999999</v>
      </c>
      <c r="AR393">
        <f ca="1">IF(AND(ISNUMBER($AR$892),$B$511=1),$AR$892,HLOOKUP(INDIRECT(ADDRESS(2,COLUMN())),OFFSET($BN$2,0,0,ROW()-1,60),ROW()-1,FALSE))</f>
        <v>93998.566470000005</v>
      </c>
      <c r="AS393">
        <f ca="1">IF(AND(ISNUMBER($AS$892),$B$511=1),$AS$892,HLOOKUP(INDIRECT(ADDRESS(2,COLUMN())),OFFSET($BN$2,0,0,ROW()-1,60),ROW()-1,FALSE))</f>
        <v>91139.643500000006</v>
      </c>
      <c r="AT393">
        <f ca="1">IF(AND(ISNUMBER($AT$892),$B$511=1),$AT$892,HLOOKUP(INDIRECT(ADDRESS(2,COLUMN())),OFFSET($BN$2,0,0,ROW()-1,60),ROW()-1,FALSE))</f>
        <v>83515.789380000002</v>
      </c>
      <c r="AU393">
        <f ca="1">IF(AND(ISNUMBER($AU$892),$B$511=1),$AU$892,HLOOKUP(INDIRECT(ADDRESS(2,COLUMN())),OFFSET($BN$2,0,0,ROW()-1,60),ROW()-1,FALSE))</f>
        <v>82203.530069999993</v>
      </c>
      <c r="AV393">
        <f ca="1">IF(AND(ISNUMBER($AV$892),$B$511=1),$AV$892,HLOOKUP(INDIRECT(ADDRESS(2,COLUMN())),OFFSET($BN$2,0,0,ROW()-1,60),ROW()-1,FALSE))</f>
        <v>92339.623890000003</v>
      </c>
      <c r="AW393">
        <f ca="1">IF(AND(ISNUMBER($AW$892),$B$511=1),$AW$892,HLOOKUP(INDIRECT(ADDRESS(2,COLUMN())),OFFSET($BN$2,0,0,ROW()-1,60),ROW()-1,FALSE))</f>
        <v>99432.313899999994</v>
      </c>
      <c r="AX393">
        <f ca="1">IF(AND(ISNUMBER($AX$892),$B$511=1),$AX$892,HLOOKUP(INDIRECT(ADDRESS(2,COLUMN())),OFFSET($BN$2,0,0,ROW()-1,60),ROW()-1,FALSE))</f>
        <v>87154.553480000002</v>
      </c>
      <c r="AY393">
        <f ca="1">IF(AND(ISNUMBER($AY$892),$B$511=1),$AY$892,HLOOKUP(INDIRECT(ADDRESS(2,COLUMN())),OFFSET($BN$2,0,0,ROW()-1,60),ROW()-1,FALSE))</f>
        <v>94585.783549999993</v>
      </c>
      <c r="AZ393">
        <f ca="1">IF(AND(ISNUMBER($AZ$892),$B$511=1),$AZ$892,HLOOKUP(INDIRECT(ADDRESS(2,COLUMN())),OFFSET($BN$2,0,0,ROW()-1,60),ROW()-1,FALSE))</f>
        <v>92709.359800000006</v>
      </c>
      <c r="BA393">
        <f ca="1">IF(AND(ISNUMBER($BA$892),$B$511=1),$BA$892,HLOOKUP(INDIRECT(ADDRESS(2,COLUMN())),OFFSET($BN$2,0,0,ROW()-1,60),ROW()-1,FALSE))</f>
        <v>96113.675650000005</v>
      </c>
      <c r="BB393">
        <f ca="1">IF(AND(ISNUMBER($BB$892),$B$511=1),$BB$892,HLOOKUP(INDIRECT(ADDRESS(2,COLUMN())),OFFSET($BN$2,0,0,ROW()-1,60),ROW()-1,FALSE))</f>
        <v>90316.545599999998</v>
      </c>
      <c r="BC393">
        <f ca="1">IF(AND(ISNUMBER($BC$892),$B$511=1),$BC$892,HLOOKUP(INDIRECT(ADDRESS(2,COLUMN())),OFFSET($BN$2,0,0,ROW()-1,60),ROW()-1,FALSE))</f>
        <v>98706.443859999999</v>
      </c>
      <c r="BD393">
        <f ca="1">IF(AND(ISNUMBER($BD$892),$B$511=1),$BD$892,HLOOKUP(INDIRECT(ADDRESS(2,COLUMN())),OFFSET($BN$2,0,0,ROW()-1,60),ROW()-1,FALSE))</f>
        <v>86260.630619999996</v>
      </c>
      <c r="BE393">
        <f ca="1">IF(AND(ISNUMBER($BE$892),$B$511=1),$BE$892,HLOOKUP(INDIRECT(ADDRESS(2,COLUMN())),OFFSET($BN$2,0,0,ROW()-1,60),ROW()-1,FALSE))</f>
        <v>82085.672930000001</v>
      </c>
      <c r="BF393">
        <f ca="1">IF(AND(ISNUMBER($BF$892),$B$511=1),$BF$892,HLOOKUP(INDIRECT(ADDRESS(2,COLUMN())),OFFSET($BN$2,0,0,ROW()-1,60),ROW()-1,FALSE))</f>
        <v>78471.943880000006</v>
      </c>
      <c r="BG393">
        <f ca="1">IF(AND(ISNUMBER($BG$892),$B$511=1),$BG$892,HLOOKUP(INDIRECT(ADDRESS(2,COLUMN())),OFFSET($BN$2,0,0,ROW()-1,60),ROW()-1,FALSE))</f>
        <v>74747.812680000003</v>
      </c>
      <c r="BH393">
        <f ca="1">IF(AND(ISNUMBER($BH$892),$B$511=1),$BH$892,HLOOKUP(INDIRECT(ADDRESS(2,COLUMN())),OFFSET($BN$2,0,0,ROW()-1,60),ROW()-1,FALSE))</f>
        <v>72984.38768</v>
      </c>
      <c r="BI393">
        <f ca="1">IF(AND(ISNUMBER($BI$892),$B$511=1),$BI$892,HLOOKUP(INDIRECT(ADDRESS(2,COLUMN())),OFFSET($BN$2,0,0,ROW()-1,60),ROW()-1,FALSE))</f>
        <v>66072.086809999993</v>
      </c>
      <c r="BJ393">
        <f ca="1">IF(AND(ISNUMBER($BJ$892),$B$511=1),$BJ$892,HLOOKUP(INDIRECT(ADDRESS(2,COLUMN())),OFFSET($BN$2,0,0,ROW()-1,60),ROW()-1,FALSE))</f>
        <v>65907.259059999997</v>
      </c>
      <c r="BK393">
        <f ca="1">IF(AND(ISNUMBER($BK$892),$B$511=1),$BK$892,HLOOKUP(INDIRECT(ADDRESS(2,COLUMN())),OFFSET($BN$2,0,0,ROW()-1,60),ROW()-1,FALSE))</f>
        <v>69108.717319999996</v>
      </c>
      <c r="BL393">
        <f ca="1">IF(AND(ISNUMBER($BL$892),$B$511=1),$BL$892,HLOOKUP(INDIRECT(ADDRESS(2,COLUMN())),OFFSET($BN$2,0,0,ROW()-1,60),ROW()-1,FALSE))</f>
        <v>65329.207179999998</v>
      </c>
      <c r="BM393">
        <f ca="1">IF(AND(ISNUMBER($BM$892),$B$511=1),$BM$892,HLOOKUP(INDIRECT(ADDRESS(2,COLUMN())),OFFSET($BN$2,0,0,ROW()-1,60),ROW()-1,FALSE))</f>
        <v>64397.857250000001</v>
      </c>
      <c r="BN393">
        <f>98466.21309</f>
        <v>98466.213090000005</v>
      </c>
      <c r="BO393">
        <f>94836.15244</f>
        <v>94836.152440000005</v>
      </c>
      <c r="BP393">
        <f>101758.5848</f>
        <v>101758.5848</v>
      </c>
      <c r="BQ393">
        <f>99377.31254</f>
        <v>99377.312539999999</v>
      </c>
      <c r="BR393">
        <f>108694.5025</f>
        <v>108694.5025</v>
      </c>
      <c r="BS393">
        <f>108527.2037</f>
        <v>108527.2037</v>
      </c>
      <c r="BT393">
        <f>98474.50301</f>
        <v>98474.50301</v>
      </c>
      <c r="BU393">
        <f>94695.15641</f>
        <v>94695.156409999996</v>
      </c>
      <c r="BV393">
        <f>99873.62135</f>
        <v>99873.621350000001</v>
      </c>
      <c r="BW393">
        <f>99361.40444</f>
        <v>99361.404439999998</v>
      </c>
      <c r="BX393">
        <f>97192.73093</f>
        <v>97192.730930000005</v>
      </c>
      <c r="BY393">
        <f>90627.74233</f>
        <v>90627.742329999994</v>
      </c>
      <c r="BZ393">
        <f>95097.07776</f>
        <v>95097.07776</v>
      </c>
      <c r="CA393">
        <f>104172.8986</f>
        <v>104172.8986</v>
      </c>
      <c r="CB393">
        <f>98801.09755</f>
        <v>98801.097550000006</v>
      </c>
      <c r="CC393">
        <f>104320.6508</f>
        <v>104320.6508</v>
      </c>
      <c r="CD393">
        <f>105311.574</f>
        <v>105311.57399999999</v>
      </c>
      <c r="CE393">
        <f>102155.8997</f>
        <v>102155.89969999999</v>
      </c>
      <c r="CF393">
        <f>111337.5358</f>
        <v>111337.5358</v>
      </c>
      <c r="CG393">
        <f>111885.3341</f>
        <v>111885.33409999999</v>
      </c>
      <c r="CH393">
        <f>111236.1507</f>
        <v>111236.1507</v>
      </c>
      <c r="CI393">
        <f>121863.5636</f>
        <v>121863.56359999999</v>
      </c>
      <c r="CJ393">
        <f>114062.8482</f>
        <v>114062.84819999999</v>
      </c>
      <c r="CK393">
        <f>110003.0595</f>
        <v>110003.0595</v>
      </c>
      <c r="CL393">
        <f>109190.7532</f>
        <v>109190.75320000001</v>
      </c>
      <c r="CM393">
        <f>107547.5156</f>
        <v>107547.5156</v>
      </c>
      <c r="CN393">
        <f>96310.43047</f>
        <v>96310.430470000007</v>
      </c>
      <c r="CO393">
        <f>99782.92631</f>
        <v>99782.926309999995</v>
      </c>
      <c r="CP393">
        <f>105128.2723</f>
        <v>105128.2723</v>
      </c>
      <c r="CQ393">
        <f>91702.39971</f>
        <v>91702.399709999998</v>
      </c>
      <c r="CR393">
        <f>87109.65471</f>
        <v>87109.654710000003</v>
      </c>
      <c r="CS393">
        <f>105280.0127</f>
        <v>105280.01270000001</v>
      </c>
      <c r="CT393">
        <f>104008.9576</f>
        <v>104008.95759999999</v>
      </c>
      <c r="CU393">
        <f>108216.5833</f>
        <v>108216.5833</v>
      </c>
      <c r="CV393">
        <f>99360.83809</f>
        <v>99360.838090000005</v>
      </c>
      <c r="CW393">
        <f>88490.35081</f>
        <v>88490.350810000004</v>
      </c>
      <c r="CX393">
        <f>98053.64531</f>
        <v>98053.645310000007</v>
      </c>
      <c r="CY393">
        <f>97558.8572</f>
        <v>97558.857199999999</v>
      </c>
      <c r="CZ393">
        <f>93998.56647</f>
        <v>93998.566470000005</v>
      </c>
      <c r="DA393">
        <f>91139.6435</f>
        <v>91139.643500000006</v>
      </c>
      <c r="DB393">
        <f>83515.78938</f>
        <v>83515.789380000002</v>
      </c>
      <c r="DC393">
        <f>82203.53007</f>
        <v>82203.530069999993</v>
      </c>
      <c r="DD393">
        <f>92339.62389</f>
        <v>92339.623890000003</v>
      </c>
      <c r="DE393">
        <f>99432.3139</f>
        <v>99432.313899999994</v>
      </c>
      <c r="DF393">
        <f>87154.55348</f>
        <v>87154.553480000002</v>
      </c>
      <c r="DG393">
        <f>94585.78355</f>
        <v>94585.783549999993</v>
      </c>
      <c r="DH393">
        <f>92709.3598</f>
        <v>92709.359800000006</v>
      </c>
      <c r="DI393">
        <f>96113.67565</f>
        <v>96113.675650000005</v>
      </c>
      <c r="DJ393">
        <f>90316.5456</f>
        <v>90316.545599999998</v>
      </c>
      <c r="DK393">
        <f>98706.44386</f>
        <v>98706.443859999999</v>
      </c>
      <c r="DL393">
        <f>86260.63062</f>
        <v>86260.630619999996</v>
      </c>
      <c r="DM393">
        <f>82085.67293</f>
        <v>82085.672930000001</v>
      </c>
      <c r="DN393">
        <f>78471.94388</f>
        <v>78471.943880000006</v>
      </c>
      <c r="DO393">
        <f>74747.81268</f>
        <v>74747.812680000003</v>
      </c>
      <c r="DP393">
        <f>72984.38768</f>
        <v>72984.38768</v>
      </c>
      <c r="DQ393">
        <f>66072.08681</f>
        <v>66072.086809999993</v>
      </c>
      <c r="DR393">
        <f>65907.25906</f>
        <v>65907.259059999997</v>
      </c>
      <c r="DS393">
        <f>69108.71732</f>
        <v>69108.717319999996</v>
      </c>
      <c r="DT393">
        <f>65329.20718</f>
        <v>65329.207179999998</v>
      </c>
      <c r="DU393">
        <f>64397.85725</f>
        <v>64397.857250000001</v>
      </c>
    </row>
    <row r="394" spans="1:125" x14ac:dyDescent="0.25">
      <c r="A394" t="str">
        <f>"    Hyundai Motor Co"</f>
        <v xml:space="preserve">    Hyundai Motor Co</v>
      </c>
      <c r="B394" t="str">
        <f>"005380 KS Equity"</f>
        <v>005380 KS Equity</v>
      </c>
      <c r="C394" t="str">
        <f t="shared" si="27"/>
        <v>RR937</v>
      </c>
      <c r="D394" t="str">
        <f t="shared" si="28"/>
        <v>CRNCY_ADJ_CURR_EV</v>
      </c>
      <c r="E394" t="str">
        <f t="shared" si="29"/>
        <v>Dynamic</v>
      </c>
      <c r="F394" t="str">
        <f ca="1">IF(AND(ISNUMBER($F$893),$B$511=1),$F$893,HLOOKUP(INDIRECT(ADDRESS(2,COLUMN())),OFFSET($BN$2,0,0,ROW()-1,60),ROW()-1,FALSE))</f>
        <v/>
      </c>
      <c r="G394">
        <f ca="1">IF(AND(ISNUMBER($G$893),$B$511=1),$G$893,HLOOKUP(INDIRECT(ADDRESS(2,COLUMN())),OFFSET($BN$2,0,0,ROW()-1,60),ROW()-1,FALSE))</f>
        <v>68190.434160000004</v>
      </c>
      <c r="H394">
        <f ca="1">IF(AND(ISNUMBER($H$893),$B$511=1),$H$893,HLOOKUP(INDIRECT(ADDRESS(2,COLUMN())),OFFSET($BN$2,0,0,ROW()-1,60),ROW()-1,FALSE))</f>
        <v>71013.395220000006</v>
      </c>
      <c r="I394">
        <f ca="1">IF(AND(ISNUMBER($I$893),$B$511=1),$I$893,HLOOKUP(INDIRECT(ADDRESS(2,COLUMN())),OFFSET($BN$2,0,0,ROW()-1,60),ROW()-1,FALSE))</f>
        <v>71031.469379999995</v>
      </c>
      <c r="J394">
        <f ca="1">IF(AND(ISNUMBER($J$893),$B$511=1),$J$893,HLOOKUP(INDIRECT(ADDRESS(2,COLUMN())),OFFSET($BN$2,0,0,ROW()-1,60),ROW()-1,FALSE))</f>
        <v>76371.923739999998</v>
      </c>
      <c r="K394">
        <f ca="1">IF(AND(ISNUMBER($K$893),$B$511=1),$K$893,HLOOKUP(INDIRECT(ADDRESS(2,COLUMN())),OFFSET($BN$2,0,0,ROW()-1,60),ROW()-1,FALSE))</f>
        <v>75151.026549999995</v>
      </c>
      <c r="L394">
        <f ca="1">IF(AND(ISNUMBER($L$893),$B$511=1),$L$893,HLOOKUP(INDIRECT(ADDRESS(2,COLUMN())),OFFSET($BN$2,0,0,ROW()-1,60),ROW()-1,FALSE))</f>
        <v>71881.912630000006</v>
      </c>
      <c r="M394">
        <f ca="1">IF(AND(ISNUMBER($M$893),$B$511=1),$M$893,HLOOKUP(INDIRECT(ADDRESS(2,COLUMN())),OFFSET($BN$2,0,0,ROW()-1,60),ROW()-1,FALSE))</f>
        <v>72141.433319999996</v>
      </c>
      <c r="N394">
        <f ca="1">IF(AND(ISNUMBER($N$893),$B$511=1),$N$893,HLOOKUP(INDIRECT(ADDRESS(2,COLUMN())),OFFSET($BN$2,0,0,ROW()-1,60),ROW()-1,FALSE))</f>
        <v>71892.576109999995</v>
      </c>
      <c r="O394">
        <f ca="1">IF(AND(ISNUMBER($O$893),$B$511=1),$O$893,HLOOKUP(INDIRECT(ADDRESS(2,COLUMN())),OFFSET($BN$2,0,0,ROW()-1,60),ROW()-1,FALSE))</f>
        <v>67092.086679999993</v>
      </c>
      <c r="P394">
        <f ca="1">IF(AND(ISNUMBER($P$893),$B$511=1),$P$893,HLOOKUP(INDIRECT(ADDRESS(2,COLUMN())),OFFSET($BN$2,0,0,ROW()-1,60),ROW()-1,FALSE))</f>
        <v>67475.223960000003</v>
      </c>
      <c r="Q394">
        <f ca="1">IF(AND(ISNUMBER($Q$893),$B$511=1),$Q$893,HLOOKUP(INDIRECT(ADDRESS(2,COLUMN())),OFFSET($BN$2,0,0,ROW()-1,60),ROW()-1,FALSE))</f>
        <v>65444.7327</v>
      </c>
      <c r="R394">
        <f ca="1">IF(AND(ISNUMBER($R$893),$B$511=1),$R$893,HLOOKUP(INDIRECT(ADDRESS(2,COLUMN())),OFFSET($BN$2,0,0,ROW()-1,60),ROW()-1,FALSE))</f>
        <v>68575.836330000006</v>
      </c>
      <c r="S394">
        <f ca="1">IF(AND(ISNUMBER($S$893),$B$511=1),$S$893,HLOOKUP(INDIRECT(ADDRESS(2,COLUMN())),OFFSET($BN$2,0,0,ROW()-1,60),ROW()-1,FALSE))</f>
        <v>64476.801189999998</v>
      </c>
      <c r="T394">
        <f ca="1">IF(AND(ISNUMBER($T$893),$B$511=1),$T$893,HLOOKUP(INDIRECT(ADDRESS(2,COLUMN())),OFFSET($BN$2,0,0,ROW()-1,60),ROW()-1,FALSE))</f>
        <v>65505.735390000002</v>
      </c>
      <c r="U394">
        <f ca="1">IF(AND(ISNUMBER($U$893),$B$511=1),$U$893,HLOOKUP(INDIRECT(ADDRESS(2,COLUMN())),OFFSET($BN$2,0,0,ROW()-1,60),ROW()-1,FALSE))</f>
        <v>59433.798130000003</v>
      </c>
      <c r="V394">
        <f ca="1">IF(AND(ISNUMBER($V$893),$B$511=1),$V$893,HLOOKUP(INDIRECT(ADDRESS(2,COLUMN())),OFFSET($BN$2,0,0,ROW()-1,60),ROW()-1,FALSE))</f>
        <v>63862.659420000004</v>
      </c>
      <c r="W394">
        <f ca="1">IF(AND(ISNUMBER($W$893),$B$511=1),$W$893,HLOOKUP(INDIRECT(ADDRESS(2,COLUMN())),OFFSET($BN$2,0,0,ROW()-1,60),ROW()-1,FALSE))</f>
        <v>62534.147239999998</v>
      </c>
      <c r="X394">
        <f ca="1">IF(AND(ISNUMBER($X$893),$B$511=1),$X$893,HLOOKUP(INDIRECT(ADDRESS(2,COLUMN())),OFFSET($BN$2,0,0,ROW()-1,60),ROW()-1,FALSE))</f>
        <v>65633.332980000007</v>
      </c>
      <c r="Y394">
        <f ca="1">IF(AND(ISNUMBER($Y$893),$B$511=1),$Y$893,HLOOKUP(INDIRECT(ADDRESS(2,COLUMN())),OFFSET($BN$2,0,0,ROW()-1,60),ROW()-1,FALSE))</f>
        <v>75618.934359999999</v>
      </c>
      <c r="Z394">
        <f ca="1">IF(AND(ISNUMBER($Z$893),$B$511=1),$Z$893,HLOOKUP(INDIRECT(ADDRESS(2,COLUMN())),OFFSET($BN$2,0,0,ROW()-1,60),ROW()-1,FALSE))</f>
        <v>77941.822969999994</v>
      </c>
      <c r="AA394">
        <f ca="1">IF(AND(ISNUMBER($AA$893),$B$511=1),$AA$893,HLOOKUP(INDIRECT(ADDRESS(2,COLUMN())),OFFSET($BN$2,0,0,ROW()-1,60),ROW()-1,FALSE))</f>
        <v>76196.497730000003</v>
      </c>
      <c r="AB394">
        <f ca="1">IF(AND(ISNUMBER($AB$893),$B$511=1),$AB$893,HLOOKUP(INDIRECT(ADDRESS(2,COLUMN())),OFFSET($BN$2,0,0,ROW()-1,60),ROW()-1,FALSE))</f>
        <v>76938.393849999993</v>
      </c>
      <c r="AC394">
        <f ca="1">IF(AND(ISNUMBER($AC$893),$B$511=1),$AC$893,HLOOKUP(INDIRECT(ADDRESS(2,COLUMN())),OFFSET($BN$2,0,0,ROW()-1,60),ROW()-1,FALSE))</f>
        <v>67548.070439999996</v>
      </c>
      <c r="AD394">
        <f ca="1">IF(AND(ISNUMBER($AD$893),$B$511=1),$AD$893,HLOOKUP(INDIRECT(ADDRESS(2,COLUMN())),OFFSET($BN$2,0,0,ROW()-1,60),ROW()-1,FALSE))</f>
        <v>70317.290949999995</v>
      </c>
      <c r="AE394">
        <f ca="1">IF(AND(ISNUMBER($AE$893),$B$511=1),$AE$893,HLOOKUP(INDIRECT(ADDRESS(2,COLUMN())),OFFSET($BN$2,0,0,ROW()-1,60),ROW()-1,FALSE))</f>
        <v>71950.19184</v>
      </c>
      <c r="AF394">
        <f ca="1">IF(AND(ISNUMBER($AF$893),$B$511=1),$AF$893,HLOOKUP(INDIRECT(ADDRESS(2,COLUMN())),OFFSET($BN$2,0,0,ROW()-1,60),ROW()-1,FALSE))</f>
        <v>75206.739480000004</v>
      </c>
      <c r="AG394">
        <f ca="1">IF(AND(ISNUMBER($AG$893),$B$511=1),$AG$893,HLOOKUP(INDIRECT(ADDRESS(2,COLUMN())),OFFSET($BN$2,0,0,ROW()-1,60),ROW()-1,FALSE))</f>
        <v>69803.513949999993</v>
      </c>
      <c r="AH394">
        <f ca="1">IF(AND(ISNUMBER($AH$893),$B$511=1),$AH$893,HLOOKUP(INDIRECT(ADDRESS(2,COLUMN())),OFFSET($BN$2,0,0,ROW()-1,60),ROW()-1,FALSE))</f>
        <v>71043.574200000003</v>
      </c>
      <c r="AI394">
        <f ca="1">IF(AND(ISNUMBER($AI$893),$B$511=1),$AI$893,HLOOKUP(INDIRECT(ADDRESS(2,COLUMN())),OFFSET($BN$2,0,0,ROW()-1,60),ROW()-1,FALSE))</f>
        <v>66300.558149999997</v>
      </c>
      <c r="AJ394">
        <f ca="1">IF(AND(ISNUMBER($AJ$893),$B$511=1),$AJ$893,HLOOKUP(INDIRECT(ADDRESS(2,COLUMN())),OFFSET($BN$2,0,0,ROW()-1,60),ROW()-1,FALSE))</f>
        <v>64562.213669999997</v>
      </c>
      <c r="AK394">
        <f ca="1">IF(AND(ISNUMBER($AK$893),$B$511=1),$AK$893,HLOOKUP(INDIRECT(ADDRESS(2,COLUMN())),OFFSET($BN$2,0,0,ROW()-1,60),ROW()-1,FALSE))</f>
        <v>74068.453269999998</v>
      </c>
      <c r="AL394">
        <f ca="1">IF(AND(ISNUMBER($AL$893),$B$511=1),$AL$893,HLOOKUP(INDIRECT(ADDRESS(2,COLUMN())),OFFSET($BN$2,0,0,ROW()-1,60),ROW()-1,FALSE))</f>
        <v>63258.259700000002</v>
      </c>
      <c r="AM394">
        <f ca="1">IF(AND(ISNUMBER($AM$893),$B$511=1),$AM$893,HLOOKUP(INDIRECT(ADDRESS(2,COLUMN())),OFFSET($BN$2,0,0,ROW()-1,60),ROW()-1,FALSE))</f>
        <v>57176.708910000001</v>
      </c>
      <c r="AN394" t="str">
        <f ca="1">IF(AND(ISNUMBER($AN$893),$B$511=1),$AN$893,HLOOKUP(INDIRECT(ADDRESS(2,COLUMN())),OFFSET($BN$2,0,0,ROW()-1,60),ROW()-1,FALSE))</f>
        <v/>
      </c>
      <c r="AO394" t="str">
        <f ca="1">IF(AND(ISNUMBER($AO$893),$B$511=1),$AO$893,HLOOKUP(INDIRECT(ADDRESS(2,COLUMN())),OFFSET($BN$2,0,0,ROW()-1,60),ROW()-1,FALSE))</f>
        <v/>
      </c>
      <c r="AP394" t="str">
        <f ca="1">IF(AND(ISNUMBER($AP$893),$B$511=1),$AP$893,HLOOKUP(INDIRECT(ADDRESS(2,COLUMN())),OFFSET($BN$2,0,0,ROW()-1,60),ROW()-1,FALSE))</f>
        <v/>
      </c>
      <c r="AQ394" t="str">
        <f ca="1">IF(AND(ISNUMBER($AQ$893),$B$511=1),$AQ$893,HLOOKUP(INDIRECT(ADDRESS(2,COLUMN())),OFFSET($BN$2,0,0,ROW()-1,60),ROW()-1,FALSE))</f>
        <v/>
      </c>
      <c r="AR394" t="str">
        <f ca="1">IF(AND(ISNUMBER($AR$893),$B$511=1),$AR$893,HLOOKUP(INDIRECT(ADDRESS(2,COLUMN())),OFFSET($BN$2,0,0,ROW()-1,60),ROW()-1,FALSE))</f>
        <v/>
      </c>
      <c r="AS394" t="str">
        <f ca="1">IF(AND(ISNUMBER($AS$893),$B$511=1),$AS$893,HLOOKUP(INDIRECT(ADDRESS(2,COLUMN())),OFFSET($BN$2,0,0,ROW()-1,60),ROW()-1,FALSE))</f>
        <v/>
      </c>
      <c r="AT394" t="str">
        <f ca="1">IF(AND(ISNUMBER($AT$893),$B$511=1),$AT$893,HLOOKUP(INDIRECT(ADDRESS(2,COLUMN())),OFFSET($BN$2,0,0,ROW()-1,60),ROW()-1,FALSE))</f>
        <v/>
      </c>
      <c r="AU394" t="str">
        <f ca="1">IF(AND(ISNUMBER($AU$893),$B$511=1),$AU$893,HLOOKUP(INDIRECT(ADDRESS(2,COLUMN())),OFFSET($BN$2,0,0,ROW()-1,60),ROW()-1,FALSE))</f>
        <v/>
      </c>
      <c r="AV394" t="str">
        <f ca="1">IF(AND(ISNUMBER($AV$893),$B$511=1),$AV$893,HLOOKUP(INDIRECT(ADDRESS(2,COLUMN())),OFFSET($BN$2,0,0,ROW()-1,60),ROW()-1,FALSE))</f>
        <v/>
      </c>
      <c r="AW394" t="str">
        <f ca="1">IF(AND(ISNUMBER($AW$893),$B$511=1),$AW$893,HLOOKUP(INDIRECT(ADDRESS(2,COLUMN())),OFFSET($BN$2,0,0,ROW()-1,60),ROW()-1,FALSE))</f>
        <v/>
      </c>
      <c r="AX394" t="str">
        <f ca="1">IF(AND(ISNUMBER($AX$893),$B$511=1),$AX$893,HLOOKUP(INDIRECT(ADDRESS(2,COLUMN())),OFFSET($BN$2,0,0,ROW()-1,60),ROW()-1,FALSE))</f>
        <v/>
      </c>
      <c r="AY394" t="str">
        <f ca="1">IF(AND(ISNUMBER($AY$893),$B$511=1),$AY$893,HLOOKUP(INDIRECT(ADDRESS(2,COLUMN())),OFFSET($BN$2,0,0,ROW()-1,60),ROW()-1,FALSE))</f>
        <v/>
      </c>
      <c r="AZ394" t="str">
        <f ca="1">IF(AND(ISNUMBER($AZ$893),$B$511=1),$AZ$893,HLOOKUP(INDIRECT(ADDRESS(2,COLUMN())),OFFSET($BN$2,0,0,ROW()-1,60),ROW()-1,FALSE))</f>
        <v/>
      </c>
      <c r="BA394" t="str">
        <f ca="1">IF(AND(ISNUMBER($BA$893),$B$511=1),$BA$893,HLOOKUP(INDIRECT(ADDRESS(2,COLUMN())),OFFSET($BN$2,0,0,ROW()-1,60),ROW()-1,FALSE))</f>
        <v/>
      </c>
      <c r="BB394" t="str">
        <f ca="1">IF(AND(ISNUMBER($BB$893),$B$511=1),$BB$893,HLOOKUP(INDIRECT(ADDRESS(2,COLUMN())),OFFSET($BN$2,0,0,ROW()-1,60),ROW()-1,FALSE))</f>
        <v/>
      </c>
      <c r="BC394" t="str">
        <f ca="1">IF(AND(ISNUMBER($BC$893),$B$511=1),$BC$893,HLOOKUP(INDIRECT(ADDRESS(2,COLUMN())),OFFSET($BN$2,0,0,ROW()-1,60),ROW()-1,FALSE))</f>
        <v/>
      </c>
      <c r="BD394" t="str">
        <f ca="1">IF(AND(ISNUMBER($BD$893),$B$511=1),$BD$893,HLOOKUP(INDIRECT(ADDRESS(2,COLUMN())),OFFSET($BN$2,0,0,ROW()-1,60),ROW()-1,FALSE))</f>
        <v/>
      </c>
      <c r="BE394" t="str">
        <f ca="1">IF(AND(ISNUMBER($BE$893),$B$511=1),$BE$893,HLOOKUP(INDIRECT(ADDRESS(2,COLUMN())),OFFSET($BN$2,0,0,ROW()-1,60),ROW()-1,FALSE))</f>
        <v/>
      </c>
      <c r="BF394" t="str">
        <f ca="1">IF(AND(ISNUMBER($BF$893),$B$511=1),$BF$893,HLOOKUP(INDIRECT(ADDRESS(2,COLUMN())),OFFSET($BN$2,0,0,ROW()-1,60),ROW()-1,FALSE))</f>
        <v/>
      </c>
      <c r="BG394" t="str">
        <f ca="1">IF(AND(ISNUMBER($BG$893),$B$511=1),$BG$893,HLOOKUP(INDIRECT(ADDRESS(2,COLUMN())),OFFSET($BN$2,0,0,ROW()-1,60),ROW()-1,FALSE))</f>
        <v/>
      </c>
      <c r="BH394" t="str">
        <f ca="1">IF(AND(ISNUMBER($BH$893),$B$511=1),$BH$893,HLOOKUP(INDIRECT(ADDRESS(2,COLUMN())),OFFSET($BN$2,0,0,ROW()-1,60),ROW()-1,FALSE))</f>
        <v/>
      </c>
      <c r="BI394" t="str">
        <f ca="1">IF(AND(ISNUMBER($BI$893),$B$511=1),$BI$893,HLOOKUP(INDIRECT(ADDRESS(2,COLUMN())),OFFSET($BN$2,0,0,ROW()-1,60),ROW()-1,FALSE))</f>
        <v/>
      </c>
      <c r="BJ394" t="str">
        <f ca="1">IF(AND(ISNUMBER($BJ$893),$B$511=1),$BJ$893,HLOOKUP(INDIRECT(ADDRESS(2,COLUMN())),OFFSET($BN$2,0,0,ROW()-1,60),ROW()-1,FALSE))</f>
        <v/>
      </c>
      <c r="BK394" t="str">
        <f ca="1">IF(AND(ISNUMBER($BK$893),$B$511=1),$BK$893,HLOOKUP(INDIRECT(ADDRESS(2,COLUMN())),OFFSET($BN$2,0,0,ROW()-1,60),ROW()-1,FALSE))</f>
        <v/>
      </c>
      <c r="BL394" t="str">
        <f ca="1">IF(AND(ISNUMBER($BL$893),$B$511=1),$BL$893,HLOOKUP(INDIRECT(ADDRESS(2,COLUMN())),OFFSET($BN$2,0,0,ROW()-1,60),ROW()-1,FALSE))</f>
        <v/>
      </c>
      <c r="BM394" t="str">
        <f ca="1">IF(AND(ISNUMBER($BM$893),$B$511=1),$BM$893,HLOOKUP(INDIRECT(ADDRESS(2,COLUMN())),OFFSET($BN$2,0,0,ROW()-1,60),ROW()-1,FALSE))</f>
        <v/>
      </c>
      <c r="BN394" t="str">
        <f>""</f>
        <v/>
      </c>
      <c r="BO394">
        <f>68190.43416</f>
        <v>68190.434160000004</v>
      </c>
      <c r="BP394">
        <f>71013.39522</f>
        <v>71013.395220000006</v>
      </c>
      <c r="BQ394">
        <f>71031.46938</f>
        <v>71031.469379999995</v>
      </c>
      <c r="BR394">
        <f>76371.92374</f>
        <v>76371.923739999998</v>
      </c>
      <c r="BS394">
        <f>75151.02655</f>
        <v>75151.026549999995</v>
      </c>
      <c r="BT394">
        <f>71881.91263</f>
        <v>71881.912630000006</v>
      </c>
      <c r="BU394">
        <f>72141.43332</f>
        <v>72141.433319999996</v>
      </c>
      <c r="BV394">
        <f>71892.57611</f>
        <v>71892.576109999995</v>
      </c>
      <c r="BW394">
        <f>67092.08668</f>
        <v>67092.086679999993</v>
      </c>
      <c r="BX394">
        <f>67475.22396</f>
        <v>67475.223960000003</v>
      </c>
      <c r="BY394">
        <f>65444.7327</f>
        <v>65444.7327</v>
      </c>
      <c r="BZ394">
        <f>68575.83633</f>
        <v>68575.836330000006</v>
      </c>
      <c r="CA394">
        <f>64476.80119</f>
        <v>64476.801189999998</v>
      </c>
      <c r="CB394">
        <f>65505.73539</f>
        <v>65505.735390000002</v>
      </c>
      <c r="CC394">
        <f>59433.79813</f>
        <v>59433.798130000003</v>
      </c>
      <c r="CD394">
        <f>63862.65942</f>
        <v>63862.659420000004</v>
      </c>
      <c r="CE394">
        <f>62534.14724</f>
        <v>62534.147239999998</v>
      </c>
      <c r="CF394">
        <f>65633.33298</f>
        <v>65633.332980000007</v>
      </c>
      <c r="CG394">
        <f>75618.93436</f>
        <v>75618.934359999999</v>
      </c>
      <c r="CH394">
        <f>77941.82297</f>
        <v>77941.822969999994</v>
      </c>
      <c r="CI394">
        <f>76196.49773</f>
        <v>76196.497730000003</v>
      </c>
      <c r="CJ394">
        <f>76938.39385</f>
        <v>76938.393849999993</v>
      </c>
      <c r="CK394">
        <f>67548.07044</f>
        <v>67548.070439999996</v>
      </c>
      <c r="CL394">
        <f>70317.29095</f>
        <v>70317.290949999995</v>
      </c>
      <c r="CM394">
        <f>71950.19184</f>
        <v>71950.19184</v>
      </c>
      <c r="CN394">
        <f>75206.73948</f>
        <v>75206.739480000004</v>
      </c>
      <c r="CO394">
        <f>69803.51395</f>
        <v>69803.513949999993</v>
      </c>
      <c r="CP394">
        <f>71043.5742</f>
        <v>71043.574200000003</v>
      </c>
      <c r="CQ394">
        <f>66300.55815</f>
        <v>66300.558149999997</v>
      </c>
      <c r="CR394">
        <f>64562.21367</f>
        <v>64562.213669999997</v>
      </c>
      <c r="CS394">
        <f>74068.45327</f>
        <v>74068.453269999998</v>
      </c>
      <c r="CT394">
        <f>63258.2597</f>
        <v>63258.259700000002</v>
      </c>
      <c r="CU394">
        <f>57176.70891</f>
        <v>57176.708910000001</v>
      </c>
      <c r="CV394" t="str">
        <f>""</f>
        <v/>
      </c>
      <c r="CW394" t="str">
        <f>""</f>
        <v/>
      </c>
      <c r="CX394" t="str">
        <f>""</f>
        <v/>
      </c>
      <c r="CY394" t="str">
        <f>""</f>
        <v/>
      </c>
      <c r="CZ394" t="str">
        <f>""</f>
        <v/>
      </c>
      <c r="DA394" t="str">
        <f>""</f>
        <v/>
      </c>
      <c r="DB394" t="str">
        <f>""</f>
        <v/>
      </c>
      <c r="DC394" t="str">
        <f>""</f>
        <v/>
      </c>
      <c r="DD394" t="str">
        <f>""</f>
        <v/>
      </c>
      <c r="DE394" t="str">
        <f>""</f>
        <v/>
      </c>
      <c r="DF394" t="str">
        <f>""</f>
        <v/>
      </c>
      <c r="DG394" t="str">
        <f>""</f>
        <v/>
      </c>
      <c r="DH394" t="str">
        <f>""</f>
        <v/>
      </c>
      <c r="DI394" t="str">
        <f>""</f>
        <v/>
      </c>
      <c r="DJ394" t="str">
        <f>""</f>
        <v/>
      </c>
      <c r="DK394" t="str">
        <f>""</f>
        <v/>
      </c>
      <c r="DL394" t="str">
        <f>""</f>
        <v/>
      </c>
      <c r="DM394" t="str">
        <f>""</f>
        <v/>
      </c>
      <c r="DN394" t="str">
        <f>""</f>
        <v/>
      </c>
      <c r="DO394" t="str">
        <f>""</f>
        <v/>
      </c>
      <c r="DP394" t="str">
        <f>""</f>
        <v/>
      </c>
      <c r="DQ394" t="str">
        <f>""</f>
        <v/>
      </c>
      <c r="DR394" t="str">
        <f>""</f>
        <v/>
      </c>
      <c r="DS394" t="str">
        <f>""</f>
        <v/>
      </c>
      <c r="DT394" t="str">
        <f>""</f>
        <v/>
      </c>
      <c r="DU394" t="str">
        <f>""</f>
        <v/>
      </c>
    </row>
    <row r="395" spans="1:125" x14ac:dyDescent="0.25">
      <c r="A395" t="str">
        <f>"    Kia Motors Corp"</f>
        <v xml:space="preserve">    Kia Motors Corp</v>
      </c>
      <c r="B395" t="str">
        <f>"000270 KS Equity"</f>
        <v>000270 KS Equity</v>
      </c>
      <c r="C395" t="str">
        <f t="shared" si="27"/>
        <v>RR937</v>
      </c>
      <c r="D395" t="str">
        <f t="shared" si="28"/>
        <v>CRNCY_ADJ_CURR_EV</v>
      </c>
      <c r="E395" t="str">
        <f t="shared" si="29"/>
        <v>Dynamic</v>
      </c>
      <c r="F395" t="str">
        <f ca="1">IF(AND(ISNUMBER($F$894),$B$511=1),$F$894,HLOOKUP(INDIRECT(ADDRESS(2,COLUMN())),OFFSET($BN$2,0,0,ROW()-1,60),ROW()-1,FALSE))</f>
        <v/>
      </c>
      <c r="G395">
        <f ca="1">IF(AND(ISNUMBER($G$894),$B$511=1),$G$894,HLOOKUP(INDIRECT(ADDRESS(2,COLUMN())),OFFSET($BN$2,0,0,ROW()-1,60),ROW()-1,FALSE))</f>
        <v>8825.5639250000004</v>
      </c>
      <c r="H395">
        <f ca="1">IF(AND(ISNUMBER($H$894),$B$511=1),$H$894,HLOOKUP(INDIRECT(ADDRESS(2,COLUMN())),OFFSET($BN$2,0,0,ROW()-1,60),ROW()-1,FALSE))</f>
        <v>9665.5681910000003</v>
      </c>
      <c r="I395">
        <f ca="1">IF(AND(ISNUMBER($I$894),$B$511=1),$I$894,HLOOKUP(INDIRECT(ADDRESS(2,COLUMN())),OFFSET($BN$2,0,0,ROW()-1,60),ROW()-1,FALSE))</f>
        <v>8718.2345509999996</v>
      </c>
      <c r="J395">
        <f ca="1">IF(AND(ISNUMBER($J$894),$B$511=1),$J$894,HLOOKUP(INDIRECT(ADDRESS(2,COLUMN())),OFFSET($BN$2,0,0,ROW()-1,60),ROW()-1,FALSE))</f>
        <v>10293.35428</v>
      </c>
      <c r="K395">
        <f ca="1">IF(AND(ISNUMBER($K$894),$B$511=1),$K$894,HLOOKUP(INDIRECT(ADDRESS(2,COLUMN())),OFFSET($BN$2,0,0,ROW()-1,60),ROW()-1,FALSE))</f>
        <v>11530.96774</v>
      </c>
      <c r="L395">
        <f ca="1">IF(AND(ISNUMBER($L$894),$B$511=1),$L$894,HLOOKUP(INDIRECT(ADDRESS(2,COLUMN())),OFFSET($BN$2,0,0,ROW()-1,60),ROW()-1,FALSE))</f>
        <v>9077.8380099999995</v>
      </c>
      <c r="M395">
        <f ca="1">IF(AND(ISNUMBER($M$894),$B$511=1),$M$894,HLOOKUP(INDIRECT(ADDRESS(2,COLUMN())),OFFSET($BN$2,0,0,ROW()-1,60),ROW()-1,FALSE))</f>
        <v>12315.49395</v>
      </c>
      <c r="N395">
        <f ca="1">IF(AND(ISNUMBER($N$894),$B$511=1),$N$894,HLOOKUP(INDIRECT(ADDRESS(2,COLUMN())),OFFSET($BN$2,0,0,ROW()-1,60),ROW()-1,FALSE))</f>
        <v>12426.02173</v>
      </c>
      <c r="O395">
        <f ca="1">IF(AND(ISNUMBER($O$894),$B$511=1),$O$894,HLOOKUP(INDIRECT(ADDRESS(2,COLUMN())),OFFSET($BN$2,0,0,ROW()-1,60),ROW()-1,FALSE))</f>
        <v>12327.316199999999</v>
      </c>
      <c r="P395">
        <f ca="1">IF(AND(ISNUMBER($P$894),$B$511=1),$P$894,HLOOKUP(INDIRECT(ADDRESS(2,COLUMN())),OFFSET($BN$2,0,0,ROW()-1,60),ROW()-1,FALSE))</f>
        <v>12998.278039999999</v>
      </c>
      <c r="Q395">
        <f ca="1">IF(AND(ISNUMBER($Q$894),$B$511=1),$Q$894,HLOOKUP(INDIRECT(ADDRESS(2,COLUMN())),OFFSET($BN$2,0,0,ROW()-1,60),ROW()-1,FALSE))</f>
        <v>13373.710580000001</v>
      </c>
      <c r="R395">
        <f ca="1">IF(AND(ISNUMBER($R$894),$B$511=1),$R$894,HLOOKUP(INDIRECT(ADDRESS(2,COLUMN())),OFFSET($BN$2,0,0,ROW()-1,60),ROW()-1,FALSE))</f>
        <v>17011.049719999999</v>
      </c>
      <c r="S395">
        <f ca="1">IF(AND(ISNUMBER($S$894),$B$511=1),$S$894,HLOOKUP(INDIRECT(ADDRESS(2,COLUMN())),OFFSET($BN$2,0,0,ROW()-1,60),ROW()-1,FALSE))</f>
        <v>16858.366979999999</v>
      </c>
      <c r="T395">
        <f ca="1">IF(AND(ISNUMBER($T$894),$B$511=1),$T$894,HLOOKUP(INDIRECT(ADDRESS(2,COLUMN())),OFFSET($BN$2,0,0,ROW()-1,60),ROW()-1,FALSE))</f>
        <v>15901.19803</v>
      </c>
      <c r="U395">
        <f ca="1">IF(AND(ISNUMBER($U$894),$B$511=1),$U$894,HLOOKUP(INDIRECT(ADDRESS(2,COLUMN())),OFFSET($BN$2,0,0,ROW()-1,60),ROW()-1,FALSE))</f>
        <v>14147.11745</v>
      </c>
      <c r="V395">
        <f ca="1">IF(AND(ISNUMBER($V$894),$B$511=1),$V$894,HLOOKUP(INDIRECT(ADDRESS(2,COLUMN())),OFFSET($BN$2,0,0,ROW()-1,60),ROW()-1,FALSE))</f>
        <v>14039.47278</v>
      </c>
      <c r="W395">
        <f ca="1">IF(AND(ISNUMBER($W$894),$B$511=1),$W$894,HLOOKUP(INDIRECT(ADDRESS(2,COLUMN())),OFFSET($BN$2,0,0,ROW()-1,60),ROW()-1,FALSE))</f>
        <v>15816.36385</v>
      </c>
      <c r="X395">
        <f ca="1">IF(AND(ISNUMBER($X$894),$B$511=1),$X$894,HLOOKUP(INDIRECT(ADDRESS(2,COLUMN())),OFFSET($BN$2,0,0,ROW()-1,60),ROW()-1,FALSE))</f>
        <v>16449.69989</v>
      </c>
      <c r="Y395">
        <f ca="1">IF(AND(ISNUMBER($Y$894),$B$511=1),$Y$894,HLOOKUP(INDIRECT(ADDRESS(2,COLUMN())),OFFSET($BN$2,0,0,ROW()-1,60),ROW()-1,FALSE))</f>
        <v>18968.152190000001</v>
      </c>
      <c r="Z395">
        <f ca="1">IF(AND(ISNUMBER($Z$894),$B$511=1),$Z$894,HLOOKUP(INDIRECT(ADDRESS(2,COLUMN())),OFFSET($BN$2,0,0,ROW()-1,60),ROW()-1,FALSE))</f>
        <v>18667.59822</v>
      </c>
      <c r="AA395">
        <f ca="1">IF(AND(ISNUMBER($AA$894),$B$511=1),$AA$894,HLOOKUP(INDIRECT(ADDRESS(2,COLUMN())),OFFSET($BN$2,0,0,ROW()-1,60),ROW()-1,FALSE))</f>
        <v>17524.44123</v>
      </c>
      <c r="AB395">
        <f ca="1">IF(AND(ISNUMBER($AB$894),$B$511=1),$AB$894,HLOOKUP(INDIRECT(ADDRESS(2,COLUMN())),OFFSET($BN$2,0,0,ROW()-1,60),ROW()-1,FALSE))</f>
        <v>20460.101780000001</v>
      </c>
      <c r="AC395">
        <f ca="1">IF(AND(ISNUMBER($AC$894),$B$511=1),$AC$894,HLOOKUP(INDIRECT(ADDRESS(2,COLUMN())),OFFSET($BN$2,0,0,ROW()-1,60),ROW()-1,FALSE))</f>
        <v>18857.364280000002</v>
      </c>
      <c r="AD395">
        <f ca="1">IF(AND(ISNUMBER($AD$894),$B$511=1),$AD$894,HLOOKUP(INDIRECT(ADDRESS(2,COLUMN())),OFFSET($BN$2,0,0,ROW()-1,60),ROW()-1,FALSE))</f>
        <v>18343.29752</v>
      </c>
      <c r="AE395">
        <f ca="1">IF(AND(ISNUMBER($AE$894),$B$511=1),$AE$894,HLOOKUP(INDIRECT(ADDRESS(2,COLUMN())),OFFSET($BN$2,0,0,ROW()-1,60),ROW()-1,FALSE))</f>
        <v>19567.537240000001</v>
      </c>
      <c r="AF395">
        <f ca="1">IF(AND(ISNUMBER($AF$894),$B$511=1),$AF$894,HLOOKUP(INDIRECT(ADDRESS(2,COLUMN())),OFFSET($BN$2,0,0,ROW()-1,60),ROW()-1,FALSE))</f>
        <v>22741.843509999999</v>
      </c>
      <c r="AG395">
        <f ca="1">IF(AND(ISNUMBER($AG$894),$B$511=1),$AG$894,HLOOKUP(INDIRECT(ADDRESS(2,COLUMN())),OFFSET($BN$2,0,0,ROW()-1,60),ROW()-1,FALSE))</f>
        <v>24919.397389999998</v>
      </c>
      <c r="AH395">
        <f ca="1">IF(AND(ISNUMBER($AH$894),$B$511=1),$AH$894,HLOOKUP(INDIRECT(ADDRESS(2,COLUMN())),OFFSET($BN$2,0,0,ROW()-1,60),ROW()-1,FALSE))</f>
        <v>26020.27535</v>
      </c>
      <c r="AI395">
        <f ca="1">IF(AND(ISNUMBER($AI$894),$B$511=1),$AI$894,HLOOKUP(INDIRECT(ADDRESS(2,COLUMN())),OFFSET($BN$2,0,0,ROW()-1,60),ROW()-1,FALSE))</f>
        <v>23659.464400000001</v>
      </c>
      <c r="AJ395">
        <f ca="1">IF(AND(ISNUMBER($AJ$894),$B$511=1),$AJ$894,HLOOKUP(INDIRECT(ADDRESS(2,COLUMN())),OFFSET($BN$2,0,0,ROW()-1,60),ROW()-1,FALSE))</f>
        <v>24869.365679999999</v>
      </c>
      <c r="AK395">
        <f ca="1">IF(AND(ISNUMBER($AK$894),$B$511=1),$AK$894,HLOOKUP(INDIRECT(ADDRESS(2,COLUMN())),OFFSET($BN$2,0,0,ROW()-1,60),ROW()-1,FALSE))</f>
        <v>27979.909919999998</v>
      </c>
      <c r="AL395">
        <f ca="1">IF(AND(ISNUMBER($AL$894),$B$511=1),$AL$894,HLOOKUP(INDIRECT(ADDRESS(2,COLUMN())),OFFSET($BN$2,0,0,ROW()-1,60),ROW()-1,FALSE))</f>
        <v>26510.19327</v>
      </c>
      <c r="AM395">
        <f ca="1">IF(AND(ISNUMBER($AM$894),$B$511=1),$AM$894,HLOOKUP(INDIRECT(ADDRESS(2,COLUMN())),OFFSET($BN$2,0,0,ROW()-1,60),ROW()-1,FALSE))</f>
        <v>20635.243429999999</v>
      </c>
      <c r="AN395" t="str">
        <f ca="1">IF(AND(ISNUMBER($AN$894),$B$511=1),$AN$894,HLOOKUP(INDIRECT(ADDRESS(2,COLUMN())),OFFSET($BN$2,0,0,ROW()-1,60),ROW()-1,FALSE))</f>
        <v/>
      </c>
      <c r="AO395" t="str">
        <f ca="1">IF(AND(ISNUMBER($AO$894),$B$511=1),$AO$894,HLOOKUP(INDIRECT(ADDRESS(2,COLUMN())),OFFSET($BN$2,0,0,ROW()-1,60),ROW()-1,FALSE))</f>
        <v/>
      </c>
      <c r="AP395" t="str">
        <f ca="1">IF(AND(ISNUMBER($AP$894),$B$511=1),$AP$894,HLOOKUP(INDIRECT(ADDRESS(2,COLUMN())),OFFSET($BN$2,0,0,ROW()-1,60),ROW()-1,FALSE))</f>
        <v/>
      </c>
      <c r="AQ395" t="str">
        <f ca="1">IF(AND(ISNUMBER($AQ$894),$B$511=1),$AQ$894,HLOOKUP(INDIRECT(ADDRESS(2,COLUMN())),OFFSET($BN$2,0,0,ROW()-1,60),ROW()-1,FALSE))</f>
        <v/>
      </c>
      <c r="AR395" t="str">
        <f ca="1">IF(AND(ISNUMBER($AR$894),$B$511=1),$AR$894,HLOOKUP(INDIRECT(ADDRESS(2,COLUMN())),OFFSET($BN$2,0,0,ROW()-1,60),ROW()-1,FALSE))</f>
        <v/>
      </c>
      <c r="AS395" t="str">
        <f ca="1">IF(AND(ISNUMBER($AS$894),$B$511=1),$AS$894,HLOOKUP(INDIRECT(ADDRESS(2,COLUMN())),OFFSET($BN$2,0,0,ROW()-1,60),ROW()-1,FALSE))</f>
        <v/>
      </c>
      <c r="AT395" t="str">
        <f ca="1">IF(AND(ISNUMBER($AT$894),$B$511=1),$AT$894,HLOOKUP(INDIRECT(ADDRESS(2,COLUMN())),OFFSET($BN$2,0,0,ROW()-1,60),ROW()-1,FALSE))</f>
        <v/>
      </c>
      <c r="AU395" t="str">
        <f ca="1">IF(AND(ISNUMBER($AU$894),$B$511=1),$AU$894,HLOOKUP(INDIRECT(ADDRESS(2,COLUMN())),OFFSET($BN$2,0,0,ROW()-1,60),ROW()-1,FALSE))</f>
        <v/>
      </c>
      <c r="AV395" t="str">
        <f ca="1">IF(AND(ISNUMBER($AV$894),$B$511=1),$AV$894,HLOOKUP(INDIRECT(ADDRESS(2,COLUMN())),OFFSET($BN$2,0,0,ROW()-1,60),ROW()-1,FALSE))</f>
        <v/>
      </c>
      <c r="AW395" t="str">
        <f ca="1">IF(AND(ISNUMBER($AW$894),$B$511=1),$AW$894,HLOOKUP(INDIRECT(ADDRESS(2,COLUMN())),OFFSET($BN$2,0,0,ROW()-1,60),ROW()-1,FALSE))</f>
        <v/>
      </c>
      <c r="AX395" t="str">
        <f ca="1">IF(AND(ISNUMBER($AX$894),$B$511=1),$AX$894,HLOOKUP(INDIRECT(ADDRESS(2,COLUMN())),OFFSET($BN$2,0,0,ROW()-1,60),ROW()-1,FALSE))</f>
        <v/>
      </c>
      <c r="AY395" t="str">
        <f ca="1">IF(AND(ISNUMBER($AY$894),$B$511=1),$AY$894,HLOOKUP(INDIRECT(ADDRESS(2,COLUMN())),OFFSET($BN$2,0,0,ROW()-1,60),ROW()-1,FALSE))</f>
        <v/>
      </c>
      <c r="AZ395" t="str">
        <f ca="1">IF(AND(ISNUMBER($AZ$894),$B$511=1),$AZ$894,HLOOKUP(INDIRECT(ADDRESS(2,COLUMN())),OFFSET($BN$2,0,0,ROW()-1,60),ROW()-1,FALSE))</f>
        <v/>
      </c>
      <c r="BA395" t="str">
        <f ca="1">IF(AND(ISNUMBER($BA$894),$B$511=1),$BA$894,HLOOKUP(INDIRECT(ADDRESS(2,COLUMN())),OFFSET($BN$2,0,0,ROW()-1,60),ROW()-1,FALSE))</f>
        <v/>
      </c>
      <c r="BB395" t="str">
        <f ca="1">IF(AND(ISNUMBER($BB$894),$B$511=1),$BB$894,HLOOKUP(INDIRECT(ADDRESS(2,COLUMN())),OFFSET($BN$2,0,0,ROW()-1,60),ROW()-1,FALSE))</f>
        <v/>
      </c>
      <c r="BC395" t="str">
        <f ca="1">IF(AND(ISNUMBER($BC$894),$B$511=1),$BC$894,HLOOKUP(INDIRECT(ADDRESS(2,COLUMN())),OFFSET($BN$2,0,0,ROW()-1,60),ROW()-1,FALSE))</f>
        <v/>
      </c>
      <c r="BD395" t="str">
        <f ca="1">IF(AND(ISNUMBER($BD$894),$B$511=1),$BD$894,HLOOKUP(INDIRECT(ADDRESS(2,COLUMN())),OFFSET($BN$2,0,0,ROW()-1,60),ROW()-1,FALSE))</f>
        <v/>
      </c>
      <c r="BE395" t="str">
        <f ca="1">IF(AND(ISNUMBER($BE$894),$B$511=1),$BE$894,HLOOKUP(INDIRECT(ADDRESS(2,COLUMN())),OFFSET($BN$2,0,0,ROW()-1,60),ROW()-1,FALSE))</f>
        <v/>
      </c>
      <c r="BF395" t="str">
        <f ca="1">IF(AND(ISNUMBER($BF$894),$B$511=1),$BF$894,HLOOKUP(INDIRECT(ADDRESS(2,COLUMN())),OFFSET($BN$2,0,0,ROW()-1,60),ROW()-1,FALSE))</f>
        <v/>
      </c>
      <c r="BG395" t="str">
        <f ca="1">IF(AND(ISNUMBER($BG$894),$B$511=1),$BG$894,HLOOKUP(INDIRECT(ADDRESS(2,COLUMN())),OFFSET($BN$2,0,0,ROW()-1,60),ROW()-1,FALSE))</f>
        <v/>
      </c>
      <c r="BH395" t="str">
        <f ca="1">IF(AND(ISNUMBER($BH$894),$B$511=1),$BH$894,HLOOKUP(INDIRECT(ADDRESS(2,COLUMN())),OFFSET($BN$2,0,0,ROW()-1,60),ROW()-1,FALSE))</f>
        <v/>
      </c>
      <c r="BI395" t="str">
        <f ca="1">IF(AND(ISNUMBER($BI$894),$B$511=1),$BI$894,HLOOKUP(INDIRECT(ADDRESS(2,COLUMN())),OFFSET($BN$2,0,0,ROW()-1,60),ROW()-1,FALSE))</f>
        <v/>
      </c>
      <c r="BJ395" t="str">
        <f ca="1">IF(AND(ISNUMBER($BJ$894),$B$511=1),$BJ$894,HLOOKUP(INDIRECT(ADDRESS(2,COLUMN())),OFFSET($BN$2,0,0,ROW()-1,60),ROW()-1,FALSE))</f>
        <v/>
      </c>
      <c r="BK395" t="str">
        <f ca="1">IF(AND(ISNUMBER($BK$894),$B$511=1),$BK$894,HLOOKUP(INDIRECT(ADDRESS(2,COLUMN())),OFFSET($BN$2,0,0,ROW()-1,60),ROW()-1,FALSE))</f>
        <v/>
      </c>
      <c r="BL395" t="str">
        <f ca="1">IF(AND(ISNUMBER($BL$894),$B$511=1),$BL$894,HLOOKUP(INDIRECT(ADDRESS(2,COLUMN())),OFFSET($BN$2,0,0,ROW()-1,60),ROW()-1,FALSE))</f>
        <v/>
      </c>
      <c r="BM395" t="str">
        <f ca="1">IF(AND(ISNUMBER($BM$894),$B$511=1),$BM$894,HLOOKUP(INDIRECT(ADDRESS(2,COLUMN())),OFFSET($BN$2,0,0,ROW()-1,60),ROW()-1,FALSE))</f>
        <v/>
      </c>
      <c r="BN395" t="str">
        <f>""</f>
        <v/>
      </c>
      <c r="BO395">
        <f>8825.563925</f>
        <v>8825.5639250000004</v>
      </c>
      <c r="BP395">
        <f>9665.568191</f>
        <v>9665.5681910000003</v>
      </c>
      <c r="BQ395">
        <f>8718.234551</f>
        <v>8718.2345509999996</v>
      </c>
      <c r="BR395">
        <f>10293.35428</f>
        <v>10293.35428</v>
      </c>
      <c r="BS395">
        <f>11530.96774</f>
        <v>11530.96774</v>
      </c>
      <c r="BT395">
        <f>9077.83801</f>
        <v>9077.8380099999995</v>
      </c>
      <c r="BU395">
        <f>12315.49395</f>
        <v>12315.49395</v>
      </c>
      <c r="BV395">
        <f>12426.02173</f>
        <v>12426.02173</v>
      </c>
      <c r="BW395">
        <f>12327.3162</f>
        <v>12327.316199999999</v>
      </c>
      <c r="BX395">
        <f>12998.27804</f>
        <v>12998.278039999999</v>
      </c>
      <c r="BY395">
        <f>13373.71058</f>
        <v>13373.710580000001</v>
      </c>
      <c r="BZ395">
        <f>17011.04972</f>
        <v>17011.049719999999</v>
      </c>
      <c r="CA395">
        <f>16858.36698</f>
        <v>16858.366979999999</v>
      </c>
      <c r="CB395">
        <f>15901.19803</f>
        <v>15901.19803</v>
      </c>
      <c r="CC395">
        <f>14147.11745</f>
        <v>14147.11745</v>
      </c>
      <c r="CD395">
        <f>14039.47278</f>
        <v>14039.47278</v>
      </c>
      <c r="CE395">
        <f>15816.36385</f>
        <v>15816.36385</v>
      </c>
      <c r="CF395">
        <f>16449.69989</f>
        <v>16449.69989</v>
      </c>
      <c r="CG395">
        <f>18968.15219</f>
        <v>18968.152190000001</v>
      </c>
      <c r="CH395">
        <f>18667.59822</f>
        <v>18667.59822</v>
      </c>
      <c r="CI395">
        <f>17524.44123</f>
        <v>17524.44123</v>
      </c>
      <c r="CJ395">
        <f>20460.10178</f>
        <v>20460.101780000001</v>
      </c>
      <c r="CK395">
        <f>18857.36428</f>
        <v>18857.364280000002</v>
      </c>
      <c r="CL395">
        <f>18343.29752</f>
        <v>18343.29752</v>
      </c>
      <c r="CM395">
        <f>19567.53724</f>
        <v>19567.537240000001</v>
      </c>
      <c r="CN395">
        <f>22741.84351</f>
        <v>22741.843509999999</v>
      </c>
      <c r="CO395">
        <f>24919.39739</f>
        <v>24919.397389999998</v>
      </c>
      <c r="CP395">
        <f>26020.27535</f>
        <v>26020.27535</v>
      </c>
      <c r="CQ395">
        <f>23659.4644</f>
        <v>23659.464400000001</v>
      </c>
      <c r="CR395">
        <f>24869.36568</f>
        <v>24869.365679999999</v>
      </c>
      <c r="CS395">
        <f>27979.90992</f>
        <v>27979.909919999998</v>
      </c>
      <c r="CT395">
        <f>26510.19327</f>
        <v>26510.19327</v>
      </c>
      <c r="CU395">
        <f>20635.24343</f>
        <v>20635.243429999999</v>
      </c>
      <c r="CV395" t="str">
        <f>""</f>
        <v/>
      </c>
      <c r="CW395" t="str">
        <f>""</f>
        <v/>
      </c>
      <c r="CX395" t="str">
        <f>""</f>
        <v/>
      </c>
      <c r="CY395" t="str">
        <f>""</f>
        <v/>
      </c>
      <c r="CZ395" t="str">
        <f>""</f>
        <v/>
      </c>
      <c r="DA395" t="str">
        <f>""</f>
        <v/>
      </c>
      <c r="DB395" t="str">
        <f>""</f>
        <v/>
      </c>
      <c r="DC395" t="str">
        <f>""</f>
        <v/>
      </c>
      <c r="DD395" t="str">
        <f>""</f>
        <v/>
      </c>
      <c r="DE395" t="str">
        <f>""</f>
        <v/>
      </c>
      <c r="DF395" t="str">
        <f>""</f>
        <v/>
      </c>
      <c r="DG395" t="str">
        <f>""</f>
        <v/>
      </c>
      <c r="DH395" t="str">
        <f>""</f>
        <v/>
      </c>
      <c r="DI395" t="str">
        <f>""</f>
        <v/>
      </c>
      <c r="DJ395" t="str">
        <f>""</f>
        <v/>
      </c>
      <c r="DK395" t="str">
        <f>""</f>
        <v/>
      </c>
      <c r="DL395" t="str">
        <f>""</f>
        <v/>
      </c>
      <c r="DM395" t="str">
        <f>""</f>
        <v/>
      </c>
      <c r="DN395" t="str">
        <f>""</f>
        <v/>
      </c>
      <c r="DO395" t="str">
        <f>""</f>
        <v/>
      </c>
      <c r="DP395" t="str">
        <f>""</f>
        <v/>
      </c>
      <c r="DQ395" t="str">
        <f>""</f>
        <v/>
      </c>
      <c r="DR395" t="str">
        <f>""</f>
        <v/>
      </c>
      <c r="DS395" t="str">
        <f>""</f>
        <v/>
      </c>
      <c r="DT395" t="str">
        <f>""</f>
        <v/>
      </c>
      <c r="DU395" t="str">
        <f>""</f>
        <v/>
      </c>
    </row>
    <row r="396" spans="1:125" x14ac:dyDescent="0.25">
      <c r="A396" t="str">
        <f>"    Mazda Motor Corp"</f>
        <v xml:space="preserve">    Mazda Motor Corp</v>
      </c>
      <c r="B396" t="str">
        <f>"7261 JP Equity"</f>
        <v>7261 JP Equity</v>
      </c>
      <c r="C396" t="str">
        <f t="shared" si="27"/>
        <v>RR937</v>
      </c>
      <c r="D396" t="str">
        <f t="shared" si="28"/>
        <v>CRNCY_ADJ_CURR_EV</v>
      </c>
      <c r="E396" t="str">
        <f t="shared" si="29"/>
        <v>Dynamic</v>
      </c>
      <c r="F396">
        <f ca="1">IF(AND(ISNUMBER($F$895),$B$511=1),$F$895,HLOOKUP(INDIRECT(ADDRESS(2,COLUMN())),OFFSET($BN$2,0,0,ROW()-1,60),ROW()-1,FALSE))</f>
        <v>6927.0918700000002</v>
      </c>
      <c r="G396">
        <f ca="1">IF(AND(ISNUMBER($G$895),$B$511=1),$G$895,HLOOKUP(INDIRECT(ADDRESS(2,COLUMN())),OFFSET($BN$2,0,0,ROW()-1,60),ROW()-1,FALSE))</f>
        <v>6070.8225359999997</v>
      </c>
      <c r="H396">
        <f ca="1">IF(AND(ISNUMBER($H$895),$B$511=1),$H$895,HLOOKUP(INDIRECT(ADDRESS(2,COLUMN())),OFFSET($BN$2,0,0,ROW()-1,60),ROW()-1,FALSE))</f>
        <v>6822.516541</v>
      </c>
      <c r="I396">
        <f ca="1">IF(AND(ISNUMBER($I$895),$B$511=1),$I$895,HLOOKUP(INDIRECT(ADDRESS(2,COLUMN())),OFFSET($BN$2,0,0,ROW()-1,60),ROW()-1,FALSE))</f>
        <v>7214.3745390000004</v>
      </c>
      <c r="J396">
        <f ca="1">IF(AND(ISNUMBER($J$895),$B$511=1),$J$895,HLOOKUP(INDIRECT(ADDRESS(2,COLUMN())),OFFSET($BN$2,0,0,ROW()-1,60),ROW()-1,FALSE))</f>
        <v>7510.1138810000002</v>
      </c>
      <c r="K396">
        <f ca="1">IF(AND(ISNUMBER($K$895),$B$511=1),$K$895,HLOOKUP(INDIRECT(ADDRESS(2,COLUMN())),OFFSET($BN$2,0,0,ROW()-1,60),ROW()-1,FALSE))</f>
        <v>8220.2586100000008</v>
      </c>
      <c r="L396">
        <f ca="1">IF(AND(ISNUMBER($L$895),$B$511=1),$L$895,HLOOKUP(INDIRECT(ADDRESS(2,COLUMN())),OFFSET($BN$2,0,0,ROW()-1,60),ROW()-1,FALSE))</f>
        <v>8893.5730889999995</v>
      </c>
      <c r="M396">
        <f ca="1">IF(AND(ISNUMBER($M$895),$B$511=1),$M$895,HLOOKUP(INDIRECT(ADDRESS(2,COLUMN())),OFFSET($BN$2,0,0,ROW()-1,60),ROW()-1,FALSE))</f>
        <v>8411.408684</v>
      </c>
      <c r="N396">
        <f ca="1">IF(AND(ISNUMBER($N$895),$B$511=1),$N$895,HLOOKUP(INDIRECT(ADDRESS(2,COLUMN())),OFFSET($BN$2,0,0,ROW()-1,60),ROW()-1,FALSE))</f>
        <v>8539.7485199999992</v>
      </c>
      <c r="O396">
        <f ca="1">IF(AND(ISNUMBER($O$895),$B$511=1),$O$895,HLOOKUP(INDIRECT(ADDRESS(2,COLUMN())),OFFSET($BN$2,0,0,ROW()-1,60),ROW()-1,FALSE))</f>
        <v>10177.734340000001</v>
      </c>
      <c r="P396">
        <f ca="1">IF(AND(ISNUMBER($P$895),$B$511=1),$P$895,HLOOKUP(INDIRECT(ADDRESS(2,COLUMN())),OFFSET($BN$2,0,0,ROW()-1,60),ROW()-1,FALSE))</f>
        <v>9112.5930229999994</v>
      </c>
      <c r="Q396">
        <f ca="1">IF(AND(ISNUMBER($Q$895),$B$511=1),$Q$895,HLOOKUP(INDIRECT(ADDRESS(2,COLUMN())),OFFSET($BN$2,0,0,ROW()-1,60),ROW()-1,FALSE))</f>
        <v>8281.469024</v>
      </c>
      <c r="R396">
        <f ca="1">IF(AND(ISNUMBER($R$895),$B$511=1),$R$895,HLOOKUP(INDIRECT(ADDRESS(2,COLUMN())),OFFSET($BN$2,0,0,ROW()-1,60),ROW()-1,FALSE))</f>
        <v>9677.035914</v>
      </c>
      <c r="S396">
        <f ca="1">IF(AND(ISNUMBER($S$895),$B$511=1),$S$895,HLOOKUP(INDIRECT(ADDRESS(2,COLUMN())),OFFSET($BN$2,0,0,ROW()-1,60),ROW()-1,FALSE))</f>
        <v>13494.78263</v>
      </c>
      <c r="T396">
        <f ca="1">IF(AND(ISNUMBER($T$895),$B$511=1),$T$895,HLOOKUP(INDIRECT(ADDRESS(2,COLUMN())),OFFSET($BN$2,0,0,ROW()-1,60),ROW()-1,FALSE))</f>
        <v>10445.240390000001</v>
      </c>
      <c r="U396">
        <f ca="1">IF(AND(ISNUMBER($U$895),$B$511=1),$U$895,HLOOKUP(INDIRECT(ADDRESS(2,COLUMN())),OFFSET($BN$2,0,0,ROW()-1,60),ROW()-1,FALSE))</f>
        <v>13173.079110000001</v>
      </c>
      <c r="V396">
        <f ca="1">IF(AND(ISNUMBER($V$895),$B$511=1),$V$895,HLOOKUP(INDIRECT(ADDRESS(2,COLUMN())),OFFSET($BN$2,0,0,ROW()-1,60),ROW()-1,FALSE))</f>
        <v>13473.19146</v>
      </c>
      <c r="W396">
        <f ca="1">IF(AND(ISNUMBER($W$895),$B$511=1),$W$895,HLOOKUP(INDIRECT(ADDRESS(2,COLUMN())),OFFSET($BN$2,0,0,ROW()-1,60),ROW()-1,FALSE))</f>
        <v>17144.08582</v>
      </c>
      <c r="X396">
        <f ca="1">IF(AND(ISNUMBER($X$895),$B$511=1),$X$895,HLOOKUP(INDIRECT(ADDRESS(2,COLUMN())),OFFSET($BN$2,0,0,ROW()-1,60),ROW()-1,FALSE))</f>
        <v>17471.399939999999</v>
      </c>
      <c r="Y396">
        <f ca="1">IF(AND(ISNUMBER($Y$895),$B$511=1),$Y$895,HLOOKUP(INDIRECT(ADDRESS(2,COLUMN())),OFFSET($BN$2,0,0,ROW()-1,60),ROW()-1,FALSE))</f>
        <v>16809.964309999999</v>
      </c>
      <c r="Z396">
        <f ca="1">IF(AND(ISNUMBER($Z$895),$B$511=1),$Z$895,HLOOKUP(INDIRECT(ADDRESS(2,COLUMN())),OFFSET($BN$2,0,0,ROW()-1,60),ROW()-1,FALSE))</f>
        <v>15631.34635</v>
      </c>
      <c r="AA396">
        <f ca="1">IF(AND(ISNUMBER($AA$895),$B$511=1),$AA$895,HLOOKUP(INDIRECT(ADDRESS(2,COLUMN())),OFFSET($BN$2,0,0,ROW()-1,60),ROW()-1,FALSE))</f>
        <v>18583.092199999999</v>
      </c>
      <c r="AB396">
        <f ca="1">IF(AND(ISNUMBER($AB$895),$B$511=1),$AB$895,HLOOKUP(INDIRECT(ADDRESS(2,COLUMN())),OFFSET($BN$2,0,0,ROW()-1,60),ROW()-1,FALSE))</f>
        <v>16727.0435</v>
      </c>
      <c r="AC396">
        <f ca="1">IF(AND(ISNUMBER($AC$895),$B$511=1),$AC$895,HLOOKUP(INDIRECT(ADDRESS(2,COLUMN())),OFFSET($BN$2,0,0,ROW()-1,60),ROW()-1,FALSE))</f>
        <v>15040.60787</v>
      </c>
      <c r="AD396">
        <f ca="1">IF(AND(ISNUMBER($AD$895),$B$511=1),$AD$895,HLOOKUP(INDIRECT(ADDRESS(2,COLUMN())),OFFSET($BN$2,0,0,ROW()-1,60),ROW()-1,FALSE))</f>
        <v>12021.99173</v>
      </c>
      <c r="AE396">
        <f ca="1">IF(AND(ISNUMBER($AE$895),$B$511=1),$AE$895,HLOOKUP(INDIRECT(ADDRESS(2,COLUMN())),OFFSET($BN$2,0,0,ROW()-1,60),ROW()-1,FALSE))</f>
        <v>10182.77968</v>
      </c>
      <c r="AF396">
        <f ca="1">IF(AND(ISNUMBER($AF$895),$B$511=1),$AF$895,HLOOKUP(INDIRECT(ADDRESS(2,COLUMN())),OFFSET($BN$2,0,0,ROW()-1,60),ROW()-1,FALSE))</f>
        <v>7719.7041470000004</v>
      </c>
      <c r="AG396">
        <f ca="1">IF(AND(ISNUMBER($AG$895),$B$511=1),$AG$895,HLOOKUP(INDIRECT(ADDRESS(2,COLUMN())),OFFSET($BN$2,0,0,ROW()-1,60),ROW()-1,FALSE))</f>
        <v>8199.3156170000002</v>
      </c>
      <c r="AH396">
        <f ca="1">IF(AND(ISNUMBER($AH$895),$B$511=1),$AH$895,HLOOKUP(INDIRECT(ADDRESS(2,COLUMN())),OFFSET($BN$2,0,0,ROW()-1,60),ROW()-1,FALSE))</f>
        <v>8955.5213480000002</v>
      </c>
      <c r="AI396">
        <f ca="1">IF(AND(ISNUMBER($AI$895),$B$511=1),$AI$895,HLOOKUP(INDIRECT(ADDRESS(2,COLUMN())),OFFSET($BN$2,0,0,ROW()-1,60),ROW()-1,FALSE))</f>
        <v>9713.8372780000009</v>
      </c>
      <c r="AJ396">
        <f ca="1">IF(AND(ISNUMBER($AJ$895),$B$511=1),$AJ$895,HLOOKUP(INDIRECT(ADDRESS(2,COLUMN())),OFFSET($BN$2,0,0,ROW()-1,60),ROW()-1,FALSE))</f>
        <v>9187.1873959999994</v>
      </c>
      <c r="AK396">
        <f ca="1">IF(AND(ISNUMBER($AK$895),$B$511=1),$AK$895,HLOOKUP(INDIRECT(ADDRESS(2,COLUMN())),OFFSET($BN$2,0,0,ROW()-1,60),ROW()-1,FALSE))</f>
        <v>9814.3947389999994</v>
      </c>
      <c r="AL396">
        <f ca="1">IF(AND(ISNUMBER($AL$895),$B$511=1),$AL$895,HLOOKUP(INDIRECT(ADDRESS(2,COLUMN())),OFFSET($BN$2,0,0,ROW()-1,60),ROW()-1,FALSE))</f>
        <v>8417.45831</v>
      </c>
      <c r="AM396">
        <f ca="1">IF(AND(ISNUMBER($AM$895),$B$511=1),$AM$895,HLOOKUP(INDIRECT(ADDRESS(2,COLUMN())),OFFSET($BN$2,0,0,ROW()-1,60),ROW()-1,FALSE))</f>
        <v>10297.687099999999</v>
      </c>
      <c r="AN396">
        <f ca="1">IF(AND(ISNUMBER($AN$895),$B$511=1),$AN$895,HLOOKUP(INDIRECT(ADDRESS(2,COLUMN())),OFFSET($BN$2,0,0,ROW()-1,60),ROW()-1,FALSE))</f>
        <v>8617.0844199999992</v>
      </c>
      <c r="AO396">
        <f ca="1">IF(AND(ISNUMBER($AO$895),$B$511=1),$AO$895,HLOOKUP(INDIRECT(ADDRESS(2,COLUMN())),OFFSET($BN$2,0,0,ROW()-1,60),ROW()-1,FALSE))</f>
        <v>8279.5581700000002</v>
      </c>
      <c r="AP396">
        <f ca="1">IF(AND(ISNUMBER($AP$895),$B$511=1),$AP$895,HLOOKUP(INDIRECT(ADDRESS(2,COLUMN())),OFFSET($BN$2,0,0,ROW()-1,60),ROW()-1,FALSE))</f>
        <v>8840.6599650000007</v>
      </c>
      <c r="AQ396">
        <f ca="1">IF(AND(ISNUMBER($AQ$895),$B$511=1),$AQ$895,HLOOKUP(INDIRECT(ADDRESS(2,COLUMN())),OFFSET($BN$2,0,0,ROW()-1,60),ROW()-1,FALSE))</f>
        <v>8628.5669799999996</v>
      </c>
      <c r="AR396">
        <f ca="1">IF(AND(ISNUMBER($AR$895),$B$511=1),$AR$895,HLOOKUP(INDIRECT(ADDRESS(2,COLUMN())),OFFSET($BN$2,0,0,ROW()-1,60),ROW()-1,FALSE))</f>
        <v>9008.1443940000008</v>
      </c>
      <c r="AS396">
        <f ca="1">IF(AND(ISNUMBER($AS$895),$B$511=1),$AS$895,HLOOKUP(INDIRECT(ADDRESS(2,COLUMN())),OFFSET($BN$2,0,0,ROW()-1,60),ROW()-1,FALSE))</f>
        <v>9321.9562050000004</v>
      </c>
      <c r="AT396">
        <f ca="1">IF(AND(ISNUMBER($AT$895),$B$511=1),$AT$895,HLOOKUP(INDIRECT(ADDRESS(2,COLUMN())),OFFSET($BN$2,0,0,ROW()-1,60),ROW()-1,FALSE))</f>
        <v>7715.3149620000004</v>
      </c>
      <c r="AU396">
        <f ca="1">IF(AND(ISNUMBER($AU$895),$B$511=1),$AU$895,HLOOKUP(INDIRECT(ADDRESS(2,COLUMN())),OFFSET($BN$2,0,0,ROW()-1,60),ROW()-1,FALSE))</f>
        <v>8664.0418520000003</v>
      </c>
      <c r="AV396">
        <f ca="1">IF(AND(ISNUMBER($AV$895),$B$511=1),$AV$895,HLOOKUP(INDIRECT(ADDRESS(2,COLUMN())),OFFSET($BN$2,0,0,ROW()-1,60),ROW()-1,FALSE))</f>
        <v>9130.2375830000001</v>
      </c>
      <c r="AW396">
        <f ca="1">IF(AND(ISNUMBER($AW$895),$B$511=1),$AW$895,HLOOKUP(INDIRECT(ADDRESS(2,COLUMN())),OFFSET($BN$2,0,0,ROW()-1,60),ROW()-1,FALSE))</f>
        <v>10807.82257</v>
      </c>
      <c r="AX396">
        <f ca="1">IF(AND(ISNUMBER($AX$895),$B$511=1),$AX$895,HLOOKUP(INDIRECT(ADDRESS(2,COLUMN())),OFFSET($BN$2,0,0,ROW()-1,60),ROW()-1,FALSE))</f>
        <v>7846.0226119999998</v>
      </c>
      <c r="AY396">
        <f ca="1">IF(AND(ISNUMBER($AY$895),$B$511=1),$AY$895,HLOOKUP(INDIRECT(ADDRESS(2,COLUMN())),OFFSET($BN$2,0,0,ROW()-1,60),ROW()-1,FALSE))</f>
        <v>10099.55891</v>
      </c>
      <c r="AZ396">
        <f ca="1">IF(AND(ISNUMBER($AZ$895),$B$511=1),$AZ$895,HLOOKUP(INDIRECT(ADDRESS(2,COLUMN())),OFFSET($BN$2,0,0,ROW()-1,60),ROW()-1,FALSE))</f>
        <v>9692.2447599999996</v>
      </c>
      <c r="BA396">
        <f ca="1">IF(AND(ISNUMBER($BA$895),$B$511=1),$BA$895,HLOOKUP(INDIRECT(ADDRESS(2,COLUMN())),OFFSET($BN$2,0,0,ROW()-1,60),ROW()-1,FALSE))</f>
        <v>10718.094160000001</v>
      </c>
      <c r="BB396">
        <f ca="1">IF(AND(ISNUMBER($BB$895),$B$511=1),$BB$895,HLOOKUP(INDIRECT(ADDRESS(2,COLUMN())),OFFSET($BN$2,0,0,ROW()-1,60),ROW()-1,FALSE))</f>
        <v>9830.9047030000002</v>
      </c>
      <c r="BC396">
        <f ca="1">IF(AND(ISNUMBER($BC$895),$B$511=1),$BC$895,HLOOKUP(INDIRECT(ADDRESS(2,COLUMN())),OFFSET($BN$2,0,0,ROW()-1,60),ROW()-1,FALSE))</f>
        <v>12372.97752</v>
      </c>
      <c r="BD396">
        <f ca="1">IF(AND(ISNUMBER($BD$895),$B$511=1),$BD$895,HLOOKUP(INDIRECT(ADDRESS(2,COLUMN())),OFFSET($BN$2,0,0,ROW()-1,60),ROW()-1,FALSE))</f>
        <v>10862.87227</v>
      </c>
      <c r="BE396">
        <f ca="1">IF(AND(ISNUMBER($BE$895),$B$511=1),$BE$895,HLOOKUP(INDIRECT(ADDRESS(2,COLUMN())),OFFSET($BN$2,0,0,ROW()-1,60),ROW()-1,FALSE))</f>
        <v>11402.89896</v>
      </c>
      <c r="BF396">
        <f ca="1">IF(AND(ISNUMBER($BF$895),$B$511=1),$BF$895,HLOOKUP(INDIRECT(ADDRESS(2,COLUMN())),OFFSET($BN$2,0,0,ROW()-1,60),ROW()-1,FALSE))</f>
        <v>10534.73425</v>
      </c>
      <c r="BG396">
        <f ca="1">IF(AND(ISNUMBER($BG$895),$B$511=1),$BG$895,HLOOKUP(INDIRECT(ADDRESS(2,COLUMN())),OFFSET($BN$2,0,0,ROW()-1,60),ROW()-1,FALSE))</f>
        <v>8896.1603840000007</v>
      </c>
      <c r="BH396">
        <f ca="1">IF(AND(ISNUMBER($BH$895),$B$511=1),$BH$895,HLOOKUP(INDIRECT(ADDRESS(2,COLUMN())),OFFSET($BN$2,0,0,ROW()-1,60),ROW()-1,FALSE))</f>
        <v>8173.9981610000004</v>
      </c>
      <c r="BI396">
        <f ca="1">IF(AND(ISNUMBER($BI$895),$B$511=1),$BI$895,HLOOKUP(INDIRECT(ADDRESS(2,COLUMN())),OFFSET($BN$2,0,0,ROW()-1,60),ROW()-1,FALSE))</f>
        <v>7789.4949960000004</v>
      </c>
      <c r="BJ396">
        <f ca="1">IF(AND(ISNUMBER($BJ$895),$B$511=1),$BJ$895,HLOOKUP(INDIRECT(ADDRESS(2,COLUMN())),OFFSET($BN$2,0,0,ROW()-1,60),ROW()-1,FALSE))</f>
        <v>7132.9452970000002</v>
      </c>
      <c r="BK396">
        <f ca="1">IF(AND(ISNUMBER($BK$895),$B$511=1),$BK$895,HLOOKUP(INDIRECT(ADDRESS(2,COLUMN())),OFFSET($BN$2,0,0,ROW()-1,60),ROW()-1,FALSE))</f>
        <v>7676.867002</v>
      </c>
      <c r="BL396">
        <f ca="1">IF(AND(ISNUMBER($BL$895),$B$511=1),$BL$895,HLOOKUP(INDIRECT(ADDRESS(2,COLUMN())),OFFSET($BN$2,0,0,ROW()-1,60),ROW()-1,FALSE))</f>
        <v>7159.972984</v>
      </c>
      <c r="BM396">
        <f ca="1">IF(AND(ISNUMBER($BM$895),$B$511=1),$BM$895,HLOOKUP(INDIRECT(ADDRESS(2,COLUMN())),OFFSET($BN$2,0,0,ROW()-1,60),ROW()-1,FALSE))</f>
        <v>7691.9706329999999</v>
      </c>
      <c r="BN396">
        <f>6927.09187</f>
        <v>6927.0918700000002</v>
      </c>
      <c r="BO396">
        <f>6070.822536</f>
        <v>6070.8225359999997</v>
      </c>
      <c r="BP396">
        <f>6822.516541</f>
        <v>6822.516541</v>
      </c>
      <c r="BQ396">
        <f>7214.374539</f>
        <v>7214.3745390000004</v>
      </c>
      <c r="BR396">
        <f>7510.113881</f>
        <v>7510.1138810000002</v>
      </c>
      <c r="BS396">
        <f>8220.25861</f>
        <v>8220.2586100000008</v>
      </c>
      <c r="BT396">
        <f>8893.573089</f>
        <v>8893.5730889999995</v>
      </c>
      <c r="BU396">
        <f>8411.408684</f>
        <v>8411.408684</v>
      </c>
      <c r="BV396">
        <f>8539.74852</f>
        <v>8539.7485199999992</v>
      </c>
      <c r="BW396">
        <f>10177.73434</f>
        <v>10177.734340000001</v>
      </c>
      <c r="BX396">
        <f>9112.593023</f>
        <v>9112.5930229999994</v>
      </c>
      <c r="BY396">
        <f>8281.469024</f>
        <v>8281.469024</v>
      </c>
      <c r="BZ396">
        <f>9677.035914</f>
        <v>9677.035914</v>
      </c>
      <c r="CA396">
        <f>13494.78263</f>
        <v>13494.78263</v>
      </c>
      <c r="CB396">
        <f>10445.24039</f>
        <v>10445.240390000001</v>
      </c>
      <c r="CC396">
        <f>13173.07911</f>
        <v>13173.079110000001</v>
      </c>
      <c r="CD396">
        <f>13473.19146</f>
        <v>13473.19146</v>
      </c>
      <c r="CE396">
        <f>17144.08582</f>
        <v>17144.08582</v>
      </c>
      <c r="CF396">
        <f>17471.39994</f>
        <v>17471.399939999999</v>
      </c>
      <c r="CG396">
        <f>16809.96431</f>
        <v>16809.964309999999</v>
      </c>
      <c r="CH396">
        <f>15631.34635</f>
        <v>15631.34635</v>
      </c>
      <c r="CI396">
        <f>18583.0922</f>
        <v>18583.092199999999</v>
      </c>
      <c r="CJ396">
        <f>16727.0435</f>
        <v>16727.0435</v>
      </c>
      <c r="CK396">
        <f>15040.60787</f>
        <v>15040.60787</v>
      </c>
      <c r="CL396">
        <f>12021.99173</f>
        <v>12021.99173</v>
      </c>
      <c r="CM396">
        <f>10182.77968</f>
        <v>10182.77968</v>
      </c>
      <c r="CN396">
        <f>7719.704147</f>
        <v>7719.7041470000004</v>
      </c>
      <c r="CO396">
        <f>8199.315617</f>
        <v>8199.3156170000002</v>
      </c>
      <c r="CP396">
        <f>8955.521348</f>
        <v>8955.5213480000002</v>
      </c>
      <c r="CQ396">
        <f>9713.837278</f>
        <v>9713.8372780000009</v>
      </c>
      <c r="CR396">
        <f>9187.187396</f>
        <v>9187.1873959999994</v>
      </c>
      <c r="CS396">
        <f>9814.394739</f>
        <v>9814.3947389999994</v>
      </c>
      <c r="CT396">
        <f>8417.45831</f>
        <v>8417.45831</v>
      </c>
      <c r="CU396">
        <f>10297.6871</f>
        <v>10297.687099999999</v>
      </c>
      <c r="CV396">
        <f>8617.08442</f>
        <v>8617.0844199999992</v>
      </c>
      <c r="CW396">
        <f>8279.55817</f>
        <v>8279.5581700000002</v>
      </c>
      <c r="CX396">
        <f>8840.659965</f>
        <v>8840.6599650000007</v>
      </c>
      <c r="CY396">
        <f>8628.56698</f>
        <v>8628.5669799999996</v>
      </c>
      <c r="CZ396">
        <f>9008.144394</f>
        <v>9008.1443940000008</v>
      </c>
      <c r="DA396">
        <f>9321.956205</f>
        <v>9321.9562050000004</v>
      </c>
      <c r="DB396">
        <f>7715.314962</f>
        <v>7715.3149620000004</v>
      </c>
      <c r="DC396">
        <f>8664.041852</f>
        <v>8664.0418520000003</v>
      </c>
      <c r="DD396">
        <f>9130.237583</f>
        <v>9130.2375830000001</v>
      </c>
      <c r="DE396">
        <f>10807.82257</f>
        <v>10807.82257</v>
      </c>
      <c r="DF396">
        <f>7846.022612</f>
        <v>7846.0226119999998</v>
      </c>
      <c r="DG396">
        <f>10099.55891</f>
        <v>10099.55891</v>
      </c>
      <c r="DH396">
        <f>9692.24476</f>
        <v>9692.2447599999996</v>
      </c>
      <c r="DI396">
        <f>10718.09416</f>
        <v>10718.094160000001</v>
      </c>
      <c r="DJ396">
        <f>9830.904703</f>
        <v>9830.9047030000002</v>
      </c>
      <c r="DK396">
        <f>12372.97752</f>
        <v>12372.97752</v>
      </c>
      <c r="DL396">
        <f>10862.87227</f>
        <v>10862.87227</v>
      </c>
      <c r="DM396">
        <f>11402.89896</f>
        <v>11402.89896</v>
      </c>
      <c r="DN396">
        <f>10534.73425</f>
        <v>10534.73425</v>
      </c>
      <c r="DO396">
        <f>8896.160384</f>
        <v>8896.1603840000007</v>
      </c>
      <c r="DP396">
        <f>8173.998161</f>
        <v>8173.9981610000004</v>
      </c>
      <c r="DQ396">
        <f>7789.494996</f>
        <v>7789.4949960000004</v>
      </c>
      <c r="DR396">
        <f>7132.945297</f>
        <v>7132.9452970000002</v>
      </c>
      <c r="DS396">
        <f>7676.867002</f>
        <v>7676.867002</v>
      </c>
      <c r="DT396">
        <f>7159.972984</f>
        <v>7159.972984</v>
      </c>
      <c r="DU396">
        <f>7691.970633</f>
        <v>7691.9706329999999</v>
      </c>
    </row>
    <row r="397" spans="1:125" x14ac:dyDescent="0.25">
      <c r="A397" t="str">
        <f>"    Mitsubishi Motors Corp"</f>
        <v xml:space="preserve">    Mitsubishi Motors Corp</v>
      </c>
      <c r="B397" t="str">
        <f>"7211 JP Equity"</f>
        <v>7211 JP Equity</v>
      </c>
      <c r="C397" t="str">
        <f t="shared" si="27"/>
        <v>RR937</v>
      </c>
      <c r="D397" t="str">
        <f t="shared" si="28"/>
        <v>CRNCY_ADJ_CURR_EV</v>
      </c>
      <c r="E397" t="str">
        <f t="shared" si="29"/>
        <v>Dynamic</v>
      </c>
      <c r="F397">
        <f ca="1">IF(AND(ISNUMBER($F$896),$B$511=1),$F$896,HLOOKUP(INDIRECT(ADDRESS(2,COLUMN())),OFFSET($BN$2,0,0,ROW()-1,60),ROW()-1,FALSE))</f>
        <v>6625.6103730000004</v>
      </c>
      <c r="G397">
        <f ca="1">IF(AND(ISNUMBER($G$896),$B$511=1),$G$896,HLOOKUP(INDIRECT(ADDRESS(2,COLUMN())),OFFSET($BN$2,0,0,ROW()-1,60),ROW()-1,FALSE))</f>
        <v>6352.3599549999999</v>
      </c>
      <c r="H397">
        <f ca="1">IF(AND(ISNUMBER($H$896),$B$511=1),$H$896,HLOOKUP(INDIRECT(ADDRESS(2,COLUMN())),OFFSET($BN$2,0,0,ROW()-1,60),ROW()-1,FALSE))</f>
        <v>8436.8948180000007</v>
      </c>
      <c r="I397">
        <f ca="1">IF(AND(ISNUMBER($I$896),$B$511=1),$I$896,HLOOKUP(INDIRECT(ADDRESS(2,COLUMN())),OFFSET($BN$2,0,0,ROW()-1,60),ROW()-1,FALSE))</f>
        <v>9912.4340489999995</v>
      </c>
      <c r="J397">
        <f ca="1">IF(AND(ISNUMBER($J$896),$B$511=1),$J$896,HLOOKUP(INDIRECT(ADDRESS(2,COLUMN())),OFFSET($BN$2,0,0,ROW()-1,60),ROW()-1,FALSE))</f>
        <v>5778.8926700000002</v>
      </c>
      <c r="K397">
        <f ca="1">IF(AND(ISNUMBER($K$896),$B$511=1),$K$896,HLOOKUP(INDIRECT(ADDRESS(2,COLUMN())),OFFSET($BN$2,0,0,ROW()-1,60),ROW()-1,FALSE))</f>
        <v>6476.7183489999998</v>
      </c>
      <c r="L397">
        <f ca="1">IF(AND(ISNUMBER($L$896),$B$511=1),$L$896,HLOOKUP(INDIRECT(ADDRESS(2,COLUMN())),OFFSET($BN$2,0,0,ROW()-1,60),ROW()-1,FALSE))</f>
        <v>7548.1745819999996</v>
      </c>
      <c r="M397">
        <f ca="1">IF(AND(ISNUMBER($M$896),$B$511=1),$M$896,HLOOKUP(INDIRECT(ADDRESS(2,COLUMN())),OFFSET($BN$2,0,0,ROW()-1,60),ROW()-1,FALSE))</f>
        <v>5625.1715919999997</v>
      </c>
      <c r="N397">
        <f ca="1">IF(AND(ISNUMBER($N$896),$B$511=1),$N$896,HLOOKUP(INDIRECT(ADDRESS(2,COLUMN())),OFFSET($BN$2,0,0,ROW()-1,60),ROW()-1,FALSE))</f>
        <v>4307.6989750000002</v>
      </c>
      <c r="O397">
        <f ca="1">IF(AND(ISNUMBER($O$896),$B$511=1),$O$896,HLOOKUP(INDIRECT(ADDRESS(2,COLUMN())),OFFSET($BN$2,0,0,ROW()-1,60),ROW()-1,FALSE))</f>
        <v>3981.6025850000001</v>
      </c>
      <c r="P397">
        <f ca="1">IF(AND(ISNUMBER($P$896),$B$511=1),$P$896,HLOOKUP(INDIRECT(ADDRESS(2,COLUMN())),OFFSET($BN$2,0,0,ROW()-1,60),ROW()-1,FALSE))</f>
        <v>1606.5310400000001</v>
      </c>
      <c r="Q397">
        <f ca="1">IF(AND(ISNUMBER($Q$896),$B$511=1),$Q$896,HLOOKUP(INDIRECT(ADDRESS(2,COLUMN())),OFFSET($BN$2,0,0,ROW()-1,60),ROW()-1,FALSE))</f>
        <v>932.24579340000003</v>
      </c>
      <c r="R397">
        <f ca="1">IF(AND(ISNUMBER($R$896),$B$511=1),$R$896,HLOOKUP(INDIRECT(ADDRESS(2,COLUMN())),OFFSET($BN$2,0,0,ROW()-1,60),ROW()-1,FALSE))</f>
        <v>3822.9778120000001</v>
      </c>
      <c r="S397">
        <f ca="1">IF(AND(ISNUMBER($S$896),$B$511=1),$S$896,HLOOKUP(INDIRECT(ADDRESS(2,COLUMN())),OFFSET($BN$2,0,0,ROW()-1,60),ROW()-1,FALSE))</f>
        <v>4774.7598379999999</v>
      </c>
      <c r="T397">
        <f ca="1">IF(AND(ISNUMBER($T$896),$B$511=1),$T$896,HLOOKUP(INDIRECT(ADDRESS(2,COLUMN())),OFFSET($BN$2,0,0,ROW()-1,60),ROW()-1,FALSE))</f>
        <v>4401.9693889999999</v>
      </c>
      <c r="U397">
        <f ca="1">IF(AND(ISNUMBER($U$896),$B$511=1),$U$896,HLOOKUP(INDIRECT(ADDRESS(2,COLUMN())),OFFSET($BN$2,0,0,ROW()-1,60),ROW()-1,FALSE))</f>
        <v>6275.2352369999999</v>
      </c>
      <c r="V397">
        <f ca="1">IF(AND(ISNUMBER($V$896),$B$511=1),$V$896,HLOOKUP(INDIRECT(ADDRESS(2,COLUMN())),OFFSET($BN$2,0,0,ROW()-1,60),ROW()-1,FALSE))</f>
        <v>6657.5422259999996</v>
      </c>
      <c r="W397">
        <f ca="1">IF(AND(ISNUMBER($W$896),$B$511=1),$W$896,HLOOKUP(INDIRECT(ADDRESS(2,COLUMN())),OFFSET($BN$2,0,0,ROW()-1,60),ROW()-1,FALSE))</f>
        <v>6700.0564050000003</v>
      </c>
      <c r="X397">
        <f ca="1">IF(AND(ISNUMBER($X$896),$B$511=1),$X$896,HLOOKUP(INDIRECT(ADDRESS(2,COLUMN())),OFFSET($BN$2,0,0,ROW()-1,60),ROW()-1,FALSE))</f>
        <v>9772.2325720000008</v>
      </c>
      <c r="Y397">
        <f ca="1">IF(AND(ISNUMBER($Y$896),$B$511=1),$Y$896,HLOOKUP(INDIRECT(ADDRESS(2,COLUMN())),OFFSET($BN$2,0,0,ROW()-1,60),ROW()-1,FALSE))</f>
        <v>8710.346861</v>
      </c>
      <c r="Z397">
        <f ca="1">IF(AND(ISNUMBER($Z$896),$B$511=1),$Z$896,HLOOKUP(INDIRECT(ADDRESS(2,COLUMN())),OFFSET($BN$2,0,0,ROW()-1,60),ROW()-1,FALSE))</f>
        <v>8484.8343879999993</v>
      </c>
      <c r="AA397">
        <f ca="1">IF(AND(ISNUMBER($AA$896),$B$511=1),$AA$896,HLOOKUP(INDIRECT(ADDRESS(2,COLUMN())),OFFSET($BN$2,0,0,ROW()-1,60),ROW()-1,FALSE))</f>
        <v>8897.1193910000002</v>
      </c>
      <c r="AB397">
        <f ca="1">IF(AND(ISNUMBER($AB$896),$B$511=1),$AB$896,HLOOKUP(INDIRECT(ADDRESS(2,COLUMN())),OFFSET($BN$2,0,0,ROW()-1,60),ROW()-1,FALSE))</f>
        <v>10365.64582</v>
      </c>
      <c r="AC397">
        <f ca="1">IF(AND(ISNUMBER($AC$896),$B$511=1),$AC$896,HLOOKUP(INDIRECT(ADDRESS(2,COLUMN())),OFFSET($BN$2,0,0,ROW()-1,60),ROW()-1,FALSE))</f>
        <v>12106.12939</v>
      </c>
      <c r="AD397">
        <f ca="1">IF(AND(ISNUMBER($AD$896),$B$511=1),$AD$896,HLOOKUP(INDIRECT(ADDRESS(2,COLUMN())),OFFSET($BN$2,0,0,ROW()-1,60),ROW()-1,FALSE))</f>
        <v>10461.40186</v>
      </c>
      <c r="AE397">
        <f ca="1">IF(AND(ISNUMBER($AE$896),$B$511=1),$AE$896,HLOOKUP(INDIRECT(ADDRESS(2,COLUMN())),OFFSET($BN$2,0,0,ROW()-1,60),ROW()-1,FALSE))</f>
        <v>11175.21781</v>
      </c>
      <c r="AF397">
        <f ca="1">IF(AND(ISNUMBER($AF$896),$B$511=1),$AF$896,HLOOKUP(INDIRECT(ADDRESS(2,COLUMN())),OFFSET($BN$2,0,0,ROW()-1,60),ROW()-1,FALSE))</f>
        <v>10807.618990000001</v>
      </c>
      <c r="AG397">
        <f ca="1">IF(AND(ISNUMBER($AG$896),$B$511=1),$AG$896,HLOOKUP(INDIRECT(ADDRESS(2,COLUMN())),OFFSET($BN$2,0,0,ROW()-1,60),ROW()-1,FALSE))</f>
        <v>11149.794019999999</v>
      </c>
      <c r="AH397">
        <f ca="1">IF(AND(ISNUMBER($AH$896),$B$511=1),$AH$896,HLOOKUP(INDIRECT(ADDRESS(2,COLUMN())),OFFSET($BN$2,0,0,ROW()-1,60),ROW()-1,FALSE))</f>
        <v>12546.120790000001</v>
      </c>
      <c r="AI397">
        <f ca="1">IF(AND(ISNUMBER($AI$896),$B$511=1),$AI$896,HLOOKUP(INDIRECT(ADDRESS(2,COLUMN())),OFFSET($BN$2,0,0,ROW()-1,60),ROW()-1,FALSE))</f>
        <v>13435.46032</v>
      </c>
      <c r="AJ397">
        <f ca="1">IF(AND(ISNUMBER($AJ$896),$B$511=1),$AJ$896,HLOOKUP(INDIRECT(ADDRESS(2,COLUMN())),OFFSET($BN$2,0,0,ROW()-1,60),ROW()-1,FALSE))</f>
        <v>14074.48242</v>
      </c>
      <c r="AK397">
        <f ca="1">IF(AND(ISNUMBER($AK$896),$B$511=1),$AK$896,HLOOKUP(INDIRECT(ADDRESS(2,COLUMN())),OFFSET($BN$2,0,0,ROW()-1,60),ROW()-1,FALSE))</f>
        <v>13270.5659</v>
      </c>
      <c r="AL397">
        <f ca="1">IF(AND(ISNUMBER($AL$896),$B$511=1),$AL$896,HLOOKUP(INDIRECT(ADDRESS(2,COLUMN())),OFFSET($BN$2,0,0,ROW()-1,60),ROW()-1,FALSE))</f>
        <v>13611.31978</v>
      </c>
      <c r="AM397">
        <f ca="1">IF(AND(ISNUMBER($AM$896),$B$511=1),$AM$896,HLOOKUP(INDIRECT(ADDRESS(2,COLUMN())),OFFSET($BN$2,0,0,ROW()-1,60),ROW()-1,FALSE))</f>
        <v>14411.339980000001</v>
      </c>
      <c r="AN397">
        <f ca="1">IF(AND(ISNUMBER($AN$896),$B$511=1),$AN$896,HLOOKUP(INDIRECT(ADDRESS(2,COLUMN())),OFFSET($BN$2,0,0,ROW()-1,60),ROW()-1,FALSE))</f>
        <v>13649.081190000001</v>
      </c>
      <c r="AO397">
        <f ca="1">IF(AND(ISNUMBER($AO$896),$B$511=1),$AO$896,HLOOKUP(INDIRECT(ADDRESS(2,COLUMN())),OFFSET($BN$2,0,0,ROW()-1,60),ROW()-1,FALSE))</f>
        <v>13381.442139999999</v>
      </c>
      <c r="AP397">
        <f ca="1">IF(AND(ISNUMBER($AP$896),$B$511=1),$AP$896,HLOOKUP(INDIRECT(ADDRESS(2,COLUMN())),OFFSET($BN$2,0,0,ROW()-1,60),ROW()-1,FALSE))</f>
        <v>13961.317880000001</v>
      </c>
      <c r="AQ397">
        <f ca="1">IF(AND(ISNUMBER($AQ$896),$B$511=1),$AQ$896,HLOOKUP(INDIRECT(ADDRESS(2,COLUMN())),OFFSET($BN$2,0,0,ROW()-1,60),ROW()-1,FALSE))</f>
        <v>14389.12643</v>
      </c>
      <c r="AR397">
        <f ca="1">IF(AND(ISNUMBER($AR$896),$B$511=1),$AR$896,HLOOKUP(INDIRECT(ADDRESS(2,COLUMN())),OFFSET($BN$2,0,0,ROW()-1,60),ROW()-1,FALSE))</f>
        <v>16418.372439999999</v>
      </c>
      <c r="AS397">
        <f ca="1">IF(AND(ISNUMBER($AS$896),$B$511=1),$AS$896,HLOOKUP(INDIRECT(ADDRESS(2,COLUMN())),OFFSET($BN$2,0,0,ROW()-1,60),ROW()-1,FALSE))</f>
        <v>17178.47493</v>
      </c>
      <c r="AT397">
        <f ca="1">IF(AND(ISNUMBER($AT$896),$B$511=1),$AT$896,HLOOKUP(INDIRECT(ADDRESS(2,COLUMN())),OFFSET($BN$2,0,0,ROW()-1,60),ROW()-1,FALSE))</f>
        <v>13718.463669999999</v>
      </c>
      <c r="AU397">
        <f ca="1">IF(AND(ISNUMBER($AU$896),$B$511=1),$AU$896,HLOOKUP(INDIRECT(ADDRESS(2,COLUMN())),OFFSET($BN$2,0,0,ROW()-1,60),ROW()-1,FALSE))</f>
        <v>13435.08988</v>
      </c>
      <c r="AV397">
        <f ca="1">IF(AND(ISNUMBER($AV$896),$B$511=1),$AV$896,HLOOKUP(INDIRECT(ADDRESS(2,COLUMN())),OFFSET($BN$2,0,0,ROW()-1,60),ROW()-1,FALSE))</f>
        <v>13452.796060000001</v>
      </c>
      <c r="AW397">
        <f ca="1">IF(AND(ISNUMBER($AW$896),$B$511=1),$AW$896,HLOOKUP(INDIRECT(ADDRESS(2,COLUMN())),OFFSET($BN$2,0,0,ROW()-1,60),ROW()-1,FALSE))</f>
        <v>13985.56648</v>
      </c>
      <c r="AX397">
        <f ca="1">IF(AND(ISNUMBER($AX$896),$B$511=1),$AX$896,HLOOKUP(INDIRECT(ADDRESS(2,COLUMN())),OFFSET($BN$2,0,0,ROW()-1,60),ROW()-1,FALSE))</f>
        <v>13558.89509</v>
      </c>
      <c r="AY397">
        <f ca="1">IF(AND(ISNUMBER($AY$896),$B$511=1),$AY$896,HLOOKUP(INDIRECT(ADDRESS(2,COLUMN())),OFFSET($BN$2,0,0,ROW()-1,60),ROW()-1,FALSE))</f>
        <v>13444.4478</v>
      </c>
      <c r="AZ397">
        <f ca="1">IF(AND(ISNUMBER($AZ$896),$B$511=1),$AZ$896,HLOOKUP(INDIRECT(ADDRESS(2,COLUMN())),OFFSET($BN$2,0,0,ROW()-1,60),ROW()-1,FALSE))</f>
        <v>12556.98408</v>
      </c>
      <c r="BA397">
        <f ca="1">IF(AND(ISNUMBER($BA$896),$B$511=1),$BA$896,HLOOKUP(INDIRECT(ADDRESS(2,COLUMN())),OFFSET($BN$2,0,0,ROW()-1,60),ROW()-1,FALSE))</f>
        <v>12571.366249999999</v>
      </c>
      <c r="BB397">
        <f ca="1">IF(AND(ISNUMBER($BB$896),$B$511=1),$BB$896,HLOOKUP(INDIRECT(ADDRESS(2,COLUMN())),OFFSET($BN$2,0,0,ROW()-1,60),ROW()-1,FALSE))</f>
        <v>13594.08159</v>
      </c>
      <c r="BC397">
        <f ca="1">IF(AND(ISNUMBER($BC$896),$B$511=1),$BC$896,HLOOKUP(INDIRECT(ADDRESS(2,COLUMN())),OFFSET($BN$2,0,0,ROW()-1,60),ROW()-1,FALSE))</f>
        <v>14647.915440000001</v>
      </c>
      <c r="BD397">
        <f ca="1">IF(AND(ISNUMBER($BD$896),$B$511=1),$BD$896,HLOOKUP(INDIRECT(ADDRESS(2,COLUMN())),OFFSET($BN$2,0,0,ROW()-1,60),ROW()-1,FALSE))</f>
        <v>14869.72762</v>
      </c>
      <c r="BE397">
        <f ca="1">IF(AND(ISNUMBER($BE$896),$B$511=1),$BE$896,HLOOKUP(INDIRECT(ADDRESS(2,COLUMN())),OFFSET($BN$2,0,0,ROW()-1,60),ROW()-1,FALSE))</f>
        <v>15710.58359</v>
      </c>
      <c r="BF397">
        <f ca="1">IF(AND(ISNUMBER($BF$896),$B$511=1),$BF$896,HLOOKUP(INDIRECT(ADDRESS(2,COLUMN())),OFFSET($BN$2,0,0,ROW()-1,60),ROW()-1,FALSE))</f>
        <v>16933.938630000001</v>
      </c>
      <c r="BG397">
        <f ca="1">IF(AND(ISNUMBER($BG$896),$B$511=1),$BG$896,HLOOKUP(INDIRECT(ADDRESS(2,COLUMN())),OFFSET($BN$2,0,0,ROW()-1,60),ROW()-1,FALSE))</f>
        <v>17371.667750000001</v>
      </c>
      <c r="BH397">
        <f ca="1">IF(AND(ISNUMBER($BH$896),$B$511=1),$BH$896,HLOOKUP(INDIRECT(ADDRESS(2,COLUMN())),OFFSET($BN$2,0,0,ROW()-1,60),ROW()-1,FALSE))</f>
        <v>15293.92577</v>
      </c>
      <c r="BI397">
        <f ca="1">IF(AND(ISNUMBER($BI$896),$B$511=1),$BI$896,HLOOKUP(INDIRECT(ADDRESS(2,COLUMN())),OFFSET($BN$2,0,0,ROW()-1,60),ROW()-1,FALSE))</f>
        <v>7048.508632</v>
      </c>
      <c r="BJ397">
        <f ca="1">IF(AND(ISNUMBER($BJ$896),$B$511=1),$BJ$896,HLOOKUP(INDIRECT(ADDRESS(2,COLUMN())),OFFSET($BN$2,0,0,ROW()-1,60),ROW()-1,FALSE))</f>
        <v>12114.23626</v>
      </c>
      <c r="BK397">
        <f ca="1">IF(AND(ISNUMBER($BK$896),$B$511=1),$BK$896,HLOOKUP(INDIRECT(ADDRESS(2,COLUMN())),OFFSET($BN$2,0,0,ROW()-1,60),ROW()-1,FALSE))</f>
        <v>7259.6263049999998</v>
      </c>
      <c r="BL397">
        <f ca="1">IF(AND(ISNUMBER($BL$896),$B$511=1),$BL$896,HLOOKUP(INDIRECT(ADDRESS(2,COLUMN())),OFFSET($BN$2,0,0,ROW()-1,60),ROW()-1,FALSE))</f>
        <v>11407.787259999999</v>
      </c>
      <c r="BM397">
        <f ca="1">IF(AND(ISNUMBER($BM$896),$B$511=1),$BM$896,HLOOKUP(INDIRECT(ADDRESS(2,COLUMN())),OFFSET($BN$2,0,0,ROW()-1,60),ROW()-1,FALSE))</f>
        <v>8283.1227550000003</v>
      </c>
      <c r="BN397">
        <f>6625.610373</f>
        <v>6625.6103730000004</v>
      </c>
      <c r="BO397">
        <f>6352.359955</f>
        <v>6352.3599549999999</v>
      </c>
      <c r="BP397">
        <f>8436.894818</f>
        <v>8436.8948180000007</v>
      </c>
      <c r="BQ397">
        <f>9912.434049</f>
        <v>9912.4340489999995</v>
      </c>
      <c r="BR397">
        <f>5778.89267</f>
        <v>5778.8926700000002</v>
      </c>
      <c r="BS397">
        <f>6476.718349</f>
        <v>6476.7183489999998</v>
      </c>
      <c r="BT397">
        <f>7548.174582</f>
        <v>7548.1745819999996</v>
      </c>
      <c r="BU397">
        <f>5625.171592</f>
        <v>5625.1715919999997</v>
      </c>
      <c r="BV397">
        <f>4307.698975</f>
        <v>4307.6989750000002</v>
      </c>
      <c r="BW397">
        <f>3981.602585</f>
        <v>3981.6025850000001</v>
      </c>
      <c r="BX397">
        <f>1606.53104</f>
        <v>1606.5310400000001</v>
      </c>
      <c r="BY397">
        <f>932.2457934</f>
        <v>932.24579340000003</v>
      </c>
      <c r="BZ397">
        <f>3822.977812</f>
        <v>3822.9778120000001</v>
      </c>
      <c r="CA397">
        <f>4774.759838</f>
        <v>4774.7598379999999</v>
      </c>
      <c r="CB397">
        <f>4401.969389</f>
        <v>4401.9693889999999</v>
      </c>
      <c r="CC397">
        <f>6275.235237</f>
        <v>6275.2352369999999</v>
      </c>
      <c r="CD397">
        <f>6657.542226</f>
        <v>6657.5422259999996</v>
      </c>
      <c r="CE397">
        <f>6700.056405</f>
        <v>6700.0564050000003</v>
      </c>
      <c r="CF397">
        <f>9772.232572</f>
        <v>9772.2325720000008</v>
      </c>
      <c r="CG397">
        <f>8710.346861</f>
        <v>8710.346861</v>
      </c>
      <c r="CH397">
        <f>8484.834388</f>
        <v>8484.8343879999993</v>
      </c>
      <c r="CI397">
        <f>8897.119391</f>
        <v>8897.1193910000002</v>
      </c>
      <c r="CJ397">
        <f>10365.64582</f>
        <v>10365.64582</v>
      </c>
      <c r="CK397">
        <f>12106.12939</f>
        <v>12106.12939</v>
      </c>
      <c r="CL397">
        <f>10461.40186</f>
        <v>10461.40186</v>
      </c>
      <c r="CM397">
        <f>11175.21781</f>
        <v>11175.21781</v>
      </c>
      <c r="CN397">
        <f>10807.61899</f>
        <v>10807.618990000001</v>
      </c>
      <c r="CO397">
        <f>11149.79402</f>
        <v>11149.794019999999</v>
      </c>
      <c r="CP397">
        <f>12546.12079</f>
        <v>12546.120790000001</v>
      </c>
      <c r="CQ397">
        <f>13435.46032</f>
        <v>13435.46032</v>
      </c>
      <c r="CR397">
        <f>14074.48242</f>
        <v>14074.48242</v>
      </c>
      <c r="CS397">
        <f>13270.5659</f>
        <v>13270.5659</v>
      </c>
      <c r="CT397">
        <f>13611.31978</f>
        <v>13611.31978</v>
      </c>
      <c r="CU397">
        <f>14411.33998</f>
        <v>14411.339980000001</v>
      </c>
      <c r="CV397">
        <f>13649.08119</f>
        <v>13649.081190000001</v>
      </c>
      <c r="CW397">
        <f>13381.44214</f>
        <v>13381.442139999999</v>
      </c>
      <c r="CX397">
        <f>13961.31788</f>
        <v>13961.317880000001</v>
      </c>
      <c r="CY397">
        <f>14389.12643</f>
        <v>14389.12643</v>
      </c>
      <c r="CZ397">
        <f>16418.37244</f>
        <v>16418.372439999999</v>
      </c>
      <c r="DA397">
        <f>17178.47493</f>
        <v>17178.47493</v>
      </c>
      <c r="DB397">
        <f>13718.46367</f>
        <v>13718.463669999999</v>
      </c>
      <c r="DC397">
        <f>13435.08988</f>
        <v>13435.08988</v>
      </c>
      <c r="DD397">
        <f>13452.79606</f>
        <v>13452.796060000001</v>
      </c>
      <c r="DE397">
        <f>13985.56648</f>
        <v>13985.56648</v>
      </c>
      <c r="DF397">
        <f>13558.89509</f>
        <v>13558.89509</v>
      </c>
      <c r="DG397">
        <f>13444.4478</f>
        <v>13444.4478</v>
      </c>
      <c r="DH397">
        <f>12556.98408</f>
        <v>12556.98408</v>
      </c>
      <c r="DI397">
        <f>12571.36625</f>
        <v>12571.366249999999</v>
      </c>
      <c r="DJ397">
        <f>13594.08159</f>
        <v>13594.08159</v>
      </c>
      <c r="DK397">
        <f>14647.91544</f>
        <v>14647.915440000001</v>
      </c>
      <c r="DL397">
        <f>14869.72762</f>
        <v>14869.72762</v>
      </c>
      <c r="DM397">
        <f>15710.58359</f>
        <v>15710.58359</v>
      </c>
      <c r="DN397">
        <f>16933.93863</f>
        <v>16933.938630000001</v>
      </c>
      <c r="DO397">
        <f>17371.66775</f>
        <v>17371.667750000001</v>
      </c>
      <c r="DP397">
        <f>15293.92577</f>
        <v>15293.92577</v>
      </c>
      <c r="DQ397">
        <f>7048.508632</f>
        <v>7048.508632</v>
      </c>
      <c r="DR397">
        <f>12114.23626</f>
        <v>12114.23626</v>
      </c>
      <c r="DS397">
        <f>7259.626305</f>
        <v>7259.6263049999998</v>
      </c>
      <c r="DT397">
        <f>11407.78726</f>
        <v>11407.787259999999</v>
      </c>
      <c r="DU397">
        <f>8283.122755</f>
        <v>8283.1227550000003</v>
      </c>
    </row>
    <row r="398" spans="1:125" x14ac:dyDescent="0.25">
      <c r="A398" t="str">
        <f>"    Nissan Motor Co Ltd"</f>
        <v xml:space="preserve">    Nissan Motor Co Ltd</v>
      </c>
      <c r="B398" t="str">
        <f>"7201 JP Equity"</f>
        <v>7201 JP Equity</v>
      </c>
      <c r="C398" t="str">
        <f t="shared" si="27"/>
        <v>RR937</v>
      </c>
      <c r="D398" t="str">
        <f t="shared" si="28"/>
        <v>CRNCY_ADJ_CURR_EV</v>
      </c>
      <c r="E398" t="str">
        <f t="shared" si="29"/>
        <v>Dynamic</v>
      </c>
      <c r="F398">
        <f ca="1">IF(AND(ISNUMBER($F$897),$B$511=1),$F$897,HLOOKUP(INDIRECT(ADDRESS(2,COLUMN())),OFFSET($BN$2,0,0,ROW()-1,60),ROW()-1,FALSE))</f>
        <v>26832.163499999999</v>
      </c>
      <c r="G398">
        <f ca="1">IF(AND(ISNUMBER($G$897),$B$511=1),$G$897,HLOOKUP(INDIRECT(ADDRESS(2,COLUMN())),OFFSET($BN$2,0,0,ROW()-1,60),ROW()-1,FALSE))</f>
        <v>24300.756389999999</v>
      </c>
      <c r="H398">
        <f ca="1">IF(AND(ISNUMBER($H$897),$B$511=1),$H$897,HLOOKUP(INDIRECT(ADDRESS(2,COLUMN())),OFFSET($BN$2,0,0,ROW()-1,60),ROW()-1,FALSE))</f>
        <v>28409.581689999999</v>
      </c>
      <c r="I398">
        <f ca="1">IF(AND(ISNUMBER($I$897),$B$511=1),$I$897,HLOOKUP(INDIRECT(ADDRESS(2,COLUMN())),OFFSET($BN$2,0,0,ROW()-1,60),ROW()-1,FALSE))</f>
        <v>29688.805660000002</v>
      </c>
      <c r="J398">
        <f ca="1">IF(AND(ISNUMBER($J$897),$B$511=1),$J$897,HLOOKUP(INDIRECT(ADDRESS(2,COLUMN())),OFFSET($BN$2,0,0,ROW()-1,60),ROW()-1,FALSE))</f>
        <v>30073.663</v>
      </c>
      <c r="K398">
        <f ca="1">IF(AND(ISNUMBER($K$897),$B$511=1),$K$897,HLOOKUP(INDIRECT(ADDRESS(2,COLUMN())),OFFSET($BN$2,0,0,ROW()-1,60),ROW()-1,FALSE))</f>
        <v>33044.4522</v>
      </c>
      <c r="L398">
        <f ca="1">IF(AND(ISNUMBER($L$897),$B$511=1),$L$897,HLOOKUP(INDIRECT(ADDRESS(2,COLUMN())),OFFSET($BN$2,0,0,ROW()-1,60),ROW()-1,FALSE))</f>
        <v>28676.4162</v>
      </c>
      <c r="M398">
        <f ca="1">IF(AND(ISNUMBER($M$897),$B$511=1),$M$897,HLOOKUP(INDIRECT(ADDRESS(2,COLUMN())),OFFSET($BN$2,0,0,ROW()-1,60),ROW()-1,FALSE))</f>
        <v>29956.891329999999</v>
      </c>
      <c r="N398">
        <f ca="1">IF(AND(ISNUMBER($N$897),$B$511=1),$N$897,HLOOKUP(INDIRECT(ADDRESS(2,COLUMN())),OFFSET($BN$2,0,0,ROW()-1,60),ROW()-1,FALSE))</f>
        <v>28730.364829999999</v>
      </c>
      <c r="O398">
        <f ca="1">IF(AND(ISNUMBER($O$897),$B$511=1),$O$897,HLOOKUP(INDIRECT(ADDRESS(2,COLUMN())),OFFSET($BN$2,0,0,ROW()-1,60),ROW()-1,FALSE))</f>
        <v>36988.176209999998</v>
      </c>
      <c r="P398">
        <f ca="1">IF(AND(ISNUMBER($P$897),$B$511=1),$P$897,HLOOKUP(INDIRECT(ADDRESS(2,COLUMN())),OFFSET($BN$2,0,0,ROW()-1,60),ROW()-1,FALSE))</f>
        <v>32627.165110000002</v>
      </c>
      <c r="Q398">
        <f ca="1">IF(AND(ISNUMBER($Q$897),$B$511=1),$Q$897,HLOOKUP(INDIRECT(ADDRESS(2,COLUMN())),OFFSET($BN$2,0,0,ROW()-1,60),ROW()-1,FALSE))</f>
        <v>29721.277290000002</v>
      </c>
      <c r="R398">
        <f ca="1">IF(AND(ISNUMBER($R$897),$B$511=1),$R$897,HLOOKUP(INDIRECT(ADDRESS(2,COLUMN())),OFFSET($BN$2,0,0,ROW()-1,60),ROW()-1,FALSE))</f>
        <v>31975.351269999999</v>
      </c>
      <c r="S398">
        <f ca="1">IF(AND(ISNUMBER($S$897),$B$511=1),$S$897,HLOOKUP(INDIRECT(ADDRESS(2,COLUMN())),OFFSET($BN$2,0,0,ROW()-1,60),ROW()-1,FALSE))</f>
        <v>39730.920050000001</v>
      </c>
      <c r="T398">
        <f ca="1">IF(AND(ISNUMBER($T$897),$B$511=1),$T$897,HLOOKUP(INDIRECT(ADDRESS(2,COLUMN())),OFFSET($BN$2,0,0,ROW()-1,60),ROW()-1,FALSE))</f>
        <v>31805.31105</v>
      </c>
      <c r="U398">
        <f ca="1">IF(AND(ISNUMBER($U$897),$B$511=1),$U$897,HLOOKUP(INDIRECT(ADDRESS(2,COLUMN())),OFFSET($BN$2,0,0,ROW()-1,60),ROW()-1,FALSE))</f>
        <v>42303.234920000003</v>
      </c>
      <c r="V398">
        <f ca="1">IF(AND(ISNUMBER($V$897),$B$511=1),$V$897,HLOOKUP(INDIRECT(ADDRESS(2,COLUMN())),OFFSET($BN$2,0,0,ROW()-1,60),ROW()-1,FALSE))</f>
        <v>37962.89759</v>
      </c>
      <c r="W398">
        <f ca="1">IF(AND(ISNUMBER($W$897),$B$511=1),$W$897,HLOOKUP(INDIRECT(ADDRESS(2,COLUMN())),OFFSET($BN$2,0,0,ROW()-1,60),ROW()-1,FALSE))</f>
        <v>33436.707730000002</v>
      </c>
      <c r="X398">
        <f ca="1">IF(AND(ISNUMBER($X$897),$B$511=1),$X$897,HLOOKUP(INDIRECT(ADDRESS(2,COLUMN())),OFFSET($BN$2,0,0,ROW()-1,60),ROW()-1,FALSE))</f>
        <v>37136.163500000002</v>
      </c>
      <c r="Y398">
        <f ca="1">IF(AND(ISNUMBER($Y$897),$B$511=1),$Y$897,HLOOKUP(INDIRECT(ADDRESS(2,COLUMN())),OFFSET($BN$2,0,0,ROW()-1,60),ROW()-1,FALSE))</f>
        <v>37231.468399999998</v>
      </c>
      <c r="Z398">
        <f ca="1">IF(AND(ISNUMBER($Z$897),$B$511=1),$Z$897,HLOOKUP(INDIRECT(ADDRESS(2,COLUMN())),OFFSET($BN$2,0,0,ROW()-1,60),ROW()-1,FALSE))</f>
        <v>33661.590230000002</v>
      </c>
      <c r="AA398">
        <f ca="1">IF(AND(ISNUMBER($AA$897),$B$511=1),$AA$897,HLOOKUP(INDIRECT(ADDRESS(2,COLUMN())),OFFSET($BN$2,0,0,ROW()-1,60),ROW()-1,FALSE))</f>
        <v>34901.535530000001</v>
      </c>
      <c r="AB398">
        <f ca="1">IF(AND(ISNUMBER($AB$897),$B$511=1),$AB$897,HLOOKUP(INDIRECT(ADDRESS(2,COLUMN())),OFFSET($BN$2,0,0,ROW()-1,60),ROW()-1,FALSE))</f>
        <v>41004.468860000001</v>
      </c>
      <c r="AC398">
        <f ca="1">IF(AND(ISNUMBER($AC$897),$B$511=1),$AC$897,HLOOKUP(INDIRECT(ADDRESS(2,COLUMN())),OFFSET($BN$2,0,0,ROW()-1,60),ROW()-1,FALSE))</f>
        <v>42547.396639999999</v>
      </c>
      <c r="AD398">
        <f ca="1">IF(AND(ISNUMBER($AD$897),$B$511=1),$AD$897,HLOOKUP(INDIRECT(ADDRESS(2,COLUMN())),OFFSET($BN$2,0,0,ROW()-1,60),ROW()-1,FALSE))</f>
        <v>37747.860070000002</v>
      </c>
      <c r="AE398">
        <f ca="1">IF(AND(ISNUMBER($AE$897),$B$511=1),$AE$897,HLOOKUP(INDIRECT(ADDRESS(2,COLUMN())),OFFSET($BN$2,0,0,ROW()-1,60),ROW()-1,FALSE))</f>
        <v>42443.414660000002</v>
      </c>
      <c r="AF398">
        <f ca="1">IF(AND(ISNUMBER($AF$897),$B$511=1),$AF$897,HLOOKUP(INDIRECT(ADDRESS(2,COLUMN())),OFFSET($BN$2,0,0,ROW()-1,60),ROW()-1,FALSE))</f>
        <v>36986.85441</v>
      </c>
      <c r="AG398">
        <f ca="1">IF(AND(ISNUMBER($AG$897),$B$511=1),$AG$897,HLOOKUP(INDIRECT(ADDRESS(2,COLUMN())),OFFSET($BN$2,0,0,ROW()-1,60),ROW()-1,FALSE))</f>
        <v>39743.835440000003</v>
      </c>
      <c r="AH398">
        <f ca="1">IF(AND(ISNUMBER($AH$897),$B$511=1),$AH$897,HLOOKUP(INDIRECT(ADDRESS(2,COLUMN())),OFFSET($BN$2,0,0,ROW()-1,60),ROW()-1,FALSE))</f>
        <v>44306.01728</v>
      </c>
      <c r="AI398">
        <f ca="1">IF(AND(ISNUMBER($AI$897),$B$511=1),$AI$897,HLOOKUP(INDIRECT(ADDRESS(2,COLUMN())),OFFSET($BN$2,0,0,ROW()-1,60),ROW()-1,FALSE))</f>
        <v>40236.758150000001</v>
      </c>
      <c r="AJ398">
        <f ca="1">IF(AND(ISNUMBER($AJ$897),$B$511=1),$AJ$897,HLOOKUP(INDIRECT(ADDRESS(2,COLUMN())),OFFSET($BN$2,0,0,ROW()-1,60),ROW()-1,FALSE))</f>
        <v>40736.644090000002</v>
      </c>
      <c r="AK398">
        <f ca="1">IF(AND(ISNUMBER($AK$897),$B$511=1),$AK$897,HLOOKUP(INDIRECT(ADDRESS(2,COLUMN())),OFFSET($BN$2,0,0,ROW()-1,60),ROW()-1,FALSE))</f>
        <v>47486.461139999999</v>
      </c>
      <c r="AL398">
        <f ca="1">IF(AND(ISNUMBER($AL$897),$B$511=1),$AL$897,HLOOKUP(INDIRECT(ADDRESS(2,COLUMN())),OFFSET($BN$2,0,0,ROW()-1,60),ROW()-1,FALSE))</f>
        <v>40684.014430000003</v>
      </c>
      <c r="AM398">
        <f ca="1">IF(AND(ISNUMBER($AM$897),$B$511=1),$AM$897,HLOOKUP(INDIRECT(ADDRESS(2,COLUMN())),OFFSET($BN$2,0,0,ROW()-1,60),ROW()-1,FALSE))</f>
        <v>46121.518859999996</v>
      </c>
      <c r="AN398">
        <f ca="1">IF(AND(ISNUMBER($AN$897),$B$511=1),$AN$897,HLOOKUP(INDIRECT(ADDRESS(2,COLUMN())),OFFSET($BN$2,0,0,ROW()-1,60),ROW()-1,FALSE))</f>
        <v>41693.236010000001</v>
      </c>
      <c r="AO398">
        <f ca="1">IF(AND(ISNUMBER($AO$897),$B$511=1),$AO$897,HLOOKUP(INDIRECT(ADDRESS(2,COLUMN())),OFFSET($BN$2,0,0,ROW()-1,60),ROW()-1,FALSE))</f>
        <v>34600.381549999998</v>
      </c>
      <c r="AP398">
        <f ca="1">IF(AND(ISNUMBER($AP$897),$B$511=1),$AP$897,HLOOKUP(INDIRECT(ADDRESS(2,COLUMN())),OFFSET($BN$2,0,0,ROW()-1,60),ROW()-1,FALSE))</f>
        <v>41273.223259999999</v>
      </c>
      <c r="AQ398">
        <f ca="1">IF(AND(ISNUMBER($AQ$897),$B$511=1),$AQ$897,HLOOKUP(INDIRECT(ADDRESS(2,COLUMN())),OFFSET($BN$2,0,0,ROW()-1,60),ROW()-1,FALSE))</f>
        <v>44776.114079999999</v>
      </c>
      <c r="AR398">
        <f ca="1">IF(AND(ISNUMBER($AR$897),$B$511=1),$AR$897,HLOOKUP(INDIRECT(ADDRESS(2,COLUMN())),OFFSET($BN$2,0,0,ROW()-1,60),ROW()-1,FALSE))</f>
        <v>36385.974649999996</v>
      </c>
      <c r="AS398">
        <f ca="1">IF(AND(ISNUMBER($AS$897),$B$511=1),$AS$897,HLOOKUP(INDIRECT(ADDRESS(2,COLUMN())),OFFSET($BN$2,0,0,ROW()-1,60),ROW()-1,FALSE))</f>
        <v>34592.27766</v>
      </c>
      <c r="AT398">
        <f ca="1">IF(AND(ISNUMBER($AT$897),$B$511=1),$AT$897,HLOOKUP(INDIRECT(ADDRESS(2,COLUMN())),OFFSET($BN$2,0,0,ROW()-1,60),ROW()-1,FALSE))</f>
        <v>59233.763120000003</v>
      </c>
      <c r="AU398">
        <f ca="1">IF(AND(ISNUMBER($AU$897),$B$511=1),$AU$897,HLOOKUP(INDIRECT(ADDRESS(2,COLUMN())),OFFSET($BN$2,0,0,ROW()-1,60),ROW()-1,FALSE))</f>
        <v>67384.201329999996</v>
      </c>
      <c r="AV398">
        <f ca="1">IF(AND(ISNUMBER($AV$897),$B$511=1),$AV$897,HLOOKUP(INDIRECT(ADDRESS(2,COLUMN())),OFFSET($BN$2,0,0,ROW()-1,60),ROW()-1,FALSE))</f>
        <v>75478.619330000001</v>
      </c>
      <c r="AW398">
        <f ca="1">IF(AND(ISNUMBER($AW$897),$B$511=1),$AW$897,HLOOKUP(INDIRECT(ADDRESS(2,COLUMN())),OFFSET($BN$2,0,0,ROW()-1,60),ROW()-1,FALSE))</f>
        <v>84160.197249999997</v>
      </c>
      <c r="AX398">
        <f ca="1">IF(AND(ISNUMBER($AX$897),$B$511=1),$AX$897,HLOOKUP(INDIRECT(ADDRESS(2,COLUMN())),OFFSET($BN$2,0,0,ROW()-1,60),ROW()-1,FALSE))</f>
        <v>82260.669269999999</v>
      </c>
      <c r="AY398">
        <f ca="1">IF(AND(ISNUMBER($AY$897),$B$511=1),$AY$897,HLOOKUP(INDIRECT(ADDRESS(2,COLUMN())),OFFSET($BN$2,0,0,ROW()-1,60),ROW()-1,FALSE))</f>
        <v>94732.658320000002</v>
      </c>
      <c r="AZ398">
        <f ca="1">IF(AND(ISNUMBER($AZ$897),$B$511=1),$AZ$897,HLOOKUP(INDIRECT(ADDRESS(2,COLUMN())),OFFSET($BN$2,0,0,ROW()-1,60),ROW()-1,FALSE))</f>
        <v>88823.62672</v>
      </c>
      <c r="BA398">
        <f ca="1">IF(AND(ISNUMBER($BA$897),$B$511=1),$BA$897,HLOOKUP(INDIRECT(ADDRESS(2,COLUMN())),OFFSET($BN$2,0,0,ROW()-1,60),ROW()-1,FALSE))</f>
        <v>90602.182000000001</v>
      </c>
      <c r="BB398">
        <f ca="1">IF(AND(ISNUMBER($BB$897),$B$511=1),$BB$897,HLOOKUP(INDIRECT(ADDRESS(2,COLUMN())),OFFSET($BN$2,0,0,ROW()-1,60),ROW()-1,FALSE))</f>
        <v>90628.645839999997</v>
      </c>
      <c r="BC398">
        <f ca="1">IF(AND(ISNUMBER($BC$897),$B$511=1),$BC$897,HLOOKUP(INDIRECT(ADDRESS(2,COLUMN())),OFFSET($BN$2,0,0,ROW()-1,60),ROW()-1,FALSE))</f>
        <v>97029.728510000001</v>
      </c>
      <c r="BD398">
        <f ca="1">IF(AND(ISNUMBER($BD$897),$B$511=1),$BD$897,HLOOKUP(INDIRECT(ADDRESS(2,COLUMN())),OFFSET($BN$2,0,0,ROW()-1,60),ROW()-1,FALSE))</f>
        <v>91690.784480000002</v>
      </c>
      <c r="BE398">
        <f ca="1">IF(AND(ISNUMBER($BE$897),$B$511=1),$BE$897,HLOOKUP(INDIRECT(ADDRESS(2,COLUMN())),OFFSET($BN$2,0,0,ROW()-1,60),ROW()-1,FALSE))</f>
        <v>92202.744519999993</v>
      </c>
      <c r="BF398">
        <f ca="1">IF(AND(ISNUMBER($BF$897),$B$511=1),$BF$897,HLOOKUP(INDIRECT(ADDRESS(2,COLUMN())),OFFSET($BN$2,0,0,ROW()-1,60),ROW()-1,FALSE))</f>
        <v>93594.757740000001</v>
      </c>
      <c r="BG398">
        <f ca="1">IF(AND(ISNUMBER($BG$897),$B$511=1),$BG$897,HLOOKUP(INDIRECT(ADDRESS(2,COLUMN())),OFFSET($BN$2,0,0,ROW()-1,60),ROW()-1,FALSE))</f>
        <v>86338.203120000006</v>
      </c>
      <c r="BH398">
        <f ca="1">IF(AND(ISNUMBER($BH$897),$B$511=1),$BH$897,HLOOKUP(INDIRECT(ADDRESS(2,COLUMN())),OFFSET($BN$2,0,0,ROW()-1,60),ROW()-1,FALSE))</f>
        <v>90316.99927</v>
      </c>
      <c r="BI398">
        <f ca="1">IF(AND(ISNUMBER($BI$897),$B$511=1),$BI$897,HLOOKUP(INDIRECT(ADDRESS(2,COLUMN())),OFFSET($BN$2,0,0,ROW()-1,60),ROW()-1,FALSE))</f>
        <v>84823.626600000003</v>
      </c>
      <c r="BJ398">
        <f ca="1">IF(AND(ISNUMBER($BJ$897),$B$511=1),$BJ$897,HLOOKUP(INDIRECT(ADDRESS(2,COLUMN())),OFFSET($BN$2,0,0,ROW()-1,60),ROW()-1,FALSE))</f>
        <v>81190.994529999996</v>
      </c>
      <c r="BK398">
        <f ca="1">IF(AND(ISNUMBER($BK$897),$B$511=1),$BK$897,HLOOKUP(INDIRECT(ADDRESS(2,COLUMN())),OFFSET($BN$2,0,0,ROW()-1,60),ROW()-1,FALSE))</f>
        <v>83741.22597</v>
      </c>
      <c r="BL398">
        <f ca="1">IF(AND(ISNUMBER($BL$897),$B$511=1),$BL$897,HLOOKUP(INDIRECT(ADDRESS(2,COLUMN())),OFFSET($BN$2,0,0,ROW()-1,60),ROW()-1,FALSE))</f>
        <v>80971.370989999996</v>
      </c>
      <c r="BM398">
        <f ca="1">IF(AND(ISNUMBER($BM$897),$B$511=1),$BM$897,HLOOKUP(INDIRECT(ADDRESS(2,COLUMN())),OFFSET($BN$2,0,0,ROW()-1,60),ROW()-1,FALSE))</f>
        <v>79383.76251</v>
      </c>
      <c r="BN398">
        <f>26832.1635</f>
        <v>26832.163499999999</v>
      </c>
      <c r="BO398">
        <f>24300.75639</f>
        <v>24300.756389999999</v>
      </c>
      <c r="BP398">
        <f>28409.58169</f>
        <v>28409.581689999999</v>
      </c>
      <c r="BQ398">
        <f>29688.80566</f>
        <v>29688.805660000002</v>
      </c>
      <c r="BR398">
        <f>30073.663</f>
        <v>30073.663</v>
      </c>
      <c r="BS398">
        <f>33044.4522</f>
        <v>33044.4522</v>
      </c>
      <c r="BT398">
        <f>28676.4162</f>
        <v>28676.4162</v>
      </c>
      <c r="BU398">
        <f>29956.89133</f>
        <v>29956.891329999999</v>
      </c>
      <c r="BV398">
        <f>28730.36483</f>
        <v>28730.364829999999</v>
      </c>
      <c r="BW398">
        <f>36988.17621</f>
        <v>36988.176209999998</v>
      </c>
      <c r="BX398">
        <f>32627.16511</f>
        <v>32627.165110000002</v>
      </c>
      <c r="BY398">
        <f>29721.27729</f>
        <v>29721.277290000002</v>
      </c>
      <c r="BZ398">
        <f>31975.35127</f>
        <v>31975.351269999999</v>
      </c>
      <c r="CA398">
        <f>39730.92005</f>
        <v>39730.920050000001</v>
      </c>
      <c r="CB398">
        <f>31805.31105</f>
        <v>31805.31105</v>
      </c>
      <c r="CC398">
        <f>42303.23492</f>
        <v>42303.234920000003</v>
      </c>
      <c r="CD398">
        <f>37962.89759</f>
        <v>37962.89759</v>
      </c>
      <c r="CE398">
        <f>33436.70773</f>
        <v>33436.707730000002</v>
      </c>
      <c r="CF398">
        <f>37136.1635</f>
        <v>37136.163500000002</v>
      </c>
      <c r="CG398">
        <f>37231.4684</f>
        <v>37231.468399999998</v>
      </c>
      <c r="CH398">
        <f>33661.59023</f>
        <v>33661.590230000002</v>
      </c>
      <c r="CI398">
        <f>34901.53553</f>
        <v>34901.535530000001</v>
      </c>
      <c r="CJ398">
        <f>41004.46886</f>
        <v>41004.468860000001</v>
      </c>
      <c r="CK398">
        <f>42547.39664</f>
        <v>42547.396639999999</v>
      </c>
      <c r="CL398">
        <f>37747.86007</f>
        <v>37747.860070000002</v>
      </c>
      <c r="CM398">
        <f>42443.41466</f>
        <v>42443.414660000002</v>
      </c>
      <c r="CN398">
        <f>36986.85441</f>
        <v>36986.85441</v>
      </c>
      <c r="CO398">
        <f>39743.83544</f>
        <v>39743.835440000003</v>
      </c>
      <c r="CP398">
        <f>44306.01728</f>
        <v>44306.01728</v>
      </c>
      <c r="CQ398">
        <f>40236.75815</f>
        <v>40236.758150000001</v>
      </c>
      <c r="CR398">
        <f>40736.64409</f>
        <v>40736.644090000002</v>
      </c>
      <c r="CS398">
        <f>47486.46114</f>
        <v>47486.461139999999</v>
      </c>
      <c r="CT398">
        <f>40684.01443</f>
        <v>40684.014430000003</v>
      </c>
      <c r="CU398">
        <f>46121.51886</f>
        <v>46121.518859999996</v>
      </c>
      <c r="CV398">
        <f>41693.23601</f>
        <v>41693.236010000001</v>
      </c>
      <c r="CW398">
        <f>34600.38155</f>
        <v>34600.381549999998</v>
      </c>
      <c r="CX398">
        <f>41273.22326</f>
        <v>41273.223259999999</v>
      </c>
      <c r="CY398">
        <f>44776.11408</f>
        <v>44776.114079999999</v>
      </c>
      <c r="CZ398">
        <f>36385.97465</f>
        <v>36385.974649999996</v>
      </c>
      <c r="DA398">
        <f>34592.27766</f>
        <v>34592.27766</v>
      </c>
      <c r="DB398">
        <f>59233.76312</f>
        <v>59233.763120000003</v>
      </c>
      <c r="DC398">
        <f>67384.20133</f>
        <v>67384.201329999996</v>
      </c>
      <c r="DD398">
        <f>75478.61933</f>
        <v>75478.619330000001</v>
      </c>
      <c r="DE398">
        <f>84160.19725</f>
        <v>84160.197249999997</v>
      </c>
      <c r="DF398">
        <f>82260.66927</f>
        <v>82260.669269999999</v>
      </c>
      <c r="DG398">
        <f>94732.65832</f>
        <v>94732.658320000002</v>
      </c>
      <c r="DH398">
        <f>88823.62672</f>
        <v>88823.62672</v>
      </c>
      <c r="DI398">
        <f>90602.182</f>
        <v>90602.182000000001</v>
      </c>
      <c r="DJ398">
        <f>90628.64584</f>
        <v>90628.645839999997</v>
      </c>
      <c r="DK398">
        <f>97029.72851</f>
        <v>97029.728510000001</v>
      </c>
      <c r="DL398">
        <f>91690.78448</f>
        <v>91690.784480000002</v>
      </c>
      <c r="DM398">
        <f>92202.74452</f>
        <v>92202.744519999993</v>
      </c>
      <c r="DN398">
        <f>93594.75774</f>
        <v>93594.757740000001</v>
      </c>
      <c r="DO398">
        <f>86338.20312</f>
        <v>86338.203120000006</v>
      </c>
      <c r="DP398">
        <f>90316.99927</f>
        <v>90316.99927</v>
      </c>
      <c r="DQ398">
        <f>84823.6266</f>
        <v>84823.626600000003</v>
      </c>
      <c r="DR398">
        <f>81190.99453</f>
        <v>81190.994529999996</v>
      </c>
      <c r="DS398">
        <f>83741.22597</f>
        <v>83741.22597</v>
      </c>
      <c r="DT398">
        <f>80971.37099</f>
        <v>80971.370989999996</v>
      </c>
      <c r="DU398">
        <f>79383.76251</f>
        <v>79383.76251</v>
      </c>
    </row>
    <row r="399" spans="1:125" x14ac:dyDescent="0.25">
      <c r="A399" t="str">
        <f>"    Peugeot SA"</f>
        <v xml:space="preserve">    Peugeot SA</v>
      </c>
      <c r="B399" t="str">
        <f>"UG FP Equity"</f>
        <v>UG FP Equity</v>
      </c>
      <c r="C399" t="str">
        <f t="shared" si="27"/>
        <v>RR937</v>
      </c>
      <c r="D399" t="str">
        <f t="shared" si="28"/>
        <v>CRNCY_ADJ_CURR_EV</v>
      </c>
      <c r="E399" t="str">
        <f t="shared" si="29"/>
        <v>Dynamic</v>
      </c>
      <c r="F399" t="str">
        <f ca="1">IF(AND(ISNUMBER($F$898),$B$511=1),$F$898,HLOOKUP(INDIRECT(ADDRESS(2,COLUMN())),OFFSET($BN$2,0,0,ROW()-1,60),ROW()-1,FALSE))</f>
        <v/>
      </c>
      <c r="G399" t="str">
        <f ca="1">IF(AND(ISNUMBER($G$898),$B$511=1),$G$898,HLOOKUP(INDIRECT(ADDRESS(2,COLUMN())),OFFSET($BN$2,0,0,ROW()-1,60),ROW()-1,FALSE))</f>
        <v/>
      </c>
      <c r="H399" t="str">
        <f ca="1">IF(AND(ISNUMBER($H$898),$B$511=1),$H$898,HLOOKUP(INDIRECT(ADDRESS(2,COLUMN())),OFFSET($BN$2,0,0,ROW()-1,60),ROW()-1,FALSE))</f>
        <v/>
      </c>
      <c r="I399" t="str">
        <f ca="1">IF(AND(ISNUMBER($I$898),$B$511=1),$I$898,HLOOKUP(INDIRECT(ADDRESS(2,COLUMN())),OFFSET($BN$2,0,0,ROW()-1,60),ROW()-1,FALSE))</f>
        <v/>
      </c>
      <c r="J399" t="str">
        <f ca="1">IF(AND(ISNUMBER($J$898),$B$511=1),$J$898,HLOOKUP(INDIRECT(ADDRESS(2,COLUMN())),OFFSET($BN$2,0,0,ROW()-1,60),ROW()-1,FALSE))</f>
        <v/>
      </c>
      <c r="K399" t="str">
        <f ca="1">IF(AND(ISNUMBER($K$898),$B$511=1),$K$898,HLOOKUP(INDIRECT(ADDRESS(2,COLUMN())),OFFSET($BN$2,0,0,ROW()-1,60),ROW()-1,FALSE))</f>
        <v/>
      </c>
      <c r="L399" t="str">
        <f ca="1">IF(AND(ISNUMBER($L$898),$B$511=1),$L$898,HLOOKUP(INDIRECT(ADDRESS(2,COLUMN())),OFFSET($BN$2,0,0,ROW()-1,60),ROW()-1,FALSE))</f>
        <v/>
      </c>
      <c r="M399" t="str">
        <f ca="1">IF(AND(ISNUMBER($M$898),$B$511=1),$M$898,HLOOKUP(INDIRECT(ADDRESS(2,COLUMN())),OFFSET($BN$2,0,0,ROW()-1,60),ROW()-1,FALSE))</f>
        <v/>
      </c>
      <c r="N399" t="str">
        <f ca="1">IF(AND(ISNUMBER($N$898),$B$511=1),$N$898,HLOOKUP(INDIRECT(ADDRESS(2,COLUMN())),OFFSET($BN$2,0,0,ROW()-1,60),ROW()-1,FALSE))</f>
        <v/>
      </c>
      <c r="O399" t="str">
        <f ca="1">IF(AND(ISNUMBER($O$898),$B$511=1),$O$898,HLOOKUP(INDIRECT(ADDRESS(2,COLUMN())),OFFSET($BN$2,0,0,ROW()-1,60),ROW()-1,FALSE))</f>
        <v/>
      </c>
      <c r="P399" t="str">
        <f ca="1">IF(AND(ISNUMBER($P$898),$B$511=1),$P$898,HLOOKUP(INDIRECT(ADDRESS(2,COLUMN())),OFFSET($BN$2,0,0,ROW()-1,60),ROW()-1,FALSE))</f>
        <v/>
      </c>
      <c r="Q399" t="str">
        <f ca="1">IF(AND(ISNUMBER($Q$898),$B$511=1),$Q$898,HLOOKUP(INDIRECT(ADDRESS(2,COLUMN())),OFFSET($BN$2,0,0,ROW()-1,60),ROW()-1,FALSE))</f>
        <v/>
      </c>
      <c r="R399" t="str">
        <f ca="1">IF(AND(ISNUMBER($R$898),$B$511=1),$R$898,HLOOKUP(INDIRECT(ADDRESS(2,COLUMN())),OFFSET($BN$2,0,0,ROW()-1,60),ROW()-1,FALSE))</f>
        <v/>
      </c>
      <c r="S399" t="str">
        <f ca="1">IF(AND(ISNUMBER($S$898),$B$511=1),$S$898,HLOOKUP(INDIRECT(ADDRESS(2,COLUMN())),OFFSET($BN$2,0,0,ROW()-1,60),ROW()-1,FALSE))</f>
        <v/>
      </c>
      <c r="T399" t="str">
        <f ca="1">IF(AND(ISNUMBER($T$898),$B$511=1),$T$898,HLOOKUP(INDIRECT(ADDRESS(2,COLUMN())),OFFSET($BN$2,0,0,ROW()-1,60),ROW()-1,FALSE))</f>
        <v/>
      </c>
      <c r="U399" t="str">
        <f ca="1">IF(AND(ISNUMBER($U$898),$B$511=1),$U$898,HLOOKUP(INDIRECT(ADDRESS(2,COLUMN())),OFFSET($BN$2,0,0,ROW()-1,60),ROW()-1,FALSE))</f>
        <v/>
      </c>
      <c r="V399" t="str">
        <f ca="1">IF(AND(ISNUMBER($V$898),$B$511=1),$V$898,HLOOKUP(INDIRECT(ADDRESS(2,COLUMN())),OFFSET($BN$2,0,0,ROW()-1,60),ROW()-1,FALSE))</f>
        <v/>
      </c>
      <c r="W399" t="str">
        <f ca="1">IF(AND(ISNUMBER($W$898),$B$511=1),$W$898,HLOOKUP(INDIRECT(ADDRESS(2,COLUMN())),OFFSET($BN$2,0,0,ROW()-1,60),ROW()-1,FALSE))</f>
        <v/>
      </c>
      <c r="X399" t="str">
        <f ca="1">IF(AND(ISNUMBER($X$898),$B$511=1),$X$898,HLOOKUP(INDIRECT(ADDRESS(2,COLUMN())),OFFSET($BN$2,0,0,ROW()-1,60),ROW()-1,FALSE))</f>
        <v/>
      </c>
      <c r="Y399" t="str">
        <f ca="1">IF(AND(ISNUMBER($Y$898),$B$511=1),$Y$898,HLOOKUP(INDIRECT(ADDRESS(2,COLUMN())),OFFSET($BN$2,0,0,ROW()-1,60),ROW()-1,FALSE))</f>
        <v/>
      </c>
      <c r="Z399" t="str">
        <f ca="1">IF(AND(ISNUMBER($Z$898),$B$511=1),$Z$898,HLOOKUP(INDIRECT(ADDRESS(2,COLUMN())),OFFSET($BN$2,0,0,ROW()-1,60),ROW()-1,FALSE))</f>
        <v/>
      </c>
      <c r="AA399" t="str">
        <f ca="1">IF(AND(ISNUMBER($AA$898),$B$511=1),$AA$898,HLOOKUP(INDIRECT(ADDRESS(2,COLUMN())),OFFSET($BN$2,0,0,ROW()-1,60),ROW()-1,FALSE))</f>
        <v/>
      </c>
      <c r="AB399" t="str">
        <f ca="1">IF(AND(ISNUMBER($AB$898),$B$511=1),$AB$898,HLOOKUP(INDIRECT(ADDRESS(2,COLUMN())),OFFSET($BN$2,0,0,ROW()-1,60),ROW()-1,FALSE))</f>
        <v/>
      </c>
      <c r="AC399" t="str">
        <f ca="1">IF(AND(ISNUMBER($AC$898),$B$511=1),$AC$898,HLOOKUP(INDIRECT(ADDRESS(2,COLUMN())),OFFSET($BN$2,0,0,ROW()-1,60),ROW()-1,FALSE))</f>
        <v/>
      </c>
      <c r="AD399" t="str">
        <f ca="1">IF(AND(ISNUMBER($AD$898),$B$511=1),$AD$898,HLOOKUP(INDIRECT(ADDRESS(2,COLUMN())),OFFSET($BN$2,0,0,ROW()-1,60),ROW()-1,FALSE))</f>
        <v/>
      </c>
      <c r="AE399" t="str">
        <f ca="1">IF(AND(ISNUMBER($AE$898),$B$511=1),$AE$898,HLOOKUP(INDIRECT(ADDRESS(2,COLUMN())),OFFSET($BN$2,0,0,ROW()-1,60),ROW()-1,FALSE))</f>
        <v/>
      </c>
      <c r="AF399" t="str">
        <f ca="1">IF(AND(ISNUMBER($AF$898),$B$511=1),$AF$898,HLOOKUP(INDIRECT(ADDRESS(2,COLUMN())),OFFSET($BN$2,0,0,ROW()-1,60),ROW()-1,FALSE))</f>
        <v/>
      </c>
      <c r="AG399" t="str">
        <f ca="1">IF(AND(ISNUMBER($AG$898),$B$511=1),$AG$898,HLOOKUP(INDIRECT(ADDRESS(2,COLUMN())),OFFSET($BN$2,0,0,ROW()-1,60),ROW()-1,FALSE))</f>
        <v/>
      </c>
      <c r="AH399" t="str">
        <f ca="1">IF(AND(ISNUMBER($AH$898),$B$511=1),$AH$898,HLOOKUP(INDIRECT(ADDRESS(2,COLUMN())),OFFSET($BN$2,0,0,ROW()-1,60),ROW()-1,FALSE))</f>
        <v/>
      </c>
      <c r="AI399" t="str">
        <f ca="1">IF(AND(ISNUMBER($AI$898),$B$511=1),$AI$898,HLOOKUP(INDIRECT(ADDRESS(2,COLUMN())),OFFSET($BN$2,0,0,ROW()-1,60),ROW()-1,FALSE))</f>
        <v/>
      </c>
      <c r="AJ399" t="str">
        <f ca="1">IF(AND(ISNUMBER($AJ$898),$B$511=1),$AJ$898,HLOOKUP(INDIRECT(ADDRESS(2,COLUMN())),OFFSET($BN$2,0,0,ROW()-1,60),ROW()-1,FALSE))</f>
        <v/>
      </c>
      <c r="AK399" t="str">
        <f ca="1">IF(AND(ISNUMBER($AK$898),$B$511=1),$AK$898,HLOOKUP(INDIRECT(ADDRESS(2,COLUMN())),OFFSET($BN$2,0,0,ROW()-1,60),ROW()-1,FALSE))</f>
        <v/>
      </c>
      <c r="AL399" t="str">
        <f ca="1">IF(AND(ISNUMBER($AL$898),$B$511=1),$AL$898,HLOOKUP(INDIRECT(ADDRESS(2,COLUMN())),OFFSET($BN$2,0,0,ROW()-1,60),ROW()-1,FALSE))</f>
        <v/>
      </c>
      <c r="AM399" t="str">
        <f ca="1">IF(AND(ISNUMBER($AM$898),$B$511=1),$AM$898,HLOOKUP(INDIRECT(ADDRESS(2,COLUMN())),OFFSET($BN$2,0,0,ROW()-1,60),ROW()-1,FALSE))</f>
        <v/>
      </c>
      <c r="AN399" t="str">
        <f ca="1">IF(AND(ISNUMBER($AN$898),$B$511=1),$AN$898,HLOOKUP(INDIRECT(ADDRESS(2,COLUMN())),OFFSET($BN$2,0,0,ROW()-1,60),ROW()-1,FALSE))</f>
        <v/>
      </c>
      <c r="AO399" t="str">
        <f ca="1">IF(AND(ISNUMBER($AO$898),$B$511=1),$AO$898,HLOOKUP(INDIRECT(ADDRESS(2,COLUMN())),OFFSET($BN$2,0,0,ROW()-1,60),ROW()-1,FALSE))</f>
        <v/>
      </c>
      <c r="AP399" t="str">
        <f ca="1">IF(AND(ISNUMBER($AP$898),$B$511=1),$AP$898,HLOOKUP(INDIRECT(ADDRESS(2,COLUMN())),OFFSET($BN$2,0,0,ROW()-1,60),ROW()-1,FALSE))</f>
        <v/>
      </c>
      <c r="AQ399" t="str">
        <f ca="1">IF(AND(ISNUMBER($AQ$898),$B$511=1),$AQ$898,HLOOKUP(INDIRECT(ADDRESS(2,COLUMN())),OFFSET($BN$2,0,0,ROW()-1,60),ROW()-1,FALSE))</f>
        <v/>
      </c>
      <c r="AR399" t="str">
        <f ca="1">IF(AND(ISNUMBER($AR$898),$B$511=1),$AR$898,HLOOKUP(INDIRECT(ADDRESS(2,COLUMN())),OFFSET($BN$2,0,0,ROW()-1,60),ROW()-1,FALSE))</f>
        <v/>
      </c>
      <c r="AS399" t="str">
        <f ca="1">IF(AND(ISNUMBER($AS$898),$B$511=1),$AS$898,HLOOKUP(INDIRECT(ADDRESS(2,COLUMN())),OFFSET($BN$2,0,0,ROW()-1,60),ROW()-1,FALSE))</f>
        <v/>
      </c>
      <c r="AT399" t="str">
        <f ca="1">IF(AND(ISNUMBER($AT$898),$B$511=1),$AT$898,HLOOKUP(INDIRECT(ADDRESS(2,COLUMN())),OFFSET($BN$2,0,0,ROW()-1,60),ROW()-1,FALSE))</f>
        <v/>
      </c>
      <c r="AU399" t="str">
        <f ca="1">IF(AND(ISNUMBER($AU$898),$B$511=1),$AU$898,HLOOKUP(INDIRECT(ADDRESS(2,COLUMN())),OFFSET($BN$2,0,0,ROW()-1,60),ROW()-1,FALSE))</f>
        <v/>
      </c>
      <c r="AV399" t="str">
        <f ca="1">IF(AND(ISNUMBER($AV$898),$B$511=1),$AV$898,HLOOKUP(INDIRECT(ADDRESS(2,COLUMN())),OFFSET($BN$2,0,0,ROW()-1,60),ROW()-1,FALSE))</f>
        <v/>
      </c>
      <c r="AW399" t="str">
        <f ca="1">IF(AND(ISNUMBER($AW$898),$B$511=1),$AW$898,HLOOKUP(INDIRECT(ADDRESS(2,COLUMN())),OFFSET($BN$2,0,0,ROW()-1,60),ROW()-1,FALSE))</f>
        <v/>
      </c>
      <c r="AX399" t="str">
        <f ca="1">IF(AND(ISNUMBER($AX$898),$B$511=1),$AX$898,HLOOKUP(INDIRECT(ADDRESS(2,COLUMN())),OFFSET($BN$2,0,0,ROW()-1,60),ROW()-1,FALSE))</f>
        <v/>
      </c>
      <c r="AY399" t="str">
        <f ca="1">IF(AND(ISNUMBER($AY$898),$B$511=1),$AY$898,HLOOKUP(INDIRECT(ADDRESS(2,COLUMN())),OFFSET($BN$2,0,0,ROW()-1,60),ROW()-1,FALSE))</f>
        <v/>
      </c>
      <c r="AZ399" t="str">
        <f ca="1">IF(AND(ISNUMBER($AZ$898),$B$511=1),$AZ$898,HLOOKUP(INDIRECT(ADDRESS(2,COLUMN())),OFFSET($BN$2,0,0,ROW()-1,60),ROW()-1,FALSE))</f>
        <v/>
      </c>
      <c r="BA399" t="str">
        <f ca="1">IF(AND(ISNUMBER($BA$898),$B$511=1),$BA$898,HLOOKUP(INDIRECT(ADDRESS(2,COLUMN())),OFFSET($BN$2,0,0,ROW()-1,60),ROW()-1,FALSE))</f>
        <v/>
      </c>
      <c r="BB399" t="str">
        <f ca="1">IF(AND(ISNUMBER($BB$898),$B$511=1),$BB$898,HLOOKUP(INDIRECT(ADDRESS(2,COLUMN())),OFFSET($BN$2,0,0,ROW()-1,60),ROW()-1,FALSE))</f>
        <v/>
      </c>
      <c r="BC399" t="str">
        <f ca="1">IF(AND(ISNUMBER($BC$898),$B$511=1),$BC$898,HLOOKUP(INDIRECT(ADDRESS(2,COLUMN())),OFFSET($BN$2,0,0,ROW()-1,60),ROW()-1,FALSE))</f>
        <v/>
      </c>
      <c r="BD399" t="str">
        <f ca="1">IF(AND(ISNUMBER($BD$898),$B$511=1),$BD$898,HLOOKUP(INDIRECT(ADDRESS(2,COLUMN())),OFFSET($BN$2,0,0,ROW()-1,60),ROW()-1,FALSE))</f>
        <v/>
      </c>
      <c r="BE399" t="str">
        <f ca="1">IF(AND(ISNUMBER($BE$898),$B$511=1),$BE$898,HLOOKUP(INDIRECT(ADDRESS(2,COLUMN())),OFFSET($BN$2,0,0,ROW()-1,60),ROW()-1,FALSE))</f>
        <v/>
      </c>
      <c r="BF399" t="str">
        <f ca="1">IF(AND(ISNUMBER($BF$898),$B$511=1),$BF$898,HLOOKUP(INDIRECT(ADDRESS(2,COLUMN())),OFFSET($BN$2,0,0,ROW()-1,60),ROW()-1,FALSE))</f>
        <v/>
      </c>
      <c r="BG399" t="str">
        <f ca="1">IF(AND(ISNUMBER($BG$898),$B$511=1),$BG$898,HLOOKUP(INDIRECT(ADDRESS(2,COLUMN())),OFFSET($BN$2,0,0,ROW()-1,60),ROW()-1,FALSE))</f>
        <v/>
      </c>
      <c r="BH399" t="str">
        <f ca="1">IF(AND(ISNUMBER($BH$898),$B$511=1),$BH$898,HLOOKUP(INDIRECT(ADDRESS(2,COLUMN())),OFFSET($BN$2,0,0,ROW()-1,60),ROW()-1,FALSE))</f>
        <v/>
      </c>
      <c r="BI399" t="str">
        <f ca="1">IF(AND(ISNUMBER($BI$898),$B$511=1),$BI$898,HLOOKUP(INDIRECT(ADDRESS(2,COLUMN())),OFFSET($BN$2,0,0,ROW()-1,60),ROW()-1,FALSE))</f>
        <v/>
      </c>
      <c r="BJ399" t="str">
        <f ca="1">IF(AND(ISNUMBER($BJ$898),$B$511=1),$BJ$898,HLOOKUP(INDIRECT(ADDRESS(2,COLUMN())),OFFSET($BN$2,0,0,ROW()-1,60),ROW()-1,FALSE))</f>
        <v/>
      </c>
      <c r="BK399" t="str">
        <f ca="1">IF(AND(ISNUMBER($BK$898),$B$511=1),$BK$898,HLOOKUP(INDIRECT(ADDRESS(2,COLUMN())),OFFSET($BN$2,0,0,ROW()-1,60),ROW()-1,FALSE))</f>
        <v/>
      </c>
      <c r="BL399" t="str">
        <f ca="1">IF(AND(ISNUMBER($BL$898),$B$511=1),$BL$898,HLOOKUP(INDIRECT(ADDRESS(2,COLUMN())),OFFSET($BN$2,0,0,ROW()-1,60),ROW()-1,FALSE))</f>
        <v/>
      </c>
      <c r="BM399" t="str">
        <f ca="1">IF(AND(ISNUMBER($BM$898),$B$511=1),$BM$898,HLOOKUP(INDIRECT(ADDRESS(2,COLUMN())),OFFSET($BN$2,0,0,ROW()-1,60),ROW()-1,FALSE))</f>
        <v/>
      </c>
      <c r="BN399" t="str">
        <f>""</f>
        <v/>
      </c>
      <c r="BO399" t="str">
        <f>""</f>
        <v/>
      </c>
      <c r="BP399" t="str">
        <f>""</f>
        <v/>
      </c>
      <c r="BQ399" t="str">
        <f>""</f>
        <v/>
      </c>
      <c r="BR399" t="str">
        <f>""</f>
        <v/>
      </c>
      <c r="BS399" t="str">
        <f>""</f>
        <v/>
      </c>
      <c r="BT399" t="str">
        <f>""</f>
        <v/>
      </c>
      <c r="BU399" t="str">
        <f>""</f>
        <v/>
      </c>
      <c r="BV399" t="str">
        <f>""</f>
        <v/>
      </c>
      <c r="BW399" t="str">
        <f>""</f>
        <v/>
      </c>
      <c r="BX399" t="str">
        <f>""</f>
        <v/>
      </c>
      <c r="BY399" t="str">
        <f>""</f>
        <v/>
      </c>
      <c r="BZ399" t="str">
        <f>""</f>
        <v/>
      </c>
      <c r="CA399" t="str">
        <f>""</f>
        <v/>
      </c>
      <c r="CB399" t="str">
        <f>""</f>
        <v/>
      </c>
      <c r="CC399" t="str">
        <f>""</f>
        <v/>
      </c>
      <c r="CD399" t="str">
        <f>""</f>
        <v/>
      </c>
      <c r="CE399" t="str">
        <f>""</f>
        <v/>
      </c>
      <c r="CF399" t="str">
        <f>""</f>
        <v/>
      </c>
      <c r="CG399" t="str">
        <f>""</f>
        <v/>
      </c>
      <c r="CH399" t="str">
        <f>""</f>
        <v/>
      </c>
      <c r="CI399" t="str">
        <f>""</f>
        <v/>
      </c>
      <c r="CJ399" t="str">
        <f>""</f>
        <v/>
      </c>
      <c r="CK399" t="str">
        <f>""</f>
        <v/>
      </c>
      <c r="CL399" t="str">
        <f>""</f>
        <v/>
      </c>
      <c r="CM399" t="str">
        <f>""</f>
        <v/>
      </c>
      <c r="CN399" t="str">
        <f>""</f>
        <v/>
      </c>
      <c r="CO399" t="str">
        <f>""</f>
        <v/>
      </c>
      <c r="CP399" t="str">
        <f>""</f>
        <v/>
      </c>
      <c r="CQ399" t="str">
        <f>""</f>
        <v/>
      </c>
      <c r="CR399" t="str">
        <f>""</f>
        <v/>
      </c>
      <c r="CS399" t="str">
        <f>""</f>
        <v/>
      </c>
      <c r="CT399" t="str">
        <f>""</f>
        <v/>
      </c>
      <c r="CU399" t="str">
        <f>""</f>
        <v/>
      </c>
      <c r="CV399" t="str">
        <f>""</f>
        <v/>
      </c>
      <c r="CW399" t="str">
        <f>""</f>
        <v/>
      </c>
      <c r="CX399" t="str">
        <f>""</f>
        <v/>
      </c>
      <c r="CY399" t="str">
        <f>""</f>
        <v/>
      </c>
      <c r="CZ399" t="str">
        <f>""</f>
        <v/>
      </c>
      <c r="DA399" t="str">
        <f>""</f>
        <v/>
      </c>
      <c r="DB399" t="str">
        <f>""</f>
        <v/>
      </c>
      <c r="DC399" t="str">
        <f>""</f>
        <v/>
      </c>
      <c r="DD399" t="str">
        <f>""</f>
        <v/>
      </c>
      <c r="DE399" t="str">
        <f>""</f>
        <v/>
      </c>
      <c r="DF399" t="str">
        <f>""</f>
        <v/>
      </c>
      <c r="DG399" t="str">
        <f>""</f>
        <v/>
      </c>
      <c r="DH399" t="str">
        <f>""</f>
        <v/>
      </c>
      <c r="DI399" t="str">
        <f>""</f>
        <v/>
      </c>
      <c r="DJ399" t="str">
        <f>""</f>
        <v/>
      </c>
      <c r="DK399" t="str">
        <f>""</f>
        <v/>
      </c>
      <c r="DL399" t="str">
        <f>""</f>
        <v/>
      </c>
      <c r="DM399" t="str">
        <f>""</f>
        <v/>
      </c>
      <c r="DN399" t="str">
        <f>""</f>
        <v/>
      </c>
      <c r="DO399" t="str">
        <f>""</f>
        <v/>
      </c>
      <c r="DP399" t="str">
        <f>""</f>
        <v/>
      </c>
      <c r="DQ399" t="str">
        <f>""</f>
        <v/>
      </c>
      <c r="DR399" t="str">
        <f>""</f>
        <v/>
      </c>
      <c r="DS399" t="str">
        <f>""</f>
        <v/>
      </c>
      <c r="DT399" t="str">
        <f>""</f>
        <v/>
      </c>
      <c r="DU399" t="str">
        <f>""</f>
        <v/>
      </c>
    </row>
    <row r="400" spans="1:125" x14ac:dyDescent="0.25">
      <c r="A400" t="str">
        <f>"    Renault SA"</f>
        <v xml:space="preserve">    Renault SA</v>
      </c>
      <c r="B400" t="str">
        <f>"RNO FP Equity"</f>
        <v>RNO FP Equity</v>
      </c>
      <c r="C400" t="str">
        <f t="shared" si="27"/>
        <v>RR937</v>
      </c>
      <c r="D400" t="str">
        <f t="shared" si="28"/>
        <v>CRNCY_ADJ_CURR_EV</v>
      </c>
      <c r="E400" t="str">
        <f t="shared" si="29"/>
        <v>Dynamic</v>
      </c>
      <c r="F400" t="str">
        <f ca="1">IF(AND(ISNUMBER($F$899),$B$511=1),$F$899,HLOOKUP(INDIRECT(ADDRESS(2,COLUMN())),OFFSET($BN$2,0,0,ROW()-1,60),ROW()-1,FALSE))</f>
        <v/>
      </c>
      <c r="G400" t="str">
        <f ca="1">IF(AND(ISNUMBER($G$899),$B$511=1),$G$899,HLOOKUP(INDIRECT(ADDRESS(2,COLUMN())),OFFSET($BN$2,0,0,ROW()-1,60),ROW()-1,FALSE))</f>
        <v/>
      </c>
      <c r="H400" t="str">
        <f ca="1">IF(AND(ISNUMBER($H$899),$B$511=1),$H$899,HLOOKUP(INDIRECT(ADDRESS(2,COLUMN())),OFFSET($BN$2,0,0,ROW()-1,60),ROW()-1,FALSE))</f>
        <v/>
      </c>
      <c r="I400" t="str">
        <f ca="1">IF(AND(ISNUMBER($I$899),$B$511=1),$I$899,HLOOKUP(INDIRECT(ADDRESS(2,COLUMN())),OFFSET($BN$2,0,0,ROW()-1,60),ROW()-1,FALSE))</f>
        <v/>
      </c>
      <c r="J400" t="str">
        <f ca="1">IF(AND(ISNUMBER($J$899),$B$511=1),$J$899,HLOOKUP(INDIRECT(ADDRESS(2,COLUMN())),OFFSET($BN$2,0,0,ROW()-1,60),ROW()-1,FALSE))</f>
        <v/>
      </c>
      <c r="K400" t="str">
        <f ca="1">IF(AND(ISNUMBER($K$899),$B$511=1),$K$899,HLOOKUP(INDIRECT(ADDRESS(2,COLUMN())),OFFSET($BN$2,0,0,ROW()-1,60),ROW()-1,FALSE))</f>
        <v/>
      </c>
      <c r="L400" t="str">
        <f ca="1">IF(AND(ISNUMBER($L$899),$B$511=1),$L$899,HLOOKUP(INDIRECT(ADDRESS(2,COLUMN())),OFFSET($BN$2,0,0,ROW()-1,60),ROW()-1,FALSE))</f>
        <v/>
      </c>
      <c r="M400" t="str">
        <f ca="1">IF(AND(ISNUMBER($M$899),$B$511=1),$M$899,HLOOKUP(INDIRECT(ADDRESS(2,COLUMN())),OFFSET($BN$2,0,0,ROW()-1,60),ROW()-1,FALSE))</f>
        <v/>
      </c>
      <c r="N400" t="str">
        <f ca="1">IF(AND(ISNUMBER($N$899),$B$511=1),$N$899,HLOOKUP(INDIRECT(ADDRESS(2,COLUMN())),OFFSET($BN$2,0,0,ROW()-1,60),ROW()-1,FALSE))</f>
        <v/>
      </c>
      <c r="O400" t="str">
        <f ca="1">IF(AND(ISNUMBER($O$899),$B$511=1),$O$899,HLOOKUP(INDIRECT(ADDRESS(2,COLUMN())),OFFSET($BN$2,0,0,ROW()-1,60),ROW()-1,FALSE))</f>
        <v/>
      </c>
      <c r="P400" t="str">
        <f ca="1">IF(AND(ISNUMBER($P$899),$B$511=1),$P$899,HLOOKUP(INDIRECT(ADDRESS(2,COLUMN())),OFFSET($BN$2,0,0,ROW()-1,60),ROW()-1,FALSE))</f>
        <v/>
      </c>
      <c r="Q400" t="str">
        <f ca="1">IF(AND(ISNUMBER($Q$899),$B$511=1),$Q$899,HLOOKUP(INDIRECT(ADDRESS(2,COLUMN())),OFFSET($BN$2,0,0,ROW()-1,60),ROW()-1,FALSE))</f>
        <v/>
      </c>
      <c r="R400" t="str">
        <f ca="1">IF(AND(ISNUMBER($R$899),$B$511=1),$R$899,HLOOKUP(INDIRECT(ADDRESS(2,COLUMN())),OFFSET($BN$2,0,0,ROW()-1,60),ROW()-1,FALSE))</f>
        <v/>
      </c>
      <c r="S400" t="str">
        <f ca="1">IF(AND(ISNUMBER($S$899),$B$511=1),$S$899,HLOOKUP(INDIRECT(ADDRESS(2,COLUMN())),OFFSET($BN$2,0,0,ROW()-1,60),ROW()-1,FALSE))</f>
        <v/>
      </c>
      <c r="T400" t="str">
        <f ca="1">IF(AND(ISNUMBER($T$899),$B$511=1),$T$899,HLOOKUP(INDIRECT(ADDRESS(2,COLUMN())),OFFSET($BN$2,0,0,ROW()-1,60),ROW()-1,FALSE))</f>
        <v/>
      </c>
      <c r="U400" t="str">
        <f ca="1">IF(AND(ISNUMBER($U$899),$B$511=1),$U$899,HLOOKUP(INDIRECT(ADDRESS(2,COLUMN())),OFFSET($BN$2,0,0,ROW()-1,60),ROW()-1,FALSE))</f>
        <v/>
      </c>
      <c r="V400" t="str">
        <f ca="1">IF(AND(ISNUMBER($V$899),$B$511=1),$V$899,HLOOKUP(INDIRECT(ADDRESS(2,COLUMN())),OFFSET($BN$2,0,0,ROW()-1,60),ROW()-1,FALSE))</f>
        <v/>
      </c>
      <c r="W400" t="str">
        <f ca="1">IF(AND(ISNUMBER($W$899),$B$511=1),$W$899,HLOOKUP(INDIRECT(ADDRESS(2,COLUMN())),OFFSET($BN$2,0,0,ROW()-1,60),ROW()-1,FALSE))</f>
        <v/>
      </c>
      <c r="X400" t="str">
        <f ca="1">IF(AND(ISNUMBER($X$899),$B$511=1),$X$899,HLOOKUP(INDIRECT(ADDRESS(2,COLUMN())),OFFSET($BN$2,0,0,ROW()-1,60),ROW()-1,FALSE))</f>
        <v/>
      </c>
      <c r="Y400" t="str">
        <f ca="1">IF(AND(ISNUMBER($Y$899),$B$511=1),$Y$899,HLOOKUP(INDIRECT(ADDRESS(2,COLUMN())),OFFSET($BN$2,0,0,ROW()-1,60),ROW()-1,FALSE))</f>
        <v/>
      </c>
      <c r="Z400" t="str">
        <f ca="1">IF(AND(ISNUMBER($Z$899),$B$511=1),$Z$899,HLOOKUP(INDIRECT(ADDRESS(2,COLUMN())),OFFSET($BN$2,0,0,ROW()-1,60),ROW()-1,FALSE))</f>
        <v/>
      </c>
      <c r="AA400" t="str">
        <f ca="1">IF(AND(ISNUMBER($AA$899),$B$511=1),$AA$899,HLOOKUP(INDIRECT(ADDRESS(2,COLUMN())),OFFSET($BN$2,0,0,ROW()-1,60),ROW()-1,FALSE))</f>
        <v/>
      </c>
      <c r="AB400" t="str">
        <f ca="1">IF(AND(ISNUMBER($AB$899),$B$511=1),$AB$899,HLOOKUP(INDIRECT(ADDRESS(2,COLUMN())),OFFSET($BN$2,0,0,ROW()-1,60),ROW()-1,FALSE))</f>
        <v/>
      </c>
      <c r="AC400" t="str">
        <f ca="1">IF(AND(ISNUMBER($AC$899),$B$511=1),$AC$899,HLOOKUP(INDIRECT(ADDRESS(2,COLUMN())),OFFSET($BN$2,0,0,ROW()-1,60),ROW()-1,FALSE))</f>
        <v/>
      </c>
      <c r="AD400" t="str">
        <f ca="1">IF(AND(ISNUMBER($AD$899),$B$511=1),$AD$899,HLOOKUP(INDIRECT(ADDRESS(2,COLUMN())),OFFSET($BN$2,0,0,ROW()-1,60),ROW()-1,FALSE))</f>
        <v/>
      </c>
      <c r="AE400" t="str">
        <f ca="1">IF(AND(ISNUMBER($AE$899),$B$511=1),$AE$899,HLOOKUP(INDIRECT(ADDRESS(2,COLUMN())),OFFSET($BN$2,0,0,ROW()-1,60),ROW()-1,FALSE))</f>
        <v/>
      </c>
      <c r="AF400" t="str">
        <f ca="1">IF(AND(ISNUMBER($AF$899),$B$511=1),$AF$899,HLOOKUP(INDIRECT(ADDRESS(2,COLUMN())),OFFSET($BN$2,0,0,ROW()-1,60),ROW()-1,FALSE))</f>
        <v/>
      </c>
      <c r="AG400" t="str">
        <f ca="1">IF(AND(ISNUMBER($AG$899),$B$511=1),$AG$899,HLOOKUP(INDIRECT(ADDRESS(2,COLUMN())),OFFSET($BN$2,0,0,ROW()-1,60),ROW()-1,FALSE))</f>
        <v/>
      </c>
      <c r="AH400" t="str">
        <f ca="1">IF(AND(ISNUMBER($AH$899),$B$511=1),$AH$899,HLOOKUP(INDIRECT(ADDRESS(2,COLUMN())),OFFSET($BN$2,0,0,ROW()-1,60),ROW()-1,FALSE))</f>
        <v/>
      </c>
      <c r="AI400" t="str">
        <f ca="1">IF(AND(ISNUMBER($AI$899),$B$511=1),$AI$899,HLOOKUP(INDIRECT(ADDRESS(2,COLUMN())),OFFSET($BN$2,0,0,ROW()-1,60),ROW()-1,FALSE))</f>
        <v/>
      </c>
      <c r="AJ400" t="str">
        <f ca="1">IF(AND(ISNUMBER($AJ$899),$B$511=1),$AJ$899,HLOOKUP(INDIRECT(ADDRESS(2,COLUMN())),OFFSET($BN$2,0,0,ROW()-1,60),ROW()-1,FALSE))</f>
        <v/>
      </c>
      <c r="AK400" t="str">
        <f ca="1">IF(AND(ISNUMBER($AK$899),$B$511=1),$AK$899,HLOOKUP(INDIRECT(ADDRESS(2,COLUMN())),OFFSET($BN$2,0,0,ROW()-1,60),ROW()-1,FALSE))</f>
        <v/>
      </c>
      <c r="AL400" t="str">
        <f ca="1">IF(AND(ISNUMBER($AL$899),$B$511=1),$AL$899,HLOOKUP(INDIRECT(ADDRESS(2,COLUMN())),OFFSET($BN$2,0,0,ROW()-1,60),ROW()-1,FALSE))</f>
        <v/>
      </c>
      <c r="AM400" t="str">
        <f ca="1">IF(AND(ISNUMBER($AM$899),$B$511=1),$AM$899,HLOOKUP(INDIRECT(ADDRESS(2,COLUMN())),OFFSET($BN$2,0,0,ROW()-1,60),ROW()-1,FALSE))</f>
        <v/>
      </c>
      <c r="AN400" t="str">
        <f ca="1">IF(AND(ISNUMBER($AN$899),$B$511=1),$AN$899,HLOOKUP(INDIRECT(ADDRESS(2,COLUMN())),OFFSET($BN$2,0,0,ROW()-1,60),ROW()-1,FALSE))</f>
        <v/>
      </c>
      <c r="AO400" t="str">
        <f ca="1">IF(AND(ISNUMBER($AO$899),$B$511=1),$AO$899,HLOOKUP(INDIRECT(ADDRESS(2,COLUMN())),OFFSET($BN$2,0,0,ROW()-1,60),ROW()-1,FALSE))</f>
        <v/>
      </c>
      <c r="AP400" t="str">
        <f ca="1">IF(AND(ISNUMBER($AP$899),$B$511=1),$AP$899,HLOOKUP(INDIRECT(ADDRESS(2,COLUMN())),OFFSET($BN$2,0,0,ROW()-1,60),ROW()-1,FALSE))</f>
        <v/>
      </c>
      <c r="AQ400" t="str">
        <f ca="1">IF(AND(ISNUMBER($AQ$899),$B$511=1),$AQ$899,HLOOKUP(INDIRECT(ADDRESS(2,COLUMN())),OFFSET($BN$2,0,0,ROW()-1,60),ROW()-1,FALSE))</f>
        <v/>
      </c>
      <c r="AR400" t="str">
        <f ca="1">IF(AND(ISNUMBER($AR$899),$B$511=1),$AR$899,HLOOKUP(INDIRECT(ADDRESS(2,COLUMN())),OFFSET($BN$2,0,0,ROW()-1,60),ROW()-1,FALSE))</f>
        <v/>
      </c>
      <c r="AS400" t="str">
        <f ca="1">IF(AND(ISNUMBER($AS$899),$B$511=1),$AS$899,HLOOKUP(INDIRECT(ADDRESS(2,COLUMN())),OFFSET($BN$2,0,0,ROW()-1,60),ROW()-1,FALSE))</f>
        <v/>
      </c>
      <c r="AT400" t="str">
        <f ca="1">IF(AND(ISNUMBER($AT$899),$B$511=1),$AT$899,HLOOKUP(INDIRECT(ADDRESS(2,COLUMN())),OFFSET($BN$2,0,0,ROW()-1,60),ROW()-1,FALSE))</f>
        <v/>
      </c>
      <c r="AU400" t="str">
        <f ca="1">IF(AND(ISNUMBER($AU$899),$B$511=1),$AU$899,HLOOKUP(INDIRECT(ADDRESS(2,COLUMN())),OFFSET($BN$2,0,0,ROW()-1,60),ROW()-1,FALSE))</f>
        <v/>
      </c>
      <c r="AV400" t="str">
        <f ca="1">IF(AND(ISNUMBER($AV$899),$B$511=1),$AV$899,HLOOKUP(INDIRECT(ADDRESS(2,COLUMN())),OFFSET($BN$2,0,0,ROW()-1,60),ROW()-1,FALSE))</f>
        <v/>
      </c>
      <c r="AW400" t="str">
        <f ca="1">IF(AND(ISNUMBER($AW$899),$B$511=1),$AW$899,HLOOKUP(INDIRECT(ADDRESS(2,COLUMN())),OFFSET($BN$2,0,0,ROW()-1,60),ROW()-1,FALSE))</f>
        <v/>
      </c>
      <c r="AX400" t="str">
        <f ca="1">IF(AND(ISNUMBER($AX$899),$B$511=1),$AX$899,HLOOKUP(INDIRECT(ADDRESS(2,COLUMN())),OFFSET($BN$2,0,0,ROW()-1,60),ROW()-1,FALSE))</f>
        <v/>
      </c>
      <c r="AY400" t="str">
        <f ca="1">IF(AND(ISNUMBER($AY$899),$B$511=1),$AY$899,HLOOKUP(INDIRECT(ADDRESS(2,COLUMN())),OFFSET($BN$2,0,0,ROW()-1,60),ROW()-1,FALSE))</f>
        <v/>
      </c>
      <c r="AZ400" t="str">
        <f ca="1">IF(AND(ISNUMBER($AZ$899),$B$511=1),$AZ$899,HLOOKUP(INDIRECT(ADDRESS(2,COLUMN())),OFFSET($BN$2,0,0,ROW()-1,60),ROW()-1,FALSE))</f>
        <v/>
      </c>
      <c r="BA400" t="str">
        <f ca="1">IF(AND(ISNUMBER($BA$899),$B$511=1),$BA$899,HLOOKUP(INDIRECT(ADDRESS(2,COLUMN())),OFFSET($BN$2,0,0,ROW()-1,60),ROW()-1,FALSE))</f>
        <v/>
      </c>
      <c r="BB400" t="str">
        <f ca="1">IF(AND(ISNUMBER($BB$899),$B$511=1),$BB$899,HLOOKUP(INDIRECT(ADDRESS(2,COLUMN())),OFFSET($BN$2,0,0,ROW()-1,60),ROW()-1,FALSE))</f>
        <v/>
      </c>
      <c r="BC400" t="str">
        <f ca="1">IF(AND(ISNUMBER($BC$899),$B$511=1),$BC$899,HLOOKUP(INDIRECT(ADDRESS(2,COLUMN())),OFFSET($BN$2,0,0,ROW()-1,60),ROW()-1,FALSE))</f>
        <v/>
      </c>
      <c r="BD400" t="str">
        <f ca="1">IF(AND(ISNUMBER($BD$899),$B$511=1),$BD$899,HLOOKUP(INDIRECT(ADDRESS(2,COLUMN())),OFFSET($BN$2,0,0,ROW()-1,60),ROW()-1,FALSE))</f>
        <v/>
      </c>
      <c r="BE400" t="str">
        <f ca="1">IF(AND(ISNUMBER($BE$899),$B$511=1),$BE$899,HLOOKUP(INDIRECT(ADDRESS(2,COLUMN())),OFFSET($BN$2,0,0,ROW()-1,60),ROW()-1,FALSE))</f>
        <v/>
      </c>
      <c r="BF400" t="str">
        <f ca="1">IF(AND(ISNUMBER($BF$899),$B$511=1),$BF$899,HLOOKUP(INDIRECT(ADDRESS(2,COLUMN())),OFFSET($BN$2,0,0,ROW()-1,60),ROW()-1,FALSE))</f>
        <v/>
      </c>
      <c r="BG400" t="str">
        <f ca="1">IF(AND(ISNUMBER($BG$899),$B$511=1),$BG$899,HLOOKUP(INDIRECT(ADDRESS(2,COLUMN())),OFFSET($BN$2,0,0,ROW()-1,60),ROW()-1,FALSE))</f>
        <v/>
      </c>
      <c r="BH400" t="str">
        <f ca="1">IF(AND(ISNUMBER($BH$899),$B$511=1),$BH$899,HLOOKUP(INDIRECT(ADDRESS(2,COLUMN())),OFFSET($BN$2,0,0,ROW()-1,60),ROW()-1,FALSE))</f>
        <v/>
      </c>
      <c r="BI400" t="str">
        <f ca="1">IF(AND(ISNUMBER($BI$899),$B$511=1),$BI$899,HLOOKUP(INDIRECT(ADDRESS(2,COLUMN())),OFFSET($BN$2,0,0,ROW()-1,60),ROW()-1,FALSE))</f>
        <v/>
      </c>
      <c r="BJ400" t="str">
        <f ca="1">IF(AND(ISNUMBER($BJ$899),$B$511=1),$BJ$899,HLOOKUP(INDIRECT(ADDRESS(2,COLUMN())),OFFSET($BN$2,0,0,ROW()-1,60),ROW()-1,FALSE))</f>
        <v/>
      </c>
      <c r="BK400" t="str">
        <f ca="1">IF(AND(ISNUMBER($BK$899),$B$511=1),$BK$899,HLOOKUP(INDIRECT(ADDRESS(2,COLUMN())),OFFSET($BN$2,0,0,ROW()-1,60),ROW()-1,FALSE))</f>
        <v/>
      </c>
      <c r="BL400" t="str">
        <f ca="1">IF(AND(ISNUMBER($BL$899),$B$511=1),$BL$899,HLOOKUP(INDIRECT(ADDRESS(2,COLUMN())),OFFSET($BN$2,0,0,ROW()-1,60),ROW()-1,FALSE))</f>
        <v/>
      </c>
      <c r="BM400" t="str">
        <f ca="1">IF(AND(ISNUMBER($BM$899),$B$511=1),$BM$899,HLOOKUP(INDIRECT(ADDRESS(2,COLUMN())),OFFSET($BN$2,0,0,ROW()-1,60),ROW()-1,FALSE))</f>
        <v/>
      </c>
      <c r="BN400" t="str">
        <f>""</f>
        <v/>
      </c>
      <c r="BO400" t="str">
        <f>""</f>
        <v/>
      </c>
      <c r="BP400" t="str">
        <f>""</f>
        <v/>
      </c>
      <c r="BQ400" t="str">
        <f>""</f>
        <v/>
      </c>
      <c r="BR400" t="str">
        <f>""</f>
        <v/>
      </c>
      <c r="BS400" t="str">
        <f>""</f>
        <v/>
      </c>
      <c r="BT400" t="str">
        <f>""</f>
        <v/>
      </c>
      <c r="BU400" t="str">
        <f>""</f>
        <v/>
      </c>
      <c r="BV400" t="str">
        <f>""</f>
        <v/>
      </c>
      <c r="BW400" t="str">
        <f>""</f>
        <v/>
      </c>
      <c r="BX400" t="str">
        <f>""</f>
        <v/>
      </c>
      <c r="BY400" t="str">
        <f>""</f>
        <v/>
      </c>
      <c r="BZ400" t="str">
        <f>""</f>
        <v/>
      </c>
      <c r="CA400" t="str">
        <f>""</f>
        <v/>
      </c>
      <c r="CB400" t="str">
        <f>""</f>
        <v/>
      </c>
      <c r="CC400" t="str">
        <f>""</f>
        <v/>
      </c>
      <c r="CD400" t="str">
        <f>""</f>
        <v/>
      </c>
      <c r="CE400" t="str">
        <f>""</f>
        <v/>
      </c>
      <c r="CF400" t="str">
        <f>""</f>
        <v/>
      </c>
      <c r="CG400" t="str">
        <f>""</f>
        <v/>
      </c>
      <c r="CH400" t="str">
        <f>""</f>
        <v/>
      </c>
      <c r="CI400" t="str">
        <f>""</f>
        <v/>
      </c>
      <c r="CJ400" t="str">
        <f>""</f>
        <v/>
      </c>
      <c r="CK400" t="str">
        <f>""</f>
        <v/>
      </c>
      <c r="CL400" t="str">
        <f>""</f>
        <v/>
      </c>
      <c r="CM400" t="str">
        <f>""</f>
        <v/>
      </c>
      <c r="CN400" t="str">
        <f>""</f>
        <v/>
      </c>
      <c r="CO400" t="str">
        <f>""</f>
        <v/>
      </c>
      <c r="CP400" t="str">
        <f>""</f>
        <v/>
      </c>
      <c r="CQ400" t="str">
        <f>""</f>
        <v/>
      </c>
      <c r="CR400" t="str">
        <f>""</f>
        <v/>
      </c>
      <c r="CS400" t="str">
        <f>""</f>
        <v/>
      </c>
      <c r="CT400" t="str">
        <f>""</f>
        <v/>
      </c>
      <c r="CU400" t="str">
        <f>""</f>
        <v/>
      </c>
      <c r="CV400" t="str">
        <f>""</f>
        <v/>
      </c>
      <c r="CW400" t="str">
        <f>""</f>
        <v/>
      </c>
      <c r="CX400" t="str">
        <f>""</f>
        <v/>
      </c>
      <c r="CY400" t="str">
        <f>""</f>
        <v/>
      </c>
      <c r="CZ400" t="str">
        <f>""</f>
        <v/>
      </c>
      <c r="DA400" t="str">
        <f>""</f>
        <v/>
      </c>
      <c r="DB400" t="str">
        <f>""</f>
        <v/>
      </c>
      <c r="DC400" t="str">
        <f>""</f>
        <v/>
      </c>
      <c r="DD400" t="str">
        <f>""</f>
        <v/>
      </c>
      <c r="DE400" t="str">
        <f>""</f>
        <v/>
      </c>
      <c r="DF400" t="str">
        <f>""</f>
        <v/>
      </c>
      <c r="DG400" t="str">
        <f>""</f>
        <v/>
      </c>
      <c r="DH400" t="str">
        <f>""</f>
        <v/>
      </c>
      <c r="DI400" t="str">
        <f>""</f>
        <v/>
      </c>
      <c r="DJ400" t="str">
        <f>""</f>
        <v/>
      </c>
      <c r="DK400" t="str">
        <f>""</f>
        <v/>
      </c>
      <c r="DL400" t="str">
        <f>""</f>
        <v/>
      </c>
      <c r="DM400" t="str">
        <f>""</f>
        <v/>
      </c>
      <c r="DN400" t="str">
        <f>""</f>
        <v/>
      </c>
      <c r="DO400" t="str">
        <f>""</f>
        <v/>
      </c>
      <c r="DP400" t="str">
        <f>""</f>
        <v/>
      </c>
      <c r="DQ400" t="str">
        <f>""</f>
        <v/>
      </c>
      <c r="DR400" t="str">
        <f>""</f>
        <v/>
      </c>
      <c r="DS400" t="str">
        <f>""</f>
        <v/>
      </c>
      <c r="DT400" t="str">
        <f>""</f>
        <v/>
      </c>
      <c r="DU400" t="str">
        <f>""</f>
        <v/>
      </c>
    </row>
    <row r="401" spans="1:125" x14ac:dyDescent="0.25">
      <c r="A401" t="str">
        <f>"    SAIC Motor Corp Ltd"</f>
        <v xml:space="preserve">    SAIC Motor Corp Ltd</v>
      </c>
      <c r="B401" t="str">
        <f>"600104 CH Equity"</f>
        <v>600104 CH Equity</v>
      </c>
      <c r="C401" t="str">
        <f t="shared" si="27"/>
        <v>RR937</v>
      </c>
      <c r="D401" t="str">
        <f t="shared" si="28"/>
        <v>CRNCY_ADJ_CURR_EV</v>
      </c>
      <c r="E401" t="str">
        <f t="shared" si="29"/>
        <v>Dynamic</v>
      </c>
      <c r="F401">
        <f ca="1">IF(AND(ISNUMBER($F$900),$B$511=1),$F$900,HLOOKUP(INDIRECT(ADDRESS(2,COLUMN())),OFFSET($BN$2,0,0,ROW()-1,60),ROW()-1,FALSE))</f>
        <v>62353.169399999999</v>
      </c>
      <c r="G401">
        <f ca="1">IF(AND(ISNUMBER($G$900),$B$511=1),$G$900,HLOOKUP(INDIRECT(ADDRESS(2,COLUMN())),OFFSET($BN$2,0,0,ROW()-1,60),ROW()-1,FALSE))</f>
        <v>57910.852729999999</v>
      </c>
      <c r="H401">
        <f ca="1">IF(AND(ISNUMBER($H$900),$B$511=1),$H$900,HLOOKUP(INDIRECT(ADDRESS(2,COLUMN())),OFFSET($BN$2,0,0,ROW()-1,60),ROW()-1,FALSE))</f>
        <v>69230.336850000007</v>
      </c>
      <c r="I401">
        <f ca="1">IF(AND(ISNUMBER($I$900),$B$511=1),$I$900,HLOOKUP(INDIRECT(ADDRESS(2,COLUMN())),OFFSET($BN$2,0,0,ROW()-1,60),ROW()-1,FALSE))</f>
        <v>67365.487389999995</v>
      </c>
      <c r="J401">
        <f ca="1">IF(AND(ISNUMBER($J$900),$B$511=1),$J$900,HLOOKUP(INDIRECT(ADDRESS(2,COLUMN())),OFFSET($BN$2,0,0,ROW()-1,60),ROW()-1,FALSE))</f>
        <v>79247.382500000007</v>
      </c>
      <c r="K401">
        <f ca="1">IF(AND(ISNUMBER($K$900),$B$511=1),$K$900,HLOOKUP(INDIRECT(ADDRESS(2,COLUMN())),OFFSET($BN$2,0,0,ROW()-1,60),ROW()-1,FALSE))</f>
        <v>73626.613800000006</v>
      </c>
      <c r="L401">
        <f ca="1">IF(AND(ISNUMBER($L$900),$B$511=1),$L$900,HLOOKUP(INDIRECT(ADDRESS(2,COLUMN())),OFFSET($BN$2,0,0,ROW()-1,60),ROW()-1,FALSE))</f>
        <v>63431.894659999998</v>
      </c>
      <c r="M401">
        <f ca="1">IF(AND(ISNUMBER($M$900),$B$511=1),$M$900,HLOOKUP(INDIRECT(ADDRESS(2,COLUMN())),OFFSET($BN$2,0,0,ROW()-1,60),ROW()-1,FALSE))</f>
        <v>51261.581339999997</v>
      </c>
      <c r="N401">
        <f ca="1">IF(AND(ISNUMBER($N$900),$B$511=1),$N$900,HLOOKUP(INDIRECT(ADDRESS(2,COLUMN())),OFFSET($BN$2,0,0,ROW()-1,60),ROW()-1,FALSE))</f>
        <v>53009.996249999997</v>
      </c>
      <c r="O401">
        <f ca="1">IF(AND(ISNUMBER($O$900),$B$511=1),$O$900,HLOOKUP(INDIRECT(ADDRESS(2,COLUMN())),OFFSET($BN$2,0,0,ROW()-1,60),ROW()-1,FALSE))</f>
        <v>46665.193859999999</v>
      </c>
      <c r="P401">
        <f ca="1">IF(AND(ISNUMBER($P$900),$B$511=1),$P$900,HLOOKUP(INDIRECT(ADDRESS(2,COLUMN())),OFFSET($BN$2,0,0,ROW()-1,60),ROW()-1,FALSE))</f>
        <v>45145.650309999997</v>
      </c>
      <c r="Q401">
        <f ca="1">IF(AND(ISNUMBER($Q$900),$B$511=1),$Q$900,HLOOKUP(INDIRECT(ADDRESS(2,COLUMN())),OFFSET($BN$2,0,0,ROW()-1,60),ROW()-1,FALSE))</f>
        <v>42976.236989999998</v>
      </c>
      <c r="R401">
        <f ca="1">IF(AND(ISNUMBER($R$900),$B$511=1),$R$900,HLOOKUP(INDIRECT(ADDRESS(2,COLUMN())),OFFSET($BN$2,0,0,ROW()-1,60),ROW()-1,FALSE))</f>
        <v>42548.808989999998</v>
      </c>
      <c r="S401">
        <f ca="1">IF(AND(ISNUMBER($S$900),$B$511=1),$S$900,HLOOKUP(INDIRECT(ADDRESS(2,COLUMN())),OFFSET($BN$2,0,0,ROW()-1,60),ROW()-1,FALSE))</f>
        <v>46398.293310000001</v>
      </c>
      <c r="T401">
        <f ca="1">IF(AND(ISNUMBER($T$900),$B$511=1),$T$900,HLOOKUP(INDIRECT(ADDRESS(2,COLUMN())),OFFSET($BN$2,0,0,ROW()-1,60),ROW()-1,FALSE))</f>
        <v>38181.200779999999</v>
      </c>
      <c r="U401">
        <f ca="1">IF(AND(ISNUMBER($U$900),$B$511=1),$U$900,HLOOKUP(INDIRECT(ADDRESS(2,COLUMN())),OFFSET($BN$2,0,0,ROW()-1,60),ROW()-1,FALSE))</f>
        <v>48703.776330000001</v>
      </c>
      <c r="V401">
        <f ca="1">IF(AND(ISNUMBER($V$900),$B$511=1),$V$900,HLOOKUP(INDIRECT(ADDRESS(2,COLUMN())),OFFSET($BN$2,0,0,ROW()-1,60),ROW()-1,FALSE))</f>
        <v>54902.88379</v>
      </c>
      <c r="W401">
        <f ca="1">IF(AND(ISNUMBER($W$900),$B$511=1),$W$900,HLOOKUP(INDIRECT(ADDRESS(2,COLUMN())),OFFSET($BN$2,0,0,ROW()-1,60),ROW()-1,FALSE))</f>
        <v>39098.511380000004</v>
      </c>
      <c r="X401">
        <f ca="1">IF(AND(ISNUMBER($X$900),$B$511=1),$X$900,HLOOKUP(INDIRECT(ADDRESS(2,COLUMN())),OFFSET($BN$2,0,0,ROW()-1,60),ROW()-1,FALSE))</f>
        <v>32045.178879999999</v>
      </c>
      <c r="Y401">
        <f ca="1">IF(AND(ISNUMBER($Y$900),$B$511=1),$Y$900,HLOOKUP(INDIRECT(ADDRESS(2,COLUMN())),OFFSET($BN$2,0,0,ROW()-1,60),ROW()-1,FALSE))</f>
        <v>24713.511060000001</v>
      </c>
      <c r="Z401">
        <f ca="1">IF(AND(ISNUMBER($Z$900),$B$511=1),$Z$900,HLOOKUP(INDIRECT(ADDRESS(2,COLUMN())),OFFSET($BN$2,0,0,ROW()-1,60),ROW()-1,FALSE))</f>
        <v>26858.216779999999</v>
      </c>
      <c r="AA401">
        <f ca="1">IF(AND(ISNUMBER($AA$900),$B$511=1),$AA$900,HLOOKUP(INDIRECT(ADDRESS(2,COLUMN())),OFFSET($BN$2,0,0,ROW()-1,60),ROW()-1,FALSE))</f>
        <v>25882.684580000001</v>
      </c>
      <c r="AB401">
        <f ca="1">IF(AND(ISNUMBER($AB$900),$B$511=1),$AB$900,HLOOKUP(INDIRECT(ADDRESS(2,COLUMN())),OFFSET($BN$2,0,0,ROW()-1,60),ROW()-1,FALSE))</f>
        <v>26133.876749999999</v>
      </c>
      <c r="AC401">
        <f ca="1">IF(AND(ISNUMBER($AC$900),$B$511=1),$AC$900,HLOOKUP(INDIRECT(ADDRESS(2,COLUMN())),OFFSET($BN$2,0,0,ROW()-1,60),ROW()-1,FALSE))</f>
        <v>20447.899219999999</v>
      </c>
      <c r="AD401">
        <f ca="1">IF(AND(ISNUMBER($AD$900),$B$511=1),$AD$900,HLOOKUP(INDIRECT(ADDRESS(2,COLUMN())),OFFSET($BN$2,0,0,ROW()-1,60),ROW()-1,FALSE))</f>
        <v>30202.4817</v>
      </c>
      <c r="AE401">
        <f ca="1">IF(AND(ISNUMBER($AE$900),$B$511=1),$AE$900,HLOOKUP(INDIRECT(ADDRESS(2,COLUMN())),OFFSET($BN$2,0,0,ROW()-1,60),ROW()-1,FALSE))</f>
        <v>32007.054339999999</v>
      </c>
      <c r="AF401">
        <f ca="1">IF(AND(ISNUMBER($AF$900),$B$511=1),$AF$900,HLOOKUP(INDIRECT(ADDRESS(2,COLUMN())),OFFSET($BN$2,0,0,ROW()-1,60),ROW()-1,FALSE))</f>
        <v>22774.77895</v>
      </c>
      <c r="AG401">
        <f ca="1">IF(AND(ISNUMBER($AG$900),$B$511=1),$AG$900,HLOOKUP(INDIRECT(ADDRESS(2,COLUMN())),OFFSET($BN$2,0,0,ROW()-1,60),ROW()-1,FALSE))</f>
        <v>22832.951939999999</v>
      </c>
      <c r="AH401">
        <f ca="1">IF(AND(ISNUMBER($AH$900),$B$511=1),$AH$900,HLOOKUP(INDIRECT(ADDRESS(2,COLUMN())),OFFSET($BN$2,0,0,ROW()-1,60),ROW()-1,FALSE))</f>
        <v>25111.17771</v>
      </c>
      <c r="AI401">
        <f ca="1">IF(AND(ISNUMBER($AI$900),$B$511=1),$AI$900,HLOOKUP(INDIRECT(ADDRESS(2,COLUMN())),OFFSET($BN$2,0,0,ROW()-1,60),ROW()-1,FALSE))</f>
        <v>25673.079129999998</v>
      </c>
      <c r="AJ401">
        <f ca="1">IF(AND(ISNUMBER($AJ$900),$B$511=1),$AJ$900,HLOOKUP(INDIRECT(ADDRESS(2,COLUMN())),OFFSET($BN$2,0,0,ROW()-1,60),ROW()-1,FALSE))</f>
        <v>23381.582020000002</v>
      </c>
      <c r="AK401">
        <f ca="1">IF(AND(ISNUMBER($AK$900),$B$511=1),$AK$900,HLOOKUP(INDIRECT(ADDRESS(2,COLUMN())),OFFSET($BN$2,0,0,ROW()-1,60),ROW()-1,FALSE))</f>
        <v>26331.03903</v>
      </c>
      <c r="AL401">
        <f ca="1">IF(AND(ISNUMBER($AL$900),$B$511=1),$AL$900,HLOOKUP(INDIRECT(ADDRESS(2,COLUMN())),OFFSET($BN$2,0,0,ROW()-1,60),ROW()-1,FALSE))</f>
        <v>24799.650559999998</v>
      </c>
      <c r="AM401">
        <f ca="1">IF(AND(ISNUMBER($AM$900),$B$511=1),$AM$900,HLOOKUP(INDIRECT(ADDRESS(2,COLUMN())),OFFSET($BN$2,0,0,ROW()-1,60),ROW()-1,FALSE))</f>
        <v>19773.159299999999</v>
      </c>
      <c r="AN401">
        <f ca="1">IF(AND(ISNUMBER($AN$900),$B$511=1),$AN$900,HLOOKUP(INDIRECT(ADDRESS(2,COLUMN())),OFFSET($BN$2,0,0,ROW()-1,60),ROW()-1,FALSE))</f>
        <v>23262.577410000002</v>
      </c>
      <c r="AO401">
        <f ca="1">IF(AND(ISNUMBER($AO$900),$B$511=1),$AO$900,HLOOKUP(INDIRECT(ADDRESS(2,COLUMN())),OFFSET($BN$2,0,0,ROW()-1,60),ROW()-1,FALSE))</f>
        <v>17527.71429</v>
      </c>
      <c r="AP401">
        <f ca="1">IF(AND(ISNUMBER($AP$900),$B$511=1),$AP$900,HLOOKUP(INDIRECT(ADDRESS(2,COLUMN())),OFFSET($BN$2,0,0,ROW()-1,60),ROW()-1,FALSE))</f>
        <v>20117.017800000001</v>
      </c>
      <c r="AQ401">
        <f ca="1">IF(AND(ISNUMBER($AQ$900),$B$511=1),$AQ$900,HLOOKUP(INDIRECT(ADDRESS(2,COLUMN())),OFFSET($BN$2,0,0,ROW()-1,60),ROW()-1,FALSE))</f>
        <v>28249.932830000002</v>
      </c>
      <c r="AR401">
        <f ca="1">IF(AND(ISNUMBER($AR$900),$B$511=1),$AR$900,HLOOKUP(INDIRECT(ADDRESS(2,COLUMN())),OFFSET($BN$2,0,0,ROW()-1,60),ROW()-1,FALSE))</f>
        <v>20431.041249999998</v>
      </c>
      <c r="AS401">
        <f ca="1">IF(AND(ISNUMBER($AS$900),$B$511=1),$AS$900,HLOOKUP(INDIRECT(ADDRESS(2,COLUMN())),OFFSET($BN$2,0,0,ROW()-1,60),ROW()-1,FALSE))</f>
        <v>16694.419269999999</v>
      </c>
      <c r="AT401">
        <f ca="1">IF(AND(ISNUMBER($AT$900),$B$511=1),$AT$900,HLOOKUP(INDIRECT(ADDRESS(2,COLUMN())),OFFSET($BN$2,0,0,ROW()-1,60),ROW()-1,FALSE))</f>
        <v>10501.652690000001</v>
      </c>
      <c r="AU401">
        <f ca="1">IF(AND(ISNUMBER($AU$900),$B$511=1),$AU$900,HLOOKUP(INDIRECT(ADDRESS(2,COLUMN())),OFFSET($BN$2,0,0,ROW()-1,60),ROW()-1,FALSE))</f>
        <v>4518.2367450000002</v>
      </c>
      <c r="AV401">
        <f ca="1">IF(AND(ISNUMBER($AV$900),$B$511=1),$AV$900,HLOOKUP(INDIRECT(ADDRESS(2,COLUMN())),OFFSET($BN$2,0,0,ROW()-1,60),ROW()-1,FALSE))</f>
        <v>7182.9551760000004</v>
      </c>
      <c r="AW401">
        <f ca="1">IF(AND(ISNUMBER($AW$900),$B$511=1),$AW$900,HLOOKUP(INDIRECT(ADDRESS(2,COLUMN())),OFFSET($BN$2,0,0,ROW()-1,60),ROW()-1,FALSE))</f>
        <v>7916.2359230000002</v>
      </c>
      <c r="AX401">
        <f ca="1">IF(AND(ISNUMBER($AX$900),$B$511=1),$AX$900,HLOOKUP(INDIRECT(ADDRESS(2,COLUMN())),OFFSET($BN$2,0,0,ROW()-1,60),ROW()-1,FALSE))</f>
        <v>11325.35961</v>
      </c>
      <c r="AY401">
        <f ca="1">IF(AND(ISNUMBER($AY$900),$B$511=1),$AY$900,HLOOKUP(INDIRECT(ADDRESS(2,COLUMN())),OFFSET($BN$2,0,0,ROW()-1,60),ROW()-1,FALSE))</f>
        <v>24113.364079999999</v>
      </c>
      <c r="AZ401">
        <f ca="1">IF(AND(ISNUMBER($AZ$900),$B$511=1),$AZ$900,HLOOKUP(INDIRECT(ADDRESS(2,COLUMN())),OFFSET($BN$2,0,0,ROW()-1,60),ROW()-1,FALSE))</f>
        <v>25044.337589999999</v>
      </c>
      <c r="BA401">
        <f ca="1">IF(AND(ISNUMBER($BA$900),$B$511=1),$BA$900,HLOOKUP(INDIRECT(ADDRESS(2,COLUMN())),OFFSET($BN$2,0,0,ROW()-1,60),ROW()-1,FALSE))</f>
        <v>14324.476559999999</v>
      </c>
      <c r="BB401">
        <f ca="1">IF(AND(ISNUMBER($BB$900),$B$511=1),$BB$900,HLOOKUP(INDIRECT(ADDRESS(2,COLUMN())),OFFSET($BN$2,0,0,ROW()-1,60),ROW()-1,FALSE))</f>
        <v>10411.240809999999</v>
      </c>
      <c r="BC401">
        <f ca="1">IF(AND(ISNUMBER($BC$900),$B$511=1),$BC$900,HLOOKUP(INDIRECT(ADDRESS(2,COLUMN())),OFFSET($BN$2,0,0,ROW()-1,60),ROW()-1,FALSE))</f>
        <v>3295.2440360000001</v>
      </c>
      <c r="BD401">
        <f ca="1">IF(AND(ISNUMBER($BD$900),$B$511=1),$BD$900,HLOOKUP(INDIRECT(ADDRESS(2,COLUMN())),OFFSET($BN$2,0,0,ROW()-1,60),ROW()-1,FALSE))</f>
        <v>1956.935864</v>
      </c>
      <c r="BE401">
        <f ca="1">IF(AND(ISNUMBER($BE$900),$B$511=1),$BE$900,HLOOKUP(INDIRECT(ADDRESS(2,COLUMN())),OFFSET($BN$2,0,0,ROW()-1,60),ROW()-1,FALSE))</f>
        <v>2155.6874299999999</v>
      </c>
      <c r="BF401">
        <f ca="1">IF(AND(ISNUMBER($BF$900),$B$511=1),$BF$900,HLOOKUP(INDIRECT(ADDRESS(2,COLUMN())),OFFSET($BN$2,0,0,ROW()-1,60),ROW()-1,FALSE))</f>
        <v>1187.328332</v>
      </c>
      <c r="BG401">
        <f ca="1">IF(AND(ISNUMBER($BG$900),$B$511=1),$BG$900,HLOOKUP(INDIRECT(ADDRESS(2,COLUMN())),OFFSET($BN$2,0,0,ROW()-1,60),ROW()-1,FALSE))</f>
        <v>1137.1716980000001</v>
      </c>
      <c r="BH401">
        <f ca="1">IF(AND(ISNUMBER($BH$900),$B$511=1),$BH$900,HLOOKUP(INDIRECT(ADDRESS(2,COLUMN())),OFFSET($BN$2,0,0,ROW()-1,60),ROW()-1,FALSE))</f>
        <v>1886.2054889999999</v>
      </c>
      <c r="BI401">
        <f ca="1">IF(AND(ISNUMBER($BI$900),$B$511=1),$BI$900,HLOOKUP(INDIRECT(ADDRESS(2,COLUMN())),OFFSET($BN$2,0,0,ROW()-1,60),ROW()-1,FALSE))</f>
        <v>1559.281287</v>
      </c>
      <c r="BJ401">
        <f ca="1">IF(AND(ISNUMBER($BJ$900),$B$511=1),$BJ$900,HLOOKUP(INDIRECT(ADDRESS(2,COLUMN())),OFFSET($BN$2,0,0,ROW()-1,60),ROW()-1,FALSE))</f>
        <v>1503.410042</v>
      </c>
      <c r="BK401">
        <f ca="1">IF(AND(ISNUMBER($BK$900),$B$511=1),$BK$900,HLOOKUP(INDIRECT(ADDRESS(2,COLUMN())),OFFSET($BN$2,0,0,ROW()-1,60),ROW()-1,FALSE))</f>
        <v>1687.0426339999999</v>
      </c>
      <c r="BL401">
        <f ca="1">IF(AND(ISNUMBER($BL$900),$B$511=1),$BL$900,HLOOKUP(INDIRECT(ADDRESS(2,COLUMN())),OFFSET($BN$2,0,0,ROW()-1,60),ROW()-1,FALSE))</f>
        <v>2924.5190980000002</v>
      </c>
      <c r="BM401">
        <f ca="1">IF(AND(ISNUMBER($BM$900),$B$511=1),$BM$900,HLOOKUP(INDIRECT(ADDRESS(2,COLUMN())),OFFSET($BN$2,0,0,ROW()-1,60),ROW()-1,FALSE))</f>
        <v>3142.4294949999999</v>
      </c>
      <c r="BN401">
        <f>62353.1694</f>
        <v>62353.169399999999</v>
      </c>
      <c r="BO401">
        <f>57910.85273</f>
        <v>57910.852729999999</v>
      </c>
      <c r="BP401">
        <f>69230.33685</f>
        <v>69230.336850000007</v>
      </c>
      <c r="BQ401">
        <f>67365.48739</f>
        <v>67365.487389999995</v>
      </c>
      <c r="BR401">
        <f>79247.3825</f>
        <v>79247.382500000007</v>
      </c>
      <c r="BS401">
        <f>73626.6138</f>
        <v>73626.613800000006</v>
      </c>
      <c r="BT401">
        <f>63431.89466</f>
        <v>63431.894659999998</v>
      </c>
      <c r="BU401">
        <f>51261.58134</f>
        <v>51261.581339999997</v>
      </c>
      <c r="BV401">
        <f>53009.99625</f>
        <v>53009.996249999997</v>
      </c>
      <c r="BW401">
        <f>46665.1938599999</f>
        <v>46665.193859999999</v>
      </c>
      <c r="BX401">
        <f>45145.65031</f>
        <v>45145.650309999997</v>
      </c>
      <c r="BY401">
        <f>42976.23699</f>
        <v>42976.236989999998</v>
      </c>
      <c r="BZ401">
        <f>42548.80899</f>
        <v>42548.808989999998</v>
      </c>
      <c r="CA401">
        <f>46398.29331</f>
        <v>46398.293310000001</v>
      </c>
      <c r="CB401">
        <f>38181.20078</f>
        <v>38181.200779999999</v>
      </c>
      <c r="CC401">
        <f>48703.77633</f>
        <v>48703.776330000001</v>
      </c>
      <c r="CD401">
        <f>54902.88379</f>
        <v>54902.88379</v>
      </c>
      <c r="CE401">
        <f>39098.51138</f>
        <v>39098.511380000004</v>
      </c>
      <c r="CF401">
        <f>32045.17888</f>
        <v>32045.178879999999</v>
      </c>
      <c r="CG401">
        <f>24713.51106</f>
        <v>24713.511060000001</v>
      </c>
      <c r="CH401">
        <f>26858.21678</f>
        <v>26858.216779999999</v>
      </c>
      <c r="CI401">
        <f>25882.68458</f>
        <v>25882.684580000001</v>
      </c>
      <c r="CJ401">
        <f>26133.87675</f>
        <v>26133.876749999999</v>
      </c>
      <c r="CK401">
        <f>20447.89922</f>
        <v>20447.899219999999</v>
      </c>
      <c r="CL401">
        <f>30202.4817</f>
        <v>30202.4817</v>
      </c>
      <c r="CM401">
        <f>32007.05434</f>
        <v>32007.054339999999</v>
      </c>
      <c r="CN401">
        <f>22774.77895</f>
        <v>22774.77895</v>
      </c>
      <c r="CO401">
        <f>22832.95194</f>
        <v>22832.951939999999</v>
      </c>
      <c r="CP401">
        <f>25111.17771</f>
        <v>25111.17771</v>
      </c>
      <c r="CQ401">
        <f>25673.07913</f>
        <v>25673.079129999998</v>
      </c>
      <c r="CR401">
        <f>23381.58202</f>
        <v>23381.582020000002</v>
      </c>
      <c r="CS401">
        <f>26331.03903</f>
        <v>26331.03903</v>
      </c>
      <c r="CT401">
        <f>24799.65056</f>
        <v>24799.650559999998</v>
      </c>
      <c r="CU401">
        <f>19773.1593</f>
        <v>19773.159299999999</v>
      </c>
      <c r="CV401">
        <f>23262.57741</f>
        <v>23262.577410000002</v>
      </c>
      <c r="CW401">
        <f>17527.71429</f>
        <v>17527.71429</v>
      </c>
      <c r="CX401">
        <f>20117.0178</f>
        <v>20117.017800000001</v>
      </c>
      <c r="CY401">
        <f>28249.93283</f>
        <v>28249.932830000002</v>
      </c>
      <c r="CZ401">
        <f>20431.04125</f>
        <v>20431.041249999998</v>
      </c>
      <c r="DA401">
        <f>16694.41927</f>
        <v>16694.419269999999</v>
      </c>
      <c r="DB401">
        <f>10501.65269</f>
        <v>10501.652690000001</v>
      </c>
      <c r="DC401">
        <f>4518.236745</f>
        <v>4518.2367450000002</v>
      </c>
      <c r="DD401">
        <f>7182.955176</f>
        <v>7182.9551760000004</v>
      </c>
      <c r="DE401">
        <f>7916.235923</f>
        <v>7916.2359230000002</v>
      </c>
      <c r="DF401">
        <f>11325.35961</f>
        <v>11325.35961</v>
      </c>
      <c r="DG401">
        <f>24113.36408</f>
        <v>24113.364079999999</v>
      </c>
      <c r="DH401">
        <f>25044.33759</f>
        <v>25044.337589999999</v>
      </c>
      <c r="DI401">
        <f>14324.47656</f>
        <v>14324.476559999999</v>
      </c>
      <c r="DJ401">
        <f>10411.24081</f>
        <v>10411.240809999999</v>
      </c>
      <c r="DK401">
        <f>3295.244036</f>
        <v>3295.2440360000001</v>
      </c>
      <c r="DL401">
        <f>1956.935864</f>
        <v>1956.935864</v>
      </c>
      <c r="DM401">
        <f>2155.68743</f>
        <v>2155.6874299999999</v>
      </c>
      <c r="DN401">
        <f>1187.328332</f>
        <v>1187.328332</v>
      </c>
      <c r="DO401">
        <f>1137.171698</f>
        <v>1137.1716980000001</v>
      </c>
      <c r="DP401">
        <f>1886.205489</f>
        <v>1886.2054889999999</v>
      </c>
      <c r="DQ401">
        <f>1559.281287</f>
        <v>1559.281287</v>
      </c>
      <c r="DR401">
        <f>1503.410042</f>
        <v>1503.410042</v>
      </c>
      <c r="DS401">
        <f>1687.042634</f>
        <v>1687.0426339999999</v>
      </c>
      <c r="DT401">
        <f>2924.519098</f>
        <v>2924.5190980000002</v>
      </c>
      <c r="DU401">
        <f>3142.429495</f>
        <v>3142.4294949999999</v>
      </c>
    </row>
    <row r="402" spans="1:125" x14ac:dyDescent="0.25">
      <c r="A402" t="str">
        <f>"    Sanyang Motor Co Ltd"</f>
        <v xml:space="preserve">    Sanyang Motor Co Ltd</v>
      </c>
      <c r="B402" t="str">
        <f>"2206 TT Equity"</f>
        <v>2206 TT Equity</v>
      </c>
      <c r="C402" t="str">
        <f t="shared" si="27"/>
        <v>RR937</v>
      </c>
      <c r="D402" t="str">
        <f t="shared" si="28"/>
        <v>CRNCY_ADJ_CURR_EV</v>
      </c>
      <c r="E402" t="str">
        <f t="shared" si="29"/>
        <v>Dynamic</v>
      </c>
      <c r="F402">
        <f ca="1">IF(AND(ISNUMBER($F$901),$B$511=1),$F$901,HLOOKUP(INDIRECT(ADDRESS(2,COLUMN())),OFFSET($BN$2,0,0,ROW()-1,60),ROW()-1,FALSE))</f>
        <v>898.10548470000003</v>
      </c>
      <c r="G402">
        <f ca="1">IF(AND(ISNUMBER($G$901),$B$511=1),$G$901,HLOOKUP(INDIRECT(ADDRESS(2,COLUMN())),OFFSET($BN$2,0,0,ROW()-1,60),ROW()-1,FALSE))</f>
        <v>902.35408399999994</v>
      </c>
      <c r="H402">
        <f ca="1">IF(AND(ISNUMBER($H$901),$B$511=1),$H$901,HLOOKUP(INDIRECT(ADDRESS(2,COLUMN())),OFFSET($BN$2,0,0,ROW()-1,60),ROW()-1,FALSE))</f>
        <v>918.01193639999997</v>
      </c>
      <c r="I402">
        <f ca="1">IF(AND(ISNUMBER($I$901),$B$511=1),$I$901,HLOOKUP(INDIRECT(ADDRESS(2,COLUMN())),OFFSET($BN$2,0,0,ROW()-1,60),ROW()-1,FALSE))</f>
        <v>1007.342099</v>
      </c>
      <c r="J402">
        <f ca="1">IF(AND(ISNUMBER($J$901),$B$511=1),$J$901,HLOOKUP(INDIRECT(ADDRESS(2,COLUMN())),OFFSET($BN$2,0,0,ROW()-1,60),ROW()-1,FALSE))</f>
        <v>1068.749599</v>
      </c>
      <c r="K402">
        <f ca="1">IF(AND(ISNUMBER($K$901),$B$511=1),$K$901,HLOOKUP(INDIRECT(ADDRESS(2,COLUMN())),OFFSET($BN$2,0,0,ROW()-1,60),ROW()-1,FALSE))</f>
        <v>833.56697310000004</v>
      </c>
      <c r="L402">
        <f ca="1">IF(AND(ISNUMBER($L$901),$B$511=1),$L$901,HLOOKUP(INDIRECT(ADDRESS(2,COLUMN())),OFFSET($BN$2,0,0,ROW()-1,60),ROW()-1,FALSE))</f>
        <v>1009.194191</v>
      </c>
      <c r="M402">
        <f ca="1">IF(AND(ISNUMBER($M$901),$B$511=1),$M$901,HLOOKUP(INDIRECT(ADDRESS(2,COLUMN())),OFFSET($BN$2,0,0,ROW()-1,60),ROW()-1,FALSE))</f>
        <v>1022.028546</v>
      </c>
      <c r="N402">
        <f ca="1">IF(AND(ISNUMBER($N$901),$B$511=1),$N$901,HLOOKUP(INDIRECT(ADDRESS(2,COLUMN())),OFFSET($BN$2,0,0,ROW()-1,60),ROW()-1,FALSE))</f>
        <v>971.63674490000005</v>
      </c>
      <c r="O402">
        <f ca="1">IF(AND(ISNUMBER($O$901),$B$511=1),$O$901,HLOOKUP(INDIRECT(ADDRESS(2,COLUMN())),OFFSET($BN$2,0,0,ROW()-1,60),ROW()-1,FALSE))</f>
        <v>758.12748329999999</v>
      </c>
      <c r="P402">
        <f ca="1">IF(AND(ISNUMBER($P$901),$B$511=1),$P$901,HLOOKUP(INDIRECT(ADDRESS(2,COLUMN())),OFFSET($BN$2,0,0,ROW()-1,60),ROW()-1,FALSE))</f>
        <v>977.15954069999998</v>
      </c>
      <c r="Q402">
        <f ca="1">IF(AND(ISNUMBER($Q$901),$B$511=1),$Q$901,HLOOKUP(INDIRECT(ADDRESS(2,COLUMN())),OFFSET($BN$2,0,0,ROW()-1,60),ROW()-1,FALSE))</f>
        <v>906.57013770000003</v>
      </c>
      <c r="R402">
        <f ca="1">IF(AND(ISNUMBER($R$901),$B$511=1),$R$901,HLOOKUP(INDIRECT(ADDRESS(2,COLUMN())),OFFSET($BN$2,0,0,ROW()-1,60),ROW()-1,FALSE))</f>
        <v>990.65055319999999</v>
      </c>
      <c r="S402">
        <f ca="1">IF(AND(ISNUMBER($S$901),$B$511=1),$S$901,HLOOKUP(INDIRECT(ADDRESS(2,COLUMN())),OFFSET($BN$2,0,0,ROW()-1,60),ROW()-1,FALSE))</f>
        <v>981.01052879999997</v>
      </c>
      <c r="T402">
        <f ca="1">IF(AND(ISNUMBER($T$901),$B$511=1),$T$901,HLOOKUP(INDIRECT(ADDRESS(2,COLUMN())),OFFSET($BN$2,0,0,ROW()-1,60),ROW()-1,FALSE))</f>
        <v>1076.2794739999999</v>
      </c>
      <c r="U402">
        <f ca="1">IF(AND(ISNUMBER($U$901),$B$511=1),$U$901,HLOOKUP(INDIRECT(ADDRESS(2,COLUMN())),OFFSET($BN$2,0,0,ROW()-1,60),ROW()-1,FALSE))</f>
        <v>1030.2150509999999</v>
      </c>
      <c r="V402">
        <f ca="1">IF(AND(ISNUMBER($V$901),$B$511=1),$V$901,HLOOKUP(INDIRECT(ADDRESS(2,COLUMN())),OFFSET($BN$2,0,0,ROW()-1,60),ROW()-1,FALSE))</f>
        <v>1185.23876</v>
      </c>
      <c r="W402">
        <f ca="1">IF(AND(ISNUMBER($W$901),$B$511=1),$W$901,HLOOKUP(INDIRECT(ADDRESS(2,COLUMN())),OFFSET($BN$2,0,0,ROW()-1,60),ROW()-1,FALSE))</f>
        <v>1183.2492669999999</v>
      </c>
      <c r="X402">
        <f ca="1">IF(AND(ISNUMBER($X$901),$B$511=1),$X$901,HLOOKUP(INDIRECT(ADDRESS(2,COLUMN())),OFFSET($BN$2,0,0,ROW()-1,60),ROW()-1,FALSE))</f>
        <v>1111.613636</v>
      </c>
      <c r="Y402">
        <f ca="1">IF(AND(ISNUMBER($Y$901),$B$511=1),$Y$901,HLOOKUP(INDIRECT(ADDRESS(2,COLUMN())),OFFSET($BN$2,0,0,ROW()-1,60),ROW()-1,FALSE))</f>
        <v>1236.14924</v>
      </c>
      <c r="Z402">
        <f ca="1">IF(AND(ISNUMBER($Z$901),$B$511=1),$Z$901,HLOOKUP(INDIRECT(ADDRESS(2,COLUMN())),OFFSET($BN$2,0,0,ROW()-1,60),ROW()-1,FALSE))</f>
        <v>1798.1613219999999</v>
      </c>
      <c r="AA402">
        <f ca="1">IF(AND(ISNUMBER($AA$901),$B$511=1),$AA$901,HLOOKUP(INDIRECT(ADDRESS(2,COLUMN())),OFFSET($BN$2,0,0,ROW()-1,60),ROW()-1,FALSE))</f>
        <v>1867.2141799999999</v>
      </c>
      <c r="AB402">
        <f ca="1">IF(AND(ISNUMBER($AB$901),$B$511=1),$AB$901,HLOOKUP(INDIRECT(ADDRESS(2,COLUMN())),OFFSET($BN$2,0,0,ROW()-1,60),ROW()-1,FALSE))</f>
        <v>1545.328199</v>
      </c>
      <c r="AC402">
        <f ca="1">IF(AND(ISNUMBER($AC$901),$B$511=1),$AC$901,HLOOKUP(INDIRECT(ADDRESS(2,COLUMN())),OFFSET($BN$2,0,0,ROW()-1,60),ROW()-1,FALSE))</f>
        <v>1042.9466010000001</v>
      </c>
      <c r="AD402">
        <f ca="1">IF(AND(ISNUMBER($AD$901),$B$511=1),$AD$901,HLOOKUP(INDIRECT(ADDRESS(2,COLUMN())),OFFSET($BN$2,0,0,ROW()-1,60),ROW()-1,FALSE))</f>
        <v>983.33868619999998</v>
      </c>
      <c r="AE402">
        <f ca="1">IF(AND(ISNUMBER($AE$901),$B$511=1),$AE$901,HLOOKUP(INDIRECT(ADDRESS(2,COLUMN())),OFFSET($BN$2,0,0,ROW()-1,60),ROW()-1,FALSE))</f>
        <v>763.24744020000003</v>
      </c>
      <c r="AF402">
        <f ca="1">IF(AND(ISNUMBER($AF$901),$B$511=1),$AF$901,HLOOKUP(INDIRECT(ADDRESS(2,COLUMN())),OFFSET($BN$2,0,0,ROW()-1,60),ROW()-1,FALSE))</f>
        <v>856.19810810000001</v>
      </c>
      <c r="AG402">
        <f ca="1">IF(AND(ISNUMBER($AG$901),$B$511=1),$AG$901,HLOOKUP(INDIRECT(ADDRESS(2,COLUMN())),OFFSET($BN$2,0,0,ROW()-1,60),ROW()-1,FALSE))</f>
        <v>824.52404869999998</v>
      </c>
      <c r="AH402">
        <f ca="1">IF(AND(ISNUMBER($AH$901),$B$511=1),$AH$901,HLOOKUP(INDIRECT(ADDRESS(2,COLUMN())),OFFSET($BN$2,0,0,ROW()-1,60),ROW()-1,FALSE))</f>
        <v>823.0942569</v>
      </c>
      <c r="AI402">
        <f ca="1">IF(AND(ISNUMBER($AI$901),$B$511=1),$AI$901,HLOOKUP(INDIRECT(ADDRESS(2,COLUMN())),OFFSET($BN$2,0,0,ROW()-1,60),ROW()-1,FALSE))</f>
        <v>692.34514879999995</v>
      </c>
      <c r="AJ402">
        <f ca="1">IF(AND(ISNUMBER($AJ$901),$B$511=1),$AJ$901,HLOOKUP(INDIRECT(ADDRESS(2,COLUMN())),OFFSET($BN$2,0,0,ROW()-1,60),ROW()-1,FALSE))</f>
        <v>700.25949720000006</v>
      </c>
      <c r="AK402">
        <f ca="1">IF(AND(ISNUMBER($AK$901),$B$511=1),$AK$901,HLOOKUP(INDIRECT(ADDRESS(2,COLUMN())),OFFSET($BN$2,0,0,ROW()-1,60),ROW()-1,FALSE))</f>
        <v>729.55952000000002</v>
      </c>
      <c r="AL402">
        <f ca="1">IF(AND(ISNUMBER($AL$901),$B$511=1),$AL$901,HLOOKUP(INDIRECT(ADDRESS(2,COLUMN())),OFFSET($BN$2,0,0,ROW()-1,60),ROW()-1,FALSE))</f>
        <v>695.73538670000005</v>
      </c>
      <c r="AM402">
        <f ca="1">IF(AND(ISNUMBER($AM$901),$B$511=1),$AM$901,HLOOKUP(INDIRECT(ADDRESS(2,COLUMN())),OFFSET($BN$2,0,0,ROW()-1,60),ROW()-1,FALSE))</f>
        <v>732.34496149999995</v>
      </c>
      <c r="AN402">
        <f ca="1">IF(AND(ISNUMBER($AN$901),$B$511=1),$AN$901,HLOOKUP(INDIRECT(ADDRESS(2,COLUMN())),OFFSET($BN$2,0,0,ROW()-1,60),ROW()-1,FALSE))</f>
        <v>622.68307010000001</v>
      </c>
      <c r="AO402">
        <f ca="1">IF(AND(ISNUMBER($AO$901),$B$511=1),$AO$901,HLOOKUP(INDIRECT(ADDRESS(2,COLUMN())),OFFSET($BN$2,0,0,ROW()-1,60),ROW()-1,FALSE))</f>
        <v>543.79738750000001</v>
      </c>
      <c r="AP402">
        <f ca="1">IF(AND(ISNUMBER($AP$901),$B$511=1),$AP$901,HLOOKUP(INDIRECT(ADDRESS(2,COLUMN())),OFFSET($BN$2,0,0,ROW()-1,60),ROW()-1,FALSE))</f>
        <v>506.5828803</v>
      </c>
      <c r="AQ402">
        <f ca="1">IF(AND(ISNUMBER($AQ$901),$B$511=1),$AQ$901,HLOOKUP(INDIRECT(ADDRESS(2,COLUMN())),OFFSET($BN$2,0,0,ROW()-1,60),ROW()-1,FALSE))</f>
        <v>563.37849449999999</v>
      </c>
      <c r="AR402">
        <f ca="1">IF(AND(ISNUMBER($AR$901),$B$511=1),$AR$901,HLOOKUP(INDIRECT(ADDRESS(2,COLUMN())),OFFSET($BN$2,0,0,ROW()-1,60),ROW()-1,FALSE))</f>
        <v>532.57527719999996</v>
      </c>
      <c r="AS402">
        <f ca="1">IF(AND(ISNUMBER($AS$901),$B$511=1),$AS$901,HLOOKUP(INDIRECT(ADDRESS(2,COLUMN())),OFFSET($BN$2,0,0,ROW()-1,60),ROW()-1,FALSE))</f>
        <v>631.57626270000003</v>
      </c>
      <c r="AT402">
        <f ca="1">IF(AND(ISNUMBER($AT$901),$B$511=1),$AT$901,HLOOKUP(INDIRECT(ADDRESS(2,COLUMN())),OFFSET($BN$2,0,0,ROW()-1,60),ROW()-1,FALSE))</f>
        <v>373.98625800000002</v>
      </c>
      <c r="AU402">
        <f ca="1">IF(AND(ISNUMBER($AU$901),$B$511=1),$AU$901,HLOOKUP(INDIRECT(ADDRESS(2,COLUMN())),OFFSET($BN$2,0,0,ROW()-1,60),ROW()-1,FALSE))</f>
        <v>405.57093509999999</v>
      </c>
      <c r="AV402">
        <f ca="1">IF(AND(ISNUMBER($AV$901),$B$511=1),$AV$901,HLOOKUP(INDIRECT(ADDRESS(2,COLUMN())),OFFSET($BN$2,0,0,ROW()-1,60),ROW()-1,FALSE))</f>
        <v>538.35666209999999</v>
      </c>
      <c r="AW402">
        <f ca="1">IF(AND(ISNUMBER($AW$901),$B$511=1),$AW$901,HLOOKUP(INDIRECT(ADDRESS(2,COLUMN())),OFFSET($BN$2,0,0,ROW()-1,60),ROW()-1,FALSE))</f>
        <v>663.2939374</v>
      </c>
      <c r="AX402">
        <f ca="1">IF(AND(ISNUMBER($AX$901),$B$511=1),$AX$901,HLOOKUP(INDIRECT(ADDRESS(2,COLUMN())),OFFSET($BN$2,0,0,ROW()-1,60),ROW()-1,FALSE))</f>
        <v>840.58269870000004</v>
      </c>
      <c r="AY402" t="str">
        <f ca="1">IF(AND(ISNUMBER($AY$901),$B$511=1),$AY$901,HLOOKUP(INDIRECT(ADDRESS(2,COLUMN())),OFFSET($BN$2,0,0,ROW()-1,60),ROW()-1,FALSE))</f>
        <v/>
      </c>
      <c r="AZ402" t="str">
        <f ca="1">IF(AND(ISNUMBER($AZ$901),$B$511=1),$AZ$901,HLOOKUP(INDIRECT(ADDRESS(2,COLUMN())),OFFSET($BN$2,0,0,ROW()-1,60),ROW()-1,FALSE))</f>
        <v/>
      </c>
      <c r="BA402" t="str">
        <f ca="1">IF(AND(ISNUMBER($BA$901),$B$511=1),$BA$901,HLOOKUP(INDIRECT(ADDRESS(2,COLUMN())),OFFSET($BN$2,0,0,ROW()-1,60),ROW()-1,FALSE))</f>
        <v/>
      </c>
      <c r="BB402" t="str">
        <f ca="1">IF(AND(ISNUMBER($BB$901),$B$511=1),$BB$901,HLOOKUP(INDIRECT(ADDRESS(2,COLUMN())),OFFSET($BN$2,0,0,ROW()-1,60),ROW()-1,FALSE))</f>
        <v/>
      </c>
      <c r="BC402" t="str">
        <f ca="1">IF(AND(ISNUMBER($BC$901),$B$511=1),$BC$901,HLOOKUP(INDIRECT(ADDRESS(2,COLUMN())),OFFSET($BN$2,0,0,ROW()-1,60),ROW()-1,FALSE))</f>
        <v/>
      </c>
      <c r="BD402" t="str">
        <f ca="1">IF(AND(ISNUMBER($BD$901),$B$511=1),$BD$901,HLOOKUP(INDIRECT(ADDRESS(2,COLUMN())),OFFSET($BN$2,0,0,ROW()-1,60),ROW()-1,FALSE))</f>
        <v/>
      </c>
      <c r="BE402" t="str">
        <f ca="1">IF(AND(ISNUMBER($BE$901),$B$511=1),$BE$901,HLOOKUP(INDIRECT(ADDRESS(2,COLUMN())),OFFSET($BN$2,0,0,ROW()-1,60),ROW()-1,FALSE))</f>
        <v/>
      </c>
      <c r="BF402" t="str">
        <f ca="1">IF(AND(ISNUMBER($BF$901),$B$511=1),$BF$901,HLOOKUP(INDIRECT(ADDRESS(2,COLUMN())),OFFSET($BN$2,0,0,ROW()-1,60),ROW()-1,FALSE))</f>
        <v/>
      </c>
      <c r="BG402" t="str">
        <f ca="1">IF(AND(ISNUMBER($BG$901),$B$511=1),$BG$901,HLOOKUP(INDIRECT(ADDRESS(2,COLUMN())),OFFSET($BN$2,0,0,ROW()-1,60),ROW()-1,FALSE))</f>
        <v/>
      </c>
      <c r="BH402" t="str">
        <f ca="1">IF(AND(ISNUMBER($BH$901),$B$511=1),$BH$901,HLOOKUP(INDIRECT(ADDRESS(2,COLUMN())),OFFSET($BN$2,0,0,ROW()-1,60),ROW()-1,FALSE))</f>
        <v/>
      </c>
      <c r="BI402" t="str">
        <f ca="1">IF(AND(ISNUMBER($BI$901),$B$511=1),$BI$901,HLOOKUP(INDIRECT(ADDRESS(2,COLUMN())),OFFSET($BN$2,0,0,ROW()-1,60),ROW()-1,FALSE))</f>
        <v/>
      </c>
      <c r="BJ402" t="str">
        <f ca="1">IF(AND(ISNUMBER($BJ$901),$B$511=1),$BJ$901,HLOOKUP(INDIRECT(ADDRESS(2,COLUMN())),OFFSET($BN$2,0,0,ROW()-1,60),ROW()-1,FALSE))</f>
        <v/>
      </c>
      <c r="BK402" t="str">
        <f ca="1">IF(AND(ISNUMBER($BK$901),$B$511=1),$BK$901,HLOOKUP(INDIRECT(ADDRESS(2,COLUMN())),OFFSET($BN$2,0,0,ROW()-1,60),ROW()-1,FALSE))</f>
        <v/>
      </c>
      <c r="BL402" t="str">
        <f ca="1">IF(AND(ISNUMBER($BL$901),$B$511=1),$BL$901,HLOOKUP(INDIRECT(ADDRESS(2,COLUMN())),OFFSET($BN$2,0,0,ROW()-1,60),ROW()-1,FALSE))</f>
        <v/>
      </c>
      <c r="BM402" t="str">
        <f ca="1">IF(AND(ISNUMBER($BM$901),$B$511=1),$BM$901,HLOOKUP(INDIRECT(ADDRESS(2,COLUMN())),OFFSET($BN$2,0,0,ROW()-1,60),ROW()-1,FALSE))</f>
        <v/>
      </c>
      <c r="BN402">
        <f>898.1054847</f>
        <v>898.10548470000003</v>
      </c>
      <c r="BO402">
        <f>902.354084</f>
        <v>902.35408399999994</v>
      </c>
      <c r="BP402">
        <f>918.0119364</f>
        <v>918.01193639999997</v>
      </c>
      <c r="BQ402">
        <f>1007.342099</f>
        <v>1007.342099</v>
      </c>
      <c r="BR402">
        <f>1068.749599</f>
        <v>1068.749599</v>
      </c>
      <c r="BS402">
        <f>833.5669731</f>
        <v>833.56697310000004</v>
      </c>
      <c r="BT402">
        <f>1009.194191</f>
        <v>1009.194191</v>
      </c>
      <c r="BU402">
        <f>1022.028546</f>
        <v>1022.028546</v>
      </c>
      <c r="BV402">
        <f>971.6367449</f>
        <v>971.63674490000005</v>
      </c>
      <c r="BW402">
        <f>758.1274833</f>
        <v>758.12748329999999</v>
      </c>
      <c r="BX402">
        <f>977.1595407</f>
        <v>977.15954069999998</v>
      </c>
      <c r="BY402">
        <f>906.5701377</f>
        <v>906.57013770000003</v>
      </c>
      <c r="BZ402">
        <f>990.6505532</f>
        <v>990.65055319999999</v>
      </c>
      <c r="CA402">
        <f>981.0105288</f>
        <v>981.01052879999997</v>
      </c>
      <c r="CB402">
        <f>1076.279474</f>
        <v>1076.2794739999999</v>
      </c>
      <c r="CC402">
        <f>1030.215051</f>
        <v>1030.2150509999999</v>
      </c>
      <c r="CD402">
        <f>1185.23876</f>
        <v>1185.23876</v>
      </c>
      <c r="CE402">
        <f>1183.249267</f>
        <v>1183.2492669999999</v>
      </c>
      <c r="CF402">
        <f>1111.613636</f>
        <v>1111.613636</v>
      </c>
      <c r="CG402">
        <f>1236.14924</f>
        <v>1236.14924</v>
      </c>
      <c r="CH402">
        <f>1798.161322</f>
        <v>1798.1613219999999</v>
      </c>
      <c r="CI402">
        <f>1867.21418</f>
        <v>1867.2141799999999</v>
      </c>
      <c r="CJ402">
        <f>1545.328199</f>
        <v>1545.328199</v>
      </c>
      <c r="CK402">
        <f>1042.946601</f>
        <v>1042.9466010000001</v>
      </c>
      <c r="CL402">
        <f>983.3386862</f>
        <v>983.33868619999998</v>
      </c>
      <c r="CM402">
        <f>763.2474402</f>
        <v>763.24744020000003</v>
      </c>
      <c r="CN402">
        <f>856.1981081</f>
        <v>856.19810810000001</v>
      </c>
      <c r="CO402">
        <f>824.5240487</f>
        <v>824.52404869999998</v>
      </c>
      <c r="CP402">
        <f>823.0942569</f>
        <v>823.0942569</v>
      </c>
      <c r="CQ402">
        <f>692.3451488</f>
        <v>692.34514879999995</v>
      </c>
      <c r="CR402">
        <f>700.2594972</f>
        <v>700.25949720000006</v>
      </c>
      <c r="CS402">
        <f>729.55952</f>
        <v>729.55952000000002</v>
      </c>
      <c r="CT402">
        <f>695.7353867</f>
        <v>695.73538670000005</v>
      </c>
      <c r="CU402">
        <f>732.3449615</f>
        <v>732.34496149999995</v>
      </c>
      <c r="CV402">
        <f>622.6830701</f>
        <v>622.68307010000001</v>
      </c>
      <c r="CW402">
        <f>543.7973875</f>
        <v>543.79738750000001</v>
      </c>
      <c r="CX402">
        <f>506.5828803</f>
        <v>506.5828803</v>
      </c>
      <c r="CY402">
        <f>563.3784945</f>
        <v>563.37849449999999</v>
      </c>
      <c r="CZ402">
        <f>532.5752772</f>
        <v>532.57527719999996</v>
      </c>
      <c r="DA402">
        <f>631.5762627</f>
        <v>631.57626270000003</v>
      </c>
      <c r="DB402">
        <f>373.986258</f>
        <v>373.98625800000002</v>
      </c>
      <c r="DC402">
        <f>405.5709351</f>
        <v>405.57093509999999</v>
      </c>
      <c r="DD402">
        <f>538.3566621</f>
        <v>538.35666209999999</v>
      </c>
      <c r="DE402">
        <f>663.2939374</f>
        <v>663.2939374</v>
      </c>
      <c r="DF402">
        <f>840.5826987</f>
        <v>840.58269870000004</v>
      </c>
      <c r="DG402" t="str">
        <f>""</f>
        <v/>
      </c>
      <c r="DH402" t="str">
        <f>""</f>
        <v/>
      </c>
      <c r="DI402" t="str">
        <f>""</f>
        <v/>
      </c>
      <c r="DJ402" t="str">
        <f>""</f>
        <v/>
      </c>
      <c r="DK402" t="str">
        <f>""</f>
        <v/>
      </c>
      <c r="DL402" t="str">
        <f>""</f>
        <v/>
      </c>
      <c r="DM402" t="str">
        <f>""</f>
        <v/>
      </c>
      <c r="DN402" t="str">
        <f>""</f>
        <v/>
      </c>
      <c r="DO402" t="str">
        <f>""</f>
        <v/>
      </c>
      <c r="DP402" t="str">
        <f>""</f>
        <v/>
      </c>
      <c r="DQ402" t="str">
        <f>""</f>
        <v/>
      </c>
      <c r="DR402" t="str">
        <f>""</f>
        <v/>
      </c>
      <c r="DS402" t="str">
        <f>""</f>
        <v/>
      </c>
      <c r="DT402" t="str">
        <f>""</f>
        <v/>
      </c>
      <c r="DU402" t="str">
        <f>""</f>
        <v/>
      </c>
    </row>
    <row r="403" spans="1:125" x14ac:dyDescent="0.25">
      <c r="A403" t="str">
        <f>"    Sollers PJSC"</f>
        <v xml:space="preserve">    Sollers PJSC</v>
      </c>
      <c r="B403" t="str">
        <f>"SVAV RM Equity"</f>
        <v>SVAV RM Equity</v>
      </c>
      <c r="C403" t="str">
        <f t="shared" si="27"/>
        <v>RR937</v>
      </c>
      <c r="D403" t="str">
        <f t="shared" si="28"/>
        <v>CRNCY_ADJ_CURR_EV</v>
      </c>
      <c r="E403" t="str">
        <f t="shared" si="29"/>
        <v>Dynamic</v>
      </c>
      <c r="F403" t="str">
        <f ca="1">IF(AND(ISNUMBER($F$902),$B$511=1),$F$902,HLOOKUP(INDIRECT(ADDRESS(2,COLUMN())),OFFSET($BN$2,0,0,ROW()-1,60),ROW()-1,FALSE))</f>
        <v/>
      </c>
      <c r="G403" t="str">
        <f ca="1">IF(AND(ISNUMBER($G$902),$B$511=1),$G$902,HLOOKUP(INDIRECT(ADDRESS(2,COLUMN())),OFFSET($BN$2,0,0,ROW()-1,60),ROW()-1,FALSE))</f>
        <v/>
      </c>
      <c r="H403" t="str">
        <f ca="1">IF(AND(ISNUMBER($H$902),$B$511=1),$H$902,HLOOKUP(INDIRECT(ADDRESS(2,COLUMN())),OFFSET($BN$2,0,0,ROW()-1,60),ROW()-1,FALSE))</f>
        <v/>
      </c>
      <c r="I403" t="str">
        <f ca="1">IF(AND(ISNUMBER($I$902),$B$511=1),$I$902,HLOOKUP(INDIRECT(ADDRESS(2,COLUMN())),OFFSET($BN$2,0,0,ROW()-1,60),ROW()-1,FALSE))</f>
        <v/>
      </c>
      <c r="J403" t="str">
        <f ca="1">IF(AND(ISNUMBER($J$902),$B$511=1),$J$902,HLOOKUP(INDIRECT(ADDRESS(2,COLUMN())),OFFSET($BN$2,0,0,ROW()-1,60),ROW()-1,FALSE))</f>
        <v/>
      </c>
      <c r="K403" t="str">
        <f ca="1">IF(AND(ISNUMBER($K$902),$B$511=1),$K$902,HLOOKUP(INDIRECT(ADDRESS(2,COLUMN())),OFFSET($BN$2,0,0,ROW()-1,60),ROW()-1,FALSE))</f>
        <v/>
      </c>
      <c r="L403" t="str">
        <f ca="1">IF(AND(ISNUMBER($L$902),$B$511=1),$L$902,HLOOKUP(INDIRECT(ADDRESS(2,COLUMN())),OFFSET($BN$2,0,0,ROW()-1,60),ROW()-1,FALSE))</f>
        <v/>
      </c>
      <c r="M403" t="str">
        <f ca="1">IF(AND(ISNUMBER($M$902),$B$511=1),$M$902,HLOOKUP(INDIRECT(ADDRESS(2,COLUMN())),OFFSET($BN$2,0,0,ROW()-1,60),ROW()-1,FALSE))</f>
        <v/>
      </c>
      <c r="N403" t="str">
        <f ca="1">IF(AND(ISNUMBER($N$902),$B$511=1),$N$902,HLOOKUP(INDIRECT(ADDRESS(2,COLUMN())),OFFSET($BN$2,0,0,ROW()-1,60),ROW()-1,FALSE))</f>
        <v/>
      </c>
      <c r="O403" t="str">
        <f ca="1">IF(AND(ISNUMBER($O$902),$B$511=1),$O$902,HLOOKUP(INDIRECT(ADDRESS(2,COLUMN())),OFFSET($BN$2,0,0,ROW()-1,60),ROW()-1,FALSE))</f>
        <v/>
      </c>
      <c r="P403" t="str">
        <f ca="1">IF(AND(ISNUMBER($P$902),$B$511=1),$P$902,HLOOKUP(INDIRECT(ADDRESS(2,COLUMN())),OFFSET($BN$2,0,0,ROW()-1,60),ROW()-1,FALSE))</f>
        <v/>
      </c>
      <c r="Q403" t="str">
        <f ca="1">IF(AND(ISNUMBER($Q$902),$B$511=1),$Q$902,HLOOKUP(INDIRECT(ADDRESS(2,COLUMN())),OFFSET($BN$2,0,0,ROW()-1,60),ROW()-1,FALSE))</f>
        <v/>
      </c>
      <c r="R403" t="str">
        <f ca="1">IF(AND(ISNUMBER($R$902),$B$511=1),$R$902,HLOOKUP(INDIRECT(ADDRESS(2,COLUMN())),OFFSET($BN$2,0,0,ROW()-1,60),ROW()-1,FALSE))</f>
        <v/>
      </c>
      <c r="S403" t="str">
        <f ca="1">IF(AND(ISNUMBER($S$902),$B$511=1),$S$902,HLOOKUP(INDIRECT(ADDRESS(2,COLUMN())),OFFSET($BN$2,0,0,ROW()-1,60),ROW()-1,FALSE))</f>
        <v/>
      </c>
      <c r="T403" t="str">
        <f ca="1">IF(AND(ISNUMBER($T$902),$B$511=1),$T$902,HLOOKUP(INDIRECT(ADDRESS(2,COLUMN())),OFFSET($BN$2,0,0,ROW()-1,60),ROW()-1,FALSE))</f>
        <v/>
      </c>
      <c r="U403" t="str">
        <f ca="1">IF(AND(ISNUMBER($U$902),$B$511=1),$U$902,HLOOKUP(INDIRECT(ADDRESS(2,COLUMN())),OFFSET($BN$2,0,0,ROW()-1,60),ROW()-1,FALSE))</f>
        <v/>
      </c>
      <c r="V403" t="str">
        <f ca="1">IF(AND(ISNUMBER($V$902),$B$511=1),$V$902,HLOOKUP(INDIRECT(ADDRESS(2,COLUMN())),OFFSET($BN$2,0,0,ROW()-1,60),ROW()-1,FALSE))</f>
        <v/>
      </c>
      <c r="W403" t="str">
        <f ca="1">IF(AND(ISNUMBER($W$902),$B$511=1),$W$902,HLOOKUP(INDIRECT(ADDRESS(2,COLUMN())),OFFSET($BN$2,0,0,ROW()-1,60),ROW()-1,FALSE))</f>
        <v/>
      </c>
      <c r="X403" t="str">
        <f ca="1">IF(AND(ISNUMBER($X$902),$B$511=1),$X$902,HLOOKUP(INDIRECT(ADDRESS(2,COLUMN())),OFFSET($BN$2,0,0,ROW()-1,60),ROW()-1,FALSE))</f>
        <v/>
      </c>
      <c r="Y403" t="str">
        <f ca="1">IF(AND(ISNUMBER($Y$902),$B$511=1),$Y$902,HLOOKUP(INDIRECT(ADDRESS(2,COLUMN())),OFFSET($BN$2,0,0,ROW()-1,60),ROW()-1,FALSE))</f>
        <v/>
      </c>
      <c r="Z403" t="str">
        <f ca="1">IF(AND(ISNUMBER($Z$902),$B$511=1),$Z$902,HLOOKUP(INDIRECT(ADDRESS(2,COLUMN())),OFFSET($BN$2,0,0,ROW()-1,60),ROW()-1,FALSE))</f>
        <v/>
      </c>
      <c r="AA403" t="str">
        <f ca="1">IF(AND(ISNUMBER($AA$902),$B$511=1),$AA$902,HLOOKUP(INDIRECT(ADDRESS(2,COLUMN())),OFFSET($BN$2,0,0,ROW()-1,60),ROW()-1,FALSE))</f>
        <v/>
      </c>
      <c r="AB403" t="str">
        <f ca="1">IF(AND(ISNUMBER($AB$902),$B$511=1),$AB$902,HLOOKUP(INDIRECT(ADDRESS(2,COLUMN())),OFFSET($BN$2,0,0,ROW()-1,60),ROW()-1,FALSE))</f>
        <v/>
      </c>
      <c r="AC403" t="str">
        <f ca="1">IF(AND(ISNUMBER($AC$902),$B$511=1),$AC$902,HLOOKUP(INDIRECT(ADDRESS(2,COLUMN())),OFFSET($BN$2,0,0,ROW()-1,60),ROW()-1,FALSE))</f>
        <v/>
      </c>
      <c r="AD403" t="str">
        <f ca="1">IF(AND(ISNUMBER($AD$902),$B$511=1),$AD$902,HLOOKUP(INDIRECT(ADDRESS(2,COLUMN())),OFFSET($BN$2,0,0,ROW()-1,60),ROW()-1,FALSE))</f>
        <v/>
      </c>
      <c r="AE403" t="str">
        <f ca="1">IF(AND(ISNUMBER($AE$902),$B$511=1),$AE$902,HLOOKUP(INDIRECT(ADDRESS(2,COLUMN())),OFFSET($BN$2,0,0,ROW()-1,60),ROW()-1,FALSE))</f>
        <v/>
      </c>
      <c r="AF403" t="str">
        <f ca="1">IF(AND(ISNUMBER($AF$902),$B$511=1),$AF$902,HLOOKUP(INDIRECT(ADDRESS(2,COLUMN())),OFFSET($BN$2,0,0,ROW()-1,60),ROW()-1,FALSE))</f>
        <v/>
      </c>
      <c r="AG403" t="str">
        <f ca="1">IF(AND(ISNUMBER($AG$902),$B$511=1),$AG$902,HLOOKUP(INDIRECT(ADDRESS(2,COLUMN())),OFFSET($BN$2,0,0,ROW()-1,60),ROW()-1,FALSE))</f>
        <v/>
      </c>
      <c r="AH403" t="str">
        <f ca="1">IF(AND(ISNUMBER($AH$902),$B$511=1),$AH$902,HLOOKUP(INDIRECT(ADDRESS(2,COLUMN())),OFFSET($BN$2,0,0,ROW()-1,60),ROW()-1,FALSE))</f>
        <v/>
      </c>
      <c r="AI403" t="str">
        <f ca="1">IF(AND(ISNUMBER($AI$902),$B$511=1),$AI$902,HLOOKUP(INDIRECT(ADDRESS(2,COLUMN())),OFFSET($BN$2,0,0,ROW()-1,60),ROW()-1,FALSE))</f>
        <v/>
      </c>
      <c r="AJ403" t="str">
        <f ca="1">IF(AND(ISNUMBER($AJ$902),$B$511=1),$AJ$902,HLOOKUP(INDIRECT(ADDRESS(2,COLUMN())),OFFSET($BN$2,0,0,ROW()-1,60),ROW()-1,FALSE))</f>
        <v/>
      </c>
      <c r="AK403" t="str">
        <f ca="1">IF(AND(ISNUMBER($AK$902),$B$511=1),$AK$902,HLOOKUP(INDIRECT(ADDRESS(2,COLUMN())),OFFSET($BN$2,0,0,ROW()-1,60),ROW()-1,FALSE))</f>
        <v/>
      </c>
      <c r="AL403" t="str">
        <f ca="1">IF(AND(ISNUMBER($AL$902),$B$511=1),$AL$902,HLOOKUP(INDIRECT(ADDRESS(2,COLUMN())),OFFSET($BN$2,0,0,ROW()-1,60),ROW()-1,FALSE))</f>
        <v/>
      </c>
      <c r="AM403" t="str">
        <f ca="1">IF(AND(ISNUMBER($AM$902),$B$511=1),$AM$902,HLOOKUP(INDIRECT(ADDRESS(2,COLUMN())),OFFSET($BN$2,0,0,ROW()-1,60),ROW()-1,FALSE))</f>
        <v/>
      </c>
      <c r="AN403" t="str">
        <f ca="1">IF(AND(ISNUMBER($AN$902),$B$511=1),$AN$902,HLOOKUP(INDIRECT(ADDRESS(2,COLUMN())),OFFSET($BN$2,0,0,ROW()-1,60),ROW()-1,FALSE))</f>
        <v/>
      </c>
      <c r="AO403" t="str">
        <f ca="1">IF(AND(ISNUMBER($AO$902),$B$511=1),$AO$902,HLOOKUP(INDIRECT(ADDRESS(2,COLUMN())),OFFSET($BN$2,0,0,ROW()-1,60),ROW()-1,FALSE))</f>
        <v/>
      </c>
      <c r="AP403" t="str">
        <f ca="1">IF(AND(ISNUMBER($AP$902),$B$511=1),$AP$902,HLOOKUP(INDIRECT(ADDRESS(2,COLUMN())),OFFSET($BN$2,0,0,ROW()-1,60),ROW()-1,FALSE))</f>
        <v/>
      </c>
      <c r="AQ403" t="str">
        <f ca="1">IF(AND(ISNUMBER($AQ$902),$B$511=1),$AQ$902,HLOOKUP(INDIRECT(ADDRESS(2,COLUMN())),OFFSET($BN$2,0,0,ROW()-1,60),ROW()-1,FALSE))</f>
        <v/>
      </c>
      <c r="AR403" t="str">
        <f ca="1">IF(AND(ISNUMBER($AR$902),$B$511=1),$AR$902,HLOOKUP(INDIRECT(ADDRESS(2,COLUMN())),OFFSET($BN$2,0,0,ROW()-1,60),ROW()-1,FALSE))</f>
        <v/>
      </c>
      <c r="AS403" t="str">
        <f ca="1">IF(AND(ISNUMBER($AS$902),$B$511=1),$AS$902,HLOOKUP(INDIRECT(ADDRESS(2,COLUMN())),OFFSET($BN$2,0,0,ROW()-1,60),ROW()-1,FALSE))</f>
        <v/>
      </c>
      <c r="AT403" t="str">
        <f ca="1">IF(AND(ISNUMBER($AT$902),$B$511=1),$AT$902,HLOOKUP(INDIRECT(ADDRESS(2,COLUMN())),OFFSET($BN$2,0,0,ROW()-1,60),ROW()-1,FALSE))</f>
        <v/>
      </c>
      <c r="AU403" t="str">
        <f ca="1">IF(AND(ISNUMBER($AU$902),$B$511=1),$AU$902,HLOOKUP(INDIRECT(ADDRESS(2,COLUMN())),OFFSET($BN$2,0,0,ROW()-1,60),ROW()-1,FALSE))</f>
        <v/>
      </c>
      <c r="AV403" t="str">
        <f ca="1">IF(AND(ISNUMBER($AV$902),$B$511=1),$AV$902,HLOOKUP(INDIRECT(ADDRESS(2,COLUMN())),OFFSET($BN$2,0,0,ROW()-1,60),ROW()-1,FALSE))</f>
        <v/>
      </c>
      <c r="AW403" t="str">
        <f ca="1">IF(AND(ISNUMBER($AW$902),$B$511=1),$AW$902,HLOOKUP(INDIRECT(ADDRESS(2,COLUMN())),OFFSET($BN$2,0,0,ROW()-1,60),ROW()-1,FALSE))</f>
        <v/>
      </c>
      <c r="AX403" t="str">
        <f ca="1">IF(AND(ISNUMBER($AX$902),$B$511=1),$AX$902,HLOOKUP(INDIRECT(ADDRESS(2,COLUMN())),OFFSET($BN$2,0,0,ROW()-1,60),ROW()-1,FALSE))</f>
        <v/>
      </c>
      <c r="AY403" t="str">
        <f ca="1">IF(AND(ISNUMBER($AY$902),$B$511=1),$AY$902,HLOOKUP(INDIRECT(ADDRESS(2,COLUMN())),OFFSET($BN$2,0,0,ROW()-1,60),ROW()-1,FALSE))</f>
        <v/>
      </c>
      <c r="AZ403" t="str">
        <f ca="1">IF(AND(ISNUMBER($AZ$902),$B$511=1),$AZ$902,HLOOKUP(INDIRECT(ADDRESS(2,COLUMN())),OFFSET($BN$2,0,0,ROW()-1,60),ROW()-1,FALSE))</f>
        <v/>
      </c>
      <c r="BA403" t="str">
        <f ca="1">IF(AND(ISNUMBER($BA$902),$B$511=1),$BA$902,HLOOKUP(INDIRECT(ADDRESS(2,COLUMN())),OFFSET($BN$2,0,0,ROW()-1,60),ROW()-1,FALSE))</f>
        <v/>
      </c>
      <c r="BB403" t="str">
        <f ca="1">IF(AND(ISNUMBER($BB$902),$B$511=1),$BB$902,HLOOKUP(INDIRECT(ADDRESS(2,COLUMN())),OFFSET($BN$2,0,0,ROW()-1,60),ROW()-1,FALSE))</f>
        <v/>
      </c>
      <c r="BC403" t="str">
        <f ca="1">IF(AND(ISNUMBER($BC$902),$B$511=1),$BC$902,HLOOKUP(INDIRECT(ADDRESS(2,COLUMN())),OFFSET($BN$2,0,0,ROW()-1,60),ROW()-1,FALSE))</f>
        <v/>
      </c>
      <c r="BD403" t="str">
        <f ca="1">IF(AND(ISNUMBER($BD$902),$B$511=1),$BD$902,HLOOKUP(INDIRECT(ADDRESS(2,COLUMN())),OFFSET($BN$2,0,0,ROW()-1,60),ROW()-1,FALSE))</f>
        <v/>
      </c>
      <c r="BE403" t="str">
        <f ca="1">IF(AND(ISNUMBER($BE$902),$B$511=1),$BE$902,HLOOKUP(INDIRECT(ADDRESS(2,COLUMN())),OFFSET($BN$2,0,0,ROW()-1,60),ROW()-1,FALSE))</f>
        <v/>
      </c>
      <c r="BF403" t="str">
        <f ca="1">IF(AND(ISNUMBER($BF$902),$B$511=1),$BF$902,HLOOKUP(INDIRECT(ADDRESS(2,COLUMN())),OFFSET($BN$2,0,0,ROW()-1,60),ROW()-1,FALSE))</f>
        <v/>
      </c>
      <c r="BG403" t="str">
        <f ca="1">IF(AND(ISNUMBER($BG$902),$B$511=1),$BG$902,HLOOKUP(INDIRECT(ADDRESS(2,COLUMN())),OFFSET($BN$2,0,0,ROW()-1,60),ROW()-1,FALSE))</f>
        <v/>
      </c>
      <c r="BH403" t="str">
        <f ca="1">IF(AND(ISNUMBER($BH$902),$B$511=1),$BH$902,HLOOKUP(INDIRECT(ADDRESS(2,COLUMN())),OFFSET($BN$2,0,0,ROW()-1,60),ROW()-1,FALSE))</f>
        <v/>
      </c>
      <c r="BI403" t="str">
        <f ca="1">IF(AND(ISNUMBER($BI$902),$B$511=1),$BI$902,HLOOKUP(INDIRECT(ADDRESS(2,COLUMN())),OFFSET($BN$2,0,0,ROW()-1,60),ROW()-1,FALSE))</f>
        <v/>
      </c>
      <c r="BJ403" t="str">
        <f ca="1">IF(AND(ISNUMBER($BJ$902),$B$511=1),$BJ$902,HLOOKUP(INDIRECT(ADDRESS(2,COLUMN())),OFFSET($BN$2,0,0,ROW()-1,60),ROW()-1,FALSE))</f>
        <v/>
      </c>
      <c r="BK403" t="str">
        <f ca="1">IF(AND(ISNUMBER($BK$902),$B$511=1),$BK$902,HLOOKUP(INDIRECT(ADDRESS(2,COLUMN())),OFFSET($BN$2,0,0,ROW()-1,60),ROW()-1,FALSE))</f>
        <v/>
      </c>
      <c r="BL403" t="str">
        <f ca="1">IF(AND(ISNUMBER($BL$902),$B$511=1),$BL$902,HLOOKUP(INDIRECT(ADDRESS(2,COLUMN())),OFFSET($BN$2,0,0,ROW()-1,60),ROW()-1,FALSE))</f>
        <v/>
      </c>
      <c r="BM403" t="str">
        <f ca="1">IF(AND(ISNUMBER($BM$902),$B$511=1),$BM$902,HLOOKUP(INDIRECT(ADDRESS(2,COLUMN())),OFFSET($BN$2,0,0,ROW()-1,60),ROW()-1,FALSE))</f>
        <v/>
      </c>
      <c r="BN403" t="str">
        <f>""</f>
        <v/>
      </c>
      <c r="BO403" t="str">
        <f>""</f>
        <v/>
      </c>
      <c r="BP403" t="str">
        <f>""</f>
        <v/>
      </c>
      <c r="BQ403" t="str">
        <f>""</f>
        <v/>
      </c>
      <c r="BR403" t="str">
        <f>""</f>
        <v/>
      </c>
      <c r="BS403" t="str">
        <f>""</f>
        <v/>
      </c>
      <c r="BT403" t="str">
        <f>""</f>
        <v/>
      </c>
      <c r="BU403" t="str">
        <f>""</f>
        <v/>
      </c>
      <c r="BV403" t="str">
        <f>""</f>
        <v/>
      </c>
      <c r="BW403" t="str">
        <f>""</f>
        <v/>
      </c>
      <c r="BX403" t="str">
        <f>""</f>
        <v/>
      </c>
      <c r="BY403" t="str">
        <f>""</f>
        <v/>
      </c>
      <c r="BZ403" t="str">
        <f>""</f>
        <v/>
      </c>
      <c r="CA403" t="str">
        <f>""</f>
        <v/>
      </c>
      <c r="CB403" t="str">
        <f>""</f>
        <v/>
      </c>
      <c r="CC403" t="str">
        <f>""</f>
        <v/>
      </c>
      <c r="CD403" t="str">
        <f>""</f>
        <v/>
      </c>
      <c r="CE403" t="str">
        <f>""</f>
        <v/>
      </c>
      <c r="CF403" t="str">
        <f>""</f>
        <v/>
      </c>
      <c r="CG403" t="str">
        <f>""</f>
        <v/>
      </c>
      <c r="CH403" t="str">
        <f>""</f>
        <v/>
      </c>
      <c r="CI403" t="str">
        <f>""</f>
        <v/>
      </c>
      <c r="CJ403" t="str">
        <f>""</f>
        <v/>
      </c>
      <c r="CK403" t="str">
        <f>""</f>
        <v/>
      </c>
      <c r="CL403" t="str">
        <f>""</f>
        <v/>
      </c>
      <c r="CM403" t="str">
        <f>""</f>
        <v/>
      </c>
      <c r="CN403" t="str">
        <f>""</f>
        <v/>
      </c>
      <c r="CO403" t="str">
        <f>""</f>
        <v/>
      </c>
      <c r="CP403" t="str">
        <f>""</f>
        <v/>
      </c>
      <c r="CQ403" t="str">
        <f>""</f>
        <v/>
      </c>
      <c r="CR403" t="str">
        <f>""</f>
        <v/>
      </c>
      <c r="CS403" t="str">
        <f>""</f>
        <v/>
      </c>
      <c r="CT403" t="str">
        <f>""</f>
        <v/>
      </c>
      <c r="CU403" t="str">
        <f>""</f>
        <v/>
      </c>
      <c r="CV403" t="str">
        <f>""</f>
        <v/>
      </c>
      <c r="CW403" t="str">
        <f>""</f>
        <v/>
      </c>
      <c r="CX403" t="str">
        <f>""</f>
        <v/>
      </c>
      <c r="CY403" t="str">
        <f>""</f>
        <v/>
      </c>
      <c r="CZ403" t="str">
        <f>""</f>
        <v/>
      </c>
      <c r="DA403" t="str">
        <f>""</f>
        <v/>
      </c>
      <c r="DB403" t="str">
        <f>""</f>
        <v/>
      </c>
      <c r="DC403" t="str">
        <f>""</f>
        <v/>
      </c>
      <c r="DD403" t="str">
        <f>""</f>
        <v/>
      </c>
      <c r="DE403" t="str">
        <f>""</f>
        <v/>
      </c>
      <c r="DF403" t="str">
        <f>""</f>
        <v/>
      </c>
      <c r="DG403" t="str">
        <f>""</f>
        <v/>
      </c>
      <c r="DH403" t="str">
        <f>""</f>
        <v/>
      </c>
      <c r="DI403" t="str">
        <f>""</f>
        <v/>
      </c>
      <c r="DJ403" t="str">
        <f>""</f>
        <v/>
      </c>
      <c r="DK403" t="str">
        <f>""</f>
        <v/>
      </c>
      <c r="DL403" t="str">
        <f>""</f>
        <v/>
      </c>
      <c r="DM403" t="str">
        <f>""</f>
        <v/>
      </c>
      <c r="DN403" t="str">
        <f>""</f>
        <v/>
      </c>
      <c r="DO403" t="str">
        <f>""</f>
        <v/>
      </c>
      <c r="DP403" t="str">
        <f>""</f>
        <v/>
      </c>
      <c r="DQ403" t="str">
        <f>""</f>
        <v/>
      </c>
      <c r="DR403" t="str">
        <f>""</f>
        <v/>
      </c>
      <c r="DS403" t="str">
        <f>""</f>
        <v/>
      </c>
      <c r="DT403" t="str">
        <f>""</f>
        <v/>
      </c>
      <c r="DU403" t="str">
        <f>""</f>
        <v/>
      </c>
    </row>
    <row r="404" spans="1:125" x14ac:dyDescent="0.25">
      <c r="A404" t="str">
        <f>"    Ssangyong Motor Co"</f>
        <v xml:space="preserve">    Ssangyong Motor Co</v>
      </c>
      <c r="B404" t="str">
        <f>"003620 KS Equity"</f>
        <v>003620 KS Equity</v>
      </c>
      <c r="C404" t="str">
        <f t="shared" si="27"/>
        <v>RR937</v>
      </c>
      <c r="D404" t="str">
        <f t="shared" si="28"/>
        <v>CRNCY_ADJ_CURR_EV</v>
      </c>
      <c r="E404" t="str">
        <f t="shared" si="29"/>
        <v>Dynamic</v>
      </c>
      <c r="F404" t="str">
        <f ca="1">IF(AND(ISNUMBER($F$903),$B$511=1),$F$903,HLOOKUP(INDIRECT(ADDRESS(2,COLUMN())),OFFSET($BN$2,0,0,ROW()-1,60),ROW()-1,FALSE))</f>
        <v/>
      </c>
      <c r="G404">
        <f ca="1">IF(AND(ISNUMBER($G$903),$B$511=1),$G$903,HLOOKUP(INDIRECT(ADDRESS(2,COLUMN())),OFFSET($BN$2,0,0,ROW()-1,60),ROW()-1,FALSE))</f>
        <v>535.40530290000004</v>
      </c>
      <c r="H404">
        <f ca="1">IF(AND(ISNUMBER($H$903),$B$511=1),$H$903,HLOOKUP(INDIRECT(ADDRESS(2,COLUMN())),OFFSET($BN$2,0,0,ROW()-1,60),ROW()-1,FALSE))</f>
        <v>618.62510429999998</v>
      </c>
      <c r="I404">
        <f ca="1">IF(AND(ISNUMBER($I$903),$B$511=1),$I$903,HLOOKUP(INDIRECT(ADDRESS(2,COLUMN())),OFFSET($BN$2,0,0,ROW()-1,60),ROW()-1,FALSE))</f>
        <v>674.64524100000006</v>
      </c>
      <c r="J404">
        <f ca="1">IF(AND(ISNUMBER($J$903),$B$511=1),$J$903,HLOOKUP(INDIRECT(ADDRESS(2,COLUMN())),OFFSET($BN$2,0,0,ROW()-1,60),ROW()-1,FALSE))</f>
        <v>676.68277320000004</v>
      </c>
      <c r="K404">
        <f ca="1">IF(AND(ISNUMBER($K$903),$B$511=1),$K$903,HLOOKUP(INDIRECT(ADDRESS(2,COLUMN())),OFFSET($BN$2,0,0,ROW()-1,60),ROW()-1,FALSE))</f>
        <v>677.58998859999997</v>
      </c>
      <c r="L404">
        <f ca="1">IF(AND(ISNUMBER($L$903),$B$511=1),$L$903,HLOOKUP(INDIRECT(ADDRESS(2,COLUMN())),OFFSET($BN$2,0,0,ROW()-1,60),ROW()-1,FALSE))</f>
        <v>735.89226859999997</v>
      </c>
      <c r="M404">
        <f ca="1">IF(AND(ISNUMBER($M$903),$B$511=1),$M$903,HLOOKUP(INDIRECT(ADDRESS(2,COLUMN())),OFFSET($BN$2,0,0,ROW()-1,60),ROW()-1,FALSE))</f>
        <v>834.51423390000002</v>
      </c>
      <c r="N404">
        <f ca="1">IF(AND(ISNUMBER($N$903),$B$511=1),$N$903,HLOOKUP(INDIRECT(ADDRESS(2,COLUMN())),OFFSET($BN$2,0,0,ROW()-1,60),ROW()-1,FALSE))</f>
        <v>994.16842440000005</v>
      </c>
      <c r="O404">
        <f ca="1">IF(AND(ISNUMBER($O$903),$B$511=1),$O$903,HLOOKUP(INDIRECT(ADDRESS(2,COLUMN())),OFFSET($BN$2,0,0,ROW()-1,60),ROW()-1,FALSE))</f>
        <v>860.73296830000004</v>
      </c>
      <c r="P404">
        <f ca="1">IF(AND(ISNUMBER($P$903),$B$511=1),$P$903,HLOOKUP(INDIRECT(ADDRESS(2,COLUMN())),OFFSET($BN$2,0,0,ROW()-1,60),ROW()-1,FALSE))</f>
        <v>1080.553238</v>
      </c>
      <c r="Q404">
        <f ca="1">IF(AND(ISNUMBER($Q$903),$B$511=1),$Q$903,HLOOKUP(INDIRECT(ADDRESS(2,COLUMN())),OFFSET($BN$2,0,0,ROW()-1,60),ROW()-1,FALSE))</f>
        <v>861.53131589999998</v>
      </c>
      <c r="R404">
        <f ca="1">IF(AND(ISNUMBER($R$903),$B$511=1),$R$903,HLOOKUP(INDIRECT(ADDRESS(2,COLUMN())),OFFSET($BN$2,0,0,ROW()-1,60),ROW()-1,FALSE))</f>
        <v>1107.5389789999999</v>
      </c>
      <c r="S404">
        <f ca="1">IF(AND(ISNUMBER($S$903),$B$511=1),$S$903,HLOOKUP(INDIRECT(ADDRESS(2,COLUMN())),OFFSET($BN$2,0,0,ROW()-1,60),ROW()-1,FALSE))</f>
        <v>896.55091860000005</v>
      </c>
      <c r="T404">
        <f ca="1">IF(AND(ISNUMBER($T$903),$B$511=1),$T$903,HLOOKUP(INDIRECT(ADDRESS(2,COLUMN())),OFFSET($BN$2,0,0,ROW()-1,60),ROW()-1,FALSE))</f>
        <v>1112.0587439999999</v>
      </c>
      <c r="U404">
        <f ca="1">IF(AND(ISNUMBER($U$903),$B$511=1),$U$903,HLOOKUP(INDIRECT(ADDRESS(2,COLUMN())),OFFSET($BN$2,0,0,ROW()-1,60),ROW()-1,FALSE))</f>
        <v>1135.4059520000001</v>
      </c>
      <c r="V404">
        <f ca="1">IF(AND(ISNUMBER($V$903),$B$511=1),$V$903,HLOOKUP(INDIRECT(ADDRESS(2,COLUMN())),OFFSET($BN$2,0,0,ROW()-1,60),ROW()-1,FALSE))</f>
        <v>1098.4638420000001</v>
      </c>
      <c r="W404">
        <f ca="1">IF(AND(ISNUMBER($W$903),$B$511=1),$W$903,HLOOKUP(INDIRECT(ADDRESS(2,COLUMN())),OFFSET($BN$2,0,0,ROW()-1,60),ROW()-1,FALSE))</f>
        <v>1129.451947</v>
      </c>
      <c r="X404">
        <f ca="1">IF(AND(ISNUMBER($X$903),$B$511=1),$X$903,HLOOKUP(INDIRECT(ADDRESS(2,COLUMN())),OFFSET($BN$2,0,0,ROW()-1,60),ROW()-1,FALSE))</f>
        <v>856.61677180000004</v>
      </c>
      <c r="Y404">
        <f ca="1">IF(AND(ISNUMBER($Y$903),$B$511=1),$Y$903,HLOOKUP(INDIRECT(ADDRESS(2,COLUMN())),OFFSET($BN$2,0,0,ROW()-1,60),ROW()-1,FALSE))</f>
        <v>1083.221084</v>
      </c>
      <c r="Z404">
        <f ca="1">IF(AND(ISNUMBER($Z$903),$B$511=1),$Z$903,HLOOKUP(INDIRECT(ADDRESS(2,COLUMN())),OFFSET($BN$2,0,0,ROW()-1,60),ROW()-1,FALSE))</f>
        <v>946.70067700000004</v>
      </c>
      <c r="AA404">
        <f ca="1">IF(AND(ISNUMBER($AA$903),$B$511=1),$AA$903,HLOOKUP(INDIRECT(ADDRESS(2,COLUMN())),OFFSET($BN$2,0,0,ROW()-1,60),ROW()-1,FALSE))</f>
        <v>773.68120339999996</v>
      </c>
      <c r="AB404">
        <f ca="1">IF(AND(ISNUMBER($AB$903),$B$511=1),$AB$903,HLOOKUP(INDIRECT(ADDRESS(2,COLUMN())),OFFSET($BN$2,0,0,ROW()-1,60),ROW()-1,FALSE))</f>
        <v>989.0851222</v>
      </c>
      <c r="AC404">
        <f ca="1">IF(AND(ISNUMBER($AC$903),$B$511=1),$AC$903,HLOOKUP(INDIRECT(ADDRESS(2,COLUMN())),OFFSET($BN$2,0,0,ROW()-1,60),ROW()-1,FALSE))</f>
        <v>788.9737897</v>
      </c>
      <c r="AD404">
        <f ca="1">IF(AND(ISNUMBER($AD$903),$B$511=1),$AD$903,HLOOKUP(INDIRECT(ADDRESS(2,COLUMN())),OFFSET($BN$2,0,0,ROW()-1,60),ROW()-1,FALSE))</f>
        <v>517.99980500000004</v>
      </c>
      <c r="AE404">
        <f ca="1">IF(AND(ISNUMBER($AE$903),$B$511=1),$AE$903,HLOOKUP(INDIRECT(ADDRESS(2,COLUMN())),OFFSET($BN$2,0,0,ROW()-1,60),ROW()-1,FALSE))</f>
        <v>537.02538489999995</v>
      </c>
      <c r="AF404" t="str">
        <f ca="1">IF(AND(ISNUMBER($AF$903),$B$511=1),$AF$903,HLOOKUP(INDIRECT(ADDRESS(2,COLUMN())),OFFSET($BN$2,0,0,ROW()-1,60),ROW()-1,FALSE))</f>
        <v/>
      </c>
      <c r="AG404" t="str">
        <f ca="1">IF(AND(ISNUMBER($AG$903),$B$511=1),$AG$903,HLOOKUP(INDIRECT(ADDRESS(2,COLUMN())),OFFSET($BN$2,0,0,ROW()-1,60),ROW()-1,FALSE))</f>
        <v/>
      </c>
      <c r="AH404" t="str">
        <f ca="1">IF(AND(ISNUMBER($AH$903),$B$511=1),$AH$903,HLOOKUP(INDIRECT(ADDRESS(2,COLUMN())),OFFSET($BN$2,0,0,ROW()-1,60),ROW()-1,FALSE))</f>
        <v/>
      </c>
      <c r="AI404" t="str">
        <f ca="1">IF(AND(ISNUMBER($AI$903),$B$511=1),$AI$903,HLOOKUP(INDIRECT(ADDRESS(2,COLUMN())),OFFSET($BN$2,0,0,ROW()-1,60),ROW()-1,FALSE))</f>
        <v/>
      </c>
      <c r="AJ404" t="str">
        <f ca="1">IF(AND(ISNUMBER($AJ$903),$B$511=1),$AJ$903,HLOOKUP(INDIRECT(ADDRESS(2,COLUMN())),OFFSET($BN$2,0,0,ROW()-1,60),ROW()-1,FALSE))</f>
        <v/>
      </c>
      <c r="AK404" t="str">
        <f ca="1">IF(AND(ISNUMBER($AK$903),$B$511=1),$AK$903,HLOOKUP(INDIRECT(ADDRESS(2,COLUMN())),OFFSET($BN$2,0,0,ROW()-1,60),ROW()-1,FALSE))</f>
        <v/>
      </c>
      <c r="AL404" t="str">
        <f ca="1">IF(AND(ISNUMBER($AL$903),$B$511=1),$AL$903,HLOOKUP(INDIRECT(ADDRESS(2,COLUMN())),OFFSET($BN$2,0,0,ROW()-1,60),ROW()-1,FALSE))</f>
        <v/>
      </c>
      <c r="AM404" t="str">
        <f ca="1">IF(AND(ISNUMBER($AM$903),$B$511=1),$AM$903,HLOOKUP(INDIRECT(ADDRESS(2,COLUMN())),OFFSET($BN$2,0,0,ROW()-1,60),ROW()-1,FALSE))</f>
        <v/>
      </c>
      <c r="AN404" t="str">
        <f ca="1">IF(AND(ISNUMBER($AN$903),$B$511=1),$AN$903,HLOOKUP(INDIRECT(ADDRESS(2,COLUMN())),OFFSET($BN$2,0,0,ROW()-1,60),ROW()-1,FALSE))</f>
        <v/>
      </c>
      <c r="AO404" t="str">
        <f ca="1">IF(AND(ISNUMBER($AO$903),$B$511=1),$AO$903,HLOOKUP(INDIRECT(ADDRESS(2,COLUMN())),OFFSET($BN$2,0,0,ROW()-1,60),ROW()-1,FALSE))</f>
        <v/>
      </c>
      <c r="AP404" t="str">
        <f ca="1">IF(AND(ISNUMBER($AP$903),$B$511=1),$AP$903,HLOOKUP(INDIRECT(ADDRESS(2,COLUMN())),OFFSET($BN$2,0,0,ROW()-1,60),ROW()-1,FALSE))</f>
        <v/>
      </c>
      <c r="AQ404" t="str">
        <f ca="1">IF(AND(ISNUMBER($AQ$903),$B$511=1),$AQ$903,HLOOKUP(INDIRECT(ADDRESS(2,COLUMN())),OFFSET($BN$2,0,0,ROW()-1,60),ROW()-1,FALSE))</f>
        <v/>
      </c>
      <c r="AR404" t="str">
        <f ca="1">IF(AND(ISNUMBER($AR$903),$B$511=1),$AR$903,HLOOKUP(INDIRECT(ADDRESS(2,COLUMN())),OFFSET($BN$2,0,0,ROW()-1,60),ROW()-1,FALSE))</f>
        <v/>
      </c>
      <c r="AS404" t="str">
        <f ca="1">IF(AND(ISNUMBER($AS$903),$B$511=1),$AS$903,HLOOKUP(INDIRECT(ADDRESS(2,COLUMN())),OFFSET($BN$2,0,0,ROW()-1,60),ROW()-1,FALSE))</f>
        <v/>
      </c>
      <c r="AT404" t="str">
        <f ca="1">IF(AND(ISNUMBER($AT$903),$B$511=1),$AT$903,HLOOKUP(INDIRECT(ADDRESS(2,COLUMN())),OFFSET($BN$2,0,0,ROW()-1,60),ROW()-1,FALSE))</f>
        <v/>
      </c>
      <c r="AU404" t="str">
        <f ca="1">IF(AND(ISNUMBER($AU$903),$B$511=1),$AU$903,HLOOKUP(INDIRECT(ADDRESS(2,COLUMN())),OFFSET($BN$2,0,0,ROW()-1,60),ROW()-1,FALSE))</f>
        <v/>
      </c>
      <c r="AV404" t="str">
        <f ca="1">IF(AND(ISNUMBER($AV$903),$B$511=1),$AV$903,HLOOKUP(INDIRECT(ADDRESS(2,COLUMN())),OFFSET($BN$2,0,0,ROW()-1,60),ROW()-1,FALSE))</f>
        <v/>
      </c>
      <c r="AW404" t="str">
        <f ca="1">IF(AND(ISNUMBER($AW$903),$B$511=1),$AW$903,HLOOKUP(INDIRECT(ADDRESS(2,COLUMN())),OFFSET($BN$2,0,0,ROW()-1,60),ROW()-1,FALSE))</f>
        <v/>
      </c>
      <c r="AX404" t="str">
        <f ca="1">IF(AND(ISNUMBER($AX$903),$B$511=1),$AX$903,HLOOKUP(INDIRECT(ADDRESS(2,COLUMN())),OFFSET($BN$2,0,0,ROW()-1,60),ROW()-1,FALSE))</f>
        <v/>
      </c>
      <c r="AY404" t="str">
        <f ca="1">IF(AND(ISNUMBER($AY$903),$B$511=1),$AY$903,HLOOKUP(INDIRECT(ADDRESS(2,COLUMN())),OFFSET($BN$2,0,0,ROW()-1,60),ROW()-1,FALSE))</f>
        <v/>
      </c>
      <c r="AZ404" t="str">
        <f ca="1">IF(AND(ISNUMBER($AZ$903),$B$511=1),$AZ$903,HLOOKUP(INDIRECT(ADDRESS(2,COLUMN())),OFFSET($BN$2,0,0,ROW()-1,60),ROW()-1,FALSE))</f>
        <v/>
      </c>
      <c r="BA404" t="str">
        <f ca="1">IF(AND(ISNUMBER($BA$903),$B$511=1),$BA$903,HLOOKUP(INDIRECT(ADDRESS(2,COLUMN())),OFFSET($BN$2,0,0,ROW()-1,60),ROW()-1,FALSE))</f>
        <v/>
      </c>
      <c r="BB404" t="str">
        <f ca="1">IF(AND(ISNUMBER($BB$903),$B$511=1),$BB$903,HLOOKUP(INDIRECT(ADDRESS(2,COLUMN())),OFFSET($BN$2,0,0,ROW()-1,60),ROW()-1,FALSE))</f>
        <v/>
      </c>
      <c r="BC404" t="str">
        <f ca="1">IF(AND(ISNUMBER($BC$903),$B$511=1),$BC$903,HLOOKUP(INDIRECT(ADDRESS(2,COLUMN())),OFFSET($BN$2,0,0,ROW()-1,60),ROW()-1,FALSE))</f>
        <v/>
      </c>
      <c r="BD404" t="str">
        <f ca="1">IF(AND(ISNUMBER($BD$903),$B$511=1),$BD$903,HLOOKUP(INDIRECT(ADDRESS(2,COLUMN())),OFFSET($BN$2,0,0,ROW()-1,60),ROW()-1,FALSE))</f>
        <v/>
      </c>
      <c r="BE404" t="str">
        <f ca="1">IF(AND(ISNUMBER($BE$903),$B$511=1),$BE$903,HLOOKUP(INDIRECT(ADDRESS(2,COLUMN())),OFFSET($BN$2,0,0,ROW()-1,60),ROW()-1,FALSE))</f>
        <v/>
      </c>
      <c r="BF404" t="str">
        <f ca="1">IF(AND(ISNUMBER($BF$903),$B$511=1),$BF$903,HLOOKUP(INDIRECT(ADDRESS(2,COLUMN())),OFFSET($BN$2,0,0,ROW()-1,60),ROW()-1,FALSE))</f>
        <v/>
      </c>
      <c r="BG404" t="str">
        <f ca="1">IF(AND(ISNUMBER($BG$903),$B$511=1),$BG$903,HLOOKUP(INDIRECT(ADDRESS(2,COLUMN())),OFFSET($BN$2,0,0,ROW()-1,60),ROW()-1,FALSE))</f>
        <v/>
      </c>
      <c r="BH404" t="str">
        <f ca="1">IF(AND(ISNUMBER($BH$903),$B$511=1),$BH$903,HLOOKUP(INDIRECT(ADDRESS(2,COLUMN())),OFFSET($BN$2,0,0,ROW()-1,60),ROW()-1,FALSE))</f>
        <v/>
      </c>
      <c r="BI404" t="str">
        <f ca="1">IF(AND(ISNUMBER($BI$903),$B$511=1),$BI$903,HLOOKUP(INDIRECT(ADDRESS(2,COLUMN())),OFFSET($BN$2,0,0,ROW()-1,60),ROW()-1,FALSE))</f>
        <v/>
      </c>
      <c r="BJ404" t="str">
        <f ca="1">IF(AND(ISNUMBER($BJ$903),$B$511=1),$BJ$903,HLOOKUP(INDIRECT(ADDRESS(2,COLUMN())),OFFSET($BN$2,0,0,ROW()-1,60),ROW()-1,FALSE))</f>
        <v/>
      </c>
      <c r="BK404" t="str">
        <f ca="1">IF(AND(ISNUMBER($BK$903),$B$511=1),$BK$903,HLOOKUP(INDIRECT(ADDRESS(2,COLUMN())),OFFSET($BN$2,0,0,ROW()-1,60),ROW()-1,FALSE))</f>
        <v/>
      </c>
      <c r="BL404" t="str">
        <f ca="1">IF(AND(ISNUMBER($BL$903),$B$511=1),$BL$903,HLOOKUP(INDIRECT(ADDRESS(2,COLUMN())),OFFSET($BN$2,0,0,ROW()-1,60),ROW()-1,FALSE))</f>
        <v/>
      </c>
      <c r="BM404" t="str">
        <f ca="1">IF(AND(ISNUMBER($BM$903),$B$511=1),$BM$903,HLOOKUP(INDIRECT(ADDRESS(2,COLUMN())),OFFSET($BN$2,0,0,ROW()-1,60),ROW()-1,FALSE))</f>
        <v/>
      </c>
      <c r="BN404" t="str">
        <f>""</f>
        <v/>
      </c>
      <c r="BO404">
        <f>535.4053029</f>
        <v>535.40530290000004</v>
      </c>
      <c r="BP404">
        <f>618.6251043</f>
        <v>618.62510429999998</v>
      </c>
      <c r="BQ404">
        <f>674.645241</f>
        <v>674.64524100000006</v>
      </c>
      <c r="BR404">
        <f>676.6827732</f>
        <v>676.68277320000004</v>
      </c>
      <c r="BS404">
        <f>677.5899886</f>
        <v>677.58998859999997</v>
      </c>
      <c r="BT404">
        <f>735.8922686</f>
        <v>735.89226859999997</v>
      </c>
      <c r="BU404">
        <f>834.5142339</f>
        <v>834.51423390000002</v>
      </c>
      <c r="BV404">
        <f>994.1684244</f>
        <v>994.16842440000005</v>
      </c>
      <c r="BW404">
        <f>860.7329683</f>
        <v>860.73296830000004</v>
      </c>
      <c r="BX404">
        <f>1080.553238</f>
        <v>1080.553238</v>
      </c>
      <c r="BY404">
        <f>861.5313159</f>
        <v>861.53131589999998</v>
      </c>
      <c r="BZ404">
        <f>1107.538979</f>
        <v>1107.5389789999999</v>
      </c>
      <c r="CA404">
        <f>896.5509186</f>
        <v>896.55091860000005</v>
      </c>
      <c r="CB404">
        <f>1112.058744</f>
        <v>1112.0587439999999</v>
      </c>
      <c r="CC404">
        <f>1135.405952</f>
        <v>1135.4059520000001</v>
      </c>
      <c r="CD404">
        <f>1098.463842</f>
        <v>1098.4638420000001</v>
      </c>
      <c r="CE404">
        <f>1129.451947</f>
        <v>1129.451947</v>
      </c>
      <c r="CF404">
        <f>856.6167718</f>
        <v>856.61677180000004</v>
      </c>
      <c r="CG404">
        <f>1083.221084</f>
        <v>1083.221084</v>
      </c>
      <c r="CH404">
        <f>946.700677</f>
        <v>946.70067700000004</v>
      </c>
      <c r="CI404">
        <f>773.6812034</f>
        <v>773.68120339999996</v>
      </c>
      <c r="CJ404">
        <f>989.0851222</f>
        <v>989.0851222</v>
      </c>
      <c r="CK404">
        <f>788.9737897</f>
        <v>788.9737897</v>
      </c>
      <c r="CL404">
        <f>517.999805</f>
        <v>517.99980500000004</v>
      </c>
      <c r="CM404">
        <f>537.0253849</f>
        <v>537.02538489999995</v>
      </c>
      <c r="CN404" t="str">
        <f>""</f>
        <v/>
      </c>
      <c r="CO404" t="str">
        <f>""</f>
        <v/>
      </c>
      <c r="CP404" t="str">
        <f>""</f>
        <v/>
      </c>
      <c r="CQ404" t="str">
        <f>""</f>
        <v/>
      </c>
      <c r="CR404" t="str">
        <f>""</f>
        <v/>
      </c>
      <c r="CS404" t="str">
        <f>""</f>
        <v/>
      </c>
      <c r="CT404" t="str">
        <f>""</f>
        <v/>
      </c>
      <c r="CU404" t="str">
        <f>""</f>
        <v/>
      </c>
      <c r="CV404" t="str">
        <f>""</f>
        <v/>
      </c>
      <c r="CW404" t="str">
        <f>""</f>
        <v/>
      </c>
      <c r="CX404" t="str">
        <f>""</f>
        <v/>
      </c>
      <c r="CY404" t="str">
        <f>""</f>
        <v/>
      </c>
      <c r="CZ404" t="str">
        <f>""</f>
        <v/>
      </c>
      <c r="DA404" t="str">
        <f>""</f>
        <v/>
      </c>
      <c r="DB404" t="str">
        <f>""</f>
        <v/>
      </c>
      <c r="DC404" t="str">
        <f>""</f>
        <v/>
      </c>
      <c r="DD404" t="str">
        <f>""</f>
        <v/>
      </c>
      <c r="DE404" t="str">
        <f>""</f>
        <v/>
      </c>
      <c r="DF404" t="str">
        <f>""</f>
        <v/>
      </c>
      <c r="DG404" t="str">
        <f>""</f>
        <v/>
      </c>
      <c r="DH404" t="str">
        <f>""</f>
        <v/>
      </c>
      <c r="DI404" t="str">
        <f>""</f>
        <v/>
      </c>
      <c r="DJ404" t="str">
        <f>""</f>
        <v/>
      </c>
      <c r="DK404" t="str">
        <f>""</f>
        <v/>
      </c>
      <c r="DL404" t="str">
        <f>""</f>
        <v/>
      </c>
      <c r="DM404" t="str">
        <f>""</f>
        <v/>
      </c>
      <c r="DN404" t="str">
        <f>""</f>
        <v/>
      </c>
      <c r="DO404" t="str">
        <f>""</f>
        <v/>
      </c>
      <c r="DP404" t="str">
        <f>""</f>
        <v/>
      </c>
      <c r="DQ404" t="str">
        <f>""</f>
        <v/>
      </c>
      <c r="DR404" t="str">
        <f>""</f>
        <v/>
      </c>
      <c r="DS404" t="str">
        <f>""</f>
        <v/>
      </c>
      <c r="DT404" t="str">
        <f>""</f>
        <v/>
      </c>
      <c r="DU404" t="str">
        <f>""</f>
        <v/>
      </c>
    </row>
    <row r="405" spans="1:125" x14ac:dyDescent="0.25">
      <c r="A405" t="str">
        <f>"    Subaru Corp"</f>
        <v xml:space="preserve">    Subaru Corp</v>
      </c>
      <c r="B405" t="str">
        <f>"7270 JP Equity"</f>
        <v>7270 JP Equity</v>
      </c>
      <c r="C405" t="str">
        <f t="shared" si="27"/>
        <v>RR937</v>
      </c>
      <c r="D405" t="str">
        <f t="shared" si="28"/>
        <v>CRNCY_ADJ_CURR_EV</v>
      </c>
      <c r="E405" t="str">
        <f t="shared" si="29"/>
        <v>Dynamic</v>
      </c>
      <c r="F405">
        <f ca="1">IF(AND(ISNUMBER($F$904),$B$511=1),$F$904,HLOOKUP(INDIRECT(ADDRESS(2,COLUMN())),OFFSET($BN$2,0,0,ROW()-1,60),ROW()-1,FALSE))</f>
        <v>12383.36794</v>
      </c>
      <c r="G405">
        <f ca="1">IF(AND(ISNUMBER($G$904),$B$511=1),$G$904,HLOOKUP(INDIRECT(ADDRESS(2,COLUMN())),OFFSET($BN$2,0,0,ROW()-1,60),ROW()-1,FALSE))</f>
        <v>9071.4795790000007</v>
      </c>
      <c r="H405">
        <f ca="1">IF(AND(ISNUMBER($H$904),$B$511=1),$H$904,HLOOKUP(INDIRECT(ADDRESS(2,COLUMN())),OFFSET($BN$2,0,0,ROW()-1,60),ROW()-1,FALSE))</f>
        <v>15881.462890000001</v>
      </c>
      <c r="I405">
        <f ca="1">IF(AND(ISNUMBER($I$904),$B$511=1),$I$904,HLOOKUP(INDIRECT(ADDRESS(2,COLUMN())),OFFSET($BN$2,0,0,ROW()-1,60),ROW()-1,FALSE))</f>
        <v>14469.048479999999</v>
      </c>
      <c r="J405">
        <f ca="1">IF(AND(ISNUMBER($J$904),$B$511=1),$J$904,HLOOKUP(INDIRECT(ADDRESS(2,COLUMN())),OFFSET($BN$2,0,0,ROW()-1,60),ROW()-1,FALSE))</f>
        <v>16700.82159</v>
      </c>
      <c r="K405">
        <f ca="1">IF(AND(ISNUMBER($K$904),$B$511=1),$K$904,HLOOKUP(INDIRECT(ADDRESS(2,COLUMN())),OFFSET($BN$2,0,0,ROW()-1,60),ROW()-1,FALSE))</f>
        <v>16805.250960000001</v>
      </c>
      <c r="L405">
        <f ca="1">IF(AND(ISNUMBER($L$904),$B$511=1),$L$904,HLOOKUP(INDIRECT(ADDRESS(2,COLUMN())),OFFSET($BN$2,0,0,ROW()-1,60),ROW()-1,FALSE))</f>
        <v>19731.62</v>
      </c>
      <c r="M405">
        <f ca="1">IF(AND(ISNUMBER($M$904),$B$511=1),$M$904,HLOOKUP(INDIRECT(ADDRESS(2,COLUMN())),OFFSET($BN$2,0,0,ROW()-1,60),ROW()-1,FALSE))</f>
        <v>18083.996169999999</v>
      </c>
      <c r="N405">
        <f ca="1">IF(AND(ISNUMBER($N$904),$B$511=1),$N$904,HLOOKUP(INDIRECT(ADDRESS(2,COLUMN())),OFFSET($BN$2,0,0,ROW()-1,60),ROW()-1,FALSE))</f>
        <v>20857.525949999999</v>
      </c>
      <c r="O405">
        <f ca="1">IF(AND(ISNUMBER($O$904),$B$511=1),$O$904,HLOOKUP(INDIRECT(ADDRESS(2,COLUMN())),OFFSET($BN$2,0,0,ROW()-1,60),ROW()-1,FALSE))</f>
        <v>25009.86292</v>
      </c>
      <c r="P405">
        <f ca="1">IF(AND(ISNUMBER($P$904),$B$511=1),$P$904,HLOOKUP(INDIRECT(ADDRESS(2,COLUMN())),OFFSET($BN$2,0,0,ROW()-1,60),ROW()-1,FALSE))</f>
        <v>20392.305209999999</v>
      </c>
      <c r="Q405">
        <f ca="1">IF(AND(ISNUMBER($Q$904),$B$511=1),$Q$904,HLOOKUP(INDIRECT(ADDRESS(2,COLUMN())),OFFSET($BN$2,0,0,ROW()-1,60),ROW()-1,FALSE))</f>
        <v>18892.55168</v>
      </c>
      <c r="R405">
        <f ca="1">IF(AND(ISNUMBER($R$904),$B$511=1),$R$904,HLOOKUP(INDIRECT(ADDRESS(2,COLUMN())),OFFSET($BN$2,0,0,ROW()-1,60),ROW()-1,FALSE))</f>
        <v>20308.584289999999</v>
      </c>
      <c r="S405">
        <f ca="1">IF(AND(ISNUMBER($S$904),$B$511=1),$S$904,HLOOKUP(INDIRECT(ADDRESS(2,COLUMN())),OFFSET($BN$2,0,0,ROW()-1,60),ROW()-1,FALSE))</f>
        <v>26815.368559999999</v>
      </c>
      <c r="T405">
        <f ca="1">IF(AND(ISNUMBER($T$904),$B$511=1),$T$904,HLOOKUP(INDIRECT(ADDRESS(2,COLUMN())),OFFSET($BN$2,0,0,ROW()-1,60),ROW()-1,FALSE))</f>
        <v>22615.387419999999</v>
      </c>
      <c r="U405">
        <f ca="1">IF(AND(ISNUMBER($U$904),$B$511=1),$U$904,HLOOKUP(INDIRECT(ADDRESS(2,COLUMN())),OFFSET($BN$2,0,0,ROW()-1,60),ROW()-1,FALSE))</f>
        <v>24610.950110000002</v>
      </c>
      <c r="V405">
        <f ca="1">IF(AND(ISNUMBER($V$904),$B$511=1),$V$904,HLOOKUP(INDIRECT(ADDRESS(2,COLUMN())),OFFSET($BN$2,0,0,ROW()-1,60),ROW()-1,FALSE))</f>
        <v>22339.888169999998</v>
      </c>
      <c r="W405">
        <f ca="1">IF(AND(ISNUMBER($W$904),$B$511=1),$W$904,HLOOKUP(INDIRECT(ADDRESS(2,COLUMN())),OFFSET($BN$2,0,0,ROW()-1,60),ROW()-1,FALSE))</f>
        <v>25070.560290000001</v>
      </c>
      <c r="X405">
        <f ca="1">IF(AND(ISNUMBER($X$904),$B$511=1),$X$904,HLOOKUP(INDIRECT(ADDRESS(2,COLUMN())),OFFSET($BN$2,0,0,ROW()-1,60),ROW()-1,FALSE))</f>
        <v>22517.50459</v>
      </c>
      <c r="Y405">
        <f ca="1">IF(AND(ISNUMBER($Y$904),$B$511=1),$Y$904,HLOOKUP(INDIRECT(ADDRESS(2,COLUMN())),OFFSET($BN$2,0,0,ROW()-1,60),ROW()-1,FALSE))</f>
        <v>19047.336309999999</v>
      </c>
      <c r="Z405">
        <f ca="1">IF(AND(ISNUMBER($Z$904),$B$511=1),$Z$904,HLOOKUP(INDIRECT(ADDRESS(2,COLUMN())),OFFSET($BN$2,0,0,ROW()-1,60),ROW()-1,FALSE))</f>
        <v>18241.471219999999</v>
      </c>
      <c r="AA405">
        <f ca="1">IF(AND(ISNUMBER($AA$904),$B$511=1),$AA$904,HLOOKUP(INDIRECT(ADDRESS(2,COLUMN())),OFFSET($BN$2,0,0,ROW()-1,60),ROW()-1,FALSE))</f>
        <v>20136.224989999999</v>
      </c>
      <c r="AB405">
        <f ca="1">IF(AND(ISNUMBER($AB$904),$B$511=1),$AB$904,HLOOKUP(INDIRECT(ADDRESS(2,COLUMN())),OFFSET($BN$2,0,0,ROW()-1,60),ROW()-1,FALSE))</f>
        <v>20011.90754</v>
      </c>
      <c r="AC405">
        <f ca="1">IF(AND(ISNUMBER($AC$904),$B$511=1),$AC$904,HLOOKUP(INDIRECT(ADDRESS(2,COLUMN())),OFFSET($BN$2,0,0,ROW()-1,60),ROW()-1,FALSE))</f>
        <v>18348.94785</v>
      </c>
      <c r="AD405">
        <f ca="1">IF(AND(ISNUMBER($AD$904),$B$511=1),$AD$904,HLOOKUP(INDIRECT(ADDRESS(2,COLUMN())),OFFSET($BN$2,0,0,ROW()-1,60),ROW()-1,FALSE))</f>
        <v>11737.190490000001</v>
      </c>
      <c r="AE405">
        <f ca="1">IF(AND(ISNUMBER($AE$904),$B$511=1),$AE$904,HLOOKUP(INDIRECT(ADDRESS(2,COLUMN())),OFFSET($BN$2,0,0,ROW()-1,60),ROW()-1,FALSE))</f>
        <v>9806.5022609999996</v>
      </c>
      <c r="AF405">
        <f ca="1">IF(AND(ISNUMBER($AF$904),$B$511=1),$AF$904,HLOOKUP(INDIRECT(ADDRESS(2,COLUMN())),OFFSET($BN$2,0,0,ROW()-1,60),ROW()-1,FALSE))</f>
        <v>6442.8016799999996</v>
      </c>
      <c r="AG405">
        <f ca="1">IF(AND(ISNUMBER($AG$904),$B$511=1),$AG$904,HLOOKUP(INDIRECT(ADDRESS(2,COLUMN())),OFFSET($BN$2,0,0,ROW()-1,60),ROW()-1,FALSE))</f>
        <v>6816.5110519999998</v>
      </c>
      <c r="AH405">
        <f ca="1">IF(AND(ISNUMBER($AH$904),$B$511=1),$AH$904,HLOOKUP(INDIRECT(ADDRESS(2,COLUMN())),OFFSET($BN$2,0,0,ROW()-1,60),ROW()-1,FALSE))</f>
        <v>7251.6135459999996</v>
      </c>
      <c r="AI405">
        <f ca="1">IF(AND(ISNUMBER($AI$904),$B$511=1),$AI$904,HLOOKUP(INDIRECT(ADDRESS(2,COLUMN())),OFFSET($BN$2,0,0,ROW()-1,60),ROW()-1,FALSE))</f>
        <v>6223.946567</v>
      </c>
      <c r="AJ405">
        <f ca="1">IF(AND(ISNUMBER($AJ$904),$B$511=1),$AJ$904,HLOOKUP(INDIRECT(ADDRESS(2,COLUMN())),OFFSET($BN$2,0,0,ROW()-1,60),ROW()-1,FALSE))</f>
        <v>6073.3417790000003</v>
      </c>
      <c r="AK405">
        <f ca="1">IF(AND(ISNUMBER($AK$904),$B$511=1),$AK$904,HLOOKUP(INDIRECT(ADDRESS(2,COLUMN())),OFFSET($BN$2,0,0,ROW()-1,60),ROW()-1,FALSE))</f>
        <v>7243.3405839999996</v>
      </c>
      <c r="AL405">
        <f ca="1">IF(AND(ISNUMBER($AL$904),$B$511=1),$AL$904,HLOOKUP(INDIRECT(ADDRESS(2,COLUMN())),OFFSET($BN$2,0,0,ROW()-1,60),ROW()-1,FALSE))</f>
        <v>6320.9834609999998</v>
      </c>
      <c r="AM405">
        <f ca="1">IF(AND(ISNUMBER($AM$904),$B$511=1),$AM$904,HLOOKUP(INDIRECT(ADDRESS(2,COLUMN())),OFFSET($BN$2,0,0,ROW()-1,60),ROW()-1,FALSE))</f>
        <v>8017.36535</v>
      </c>
      <c r="AN405">
        <f ca="1">IF(AND(ISNUMBER($AN$904),$B$511=1),$AN$904,HLOOKUP(INDIRECT(ADDRESS(2,COLUMN())),OFFSET($BN$2,0,0,ROW()-1,60),ROW()-1,FALSE))</f>
        <v>6586.9230399999997</v>
      </c>
      <c r="AO405">
        <f ca="1">IF(AND(ISNUMBER($AO$904),$B$511=1),$AO$904,HLOOKUP(INDIRECT(ADDRESS(2,COLUMN())),OFFSET($BN$2,0,0,ROW()-1,60),ROW()-1,FALSE))</f>
        <v>6132.384016</v>
      </c>
      <c r="AP405">
        <f ca="1">IF(AND(ISNUMBER($AP$904),$B$511=1),$AP$904,HLOOKUP(INDIRECT(ADDRESS(2,COLUMN())),OFFSET($BN$2,0,0,ROW()-1,60),ROW()-1,FALSE))</f>
        <v>6126.8411740000001</v>
      </c>
      <c r="AQ405">
        <f ca="1">IF(AND(ISNUMBER($AQ$904),$B$511=1),$AQ$904,HLOOKUP(INDIRECT(ADDRESS(2,COLUMN())),OFFSET($BN$2,0,0,ROW()-1,60),ROW()-1,FALSE))</f>
        <v>6358.7854799999996</v>
      </c>
      <c r="AR405">
        <f ca="1">IF(AND(ISNUMBER($AR$904),$B$511=1),$AR$904,HLOOKUP(INDIRECT(ADDRESS(2,COLUMN())),OFFSET($BN$2,0,0,ROW()-1,60),ROW()-1,FALSE))</f>
        <v>5579.4509200000002</v>
      </c>
      <c r="AS405">
        <f ca="1">IF(AND(ISNUMBER($AS$904),$B$511=1),$AS$904,HLOOKUP(INDIRECT(ADDRESS(2,COLUMN())),OFFSET($BN$2,0,0,ROW()-1,60),ROW()-1,FALSE))</f>
        <v>6037.0278390000003</v>
      </c>
      <c r="AT405">
        <f ca="1">IF(AND(ISNUMBER($AT$904),$B$511=1),$AT$904,HLOOKUP(INDIRECT(ADDRESS(2,COLUMN())),OFFSET($BN$2,0,0,ROW()-1,60),ROW()-1,FALSE))</f>
        <v>5534.8543769999997</v>
      </c>
      <c r="AU405">
        <f ca="1">IF(AND(ISNUMBER($AU$904),$B$511=1),$AU$904,HLOOKUP(INDIRECT(ADDRESS(2,COLUMN())),OFFSET($BN$2,0,0,ROW()-1,60),ROW()-1,FALSE))</f>
        <v>4509.3869400000003</v>
      </c>
      <c r="AV405">
        <f ca="1">IF(AND(ISNUMBER($AV$904),$B$511=1),$AV$904,HLOOKUP(INDIRECT(ADDRESS(2,COLUMN())),OFFSET($BN$2,0,0,ROW()-1,60),ROW()-1,FALSE))</f>
        <v>5635.8609409999999</v>
      </c>
      <c r="AW405">
        <f ca="1">IF(AND(ISNUMBER($AW$904),$B$511=1),$AW$904,HLOOKUP(INDIRECT(ADDRESS(2,COLUMN())),OFFSET($BN$2,0,0,ROW()-1,60),ROW()-1,FALSE))</f>
        <v>6009.7768859999996</v>
      </c>
      <c r="AX405">
        <f ca="1">IF(AND(ISNUMBER($AX$904),$B$511=1),$AX$904,HLOOKUP(INDIRECT(ADDRESS(2,COLUMN())),OFFSET($BN$2,0,0,ROW()-1,60),ROW()-1,FALSE))</f>
        <v>5329.4615640000002</v>
      </c>
      <c r="AY405">
        <f ca="1">IF(AND(ISNUMBER($AY$904),$B$511=1),$AY$904,HLOOKUP(INDIRECT(ADDRESS(2,COLUMN())),OFFSET($BN$2,0,0,ROW()-1,60),ROW()-1,FALSE))</f>
        <v>5984.432084</v>
      </c>
      <c r="AZ405">
        <f ca="1">IF(AND(ISNUMBER($AZ$904),$B$511=1),$AZ$904,HLOOKUP(INDIRECT(ADDRESS(2,COLUMN())),OFFSET($BN$2,0,0,ROW()-1,60),ROW()-1,FALSE))</f>
        <v>5573.146522</v>
      </c>
      <c r="BA405">
        <f ca="1">IF(AND(ISNUMBER($BA$904),$B$511=1),$BA$904,HLOOKUP(INDIRECT(ADDRESS(2,COLUMN())),OFFSET($BN$2,0,0,ROW()-1,60),ROW()-1,FALSE))</f>
        <v>6081.4360889999998</v>
      </c>
      <c r="BB405">
        <f ca="1">IF(AND(ISNUMBER($BB$904),$B$511=1),$BB$904,HLOOKUP(INDIRECT(ADDRESS(2,COLUMN())),OFFSET($BN$2,0,0,ROW()-1,60),ROW()-1,FALSE))</f>
        <v>6295.125943</v>
      </c>
      <c r="BC405">
        <f ca="1">IF(AND(ISNUMBER($BC$904),$B$511=1),$BC$904,HLOOKUP(INDIRECT(ADDRESS(2,COLUMN())),OFFSET($BN$2,0,0,ROW()-1,60),ROW()-1,FALSE))</f>
        <v>6591.971732</v>
      </c>
      <c r="BD405">
        <f ca="1">IF(AND(ISNUMBER($BD$904),$B$511=1),$BD$904,HLOOKUP(INDIRECT(ADDRESS(2,COLUMN())),OFFSET($BN$2,0,0,ROW()-1,60),ROW()-1,FALSE))</f>
        <v>6909.9119360000004</v>
      </c>
      <c r="BE405">
        <f ca="1">IF(AND(ISNUMBER($BE$904),$B$511=1),$BE$904,HLOOKUP(INDIRECT(ADDRESS(2,COLUMN())),OFFSET($BN$2,0,0,ROW()-1,60),ROW()-1,FALSE))</f>
        <v>7151.8669460000001</v>
      </c>
      <c r="BF405">
        <f ca="1">IF(AND(ISNUMBER($BF$904),$B$511=1),$BF$904,HLOOKUP(INDIRECT(ADDRESS(2,COLUMN())),OFFSET($BN$2,0,0,ROW()-1,60),ROW()-1,FALSE))</f>
        <v>6937.1755089999997</v>
      </c>
      <c r="BG405">
        <f ca="1">IF(AND(ISNUMBER($BG$904),$B$511=1),$BG$904,HLOOKUP(INDIRECT(ADDRESS(2,COLUMN())),OFFSET($BN$2,0,0,ROW()-1,60),ROW()-1,FALSE))</f>
        <v>6874.1214</v>
      </c>
      <c r="BH405">
        <f ca="1">IF(AND(ISNUMBER($BH$904),$B$511=1),$BH$904,HLOOKUP(INDIRECT(ADDRESS(2,COLUMN())),OFFSET($BN$2,0,0,ROW()-1,60),ROW()-1,FALSE))</f>
        <v>5886.0703329999997</v>
      </c>
      <c r="BI405">
        <f ca="1">IF(AND(ISNUMBER($BI$904),$B$511=1),$BI$904,HLOOKUP(INDIRECT(ADDRESS(2,COLUMN())),OFFSET($BN$2,0,0,ROW()-1,60),ROW()-1,FALSE))</f>
        <v>5770.7021729999997</v>
      </c>
      <c r="BJ405">
        <f ca="1">IF(AND(ISNUMBER($BJ$904),$B$511=1),$BJ$904,HLOOKUP(INDIRECT(ADDRESS(2,COLUMN())),OFFSET($BN$2,0,0,ROW()-1,60),ROW()-1,FALSE))</f>
        <v>6512.4409580000001</v>
      </c>
      <c r="BK405">
        <f ca="1">IF(AND(ISNUMBER($BK$904),$B$511=1),$BK$904,HLOOKUP(INDIRECT(ADDRESS(2,COLUMN())),OFFSET($BN$2,0,0,ROW()-1,60),ROW()-1,FALSE))</f>
        <v>6473.7980770000004</v>
      </c>
      <c r="BL405">
        <f ca="1">IF(AND(ISNUMBER($BL$904),$B$511=1),$BL$904,HLOOKUP(INDIRECT(ADDRESS(2,COLUMN())),OFFSET($BN$2,0,0,ROW()-1,60),ROW()-1,FALSE))</f>
        <v>6209.1625720000002</v>
      </c>
      <c r="BM405">
        <f ca="1">IF(AND(ISNUMBER($BM$904),$B$511=1),$BM$904,HLOOKUP(INDIRECT(ADDRESS(2,COLUMN())),OFFSET($BN$2,0,0,ROW()-1,60),ROW()-1,FALSE))</f>
        <v>6659.2562829999997</v>
      </c>
      <c r="BN405">
        <f>12383.36794</f>
        <v>12383.36794</v>
      </c>
      <c r="BO405">
        <f>9071.479579</f>
        <v>9071.4795790000007</v>
      </c>
      <c r="BP405">
        <f>15881.46289</f>
        <v>15881.462890000001</v>
      </c>
      <c r="BQ405">
        <f>14469.04848</f>
        <v>14469.048479999999</v>
      </c>
      <c r="BR405">
        <f>16700.82159</f>
        <v>16700.82159</v>
      </c>
      <c r="BS405">
        <f>16805.25096</f>
        <v>16805.250960000001</v>
      </c>
      <c r="BT405">
        <f>19731.62</f>
        <v>19731.62</v>
      </c>
      <c r="BU405">
        <f>18083.99617</f>
        <v>18083.996169999999</v>
      </c>
      <c r="BV405">
        <f>20857.52595</f>
        <v>20857.525949999999</v>
      </c>
      <c r="BW405">
        <f>25009.86292</f>
        <v>25009.86292</v>
      </c>
      <c r="BX405">
        <f>20392.30521</f>
        <v>20392.305209999999</v>
      </c>
      <c r="BY405">
        <f>18892.55168</f>
        <v>18892.55168</v>
      </c>
      <c r="BZ405">
        <f>20308.58429</f>
        <v>20308.584289999999</v>
      </c>
      <c r="CA405">
        <f>26815.36856</f>
        <v>26815.368559999999</v>
      </c>
      <c r="CB405">
        <f>22615.38742</f>
        <v>22615.387419999999</v>
      </c>
      <c r="CC405">
        <f>24610.95011</f>
        <v>24610.950110000002</v>
      </c>
      <c r="CD405">
        <f>22339.88817</f>
        <v>22339.888169999998</v>
      </c>
      <c r="CE405">
        <f>25070.56029</f>
        <v>25070.560290000001</v>
      </c>
      <c r="CF405">
        <f>22517.50459</f>
        <v>22517.50459</v>
      </c>
      <c r="CG405">
        <f>19047.33631</f>
        <v>19047.336309999999</v>
      </c>
      <c r="CH405">
        <f>18241.47122</f>
        <v>18241.471219999999</v>
      </c>
      <c r="CI405">
        <f>20136.22499</f>
        <v>20136.224989999999</v>
      </c>
      <c r="CJ405">
        <f>20011.90754</f>
        <v>20011.90754</v>
      </c>
      <c r="CK405">
        <f>18348.94785</f>
        <v>18348.94785</v>
      </c>
      <c r="CL405">
        <f>11737.19049</f>
        <v>11737.190490000001</v>
      </c>
      <c r="CM405">
        <f>9806.502261</f>
        <v>9806.5022609999996</v>
      </c>
      <c r="CN405">
        <f>6442.80168</f>
        <v>6442.8016799999996</v>
      </c>
      <c r="CO405">
        <f>6816.511052</f>
        <v>6816.5110519999998</v>
      </c>
      <c r="CP405">
        <f>7251.613546</f>
        <v>7251.6135459999996</v>
      </c>
      <c r="CQ405">
        <f>6223.946567</f>
        <v>6223.946567</v>
      </c>
      <c r="CR405">
        <f>6073.341779</f>
        <v>6073.3417790000003</v>
      </c>
      <c r="CS405">
        <f>7243.340584</f>
        <v>7243.3405839999996</v>
      </c>
      <c r="CT405">
        <f>6320.983461</f>
        <v>6320.9834609999998</v>
      </c>
      <c r="CU405">
        <f>8017.36535</f>
        <v>8017.36535</v>
      </c>
      <c r="CV405">
        <f>6586.92304</f>
        <v>6586.9230399999997</v>
      </c>
      <c r="CW405">
        <f>6132.384016</f>
        <v>6132.384016</v>
      </c>
      <c r="CX405">
        <f>6126.841174</f>
        <v>6126.8411740000001</v>
      </c>
      <c r="CY405">
        <f>6358.78548</f>
        <v>6358.7854799999996</v>
      </c>
      <c r="CZ405">
        <f>5579.45092</f>
        <v>5579.4509200000002</v>
      </c>
      <c r="DA405">
        <f>6037.027839</f>
        <v>6037.0278390000003</v>
      </c>
      <c r="DB405">
        <f>5534.854377</f>
        <v>5534.8543769999997</v>
      </c>
      <c r="DC405">
        <f>4509.38694</f>
        <v>4509.3869400000003</v>
      </c>
      <c r="DD405">
        <f>5635.860941</f>
        <v>5635.8609409999999</v>
      </c>
      <c r="DE405">
        <f>6009.776886</f>
        <v>6009.7768859999996</v>
      </c>
      <c r="DF405">
        <f>5329.461564</f>
        <v>5329.4615640000002</v>
      </c>
      <c r="DG405">
        <f>5984.432084</f>
        <v>5984.432084</v>
      </c>
      <c r="DH405">
        <f>5573.146522</f>
        <v>5573.146522</v>
      </c>
      <c r="DI405">
        <f>6081.436089</f>
        <v>6081.4360889999998</v>
      </c>
      <c r="DJ405">
        <f>6295.125943</f>
        <v>6295.125943</v>
      </c>
      <c r="DK405">
        <f>6591.971732</f>
        <v>6591.971732</v>
      </c>
      <c r="DL405">
        <f>6909.911936</f>
        <v>6909.9119360000004</v>
      </c>
      <c r="DM405">
        <f>7151.866946</f>
        <v>7151.8669460000001</v>
      </c>
      <c r="DN405">
        <f>6937.175509</f>
        <v>6937.1755089999997</v>
      </c>
      <c r="DO405">
        <f>6874.1214</f>
        <v>6874.1214</v>
      </c>
      <c r="DP405">
        <f>5886.070333</f>
        <v>5886.0703329999997</v>
      </c>
      <c r="DQ405">
        <f>5770.702173</f>
        <v>5770.7021729999997</v>
      </c>
      <c r="DR405">
        <f>6512.440958</f>
        <v>6512.4409580000001</v>
      </c>
      <c r="DS405">
        <f>6473.798077</f>
        <v>6473.7980770000004</v>
      </c>
      <c r="DT405">
        <f>6209.162572</f>
        <v>6209.1625720000002</v>
      </c>
      <c r="DU405">
        <f>6659.256283</f>
        <v>6659.2562829999997</v>
      </c>
    </row>
    <row r="406" spans="1:125" x14ac:dyDescent="0.25">
      <c r="A406" t="str">
        <f>"    Suzuki Motor Corp"</f>
        <v xml:space="preserve">    Suzuki Motor Corp</v>
      </c>
      <c r="B406" t="str">
        <f>"7269 JP Equity"</f>
        <v>7269 JP Equity</v>
      </c>
      <c r="C406" t="str">
        <f t="shared" si="27"/>
        <v>RR937</v>
      </c>
      <c r="D406" t="str">
        <f t="shared" si="28"/>
        <v>CRNCY_ADJ_CURR_EV</v>
      </c>
      <c r="E406" t="str">
        <f t="shared" si="29"/>
        <v>Dynamic</v>
      </c>
      <c r="F406">
        <f ca="1">IF(AND(ISNUMBER($F$905),$B$511=1),$F$905,HLOOKUP(INDIRECT(ADDRESS(2,COLUMN())),OFFSET($BN$2,0,0,ROW()-1,60),ROW()-1,FALSE))</f>
        <v>26085.12645</v>
      </c>
      <c r="G406">
        <f ca="1">IF(AND(ISNUMBER($G$905),$B$511=1),$G$905,HLOOKUP(INDIRECT(ADDRESS(2,COLUMN())),OFFSET($BN$2,0,0,ROW()-1,60),ROW()-1,FALSE))</f>
        <v>25274.280770000001</v>
      </c>
      <c r="H406">
        <f ca="1">IF(AND(ISNUMBER($H$905),$B$511=1),$H$905,HLOOKUP(INDIRECT(ADDRESS(2,COLUMN())),OFFSET($BN$2,0,0,ROW()-1,60),ROW()-1,FALSE))</f>
        <v>27592.665580000001</v>
      </c>
      <c r="I406">
        <f ca="1">IF(AND(ISNUMBER($I$905),$B$511=1),$I$905,HLOOKUP(INDIRECT(ADDRESS(2,COLUMN())),OFFSET($BN$2,0,0,ROW()-1,60),ROW()-1,FALSE))</f>
        <v>26859.096730000001</v>
      </c>
      <c r="J406">
        <f ca="1">IF(AND(ISNUMBER($J$905),$B$511=1),$J$905,HLOOKUP(INDIRECT(ADDRESS(2,COLUMN())),OFFSET($BN$2,0,0,ROW()-1,60),ROW()-1,FALSE))</f>
        <v>25938.00332</v>
      </c>
      <c r="K406">
        <f ca="1">IF(AND(ISNUMBER($K$905),$B$511=1),$K$905,HLOOKUP(INDIRECT(ADDRESS(2,COLUMN())),OFFSET($BN$2,0,0,ROW()-1,60),ROW()-1,FALSE))</f>
        <v>27880.300810000001</v>
      </c>
      <c r="L406">
        <f ca="1">IF(AND(ISNUMBER($L$905),$B$511=1),$L$905,HLOOKUP(INDIRECT(ADDRESS(2,COLUMN())),OFFSET($BN$2,0,0,ROW()-1,60),ROW()-1,FALSE))</f>
        <v>24482.36393</v>
      </c>
      <c r="M406">
        <f ca="1">IF(AND(ISNUMBER($M$905),$B$511=1),$M$905,HLOOKUP(INDIRECT(ADDRESS(2,COLUMN())),OFFSET($BN$2,0,0,ROW()-1,60),ROW()-1,FALSE))</f>
        <v>22458.415669999998</v>
      </c>
      <c r="N406">
        <f ca="1">IF(AND(ISNUMBER($N$905),$B$511=1),$N$905,HLOOKUP(INDIRECT(ADDRESS(2,COLUMN())),OFFSET($BN$2,0,0,ROW()-1,60),ROW()-1,FALSE))</f>
        <v>19370.883119999999</v>
      </c>
      <c r="O406">
        <f ca="1">IF(AND(ISNUMBER($O$905),$B$511=1),$O$905,HLOOKUP(INDIRECT(ADDRESS(2,COLUMN())),OFFSET($BN$2,0,0,ROW()-1,60),ROW()-1,FALSE))</f>
        <v>16717.043900000001</v>
      </c>
      <c r="P406">
        <f ca="1">IF(AND(ISNUMBER($P$905),$B$511=1),$P$905,HLOOKUP(INDIRECT(ADDRESS(2,COLUMN())),OFFSET($BN$2,0,0,ROW()-1,60),ROW()-1,FALSE))</f>
        <v>14773.09475</v>
      </c>
      <c r="Q406">
        <f ca="1">IF(AND(ISNUMBER($Q$905),$B$511=1),$Q$905,HLOOKUP(INDIRECT(ADDRESS(2,COLUMN())),OFFSET($BN$2,0,0,ROW()-1,60),ROW()-1,FALSE))</f>
        <v>12375.448200000001</v>
      </c>
      <c r="R406">
        <f ca="1">IF(AND(ISNUMBER($R$905),$B$511=1),$R$905,HLOOKUP(INDIRECT(ADDRESS(2,COLUMN())),OFFSET($BN$2,0,0,ROW()-1,60),ROW()-1,FALSE))</f>
        <v>13090.684440000001</v>
      </c>
      <c r="S406">
        <f ca="1">IF(AND(ISNUMBER($S$905),$B$511=1),$S$905,HLOOKUP(INDIRECT(ADDRESS(2,COLUMN())),OFFSET($BN$2,0,0,ROW()-1,60),ROW()-1,FALSE))</f>
        <v>17420.563470000001</v>
      </c>
      <c r="T406">
        <f ca="1">IF(AND(ISNUMBER($T$905),$B$511=1),$T$905,HLOOKUP(INDIRECT(ADDRESS(2,COLUMN())),OFFSET($BN$2,0,0,ROW()-1,60),ROW()-1,FALSE))</f>
        <v>18047.373780000002</v>
      </c>
      <c r="U406">
        <f ca="1">IF(AND(ISNUMBER($U$905),$B$511=1),$U$905,HLOOKUP(INDIRECT(ADDRESS(2,COLUMN())),OFFSET($BN$2,0,0,ROW()-1,60),ROW()-1,FALSE))</f>
        <v>16031.94067</v>
      </c>
      <c r="V406">
        <f ca="1">IF(AND(ISNUMBER($V$905),$B$511=1),$V$905,HLOOKUP(INDIRECT(ADDRESS(2,COLUMN())),OFFSET($BN$2,0,0,ROW()-1,60),ROW()-1,FALSE))</f>
        <v>13932.149890000001</v>
      </c>
      <c r="W406">
        <f ca="1">IF(AND(ISNUMBER($W$905),$B$511=1),$W$905,HLOOKUP(INDIRECT(ADDRESS(2,COLUMN())),OFFSET($BN$2,0,0,ROW()-1,60),ROW()-1,FALSE))</f>
        <v>14539.680060000001</v>
      </c>
      <c r="X406">
        <f ca="1">IF(AND(ISNUMBER($X$905),$B$511=1),$X$905,HLOOKUP(INDIRECT(ADDRESS(2,COLUMN())),OFFSET($BN$2,0,0,ROW()-1,60),ROW()-1,FALSE))</f>
        <v>15432.59591</v>
      </c>
      <c r="Y406">
        <f ca="1">IF(AND(ISNUMBER($Y$905),$B$511=1),$Y$905,HLOOKUP(INDIRECT(ADDRESS(2,COLUMN())),OFFSET($BN$2,0,0,ROW()-1,60),ROW()-1,FALSE))</f>
        <v>14237.17139</v>
      </c>
      <c r="Z406">
        <f ca="1">IF(AND(ISNUMBER($Z$905),$B$511=1),$Z$905,HLOOKUP(INDIRECT(ADDRESS(2,COLUMN())),OFFSET($BN$2,0,0,ROW()-1,60),ROW()-1,FALSE))</f>
        <v>11319.350270000001</v>
      </c>
      <c r="AA406">
        <f ca="1">IF(AND(ISNUMBER($AA$905),$B$511=1),$AA$905,HLOOKUP(INDIRECT(ADDRESS(2,COLUMN())),OFFSET($BN$2,0,0,ROW()-1,60),ROW()-1,FALSE))</f>
        <v>12303.39523</v>
      </c>
      <c r="AB406">
        <f ca="1">IF(AND(ISNUMBER($AB$905),$B$511=1),$AB$905,HLOOKUP(INDIRECT(ADDRESS(2,COLUMN())),OFFSET($BN$2,0,0,ROW()-1,60),ROW()-1,FALSE))</f>
        <v>10161.666380000001</v>
      </c>
      <c r="AC406">
        <f ca="1">IF(AND(ISNUMBER($AC$905),$B$511=1),$AC$905,HLOOKUP(INDIRECT(ADDRESS(2,COLUMN())),OFFSET($BN$2,0,0,ROW()-1,60),ROW()-1,FALSE))</f>
        <v>10062.93346</v>
      </c>
      <c r="AD406">
        <f ca="1">IF(AND(ISNUMBER($AD$905),$B$511=1),$AD$905,HLOOKUP(INDIRECT(ADDRESS(2,COLUMN())),OFFSET($BN$2,0,0,ROW()-1,60),ROW()-1,FALSE))</f>
        <v>9950.2319580000003</v>
      </c>
      <c r="AE406">
        <f ca="1">IF(AND(ISNUMBER($AE$905),$B$511=1),$AE$905,HLOOKUP(INDIRECT(ADDRESS(2,COLUMN())),OFFSET($BN$2,0,0,ROW()-1,60),ROW()-1,FALSE))</f>
        <v>12043.715749999999</v>
      </c>
      <c r="AF406">
        <f ca="1">IF(AND(ISNUMBER($AF$905),$B$511=1),$AF$905,HLOOKUP(INDIRECT(ADDRESS(2,COLUMN())),OFFSET($BN$2,0,0,ROW()-1,60),ROW()-1,FALSE))</f>
        <v>7258.838076</v>
      </c>
      <c r="AG406">
        <f ca="1">IF(AND(ISNUMBER($AG$905),$B$511=1),$AG$905,HLOOKUP(INDIRECT(ADDRESS(2,COLUMN())),OFFSET($BN$2,0,0,ROW()-1,60),ROW()-1,FALSE))</f>
        <v>7622.0886829999999</v>
      </c>
      <c r="AH406">
        <f ca="1">IF(AND(ISNUMBER($AH$905),$B$511=1),$AH$905,HLOOKUP(INDIRECT(ADDRESS(2,COLUMN())),OFFSET($BN$2,0,0,ROW()-1,60),ROW()-1,FALSE))</f>
        <v>10289.79204</v>
      </c>
      <c r="AI406">
        <f ca="1">IF(AND(ISNUMBER($AI$905),$B$511=1),$AI$905,HLOOKUP(INDIRECT(ADDRESS(2,COLUMN())),OFFSET($BN$2,0,0,ROW()-1,60),ROW()-1,FALSE))</f>
        <v>8465.8566719999999</v>
      </c>
      <c r="AJ406">
        <f ca="1">IF(AND(ISNUMBER($AJ$905),$B$511=1),$AJ$905,HLOOKUP(INDIRECT(ADDRESS(2,COLUMN())),OFFSET($BN$2,0,0,ROW()-1,60),ROW()-1,FALSE))</f>
        <v>9308.561764</v>
      </c>
      <c r="AK406">
        <f ca="1">IF(AND(ISNUMBER($AK$905),$B$511=1),$AK$905,HLOOKUP(INDIRECT(ADDRESS(2,COLUMN())),OFFSET($BN$2,0,0,ROW()-1,60),ROW()-1,FALSE))</f>
        <v>10624.247520000001</v>
      </c>
      <c r="AL406">
        <f ca="1">IF(AND(ISNUMBER($AL$905),$B$511=1),$AL$905,HLOOKUP(INDIRECT(ADDRESS(2,COLUMN())),OFFSET($BN$2,0,0,ROW()-1,60),ROW()-1,FALSE))</f>
        <v>11226.45098</v>
      </c>
      <c r="AM406">
        <f ca="1">IF(AND(ISNUMBER($AM$905),$B$511=1),$AM$905,HLOOKUP(INDIRECT(ADDRESS(2,COLUMN())),OFFSET($BN$2,0,0,ROW()-1,60),ROW()-1,FALSE))</f>
        <v>12737.871349999999</v>
      </c>
      <c r="AN406">
        <f ca="1">IF(AND(ISNUMBER($AN$905),$B$511=1),$AN$905,HLOOKUP(INDIRECT(ADDRESS(2,COLUMN())),OFFSET($BN$2,0,0,ROW()-1,60),ROW()-1,FALSE))</f>
        <v>9855.1888660000004</v>
      </c>
      <c r="AO406">
        <f ca="1">IF(AND(ISNUMBER($AO$905),$B$511=1),$AO$905,HLOOKUP(INDIRECT(ADDRESS(2,COLUMN())),OFFSET($BN$2,0,0,ROW()-1,60),ROW()-1,FALSE))</f>
        <v>9507.5198700000001</v>
      </c>
      <c r="AP406">
        <f ca="1">IF(AND(ISNUMBER($AP$905),$B$511=1),$AP$905,HLOOKUP(INDIRECT(ADDRESS(2,COLUMN())),OFFSET($BN$2,0,0,ROW()-1,60),ROW()-1,FALSE))</f>
        <v>11393.473180000001</v>
      </c>
      <c r="AQ406">
        <f ca="1">IF(AND(ISNUMBER($AQ$905),$B$511=1),$AQ$905,HLOOKUP(INDIRECT(ADDRESS(2,COLUMN())),OFFSET($BN$2,0,0,ROW()-1,60),ROW()-1,FALSE))</f>
        <v>15724.15432</v>
      </c>
      <c r="AR406">
        <f ca="1">IF(AND(ISNUMBER($AR$905),$B$511=1),$AR$905,HLOOKUP(INDIRECT(ADDRESS(2,COLUMN())),OFFSET($BN$2,0,0,ROW()-1,60),ROW()-1,FALSE))</f>
        <v>15265.841469999999</v>
      </c>
      <c r="AS406">
        <f ca="1">IF(AND(ISNUMBER($AS$905),$B$511=1),$AS$905,HLOOKUP(INDIRECT(ADDRESS(2,COLUMN())),OFFSET($BN$2,0,0,ROW()-1,60),ROW()-1,FALSE))</f>
        <v>15309.512000000001</v>
      </c>
      <c r="AT406">
        <f ca="1">IF(AND(ISNUMBER($AT$905),$B$511=1),$AT$905,HLOOKUP(INDIRECT(ADDRESS(2,COLUMN())),OFFSET($BN$2,0,0,ROW()-1,60),ROW()-1,FALSE))</f>
        <v>12358.46117</v>
      </c>
      <c r="AU406">
        <f ca="1">IF(AND(ISNUMBER($AU$905),$B$511=1),$AU$905,HLOOKUP(INDIRECT(ADDRESS(2,COLUMN())),OFFSET($BN$2,0,0,ROW()-1,60),ROW()-1,FALSE))</f>
        <v>10261.559090000001</v>
      </c>
      <c r="AV406">
        <f ca="1">IF(AND(ISNUMBER($AV$905),$B$511=1),$AV$905,HLOOKUP(INDIRECT(ADDRESS(2,COLUMN())),OFFSET($BN$2,0,0,ROW()-1,60),ROW()-1,FALSE))</f>
        <v>10792.533460000001</v>
      </c>
      <c r="AW406">
        <f ca="1">IF(AND(ISNUMBER($AW$905),$B$511=1),$AW$905,HLOOKUP(INDIRECT(ADDRESS(2,COLUMN())),OFFSET($BN$2,0,0,ROW()-1,60),ROW()-1,FALSE))</f>
        <v>13720.2016</v>
      </c>
      <c r="AX406">
        <f ca="1">IF(AND(ISNUMBER($AX$905),$B$511=1),$AX$905,HLOOKUP(INDIRECT(ADDRESS(2,COLUMN())),OFFSET($BN$2,0,0,ROW()-1,60),ROW()-1,FALSE))</f>
        <v>14663.1929</v>
      </c>
      <c r="AY406">
        <f ca="1">IF(AND(ISNUMBER($AY$905),$B$511=1),$AY$905,HLOOKUP(INDIRECT(ADDRESS(2,COLUMN())),OFFSET($BN$2,0,0,ROW()-1,60),ROW()-1,FALSE))</f>
        <v>16593.800609999998</v>
      </c>
      <c r="AZ406">
        <f ca="1">IF(AND(ISNUMBER($AZ$905),$B$511=1),$AZ$905,HLOOKUP(INDIRECT(ADDRESS(2,COLUMN())),OFFSET($BN$2,0,0,ROW()-1,60),ROW()-1,FALSE))</f>
        <v>16128.94706</v>
      </c>
      <c r="BA406">
        <f ca="1">IF(AND(ISNUMBER($BA$905),$B$511=1),$BA$905,HLOOKUP(INDIRECT(ADDRESS(2,COLUMN())),OFFSET($BN$2,0,0,ROW()-1,60),ROW()-1,FALSE))</f>
        <v>15490.6931</v>
      </c>
      <c r="BB406">
        <f ca="1">IF(AND(ISNUMBER($BB$905),$B$511=1),$BB$905,HLOOKUP(INDIRECT(ADDRESS(2,COLUMN())),OFFSET($BN$2,0,0,ROW()-1,60),ROW()-1,FALSE))</f>
        <v>14539.57063</v>
      </c>
      <c r="BC406">
        <f ca="1">IF(AND(ISNUMBER($BC$905),$B$511=1),$BC$905,HLOOKUP(INDIRECT(ADDRESS(2,COLUMN())),OFFSET($BN$2,0,0,ROW()-1,60),ROW()-1,FALSE))</f>
        <v>15821.676509999999</v>
      </c>
      <c r="BD406">
        <f ca="1">IF(AND(ISNUMBER($BD$905),$B$511=1),$BD$905,HLOOKUP(INDIRECT(ADDRESS(2,COLUMN())),OFFSET($BN$2,0,0,ROW()-1,60),ROW()-1,FALSE))</f>
        <v>13821.49029</v>
      </c>
      <c r="BE406">
        <f ca="1">IF(AND(ISNUMBER($BE$905),$B$511=1),$BE$905,HLOOKUP(INDIRECT(ADDRESS(2,COLUMN())),OFFSET($BN$2,0,0,ROW()-1,60),ROW()-1,FALSE))</f>
        <v>11566.065860000001</v>
      </c>
      <c r="BF406">
        <f ca="1">IF(AND(ISNUMBER($BF$905),$B$511=1),$BF$905,HLOOKUP(INDIRECT(ADDRESS(2,COLUMN())),OFFSET($BN$2,0,0,ROW()-1,60),ROW()-1,FALSE))</f>
        <v>12792.42886</v>
      </c>
      <c r="BG406">
        <f ca="1">IF(AND(ISNUMBER($BG$905),$B$511=1),$BG$905,HLOOKUP(INDIRECT(ADDRESS(2,COLUMN())),OFFSET($BN$2,0,0,ROW()-1,60),ROW()-1,FALSE))</f>
        <v>8567.6011020000005</v>
      </c>
      <c r="BH406">
        <f ca="1">IF(AND(ISNUMBER($BH$905),$B$511=1),$BH$905,HLOOKUP(INDIRECT(ADDRESS(2,COLUMN())),OFFSET($BN$2,0,0,ROW()-1,60),ROW()-1,FALSE))</f>
        <v>8396.4062959999992</v>
      </c>
      <c r="BI406">
        <f ca="1">IF(AND(ISNUMBER($BI$905),$B$511=1),$BI$905,HLOOKUP(INDIRECT(ADDRESS(2,COLUMN())),OFFSET($BN$2,0,0,ROW()-1,60),ROW()-1,FALSE))</f>
        <v>6946.208294</v>
      </c>
      <c r="BJ406">
        <f ca="1">IF(AND(ISNUMBER($BJ$905),$B$511=1),$BJ$905,HLOOKUP(INDIRECT(ADDRESS(2,COLUMN())),OFFSET($BN$2,0,0,ROW()-1,60),ROW()-1,FALSE))</f>
        <v>8544.562758</v>
      </c>
      <c r="BK406">
        <f ca="1">IF(AND(ISNUMBER($BK$905),$B$511=1),$BK$905,HLOOKUP(INDIRECT(ADDRESS(2,COLUMN())),OFFSET($BN$2,0,0,ROW()-1,60),ROW()-1,FALSE))</f>
        <v>8655.9957429999995</v>
      </c>
      <c r="BL406">
        <f ca="1">IF(AND(ISNUMBER($BL$905),$B$511=1),$BL$905,HLOOKUP(INDIRECT(ADDRESS(2,COLUMN())),OFFSET($BN$2,0,0,ROW()-1,60),ROW()-1,FALSE))</f>
        <v>7707.4566709999999</v>
      </c>
      <c r="BM406">
        <f ca="1">IF(AND(ISNUMBER($BM$905),$B$511=1),$BM$905,HLOOKUP(INDIRECT(ADDRESS(2,COLUMN())),OFFSET($BN$2,0,0,ROW()-1,60),ROW()-1,FALSE))</f>
        <v>8441.3341509999991</v>
      </c>
      <c r="BN406">
        <f>26085.12645</f>
        <v>26085.12645</v>
      </c>
      <c r="BO406">
        <f>25274.28077</f>
        <v>25274.280770000001</v>
      </c>
      <c r="BP406">
        <f>27592.66558</f>
        <v>27592.665580000001</v>
      </c>
      <c r="BQ406">
        <f>26859.09673</f>
        <v>26859.096730000001</v>
      </c>
      <c r="BR406">
        <f>25938.00332</f>
        <v>25938.00332</v>
      </c>
      <c r="BS406">
        <f>27880.30081</f>
        <v>27880.300810000001</v>
      </c>
      <c r="BT406">
        <f>24482.36393</f>
        <v>24482.36393</v>
      </c>
      <c r="BU406">
        <f>22458.41567</f>
        <v>22458.415669999998</v>
      </c>
      <c r="BV406">
        <f>19370.88312</f>
        <v>19370.883119999999</v>
      </c>
      <c r="BW406">
        <f>16717.0439</f>
        <v>16717.043900000001</v>
      </c>
      <c r="BX406">
        <f>14773.09475</f>
        <v>14773.09475</v>
      </c>
      <c r="BY406">
        <f>12375.4482</f>
        <v>12375.448200000001</v>
      </c>
      <c r="BZ406">
        <f>13090.68444</f>
        <v>13090.684440000001</v>
      </c>
      <c r="CA406">
        <f>17420.56347</f>
        <v>17420.563470000001</v>
      </c>
      <c r="CB406">
        <f>18047.37378</f>
        <v>18047.373780000002</v>
      </c>
      <c r="CC406">
        <f>16031.94067</f>
        <v>16031.94067</v>
      </c>
      <c r="CD406">
        <f>13932.14989</f>
        <v>13932.149890000001</v>
      </c>
      <c r="CE406">
        <f>14539.68006</f>
        <v>14539.680060000001</v>
      </c>
      <c r="CF406">
        <f>15432.59591</f>
        <v>15432.59591</v>
      </c>
      <c r="CG406">
        <f>14237.17139</f>
        <v>14237.17139</v>
      </c>
      <c r="CH406">
        <f>11319.35027</f>
        <v>11319.350270000001</v>
      </c>
      <c r="CI406">
        <f>12303.39523</f>
        <v>12303.39523</v>
      </c>
      <c r="CJ406">
        <f>10161.66638</f>
        <v>10161.666380000001</v>
      </c>
      <c r="CK406">
        <f>10062.93346</f>
        <v>10062.93346</v>
      </c>
      <c r="CL406">
        <f>9950.231958</f>
        <v>9950.2319580000003</v>
      </c>
      <c r="CM406">
        <f>12043.71575</f>
        <v>12043.715749999999</v>
      </c>
      <c r="CN406">
        <f>7258.838076</f>
        <v>7258.838076</v>
      </c>
      <c r="CO406">
        <f>7622.088683</f>
        <v>7622.0886829999999</v>
      </c>
      <c r="CP406">
        <f>10289.79204</f>
        <v>10289.79204</v>
      </c>
      <c r="CQ406">
        <f>8465.856672</f>
        <v>8465.8566719999999</v>
      </c>
      <c r="CR406">
        <f>9308.561764</f>
        <v>9308.561764</v>
      </c>
      <c r="CS406">
        <f>10624.24752</f>
        <v>10624.247520000001</v>
      </c>
      <c r="CT406">
        <f>11226.45098</f>
        <v>11226.45098</v>
      </c>
      <c r="CU406">
        <f>12737.87135</f>
        <v>12737.871349999999</v>
      </c>
      <c r="CV406">
        <f>9855.188866</f>
        <v>9855.1888660000004</v>
      </c>
      <c r="CW406">
        <f>9507.51987</f>
        <v>9507.5198700000001</v>
      </c>
      <c r="CX406">
        <f>11393.47318</f>
        <v>11393.473180000001</v>
      </c>
      <c r="CY406">
        <f>15724.15432</f>
        <v>15724.15432</v>
      </c>
      <c r="CZ406">
        <f>15265.84147</f>
        <v>15265.841469999999</v>
      </c>
      <c r="DA406">
        <f>15309.512</f>
        <v>15309.512000000001</v>
      </c>
      <c r="DB406">
        <f>12358.46117</f>
        <v>12358.46117</v>
      </c>
      <c r="DC406">
        <f>10261.55909</f>
        <v>10261.559090000001</v>
      </c>
      <c r="DD406">
        <f>10792.53346</f>
        <v>10792.533460000001</v>
      </c>
      <c r="DE406">
        <f>13720.2016</f>
        <v>13720.2016</v>
      </c>
      <c r="DF406">
        <f>14663.1929</f>
        <v>14663.1929</v>
      </c>
      <c r="DG406">
        <f>16593.80061</f>
        <v>16593.800609999998</v>
      </c>
      <c r="DH406">
        <f>16128.94706</f>
        <v>16128.94706</v>
      </c>
      <c r="DI406">
        <f>15490.6931</f>
        <v>15490.6931</v>
      </c>
      <c r="DJ406">
        <f>14539.57063</f>
        <v>14539.57063</v>
      </c>
      <c r="DK406">
        <f>15821.67651</f>
        <v>15821.676509999999</v>
      </c>
      <c r="DL406">
        <f>13821.49029</f>
        <v>13821.49029</v>
      </c>
      <c r="DM406">
        <f>11566.06586</f>
        <v>11566.065860000001</v>
      </c>
      <c r="DN406">
        <f>12792.42886</f>
        <v>12792.42886</v>
      </c>
      <c r="DO406">
        <f>8567.601102</f>
        <v>8567.6011020000005</v>
      </c>
      <c r="DP406">
        <f>8396.406296</f>
        <v>8396.4062959999992</v>
      </c>
      <c r="DQ406">
        <f>6946.208294</f>
        <v>6946.208294</v>
      </c>
      <c r="DR406">
        <f>8544.562758</f>
        <v>8544.562758</v>
      </c>
      <c r="DS406">
        <f>8655.995743</f>
        <v>8655.9957429999995</v>
      </c>
      <c r="DT406">
        <f>7707.456671</f>
        <v>7707.4566709999999</v>
      </c>
      <c r="DU406">
        <f>8441.334151</f>
        <v>8441.3341509999991</v>
      </c>
    </row>
    <row r="407" spans="1:125" x14ac:dyDescent="0.25">
      <c r="A407" t="str">
        <f>"    Tata Motors Ltd"</f>
        <v xml:space="preserve">    Tata Motors Ltd</v>
      </c>
      <c r="B407" t="str">
        <f>"TTMT IN Equity"</f>
        <v>TTMT IN Equity</v>
      </c>
      <c r="C407" t="str">
        <f t="shared" si="27"/>
        <v>RR937</v>
      </c>
      <c r="D407" t="str">
        <f t="shared" si="28"/>
        <v>CRNCY_ADJ_CURR_EV</v>
      </c>
      <c r="E407" t="str">
        <f t="shared" si="29"/>
        <v>Dynamic</v>
      </c>
      <c r="F407" t="str">
        <f ca="1">IF(AND(ISNUMBER($F$906),$B$511=1),$F$906,HLOOKUP(INDIRECT(ADDRESS(2,COLUMN())),OFFSET($BN$2,0,0,ROW()-1,60),ROW()-1,FALSE))</f>
        <v/>
      </c>
      <c r="G407">
        <f ca="1">IF(AND(ISNUMBER($G$906),$B$511=1),$G$906,HLOOKUP(INDIRECT(ADDRESS(2,COLUMN())),OFFSET($BN$2,0,0,ROW()-1,60),ROW()-1,FALSE))</f>
        <v>16468.85658</v>
      </c>
      <c r="H407">
        <f ca="1">IF(AND(ISNUMBER($H$906),$B$511=1),$H$906,HLOOKUP(INDIRECT(ADDRESS(2,COLUMN())),OFFSET($BN$2,0,0,ROW()-1,60),ROW()-1,FALSE))</f>
        <v>18144.31466</v>
      </c>
      <c r="I407">
        <f ca="1">IF(AND(ISNUMBER($I$906),$B$511=1),$I$906,HLOOKUP(INDIRECT(ADDRESS(2,COLUMN())),OFFSET($BN$2,0,0,ROW()-1,60),ROW()-1,FALSE))</f>
        <v>17981.244449999998</v>
      </c>
      <c r="J407">
        <f ca="1">IF(AND(ISNUMBER($J$906),$B$511=1),$J$906,HLOOKUP(INDIRECT(ADDRESS(2,COLUMN())),OFFSET($BN$2,0,0,ROW()-1,60),ROW()-1,FALSE))</f>
        <v>22015.82545</v>
      </c>
      <c r="K407">
        <f ca="1">IF(AND(ISNUMBER($K$906),$B$511=1),$K$906,HLOOKUP(INDIRECT(ADDRESS(2,COLUMN())),OFFSET($BN$2,0,0,ROW()-1,60),ROW()-1,FALSE))</f>
        <v>26502.501799999998</v>
      </c>
      <c r="L407">
        <f ca="1">IF(AND(ISNUMBER($L$906),$B$511=1),$L$906,HLOOKUP(INDIRECT(ADDRESS(2,COLUMN())),OFFSET($BN$2,0,0,ROW()-1,60),ROW()-1,FALSE))</f>
        <v>25102.53614</v>
      </c>
      <c r="M407">
        <f ca="1">IF(AND(ISNUMBER($M$906),$B$511=1),$M$906,HLOOKUP(INDIRECT(ADDRESS(2,COLUMN())),OFFSET($BN$2,0,0,ROW()-1,60),ROW()-1,FALSE))</f>
        <v>25830.186750000001</v>
      </c>
      <c r="N407">
        <f ca="1">IF(AND(ISNUMBER($N$906),$B$511=1),$N$906,HLOOKUP(INDIRECT(ADDRESS(2,COLUMN())),OFFSET($BN$2,0,0,ROW()-1,60),ROW()-1,FALSE))</f>
        <v>27259.305130000001</v>
      </c>
      <c r="O407">
        <f ca="1">IF(AND(ISNUMBER($O$906),$B$511=1),$O$906,HLOOKUP(INDIRECT(ADDRESS(2,COLUMN())),OFFSET($BN$2,0,0,ROW()-1,60),ROW()-1,FALSE))</f>
        <v>26489.913840000001</v>
      </c>
      <c r="P407">
        <f ca="1">IF(AND(ISNUMBER($P$906),$B$511=1),$P$906,HLOOKUP(INDIRECT(ADDRESS(2,COLUMN())),OFFSET($BN$2,0,0,ROW()-1,60),ROW()-1,FALSE))</f>
        <v>30128.138009999999</v>
      </c>
      <c r="Q407">
        <f ca="1">IF(AND(ISNUMBER($Q$906),$B$511=1),$Q$906,HLOOKUP(INDIRECT(ADDRESS(2,COLUMN())),OFFSET($BN$2,0,0,ROW()-1,60),ROW()-1,FALSE))</f>
        <v>24389.314989999999</v>
      </c>
      <c r="R407">
        <f ca="1">IF(AND(ISNUMBER($R$906),$B$511=1),$R$906,HLOOKUP(INDIRECT(ADDRESS(2,COLUMN())),OFFSET($BN$2,0,0,ROW()-1,60),ROW()-1,FALSE))</f>
        <v>22218.384989999999</v>
      </c>
      <c r="S407">
        <f ca="1">IF(AND(ISNUMBER($S$906),$B$511=1),$S$906,HLOOKUP(INDIRECT(ADDRESS(2,COLUMN())),OFFSET($BN$2,0,0,ROW()-1,60),ROW()-1,FALSE))</f>
        <v>23943.50172</v>
      </c>
      <c r="T407">
        <f ca="1">IF(AND(ISNUMBER($T$906),$B$511=1),$T$906,HLOOKUP(INDIRECT(ADDRESS(2,COLUMN())),OFFSET($BN$2,0,0,ROW()-1,60),ROW()-1,FALSE))</f>
        <v>19531.62846</v>
      </c>
      <c r="U407">
        <f ca="1">IF(AND(ISNUMBER($U$906),$B$511=1),$U$906,HLOOKUP(INDIRECT(ADDRESS(2,COLUMN())),OFFSET($BN$2,0,0,ROW()-1,60),ROW()-1,FALSE))</f>
        <v>26482.71213</v>
      </c>
      <c r="V407">
        <f ca="1">IF(AND(ISNUMBER($V$906),$B$511=1),$V$906,HLOOKUP(INDIRECT(ADDRESS(2,COLUMN())),OFFSET($BN$2,0,0,ROW()-1,60),ROW()-1,FALSE))</f>
        <v>31474.7893</v>
      </c>
      <c r="W407">
        <f ca="1">IF(AND(ISNUMBER($W$906),$B$511=1),$W$906,HLOOKUP(INDIRECT(ADDRESS(2,COLUMN())),OFFSET($BN$2,0,0,ROW()-1,60),ROW()-1,FALSE))</f>
        <v>26475.915099999998</v>
      </c>
      <c r="X407">
        <f ca="1">IF(AND(ISNUMBER($X$906),$B$511=1),$X$906,HLOOKUP(INDIRECT(ADDRESS(2,COLUMN())),OFFSET($BN$2,0,0,ROW()-1,60),ROW()-1,FALSE))</f>
        <v>27519.274290000001</v>
      </c>
      <c r="Y407">
        <f ca="1">IF(AND(ISNUMBER($Y$906),$B$511=1),$Y$906,HLOOKUP(INDIRECT(ADDRESS(2,COLUMN())),OFFSET($BN$2,0,0,ROW()-1,60),ROW()-1,FALSE))</f>
        <v>26303.794030000001</v>
      </c>
      <c r="Z407">
        <f ca="1">IF(AND(ISNUMBER($Z$906),$B$511=1),$Z$906,HLOOKUP(INDIRECT(ADDRESS(2,COLUMN())),OFFSET($BN$2,0,0,ROW()-1,60),ROW()-1,FALSE))</f>
        <v>24101.527549999999</v>
      </c>
      <c r="AA407">
        <f ca="1">IF(AND(ISNUMBER($AA$906),$B$511=1),$AA$906,HLOOKUP(INDIRECT(ADDRESS(2,COLUMN())),OFFSET($BN$2,0,0,ROW()-1,60),ROW()-1,FALSE))</f>
        <v>21706.317279999999</v>
      </c>
      <c r="AB407">
        <f ca="1">IF(AND(ISNUMBER($AB$906),$B$511=1),$AB$906,HLOOKUP(INDIRECT(ADDRESS(2,COLUMN())),OFFSET($BN$2,0,0,ROW()-1,60),ROW()-1,FALSE))</f>
        <v>19372.45204</v>
      </c>
      <c r="AC407">
        <f ca="1">IF(AND(ISNUMBER($AC$906),$B$511=1),$AC$906,HLOOKUP(INDIRECT(ADDRESS(2,COLUMN())),OFFSET($BN$2,0,0,ROW()-1,60),ROW()-1,FALSE))</f>
        <v>18362.236669999998</v>
      </c>
      <c r="AD407">
        <f ca="1">IF(AND(ISNUMBER($AD$906),$B$511=1),$AD$906,HLOOKUP(INDIRECT(ADDRESS(2,COLUMN())),OFFSET($BN$2,0,0,ROW()-1,60),ROW()-1,FALSE))</f>
        <v>20231.332740000002</v>
      </c>
      <c r="AE407">
        <f ca="1">IF(AND(ISNUMBER($AE$906),$B$511=1),$AE$906,HLOOKUP(INDIRECT(ADDRESS(2,COLUMN())),OFFSET($BN$2,0,0,ROW()-1,60),ROW()-1,FALSE))</f>
        <v>19942.19555</v>
      </c>
      <c r="AF407">
        <f ca="1">IF(AND(ISNUMBER($AF$906),$B$511=1),$AF$906,HLOOKUP(INDIRECT(ADDRESS(2,COLUMN())),OFFSET($BN$2,0,0,ROW()-1,60),ROW()-1,FALSE))</f>
        <v>18434.953229999999</v>
      </c>
      <c r="AG407">
        <f ca="1">IF(AND(ISNUMBER($AG$906),$B$511=1),$AG$906,HLOOKUP(INDIRECT(ADDRESS(2,COLUMN())),OFFSET($BN$2,0,0,ROW()-1,60),ROW()-1,FALSE))</f>
        <v>17168.00417</v>
      </c>
      <c r="AH407">
        <f ca="1">IF(AND(ISNUMBER($AH$906),$B$511=1),$AH$906,HLOOKUP(INDIRECT(ADDRESS(2,COLUMN())),OFFSET($BN$2,0,0,ROW()-1,60),ROW()-1,FALSE))</f>
        <v>21434.587090000001</v>
      </c>
      <c r="AI407">
        <f ca="1">IF(AND(ISNUMBER($AI$906),$B$511=1),$AI$906,HLOOKUP(INDIRECT(ADDRESS(2,COLUMN())),OFFSET($BN$2,0,0,ROW()-1,60),ROW()-1,FALSE))</f>
        <v>15339.84562</v>
      </c>
      <c r="AJ407">
        <f ca="1">IF(AND(ISNUMBER($AJ$906),$B$511=1),$AJ$906,HLOOKUP(INDIRECT(ADDRESS(2,COLUMN())),OFFSET($BN$2,0,0,ROW()-1,60),ROW()-1,FALSE))</f>
        <v>15358.93621</v>
      </c>
      <c r="AK407">
        <f ca="1">IF(AND(ISNUMBER($AK$906),$B$511=1),$AK$906,HLOOKUP(INDIRECT(ADDRESS(2,COLUMN())),OFFSET($BN$2,0,0,ROW()-1,60),ROW()-1,FALSE))</f>
        <v>18993.959579999999</v>
      </c>
      <c r="AL407">
        <f ca="1">IF(AND(ISNUMBER($AL$906),$B$511=1),$AL$906,HLOOKUP(INDIRECT(ADDRESS(2,COLUMN())),OFFSET($BN$2,0,0,ROW()-1,60),ROW()-1,FALSE))</f>
        <v>22440.551490000002</v>
      </c>
      <c r="AM407">
        <f ca="1">IF(AND(ISNUMBER($AM$906),$B$511=1),$AM$906,HLOOKUP(INDIRECT(ADDRESS(2,COLUMN())),OFFSET($BN$2,0,0,ROW()-1,60),ROW()-1,FALSE))</f>
        <v>23278.344730000001</v>
      </c>
      <c r="AN407">
        <f ca="1">IF(AND(ISNUMBER($AN$906),$B$511=1),$AN$906,HLOOKUP(INDIRECT(ADDRESS(2,COLUMN())),OFFSET($BN$2,0,0,ROW()-1,60),ROW()-1,FALSE))</f>
        <v>19712.452369999999</v>
      </c>
      <c r="AO407">
        <f ca="1">IF(AND(ISNUMBER($AO$906),$B$511=1),$AO$906,HLOOKUP(INDIRECT(ADDRESS(2,COLUMN())),OFFSET($BN$2,0,0,ROW()-1,60),ROW()-1,FALSE))</f>
        <v>16134.76614</v>
      </c>
      <c r="AP407">
        <f ca="1">IF(AND(ISNUMBER($AP$906),$B$511=1),$AP$906,HLOOKUP(INDIRECT(ADDRESS(2,COLUMN())),OFFSET($BN$2,0,0,ROW()-1,60),ROW()-1,FALSE))</f>
        <v>16009.55185</v>
      </c>
      <c r="AQ407" t="str">
        <f ca="1">IF(AND(ISNUMBER($AQ$906),$B$511=1),$AQ$906,HLOOKUP(INDIRECT(ADDRESS(2,COLUMN())),OFFSET($BN$2,0,0,ROW()-1,60),ROW()-1,FALSE))</f>
        <v/>
      </c>
      <c r="AR407" t="str">
        <f ca="1">IF(AND(ISNUMBER($AR$906),$B$511=1),$AR$906,HLOOKUP(INDIRECT(ADDRESS(2,COLUMN())),OFFSET($BN$2,0,0,ROW()-1,60),ROW()-1,FALSE))</f>
        <v/>
      </c>
      <c r="AS407">
        <f ca="1">IF(AND(ISNUMBER($AS$906),$B$511=1),$AS$906,HLOOKUP(INDIRECT(ADDRESS(2,COLUMN())),OFFSET($BN$2,0,0,ROW()-1,60),ROW()-1,FALSE))</f>
        <v>10297.142449999999</v>
      </c>
      <c r="AT407">
        <f ca="1">IF(AND(ISNUMBER($AT$906),$B$511=1),$AT$906,HLOOKUP(INDIRECT(ADDRESS(2,COLUMN())),OFFSET($BN$2,0,0,ROW()-1,60),ROW()-1,FALSE))</f>
        <v>8578.8539230000006</v>
      </c>
      <c r="AU407" t="str">
        <f ca="1">IF(AND(ISNUMBER($AU$906),$B$511=1),$AU$906,HLOOKUP(INDIRECT(ADDRESS(2,COLUMN())),OFFSET($BN$2,0,0,ROW()-1,60),ROW()-1,FALSE))</f>
        <v/>
      </c>
      <c r="AV407" t="str">
        <f ca="1">IF(AND(ISNUMBER($AV$906),$B$511=1),$AV$906,HLOOKUP(INDIRECT(ADDRESS(2,COLUMN())),OFFSET($BN$2,0,0,ROW()-1,60),ROW()-1,FALSE))</f>
        <v/>
      </c>
      <c r="AW407">
        <f ca="1">IF(AND(ISNUMBER($AW$906),$B$511=1),$AW$906,HLOOKUP(INDIRECT(ADDRESS(2,COLUMN())),OFFSET($BN$2,0,0,ROW()-1,60),ROW()-1,FALSE))</f>
        <v>5619.5994559999999</v>
      </c>
      <c r="AX407">
        <f ca="1">IF(AND(ISNUMBER($AX$906),$B$511=1),$AX$906,HLOOKUP(INDIRECT(ADDRESS(2,COLUMN())),OFFSET($BN$2,0,0,ROW()-1,60),ROW()-1,FALSE))</f>
        <v>7720.6543009999996</v>
      </c>
      <c r="AY407" t="str">
        <f ca="1">IF(AND(ISNUMBER($AY$906),$B$511=1),$AY$906,HLOOKUP(INDIRECT(ADDRESS(2,COLUMN())),OFFSET($BN$2,0,0,ROW()-1,60),ROW()-1,FALSE))</f>
        <v/>
      </c>
      <c r="AZ407" t="str">
        <f ca="1">IF(AND(ISNUMBER($AZ$906),$B$511=1),$AZ$906,HLOOKUP(INDIRECT(ADDRESS(2,COLUMN())),OFFSET($BN$2,0,0,ROW()-1,60),ROW()-1,FALSE))</f>
        <v/>
      </c>
      <c r="BA407" t="str">
        <f ca="1">IF(AND(ISNUMBER($BA$906),$B$511=1),$BA$906,HLOOKUP(INDIRECT(ADDRESS(2,COLUMN())),OFFSET($BN$2,0,0,ROW()-1,60),ROW()-1,FALSE))</f>
        <v/>
      </c>
      <c r="BB407" t="str">
        <f ca="1">IF(AND(ISNUMBER($BB$906),$B$511=1),$BB$906,HLOOKUP(INDIRECT(ADDRESS(2,COLUMN())),OFFSET($BN$2,0,0,ROW()-1,60),ROW()-1,FALSE))</f>
        <v/>
      </c>
      <c r="BC407" t="str">
        <f ca="1">IF(AND(ISNUMBER($BC$906),$B$511=1),$BC$906,HLOOKUP(INDIRECT(ADDRESS(2,COLUMN())),OFFSET($BN$2,0,0,ROW()-1,60),ROW()-1,FALSE))</f>
        <v/>
      </c>
      <c r="BD407" t="str">
        <f ca="1">IF(AND(ISNUMBER($BD$906),$B$511=1),$BD$906,HLOOKUP(INDIRECT(ADDRESS(2,COLUMN())),OFFSET($BN$2,0,0,ROW()-1,60),ROW()-1,FALSE))</f>
        <v/>
      </c>
      <c r="BE407" t="str">
        <f ca="1">IF(AND(ISNUMBER($BE$906),$B$511=1),$BE$906,HLOOKUP(INDIRECT(ADDRESS(2,COLUMN())),OFFSET($BN$2,0,0,ROW()-1,60),ROW()-1,FALSE))</f>
        <v/>
      </c>
      <c r="BF407" t="str">
        <f ca="1">IF(AND(ISNUMBER($BF$906),$B$511=1),$BF$906,HLOOKUP(INDIRECT(ADDRESS(2,COLUMN())),OFFSET($BN$2,0,0,ROW()-1,60),ROW()-1,FALSE))</f>
        <v/>
      </c>
      <c r="BG407" t="str">
        <f ca="1">IF(AND(ISNUMBER($BG$906),$B$511=1),$BG$906,HLOOKUP(INDIRECT(ADDRESS(2,COLUMN())),OFFSET($BN$2,0,0,ROW()-1,60),ROW()-1,FALSE))</f>
        <v/>
      </c>
      <c r="BH407" t="str">
        <f ca="1">IF(AND(ISNUMBER($BH$906),$B$511=1),$BH$906,HLOOKUP(INDIRECT(ADDRESS(2,COLUMN())),OFFSET($BN$2,0,0,ROW()-1,60),ROW()-1,FALSE))</f>
        <v/>
      </c>
      <c r="BI407" t="str">
        <f ca="1">IF(AND(ISNUMBER($BI$906),$B$511=1),$BI$906,HLOOKUP(INDIRECT(ADDRESS(2,COLUMN())),OFFSET($BN$2,0,0,ROW()-1,60),ROW()-1,FALSE))</f>
        <v/>
      </c>
      <c r="BJ407" t="str">
        <f ca="1">IF(AND(ISNUMBER($BJ$906),$B$511=1),$BJ$906,HLOOKUP(INDIRECT(ADDRESS(2,COLUMN())),OFFSET($BN$2,0,0,ROW()-1,60),ROW()-1,FALSE))</f>
        <v/>
      </c>
      <c r="BK407" t="str">
        <f ca="1">IF(AND(ISNUMBER($BK$906),$B$511=1),$BK$906,HLOOKUP(INDIRECT(ADDRESS(2,COLUMN())),OFFSET($BN$2,0,0,ROW()-1,60),ROW()-1,FALSE))</f>
        <v/>
      </c>
      <c r="BL407" t="str">
        <f ca="1">IF(AND(ISNUMBER($BL$906),$B$511=1),$BL$906,HLOOKUP(INDIRECT(ADDRESS(2,COLUMN())),OFFSET($BN$2,0,0,ROW()-1,60),ROW()-1,FALSE))</f>
        <v/>
      </c>
      <c r="BM407" t="str">
        <f ca="1">IF(AND(ISNUMBER($BM$906),$B$511=1),$BM$906,HLOOKUP(INDIRECT(ADDRESS(2,COLUMN())),OFFSET($BN$2,0,0,ROW()-1,60),ROW()-1,FALSE))</f>
        <v/>
      </c>
      <c r="BN407" t="str">
        <f>""</f>
        <v/>
      </c>
      <c r="BO407">
        <f>16468.85658</f>
        <v>16468.85658</v>
      </c>
      <c r="BP407">
        <f>18144.31466</f>
        <v>18144.31466</v>
      </c>
      <c r="BQ407">
        <f>17981.24445</f>
        <v>17981.244449999998</v>
      </c>
      <c r="BR407">
        <f>22015.82545</f>
        <v>22015.82545</v>
      </c>
      <c r="BS407">
        <f>26502.5018</f>
        <v>26502.501799999998</v>
      </c>
      <c r="BT407">
        <f>25102.53614</f>
        <v>25102.53614</v>
      </c>
      <c r="BU407">
        <f>25830.18675</f>
        <v>25830.186750000001</v>
      </c>
      <c r="BV407">
        <f>27259.30513</f>
        <v>27259.305130000001</v>
      </c>
      <c r="BW407">
        <f>26489.91384</f>
        <v>26489.913840000001</v>
      </c>
      <c r="BX407">
        <f>30128.13801</f>
        <v>30128.138009999999</v>
      </c>
      <c r="BY407">
        <f>24389.31499</f>
        <v>24389.314989999999</v>
      </c>
      <c r="BZ407">
        <f>22218.38499</f>
        <v>22218.384989999999</v>
      </c>
      <c r="CA407">
        <f>23943.50172</f>
        <v>23943.50172</v>
      </c>
      <c r="CB407">
        <f>19531.62846</f>
        <v>19531.62846</v>
      </c>
      <c r="CC407">
        <f>26482.71213</f>
        <v>26482.71213</v>
      </c>
      <c r="CD407">
        <f>31474.7893</f>
        <v>31474.7893</v>
      </c>
      <c r="CE407">
        <f>26475.9151</f>
        <v>26475.915099999998</v>
      </c>
      <c r="CF407">
        <f>27519.27429</f>
        <v>27519.274290000001</v>
      </c>
      <c r="CG407">
        <f>26303.79403</f>
        <v>26303.794030000001</v>
      </c>
      <c r="CH407">
        <f>24101.5275499999</f>
        <v>24101.527549999999</v>
      </c>
      <c r="CI407">
        <f>21706.31728</f>
        <v>21706.317279999999</v>
      </c>
      <c r="CJ407">
        <f>19372.45204</f>
        <v>19372.45204</v>
      </c>
      <c r="CK407">
        <f>18362.23667</f>
        <v>18362.236669999998</v>
      </c>
      <c r="CL407">
        <f>20231.33274</f>
        <v>20231.332740000002</v>
      </c>
      <c r="CM407">
        <f>19942.19555</f>
        <v>19942.19555</v>
      </c>
      <c r="CN407">
        <f>18434.95323</f>
        <v>18434.953229999999</v>
      </c>
      <c r="CO407">
        <f>17168.00417</f>
        <v>17168.00417</v>
      </c>
      <c r="CP407">
        <f>21434.58709</f>
        <v>21434.587090000001</v>
      </c>
      <c r="CQ407">
        <f>15339.84562</f>
        <v>15339.84562</v>
      </c>
      <c r="CR407">
        <f>15358.93621</f>
        <v>15358.93621</v>
      </c>
      <c r="CS407">
        <f>18993.95958</f>
        <v>18993.959579999999</v>
      </c>
      <c r="CT407">
        <f>22440.55149</f>
        <v>22440.551490000002</v>
      </c>
      <c r="CU407">
        <f>23278.34473</f>
        <v>23278.344730000001</v>
      </c>
      <c r="CV407">
        <f>19712.45237</f>
        <v>19712.452369999999</v>
      </c>
      <c r="CW407">
        <f>16134.76614</f>
        <v>16134.76614</v>
      </c>
      <c r="CX407">
        <f>16009.55185</f>
        <v>16009.55185</v>
      </c>
      <c r="CY407" t="str">
        <f>""</f>
        <v/>
      </c>
      <c r="CZ407" t="str">
        <f>""</f>
        <v/>
      </c>
      <c r="DA407">
        <f>10297.14245</f>
        <v>10297.142449999999</v>
      </c>
      <c r="DB407">
        <f>8578.853923</f>
        <v>8578.8539230000006</v>
      </c>
      <c r="DC407" t="str">
        <f>""</f>
        <v/>
      </c>
      <c r="DD407" t="str">
        <f>""</f>
        <v/>
      </c>
      <c r="DE407">
        <f>5619.599456</f>
        <v>5619.5994559999999</v>
      </c>
      <c r="DF407">
        <f>7720.654301</f>
        <v>7720.6543009999996</v>
      </c>
      <c r="DG407" t="str">
        <f>""</f>
        <v/>
      </c>
      <c r="DH407" t="str">
        <f>""</f>
        <v/>
      </c>
      <c r="DI407" t="str">
        <f>""</f>
        <v/>
      </c>
      <c r="DJ407" t="str">
        <f>""</f>
        <v/>
      </c>
      <c r="DK407" t="str">
        <f>""</f>
        <v/>
      </c>
      <c r="DL407" t="str">
        <f>""</f>
        <v/>
      </c>
      <c r="DM407" t="str">
        <f>""</f>
        <v/>
      </c>
      <c r="DN407" t="str">
        <f>""</f>
        <v/>
      </c>
      <c r="DO407" t="str">
        <f>""</f>
        <v/>
      </c>
      <c r="DP407" t="str">
        <f>""</f>
        <v/>
      </c>
      <c r="DQ407" t="str">
        <f>""</f>
        <v/>
      </c>
      <c r="DR407" t="str">
        <f>""</f>
        <v/>
      </c>
      <c r="DS407" t="str">
        <f>""</f>
        <v/>
      </c>
      <c r="DT407" t="str">
        <f>""</f>
        <v/>
      </c>
      <c r="DU407" t="str">
        <f>""</f>
        <v/>
      </c>
    </row>
    <row r="408" spans="1:125" x14ac:dyDescent="0.25">
      <c r="A408" t="str">
        <f>"    Tesla Inc"</f>
        <v xml:space="preserve">    Tesla Inc</v>
      </c>
      <c r="B408" t="str">
        <f>"TSLA US Equity"</f>
        <v>TSLA US Equity</v>
      </c>
      <c r="C408" t="str">
        <f t="shared" si="27"/>
        <v>RR937</v>
      </c>
      <c r="D408" t="str">
        <f t="shared" si="28"/>
        <v>CRNCY_ADJ_CURR_EV</v>
      </c>
      <c r="E408" t="str">
        <f t="shared" si="29"/>
        <v>Dynamic</v>
      </c>
      <c r="F408">
        <f ca="1">IF(AND(ISNUMBER($F$907),$B$511=1),$F$907,HLOOKUP(INDIRECT(ADDRESS(2,COLUMN())),OFFSET($BN$2,0,0,ROW()-1,60),ROW()-1,FALSE))</f>
        <v>60541.295250000003</v>
      </c>
      <c r="G408">
        <f ca="1">IF(AND(ISNUMBER($G$907),$B$511=1),$G$907,HLOOKUP(INDIRECT(ADDRESS(2,COLUMN())),OFFSET($BN$2,0,0,ROW()-1,60),ROW()-1,FALSE))</f>
        <v>66828.781520000004</v>
      </c>
      <c r="H408">
        <f ca="1">IF(AND(ISNUMBER($H$907),$B$511=1),$H$907,HLOOKUP(INDIRECT(ADDRESS(2,COLUMN())),OFFSET($BN$2,0,0,ROW()-1,60),ROW()-1,FALSE))</f>
        <v>55324.224739999998</v>
      </c>
      <c r="I408">
        <f ca="1">IF(AND(ISNUMBER($I$907),$B$511=1),$I$907,HLOOKUP(INDIRECT(ADDRESS(2,COLUMN())),OFFSET($BN$2,0,0,ROW()-1,60),ROW()-1,FALSE))</f>
        <v>68342.173269999999</v>
      </c>
      <c r="J408">
        <f ca="1">IF(AND(ISNUMBER($J$907),$B$511=1),$J$907,HLOOKUP(INDIRECT(ADDRESS(2,COLUMN())),OFFSET($BN$2,0,0,ROW()-1,60),ROW()-1,FALSE))</f>
        <v>54237.857900000003</v>
      </c>
      <c r="K408">
        <f ca="1">IF(AND(ISNUMBER($K$907),$B$511=1),$K$907,HLOOKUP(INDIRECT(ADDRESS(2,COLUMN())),OFFSET($BN$2,0,0,ROW()-1,60),ROW()-1,FALSE))</f>
        <v>60569.594449999997</v>
      </c>
      <c r="L408">
        <f ca="1">IF(AND(ISNUMBER($L$907),$B$511=1),$L$907,HLOOKUP(INDIRECT(ADDRESS(2,COLUMN())),OFFSET($BN$2,0,0,ROW()-1,60),ROW()-1,FALSE))</f>
        <v>64769.626700000001</v>
      </c>
      <c r="M408">
        <f ca="1">IF(AND(ISNUMBER($M$907),$B$511=1),$M$907,HLOOKUP(INDIRECT(ADDRESS(2,COLUMN())),OFFSET($BN$2,0,0,ROW()-1,60),ROW()-1,FALSE))</f>
        <v>65203.522599999997</v>
      </c>
      <c r="N408">
        <f ca="1">IF(AND(ISNUMBER($N$907),$B$511=1),$N$907,HLOOKUP(INDIRECT(ADDRESS(2,COLUMN())),OFFSET($BN$2,0,0,ROW()-1,60),ROW()-1,FALSE))</f>
        <v>50544.609100000001</v>
      </c>
      <c r="O408">
        <f ca="1">IF(AND(ISNUMBER($O$907),$B$511=1),$O$907,HLOOKUP(INDIRECT(ADDRESS(2,COLUMN())),OFFSET($BN$2,0,0,ROW()-1,60),ROW()-1,FALSE))</f>
        <v>39036.589160000003</v>
      </c>
      <c r="P408">
        <f ca="1">IF(AND(ISNUMBER($P$907),$B$511=1),$P$907,HLOOKUP(INDIRECT(ADDRESS(2,COLUMN())),OFFSET($BN$2,0,0,ROW()-1,60),ROW()-1,FALSE))</f>
        <v>29957.687559999998</v>
      </c>
      <c r="Q408">
        <f ca="1">IF(AND(ISNUMBER($Q$907),$B$511=1),$Q$907,HLOOKUP(INDIRECT(ADDRESS(2,COLUMN())),OFFSET($BN$2,0,0,ROW()-1,60),ROW()-1,FALSE))</f>
        <v>31264.41577</v>
      </c>
      <c r="R408">
        <f ca="1">IF(AND(ISNUMBER($R$907),$B$511=1),$R$907,HLOOKUP(INDIRECT(ADDRESS(2,COLUMN())),OFFSET($BN$2,0,0,ROW()-1,60),ROW()-1,FALSE))</f>
        <v>32063.035199999998</v>
      </c>
      <c r="S408">
        <f ca="1">IF(AND(ISNUMBER($S$907),$B$511=1),$S$907,HLOOKUP(INDIRECT(ADDRESS(2,COLUMN())),OFFSET($BN$2,0,0,ROW()-1,60),ROW()-1,FALSE))</f>
        <v>32881.739379999999</v>
      </c>
      <c r="T408">
        <f ca="1">IF(AND(ISNUMBER($T$907),$B$511=1),$T$907,HLOOKUP(INDIRECT(ADDRESS(2,COLUMN())),OFFSET($BN$2,0,0,ROW()-1,60),ROW()-1,FALSE))</f>
        <v>33559.110330000003</v>
      </c>
      <c r="U408">
        <f ca="1">IF(AND(ISNUMBER($U$907),$B$511=1),$U$907,HLOOKUP(INDIRECT(ADDRESS(2,COLUMN())),OFFSET($BN$2,0,0,ROW()-1,60),ROW()-1,FALSE))</f>
        <v>35446.299599999998</v>
      </c>
      <c r="V408">
        <f ca="1">IF(AND(ISNUMBER($V$907),$B$511=1),$V$907,HLOOKUP(INDIRECT(ADDRESS(2,COLUMN())),OFFSET($BN$2,0,0,ROW()-1,60),ROW()-1,FALSE))</f>
        <v>24760.442920000001</v>
      </c>
      <c r="W408">
        <f ca="1">IF(AND(ISNUMBER($W$907),$B$511=1),$W$907,HLOOKUP(INDIRECT(ADDRESS(2,COLUMN())),OFFSET($BN$2,0,0,ROW()-1,60),ROW()-1,FALSE))</f>
        <v>28468.532650000001</v>
      </c>
      <c r="X408">
        <f ca="1">IF(AND(ISNUMBER($X$907),$B$511=1),$X$907,HLOOKUP(INDIRECT(ADDRESS(2,COLUMN())),OFFSET($BN$2,0,0,ROW()-1,60),ROW()-1,FALSE))</f>
        <v>30281.087299999999</v>
      </c>
      <c r="Y408">
        <f ca="1">IF(AND(ISNUMBER($Y$907),$B$511=1),$Y$907,HLOOKUP(INDIRECT(ADDRESS(2,COLUMN())),OFFSET($BN$2,0,0,ROW()-1,60),ROW()-1,FALSE))</f>
        <v>29564.790980000002</v>
      </c>
      <c r="Z408">
        <f ca="1">IF(AND(ISNUMBER($Z$907),$B$511=1),$Z$907,HLOOKUP(INDIRECT(ADDRESS(2,COLUMN())),OFFSET($BN$2,0,0,ROW()-1,60),ROW()-1,FALSE))</f>
        <v>25227.151959999999</v>
      </c>
      <c r="AA408">
        <f ca="1">IF(AND(ISNUMBER($AA$907),$B$511=1),$AA$907,HLOOKUP(INDIRECT(ADDRESS(2,COLUMN())),OFFSET($BN$2,0,0,ROW()-1,60),ROW()-1,FALSE))</f>
        <v>18202.670620000001</v>
      </c>
      <c r="AB408">
        <f ca="1">IF(AND(ISNUMBER($AB$907),$B$511=1),$AB$907,HLOOKUP(INDIRECT(ADDRESS(2,COLUMN())),OFFSET($BN$2,0,0,ROW()-1,60),ROW()-1,FALSE))</f>
        <v>23289.00605</v>
      </c>
      <c r="AC408">
        <f ca="1">IF(AND(ISNUMBER($AC$907),$B$511=1),$AC$907,HLOOKUP(INDIRECT(ADDRESS(2,COLUMN())),OFFSET($BN$2,0,0,ROW()-1,60),ROW()-1,FALSE))</f>
        <v>12630.32771</v>
      </c>
      <c r="AD408">
        <f ca="1">IF(AND(ISNUMBER($AD$907),$B$511=1),$AD$907,HLOOKUP(INDIRECT(ADDRESS(2,COLUMN())),OFFSET($BN$2,0,0,ROW()-1,60),ROW()-1,FALSE))</f>
        <v>4580.207934</v>
      </c>
      <c r="AE408">
        <f ca="1">IF(AND(ISNUMBER($AE$907),$B$511=1),$AE$907,HLOOKUP(INDIRECT(ADDRESS(2,COLUMN())),OFFSET($BN$2,0,0,ROW()-1,60),ROW()-1,FALSE))</f>
        <v>4118.4673480000001</v>
      </c>
      <c r="AF408">
        <f ca="1">IF(AND(ISNUMBER($AF$907),$B$511=1),$AF$907,HLOOKUP(INDIRECT(ADDRESS(2,COLUMN())),OFFSET($BN$2,0,0,ROW()-1,60),ROW()-1,FALSE))</f>
        <v>3688.319712</v>
      </c>
      <c r="AG408">
        <f ca="1">IF(AND(ISNUMBER($AG$907),$B$511=1),$AG$907,HLOOKUP(INDIRECT(ADDRESS(2,COLUMN())),OFFSET($BN$2,0,0,ROW()-1,60),ROW()-1,FALSE))</f>
        <v>3520.5776150000002</v>
      </c>
      <c r="AH408">
        <f ca="1">IF(AND(ISNUMBER($AH$907),$B$511=1),$AH$907,HLOOKUP(INDIRECT(ADDRESS(2,COLUMN())),OFFSET($BN$2,0,0,ROW()-1,60),ROW()-1,FALSE))</f>
        <v>4017.781821</v>
      </c>
      <c r="AI408">
        <f ca="1">IF(AND(ISNUMBER($AI$907),$B$511=1),$AI$907,HLOOKUP(INDIRECT(ADDRESS(2,COLUMN())),OFFSET($BN$2,0,0,ROW()-1,60),ROW()-1,FALSE))</f>
        <v>2978.5889940000002</v>
      </c>
      <c r="AJ408">
        <f ca="1">IF(AND(ISNUMBER($AJ$907),$B$511=1),$AJ$907,HLOOKUP(INDIRECT(ADDRESS(2,COLUMN())),OFFSET($BN$2,0,0,ROW()-1,60),ROW()-1,FALSE))</f>
        <v>2484.6674079999998</v>
      </c>
      <c r="AK408">
        <f ca="1">IF(AND(ISNUMBER($AK$907),$B$511=1),$AK$907,HLOOKUP(INDIRECT(ADDRESS(2,COLUMN())),OFFSET($BN$2,0,0,ROW()-1,60),ROW()-1,FALSE))</f>
        <v>2811.1954289999999</v>
      </c>
      <c r="AL408">
        <f ca="1">IF(AND(ISNUMBER($AL$907),$B$511=1),$AL$907,HLOOKUP(INDIRECT(ADDRESS(2,COLUMN())),OFFSET($BN$2,0,0,ROW()-1,60),ROW()-1,FALSE))</f>
        <v>2648.0824459999999</v>
      </c>
      <c r="AM408">
        <f ca="1">IF(AND(ISNUMBER($AM$907),$B$511=1),$AM$907,HLOOKUP(INDIRECT(ADDRESS(2,COLUMN())),OFFSET($BN$2,0,0,ROW()-1,60),ROW()-1,FALSE))</f>
        <v>2456.8437020000001</v>
      </c>
      <c r="AN408">
        <f ca="1">IF(AND(ISNUMBER($AN$907),$B$511=1),$AN$907,HLOOKUP(INDIRECT(ADDRESS(2,COLUMN())),OFFSET($BN$2,0,0,ROW()-1,60),ROW()-1,FALSE))</f>
        <v>1862.554126</v>
      </c>
      <c r="AO408">
        <f ca="1">IF(AND(ISNUMBER($AO$907),$B$511=1),$AO$907,HLOOKUP(INDIRECT(ADDRESS(2,COLUMN())),OFFSET($BN$2,0,0,ROW()-1,60),ROW()-1,FALSE))</f>
        <v>2537.0719519999998</v>
      </c>
      <c r="AP408" t="str">
        <f ca="1">IF(AND(ISNUMBER($AP$907),$B$511=1),$AP$907,HLOOKUP(INDIRECT(ADDRESS(2,COLUMN())),OFFSET($BN$2,0,0,ROW()-1,60),ROW()-1,FALSE))</f>
        <v/>
      </c>
      <c r="AQ408" t="str">
        <f ca="1">IF(AND(ISNUMBER($AQ$907),$B$511=1),$AQ$907,HLOOKUP(INDIRECT(ADDRESS(2,COLUMN())),OFFSET($BN$2,0,0,ROW()-1,60),ROW()-1,FALSE))</f>
        <v/>
      </c>
      <c r="AR408" t="str">
        <f ca="1">IF(AND(ISNUMBER($AR$907),$B$511=1),$AR$907,HLOOKUP(INDIRECT(ADDRESS(2,COLUMN())),OFFSET($BN$2,0,0,ROW()-1,60),ROW()-1,FALSE))</f>
        <v/>
      </c>
      <c r="AS408" t="str">
        <f ca="1">IF(AND(ISNUMBER($AS$907),$B$511=1),$AS$907,HLOOKUP(INDIRECT(ADDRESS(2,COLUMN())),OFFSET($BN$2,0,0,ROW()-1,60),ROW()-1,FALSE))</f>
        <v/>
      </c>
      <c r="AT408" t="str">
        <f ca="1">IF(AND(ISNUMBER($AT$907),$B$511=1),$AT$907,HLOOKUP(INDIRECT(ADDRESS(2,COLUMN())),OFFSET($BN$2,0,0,ROW()-1,60),ROW()-1,FALSE))</f>
        <v/>
      </c>
      <c r="AU408" t="str">
        <f ca="1">IF(AND(ISNUMBER($AU$907),$B$511=1),$AU$907,HLOOKUP(INDIRECT(ADDRESS(2,COLUMN())),OFFSET($BN$2,0,0,ROW()-1,60),ROW()-1,FALSE))</f>
        <v/>
      </c>
      <c r="AV408" t="str">
        <f ca="1">IF(AND(ISNUMBER($AV$907),$B$511=1),$AV$907,HLOOKUP(INDIRECT(ADDRESS(2,COLUMN())),OFFSET($BN$2,0,0,ROW()-1,60),ROW()-1,FALSE))</f>
        <v/>
      </c>
      <c r="AW408" t="str">
        <f ca="1">IF(AND(ISNUMBER($AW$907),$B$511=1),$AW$907,HLOOKUP(INDIRECT(ADDRESS(2,COLUMN())),OFFSET($BN$2,0,0,ROW()-1,60),ROW()-1,FALSE))</f>
        <v/>
      </c>
      <c r="AX408" t="str">
        <f ca="1">IF(AND(ISNUMBER($AX$907),$B$511=1),$AX$907,HLOOKUP(INDIRECT(ADDRESS(2,COLUMN())),OFFSET($BN$2,0,0,ROW()-1,60),ROW()-1,FALSE))</f>
        <v/>
      </c>
      <c r="AY408" t="str">
        <f ca="1">IF(AND(ISNUMBER($AY$907),$B$511=1),$AY$907,HLOOKUP(INDIRECT(ADDRESS(2,COLUMN())),OFFSET($BN$2,0,0,ROW()-1,60),ROW()-1,FALSE))</f>
        <v/>
      </c>
      <c r="AZ408" t="str">
        <f ca="1">IF(AND(ISNUMBER($AZ$907),$B$511=1),$AZ$907,HLOOKUP(INDIRECT(ADDRESS(2,COLUMN())),OFFSET($BN$2,0,0,ROW()-1,60),ROW()-1,FALSE))</f>
        <v/>
      </c>
      <c r="BA408" t="str">
        <f ca="1">IF(AND(ISNUMBER($BA$907),$B$511=1),$BA$907,HLOOKUP(INDIRECT(ADDRESS(2,COLUMN())),OFFSET($BN$2,0,0,ROW()-1,60),ROW()-1,FALSE))</f>
        <v/>
      </c>
      <c r="BB408" t="str">
        <f ca="1">IF(AND(ISNUMBER($BB$907),$B$511=1),$BB$907,HLOOKUP(INDIRECT(ADDRESS(2,COLUMN())),OFFSET($BN$2,0,0,ROW()-1,60),ROW()-1,FALSE))</f>
        <v/>
      </c>
      <c r="BC408" t="str">
        <f ca="1">IF(AND(ISNUMBER($BC$907),$B$511=1),$BC$907,HLOOKUP(INDIRECT(ADDRESS(2,COLUMN())),OFFSET($BN$2,0,0,ROW()-1,60),ROW()-1,FALSE))</f>
        <v/>
      </c>
      <c r="BD408" t="str">
        <f ca="1">IF(AND(ISNUMBER($BD$907),$B$511=1),$BD$907,HLOOKUP(INDIRECT(ADDRESS(2,COLUMN())),OFFSET($BN$2,0,0,ROW()-1,60),ROW()-1,FALSE))</f>
        <v/>
      </c>
      <c r="BE408" t="str">
        <f ca="1">IF(AND(ISNUMBER($BE$907),$B$511=1),$BE$907,HLOOKUP(INDIRECT(ADDRESS(2,COLUMN())),OFFSET($BN$2,0,0,ROW()-1,60),ROW()-1,FALSE))</f>
        <v/>
      </c>
      <c r="BF408" t="str">
        <f ca="1">IF(AND(ISNUMBER($BF$907),$B$511=1),$BF$907,HLOOKUP(INDIRECT(ADDRESS(2,COLUMN())),OFFSET($BN$2,0,0,ROW()-1,60),ROW()-1,FALSE))</f>
        <v/>
      </c>
      <c r="BG408" t="str">
        <f ca="1">IF(AND(ISNUMBER($BG$907),$B$511=1),$BG$907,HLOOKUP(INDIRECT(ADDRESS(2,COLUMN())),OFFSET($BN$2,0,0,ROW()-1,60),ROW()-1,FALSE))</f>
        <v/>
      </c>
      <c r="BH408" t="str">
        <f ca="1">IF(AND(ISNUMBER($BH$907),$B$511=1),$BH$907,HLOOKUP(INDIRECT(ADDRESS(2,COLUMN())),OFFSET($BN$2,0,0,ROW()-1,60),ROW()-1,FALSE))</f>
        <v/>
      </c>
      <c r="BI408" t="str">
        <f ca="1">IF(AND(ISNUMBER($BI$907),$B$511=1),$BI$907,HLOOKUP(INDIRECT(ADDRESS(2,COLUMN())),OFFSET($BN$2,0,0,ROW()-1,60),ROW()-1,FALSE))</f>
        <v/>
      </c>
      <c r="BJ408" t="str">
        <f ca="1">IF(AND(ISNUMBER($BJ$907),$B$511=1),$BJ$907,HLOOKUP(INDIRECT(ADDRESS(2,COLUMN())),OFFSET($BN$2,0,0,ROW()-1,60),ROW()-1,FALSE))</f>
        <v/>
      </c>
      <c r="BK408" t="str">
        <f ca="1">IF(AND(ISNUMBER($BK$907),$B$511=1),$BK$907,HLOOKUP(INDIRECT(ADDRESS(2,COLUMN())),OFFSET($BN$2,0,0,ROW()-1,60),ROW()-1,FALSE))</f>
        <v/>
      </c>
      <c r="BL408" t="str">
        <f ca="1">IF(AND(ISNUMBER($BL$907),$B$511=1),$BL$907,HLOOKUP(INDIRECT(ADDRESS(2,COLUMN())),OFFSET($BN$2,0,0,ROW()-1,60),ROW()-1,FALSE))</f>
        <v/>
      </c>
      <c r="BM408" t="str">
        <f ca="1">IF(AND(ISNUMBER($BM$907),$B$511=1),$BM$907,HLOOKUP(INDIRECT(ADDRESS(2,COLUMN())),OFFSET($BN$2,0,0,ROW()-1,60),ROW()-1,FALSE))</f>
        <v/>
      </c>
      <c r="BN408">
        <f>60541.29525</f>
        <v>60541.295250000003</v>
      </c>
      <c r="BO408">
        <f>66828.78152</f>
        <v>66828.781520000004</v>
      </c>
      <c r="BP408">
        <f>55324.22474</f>
        <v>55324.224739999998</v>
      </c>
      <c r="BQ408">
        <f>68342.17327</f>
        <v>68342.173269999999</v>
      </c>
      <c r="BR408">
        <f>54237.8579</f>
        <v>54237.857900000003</v>
      </c>
      <c r="BS408">
        <f>60569.59445</f>
        <v>60569.594449999997</v>
      </c>
      <c r="BT408">
        <f>64769.6267</f>
        <v>64769.626700000001</v>
      </c>
      <c r="BU408">
        <f>65203.5226</f>
        <v>65203.522599999997</v>
      </c>
      <c r="BV408">
        <f>50544.6091</f>
        <v>50544.609100000001</v>
      </c>
      <c r="BW408">
        <f>39036.58916</f>
        <v>39036.589160000003</v>
      </c>
      <c r="BX408">
        <f>29957.68756</f>
        <v>29957.687559999998</v>
      </c>
      <c r="BY408">
        <f>31264.41577</f>
        <v>31264.41577</v>
      </c>
      <c r="BZ408">
        <f>32063.0352</f>
        <v>32063.035199999998</v>
      </c>
      <c r="CA408">
        <f>32881.73938</f>
        <v>32881.739379999999</v>
      </c>
      <c r="CB408">
        <f>33559.11033</f>
        <v>33559.110330000003</v>
      </c>
      <c r="CC408">
        <f>35446.2996</f>
        <v>35446.299599999998</v>
      </c>
      <c r="CD408">
        <f>24760.44292</f>
        <v>24760.442920000001</v>
      </c>
      <c r="CE408">
        <f>28468.53265</f>
        <v>28468.532650000001</v>
      </c>
      <c r="CF408">
        <f>30281.0873</f>
        <v>30281.087299999999</v>
      </c>
      <c r="CG408">
        <f>29564.79098</f>
        <v>29564.790980000002</v>
      </c>
      <c r="CH408">
        <f>25227.15196</f>
        <v>25227.151959999999</v>
      </c>
      <c r="CI408">
        <f>18202.67062</f>
        <v>18202.670620000001</v>
      </c>
      <c r="CJ408">
        <f>23289.00605</f>
        <v>23289.00605</v>
      </c>
      <c r="CK408">
        <f>12630.32771</f>
        <v>12630.32771</v>
      </c>
      <c r="CL408">
        <f>4580.207934</f>
        <v>4580.207934</v>
      </c>
      <c r="CM408">
        <f>4118.467348</f>
        <v>4118.4673480000001</v>
      </c>
      <c r="CN408">
        <f>3688.319712</f>
        <v>3688.319712</v>
      </c>
      <c r="CO408">
        <f>3520.577615</f>
        <v>3520.5776150000002</v>
      </c>
      <c r="CP408">
        <f>4017.781821</f>
        <v>4017.781821</v>
      </c>
      <c r="CQ408">
        <f>2978.588994</f>
        <v>2978.5889940000002</v>
      </c>
      <c r="CR408">
        <f>2484.667408</f>
        <v>2484.6674079999998</v>
      </c>
      <c r="CS408">
        <f>2811.195429</f>
        <v>2811.1954289999999</v>
      </c>
      <c r="CT408">
        <f>2648.082446</f>
        <v>2648.0824459999999</v>
      </c>
      <c r="CU408">
        <f>2456.843702</f>
        <v>2456.8437020000001</v>
      </c>
      <c r="CV408">
        <f>1862.554126</f>
        <v>1862.554126</v>
      </c>
      <c r="CW408">
        <f>2537.071952</f>
        <v>2537.0719519999998</v>
      </c>
      <c r="CX408" t="str">
        <f>""</f>
        <v/>
      </c>
      <c r="CY408" t="str">
        <f>""</f>
        <v/>
      </c>
      <c r="CZ408" t="str">
        <f>""</f>
        <v/>
      </c>
      <c r="DA408" t="str">
        <f>""</f>
        <v/>
      </c>
      <c r="DB408" t="str">
        <f>""</f>
        <v/>
      </c>
      <c r="DC408" t="str">
        <f>""</f>
        <v/>
      </c>
      <c r="DD408" t="str">
        <f>""</f>
        <v/>
      </c>
      <c r="DE408" t="str">
        <f>""</f>
        <v/>
      </c>
      <c r="DF408" t="str">
        <f>""</f>
        <v/>
      </c>
      <c r="DG408" t="str">
        <f>""</f>
        <v/>
      </c>
      <c r="DH408" t="str">
        <f>""</f>
        <v/>
      </c>
      <c r="DI408" t="str">
        <f>""</f>
        <v/>
      </c>
      <c r="DJ408" t="str">
        <f>""</f>
        <v/>
      </c>
      <c r="DK408" t="str">
        <f>""</f>
        <v/>
      </c>
      <c r="DL408" t="str">
        <f>""</f>
        <v/>
      </c>
      <c r="DM408" t="str">
        <f>""</f>
        <v/>
      </c>
      <c r="DN408" t="str">
        <f>""</f>
        <v/>
      </c>
      <c r="DO408" t="str">
        <f>""</f>
        <v/>
      </c>
      <c r="DP408" t="str">
        <f>""</f>
        <v/>
      </c>
      <c r="DQ408" t="str">
        <f>""</f>
        <v/>
      </c>
      <c r="DR408" t="str">
        <f>""</f>
        <v/>
      </c>
      <c r="DS408" t="str">
        <f>""</f>
        <v/>
      </c>
      <c r="DT408" t="str">
        <f>""</f>
        <v/>
      </c>
      <c r="DU408" t="str">
        <f>""</f>
        <v/>
      </c>
    </row>
    <row r="409" spans="1:125" x14ac:dyDescent="0.25">
      <c r="A409" t="str">
        <f>"    Tianjin Faw Xiali Automobile Co Ltd"</f>
        <v xml:space="preserve">    Tianjin Faw Xiali Automobile Co Ltd</v>
      </c>
      <c r="B409" t="str">
        <f>"000927 CH Equity"</f>
        <v>000927 CH Equity</v>
      </c>
      <c r="C409" t="str">
        <f t="shared" si="27"/>
        <v>RR937</v>
      </c>
      <c r="D409" t="str">
        <f t="shared" si="28"/>
        <v>CRNCY_ADJ_CURR_EV</v>
      </c>
      <c r="E409" t="str">
        <f t="shared" si="29"/>
        <v>Dynamic</v>
      </c>
      <c r="F409">
        <f ca="1">IF(AND(ISNUMBER($F$908),$B$511=1),$F$908,HLOOKUP(INDIRECT(ADDRESS(2,COLUMN())),OFFSET($BN$2,0,0,ROW()-1,60),ROW()-1,FALSE))</f>
        <v>1205.813296</v>
      </c>
      <c r="G409">
        <f ca="1">IF(AND(ISNUMBER($G$908),$B$511=1),$G$908,HLOOKUP(INDIRECT(ADDRESS(2,COLUMN())),OFFSET($BN$2,0,0,ROW()-1,60),ROW()-1,FALSE))</f>
        <v>1058.7846939999999</v>
      </c>
      <c r="H409">
        <f ca="1">IF(AND(ISNUMBER($H$908),$B$511=1),$H$908,HLOOKUP(INDIRECT(ADDRESS(2,COLUMN())),OFFSET($BN$2,0,0,ROW()-1,60),ROW()-1,FALSE))</f>
        <v>1104.3100179999999</v>
      </c>
      <c r="I409">
        <f ca="1">IF(AND(ISNUMBER($I$908),$B$511=1),$I$908,HLOOKUP(INDIRECT(ADDRESS(2,COLUMN())),OFFSET($BN$2,0,0,ROW()-1,60),ROW()-1,FALSE))</f>
        <v>1319.8733830000001</v>
      </c>
      <c r="J409">
        <f ca="1">IF(AND(ISNUMBER($J$908),$B$511=1),$J$908,HLOOKUP(INDIRECT(ADDRESS(2,COLUMN())),OFFSET($BN$2,0,0,ROW()-1,60),ROW()-1,FALSE))</f>
        <v>1343.6642059999999</v>
      </c>
      <c r="K409">
        <f ca="1">IF(AND(ISNUMBER($K$908),$B$511=1),$K$908,HLOOKUP(INDIRECT(ADDRESS(2,COLUMN())),OFFSET($BN$2,0,0,ROW()-1,60),ROW()-1,FALSE))</f>
        <v>1478.8965599999999</v>
      </c>
      <c r="L409">
        <f ca="1">IF(AND(ISNUMBER($L$908),$B$511=1),$L$908,HLOOKUP(INDIRECT(ADDRESS(2,COLUMN())),OFFSET($BN$2,0,0,ROW()-1,60),ROW()-1,FALSE))</f>
        <v>1543.3371669999999</v>
      </c>
      <c r="M409">
        <f ca="1">IF(AND(ISNUMBER($M$908),$B$511=1),$M$908,HLOOKUP(INDIRECT(ADDRESS(2,COLUMN())),OFFSET($BN$2,0,0,ROW()-1,60),ROW()-1,FALSE))</f>
        <v>1371.319532</v>
      </c>
      <c r="N409">
        <f ca="1">IF(AND(ISNUMBER($N$908),$B$511=1),$N$908,HLOOKUP(INDIRECT(ADDRESS(2,COLUMN())),OFFSET($BN$2,0,0,ROW()-1,60),ROW()-1,FALSE))</f>
        <v>1801.7642949999999</v>
      </c>
      <c r="O409">
        <f ca="1">IF(AND(ISNUMBER($O$908),$B$511=1),$O$908,HLOOKUP(INDIRECT(ADDRESS(2,COLUMN())),OFFSET($BN$2,0,0,ROW()-1,60),ROW()-1,FALSE))</f>
        <v>1418.907281</v>
      </c>
      <c r="P409">
        <f ca="1">IF(AND(ISNUMBER($P$908),$B$511=1),$P$908,HLOOKUP(INDIRECT(ADDRESS(2,COLUMN())),OFFSET($BN$2,0,0,ROW()-1,60),ROW()-1,FALSE))</f>
        <v>1032.1853840000001</v>
      </c>
      <c r="Q409">
        <f ca="1">IF(AND(ISNUMBER($Q$908),$B$511=1),$Q$908,HLOOKUP(INDIRECT(ADDRESS(2,COLUMN())),OFFSET($BN$2,0,0,ROW()-1,60),ROW()-1,FALSE))</f>
        <v>1522.7539770000001</v>
      </c>
      <c r="R409">
        <f ca="1">IF(AND(ISNUMBER($R$908),$B$511=1),$R$908,HLOOKUP(INDIRECT(ADDRESS(2,COLUMN())),OFFSET($BN$2,0,0,ROW()-1,60),ROW()-1,FALSE))</f>
        <v>1845.5779050000001</v>
      </c>
      <c r="S409">
        <f ca="1">IF(AND(ISNUMBER($S$908),$B$511=1),$S$908,HLOOKUP(INDIRECT(ADDRESS(2,COLUMN())),OFFSET($BN$2,0,0,ROW()-1,60),ROW()-1,FALSE))</f>
        <v>1959.3558780000001</v>
      </c>
      <c r="T409">
        <f ca="1">IF(AND(ISNUMBER($T$908),$B$511=1),$T$908,HLOOKUP(INDIRECT(ADDRESS(2,COLUMN())),OFFSET($BN$2,0,0,ROW()-1,60),ROW()-1,FALSE))</f>
        <v>2157.8524000000002</v>
      </c>
      <c r="U409">
        <f ca="1">IF(AND(ISNUMBER($U$908),$B$511=1),$U$908,HLOOKUP(INDIRECT(ADDRESS(2,COLUMN())),OFFSET($BN$2,0,0,ROW()-1,60),ROW()-1,FALSE))</f>
        <v>2931.9015519999998</v>
      </c>
      <c r="V409">
        <f ca="1">IF(AND(ISNUMBER($V$908),$B$511=1),$V$908,HLOOKUP(INDIRECT(ADDRESS(2,COLUMN())),OFFSET($BN$2,0,0,ROW()-1,60),ROW()-1,FALSE))</f>
        <v>2561.746459</v>
      </c>
      <c r="W409">
        <f ca="1">IF(AND(ISNUMBER($W$908),$B$511=1),$W$908,HLOOKUP(INDIRECT(ADDRESS(2,COLUMN())),OFFSET($BN$2,0,0,ROW()-1,60),ROW()-1,FALSE))</f>
        <v>2107.0062929999999</v>
      </c>
      <c r="X409">
        <f ca="1">IF(AND(ISNUMBER($X$908),$B$511=1),$X$908,HLOOKUP(INDIRECT(ADDRESS(2,COLUMN())),OFFSET($BN$2,0,0,ROW()-1,60),ROW()-1,FALSE))</f>
        <v>1633.5692650000001</v>
      </c>
      <c r="Y409">
        <f ca="1">IF(AND(ISNUMBER($Y$908),$B$511=1),$Y$908,HLOOKUP(INDIRECT(ADDRESS(2,COLUMN())),OFFSET($BN$2,0,0,ROW()-1,60),ROW()-1,FALSE))</f>
        <v>1220.8032029999999</v>
      </c>
      <c r="Z409">
        <f ca="1">IF(AND(ISNUMBER($Z$908),$B$511=1),$Z$908,HLOOKUP(INDIRECT(ADDRESS(2,COLUMN())),OFFSET($BN$2,0,0,ROW()-1,60),ROW()-1,FALSE))</f>
        <v>1346.561422</v>
      </c>
      <c r="AA409">
        <f ca="1">IF(AND(ISNUMBER($AA$908),$B$511=1),$AA$908,HLOOKUP(INDIRECT(ADDRESS(2,COLUMN())),OFFSET($BN$2,0,0,ROW()-1,60),ROW()-1,FALSE))</f>
        <v>1271.039552</v>
      </c>
      <c r="AB409">
        <f ca="1">IF(AND(ISNUMBER($AB$908),$B$511=1),$AB$908,HLOOKUP(INDIRECT(ADDRESS(2,COLUMN())),OFFSET($BN$2,0,0,ROW()-1,60),ROW()-1,FALSE))</f>
        <v>1241.730804</v>
      </c>
      <c r="AC409">
        <f ca="1">IF(AND(ISNUMBER($AC$908),$B$511=1),$AC$908,HLOOKUP(INDIRECT(ADDRESS(2,COLUMN())),OFFSET($BN$2,0,0,ROW()-1,60),ROW()-1,FALSE))</f>
        <v>1072.6568239999999</v>
      </c>
      <c r="AD409">
        <f ca="1">IF(AND(ISNUMBER($AD$908),$B$511=1),$AD$908,HLOOKUP(INDIRECT(ADDRESS(2,COLUMN())),OFFSET($BN$2,0,0,ROW()-1,60),ROW()-1,FALSE))</f>
        <v>1383.8396359999999</v>
      </c>
      <c r="AE409">
        <f ca="1">IF(AND(ISNUMBER($AE$908),$B$511=1),$AE$908,HLOOKUP(INDIRECT(ADDRESS(2,COLUMN())),OFFSET($BN$2,0,0,ROW()-1,60),ROW()-1,FALSE))</f>
        <v>1500.114448</v>
      </c>
      <c r="AF409">
        <f ca="1">IF(AND(ISNUMBER($AF$908),$B$511=1),$AF$908,HLOOKUP(INDIRECT(ADDRESS(2,COLUMN())),OFFSET($BN$2,0,0,ROW()-1,60),ROW()-1,FALSE))</f>
        <v>1446.5139819999999</v>
      </c>
      <c r="AG409">
        <f ca="1">IF(AND(ISNUMBER($AG$908),$B$511=1),$AG$908,HLOOKUP(INDIRECT(ADDRESS(2,COLUMN())),OFFSET($BN$2,0,0,ROW()-1,60),ROW()-1,FALSE))</f>
        <v>1938.847902</v>
      </c>
      <c r="AH409">
        <f ca="1">IF(AND(ISNUMBER($AH$908),$B$511=1),$AH$908,HLOOKUP(INDIRECT(ADDRESS(2,COLUMN())),OFFSET($BN$2,0,0,ROW()-1,60),ROW()-1,FALSE))</f>
        <v>1898.314122</v>
      </c>
      <c r="AI409">
        <f ca="1">IF(AND(ISNUMBER($AI$908),$B$511=1),$AI$908,HLOOKUP(INDIRECT(ADDRESS(2,COLUMN())),OFFSET($BN$2,0,0,ROW()-1,60),ROW()-1,FALSE))</f>
        <v>1673.5167690000001</v>
      </c>
      <c r="AJ409">
        <f ca="1">IF(AND(ISNUMBER($AJ$908),$B$511=1),$AJ$908,HLOOKUP(INDIRECT(ADDRESS(2,COLUMN())),OFFSET($BN$2,0,0,ROW()-1,60),ROW()-1,FALSE))</f>
        <v>1900.8960219999999</v>
      </c>
      <c r="AK409">
        <f ca="1">IF(AND(ISNUMBER($AK$908),$B$511=1),$AK$908,HLOOKUP(INDIRECT(ADDRESS(2,COLUMN())),OFFSET($BN$2,0,0,ROW()-1,60),ROW()-1,FALSE))</f>
        <v>1631.578518</v>
      </c>
      <c r="AL409">
        <f ca="1">IF(AND(ISNUMBER($AL$908),$B$511=1),$AL$908,HLOOKUP(INDIRECT(ADDRESS(2,COLUMN())),OFFSET($BN$2,0,0,ROW()-1,60),ROW()-1,FALSE))</f>
        <v>1961.492225</v>
      </c>
      <c r="AM409">
        <f ca="1">IF(AND(ISNUMBER($AM$908),$B$511=1),$AM$908,HLOOKUP(INDIRECT(ADDRESS(2,COLUMN())),OFFSET($BN$2,0,0,ROW()-1,60),ROW()-1,FALSE))</f>
        <v>1985.451421</v>
      </c>
      <c r="AN409">
        <f ca="1">IF(AND(ISNUMBER($AN$908),$B$511=1),$AN$908,HLOOKUP(INDIRECT(ADDRESS(2,COLUMN())),OFFSET($BN$2,0,0,ROW()-1,60),ROW()-1,FALSE))</f>
        <v>1916.2476549999999</v>
      </c>
      <c r="AO409">
        <f ca="1">IF(AND(ISNUMBER($AO$908),$B$511=1),$AO$908,HLOOKUP(INDIRECT(ADDRESS(2,COLUMN())),OFFSET($BN$2,0,0,ROW()-1,60),ROW()-1,FALSE))</f>
        <v>1816.919032</v>
      </c>
      <c r="AP409">
        <f ca="1">IF(AND(ISNUMBER($AP$908),$B$511=1),$AP$908,HLOOKUP(INDIRECT(ADDRESS(2,COLUMN())),OFFSET($BN$2,0,0,ROW()-1,60),ROW()-1,FALSE))</f>
        <v>2333.8528510000001</v>
      </c>
      <c r="AQ409">
        <f ca="1">IF(AND(ISNUMBER($AQ$908),$B$511=1),$AQ$908,HLOOKUP(INDIRECT(ADDRESS(2,COLUMN())),OFFSET($BN$2,0,0,ROW()-1,60),ROW()-1,FALSE))</f>
        <v>2816.8673610000001</v>
      </c>
      <c r="AR409">
        <f ca="1">IF(AND(ISNUMBER($AR$908),$B$511=1),$AR$908,HLOOKUP(INDIRECT(ADDRESS(2,COLUMN())),OFFSET($BN$2,0,0,ROW()-1,60),ROW()-1,FALSE))</f>
        <v>1664.0050739999999</v>
      </c>
      <c r="AS409">
        <f ca="1">IF(AND(ISNUMBER($AS$908),$B$511=1),$AS$908,HLOOKUP(INDIRECT(ADDRESS(2,COLUMN())),OFFSET($BN$2,0,0,ROW()-1,60),ROW()-1,FALSE))</f>
        <v>1688.1419470000001</v>
      </c>
      <c r="AT409">
        <f ca="1">IF(AND(ISNUMBER($AT$908),$B$511=1),$AT$908,HLOOKUP(INDIRECT(ADDRESS(2,COLUMN())),OFFSET($BN$2,0,0,ROW()-1,60),ROW()-1,FALSE))</f>
        <v>1279.805816</v>
      </c>
      <c r="AU409">
        <f ca="1">IF(AND(ISNUMBER($AU$908),$B$511=1),$AU$908,HLOOKUP(INDIRECT(ADDRESS(2,COLUMN())),OFFSET($BN$2,0,0,ROW()-1,60),ROW()-1,FALSE))</f>
        <v>1009.008716</v>
      </c>
      <c r="AV409">
        <f ca="1">IF(AND(ISNUMBER($AV$908),$B$511=1),$AV$908,HLOOKUP(INDIRECT(ADDRESS(2,COLUMN())),OFFSET($BN$2,0,0,ROW()-1,60),ROW()-1,FALSE))</f>
        <v>953.17755009999996</v>
      </c>
      <c r="AW409">
        <f ca="1">IF(AND(ISNUMBER($AW$908),$B$511=1),$AW$908,HLOOKUP(INDIRECT(ADDRESS(2,COLUMN())),OFFSET($BN$2,0,0,ROW()-1,60),ROW()-1,FALSE))</f>
        <v>969.86012619999997</v>
      </c>
      <c r="AX409">
        <f ca="1">IF(AND(ISNUMBER($AX$908),$B$511=1),$AX$908,HLOOKUP(INDIRECT(ADDRESS(2,COLUMN())),OFFSET($BN$2,0,0,ROW()-1,60),ROW()-1,FALSE))</f>
        <v>1817.703618</v>
      </c>
      <c r="AY409">
        <f ca="1">IF(AND(ISNUMBER($AY$908),$B$511=1),$AY$908,HLOOKUP(INDIRECT(ADDRESS(2,COLUMN())),OFFSET($BN$2,0,0,ROW()-1,60),ROW()-1,FALSE))</f>
        <v>3174.2358949999998</v>
      </c>
      <c r="AZ409">
        <f ca="1">IF(AND(ISNUMBER($AZ$908),$B$511=1),$AZ$908,HLOOKUP(INDIRECT(ADDRESS(2,COLUMN())),OFFSET($BN$2,0,0,ROW()-1,60),ROW()-1,FALSE))</f>
        <v>3584.4465810000002</v>
      </c>
      <c r="BA409">
        <f ca="1">IF(AND(ISNUMBER($BA$908),$B$511=1),$BA$908,HLOOKUP(INDIRECT(ADDRESS(2,COLUMN())),OFFSET($BN$2,0,0,ROW()-1,60),ROW()-1,FALSE))</f>
        <v>1777.191223</v>
      </c>
      <c r="BB409">
        <f ca="1">IF(AND(ISNUMBER($BB$908),$B$511=1),$BB$908,HLOOKUP(INDIRECT(ADDRESS(2,COLUMN())),OFFSET($BN$2,0,0,ROW()-1,60),ROW()-1,FALSE))</f>
        <v>2104.0319730000001</v>
      </c>
      <c r="BC409">
        <f ca="1">IF(AND(ISNUMBER($BC$908),$B$511=1),$BC$908,HLOOKUP(INDIRECT(ADDRESS(2,COLUMN())),OFFSET($BN$2,0,0,ROW()-1,60),ROW()-1,FALSE))</f>
        <v>1142.686089</v>
      </c>
      <c r="BD409">
        <f ca="1">IF(AND(ISNUMBER($BD$908),$B$511=1),$BD$908,HLOOKUP(INDIRECT(ADDRESS(2,COLUMN())),OFFSET($BN$2,0,0,ROW()-1,60),ROW()-1,FALSE))</f>
        <v>827.75334859999998</v>
      </c>
      <c r="BE409">
        <f ca="1">IF(AND(ISNUMBER($BE$908),$B$511=1),$BE$908,HLOOKUP(INDIRECT(ADDRESS(2,COLUMN())),OFFSET($BN$2,0,0,ROW()-1,60),ROW()-1,FALSE))</f>
        <v>1408.7965039999999</v>
      </c>
      <c r="BF409">
        <f ca="1">IF(AND(ISNUMBER($BF$908),$B$511=1),$BF$908,HLOOKUP(INDIRECT(ADDRESS(2,COLUMN())),OFFSET($BN$2,0,0,ROW()-1,60),ROW()-1,FALSE))</f>
        <v>1089.1064710000001</v>
      </c>
      <c r="BG409">
        <f ca="1">IF(AND(ISNUMBER($BG$908),$B$511=1),$BG$908,HLOOKUP(INDIRECT(ADDRESS(2,COLUMN())),OFFSET($BN$2,0,0,ROW()-1,60),ROW()-1,FALSE))</f>
        <v>1033.968173</v>
      </c>
      <c r="BH409">
        <f ca="1">IF(AND(ISNUMBER($BH$908),$B$511=1),$BH$908,HLOOKUP(INDIRECT(ADDRESS(2,COLUMN())),OFFSET($BN$2,0,0,ROW()-1,60),ROW()-1,FALSE))</f>
        <v>1045.8460540000001</v>
      </c>
      <c r="BI409">
        <f ca="1">IF(AND(ISNUMBER($BI$908),$B$511=1),$BI$908,HLOOKUP(INDIRECT(ADDRESS(2,COLUMN())),OFFSET($BN$2,0,0,ROW()-1,60),ROW()-1,FALSE))</f>
        <v>788.15281049999999</v>
      </c>
      <c r="BJ409">
        <f ca="1">IF(AND(ISNUMBER($BJ$908),$B$511=1),$BJ$908,HLOOKUP(INDIRECT(ADDRESS(2,COLUMN())),OFFSET($BN$2,0,0,ROW()-1,60),ROW()-1,FALSE))</f>
        <v>764.86063360000003</v>
      </c>
      <c r="BK409">
        <f ca="1">IF(AND(ISNUMBER($BK$908),$B$511=1),$BK$908,HLOOKUP(INDIRECT(ADDRESS(2,COLUMN())),OFFSET($BN$2,0,0,ROW()-1,60),ROW()-1,FALSE))</f>
        <v>864.55814810000004</v>
      </c>
      <c r="BL409">
        <f ca="1">IF(AND(ISNUMBER($BL$908),$B$511=1),$BL$908,HLOOKUP(INDIRECT(ADDRESS(2,COLUMN())),OFFSET($BN$2,0,0,ROW()-1,60),ROW()-1,FALSE))</f>
        <v>1149.8638330000001</v>
      </c>
      <c r="BM409">
        <f ca="1">IF(AND(ISNUMBER($BM$908),$B$511=1),$BM$908,HLOOKUP(INDIRECT(ADDRESS(2,COLUMN())),OFFSET($BN$2,0,0,ROW()-1,60),ROW()-1,FALSE))</f>
        <v>1352.0528389999999</v>
      </c>
      <c r="BN409">
        <f>1205.813296</f>
        <v>1205.813296</v>
      </c>
      <c r="BO409">
        <f>1058.784694</f>
        <v>1058.7846939999999</v>
      </c>
      <c r="BP409">
        <f>1104.310018</f>
        <v>1104.3100179999999</v>
      </c>
      <c r="BQ409">
        <f>1319.873383</f>
        <v>1319.8733830000001</v>
      </c>
      <c r="BR409">
        <f>1343.664206</f>
        <v>1343.6642059999999</v>
      </c>
      <c r="BS409">
        <f>1478.89656</f>
        <v>1478.8965599999999</v>
      </c>
      <c r="BT409">
        <f>1543.337167</f>
        <v>1543.3371669999999</v>
      </c>
      <c r="BU409">
        <f>1371.319532</f>
        <v>1371.319532</v>
      </c>
      <c r="BV409">
        <f>1801.764295</f>
        <v>1801.7642949999999</v>
      </c>
      <c r="BW409">
        <f>1418.907281</f>
        <v>1418.907281</v>
      </c>
      <c r="BX409">
        <f>1032.185384</f>
        <v>1032.1853840000001</v>
      </c>
      <c r="BY409">
        <f>1522.753977</f>
        <v>1522.7539770000001</v>
      </c>
      <c r="BZ409">
        <f>1845.577905</f>
        <v>1845.5779050000001</v>
      </c>
      <c r="CA409">
        <f>1959.355878</f>
        <v>1959.3558780000001</v>
      </c>
      <c r="CB409">
        <f>2157.8524</f>
        <v>2157.8524000000002</v>
      </c>
      <c r="CC409">
        <f>2931.901552</f>
        <v>2931.9015519999998</v>
      </c>
      <c r="CD409">
        <f>2561.746459</f>
        <v>2561.746459</v>
      </c>
      <c r="CE409">
        <f>2107.006293</f>
        <v>2107.0062929999999</v>
      </c>
      <c r="CF409">
        <f>1633.569265</f>
        <v>1633.5692650000001</v>
      </c>
      <c r="CG409">
        <f>1220.803203</f>
        <v>1220.8032029999999</v>
      </c>
      <c r="CH409">
        <f>1346.561422</f>
        <v>1346.561422</v>
      </c>
      <c r="CI409">
        <f>1271.039552</f>
        <v>1271.039552</v>
      </c>
      <c r="CJ409">
        <f>1241.730804</f>
        <v>1241.730804</v>
      </c>
      <c r="CK409">
        <f>1072.656824</f>
        <v>1072.6568239999999</v>
      </c>
      <c r="CL409">
        <f>1383.839636</f>
        <v>1383.8396359999999</v>
      </c>
      <c r="CM409">
        <f>1500.114448</f>
        <v>1500.114448</v>
      </c>
      <c r="CN409">
        <f>1446.513982</f>
        <v>1446.5139819999999</v>
      </c>
      <c r="CO409">
        <f>1938.847902</f>
        <v>1938.847902</v>
      </c>
      <c r="CP409">
        <f>1898.314122</f>
        <v>1898.314122</v>
      </c>
      <c r="CQ409">
        <f>1673.516769</f>
        <v>1673.5167690000001</v>
      </c>
      <c r="CR409">
        <f>1900.896022</f>
        <v>1900.8960219999999</v>
      </c>
      <c r="CS409">
        <f>1631.578518</f>
        <v>1631.578518</v>
      </c>
      <c r="CT409">
        <f>1961.492225</f>
        <v>1961.492225</v>
      </c>
      <c r="CU409">
        <f>1985.451421</f>
        <v>1985.451421</v>
      </c>
      <c r="CV409">
        <f>1916.247655</f>
        <v>1916.2476549999999</v>
      </c>
      <c r="CW409">
        <f>1816.919032</f>
        <v>1816.919032</v>
      </c>
      <c r="CX409">
        <f>2333.852851</f>
        <v>2333.8528510000001</v>
      </c>
      <c r="CY409">
        <f>2816.867361</f>
        <v>2816.8673610000001</v>
      </c>
      <c r="CZ409">
        <f>1664.005074</f>
        <v>1664.0050739999999</v>
      </c>
      <c r="DA409">
        <f>1688.141947</f>
        <v>1688.1419470000001</v>
      </c>
      <c r="DB409">
        <f>1279.805816</f>
        <v>1279.805816</v>
      </c>
      <c r="DC409">
        <f>1009.008716</f>
        <v>1009.008716</v>
      </c>
      <c r="DD409">
        <f>953.1775501</f>
        <v>953.17755009999996</v>
      </c>
      <c r="DE409">
        <f>969.8601262</f>
        <v>969.86012619999997</v>
      </c>
      <c r="DF409">
        <f>1817.703618</f>
        <v>1817.703618</v>
      </c>
      <c r="DG409">
        <f>3174.235895</f>
        <v>3174.2358949999998</v>
      </c>
      <c r="DH409">
        <f>3584.446581</f>
        <v>3584.4465810000002</v>
      </c>
      <c r="DI409">
        <f>1777.191223</f>
        <v>1777.191223</v>
      </c>
      <c r="DJ409">
        <f>2104.031973</f>
        <v>2104.0319730000001</v>
      </c>
      <c r="DK409">
        <f>1142.686089</f>
        <v>1142.686089</v>
      </c>
      <c r="DL409">
        <f>827.7533486</f>
        <v>827.75334859999998</v>
      </c>
      <c r="DM409">
        <f>1408.796504</f>
        <v>1408.7965039999999</v>
      </c>
      <c r="DN409">
        <f>1089.106471</f>
        <v>1089.1064710000001</v>
      </c>
      <c r="DO409">
        <f>1033.968173</f>
        <v>1033.968173</v>
      </c>
      <c r="DP409">
        <f>1045.846054</f>
        <v>1045.8460540000001</v>
      </c>
      <c r="DQ409">
        <f>788.1528105</f>
        <v>788.15281049999999</v>
      </c>
      <c r="DR409">
        <f>764.8606336</f>
        <v>764.86063360000003</v>
      </c>
      <c r="DS409">
        <f>864.5581481</f>
        <v>864.55814810000004</v>
      </c>
      <c r="DT409">
        <f>1149.863833</f>
        <v>1149.8638330000001</v>
      </c>
      <c r="DU409">
        <f>1352.052839</f>
        <v>1352.0528389999999</v>
      </c>
    </row>
    <row r="410" spans="1:125" x14ac:dyDescent="0.25">
      <c r="A410" t="str">
        <f>"    Tofas Turk Otomobil Fabrikasi AS"</f>
        <v xml:space="preserve">    Tofas Turk Otomobil Fabrikasi AS</v>
      </c>
      <c r="B410" t="str">
        <f>"TOASOTRY EO Equity"</f>
        <v>TOASOTRY EO Equity</v>
      </c>
      <c r="C410" t="str">
        <f t="shared" si="27"/>
        <v>RR937</v>
      </c>
      <c r="D410" t="str">
        <f t="shared" si="28"/>
        <v>CRNCY_ADJ_CURR_EV</v>
      </c>
      <c r="E410" t="str">
        <f t="shared" si="29"/>
        <v>Dynamic</v>
      </c>
      <c r="F410">
        <f ca="1">IF(AND(ISNUMBER($F$909),$B$511=1),$F$909,HLOOKUP(INDIRECT(ADDRESS(2,COLUMN())),OFFSET($BN$2,0,0,ROW()-1,60),ROW()-1,FALSE))</f>
        <v>2453.2953499999999</v>
      </c>
      <c r="G410">
        <f ca="1">IF(AND(ISNUMBER($G$909),$B$511=1),$G$909,HLOOKUP(INDIRECT(ADDRESS(2,COLUMN())),OFFSET($BN$2,0,0,ROW()-1,60),ROW()-1,FALSE))</f>
        <v>2172.9927419999999</v>
      </c>
      <c r="H410">
        <f ca="1">IF(AND(ISNUMBER($H$909),$B$511=1),$H$909,HLOOKUP(INDIRECT(ADDRESS(2,COLUMN())),OFFSET($BN$2,0,0,ROW()-1,60),ROW()-1,FALSE))</f>
        <v>2429.5585970000002</v>
      </c>
      <c r="I410">
        <f ca="1">IF(AND(ISNUMBER($I$909),$B$511=1),$I$909,HLOOKUP(INDIRECT(ADDRESS(2,COLUMN())),OFFSET($BN$2,0,0,ROW()-1,60),ROW()-1,FALSE))</f>
        <v>3233.21713</v>
      </c>
      <c r="J410">
        <f ca="1">IF(AND(ISNUMBER($J$909),$B$511=1),$J$909,HLOOKUP(INDIRECT(ADDRESS(2,COLUMN())),OFFSET($BN$2,0,0,ROW()-1,60),ROW()-1,FALSE))</f>
        <v>4123.1180000000004</v>
      </c>
      <c r="K410">
        <f ca="1">IF(AND(ISNUMBER($K$909),$B$511=1),$K$909,HLOOKUP(INDIRECT(ADDRESS(2,COLUMN())),OFFSET($BN$2,0,0,ROW()-1,60),ROW()-1,FALSE))</f>
        <v>5038.3974969999999</v>
      </c>
      <c r="L410">
        <f ca="1">IF(AND(ISNUMBER($L$909),$B$511=1),$L$909,HLOOKUP(INDIRECT(ADDRESS(2,COLUMN())),OFFSET($BN$2,0,0,ROW()-1,60),ROW()-1,FALSE))</f>
        <v>5082.5094749999998</v>
      </c>
      <c r="M410">
        <f ca="1">IF(AND(ISNUMBER($M$909),$B$511=1),$M$909,HLOOKUP(INDIRECT(ADDRESS(2,COLUMN())),OFFSET($BN$2,0,0,ROW()-1,60),ROW()-1,FALSE))</f>
        <v>4868.248208</v>
      </c>
      <c r="N410">
        <f ca="1">IF(AND(ISNUMBER($N$909),$B$511=1),$N$909,HLOOKUP(INDIRECT(ADDRESS(2,COLUMN())),OFFSET($BN$2,0,0,ROW()-1,60),ROW()-1,FALSE))</f>
        <v>4345.3546649999998</v>
      </c>
      <c r="O410">
        <f ca="1">IF(AND(ISNUMBER($O$909),$B$511=1),$O$909,HLOOKUP(INDIRECT(ADDRESS(2,COLUMN())),OFFSET($BN$2,0,0,ROW()-1,60),ROW()-1,FALSE))</f>
        <v>4241.9321989999999</v>
      </c>
      <c r="P410">
        <f ca="1">IF(AND(ISNUMBER($P$909),$B$511=1),$P$909,HLOOKUP(INDIRECT(ADDRESS(2,COLUMN())),OFFSET($BN$2,0,0,ROW()-1,60),ROW()-1,FALSE))</f>
        <v>4717.9126809999998</v>
      </c>
      <c r="Q410">
        <f ca="1">IF(AND(ISNUMBER($Q$909),$B$511=1),$Q$909,HLOOKUP(INDIRECT(ADDRESS(2,COLUMN())),OFFSET($BN$2,0,0,ROW()-1,60),ROW()-1,FALSE))</f>
        <v>5227.6646600000004</v>
      </c>
      <c r="R410">
        <f ca="1">IF(AND(ISNUMBER($R$909),$B$511=1),$R$909,HLOOKUP(INDIRECT(ADDRESS(2,COLUMN())),OFFSET($BN$2,0,0,ROW()-1,60),ROW()-1,FALSE))</f>
        <v>4943.0829279999998</v>
      </c>
      <c r="S410">
        <f ca="1">IF(AND(ISNUMBER($S$909),$B$511=1),$S$909,HLOOKUP(INDIRECT(ADDRESS(2,COLUMN())),OFFSET($BN$2,0,0,ROW()-1,60),ROW()-1,FALSE))</f>
        <v>3906.3438460000002</v>
      </c>
      <c r="T410">
        <f ca="1">IF(AND(ISNUMBER($T$909),$B$511=1),$T$909,HLOOKUP(INDIRECT(ADDRESS(2,COLUMN())),OFFSET($BN$2,0,0,ROW()-1,60),ROW()-1,FALSE))</f>
        <v>3543.0869010000001</v>
      </c>
      <c r="U410">
        <f ca="1">IF(AND(ISNUMBER($U$909),$B$511=1),$U$909,HLOOKUP(INDIRECT(ADDRESS(2,COLUMN())),OFFSET($BN$2,0,0,ROW()-1,60),ROW()-1,FALSE))</f>
        <v>4005.112936</v>
      </c>
      <c r="V410">
        <f ca="1">IF(AND(ISNUMBER($V$909),$B$511=1),$V$909,HLOOKUP(INDIRECT(ADDRESS(2,COLUMN())),OFFSET($BN$2,0,0,ROW()-1,60),ROW()-1,FALSE))</f>
        <v>3526.4149929999999</v>
      </c>
      <c r="W410">
        <f ca="1">IF(AND(ISNUMBER($W$909),$B$511=1),$W$909,HLOOKUP(INDIRECT(ADDRESS(2,COLUMN())),OFFSET($BN$2,0,0,ROW()-1,60),ROW()-1,FALSE))</f>
        <v>3790.2652969999999</v>
      </c>
      <c r="X410">
        <f ca="1">IF(AND(ISNUMBER($X$909),$B$511=1),$X$909,HLOOKUP(INDIRECT(ADDRESS(2,COLUMN())),OFFSET($BN$2,0,0,ROW()-1,60),ROW()-1,FALSE))</f>
        <v>3030.2325380000002</v>
      </c>
      <c r="Y410">
        <f ca="1">IF(AND(ISNUMBER($Y$909),$B$511=1),$Y$909,HLOOKUP(INDIRECT(ADDRESS(2,COLUMN())),OFFSET($BN$2,0,0,ROW()-1,60),ROW()-1,FALSE))</f>
        <v>3366.0432300000002</v>
      </c>
      <c r="Z410">
        <f ca="1">IF(AND(ISNUMBER($Z$909),$B$511=1),$Z$909,HLOOKUP(INDIRECT(ADDRESS(2,COLUMN())),OFFSET($BN$2,0,0,ROW()-1,60),ROW()-1,FALSE))</f>
        <v>3168.3343479999999</v>
      </c>
      <c r="AA410">
        <f ca="1">IF(AND(ISNUMBER($AA$909),$B$511=1),$AA$909,HLOOKUP(INDIRECT(ADDRESS(2,COLUMN())),OFFSET($BN$2,0,0,ROW()-1,60),ROW()-1,FALSE))</f>
        <v>3366.2493020000002</v>
      </c>
      <c r="AB410">
        <f ca="1">IF(AND(ISNUMBER($AB$909),$B$511=1),$AB$909,HLOOKUP(INDIRECT(ADDRESS(2,COLUMN())),OFFSET($BN$2,0,0,ROW()-1,60),ROW()-1,FALSE))</f>
        <v>3246.5614329999999</v>
      </c>
      <c r="AC410">
        <f ca="1">IF(AND(ISNUMBER($AC$909),$B$511=1),$AC$909,HLOOKUP(INDIRECT(ADDRESS(2,COLUMN())),OFFSET($BN$2,0,0,ROW()-1,60),ROW()-1,FALSE))</f>
        <v>3289.7364200000002</v>
      </c>
      <c r="AD410">
        <f ca="1">IF(AND(ISNUMBER($AD$909),$B$511=1),$AD$909,HLOOKUP(INDIRECT(ADDRESS(2,COLUMN())),OFFSET($BN$2,0,0,ROW()-1,60),ROW()-1,FALSE))</f>
        <v>3864.3036929999998</v>
      </c>
      <c r="AE410">
        <f ca="1">IF(AND(ISNUMBER($AE$909),$B$511=1),$AE$909,HLOOKUP(INDIRECT(ADDRESS(2,COLUMN())),OFFSET($BN$2,0,0,ROW()-1,60),ROW()-1,FALSE))</f>
        <v>3291.975226</v>
      </c>
      <c r="AF410">
        <f ca="1">IF(AND(ISNUMBER($AF$909),$B$511=1),$AF$909,HLOOKUP(INDIRECT(ADDRESS(2,COLUMN())),OFFSET($BN$2,0,0,ROW()-1,60),ROW()-1,FALSE))</f>
        <v>2976.0913390000001</v>
      </c>
      <c r="AG410">
        <f ca="1">IF(AND(ISNUMBER($AG$909),$B$511=1),$AG$909,HLOOKUP(INDIRECT(ADDRESS(2,COLUMN())),OFFSET($BN$2,0,0,ROW()-1,60),ROW()-1,FALSE))</f>
        <v>2560.423143</v>
      </c>
      <c r="AH410">
        <f ca="1">IF(AND(ISNUMBER($AH$909),$B$511=1),$AH$909,HLOOKUP(INDIRECT(ADDRESS(2,COLUMN())),OFFSET($BN$2,0,0,ROW()-1,60),ROW()-1,FALSE))</f>
        <v>2731.999327</v>
      </c>
      <c r="AI410">
        <f ca="1">IF(AND(ISNUMBER($AI$909),$B$511=1),$AI$909,HLOOKUP(INDIRECT(ADDRESS(2,COLUMN())),OFFSET($BN$2,0,0,ROW()-1,60),ROW()-1,FALSE))</f>
        <v>2173.4293750000002</v>
      </c>
      <c r="AJ410">
        <f ca="1">IF(AND(ISNUMBER($AJ$909),$B$511=1),$AJ$909,HLOOKUP(INDIRECT(ADDRESS(2,COLUMN())),OFFSET($BN$2,0,0,ROW()-1,60),ROW()-1,FALSE))</f>
        <v>2405.8387240000002</v>
      </c>
      <c r="AK410">
        <f ca="1">IF(AND(ISNUMBER($AK$909),$B$511=1),$AK$909,HLOOKUP(INDIRECT(ADDRESS(2,COLUMN())),OFFSET($BN$2,0,0,ROW()-1,60),ROW()-1,FALSE))</f>
        <v>2813.657185</v>
      </c>
      <c r="AL410">
        <f ca="1">IF(AND(ISNUMBER($AL$909),$B$511=1),$AL$909,HLOOKUP(INDIRECT(ADDRESS(2,COLUMN())),OFFSET($BN$2,0,0,ROW()-1,60),ROW()-1,FALSE))</f>
        <v>3199.620343</v>
      </c>
      <c r="AM410">
        <f ca="1">IF(AND(ISNUMBER($AM$909),$B$511=1),$AM$909,HLOOKUP(INDIRECT(ADDRESS(2,COLUMN())),OFFSET($BN$2,0,0,ROW()-1,60),ROW()-1,FALSE))</f>
        <v>3002.0282350000002</v>
      </c>
      <c r="AN410">
        <f ca="1">IF(AND(ISNUMBER($AN$909),$B$511=1),$AN$909,HLOOKUP(INDIRECT(ADDRESS(2,COLUMN())),OFFSET($BN$2,0,0,ROW()-1,60),ROW()-1,FALSE))</f>
        <v>3086.275729</v>
      </c>
      <c r="AO410">
        <f ca="1">IF(AND(ISNUMBER($AO$909),$B$511=1),$AO$909,HLOOKUP(INDIRECT(ADDRESS(2,COLUMN())),OFFSET($BN$2,0,0,ROW()-1,60),ROW()-1,FALSE))</f>
        <v>2109.2521529999999</v>
      </c>
      <c r="AP410">
        <f ca="1">IF(AND(ISNUMBER($AP$909),$B$511=1),$AP$909,HLOOKUP(INDIRECT(ADDRESS(2,COLUMN())),OFFSET($BN$2,0,0,ROW()-1,60),ROW()-1,FALSE))</f>
        <v>2275.6372970000002</v>
      </c>
      <c r="AQ410">
        <f ca="1">IF(AND(ISNUMBER($AQ$909),$B$511=1),$AQ$909,HLOOKUP(INDIRECT(ADDRESS(2,COLUMN())),OFFSET($BN$2,0,0,ROW()-1,60),ROW()-1,FALSE))</f>
        <v>2117.7183230000001</v>
      </c>
      <c r="AR410">
        <f ca="1">IF(AND(ISNUMBER($AR$909),$B$511=1),$AR$909,HLOOKUP(INDIRECT(ADDRESS(2,COLUMN())),OFFSET($BN$2,0,0,ROW()-1,60),ROW()-1,FALSE))</f>
        <v>2073.3558090000001</v>
      </c>
      <c r="AS410">
        <f ca="1">IF(AND(ISNUMBER($AS$909),$B$511=1),$AS$909,HLOOKUP(INDIRECT(ADDRESS(2,COLUMN())),OFFSET($BN$2,0,0,ROW()-1,60),ROW()-1,FALSE))</f>
        <v>1447.6504190000001</v>
      </c>
      <c r="AT410">
        <f ca="1">IF(AND(ISNUMBER($AT$909),$B$511=1),$AT$909,HLOOKUP(INDIRECT(ADDRESS(2,COLUMN())),OFFSET($BN$2,0,0,ROW()-1,60),ROW()-1,FALSE))</f>
        <v>1158.2179940000001</v>
      </c>
      <c r="AU410">
        <f ca="1">IF(AND(ISNUMBER($AU$909),$B$511=1),$AU$909,HLOOKUP(INDIRECT(ADDRESS(2,COLUMN())),OFFSET($BN$2,0,0,ROW()-1,60),ROW()-1,FALSE))</f>
        <v>1169.301418</v>
      </c>
      <c r="AV410">
        <f ca="1">IF(AND(ISNUMBER($AV$909),$B$511=1),$AV$909,HLOOKUP(INDIRECT(ADDRESS(2,COLUMN())),OFFSET($BN$2,0,0,ROW()-1,60),ROW()-1,FALSE))</f>
        <v>1726.521518</v>
      </c>
      <c r="AW410">
        <f ca="1">IF(AND(ISNUMBER($AW$909),$B$511=1),$AW$909,HLOOKUP(INDIRECT(ADDRESS(2,COLUMN())),OFFSET($BN$2,0,0,ROW()-1,60),ROW()-1,FALSE))</f>
        <v>1956.453166</v>
      </c>
      <c r="AX410">
        <f ca="1">IF(AND(ISNUMBER($AX$909),$B$511=1),$AX$909,HLOOKUP(INDIRECT(ADDRESS(2,COLUMN())),OFFSET($BN$2,0,0,ROW()-1,60),ROW()-1,FALSE))</f>
        <v>2055.2396279999998</v>
      </c>
      <c r="AY410">
        <f ca="1">IF(AND(ISNUMBER($AY$909),$B$511=1),$AY$909,HLOOKUP(INDIRECT(ADDRESS(2,COLUMN())),OFFSET($BN$2,0,0,ROW()-1,60),ROW()-1,FALSE))</f>
        <v>2967.7154879999998</v>
      </c>
      <c r="AZ410">
        <f ca="1">IF(AND(ISNUMBER($AZ$909),$B$511=1),$AZ$909,HLOOKUP(INDIRECT(ADDRESS(2,COLUMN())),OFFSET($BN$2,0,0,ROW()-1,60),ROW()-1,FALSE))</f>
        <v>2751.3067689999998</v>
      </c>
      <c r="BA410">
        <f ca="1">IF(AND(ISNUMBER($BA$909),$B$511=1),$BA$909,HLOOKUP(INDIRECT(ADDRESS(2,COLUMN())),OFFSET($BN$2,0,0,ROW()-1,60),ROW()-1,FALSE))</f>
        <v>2552.9474150000001</v>
      </c>
      <c r="BB410">
        <f ca="1">IF(AND(ISNUMBER($BB$909),$B$511=1),$BB$909,HLOOKUP(INDIRECT(ADDRESS(2,COLUMN())),OFFSET($BN$2,0,0,ROW()-1,60),ROW()-1,FALSE))</f>
        <v>1939.6426879999999</v>
      </c>
      <c r="BC410">
        <f ca="1">IF(AND(ISNUMBER($BC$909),$B$511=1),$BC$909,HLOOKUP(INDIRECT(ADDRESS(2,COLUMN())),OFFSET($BN$2,0,0,ROW()-1,60),ROW()-1,FALSE))</f>
        <v>1679.0130220000001</v>
      </c>
      <c r="BD410">
        <f ca="1">IF(AND(ISNUMBER($BD$909),$B$511=1),$BD$909,HLOOKUP(INDIRECT(ADDRESS(2,COLUMN())),OFFSET($BN$2,0,0,ROW()-1,60),ROW()-1,FALSE))</f>
        <v>1238.004778</v>
      </c>
      <c r="BE410">
        <f ca="1">IF(AND(ISNUMBER($BE$909),$B$511=1),$BE$909,HLOOKUP(INDIRECT(ADDRESS(2,COLUMN())),OFFSET($BN$2,0,0,ROW()-1,60),ROW()-1,FALSE))</f>
        <v>1142.3513740000001</v>
      </c>
      <c r="BF410">
        <f ca="1">IF(AND(ISNUMBER($BF$909),$B$511=1),$BF$909,HLOOKUP(INDIRECT(ADDRESS(2,COLUMN())),OFFSET($BN$2,0,0,ROW()-1,60),ROW()-1,FALSE))</f>
        <v>1356.240225</v>
      </c>
      <c r="BG410">
        <f ca="1">IF(AND(ISNUMBER($BG$909),$B$511=1),$BG$909,HLOOKUP(INDIRECT(ADDRESS(2,COLUMN())),OFFSET($BN$2,0,0,ROW()-1,60),ROW()-1,FALSE))</f>
        <v>883.48204710000005</v>
      </c>
      <c r="BH410">
        <f ca="1">IF(AND(ISNUMBER($BH$909),$B$511=1),$BH$909,HLOOKUP(INDIRECT(ADDRESS(2,COLUMN())),OFFSET($BN$2,0,0,ROW()-1,60),ROW()-1,FALSE))</f>
        <v>717.81942839999999</v>
      </c>
      <c r="BI410">
        <f ca="1">IF(AND(ISNUMBER($BI$909),$B$511=1),$BI$909,HLOOKUP(INDIRECT(ADDRESS(2,COLUMN())),OFFSET($BN$2,0,0,ROW()-1,60),ROW()-1,FALSE))</f>
        <v>583.81502439999997</v>
      </c>
      <c r="BJ410">
        <f ca="1">IF(AND(ISNUMBER($BJ$909),$B$511=1),$BJ$909,HLOOKUP(INDIRECT(ADDRESS(2,COLUMN())),OFFSET($BN$2,0,0,ROW()-1,60),ROW()-1,FALSE))</f>
        <v>775.54609849999997</v>
      </c>
      <c r="BK410">
        <f ca="1">IF(AND(ISNUMBER($BK$909),$B$511=1),$BK$909,HLOOKUP(INDIRECT(ADDRESS(2,COLUMN())),OFFSET($BN$2,0,0,ROW()-1,60),ROW()-1,FALSE))</f>
        <v>756.43089129999998</v>
      </c>
      <c r="BL410">
        <f ca="1">IF(AND(ISNUMBER($BL$909),$B$511=1),$BL$909,HLOOKUP(INDIRECT(ADDRESS(2,COLUMN())),OFFSET($BN$2,0,0,ROW()-1,60),ROW()-1,FALSE))</f>
        <v>1069.5702670000001</v>
      </c>
      <c r="BM410">
        <f ca="1">IF(AND(ISNUMBER($BM$909),$B$511=1),$BM$909,HLOOKUP(INDIRECT(ADDRESS(2,COLUMN())),OFFSET($BN$2,0,0,ROW()-1,60),ROW()-1,FALSE))</f>
        <v>764.18319050000002</v>
      </c>
      <c r="BN410">
        <f>2453.29535</f>
        <v>2453.2953499999999</v>
      </c>
      <c r="BO410">
        <f>2172.992742</f>
        <v>2172.9927419999999</v>
      </c>
      <c r="BP410">
        <f>2429.558597</f>
        <v>2429.5585970000002</v>
      </c>
      <c r="BQ410">
        <f>3233.21713</f>
        <v>3233.21713</v>
      </c>
      <c r="BR410">
        <f>4123.118</f>
        <v>4123.1180000000004</v>
      </c>
      <c r="BS410">
        <f>5038.397497</f>
        <v>5038.3974969999999</v>
      </c>
      <c r="BT410">
        <f>5082.509475</f>
        <v>5082.5094749999998</v>
      </c>
      <c r="BU410">
        <f>4868.248208</f>
        <v>4868.248208</v>
      </c>
      <c r="BV410">
        <f>4345.354665</f>
        <v>4345.3546649999998</v>
      </c>
      <c r="BW410">
        <f>4241.932199</f>
        <v>4241.9321989999999</v>
      </c>
      <c r="BX410">
        <f>4717.912681</f>
        <v>4717.9126809999998</v>
      </c>
      <c r="BY410">
        <f>5227.66466</f>
        <v>5227.6646600000004</v>
      </c>
      <c r="BZ410">
        <f>4943.082928</f>
        <v>4943.0829279999998</v>
      </c>
      <c r="CA410">
        <f>3906.343846</f>
        <v>3906.3438460000002</v>
      </c>
      <c r="CB410">
        <f>3543.086901</f>
        <v>3543.0869010000001</v>
      </c>
      <c r="CC410">
        <f>4005.112936</f>
        <v>4005.112936</v>
      </c>
      <c r="CD410">
        <f>3526.414993</f>
        <v>3526.4149929999999</v>
      </c>
      <c r="CE410">
        <f>3790.265297</f>
        <v>3790.2652969999999</v>
      </c>
      <c r="CF410">
        <f>3030.232538</f>
        <v>3030.2325380000002</v>
      </c>
      <c r="CG410">
        <f>3366.04323</f>
        <v>3366.0432300000002</v>
      </c>
      <c r="CH410">
        <f>3168.334348</f>
        <v>3168.3343479999999</v>
      </c>
      <c r="CI410">
        <f>3366.249302</f>
        <v>3366.2493020000002</v>
      </c>
      <c r="CJ410">
        <f>3246.561433</f>
        <v>3246.5614329999999</v>
      </c>
      <c r="CK410">
        <f>3289.73642</f>
        <v>3289.7364200000002</v>
      </c>
      <c r="CL410">
        <f>3864.303693</f>
        <v>3864.3036929999998</v>
      </c>
      <c r="CM410">
        <f>3291.975226</f>
        <v>3291.975226</v>
      </c>
      <c r="CN410">
        <f>2976.091339</f>
        <v>2976.0913390000001</v>
      </c>
      <c r="CO410">
        <f>2560.423143</f>
        <v>2560.423143</v>
      </c>
      <c r="CP410">
        <f>2731.999327</f>
        <v>2731.999327</v>
      </c>
      <c r="CQ410">
        <f>2173.429375</f>
        <v>2173.4293750000002</v>
      </c>
      <c r="CR410">
        <f>2405.838724</f>
        <v>2405.8387240000002</v>
      </c>
      <c r="CS410">
        <f>2813.657185</f>
        <v>2813.657185</v>
      </c>
      <c r="CT410">
        <f>3199.620343</f>
        <v>3199.620343</v>
      </c>
      <c r="CU410">
        <f>3002.028235</f>
        <v>3002.0282350000002</v>
      </c>
      <c r="CV410">
        <f>3086.275729</f>
        <v>3086.275729</v>
      </c>
      <c r="CW410">
        <f>2109.252153</f>
        <v>2109.2521529999999</v>
      </c>
      <c r="CX410">
        <f>2275.637297</f>
        <v>2275.6372970000002</v>
      </c>
      <c r="CY410">
        <f>2117.718323</f>
        <v>2117.7183230000001</v>
      </c>
      <c r="CZ410">
        <f>2073.355809</f>
        <v>2073.3558090000001</v>
      </c>
      <c r="DA410">
        <f>1447.650419</f>
        <v>1447.6504190000001</v>
      </c>
      <c r="DB410">
        <f>1158.217994</f>
        <v>1158.2179940000001</v>
      </c>
      <c r="DC410">
        <f>1169.301418</f>
        <v>1169.301418</v>
      </c>
      <c r="DD410">
        <f>1726.521518</f>
        <v>1726.521518</v>
      </c>
      <c r="DE410">
        <f>1956.453166</f>
        <v>1956.453166</v>
      </c>
      <c r="DF410">
        <f>2055.239628</f>
        <v>2055.2396279999998</v>
      </c>
      <c r="DG410">
        <f>2967.715488</f>
        <v>2967.7154879999998</v>
      </c>
      <c r="DH410">
        <f>2751.306769</f>
        <v>2751.3067689999998</v>
      </c>
      <c r="DI410">
        <f>2552.947415</f>
        <v>2552.9474150000001</v>
      </c>
      <c r="DJ410">
        <f>1939.642688</f>
        <v>1939.6426879999999</v>
      </c>
      <c r="DK410">
        <f>1679.013022</f>
        <v>1679.0130220000001</v>
      </c>
      <c r="DL410">
        <f>1238.004778</f>
        <v>1238.004778</v>
      </c>
      <c r="DM410">
        <f>1142.351374</f>
        <v>1142.3513740000001</v>
      </c>
      <c r="DN410">
        <f>1356.240225</f>
        <v>1356.240225</v>
      </c>
      <c r="DO410">
        <f>883.4820471</f>
        <v>883.48204710000005</v>
      </c>
      <c r="DP410">
        <f>717.8194284</f>
        <v>717.81942839999999</v>
      </c>
      <c r="DQ410">
        <f>583.8150244</f>
        <v>583.81502439999997</v>
      </c>
      <c r="DR410">
        <f>775.5460985</f>
        <v>775.54609849999997</v>
      </c>
      <c r="DS410">
        <f>756.4308913</f>
        <v>756.43089129999998</v>
      </c>
      <c r="DT410">
        <f>1069.570267</f>
        <v>1069.5702670000001</v>
      </c>
      <c r="DU410">
        <f>764.1831905</f>
        <v>764.18319050000002</v>
      </c>
    </row>
    <row r="411" spans="1:125" x14ac:dyDescent="0.25">
      <c r="A411" t="str">
        <f>"    Toyota Motor Corp"</f>
        <v xml:space="preserve">    Toyota Motor Corp</v>
      </c>
      <c r="B411" t="str">
        <f>"7203 JP Equity"</f>
        <v>7203 JP Equity</v>
      </c>
      <c r="C411" t="str">
        <f t="shared" si="27"/>
        <v>RR937</v>
      </c>
      <c r="D411" t="str">
        <f t="shared" si="28"/>
        <v>CRNCY_ADJ_CURR_EV</v>
      </c>
      <c r="E411" t="str">
        <f t="shared" si="29"/>
        <v>Dynamic</v>
      </c>
      <c r="F411">
        <f ca="1">IF(AND(ISNUMBER($F$910),$B$511=1),$F$910,HLOOKUP(INDIRECT(ADDRESS(2,COLUMN())),OFFSET($BN$2,0,0,ROW()-1,60),ROW()-1,FALSE))</f>
        <v>344336.05670000002</v>
      </c>
      <c r="G411">
        <f ca="1">IF(AND(ISNUMBER($G$910),$B$511=1),$G$910,HLOOKUP(INDIRECT(ADDRESS(2,COLUMN())),OFFSET($BN$2,0,0,ROW()-1,60),ROW()-1,FALSE))</f>
        <v>335586.44990000001</v>
      </c>
      <c r="H411">
        <f ca="1">IF(AND(ISNUMBER($H$910),$B$511=1),$H$910,HLOOKUP(INDIRECT(ADDRESS(2,COLUMN())),OFFSET($BN$2,0,0,ROW()-1,60),ROW()-1,FALSE))</f>
        <v>346822.13400000002</v>
      </c>
      <c r="I411">
        <f ca="1">IF(AND(ISNUMBER($I$910),$B$511=1),$I$910,HLOOKUP(INDIRECT(ADDRESS(2,COLUMN())),OFFSET($BN$2,0,0,ROW()-1,60),ROW()-1,FALSE))</f>
        <v>354459.60479999997</v>
      </c>
      <c r="J411">
        <f ca="1">IF(AND(ISNUMBER($J$910),$B$511=1),$J$910,HLOOKUP(INDIRECT(ADDRESS(2,COLUMN())),OFFSET($BN$2,0,0,ROW()-1,60),ROW()-1,FALSE))</f>
        <v>349157.77519999997</v>
      </c>
      <c r="K411">
        <f ca="1">IF(AND(ISNUMBER($K$910),$B$511=1),$K$910,HLOOKUP(INDIRECT(ADDRESS(2,COLUMN())),OFFSET($BN$2,0,0,ROW()-1,60),ROW()-1,FALSE))</f>
        <v>348939.23349999997</v>
      </c>
      <c r="L411">
        <f ca="1">IF(AND(ISNUMBER($L$910),$B$511=1),$L$910,HLOOKUP(INDIRECT(ADDRESS(2,COLUMN())),OFFSET($BN$2,0,0,ROW()-1,60),ROW()-1,FALSE))</f>
        <v>329043.61719999998</v>
      </c>
      <c r="M411">
        <f ca="1">IF(AND(ISNUMBER($M$910),$B$511=1),$M$910,HLOOKUP(INDIRECT(ADDRESS(2,COLUMN())),OFFSET($BN$2,0,0,ROW()-1,60),ROW()-1,FALSE))</f>
        <v>302886.84120000002</v>
      </c>
      <c r="N411">
        <f ca="1">IF(AND(ISNUMBER($N$910),$B$511=1),$N$910,HLOOKUP(INDIRECT(ADDRESS(2,COLUMN())),OFFSET($BN$2,0,0,ROW()-1,60),ROW()-1,FALSE))</f>
        <v>306781.25280000002</v>
      </c>
      <c r="O411">
        <f ca="1">IF(AND(ISNUMBER($O$910),$B$511=1),$O$910,HLOOKUP(INDIRECT(ADDRESS(2,COLUMN())),OFFSET($BN$2,0,0,ROW()-1,60),ROW()-1,FALSE))</f>
        <v>323570.46649999998</v>
      </c>
      <c r="P411">
        <f ca="1">IF(AND(ISNUMBER($P$910),$B$511=1),$P$910,HLOOKUP(INDIRECT(ADDRESS(2,COLUMN())),OFFSET($BN$2,0,0,ROW()-1,60),ROW()-1,FALSE))</f>
        <v>314933.54920000001</v>
      </c>
      <c r="Q411">
        <f ca="1">IF(AND(ISNUMBER($Q$910),$B$511=1),$Q$910,HLOOKUP(INDIRECT(ADDRESS(2,COLUMN())),OFFSET($BN$2,0,0,ROW()-1,60),ROW()-1,FALSE))</f>
        <v>284034.09889999998</v>
      </c>
      <c r="R411">
        <f ca="1">IF(AND(ISNUMBER($R$910),$B$511=1),$R$910,HLOOKUP(INDIRECT(ADDRESS(2,COLUMN())),OFFSET($BN$2,0,0,ROW()-1,60),ROW()-1,FALSE))</f>
        <v>302393.90639999998</v>
      </c>
      <c r="S411">
        <f ca="1">IF(AND(ISNUMBER($S$910),$B$511=1),$S$910,HLOOKUP(INDIRECT(ADDRESS(2,COLUMN())),OFFSET($BN$2,0,0,ROW()-1,60),ROW()-1,FALSE))</f>
        <v>337479.99099999998</v>
      </c>
      <c r="T411">
        <f ca="1">IF(AND(ISNUMBER($T$910),$B$511=1),$T$910,HLOOKUP(INDIRECT(ADDRESS(2,COLUMN())),OFFSET($BN$2,0,0,ROW()-1,60),ROW()-1,FALSE))</f>
        <v>326417.01329999999</v>
      </c>
      <c r="U411">
        <f ca="1">IF(AND(ISNUMBER($U$910),$B$511=1),$U$910,HLOOKUP(INDIRECT(ADDRESS(2,COLUMN())),OFFSET($BN$2,0,0,ROW()-1,60),ROW()-1,FALSE))</f>
        <v>357584.92440000002</v>
      </c>
      <c r="V411">
        <f ca="1">IF(AND(ISNUMBER($V$910),$B$511=1),$V$910,HLOOKUP(INDIRECT(ADDRESS(2,COLUMN())),OFFSET($BN$2,0,0,ROW()-1,60),ROW()-1,FALSE))</f>
        <v>360768.49969999999</v>
      </c>
      <c r="W411">
        <f ca="1">IF(AND(ISNUMBER($W$910),$B$511=1),$W$910,HLOOKUP(INDIRECT(ADDRESS(2,COLUMN())),OFFSET($BN$2,0,0,ROW()-1,60),ROW()-1,FALSE))</f>
        <v>346182.00689999998</v>
      </c>
      <c r="X411">
        <f ca="1">IF(AND(ISNUMBER($X$910),$B$511=1),$X$910,HLOOKUP(INDIRECT(ADDRESS(2,COLUMN())),OFFSET($BN$2,0,0,ROW()-1,60),ROW()-1,FALSE))</f>
        <v>327468.60499999998</v>
      </c>
      <c r="Y411">
        <f ca="1">IF(AND(ISNUMBER($Y$910),$B$511=1),$Y$910,HLOOKUP(INDIRECT(ADDRESS(2,COLUMN())),OFFSET($BN$2,0,0,ROW()-1,60),ROW()-1,FALSE))</f>
        <v>332313.48749999999</v>
      </c>
      <c r="Z411">
        <f ca="1">IF(AND(ISNUMBER($Z$910),$B$511=1),$Z$910,HLOOKUP(INDIRECT(ADDRESS(2,COLUMN())),OFFSET($BN$2,0,0,ROW()-1,60),ROW()-1,FALSE))</f>
        <v>319171.55109999998</v>
      </c>
      <c r="AA411">
        <f ca="1">IF(AND(ISNUMBER($AA$910),$B$511=1),$AA$910,HLOOKUP(INDIRECT(ADDRESS(2,COLUMN())),OFFSET($BN$2,0,0,ROW()-1,60),ROW()-1,FALSE))</f>
        <v>338879.05719999998</v>
      </c>
      <c r="AB411">
        <f ca="1">IF(AND(ISNUMBER($AB$910),$B$511=1),$AB$910,HLOOKUP(INDIRECT(ADDRESS(2,COLUMN())),OFFSET($BN$2,0,0,ROW()-1,60),ROW()-1,FALSE))</f>
        <v>342000.6384</v>
      </c>
      <c r="AC411">
        <f ca="1">IF(AND(ISNUMBER($AC$910),$B$511=1),$AC$910,HLOOKUP(INDIRECT(ADDRESS(2,COLUMN())),OFFSET($BN$2,0,0,ROW()-1,60),ROW()-1,FALSE))</f>
        <v>326071.49280000001</v>
      </c>
      <c r="AD411">
        <f ca="1">IF(AND(ISNUMBER($AD$910),$B$511=1),$AD$910,HLOOKUP(INDIRECT(ADDRESS(2,COLUMN())),OFFSET($BN$2,0,0,ROW()-1,60),ROW()-1,FALSE))</f>
        <v>299758.11009999999</v>
      </c>
      <c r="AE411">
        <f ca="1">IF(AND(ISNUMBER($AE$910),$B$511=1),$AE$910,HLOOKUP(INDIRECT(ADDRESS(2,COLUMN())),OFFSET($BN$2,0,0,ROW()-1,60),ROW()-1,FALSE))</f>
        <v>284510.37670000002</v>
      </c>
      <c r="AF411">
        <f ca="1">IF(AND(ISNUMBER($AF$910),$B$511=1),$AF$910,HLOOKUP(INDIRECT(ADDRESS(2,COLUMN())),OFFSET($BN$2,0,0,ROW()-1,60),ROW()-1,FALSE))</f>
        <v>252423.58290000001</v>
      </c>
      <c r="AG411">
        <f ca="1">IF(AND(ISNUMBER($AG$910),$B$511=1),$AG$910,HLOOKUP(INDIRECT(ADDRESS(2,COLUMN())),OFFSET($BN$2,0,0,ROW()-1,60),ROW()-1,FALSE))</f>
        <v>252939.5515</v>
      </c>
      <c r="AH411">
        <f ca="1">IF(AND(ISNUMBER($AH$910),$B$511=1),$AH$910,HLOOKUP(INDIRECT(ADDRESS(2,COLUMN())),OFFSET($BN$2,0,0,ROW()-1,60),ROW()-1,FALSE))</f>
        <v>264922.46500000003</v>
      </c>
      <c r="AI411">
        <f ca="1">IF(AND(ISNUMBER($AI$910),$B$511=1),$AI$910,HLOOKUP(INDIRECT(ADDRESS(2,COLUMN())),OFFSET($BN$2,0,0,ROW()-1,60),ROW()-1,FALSE))</f>
        <v>236259.84849999999</v>
      </c>
      <c r="AJ411">
        <f ca="1">IF(AND(ISNUMBER($AJ$910),$B$511=1),$AJ$910,HLOOKUP(INDIRECT(ADDRESS(2,COLUMN())),OFFSET($BN$2,0,0,ROW()-1,60),ROW()-1,FALSE))</f>
        <v>235544.3536</v>
      </c>
      <c r="AK411">
        <f ca="1">IF(AND(ISNUMBER($AK$910),$B$511=1),$AK$910,HLOOKUP(INDIRECT(ADDRESS(2,COLUMN())),OFFSET($BN$2,0,0,ROW()-1,60),ROW()-1,FALSE))</f>
        <v>252633.51620000001</v>
      </c>
      <c r="AL411">
        <f ca="1">IF(AND(ISNUMBER($AL$910),$B$511=1),$AL$910,HLOOKUP(INDIRECT(ADDRESS(2,COLUMN())),OFFSET($BN$2,0,0,ROW()-1,60),ROW()-1,FALSE))</f>
        <v>253887.27299999999</v>
      </c>
      <c r="AM411">
        <f ca="1">IF(AND(ISNUMBER($AM$910),$B$511=1),$AM$910,HLOOKUP(INDIRECT(ADDRESS(2,COLUMN())),OFFSET($BN$2,0,0,ROW()-1,60),ROW()-1,FALSE))</f>
        <v>247114.1808</v>
      </c>
      <c r="AN411">
        <f ca="1">IF(AND(ISNUMBER($AN$910),$B$511=1),$AN$910,HLOOKUP(INDIRECT(ADDRESS(2,COLUMN())),OFFSET($BN$2,0,0,ROW()-1,60),ROW()-1,FALSE))</f>
        <v>228253.86629999999</v>
      </c>
      <c r="AO411">
        <f ca="1">IF(AND(ISNUMBER($AO$910),$B$511=1),$AO$910,HLOOKUP(INDIRECT(ADDRESS(2,COLUMN())),OFFSET($BN$2,0,0,ROW()-1,60),ROW()-1,FALSE))</f>
        <v>219154.63399999999</v>
      </c>
      <c r="AP411">
        <f ca="1">IF(AND(ISNUMBER($AP$910),$B$511=1),$AP$910,HLOOKUP(INDIRECT(ADDRESS(2,COLUMN())),OFFSET($BN$2,0,0,ROW()-1,60),ROW()-1,FALSE))</f>
        <v>234859.1808</v>
      </c>
      <c r="AQ411">
        <f ca="1">IF(AND(ISNUMBER($AQ$910),$B$511=1),$AQ$910,HLOOKUP(INDIRECT(ADDRESS(2,COLUMN())),OFFSET($BN$2,0,0,ROW()-1,60),ROW()-1,FALSE))</f>
        <v>244780.954</v>
      </c>
      <c r="AR411">
        <f ca="1">IF(AND(ISNUMBER($AR$910),$B$511=1),$AR$910,HLOOKUP(INDIRECT(ADDRESS(2,COLUMN())),OFFSET($BN$2,0,0,ROW()-1,60),ROW()-1,FALSE))</f>
        <v>237180.25520000001</v>
      </c>
      <c r="AS411">
        <f ca="1">IF(AND(ISNUMBER($AS$910),$B$511=1),$AS$910,HLOOKUP(INDIRECT(ADDRESS(2,COLUMN())),OFFSET($BN$2,0,0,ROW()-1,60),ROW()-1,FALSE))</f>
        <v>235837.625</v>
      </c>
      <c r="AT411">
        <f ca="1">IF(AND(ISNUMBER($AT$910),$B$511=1),$AT$910,HLOOKUP(INDIRECT(ADDRESS(2,COLUMN())),OFFSET($BN$2,0,0,ROW()-1,60),ROW()-1,FALSE))</f>
        <v>210680.9399</v>
      </c>
      <c r="AU411">
        <f ca="1">IF(AND(ISNUMBER($AU$910),$B$511=1),$AU$910,HLOOKUP(INDIRECT(ADDRESS(2,COLUMN())),OFFSET($BN$2,0,0,ROW()-1,60),ROW()-1,FALSE))</f>
        <v>221425.25219999999</v>
      </c>
      <c r="AV411">
        <f ca="1">IF(AND(ISNUMBER($AV$910),$B$511=1),$AV$910,HLOOKUP(INDIRECT(ADDRESS(2,COLUMN())),OFFSET($BN$2,0,0,ROW()-1,60),ROW()-1,FALSE))</f>
        <v>244549.65919999999</v>
      </c>
      <c r="AW411">
        <f ca="1">IF(AND(ISNUMBER($AW$910),$B$511=1),$AW$910,HLOOKUP(INDIRECT(ADDRESS(2,COLUMN())),OFFSET($BN$2,0,0,ROW()-1,60),ROW()-1,FALSE))</f>
        <v>271236.05579999997</v>
      </c>
      <c r="AX411">
        <f ca="1">IF(AND(ISNUMBER($AX$910),$B$511=1),$AX$910,HLOOKUP(INDIRECT(ADDRESS(2,COLUMN())),OFFSET($BN$2,0,0,ROW()-1,60),ROW()-1,FALSE))</f>
        <v>277365.99099999998</v>
      </c>
      <c r="AY411">
        <f ca="1">IF(AND(ISNUMBER($AY$910),$B$511=1),$AY$910,HLOOKUP(INDIRECT(ADDRESS(2,COLUMN())),OFFSET($BN$2,0,0,ROW()-1,60),ROW()-1,FALSE))</f>
        <v>297237.67070000002</v>
      </c>
      <c r="AZ411">
        <f ca="1">IF(AND(ISNUMBER($AZ$910),$B$511=1),$AZ$910,HLOOKUP(INDIRECT(ADDRESS(2,COLUMN())),OFFSET($BN$2,0,0,ROW()-1,60),ROW()-1,FALSE))</f>
        <v>308834.30699999997</v>
      </c>
      <c r="BA411">
        <f ca="1">IF(AND(ISNUMBER($BA$910),$B$511=1),$BA$910,HLOOKUP(INDIRECT(ADDRESS(2,COLUMN())),OFFSET($BN$2,0,0,ROW()-1,60),ROW()-1,FALSE))</f>
        <v>318711.60110000003</v>
      </c>
      <c r="BB411">
        <f ca="1">IF(AND(ISNUMBER($BB$910),$B$511=1),$BB$910,HLOOKUP(INDIRECT(ADDRESS(2,COLUMN())),OFFSET($BN$2,0,0,ROW()-1,60),ROW()-1,FALSE))</f>
        <v>287613.01610000001</v>
      </c>
      <c r="BC411">
        <f ca="1">IF(AND(ISNUMBER($BC$910),$B$511=1),$BC$910,HLOOKUP(INDIRECT(ADDRESS(2,COLUMN())),OFFSET($BN$2,0,0,ROW()-1,60),ROW()-1,FALSE))</f>
        <v>329958.62079999998</v>
      </c>
      <c r="BD411">
        <f ca="1">IF(AND(ISNUMBER($BD$910),$B$511=1),$BD$910,HLOOKUP(INDIRECT(ADDRESS(2,COLUMN())),OFFSET($BN$2,0,0,ROW()-1,60),ROW()-1,FALSE))</f>
        <v>277333.02260000003</v>
      </c>
      <c r="BE411">
        <f ca="1">IF(AND(ISNUMBER($BE$910),$B$511=1),$BE$910,HLOOKUP(INDIRECT(ADDRESS(2,COLUMN())),OFFSET($BN$2,0,0,ROW()-1,60),ROW()-1,FALSE))</f>
        <v>269673.3762</v>
      </c>
      <c r="BF411">
        <f ca="1">IF(AND(ISNUMBER($BF$910),$B$511=1),$BF$910,HLOOKUP(INDIRECT(ADDRESS(2,COLUMN())),OFFSET($BN$2,0,0,ROW()-1,60),ROW()-1,FALSE))</f>
        <v>289786.19829999999</v>
      </c>
      <c r="BG411">
        <f ca="1">IF(AND(ISNUMBER($BG$910),$B$511=1),$BG$910,HLOOKUP(INDIRECT(ADDRESS(2,COLUMN())),OFFSET($BN$2,0,0,ROW()-1,60),ROW()-1,FALSE))</f>
        <v>260874.3075</v>
      </c>
      <c r="BH411">
        <f ca="1">IF(AND(ISNUMBER($BH$910),$B$511=1),$BH$910,HLOOKUP(INDIRECT(ADDRESS(2,COLUMN())),OFFSET($BN$2,0,0,ROW()-1,60),ROW()-1,FALSE))</f>
        <v>234651.51730000001</v>
      </c>
      <c r="BI411">
        <f ca="1">IF(AND(ISNUMBER($BI$910),$B$511=1),$BI$910,HLOOKUP(INDIRECT(ADDRESS(2,COLUMN())),OFFSET($BN$2,0,0,ROW()-1,60),ROW()-1,FALSE))</f>
        <v>196984.4074</v>
      </c>
      <c r="BJ411">
        <f ca="1">IF(AND(ISNUMBER($BJ$910),$B$511=1),$BJ$910,HLOOKUP(INDIRECT(ADDRESS(2,COLUMN())),OFFSET($BN$2,0,0,ROW()-1,60),ROW()-1,FALSE))</f>
        <v>199309.76869999999</v>
      </c>
      <c r="BK411">
        <f ca="1">IF(AND(ISNUMBER($BK$910),$B$511=1),$BK$910,HLOOKUP(INDIRECT(ADDRESS(2,COLUMN())),OFFSET($BN$2,0,0,ROW()-1,60),ROW()-1,FALSE))</f>
        <v>212046.72349999999</v>
      </c>
      <c r="BL411">
        <f ca="1">IF(AND(ISNUMBER($BL$910),$B$511=1),$BL$910,HLOOKUP(INDIRECT(ADDRESS(2,COLUMN())),OFFSET($BN$2,0,0,ROW()-1,60),ROW()-1,FALSE))</f>
        <v>197904.155</v>
      </c>
      <c r="BM411">
        <f ca="1">IF(AND(ISNUMBER($BM$910),$B$511=1),$BM$910,HLOOKUP(INDIRECT(ADDRESS(2,COLUMN())),OFFSET($BN$2,0,0,ROW()-1,60),ROW()-1,FALSE))</f>
        <v>200170.63519999999</v>
      </c>
      <c r="BN411">
        <f>344336.0567</f>
        <v>344336.05670000002</v>
      </c>
      <c r="BO411">
        <f>335586.4499</f>
        <v>335586.44990000001</v>
      </c>
      <c r="BP411">
        <f>346822.134</f>
        <v>346822.13400000002</v>
      </c>
      <c r="BQ411">
        <f>354459.6048</f>
        <v>354459.60479999997</v>
      </c>
      <c r="BR411">
        <f>349157.7752</f>
        <v>349157.77519999997</v>
      </c>
      <c r="BS411">
        <f>348939.2335</f>
        <v>348939.23349999997</v>
      </c>
      <c r="BT411">
        <f>329043.6172</f>
        <v>329043.61719999998</v>
      </c>
      <c r="BU411">
        <f>302886.8412</f>
        <v>302886.84120000002</v>
      </c>
      <c r="BV411">
        <f>306781.2528</f>
        <v>306781.25280000002</v>
      </c>
      <c r="BW411">
        <f>323570.4665</f>
        <v>323570.46649999998</v>
      </c>
      <c r="BX411">
        <f>314933.5492</f>
        <v>314933.54920000001</v>
      </c>
      <c r="BY411">
        <f>284034.0989</f>
        <v>284034.09889999998</v>
      </c>
      <c r="BZ411">
        <f>302393.9064</f>
        <v>302393.90639999998</v>
      </c>
      <c r="CA411">
        <f>337479.991</f>
        <v>337479.99099999998</v>
      </c>
      <c r="CB411">
        <f>326417.0133</f>
        <v>326417.01329999999</v>
      </c>
      <c r="CC411">
        <f>357584.9244</f>
        <v>357584.92440000002</v>
      </c>
      <c r="CD411">
        <f>360768.4997</f>
        <v>360768.49969999999</v>
      </c>
      <c r="CE411">
        <f>346182.0069</f>
        <v>346182.00689999998</v>
      </c>
      <c r="CF411">
        <f>327468.605</f>
        <v>327468.60499999998</v>
      </c>
      <c r="CG411">
        <f>332313.4875</f>
        <v>332313.48749999999</v>
      </c>
      <c r="CH411">
        <f>319171.5511</f>
        <v>319171.55109999998</v>
      </c>
      <c r="CI411">
        <f>338879.0572</f>
        <v>338879.05719999998</v>
      </c>
      <c r="CJ411">
        <f>342000.6384</f>
        <v>342000.6384</v>
      </c>
      <c r="CK411">
        <f>326071.4928</f>
        <v>326071.49280000001</v>
      </c>
      <c r="CL411">
        <f>299758.1101</f>
        <v>299758.11009999999</v>
      </c>
      <c r="CM411">
        <f>284510.3767</f>
        <v>284510.37670000002</v>
      </c>
      <c r="CN411">
        <f>252423.5829</f>
        <v>252423.58290000001</v>
      </c>
      <c r="CO411">
        <f>252939.5515</f>
        <v>252939.5515</v>
      </c>
      <c r="CP411">
        <f>264922.465</f>
        <v>264922.46500000003</v>
      </c>
      <c r="CQ411">
        <f>236259.8485</f>
        <v>236259.84849999999</v>
      </c>
      <c r="CR411">
        <f>235544.3536</f>
        <v>235544.3536</v>
      </c>
      <c r="CS411">
        <f>252633.5162</f>
        <v>252633.51620000001</v>
      </c>
      <c r="CT411">
        <f>253887.273</f>
        <v>253887.27299999999</v>
      </c>
      <c r="CU411">
        <f>247114.1808</f>
        <v>247114.1808</v>
      </c>
      <c r="CV411">
        <f>228253.8663</f>
        <v>228253.86629999999</v>
      </c>
      <c r="CW411">
        <f>219154.634</f>
        <v>219154.63399999999</v>
      </c>
      <c r="CX411">
        <f>234859.1808</f>
        <v>234859.1808</v>
      </c>
      <c r="CY411">
        <f>244780.954</f>
        <v>244780.954</v>
      </c>
      <c r="CZ411">
        <f>237180.2552</f>
        <v>237180.25520000001</v>
      </c>
      <c r="DA411">
        <f>235837.625</f>
        <v>235837.625</v>
      </c>
      <c r="DB411">
        <f>210680.9399</f>
        <v>210680.9399</v>
      </c>
      <c r="DC411">
        <f>221425.2522</f>
        <v>221425.25219999999</v>
      </c>
      <c r="DD411">
        <f>244549.6592</f>
        <v>244549.65919999999</v>
      </c>
      <c r="DE411">
        <f>271236.0558</f>
        <v>271236.05579999997</v>
      </c>
      <c r="DF411">
        <f>277365.991</f>
        <v>277365.99099999998</v>
      </c>
      <c r="DG411">
        <f>297237.6707</f>
        <v>297237.67070000002</v>
      </c>
      <c r="DH411">
        <f>308834.307</f>
        <v>308834.30699999997</v>
      </c>
      <c r="DI411">
        <f>318711.6011</f>
        <v>318711.60110000003</v>
      </c>
      <c r="DJ411">
        <f>287613.0161</f>
        <v>287613.01610000001</v>
      </c>
      <c r="DK411">
        <f>329958.6208</f>
        <v>329958.62079999998</v>
      </c>
      <c r="DL411">
        <f>277333.0226</f>
        <v>277333.02260000003</v>
      </c>
      <c r="DM411">
        <f>269673.3762</f>
        <v>269673.3762</v>
      </c>
      <c r="DN411">
        <f>289786.1983</f>
        <v>289786.19829999999</v>
      </c>
      <c r="DO411">
        <f>260874.3075</f>
        <v>260874.3075</v>
      </c>
      <c r="DP411">
        <f>234651.5173</f>
        <v>234651.51730000001</v>
      </c>
      <c r="DQ411">
        <f>196984.4074</f>
        <v>196984.4074</v>
      </c>
      <c r="DR411">
        <f>199309.7687</f>
        <v>199309.76869999999</v>
      </c>
      <c r="DS411">
        <f>212046.7235</f>
        <v>212046.72349999999</v>
      </c>
      <c r="DT411">
        <f>197904.155</f>
        <v>197904.155</v>
      </c>
      <c r="DU411">
        <f>200170.6352</f>
        <v>200170.63519999999</v>
      </c>
    </row>
    <row r="412" spans="1:125" x14ac:dyDescent="0.25">
      <c r="A412" t="str">
        <f>"    Volkswagen AG"</f>
        <v xml:space="preserve">    Volkswagen AG</v>
      </c>
      <c r="B412" t="str">
        <f>"VOW GR Equity"</f>
        <v>VOW GR Equity</v>
      </c>
      <c r="C412" t="str">
        <f t="shared" si="27"/>
        <v>RR937</v>
      </c>
      <c r="D412" t="str">
        <f t="shared" si="28"/>
        <v>CRNCY_ADJ_CURR_EV</v>
      </c>
      <c r="E412" t="str">
        <f t="shared" si="29"/>
        <v>Dynamic</v>
      </c>
      <c r="F412" t="str">
        <f ca="1">IF(AND(ISNUMBER($F$911),$B$511=1),$F$911,HLOOKUP(INDIRECT(ADDRESS(2,COLUMN())),OFFSET($BN$2,0,0,ROW()-1,60),ROW()-1,FALSE))</f>
        <v/>
      </c>
      <c r="G412">
        <f ca="1">IF(AND(ISNUMBER($G$911),$B$511=1),$G$911,HLOOKUP(INDIRECT(ADDRESS(2,COLUMN())),OFFSET($BN$2,0,0,ROW()-1,60),ROW()-1,FALSE))</f>
        <v>65791.456460000001</v>
      </c>
      <c r="H412">
        <f ca="1">IF(AND(ISNUMBER($H$911),$B$511=1),$H$911,HLOOKUP(INDIRECT(ADDRESS(2,COLUMN())),OFFSET($BN$2,0,0,ROW()-1,60),ROW()-1,FALSE))</f>
        <v>73918.385450000002</v>
      </c>
      <c r="I412">
        <f ca="1">IF(AND(ISNUMBER($I$911),$B$511=1),$I$911,HLOOKUP(INDIRECT(ADDRESS(2,COLUMN())),OFFSET($BN$2,0,0,ROW()-1,60),ROW()-1,FALSE))</f>
        <v>83260.678150000007</v>
      </c>
      <c r="J412">
        <f ca="1">IF(AND(ISNUMBER($J$911),$B$511=1),$J$911,HLOOKUP(INDIRECT(ADDRESS(2,COLUMN())),OFFSET($BN$2,0,0,ROW()-1,60),ROW()-1,FALSE))</f>
        <v>85394.096220000007</v>
      </c>
      <c r="K412">
        <f ca="1">IF(AND(ISNUMBER($K$911),$B$511=1),$K$911,HLOOKUP(INDIRECT(ADDRESS(2,COLUMN())),OFFSET($BN$2,0,0,ROW()-1,60),ROW()-1,FALSE))</f>
        <v>78358.853350000005</v>
      </c>
      <c r="L412">
        <f ca="1">IF(AND(ISNUMBER($L$911),$B$511=1),$L$911,HLOOKUP(INDIRECT(ADDRESS(2,COLUMN())),OFFSET($BN$2,0,0,ROW()-1,60),ROW()-1,FALSE))</f>
        <v>69184.048939999993</v>
      </c>
      <c r="M412">
        <f ca="1">IF(AND(ISNUMBER($M$911),$B$511=1),$M$911,HLOOKUP(INDIRECT(ADDRESS(2,COLUMN())),OFFSET($BN$2,0,0,ROW()-1,60),ROW()-1,FALSE))</f>
        <v>68027.015310000003</v>
      </c>
      <c r="N412">
        <f ca="1">IF(AND(ISNUMBER($N$911),$B$511=1),$N$911,HLOOKUP(INDIRECT(ADDRESS(2,COLUMN())),OFFSET($BN$2,0,0,ROW()-1,60),ROW()-1,FALSE))</f>
        <v>75867.173989999996</v>
      </c>
      <c r="O412">
        <f ca="1">IF(AND(ISNUMBER($O$911),$B$511=1),$O$911,HLOOKUP(INDIRECT(ADDRESS(2,COLUMN())),OFFSET($BN$2,0,0,ROW()-1,60),ROW()-1,FALSE))</f>
        <v>43968.363089999999</v>
      </c>
      <c r="P412">
        <f ca="1">IF(AND(ISNUMBER($P$911),$B$511=1),$P$911,HLOOKUP(INDIRECT(ADDRESS(2,COLUMN())),OFFSET($BN$2,0,0,ROW()-1,60),ROW()-1,FALSE))</f>
        <v>47044.454669999999</v>
      </c>
      <c r="Q412">
        <f ca="1">IF(AND(ISNUMBER($Q$911),$B$511=1),$Q$911,HLOOKUP(INDIRECT(ADDRESS(2,COLUMN())),OFFSET($BN$2,0,0,ROW()-1,60),ROW()-1,FALSE))</f>
        <v>44138.505259999998</v>
      </c>
      <c r="R412">
        <f ca="1">IF(AND(ISNUMBER($R$911),$B$511=1),$R$911,HLOOKUP(INDIRECT(ADDRESS(2,COLUMN())),OFFSET($BN$2,0,0,ROW()-1,60),ROW()-1,FALSE))</f>
        <v>50687.497439999999</v>
      </c>
      <c r="S412">
        <f ca="1">IF(AND(ISNUMBER($S$911),$B$511=1),$S$911,HLOOKUP(INDIRECT(ADDRESS(2,COLUMN())),OFFSET($BN$2,0,0,ROW()-1,60),ROW()-1,FALSE))</f>
        <v>58470.148959999999</v>
      </c>
      <c r="T412">
        <f ca="1">IF(AND(ISNUMBER($T$911),$B$511=1),$T$911,HLOOKUP(INDIRECT(ADDRESS(2,COLUMN())),OFFSET($BN$2,0,0,ROW()-1,60),ROW()-1,FALSE))</f>
        <v>35268.394959999998</v>
      </c>
      <c r="U412">
        <f ca="1">IF(AND(ISNUMBER($U$911),$B$511=1),$U$911,HLOOKUP(INDIRECT(ADDRESS(2,COLUMN())),OFFSET($BN$2,0,0,ROW()-1,60),ROW()-1,FALSE))</f>
        <v>97206.696230000001</v>
      </c>
      <c r="V412">
        <f ca="1">IF(AND(ISNUMBER($V$911),$B$511=1),$V$911,HLOOKUP(INDIRECT(ADDRESS(2,COLUMN())),OFFSET($BN$2,0,0,ROW()-1,60),ROW()-1,FALSE))</f>
        <v>111785.5886</v>
      </c>
      <c r="W412">
        <f ca="1">IF(AND(ISNUMBER($W$911),$B$511=1),$W$911,HLOOKUP(INDIRECT(ADDRESS(2,COLUMN())),OFFSET($BN$2,0,0,ROW()-1,60),ROW()-1,FALSE))</f>
        <v>92198.839420000004</v>
      </c>
      <c r="X412">
        <f ca="1">IF(AND(ISNUMBER($X$911),$B$511=1),$X$911,HLOOKUP(INDIRECT(ADDRESS(2,COLUMN())),OFFSET($BN$2,0,0,ROW()-1,60),ROW()-1,FALSE))</f>
        <v>85618.348419999995</v>
      </c>
      <c r="Y412">
        <f ca="1">IF(AND(ISNUMBER($Y$911),$B$511=1),$Y$911,HLOOKUP(INDIRECT(ADDRESS(2,COLUMN())),OFFSET($BN$2,0,0,ROW()-1,60),ROW()-1,FALSE))</f>
        <v>113329.5416</v>
      </c>
      <c r="Z412">
        <f ca="1">IF(AND(ISNUMBER($Z$911),$B$511=1),$Z$911,HLOOKUP(INDIRECT(ADDRESS(2,COLUMN())),OFFSET($BN$2,0,0,ROW()-1,60),ROW()-1,FALSE))</f>
        <v>106725.23759999999</v>
      </c>
      <c r="AA412">
        <f ca="1">IF(AND(ISNUMBER($AA$911),$B$511=1),$AA$911,HLOOKUP(INDIRECT(ADDRESS(2,COLUMN())),OFFSET($BN$2,0,0,ROW()-1,60),ROW()-1,FALSE))</f>
        <v>113096.43</v>
      </c>
      <c r="AB412">
        <f ca="1">IF(AND(ISNUMBER($AB$911),$B$511=1),$AB$911,HLOOKUP(INDIRECT(ADDRESS(2,COLUMN())),OFFSET($BN$2,0,0,ROW()-1,60),ROW()-1,FALSE))</f>
        <v>92583.089859999993</v>
      </c>
      <c r="AC412">
        <f ca="1">IF(AND(ISNUMBER($AC$911),$B$511=1),$AC$911,HLOOKUP(INDIRECT(ADDRESS(2,COLUMN())),OFFSET($BN$2,0,0,ROW()-1,60),ROW()-1,FALSE))</f>
        <v>82148.490890000001</v>
      </c>
      <c r="AD412">
        <f ca="1">IF(AND(ISNUMBER($AD$911),$B$511=1),$AD$911,HLOOKUP(INDIRECT(ADDRESS(2,COLUMN())),OFFSET($BN$2,0,0,ROW()-1,60),ROW()-1,FALSE))</f>
        <v>83614.184009999997</v>
      </c>
      <c r="AE412">
        <f ca="1">IF(AND(ISNUMBER($AE$911),$B$511=1),$AE$911,HLOOKUP(INDIRECT(ADDRESS(2,COLUMN())),OFFSET($BN$2,0,0,ROW()-1,60),ROW()-1,FALSE))</f>
        <v>96513.924650000001</v>
      </c>
      <c r="AF412">
        <f ca="1">IF(AND(ISNUMBER($AF$911),$B$511=1),$AF$911,HLOOKUP(INDIRECT(ADDRESS(2,COLUMN())),OFFSET($BN$2,0,0,ROW()-1,60),ROW()-1,FALSE))</f>
        <v>77407.613110000006</v>
      </c>
      <c r="AG412">
        <f ca="1">IF(AND(ISNUMBER($AG$911),$B$511=1),$AG$911,HLOOKUP(INDIRECT(ADDRESS(2,COLUMN())),OFFSET($BN$2,0,0,ROW()-1,60),ROW()-1,FALSE))</f>
        <v>59577.61479</v>
      </c>
      <c r="AH412">
        <f ca="1">IF(AND(ISNUMBER($AH$911),$B$511=1),$AH$911,HLOOKUP(INDIRECT(ADDRESS(2,COLUMN())),OFFSET($BN$2,0,0,ROW()-1,60),ROW()-1,FALSE))</f>
        <v>65562.375650000002</v>
      </c>
      <c r="AI412">
        <f ca="1">IF(AND(ISNUMBER($AI$911),$B$511=1),$AI$911,HLOOKUP(INDIRECT(ADDRESS(2,COLUMN())),OFFSET($BN$2,0,0,ROW()-1,60),ROW()-1,FALSE))</f>
        <v>53237.203410000002</v>
      </c>
      <c r="AJ412">
        <f ca="1">IF(AND(ISNUMBER($AJ$911),$B$511=1),$AJ$911,HLOOKUP(INDIRECT(ADDRESS(2,COLUMN())),OFFSET($BN$2,0,0,ROW()-1,60),ROW()-1,FALSE))</f>
        <v>37910.450019999997</v>
      </c>
      <c r="AK412">
        <f ca="1">IF(AND(ISNUMBER($AK$911),$B$511=1),$AK$911,HLOOKUP(INDIRECT(ADDRESS(2,COLUMN())),OFFSET($BN$2,0,0,ROW()-1,60),ROW()-1,FALSE))</f>
        <v>67340.312430000005</v>
      </c>
      <c r="AL412">
        <f ca="1">IF(AND(ISNUMBER($AL$911),$B$511=1),$AL$911,HLOOKUP(INDIRECT(ADDRESS(2,COLUMN())),OFFSET($BN$2,0,0,ROW()-1,60),ROW()-1,FALSE))</f>
        <v>51592.399039999997</v>
      </c>
      <c r="AM412">
        <f ca="1">IF(AND(ISNUMBER($AM$911),$B$511=1),$AM$911,HLOOKUP(INDIRECT(ADDRESS(2,COLUMN())),OFFSET($BN$2,0,0,ROW()-1,60),ROW()-1,FALSE))</f>
        <v>49983.768199999999</v>
      </c>
      <c r="AN412">
        <f ca="1">IF(AND(ISNUMBER($AN$911),$B$511=1),$AN$911,HLOOKUP(INDIRECT(ADDRESS(2,COLUMN())),OFFSET($BN$2,0,0,ROW()-1,60),ROW()-1,FALSE))</f>
        <v>32443.09259</v>
      </c>
      <c r="AO412">
        <f ca="1">IF(AND(ISNUMBER($AO$911),$B$511=1),$AO$911,HLOOKUP(INDIRECT(ADDRESS(2,COLUMN())),OFFSET($BN$2,0,0,ROW()-1,60),ROW()-1,FALSE))</f>
        <v>23851.045679999999</v>
      </c>
      <c r="AP412">
        <f ca="1">IF(AND(ISNUMBER($AP$911),$B$511=1),$AP$911,HLOOKUP(INDIRECT(ADDRESS(2,COLUMN())),OFFSET($BN$2,0,0,ROW()-1,60),ROW()-1,FALSE))</f>
        <v>24239.32777</v>
      </c>
      <c r="AQ412">
        <f ca="1">IF(AND(ISNUMBER($AQ$911),$B$511=1),$AQ$911,HLOOKUP(INDIRECT(ADDRESS(2,COLUMN())),OFFSET($BN$2,0,0,ROW()-1,60),ROW()-1,FALSE))</f>
        <v>122616.7101</v>
      </c>
      <c r="AR412">
        <f ca="1">IF(AND(ISNUMBER($AR$911),$B$511=1),$AR$911,HLOOKUP(INDIRECT(ADDRESS(2,COLUMN())),OFFSET($BN$2,0,0,ROW()-1,60),ROW()-1,FALSE))</f>
        <v>136946.10500000001</v>
      </c>
      <c r="AS412">
        <f ca="1">IF(AND(ISNUMBER($AS$911),$B$511=1),$AS$911,HLOOKUP(INDIRECT(ADDRESS(2,COLUMN())),OFFSET($BN$2,0,0,ROW()-1,60),ROW()-1,FALSE))</f>
        <v>182398.8107</v>
      </c>
      <c r="AT412">
        <f ca="1">IF(AND(ISNUMBER($AT$911),$B$511=1),$AT$911,HLOOKUP(INDIRECT(ADDRESS(2,COLUMN())),OFFSET($BN$2,0,0,ROW()-1,60),ROW()-1,FALSE))</f>
        <v>169408.69270000001</v>
      </c>
      <c r="AU412">
        <f ca="1">IF(AND(ISNUMBER($AU$911),$B$511=1),$AU$911,HLOOKUP(INDIRECT(ADDRESS(2,COLUMN())),OFFSET($BN$2,0,0,ROW()-1,60),ROW()-1,FALSE))</f>
        <v>192293.83850000001</v>
      </c>
      <c r="AV412">
        <f ca="1">IF(AND(ISNUMBER($AV$911),$B$511=1),$AV$911,HLOOKUP(INDIRECT(ADDRESS(2,COLUMN())),OFFSET($BN$2,0,0,ROW()-1,60),ROW()-1,FALSE))</f>
        <v>205773.06570000001</v>
      </c>
      <c r="AW412">
        <f ca="1">IF(AND(ISNUMBER($AW$911),$B$511=1),$AW$911,HLOOKUP(INDIRECT(ADDRESS(2,COLUMN())),OFFSET($BN$2,0,0,ROW()-1,60),ROW()-1,FALSE))</f>
        <v>166913.2678</v>
      </c>
      <c r="AX412">
        <f ca="1">IF(AND(ISNUMBER($AX$911),$B$511=1),$AX$911,HLOOKUP(INDIRECT(ADDRESS(2,COLUMN())),OFFSET($BN$2,0,0,ROW()-1,60),ROW()-1,FALSE))</f>
        <v>167476.0024</v>
      </c>
      <c r="AY412">
        <f ca="1">IF(AND(ISNUMBER($AY$911),$B$511=1),$AY$911,HLOOKUP(INDIRECT(ADDRESS(2,COLUMN())),OFFSET($BN$2,0,0,ROW()-1,60),ROW()-1,FALSE))</f>
        <v>143113.7831</v>
      </c>
      <c r="AZ412">
        <f ca="1">IF(AND(ISNUMBER($AZ$911),$B$511=1),$AZ$911,HLOOKUP(INDIRECT(ADDRESS(2,COLUMN())),OFFSET($BN$2,0,0,ROW()-1,60),ROW()-1,FALSE))</f>
        <v>136929.5496</v>
      </c>
      <c r="BA412">
        <f ca="1">IF(AND(ISNUMBER($BA$911),$B$511=1),$BA$911,HLOOKUP(INDIRECT(ADDRESS(2,COLUMN())),OFFSET($BN$2,0,0,ROW()-1,60),ROW()-1,FALSE))</f>
        <v>114205.91590000001</v>
      </c>
      <c r="BB412">
        <f ca="1">IF(AND(ISNUMBER($BB$911),$B$511=1),$BB$911,HLOOKUP(INDIRECT(ADDRESS(2,COLUMN())),OFFSET($BN$2,0,0,ROW()-1,60),ROW()-1,FALSE))</f>
        <v>112580.4715</v>
      </c>
      <c r="BC412">
        <f ca="1">IF(AND(ISNUMBER($BC$911),$B$511=1),$BC$911,HLOOKUP(INDIRECT(ADDRESS(2,COLUMN())),OFFSET($BN$2,0,0,ROW()-1,60),ROW()-1,FALSE))</f>
        <v>98618.090370000005</v>
      </c>
      <c r="BD412">
        <f ca="1">IF(AND(ISNUMBER($BD$911),$B$511=1),$BD$911,HLOOKUP(INDIRECT(ADDRESS(2,COLUMN())),OFFSET($BN$2,0,0,ROW()-1,60),ROW()-1,FALSE))</f>
        <v>84425.303620000006</v>
      </c>
      <c r="BE412">
        <f ca="1">IF(AND(ISNUMBER($BE$911),$B$511=1),$BE$911,HLOOKUP(INDIRECT(ADDRESS(2,COLUMN())),OFFSET($BN$2,0,0,ROW()-1,60),ROW()-1,FALSE))</f>
        <v>80760.641900000002</v>
      </c>
      <c r="BF412">
        <f ca="1">IF(AND(ISNUMBER($BF$911),$B$511=1),$BF$911,HLOOKUP(INDIRECT(ADDRESS(2,COLUMN())),OFFSET($BN$2,0,0,ROW()-1,60),ROW()-1,FALSE))</f>
        <v>86877.057060000006</v>
      </c>
      <c r="BG412">
        <f ca="1">IF(AND(ISNUMBER($BG$911),$B$511=1),$BG$911,HLOOKUP(INDIRECT(ADDRESS(2,COLUMN())),OFFSET($BN$2,0,0,ROW()-1,60),ROW()-1,FALSE))</f>
        <v>80274.218689999994</v>
      </c>
      <c r="BH412">
        <f ca="1">IF(AND(ISNUMBER($BH$911),$B$511=1),$BH$911,HLOOKUP(INDIRECT(ADDRESS(2,COLUMN())),OFFSET($BN$2,0,0,ROW()-1,60),ROW()-1,FALSE))</f>
        <v>83808.58971</v>
      </c>
      <c r="BI412">
        <f ca="1">IF(AND(ISNUMBER($BI$911),$B$511=1),$BI$911,HLOOKUP(INDIRECT(ADDRESS(2,COLUMN())),OFFSET($BN$2,0,0,ROW()-1,60),ROW()-1,FALSE))</f>
        <v>79438.209279999995</v>
      </c>
      <c r="BJ412">
        <f ca="1">IF(AND(ISNUMBER($BJ$911),$B$511=1),$BJ$911,HLOOKUP(INDIRECT(ADDRESS(2,COLUMN())),OFFSET($BN$2,0,0,ROW()-1,60),ROW()-1,FALSE))</f>
        <v>82346.69197</v>
      </c>
      <c r="BK412">
        <f ca="1">IF(AND(ISNUMBER($BK$911),$B$511=1),$BK$911,HLOOKUP(INDIRECT(ADDRESS(2,COLUMN())),OFFSET($BN$2,0,0,ROW()-1,60),ROW()-1,FALSE))</f>
        <v>83737.363740000001</v>
      </c>
      <c r="BL412" t="str">
        <f ca="1">IF(AND(ISNUMBER($BL$911),$B$511=1),$BL$911,HLOOKUP(INDIRECT(ADDRESS(2,COLUMN())),OFFSET($BN$2,0,0,ROW()-1,60),ROW()-1,FALSE))</f>
        <v/>
      </c>
      <c r="BM412" t="str">
        <f ca="1">IF(AND(ISNUMBER($BM$911),$B$511=1),$BM$911,HLOOKUP(INDIRECT(ADDRESS(2,COLUMN())),OFFSET($BN$2,0,0,ROW()-1,60),ROW()-1,FALSE))</f>
        <v/>
      </c>
      <c r="BN412" t="str">
        <f>""</f>
        <v/>
      </c>
      <c r="BO412">
        <f>65791.45646</f>
        <v>65791.456460000001</v>
      </c>
      <c r="BP412">
        <f>73918.38545</f>
        <v>73918.385450000002</v>
      </c>
      <c r="BQ412">
        <f>83260.67815</f>
        <v>83260.678150000007</v>
      </c>
      <c r="BR412">
        <f>85394.09622</f>
        <v>85394.096220000007</v>
      </c>
      <c r="BS412">
        <f>78358.85335</f>
        <v>78358.853350000005</v>
      </c>
      <c r="BT412">
        <f>69184.04894</f>
        <v>69184.048939999993</v>
      </c>
      <c r="BU412">
        <f>68027.01531</f>
        <v>68027.015310000003</v>
      </c>
      <c r="BV412">
        <f>75867.17399</f>
        <v>75867.173989999996</v>
      </c>
      <c r="BW412">
        <f>43968.36309</f>
        <v>43968.363089999999</v>
      </c>
      <c r="BX412">
        <f>47044.45467</f>
        <v>47044.454669999999</v>
      </c>
      <c r="BY412">
        <f>44138.50526</f>
        <v>44138.505259999998</v>
      </c>
      <c r="BZ412">
        <f>50687.49744</f>
        <v>50687.497439999999</v>
      </c>
      <c r="CA412">
        <f>58470.14896</f>
        <v>58470.148959999999</v>
      </c>
      <c r="CB412">
        <f>35268.39496</f>
        <v>35268.394959999998</v>
      </c>
      <c r="CC412">
        <f>97206.69623</f>
        <v>97206.696230000001</v>
      </c>
      <c r="CD412">
        <f>111785.5886</f>
        <v>111785.5886</v>
      </c>
      <c r="CE412">
        <f>92198.83942</f>
        <v>92198.839420000004</v>
      </c>
      <c r="CF412">
        <f>85618.34842</f>
        <v>85618.348419999995</v>
      </c>
      <c r="CG412">
        <f>113329.5416</f>
        <v>113329.5416</v>
      </c>
      <c r="CH412">
        <f>106725.2376</f>
        <v>106725.23759999999</v>
      </c>
      <c r="CI412">
        <f>113096.43</f>
        <v>113096.43</v>
      </c>
      <c r="CJ412">
        <f>92583.08986</f>
        <v>92583.089859999993</v>
      </c>
      <c r="CK412">
        <f>82148.49089</f>
        <v>82148.490890000001</v>
      </c>
      <c r="CL412">
        <f>83614.18401</f>
        <v>83614.184009999997</v>
      </c>
      <c r="CM412">
        <f>96513.92465</f>
        <v>96513.924650000001</v>
      </c>
      <c r="CN412">
        <f>77407.61311</f>
        <v>77407.613110000006</v>
      </c>
      <c r="CO412">
        <f>59577.61479</f>
        <v>59577.61479</v>
      </c>
      <c r="CP412">
        <f>65562.37565</f>
        <v>65562.375650000002</v>
      </c>
      <c r="CQ412">
        <f>53237.20341</f>
        <v>53237.203410000002</v>
      </c>
      <c r="CR412">
        <f>37910.45002</f>
        <v>37910.450019999997</v>
      </c>
      <c r="CS412">
        <f>67340.31243</f>
        <v>67340.312430000005</v>
      </c>
      <c r="CT412">
        <f>51592.39904</f>
        <v>51592.399039999997</v>
      </c>
      <c r="CU412">
        <f>49983.7682</f>
        <v>49983.768199999999</v>
      </c>
      <c r="CV412">
        <f>32443.09259</f>
        <v>32443.09259</v>
      </c>
      <c r="CW412">
        <f>23851.04568</f>
        <v>23851.045679999999</v>
      </c>
      <c r="CX412">
        <f>24239.32777</f>
        <v>24239.32777</v>
      </c>
      <c r="CY412">
        <f>122616.7101</f>
        <v>122616.7101</v>
      </c>
      <c r="CZ412">
        <f>136946.105</f>
        <v>136946.10500000001</v>
      </c>
      <c r="DA412">
        <f>182398.8107</f>
        <v>182398.8107</v>
      </c>
      <c r="DB412">
        <f>169408.6927</f>
        <v>169408.69270000001</v>
      </c>
      <c r="DC412">
        <f>192293.8385</f>
        <v>192293.83850000001</v>
      </c>
      <c r="DD412">
        <f>205773.0657</f>
        <v>205773.06570000001</v>
      </c>
      <c r="DE412">
        <f>166913.2678</f>
        <v>166913.2678</v>
      </c>
      <c r="DF412">
        <f>167476.0024</f>
        <v>167476.0024</v>
      </c>
      <c r="DG412">
        <f>143113.7831</f>
        <v>143113.7831</v>
      </c>
      <c r="DH412">
        <f>136929.5496</f>
        <v>136929.5496</v>
      </c>
      <c r="DI412">
        <f>114205.9159</f>
        <v>114205.91590000001</v>
      </c>
      <c r="DJ412">
        <f>112580.4715</f>
        <v>112580.4715</v>
      </c>
      <c r="DK412">
        <f>98618.09037</f>
        <v>98618.090370000005</v>
      </c>
      <c r="DL412">
        <f>84425.30362</f>
        <v>84425.303620000006</v>
      </c>
      <c r="DM412">
        <f>80760.6419</f>
        <v>80760.641900000002</v>
      </c>
      <c r="DN412">
        <f>86877.05706</f>
        <v>86877.057060000006</v>
      </c>
      <c r="DO412">
        <f>80274.21869</f>
        <v>80274.218689999994</v>
      </c>
      <c r="DP412">
        <f>83808.58971</f>
        <v>83808.58971</v>
      </c>
      <c r="DQ412">
        <f>79438.20928</f>
        <v>79438.209279999995</v>
      </c>
      <c r="DR412">
        <f>82346.69197</f>
        <v>82346.69197</v>
      </c>
      <c r="DS412">
        <f>83737.36374</f>
        <v>83737.363740000001</v>
      </c>
      <c r="DT412" t="str">
        <f>""</f>
        <v/>
      </c>
      <c r="DU412" t="str">
        <f>""</f>
        <v/>
      </c>
    </row>
    <row r="413" spans="1:125" x14ac:dyDescent="0.25">
      <c r="A413" t="str">
        <f>"    Yulon Motor Co Ltd"</f>
        <v xml:space="preserve">    Yulon Motor Co Ltd</v>
      </c>
      <c r="B413" t="str">
        <f>"2201 TT Equity"</f>
        <v>2201 TT Equity</v>
      </c>
      <c r="C413" t="str">
        <f t="shared" si="27"/>
        <v>RR937</v>
      </c>
      <c r="D413" t="str">
        <f t="shared" si="28"/>
        <v>CRNCY_ADJ_CURR_EV</v>
      </c>
      <c r="E413" t="str">
        <f t="shared" si="29"/>
        <v>Dynamic</v>
      </c>
      <c r="F413">
        <f ca="1">IF(AND(ISNUMBER($F$912),$B$511=1),$F$912,HLOOKUP(INDIRECT(ADDRESS(2,COLUMN())),OFFSET($BN$2,0,0,ROW()-1,60),ROW()-1,FALSE))</f>
        <v>5455.9614840000004</v>
      </c>
      <c r="G413">
        <f ca="1">IF(AND(ISNUMBER($G$912),$B$511=1),$G$912,HLOOKUP(INDIRECT(ADDRESS(2,COLUMN())),OFFSET($BN$2,0,0,ROW()-1,60),ROW()-1,FALSE))</f>
        <v>5451.6346659999999</v>
      </c>
      <c r="H413">
        <f ca="1">IF(AND(ISNUMBER($H$912),$B$511=1),$H$912,HLOOKUP(INDIRECT(ADDRESS(2,COLUMN())),OFFSET($BN$2,0,0,ROW()-1,60),ROW()-1,FALSE))</f>
        <v>5642.2369699999999</v>
      </c>
      <c r="I413">
        <f ca="1">IF(AND(ISNUMBER($I$912),$B$511=1),$I$912,HLOOKUP(INDIRECT(ADDRESS(2,COLUMN())),OFFSET($BN$2,0,0,ROW()-1,60),ROW()-1,FALSE))</f>
        <v>5226.038751</v>
      </c>
      <c r="J413">
        <f ca="1">IF(AND(ISNUMBER($J$912),$B$511=1),$J$912,HLOOKUP(INDIRECT(ADDRESS(2,COLUMN())),OFFSET($BN$2,0,0,ROW()-1,60),ROW()-1,FALSE))</f>
        <v>5189.7176900000004</v>
      </c>
      <c r="K413">
        <f ca="1">IF(AND(ISNUMBER($K$912),$B$511=1),$K$912,HLOOKUP(INDIRECT(ADDRESS(2,COLUMN())),OFFSET($BN$2,0,0,ROW()-1,60),ROW()-1,FALSE))</f>
        <v>4935.4622939999999</v>
      </c>
      <c r="L413">
        <f ca="1">IF(AND(ISNUMBER($L$912),$B$511=1),$L$912,HLOOKUP(INDIRECT(ADDRESS(2,COLUMN())),OFFSET($BN$2,0,0,ROW()-1,60),ROW()-1,FALSE))</f>
        <v>4652.0911880000003</v>
      </c>
      <c r="M413">
        <f ca="1">IF(AND(ISNUMBER($M$912),$B$511=1),$M$912,HLOOKUP(INDIRECT(ADDRESS(2,COLUMN())),OFFSET($BN$2,0,0,ROW()-1,60),ROW()-1,FALSE))</f>
        <v>4475.7764310000002</v>
      </c>
      <c r="N413">
        <f ca="1">IF(AND(ISNUMBER($N$912),$B$511=1),$N$912,HLOOKUP(INDIRECT(ADDRESS(2,COLUMN())),OFFSET($BN$2,0,0,ROW()-1,60),ROW()-1,FALSE))</f>
        <v>4305.3430230000004</v>
      </c>
      <c r="O413">
        <f ca="1">IF(AND(ISNUMBER($O$912),$B$511=1),$O$912,HLOOKUP(INDIRECT(ADDRESS(2,COLUMN())),OFFSET($BN$2,0,0,ROW()-1,60),ROW()-1,FALSE))</f>
        <v>3895.0833790000001</v>
      </c>
      <c r="P413">
        <f ca="1">IF(AND(ISNUMBER($P$912),$B$511=1),$P$912,HLOOKUP(INDIRECT(ADDRESS(2,COLUMN())),OFFSET($BN$2,0,0,ROW()-1,60),ROW()-1,FALSE))</f>
        <v>3850.857266</v>
      </c>
      <c r="Q413">
        <f ca="1">IF(AND(ISNUMBER($Q$912),$B$511=1),$Q$912,HLOOKUP(INDIRECT(ADDRESS(2,COLUMN())),OFFSET($BN$2,0,0,ROW()-1,60),ROW()-1,FALSE))</f>
        <v>3594.127383</v>
      </c>
      <c r="R413">
        <f ca="1">IF(AND(ISNUMBER($R$912),$B$511=1),$R$912,HLOOKUP(INDIRECT(ADDRESS(2,COLUMN())),OFFSET($BN$2,0,0,ROW()-1,60),ROW()-1,FALSE))</f>
        <v>3673.1845920000001</v>
      </c>
      <c r="S413">
        <f ca="1">IF(AND(ISNUMBER($S$912),$B$511=1),$S$912,HLOOKUP(INDIRECT(ADDRESS(2,COLUMN())),OFFSET($BN$2,0,0,ROW()-1,60),ROW()-1,FALSE))</f>
        <v>3597.3421020000001</v>
      </c>
      <c r="T413">
        <f ca="1">IF(AND(ISNUMBER($T$912),$B$511=1),$T$912,HLOOKUP(INDIRECT(ADDRESS(2,COLUMN())),OFFSET($BN$2,0,0,ROW()-1,60),ROW()-1,FALSE))</f>
        <v>3474.4385609999999</v>
      </c>
      <c r="U413">
        <f ca="1">IF(AND(ISNUMBER($U$912),$B$511=1),$U$912,HLOOKUP(INDIRECT(ADDRESS(2,COLUMN())),OFFSET($BN$2,0,0,ROW()-1,60),ROW()-1,FALSE))</f>
        <v>4103.704941</v>
      </c>
      <c r="V413">
        <f ca="1">IF(AND(ISNUMBER($V$912),$B$511=1),$V$912,HLOOKUP(INDIRECT(ADDRESS(2,COLUMN())),OFFSET($BN$2,0,0,ROW()-1,60),ROW()-1,FALSE))</f>
        <v>4272.8517469999997</v>
      </c>
      <c r="W413">
        <f ca="1">IF(AND(ISNUMBER($W$912),$B$511=1),$W$912,HLOOKUP(INDIRECT(ADDRESS(2,COLUMN())),OFFSET($BN$2,0,0,ROW()-1,60),ROW()-1,FALSE))</f>
        <v>4390.2403420000001</v>
      </c>
      <c r="X413">
        <f ca="1">IF(AND(ISNUMBER($X$912),$B$511=1),$X$912,HLOOKUP(INDIRECT(ADDRESS(2,COLUMN())),OFFSET($BN$2,0,0,ROW()-1,60),ROW()-1,FALSE))</f>
        <v>4340.1048870000004</v>
      </c>
      <c r="Y413">
        <f ca="1">IF(AND(ISNUMBER($Y$912),$B$511=1),$Y$912,HLOOKUP(INDIRECT(ADDRESS(2,COLUMN())),OFFSET($BN$2,0,0,ROW()-1,60),ROW()-1,FALSE))</f>
        <v>4522.8783460000004</v>
      </c>
      <c r="Z413">
        <f ca="1">IF(AND(ISNUMBER($Z$912),$B$511=1),$Z$912,HLOOKUP(INDIRECT(ADDRESS(2,COLUMN())),OFFSET($BN$2,0,0,ROW()-1,60),ROW()-1,FALSE))</f>
        <v>4443.321508</v>
      </c>
      <c r="AA413">
        <f ca="1">IF(AND(ISNUMBER($AA$912),$B$511=1),$AA$912,HLOOKUP(INDIRECT(ADDRESS(2,COLUMN())),OFFSET($BN$2,0,0,ROW()-1,60),ROW()-1,FALSE))</f>
        <v>4667.7643749999997</v>
      </c>
      <c r="AB413">
        <f ca="1">IF(AND(ISNUMBER($AB$912),$B$511=1),$AB$912,HLOOKUP(INDIRECT(ADDRESS(2,COLUMN())),OFFSET($BN$2,0,0,ROW()-1,60),ROW()-1,FALSE))</f>
        <v>4406.1455740000001</v>
      </c>
      <c r="AC413">
        <f ca="1">IF(AND(ISNUMBER($AC$912),$B$511=1),$AC$912,HLOOKUP(INDIRECT(ADDRESS(2,COLUMN())),OFFSET($BN$2,0,0,ROW()-1,60),ROW()-1,FALSE))</f>
        <v>4208.8772140000001</v>
      </c>
      <c r="AD413">
        <f ca="1">IF(AND(ISNUMBER($AD$912),$B$511=1),$AD$912,HLOOKUP(INDIRECT(ADDRESS(2,COLUMN())),OFFSET($BN$2,0,0,ROW()-1,60),ROW()-1,FALSE))</f>
        <v>4472.3622310000001</v>
      </c>
      <c r="AE413">
        <f ca="1">IF(AND(ISNUMBER($AE$912),$B$511=1),$AE$912,HLOOKUP(INDIRECT(ADDRESS(2,COLUMN())),OFFSET($BN$2,0,0,ROW()-1,60),ROW()-1,FALSE))</f>
        <v>4692.6836039999998</v>
      </c>
      <c r="AF413">
        <f ca="1">IF(AND(ISNUMBER($AF$912),$B$511=1),$AF$912,HLOOKUP(INDIRECT(ADDRESS(2,COLUMN())),OFFSET($BN$2,0,0,ROW()-1,60),ROW()-1,FALSE))</f>
        <v>4839.7394409999997</v>
      </c>
      <c r="AG413">
        <f ca="1">IF(AND(ISNUMBER($AG$912),$B$511=1),$AG$912,HLOOKUP(INDIRECT(ADDRESS(2,COLUMN())),OFFSET($BN$2,0,0,ROW()-1,60),ROW()-1,FALSE))</f>
        <v>4371.4096680000002</v>
      </c>
      <c r="AH413">
        <f ca="1">IF(AND(ISNUMBER($AH$912),$B$511=1),$AH$912,HLOOKUP(INDIRECT(ADDRESS(2,COLUMN())),OFFSET($BN$2,0,0,ROW()-1,60),ROW()-1,FALSE))</f>
        <v>4455.3064180000001</v>
      </c>
      <c r="AI413">
        <f ca="1">IF(AND(ISNUMBER($AI$912),$B$511=1),$AI$912,HLOOKUP(INDIRECT(ADDRESS(2,COLUMN())),OFFSET($BN$2,0,0,ROW()-1,60),ROW()-1,FALSE))</f>
        <v>3986.856256</v>
      </c>
      <c r="AJ413">
        <f ca="1">IF(AND(ISNUMBER($AJ$912),$B$511=1),$AJ$912,HLOOKUP(INDIRECT(ADDRESS(2,COLUMN())),OFFSET($BN$2,0,0,ROW()-1,60),ROW()-1,FALSE))</f>
        <v>4249.9951950000004</v>
      </c>
      <c r="AK413">
        <f ca="1">IF(AND(ISNUMBER($AK$912),$B$511=1),$AK$912,HLOOKUP(INDIRECT(ADDRESS(2,COLUMN())),OFFSET($BN$2,0,0,ROW()-1,60),ROW()-1,FALSE))</f>
        <v>4955.1111339999998</v>
      </c>
      <c r="AL413">
        <f ca="1">IF(AND(ISNUMBER($AL$912),$B$511=1),$AL$912,HLOOKUP(INDIRECT(ADDRESS(2,COLUMN())),OFFSET($BN$2,0,0,ROW()-1,60),ROW()-1,FALSE))</f>
        <v>3931.2181110000001</v>
      </c>
      <c r="AM413">
        <f ca="1">IF(AND(ISNUMBER($AM$912),$B$511=1),$AM$912,HLOOKUP(INDIRECT(ADDRESS(2,COLUMN())),OFFSET($BN$2,0,0,ROW()-1,60),ROW()-1,FALSE))</f>
        <v>4264.8370949999999</v>
      </c>
      <c r="AN413">
        <f ca="1">IF(AND(ISNUMBER($AN$912),$B$511=1),$AN$912,HLOOKUP(INDIRECT(ADDRESS(2,COLUMN())),OFFSET($BN$2,0,0,ROW()-1,60),ROW()-1,FALSE))</f>
        <v>3644.0111310000002</v>
      </c>
      <c r="AO413">
        <f ca="1">IF(AND(ISNUMBER($AO$912),$B$511=1),$AO$912,HLOOKUP(INDIRECT(ADDRESS(2,COLUMN())),OFFSET($BN$2,0,0,ROW()-1,60),ROW()-1,FALSE))</f>
        <v>2299.4159570000002</v>
      </c>
      <c r="AP413">
        <f ca="1">IF(AND(ISNUMBER($AP$912),$B$511=1),$AP$912,HLOOKUP(INDIRECT(ADDRESS(2,COLUMN())),OFFSET($BN$2,0,0,ROW()-1,60),ROW()-1,FALSE))</f>
        <v>2435.3946900000001</v>
      </c>
      <c r="AQ413">
        <f ca="1">IF(AND(ISNUMBER($AQ$912),$B$511=1),$AQ$912,HLOOKUP(INDIRECT(ADDRESS(2,COLUMN())),OFFSET($BN$2,0,0,ROW()-1,60),ROW()-1,FALSE))</f>
        <v>2438.9100429999999</v>
      </c>
      <c r="AR413">
        <f ca="1">IF(AND(ISNUMBER($AR$912),$B$511=1),$AR$912,HLOOKUP(INDIRECT(ADDRESS(2,COLUMN())),OFFSET($BN$2,0,0,ROW()-1,60),ROW()-1,FALSE))</f>
        <v>2326.6004090000001</v>
      </c>
      <c r="AS413">
        <f ca="1">IF(AND(ISNUMBER($AS$912),$B$511=1),$AS$912,HLOOKUP(INDIRECT(ADDRESS(2,COLUMN())),OFFSET($BN$2,0,0,ROW()-1,60),ROW()-1,FALSE))</f>
        <v>1997.684141</v>
      </c>
      <c r="AT413">
        <f ca="1">IF(AND(ISNUMBER($AT$912),$B$511=1),$AT$912,HLOOKUP(INDIRECT(ADDRESS(2,COLUMN())),OFFSET($BN$2,0,0,ROW()-1,60),ROW()-1,FALSE))</f>
        <v>1364.309677</v>
      </c>
      <c r="AU413">
        <f ca="1">IF(AND(ISNUMBER($AU$912),$B$511=1),$AU$912,HLOOKUP(INDIRECT(ADDRESS(2,COLUMN())),OFFSET($BN$2,0,0,ROW()-1,60),ROW()-1,FALSE))</f>
        <v>1163.158776</v>
      </c>
      <c r="AV413">
        <f ca="1">IF(AND(ISNUMBER($AV$912),$B$511=1),$AV$912,HLOOKUP(INDIRECT(ADDRESS(2,COLUMN())),OFFSET($BN$2,0,0,ROW()-1,60),ROW()-1,FALSE))</f>
        <v>1472.1354739999999</v>
      </c>
      <c r="AW413">
        <f ca="1">IF(AND(ISNUMBER($AW$912),$B$511=1),$AW$912,HLOOKUP(INDIRECT(ADDRESS(2,COLUMN())),OFFSET($BN$2,0,0,ROW()-1,60),ROW()-1,FALSE))</f>
        <v>2201.093003</v>
      </c>
      <c r="AX413">
        <f ca="1">IF(AND(ISNUMBER($AX$912),$B$511=1),$AX$912,HLOOKUP(INDIRECT(ADDRESS(2,COLUMN())),OFFSET($BN$2,0,0,ROW()-1,60),ROW()-1,FALSE))</f>
        <v>2752.2906229999999</v>
      </c>
      <c r="AY413" t="str">
        <f ca="1">IF(AND(ISNUMBER($AY$912),$B$511=1),$AY$912,HLOOKUP(INDIRECT(ADDRESS(2,COLUMN())),OFFSET($BN$2,0,0,ROW()-1,60),ROW()-1,FALSE))</f>
        <v/>
      </c>
      <c r="AZ413" t="str">
        <f ca="1">IF(AND(ISNUMBER($AZ$912),$B$511=1),$AZ$912,HLOOKUP(INDIRECT(ADDRESS(2,COLUMN())),OFFSET($BN$2,0,0,ROW()-1,60),ROW()-1,FALSE))</f>
        <v/>
      </c>
      <c r="BA413" t="str">
        <f ca="1">IF(AND(ISNUMBER($BA$912),$B$511=1),$BA$912,HLOOKUP(INDIRECT(ADDRESS(2,COLUMN())),OFFSET($BN$2,0,0,ROW()-1,60),ROW()-1,FALSE))</f>
        <v/>
      </c>
      <c r="BB413" t="str">
        <f ca="1">IF(AND(ISNUMBER($BB$912),$B$511=1),$BB$912,HLOOKUP(INDIRECT(ADDRESS(2,COLUMN())),OFFSET($BN$2,0,0,ROW()-1,60),ROW()-1,FALSE))</f>
        <v/>
      </c>
      <c r="BC413" t="str">
        <f ca="1">IF(AND(ISNUMBER($BC$912),$B$511=1),$BC$912,HLOOKUP(INDIRECT(ADDRESS(2,COLUMN())),OFFSET($BN$2,0,0,ROW()-1,60),ROW()-1,FALSE))</f>
        <v/>
      </c>
      <c r="BD413" t="str">
        <f ca="1">IF(AND(ISNUMBER($BD$912),$B$511=1),$BD$912,HLOOKUP(INDIRECT(ADDRESS(2,COLUMN())),OFFSET($BN$2,0,0,ROW()-1,60),ROW()-1,FALSE))</f>
        <v/>
      </c>
      <c r="BE413" t="str">
        <f ca="1">IF(AND(ISNUMBER($BE$912),$B$511=1),$BE$912,HLOOKUP(INDIRECT(ADDRESS(2,COLUMN())),OFFSET($BN$2,0,0,ROW()-1,60),ROW()-1,FALSE))</f>
        <v/>
      </c>
      <c r="BF413" t="str">
        <f ca="1">IF(AND(ISNUMBER($BF$912),$B$511=1),$BF$912,HLOOKUP(INDIRECT(ADDRESS(2,COLUMN())),OFFSET($BN$2,0,0,ROW()-1,60),ROW()-1,FALSE))</f>
        <v/>
      </c>
      <c r="BG413" t="str">
        <f ca="1">IF(AND(ISNUMBER($BG$912),$B$511=1),$BG$912,HLOOKUP(INDIRECT(ADDRESS(2,COLUMN())),OFFSET($BN$2,0,0,ROW()-1,60),ROW()-1,FALSE))</f>
        <v/>
      </c>
      <c r="BH413" t="str">
        <f ca="1">IF(AND(ISNUMBER($BH$912),$B$511=1),$BH$912,HLOOKUP(INDIRECT(ADDRESS(2,COLUMN())),OFFSET($BN$2,0,0,ROW()-1,60),ROW()-1,FALSE))</f>
        <v/>
      </c>
      <c r="BI413" t="str">
        <f ca="1">IF(AND(ISNUMBER($BI$912),$B$511=1),$BI$912,HLOOKUP(INDIRECT(ADDRESS(2,COLUMN())),OFFSET($BN$2,0,0,ROW()-1,60),ROW()-1,FALSE))</f>
        <v/>
      </c>
      <c r="BJ413" t="str">
        <f ca="1">IF(AND(ISNUMBER($BJ$912),$B$511=1),$BJ$912,HLOOKUP(INDIRECT(ADDRESS(2,COLUMN())),OFFSET($BN$2,0,0,ROW()-1,60),ROW()-1,FALSE))</f>
        <v/>
      </c>
      <c r="BK413" t="str">
        <f ca="1">IF(AND(ISNUMBER($BK$912),$B$511=1),$BK$912,HLOOKUP(INDIRECT(ADDRESS(2,COLUMN())),OFFSET($BN$2,0,0,ROW()-1,60),ROW()-1,FALSE))</f>
        <v/>
      </c>
      <c r="BL413" t="str">
        <f ca="1">IF(AND(ISNUMBER($BL$912),$B$511=1),$BL$912,HLOOKUP(INDIRECT(ADDRESS(2,COLUMN())),OFFSET($BN$2,0,0,ROW()-1,60),ROW()-1,FALSE))</f>
        <v/>
      </c>
      <c r="BM413" t="str">
        <f ca="1">IF(AND(ISNUMBER($BM$912),$B$511=1),$BM$912,HLOOKUP(INDIRECT(ADDRESS(2,COLUMN())),OFFSET($BN$2,0,0,ROW()-1,60),ROW()-1,FALSE))</f>
        <v/>
      </c>
      <c r="BN413">
        <f>5455.961484</f>
        <v>5455.9614840000004</v>
      </c>
      <c r="BO413">
        <f>5451.634666</f>
        <v>5451.6346659999999</v>
      </c>
      <c r="BP413">
        <f>5642.23697</f>
        <v>5642.2369699999999</v>
      </c>
      <c r="BQ413">
        <f>5226.038751</f>
        <v>5226.038751</v>
      </c>
      <c r="BR413">
        <f>5189.71769</f>
        <v>5189.7176900000004</v>
      </c>
      <c r="BS413">
        <f>4935.462294</f>
        <v>4935.4622939999999</v>
      </c>
      <c r="BT413">
        <f>4652.091188</f>
        <v>4652.0911880000003</v>
      </c>
      <c r="BU413">
        <f>4475.776431</f>
        <v>4475.7764310000002</v>
      </c>
      <c r="BV413">
        <f>4305.343023</f>
        <v>4305.3430230000004</v>
      </c>
      <c r="BW413">
        <f>3895.083379</f>
        <v>3895.0833790000001</v>
      </c>
      <c r="BX413">
        <f>3850.857266</f>
        <v>3850.857266</v>
      </c>
      <c r="BY413">
        <f>3594.127383</f>
        <v>3594.127383</v>
      </c>
      <c r="BZ413">
        <f>3673.184592</f>
        <v>3673.1845920000001</v>
      </c>
      <c r="CA413">
        <f>3597.342102</f>
        <v>3597.3421020000001</v>
      </c>
      <c r="CB413">
        <f>3474.438561</f>
        <v>3474.4385609999999</v>
      </c>
      <c r="CC413">
        <f>4103.704941</f>
        <v>4103.704941</v>
      </c>
      <c r="CD413">
        <f>4272.851747</f>
        <v>4272.8517469999997</v>
      </c>
      <c r="CE413">
        <f>4390.240342</f>
        <v>4390.2403420000001</v>
      </c>
      <c r="CF413">
        <f>4340.104887</f>
        <v>4340.1048870000004</v>
      </c>
      <c r="CG413">
        <f>4522.878346</f>
        <v>4522.8783460000004</v>
      </c>
      <c r="CH413">
        <f>4443.321508</f>
        <v>4443.321508</v>
      </c>
      <c r="CI413">
        <f>4667.764375</f>
        <v>4667.7643749999997</v>
      </c>
      <c r="CJ413">
        <f>4406.145574</f>
        <v>4406.1455740000001</v>
      </c>
      <c r="CK413">
        <f>4208.877214</f>
        <v>4208.8772140000001</v>
      </c>
      <c r="CL413">
        <f>4472.362231</f>
        <v>4472.3622310000001</v>
      </c>
      <c r="CM413">
        <f>4692.683604</f>
        <v>4692.6836039999998</v>
      </c>
      <c r="CN413">
        <f>4839.739441</f>
        <v>4839.7394409999997</v>
      </c>
      <c r="CO413">
        <f>4371.409668</f>
        <v>4371.4096680000002</v>
      </c>
      <c r="CP413">
        <f>4455.306418</f>
        <v>4455.3064180000001</v>
      </c>
      <c r="CQ413">
        <f>3986.856256</f>
        <v>3986.856256</v>
      </c>
      <c r="CR413">
        <f>4249.995195</f>
        <v>4249.9951950000004</v>
      </c>
      <c r="CS413">
        <f>4955.111134</f>
        <v>4955.1111339999998</v>
      </c>
      <c r="CT413">
        <f>3931.218111</f>
        <v>3931.2181110000001</v>
      </c>
      <c r="CU413">
        <f>4264.837095</f>
        <v>4264.8370949999999</v>
      </c>
      <c r="CV413">
        <f>3644.011131</f>
        <v>3644.0111310000002</v>
      </c>
      <c r="CW413">
        <f>2299.415957</f>
        <v>2299.4159570000002</v>
      </c>
      <c r="CX413">
        <f>2435.39469</f>
        <v>2435.3946900000001</v>
      </c>
      <c r="CY413">
        <f>2438.910043</f>
        <v>2438.9100429999999</v>
      </c>
      <c r="CZ413">
        <f>2326.600409</f>
        <v>2326.6004090000001</v>
      </c>
      <c r="DA413">
        <f>1997.684141</f>
        <v>1997.684141</v>
      </c>
      <c r="DB413">
        <f>1364.309677</f>
        <v>1364.309677</v>
      </c>
      <c r="DC413">
        <f>1163.158776</f>
        <v>1163.158776</v>
      </c>
      <c r="DD413">
        <f>1472.135474</f>
        <v>1472.1354739999999</v>
      </c>
      <c r="DE413">
        <f>2201.093003</f>
        <v>2201.093003</v>
      </c>
      <c r="DF413">
        <f>2752.290623</f>
        <v>2752.2906229999999</v>
      </c>
      <c r="DG413" t="str">
        <f>""</f>
        <v/>
      </c>
      <c r="DH413" t="str">
        <f>""</f>
        <v/>
      </c>
      <c r="DI413" t="str">
        <f>""</f>
        <v/>
      </c>
      <c r="DJ413" t="str">
        <f>""</f>
        <v/>
      </c>
      <c r="DK413" t="str">
        <f>""</f>
        <v/>
      </c>
      <c r="DL413" t="str">
        <f>""</f>
        <v/>
      </c>
      <c r="DM413" t="str">
        <f>""</f>
        <v/>
      </c>
      <c r="DN413" t="str">
        <f>""</f>
        <v/>
      </c>
      <c r="DO413" t="str">
        <f>""</f>
        <v/>
      </c>
      <c r="DP413" t="str">
        <f>""</f>
        <v/>
      </c>
      <c r="DQ413" t="str">
        <f>""</f>
        <v/>
      </c>
      <c r="DR413" t="str">
        <f>""</f>
        <v/>
      </c>
      <c r="DS413" t="str">
        <f>""</f>
        <v/>
      </c>
      <c r="DT413" t="str">
        <f>""</f>
        <v/>
      </c>
      <c r="DU413" t="str">
        <f>""</f>
        <v/>
      </c>
    </row>
    <row r="414" spans="1:125" x14ac:dyDescent="0.25">
      <c r="A414" t="str">
        <f>"Last Price"</f>
        <v>Last Price</v>
      </c>
      <c r="B414" t="str">
        <f>""</f>
        <v/>
      </c>
      <c r="E414" t="str">
        <f>"Average"</f>
        <v>Average</v>
      </c>
      <c r="F414">
        <f ca="1">IF(ISERROR(IF(AVERAGE($F$415:$F$454) = 0, "", AVERAGE($F$415:$F$454))), "", (IF(AVERAGE($F$415:$F$454) = 0, "", AVERAGE($F$415:$F$454))))</f>
        <v>56.226307492594586</v>
      </c>
      <c r="G414">
        <f ca="1">IF(ISERROR(IF(AVERAGE($G$415:$G$454) = 0, "", AVERAGE($G$415:$G$454))), "", (IF(AVERAGE($G$415:$G$454) = 0, "", AVERAGE($G$415:$G$454))))</f>
        <v>54.410478792459465</v>
      </c>
      <c r="H414">
        <f ca="1">IF(ISERROR(IF(AVERAGE($H$415:$H$454) = 0, "", AVERAGE($H$415:$H$454))), "", (IF(AVERAGE($H$415:$H$454) = 0, "", AVERAGE($H$415:$H$454))))</f>
        <v>56.826040897729733</v>
      </c>
      <c r="I414">
        <f ca="1">IF(ISERROR(IF(AVERAGE($I$415:$I$454) = 0, "", AVERAGE($I$415:$I$454))), "", (IF(AVERAGE($I$415:$I$454) = 0, "", AVERAGE($I$415:$I$454))))</f>
        <v>56.970082864054049</v>
      </c>
      <c r="J414">
        <f ca="1">IF(ISERROR(IF(AVERAGE($J$415:$J$454) = 0, "", AVERAGE($J$415:$J$454))), "", (IF(AVERAGE($J$415:$J$454) = 0, "", AVERAGE($J$415:$J$454))))</f>
        <v>60.957698353837834</v>
      </c>
      <c r="K414">
        <f ca="1">IF(ISERROR(IF(AVERAGE($K$415:$K$454) = 0, "", AVERAGE($K$415:$K$454))), "", (IF(AVERAGE($K$415:$K$454) = 0, "", AVERAGE($K$415:$K$454))))</f>
        <v>60.28222215232433</v>
      </c>
      <c r="L414">
        <f ca="1">IF(ISERROR(IF(AVERAGE($L$415:$L$454) = 0, "", AVERAGE($L$415:$L$454))), "", (IF(AVERAGE($L$415:$L$454) = 0, "", AVERAGE($L$415:$L$454))))</f>
        <v>58.148282252432431</v>
      </c>
      <c r="M414">
        <f ca="1">IF(ISERROR(IF(AVERAGE($M$415:$M$454) = 0, "", AVERAGE($M$415:$M$454))), "", (IF(AVERAGE($M$415:$M$454) = 0, "", AVERAGE($M$415:$M$454))))</f>
        <v>56.134983850297296</v>
      </c>
      <c r="N414">
        <f ca="1">IF(ISERROR(IF(AVERAGE($N$415:$N$454) = 0, "", AVERAGE($N$415:$N$454))), "", (IF(AVERAGE($N$415:$N$454) = 0, "", AVERAGE($N$415:$N$454))))</f>
        <v>50.456615822783775</v>
      </c>
      <c r="O414">
        <f ca="1">IF(ISERROR(IF(AVERAGE($O$415:$O$454) = 0, "", AVERAGE($O$415:$O$454))), "", (IF(AVERAGE($O$415:$O$454) = 0, "", AVERAGE($O$415:$O$454))))</f>
        <v>47.409408111486492</v>
      </c>
      <c r="P414">
        <f ca="1">IF(ISERROR(IF(AVERAGE($P$415:$P$454) = 0, "", AVERAGE($P$415:$P$454))), "", (IF(AVERAGE($P$415:$P$454) = 0, "", AVERAGE($P$415:$P$454))))</f>
        <v>46.444920338499998</v>
      </c>
      <c r="Q414">
        <f ca="1">IF(ISERROR(IF(AVERAGE($Q$415:$Q$454) = 0, "", AVERAGE($Q$415:$Q$454))), "", (IF(AVERAGE($Q$415:$Q$454) = 0, "", AVERAGE($Q$415:$Q$454))))</f>
        <v>44.073483517526313</v>
      </c>
      <c r="R414">
        <f ca="1">IF(ISERROR(IF(AVERAGE($R$415:$R$454) = 0, "", AVERAGE($R$415:$R$454))), "", (IF(AVERAGE($R$415:$R$454) = 0, "", AVERAGE($R$415:$R$454))))</f>
        <v>48.357175318078944</v>
      </c>
      <c r="S414">
        <f ca="1">IF(ISERROR(IF(AVERAGE($S$415:$S$454) = 0, "", AVERAGE($S$415:$S$454))), "", (IF(AVERAGE($S$415:$S$454) = 0, "", AVERAGE($S$415:$S$454))))</f>
        <v>51.024003963631571</v>
      </c>
      <c r="T414">
        <f ca="1">IF(ISERROR(IF(AVERAGE($T$415:$T$454) = 0, "", AVERAGE($T$415:$T$454))), "", (IF(AVERAGE($T$415:$T$454) = 0, "", AVERAGE($T$415:$T$454))))</f>
        <v>48.625844242052629</v>
      </c>
      <c r="U414">
        <f ca="1">IF(ISERROR(IF(AVERAGE($U$415:$U$454) = 0, "", AVERAGE($U$415:$U$454))), "", (IF(AVERAGE($U$415:$U$454) = 0, "", AVERAGE($U$415:$U$454))))</f>
        <v>57.508087324631596</v>
      </c>
      <c r="V414">
        <f ca="1">IF(ISERROR(IF(AVERAGE($V$415:$V$454) = 0, "", AVERAGE($V$415:$V$454))), "", (IF(AVERAGE($V$415:$V$454) = 0, "", AVERAGE($V$415:$V$454))))</f>
        <v>55.413644243421054</v>
      </c>
      <c r="W414">
        <f ca="1">IF(ISERROR(IF(AVERAGE($W$415:$W$454) = 0, "", AVERAGE($W$415:$W$454))), "", (IF(AVERAGE($W$415:$W$454) = 0, "", AVERAGE($W$415:$W$454))))</f>
        <v>53.559299583605274</v>
      </c>
      <c r="X414">
        <f ca="1">IF(ISERROR(IF(AVERAGE($X$415:$X$454) = 0, "", AVERAGE($X$415:$X$454))), "", (IF(AVERAGE($X$415:$X$454) = 0, "", AVERAGE($X$415:$X$454))))</f>
        <v>55.15016119462161</v>
      </c>
      <c r="Y414">
        <f ca="1">IF(ISERROR(IF(AVERAGE($Y$415:$Y$454) = 0, "", AVERAGE($Y$415:$Y$454))), "", (IF(AVERAGE($Y$415:$Y$454) = 0, "", AVERAGE($Y$415:$Y$454))))</f>
        <v>62.22422337199999</v>
      </c>
      <c r="Z414">
        <f ca="1">IF(ISERROR(IF(AVERAGE($Z$415:$Z$454) = 0, "", AVERAGE($Z$415:$Z$454))), "", (IF(AVERAGE($Z$415:$Z$454) = 0, "", AVERAGE($Z$415:$Z$454))))</f>
        <v>62.020387819405421</v>
      </c>
      <c r="AA414">
        <f ca="1">IF(ISERROR(IF(AVERAGE($AA$415:$AA$454) = 0, "", AVERAGE($AA$415:$AA$454))), "", (IF(AVERAGE($AA$415:$AA$454) = 0, "", AVERAGE($AA$415:$AA$454))))</f>
        <v>60.525434379081062</v>
      </c>
      <c r="AB414">
        <f ca="1">IF(ISERROR(IF(AVERAGE($AB$415:$AB$454) = 0, "", AVERAGE($AB$415:$AB$454))), "", (IF(AVERAGE($AB$415:$AB$454) = 0, "", AVERAGE($AB$415:$AB$454))))</f>
        <v>58.666648626432405</v>
      </c>
      <c r="AC414">
        <f ca="1">IF(ISERROR(IF(AVERAGE($AC$415:$AC$454) = 0, "", AVERAGE($AC$415:$AC$454))), "", (IF(AVERAGE($AC$415:$AC$454) = 0, "", AVERAGE($AC$415:$AC$454))))</f>
        <v>52.198814924864863</v>
      </c>
      <c r="AD414">
        <f ca="1">IF(ISERROR(IF(AVERAGE($AD$415:$AD$454) = 0, "", AVERAGE($AD$415:$AD$454))), "", (IF(AVERAGE($AD$415:$AD$454) = 0, "", AVERAGE($AD$415:$AD$454))))</f>
        <v>47.306438876054067</v>
      </c>
      <c r="AE414">
        <f ca="1">IF(ISERROR(IF(AVERAGE($AE$415:$AE$454) = 0, "", AVERAGE($AE$415:$AE$454))), "", (IF(AVERAGE($AE$415:$AE$454) = 0, "", AVERAGE($AE$415:$AE$454))))</f>
        <v>46.471683340891886</v>
      </c>
      <c r="AF414">
        <f ca="1">IF(ISERROR(IF(AVERAGE($AF$415:$AF$454) = 0, "", AVERAGE($AF$415:$AF$454))), "", (IF(AVERAGE($AF$415:$AF$454) = 0, "", AVERAGE($AF$415:$AF$454))))</f>
        <v>42.747410732135144</v>
      </c>
      <c r="AG414">
        <f ca="1">IF(ISERROR(IF(AVERAGE($AG$415:$AG$454) = 0, "", AVERAGE($AG$415:$AG$454))), "", (IF(AVERAGE($AG$415:$AG$454) = 0, "", AVERAGE($AG$415:$AG$454))))</f>
        <v>41.425998454243242</v>
      </c>
      <c r="AH414">
        <f ca="1">IF(ISERROR(IF(AVERAGE($AH$415:$AH$454) = 0, "", AVERAGE($AH$415:$AH$454))), "", (IF(AVERAGE($AH$415:$AH$454) = 0, "", AVERAGE($AH$415:$AH$454))))</f>
        <v>47.466986493675662</v>
      </c>
      <c r="AI414">
        <f ca="1">IF(ISERROR(IF(AVERAGE($AI$415:$AI$454) = 0, "", AVERAGE($AI$415:$AI$454))), "", (IF(AVERAGE($AI$415:$AI$454) = 0, "", AVERAGE($AI$415:$AI$454))))</f>
        <v>40.351374252081079</v>
      </c>
      <c r="AJ414">
        <f ca="1">IF(ISERROR(IF(AVERAGE($AJ$415:$AJ$454) = 0, "", AVERAGE($AJ$415:$AJ$454))), "", (IF(AVERAGE($AJ$415:$AJ$454) = 0, "", AVERAGE($AJ$415:$AJ$454))))</f>
        <v>41.031511752500002</v>
      </c>
      <c r="AK414">
        <f ca="1">IF(ISERROR(IF(AVERAGE($AK$415:$AK$454) = 0, "", AVERAGE($AK$415:$AK$454))), "", (IF(AVERAGE($AK$415:$AK$454) = 0, "", AVERAGE($AK$415:$AK$454))))</f>
        <v>52.04645074422222</v>
      </c>
      <c r="AL414">
        <f ca="1">IF(ISERROR(IF(AVERAGE($AL$415:$AL$454) = 0, "", AVERAGE($AL$415:$AL$454))), "", (IF(AVERAGE($AL$415:$AL$454) = 0, "", AVERAGE($AL$415:$AL$454))))</f>
        <v>50.032792431999994</v>
      </c>
      <c r="AM414">
        <f ca="1">IF(ISERROR(IF(AVERAGE($AM$415:$AM$454) = 0, "", AVERAGE($AM$415:$AM$454))), "", (IF(AVERAGE($AM$415:$AM$454) = 0, "", AVERAGE($AM$415:$AM$454))))</f>
        <v>47.531425489472227</v>
      </c>
      <c r="AN414">
        <f ca="1">IF(ISERROR(IF(AVERAGE($AN$415:$AN$454) = 0, "", AVERAGE($AN$415:$AN$454))), "", (IF(AVERAGE($AN$415:$AN$454) = 0, "", AVERAGE($AN$415:$AN$454))))</f>
        <v>44.107186125542853</v>
      </c>
      <c r="AO414">
        <f ca="1">IF(ISERROR(IF(AVERAGE($AO$415:$AO$454) = 0, "", AVERAGE($AO$415:$AO$454))), "", (IF(AVERAGE($AO$415:$AO$454) = 0, "", AVERAGE($AO$415:$AO$454))))</f>
        <v>37.777781633558824</v>
      </c>
      <c r="AP414">
        <f ca="1">IF(ISERROR(IF(AVERAGE($AP$415:$AP$454) = 0, "", AVERAGE($AP$415:$AP$454))), "", (IF(AVERAGE($AP$415:$AP$454) = 0, "", AVERAGE($AP$415:$AP$454))))</f>
        <v>41.983489538787865</v>
      </c>
      <c r="AQ414">
        <f ca="1">IF(ISERROR(IF(AVERAGE($AQ$415:$AQ$454) = 0, "", AVERAGE($AQ$415:$AQ$454))), "", (IF(AVERAGE($AQ$415:$AQ$454) = 0, "", AVERAGE($AQ$415:$AQ$454))))</f>
        <v>40.659030441909096</v>
      </c>
      <c r="AR414">
        <f ca="1">IF(ISERROR(IF(AVERAGE($AR$415:$AR$454) = 0, "", AVERAGE($AR$415:$AR$454))), "", (IF(AVERAGE($AR$415:$AR$454) = 0, "", AVERAGE($AR$415:$AR$454))))</f>
        <v>37.571805444030311</v>
      </c>
      <c r="AS414">
        <f ca="1">IF(ISERROR(IF(AVERAGE($AS$415:$AS$454) = 0, "", AVERAGE($AS$415:$AS$454))), "", (IF(AVERAGE($AS$415:$AS$454) = 0, "", AVERAGE($AS$415:$AS$454))))</f>
        <v>37.876404908696983</v>
      </c>
      <c r="AT414">
        <f ca="1">IF(ISERROR(IF(AVERAGE($AT$415:$AT$454) = 0, "", AVERAGE($AT$415:$AT$454))), "", (IF(AVERAGE($AT$415:$AT$454) = 0, "", AVERAGE($AT$415:$AT$454))))</f>
        <v>29.678683857787878</v>
      </c>
      <c r="AU414">
        <f ca="1">IF(ISERROR(IF(AVERAGE($AU$415:$AU$454) = 0, "", AVERAGE($AU$415:$AU$454))), "", (IF(AVERAGE($AU$415:$AU$454) = 0, "", AVERAGE($AU$415:$AU$454))))</f>
        <v>38.541598470090925</v>
      </c>
      <c r="AV414">
        <f ca="1">IF(ISERROR(IF(AVERAGE($AV$415:$AV$454) = 0, "", AVERAGE($AV$415:$AV$454))), "", (IF(AVERAGE($AV$415:$AV$454) = 0, "", AVERAGE($AV$415:$AV$454))))</f>
        <v>46.226367120212117</v>
      </c>
      <c r="AW414">
        <f ca="1">IF(ISERROR(IF(AVERAGE($AW$415:$AW$454) = 0, "", AVERAGE($AW$415:$AW$454))), "", (IF(AVERAGE($AW$415:$AW$454) = 0, "", AVERAGE($AW$415:$AW$454))))</f>
        <v>51.290379258242432</v>
      </c>
      <c r="AX414">
        <f ca="1">IF(ISERROR(IF(AVERAGE($AX$415:$AX$454) = 0, "", AVERAGE($AX$415:$AX$454))), "", (IF(AVERAGE($AX$415:$AX$454) = 0, "", AVERAGE($AX$415:$AX$454))))</f>
        <v>55.473696820757567</v>
      </c>
      <c r="AY414">
        <f ca="1">IF(ISERROR(IF(AVERAGE($AY$415:$AY$454) = 0, "", AVERAGE($AY$415:$AY$454))), "", (IF(AVERAGE($AY$415:$AY$454) = 0, "", AVERAGE($AY$415:$AY$454))))</f>
        <v>57.760759939848491</v>
      </c>
      <c r="AZ414">
        <f ca="1">IF(ISERROR(IF(AVERAGE($AZ$415:$AZ$454) = 0, "", AVERAGE($AZ$415:$AZ$454))), "", (IF(AVERAGE($AZ$415:$AZ$454) = 0, "", AVERAGE($AZ$415:$AZ$454))))</f>
        <v>54.098904429242431</v>
      </c>
      <c r="BA414">
        <f ca="1">IF(ISERROR(IF(AVERAGE($BA$415:$BA$454) = 0, "", AVERAGE($BA$415:$BA$454))), "", (IF(AVERAGE($BA$415:$BA$454) = 0, "", AVERAGE($BA$415:$BA$454))))</f>
        <v>51.686975789848496</v>
      </c>
      <c r="BB414">
        <f ca="1">IF(ISERROR(IF(AVERAGE($BB$415:$BB$454) = 0, "", AVERAGE($BB$415:$BB$454))), "", (IF(AVERAGE($BB$415:$BB$454) = 0, "", AVERAGE($BB$415:$BB$454))))</f>
        <v>48.636781634515152</v>
      </c>
      <c r="BC414">
        <f ca="1">IF(ISERROR(IF(AVERAGE($BC$415:$BC$454) = 0, "", AVERAGE($BC$415:$BC$454))), "", (IF(AVERAGE($BC$415:$BC$454) = 0, "", AVERAGE($BC$415:$BC$454))))</f>
        <v>46.024104705272727</v>
      </c>
      <c r="BD414">
        <f ca="1">IF(ISERROR(IF(AVERAGE($BD$415:$BD$454) = 0, "", AVERAGE($BD$415:$BD$454))), "", (IF(AVERAGE($BD$415:$BD$454) = 0, "", AVERAGE($BD$415:$BD$454))))</f>
        <v>38.337768406030307</v>
      </c>
      <c r="BE414">
        <f ca="1">IF(ISERROR(IF(AVERAGE($BE$415:$BE$454) = 0, "", AVERAGE($BE$415:$BE$454))), "", (IF(AVERAGE($BE$415:$BE$454) = 0, "", AVERAGE($BE$415:$BE$454))))</f>
        <v>32.609134046939396</v>
      </c>
      <c r="BF414">
        <f ca="1">IF(ISERROR(IF(AVERAGE($BF$415:$BF$454) = 0, "", AVERAGE($BF$415:$BF$454))), "", (IF(AVERAGE($BF$415:$BF$454) = 0, "", AVERAGE($BF$415:$BF$454))))</f>
        <v>34.319067160030293</v>
      </c>
      <c r="BG414">
        <f ca="1">IF(ISERROR(IF(AVERAGE($BG$415:$BG$454) = 0, "", AVERAGE($BG$415:$BG$454))), "", (IF(AVERAGE($BG$415:$BG$454) = 0, "", AVERAGE($BG$415:$BG$454))))</f>
        <v>31.272242865575759</v>
      </c>
      <c r="BH414">
        <f ca="1">IF(ISERROR(IF(AVERAGE($BH$415:$BH$454) = 0, "", AVERAGE($BH$415:$BH$454))), "", (IF(AVERAGE($BH$415:$BH$454) = 0, "", AVERAGE($BH$415:$BH$454))))</f>
        <v>29.774482291218753</v>
      </c>
      <c r="BI414">
        <f ca="1">IF(ISERROR(IF(AVERAGE($BI$415:$BI$454) = 0, "", AVERAGE($BI$415:$BI$454))), "", (IF(AVERAGE($BI$415:$BI$454) = 0, "", AVERAGE($BI$415:$BI$454))))</f>
        <v>26.326379368625002</v>
      </c>
      <c r="BJ414">
        <f ca="1">IF(ISERROR(IF(AVERAGE($BJ$415:$BJ$454) = 0, "", AVERAGE($BJ$415:$BJ$454))), "", (IF(AVERAGE($BJ$415:$BJ$454) = 0, "", AVERAGE($BJ$415:$BJ$454))))</f>
        <v>27.571272960129026</v>
      </c>
      <c r="BK414">
        <f ca="1">IF(ISERROR(IF(AVERAGE($BK$415:$BK$454) = 0, "", AVERAGE($BK$415:$BK$454))), "", (IF(AVERAGE($BK$415:$BK$454) = 0, "", AVERAGE($BK$415:$BK$454))))</f>
        <v>27.224559383709682</v>
      </c>
      <c r="BL414">
        <f ca="1">IF(ISERROR(IF(AVERAGE($BL$415:$BL$454) = 0, "", AVERAGE($BL$415:$BL$454))), "", (IF(AVERAGE($BL$415:$BL$454) = 0, "", AVERAGE($BL$415:$BL$454))))</f>
        <v>25.254682191193549</v>
      </c>
      <c r="BM414">
        <f ca="1">IF(ISERROR(IF(AVERAGE($BM$415:$BM$454) = 0, "", AVERAGE($BM$415:$BM$454))), "", (IF(AVERAGE($BM$415:$BM$454) = 0, "", AVERAGE($BM$415:$BM$454))))</f>
        <v>25.466900505548388</v>
      </c>
      <c r="BN414">
        <f>56.22630749</f>
        <v>56.226307490000003</v>
      </c>
      <c r="BO414">
        <f>54.41047879</f>
        <v>54.410478789999999</v>
      </c>
      <c r="BP414">
        <f>56.8260409</f>
        <v>56.826040900000002</v>
      </c>
      <c r="BQ414">
        <f>56.97008286</f>
        <v>56.970082859999998</v>
      </c>
      <c r="BR414">
        <f>60.95769835</f>
        <v>60.957698350000001</v>
      </c>
      <c r="BS414">
        <f>60.28222215</f>
        <v>60.282222150000003</v>
      </c>
      <c r="BT414">
        <f>58.14828225</f>
        <v>58.148282250000001</v>
      </c>
      <c r="BU414">
        <f>56.13498385</f>
        <v>56.134983849999998</v>
      </c>
      <c r="BV414">
        <f>50.45661582</f>
        <v>50.456615820000003</v>
      </c>
      <c r="BW414">
        <f>47.40940811</f>
        <v>47.409408110000001</v>
      </c>
      <c r="BX414">
        <f>46.44492034</f>
        <v>46.444920340000003</v>
      </c>
      <c r="BY414">
        <f>44.07348352</f>
        <v>44.073483520000003</v>
      </c>
      <c r="BZ414">
        <f>48.35717532</f>
        <v>48.357175320000003</v>
      </c>
      <c r="CA414">
        <f>51.02400396</f>
        <v>51.024003960000002</v>
      </c>
      <c r="CB414">
        <f>48.62584424</f>
        <v>48.625844239999999</v>
      </c>
      <c r="CC414">
        <f>57.50808733</f>
        <v>57.508087330000002</v>
      </c>
      <c r="CD414">
        <f>55.41364424</f>
        <v>55.413644240000004</v>
      </c>
      <c r="CE414">
        <f>53.55929958</f>
        <v>53.559299580000001</v>
      </c>
      <c r="CF414">
        <f>55.15016119</f>
        <v>55.150161189999999</v>
      </c>
      <c r="CG414">
        <f>62.22422337</f>
        <v>62.224223369999997</v>
      </c>
      <c r="CH414">
        <f>62.02038782</f>
        <v>62.020387820000003</v>
      </c>
      <c r="CI414">
        <f>60.52543438</f>
        <v>60.52543438</v>
      </c>
      <c r="CJ414">
        <f>58.66664863</f>
        <v>58.666648629999997</v>
      </c>
      <c r="CK414">
        <f>52.19881492</f>
        <v>52.198814919999997</v>
      </c>
      <c r="CL414">
        <f>47.30643887</f>
        <v>47.306438870000001</v>
      </c>
      <c r="CM414">
        <f>46.47168334</f>
        <v>46.471683339999998</v>
      </c>
      <c r="CN414">
        <f>42.74741073</f>
        <v>42.747410729999999</v>
      </c>
      <c r="CO414">
        <f>41.42599845</f>
        <v>41.425998450000002</v>
      </c>
      <c r="CP414">
        <f>47.46698649</f>
        <v>47.466986489999996</v>
      </c>
      <c r="CQ414">
        <f>40.35137425</f>
        <v>40.351374249999999</v>
      </c>
      <c r="CR414">
        <f>41.03151175</f>
        <v>41.03151175</v>
      </c>
      <c r="CS414">
        <f>52.04645074</f>
        <v>52.046450739999997</v>
      </c>
      <c r="CT414">
        <f>50.03279243</f>
        <v>50.032792430000001</v>
      </c>
      <c r="CU414">
        <f>47.53142549</f>
        <v>47.531425489999997</v>
      </c>
      <c r="CV414">
        <f>44.10718613</f>
        <v>44.107186130000002</v>
      </c>
      <c r="CW414">
        <f>37.77778163</f>
        <v>37.77778163</v>
      </c>
      <c r="CX414">
        <f>41.98348954</f>
        <v>41.983489540000001</v>
      </c>
      <c r="CY414">
        <f>40.65903044</f>
        <v>40.659030440000002</v>
      </c>
      <c r="CZ414">
        <f>37.57180544</f>
        <v>37.571805439999999</v>
      </c>
      <c r="DA414">
        <f>37.87640491</f>
        <v>37.876404909999998</v>
      </c>
      <c r="DB414">
        <f>29.67868386</f>
        <v>29.67868386</v>
      </c>
      <c r="DC414">
        <f>38.54159847</f>
        <v>38.541598469999997</v>
      </c>
      <c r="DD414">
        <f>46.22636712</f>
        <v>46.226367119999999</v>
      </c>
      <c r="DE414">
        <f>51.29037926</f>
        <v>51.290379260000002</v>
      </c>
      <c r="DF414">
        <f>55.47369682</f>
        <v>55.473696820000001</v>
      </c>
      <c r="DG414">
        <f>57.76075994</f>
        <v>57.76075994</v>
      </c>
      <c r="DH414">
        <f>54.09890443</f>
        <v>54.098904429999997</v>
      </c>
      <c r="DI414">
        <f>51.68697579</f>
        <v>51.686975789999998</v>
      </c>
      <c r="DJ414">
        <f>48.63678163</f>
        <v>48.636781630000002</v>
      </c>
      <c r="DK414">
        <f>46.0241047</f>
        <v>46.024104700000002</v>
      </c>
      <c r="DL414">
        <f>38.33776841</f>
        <v>38.337768410000002</v>
      </c>
      <c r="DM414">
        <f>32.60913405</f>
        <v>32.609134050000002</v>
      </c>
      <c r="DN414">
        <f>34.31906716</f>
        <v>34.319067160000003</v>
      </c>
      <c r="DO414">
        <f>31.27224287</f>
        <v>31.272242869999999</v>
      </c>
      <c r="DP414">
        <f>29.77448229</f>
        <v>29.774482290000002</v>
      </c>
      <c r="DQ414">
        <f>26.32637937</f>
        <v>26.326379370000002</v>
      </c>
      <c r="DR414">
        <f>27.57127296</f>
        <v>27.571272960000002</v>
      </c>
      <c r="DS414">
        <f>27.22455938</f>
        <v>27.224559379999999</v>
      </c>
      <c r="DT414">
        <f>25.25468219</f>
        <v>25.25468219</v>
      </c>
      <c r="DU414">
        <f>25.46690051</f>
        <v>25.466900509999999</v>
      </c>
    </row>
    <row r="415" spans="1:125" x14ac:dyDescent="0.25">
      <c r="A415" t="str">
        <f>"    AUDI AG"</f>
        <v xml:space="preserve">    AUDI AG</v>
      </c>
      <c r="B415" t="str">
        <f>"NSU GR Equity"</f>
        <v>NSU GR Equity</v>
      </c>
      <c r="C415" t="str">
        <f t="shared" ref="C415:C454" si="30">"PR005"</f>
        <v>PR005</v>
      </c>
      <c r="D415" t="str">
        <f t="shared" ref="D415:D454" si="31">"PX_LAST"</f>
        <v>PX_LAST</v>
      </c>
      <c r="E415" t="str">
        <f t="shared" ref="E415:E454" si="32">"Dynamic"</f>
        <v>Dynamic</v>
      </c>
      <c r="F415">
        <f ca="1">IF(AND(ISNUMBER($F$913),$B$511=1),$F$913,HLOOKUP(INDIRECT(ADDRESS(2,COLUMN())),OFFSET($BN$2,0,0,ROW()-1,60),ROW()-1,FALSE))</f>
        <v>909.51998660000004</v>
      </c>
      <c r="G415">
        <f ca="1">IF(AND(ISNUMBER($G$913),$B$511=1),$G$913,HLOOKUP(INDIRECT(ADDRESS(2,COLUMN())),OFFSET($BN$2,0,0,ROW()-1,60),ROW()-1,FALSE))</f>
        <v>894.68619999999999</v>
      </c>
      <c r="H415">
        <f ca="1">IF(AND(ISNUMBER($H$913),$B$511=1),$H$913,HLOOKUP(INDIRECT(ADDRESS(2,COLUMN())),OFFSET($BN$2,0,0,ROW()-1,60),ROW()-1,FALSE))</f>
        <v>936.08839999999998</v>
      </c>
      <c r="I415">
        <f ca="1">IF(AND(ISNUMBER($I$913),$B$511=1),$I$913,HLOOKUP(INDIRECT(ADDRESS(2,COLUMN())),OFFSET($BN$2,0,0,ROW()-1,60),ROW()-1,FALSE))</f>
        <v>872.27189999999996</v>
      </c>
      <c r="J415">
        <f ca="1">IF(AND(ISNUMBER($J$913),$B$511=1),$J$913,HLOOKUP(INDIRECT(ADDRESS(2,COLUMN())),OFFSET($BN$2,0,0,ROW()-1,60),ROW()-1,FALSE))</f>
        <v>943.94880000000001</v>
      </c>
      <c r="K415">
        <f ca="1">IF(AND(ISNUMBER($K$913),$B$511=1),$K$913,HLOOKUP(INDIRECT(ADDRESS(2,COLUMN())),OFFSET($BN$2,0,0,ROW()-1,60),ROW()-1,FALSE))</f>
        <v>872.73708999999997</v>
      </c>
      <c r="L415">
        <f ca="1">IF(AND(ISNUMBER($L$913),$B$511=1),$L$913,HLOOKUP(INDIRECT(ADDRESS(2,COLUMN())),OFFSET($BN$2,0,0,ROW()-1,60),ROW()-1,FALSE))</f>
        <v>835.35732499999995</v>
      </c>
      <c r="M415">
        <f ca="1">IF(AND(ISNUMBER($M$913),$B$511=1),$M$913,HLOOKUP(INDIRECT(ADDRESS(2,COLUMN())),OFFSET($BN$2,0,0,ROW()-1,60),ROW()-1,FALSE))</f>
        <v>808.04039999999998</v>
      </c>
      <c r="N415">
        <f ca="1">IF(AND(ISNUMBER($N$913),$B$511=1),$N$913,HLOOKUP(INDIRECT(ADDRESS(2,COLUMN())),OFFSET($BN$2,0,0,ROW()-1,60),ROW()-1,FALSE))</f>
        <v>685.57073000000003</v>
      </c>
      <c r="O415">
        <f ca="1">IF(AND(ISNUMBER($O$913),$B$511=1),$O$913,HLOOKUP(INDIRECT(ADDRESS(2,COLUMN())),OFFSET($BN$2,0,0,ROW()-1,60),ROW()-1,FALSE))</f>
        <v>665.51570000000004</v>
      </c>
      <c r="P415">
        <f ca="1">IF(AND(ISNUMBER($P$913),$B$511=1),$P$913,HLOOKUP(INDIRECT(ADDRESS(2,COLUMN())),OFFSET($BN$2,0,0,ROW()-1,60),ROW()-1,FALSE))</f>
        <v>701.86228000000006</v>
      </c>
      <c r="Q415">
        <f ca="1">IF(AND(ISNUMBER($Q$913),$B$511=1),$Q$913,HLOOKUP(INDIRECT(ADDRESS(2,COLUMN())),OFFSET($BN$2,0,0,ROW()-1,60),ROW()-1,FALSE))</f>
        <v>685.41869999999994</v>
      </c>
      <c r="R415">
        <f ca="1">IF(AND(ISNUMBER($R$913),$B$511=1),$R$913,HLOOKUP(INDIRECT(ADDRESS(2,COLUMN())),OFFSET($BN$2,0,0,ROW()-1,60),ROW()-1,FALSE))</f>
        <v>713.92443949999995</v>
      </c>
      <c r="S415">
        <f ca="1">IF(AND(ISNUMBER($S$913),$B$511=1),$S$913,HLOOKUP(INDIRECT(ADDRESS(2,COLUMN())),OFFSET($BN$2,0,0,ROW()-1,60),ROW()-1,FALSE))</f>
        <v>739.76580000000001</v>
      </c>
      <c r="T415">
        <f ca="1">IF(AND(ISNUMBER($T$913),$B$511=1),$T$913,HLOOKUP(INDIRECT(ADDRESS(2,COLUMN())),OFFSET($BN$2,0,0,ROW()-1,60),ROW()-1,FALSE))</f>
        <v>752.54859999999996</v>
      </c>
      <c r="U415">
        <f ca="1">IF(AND(ISNUMBER($U$913),$B$511=1),$U$913,HLOOKUP(INDIRECT(ADDRESS(2,COLUMN())),OFFSET($BN$2,0,0,ROW()-1,60),ROW()-1,FALSE))</f>
        <v>859.59628429999998</v>
      </c>
      <c r="V415">
        <f ca="1">IF(AND(ISNUMBER($V$913),$B$511=1),$V$913,HLOOKUP(INDIRECT(ADDRESS(2,COLUMN())),OFFSET($BN$2,0,0,ROW()-1,60),ROW()-1,FALSE))</f>
        <v>797.85852480000005</v>
      </c>
      <c r="W415">
        <f ca="1">IF(AND(ISNUMBER($W$913),$B$511=1),$W$913,HLOOKUP(INDIRECT(ADDRESS(2,COLUMN())),OFFSET($BN$2,0,0,ROW()-1,60),ROW()-1,FALSE))</f>
        <v>790.14421500000003</v>
      </c>
      <c r="X415">
        <f ca="1">IF(AND(ISNUMBER($X$913),$B$511=1),$X$913,HLOOKUP(INDIRECT(ADDRESS(2,COLUMN())),OFFSET($BN$2,0,0,ROW()-1,60),ROW()-1,FALSE))</f>
        <v>760.26580000000001</v>
      </c>
      <c r="Y415">
        <f ca="1">IF(AND(ISNUMBER($Y$913),$B$511=1),$Y$913,HLOOKUP(INDIRECT(ADDRESS(2,COLUMN())),OFFSET($BN$2,0,0,ROW()-1,60),ROW()-1,FALSE))</f>
        <v>852.88699999999994</v>
      </c>
      <c r="Z415">
        <f ca="1">IF(AND(ISNUMBER($Z$913),$B$511=1),$Z$913,HLOOKUP(INDIRECT(ADDRESS(2,COLUMN())),OFFSET($BN$2,0,0,ROW()-1,60),ROW()-1,FALSE))</f>
        <v>880.71939999999995</v>
      </c>
      <c r="AA415">
        <f ca="1">IF(AND(ISNUMBER($AA$913),$B$511=1),$AA$913,HLOOKUP(INDIRECT(ADDRESS(2,COLUMN())),OFFSET($BN$2,0,0,ROW()-1,60),ROW()-1,FALSE))</f>
        <v>880.50900000000001</v>
      </c>
      <c r="AB415">
        <f ca="1">IF(AND(ISNUMBER($AB$913),$B$511=1),$AB$913,HLOOKUP(INDIRECT(ADDRESS(2,COLUMN())),OFFSET($BN$2,0,0,ROW()-1,60),ROW()-1,FALSE))</f>
        <v>823.02307499999995</v>
      </c>
      <c r="AC415">
        <f ca="1">IF(AND(ISNUMBER($AC$913),$B$511=1),$AC$913,HLOOKUP(INDIRECT(ADDRESS(2,COLUMN())),OFFSET($BN$2,0,0,ROW()-1,60),ROW()-1,FALSE))</f>
        <v>815.60857499999997</v>
      </c>
      <c r="AD415">
        <f ca="1">IF(AND(ISNUMBER($AD$913),$B$511=1),$AD$913,HLOOKUP(INDIRECT(ADDRESS(2,COLUMN())),OFFSET($BN$2,0,0,ROW()-1,60),ROW()-1,FALSE))</f>
        <v>742.93360619999999</v>
      </c>
      <c r="AE415">
        <f ca="1">IF(AND(ISNUMBER($AE$913),$B$511=1),$AE$913,HLOOKUP(INDIRECT(ADDRESS(2,COLUMN())),OFFSET($BN$2,0,0,ROW()-1,60),ROW()-1,FALSE))</f>
        <v>694.28722000000005</v>
      </c>
      <c r="AF415">
        <f ca="1">IF(AND(ISNUMBER($AF$913),$B$511=1),$AF$913,HLOOKUP(INDIRECT(ADDRESS(2,COLUMN())),OFFSET($BN$2,0,0,ROW()-1,60),ROW()-1,FALSE))</f>
        <v>675.34619999999995</v>
      </c>
      <c r="AG415">
        <f ca="1">IF(AND(ISNUMBER($AG$913),$B$511=1),$AG$913,HLOOKUP(INDIRECT(ADDRESS(2,COLUMN())),OFFSET($BN$2,0,0,ROW()-1,60),ROW()-1,FALSE))</f>
        <v>679.67497500000002</v>
      </c>
      <c r="AH415">
        <f ca="1">IF(AND(ISNUMBER($AH$913),$B$511=1),$AH$913,HLOOKUP(INDIRECT(ADDRESS(2,COLUMN())),OFFSET($BN$2,0,0,ROW()-1,60),ROW()-1,FALSE))</f>
        <v>791.08088399999997</v>
      </c>
      <c r="AI415">
        <f ca="1">IF(AND(ISNUMBER($AI$913),$B$511=1),$AI$913,HLOOKUP(INDIRECT(ADDRESS(2,COLUMN())),OFFSET($BN$2,0,0,ROW()-1,60),ROW()-1,FALSE))</f>
        <v>703.44287999999995</v>
      </c>
      <c r="AJ415">
        <f ca="1">IF(AND(ISNUMBER($AJ$913),$B$511=1),$AJ$913,HLOOKUP(INDIRECT(ADDRESS(2,COLUMN())),OFFSET($BN$2,0,0,ROW()-1,60),ROW()-1,FALSE))</f>
        <v>719.30631600000004</v>
      </c>
      <c r="AK415">
        <f ca="1">IF(AND(ISNUMBER($AK$913),$B$511=1),$AK$913,HLOOKUP(INDIRECT(ADDRESS(2,COLUMN())),OFFSET($BN$2,0,0,ROW()-1,60),ROW()-1,FALSE))</f>
        <v>848.98009999999999</v>
      </c>
      <c r="AL415">
        <f ca="1">IF(AND(ISNUMBER($AL$913),$B$511=1),$AL$913,HLOOKUP(INDIRECT(ADDRESS(2,COLUMN())),OFFSET($BN$2,0,0,ROW()-1,60),ROW()-1,FALSE))</f>
        <v>879.78</v>
      </c>
      <c r="AM415">
        <f ca="1">IF(AND(ISNUMBER($AM$913),$B$511=1),$AM$913,HLOOKUP(INDIRECT(ADDRESS(2,COLUMN())),OFFSET($BN$2,0,0,ROW()-1,60),ROW()-1,FALSE))</f>
        <v>842.20050000000003</v>
      </c>
      <c r="AN415">
        <f ca="1">IF(AND(ISNUMBER($AN$913),$B$511=1),$AN$913,HLOOKUP(INDIRECT(ADDRESS(2,COLUMN())),OFFSET($BN$2,0,0,ROW()-1,60),ROW()-1,FALSE))</f>
        <v>826.73400000000004</v>
      </c>
      <c r="AO415">
        <f ca="1">IF(AND(ISNUMBER($AO$913),$B$511=1),$AO$913,HLOOKUP(INDIRECT(ADDRESS(2,COLUMN())),OFFSET($BN$2,0,0,ROW()-1,60),ROW()-1,FALSE))</f>
        <v>686.79648099999997</v>
      </c>
      <c r="AP415">
        <f ca="1">IF(AND(ISNUMBER($AP$913),$B$511=1),$AP$913,HLOOKUP(INDIRECT(ADDRESS(2,COLUMN())),OFFSET($BN$2,0,0,ROW()-1,60),ROW()-1,FALSE))</f>
        <v>786.53796</v>
      </c>
      <c r="AQ415">
        <f ca="1">IF(AND(ISNUMBER($AQ$913),$B$511=1),$AQ$913,HLOOKUP(INDIRECT(ADDRESS(2,COLUMN())),OFFSET($BN$2,0,0,ROW()-1,60),ROW()-1,FALSE))</f>
        <v>716.95</v>
      </c>
      <c r="AR415">
        <f ca="1">IF(AND(ISNUMBER($AR$913),$B$511=1),$AR$913,HLOOKUP(INDIRECT(ADDRESS(2,COLUMN())),OFFSET($BN$2,0,0,ROW()-1,60),ROW()-1,FALSE))</f>
        <v>593.04150000000004</v>
      </c>
      <c r="AS415">
        <f ca="1">IF(AND(ISNUMBER($AS$913),$B$511=1),$AS$913,HLOOKUP(INDIRECT(ADDRESS(2,COLUMN())),OFFSET($BN$2,0,0,ROW()-1,60),ROW()-1,FALSE))</f>
        <v>539.02824999999996</v>
      </c>
      <c r="AT415">
        <f ca="1">IF(AND(ISNUMBER($AT$913),$B$511=1),$AT$913,HLOOKUP(INDIRECT(ADDRESS(2,COLUMN())),OFFSET($BN$2,0,0,ROW()-1,60),ROW()-1,FALSE))</f>
        <v>412.308243</v>
      </c>
      <c r="AU415">
        <f ca="1">IF(AND(ISNUMBER($AU$913),$B$511=1),$AU$913,HLOOKUP(INDIRECT(ADDRESS(2,COLUMN())),OFFSET($BN$2,0,0,ROW()-1,60),ROW()-1,FALSE))</f>
        <v>657.00670000000002</v>
      </c>
      <c r="AV415">
        <f ca="1">IF(AND(ISNUMBER($AV$913),$B$511=1),$AV$913,HLOOKUP(INDIRECT(ADDRESS(2,COLUMN())),OFFSET($BN$2,0,0,ROW()-1,60),ROW()-1,FALSE))</f>
        <v>675.18206599999996</v>
      </c>
      <c r="AW415">
        <f ca="1">IF(AND(ISNUMBER($AW$913),$B$511=1),$AW$913,HLOOKUP(INDIRECT(ADDRESS(2,COLUMN())),OFFSET($BN$2,0,0,ROW()-1,60),ROW()-1,FALSE))</f>
        <v>812.93749600000001</v>
      </c>
      <c r="AX415">
        <f ca="1">IF(AND(ISNUMBER($AX$913),$B$511=1),$AX$913,HLOOKUP(INDIRECT(ADDRESS(2,COLUMN())),OFFSET($BN$2,0,0,ROW()-1,60),ROW()-1,FALSE))</f>
        <v>850.17640200000005</v>
      </c>
      <c r="AY415">
        <f ca="1">IF(AND(ISNUMBER($AY$913),$B$511=1),$AY$913,HLOOKUP(INDIRECT(ADDRESS(2,COLUMN())),OFFSET($BN$2,0,0,ROW()-1,60),ROW()-1,FALSE))</f>
        <v>912.14400000000001</v>
      </c>
      <c r="AZ415">
        <f ca="1">IF(AND(ISNUMBER($AZ$913),$B$511=1),$AZ$913,HLOOKUP(INDIRECT(ADDRESS(2,COLUMN())),OFFSET($BN$2,0,0,ROW()-1,60),ROW()-1,FALSE))</f>
        <v>773.68648499999995</v>
      </c>
      <c r="BA415">
        <f ca="1">IF(AND(ISNUMBER($BA$913),$B$511=1),$BA$913,HLOOKUP(INDIRECT(ADDRESS(2,COLUMN())),OFFSET($BN$2,0,0,ROW()-1,60),ROW()-1,FALSE))</f>
        <v>752.10359000000005</v>
      </c>
      <c r="BB415">
        <f ca="1">IF(AND(ISNUMBER($BB$913),$B$511=1),$BB$913,HLOOKUP(INDIRECT(ADDRESS(2,COLUMN())),OFFSET($BN$2,0,0,ROW()-1,60),ROW()-1,FALSE))</f>
        <v>755.74229100000002</v>
      </c>
      <c r="BC415">
        <f ca="1">IF(AND(ISNUMBER($BC$913),$B$511=1),$BC$913,HLOOKUP(INDIRECT(ADDRESS(2,COLUMN())),OFFSET($BN$2,0,0,ROW()-1,60),ROW()-1,FALSE))</f>
        <v>718.80050000000006</v>
      </c>
      <c r="BD415">
        <f ca="1">IF(AND(ISNUMBER($BD$913),$B$511=1),$BD$913,HLOOKUP(INDIRECT(ADDRESS(2,COLUMN())),OFFSET($BN$2,0,0,ROW()-1,60),ROW()-1,FALSE))</f>
        <v>551.20669999999996</v>
      </c>
      <c r="BE415">
        <f ca="1">IF(AND(ISNUMBER($BE$913),$B$511=1),$BE$913,HLOOKUP(INDIRECT(ADDRESS(2,COLUMN())),OFFSET($BN$2,0,0,ROW()-1,60),ROW()-1,FALSE))</f>
        <v>391.221</v>
      </c>
      <c r="BF415">
        <f ca="1">IF(AND(ISNUMBER($BF$913),$B$511=1),$BF$913,HLOOKUP(INDIRECT(ADDRESS(2,COLUMN())),OFFSET($BN$2,0,0,ROW()-1,60),ROW()-1,FALSE))</f>
        <v>400.58699999999999</v>
      </c>
      <c r="BG415">
        <f ca="1">IF(AND(ISNUMBER($BG$913),$B$511=1),$BG$913,HLOOKUP(INDIRECT(ADDRESS(2,COLUMN())),OFFSET($BN$2,0,0,ROW()-1,60),ROW()-1,FALSE))</f>
        <v>364.45639999999997</v>
      </c>
      <c r="BH415">
        <f ca="1">IF(AND(ISNUMBER($BH$913),$B$511=1),$BH$913,HLOOKUP(INDIRECT(ADDRESS(2,COLUMN())),OFFSET($BN$2,0,0,ROW()-1,60),ROW()-1,FALSE))</f>
        <v>284.87040000000002</v>
      </c>
      <c r="BI415">
        <f ca="1">IF(AND(ISNUMBER($BI$913),$B$511=1),$BI$913,HLOOKUP(INDIRECT(ADDRESS(2,COLUMN())),OFFSET($BN$2,0,0,ROW()-1,60),ROW()-1,FALSE))</f>
        <v>289.95364999999998</v>
      </c>
      <c r="BJ415">
        <f ca="1">IF(AND(ISNUMBER($BJ$913),$B$511=1),$BJ$913,HLOOKUP(INDIRECT(ADDRESS(2,COLUMN())),OFFSET($BN$2,0,0,ROW()-1,60),ROW()-1,FALSE))</f>
        <v>298.26400000000001</v>
      </c>
      <c r="BK415">
        <f ca="1">IF(AND(ISNUMBER($BK$913),$B$511=1),$BK$913,HLOOKUP(INDIRECT(ADDRESS(2,COLUMN())),OFFSET($BN$2,0,0,ROW()-1,60),ROW()-1,FALSE))</f>
        <v>304.10509999999999</v>
      </c>
      <c r="BL415">
        <f ca="1">IF(AND(ISNUMBER($BL$913),$B$511=1),$BL$913,HLOOKUP(INDIRECT(ADDRESS(2,COLUMN())),OFFSET($BN$2,0,0,ROW()-1,60),ROW()-1,FALSE))</f>
        <v>266.916156</v>
      </c>
      <c r="BM415">
        <f ca="1">IF(AND(ISNUMBER($BM$913),$B$511=1),$BM$913,HLOOKUP(INDIRECT(ADDRESS(2,COLUMN())),OFFSET($BN$2,0,0,ROW()-1,60),ROW()-1,FALSE))</f>
        <v>269.61636399999998</v>
      </c>
      <c r="BN415">
        <f>909.5199866</f>
        <v>909.51998660000004</v>
      </c>
      <c r="BO415">
        <f>894.6862</f>
        <v>894.68619999999999</v>
      </c>
      <c r="BP415">
        <f>936.0884</f>
        <v>936.08839999999998</v>
      </c>
      <c r="BQ415">
        <f>872.2719</f>
        <v>872.27189999999996</v>
      </c>
      <c r="BR415">
        <f>943.9488</f>
        <v>943.94880000000001</v>
      </c>
      <c r="BS415">
        <f>872.73709</f>
        <v>872.73708999999997</v>
      </c>
      <c r="BT415">
        <f>835.357325</f>
        <v>835.35732499999995</v>
      </c>
      <c r="BU415">
        <f>808.0404</f>
        <v>808.04039999999998</v>
      </c>
      <c r="BV415">
        <f>685.57073</f>
        <v>685.57073000000003</v>
      </c>
      <c r="BW415">
        <f>665.5157</f>
        <v>665.51570000000004</v>
      </c>
      <c r="BX415">
        <f>701.86228</f>
        <v>701.86228000000006</v>
      </c>
      <c r="BY415">
        <f>685.4187</f>
        <v>685.41869999999994</v>
      </c>
      <c r="BZ415">
        <f>713.9244395</f>
        <v>713.92443949999995</v>
      </c>
      <c r="CA415">
        <f>739.7658</f>
        <v>739.76580000000001</v>
      </c>
      <c r="CB415">
        <f>752.5486</f>
        <v>752.54859999999996</v>
      </c>
      <c r="CC415">
        <f>859.5962843</f>
        <v>859.59628429999998</v>
      </c>
      <c r="CD415">
        <f>797.8585248</f>
        <v>797.85852480000005</v>
      </c>
      <c r="CE415">
        <f>790.144215</f>
        <v>790.14421500000003</v>
      </c>
      <c r="CF415">
        <f>760.2658</f>
        <v>760.26580000000001</v>
      </c>
      <c r="CG415">
        <f>852.887</f>
        <v>852.88699999999994</v>
      </c>
      <c r="CH415">
        <f>880.7194</f>
        <v>880.71939999999995</v>
      </c>
      <c r="CI415">
        <f>880.509</f>
        <v>880.50900000000001</v>
      </c>
      <c r="CJ415">
        <f>823.023075</f>
        <v>823.02307499999995</v>
      </c>
      <c r="CK415">
        <f>815.608575</f>
        <v>815.60857499999997</v>
      </c>
      <c r="CL415">
        <f>742.9336062</f>
        <v>742.93360619999999</v>
      </c>
      <c r="CM415">
        <f>694.28722</f>
        <v>694.28722000000005</v>
      </c>
      <c r="CN415">
        <f>675.3462</f>
        <v>675.34619999999995</v>
      </c>
      <c r="CO415">
        <f>679.674975</f>
        <v>679.67497500000002</v>
      </c>
      <c r="CP415">
        <f>791.080884</f>
        <v>791.08088399999997</v>
      </c>
      <c r="CQ415">
        <f>703.44288</f>
        <v>703.44287999999995</v>
      </c>
      <c r="CR415">
        <f>719.306316</f>
        <v>719.30631600000004</v>
      </c>
      <c r="CS415">
        <f>848.9801</f>
        <v>848.98009999999999</v>
      </c>
      <c r="CT415">
        <f>879.78</f>
        <v>879.78</v>
      </c>
      <c r="CU415">
        <f>842.2005</f>
        <v>842.20050000000003</v>
      </c>
      <c r="CV415">
        <f>826.734</f>
        <v>826.73400000000004</v>
      </c>
      <c r="CW415">
        <f>686.796481</f>
        <v>686.79648099999997</v>
      </c>
      <c r="CX415">
        <f>786.53796</f>
        <v>786.53796</v>
      </c>
      <c r="CY415">
        <f>716.95</f>
        <v>716.95</v>
      </c>
      <c r="CZ415">
        <f>593.0415</f>
        <v>593.04150000000004</v>
      </c>
      <c r="DA415">
        <f>539.02825</f>
        <v>539.02824999999996</v>
      </c>
      <c r="DB415">
        <f>412.308243</f>
        <v>412.308243</v>
      </c>
      <c r="DC415">
        <f>657.0067</f>
        <v>657.00670000000002</v>
      </c>
      <c r="DD415">
        <f>675.182066</f>
        <v>675.18206599999996</v>
      </c>
      <c r="DE415">
        <f>812.937496</f>
        <v>812.93749600000001</v>
      </c>
      <c r="DF415">
        <f>850.176402</f>
        <v>850.17640200000005</v>
      </c>
      <c r="DG415">
        <f>912.144</f>
        <v>912.14400000000001</v>
      </c>
      <c r="DH415">
        <f>773.686485</f>
        <v>773.68648499999995</v>
      </c>
      <c r="DI415">
        <f>752.10359</f>
        <v>752.10359000000005</v>
      </c>
      <c r="DJ415">
        <f>755.742291</f>
        <v>755.74229100000002</v>
      </c>
      <c r="DK415">
        <f>718.8005</f>
        <v>718.80050000000006</v>
      </c>
      <c r="DL415">
        <f>551.2067</f>
        <v>551.20669999999996</v>
      </c>
      <c r="DM415">
        <f>391.221</f>
        <v>391.221</v>
      </c>
      <c r="DN415">
        <f>400.587</f>
        <v>400.58699999999999</v>
      </c>
      <c r="DO415">
        <f>364.4564</f>
        <v>364.45639999999997</v>
      </c>
      <c r="DP415">
        <f>284.8704</f>
        <v>284.87040000000002</v>
      </c>
      <c r="DQ415">
        <f>289.95365</f>
        <v>289.95364999999998</v>
      </c>
      <c r="DR415">
        <f>298.264</f>
        <v>298.26400000000001</v>
      </c>
      <c r="DS415">
        <f>304.1051</f>
        <v>304.10509999999999</v>
      </c>
      <c r="DT415">
        <f>266.916156</f>
        <v>266.916156</v>
      </c>
      <c r="DU415">
        <f>269.616364</f>
        <v>269.61636399999998</v>
      </c>
    </row>
    <row r="416" spans="1:125" x14ac:dyDescent="0.25">
      <c r="A416" t="str">
        <f>"    Avtovaz PJSC"</f>
        <v xml:space="preserve">    Avtovaz PJSC</v>
      </c>
      <c r="B416" t="str">
        <f>"AVAZ RM Equity"</f>
        <v>AVAZ RM Equity</v>
      </c>
      <c r="C416" t="str">
        <f t="shared" si="30"/>
        <v>PR005</v>
      </c>
      <c r="D416" t="str">
        <f t="shared" si="31"/>
        <v>PX_LAST</v>
      </c>
      <c r="E416" t="str">
        <f t="shared" si="32"/>
        <v>Dynamic</v>
      </c>
      <c r="F416">
        <f ca="1">IF(AND(ISNUMBER($F$914),$B$511=1),$F$914,HLOOKUP(INDIRECT(ADDRESS(2,COLUMN())),OFFSET($BN$2,0,0,ROW()-1,60),ROW()-1,FALSE))</f>
        <v>0.186780848</v>
      </c>
      <c r="G416">
        <f ca="1">IF(AND(ISNUMBER($G$914),$B$511=1),$G$914,HLOOKUP(INDIRECT(ADDRESS(2,COLUMN())),OFFSET($BN$2,0,0,ROW()-1,60),ROW()-1,FALSE))</f>
        <v>0.17653824000000001</v>
      </c>
      <c r="H416">
        <f ca="1">IF(AND(ISNUMBER($H$914),$B$511=1),$H$914,HLOOKUP(INDIRECT(ADDRESS(2,COLUMN())),OFFSET($BN$2,0,0,ROW()-1,60),ROW()-1,FALSE))</f>
        <v>0.18094006400000001</v>
      </c>
      <c r="I416">
        <f ca="1">IF(AND(ISNUMBER($I$914),$B$511=1),$I$914,HLOOKUP(INDIRECT(ADDRESS(2,COLUMN())),OFFSET($BN$2,0,0,ROW()-1,60),ROW()-1,FALSE))</f>
        <v>0.18648835999999999</v>
      </c>
      <c r="J416">
        <f ca="1">IF(AND(ISNUMBER($J$914),$B$511=1),$J$914,HLOOKUP(INDIRECT(ADDRESS(2,COLUMN())),OFFSET($BN$2,0,0,ROW()-1,60),ROW()-1,FALSE))</f>
        <v>0.22793450300000001</v>
      </c>
      <c r="K416">
        <f ca="1">IF(AND(ISNUMBER($K$914),$B$511=1),$K$914,HLOOKUP(INDIRECT(ADDRESS(2,COLUMN())),OFFSET($BN$2,0,0,ROW()-1,60),ROW()-1,FALSE))</f>
        <v>0.17370158099999999</v>
      </c>
      <c r="L416">
        <f ca="1">IF(AND(ISNUMBER($L$914),$B$511=1),$L$914,HLOOKUP(INDIRECT(ADDRESS(2,COLUMN())),OFFSET($BN$2,0,0,ROW()-1,60),ROW()-1,FALSE))</f>
        <v>0.20323084899999999</v>
      </c>
      <c r="M416">
        <f ca="1">IF(AND(ISNUMBER($M$914),$B$511=1),$M$914,HLOOKUP(INDIRECT(ADDRESS(2,COLUMN())),OFFSET($BN$2,0,0,ROW()-1,60),ROW()-1,FALSE))</f>
        <v>0.15861635099999999</v>
      </c>
      <c r="N416">
        <f ca="1">IF(AND(ISNUMBER($N$914),$B$511=1),$N$914,HLOOKUP(INDIRECT(ADDRESS(2,COLUMN())),OFFSET($BN$2,0,0,ROW()-1,60),ROW()-1,FALSE))</f>
        <v>0.17001877900000001</v>
      </c>
      <c r="O416">
        <f ca="1">IF(AND(ISNUMBER($O$914),$B$511=1),$O$914,HLOOKUP(INDIRECT(ADDRESS(2,COLUMN())),OFFSET($BN$2,0,0,ROW()-1,60),ROW()-1,FALSE))</f>
        <v>0.14745003100000001</v>
      </c>
      <c r="P416">
        <f ca="1">IF(AND(ISNUMBER($P$914),$B$511=1),$P$914,HLOOKUP(INDIRECT(ADDRESS(2,COLUMN())),OFFSET($BN$2,0,0,ROW()-1,60),ROW()-1,FALSE))</f>
        <v>0.15781769300000001</v>
      </c>
      <c r="Q416">
        <f ca="1">IF(AND(ISNUMBER($Q$914),$B$511=1),$Q$914,HLOOKUP(INDIRECT(ADDRESS(2,COLUMN())),OFFSET($BN$2,0,0,ROW()-1,60),ROW()-1,FALSE))</f>
        <v>0.105846159</v>
      </c>
      <c r="R416">
        <f ca="1">IF(AND(ISNUMBER($R$914),$B$511=1),$R$914,HLOOKUP(INDIRECT(ADDRESS(2,COLUMN())),OFFSET($BN$2,0,0,ROW()-1,60),ROW()-1,FALSE))</f>
        <v>0.12500266300000001</v>
      </c>
      <c r="S416">
        <f ca="1">IF(AND(ISNUMBER($S$914),$B$511=1),$S$914,HLOOKUP(INDIRECT(ADDRESS(2,COLUMN())),OFFSET($BN$2,0,0,ROW()-1,60),ROW()-1,FALSE))</f>
        <v>0.11962755799999999</v>
      </c>
      <c r="T416">
        <f ca="1">IF(AND(ISNUMBER($T$914),$B$511=1),$T$914,HLOOKUP(INDIRECT(ADDRESS(2,COLUMN())),OFFSET($BN$2,0,0,ROW()-1,60),ROW()-1,FALSE))</f>
        <v>0.139753989</v>
      </c>
      <c r="U416">
        <f ca="1">IF(AND(ISNUMBER($U$914),$B$511=1),$U$914,HLOOKUP(INDIRECT(ADDRESS(2,COLUMN())),OFFSET($BN$2,0,0,ROW()-1,60),ROW()-1,FALSE))</f>
        <v>0.16875010800000001</v>
      </c>
      <c r="V416">
        <f ca="1">IF(AND(ISNUMBER($V$914),$B$511=1),$V$914,HLOOKUP(INDIRECT(ADDRESS(2,COLUMN())),OFFSET($BN$2,0,0,ROW()-1,60),ROW()-1,FALSE))</f>
        <v>0.18870071499999999</v>
      </c>
      <c r="W416">
        <f ca="1">IF(AND(ISNUMBER($W$914),$B$511=1),$W$914,HLOOKUP(INDIRECT(ADDRESS(2,COLUMN())),OFFSET($BN$2,0,0,ROW()-1,60),ROW()-1,FALSE))</f>
        <v>0.14090287900000001</v>
      </c>
      <c r="X416">
        <f ca="1">IF(AND(ISNUMBER($X$914),$B$511=1),$X$914,HLOOKUP(INDIRECT(ADDRESS(2,COLUMN())),OFFSET($BN$2,0,0,ROW()-1,60),ROW()-1,FALSE))</f>
        <v>0.246831046</v>
      </c>
      <c r="Y416">
        <f ca="1">IF(AND(ISNUMBER($Y$914),$B$511=1),$Y$914,HLOOKUP(INDIRECT(ADDRESS(2,COLUMN())),OFFSET($BN$2,0,0,ROW()-1,60),ROW()-1,FALSE))</f>
        <v>0.26644920999999999</v>
      </c>
      <c r="Z416">
        <f ca="1">IF(AND(ISNUMBER($Z$914),$B$511=1),$Z$914,HLOOKUP(INDIRECT(ADDRESS(2,COLUMN())),OFFSET($BN$2,0,0,ROW()-1,60),ROW()-1,FALSE))</f>
        <v>0.26885624899999999</v>
      </c>
      <c r="AA416">
        <f ca="1">IF(AND(ISNUMBER($AA$914),$B$511=1),$AA$914,HLOOKUP(INDIRECT(ADDRESS(2,COLUMN())),OFFSET($BN$2,0,0,ROW()-1,60),ROW()-1,FALSE))</f>
        <v>0.30837683199999999</v>
      </c>
      <c r="AB416">
        <f ca="1">IF(AND(ISNUMBER($AB$914),$B$511=1),$AB$914,HLOOKUP(INDIRECT(ADDRESS(2,COLUMN())),OFFSET($BN$2,0,0,ROW()-1,60),ROW()-1,FALSE))</f>
        <v>0.30187451100000001</v>
      </c>
      <c r="AC416">
        <f ca="1">IF(AND(ISNUMBER($AC$914),$B$511=1),$AC$914,HLOOKUP(INDIRECT(ADDRESS(2,COLUMN())),OFFSET($BN$2,0,0,ROW()-1,60),ROW()-1,FALSE))</f>
        <v>0.27389314999999997</v>
      </c>
      <c r="AD416">
        <f ca="1">IF(AND(ISNUMBER($AD$914),$B$511=1),$AD$914,HLOOKUP(INDIRECT(ADDRESS(2,COLUMN())),OFFSET($BN$2,0,0,ROW()-1,60),ROW()-1,FALSE))</f>
        <v>0.37358068</v>
      </c>
      <c r="AE416">
        <f ca="1">IF(AND(ISNUMBER($AE$914),$B$511=1),$AE$914,HLOOKUP(INDIRECT(ADDRESS(2,COLUMN())),OFFSET($BN$2,0,0,ROW()-1,60),ROW()-1,FALSE))</f>
        <v>0.48887865699999999</v>
      </c>
      <c r="AF416">
        <f ca="1">IF(AND(ISNUMBER($AF$914),$B$511=1),$AF$914,HLOOKUP(INDIRECT(ADDRESS(2,COLUMN())),OFFSET($BN$2,0,0,ROW()-1,60),ROW()-1,FALSE))</f>
        <v>0.47052237499999999</v>
      </c>
      <c r="AG416">
        <f ca="1">IF(AND(ISNUMBER($AG$914),$B$511=1),$AG$914,HLOOKUP(INDIRECT(ADDRESS(2,COLUMN())),OFFSET($BN$2,0,0,ROW()-1,60),ROW()-1,FALSE))</f>
        <v>0.47319541100000001</v>
      </c>
      <c r="AH416">
        <f ca="1">IF(AND(ISNUMBER($AH$914),$B$511=1),$AH$914,HLOOKUP(INDIRECT(ADDRESS(2,COLUMN())),OFFSET($BN$2,0,0,ROW()-1,60),ROW()-1,FALSE))</f>
        <v>0.75960861999999996</v>
      </c>
      <c r="AI416">
        <f ca="1">IF(AND(ISNUMBER($AI$914),$B$511=1),$AI$914,HLOOKUP(INDIRECT(ADDRESS(2,COLUMN())),OFFSET($BN$2,0,0,ROW()-1,60),ROW()-1,FALSE))</f>
        <v>0.57644994400000005</v>
      </c>
      <c r="AJ416">
        <f ca="1">IF(AND(ISNUMBER($AJ$914),$B$511=1),$AJ$914,HLOOKUP(INDIRECT(ADDRESS(2,COLUMN())),OFFSET($BN$2,0,0,ROW()-1,60),ROW()-1,FALSE))</f>
        <v>0.59244875299999999</v>
      </c>
      <c r="AK416">
        <f ca="1">IF(AND(ISNUMBER($AK$914),$B$511=1),$AK$914,HLOOKUP(INDIRECT(ADDRESS(2,COLUMN())),OFFSET($BN$2,0,0,ROW()-1,60),ROW()-1,FALSE))</f>
        <v>1.063702937</v>
      </c>
      <c r="AL416">
        <f ca="1">IF(AND(ISNUMBER($AL$914),$B$511=1),$AL$914,HLOOKUP(INDIRECT(ADDRESS(2,COLUMN())),OFFSET($BN$2,0,0,ROW()-1,60),ROW()-1,FALSE))</f>
        <v>0.98184806999999996</v>
      </c>
      <c r="AM416">
        <f ca="1">IF(AND(ISNUMBER($AM$914),$B$511=1),$AM$914,HLOOKUP(INDIRECT(ADDRESS(2,COLUMN())),OFFSET($BN$2,0,0,ROW()-1,60),ROW()-1,FALSE))</f>
        <v>1.0307928980000001</v>
      </c>
      <c r="AN416">
        <f ca="1">IF(AND(ISNUMBER($AN$914),$B$511=1),$AN$914,HLOOKUP(INDIRECT(ADDRESS(2,COLUMN())),OFFSET($BN$2,0,0,ROW()-1,60),ROW()-1,FALSE))</f>
        <v>0.820050524</v>
      </c>
      <c r="AO416">
        <f ca="1">IF(AND(ISNUMBER($AO$914),$B$511=1),$AO$914,HLOOKUP(INDIRECT(ADDRESS(2,COLUMN())),OFFSET($BN$2,0,0,ROW()-1,60),ROW()-1,FALSE))</f>
        <v>0.39889148899999999</v>
      </c>
      <c r="AP416">
        <f ca="1">IF(AND(ISNUMBER($AP$914),$B$511=1),$AP$914,HLOOKUP(INDIRECT(ADDRESS(2,COLUMN())),OFFSET($BN$2,0,0,ROW()-1,60),ROW()-1,FALSE))</f>
        <v>0.48819379299999999</v>
      </c>
      <c r="AQ416">
        <f ca="1">IF(AND(ISNUMBER($AQ$914),$B$511=1),$AQ$914,HLOOKUP(INDIRECT(ADDRESS(2,COLUMN())),OFFSET($BN$2,0,0,ROW()-1,60),ROW()-1,FALSE))</f>
        <v>0.45963230999999999</v>
      </c>
      <c r="AR416">
        <f ca="1">IF(AND(ISNUMBER($AR$914),$B$511=1),$AR$914,HLOOKUP(INDIRECT(ADDRESS(2,COLUMN())),OFFSET($BN$2,0,0,ROW()-1,60),ROW()-1,FALSE))</f>
        <v>0.45918345300000002</v>
      </c>
      <c r="AS416">
        <f ca="1">IF(AND(ISNUMBER($AS$914),$B$511=1),$AS$914,HLOOKUP(INDIRECT(ADDRESS(2,COLUMN())),OFFSET($BN$2,0,0,ROW()-1,60),ROW()-1,FALSE))</f>
        <v>0.394602542</v>
      </c>
      <c r="AT416">
        <f ca="1">IF(AND(ISNUMBER($AT$914),$B$511=1),$AT$914,HLOOKUP(INDIRECT(ADDRESS(2,COLUMN())),OFFSET($BN$2,0,0,ROW()-1,60),ROW()-1,FALSE))</f>
        <v>0.35007962100000001</v>
      </c>
      <c r="AU416">
        <f ca="1">IF(AND(ISNUMBER($AU$914),$B$511=1),$AU$914,HLOOKUP(INDIRECT(ADDRESS(2,COLUMN())),OFFSET($BN$2,0,0,ROW()-1,60),ROW()-1,FALSE))</f>
        <v>0.23116979400000001</v>
      </c>
      <c r="AV416">
        <f ca="1">IF(AND(ISNUMBER($AV$914),$B$511=1),$AV$914,HLOOKUP(INDIRECT(ADDRESS(2,COLUMN())),OFFSET($BN$2,0,0,ROW()-1,60),ROW()-1,FALSE))</f>
        <v>0.42669573399999999</v>
      </c>
      <c r="AW416">
        <f ca="1">IF(AND(ISNUMBER($AW$914),$B$511=1),$AW$914,HLOOKUP(INDIRECT(ADDRESS(2,COLUMN())),OFFSET($BN$2,0,0,ROW()-1,60),ROW()-1,FALSE))</f>
        <v>1.4776043560000001</v>
      </c>
      <c r="AX416">
        <f ca="1">IF(AND(ISNUMBER($AX$914),$B$511=1),$AX$914,HLOOKUP(INDIRECT(ADDRESS(2,COLUMN())),OFFSET($BN$2,0,0,ROW()-1,60),ROW()-1,FALSE))</f>
        <v>1.5772887229999999</v>
      </c>
      <c r="AY416">
        <f ca="1">IF(AND(ISNUMBER($AY$914),$B$511=1),$AY$914,HLOOKUP(INDIRECT(ADDRESS(2,COLUMN())),OFFSET($BN$2,0,0,ROW()-1,60),ROW()-1,FALSE))</f>
        <v>1.7775889419999999</v>
      </c>
      <c r="AZ416">
        <f ca="1">IF(AND(ISNUMBER($AZ$914),$B$511=1),$AZ$914,HLOOKUP(INDIRECT(ADDRESS(2,COLUMN())),OFFSET($BN$2,0,0,ROW()-1,60),ROW()-1,FALSE))</f>
        <v>1.486579139</v>
      </c>
      <c r="BA416">
        <f ca="1">IF(AND(ISNUMBER($BA$914),$B$511=1),$BA$914,HLOOKUP(INDIRECT(ADDRESS(2,COLUMN())),OFFSET($BN$2,0,0,ROW()-1,60),ROW()-1,FALSE))</f>
        <v>1.4204390360000001</v>
      </c>
      <c r="BB416">
        <f ca="1">IF(AND(ISNUMBER($BB$914),$B$511=1),$BB$914,HLOOKUP(INDIRECT(ADDRESS(2,COLUMN())),OFFSET($BN$2,0,0,ROW()-1,60),ROW()-1,FALSE))</f>
        <v>0.98553839600000004</v>
      </c>
      <c r="BC416">
        <f ca="1">IF(AND(ISNUMBER($BC$914),$B$511=1),$BC$914,HLOOKUP(INDIRECT(ADDRESS(2,COLUMN())),OFFSET($BN$2,0,0,ROW()-1,60),ROW()-1,FALSE))</f>
        <v>0.63427129100000001</v>
      </c>
      <c r="BD416">
        <f ca="1">IF(AND(ISNUMBER($BD$914),$B$511=1),$BD$914,HLOOKUP(INDIRECT(ADDRESS(2,COLUMN())),OFFSET($BN$2,0,0,ROW()-1,60),ROW()-1,FALSE))</f>
        <v>0.61893256100000005</v>
      </c>
      <c r="BE416">
        <f ca="1">IF(AND(ISNUMBER($BE$914),$B$511=1),$BE$914,HLOOKUP(INDIRECT(ADDRESS(2,COLUMN())),OFFSET($BN$2,0,0,ROW()-1,60),ROW()-1,FALSE))</f>
        <v>0.50255606500000005</v>
      </c>
      <c r="BF416">
        <f ca="1">IF(AND(ISNUMBER($BF$914),$B$511=1),$BF$914,HLOOKUP(INDIRECT(ADDRESS(2,COLUMN())),OFFSET($BN$2,0,0,ROW()-1,60),ROW()-1,FALSE))</f>
        <v>0.59402257199999997</v>
      </c>
      <c r="BG416">
        <f ca="1">IF(AND(ISNUMBER($BG$914),$B$511=1),$BG$914,HLOOKUP(INDIRECT(ADDRESS(2,COLUMN())),OFFSET($BN$2,0,0,ROW()-1,60),ROW()-1,FALSE))</f>
        <v>0.33832191900000003</v>
      </c>
      <c r="BH416">
        <f ca="1">IF(AND(ISNUMBER($BH$914),$B$511=1),$BH$914,HLOOKUP(INDIRECT(ADDRESS(2,COLUMN())),OFFSET($BN$2,0,0,ROW()-1,60),ROW()-1,FALSE))</f>
        <v>0.23216552800000001</v>
      </c>
      <c r="BI416">
        <f ca="1">IF(AND(ISNUMBER($BI$914),$B$511=1),$BI$914,HLOOKUP(INDIRECT(ADDRESS(2,COLUMN())),OFFSET($BN$2,0,0,ROW()-1,60),ROW()-1,FALSE))</f>
        <v>0.220891108</v>
      </c>
      <c r="BJ416">
        <f ca="1">IF(AND(ISNUMBER($BJ$914),$B$511=1),$BJ$914,HLOOKUP(INDIRECT(ADDRESS(2,COLUMN())),OFFSET($BN$2,0,0,ROW()-1,60),ROW()-1,FALSE))</f>
        <v>0.27730750100000001</v>
      </c>
      <c r="BK416">
        <f ca="1">IF(AND(ISNUMBER($BK$914),$B$511=1),$BK$914,HLOOKUP(INDIRECT(ADDRESS(2,COLUMN())),OFFSET($BN$2,0,0,ROW()-1,60),ROW()-1,FALSE))</f>
        <v>0.26125085199999998</v>
      </c>
      <c r="BL416">
        <f ca="1">IF(AND(ISNUMBER($BL$914),$B$511=1),$BL$914,HLOOKUP(INDIRECT(ADDRESS(2,COLUMN())),OFFSET($BN$2,0,0,ROW()-1,60),ROW()-1,FALSE))</f>
        <v>0.24344399</v>
      </c>
      <c r="BM416">
        <f ca="1">IF(AND(ISNUMBER($BM$914),$B$511=1),$BM$914,HLOOKUP(INDIRECT(ADDRESS(2,COLUMN())),OFFSET($BN$2,0,0,ROW()-1,60),ROW()-1,FALSE))</f>
        <v>0.224164316</v>
      </c>
      <c r="BN416">
        <f>0.186780848</f>
        <v>0.186780848</v>
      </c>
      <c r="BO416">
        <f>0.17653824</f>
        <v>0.17653824000000001</v>
      </c>
      <c r="BP416">
        <f>0.180940064</f>
        <v>0.18094006400000001</v>
      </c>
      <c r="BQ416">
        <f>0.18648836</f>
        <v>0.18648835999999999</v>
      </c>
      <c r="BR416">
        <f>0.227934503</f>
        <v>0.22793450300000001</v>
      </c>
      <c r="BS416">
        <f>0.173701581</f>
        <v>0.17370158099999999</v>
      </c>
      <c r="BT416">
        <f>0.203230849</f>
        <v>0.20323084899999999</v>
      </c>
      <c r="BU416">
        <f>0.158616351</f>
        <v>0.15861635099999999</v>
      </c>
      <c r="BV416">
        <f>0.170018779</f>
        <v>0.17001877900000001</v>
      </c>
      <c r="BW416">
        <f>0.147450031</f>
        <v>0.14745003100000001</v>
      </c>
      <c r="BX416">
        <f>0.157817693</f>
        <v>0.15781769300000001</v>
      </c>
      <c r="BY416">
        <f>0.105846159</f>
        <v>0.105846159</v>
      </c>
      <c r="BZ416">
        <f>0.125002663</f>
        <v>0.12500266300000001</v>
      </c>
      <c r="CA416">
        <f>0.119627558</f>
        <v>0.11962755799999999</v>
      </c>
      <c r="CB416">
        <f>0.139753989</f>
        <v>0.139753989</v>
      </c>
      <c r="CC416">
        <f>0.168750108</f>
        <v>0.16875010800000001</v>
      </c>
      <c r="CD416">
        <f>0.188700715</f>
        <v>0.18870071499999999</v>
      </c>
      <c r="CE416">
        <f>0.140902879</f>
        <v>0.14090287900000001</v>
      </c>
      <c r="CF416">
        <f>0.246831046</f>
        <v>0.246831046</v>
      </c>
      <c r="CG416">
        <f>0.26644921</f>
        <v>0.26644920999999999</v>
      </c>
      <c r="CH416">
        <f>0.268856249</f>
        <v>0.26885624899999999</v>
      </c>
      <c r="CI416">
        <f>0.308376832</f>
        <v>0.30837683199999999</v>
      </c>
      <c r="CJ416">
        <f>0.301874511</f>
        <v>0.30187451100000001</v>
      </c>
      <c r="CK416">
        <f>0.27389315</f>
        <v>0.27389314999999997</v>
      </c>
      <c r="CL416">
        <f>0.37358068</f>
        <v>0.37358068</v>
      </c>
      <c r="CM416">
        <f>0.488878657</f>
        <v>0.48887865699999999</v>
      </c>
      <c r="CN416">
        <f>0.470522375</f>
        <v>0.47052237499999999</v>
      </c>
      <c r="CO416">
        <f>0.473195411</f>
        <v>0.47319541100000001</v>
      </c>
      <c r="CP416">
        <f>0.75960862</f>
        <v>0.75960861999999996</v>
      </c>
      <c r="CQ416">
        <f>0.576449944</f>
        <v>0.57644994400000005</v>
      </c>
      <c r="CR416">
        <f>0.592448753</f>
        <v>0.59244875299999999</v>
      </c>
      <c r="CS416">
        <f>1.063702937</f>
        <v>1.063702937</v>
      </c>
      <c r="CT416">
        <f>0.98184807</f>
        <v>0.98184806999999996</v>
      </c>
      <c r="CU416">
        <f>1.030792898</f>
        <v>1.0307928980000001</v>
      </c>
      <c r="CV416">
        <f>0.820050524</f>
        <v>0.820050524</v>
      </c>
      <c r="CW416">
        <f>0.398891489</f>
        <v>0.39889148899999999</v>
      </c>
      <c r="CX416">
        <f>0.488193793</f>
        <v>0.48819379299999999</v>
      </c>
      <c r="CY416">
        <f>0.45963231</f>
        <v>0.45963230999999999</v>
      </c>
      <c r="CZ416">
        <f>0.459183453</f>
        <v>0.45918345300000002</v>
      </c>
      <c r="DA416">
        <f>0.394602542</f>
        <v>0.394602542</v>
      </c>
      <c r="DB416">
        <f>0.350079621</f>
        <v>0.35007962100000001</v>
      </c>
      <c r="DC416">
        <f>0.231169794</f>
        <v>0.23116979400000001</v>
      </c>
      <c r="DD416">
        <f>0.426695734</f>
        <v>0.42669573399999999</v>
      </c>
      <c r="DE416">
        <f>1.477604356</f>
        <v>1.4776043560000001</v>
      </c>
      <c r="DF416">
        <f>1.577288723</f>
        <v>1.5772887229999999</v>
      </c>
      <c r="DG416">
        <f>1.777588942</f>
        <v>1.7775889419999999</v>
      </c>
      <c r="DH416">
        <f>1.486579139</f>
        <v>1.486579139</v>
      </c>
      <c r="DI416">
        <f>1.420439036</f>
        <v>1.4204390360000001</v>
      </c>
      <c r="DJ416">
        <f>0.985538396</f>
        <v>0.98553839600000004</v>
      </c>
      <c r="DK416">
        <f>0.634271291</f>
        <v>0.63427129100000001</v>
      </c>
      <c r="DL416">
        <f>0.618932561</f>
        <v>0.61893256100000005</v>
      </c>
      <c r="DM416">
        <f>0.502556065</f>
        <v>0.50255606500000005</v>
      </c>
      <c r="DN416">
        <f>0.594022572</f>
        <v>0.59402257199999997</v>
      </c>
      <c r="DO416">
        <f>0.338321919</f>
        <v>0.33832191900000003</v>
      </c>
      <c r="DP416">
        <f>0.232165528</f>
        <v>0.23216552800000001</v>
      </c>
      <c r="DQ416">
        <f>0.220891108</f>
        <v>0.220891108</v>
      </c>
      <c r="DR416">
        <f>0.277307501</f>
        <v>0.27730750100000001</v>
      </c>
      <c r="DS416">
        <f>0.261250852</f>
        <v>0.26125085199999998</v>
      </c>
      <c r="DT416">
        <f>0.24344399</f>
        <v>0.24344399</v>
      </c>
      <c r="DU416">
        <f>0.224164316</f>
        <v>0.224164316</v>
      </c>
    </row>
    <row r="417" spans="1:125" x14ac:dyDescent="0.25">
      <c r="A417" t="str">
        <f>"    Bayerische Motoren Werke AG"</f>
        <v xml:space="preserve">    Bayerische Motoren Werke AG</v>
      </c>
      <c r="B417" t="str">
        <f>"BMW GR Equity"</f>
        <v>BMW GR Equity</v>
      </c>
      <c r="C417" t="str">
        <f t="shared" si="30"/>
        <v>PR005</v>
      </c>
      <c r="D417" t="str">
        <f t="shared" si="31"/>
        <v>PX_LAST</v>
      </c>
      <c r="E417" t="str">
        <f t="shared" si="32"/>
        <v>Dynamic</v>
      </c>
      <c r="F417">
        <f ca="1">IF(AND(ISNUMBER($F$915),$B$511=1),$F$915,HLOOKUP(INDIRECT(ADDRESS(2,COLUMN())),OFFSET($BN$2,0,0,ROW()-1,60),ROW()-1,FALSE))</f>
        <v>84.14196776</v>
      </c>
      <c r="G417">
        <f ca="1">IF(AND(ISNUMBER($G$915),$B$511=1),$G$915,HLOOKUP(INDIRECT(ADDRESS(2,COLUMN())),OFFSET($BN$2,0,0,ROW()-1,60),ROW()-1,FALSE))</f>
        <v>80.887870000000007</v>
      </c>
      <c r="H417">
        <f ca="1">IF(AND(ISNUMBER($H$915),$B$511=1),$H$915,HLOOKUP(INDIRECT(ADDRESS(2,COLUMN())),OFFSET($BN$2,0,0,ROW()-1,60),ROW()-1,FALSE))</f>
        <v>90.008499999999998</v>
      </c>
      <c r="I417">
        <f ca="1">IF(AND(ISNUMBER($I$915),$B$511=1),$I$915,HLOOKUP(INDIRECT(ADDRESS(2,COLUMN())),OFFSET($BN$2,0,0,ROW()-1,60),ROW()-1,FALSE))</f>
        <v>90.613519999999994</v>
      </c>
      <c r="J417">
        <f ca="1">IF(AND(ISNUMBER($J$915),$B$511=1),$J$915,HLOOKUP(INDIRECT(ADDRESS(2,COLUMN())),OFFSET($BN$2,0,0,ROW()-1,60),ROW()-1,FALSE))</f>
        <v>108.443493</v>
      </c>
      <c r="K417">
        <f ca="1">IF(AND(ISNUMBER($K$915),$B$511=1),$K$915,HLOOKUP(INDIRECT(ADDRESS(2,COLUMN())),OFFSET($BN$2,0,0,ROW()-1,60),ROW()-1,FALSE))</f>
        <v>104.38702600000001</v>
      </c>
      <c r="L417">
        <f ca="1">IF(AND(ISNUMBER($L$915),$B$511=1),$L$915,HLOOKUP(INDIRECT(ADDRESS(2,COLUMN())),OFFSET($BN$2,0,0,ROW()-1,60),ROW()-1,FALSE))</f>
        <v>101.021877</v>
      </c>
      <c r="M417">
        <f ca="1">IF(AND(ISNUMBER($M$915),$B$511=1),$M$915,HLOOKUP(INDIRECT(ADDRESS(2,COLUMN())),OFFSET($BN$2,0,0,ROW()-1,60),ROW()-1,FALSE))</f>
        <v>93.063884599999994</v>
      </c>
      <c r="N417">
        <f ca="1">IF(AND(ISNUMBER($N$915),$B$511=1),$N$915,HLOOKUP(INDIRECT(ADDRESS(2,COLUMN())),OFFSET($BN$2,0,0,ROW()-1,60),ROW()-1,FALSE))</f>
        <v>91.4732561</v>
      </c>
      <c r="O417">
        <f ca="1">IF(AND(ISNUMBER($O$915),$B$511=1),$O$915,HLOOKUP(INDIRECT(ADDRESS(2,COLUMN())),OFFSET($BN$2,0,0,ROW()-1,60),ROW()-1,FALSE))</f>
        <v>93.604624999999999</v>
      </c>
      <c r="P417">
        <f ca="1">IF(AND(ISNUMBER($P$915),$B$511=1),$P$915,HLOOKUP(INDIRECT(ADDRESS(2,COLUMN())),OFFSET($BN$2,0,0,ROW()-1,60),ROW()-1,FALSE))</f>
        <v>83.929299999999998</v>
      </c>
      <c r="Q417">
        <f ca="1">IF(AND(ISNUMBER($Q$915),$B$511=1),$Q$915,HLOOKUP(INDIRECT(ADDRESS(2,COLUMN())),OFFSET($BN$2,0,0,ROW()-1,60),ROW()-1,FALSE))</f>
        <v>73.206924900000004</v>
      </c>
      <c r="R417">
        <f ca="1">IF(AND(ISNUMBER($R$915),$B$511=1),$R$915,HLOOKUP(INDIRECT(ADDRESS(2,COLUMN())),OFFSET($BN$2,0,0,ROW()-1,60),ROW()-1,FALSE))</f>
        <v>91.859465299999997</v>
      </c>
      <c r="S417">
        <f ca="1">IF(AND(ISNUMBER($S$915),$B$511=1),$S$915,HLOOKUP(INDIRECT(ADDRESS(2,COLUMN())),OFFSET($BN$2,0,0,ROW()-1,60),ROW()-1,FALSE))</f>
        <v>106.52409299999999</v>
      </c>
      <c r="T417">
        <f ca="1">IF(AND(ISNUMBER($T$915),$B$511=1),$T$915,HLOOKUP(INDIRECT(ADDRESS(2,COLUMN())),OFFSET($BN$2,0,0,ROW()-1,60),ROW()-1,FALSE))</f>
        <v>88.393709999999999</v>
      </c>
      <c r="U417">
        <f ca="1">IF(AND(ISNUMBER($U$915),$B$511=1),$U$915,HLOOKUP(INDIRECT(ADDRESS(2,COLUMN())),OFFSET($BN$2,0,0,ROW()-1,60),ROW()-1,FALSE))</f>
        <v>109.8704336</v>
      </c>
      <c r="V417">
        <f ca="1">IF(AND(ISNUMBER($V$915),$B$511=1),$V$915,HLOOKUP(INDIRECT(ADDRESS(2,COLUMN())),OFFSET($BN$2,0,0,ROW()-1,60),ROW()-1,FALSE))</f>
        <v>124.1529984</v>
      </c>
      <c r="W417">
        <f ca="1">IF(AND(ISNUMBER($W$915),$B$511=1),$W$915,HLOOKUP(INDIRECT(ADDRESS(2,COLUMN())),OFFSET($BN$2,0,0,ROW()-1,60),ROW()-1,FALSE))</f>
        <v>109.13338899999999</v>
      </c>
      <c r="X417">
        <f ca="1">IF(AND(ISNUMBER($X$915),$B$511=1),$X$915,HLOOKUP(INDIRECT(ADDRESS(2,COLUMN())),OFFSET($BN$2,0,0,ROW()-1,60),ROW()-1,FALSE))</f>
        <v>108.73569000000001</v>
      </c>
      <c r="Y417">
        <f ca="1">IF(AND(ISNUMBER($Y$915),$B$511=1),$Y$915,HLOOKUP(INDIRECT(ADDRESS(2,COLUMN())),OFFSET($BN$2,0,0,ROW()-1,60),ROW()-1,FALSE))</f>
        <v>126.61881</v>
      </c>
      <c r="Z417">
        <f ca="1">IF(AND(ISNUMBER($Z$915),$B$511=1),$Z$915,HLOOKUP(INDIRECT(ADDRESS(2,COLUMN())),OFFSET($BN$2,0,0,ROW()-1,60),ROW()-1,FALSE))</f>
        <v>126.000028</v>
      </c>
      <c r="AA417">
        <f ca="1">IF(AND(ISNUMBER($AA$915),$B$511=1),$AA$915,HLOOKUP(INDIRECT(ADDRESS(2,COLUMN())),OFFSET($BN$2,0,0,ROW()-1,60),ROW()-1,FALSE))</f>
        <v>117.6036</v>
      </c>
      <c r="AB417">
        <f ca="1">IF(AND(ISNUMBER($AB$915),$B$511=1),$AB$915,HLOOKUP(INDIRECT(ADDRESS(2,COLUMN())),OFFSET($BN$2,0,0,ROW()-1,60),ROW()-1,FALSE))</f>
        <v>107.80147700000001</v>
      </c>
      <c r="AC417">
        <f ca="1">IF(AND(ISNUMBER($AC$915),$B$511=1),$AC$915,HLOOKUP(INDIRECT(ADDRESS(2,COLUMN())),OFFSET($BN$2,0,0,ROW()-1,60),ROW()-1,FALSE))</f>
        <v>87.475531500000002</v>
      </c>
      <c r="AD417">
        <f ca="1">IF(AND(ISNUMBER($AD$915),$B$511=1),$AD$915,HLOOKUP(INDIRECT(ADDRESS(2,COLUMN())),OFFSET($BN$2,0,0,ROW()-1,60),ROW()-1,FALSE))</f>
        <v>87.035736</v>
      </c>
      <c r="AE417">
        <f ca="1">IF(AND(ISNUMBER($AE$915),$B$511=1),$AE$915,HLOOKUP(INDIRECT(ADDRESS(2,COLUMN())),OFFSET($BN$2,0,0,ROW()-1,60),ROW()-1,FALSE))</f>
        <v>96.428045999999995</v>
      </c>
      <c r="AF417">
        <f ca="1">IF(AND(ISNUMBER($AF$915),$B$511=1),$AF$915,HLOOKUP(INDIRECT(ADDRESS(2,COLUMN())),OFFSET($BN$2,0,0,ROW()-1,60),ROW()-1,FALSE))</f>
        <v>73.560587999999996</v>
      </c>
      <c r="AG417">
        <f ca="1">IF(AND(ISNUMBER($AG$915),$B$511=1),$AG$915,HLOOKUP(INDIRECT(ADDRESS(2,COLUMN())),OFFSET($BN$2,0,0,ROW()-1,60),ROW()-1,FALSE))</f>
        <v>71.946236999999996</v>
      </c>
      <c r="AH417">
        <f ca="1">IF(AND(ISNUMBER($AH$915),$B$511=1),$AH$915,HLOOKUP(INDIRECT(ADDRESS(2,COLUMN())),OFFSET($BN$2,0,0,ROW()-1,60),ROW()-1,FALSE))</f>
        <v>89.871011999999993</v>
      </c>
      <c r="AI417">
        <f ca="1">IF(AND(ISNUMBER($AI$915),$B$511=1),$AI$915,HLOOKUP(INDIRECT(ADDRESS(2,COLUMN())),OFFSET($BN$2,0,0,ROW()-1,60),ROW()-1,FALSE))</f>
        <v>67.080960000000005</v>
      </c>
      <c r="AJ417">
        <f ca="1">IF(AND(ISNUMBER($AJ$915),$B$511=1),$AJ$915,HLOOKUP(INDIRECT(ADDRESS(2,COLUMN())),OFFSET($BN$2,0,0,ROW()-1,60),ROW()-1,FALSE))</f>
        <v>66.962570999999997</v>
      </c>
      <c r="AK417">
        <f ca="1">IF(AND(ISNUMBER($AK$915),$B$511=1),$AK$915,HLOOKUP(INDIRECT(ADDRESS(2,COLUMN())),OFFSET($BN$2,0,0,ROW()-1,60),ROW()-1,FALSE))</f>
        <v>98.827610000000007</v>
      </c>
      <c r="AL417">
        <f ca="1">IF(AND(ISNUMBER($AL$915),$B$511=1),$AL$915,HLOOKUP(INDIRECT(ADDRESS(2,COLUMN())),OFFSET($BN$2,0,0,ROW()-1,60),ROW()-1,FALSE))</f>
        <v>83.465580000000003</v>
      </c>
      <c r="AM417">
        <f ca="1">IF(AND(ISNUMBER($AM$915),$B$511=1),$AM$915,HLOOKUP(INDIRECT(ADDRESS(2,COLUMN())),OFFSET($BN$2,0,0,ROW()-1,60),ROW()-1,FALSE))</f>
        <v>78.052755000000005</v>
      </c>
      <c r="AN417">
        <f ca="1">IF(AND(ISNUMBER($AN$915),$B$511=1),$AN$915,HLOOKUP(INDIRECT(ADDRESS(2,COLUMN())),OFFSET($BN$2,0,0,ROW()-1,60),ROW()-1,FALSE))</f>
        <v>70.047659999999993</v>
      </c>
      <c r="AO417">
        <f ca="1">IF(AND(ISNUMBER($AO$915),$B$511=1),$AO$915,HLOOKUP(INDIRECT(ADDRESS(2,COLUMN())),OFFSET($BN$2,0,0,ROW()-1,60),ROW()-1,FALSE))</f>
        <v>49.205726499999997</v>
      </c>
      <c r="AP417">
        <f ca="1">IF(AND(ISNUMBER($AP$915),$B$511=1),$AP$915,HLOOKUP(INDIRECT(ADDRESS(2,COLUMN())),OFFSET($BN$2,0,0,ROW()-1,60),ROW()-1,FALSE))</f>
        <v>46.316692500000002</v>
      </c>
      <c r="AQ417">
        <f ca="1">IF(AND(ISNUMBER($AQ$915),$B$511=1),$AQ$915,HLOOKUP(INDIRECT(ADDRESS(2,COLUMN())),OFFSET($BN$2,0,0,ROW()-1,60),ROW()-1,FALSE))</f>
        <v>45.598019999999998</v>
      </c>
      <c r="AR417">
        <f ca="1">IF(AND(ISNUMBER($AR$915),$B$511=1),$AR$915,HLOOKUP(INDIRECT(ADDRESS(2,COLUMN())),OFFSET($BN$2,0,0,ROW()-1,60),ROW()-1,FALSE))</f>
        <v>48.190112999999997</v>
      </c>
      <c r="AS417">
        <f ca="1">IF(AND(ISNUMBER($AS$915),$B$511=1),$AS$915,HLOOKUP(INDIRECT(ADDRESS(2,COLUMN())),OFFSET($BN$2,0,0,ROW()-1,60),ROW()-1,FALSE))</f>
        <v>37.696150000000003</v>
      </c>
      <c r="AT417">
        <f ca="1">IF(AND(ISNUMBER($AT$915),$B$511=1),$AT$915,HLOOKUP(INDIRECT(ADDRESS(2,COLUMN())),OFFSET($BN$2,0,0,ROW()-1,60),ROW()-1,FALSE))</f>
        <v>28.70693</v>
      </c>
      <c r="AU417">
        <f ca="1">IF(AND(ISNUMBER($AU$915),$B$511=1),$AU$915,HLOOKUP(INDIRECT(ADDRESS(2,COLUMN())),OFFSET($BN$2,0,0,ROW()-1,60),ROW()-1,FALSE))</f>
        <v>30.500354000000002</v>
      </c>
      <c r="AV417">
        <f ca="1">IF(AND(ISNUMBER($AV$915),$B$511=1),$AV$915,HLOOKUP(INDIRECT(ADDRESS(2,COLUMN())),OFFSET($BN$2,0,0,ROW()-1,60),ROW()-1,FALSE))</f>
        <v>38.6815</v>
      </c>
      <c r="AW417">
        <f ca="1">IF(AND(ISNUMBER($AW$915),$B$511=1),$AW$915,HLOOKUP(INDIRECT(ADDRESS(2,COLUMN())),OFFSET($BN$2,0,0,ROW()-1,60),ROW()-1,FALSE))</f>
        <v>48.073480000000004</v>
      </c>
      <c r="AX417">
        <f ca="1">IF(AND(ISNUMBER($AX$915),$B$511=1),$AX$915,HLOOKUP(INDIRECT(ADDRESS(2,COLUMN())),OFFSET($BN$2,0,0,ROW()-1,60),ROW()-1,FALSE))</f>
        <v>55.299881999999997</v>
      </c>
      <c r="AY417">
        <f ca="1">IF(AND(ISNUMBER($AY$915),$B$511=1),$AY$915,HLOOKUP(INDIRECT(ADDRESS(2,COLUMN())),OFFSET($BN$2,0,0,ROW()-1,60),ROW()-1,FALSE))</f>
        <v>62.849663999999997</v>
      </c>
      <c r="AZ417">
        <f ca="1">IF(AND(ISNUMBER($AZ$915),$B$511=1),$AZ$915,HLOOKUP(INDIRECT(ADDRESS(2,COLUMN())),OFFSET($BN$2,0,0,ROW()-1,60),ROW()-1,FALSE))</f>
        <v>64.555724999999995</v>
      </c>
      <c r="BA417">
        <f ca="1">IF(AND(ISNUMBER($BA$915),$B$511=1),$BA$915,HLOOKUP(INDIRECT(ADDRESS(2,COLUMN())),OFFSET($BN$2,0,0,ROW()-1,60),ROW()-1,FALSE))</f>
        <v>64.495031999999995</v>
      </c>
      <c r="BB417">
        <f ca="1">IF(AND(ISNUMBER($BB$915),$B$511=1),$BB$915,HLOOKUP(INDIRECT(ADDRESS(2,COLUMN())),OFFSET($BN$2,0,0,ROW()-1,60),ROW()-1,FALSE))</f>
        <v>59.139932999999999</v>
      </c>
      <c r="BC417">
        <f ca="1">IF(AND(ISNUMBER($BC$915),$B$511=1),$BC$915,HLOOKUP(INDIRECT(ADDRESS(2,COLUMN())),OFFSET($BN$2,0,0,ROW()-1,60),ROW()-1,FALSE))</f>
        <v>57.649118999999999</v>
      </c>
      <c r="BD417">
        <f ca="1">IF(AND(ISNUMBER($BD$915),$B$511=1),$BD$915,HLOOKUP(INDIRECT(ADDRESS(2,COLUMN())),OFFSET($BN$2,0,0,ROW()-1,60),ROW()-1,FALSE))</f>
        <v>53.649093999999998</v>
      </c>
      <c r="BE417">
        <f ca="1">IF(AND(ISNUMBER($BE$915),$B$511=1),$BE$915,HLOOKUP(INDIRECT(ADDRESS(2,COLUMN())),OFFSET($BN$2,0,0,ROW()-1,60),ROW()-1,FALSE))</f>
        <v>49.912640000000003</v>
      </c>
      <c r="BF417">
        <f ca="1">IF(AND(ISNUMBER($BF$915),$B$511=1),$BF$915,HLOOKUP(INDIRECT(ADDRESS(2,COLUMN())),OFFSET($BN$2,0,0,ROW()-1,60),ROW()-1,FALSE))</f>
        <v>55.23245</v>
      </c>
      <c r="BG417">
        <f ca="1">IF(AND(ISNUMBER($BG$915),$B$511=1),$BG$915,HLOOKUP(INDIRECT(ADDRESS(2,COLUMN())),OFFSET($BN$2,0,0,ROW()-1,60),ROW()-1,FALSE))</f>
        <v>43.7821</v>
      </c>
      <c r="BH417">
        <f ca="1">IF(AND(ISNUMBER($BH$915),$B$511=1),$BH$915,HLOOKUP(INDIRECT(ADDRESS(2,COLUMN())),OFFSET($BN$2,0,0,ROW()-1,60),ROW()-1,FALSE))</f>
        <v>46.904969999999999</v>
      </c>
      <c r="BI417">
        <f ca="1">IF(AND(ISNUMBER($BI$915),$B$511=1),$BI$915,HLOOKUP(INDIRECT(ADDRESS(2,COLUMN())),OFFSET($BN$2,0,0,ROW()-1,60),ROW()-1,FALSE))</f>
        <v>45.787883999999998</v>
      </c>
      <c r="BJ417">
        <f ca="1">IF(AND(ISNUMBER($BJ$915),$B$511=1),$BJ$915,HLOOKUP(INDIRECT(ADDRESS(2,COLUMN())),OFFSET($BN$2,0,0,ROW()-1,60),ROW()-1,FALSE))</f>
        <v>45.400967999999999</v>
      </c>
      <c r="BK417">
        <f ca="1">IF(AND(ISNUMBER($BK$915),$B$511=1),$BK$915,HLOOKUP(INDIRECT(ADDRESS(2,COLUMN())),OFFSET($BN$2,0,0,ROW()-1,60),ROW()-1,FALSE))</f>
        <v>45.274839999999998</v>
      </c>
      <c r="BL417">
        <f ca="1">IF(AND(ISNUMBER($BL$915),$B$511=1),$BL$915,HLOOKUP(INDIRECT(ADDRESS(2,COLUMN())),OFFSET($BN$2,0,0,ROW()-1,60),ROW()-1,FALSE))</f>
        <v>41.198819999999998</v>
      </c>
      <c r="BM417">
        <f ca="1">IF(AND(ISNUMBER($BM$915),$B$511=1),$BM$915,HLOOKUP(INDIRECT(ADDRESS(2,COLUMN())),OFFSET($BN$2,0,0,ROW()-1,60),ROW()-1,FALSE))</f>
        <v>44.246484000000002</v>
      </c>
      <c r="BN417">
        <f>84.14196776</f>
        <v>84.14196776</v>
      </c>
      <c r="BO417">
        <f>80.88787</f>
        <v>80.887870000000007</v>
      </c>
      <c r="BP417">
        <f>90.0085</f>
        <v>90.008499999999998</v>
      </c>
      <c r="BQ417">
        <f>90.61352</f>
        <v>90.613519999999994</v>
      </c>
      <c r="BR417">
        <f>108.443493</f>
        <v>108.443493</v>
      </c>
      <c r="BS417">
        <f>104.387026</f>
        <v>104.38702600000001</v>
      </c>
      <c r="BT417">
        <f>101.021877</f>
        <v>101.021877</v>
      </c>
      <c r="BU417">
        <f>93.0638846</f>
        <v>93.063884599999994</v>
      </c>
      <c r="BV417">
        <f>91.4732561</f>
        <v>91.4732561</v>
      </c>
      <c r="BW417">
        <f>93.604625</f>
        <v>93.604624999999999</v>
      </c>
      <c r="BX417">
        <f>83.9293</f>
        <v>83.929299999999998</v>
      </c>
      <c r="BY417">
        <f>73.2069249</f>
        <v>73.206924900000004</v>
      </c>
      <c r="BZ417">
        <f>91.8594653</f>
        <v>91.859465299999997</v>
      </c>
      <c r="CA417">
        <f>106.524093</f>
        <v>106.52409299999999</v>
      </c>
      <c r="CB417">
        <f>88.39371</f>
        <v>88.393709999999999</v>
      </c>
      <c r="CC417">
        <f>109.8704336</f>
        <v>109.8704336</v>
      </c>
      <c r="CD417">
        <f>124.1529984</f>
        <v>124.1529984</v>
      </c>
      <c r="CE417">
        <f>109.133389</f>
        <v>109.13338899999999</v>
      </c>
      <c r="CF417">
        <f>108.73569</f>
        <v>108.73569000000001</v>
      </c>
      <c r="CG417">
        <f>126.61881</f>
        <v>126.61881</v>
      </c>
      <c r="CH417">
        <f>126.000028</f>
        <v>126.000028</v>
      </c>
      <c r="CI417">
        <f>117.6036</f>
        <v>117.6036</v>
      </c>
      <c r="CJ417">
        <f>107.801477</f>
        <v>107.80147700000001</v>
      </c>
      <c r="CK417">
        <f>87.4755315</f>
        <v>87.475531500000002</v>
      </c>
      <c r="CL417">
        <f>87.035736</f>
        <v>87.035736</v>
      </c>
      <c r="CM417">
        <f>96.428046</f>
        <v>96.428045999999995</v>
      </c>
      <c r="CN417">
        <f>73.560588</f>
        <v>73.560587999999996</v>
      </c>
      <c r="CO417">
        <f>71.946237</f>
        <v>71.946236999999996</v>
      </c>
      <c r="CP417">
        <f>89.871012</f>
        <v>89.871011999999993</v>
      </c>
      <c r="CQ417">
        <f>67.08096</f>
        <v>67.080960000000005</v>
      </c>
      <c r="CR417">
        <f>66.962571</f>
        <v>66.962570999999997</v>
      </c>
      <c r="CS417">
        <f>98.82761</f>
        <v>98.827610000000007</v>
      </c>
      <c r="CT417">
        <f>83.46558</f>
        <v>83.465580000000003</v>
      </c>
      <c r="CU417">
        <f>78.052755</f>
        <v>78.052755000000005</v>
      </c>
      <c r="CV417">
        <f>70.04766</f>
        <v>70.047659999999993</v>
      </c>
      <c r="CW417">
        <f>49.2057265</f>
        <v>49.205726499999997</v>
      </c>
      <c r="CX417">
        <f>46.3166925</f>
        <v>46.316692500000002</v>
      </c>
      <c r="CY417">
        <f>45.59802</f>
        <v>45.598019999999998</v>
      </c>
      <c r="CZ417">
        <f>48.190113</f>
        <v>48.190112999999997</v>
      </c>
      <c r="DA417">
        <f>37.69615</f>
        <v>37.696150000000003</v>
      </c>
      <c r="DB417">
        <f>28.70693</f>
        <v>28.70693</v>
      </c>
      <c r="DC417">
        <f>30.500354</f>
        <v>30.500354000000002</v>
      </c>
      <c r="DD417">
        <f>38.6815</f>
        <v>38.6815</v>
      </c>
      <c r="DE417">
        <f>48.07348</f>
        <v>48.073480000000004</v>
      </c>
      <c r="DF417">
        <f>55.299882</f>
        <v>55.299881999999997</v>
      </c>
      <c r="DG417">
        <f>62.849664</f>
        <v>62.849663999999997</v>
      </c>
      <c r="DH417">
        <f>64.555725</f>
        <v>64.555724999999995</v>
      </c>
      <c r="DI417">
        <f>64.495032</f>
        <v>64.495031999999995</v>
      </c>
      <c r="DJ417">
        <f>59.139933</f>
        <v>59.139932999999999</v>
      </c>
      <c r="DK417">
        <f>57.649119</f>
        <v>57.649118999999999</v>
      </c>
      <c r="DL417">
        <f>53.649094</f>
        <v>53.649093999999998</v>
      </c>
      <c r="DM417">
        <f>49.91264</f>
        <v>49.912640000000003</v>
      </c>
      <c r="DN417">
        <f>55.23245</f>
        <v>55.23245</v>
      </c>
      <c r="DO417">
        <f>43.7821</f>
        <v>43.7821</v>
      </c>
      <c r="DP417">
        <f>46.90497</f>
        <v>46.904969999999999</v>
      </c>
      <c r="DQ417">
        <f>45.787884</f>
        <v>45.787883999999998</v>
      </c>
      <c r="DR417">
        <f>45.400968</f>
        <v>45.400967999999999</v>
      </c>
      <c r="DS417">
        <f>45.27484</f>
        <v>45.274839999999998</v>
      </c>
      <c r="DT417">
        <f>41.19882</f>
        <v>41.198819999999998</v>
      </c>
      <c r="DU417">
        <f>44.246484</f>
        <v>44.246484000000002</v>
      </c>
    </row>
    <row r="418" spans="1:125" x14ac:dyDescent="0.25">
      <c r="A418" t="str">
        <f>"    Brilliance China Automotive Holdings Ltd"</f>
        <v xml:space="preserve">    Brilliance China Automotive Holdings Ltd</v>
      </c>
      <c r="B418" t="str">
        <f>"1114 HK Equity"</f>
        <v>1114 HK Equity</v>
      </c>
      <c r="C418" t="str">
        <f t="shared" si="30"/>
        <v>PR005</v>
      </c>
      <c r="D418" t="str">
        <f t="shared" si="31"/>
        <v>PX_LAST</v>
      </c>
      <c r="E418" t="str">
        <f t="shared" si="32"/>
        <v>Dynamic</v>
      </c>
      <c r="F418">
        <f ca="1">IF(AND(ISNUMBER($F$916),$B$511=1),$F$916,HLOOKUP(INDIRECT(ADDRESS(2,COLUMN())),OFFSET($BN$2,0,0,ROW()-1,60),ROW()-1,FALSE))</f>
        <v>0.97964278000000005</v>
      </c>
      <c r="G418">
        <f ca="1">IF(AND(ISNUMBER($G$916),$B$511=1),$G$916,HLOOKUP(INDIRECT(ADDRESS(2,COLUMN())),OFFSET($BN$2,0,0,ROW()-1,60),ROW()-1,FALSE))</f>
        <v>0.74436301400000005</v>
      </c>
      <c r="H418">
        <f ca="1">IF(AND(ISNUMBER($H$916),$B$511=1),$H$916,HLOOKUP(INDIRECT(ADDRESS(2,COLUMN())),OFFSET($BN$2,0,0,ROW()-1,60),ROW()-1,FALSE))</f>
        <v>1.6177880010000001</v>
      </c>
      <c r="I418">
        <f ca="1">IF(AND(ISNUMBER($I$916),$B$511=1),$I$916,HLOOKUP(INDIRECT(ADDRESS(2,COLUMN())),OFFSET($BN$2,0,0,ROW()-1,60),ROW()-1,FALSE))</f>
        <v>1.804695266</v>
      </c>
      <c r="J418">
        <f ca="1">IF(AND(ISNUMBER($J$916),$B$511=1),$J$916,HLOOKUP(INDIRECT(ADDRESS(2,COLUMN())),OFFSET($BN$2,0,0,ROW()-1,60),ROW()-1,FALSE))</f>
        <v>2.0870229980000001</v>
      </c>
      <c r="K418">
        <f ca="1">IF(AND(ISNUMBER($K$916),$B$511=1),$K$916,HLOOKUP(INDIRECT(ADDRESS(2,COLUMN())),OFFSET($BN$2,0,0,ROW()-1,60),ROW()-1,FALSE))</f>
        <v>2.6752684869999999</v>
      </c>
      <c r="L418">
        <f ca="1">IF(AND(ISNUMBER($L$916),$B$511=1),$L$916,HLOOKUP(INDIRECT(ADDRESS(2,COLUMN())),OFFSET($BN$2,0,0,ROW()-1,60),ROW()-1,FALSE))</f>
        <v>2.6626385720000001</v>
      </c>
      <c r="M418">
        <f ca="1">IF(AND(ISNUMBER($M$916),$B$511=1),$M$916,HLOOKUP(INDIRECT(ADDRESS(2,COLUMN())),OFFSET($BN$2,0,0,ROW()-1,60),ROW()-1,FALSE))</f>
        <v>1.821535624</v>
      </c>
      <c r="N418">
        <f ca="1">IF(AND(ISNUMBER($N$916),$B$511=1),$N$916,HLOOKUP(INDIRECT(ADDRESS(2,COLUMN())),OFFSET($BN$2,0,0,ROW()-1,60),ROW()-1,FALSE))</f>
        <v>1.6727787430000001</v>
      </c>
      <c r="O418">
        <f ca="1">IF(AND(ISNUMBER($O$916),$B$511=1),$O$916,HLOOKUP(INDIRECT(ADDRESS(2,COLUMN())),OFFSET($BN$2,0,0,ROW()-1,60),ROW()-1,FALSE))</f>
        <v>1.3773713869999999</v>
      </c>
      <c r="P418">
        <f ca="1">IF(AND(ISNUMBER($P$916),$B$511=1),$P$916,HLOOKUP(INDIRECT(ADDRESS(2,COLUMN())),OFFSET($BN$2,0,0,ROW()-1,60),ROW()-1,FALSE))</f>
        <v>1.121770076</v>
      </c>
      <c r="Q418">
        <f ca="1">IF(AND(ISNUMBER($Q$916),$B$511=1),$Q$916,HLOOKUP(INDIRECT(ADDRESS(2,COLUMN())),OFFSET($BN$2,0,0,ROW()-1,60),ROW()-1,FALSE))</f>
        <v>1.0258525140000001</v>
      </c>
      <c r="R418">
        <f ca="1">IF(AND(ISNUMBER($R$916),$B$511=1),$R$916,HLOOKUP(INDIRECT(ADDRESS(2,COLUMN())),OFFSET($BN$2,0,0,ROW()-1,60),ROW()-1,FALSE))</f>
        <v>1.0353141400000001</v>
      </c>
      <c r="S418">
        <f ca="1">IF(AND(ISNUMBER($S$916),$B$511=1),$S$916,HLOOKUP(INDIRECT(ADDRESS(2,COLUMN())),OFFSET($BN$2,0,0,ROW()-1,60),ROW()-1,FALSE))</f>
        <v>1.2580482829999999</v>
      </c>
      <c r="T418">
        <f ca="1">IF(AND(ISNUMBER($T$916),$B$511=1),$T$916,HLOOKUP(INDIRECT(ADDRESS(2,COLUMN())),OFFSET($BN$2,0,0,ROW()-1,60),ROW()-1,FALSE))</f>
        <v>1.181889733</v>
      </c>
      <c r="U418">
        <f ca="1">IF(AND(ISNUMBER($U$916),$B$511=1),$U$916,HLOOKUP(INDIRECT(ADDRESS(2,COLUMN())),OFFSET($BN$2,0,0,ROW()-1,60),ROW()-1,FALSE))</f>
        <v>1.5608875129999999</v>
      </c>
      <c r="V418">
        <f ca="1">IF(AND(ISNUMBER($V$916),$B$511=1),$V$916,HLOOKUP(INDIRECT(ADDRESS(2,COLUMN())),OFFSET($BN$2,0,0,ROW()-1,60),ROW()-1,FALSE))</f>
        <v>1.927020857</v>
      </c>
      <c r="W418">
        <f ca="1">IF(AND(ISNUMBER($W$916),$B$511=1),$W$916,HLOOKUP(INDIRECT(ADDRESS(2,COLUMN())),OFFSET($BN$2,0,0,ROW()-1,60),ROW()-1,FALSE))</f>
        <v>1.606933285</v>
      </c>
      <c r="X418">
        <f ca="1">IF(AND(ISNUMBER($X$916),$B$511=1),$X$916,HLOOKUP(INDIRECT(ADDRESS(2,COLUMN())),OFFSET($BN$2,0,0,ROW()-1,60),ROW()-1,FALSE))</f>
        <v>1.7463649590000001</v>
      </c>
      <c r="Y418">
        <f ca="1">IF(AND(ISNUMBER($Y$916),$B$511=1),$Y$916,HLOOKUP(INDIRECT(ADDRESS(2,COLUMN())),OFFSET($BN$2,0,0,ROW()-1,60),ROW()-1,FALSE))</f>
        <v>1.876032205</v>
      </c>
      <c r="Z418">
        <f ca="1">IF(AND(ISNUMBER($Z$916),$B$511=1),$Z$916,HLOOKUP(INDIRECT(ADDRESS(2,COLUMN())),OFFSET($BN$2,0,0,ROW()-1,60),ROW()-1,FALSE))</f>
        <v>1.5289613120000001</v>
      </c>
      <c r="AA418">
        <f ca="1">IF(AND(ISNUMBER($AA$916),$B$511=1),$AA$916,HLOOKUP(INDIRECT(ADDRESS(2,COLUMN())),OFFSET($BN$2,0,0,ROW()-1,60),ROW()-1,FALSE))</f>
        <v>1.630168434</v>
      </c>
      <c r="AB418">
        <f ca="1">IF(AND(ISNUMBER($AB$916),$B$511=1),$AB$916,HLOOKUP(INDIRECT(ADDRESS(2,COLUMN())),OFFSET($BN$2,0,0,ROW()-1,60),ROW()-1,FALSE))</f>
        <v>1.500909056</v>
      </c>
      <c r="AC418">
        <f ca="1">IF(AND(ISNUMBER($AC$916),$B$511=1),$AC$916,HLOOKUP(INDIRECT(ADDRESS(2,COLUMN())),OFFSET($BN$2,0,0,ROW()-1,60),ROW()-1,FALSE))</f>
        <v>1.12169776</v>
      </c>
      <c r="AD418">
        <f ca="1">IF(AND(ISNUMBER($AD$916),$B$511=1),$AD$916,HLOOKUP(INDIRECT(ADDRESS(2,COLUMN())),OFFSET($BN$2,0,0,ROW()-1,60),ROW()-1,FALSE))</f>
        <v>1.1748186890000001</v>
      </c>
      <c r="AE418">
        <f ca="1">IF(AND(ISNUMBER($AE$916),$B$511=1),$AE$916,HLOOKUP(INDIRECT(ADDRESS(2,COLUMN())),OFFSET($BN$2,0,0,ROW()-1,60),ROW()-1,FALSE))</f>
        <v>1.2308248070000001</v>
      </c>
      <c r="AF418">
        <f ca="1">IF(AND(ISNUMBER($AF$916),$B$511=1),$AF$916,HLOOKUP(INDIRECT(ADDRESS(2,COLUMN())),OFFSET($BN$2,0,0,ROW()-1,60),ROW()-1,FALSE))</f>
        <v>1.1026140339999999</v>
      </c>
      <c r="AG418">
        <f ca="1">IF(AND(ISNUMBER($AG$916),$B$511=1),$AG$916,HLOOKUP(INDIRECT(ADDRESS(2,COLUMN())),OFFSET($BN$2,0,0,ROW()-1,60),ROW()-1,FALSE))</f>
        <v>0.86881421000000003</v>
      </c>
      <c r="AH418">
        <f ca="1">IF(AND(ISNUMBER($AH$916),$B$511=1),$AH$916,HLOOKUP(INDIRECT(ADDRESS(2,COLUMN())),OFFSET($BN$2,0,0,ROW()-1,60),ROW()-1,FALSE))</f>
        <v>1.081888669</v>
      </c>
      <c r="AI418">
        <f ca="1">IF(AND(ISNUMBER($AI$916),$B$511=1),$AI$916,HLOOKUP(INDIRECT(ADDRESS(2,COLUMN())),OFFSET($BN$2,0,0,ROW()-1,60),ROW()-1,FALSE))</f>
        <v>1.078979219</v>
      </c>
      <c r="AJ418">
        <f ca="1">IF(AND(ISNUMBER($AJ$916),$B$511=1),$AJ$916,HLOOKUP(INDIRECT(ADDRESS(2,COLUMN())),OFFSET($BN$2,0,0,ROW()-1,60),ROW()-1,FALSE))</f>
        <v>0.78860504200000003</v>
      </c>
      <c r="AK418">
        <f ca="1">IF(AND(ISNUMBER($AK$916),$B$511=1),$AK$916,HLOOKUP(INDIRECT(ADDRESS(2,COLUMN())),OFFSET($BN$2,0,0,ROW()-1,60),ROW()-1,FALSE))</f>
        <v>1.128346163</v>
      </c>
      <c r="AL418">
        <f ca="1">IF(AND(ISNUMBER($AL$916),$B$511=1),$AL$916,HLOOKUP(INDIRECT(ADDRESS(2,COLUMN())),OFFSET($BN$2,0,0,ROW()-1,60),ROW()-1,FALSE))</f>
        <v>1.0030090270000001</v>
      </c>
      <c r="AM418">
        <f ca="1">IF(AND(ISNUMBER($AM$916),$B$511=1),$AM$916,HLOOKUP(INDIRECT(ADDRESS(2,COLUMN())),OFFSET($BN$2,0,0,ROW()-1,60),ROW()-1,FALSE))</f>
        <v>0.76291683799999999</v>
      </c>
      <c r="AN418">
        <f ca="1">IF(AND(ISNUMBER($AN$916),$B$511=1),$AN$916,HLOOKUP(INDIRECT(ADDRESS(2,COLUMN())),OFFSET($BN$2,0,0,ROW()-1,60),ROW()-1,FALSE))</f>
        <v>0.74486455799999995</v>
      </c>
      <c r="AO418">
        <f ca="1">IF(AND(ISNUMBER($AO$916),$B$511=1),$AO$916,HLOOKUP(INDIRECT(ADDRESS(2,COLUMN())),OFFSET($BN$2,0,0,ROW()-1,60),ROW()-1,FALSE))</f>
        <v>0.32749409200000001</v>
      </c>
      <c r="AP418">
        <f ca="1">IF(AND(ISNUMBER($AP$916),$B$511=1),$AP$916,HLOOKUP(INDIRECT(ADDRESS(2,COLUMN())),OFFSET($BN$2,0,0,ROW()-1,60),ROW()-1,FALSE))</f>
        <v>0.284625093</v>
      </c>
      <c r="AQ418">
        <f ca="1">IF(AND(ISNUMBER($AQ$916),$B$511=1),$AQ$916,HLOOKUP(INDIRECT(ADDRESS(2,COLUMN())),OFFSET($BN$2,0,0,ROW()-1,60),ROW()-1,FALSE))</f>
        <v>0.28245672900000002</v>
      </c>
      <c r="AR418">
        <f ca="1">IF(AND(ISNUMBER($AR$916),$B$511=1),$AR$916,HLOOKUP(INDIRECT(ADDRESS(2,COLUMN())),OFFSET($BN$2,0,0,ROW()-1,60),ROW()-1,FALSE))</f>
        <v>0.10580508600000001</v>
      </c>
      <c r="AS418">
        <f ca="1">IF(AND(ISNUMBER($AS$916),$B$511=1),$AS$916,HLOOKUP(INDIRECT(ADDRESS(2,COLUMN())),OFFSET($BN$2,0,0,ROW()-1,60),ROW()-1,FALSE))</f>
        <v>0.116127534</v>
      </c>
      <c r="AT418">
        <f ca="1">IF(AND(ISNUMBER($AT$916),$B$511=1),$AT$916,HLOOKUP(INDIRECT(ADDRESS(2,COLUMN())),OFFSET($BN$2,0,0,ROW()-1,60),ROW()-1,FALSE))</f>
        <v>6.3224990999999994E-2</v>
      </c>
      <c r="AU418">
        <f ca="1">IF(AND(ISNUMBER($AU$916),$B$511=1),$AU$916,HLOOKUP(INDIRECT(ADDRESS(2,COLUMN())),OFFSET($BN$2,0,0,ROW()-1,60),ROW()-1,FALSE))</f>
        <v>5.2257390000000001E-2</v>
      </c>
      <c r="AV418">
        <f ca="1">IF(AND(ISNUMBER($AV$916),$B$511=1),$AV$916,HLOOKUP(INDIRECT(ADDRESS(2,COLUMN())),OFFSET($BN$2,0,0,ROW()-1,60),ROW()-1,FALSE))</f>
        <v>7.2120338000000006E-2</v>
      </c>
      <c r="AW418">
        <f ca="1">IF(AND(ISNUMBER($AW$916),$B$511=1),$AW$916,HLOOKUP(INDIRECT(ADDRESS(2,COLUMN())),OFFSET($BN$2,0,0,ROW()-1,60),ROW()-1,FALSE))</f>
        <v>0.121826109</v>
      </c>
      <c r="AX418">
        <f ca="1">IF(AND(ISNUMBER($AX$916),$B$511=1),$AX$916,HLOOKUP(INDIRECT(ADDRESS(2,COLUMN())),OFFSET($BN$2,0,0,ROW()-1,60),ROW()-1,FALSE))</f>
        <v>0.16575437500000001</v>
      </c>
      <c r="AY418">
        <f ca="1">IF(AND(ISNUMBER($AY$916),$B$511=1),$AY$916,HLOOKUP(INDIRECT(ADDRESS(2,COLUMN())),OFFSET($BN$2,0,0,ROW()-1,60),ROW()-1,FALSE))</f>
        <v>0.223091224</v>
      </c>
      <c r="AZ418">
        <f ca="1">IF(AND(ISNUMBER($AZ$916),$B$511=1),$AZ$916,HLOOKUP(INDIRECT(ADDRESS(2,COLUMN())),OFFSET($BN$2,0,0,ROW()-1,60),ROW()-1,FALSE))</f>
        <v>0.275538846</v>
      </c>
      <c r="BA418">
        <f ca="1">IF(AND(ISNUMBER($BA$916),$B$511=1),$BA$916,HLOOKUP(INDIRECT(ADDRESS(2,COLUMN())),OFFSET($BN$2,0,0,ROW()-1,60),ROW()-1,FALSE))</f>
        <v>0.251979381</v>
      </c>
      <c r="BB418">
        <f ca="1">IF(AND(ISNUMBER($BB$916),$B$511=1),$BB$916,HLOOKUP(INDIRECT(ADDRESS(2,COLUMN())),OFFSET($BN$2,0,0,ROW()-1,60),ROW()-1,FALSE))</f>
        <v>0.24442055700000001</v>
      </c>
      <c r="BC418">
        <f ca="1">IF(AND(ISNUMBER($BC$916),$B$511=1),$BC$916,HLOOKUP(INDIRECT(ADDRESS(2,COLUMN())),OFFSET($BN$2,0,0,ROW()-1,60),ROW()-1,FALSE))</f>
        <v>0.16968543899999999</v>
      </c>
      <c r="BD418">
        <f ca="1">IF(AND(ISNUMBER($BD$916),$B$511=1),$BD$916,HLOOKUP(INDIRECT(ADDRESS(2,COLUMN())),OFFSET($BN$2,0,0,ROW()-1,60),ROW()-1,FALSE))</f>
        <v>0.15529744000000001</v>
      </c>
      <c r="BE418">
        <f ca="1">IF(AND(ISNUMBER($BE$916),$B$511=1),$BE$916,HLOOKUP(INDIRECT(ADDRESS(2,COLUMN())),OFFSET($BN$2,0,0,ROW()-1,60),ROW()-1,FALSE))</f>
        <v>0.16866228899999999</v>
      </c>
      <c r="BF418">
        <f ca="1">IF(AND(ISNUMBER($BF$916),$B$511=1),$BF$916,HLOOKUP(INDIRECT(ADDRESS(2,COLUMN())),OFFSET($BN$2,0,0,ROW()-1,60),ROW()-1,FALSE))</f>
        <v>0.148197786</v>
      </c>
      <c r="BG418">
        <f ca="1">IF(AND(ISNUMBER($BG$916),$B$511=1),$BG$916,HLOOKUP(INDIRECT(ADDRESS(2,COLUMN())),OFFSET($BN$2,0,0,ROW()-1,60),ROW()-1,FALSE))</f>
        <v>0.14831628799999999</v>
      </c>
      <c r="BH418">
        <f ca="1">IF(AND(ISNUMBER($BH$916),$B$511=1),$BH$916,HLOOKUP(INDIRECT(ADDRESS(2,COLUMN())),OFFSET($BN$2,0,0,ROW()-1,60),ROW()-1,FALSE))</f>
        <v>0.14437641000000001</v>
      </c>
      <c r="BI418">
        <f ca="1">IF(AND(ISNUMBER($BI$916),$B$511=1),$BI$916,HLOOKUP(INDIRECT(ADDRESS(2,COLUMN())),OFFSET($BN$2,0,0,ROW()-1,60),ROW()-1,FALSE))</f>
        <v>0.17757189700000001</v>
      </c>
      <c r="BJ418">
        <f ca="1">IF(AND(ISNUMBER($BJ$916),$B$511=1),$BJ$916,HLOOKUP(INDIRECT(ADDRESS(2,COLUMN())),OFFSET($BN$2,0,0,ROW()-1,60),ROW()-1,FALSE))</f>
        <v>0.17693441900000001</v>
      </c>
      <c r="BK418">
        <f ca="1">IF(AND(ISNUMBER($BK$916),$B$511=1),$BK$916,HLOOKUP(INDIRECT(ADDRESS(2,COLUMN())),OFFSET($BN$2,0,0,ROW()-1,60),ROW()-1,FALSE))</f>
        <v>0.195548694</v>
      </c>
      <c r="BL418">
        <f ca="1">IF(AND(ISNUMBER($BL$916),$B$511=1),$BL$916,HLOOKUP(INDIRECT(ADDRESS(2,COLUMN())),OFFSET($BN$2,0,0,ROW()-1,60),ROW()-1,FALSE))</f>
        <v>0.20008208499999999</v>
      </c>
      <c r="BM418">
        <f ca="1">IF(AND(ISNUMBER($BM$916),$B$511=1),$BM$916,HLOOKUP(INDIRECT(ADDRESS(2,COLUMN())),OFFSET($BN$2,0,0,ROW()-1,60),ROW()-1,FALSE))</f>
        <v>0.29487935599999998</v>
      </c>
      <c r="BN418">
        <f>0.97964278</f>
        <v>0.97964278000000005</v>
      </c>
      <c r="BO418">
        <f>0.744363014</f>
        <v>0.74436301400000005</v>
      </c>
      <c r="BP418">
        <f>1.617788001</f>
        <v>1.6177880010000001</v>
      </c>
      <c r="BQ418">
        <f>1.804695266</f>
        <v>1.804695266</v>
      </c>
      <c r="BR418">
        <f>2.087022998</f>
        <v>2.0870229980000001</v>
      </c>
      <c r="BS418">
        <f>2.675268487</f>
        <v>2.6752684869999999</v>
      </c>
      <c r="BT418">
        <f>2.662638572</f>
        <v>2.6626385720000001</v>
      </c>
      <c r="BU418">
        <f>1.821535624</f>
        <v>1.821535624</v>
      </c>
      <c r="BV418">
        <f>1.672778743</f>
        <v>1.6727787430000001</v>
      </c>
      <c r="BW418">
        <f>1.377371387</f>
        <v>1.3773713869999999</v>
      </c>
      <c r="BX418">
        <f>1.121770076</f>
        <v>1.121770076</v>
      </c>
      <c r="BY418">
        <f>1.025852514</f>
        <v>1.0258525140000001</v>
      </c>
      <c r="BZ418">
        <f>1.03531414</f>
        <v>1.0353141400000001</v>
      </c>
      <c r="CA418">
        <f>1.258048283</f>
        <v>1.2580482829999999</v>
      </c>
      <c r="CB418">
        <f>1.181889733</f>
        <v>1.181889733</v>
      </c>
      <c r="CC418">
        <f>1.560887513</f>
        <v>1.5608875129999999</v>
      </c>
      <c r="CD418">
        <f>1.927020857</f>
        <v>1.927020857</v>
      </c>
      <c r="CE418">
        <f>1.606933285</f>
        <v>1.606933285</v>
      </c>
      <c r="CF418">
        <f>1.746364959</f>
        <v>1.7463649590000001</v>
      </c>
      <c r="CG418">
        <f>1.876032205</f>
        <v>1.876032205</v>
      </c>
      <c r="CH418">
        <f>1.528961312</f>
        <v>1.5289613120000001</v>
      </c>
      <c r="CI418">
        <f>1.630168434</f>
        <v>1.630168434</v>
      </c>
      <c r="CJ418">
        <f>1.500909056</f>
        <v>1.500909056</v>
      </c>
      <c r="CK418">
        <f>1.12169776</f>
        <v>1.12169776</v>
      </c>
      <c r="CL418">
        <f>1.174818689</f>
        <v>1.1748186890000001</v>
      </c>
      <c r="CM418">
        <f>1.230824807</f>
        <v>1.2308248070000001</v>
      </c>
      <c r="CN418">
        <f>1.102614034</f>
        <v>1.1026140339999999</v>
      </c>
      <c r="CO418">
        <f>0.86881421</f>
        <v>0.86881421000000003</v>
      </c>
      <c r="CP418">
        <f>1.081888669</f>
        <v>1.081888669</v>
      </c>
      <c r="CQ418">
        <f>1.078979219</f>
        <v>1.078979219</v>
      </c>
      <c r="CR418">
        <f>0.788605042</f>
        <v>0.78860504200000003</v>
      </c>
      <c r="CS418">
        <f>1.128346163</f>
        <v>1.128346163</v>
      </c>
      <c r="CT418">
        <f>1.003009027</f>
        <v>1.0030090270000001</v>
      </c>
      <c r="CU418">
        <f>0.762916838</f>
        <v>0.76291683799999999</v>
      </c>
      <c r="CV418">
        <f>0.744864558</f>
        <v>0.74486455799999995</v>
      </c>
      <c r="CW418">
        <f>0.327494092</f>
        <v>0.32749409200000001</v>
      </c>
      <c r="CX418">
        <f>0.284625093</f>
        <v>0.284625093</v>
      </c>
      <c r="CY418">
        <f>0.282456729</f>
        <v>0.28245672900000002</v>
      </c>
      <c r="CZ418">
        <f>0.105805086</f>
        <v>0.10580508600000001</v>
      </c>
      <c r="DA418">
        <f>0.116127534</f>
        <v>0.116127534</v>
      </c>
      <c r="DB418">
        <f>0.063224991</f>
        <v>6.3224990999999994E-2</v>
      </c>
      <c r="DC418">
        <f>0.05225739</f>
        <v>5.2257390000000001E-2</v>
      </c>
      <c r="DD418">
        <f>0.072120338</f>
        <v>7.2120338000000006E-2</v>
      </c>
      <c r="DE418">
        <f>0.121826109</f>
        <v>0.121826109</v>
      </c>
      <c r="DF418">
        <f>0.165754375</f>
        <v>0.16575437500000001</v>
      </c>
      <c r="DG418">
        <f>0.223091224</f>
        <v>0.223091224</v>
      </c>
      <c r="DH418">
        <f>0.275538846</f>
        <v>0.275538846</v>
      </c>
      <c r="DI418">
        <f>0.251979381</f>
        <v>0.251979381</v>
      </c>
      <c r="DJ418">
        <f>0.244420557</f>
        <v>0.24442055700000001</v>
      </c>
      <c r="DK418">
        <f>0.169685439</f>
        <v>0.16968543899999999</v>
      </c>
      <c r="DL418">
        <f>0.15529744</f>
        <v>0.15529744000000001</v>
      </c>
      <c r="DM418">
        <f>0.168662289</f>
        <v>0.16866228899999999</v>
      </c>
      <c r="DN418">
        <f>0.148197786</f>
        <v>0.148197786</v>
      </c>
      <c r="DO418">
        <f>0.148316288</f>
        <v>0.14831628799999999</v>
      </c>
      <c r="DP418">
        <f>0.14437641</f>
        <v>0.14437641000000001</v>
      </c>
      <c r="DQ418">
        <f>0.177571897</f>
        <v>0.17757189700000001</v>
      </c>
      <c r="DR418">
        <f>0.176934419</f>
        <v>0.17693441900000001</v>
      </c>
      <c r="DS418">
        <f>0.195548694</f>
        <v>0.195548694</v>
      </c>
      <c r="DT418">
        <f>0.200082085</f>
        <v>0.20008208499999999</v>
      </c>
      <c r="DU418">
        <f>0.294879356</f>
        <v>0.29487935599999998</v>
      </c>
    </row>
    <row r="419" spans="1:125" x14ac:dyDescent="0.25">
      <c r="A419" t="str">
        <f>"    BYD Co Ltd"</f>
        <v xml:space="preserve">    BYD Co Ltd</v>
      </c>
      <c r="B419" t="str">
        <f>"1211 HK Equity"</f>
        <v>1211 HK Equity</v>
      </c>
      <c r="C419" t="str">
        <f t="shared" si="30"/>
        <v>PR005</v>
      </c>
      <c r="D419" t="str">
        <f t="shared" si="31"/>
        <v>PX_LAST</v>
      </c>
      <c r="E419" t="str">
        <f t="shared" si="32"/>
        <v>Dynamic</v>
      </c>
      <c r="F419">
        <f ca="1">IF(AND(ISNUMBER($F$917),$B$511=1),$F$917,HLOOKUP(INDIRECT(ADDRESS(2,COLUMN())),OFFSET($BN$2,0,0,ROW()-1,60),ROW()-1,FALSE))</f>
        <v>6.3950673010000001</v>
      </c>
      <c r="G419">
        <f ca="1">IF(AND(ISNUMBER($G$917),$B$511=1),$G$917,HLOOKUP(INDIRECT(ADDRESS(2,COLUMN())),OFFSET($BN$2,0,0,ROW()-1,60),ROW()-1,FALSE))</f>
        <v>6.3775184490000001</v>
      </c>
      <c r="H419">
        <f ca="1">IF(AND(ISNUMBER($H$917),$B$511=1),$H$917,HLOOKUP(INDIRECT(ADDRESS(2,COLUMN())),OFFSET($BN$2,0,0,ROW()-1,60),ROW()-1,FALSE))</f>
        <v>7.1816497349999997</v>
      </c>
      <c r="I419">
        <f ca="1">IF(AND(ISNUMBER($I$917),$B$511=1),$I$917,HLOOKUP(INDIRECT(ADDRESS(2,COLUMN())),OFFSET($BN$2,0,0,ROW()-1,60),ROW()-1,FALSE))</f>
        <v>6.0602584689999999</v>
      </c>
      <c r="J419">
        <f ca="1">IF(AND(ISNUMBER($J$917),$B$511=1),$J$917,HLOOKUP(INDIRECT(ADDRESS(2,COLUMN())),OFFSET($BN$2,0,0,ROW()-1,60),ROW()-1,FALSE))</f>
        <v>7.7976683439999999</v>
      </c>
      <c r="K419">
        <f ca="1">IF(AND(ISNUMBER($K$917),$B$511=1),$K$917,HLOOKUP(INDIRECT(ADDRESS(2,COLUMN())),OFFSET($BN$2,0,0,ROW()-1,60),ROW()-1,FALSE))</f>
        <v>8.7170231559999998</v>
      </c>
      <c r="L419">
        <f ca="1">IF(AND(ISNUMBER($L$917),$B$511=1),$L$917,HLOOKUP(INDIRECT(ADDRESS(2,COLUMN())),OFFSET($BN$2,0,0,ROW()-1,60),ROW()-1,FALSE))</f>
        <v>9.2744309890000007</v>
      </c>
      <c r="M419">
        <f ca="1">IF(AND(ISNUMBER($M$917),$B$511=1),$M$917,HLOOKUP(INDIRECT(ADDRESS(2,COLUMN())),OFFSET($BN$2,0,0,ROW()-1,60),ROW()-1,FALSE))</f>
        <v>6.1358337819999997</v>
      </c>
      <c r="N419">
        <f ca="1">IF(AND(ISNUMBER($N$917),$B$511=1),$N$917,HLOOKUP(INDIRECT(ADDRESS(2,COLUMN())),OFFSET($BN$2,0,0,ROW()-1,60),ROW()-1,FALSE))</f>
        <v>5.5459049089999999</v>
      </c>
      <c r="O419">
        <f ca="1">IF(AND(ISNUMBER($O$917),$B$511=1),$O$917,HLOOKUP(INDIRECT(ADDRESS(2,COLUMN())),OFFSET($BN$2,0,0,ROW()-1,60),ROW()-1,FALSE))</f>
        <v>5.2683165890000003</v>
      </c>
      <c r="P419">
        <f ca="1">IF(AND(ISNUMBER($P$917),$B$511=1),$P$917,HLOOKUP(INDIRECT(ADDRESS(2,COLUMN())),OFFSET($BN$2,0,0,ROW()-1,60),ROW()-1,FALSE))</f>
        <v>6.5629996390000001</v>
      </c>
      <c r="Q419">
        <f ca="1">IF(AND(ISNUMBER($Q$917),$B$511=1),$Q$917,HLOOKUP(INDIRECT(ADDRESS(2,COLUMN())),OFFSET($BN$2,0,0,ROW()-1,60),ROW()-1,FALSE))</f>
        <v>5.9862875999999998</v>
      </c>
      <c r="R419">
        <f ca="1">IF(AND(ISNUMBER($R$917),$B$511=1),$R$917,HLOOKUP(INDIRECT(ADDRESS(2,COLUMN())),OFFSET($BN$2,0,0,ROW()-1,60),ROW()-1,FALSE))</f>
        <v>5.737419579</v>
      </c>
      <c r="S419">
        <f ca="1">IF(AND(ISNUMBER($S$917),$B$511=1),$S$917,HLOOKUP(INDIRECT(ADDRESS(2,COLUMN())),OFFSET($BN$2,0,0,ROW()-1,60),ROW()-1,FALSE))</f>
        <v>5.5031547979999997</v>
      </c>
      <c r="T419">
        <f ca="1">IF(AND(ISNUMBER($T$917),$B$511=1),$T$917,HLOOKUP(INDIRECT(ADDRESS(2,COLUMN())),OFFSET($BN$2,0,0,ROW()-1,60),ROW()-1,FALSE))</f>
        <v>5.2707637119999999</v>
      </c>
      <c r="U419">
        <f ca="1">IF(AND(ISNUMBER($U$917),$B$511=1),$U$917,HLOOKUP(INDIRECT(ADDRESS(2,COLUMN())),OFFSET($BN$2,0,0,ROW()-1,60),ROW()-1,FALSE))</f>
        <v>6.0049019609999998</v>
      </c>
      <c r="V419">
        <f ca="1">IF(AND(ISNUMBER($V$917),$B$511=1),$V$917,HLOOKUP(INDIRECT(ADDRESS(2,COLUMN())),OFFSET($BN$2,0,0,ROW()-1,60),ROW()-1,FALSE))</f>
        <v>5.1464613239999997</v>
      </c>
      <c r="W419">
        <f ca="1">IF(AND(ISNUMBER($W$917),$B$511=1),$W$917,HLOOKUP(INDIRECT(ADDRESS(2,COLUMN())),OFFSET($BN$2,0,0,ROW()-1,60),ROW()-1,FALSE))</f>
        <v>3.914159326</v>
      </c>
      <c r="X419">
        <f ca="1">IF(AND(ISNUMBER($X$917),$B$511=1),$X$917,HLOOKUP(INDIRECT(ADDRESS(2,COLUMN())),OFFSET($BN$2,0,0,ROW()-1,60),ROW()-1,FALSE))</f>
        <v>6.6390201810000002</v>
      </c>
      <c r="Y419">
        <f ca="1">IF(AND(ISNUMBER($Y$917),$B$511=1),$Y$917,HLOOKUP(INDIRECT(ADDRESS(2,COLUMN())),OFFSET($BN$2,0,0,ROW()-1,60),ROW()-1,FALSE))</f>
        <v>5.7480904209999997</v>
      </c>
      <c r="Z419">
        <f ca="1">IF(AND(ISNUMBER($Z$917),$B$511=1),$Z$917,HLOOKUP(INDIRECT(ADDRESS(2,COLUMN())),OFFSET($BN$2,0,0,ROW()-1,60),ROW()-1,FALSE))</f>
        <v>6.1815931620000004</v>
      </c>
      <c r="AA419">
        <f ca="1">IF(AND(ISNUMBER($AA$917),$B$511=1),$AA$917,HLOOKUP(INDIRECT(ADDRESS(2,COLUMN())),OFFSET($BN$2,0,0,ROW()-1,60),ROW()-1,FALSE))</f>
        <v>4.9008228220000003</v>
      </c>
      <c r="AB419">
        <f ca="1">IF(AND(ISNUMBER($AB$917),$B$511=1),$AB$917,HLOOKUP(INDIRECT(ADDRESS(2,COLUMN())),OFFSET($BN$2,0,0,ROW()-1,60),ROW()-1,FALSE))</f>
        <v>4.4614650630000003</v>
      </c>
      <c r="AC419">
        <f ca="1">IF(AND(ISNUMBER($AC$917),$B$511=1),$AC$917,HLOOKUP(INDIRECT(ADDRESS(2,COLUMN())),OFFSET($BN$2,0,0,ROW()-1,60),ROW()-1,FALSE))</f>
        <v>3.313520971</v>
      </c>
      <c r="AD419">
        <f ca="1">IF(AND(ISNUMBER($AD$917),$B$511=1),$AD$917,HLOOKUP(INDIRECT(ADDRESS(2,COLUMN())),OFFSET($BN$2,0,0,ROW()-1,60),ROW()-1,FALSE))</f>
        <v>3.1882415079999999</v>
      </c>
      <c r="AE419">
        <f ca="1">IF(AND(ISNUMBER($AE$917),$B$511=1),$AE$917,HLOOKUP(INDIRECT(ADDRESS(2,COLUMN())),OFFSET($BN$2,0,0,ROW()-1,60),ROW()-1,FALSE))</f>
        <v>2.9996516529999999</v>
      </c>
      <c r="AF419">
        <f ca="1">IF(AND(ISNUMBER($AF$917),$B$511=1),$AF$917,HLOOKUP(INDIRECT(ADDRESS(2,COLUMN())),OFFSET($BN$2,0,0,ROW()-1,60),ROW()-1,FALSE))</f>
        <v>1.7435487409999999</v>
      </c>
      <c r="AG419">
        <f ca="1">IF(AND(ISNUMBER($AG$917),$B$511=1),$AG$917,HLOOKUP(INDIRECT(ADDRESS(2,COLUMN())),OFFSET($BN$2,0,0,ROW()-1,60),ROW()-1,FALSE))</f>
        <v>1.8845791919999999</v>
      </c>
      <c r="AH419">
        <f ca="1">IF(AND(ISNUMBER($AH$917),$B$511=1),$AH$917,HLOOKUP(INDIRECT(ADDRESS(2,COLUMN())),OFFSET($BN$2,0,0,ROW()-1,60),ROW()-1,FALSE))</f>
        <v>2.79487906</v>
      </c>
      <c r="AI419">
        <f ca="1">IF(AND(ISNUMBER($AI$917),$B$511=1),$AI$917,HLOOKUP(INDIRECT(ADDRESS(2,COLUMN())),OFFSET($BN$2,0,0,ROW()-1,60),ROW()-1,FALSE))</f>
        <v>2.1682589550000002</v>
      </c>
      <c r="AJ419">
        <f ca="1">IF(AND(ISNUMBER($AJ$917),$B$511=1),$AJ$917,HLOOKUP(INDIRECT(ADDRESS(2,COLUMN())),OFFSET($BN$2,0,0,ROW()-1,60),ROW()-1,FALSE))</f>
        <v>1.6928036580000001</v>
      </c>
      <c r="AK419">
        <f ca="1">IF(AND(ISNUMBER($AK$917),$B$511=1),$AK$917,HLOOKUP(INDIRECT(ADDRESS(2,COLUMN())),OFFSET($BN$2,0,0,ROW()-1,60),ROW()-1,FALSE))</f>
        <v>3.232107745</v>
      </c>
      <c r="AL419">
        <f ca="1">IF(AND(ISNUMBER($AL$917),$B$511=1),$AL$917,HLOOKUP(INDIRECT(ADDRESS(2,COLUMN())),OFFSET($BN$2,0,0,ROW()-1,60),ROW()-1,FALSE))</f>
        <v>3.832008847</v>
      </c>
      <c r="AM419">
        <f ca="1">IF(AND(ISNUMBER($AM$917),$B$511=1),$AM$917,HLOOKUP(INDIRECT(ADDRESS(2,COLUMN())),OFFSET($BN$2,0,0,ROW()-1,60),ROW()-1,FALSE))</f>
        <v>5.255506381</v>
      </c>
      <c r="AN419">
        <f ca="1">IF(AND(ISNUMBER($AN$917),$B$511=1),$AN$917,HLOOKUP(INDIRECT(ADDRESS(2,COLUMN())),OFFSET($BN$2,0,0,ROW()-1,60),ROW()-1,FALSE))</f>
        <v>8.0350009020000002</v>
      </c>
      <c r="AO419">
        <f ca="1">IF(AND(ISNUMBER($AO$917),$B$511=1),$AO$917,HLOOKUP(INDIRECT(ADDRESS(2,COLUMN())),OFFSET($BN$2,0,0,ROW()-1,60),ROW()-1,FALSE))</f>
        <v>7.4874139529999999</v>
      </c>
      <c r="AP419">
        <f ca="1">IF(AND(ISNUMBER($AP$917),$B$511=1),$AP$917,HLOOKUP(INDIRECT(ADDRESS(2,COLUMN())),OFFSET($BN$2,0,0,ROW()-1,60),ROW()-1,FALSE))</f>
        <v>9.9618782679999995</v>
      </c>
      <c r="AQ419">
        <f ca="1">IF(AND(ISNUMBER($AQ$917),$B$511=1),$AQ$917,HLOOKUP(INDIRECT(ADDRESS(2,COLUMN())),OFFSET($BN$2,0,0,ROW()-1,60),ROW()-1,FALSE))</f>
        <v>8.8283849669999999</v>
      </c>
      <c r="AR419">
        <f ca="1">IF(AND(ISNUMBER($AR$917),$B$511=1),$AR$917,HLOOKUP(INDIRECT(ADDRESS(2,COLUMN())),OFFSET($BN$2,0,0,ROW()-1,60),ROW()-1,FALSE))</f>
        <v>8.2386033730000001</v>
      </c>
      <c r="AS419">
        <f ca="1">IF(AND(ISNUMBER($AS$917),$B$511=1),$AS$917,HLOOKUP(INDIRECT(ADDRESS(2,COLUMN())),OFFSET($BN$2,0,0,ROW()-1,60),ROW()-1,FALSE))</f>
        <v>3.96123921</v>
      </c>
      <c r="AT419">
        <f ca="1">IF(AND(ISNUMBER($AT$917),$B$511=1),$AT$917,HLOOKUP(INDIRECT(ADDRESS(2,COLUMN())),OFFSET($BN$2,0,0,ROW()-1,60),ROW()-1,FALSE))</f>
        <v>1.8425568699999999</v>
      </c>
      <c r="AU419">
        <f ca="1">IF(AND(ISNUMBER($AU$917),$B$511=1),$AU$917,HLOOKUP(INDIRECT(ADDRESS(2,COLUMN())),OFFSET($BN$2,0,0,ROW()-1,60),ROW()-1,FALSE))</f>
        <v>1.6386885330000001</v>
      </c>
      <c r="AV419">
        <f ca="1">IF(AND(ISNUMBER($AV$917),$B$511=1),$AV$917,HLOOKUP(INDIRECT(ADDRESS(2,COLUMN())),OFFSET($BN$2,0,0,ROW()-1,60),ROW()-1,FALSE))</f>
        <v>1.65361632</v>
      </c>
      <c r="AW419">
        <f ca="1">IF(AND(ISNUMBER($AW$917),$B$511=1),$AW$917,HLOOKUP(INDIRECT(ADDRESS(2,COLUMN())),OFFSET($BN$2,0,0,ROW()-1,60),ROW()-1,FALSE))</f>
        <v>1.2823800970000001</v>
      </c>
      <c r="AX419">
        <f ca="1">IF(AND(ISNUMBER($AX$917),$B$511=1),$AX$917,HLOOKUP(INDIRECT(ADDRESS(2,COLUMN())),OFFSET($BN$2,0,0,ROW()-1,60),ROW()-1,FALSE))</f>
        <v>1.837432221</v>
      </c>
      <c r="AY419">
        <f ca="1">IF(AND(ISNUMBER($AY$917),$B$511=1),$AY$917,HLOOKUP(INDIRECT(ADDRESS(2,COLUMN())),OFFSET($BN$2,0,0,ROW()-1,60),ROW()-1,FALSE))</f>
        <v>1.741002291</v>
      </c>
      <c r="AZ419">
        <f ca="1">IF(AND(ISNUMBER($AZ$917),$B$511=1),$AZ$917,HLOOKUP(INDIRECT(ADDRESS(2,COLUMN())),OFFSET($BN$2,0,0,ROW()-1,60),ROW()-1,FALSE))</f>
        <v>1.9669244960000001</v>
      </c>
      <c r="BA419">
        <f ca="1">IF(AND(ISNUMBER($BA$917),$B$511=1),$BA$917,HLOOKUP(INDIRECT(ADDRESS(2,COLUMN())),OFFSET($BN$2,0,0,ROW()-1,60),ROW()-1,FALSE))</f>
        <v>1.51302073</v>
      </c>
      <c r="BB419">
        <f ca="1">IF(AND(ISNUMBER($BB$917),$B$511=1),$BB$917,HLOOKUP(INDIRECT(ADDRESS(2,COLUMN())),OFFSET($BN$2,0,0,ROW()-1,60),ROW()-1,FALSE))</f>
        <v>1.2982105909999999</v>
      </c>
      <c r="BC419">
        <f ca="1">IF(AND(ISNUMBER($BC$917),$B$511=1),$BC$917,HLOOKUP(INDIRECT(ADDRESS(2,COLUMN())),OFFSET($BN$2,0,0,ROW()-1,60),ROW()-1,FALSE))</f>
        <v>1.0080993</v>
      </c>
      <c r="BD419">
        <f ca="1">IF(AND(ISNUMBER($BD$917),$B$511=1),$BD$917,HLOOKUP(INDIRECT(ADDRESS(2,COLUMN())),OFFSET($BN$2,0,0,ROW()-1,60),ROW()-1,FALSE))</f>
        <v>0.75993744900000004</v>
      </c>
      <c r="BE419">
        <f ca="1">IF(AND(ISNUMBER($BE$917),$B$511=1),$BE$917,HLOOKUP(INDIRECT(ADDRESS(2,COLUMN())),OFFSET($BN$2,0,0,ROW()-1,60),ROW()-1,FALSE))</f>
        <v>0.53702235499999995</v>
      </c>
      <c r="BF419">
        <f ca="1">IF(AND(ISNUMBER($BF$917),$B$511=1),$BF$917,HLOOKUP(INDIRECT(ADDRESS(2,COLUMN())),OFFSET($BN$2,0,0,ROW()-1,60),ROW()-1,FALSE))</f>
        <v>0.54429621699999997</v>
      </c>
      <c r="BG419">
        <f ca="1">IF(AND(ISNUMBER($BG$917),$B$511=1),$BG$917,HLOOKUP(INDIRECT(ADDRESS(2,COLUMN())),OFFSET($BN$2,0,0,ROW()-1,60),ROW()-1,FALSE))</f>
        <v>0.40557886500000001</v>
      </c>
      <c r="BH419">
        <f ca="1">IF(AND(ISNUMBER($BH$917),$B$511=1),$BH$917,HLOOKUP(INDIRECT(ADDRESS(2,COLUMN())),OFFSET($BN$2,0,0,ROW()-1,60),ROW()-1,FALSE))</f>
        <v>0.420645555</v>
      </c>
      <c r="BI419">
        <f ca="1">IF(AND(ISNUMBER($BI$917),$B$511=1),$BI$917,HLOOKUP(INDIRECT(ADDRESS(2,COLUMN())),OFFSET($BN$2,0,0,ROW()-1,60),ROW()-1,FALSE))</f>
        <v>0.56718712400000004</v>
      </c>
      <c r="BJ419">
        <f ca="1">IF(AND(ISNUMBER($BJ$917),$B$511=1),$BJ$917,HLOOKUP(INDIRECT(ADDRESS(2,COLUMN())),OFFSET($BN$2,0,0,ROW()-1,60),ROW()-1,FALSE))</f>
        <v>0.77434113500000001</v>
      </c>
      <c r="BK419">
        <f ca="1">IF(AND(ISNUMBER($BK$917),$B$511=1),$BK$917,HLOOKUP(INDIRECT(ADDRESS(2,COLUMN())),OFFSET($BN$2,0,0,ROW()-1,60),ROW()-1,FALSE))</f>
        <v>0.69742089699999998</v>
      </c>
      <c r="BL419">
        <f ca="1">IF(AND(ISNUMBER($BL$917),$B$511=1),$BL$917,HLOOKUP(INDIRECT(ADDRESS(2,COLUMN())),OFFSET($BN$2,0,0,ROW()-1,60),ROW()-1,FALSE))</f>
        <v>0.79992331500000002</v>
      </c>
      <c r="BM419">
        <f ca="1">IF(AND(ISNUMBER($BM$917),$B$511=1),$BM$917,HLOOKUP(INDIRECT(ADDRESS(2,COLUMN())),OFFSET($BN$2,0,0,ROW()-1,60),ROW()-1,FALSE))</f>
        <v>0.77768525799999999</v>
      </c>
      <c r="BN419">
        <f>6.395067301</f>
        <v>6.3950673010000001</v>
      </c>
      <c r="BO419">
        <f>6.377518449</f>
        <v>6.3775184490000001</v>
      </c>
      <c r="BP419">
        <f>7.181649735</f>
        <v>7.1816497349999997</v>
      </c>
      <c r="BQ419">
        <f>6.060258469</f>
        <v>6.0602584689999999</v>
      </c>
      <c r="BR419">
        <f>7.797668344</f>
        <v>7.7976683439999999</v>
      </c>
      <c r="BS419">
        <f>8.717023156</f>
        <v>8.7170231559999998</v>
      </c>
      <c r="BT419">
        <f>9.274430989</f>
        <v>9.2744309890000007</v>
      </c>
      <c r="BU419">
        <f>6.135833782</f>
        <v>6.1358337819999997</v>
      </c>
      <c r="BV419">
        <f>5.545904909</f>
        <v>5.5459049089999999</v>
      </c>
      <c r="BW419">
        <f>5.268316589</f>
        <v>5.2683165890000003</v>
      </c>
      <c r="BX419">
        <f>6.562999639</f>
        <v>6.5629996390000001</v>
      </c>
      <c r="BY419">
        <f>5.9862876</f>
        <v>5.9862875999999998</v>
      </c>
      <c r="BZ419">
        <f>5.737419579</f>
        <v>5.737419579</v>
      </c>
      <c r="CA419">
        <f>5.503154798</f>
        <v>5.5031547979999997</v>
      </c>
      <c r="CB419">
        <f>5.270763712</f>
        <v>5.2707637119999999</v>
      </c>
      <c r="CC419">
        <f>6.004901961</f>
        <v>6.0049019609999998</v>
      </c>
      <c r="CD419">
        <f>5.146461324</f>
        <v>5.1464613239999997</v>
      </c>
      <c r="CE419">
        <f>3.914159326</f>
        <v>3.914159326</v>
      </c>
      <c r="CF419">
        <f>6.639020181</f>
        <v>6.6390201810000002</v>
      </c>
      <c r="CG419">
        <f>5.748090421</f>
        <v>5.7480904209999997</v>
      </c>
      <c r="CH419">
        <f>6.181593162</f>
        <v>6.1815931620000004</v>
      </c>
      <c r="CI419">
        <f>4.900822822</f>
        <v>4.9008228220000003</v>
      </c>
      <c r="CJ419">
        <f>4.461465063</f>
        <v>4.4614650630000003</v>
      </c>
      <c r="CK419">
        <f>3.313520971</f>
        <v>3.313520971</v>
      </c>
      <c r="CL419">
        <f>3.188241508</f>
        <v>3.1882415079999999</v>
      </c>
      <c r="CM419">
        <f>2.999651653</f>
        <v>2.9996516529999999</v>
      </c>
      <c r="CN419">
        <f>1.743548741</f>
        <v>1.7435487409999999</v>
      </c>
      <c r="CO419">
        <f>1.884579192</f>
        <v>1.8845791919999999</v>
      </c>
      <c r="CP419">
        <f>2.79487906</f>
        <v>2.79487906</v>
      </c>
      <c r="CQ419">
        <f>2.168258955</f>
        <v>2.1682589550000002</v>
      </c>
      <c r="CR419">
        <f>1.692803658</f>
        <v>1.6928036580000001</v>
      </c>
      <c r="CS419">
        <f>3.232107745</f>
        <v>3.232107745</v>
      </c>
      <c r="CT419">
        <f>3.832008847</f>
        <v>3.832008847</v>
      </c>
      <c r="CU419">
        <f>5.255506381</f>
        <v>5.255506381</v>
      </c>
      <c r="CV419">
        <f>8.035000902</f>
        <v>8.0350009020000002</v>
      </c>
      <c r="CW419">
        <f>7.487413953</f>
        <v>7.4874139529999999</v>
      </c>
      <c r="CX419">
        <f>9.961878268</f>
        <v>9.9618782679999995</v>
      </c>
      <c r="CY419">
        <f>8.828384967</f>
        <v>8.8283849669999999</v>
      </c>
      <c r="CZ419">
        <f>8.238603373</f>
        <v>8.2386033730000001</v>
      </c>
      <c r="DA419">
        <f>3.96123921</f>
        <v>3.96123921</v>
      </c>
      <c r="DB419">
        <f>1.84255687</f>
        <v>1.8425568699999999</v>
      </c>
      <c r="DC419">
        <f>1.638688533</f>
        <v>1.6386885330000001</v>
      </c>
      <c r="DD419">
        <f>1.65361632</f>
        <v>1.65361632</v>
      </c>
      <c r="DE419">
        <f>1.282380097</f>
        <v>1.2823800970000001</v>
      </c>
      <c r="DF419">
        <f>1.837432221</f>
        <v>1.837432221</v>
      </c>
      <c r="DG419">
        <f>1.741002291</f>
        <v>1.741002291</v>
      </c>
      <c r="DH419">
        <f>1.966924496</f>
        <v>1.9669244960000001</v>
      </c>
      <c r="DI419">
        <f>1.51302073</f>
        <v>1.51302073</v>
      </c>
      <c r="DJ419">
        <f>1.298210591</f>
        <v>1.2982105909999999</v>
      </c>
      <c r="DK419">
        <f>1.0080993</f>
        <v>1.0080993</v>
      </c>
      <c r="DL419">
        <f>0.759937449</f>
        <v>0.75993744900000004</v>
      </c>
      <c r="DM419">
        <f>0.537022355</f>
        <v>0.53702235499999995</v>
      </c>
      <c r="DN419">
        <f>0.544296217</f>
        <v>0.54429621699999997</v>
      </c>
      <c r="DO419">
        <f>0.405578865</f>
        <v>0.40557886500000001</v>
      </c>
      <c r="DP419">
        <f>0.420645555</f>
        <v>0.420645555</v>
      </c>
      <c r="DQ419">
        <f>0.567187124</f>
        <v>0.56718712400000004</v>
      </c>
      <c r="DR419">
        <f>0.774341135</f>
        <v>0.77434113500000001</v>
      </c>
      <c r="DS419">
        <f>0.697420897</f>
        <v>0.69742089699999998</v>
      </c>
      <c r="DT419">
        <f>0.799923315</f>
        <v>0.79992331500000002</v>
      </c>
      <c r="DU419">
        <f>0.777685258</f>
        <v>0.77768525799999999</v>
      </c>
    </row>
    <row r="420" spans="1:125" x14ac:dyDescent="0.25">
      <c r="A420" t="str">
        <f>"    Chongqing Changan Automobile Co Ltd"</f>
        <v xml:space="preserve">    Chongqing Changan Automobile Co Ltd</v>
      </c>
      <c r="B420" t="str">
        <f>"200625 CH Equity"</f>
        <v>200625 CH Equity</v>
      </c>
      <c r="C420" t="str">
        <f t="shared" si="30"/>
        <v>PR005</v>
      </c>
      <c r="D420" t="str">
        <f t="shared" si="31"/>
        <v>PX_LAST</v>
      </c>
      <c r="E420" t="str">
        <f t="shared" si="32"/>
        <v>Dynamic</v>
      </c>
      <c r="F420">
        <f ca="1">IF(AND(ISNUMBER($F$918),$B$511=1),$F$918,HLOOKUP(INDIRECT(ADDRESS(2,COLUMN())),OFFSET($BN$2,0,0,ROW()-1,60),ROW()-1,FALSE))</f>
        <v>0.57071517000000005</v>
      </c>
      <c r="G420">
        <f ca="1">IF(AND(ISNUMBER($G$918),$B$511=1),$G$918,HLOOKUP(INDIRECT(ADDRESS(2,COLUMN())),OFFSET($BN$2,0,0,ROW()-1,60),ROW()-1,FALSE))</f>
        <v>0.44570450700000003</v>
      </c>
      <c r="H420">
        <f ca="1">IF(AND(ISNUMBER($H$918),$B$511=1),$H$918,HLOOKUP(INDIRECT(ADDRESS(2,COLUMN())),OFFSET($BN$2,0,0,ROW()-1,60),ROW()-1,FALSE))</f>
        <v>0.80761612699999996</v>
      </c>
      <c r="I420">
        <f ca="1">IF(AND(ISNUMBER($I$918),$B$511=1),$I$918,HLOOKUP(INDIRECT(ADDRESS(2,COLUMN())),OFFSET($BN$2,0,0,ROW()-1,60),ROW()-1,FALSE))</f>
        <v>1.0106803289999999</v>
      </c>
      <c r="J420">
        <f ca="1">IF(AND(ISNUMBER($J$918),$B$511=1),$J$918,HLOOKUP(INDIRECT(ADDRESS(2,COLUMN())),OFFSET($BN$2,0,0,ROW()-1,60),ROW()-1,FALSE))</f>
        <v>1.035827133</v>
      </c>
      <c r="K420">
        <f ca="1">IF(AND(ISNUMBER($K$918),$B$511=1),$K$918,HLOOKUP(INDIRECT(ADDRESS(2,COLUMN())),OFFSET($BN$2,0,0,ROW()-1,60),ROW()-1,FALSE))</f>
        <v>1.100828181</v>
      </c>
      <c r="L420">
        <f ca="1">IF(AND(ISNUMBER($L$918),$B$511=1),$L$918,HLOOKUP(INDIRECT(ADDRESS(2,COLUMN())),OFFSET($BN$2,0,0,ROW()-1,60),ROW()-1,FALSE))</f>
        <v>1.3223584829999999</v>
      </c>
      <c r="M420">
        <f ca="1">IF(AND(ISNUMBER($M$918),$B$511=1),$M$918,HLOOKUP(INDIRECT(ADDRESS(2,COLUMN())),OFFSET($BN$2,0,0,ROW()-1,60),ROW()-1,FALSE))</f>
        <v>1.319396408</v>
      </c>
      <c r="N420">
        <f ca="1">IF(AND(ISNUMBER($N$918),$B$511=1),$N$918,HLOOKUP(INDIRECT(ADDRESS(2,COLUMN())),OFFSET($BN$2,0,0,ROW()-1,60),ROW()-1,FALSE))</f>
        <v>1.389693109</v>
      </c>
      <c r="O420">
        <f ca="1">IF(AND(ISNUMBER($O$918),$B$511=1),$O$918,HLOOKUP(INDIRECT(ADDRESS(2,COLUMN())),OFFSET($BN$2,0,0,ROW()-1,60),ROW()-1,FALSE))</f>
        <v>1.4302480040000001</v>
      </c>
      <c r="P420">
        <f ca="1">IF(AND(ISNUMBER($P$918),$B$511=1),$P$918,HLOOKUP(INDIRECT(ADDRESS(2,COLUMN())),OFFSET($BN$2,0,0,ROW()-1,60),ROW()-1,FALSE))</f>
        <v>1.6297900869999999</v>
      </c>
      <c r="Q420">
        <f ca="1">IF(AND(ISNUMBER($Q$918),$B$511=1),$Q$918,HLOOKUP(INDIRECT(ADDRESS(2,COLUMN())),OFFSET($BN$2,0,0,ROW()-1,60),ROW()-1,FALSE))</f>
        <v>1.391860195</v>
      </c>
      <c r="R420">
        <f ca="1">IF(AND(ISNUMBER($R$918),$B$511=1),$R$918,HLOOKUP(INDIRECT(ADDRESS(2,COLUMN())),OFFSET($BN$2,0,0,ROW()-1,60),ROW()-1,FALSE))</f>
        <v>1.8733641910000001</v>
      </c>
      <c r="S420">
        <f ca="1">IF(AND(ISNUMBER($S$918),$B$511=1),$S$918,HLOOKUP(INDIRECT(ADDRESS(2,COLUMN())),OFFSET($BN$2,0,0,ROW()-1,60),ROW()-1,FALSE))</f>
        <v>2.2064231429999999</v>
      </c>
      <c r="T420">
        <f ca="1">IF(AND(ISNUMBER($T$918),$B$511=1),$T$918,HLOOKUP(INDIRECT(ADDRESS(2,COLUMN())),OFFSET($BN$2,0,0,ROW()-1,60),ROW()-1,FALSE))</f>
        <v>1.6889668790000001</v>
      </c>
      <c r="U420">
        <f ca="1">IF(AND(ISNUMBER($U$918),$B$511=1),$U$918,HLOOKUP(INDIRECT(ADDRESS(2,COLUMN())),OFFSET($BN$2,0,0,ROW()-1,60),ROW()-1,FALSE))</f>
        <v>2.558049536</v>
      </c>
      <c r="V420">
        <f ca="1">IF(AND(ISNUMBER($V$918),$B$511=1),$V$918,HLOOKUP(INDIRECT(ADDRESS(2,COLUMN())),OFFSET($BN$2,0,0,ROW()-1,60),ROW()-1,FALSE))</f>
        <v>2.7292886059999999</v>
      </c>
      <c r="W420">
        <f ca="1">IF(AND(ISNUMBER($W$918),$B$511=1),$W$918,HLOOKUP(INDIRECT(ADDRESS(2,COLUMN())),OFFSET($BN$2,0,0,ROW()-1,60),ROW()-1,FALSE))</f>
        <v>2.2646668129999998</v>
      </c>
      <c r="X420">
        <f ca="1">IF(AND(ISNUMBER($X$918),$B$511=1),$X$918,HLOOKUP(INDIRECT(ADDRESS(2,COLUMN())),OFFSET($BN$2,0,0,ROW()-1,60),ROW()-1,FALSE))</f>
        <v>2.148183446</v>
      </c>
      <c r="Y420">
        <f ca="1">IF(AND(ISNUMBER($Y$918),$B$511=1),$Y$918,HLOOKUP(INDIRECT(ADDRESS(2,COLUMN())),OFFSET($BN$2,0,0,ROW()-1,60),ROW()-1,FALSE))</f>
        <v>1.97409166</v>
      </c>
      <c r="Z420">
        <f ca="1">IF(AND(ISNUMBER($Z$918),$B$511=1),$Z$918,HLOOKUP(INDIRECT(ADDRESS(2,COLUMN())),OFFSET($BN$2,0,0,ROW()-1,60),ROW()-1,FALSE))</f>
        <v>1.660457141</v>
      </c>
      <c r="AA420">
        <f ca="1">IF(AND(ISNUMBER($AA$918),$B$511=1),$AA$918,HLOOKUP(INDIRECT(ADDRESS(2,COLUMN())),OFFSET($BN$2,0,0,ROW()-1,60),ROW()-1,FALSE))</f>
        <v>1.9729461370000001</v>
      </c>
      <c r="AB420">
        <f ca="1">IF(AND(ISNUMBER($AB$918),$B$511=1),$AB$918,HLOOKUP(INDIRECT(ADDRESS(2,COLUMN())),OFFSET($BN$2,0,0,ROW()-1,60),ROW()-1,FALSE))</f>
        <v>1.5266978710000001</v>
      </c>
      <c r="AC420">
        <f ca="1">IF(AND(ISNUMBER($AC$918),$B$511=1),$AC$918,HLOOKUP(INDIRECT(ADDRESS(2,COLUMN())),OFFSET($BN$2,0,0,ROW()-1,60),ROW()-1,FALSE))</f>
        <v>1.186163149</v>
      </c>
      <c r="AD420">
        <f ca="1">IF(AND(ISNUMBER($AD$918),$B$511=1),$AD$918,HLOOKUP(INDIRECT(ADDRESS(2,COLUMN())),OFFSET($BN$2,0,0,ROW()-1,60),ROW()-1,FALSE))</f>
        <v>0.97895252099999996</v>
      </c>
      <c r="AE420">
        <f ca="1">IF(AND(ISNUMBER($AE$918),$B$511=1),$AE$918,HLOOKUP(INDIRECT(ADDRESS(2,COLUMN())),OFFSET($BN$2,0,0,ROW()-1,60),ROW()-1,FALSE))</f>
        <v>0.56122514800000001</v>
      </c>
      <c r="AF420">
        <f ca="1">IF(AND(ISNUMBER($AF$918),$B$511=1),$AF$918,HLOOKUP(INDIRECT(ADDRESS(2,COLUMN())),OFFSET($BN$2,0,0,ROW()-1,60),ROW()-1,FALSE))</f>
        <v>0.37011722499999999</v>
      </c>
      <c r="AG420">
        <f ca="1">IF(AND(ISNUMBER($AG$918),$B$511=1),$AG$918,HLOOKUP(INDIRECT(ADDRESS(2,COLUMN())),OFFSET($BN$2,0,0,ROW()-1,60),ROW()-1,FALSE))</f>
        <v>0.39831393300000001</v>
      </c>
      <c r="AH420">
        <f ca="1">IF(AND(ISNUMBER($AH$918),$B$511=1),$AH$918,HLOOKUP(INDIRECT(ADDRESS(2,COLUMN())),OFFSET($BN$2,0,0,ROW()-1,60),ROW()-1,FALSE))</f>
        <v>0.41472398999999999</v>
      </c>
      <c r="AI420">
        <f ca="1">IF(AND(ISNUMBER($AI$918),$B$511=1),$AI$918,HLOOKUP(INDIRECT(ADDRESS(2,COLUMN())),OFFSET($BN$2,0,0,ROW()-1,60),ROW()-1,FALSE))</f>
        <v>0.35794298699999999</v>
      </c>
      <c r="AJ420">
        <f ca="1">IF(AND(ISNUMBER($AJ$918),$B$511=1),$AJ$918,HLOOKUP(INDIRECT(ADDRESS(2,COLUMN())),OFFSET($BN$2,0,0,ROW()-1,60),ROW()-1,FALSE))</f>
        <v>0.27100270999999998</v>
      </c>
      <c r="AK420">
        <f ca="1">IF(AND(ISNUMBER($AK$918),$B$511=1),$AK$918,HLOOKUP(INDIRECT(ADDRESS(2,COLUMN())),OFFSET($BN$2,0,0,ROW()-1,60),ROW()-1,FALSE))</f>
        <v>0.39767705199999998</v>
      </c>
      <c r="AL420">
        <f ca="1">IF(AND(ISNUMBER($AL$918),$B$511=1),$AL$918,HLOOKUP(INDIRECT(ADDRESS(2,COLUMN())),OFFSET($BN$2,0,0,ROW()-1,60),ROW()-1,FALSE))</f>
        <v>0.444353002</v>
      </c>
      <c r="AM420">
        <f ca="1">IF(AND(ISNUMBER($AM$918),$B$511=1),$AM$918,HLOOKUP(INDIRECT(ADDRESS(2,COLUMN())),OFFSET($BN$2,0,0,ROW()-1,60),ROW()-1,FALSE))</f>
        <v>0.470300993</v>
      </c>
      <c r="AN420">
        <f ca="1">IF(AND(ISNUMBER($AN$918),$B$511=1),$AN$918,HLOOKUP(INDIRECT(ADDRESS(2,COLUMN())),OFFSET($BN$2,0,0,ROW()-1,60),ROW()-1,FALSE))</f>
        <v>0.49686274899999999</v>
      </c>
      <c r="AO420">
        <f ca="1">IF(AND(ISNUMBER($AO$918),$B$511=1),$AO$918,HLOOKUP(INDIRECT(ADDRESS(2,COLUMN())),OFFSET($BN$2,0,0,ROW()-1,60),ROW()-1,FALSE))</f>
        <v>0.31821866100000001</v>
      </c>
      <c r="AP420">
        <f ca="1">IF(AND(ISNUMBER($AP$918),$B$511=1),$AP$918,HLOOKUP(INDIRECT(ADDRESS(2,COLUMN())),OFFSET($BN$2,0,0,ROW()-1,60),ROW()-1,FALSE))</f>
        <v>0.490831609</v>
      </c>
      <c r="AQ420">
        <f ca="1">IF(AND(ISNUMBER($AQ$918),$B$511=1),$AQ$918,HLOOKUP(INDIRECT(ADDRESS(2,COLUMN())),OFFSET($BN$2,0,0,ROW()-1,60),ROW()-1,FALSE))</f>
        <v>0.56534337599999995</v>
      </c>
      <c r="AR420">
        <f ca="1">IF(AND(ISNUMBER($AR$918),$B$511=1),$AR$918,HLOOKUP(INDIRECT(ADDRESS(2,COLUMN())),OFFSET($BN$2,0,0,ROW()-1,60),ROW()-1,FALSE))</f>
        <v>0.32616066599999999</v>
      </c>
      <c r="AS420">
        <f ca="1">IF(AND(ISNUMBER($AS$918),$B$511=1),$AS$918,HLOOKUP(INDIRECT(ADDRESS(2,COLUMN())),OFFSET($BN$2,0,0,ROW()-1,60),ROW()-1,FALSE))</f>
        <v>0.25662751299999997</v>
      </c>
      <c r="AT420">
        <f ca="1">IF(AND(ISNUMBER($AT$918),$B$511=1),$AT$918,HLOOKUP(INDIRECT(ADDRESS(2,COLUMN())),OFFSET($BN$2,0,0,ROW()-1,60),ROW()-1,FALSE))</f>
        <v>0.21218364200000001</v>
      </c>
      <c r="AU420">
        <f ca="1">IF(AND(ISNUMBER($AU$918),$B$511=1),$AU$918,HLOOKUP(INDIRECT(ADDRESS(2,COLUMN())),OFFSET($BN$2,0,0,ROW()-1,60),ROW()-1,FALSE))</f>
        <v>0.12023927600000001</v>
      </c>
      <c r="AV420">
        <f ca="1">IF(AND(ISNUMBER($AV$918),$B$511=1),$AV$918,HLOOKUP(INDIRECT(ADDRESS(2,COLUMN())),OFFSET($BN$2,0,0,ROW()-1,60),ROW()-1,FALSE))</f>
        <v>0.132208773</v>
      </c>
      <c r="AW420">
        <f ca="1">IF(AND(ISNUMBER($AW$918),$B$511=1),$AW$918,HLOOKUP(INDIRECT(ADDRESS(2,COLUMN())),OFFSET($BN$2,0,0,ROW()-1,60),ROW()-1,FALSE))</f>
        <v>0.20874298299999999</v>
      </c>
      <c r="AX420">
        <f ca="1">IF(AND(ISNUMBER($AX$918),$B$511=1),$AX$918,HLOOKUP(INDIRECT(ADDRESS(2,COLUMN())),OFFSET($BN$2,0,0,ROW()-1,60),ROW()-1,FALSE))</f>
        <v>0.30397819999999998</v>
      </c>
      <c r="AY420">
        <f ca="1">IF(AND(ISNUMBER($AY$918),$B$511=1),$AY$918,HLOOKUP(INDIRECT(ADDRESS(2,COLUMN())),OFFSET($BN$2,0,0,ROW()-1,60),ROW()-1,FALSE))</f>
        <v>0.49241911900000002</v>
      </c>
      <c r="AZ420">
        <f ca="1">IF(AND(ISNUMBER($AZ$918),$B$511=1),$AZ$918,HLOOKUP(INDIRECT(ADDRESS(2,COLUMN())),OFFSET($BN$2,0,0,ROW()-1,60),ROW()-1,FALSE))</f>
        <v>0.59132600999999996</v>
      </c>
      <c r="BA420">
        <f ca="1">IF(AND(ISNUMBER($BA$918),$B$511=1),$BA$918,HLOOKUP(INDIRECT(ADDRESS(2,COLUMN())),OFFSET($BN$2,0,0,ROW()-1,60),ROW()-1,FALSE))</f>
        <v>0.453008617</v>
      </c>
      <c r="BB420">
        <f ca="1">IF(AND(ISNUMBER($BB$918),$B$511=1),$BB$918,HLOOKUP(INDIRECT(ADDRESS(2,COLUMN())),OFFSET($BN$2,0,0,ROW()-1,60),ROW()-1,FALSE))</f>
        <v>0.393978259</v>
      </c>
      <c r="BC420">
        <f ca="1">IF(AND(ISNUMBER($BC$918),$B$511=1),$BC$918,HLOOKUP(INDIRECT(ADDRESS(2,COLUMN())),OFFSET($BN$2,0,0,ROW()-1,60),ROW()-1,FALSE))</f>
        <v>0.32583746499999999</v>
      </c>
      <c r="BD420">
        <f ca="1">IF(AND(ISNUMBER($BD$918),$B$511=1),$BD$918,HLOOKUP(INDIRECT(ADDRESS(2,COLUMN())),OFFSET($BN$2,0,0,ROW()-1,60),ROW()-1,FALSE))</f>
        <v>0.19657778400000001</v>
      </c>
      <c r="BE420">
        <f ca="1">IF(AND(ISNUMBER($BE$918),$B$511=1),$BE$918,HLOOKUP(INDIRECT(ADDRESS(2,COLUMN())),OFFSET($BN$2,0,0,ROW()-1,60),ROW()-1,FALSE))</f>
        <v>0.19819130300000001</v>
      </c>
      <c r="BF420">
        <f ca="1">IF(AND(ISNUMBER($BF$918),$B$511=1),$BF$918,HLOOKUP(INDIRECT(ADDRESS(2,COLUMN())),OFFSET($BN$2,0,0,ROW()-1,60),ROW()-1,FALSE))</f>
        <v>0.18892632400000001</v>
      </c>
      <c r="BG420">
        <f ca="1">IF(AND(ISNUMBER($BG$918),$B$511=1),$BG$918,HLOOKUP(INDIRECT(ADDRESS(2,COLUMN())),OFFSET($BN$2,0,0,ROW()-1,60),ROW()-1,FALSE))</f>
        <v>0.108968287</v>
      </c>
      <c r="BH420">
        <f ca="1">IF(AND(ISNUMBER($BH$918),$B$511=1),$BH$918,HLOOKUP(INDIRECT(ADDRESS(2,COLUMN())),OFFSET($BN$2,0,0,ROW()-1,60),ROW()-1,FALSE))</f>
        <v>0.16312370000000001</v>
      </c>
      <c r="BI420">
        <f ca="1">IF(AND(ISNUMBER($BI$918),$B$511=1),$BI$918,HLOOKUP(INDIRECT(ADDRESS(2,COLUMN())),OFFSET($BN$2,0,0,ROW()-1,60),ROW()-1,FALSE))</f>
        <v>0.21247308300000001</v>
      </c>
      <c r="BJ420">
        <f ca="1">IF(AND(ISNUMBER($BJ$918),$B$511=1),$BJ$918,HLOOKUP(INDIRECT(ADDRESS(2,COLUMN())),OFFSET($BN$2,0,0,ROW()-1,60),ROW()-1,FALSE))</f>
        <v>0.194397552</v>
      </c>
      <c r="BK420">
        <f ca="1">IF(AND(ISNUMBER($BK$918),$B$511=1),$BK$918,HLOOKUP(INDIRECT(ADDRESS(2,COLUMN())),OFFSET($BN$2,0,0,ROW()-1,60),ROW()-1,FALSE))</f>
        <v>0.17619950700000001</v>
      </c>
      <c r="BL420">
        <f ca="1">IF(AND(ISNUMBER($BL$918),$B$511=1),$BL$918,HLOOKUP(INDIRECT(ADDRESS(2,COLUMN())),OFFSET($BN$2,0,0,ROW()-1,60),ROW()-1,FALSE))</f>
        <v>0.245431491</v>
      </c>
      <c r="BM420">
        <f ca="1">IF(AND(ISNUMBER($BM$918),$B$511=1),$BM$918,HLOOKUP(INDIRECT(ADDRESS(2,COLUMN())),OFFSET($BN$2,0,0,ROW()-1,60),ROW()-1,FALSE))</f>
        <v>0.255229716</v>
      </c>
      <c r="BN420">
        <f>0.57071517</f>
        <v>0.57071517000000005</v>
      </c>
      <c r="BO420">
        <f>0.445704507</f>
        <v>0.44570450700000003</v>
      </c>
      <c r="BP420">
        <f>0.807616127</f>
        <v>0.80761612699999996</v>
      </c>
      <c r="BQ420">
        <f>1.010680329</f>
        <v>1.0106803289999999</v>
      </c>
      <c r="BR420">
        <f>1.035827133</f>
        <v>1.035827133</v>
      </c>
      <c r="BS420">
        <f>1.100828181</f>
        <v>1.100828181</v>
      </c>
      <c r="BT420">
        <f>1.322358483</f>
        <v>1.3223584829999999</v>
      </c>
      <c r="BU420">
        <f>1.319396408</f>
        <v>1.319396408</v>
      </c>
      <c r="BV420">
        <f>1.389693109</f>
        <v>1.389693109</v>
      </c>
      <c r="BW420">
        <f>1.430248004</f>
        <v>1.4302480040000001</v>
      </c>
      <c r="BX420">
        <f>1.629790087</f>
        <v>1.6297900869999999</v>
      </c>
      <c r="BY420">
        <f>1.391860195</f>
        <v>1.391860195</v>
      </c>
      <c r="BZ420">
        <f>1.873364191</f>
        <v>1.8733641910000001</v>
      </c>
      <c r="CA420">
        <f>2.206423143</f>
        <v>2.2064231429999999</v>
      </c>
      <c r="CB420">
        <f>1.688966879</f>
        <v>1.6889668790000001</v>
      </c>
      <c r="CC420">
        <f>2.558049536</f>
        <v>2.558049536</v>
      </c>
      <c r="CD420">
        <f>2.729288606</f>
        <v>2.7292886059999999</v>
      </c>
      <c r="CE420">
        <f>2.264666813</f>
        <v>2.2646668129999998</v>
      </c>
      <c r="CF420">
        <f>2.148183446</f>
        <v>2.148183446</v>
      </c>
      <c r="CG420">
        <f>1.97409166</f>
        <v>1.97409166</v>
      </c>
      <c r="CH420">
        <f>1.660457141</f>
        <v>1.660457141</v>
      </c>
      <c r="CI420">
        <f>1.972946137</f>
        <v>1.9729461370000001</v>
      </c>
      <c r="CJ420">
        <f>1.526697871</f>
        <v>1.5266978710000001</v>
      </c>
      <c r="CK420">
        <f>1.186163149</f>
        <v>1.186163149</v>
      </c>
      <c r="CL420">
        <f>0.978952521</f>
        <v>0.97895252099999996</v>
      </c>
      <c r="CM420">
        <f>0.561225148</f>
        <v>0.56122514800000001</v>
      </c>
      <c r="CN420">
        <f>0.370117225</f>
        <v>0.37011722499999999</v>
      </c>
      <c r="CO420">
        <f>0.398313933</f>
        <v>0.39831393300000001</v>
      </c>
      <c r="CP420">
        <f>0.41472399</f>
        <v>0.41472398999999999</v>
      </c>
      <c r="CQ420">
        <f>0.357942987</f>
        <v>0.35794298699999999</v>
      </c>
      <c r="CR420">
        <f>0.27100271</f>
        <v>0.27100270999999998</v>
      </c>
      <c r="CS420">
        <f>0.397677052</f>
        <v>0.39767705199999998</v>
      </c>
      <c r="CT420">
        <f>0.444353002</f>
        <v>0.444353002</v>
      </c>
      <c r="CU420">
        <f>0.470300993</f>
        <v>0.470300993</v>
      </c>
      <c r="CV420">
        <f>0.496862749</f>
        <v>0.49686274899999999</v>
      </c>
      <c r="CW420">
        <f>0.318218661</f>
        <v>0.31821866100000001</v>
      </c>
      <c r="CX420">
        <f>0.490831609</f>
        <v>0.490831609</v>
      </c>
      <c r="CY420">
        <f>0.565343376</f>
        <v>0.56534337599999995</v>
      </c>
      <c r="CZ420">
        <f>0.326160666</f>
        <v>0.32616066599999999</v>
      </c>
      <c r="DA420">
        <f>0.256627513</f>
        <v>0.25662751299999997</v>
      </c>
      <c r="DB420">
        <f>0.212183642</f>
        <v>0.21218364200000001</v>
      </c>
      <c r="DC420">
        <f>0.120239276</f>
        <v>0.12023927600000001</v>
      </c>
      <c r="DD420">
        <f>0.132208773</f>
        <v>0.132208773</v>
      </c>
      <c r="DE420">
        <f>0.208742983</f>
        <v>0.20874298299999999</v>
      </c>
      <c r="DF420">
        <f>0.3039782</f>
        <v>0.30397819999999998</v>
      </c>
      <c r="DG420">
        <f>0.492419119</f>
        <v>0.49241911900000002</v>
      </c>
      <c r="DH420">
        <f>0.59132601</f>
        <v>0.59132600999999996</v>
      </c>
      <c r="DI420">
        <f>0.453008617</f>
        <v>0.453008617</v>
      </c>
      <c r="DJ420">
        <f>0.393978259</f>
        <v>0.393978259</v>
      </c>
      <c r="DK420">
        <f>0.325837465</f>
        <v>0.32583746499999999</v>
      </c>
      <c r="DL420">
        <f>0.196577784</f>
        <v>0.19657778400000001</v>
      </c>
      <c r="DM420">
        <f>0.198191303</f>
        <v>0.19819130300000001</v>
      </c>
      <c r="DN420">
        <f>0.188926324</f>
        <v>0.18892632400000001</v>
      </c>
      <c r="DO420">
        <f>0.108968287</f>
        <v>0.108968287</v>
      </c>
      <c r="DP420">
        <f>0.1631237</f>
        <v>0.16312370000000001</v>
      </c>
      <c r="DQ420">
        <f>0.212473083</f>
        <v>0.21247308300000001</v>
      </c>
      <c r="DR420">
        <f>0.194397552</f>
        <v>0.194397552</v>
      </c>
      <c r="DS420">
        <f>0.176199507</f>
        <v>0.17619950700000001</v>
      </c>
      <c r="DT420">
        <f>0.245431491</f>
        <v>0.245431491</v>
      </c>
      <c r="DU420">
        <f>0.255229716</f>
        <v>0.255229716</v>
      </c>
    </row>
    <row r="421" spans="1:125" x14ac:dyDescent="0.25">
      <c r="A421" t="str">
        <f>"    Daihatsu Motor Co Ltd"</f>
        <v xml:space="preserve">    Daihatsu Motor Co Ltd</v>
      </c>
      <c r="B421" t="str">
        <f>"7262 JP Equity"</f>
        <v>7262 JP Equity</v>
      </c>
      <c r="C421" t="str">
        <f t="shared" si="30"/>
        <v>PR005</v>
      </c>
      <c r="D421" t="str">
        <f t="shared" si="31"/>
        <v>PX_LAST</v>
      </c>
      <c r="E421" t="str">
        <f t="shared" si="32"/>
        <v>Dynamic</v>
      </c>
      <c r="F421" t="str">
        <f ca="1">IF(AND(ISNUMBER($F$919),$B$511=1),$F$919,HLOOKUP(INDIRECT(ADDRESS(2,COLUMN())),OFFSET($BN$2,0,0,ROW()-1,60),ROW()-1,FALSE))</f>
        <v/>
      </c>
      <c r="G421" t="str">
        <f ca="1">IF(AND(ISNUMBER($G$919),$B$511=1),$G$919,HLOOKUP(INDIRECT(ADDRESS(2,COLUMN())),OFFSET($BN$2,0,0,ROW()-1,60),ROW()-1,FALSE))</f>
        <v/>
      </c>
      <c r="H421" t="str">
        <f ca="1">IF(AND(ISNUMBER($H$919),$B$511=1),$H$919,HLOOKUP(INDIRECT(ADDRESS(2,COLUMN())),OFFSET($BN$2,0,0,ROW()-1,60),ROW()-1,FALSE))</f>
        <v/>
      </c>
      <c r="I421" t="str">
        <f ca="1">IF(AND(ISNUMBER($I$919),$B$511=1),$I$919,HLOOKUP(INDIRECT(ADDRESS(2,COLUMN())),OFFSET($BN$2,0,0,ROW()-1,60),ROW()-1,FALSE))</f>
        <v/>
      </c>
      <c r="J421" t="str">
        <f ca="1">IF(AND(ISNUMBER($J$919),$B$511=1),$J$919,HLOOKUP(INDIRECT(ADDRESS(2,COLUMN())),OFFSET($BN$2,0,0,ROW()-1,60),ROW()-1,FALSE))</f>
        <v/>
      </c>
      <c r="K421" t="str">
        <f ca="1">IF(AND(ISNUMBER($K$919),$B$511=1),$K$919,HLOOKUP(INDIRECT(ADDRESS(2,COLUMN())),OFFSET($BN$2,0,0,ROW()-1,60),ROW()-1,FALSE))</f>
        <v/>
      </c>
      <c r="L421" t="str">
        <f ca="1">IF(AND(ISNUMBER($L$919),$B$511=1),$L$919,HLOOKUP(INDIRECT(ADDRESS(2,COLUMN())),OFFSET($BN$2,0,0,ROW()-1,60),ROW()-1,FALSE))</f>
        <v/>
      </c>
      <c r="M421" t="str">
        <f ca="1">IF(AND(ISNUMBER($M$919),$B$511=1),$M$919,HLOOKUP(INDIRECT(ADDRESS(2,COLUMN())),OFFSET($BN$2,0,0,ROW()-1,60),ROW()-1,FALSE))</f>
        <v/>
      </c>
      <c r="N421" t="str">
        <f ca="1">IF(AND(ISNUMBER($N$919),$B$511=1),$N$919,HLOOKUP(INDIRECT(ADDRESS(2,COLUMN())),OFFSET($BN$2,0,0,ROW()-1,60),ROW()-1,FALSE))</f>
        <v/>
      </c>
      <c r="O421" t="str">
        <f ca="1">IF(AND(ISNUMBER($O$919),$B$511=1),$O$919,HLOOKUP(INDIRECT(ADDRESS(2,COLUMN())),OFFSET($BN$2,0,0,ROW()-1,60),ROW()-1,FALSE))</f>
        <v/>
      </c>
      <c r="P421">
        <f ca="1">IF(AND(ISNUMBER($P$919),$B$511=1),$P$919,HLOOKUP(INDIRECT(ADDRESS(2,COLUMN())),OFFSET($BN$2,0,0,ROW()-1,60),ROW()-1,FALSE))</f>
        <v>14.22845691</v>
      </c>
      <c r="Q421">
        <f ca="1">IF(AND(ISNUMBER($Q$919),$B$511=1),$Q$919,HLOOKUP(INDIRECT(ADDRESS(2,COLUMN())),OFFSET($BN$2,0,0,ROW()-1,60),ROW()-1,FALSE))</f>
        <v>12.82100979</v>
      </c>
      <c r="R421">
        <f ca="1">IF(AND(ISNUMBER($R$919),$B$511=1),$R$919,HLOOKUP(INDIRECT(ADDRESS(2,COLUMN())),OFFSET($BN$2,0,0,ROW()-1,60),ROW()-1,FALSE))</f>
        <v>14.097777779999999</v>
      </c>
      <c r="S421">
        <f ca="1">IF(AND(ISNUMBER($S$919),$B$511=1),$S$919,HLOOKUP(INDIRECT(ADDRESS(2,COLUMN())),OFFSET($BN$2,0,0,ROW()-1,60),ROW()-1,FALSE))</f>
        <v>13.605836999999999</v>
      </c>
      <c r="T421">
        <f ca="1">IF(AND(ISNUMBER($T$919),$B$511=1),$T$919,HLOOKUP(INDIRECT(ADDRESS(2,COLUMN())),OFFSET($BN$2,0,0,ROW()-1,60),ROW()-1,FALSE))</f>
        <v>11.54006852</v>
      </c>
      <c r="U421">
        <f ca="1">IF(AND(ISNUMBER($U$919),$B$511=1),$U$919,HLOOKUP(INDIRECT(ADDRESS(2,COLUMN())),OFFSET($BN$2,0,0,ROW()-1,60),ROW()-1,FALSE))</f>
        <v>14.272846380000001</v>
      </c>
      <c r="V421">
        <f ca="1">IF(AND(ISNUMBER($V$919),$B$511=1),$V$919,HLOOKUP(INDIRECT(ADDRESS(2,COLUMN())),OFFSET($BN$2,0,0,ROW()-1,60),ROW()-1,FALSE))</f>
        <v>15.323051270000001</v>
      </c>
      <c r="W421">
        <f ca="1">IF(AND(ISNUMBER($W$919),$B$511=1),$W$919,HLOOKUP(INDIRECT(ADDRESS(2,COLUMN())),OFFSET($BN$2,0,0,ROW()-1,60),ROW()-1,FALSE))</f>
        <v>13.217813489999999</v>
      </c>
      <c r="X421">
        <f ca="1">IF(AND(ISNUMBER($X$919),$B$511=1),$X$919,HLOOKUP(INDIRECT(ADDRESS(2,COLUMN())),OFFSET($BN$2,0,0,ROW()-1,60),ROW()-1,FALSE))</f>
        <v>15.876345069999999</v>
      </c>
      <c r="Y421">
        <f ca="1">IF(AND(ISNUMBER($Y$919),$B$511=1),$Y$919,HLOOKUP(INDIRECT(ADDRESS(2,COLUMN())),OFFSET($BN$2,0,0,ROW()-1,60),ROW()-1,FALSE))</f>
        <v>17.780629869999999</v>
      </c>
      <c r="Z421">
        <f ca="1">IF(AND(ISNUMBER($Z$919),$B$511=1),$Z$919,HLOOKUP(INDIRECT(ADDRESS(2,COLUMN())),OFFSET($BN$2,0,0,ROW()-1,60),ROW()-1,FALSE))</f>
        <v>17.68700883</v>
      </c>
      <c r="AA421">
        <f ca="1">IF(AND(ISNUMBER($AA$919),$B$511=1),$AA$919,HLOOKUP(INDIRECT(ADDRESS(2,COLUMN())),OFFSET($BN$2,0,0,ROW()-1,60),ROW()-1,FALSE))</f>
        <v>16.9585078</v>
      </c>
      <c r="AB421">
        <f ca="1">IF(AND(ISNUMBER($AB$919),$B$511=1),$AB$919,HLOOKUP(INDIRECT(ADDRESS(2,COLUMN())),OFFSET($BN$2,0,0,ROW()-1,60),ROW()-1,FALSE))</f>
        <v>19.346298749999999</v>
      </c>
      <c r="AC421">
        <f ca="1">IF(AND(ISNUMBER($AC$919),$B$511=1),$AC$919,HLOOKUP(INDIRECT(ADDRESS(2,COLUMN())),OFFSET($BN$2,0,0,ROW()-1,60),ROW()-1,FALSE))</f>
        <v>18.92680962</v>
      </c>
      <c r="AD421">
        <f ca="1">IF(AND(ISNUMBER($AD$919),$B$511=1),$AD$919,HLOOKUP(INDIRECT(ADDRESS(2,COLUMN())),OFFSET($BN$2,0,0,ROW()-1,60),ROW()-1,FALSE))</f>
        <v>20.717469749999999</v>
      </c>
      <c r="AE421">
        <f ca="1">IF(AND(ISNUMBER($AE$919),$B$511=1),$AE$919,HLOOKUP(INDIRECT(ADDRESS(2,COLUMN())),OFFSET($BN$2,0,0,ROW()-1,60),ROW()-1,FALSE))</f>
        <v>19.876858739999999</v>
      </c>
      <c r="AF421">
        <f ca="1">IF(AND(ISNUMBER($AF$919),$B$511=1),$AF$919,HLOOKUP(INDIRECT(ADDRESS(2,COLUMN())),OFFSET($BN$2,0,0,ROW()-1,60),ROW()-1,FALSE))</f>
        <v>16.709445590000001</v>
      </c>
      <c r="AG421">
        <f ca="1">IF(AND(ISNUMBER($AG$919),$B$511=1),$AG$919,HLOOKUP(INDIRECT(ADDRESS(2,COLUMN())),OFFSET($BN$2,0,0,ROW()-1,60),ROW()-1,FALSE))</f>
        <v>17.38095238</v>
      </c>
      <c r="AH421">
        <f ca="1">IF(AND(ISNUMBER($AH$919),$B$511=1),$AH$919,HLOOKUP(INDIRECT(ADDRESS(2,COLUMN())),OFFSET($BN$2,0,0,ROW()-1,60),ROW()-1,FALSE))</f>
        <v>18.346847390000001</v>
      </c>
      <c r="AI421">
        <f ca="1">IF(AND(ISNUMBER($AI$919),$B$511=1),$AI$919,HLOOKUP(INDIRECT(ADDRESS(2,COLUMN())),OFFSET($BN$2,0,0,ROW()-1,60),ROW()-1,FALSE))</f>
        <v>17.846473570000001</v>
      </c>
      <c r="AJ421">
        <f ca="1">IF(AND(ISNUMBER($AJ$919),$B$511=1),$AJ$919,HLOOKUP(INDIRECT(ADDRESS(2,COLUMN())),OFFSET($BN$2,0,0,ROW()-1,60),ROW()-1,FALSE))</f>
        <v>18.265491310000002</v>
      </c>
      <c r="AK421">
        <f ca="1">IF(AND(ISNUMBER($AK$919),$B$511=1),$AK$919,HLOOKUP(INDIRECT(ADDRESS(2,COLUMN())),OFFSET($BN$2,0,0,ROW()-1,60),ROW()-1,FALSE))</f>
        <v>16.931479639999999</v>
      </c>
      <c r="AL421">
        <f ca="1">IF(AND(ISNUMBER($AL$919),$B$511=1),$AL$919,HLOOKUP(INDIRECT(ADDRESS(2,COLUMN())),OFFSET($BN$2,0,0,ROW()-1,60),ROW()-1,FALSE))</f>
        <v>14.632379569999999</v>
      </c>
      <c r="AM421">
        <f ca="1">IF(AND(ISNUMBER($AM$919),$B$511=1),$AM$919,HLOOKUP(INDIRECT(ADDRESS(2,COLUMN())),OFFSET($BN$2,0,0,ROW()-1,60),ROW()-1,FALSE))</f>
        <v>15.24345486</v>
      </c>
      <c r="AN421">
        <f ca="1">IF(AND(ISNUMBER($AN$919),$B$511=1),$AN$919,HLOOKUP(INDIRECT(ADDRESS(2,COLUMN())),OFFSET($BN$2,0,0,ROW()-1,60),ROW()-1,FALSE))</f>
        <v>13.38365684</v>
      </c>
      <c r="AO421">
        <f ca="1">IF(AND(ISNUMBER($AO$919),$B$511=1),$AO$919,HLOOKUP(INDIRECT(ADDRESS(2,COLUMN())),OFFSET($BN$2,0,0,ROW()-1,60),ROW()-1,FALSE))</f>
        <v>9.3700609620000002</v>
      </c>
      <c r="AP421">
        <f ca="1">IF(AND(ISNUMBER($AP$919),$B$511=1),$AP$919,HLOOKUP(INDIRECT(ADDRESS(2,COLUMN())),OFFSET($BN$2,0,0,ROW()-1,60),ROW()-1,FALSE))</f>
        <v>9.5569349320000008</v>
      </c>
      <c r="AQ421">
        <f ca="1">IF(AND(ISNUMBER($AQ$919),$B$511=1),$AQ$919,HLOOKUP(INDIRECT(ADDRESS(2,COLUMN())),OFFSET($BN$2,0,0,ROW()-1,60),ROW()-1,FALSE))</f>
        <v>10.01298982</v>
      </c>
      <c r="AR421">
        <f ca="1">IF(AND(ISNUMBER($AR$919),$B$511=1),$AR$919,HLOOKUP(INDIRECT(ADDRESS(2,COLUMN())),OFFSET($BN$2,0,0,ROW()-1,60),ROW()-1,FALSE))</f>
        <v>10.225245320000001</v>
      </c>
      <c r="AS421">
        <f ca="1">IF(AND(ISNUMBER($AS$919),$B$511=1),$AS$919,HLOOKUP(INDIRECT(ADDRESS(2,COLUMN())),OFFSET($BN$2,0,0,ROW()-1,60),ROW()-1,FALSE))</f>
        <v>9.3230897010000007</v>
      </c>
      <c r="AT421">
        <f ca="1">IF(AND(ISNUMBER($AT$919),$B$511=1),$AT$919,HLOOKUP(INDIRECT(ADDRESS(2,COLUMN())),OFFSET($BN$2,0,0,ROW()-1,60),ROW()-1,FALSE))</f>
        <v>7.740312028</v>
      </c>
      <c r="AU421">
        <f ca="1">IF(AND(ISNUMBER($AU$919),$B$511=1),$AU$919,HLOOKUP(INDIRECT(ADDRESS(2,COLUMN())),OFFSET($BN$2,0,0,ROW()-1,60),ROW()-1,FALSE))</f>
        <v>8.6682165389999994</v>
      </c>
      <c r="AV421">
        <f ca="1">IF(AND(ISNUMBER($AV$919),$B$511=1),$AV$919,HLOOKUP(INDIRECT(ADDRESS(2,COLUMN())),OFFSET($BN$2,0,0,ROW()-1,60),ROW()-1,FALSE))</f>
        <v>10.73547415</v>
      </c>
      <c r="AW421">
        <f ca="1">IF(AND(ISNUMBER($AW$919),$B$511=1),$AW$919,HLOOKUP(INDIRECT(ADDRESS(2,COLUMN())),OFFSET($BN$2,0,0,ROW()-1,60),ROW()-1,FALSE))</f>
        <v>11.45117243</v>
      </c>
      <c r="AX421">
        <f ca="1">IF(AND(ISNUMBER($AX$919),$B$511=1),$AX$919,HLOOKUP(INDIRECT(ADDRESS(2,COLUMN())),OFFSET($BN$2,0,0,ROW()-1,60),ROW()-1,FALSE))</f>
        <v>11.98678149</v>
      </c>
      <c r="AY421">
        <f ca="1">IF(AND(ISNUMBER($AY$919),$B$511=1),$AY$919,HLOOKUP(INDIRECT(ADDRESS(2,COLUMN())),OFFSET($BN$2,0,0,ROW()-1,60),ROW()-1,FALSE))</f>
        <v>9.3173758870000007</v>
      </c>
      <c r="AZ421">
        <f ca="1">IF(AND(ISNUMBER($AZ$919),$B$511=1),$AZ$919,HLOOKUP(INDIRECT(ADDRESS(2,COLUMN())),OFFSET($BN$2,0,0,ROW()-1,60),ROW()-1,FALSE))</f>
        <v>10.391986060000001</v>
      </c>
      <c r="BA421">
        <f ca="1">IF(AND(ISNUMBER($BA$919),$B$511=1),$BA$919,HLOOKUP(INDIRECT(ADDRESS(2,COLUMN())),OFFSET($BN$2,0,0,ROW()-1,60),ROW()-1,FALSE))</f>
        <v>9.1676131749999996</v>
      </c>
      <c r="BB421">
        <f ca="1">IF(AND(ISNUMBER($BB$919),$B$511=1),$BB$919,HLOOKUP(INDIRECT(ADDRESS(2,COLUMN())),OFFSET($BN$2,0,0,ROW()-1,60),ROW()-1,FALSE))</f>
        <v>9.5416276890000002</v>
      </c>
      <c r="BC421">
        <f ca="1">IF(AND(ISNUMBER($BC$919),$B$511=1),$BC$919,HLOOKUP(INDIRECT(ADDRESS(2,COLUMN())),OFFSET($BN$2,0,0,ROW()-1,60),ROW()-1,FALSE))</f>
        <v>10.085656699999999</v>
      </c>
      <c r="BD421">
        <f ca="1">IF(AND(ISNUMBER($BD$919),$B$511=1),$BD$919,HLOOKUP(INDIRECT(ADDRESS(2,COLUMN())),OFFSET($BN$2,0,0,ROW()-1,60),ROW()-1,FALSE))</f>
        <v>9.1594644980000002</v>
      </c>
      <c r="BE421">
        <f ca="1">IF(AND(ISNUMBER($BE$919),$B$511=1),$BE$919,HLOOKUP(INDIRECT(ADDRESS(2,COLUMN())),OFFSET($BN$2,0,0,ROW()-1,60),ROW()-1,FALSE))</f>
        <v>8.8931597799999995</v>
      </c>
      <c r="BF421">
        <f ca="1">IF(AND(ISNUMBER($BF$919),$B$511=1),$BF$919,HLOOKUP(INDIRECT(ADDRESS(2,COLUMN())),OFFSET($BN$2,0,0,ROW()-1,60),ROW()-1,FALSE))</f>
        <v>10.29787234</v>
      </c>
      <c r="BG421">
        <f ca="1">IF(AND(ISNUMBER($BG$919),$B$511=1),$BG$919,HLOOKUP(INDIRECT(ADDRESS(2,COLUMN())),OFFSET($BN$2,0,0,ROW()-1,60),ROW()-1,FALSE))</f>
        <v>10.8078325</v>
      </c>
      <c r="BH421">
        <f ca="1">IF(AND(ISNUMBER($BH$919),$B$511=1),$BH$919,HLOOKUP(INDIRECT(ADDRESS(2,COLUMN())),OFFSET($BN$2,0,0,ROW()-1,60),ROW()-1,FALSE))</f>
        <v>10.126805210000001</v>
      </c>
      <c r="BI421">
        <f ca="1">IF(AND(ISNUMBER($BI$919),$B$511=1),$BI$919,HLOOKUP(INDIRECT(ADDRESS(2,COLUMN())),OFFSET($BN$2,0,0,ROW()-1,60),ROW()-1,FALSE))</f>
        <v>8.6090327230000003</v>
      </c>
      <c r="BJ421">
        <f ca="1">IF(AND(ISNUMBER($BJ$919),$B$511=1),$BJ$919,HLOOKUP(INDIRECT(ADDRESS(2,COLUMN())),OFFSET($BN$2,0,0,ROW()-1,60),ROW()-1,FALSE))</f>
        <v>7.7518656720000001</v>
      </c>
      <c r="BK421">
        <f ca="1">IF(AND(ISNUMBER($BK$919),$B$511=1),$BK$919,HLOOKUP(INDIRECT(ADDRESS(2,COLUMN())),OFFSET($BN$2,0,0,ROW()-1,60),ROW()-1,FALSE))</f>
        <v>7.9281901990000003</v>
      </c>
      <c r="BL421">
        <f ca="1">IF(AND(ISNUMBER($BL$919),$B$511=1),$BL$919,HLOOKUP(INDIRECT(ADDRESS(2,COLUMN())),OFFSET($BN$2,0,0,ROW()-1,60),ROW()-1,FALSE))</f>
        <v>8.0232875470000007</v>
      </c>
      <c r="BM421">
        <f ca="1">IF(AND(ISNUMBER($BM$919),$B$511=1),$BM$919,HLOOKUP(INDIRECT(ADDRESS(2,COLUMN())),OFFSET($BN$2,0,0,ROW()-1,60),ROW()-1,FALSE))</f>
        <v>7.214044071</v>
      </c>
      <c r="BN421" t="str">
        <f>""</f>
        <v/>
      </c>
      <c r="BO421" t="str">
        <f>""</f>
        <v/>
      </c>
      <c r="BP421" t="str">
        <f>""</f>
        <v/>
      </c>
      <c r="BQ421" t="str">
        <f>""</f>
        <v/>
      </c>
      <c r="BR421" t="str">
        <f>""</f>
        <v/>
      </c>
      <c r="BS421" t="str">
        <f>""</f>
        <v/>
      </c>
      <c r="BT421" t="str">
        <f>""</f>
        <v/>
      </c>
      <c r="BU421" t="str">
        <f>""</f>
        <v/>
      </c>
      <c r="BV421" t="str">
        <f>""</f>
        <v/>
      </c>
      <c r="BW421" t="str">
        <f>""</f>
        <v/>
      </c>
      <c r="BX421">
        <f>14.22845691</f>
        <v>14.22845691</v>
      </c>
      <c r="BY421">
        <f>12.82100979</f>
        <v>12.82100979</v>
      </c>
      <c r="BZ421">
        <f>14.09777778</f>
        <v>14.097777779999999</v>
      </c>
      <c r="CA421">
        <f>13.605837</f>
        <v>13.605836999999999</v>
      </c>
      <c r="CB421">
        <f>11.54006852</f>
        <v>11.54006852</v>
      </c>
      <c r="CC421">
        <f>14.27284638</f>
        <v>14.272846380000001</v>
      </c>
      <c r="CD421">
        <f>15.32305127</f>
        <v>15.323051270000001</v>
      </c>
      <c r="CE421">
        <f>13.21781349</f>
        <v>13.217813489999999</v>
      </c>
      <c r="CF421">
        <f>15.87634507</f>
        <v>15.876345069999999</v>
      </c>
      <c r="CG421">
        <f>17.78062987</f>
        <v>17.780629869999999</v>
      </c>
      <c r="CH421">
        <f>17.68700883</f>
        <v>17.68700883</v>
      </c>
      <c r="CI421">
        <f>16.9585078</f>
        <v>16.9585078</v>
      </c>
      <c r="CJ421">
        <f>19.34629875</f>
        <v>19.346298749999999</v>
      </c>
      <c r="CK421">
        <f>18.92680962</f>
        <v>18.92680962</v>
      </c>
      <c r="CL421">
        <f>20.71746975</f>
        <v>20.717469749999999</v>
      </c>
      <c r="CM421">
        <f>19.87685874</f>
        <v>19.876858739999999</v>
      </c>
      <c r="CN421">
        <f>16.70944559</f>
        <v>16.709445590000001</v>
      </c>
      <c r="CO421">
        <f>17.38095238</f>
        <v>17.38095238</v>
      </c>
      <c r="CP421">
        <f>18.34684739</f>
        <v>18.346847390000001</v>
      </c>
      <c r="CQ421">
        <f>17.84647357</f>
        <v>17.846473570000001</v>
      </c>
      <c r="CR421">
        <f>18.26549131</f>
        <v>18.265491310000002</v>
      </c>
      <c r="CS421">
        <f>16.93147964</f>
        <v>16.931479639999999</v>
      </c>
      <c r="CT421">
        <f>14.63237957</f>
        <v>14.632379569999999</v>
      </c>
      <c r="CU421">
        <f>15.24345486</f>
        <v>15.24345486</v>
      </c>
      <c r="CV421">
        <f>13.38365684</f>
        <v>13.38365684</v>
      </c>
      <c r="CW421">
        <f>9.370060962</f>
        <v>9.3700609620000002</v>
      </c>
      <c r="CX421">
        <f>9.556934932</f>
        <v>9.5569349320000008</v>
      </c>
      <c r="CY421">
        <f>10.01298982</f>
        <v>10.01298982</v>
      </c>
      <c r="CZ421">
        <f>10.22524532</f>
        <v>10.225245320000001</v>
      </c>
      <c r="DA421">
        <f>9.323089701</f>
        <v>9.3230897010000007</v>
      </c>
      <c r="DB421">
        <f>7.740312028</f>
        <v>7.740312028</v>
      </c>
      <c r="DC421">
        <f>8.668216539</f>
        <v>8.6682165389999994</v>
      </c>
      <c r="DD421">
        <f>10.73547415</f>
        <v>10.73547415</v>
      </c>
      <c r="DE421">
        <f>11.45117243</f>
        <v>11.45117243</v>
      </c>
      <c r="DF421">
        <f>11.98678149</f>
        <v>11.98678149</v>
      </c>
      <c r="DG421">
        <f>9.317375887</f>
        <v>9.3173758870000007</v>
      </c>
      <c r="DH421">
        <f>10.39198606</f>
        <v>10.391986060000001</v>
      </c>
      <c r="DI421">
        <f>9.167613175</f>
        <v>9.1676131749999996</v>
      </c>
      <c r="DJ421">
        <f>9.541627689</f>
        <v>9.5416276890000002</v>
      </c>
      <c r="DK421">
        <f>10.0856567</f>
        <v>10.085656699999999</v>
      </c>
      <c r="DL421">
        <f>9.159464498</f>
        <v>9.1594644980000002</v>
      </c>
      <c r="DM421">
        <f>8.89315978</f>
        <v>8.8931597799999995</v>
      </c>
      <c r="DN421">
        <f>10.29787234</f>
        <v>10.29787234</v>
      </c>
      <c r="DO421">
        <f>10.8078325</f>
        <v>10.8078325</v>
      </c>
      <c r="DP421">
        <f>10.12680521</f>
        <v>10.126805210000001</v>
      </c>
      <c r="DQ421">
        <f>8.609032723</f>
        <v>8.6090327230000003</v>
      </c>
      <c r="DR421">
        <f>7.751865672</f>
        <v>7.7518656720000001</v>
      </c>
      <c r="DS421">
        <f>7.928190199</f>
        <v>7.9281901990000003</v>
      </c>
      <c r="DT421">
        <f>8.023287547</f>
        <v>8.0232875470000007</v>
      </c>
      <c r="DU421">
        <f>7.214044071</f>
        <v>7.214044071</v>
      </c>
    </row>
    <row r="422" spans="1:125" x14ac:dyDescent="0.25">
      <c r="A422" t="str">
        <f>"    Daimler AG"</f>
        <v xml:space="preserve">    Daimler AG</v>
      </c>
      <c r="B422" t="str">
        <f>"DAI GR Equity"</f>
        <v>DAI GR Equity</v>
      </c>
      <c r="C422" t="str">
        <f t="shared" si="30"/>
        <v>PR005</v>
      </c>
      <c r="D422" t="str">
        <f t="shared" si="31"/>
        <v>PX_LAST</v>
      </c>
      <c r="E422" t="str">
        <f t="shared" si="32"/>
        <v>Dynamic</v>
      </c>
      <c r="F422">
        <f ca="1">IF(AND(ISNUMBER($F$920),$B$511=1),$F$920,HLOOKUP(INDIRECT(ADDRESS(2,COLUMN())),OFFSET($BN$2,0,0,ROW()-1,60),ROW()-1,FALSE))</f>
        <v>60.142009119999997</v>
      </c>
      <c r="G422">
        <f ca="1">IF(AND(ISNUMBER($G$920),$B$511=1),$G$920,HLOOKUP(INDIRECT(ADDRESS(2,COLUMN())),OFFSET($BN$2,0,0,ROW()-1,60),ROW()-1,FALSE))</f>
        <v>52.525630999999997</v>
      </c>
      <c r="H422">
        <f ca="1">IF(AND(ISNUMBER($H$920),$B$511=1),$H$920,HLOOKUP(INDIRECT(ADDRESS(2,COLUMN())),OFFSET($BN$2,0,0,ROW()-1,60),ROW()-1,FALSE))</f>
        <v>63.180160000000001</v>
      </c>
      <c r="I422">
        <f ca="1">IF(AND(ISNUMBER($I$920),$B$511=1),$I$920,HLOOKUP(INDIRECT(ADDRESS(2,COLUMN())),OFFSET($BN$2,0,0,ROW()-1,60),ROW()-1,FALSE))</f>
        <v>64.375300999999993</v>
      </c>
      <c r="J422">
        <f ca="1">IF(AND(ISNUMBER($J$920),$B$511=1),$J$920,HLOOKUP(INDIRECT(ADDRESS(2,COLUMN())),OFFSET($BN$2,0,0,ROW()-1,60),ROW()-1,FALSE))</f>
        <v>84.930809999999994</v>
      </c>
      <c r="K422">
        <f ca="1">IF(AND(ISNUMBER($K$920),$B$511=1),$K$920,HLOOKUP(INDIRECT(ADDRESS(2,COLUMN())),OFFSET($BN$2,0,0,ROW()-1,60),ROW()-1,FALSE))</f>
        <v>85.115759999999995</v>
      </c>
      <c r="L422">
        <f ca="1">IF(AND(ISNUMBER($L$920),$B$511=1),$L$920,HLOOKUP(INDIRECT(ADDRESS(2,COLUMN())),OFFSET($BN$2,0,0,ROW()-1,60),ROW()-1,FALSE))</f>
        <v>79.481402000000003</v>
      </c>
      <c r="M422">
        <f ca="1">IF(AND(ISNUMBER($M$920),$B$511=1),$M$920,HLOOKUP(INDIRECT(ADDRESS(2,COLUMN())),OFFSET($BN$2,0,0,ROW()-1,60),ROW()-1,FALSE))</f>
        <v>72.472549999999998</v>
      </c>
      <c r="N422">
        <f ca="1">IF(AND(ISNUMBER($N$920),$B$511=1),$N$920,HLOOKUP(INDIRECT(ADDRESS(2,COLUMN())),OFFSET($BN$2,0,0,ROW()-1,60),ROW()-1,FALSE))</f>
        <v>73.905573000000004</v>
      </c>
      <c r="O422">
        <f ca="1">IF(AND(ISNUMBER($O$920),$B$511=1),$O$920,HLOOKUP(INDIRECT(ADDRESS(2,COLUMN())),OFFSET($BN$2,0,0,ROW()-1,60),ROW()-1,FALSE))</f>
        <v>74.588384000000005</v>
      </c>
      <c r="P422">
        <f ca="1">IF(AND(ISNUMBER($P$920),$B$511=1),$P$920,HLOOKUP(INDIRECT(ADDRESS(2,COLUMN())),OFFSET($BN$2,0,0,ROW()-1,60),ROW()-1,FALSE))</f>
        <v>70.354647999999997</v>
      </c>
      <c r="Q422">
        <f ca="1">IF(AND(ISNUMBER($Q$920),$B$511=1),$Q$920,HLOOKUP(INDIRECT(ADDRESS(2,COLUMN())),OFFSET($BN$2,0,0,ROW()-1,60),ROW()-1,FALSE))</f>
        <v>59.793092700000003</v>
      </c>
      <c r="R422">
        <f ca="1">IF(AND(ISNUMBER($R$920),$B$511=1),$R$920,HLOOKUP(INDIRECT(ADDRESS(2,COLUMN())),OFFSET($BN$2,0,0,ROW()-1,60),ROW()-1,FALSE))</f>
        <v>76.789883200000006</v>
      </c>
      <c r="S422">
        <f ca="1">IF(AND(ISNUMBER($S$920),$B$511=1),$S$920,HLOOKUP(INDIRECT(ADDRESS(2,COLUMN())),OFFSET($BN$2,0,0,ROW()-1,60),ROW()-1,FALSE))</f>
        <v>84.647537999999997</v>
      </c>
      <c r="T422">
        <f ca="1">IF(AND(ISNUMBER($T$920),$B$511=1),$T$920,HLOOKUP(INDIRECT(ADDRESS(2,COLUMN())),OFFSET($BN$2,0,0,ROW()-1,60),ROW()-1,FALSE))</f>
        <v>72.689709199999996</v>
      </c>
      <c r="U422">
        <f ca="1">IF(AND(ISNUMBER($U$920),$B$511=1),$U$920,HLOOKUP(INDIRECT(ADDRESS(2,COLUMN())),OFFSET($BN$2,0,0,ROW()-1,60),ROW()-1,FALSE))</f>
        <v>91.610742000000002</v>
      </c>
      <c r="V422">
        <f ca="1">IF(AND(ISNUMBER($V$920),$B$511=1),$V$920,HLOOKUP(INDIRECT(ADDRESS(2,COLUMN())),OFFSET($BN$2,0,0,ROW()-1,60),ROW()-1,FALSE))</f>
        <v>96.329930399999995</v>
      </c>
      <c r="W422">
        <f ca="1">IF(AND(ISNUMBER($W$920),$B$511=1),$W$920,HLOOKUP(INDIRECT(ADDRESS(2,COLUMN())),OFFSET($BN$2,0,0,ROW()-1,60),ROW()-1,FALSE))</f>
        <v>83.846829</v>
      </c>
      <c r="X422">
        <f ca="1">IF(AND(ISNUMBER($X$920),$B$511=1),$X$920,HLOOKUP(INDIRECT(ADDRESS(2,COLUMN())),OFFSET($BN$2,0,0,ROW()-1,60),ROW()-1,FALSE))</f>
        <v>76.430707999999996</v>
      </c>
      <c r="Y422">
        <f ca="1">IF(AND(ISNUMBER($Y$920),$B$511=1),$Y$920,HLOOKUP(INDIRECT(ADDRESS(2,COLUMN())),OFFSET($BN$2,0,0,ROW()-1,60),ROW()-1,FALSE))</f>
        <v>93.530079999999998</v>
      </c>
      <c r="Z422">
        <f ca="1">IF(AND(ISNUMBER($Z$920),$B$511=1),$Z$920,HLOOKUP(INDIRECT(ADDRESS(2,COLUMN())),OFFSET($BN$2,0,0,ROW()-1,60),ROW()-1,FALSE))</f>
        <v>94.765131999999994</v>
      </c>
      <c r="AA422">
        <f ca="1">IF(AND(ISNUMBER($AA$920),$B$511=1),$AA$920,HLOOKUP(INDIRECT(ADDRESS(2,COLUMN())),OFFSET($BN$2,0,0,ROW()-1,60),ROW()-1,FALSE))</f>
        <v>86.802000000000007</v>
      </c>
      <c r="AB422">
        <f ca="1">IF(AND(ISNUMBER($AB$920),$B$511=1),$AB$920,HLOOKUP(INDIRECT(ADDRESS(2,COLUMN())),OFFSET($BN$2,0,0,ROW()-1,60),ROW()-1,FALSE))</f>
        <v>78.060338999999999</v>
      </c>
      <c r="AC422">
        <f ca="1">IF(AND(ISNUMBER($AC$920),$B$511=1),$AC$920,HLOOKUP(INDIRECT(ADDRESS(2,COLUMN())),OFFSET($BN$2,0,0,ROW()-1,60),ROW()-1,FALSE))</f>
        <v>60.343200000000003</v>
      </c>
      <c r="AD422">
        <f ca="1">IF(AND(ISNUMBER($AD$920),$B$511=1),$AD$920,HLOOKUP(INDIRECT(ADDRESS(2,COLUMN())),OFFSET($BN$2,0,0,ROW()-1,60),ROW()-1,FALSE))</f>
        <v>54.749940000000002</v>
      </c>
      <c r="AE422">
        <f ca="1">IF(AND(ISNUMBER($AE$920),$B$511=1),$AE$920,HLOOKUP(INDIRECT(ADDRESS(2,COLUMN())),OFFSET($BN$2,0,0,ROW()-1,60),ROW()-1,FALSE))</f>
        <v>54.633304000000003</v>
      </c>
      <c r="AF422">
        <f ca="1">IF(AND(ISNUMBER($AF$920),$B$511=1),$AF$920,HLOOKUP(INDIRECT(ADDRESS(2,COLUMN())),OFFSET($BN$2,0,0,ROW()-1,60),ROW()-1,FALSE))</f>
        <v>48.722783999999997</v>
      </c>
      <c r="AG422">
        <f ca="1">IF(AND(ISNUMBER($AG$920),$B$511=1),$AG$920,HLOOKUP(INDIRECT(ADDRESS(2,COLUMN())),OFFSET($BN$2,0,0,ROW()-1,60),ROW()-1,FALSE))</f>
        <v>44.714959499999999</v>
      </c>
      <c r="AH422">
        <f ca="1">IF(AND(ISNUMBER($AH$920),$B$511=1),$AH$920,HLOOKUP(INDIRECT(ADDRESS(2,COLUMN())),OFFSET($BN$2,0,0,ROW()-1,60),ROW()-1,FALSE))</f>
        <v>60.593940000000003</v>
      </c>
      <c r="AI422">
        <f ca="1">IF(AND(ISNUMBER($AI$920),$B$511=1),$AI$920,HLOOKUP(INDIRECT(ADDRESS(2,COLUMN())),OFFSET($BN$2,0,0,ROW()-1,60),ROW()-1,FALSE))</f>
        <v>43.960320000000003</v>
      </c>
      <c r="AJ422">
        <f ca="1">IF(AND(ISNUMBER($AJ$920),$B$511=1),$AJ$920,HLOOKUP(INDIRECT(ADDRESS(2,COLUMN())),OFFSET($BN$2,0,0,ROW()-1,60),ROW()-1,FALSE))</f>
        <v>45.067599000000001</v>
      </c>
      <c r="AK422">
        <f ca="1">IF(AND(ISNUMBER($AK$920),$B$511=1),$AK$920,HLOOKUP(INDIRECT(ADDRESS(2,COLUMN())),OFFSET($BN$2,0,0,ROW()-1,60),ROW()-1,FALSE))</f>
        <v>75.103759999999994</v>
      </c>
      <c r="AL422">
        <f ca="1">IF(AND(ISNUMBER($AL$920),$B$511=1),$AL$920,HLOOKUP(INDIRECT(ADDRESS(2,COLUMN())),OFFSET($BN$2,0,0,ROW()-1,60),ROW()-1,FALSE))</f>
        <v>70.95</v>
      </c>
      <c r="AM422">
        <f ca="1">IF(AND(ISNUMBER($AM$920),$B$511=1),$AM$920,HLOOKUP(INDIRECT(ADDRESS(2,COLUMN())),OFFSET($BN$2,0,0,ROW()-1,60),ROW()-1,FALSE))</f>
        <v>67.283198999999996</v>
      </c>
      <c r="AN422">
        <f ca="1">IF(AND(ISNUMBER($AN$920),$B$511=1),$AN$920,HLOOKUP(INDIRECT(ADDRESS(2,COLUMN())),OFFSET($BN$2,0,0,ROW()-1,60),ROW()-1,FALSE))</f>
        <v>63.24447</v>
      </c>
      <c r="AO422">
        <f ca="1">IF(AND(ISNUMBER($AO$920),$B$511=1),$AO$920,HLOOKUP(INDIRECT(ADDRESS(2,COLUMN())),OFFSET($BN$2,0,0,ROW()-1,60),ROW()-1,FALSE))</f>
        <v>51.399729499999999</v>
      </c>
      <c r="AP422">
        <f ca="1">IF(AND(ISNUMBER($AP$920),$B$511=1),$AP$920,HLOOKUP(INDIRECT(ADDRESS(2,COLUMN())),OFFSET($BN$2,0,0,ROW()-1,60),ROW()-1,FALSE))</f>
        <v>47.270769000000001</v>
      </c>
      <c r="AQ422">
        <f ca="1">IF(AND(ISNUMBER($AQ$920),$B$511=1),$AQ$920,HLOOKUP(INDIRECT(ADDRESS(2,COLUMN())),OFFSET($BN$2,0,0,ROW()-1,60),ROW()-1,FALSE))</f>
        <v>53.384096999999997</v>
      </c>
      <c r="AR422">
        <f ca="1">IF(AND(ISNUMBER($AR$920),$B$511=1),$AR$920,HLOOKUP(INDIRECT(ADDRESS(2,COLUMN())),OFFSET($BN$2,0,0,ROW()-1,60),ROW()-1,FALSE))</f>
        <v>50.694065999999999</v>
      </c>
      <c r="AS422">
        <f ca="1">IF(AND(ISNUMBER($AS$920),$B$511=1),$AS$920,HLOOKUP(INDIRECT(ADDRESS(2,COLUMN())),OFFSET($BN$2,0,0,ROW()-1,60),ROW()-1,FALSE))</f>
        <v>36.136600000000001</v>
      </c>
      <c r="AT422">
        <f ca="1">IF(AND(ISNUMBER($AT$920),$B$511=1),$AT$920,HLOOKUP(INDIRECT(ADDRESS(2,COLUMN())),OFFSET($BN$2,0,0,ROW()-1,60),ROW()-1,FALSE))</f>
        <v>25.677489000000001</v>
      </c>
      <c r="AU422">
        <f ca="1">IF(AND(ISNUMBER($AU$920),$B$511=1),$AU$920,HLOOKUP(INDIRECT(ADDRESS(2,COLUMN())),OFFSET($BN$2,0,0,ROW()-1,60),ROW()-1,FALSE))</f>
        <v>37.684379999999997</v>
      </c>
      <c r="AV422">
        <f ca="1">IF(AND(ISNUMBER($AV$920),$B$511=1),$AV$920,HLOOKUP(INDIRECT(ADDRESS(2,COLUMN())),OFFSET($BN$2,0,0,ROW()-1,60),ROW()-1,FALSE))</f>
        <v>50.672764999999998</v>
      </c>
      <c r="AW422">
        <f ca="1">IF(AND(ISNUMBER($AW$920),$B$511=1),$AW$920,HLOOKUP(INDIRECT(ADDRESS(2,COLUMN())),OFFSET($BN$2,0,0,ROW()-1,60),ROW()-1,FALSE))</f>
        <v>61.685119999999998</v>
      </c>
      <c r="AX422">
        <f ca="1">IF(AND(ISNUMBER($AX$920),$B$511=1),$AX$920,HLOOKUP(INDIRECT(ADDRESS(2,COLUMN())),OFFSET($BN$2,0,0,ROW()-1,60),ROW()-1,FALSE))</f>
        <v>85.827061</v>
      </c>
      <c r="AY422">
        <f ca="1">IF(AND(ISNUMBER($AY$920),$B$511=1),$AY$920,HLOOKUP(INDIRECT(ADDRESS(2,COLUMN())),OFFSET($BN$2,0,0,ROW()-1,60),ROW()-1,FALSE))</f>
        <v>97.422864000000004</v>
      </c>
      <c r="AZ422">
        <f ca="1">IF(AND(ISNUMBER($AZ$920),$B$511=1),$AZ$920,HLOOKUP(INDIRECT(ADDRESS(2,COLUMN())),OFFSET($BN$2,0,0,ROW()-1,60),ROW()-1,FALSE))</f>
        <v>100.65568500000001</v>
      </c>
      <c r="BA422">
        <f ca="1">IF(AND(ISNUMBER($BA$920),$B$511=1),$BA$920,HLOOKUP(INDIRECT(ADDRESS(2,COLUMN())),OFFSET($BN$2,0,0,ROW()-1,60),ROW()-1,FALSE))</f>
        <v>92.356235999999996</v>
      </c>
      <c r="BB422">
        <f ca="1">IF(AND(ISNUMBER($BB$920),$B$511=1),$BB$920,HLOOKUP(INDIRECT(ADDRESS(2,COLUMN())),OFFSET($BN$2,0,0,ROW()-1,60),ROW()-1,FALSE))</f>
        <v>82.525812000000002</v>
      </c>
      <c r="BC422">
        <f ca="1">IF(AND(ISNUMBER($BC$920),$B$511=1),$BC$920,HLOOKUP(INDIRECT(ADDRESS(2,COLUMN())),OFFSET($BN$2,0,0,ROW()-1,60),ROW()-1,FALSE))</f>
        <v>61.988300000000002</v>
      </c>
      <c r="BD422">
        <f ca="1">IF(AND(ISNUMBER($BD$920),$B$511=1),$BD$920,HLOOKUP(INDIRECT(ADDRESS(2,COLUMN())),OFFSET($BN$2,0,0,ROW()-1,60),ROW()-1,FALSE))</f>
        <v>50.135072000000001</v>
      </c>
      <c r="BE422">
        <f ca="1">IF(AND(ISNUMBER($BE$920),$B$511=1),$BE$920,HLOOKUP(INDIRECT(ADDRESS(2,COLUMN())),OFFSET($BN$2,0,0,ROW()-1,60),ROW()-1,FALSE))</f>
        <v>49.298960000000001</v>
      </c>
      <c r="BF422">
        <f ca="1">IF(AND(ISNUMBER($BF$920),$B$511=1),$BF$920,HLOOKUP(INDIRECT(ADDRESS(2,COLUMN())),OFFSET($BN$2,0,0,ROW()-1,60),ROW()-1,FALSE))</f>
        <v>57.575277</v>
      </c>
      <c r="BG422">
        <f ca="1">IF(AND(ISNUMBER($BG$920),$B$511=1),$BG$920,HLOOKUP(INDIRECT(ADDRESS(2,COLUMN())),OFFSET($BN$2,0,0,ROW()-1,60),ROW()-1,FALSE))</f>
        <v>51.047561999999999</v>
      </c>
      <c r="BH422">
        <f ca="1">IF(AND(ISNUMBER($BH$920),$B$511=1),$BH$920,HLOOKUP(INDIRECT(ADDRESS(2,COLUMN())),OFFSET($BN$2,0,0,ROW()-1,60),ROW()-1,FALSE))</f>
        <v>53.112450000000003</v>
      </c>
      <c r="BI422">
        <f ca="1">IF(AND(ISNUMBER($BI$920),$B$511=1),$BI$920,HLOOKUP(INDIRECT(ADDRESS(2,COLUMN())),OFFSET($BN$2,0,0,ROW()-1,60),ROW()-1,FALSE))</f>
        <v>40.635840000000002</v>
      </c>
      <c r="BJ422">
        <f ca="1">IF(AND(ISNUMBER($BJ$920),$B$511=1),$BJ$920,HLOOKUP(INDIRECT(ADDRESS(2,COLUMN())),OFFSET($BN$2,0,0,ROW()-1,60),ROW()-1,FALSE))</f>
        <v>44.895215999999998</v>
      </c>
      <c r="BK422">
        <f ca="1">IF(AND(ISNUMBER($BK$920),$B$511=1),$BK$920,HLOOKUP(INDIRECT(ADDRESS(2,COLUMN())),OFFSET($BN$2,0,0,ROW()-1,60),ROW()-1,FALSE))</f>
        <v>48.084062000000003</v>
      </c>
      <c r="BL422">
        <f ca="1">IF(AND(ISNUMBER($BL$920),$B$511=1),$BL$920,HLOOKUP(INDIRECT(ADDRESS(2,COLUMN())),OFFSET($BN$2,0,0,ROW()-1,60),ROW()-1,FALSE))</f>
        <v>41.186391999999998</v>
      </c>
      <c r="BM422">
        <f ca="1">IF(AND(ISNUMBER($BM$920),$B$511=1),$BM$920,HLOOKUP(INDIRECT(ADDRESS(2,COLUMN())),OFFSET($BN$2,0,0,ROW()-1,60),ROW()-1,FALSE))</f>
        <v>46.838481000000002</v>
      </c>
      <c r="BN422">
        <f>60.14200912</f>
        <v>60.142009119999997</v>
      </c>
      <c r="BO422">
        <f>52.525631</f>
        <v>52.525630999999997</v>
      </c>
      <c r="BP422">
        <f>63.18016</f>
        <v>63.180160000000001</v>
      </c>
      <c r="BQ422">
        <f>64.375301</f>
        <v>64.375300999999993</v>
      </c>
      <c r="BR422">
        <f>84.93081</f>
        <v>84.930809999999994</v>
      </c>
      <c r="BS422">
        <f>85.11576</f>
        <v>85.115759999999995</v>
      </c>
      <c r="BT422">
        <f>79.481402</f>
        <v>79.481402000000003</v>
      </c>
      <c r="BU422">
        <f>72.47255</f>
        <v>72.472549999999998</v>
      </c>
      <c r="BV422">
        <f>73.905573</f>
        <v>73.905573000000004</v>
      </c>
      <c r="BW422">
        <f>74.588384</f>
        <v>74.588384000000005</v>
      </c>
      <c r="BX422">
        <f>70.354648</f>
        <v>70.354647999999997</v>
      </c>
      <c r="BY422">
        <f>59.7930927</f>
        <v>59.793092700000003</v>
      </c>
      <c r="BZ422">
        <f>76.7898832</f>
        <v>76.789883200000006</v>
      </c>
      <c r="CA422">
        <f>84.647538</f>
        <v>84.647537999999997</v>
      </c>
      <c r="CB422">
        <f>72.6897092</f>
        <v>72.689709199999996</v>
      </c>
      <c r="CC422">
        <f>91.610742</f>
        <v>91.610742000000002</v>
      </c>
      <c r="CD422">
        <f>96.3299304</f>
        <v>96.329930399999995</v>
      </c>
      <c r="CE422">
        <f>83.846829</f>
        <v>83.846829</v>
      </c>
      <c r="CF422">
        <f>76.430708</f>
        <v>76.430707999999996</v>
      </c>
      <c r="CG422">
        <f>93.53008</f>
        <v>93.530079999999998</v>
      </c>
      <c r="CH422">
        <f>94.765132</f>
        <v>94.765131999999994</v>
      </c>
      <c r="CI422">
        <f>86.802</f>
        <v>86.802000000000007</v>
      </c>
      <c r="CJ422">
        <f>78.060339</f>
        <v>78.060338999999999</v>
      </c>
      <c r="CK422">
        <f>60.3432</f>
        <v>60.343200000000003</v>
      </c>
      <c r="CL422">
        <f>54.74994</f>
        <v>54.749940000000002</v>
      </c>
      <c r="CM422">
        <f>54.633304</f>
        <v>54.633304000000003</v>
      </c>
      <c r="CN422">
        <f>48.722784</f>
        <v>48.722783999999997</v>
      </c>
      <c r="CO422">
        <f>44.7149595</f>
        <v>44.714959499999999</v>
      </c>
      <c r="CP422">
        <f>60.59394</f>
        <v>60.593940000000003</v>
      </c>
      <c r="CQ422">
        <f>43.96032</f>
        <v>43.960320000000003</v>
      </c>
      <c r="CR422">
        <f>45.067599</f>
        <v>45.067599000000001</v>
      </c>
      <c r="CS422">
        <f>75.10376</f>
        <v>75.103759999999994</v>
      </c>
      <c r="CT422">
        <f>70.95</f>
        <v>70.95</v>
      </c>
      <c r="CU422">
        <f>67.283199</f>
        <v>67.283198999999996</v>
      </c>
      <c r="CV422">
        <f>63.24447</f>
        <v>63.24447</v>
      </c>
      <c r="CW422">
        <f>51.3997295</f>
        <v>51.399729499999999</v>
      </c>
      <c r="CX422">
        <f>47.270769</f>
        <v>47.270769000000001</v>
      </c>
      <c r="CY422">
        <f>53.384097</f>
        <v>53.384096999999997</v>
      </c>
      <c r="CZ422">
        <f>50.694066</f>
        <v>50.694065999999999</v>
      </c>
      <c r="DA422">
        <f>36.1366</f>
        <v>36.136600000000001</v>
      </c>
      <c r="DB422">
        <f>25.677489</f>
        <v>25.677489000000001</v>
      </c>
      <c r="DC422">
        <f>37.68438</f>
        <v>37.684379999999997</v>
      </c>
      <c r="DD422">
        <f>50.672765</f>
        <v>50.672764999999998</v>
      </c>
      <c r="DE422">
        <f>61.68512</f>
        <v>61.685119999999998</v>
      </c>
      <c r="DF422">
        <f>85.827061</f>
        <v>85.827061</v>
      </c>
      <c r="DG422">
        <f>97.422864</f>
        <v>97.422864000000004</v>
      </c>
      <c r="DH422">
        <f>100.655685</f>
        <v>100.65568500000001</v>
      </c>
      <c r="DI422">
        <f>92.356236</f>
        <v>92.356235999999996</v>
      </c>
      <c r="DJ422">
        <f>82.525812</f>
        <v>82.525812000000002</v>
      </c>
      <c r="DK422">
        <f>61.9883</f>
        <v>61.988300000000002</v>
      </c>
      <c r="DL422">
        <f>50.135072</f>
        <v>50.135072000000001</v>
      </c>
      <c r="DM422">
        <f>49.29896</f>
        <v>49.298960000000001</v>
      </c>
      <c r="DN422">
        <f>57.575277</f>
        <v>57.575277</v>
      </c>
      <c r="DO422">
        <f>51.047562</f>
        <v>51.047561999999999</v>
      </c>
      <c r="DP422">
        <f>53.11245</f>
        <v>53.112450000000003</v>
      </c>
      <c r="DQ422">
        <f>40.63584</f>
        <v>40.635840000000002</v>
      </c>
      <c r="DR422">
        <f>44.895216</f>
        <v>44.895215999999998</v>
      </c>
      <c r="DS422">
        <f>48.084062</f>
        <v>48.084062000000003</v>
      </c>
      <c r="DT422">
        <f>41.186392</f>
        <v>41.186391999999998</v>
      </c>
      <c r="DU422">
        <f>46.838481</f>
        <v>46.838481000000002</v>
      </c>
    </row>
    <row r="423" spans="1:125" x14ac:dyDescent="0.25">
      <c r="A423" t="str">
        <f>"    Dongfeng Motor Group Co Ltd"</f>
        <v xml:space="preserve">    Dongfeng Motor Group Co Ltd</v>
      </c>
      <c r="B423" t="str">
        <f>"489 HK Equity"</f>
        <v>489 HK Equity</v>
      </c>
      <c r="C423" t="str">
        <f t="shared" si="30"/>
        <v>PR005</v>
      </c>
      <c r="D423" t="str">
        <f t="shared" si="31"/>
        <v>PX_LAST</v>
      </c>
      <c r="E423" t="str">
        <f t="shared" si="32"/>
        <v>Dynamic</v>
      </c>
      <c r="F423">
        <f ca="1">IF(AND(ISNUMBER($F$921),$B$511=1),$F$921,HLOOKUP(INDIRECT(ADDRESS(2,COLUMN())),OFFSET($BN$2,0,0,ROW()-1,60),ROW()-1,FALSE))</f>
        <v>1.0637213539999999</v>
      </c>
      <c r="G423">
        <f ca="1">IF(AND(ISNUMBER($G$921),$B$511=1),$G$921,HLOOKUP(INDIRECT(ADDRESS(2,COLUMN())),OFFSET($BN$2,0,0,ROW()-1,60),ROW()-1,FALSE))</f>
        <v>0.90651413400000003</v>
      </c>
      <c r="H423">
        <f ca="1">IF(AND(ISNUMBER($H$921),$B$511=1),$H$921,HLOOKUP(INDIRECT(ADDRESS(2,COLUMN())),OFFSET($BN$2,0,0,ROW()-1,60),ROW()-1,FALSE))</f>
        <v>1.0299661360000001</v>
      </c>
      <c r="I423">
        <f ca="1">IF(AND(ISNUMBER($I$921),$B$511=1),$I$921,HLOOKUP(INDIRECT(ADDRESS(2,COLUMN())),OFFSET($BN$2,0,0,ROW()-1,60),ROW()-1,FALSE))</f>
        <v>1.057836915</v>
      </c>
      <c r="J423">
        <f ca="1">IF(AND(ISNUMBER($J$921),$B$511=1),$J$921,HLOOKUP(INDIRECT(ADDRESS(2,COLUMN())),OFFSET($BN$2,0,0,ROW()-1,60),ROW()-1,FALSE))</f>
        <v>1.1607313500000001</v>
      </c>
      <c r="K423">
        <f ca="1">IF(AND(ISNUMBER($K$921),$B$511=1),$K$921,HLOOKUP(INDIRECT(ADDRESS(2,COLUMN())),OFFSET($BN$2,0,0,ROW()-1,60),ROW()-1,FALSE))</f>
        <v>1.210910999</v>
      </c>
      <c r="L423">
        <f ca="1">IF(AND(ISNUMBER($L$921),$B$511=1),$L$921,HLOOKUP(INDIRECT(ADDRESS(2,COLUMN())),OFFSET($BN$2,0,0,ROW()-1,60),ROW()-1,FALSE))</f>
        <v>1.3210783690000001</v>
      </c>
      <c r="M423">
        <f ca="1">IF(AND(ISNUMBER($M$921),$B$511=1),$M$921,HLOOKUP(INDIRECT(ADDRESS(2,COLUMN())),OFFSET($BN$2,0,0,ROW()-1,60),ROW()-1,FALSE))</f>
        <v>1.1823328980000001</v>
      </c>
      <c r="N423">
        <f ca="1">IF(AND(ISNUMBER($N$921),$B$511=1),$N$921,HLOOKUP(INDIRECT(ADDRESS(2,COLUMN())),OFFSET($BN$2,0,0,ROW()-1,60),ROW()-1,FALSE))</f>
        <v>1.123335263</v>
      </c>
      <c r="O423">
        <f ca="1">IF(AND(ISNUMBER($O$921),$B$511=1),$O$921,HLOOKUP(INDIRECT(ADDRESS(2,COLUMN())),OFFSET($BN$2,0,0,ROW()-1,60),ROW()-1,FALSE))</f>
        <v>0.97628290299999998</v>
      </c>
      <c r="P423">
        <f ca="1">IF(AND(ISNUMBER($P$921),$B$511=1),$P$921,HLOOKUP(INDIRECT(ADDRESS(2,COLUMN())),OFFSET($BN$2,0,0,ROW()-1,60),ROW()-1,FALSE))</f>
        <v>0.999277941</v>
      </c>
      <c r="Q423">
        <f ca="1">IF(AND(ISNUMBER($Q$921),$B$511=1),$Q$921,HLOOKUP(INDIRECT(ADDRESS(2,COLUMN())),OFFSET($BN$2,0,0,ROW()-1,60),ROW()-1,FALSE))</f>
        <v>1.0413176280000001</v>
      </c>
      <c r="R423">
        <f ca="1">IF(AND(ISNUMBER($R$921),$B$511=1),$R$921,HLOOKUP(INDIRECT(ADDRESS(2,COLUMN())),OFFSET($BN$2,0,0,ROW()-1,60),ROW()-1,FALSE))</f>
        <v>1.2480499220000001</v>
      </c>
      <c r="S423">
        <f ca="1">IF(AND(ISNUMBER($S$921),$B$511=1),$S$921,HLOOKUP(INDIRECT(ADDRESS(2,COLUMN())),OFFSET($BN$2,0,0,ROW()-1,60),ROW()-1,FALSE))</f>
        <v>1.3367569450000001</v>
      </c>
      <c r="T423">
        <f ca="1">IF(AND(ISNUMBER($T$921),$B$511=1),$T$921,HLOOKUP(INDIRECT(ADDRESS(2,COLUMN())),OFFSET($BN$2,0,0,ROW()-1,60),ROW()-1,FALSE))</f>
        <v>1.245113092</v>
      </c>
      <c r="U423">
        <f ca="1">IF(AND(ISNUMBER($U$921),$B$511=1),$U$921,HLOOKUP(INDIRECT(ADDRESS(2,COLUMN())),OFFSET($BN$2,0,0,ROW()-1,60),ROW()-1,FALSE))</f>
        <v>1.341589267</v>
      </c>
      <c r="V423">
        <f ca="1">IF(AND(ISNUMBER($V$921),$B$511=1),$V$921,HLOOKUP(INDIRECT(ADDRESS(2,COLUMN())),OFFSET($BN$2,0,0,ROW()-1,60),ROW()-1,FALSE))</f>
        <v>1.6045608739999999</v>
      </c>
      <c r="W423">
        <f ca="1">IF(AND(ISNUMBER($W$921),$B$511=1),$W$921,HLOOKUP(INDIRECT(ADDRESS(2,COLUMN())),OFFSET($BN$2,0,0,ROW()-1,60),ROW()-1,FALSE))</f>
        <v>1.416061595</v>
      </c>
      <c r="X423">
        <f ca="1">IF(AND(ISNUMBER($X$921),$B$511=1),$X$921,HLOOKUP(INDIRECT(ADDRESS(2,COLUMN())),OFFSET($BN$2,0,0,ROW()-1,60),ROW()-1,FALSE))</f>
        <v>1.6433345779999999</v>
      </c>
      <c r="Y423">
        <f ca="1">IF(AND(ISNUMBER($Y$921),$B$511=1),$Y$921,HLOOKUP(INDIRECT(ADDRESS(2,COLUMN())),OFFSET($BN$2,0,0,ROW()-1,60),ROW()-1,FALSE))</f>
        <v>1.7908753100000001</v>
      </c>
      <c r="Z423">
        <f ca="1">IF(AND(ISNUMBER($Z$921),$B$511=1),$Z$921,HLOOKUP(INDIRECT(ADDRESS(2,COLUMN())),OFFSET($BN$2,0,0,ROW()-1,60),ROW()-1,FALSE))</f>
        <v>1.4155139299999999</v>
      </c>
      <c r="AA423">
        <f ca="1">IF(AND(ISNUMBER($AA$921),$B$511=1),$AA$921,HLOOKUP(INDIRECT(ADDRESS(2,COLUMN())),OFFSET($BN$2,0,0,ROW()-1,60),ROW()-1,FALSE))</f>
        <v>1.5656839229999999</v>
      </c>
      <c r="AB423">
        <f ca="1">IF(AND(ISNUMBER($AB$921),$B$511=1),$AB$921,HLOOKUP(INDIRECT(ADDRESS(2,COLUMN())),OFFSET($BN$2,0,0,ROW()-1,60),ROW()-1,FALSE))</f>
        <v>1.5189612269999999</v>
      </c>
      <c r="AC423">
        <f ca="1">IF(AND(ISNUMBER($AC$921),$B$511=1),$AC$921,HLOOKUP(INDIRECT(ADDRESS(2,COLUMN())),OFFSET($BN$2,0,0,ROW()-1,60),ROW()-1,FALSE))</f>
        <v>1.33572285</v>
      </c>
      <c r="AD423">
        <f ca="1">IF(AND(ISNUMBER($AD$921),$B$511=1),$AD$921,HLOOKUP(INDIRECT(ADDRESS(2,COLUMN())),OFFSET($BN$2,0,0,ROW()-1,60),ROW()-1,FALSE))</f>
        <v>1.404114442</v>
      </c>
      <c r="AE423">
        <f ca="1">IF(AND(ISNUMBER($AE$921),$B$511=1),$AE$921,HLOOKUP(INDIRECT(ADDRESS(2,COLUMN())),OFFSET($BN$2,0,0,ROW()-1,60),ROW()-1,FALSE))</f>
        <v>1.5430466140000001</v>
      </c>
      <c r="AF423">
        <f ca="1">IF(AND(ISNUMBER($AF$921),$B$511=1),$AF$921,HLOOKUP(INDIRECT(ADDRESS(2,COLUMN())),OFFSET($BN$2,0,0,ROW()-1,60),ROW()-1,FALSE))</f>
        <v>1.167094386</v>
      </c>
      <c r="AG423">
        <f ca="1">IF(AND(ISNUMBER($AG$921),$B$511=1),$AG$921,HLOOKUP(INDIRECT(ADDRESS(2,COLUMN())),OFFSET($BN$2,0,0,ROW()-1,60),ROW()-1,FALSE))</f>
        <v>1.5339598080000001</v>
      </c>
      <c r="AH423">
        <f ca="1">IF(AND(ISNUMBER($AH$921),$B$511=1),$AH$921,HLOOKUP(INDIRECT(ADDRESS(2,COLUMN())),OFFSET($BN$2,0,0,ROW()-1,60),ROW()-1,FALSE))</f>
        <v>1.805723706</v>
      </c>
      <c r="AI423">
        <f ca="1">IF(AND(ISNUMBER($AI$921),$B$511=1),$AI$921,HLOOKUP(INDIRECT(ADDRESS(2,COLUMN())),OFFSET($BN$2,0,0,ROW()-1,60),ROW()-1,FALSE))</f>
        <v>1.7150361810000001</v>
      </c>
      <c r="AJ423">
        <f ca="1">IF(AND(ISNUMBER($AJ$921),$B$511=1),$AJ$921,HLOOKUP(INDIRECT(ADDRESS(2,COLUMN())),OFFSET($BN$2,0,0,ROW()-1,60),ROW()-1,FALSE))</f>
        <v>1.376847892</v>
      </c>
      <c r="AK423">
        <f ca="1">IF(AND(ISNUMBER($AK$921),$B$511=1),$AK$921,HLOOKUP(INDIRECT(ADDRESS(2,COLUMN())),OFFSET($BN$2,0,0,ROW()-1,60),ROW()-1,FALSE))</f>
        <v>1.889144487</v>
      </c>
      <c r="AL423">
        <f ca="1">IF(AND(ISNUMBER($AL$921),$B$511=1),$AL$921,HLOOKUP(INDIRECT(ADDRESS(2,COLUMN())),OFFSET($BN$2,0,0,ROW()-1,60),ROW()-1,FALSE))</f>
        <v>1.7025435280000001</v>
      </c>
      <c r="AM423">
        <f ca="1">IF(AND(ISNUMBER($AM$921),$B$511=1),$AM$921,HLOOKUP(INDIRECT(ADDRESS(2,COLUMN())),OFFSET($BN$2,0,0,ROW()-1,60),ROW()-1,FALSE))</f>
        <v>1.723960478</v>
      </c>
      <c r="AN423">
        <f ca="1">IF(AND(ISNUMBER($AN$921),$B$511=1),$AN$921,HLOOKUP(INDIRECT(ADDRESS(2,COLUMN())),OFFSET($BN$2,0,0,ROW()-1,60),ROW()-1,FALSE))</f>
        <v>2.0464444959999999</v>
      </c>
      <c r="AO423">
        <f ca="1">IF(AND(ISNUMBER($AO$921),$B$511=1),$AO$921,HLOOKUP(INDIRECT(ADDRESS(2,COLUMN())),OFFSET($BN$2,0,0,ROW()-1,60),ROW()-1,FALSE))</f>
        <v>1.178978732</v>
      </c>
      <c r="AP423">
        <f ca="1">IF(AND(ISNUMBER($AP$921),$B$511=1),$AP$921,HLOOKUP(INDIRECT(ADDRESS(2,COLUMN())),OFFSET($BN$2,0,0,ROW()-1,60),ROW()-1,FALSE))</f>
        <v>1.625325194</v>
      </c>
      <c r="AQ423">
        <f ca="1">IF(AND(ISNUMBER($AQ$921),$B$511=1),$AQ$921,HLOOKUP(INDIRECT(ADDRESS(2,COLUMN())),OFFSET($BN$2,0,0,ROW()-1,60),ROW()-1,FALSE))</f>
        <v>1.4419480490000001</v>
      </c>
      <c r="AR423">
        <f ca="1">IF(AND(ISNUMBER($AR$921),$B$511=1),$AR$921,HLOOKUP(INDIRECT(ADDRESS(2,COLUMN())),OFFSET($BN$2,0,0,ROW()-1,60),ROW()-1,FALSE))</f>
        <v>1.063212088</v>
      </c>
      <c r="AS423">
        <f ca="1">IF(AND(ISNUMBER($AS$921),$B$511=1),$AS$921,HLOOKUP(INDIRECT(ADDRESS(2,COLUMN())),OFFSET($BN$2,0,0,ROW()-1,60),ROW()-1,FALSE))</f>
        <v>0.84386007900000004</v>
      </c>
      <c r="AT423">
        <f ca="1">IF(AND(ISNUMBER($AT$921),$B$511=1),$AT$921,HLOOKUP(INDIRECT(ADDRESS(2,COLUMN())),OFFSET($BN$2,0,0,ROW()-1,60),ROW()-1,FALSE))</f>
        <v>0.51741267899999999</v>
      </c>
      <c r="AU423">
        <f ca="1">IF(AND(ISNUMBER($AU$921),$B$511=1),$AU$921,HLOOKUP(INDIRECT(ADDRESS(2,COLUMN())),OFFSET($BN$2,0,0,ROW()-1,60),ROW()-1,FALSE))</f>
        <v>0.32257648300000002</v>
      </c>
      <c r="AV423">
        <f ca="1">IF(AND(ISNUMBER($AV$921),$B$511=1),$AV$921,HLOOKUP(INDIRECT(ADDRESS(2,COLUMN())),OFFSET($BN$2,0,0,ROW()-1,60),ROW()-1,FALSE))</f>
        <v>0.358025963</v>
      </c>
      <c r="AW423">
        <f ca="1">IF(AND(ISNUMBER($AW$921),$B$511=1),$AW$921,HLOOKUP(INDIRECT(ADDRESS(2,COLUMN())),OFFSET($BN$2,0,0,ROW()-1,60),ROW()-1,FALSE))</f>
        <v>0.40010258999999998</v>
      </c>
      <c r="AX423">
        <f ca="1">IF(AND(ISNUMBER($AX$921),$B$511=1),$AX$921,HLOOKUP(INDIRECT(ADDRESS(2,COLUMN())),OFFSET($BN$2,0,0,ROW()-1,60),ROW()-1,FALSE))</f>
        <v>0.44972117299999997</v>
      </c>
      <c r="AY423">
        <f ca="1">IF(AND(ISNUMBER($AY$921),$B$511=1),$AY$921,HLOOKUP(INDIRECT(ADDRESS(2,COLUMN())),OFFSET($BN$2,0,0,ROW()-1,60),ROW()-1,FALSE))</f>
        <v>0.70517340900000003</v>
      </c>
      <c r="AZ423">
        <f ca="1">IF(AND(ISNUMBER($AZ$921),$B$511=1),$AZ$921,HLOOKUP(INDIRECT(ADDRESS(2,COLUMN())),OFFSET($BN$2,0,0,ROW()-1,60),ROW()-1,FALSE))</f>
        <v>0.87940669000000005</v>
      </c>
      <c r="BA423">
        <f ca="1">IF(AND(ISNUMBER($BA$921),$B$511=1),$BA$921,HLOOKUP(INDIRECT(ADDRESS(2,COLUMN())),OFFSET($BN$2,0,0,ROW()-1,60),ROW()-1,FALSE))</f>
        <v>0.53209859199999998</v>
      </c>
      <c r="BB423">
        <f ca="1">IF(AND(ISNUMBER($BB$921),$B$511=1),$BB$921,HLOOKUP(INDIRECT(ADDRESS(2,COLUMN())),OFFSET($BN$2,0,0,ROW()-1,60),ROW()-1,FALSE))</f>
        <v>0.54514742000000005</v>
      </c>
      <c r="BC423">
        <f ca="1">IF(AND(ISNUMBER($BC$921),$B$511=1),$BC$921,HLOOKUP(INDIRECT(ADDRESS(2,COLUMN())),OFFSET($BN$2,0,0,ROW()-1,60),ROW()-1,FALSE))</f>
        <v>0.48463189800000001</v>
      </c>
      <c r="BD423">
        <f ca="1">IF(AND(ISNUMBER($BD$921),$B$511=1),$BD$921,HLOOKUP(INDIRECT(ADDRESS(2,COLUMN())),OFFSET($BN$2,0,0,ROW()-1,60),ROW()-1,FALSE))</f>
        <v>0.40557017299999998</v>
      </c>
      <c r="BE423">
        <f ca="1">IF(AND(ISNUMBER($BE$921),$B$511=1),$BE$921,HLOOKUP(INDIRECT(ADDRESS(2,COLUMN())),OFFSET($BN$2,0,0,ROW()-1,60),ROW()-1,FALSE))</f>
        <v>0.46671816700000002</v>
      </c>
      <c r="BF423">
        <f ca="1">IF(AND(ISNUMBER($BF$921),$B$511=1),$BF$921,HLOOKUP(INDIRECT(ADDRESS(2,COLUMN())),OFFSET($BN$2,0,0,ROW()-1,60),ROW()-1,FALSE))</f>
        <v>0.438149976</v>
      </c>
      <c r="BG423">
        <f ca="1">IF(AND(ISNUMBER($BG$921),$B$511=1),$BG$921,HLOOKUP(INDIRECT(ADDRESS(2,COLUMN())),OFFSET($BN$2,0,0,ROW()-1,60),ROW()-1,FALSE))</f>
        <v>0.251492836</v>
      </c>
      <c r="BH423" t="str">
        <f ca="1">IF(AND(ISNUMBER($BH$921),$B$511=1),$BH$921,HLOOKUP(INDIRECT(ADDRESS(2,COLUMN())),OFFSET($BN$2,0,0,ROW()-1,60),ROW()-1,FALSE))</f>
        <v/>
      </c>
      <c r="BI423" t="str">
        <f ca="1">IF(AND(ISNUMBER($BI$921),$B$511=1),$BI$921,HLOOKUP(INDIRECT(ADDRESS(2,COLUMN())),OFFSET($BN$2,0,0,ROW()-1,60),ROW()-1,FALSE))</f>
        <v/>
      </c>
      <c r="BJ423" t="str">
        <f ca="1">IF(AND(ISNUMBER($BJ$921),$B$511=1),$BJ$921,HLOOKUP(INDIRECT(ADDRESS(2,COLUMN())),OFFSET($BN$2,0,0,ROW()-1,60),ROW()-1,FALSE))</f>
        <v/>
      </c>
      <c r="BK423" t="str">
        <f ca="1">IF(AND(ISNUMBER($BK$921),$B$511=1),$BK$921,HLOOKUP(INDIRECT(ADDRESS(2,COLUMN())),OFFSET($BN$2,0,0,ROW()-1,60),ROW()-1,FALSE))</f>
        <v/>
      </c>
      <c r="BL423" t="str">
        <f ca="1">IF(AND(ISNUMBER($BL$921),$B$511=1),$BL$921,HLOOKUP(INDIRECT(ADDRESS(2,COLUMN())),OFFSET($BN$2,0,0,ROW()-1,60),ROW()-1,FALSE))</f>
        <v/>
      </c>
      <c r="BM423" t="str">
        <f ca="1">IF(AND(ISNUMBER($BM$921),$B$511=1),$BM$921,HLOOKUP(INDIRECT(ADDRESS(2,COLUMN())),OFFSET($BN$2,0,0,ROW()-1,60),ROW()-1,FALSE))</f>
        <v/>
      </c>
      <c r="BN423">
        <f>1.063721354</f>
        <v>1.0637213539999999</v>
      </c>
      <c r="BO423">
        <f>0.906514134</f>
        <v>0.90651413400000003</v>
      </c>
      <c r="BP423">
        <f>1.029966136</f>
        <v>1.0299661360000001</v>
      </c>
      <c r="BQ423">
        <f>1.057836915</f>
        <v>1.057836915</v>
      </c>
      <c r="BR423">
        <f>1.16073135</f>
        <v>1.1607313500000001</v>
      </c>
      <c r="BS423">
        <f>1.210910999</f>
        <v>1.210910999</v>
      </c>
      <c r="BT423">
        <f>1.321078369</f>
        <v>1.3210783690000001</v>
      </c>
      <c r="BU423">
        <f>1.182332898</f>
        <v>1.1823328980000001</v>
      </c>
      <c r="BV423">
        <f>1.123335263</f>
        <v>1.123335263</v>
      </c>
      <c r="BW423">
        <f>0.976282903</f>
        <v>0.97628290299999998</v>
      </c>
      <c r="BX423">
        <f>0.999277941</f>
        <v>0.999277941</v>
      </c>
      <c r="BY423">
        <f>1.041317628</f>
        <v>1.0413176280000001</v>
      </c>
      <c r="BZ423">
        <f>1.248049922</f>
        <v>1.2480499220000001</v>
      </c>
      <c r="CA423">
        <f>1.336756945</f>
        <v>1.3367569450000001</v>
      </c>
      <c r="CB423">
        <f>1.245113092</f>
        <v>1.245113092</v>
      </c>
      <c r="CC423">
        <f>1.341589267</f>
        <v>1.341589267</v>
      </c>
      <c r="CD423">
        <f>1.604560874</f>
        <v>1.6045608739999999</v>
      </c>
      <c r="CE423">
        <f>1.416061595</f>
        <v>1.416061595</v>
      </c>
      <c r="CF423">
        <f>1.643334578</f>
        <v>1.6433345779999999</v>
      </c>
      <c r="CG423">
        <f>1.79087531</f>
        <v>1.7908753100000001</v>
      </c>
      <c r="CH423">
        <f>1.41551393</f>
        <v>1.4155139299999999</v>
      </c>
      <c r="CI423">
        <f>1.565683923</f>
        <v>1.5656839229999999</v>
      </c>
      <c r="CJ423">
        <f>1.518961227</f>
        <v>1.5189612269999999</v>
      </c>
      <c r="CK423">
        <f>1.33572285</f>
        <v>1.33572285</v>
      </c>
      <c r="CL423">
        <f>1.404114442</f>
        <v>1.404114442</v>
      </c>
      <c r="CM423">
        <f>1.543046614</f>
        <v>1.5430466140000001</v>
      </c>
      <c r="CN423">
        <f>1.167094386</f>
        <v>1.167094386</v>
      </c>
      <c r="CO423">
        <f>1.533959808</f>
        <v>1.5339598080000001</v>
      </c>
      <c r="CP423">
        <f>1.805723706</f>
        <v>1.805723706</v>
      </c>
      <c r="CQ423">
        <f>1.715036181</f>
        <v>1.7150361810000001</v>
      </c>
      <c r="CR423">
        <f>1.376847892</f>
        <v>1.376847892</v>
      </c>
      <c r="CS423">
        <f>1.889144487</f>
        <v>1.889144487</v>
      </c>
      <c r="CT423">
        <f>1.702543528</f>
        <v>1.7025435280000001</v>
      </c>
      <c r="CU423">
        <f>1.723960478</f>
        <v>1.723960478</v>
      </c>
      <c r="CV423">
        <f>2.046444496</f>
        <v>2.0464444959999999</v>
      </c>
      <c r="CW423">
        <f>1.178978732</f>
        <v>1.178978732</v>
      </c>
      <c r="CX423">
        <f>1.625325194</f>
        <v>1.625325194</v>
      </c>
      <c r="CY423">
        <f>1.441948049</f>
        <v>1.4419480490000001</v>
      </c>
      <c r="CZ423">
        <f>1.063212088</f>
        <v>1.063212088</v>
      </c>
      <c r="DA423">
        <f>0.843860079</f>
        <v>0.84386007900000004</v>
      </c>
      <c r="DB423">
        <f>0.517412679</f>
        <v>0.51741267899999999</v>
      </c>
      <c r="DC423">
        <f>0.322576483</f>
        <v>0.32257648300000002</v>
      </c>
      <c r="DD423">
        <f>0.358025963</f>
        <v>0.358025963</v>
      </c>
      <c r="DE423">
        <f>0.40010259</f>
        <v>0.40010258999999998</v>
      </c>
      <c r="DF423">
        <f>0.449721173</f>
        <v>0.44972117299999997</v>
      </c>
      <c r="DG423">
        <f>0.705173409</f>
        <v>0.70517340900000003</v>
      </c>
      <c r="DH423">
        <f>0.87940669</f>
        <v>0.87940669000000005</v>
      </c>
      <c r="DI423">
        <f>0.532098592</f>
        <v>0.53209859199999998</v>
      </c>
      <c r="DJ423">
        <f>0.54514742</f>
        <v>0.54514742000000005</v>
      </c>
      <c r="DK423">
        <f>0.484631898</f>
        <v>0.48463189800000001</v>
      </c>
      <c r="DL423">
        <f>0.405570173</f>
        <v>0.40557017299999998</v>
      </c>
      <c r="DM423">
        <f>0.466718167</f>
        <v>0.46671816700000002</v>
      </c>
      <c r="DN423">
        <f>0.438149976</f>
        <v>0.438149976</v>
      </c>
      <c r="DO423">
        <f>0.251492836</f>
        <v>0.251492836</v>
      </c>
      <c r="DP423" t="str">
        <f>""</f>
        <v/>
      </c>
      <c r="DQ423" t="str">
        <f>""</f>
        <v/>
      </c>
      <c r="DR423" t="str">
        <f>""</f>
        <v/>
      </c>
      <c r="DS423" t="str">
        <f>""</f>
        <v/>
      </c>
      <c r="DT423" t="str">
        <f>""</f>
        <v/>
      </c>
      <c r="DU423" t="str">
        <f>""</f>
        <v/>
      </c>
    </row>
    <row r="424" spans="1:125" x14ac:dyDescent="0.25">
      <c r="A424" t="str">
        <f>"    DRB-Hicom Bhd"</f>
        <v xml:space="preserve">    DRB-Hicom Bhd</v>
      </c>
      <c r="B424" t="str">
        <f>"DRB MK Equity"</f>
        <v>DRB MK Equity</v>
      </c>
      <c r="C424" t="str">
        <f t="shared" si="30"/>
        <v>PR005</v>
      </c>
      <c r="D424" t="str">
        <f t="shared" si="31"/>
        <v>PX_LAST</v>
      </c>
      <c r="E424" t="str">
        <f t="shared" si="32"/>
        <v>Dynamic</v>
      </c>
      <c r="F424">
        <f ca="1">IF(AND(ISNUMBER($F$922),$B$511=1),$F$922,HLOOKUP(INDIRECT(ADDRESS(2,COLUMN())),OFFSET($BN$2,0,0,ROW()-1,60),ROW()-1,FALSE))</f>
        <v>0.45501498200000001</v>
      </c>
      <c r="G424">
        <f ca="1">IF(AND(ISNUMBER($G$922),$B$511=1),$G$922,HLOOKUP(INDIRECT(ADDRESS(2,COLUMN())),OFFSET($BN$2,0,0,ROW()-1,60),ROW()-1,FALSE))</f>
        <v>0.41122399599999998</v>
      </c>
      <c r="H424">
        <f ca="1">IF(AND(ISNUMBER($H$922),$B$511=1),$H$922,HLOOKUP(INDIRECT(ADDRESS(2,COLUMN())),OFFSET($BN$2,0,0,ROW()-1,60),ROW()-1,FALSE))</f>
        <v>0.52434456900000004</v>
      </c>
      <c r="I424">
        <f ca="1">IF(AND(ISNUMBER($I$922),$B$511=1),$I$922,HLOOKUP(INDIRECT(ADDRESS(2,COLUMN())),OFFSET($BN$2,0,0,ROW()-1,60),ROW()-1,FALSE))</f>
        <v>0.48615934100000002</v>
      </c>
      <c r="J424">
        <f ca="1">IF(AND(ISNUMBER($J$922),$B$511=1),$J$922,HLOOKUP(INDIRECT(ADDRESS(2,COLUMN())),OFFSET($BN$2,0,0,ROW()-1,60),ROW()-1,FALSE))</f>
        <v>0.63196063199999997</v>
      </c>
      <c r="K424">
        <f ca="1">IF(AND(ISNUMBER($K$922),$B$511=1),$K$922,HLOOKUP(INDIRECT(ADDRESS(2,COLUMN())),OFFSET($BN$2,0,0,ROW()-1,60),ROW()-1,FALSE))</f>
        <v>0.45058354299999998</v>
      </c>
      <c r="L424">
        <f ca="1">IF(AND(ISNUMBER($L$922),$B$511=1),$L$922,HLOOKUP(INDIRECT(ADDRESS(2,COLUMN())),OFFSET($BN$2,0,0,ROW()-1,60),ROW()-1,FALSE))</f>
        <v>0.38602723500000002</v>
      </c>
      <c r="M424">
        <f ca="1">IF(AND(ISNUMBER($M$922),$B$511=1),$M$922,HLOOKUP(INDIRECT(ADDRESS(2,COLUMN())),OFFSET($BN$2,0,0,ROW()-1,60),ROW()-1,FALSE))</f>
        <v>0.41409794100000002</v>
      </c>
      <c r="N424">
        <f ca="1">IF(AND(ISNUMBER($N$922),$B$511=1),$N$922,HLOOKUP(INDIRECT(ADDRESS(2,COLUMN())),OFFSET($BN$2,0,0,ROW()-1,60),ROW()-1,FALSE))</f>
        <v>0.31634843499999998</v>
      </c>
      <c r="O424">
        <f ca="1">IF(AND(ISNUMBER($O$922),$B$511=1),$O$922,HLOOKUP(INDIRECT(ADDRESS(2,COLUMN())),OFFSET($BN$2,0,0,ROW()-1,60),ROW()-1,FALSE))</f>
        <v>0.25629596599999999</v>
      </c>
      <c r="P424">
        <f ca="1">IF(AND(ISNUMBER($P$922),$B$511=1),$P$922,HLOOKUP(INDIRECT(ADDRESS(2,COLUMN())),OFFSET($BN$2,0,0,ROW()-1,60),ROW()-1,FALSE))</f>
        <v>0.35117461900000002</v>
      </c>
      <c r="Q424">
        <f ca="1">IF(AND(ISNUMBER($Q$922),$B$511=1),$Q$922,HLOOKUP(INDIRECT(ADDRESS(2,COLUMN())),OFFSET($BN$2,0,0,ROW()-1,60),ROW()-1,FALSE))</f>
        <v>0.22543960699999999</v>
      </c>
      <c r="R424">
        <f ca="1">IF(AND(ISNUMBER($R$922),$B$511=1),$R$922,HLOOKUP(INDIRECT(ADDRESS(2,COLUMN())),OFFSET($BN$2,0,0,ROW()-1,60),ROW()-1,FALSE))</f>
        <v>0.26332773999999998</v>
      </c>
      <c r="S424">
        <f ca="1">IF(AND(ISNUMBER($S$922),$B$511=1),$S$922,HLOOKUP(INDIRECT(ADDRESS(2,COLUMN())),OFFSET($BN$2,0,0,ROW()-1,60),ROW()-1,FALSE))</f>
        <v>0.28808400899999997</v>
      </c>
      <c r="T424">
        <f ca="1">IF(AND(ISNUMBER($T$922),$B$511=1),$T$922,HLOOKUP(INDIRECT(ADDRESS(2,COLUMN())),OFFSET($BN$2,0,0,ROW()-1,60),ROW()-1,FALSE))</f>
        <v>0.30323757400000001</v>
      </c>
      <c r="U424">
        <f ca="1">IF(AND(ISNUMBER($U$922),$B$511=1),$U$922,HLOOKUP(INDIRECT(ADDRESS(2,COLUMN())),OFFSET($BN$2,0,0,ROW()-1,60),ROW()-1,FALSE))</f>
        <v>0.424645461</v>
      </c>
      <c r="V424">
        <f ca="1">IF(AND(ISNUMBER($V$922),$B$511=1),$V$922,HLOOKUP(INDIRECT(ADDRESS(2,COLUMN())),OFFSET($BN$2,0,0,ROW()-1,60),ROW()-1,FALSE))</f>
        <v>0.53169954900000005</v>
      </c>
      <c r="W424">
        <f ca="1">IF(AND(ISNUMBER($W$922),$B$511=1),$W$922,HLOOKUP(INDIRECT(ADDRESS(2,COLUMN())),OFFSET($BN$2,0,0,ROW()-1,60),ROW()-1,FALSE))</f>
        <v>0.499785806</v>
      </c>
      <c r="X424">
        <f ca="1">IF(AND(ISNUMBER($X$922),$B$511=1),$X$922,HLOOKUP(INDIRECT(ADDRESS(2,COLUMN())),OFFSET($BN$2,0,0,ROW()-1,60),ROW()-1,FALSE))</f>
        <v>0.69484655500000003</v>
      </c>
      <c r="Y424">
        <f ca="1">IF(AND(ISNUMBER($Y$922),$B$511=1),$Y$922,HLOOKUP(INDIRECT(ADDRESS(2,COLUMN())),OFFSET($BN$2,0,0,ROW()-1,60),ROW()-1,FALSE))</f>
        <v>0.68860223099999995</v>
      </c>
      <c r="Z424">
        <f ca="1">IF(AND(ISNUMBER($Z$922),$B$511=1),$Z$922,HLOOKUP(INDIRECT(ADDRESS(2,COLUMN())),OFFSET($BN$2,0,0,ROW()-1,60),ROW()-1,FALSE))</f>
        <v>0.75848303399999994</v>
      </c>
      <c r="AA424">
        <f ca="1">IF(AND(ISNUMBER($AA$922),$B$511=1),$AA$922,HLOOKUP(INDIRECT(ADDRESS(2,COLUMN())),OFFSET($BN$2,0,0,ROW()-1,60),ROW()-1,FALSE))</f>
        <v>0.85936309600000005</v>
      </c>
      <c r="AB424">
        <f ca="1">IF(AND(ISNUMBER($AB$922),$B$511=1),$AB$922,HLOOKUP(INDIRECT(ADDRESS(2,COLUMN())),OFFSET($BN$2,0,0,ROW()-1,60),ROW()-1,FALSE))</f>
        <v>0.81652699799999995</v>
      </c>
      <c r="AC424">
        <f ca="1">IF(AND(ISNUMBER($AC$922),$B$511=1),$AC$922,HLOOKUP(INDIRECT(ADDRESS(2,COLUMN())),OFFSET($BN$2,0,0,ROW()-1,60),ROW()-1,FALSE))</f>
        <v>0.84668408299999998</v>
      </c>
      <c r="AD424">
        <f ca="1">IF(AND(ISNUMBER($AD$922),$B$511=1),$AD$922,HLOOKUP(INDIRECT(ADDRESS(2,COLUMN())),OFFSET($BN$2,0,0,ROW()-1,60),ROW()-1,FALSE))</f>
        <v>0.81927398699999998</v>
      </c>
      <c r="AE424">
        <f ca="1">IF(AND(ISNUMBER($AE$922),$B$511=1),$AE$922,HLOOKUP(INDIRECT(ADDRESS(2,COLUMN())),OFFSET($BN$2,0,0,ROW()-1,60),ROW()-1,FALSE))</f>
        <v>0.89420242400000005</v>
      </c>
      <c r="AF424">
        <f ca="1">IF(AND(ISNUMBER($AF$922),$B$511=1),$AF$922,HLOOKUP(INDIRECT(ADDRESS(2,COLUMN())),OFFSET($BN$2,0,0,ROW()-1,60),ROW()-1,FALSE))</f>
        <v>0.76049350500000001</v>
      </c>
      <c r="AG424">
        <f ca="1">IF(AND(ISNUMBER($AG$922),$B$511=1),$AG$922,HLOOKUP(INDIRECT(ADDRESS(2,COLUMN())),OFFSET($BN$2,0,0,ROW()-1,60),ROW()-1,FALSE))</f>
        <v>0.79852969100000004</v>
      </c>
      <c r="AH424">
        <f ca="1">IF(AND(ISNUMBER($AH$922),$B$511=1),$AH$922,HLOOKUP(INDIRECT(ADDRESS(2,COLUMN())),OFFSET($BN$2,0,0,ROW()-1,60),ROW()-1,FALSE))</f>
        <v>0.82334106600000001</v>
      </c>
      <c r="AI424">
        <f ca="1">IF(AND(ISNUMBER($AI$922),$B$511=1),$AI$922,HLOOKUP(INDIRECT(ADDRESS(2,COLUMN())),OFFSET($BN$2,0,0,ROW()-1,60),ROW()-1,FALSE))</f>
        <v>0.64424443399999998</v>
      </c>
      <c r="AJ424">
        <f ca="1">IF(AND(ISNUMBER($AJ$922),$B$511=1),$AJ$922,HLOOKUP(INDIRECT(ADDRESS(2,COLUMN())),OFFSET($BN$2,0,0,ROW()-1,60),ROW()-1,FALSE))</f>
        <v>0.54501033600000004</v>
      </c>
      <c r="AK424">
        <f ca="1">IF(AND(ISNUMBER($AK$922),$B$511=1),$AK$922,HLOOKUP(INDIRECT(ADDRESS(2,COLUMN())),OFFSET($BN$2,0,0,ROW()-1,60),ROW()-1,FALSE))</f>
        <v>0.75227837600000003</v>
      </c>
      <c r="AL424">
        <f ca="1">IF(AND(ISNUMBER($AL$922),$B$511=1),$AL$922,HLOOKUP(INDIRECT(ADDRESS(2,COLUMN())),OFFSET($BN$2,0,0,ROW()-1,60),ROW()-1,FALSE))</f>
        <v>0.76020492500000003</v>
      </c>
      <c r="AM424">
        <f ca="1">IF(AND(ISNUMBER($AM$922),$B$511=1),$AM$922,HLOOKUP(INDIRECT(ADDRESS(2,COLUMN())),OFFSET($BN$2,0,0,ROW()-1,60),ROW()-1,FALSE))</f>
        <v>0.63007469999999999</v>
      </c>
      <c r="AN424">
        <f ca="1">IF(AND(ISNUMBER($AN$922),$B$511=1),$AN$922,HLOOKUP(INDIRECT(ADDRESS(2,COLUMN())),OFFSET($BN$2,0,0,ROW()-1,60),ROW()-1,FALSE))</f>
        <v>0.40525206699999999</v>
      </c>
      <c r="AO424">
        <f ca="1">IF(AND(ISNUMBER($AO$922),$B$511=1),$AO$922,HLOOKUP(INDIRECT(ADDRESS(2,COLUMN())),OFFSET($BN$2,0,0,ROW()-1,60),ROW()-1,FALSE))</f>
        <v>0.32243063100000002</v>
      </c>
      <c r="AP424">
        <f ca="1">IF(AND(ISNUMBER($AP$922),$B$511=1),$AP$922,HLOOKUP(INDIRECT(ADDRESS(2,COLUMN())),OFFSET($BN$2,0,0,ROW()-1,60),ROW()-1,FALSE))</f>
        <v>0.35561005499999998</v>
      </c>
      <c r="AQ424">
        <f ca="1">IF(AND(ISNUMBER($AQ$922),$B$511=1),$AQ$922,HLOOKUP(INDIRECT(ADDRESS(2,COLUMN())),OFFSET($BN$2,0,0,ROW()-1,60),ROW()-1,FALSE))</f>
        <v>0.29369002599999999</v>
      </c>
      <c r="AR424">
        <f ca="1">IF(AND(ISNUMBER($AR$922),$B$511=1),$AR$922,HLOOKUP(INDIRECT(ADDRESS(2,COLUMN())),OFFSET($BN$2,0,0,ROW()-1,60),ROW()-1,FALSE))</f>
        <v>0.33453496799999999</v>
      </c>
      <c r="AS424">
        <f ca="1">IF(AND(ISNUMBER($AS$922),$B$511=1),$AS$922,HLOOKUP(INDIRECT(ADDRESS(2,COLUMN())),OFFSET($BN$2,0,0,ROW()-1,60),ROW()-1,FALSE))</f>
        <v>0.29587482199999998</v>
      </c>
      <c r="AT424">
        <f ca="1">IF(AND(ISNUMBER($AT$922),$B$511=1),$AT$922,HLOOKUP(INDIRECT(ADDRESS(2,COLUMN())),OFFSET($BN$2,0,0,ROW()-1,60),ROW()-1,FALSE))</f>
        <v>0.18927444800000001</v>
      </c>
      <c r="AU424">
        <f ca="1">IF(AND(ISNUMBER($AU$922),$B$511=1),$AU$922,HLOOKUP(INDIRECT(ADDRESS(2,COLUMN())),OFFSET($BN$2,0,0,ROW()-1,60),ROW()-1,FALSE))</f>
        <v>0.20953757200000001</v>
      </c>
      <c r="AV424">
        <f ca="1">IF(AND(ISNUMBER($AV$922),$B$511=1),$AV$922,HLOOKUP(INDIRECT(ADDRESS(2,COLUMN())),OFFSET($BN$2,0,0,ROW()-1,60),ROW()-1,FALSE))</f>
        <v>0.25708060999999999</v>
      </c>
      <c r="AW424">
        <f ca="1">IF(AND(ISNUMBER($AW$922),$B$511=1),$AW$922,HLOOKUP(INDIRECT(ADDRESS(2,COLUMN())),OFFSET($BN$2,0,0,ROW()-1,60),ROW()-1,FALSE))</f>
        <v>0.293802601</v>
      </c>
      <c r="AX424">
        <f ca="1">IF(AND(ISNUMBER($AX$922),$B$511=1),$AX$922,HLOOKUP(INDIRECT(ADDRESS(2,COLUMN())),OFFSET($BN$2,0,0,ROW()-1,60),ROW()-1,FALSE))</f>
        <v>0.397558303</v>
      </c>
      <c r="AY424">
        <f ca="1">IF(AND(ISNUMBER($AY$922),$B$511=1),$AY$922,HLOOKUP(INDIRECT(ADDRESS(2,COLUMN())),OFFSET($BN$2,0,0,ROW()-1,60),ROW()-1,FALSE))</f>
        <v>0.480841927</v>
      </c>
      <c r="AZ424">
        <f ca="1">IF(AND(ISNUMBER($AZ$922),$B$511=1),$AZ$922,HLOOKUP(INDIRECT(ADDRESS(2,COLUMN())),OFFSET($BN$2,0,0,ROW()-1,60),ROW()-1,FALSE))</f>
        <v>0.56341334600000004</v>
      </c>
      <c r="BA424">
        <f ca="1">IF(AND(ISNUMBER($BA$922),$B$511=1),$BA$922,HLOOKUP(INDIRECT(ADDRESS(2,COLUMN())),OFFSET($BN$2,0,0,ROW()-1,60),ROW()-1,FALSE))</f>
        <v>0.53005068799999999</v>
      </c>
      <c r="BB424">
        <f ca="1">IF(AND(ISNUMBER($BB$922),$B$511=1),$BB$922,HLOOKUP(INDIRECT(ADDRESS(2,COLUMN())),OFFSET($BN$2,0,0,ROW()-1,60),ROW()-1,FALSE))</f>
        <v>0.56399132299999999</v>
      </c>
      <c r="BC424">
        <f ca="1">IF(AND(ISNUMBER($BC$922),$B$511=1),$BC$922,HLOOKUP(INDIRECT(ADDRESS(2,COLUMN())),OFFSET($BN$2,0,0,ROW()-1,60),ROW()-1,FALSE))</f>
        <v>0.47619047599999997</v>
      </c>
      <c r="BD424">
        <f ca="1">IF(AND(ISNUMBER($BD$922),$B$511=1),$BD$922,HLOOKUP(INDIRECT(ADDRESS(2,COLUMN())),OFFSET($BN$2,0,0,ROW()-1,60),ROW()-1,FALSE))</f>
        <v>0.39045553199999999</v>
      </c>
      <c r="BE424">
        <f ca="1">IF(AND(ISNUMBER($BE$922),$B$511=1),$BE$922,HLOOKUP(INDIRECT(ADDRESS(2,COLUMN())),OFFSET($BN$2,0,0,ROW()-1,60),ROW()-1,FALSE))</f>
        <v>0.38916859399999998</v>
      </c>
      <c r="BF424">
        <f ca="1">IF(AND(ISNUMBER($BF$922),$B$511=1),$BF$922,HLOOKUP(INDIRECT(ADDRESS(2,COLUMN())),OFFSET($BN$2,0,0,ROW()-1,60),ROW()-1,FALSE))</f>
        <v>0.39097499400000002</v>
      </c>
      <c r="BG424">
        <f ca="1">IF(AND(ISNUMBER($BG$922),$B$511=1),$BG$922,HLOOKUP(INDIRECT(ADDRESS(2,COLUMN())),OFFSET($BN$2,0,0,ROW()-1,60),ROW()-1,FALSE))</f>
        <v>0.314856462</v>
      </c>
      <c r="BH424">
        <f ca="1">IF(AND(ISNUMBER($BH$922),$B$511=1),$BH$922,HLOOKUP(INDIRECT(ADDRESS(2,COLUMN())),OFFSET($BN$2,0,0,ROW()-1,60),ROW()-1,FALSE))</f>
        <v>0.41655611599999998</v>
      </c>
      <c r="BI424">
        <f ca="1">IF(AND(ISNUMBER($BI$922),$B$511=1),$BI$922,HLOOKUP(INDIRECT(ADDRESS(2,COLUMN())),OFFSET($BN$2,0,0,ROW()-1,60),ROW()-1,FALSE))</f>
        <v>0.38684210499999999</v>
      </c>
      <c r="BJ424">
        <f ca="1">IF(AND(ISNUMBER($BJ$922),$B$511=1),$BJ$922,HLOOKUP(INDIRECT(ADDRESS(2,COLUMN())),OFFSET($BN$2,0,0,ROW()-1,60),ROW()-1,FALSE))</f>
        <v>0.48947368400000002</v>
      </c>
      <c r="BK424">
        <f ca="1">IF(AND(ISNUMBER($BK$922),$B$511=1),$BK$922,HLOOKUP(INDIRECT(ADDRESS(2,COLUMN())),OFFSET($BN$2,0,0,ROW()-1,60),ROW()-1,FALSE))</f>
        <v>0.57631578999999999</v>
      </c>
      <c r="BL424">
        <f ca="1">IF(AND(ISNUMBER($BL$922),$B$511=1),$BL$922,HLOOKUP(INDIRECT(ADDRESS(2,COLUMN())),OFFSET($BN$2,0,0,ROW()-1,60),ROW()-1,FALSE))</f>
        <v>0.55263157900000004</v>
      </c>
      <c r="BM424">
        <f ca="1">IF(AND(ISNUMBER($BM$922),$B$511=1),$BM$922,HLOOKUP(INDIRECT(ADDRESS(2,COLUMN())),OFFSET($BN$2,0,0,ROW()-1,60),ROW()-1,FALSE))</f>
        <v>0.413157895</v>
      </c>
      <c r="BN424">
        <f>0.455014982</f>
        <v>0.45501498200000001</v>
      </c>
      <c r="BO424">
        <f>0.411223996</f>
        <v>0.41122399599999998</v>
      </c>
      <c r="BP424">
        <f>0.524344569</f>
        <v>0.52434456900000004</v>
      </c>
      <c r="BQ424">
        <f>0.486159341</f>
        <v>0.48615934100000002</v>
      </c>
      <c r="BR424">
        <f>0.631960632</f>
        <v>0.63196063199999997</v>
      </c>
      <c r="BS424">
        <f>0.450583543</f>
        <v>0.45058354299999998</v>
      </c>
      <c r="BT424">
        <f>0.386027235</f>
        <v>0.38602723500000002</v>
      </c>
      <c r="BU424">
        <f>0.414097941</f>
        <v>0.41409794100000002</v>
      </c>
      <c r="BV424">
        <f>0.316348435</f>
        <v>0.31634843499999998</v>
      </c>
      <c r="BW424">
        <f>0.256295966</f>
        <v>0.25629596599999999</v>
      </c>
      <c r="BX424">
        <f>0.351174619</f>
        <v>0.35117461900000002</v>
      </c>
      <c r="BY424">
        <f>0.225439607</f>
        <v>0.22543960699999999</v>
      </c>
      <c r="BZ424">
        <f>0.26332774</f>
        <v>0.26332773999999998</v>
      </c>
      <c r="CA424">
        <f>0.288084009</f>
        <v>0.28808400899999997</v>
      </c>
      <c r="CB424">
        <f>0.303237574</f>
        <v>0.30323757400000001</v>
      </c>
      <c r="CC424">
        <f>0.424645461</f>
        <v>0.424645461</v>
      </c>
      <c r="CD424">
        <f>0.531699549</f>
        <v>0.53169954900000005</v>
      </c>
      <c r="CE424">
        <f>0.499785806</f>
        <v>0.499785806</v>
      </c>
      <c r="CF424">
        <f>0.694846555</f>
        <v>0.69484655500000003</v>
      </c>
      <c r="CG424">
        <f>0.688602231</f>
        <v>0.68860223099999995</v>
      </c>
      <c r="CH424">
        <f>0.758483034</f>
        <v>0.75848303399999994</v>
      </c>
      <c r="CI424">
        <f>0.859363096</f>
        <v>0.85936309600000005</v>
      </c>
      <c r="CJ424">
        <f>0.816526998</f>
        <v>0.81652699799999995</v>
      </c>
      <c r="CK424">
        <f>0.846684083</f>
        <v>0.84668408299999998</v>
      </c>
      <c r="CL424">
        <f>0.819273987</f>
        <v>0.81927398699999998</v>
      </c>
      <c r="CM424">
        <f>0.894202424</f>
        <v>0.89420242400000005</v>
      </c>
      <c r="CN424">
        <f>0.760493505</f>
        <v>0.76049350500000001</v>
      </c>
      <c r="CO424">
        <f>0.798529691</f>
        <v>0.79852969100000004</v>
      </c>
      <c r="CP424">
        <f>0.823341066</f>
        <v>0.82334106600000001</v>
      </c>
      <c r="CQ424">
        <f>0.644244434</f>
        <v>0.64424443399999998</v>
      </c>
      <c r="CR424">
        <f>0.545010336</f>
        <v>0.54501033600000004</v>
      </c>
      <c r="CS424">
        <f>0.752278376</f>
        <v>0.75227837600000003</v>
      </c>
      <c r="CT424">
        <f>0.760204925</f>
        <v>0.76020492500000003</v>
      </c>
      <c r="CU424">
        <f>0.6300747</f>
        <v>0.63007469999999999</v>
      </c>
      <c r="CV424">
        <f>0.405252067</f>
        <v>0.40525206699999999</v>
      </c>
      <c r="CW424">
        <f>0.322430631</f>
        <v>0.32243063100000002</v>
      </c>
      <c r="CX424">
        <f>0.355610055</f>
        <v>0.35561005499999998</v>
      </c>
      <c r="CY424">
        <f>0.293690026</f>
        <v>0.29369002599999999</v>
      </c>
      <c r="CZ424">
        <f>0.334534968</f>
        <v>0.33453496799999999</v>
      </c>
      <c r="DA424">
        <f>0.295874822</f>
        <v>0.29587482199999998</v>
      </c>
      <c r="DB424">
        <f>0.189274448</f>
        <v>0.18927444800000001</v>
      </c>
      <c r="DC424">
        <f>0.209537572</f>
        <v>0.20953757200000001</v>
      </c>
      <c r="DD424">
        <f>0.25708061</f>
        <v>0.25708060999999999</v>
      </c>
      <c r="DE424">
        <f>0.293802601</f>
        <v>0.293802601</v>
      </c>
      <c r="DF424">
        <f>0.397558303</f>
        <v>0.397558303</v>
      </c>
      <c r="DG424">
        <f>0.480841927</f>
        <v>0.480841927</v>
      </c>
      <c r="DH424">
        <f>0.563413346</f>
        <v>0.56341334600000004</v>
      </c>
      <c r="DI424">
        <f>0.530050688</f>
        <v>0.53005068799999999</v>
      </c>
      <c r="DJ424">
        <f>0.563991323</f>
        <v>0.56399132299999999</v>
      </c>
      <c r="DK424">
        <f>0.476190476</f>
        <v>0.47619047599999997</v>
      </c>
      <c r="DL424">
        <f>0.390455532</f>
        <v>0.39045553199999999</v>
      </c>
      <c r="DM424">
        <f>0.389168594</f>
        <v>0.38916859399999998</v>
      </c>
      <c r="DN424">
        <f>0.390974994</f>
        <v>0.39097499400000002</v>
      </c>
      <c r="DO424">
        <f>0.314856462</f>
        <v>0.314856462</v>
      </c>
      <c r="DP424">
        <f>0.416556116</f>
        <v>0.41655611599999998</v>
      </c>
      <c r="DQ424">
        <f>0.386842105</f>
        <v>0.38684210499999999</v>
      </c>
      <c r="DR424">
        <f>0.489473684</f>
        <v>0.48947368400000002</v>
      </c>
      <c r="DS424">
        <f>0.57631579</f>
        <v>0.57631578999999999</v>
      </c>
      <c r="DT424">
        <f>0.552631579</f>
        <v>0.55263157900000004</v>
      </c>
      <c r="DU424">
        <f>0.413157895</f>
        <v>0.413157895</v>
      </c>
    </row>
    <row r="425" spans="1:125" x14ac:dyDescent="0.25">
      <c r="A425" t="str">
        <f>"    FAW CAR Co Ltd"</f>
        <v xml:space="preserve">    FAW CAR Co Ltd</v>
      </c>
      <c r="B425" t="str">
        <f>"000800 CH Equity"</f>
        <v>000800 CH Equity</v>
      </c>
      <c r="C425" t="str">
        <f t="shared" si="30"/>
        <v>PR005</v>
      </c>
      <c r="D425" t="str">
        <f t="shared" si="31"/>
        <v>PX_LAST</v>
      </c>
      <c r="E425" t="str">
        <f t="shared" si="32"/>
        <v>Dynamic</v>
      </c>
      <c r="F425">
        <f ca="1">IF(AND(ISNUMBER($F$923),$B$511=1),$F$923,HLOOKUP(INDIRECT(ADDRESS(2,COLUMN())),OFFSET($BN$2,0,0,ROW()-1,60),ROW()-1,FALSE))</f>
        <v>1.2549113649999999</v>
      </c>
      <c r="G425">
        <f ca="1">IF(AND(ISNUMBER($G$923),$B$511=1),$G$923,HLOOKUP(INDIRECT(ADDRESS(2,COLUMN())),OFFSET($BN$2,0,0,ROW()-1,60),ROW()-1,FALSE))</f>
        <v>0.96246110900000004</v>
      </c>
      <c r="H425">
        <f ca="1">IF(AND(ISNUMBER($H$923),$B$511=1),$H$923,HLOOKUP(INDIRECT(ADDRESS(2,COLUMN())),OFFSET($BN$2,0,0,ROW()-1,60),ROW()-1,FALSE))</f>
        <v>0.95936876699999996</v>
      </c>
      <c r="I425">
        <f ca="1">IF(AND(ISNUMBER($I$923),$B$511=1),$I$923,HLOOKUP(INDIRECT(ADDRESS(2,COLUMN())),OFFSET($BN$2,0,0,ROW()-1,60),ROW()-1,FALSE))</f>
        <v>1.1292441010000001</v>
      </c>
      <c r="J425">
        <f ca="1">IF(AND(ISNUMBER($J$923),$B$511=1),$J$923,HLOOKUP(INDIRECT(ADDRESS(2,COLUMN())),OFFSET($BN$2,0,0,ROW()-1,60),ROW()-1,FALSE))</f>
        <v>1.6221374049999999</v>
      </c>
      <c r="K425">
        <f ca="1">IF(AND(ISNUMBER($K$923),$B$511=1),$K$923,HLOOKUP(INDIRECT(ADDRESS(2,COLUMN())),OFFSET($BN$2,0,0,ROW()-1,60),ROW()-1,FALSE))</f>
        <v>1.653680053</v>
      </c>
      <c r="L425">
        <f ca="1">IF(AND(ISNUMBER($L$923),$B$511=1),$L$923,HLOOKUP(INDIRECT(ADDRESS(2,COLUMN())),OFFSET($BN$2,0,0,ROW()-1,60),ROW()-1,FALSE))</f>
        <v>2.0738820480000002</v>
      </c>
      <c r="M425">
        <f ca="1">IF(AND(ISNUMBER($M$923),$B$511=1),$M$923,HLOOKUP(INDIRECT(ADDRESS(2,COLUMN())),OFFSET($BN$2,0,0,ROW()-1,60),ROW()-1,FALSE))</f>
        <v>1.503303721</v>
      </c>
      <c r="N425">
        <f ca="1">IF(AND(ISNUMBER($N$923),$B$511=1),$N$923,HLOOKUP(INDIRECT(ADDRESS(2,COLUMN())),OFFSET($BN$2,0,0,ROW()-1,60),ROW()-1,FALSE))</f>
        <v>1.7098988020000001</v>
      </c>
      <c r="O425">
        <f ca="1">IF(AND(ISNUMBER($O$923),$B$511=1),$O$923,HLOOKUP(INDIRECT(ADDRESS(2,COLUMN())),OFFSET($BN$2,0,0,ROW()-1,60),ROW()-1,FALSE))</f>
        <v>1.56635013</v>
      </c>
      <c r="P425">
        <f ca="1">IF(AND(ISNUMBER($P$923),$B$511=1),$P$923,HLOOKUP(INDIRECT(ADDRESS(2,COLUMN())),OFFSET($BN$2,0,0,ROW()-1,60),ROW()-1,FALSE))</f>
        <v>1.5705863819999999</v>
      </c>
      <c r="Q425">
        <f ca="1">IF(AND(ISNUMBER($Q$923),$B$511=1),$Q$923,HLOOKUP(INDIRECT(ADDRESS(2,COLUMN())),OFFSET($BN$2,0,0,ROW()-1,60),ROW()-1,FALSE))</f>
        <v>1.6349347080000001</v>
      </c>
      <c r="R425">
        <f ca="1">IF(AND(ISNUMBER($R$923),$B$511=1),$R$923,HLOOKUP(INDIRECT(ADDRESS(2,COLUMN())),OFFSET($BN$2,0,0,ROW()-1,60),ROW()-1,FALSE))</f>
        <v>2.183582066</v>
      </c>
      <c r="S425">
        <f ca="1">IF(AND(ISNUMBER($S$923),$B$511=1),$S$923,HLOOKUP(INDIRECT(ADDRESS(2,COLUMN())),OFFSET($BN$2,0,0,ROW()-1,60),ROW()-1,FALSE))</f>
        <v>2.5233140660000002</v>
      </c>
      <c r="T425">
        <f ca="1">IF(AND(ISNUMBER($T$923),$B$511=1),$T$923,HLOOKUP(INDIRECT(ADDRESS(2,COLUMN())),OFFSET($BN$2,0,0,ROW()-1,60),ROW()-1,FALSE))</f>
        <v>2.288491483</v>
      </c>
      <c r="U425">
        <f ca="1">IF(AND(ISNUMBER($U$923),$B$511=1),$U$923,HLOOKUP(INDIRECT(ADDRESS(2,COLUMN())),OFFSET($BN$2,0,0,ROW()-1,60),ROW()-1,FALSE))</f>
        <v>4.0138743239999997</v>
      </c>
      <c r="V425">
        <f ca="1">IF(AND(ISNUMBER($V$923),$B$511=1),$V$923,HLOOKUP(INDIRECT(ADDRESS(2,COLUMN())),OFFSET($BN$2,0,0,ROW()-1,60),ROW()-1,FALSE))</f>
        <v>3.160525679</v>
      </c>
      <c r="W425">
        <f ca="1">IF(AND(ISNUMBER($W$923),$B$511=1),$W$923,HLOOKUP(INDIRECT(ADDRESS(2,COLUMN())),OFFSET($BN$2,0,0,ROW()-1,60),ROW()-1,FALSE))</f>
        <v>2.4390243900000002</v>
      </c>
      <c r="X425">
        <f ca="1">IF(AND(ISNUMBER($X$923),$B$511=1),$X$923,HLOOKUP(INDIRECT(ADDRESS(2,COLUMN())),OFFSET($BN$2,0,0,ROW()-1,60),ROW()-1,FALSE))</f>
        <v>1.8083477240000001</v>
      </c>
      <c r="Y425">
        <f ca="1">IF(AND(ISNUMBER($Y$923),$B$511=1),$Y$923,HLOOKUP(INDIRECT(ADDRESS(2,COLUMN())),OFFSET($BN$2,0,0,ROW()-1,60),ROW()-1,FALSE))</f>
        <v>1.5473388990000001</v>
      </c>
      <c r="Z425">
        <f ca="1">IF(AND(ISNUMBER($Z$923),$B$511=1),$Z$923,HLOOKUP(INDIRECT(ADDRESS(2,COLUMN())),OFFSET($BN$2,0,0,ROW()-1,60),ROW()-1,FALSE))</f>
        <v>1.624185897</v>
      </c>
      <c r="AA425">
        <f ca="1">IF(AND(ISNUMBER($AA$923),$B$511=1),$AA$923,HLOOKUP(INDIRECT(ADDRESS(2,COLUMN())),OFFSET($BN$2,0,0,ROW()-1,60),ROW()-1,FALSE))</f>
        <v>1.9661621840000001</v>
      </c>
      <c r="AB425">
        <f ca="1">IF(AND(ISNUMBER($AB$923),$B$511=1),$AB$923,HLOOKUP(INDIRECT(ADDRESS(2,COLUMN())),OFFSET($BN$2,0,0,ROW()-1,60),ROW()-1,FALSE))</f>
        <v>2.1678047509999998</v>
      </c>
      <c r="AC425">
        <f ca="1">IF(AND(ISNUMBER($AC$923),$B$511=1),$AC$923,HLOOKUP(INDIRECT(ADDRESS(2,COLUMN())),OFFSET($BN$2,0,0,ROW()-1,60),ROW()-1,FALSE))</f>
        <v>2.0040406669999999</v>
      </c>
      <c r="AD425">
        <f ca="1">IF(AND(ISNUMBER($AD$923),$B$511=1),$AD$923,HLOOKUP(INDIRECT(ADDRESS(2,COLUMN())),OFFSET($BN$2,0,0,ROW()-1,60),ROW()-1,FALSE))</f>
        <v>1.2623172540000001</v>
      </c>
      <c r="AE425">
        <f ca="1">IF(AND(ISNUMBER($AE$923),$B$511=1),$AE$923,HLOOKUP(INDIRECT(ADDRESS(2,COLUMN())),OFFSET($BN$2,0,0,ROW()-1,60),ROW()-1,FALSE))</f>
        <v>1.3344025660000001</v>
      </c>
      <c r="AF425">
        <f ca="1">IF(AND(ISNUMBER($AF$923),$B$511=1),$AF$923,HLOOKUP(INDIRECT(ADDRESS(2,COLUMN())),OFFSET($BN$2,0,0,ROW()-1,60),ROW()-1,FALSE))</f>
        <v>1.084985205</v>
      </c>
      <c r="AG425">
        <f ca="1">IF(AND(ISNUMBER($AG$923),$B$511=1),$AG$923,HLOOKUP(INDIRECT(ADDRESS(2,COLUMN())),OFFSET($BN$2,0,0,ROW()-1,60),ROW()-1,FALSE))</f>
        <v>1.7088637470000001</v>
      </c>
      <c r="AH425">
        <f ca="1">IF(AND(ISNUMBER($AH$923),$B$511=1),$AH$923,HLOOKUP(INDIRECT(ADDRESS(2,COLUMN())),OFFSET($BN$2,0,0,ROW()-1,60),ROW()-1,FALSE))</f>
        <v>1.668624774</v>
      </c>
      <c r="AI425">
        <f ca="1">IF(AND(ISNUMBER($AI$923),$B$511=1),$AI$923,HLOOKUP(INDIRECT(ADDRESS(2,COLUMN())),OFFSET($BN$2,0,0,ROW()-1,60),ROW()-1,FALSE))</f>
        <v>1.4048288010000001</v>
      </c>
      <c r="AJ425">
        <f ca="1">IF(AND(ISNUMBER($AJ$923),$B$511=1),$AJ$923,HLOOKUP(INDIRECT(ADDRESS(2,COLUMN())),OFFSET($BN$2,0,0,ROW()-1,60),ROW()-1,FALSE))</f>
        <v>1.7922606919999999</v>
      </c>
      <c r="AK425">
        <f ca="1">IF(AND(ISNUMBER($AK$923),$B$511=1),$AK$923,HLOOKUP(INDIRECT(ADDRESS(2,COLUMN())),OFFSET($BN$2,0,0,ROW()-1,60),ROW()-1,FALSE))</f>
        <v>2.190627949</v>
      </c>
      <c r="AL425">
        <f ca="1">IF(AND(ISNUMBER($AL$923),$B$511=1),$AL$923,HLOOKUP(INDIRECT(ADDRESS(2,COLUMN())),OFFSET($BN$2,0,0,ROW()-1,60),ROW()-1,FALSE))</f>
        <v>2.5577986130000001</v>
      </c>
      <c r="AM425">
        <f ca="1">IF(AND(ISNUMBER($AM$923),$B$511=1),$AM$923,HLOOKUP(INDIRECT(ADDRESS(2,COLUMN())),OFFSET($BN$2,0,0,ROW()-1,60),ROW()-1,FALSE))</f>
        <v>2.4356192239999999</v>
      </c>
      <c r="AN425">
        <f ca="1">IF(AND(ISNUMBER($AN$923),$B$511=1),$AN$923,HLOOKUP(INDIRECT(ADDRESS(2,COLUMN())),OFFSET($BN$2,0,0,ROW()-1,60),ROW()-1,FALSE))</f>
        <v>2.7757847529999999</v>
      </c>
      <c r="AO425">
        <f ca="1">IF(AND(ISNUMBER($AO$923),$B$511=1),$AO$923,HLOOKUP(INDIRECT(ADDRESS(2,COLUMN())),OFFSET($BN$2,0,0,ROW()-1,60),ROW()-1,FALSE))</f>
        <v>2.2414250739999999</v>
      </c>
      <c r="AP425">
        <f ca="1">IF(AND(ISNUMBER($AP$923),$B$511=1),$AP$923,HLOOKUP(INDIRECT(ADDRESS(2,COLUMN())),OFFSET($BN$2,0,0,ROW()-1,60),ROW()-1,FALSE))</f>
        <v>3.2315242070000001</v>
      </c>
      <c r="AQ425">
        <f ca="1">IF(AND(ISNUMBER($AQ$923),$B$511=1),$AQ$923,HLOOKUP(INDIRECT(ADDRESS(2,COLUMN())),OFFSET($BN$2,0,0,ROW()-1,60),ROW()-1,FALSE))</f>
        <v>3.8112815100000002</v>
      </c>
      <c r="AR425">
        <f ca="1">IF(AND(ISNUMBER($AR$923),$B$511=1),$AR$923,HLOOKUP(INDIRECT(ADDRESS(2,COLUMN())),OFFSET($BN$2,0,0,ROW()-1,60),ROW()-1,FALSE))</f>
        <v>2.4947629020000002</v>
      </c>
      <c r="AS425">
        <f ca="1">IF(AND(ISNUMBER($AS$923),$B$511=1),$AS$923,HLOOKUP(INDIRECT(ADDRESS(2,COLUMN())),OFFSET($BN$2,0,0,ROW()-1,60),ROW()-1,FALSE))</f>
        <v>2.2603832700000002</v>
      </c>
      <c r="AT425">
        <f ca="1">IF(AND(ISNUMBER($AT$923),$B$511=1),$AT$923,HLOOKUP(INDIRECT(ADDRESS(2,COLUMN())),OFFSET($BN$2,0,0,ROW()-1,60),ROW()-1,FALSE))</f>
        <v>1.7955396859999999</v>
      </c>
      <c r="AU425">
        <f ca="1">IF(AND(ISNUMBER($AU$923),$B$511=1),$AU$923,HLOOKUP(INDIRECT(ADDRESS(2,COLUMN())),OFFSET($BN$2,0,0,ROW()-1,60),ROW()-1,FALSE))</f>
        <v>1.0519375870000001</v>
      </c>
      <c r="AV425">
        <f ca="1">IF(AND(ISNUMBER($AV$923),$B$511=1),$AV$923,HLOOKUP(INDIRECT(ADDRESS(2,COLUMN())),OFFSET($BN$2,0,0,ROW()-1,60),ROW()-1,FALSE))</f>
        <v>0.99291815699999997</v>
      </c>
      <c r="AW425">
        <f ca="1">IF(AND(ISNUMBER($AW$923),$B$511=1),$AW$923,HLOOKUP(INDIRECT(ADDRESS(2,COLUMN())),OFFSET($BN$2,0,0,ROW()-1,60),ROW()-1,FALSE))</f>
        <v>1.1583969190000001</v>
      </c>
      <c r="AX425">
        <f ca="1">IF(AND(ISNUMBER($AX$923),$B$511=1),$AX$923,HLOOKUP(INDIRECT(ADDRESS(2,COLUMN())),OFFSET($BN$2,0,0,ROW()-1,60),ROW()-1,FALSE))</f>
        <v>1.8938961780000001</v>
      </c>
      <c r="AY425">
        <f ca="1">IF(AND(ISNUMBER($AY$923),$B$511=1),$AY$923,HLOOKUP(INDIRECT(ADDRESS(2,COLUMN())),OFFSET($BN$2,0,0,ROW()-1,60),ROW()-1,FALSE))</f>
        <v>2.6149696750000002</v>
      </c>
      <c r="AZ425">
        <f ca="1">IF(AND(ISNUMBER($AZ$923),$B$511=1),$AZ$923,HLOOKUP(INDIRECT(ADDRESS(2,COLUMN())),OFFSET($BN$2,0,0,ROW()-1,60),ROW()-1,FALSE))</f>
        <v>2.8709982549999999</v>
      </c>
      <c r="BA425">
        <f ca="1">IF(AND(ISNUMBER($BA$923),$B$511=1),$BA$923,HLOOKUP(INDIRECT(ADDRESS(2,COLUMN())),OFFSET($BN$2,0,0,ROW()-1,60),ROW()-1,FALSE))</f>
        <v>1.4317238480000001</v>
      </c>
      <c r="BB425">
        <f ca="1">IF(AND(ISNUMBER($BB$923),$B$511=1),$BB$923,HLOOKUP(INDIRECT(ADDRESS(2,COLUMN())),OFFSET($BN$2,0,0,ROW()-1,60),ROW()-1,FALSE))</f>
        <v>1.16895544</v>
      </c>
      <c r="BC425">
        <f ca="1">IF(AND(ISNUMBER($BC$923),$B$511=1),$BC$923,HLOOKUP(INDIRECT(ADDRESS(2,COLUMN())),OFFSET($BN$2,0,0,ROW()-1,60),ROW()-1,FALSE))</f>
        <v>0.51632906700000003</v>
      </c>
      <c r="BD425">
        <f ca="1">IF(AND(ISNUMBER($BD$923),$B$511=1),$BD$923,HLOOKUP(INDIRECT(ADDRESS(2,COLUMN())),OFFSET($BN$2,0,0,ROW()-1,60),ROW()-1,FALSE))</f>
        <v>0.39220151599999997</v>
      </c>
      <c r="BE425">
        <f ca="1">IF(AND(ISNUMBER($BE$923),$B$511=1),$BE$923,HLOOKUP(INDIRECT(ADDRESS(2,COLUMN())),OFFSET($BN$2,0,0,ROW()-1,60),ROW()-1,FALSE))</f>
        <v>0.44399975000000003</v>
      </c>
      <c r="BF425">
        <f ca="1">IF(AND(ISNUMBER($BF$923),$B$511=1),$BF$923,HLOOKUP(INDIRECT(ADDRESS(2,COLUMN())),OFFSET($BN$2,0,0,ROW()-1,60),ROW()-1,FALSE))</f>
        <v>0.42477920200000002</v>
      </c>
      <c r="BG425">
        <f ca="1">IF(AND(ISNUMBER($BG$923),$B$511=1),$BG$923,HLOOKUP(INDIRECT(ADDRESS(2,COLUMN())),OFFSET($BN$2,0,0,ROW()-1,60),ROW()-1,FALSE))</f>
        <v>0.38660751900000001</v>
      </c>
      <c r="BH425">
        <f ca="1">IF(AND(ISNUMBER($BH$923),$B$511=1),$BH$923,HLOOKUP(INDIRECT(ADDRESS(2,COLUMN())),OFFSET($BN$2,0,0,ROW()-1,60),ROW()-1,FALSE))</f>
        <v>0.349728127</v>
      </c>
      <c r="BI425">
        <f ca="1">IF(AND(ISNUMBER($BI$923),$B$511=1),$BI$923,HLOOKUP(INDIRECT(ADDRESS(2,COLUMN())),OFFSET($BN$2,0,0,ROW()-1,60),ROW()-1,FALSE))</f>
        <v>0.32622879500000002</v>
      </c>
      <c r="BJ425">
        <f ca="1">IF(AND(ISNUMBER($BJ$923),$B$511=1),$BJ$923,HLOOKUP(INDIRECT(ADDRESS(2,COLUMN())),OFFSET($BN$2,0,0,ROW()-1,60),ROW()-1,FALSE))</f>
        <v>0.39389106400000001</v>
      </c>
      <c r="BK425">
        <f ca="1">IF(AND(ISNUMBER($BK$923),$B$511=1),$BK$923,HLOOKUP(INDIRECT(ADDRESS(2,COLUMN())),OFFSET($BN$2,0,0,ROW()-1,60),ROW()-1,FALSE))</f>
        <v>0.44100767200000002</v>
      </c>
      <c r="BL425">
        <f ca="1">IF(AND(ISNUMBER($BL$923),$B$511=1),$BL$923,HLOOKUP(INDIRECT(ADDRESS(2,COLUMN())),OFFSET($BN$2,0,0,ROW()-1,60),ROW()-1,FALSE))</f>
        <v>0.70077931500000001</v>
      </c>
      <c r="BM425">
        <f ca="1">IF(AND(ISNUMBER($BM$923),$B$511=1),$BM$923,HLOOKUP(INDIRECT(ADDRESS(2,COLUMN())),OFFSET($BN$2,0,0,ROW()-1,60),ROW()-1,FALSE))</f>
        <v>0.74790068300000001</v>
      </c>
      <c r="BN425">
        <f>1.254911365</f>
        <v>1.2549113649999999</v>
      </c>
      <c r="BO425">
        <f>0.962461109</f>
        <v>0.96246110900000004</v>
      </c>
      <c r="BP425">
        <f>0.959368767</f>
        <v>0.95936876699999996</v>
      </c>
      <c r="BQ425">
        <f>1.129244101</f>
        <v>1.1292441010000001</v>
      </c>
      <c r="BR425">
        <f>1.622137405</f>
        <v>1.6221374049999999</v>
      </c>
      <c r="BS425">
        <f>1.653680053</f>
        <v>1.653680053</v>
      </c>
      <c r="BT425">
        <f>2.073882048</f>
        <v>2.0738820480000002</v>
      </c>
      <c r="BU425">
        <f>1.503303721</f>
        <v>1.503303721</v>
      </c>
      <c r="BV425">
        <f>1.709898802</f>
        <v>1.7098988020000001</v>
      </c>
      <c r="BW425">
        <f>1.56635013</f>
        <v>1.56635013</v>
      </c>
      <c r="BX425">
        <f>1.570586382</f>
        <v>1.5705863819999999</v>
      </c>
      <c r="BY425">
        <f>1.634934708</f>
        <v>1.6349347080000001</v>
      </c>
      <c r="BZ425">
        <f>2.183582066</f>
        <v>2.183582066</v>
      </c>
      <c r="CA425">
        <f>2.523314066</f>
        <v>2.5233140660000002</v>
      </c>
      <c r="CB425">
        <f>2.288491483</f>
        <v>2.288491483</v>
      </c>
      <c r="CC425">
        <f>4.013874324</f>
        <v>4.0138743239999997</v>
      </c>
      <c r="CD425">
        <f>3.160525679</f>
        <v>3.160525679</v>
      </c>
      <c r="CE425">
        <f>2.43902439</f>
        <v>2.4390243900000002</v>
      </c>
      <c r="CF425">
        <f>1.808347724</f>
        <v>1.8083477240000001</v>
      </c>
      <c r="CG425">
        <f>1.547338899</f>
        <v>1.5473388990000001</v>
      </c>
      <c r="CH425">
        <f>1.624185897</f>
        <v>1.624185897</v>
      </c>
      <c r="CI425">
        <f>1.966162184</f>
        <v>1.9661621840000001</v>
      </c>
      <c r="CJ425">
        <f>2.167804751</f>
        <v>2.1678047509999998</v>
      </c>
      <c r="CK425">
        <f>2.004040667</f>
        <v>2.0040406669999999</v>
      </c>
      <c r="CL425">
        <f>1.262317254</f>
        <v>1.2623172540000001</v>
      </c>
      <c r="CM425">
        <f>1.334402566</f>
        <v>1.3344025660000001</v>
      </c>
      <c r="CN425">
        <f>1.084985205</f>
        <v>1.084985205</v>
      </c>
      <c r="CO425">
        <f>1.708863747</f>
        <v>1.7088637470000001</v>
      </c>
      <c r="CP425">
        <f>1.668624774</f>
        <v>1.668624774</v>
      </c>
      <c r="CQ425">
        <f>1.404828801</f>
        <v>1.4048288010000001</v>
      </c>
      <c r="CR425">
        <f>1.792260692</f>
        <v>1.7922606919999999</v>
      </c>
      <c r="CS425">
        <f>2.190627949</f>
        <v>2.190627949</v>
      </c>
      <c r="CT425">
        <f>2.557798613</f>
        <v>2.5577986130000001</v>
      </c>
      <c r="CU425">
        <f>2.435619224</f>
        <v>2.4356192239999999</v>
      </c>
      <c r="CV425">
        <f>2.775784753</f>
        <v>2.7757847529999999</v>
      </c>
      <c r="CW425">
        <f>2.241425074</f>
        <v>2.2414250739999999</v>
      </c>
      <c r="CX425">
        <f>3.231524207</f>
        <v>3.2315242070000001</v>
      </c>
      <c r="CY425">
        <f>3.81128151</f>
        <v>3.8112815100000002</v>
      </c>
      <c r="CZ425">
        <f>2.494762902</f>
        <v>2.4947629020000002</v>
      </c>
      <c r="DA425">
        <f>2.26038327</f>
        <v>2.2603832700000002</v>
      </c>
      <c r="DB425">
        <f>1.795539686</f>
        <v>1.7955396859999999</v>
      </c>
      <c r="DC425">
        <f>1.051937587</f>
        <v>1.0519375870000001</v>
      </c>
      <c r="DD425">
        <f>0.992918157</f>
        <v>0.99291815699999997</v>
      </c>
      <c r="DE425">
        <f>1.158396919</f>
        <v>1.1583969190000001</v>
      </c>
      <c r="DF425">
        <f>1.893896178</f>
        <v>1.8938961780000001</v>
      </c>
      <c r="DG425">
        <f>2.614969675</f>
        <v>2.6149696750000002</v>
      </c>
      <c r="DH425">
        <f>2.870998255</f>
        <v>2.8709982549999999</v>
      </c>
      <c r="DI425">
        <f>1.431723848</f>
        <v>1.4317238480000001</v>
      </c>
      <c r="DJ425">
        <f>1.16895544</f>
        <v>1.16895544</v>
      </c>
      <c r="DK425">
        <f>0.516329067</f>
        <v>0.51632906700000003</v>
      </c>
      <c r="DL425">
        <f>0.392201516</f>
        <v>0.39220151599999997</v>
      </c>
      <c r="DM425">
        <f>0.44399975</f>
        <v>0.44399975000000003</v>
      </c>
      <c r="DN425">
        <f>0.424779202</f>
        <v>0.42477920200000002</v>
      </c>
      <c r="DO425">
        <f>0.386607519</f>
        <v>0.38660751900000001</v>
      </c>
      <c r="DP425">
        <f>0.349728127</f>
        <v>0.349728127</v>
      </c>
      <c r="DQ425">
        <f>0.326228795</f>
        <v>0.32622879500000002</v>
      </c>
      <c r="DR425">
        <f>0.393891064</f>
        <v>0.39389106400000001</v>
      </c>
      <c r="DS425">
        <f>0.441007672</f>
        <v>0.44100767200000002</v>
      </c>
      <c r="DT425">
        <f>0.700779315</f>
        <v>0.70077931500000001</v>
      </c>
      <c r="DU425">
        <f>0.747900683</f>
        <v>0.74790068300000001</v>
      </c>
    </row>
    <row r="426" spans="1:125" x14ac:dyDescent="0.25">
      <c r="A426" t="str">
        <f>"    Fiat Chrysler Automobiles NV"</f>
        <v xml:space="preserve">    Fiat Chrysler Automobiles NV</v>
      </c>
      <c r="B426" t="str">
        <f>"FCAU US Equity"</f>
        <v>FCAU US Equity</v>
      </c>
      <c r="C426" t="str">
        <f t="shared" si="30"/>
        <v>PR005</v>
      </c>
      <c r="D426" t="str">
        <f t="shared" si="31"/>
        <v>PX_LAST</v>
      </c>
      <c r="E426" t="str">
        <f t="shared" si="32"/>
        <v>Dynamic</v>
      </c>
      <c r="F426">
        <f ca="1">IF(AND(ISNUMBER($F$924),$B$511=1),$F$924,HLOOKUP(INDIRECT(ADDRESS(2,COLUMN())),OFFSET($BN$2,0,0,ROW()-1,60),ROW()-1,FALSE))</f>
        <v>14.83</v>
      </c>
      <c r="G426">
        <f ca="1">IF(AND(ISNUMBER($G$924),$B$511=1),$G$924,HLOOKUP(INDIRECT(ADDRESS(2,COLUMN())),OFFSET($BN$2,0,0,ROW()-1,60),ROW()-1,FALSE))</f>
        <v>14.46</v>
      </c>
      <c r="H426">
        <f ca="1">IF(AND(ISNUMBER($H$924),$B$511=1),$H$924,HLOOKUP(INDIRECT(ADDRESS(2,COLUMN())),OFFSET($BN$2,0,0,ROW()-1,60),ROW()-1,FALSE))</f>
        <v>17.510000000000002</v>
      </c>
      <c r="I426">
        <f ca="1">IF(AND(ISNUMBER($I$924),$B$511=1),$I$924,HLOOKUP(INDIRECT(ADDRESS(2,COLUMN())),OFFSET($BN$2,0,0,ROW()-1,60),ROW()-1,FALSE))</f>
        <v>18.89</v>
      </c>
      <c r="J426">
        <f ca="1">IF(AND(ISNUMBER($J$924),$B$511=1),$J$924,HLOOKUP(INDIRECT(ADDRESS(2,COLUMN())),OFFSET($BN$2,0,0,ROW()-1,60),ROW()-1,FALSE))</f>
        <v>20.52</v>
      </c>
      <c r="K426">
        <f ca="1">IF(AND(ISNUMBER($K$924),$B$511=1),$K$924,HLOOKUP(INDIRECT(ADDRESS(2,COLUMN())),OFFSET($BN$2,0,0,ROW()-1,60),ROW()-1,FALSE))</f>
        <v>17.84</v>
      </c>
      <c r="L426">
        <f ca="1">IF(AND(ISNUMBER($L$924),$B$511=1),$L$924,HLOOKUP(INDIRECT(ADDRESS(2,COLUMN())),OFFSET($BN$2,0,0,ROW()-1,60),ROW()-1,FALSE))</f>
        <v>17.91</v>
      </c>
      <c r="M426">
        <f ca="1">IF(AND(ISNUMBER($M$924),$B$511=1),$M$924,HLOOKUP(INDIRECT(ADDRESS(2,COLUMN())),OFFSET($BN$2,0,0,ROW()-1,60),ROW()-1,FALSE))</f>
        <v>10.63</v>
      </c>
      <c r="N426">
        <f ca="1">IF(AND(ISNUMBER($N$924),$B$511=1),$N$924,HLOOKUP(INDIRECT(ADDRESS(2,COLUMN())),OFFSET($BN$2,0,0,ROW()-1,60),ROW()-1,FALSE))</f>
        <v>10.93</v>
      </c>
      <c r="O426">
        <f ca="1">IF(AND(ISNUMBER($O$924),$B$511=1),$O$924,HLOOKUP(INDIRECT(ADDRESS(2,COLUMN())),OFFSET($BN$2,0,0,ROW()-1,60),ROW()-1,FALSE))</f>
        <v>9.1199999999999992</v>
      </c>
      <c r="P426">
        <f ca="1">IF(AND(ISNUMBER($P$924),$B$511=1),$P$924,HLOOKUP(INDIRECT(ADDRESS(2,COLUMN())),OFFSET($BN$2,0,0,ROW()-1,60),ROW()-1,FALSE))</f>
        <v>6.4</v>
      </c>
      <c r="Q426">
        <f ca="1">IF(AND(ISNUMBER($Q$924),$B$511=1),$Q$924,HLOOKUP(INDIRECT(ADDRESS(2,COLUMN())),OFFSET($BN$2,0,0,ROW()-1,60),ROW()-1,FALSE))</f>
        <v>6.12</v>
      </c>
      <c r="R426">
        <f ca="1">IF(AND(ISNUMBER($R$924),$B$511=1),$R$924,HLOOKUP(INDIRECT(ADDRESS(2,COLUMN())),OFFSET($BN$2,0,0,ROW()-1,60),ROW()-1,FALSE))</f>
        <v>8.0165291960000005</v>
      </c>
      <c r="S426">
        <f ca="1">IF(AND(ISNUMBER($S$924),$B$511=1),$S$924,HLOOKUP(INDIRECT(ADDRESS(2,COLUMN())),OFFSET($BN$2,0,0,ROW()-1,60),ROW()-1,FALSE))</f>
        <v>9.1404348750000004</v>
      </c>
      <c r="T426">
        <f ca="1">IF(AND(ISNUMBER($T$924),$B$511=1),$T$924,HLOOKUP(INDIRECT(ADDRESS(2,COLUMN())),OFFSET($BN$2,0,0,ROW()-1,60),ROW()-1,FALSE))</f>
        <v>8.6308180629999995</v>
      </c>
      <c r="U426">
        <f ca="1">IF(AND(ISNUMBER($U$924),$B$511=1),$U$924,HLOOKUP(INDIRECT(ADDRESS(2,COLUMN())),OFFSET($BN$2,0,0,ROW()-1,60),ROW()-1,FALSE))</f>
        <v>9.4932465140000009</v>
      </c>
      <c r="V426">
        <f ca="1">IF(AND(ISNUMBER($V$924),$B$511=1),$V$924,HLOOKUP(INDIRECT(ADDRESS(2,COLUMN())),OFFSET($BN$2,0,0,ROW()-1,60),ROW()-1,FALSE))</f>
        <v>10.65621821</v>
      </c>
      <c r="W426">
        <f ca="1">IF(AND(ISNUMBER($W$924),$B$511=1),$W$924,HLOOKUP(INDIRECT(ADDRESS(2,COLUMN())),OFFSET($BN$2,0,0,ROW()-1,60),ROW()-1,FALSE))</f>
        <v>7.5658495959999996</v>
      </c>
      <c r="X426" t="str">
        <f ca="1">IF(AND(ISNUMBER($X$924),$B$511=1),$X$924,HLOOKUP(INDIRECT(ADDRESS(2,COLUMN())),OFFSET($BN$2,0,0,ROW()-1,60),ROW()-1,FALSE))</f>
        <v/>
      </c>
      <c r="Y426" t="str">
        <f ca="1">IF(AND(ISNUMBER($Y$924),$B$511=1),$Y$924,HLOOKUP(INDIRECT(ADDRESS(2,COLUMN())),OFFSET($BN$2,0,0,ROW()-1,60),ROW()-1,FALSE))</f>
        <v/>
      </c>
      <c r="Z426" t="str">
        <f ca="1">IF(AND(ISNUMBER($Z$924),$B$511=1),$Z$924,HLOOKUP(INDIRECT(ADDRESS(2,COLUMN())),OFFSET($BN$2,0,0,ROW()-1,60),ROW()-1,FALSE))</f>
        <v/>
      </c>
      <c r="AA426" t="str">
        <f ca="1">IF(AND(ISNUMBER($AA$924),$B$511=1),$AA$924,HLOOKUP(INDIRECT(ADDRESS(2,COLUMN())),OFFSET($BN$2,0,0,ROW()-1,60),ROW()-1,FALSE))</f>
        <v/>
      </c>
      <c r="AB426" t="str">
        <f ca="1">IF(AND(ISNUMBER($AB$924),$B$511=1),$AB$924,HLOOKUP(INDIRECT(ADDRESS(2,COLUMN())),OFFSET($BN$2,0,0,ROW()-1,60),ROW()-1,FALSE))</f>
        <v/>
      </c>
      <c r="AC426" t="str">
        <f ca="1">IF(AND(ISNUMBER($AC$924),$B$511=1),$AC$924,HLOOKUP(INDIRECT(ADDRESS(2,COLUMN())),OFFSET($BN$2,0,0,ROW()-1,60),ROW()-1,FALSE))</f>
        <v/>
      </c>
      <c r="AD426" t="str">
        <f ca="1">IF(AND(ISNUMBER($AD$924),$B$511=1),$AD$924,HLOOKUP(INDIRECT(ADDRESS(2,COLUMN())),OFFSET($BN$2,0,0,ROW()-1,60),ROW()-1,FALSE))</f>
        <v/>
      </c>
      <c r="AE426" t="str">
        <f ca="1">IF(AND(ISNUMBER($AE$924),$B$511=1),$AE$924,HLOOKUP(INDIRECT(ADDRESS(2,COLUMN())),OFFSET($BN$2,0,0,ROW()-1,60),ROW()-1,FALSE))</f>
        <v/>
      </c>
      <c r="AF426" t="str">
        <f ca="1">IF(AND(ISNUMBER($AF$924),$B$511=1),$AF$924,HLOOKUP(INDIRECT(ADDRESS(2,COLUMN())),OFFSET($BN$2,0,0,ROW()-1,60),ROW()-1,FALSE))</f>
        <v/>
      </c>
      <c r="AG426" t="str">
        <f ca="1">IF(AND(ISNUMBER($AG$924),$B$511=1),$AG$924,HLOOKUP(INDIRECT(ADDRESS(2,COLUMN())),OFFSET($BN$2,0,0,ROW()-1,60),ROW()-1,FALSE))</f>
        <v/>
      </c>
      <c r="AH426" t="str">
        <f ca="1">IF(AND(ISNUMBER($AH$924),$B$511=1),$AH$924,HLOOKUP(INDIRECT(ADDRESS(2,COLUMN())),OFFSET($BN$2,0,0,ROW()-1,60),ROW()-1,FALSE))</f>
        <v/>
      </c>
      <c r="AI426" t="str">
        <f ca="1">IF(AND(ISNUMBER($AI$924),$B$511=1),$AI$924,HLOOKUP(INDIRECT(ADDRESS(2,COLUMN())),OFFSET($BN$2,0,0,ROW()-1,60),ROW()-1,FALSE))</f>
        <v/>
      </c>
      <c r="AJ426" t="str">
        <f ca="1">IF(AND(ISNUMBER($AJ$924),$B$511=1),$AJ$924,HLOOKUP(INDIRECT(ADDRESS(2,COLUMN())),OFFSET($BN$2,0,0,ROW()-1,60),ROW()-1,FALSE))</f>
        <v/>
      </c>
      <c r="AK426" t="str">
        <f ca="1">IF(AND(ISNUMBER($AK$924),$B$511=1),$AK$924,HLOOKUP(INDIRECT(ADDRESS(2,COLUMN())),OFFSET($BN$2,0,0,ROW()-1,60),ROW()-1,FALSE))</f>
        <v/>
      </c>
      <c r="AL426" t="str">
        <f ca="1">IF(AND(ISNUMBER($AL$924),$B$511=1),$AL$924,HLOOKUP(INDIRECT(ADDRESS(2,COLUMN())),OFFSET($BN$2,0,0,ROW()-1,60),ROW()-1,FALSE))</f>
        <v/>
      </c>
      <c r="AM426" t="str">
        <f ca="1">IF(AND(ISNUMBER($AM$924),$B$511=1),$AM$924,HLOOKUP(INDIRECT(ADDRESS(2,COLUMN())),OFFSET($BN$2,0,0,ROW()-1,60),ROW()-1,FALSE))</f>
        <v/>
      </c>
      <c r="AN426" t="str">
        <f ca="1">IF(AND(ISNUMBER($AN$924),$B$511=1),$AN$924,HLOOKUP(INDIRECT(ADDRESS(2,COLUMN())),OFFSET($BN$2,0,0,ROW()-1,60),ROW()-1,FALSE))</f>
        <v/>
      </c>
      <c r="AO426" t="str">
        <f ca="1">IF(AND(ISNUMBER($AO$924),$B$511=1),$AO$924,HLOOKUP(INDIRECT(ADDRESS(2,COLUMN())),OFFSET($BN$2,0,0,ROW()-1,60),ROW()-1,FALSE))</f>
        <v/>
      </c>
      <c r="AP426" t="str">
        <f ca="1">IF(AND(ISNUMBER($AP$924),$B$511=1),$AP$924,HLOOKUP(INDIRECT(ADDRESS(2,COLUMN())),OFFSET($BN$2,0,0,ROW()-1,60),ROW()-1,FALSE))</f>
        <v/>
      </c>
      <c r="AQ426" t="str">
        <f ca="1">IF(AND(ISNUMBER($AQ$924),$B$511=1),$AQ$924,HLOOKUP(INDIRECT(ADDRESS(2,COLUMN())),OFFSET($BN$2,0,0,ROW()-1,60),ROW()-1,FALSE))</f>
        <v/>
      </c>
      <c r="AR426" t="str">
        <f ca="1">IF(AND(ISNUMBER($AR$924),$B$511=1),$AR$924,HLOOKUP(INDIRECT(ADDRESS(2,COLUMN())),OFFSET($BN$2,0,0,ROW()-1,60),ROW()-1,FALSE))</f>
        <v/>
      </c>
      <c r="AS426" t="str">
        <f ca="1">IF(AND(ISNUMBER($AS$924),$B$511=1),$AS$924,HLOOKUP(INDIRECT(ADDRESS(2,COLUMN())),OFFSET($BN$2,0,0,ROW()-1,60),ROW()-1,FALSE))</f>
        <v/>
      </c>
      <c r="AT426" t="str">
        <f ca="1">IF(AND(ISNUMBER($AT$924),$B$511=1),$AT$924,HLOOKUP(INDIRECT(ADDRESS(2,COLUMN())),OFFSET($BN$2,0,0,ROW()-1,60),ROW()-1,FALSE))</f>
        <v/>
      </c>
      <c r="AU426" t="str">
        <f ca="1">IF(AND(ISNUMBER($AU$924),$B$511=1),$AU$924,HLOOKUP(INDIRECT(ADDRESS(2,COLUMN())),OFFSET($BN$2,0,0,ROW()-1,60),ROW()-1,FALSE))</f>
        <v/>
      </c>
      <c r="AV426" t="str">
        <f ca="1">IF(AND(ISNUMBER($AV$924),$B$511=1),$AV$924,HLOOKUP(INDIRECT(ADDRESS(2,COLUMN())),OFFSET($BN$2,0,0,ROW()-1,60),ROW()-1,FALSE))</f>
        <v/>
      </c>
      <c r="AW426" t="str">
        <f ca="1">IF(AND(ISNUMBER($AW$924),$B$511=1),$AW$924,HLOOKUP(INDIRECT(ADDRESS(2,COLUMN())),OFFSET($BN$2,0,0,ROW()-1,60),ROW()-1,FALSE))</f>
        <v/>
      </c>
      <c r="AX426" t="str">
        <f ca="1">IF(AND(ISNUMBER($AX$924),$B$511=1),$AX$924,HLOOKUP(INDIRECT(ADDRESS(2,COLUMN())),OFFSET($BN$2,0,0,ROW()-1,60),ROW()-1,FALSE))</f>
        <v/>
      </c>
      <c r="AY426" t="str">
        <f ca="1">IF(AND(ISNUMBER($AY$924),$B$511=1),$AY$924,HLOOKUP(INDIRECT(ADDRESS(2,COLUMN())),OFFSET($BN$2,0,0,ROW()-1,60),ROW()-1,FALSE))</f>
        <v/>
      </c>
      <c r="AZ426" t="str">
        <f ca="1">IF(AND(ISNUMBER($AZ$924),$B$511=1),$AZ$924,HLOOKUP(INDIRECT(ADDRESS(2,COLUMN())),OFFSET($BN$2,0,0,ROW()-1,60),ROW()-1,FALSE))</f>
        <v/>
      </c>
      <c r="BA426" t="str">
        <f ca="1">IF(AND(ISNUMBER($BA$924),$B$511=1),$BA$924,HLOOKUP(INDIRECT(ADDRESS(2,COLUMN())),OFFSET($BN$2,0,0,ROW()-1,60),ROW()-1,FALSE))</f>
        <v/>
      </c>
      <c r="BB426" t="str">
        <f ca="1">IF(AND(ISNUMBER($BB$924),$B$511=1),$BB$924,HLOOKUP(INDIRECT(ADDRESS(2,COLUMN())),OFFSET($BN$2,0,0,ROW()-1,60),ROW()-1,FALSE))</f>
        <v/>
      </c>
      <c r="BC426" t="str">
        <f ca="1">IF(AND(ISNUMBER($BC$924),$B$511=1),$BC$924,HLOOKUP(INDIRECT(ADDRESS(2,COLUMN())),OFFSET($BN$2,0,0,ROW()-1,60),ROW()-1,FALSE))</f>
        <v/>
      </c>
      <c r="BD426" t="str">
        <f ca="1">IF(AND(ISNUMBER($BD$924),$B$511=1),$BD$924,HLOOKUP(INDIRECT(ADDRESS(2,COLUMN())),OFFSET($BN$2,0,0,ROW()-1,60),ROW()-1,FALSE))</f>
        <v/>
      </c>
      <c r="BE426" t="str">
        <f ca="1">IF(AND(ISNUMBER($BE$924),$B$511=1),$BE$924,HLOOKUP(INDIRECT(ADDRESS(2,COLUMN())),OFFSET($BN$2,0,0,ROW()-1,60),ROW()-1,FALSE))</f>
        <v/>
      </c>
      <c r="BF426" t="str">
        <f ca="1">IF(AND(ISNUMBER($BF$924),$B$511=1),$BF$924,HLOOKUP(INDIRECT(ADDRESS(2,COLUMN())),OFFSET($BN$2,0,0,ROW()-1,60),ROW()-1,FALSE))</f>
        <v/>
      </c>
      <c r="BG426" t="str">
        <f ca="1">IF(AND(ISNUMBER($BG$924),$B$511=1),$BG$924,HLOOKUP(INDIRECT(ADDRESS(2,COLUMN())),OFFSET($BN$2,0,0,ROW()-1,60),ROW()-1,FALSE))</f>
        <v/>
      </c>
      <c r="BH426" t="str">
        <f ca="1">IF(AND(ISNUMBER($BH$924),$B$511=1),$BH$924,HLOOKUP(INDIRECT(ADDRESS(2,COLUMN())),OFFSET($BN$2,0,0,ROW()-1,60),ROW()-1,FALSE))</f>
        <v/>
      </c>
      <c r="BI426" t="str">
        <f ca="1">IF(AND(ISNUMBER($BI$924),$B$511=1),$BI$924,HLOOKUP(INDIRECT(ADDRESS(2,COLUMN())),OFFSET($BN$2,0,0,ROW()-1,60),ROW()-1,FALSE))</f>
        <v/>
      </c>
      <c r="BJ426" t="str">
        <f ca="1">IF(AND(ISNUMBER($BJ$924),$B$511=1),$BJ$924,HLOOKUP(INDIRECT(ADDRESS(2,COLUMN())),OFFSET($BN$2,0,0,ROW()-1,60),ROW()-1,FALSE))</f>
        <v/>
      </c>
      <c r="BK426" t="str">
        <f ca="1">IF(AND(ISNUMBER($BK$924),$B$511=1),$BK$924,HLOOKUP(INDIRECT(ADDRESS(2,COLUMN())),OFFSET($BN$2,0,0,ROW()-1,60),ROW()-1,FALSE))</f>
        <v/>
      </c>
      <c r="BL426" t="str">
        <f ca="1">IF(AND(ISNUMBER($BL$924),$B$511=1),$BL$924,HLOOKUP(INDIRECT(ADDRESS(2,COLUMN())),OFFSET($BN$2,0,0,ROW()-1,60),ROW()-1,FALSE))</f>
        <v/>
      </c>
      <c r="BM426" t="str">
        <f ca="1">IF(AND(ISNUMBER($BM$924),$B$511=1),$BM$924,HLOOKUP(INDIRECT(ADDRESS(2,COLUMN())),OFFSET($BN$2,0,0,ROW()-1,60),ROW()-1,FALSE))</f>
        <v/>
      </c>
      <c r="BN426">
        <f>14.83</f>
        <v>14.83</v>
      </c>
      <c r="BO426">
        <f>14.46</f>
        <v>14.46</v>
      </c>
      <c r="BP426">
        <f>17.51</f>
        <v>17.510000000000002</v>
      </c>
      <c r="BQ426">
        <f>18.89</f>
        <v>18.89</v>
      </c>
      <c r="BR426">
        <f>20.52</f>
        <v>20.52</v>
      </c>
      <c r="BS426">
        <f>17.84</f>
        <v>17.84</v>
      </c>
      <c r="BT426">
        <f>17.91</f>
        <v>17.91</v>
      </c>
      <c r="BU426">
        <f>10.63</f>
        <v>10.63</v>
      </c>
      <c r="BV426">
        <f>10.93</f>
        <v>10.93</v>
      </c>
      <c r="BW426">
        <f>9.12</f>
        <v>9.1199999999999992</v>
      </c>
      <c r="BX426">
        <f>6.4</f>
        <v>6.4</v>
      </c>
      <c r="BY426">
        <f>6.12</f>
        <v>6.12</v>
      </c>
      <c r="BZ426">
        <f>8.016529196</f>
        <v>8.0165291960000005</v>
      </c>
      <c r="CA426">
        <f>9.140434875</f>
        <v>9.1404348750000004</v>
      </c>
      <c r="CB426">
        <f>8.630818063</f>
        <v>8.6308180629999995</v>
      </c>
      <c r="CC426">
        <f>9.493246514</f>
        <v>9.4932465140000009</v>
      </c>
      <c r="CD426">
        <f>10.65621821</f>
        <v>10.65621821</v>
      </c>
      <c r="CE426">
        <f>7.565849596</f>
        <v>7.5658495959999996</v>
      </c>
      <c r="CF426" t="str">
        <f>""</f>
        <v/>
      </c>
      <c r="CG426" t="str">
        <f>""</f>
        <v/>
      </c>
      <c r="CH426" t="str">
        <f>""</f>
        <v/>
      </c>
      <c r="CI426" t="str">
        <f>""</f>
        <v/>
      </c>
      <c r="CJ426" t="str">
        <f>""</f>
        <v/>
      </c>
      <c r="CK426" t="str">
        <f>""</f>
        <v/>
      </c>
      <c r="CL426" t="str">
        <f>""</f>
        <v/>
      </c>
      <c r="CM426" t="str">
        <f>""</f>
        <v/>
      </c>
      <c r="CN426" t="str">
        <f>""</f>
        <v/>
      </c>
      <c r="CO426" t="str">
        <f>""</f>
        <v/>
      </c>
      <c r="CP426" t="str">
        <f>""</f>
        <v/>
      </c>
      <c r="CQ426" t="str">
        <f>""</f>
        <v/>
      </c>
      <c r="CR426" t="str">
        <f>""</f>
        <v/>
      </c>
      <c r="CS426" t="str">
        <f>""</f>
        <v/>
      </c>
      <c r="CT426" t="str">
        <f>""</f>
        <v/>
      </c>
      <c r="CU426" t="str">
        <f>""</f>
        <v/>
      </c>
      <c r="CV426" t="str">
        <f>""</f>
        <v/>
      </c>
      <c r="CW426" t="str">
        <f>""</f>
        <v/>
      </c>
      <c r="CX426" t="str">
        <f>""</f>
        <v/>
      </c>
      <c r="CY426" t="str">
        <f>""</f>
        <v/>
      </c>
      <c r="CZ426" t="str">
        <f>""</f>
        <v/>
      </c>
      <c r="DA426" t="str">
        <f>""</f>
        <v/>
      </c>
      <c r="DB426" t="str">
        <f>""</f>
        <v/>
      </c>
      <c r="DC426" t="str">
        <f>""</f>
        <v/>
      </c>
      <c r="DD426" t="str">
        <f>""</f>
        <v/>
      </c>
      <c r="DE426" t="str">
        <f>""</f>
        <v/>
      </c>
      <c r="DF426" t="str">
        <f>""</f>
        <v/>
      </c>
      <c r="DG426" t="str">
        <f>""</f>
        <v/>
      </c>
      <c r="DH426" t="str">
        <f>""</f>
        <v/>
      </c>
      <c r="DI426" t="str">
        <f>""</f>
        <v/>
      </c>
      <c r="DJ426" t="str">
        <f>""</f>
        <v/>
      </c>
      <c r="DK426" t="str">
        <f>""</f>
        <v/>
      </c>
      <c r="DL426" t="str">
        <f>""</f>
        <v/>
      </c>
      <c r="DM426" t="str">
        <f>""</f>
        <v/>
      </c>
      <c r="DN426" t="str">
        <f>""</f>
        <v/>
      </c>
      <c r="DO426" t="str">
        <f>""</f>
        <v/>
      </c>
      <c r="DP426" t="str">
        <f>""</f>
        <v/>
      </c>
      <c r="DQ426" t="str">
        <f>""</f>
        <v/>
      </c>
      <c r="DR426" t="str">
        <f>""</f>
        <v/>
      </c>
      <c r="DS426" t="str">
        <f>""</f>
        <v/>
      </c>
      <c r="DT426" t="str">
        <f>""</f>
        <v/>
      </c>
      <c r="DU426" t="str">
        <f>""</f>
        <v/>
      </c>
    </row>
    <row r="427" spans="1:125" x14ac:dyDescent="0.25">
      <c r="A427" t="str">
        <f>"    Ford Motor Co"</f>
        <v xml:space="preserve">    Ford Motor Co</v>
      </c>
      <c r="B427" t="str">
        <f>"F US Equity"</f>
        <v>F US Equity</v>
      </c>
      <c r="C427" t="str">
        <f t="shared" si="30"/>
        <v>PR005</v>
      </c>
      <c r="D427" t="str">
        <f t="shared" si="31"/>
        <v>PX_LAST</v>
      </c>
      <c r="E427" t="str">
        <f t="shared" si="32"/>
        <v>Dynamic</v>
      </c>
      <c r="F427">
        <f ca="1">IF(AND(ISNUMBER($F$925),$B$511=1),$F$925,HLOOKUP(INDIRECT(ADDRESS(2,COLUMN())),OFFSET($BN$2,0,0,ROW()-1,60),ROW()-1,FALSE))</f>
        <v>8.7799999999999994</v>
      </c>
      <c r="G427">
        <f ca="1">IF(AND(ISNUMBER($G$925),$B$511=1),$G$925,HLOOKUP(INDIRECT(ADDRESS(2,COLUMN())),OFFSET($BN$2,0,0,ROW()-1,60),ROW()-1,FALSE))</f>
        <v>7.65</v>
      </c>
      <c r="H427">
        <f ca="1">IF(AND(ISNUMBER($H$925),$B$511=1),$H$925,HLOOKUP(INDIRECT(ADDRESS(2,COLUMN())),OFFSET($BN$2,0,0,ROW()-1,60),ROW()-1,FALSE))</f>
        <v>9.25</v>
      </c>
      <c r="I427">
        <f ca="1">IF(AND(ISNUMBER($I$925),$B$511=1),$I$925,HLOOKUP(INDIRECT(ADDRESS(2,COLUMN())),OFFSET($BN$2,0,0,ROW()-1,60),ROW()-1,FALSE))</f>
        <v>11.07</v>
      </c>
      <c r="J427">
        <f ca="1">IF(AND(ISNUMBER($J$925),$B$511=1),$J$925,HLOOKUP(INDIRECT(ADDRESS(2,COLUMN())),OFFSET($BN$2,0,0,ROW()-1,60),ROW()-1,FALSE))</f>
        <v>11.08</v>
      </c>
      <c r="K427">
        <f ca="1">IF(AND(ISNUMBER($K$925),$B$511=1),$K$925,HLOOKUP(INDIRECT(ADDRESS(2,COLUMN())),OFFSET($BN$2,0,0,ROW()-1,60),ROW()-1,FALSE))</f>
        <v>12.49</v>
      </c>
      <c r="L427">
        <f ca="1">IF(AND(ISNUMBER($L$925),$B$511=1),$L$925,HLOOKUP(INDIRECT(ADDRESS(2,COLUMN())),OFFSET($BN$2,0,0,ROW()-1,60),ROW()-1,FALSE))</f>
        <v>11.97</v>
      </c>
      <c r="M427">
        <f ca="1">IF(AND(ISNUMBER($M$925),$B$511=1),$M$925,HLOOKUP(INDIRECT(ADDRESS(2,COLUMN())),OFFSET($BN$2,0,0,ROW()-1,60),ROW()-1,FALSE))</f>
        <v>11.19</v>
      </c>
      <c r="N427">
        <f ca="1">IF(AND(ISNUMBER($N$925),$B$511=1),$N$925,HLOOKUP(INDIRECT(ADDRESS(2,COLUMN())),OFFSET($BN$2,0,0,ROW()-1,60),ROW()-1,FALSE))</f>
        <v>11.64</v>
      </c>
      <c r="O427">
        <f ca="1">IF(AND(ISNUMBER($O$925),$B$511=1),$O$925,HLOOKUP(INDIRECT(ADDRESS(2,COLUMN())),OFFSET($BN$2,0,0,ROW()-1,60),ROW()-1,FALSE))</f>
        <v>12.13</v>
      </c>
      <c r="P427">
        <f ca="1">IF(AND(ISNUMBER($P$925),$B$511=1),$P$925,HLOOKUP(INDIRECT(ADDRESS(2,COLUMN())),OFFSET($BN$2,0,0,ROW()-1,60),ROW()-1,FALSE))</f>
        <v>12.07</v>
      </c>
      <c r="Q427">
        <f ca="1">IF(AND(ISNUMBER($Q$925),$B$511=1),$Q$925,HLOOKUP(INDIRECT(ADDRESS(2,COLUMN())),OFFSET($BN$2,0,0,ROW()-1,60),ROW()-1,FALSE))</f>
        <v>12.57</v>
      </c>
      <c r="R427">
        <f ca="1">IF(AND(ISNUMBER($R$925),$B$511=1),$R$925,HLOOKUP(INDIRECT(ADDRESS(2,COLUMN())),OFFSET($BN$2,0,0,ROW()-1,60),ROW()-1,FALSE))</f>
        <v>13.5</v>
      </c>
      <c r="S427">
        <f ca="1">IF(AND(ISNUMBER($S$925),$B$511=1),$S$925,HLOOKUP(INDIRECT(ADDRESS(2,COLUMN())),OFFSET($BN$2,0,0,ROW()-1,60),ROW()-1,FALSE))</f>
        <v>14.09</v>
      </c>
      <c r="T427">
        <f ca="1">IF(AND(ISNUMBER($T$925),$B$511=1),$T$925,HLOOKUP(INDIRECT(ADDRESS(2,COLUMN())),OFFSET($BN$2,0,0,ROW()-1,60),ROW()-1,FALSE))</f>
        <v>13.57</v>
      </c>
      <c r="U427">
        <f ca="1">IF(AND(ISNUMBER($U$925),$B$511=1),$U$925,HLOOKUP(INDIRECT(ADDRESS(2,COLUMN())),OFFSET($BN$2,0,0,ROW()-1,60),ROW()-1,FALSE))</f>
        <v>15.01</v>
      </c>
      <c r="V427">
        <f ca="1">IF(AND(ISNUMBER($V$925),$B$511=1),$V$925,HLOOKUP(INDIRECT(ADDRESS(2,COLUMN())),OFFSET($BN$2,0,0,ROW()-1,60),ROW()-1,FALSE))</f>
        <v>16.14</v>
      </c>
      <c r="W427">
        <f ca="1">IF(AND(ISNUMBER($W$925),$B$511=1),$W$925,HLOOKUP(INDIRECT(ADDRESS(2,COLUMN())),OFFSET($BN$2,0,0,ROW()-1,60),ROW()-1,FALSE))</f>
        <v>15.5</v>
      </c>
      <c r="X427">
        <f ca="1">IF(AND(ISNUMBER($X$925),$B$511=1),$X$925,HLOOKUP(INDIRECT(ADDRESS(2,COLUMN())),OFFSET($BN$2,0,0,ROW()-1,60),ROW()-1,FALSE))</f>
        <v>14.79</v>
      </c>
      <c r="Y427">
        <f ca="1">IF(AND(ISNUMBER($Y$925),$B$511=1),$Y$925,HLOOKUP(INDIRECT(ADDRESS(2,COLUMN())),OFFSET($BN$2,0,0,ROW()-1,60),ROW()-1,FALSE))</f>
        <v>17.239999999999998</v>
      </c>
      <c r="Z427">
        <f ca="1">IF(AND(ISNUMBER($Z$925),$B$511=1),$Z$925,HLOOKUP(INDIRECT(ADDRESS(2,COLUMN())),OFFSET($BN$2,0,0,ROW()-1,60),ROW()-1,FALSE))</f>
        <v>15.6</v>
      </c>
      <c r="AA427">
        <f ca="1">IF(AND(ISNUMBER($AA$925),$B$511=1),$AA$925,HLOOKUP(INDIRECT(ADDRESS(2,COLUMN())),OFFSET($BN$2,0,0,ROW()-1,60),ROW()-1,FALSE))</f>
        <v>15.43</v>
      </c>
      <c r="AB427">
        <f ca="1">IF(AND(ISNUMBER($AB$925),$B$511=1),$AB$925,HLOOKUP(INDIRECT(ADDRESS(2,COLUMN())),OFFSET($BN$2,0,0,ROW()-1,60),ROW()-1,FALSE))</f>
        <v>16.87</v>
      </c>
      <c r="AC427">
        <f ca="1">IF(AND(ISNUMBER($AC$925),$B$511=1),$AC$925,HLOOKUP(INDIRECT(ADDRESS(2,COLUMN())),OFFSET($BN$2,0,0,ROW()-1,60),ROW()-1,FALSE))</f>
        <v>15.47</v>
      </c>
      <c r="AD427">
        <f ca="1">IF(AND(ISNUMBER($AD$925),$B$511=1),$AD$925,HLOOKUP(INDIRECT(ADDRESS(2,COLUMN())),OFFSET($BN$2,0,0,ROW()-1,60),ROW()-1,FALSE))</f>
        <v>13.15</v>
      </c>
      <c r="AE427">
        <f ca="1">IF(AND(ISNUMBER($AE$925),$B$511=1),$AE$925,HLOOKUP(INDIRECT(ADDRESS(2,COLUMN())),OFFSET($BN$2,0,0,ROW()-1,60),ROW()-1,FALSE))</f>
        <v>12.95</v>
      </c>
      <c r="AF427">
        <f ca="1">IF(AND(ISNUMBER($AF$925),$B$511=1),$AF$925,HLOOKUP(INDIRECT(ADDRESS(2,COLUMN())),OFFSET($BN$2,0,0,ROW()-1,60),ROW()-1,FALSE))</f>
        <v>9.86</v>
      </c>
      <c r="AG427">
        <f ca="1">IF(AND(ISNUMBER($AG$925),$B$511=1),$AG$925,HLOOKUP(INDIRECT(ADDRESS(2,COLUMN())),OFFSET($BN$2,0,0,ROW()-1,60),ROW()-1,FALSE))</f>
        <v>9.59</v>
      </c>
      <c r="AH427">
        <f ca="1">IF(AND(ISNUMBER($AH$925),$B$511=1),$AH$925,HLOOKUP(INDIRECT(ADDRESS(2,COLUMN())),OFFSET($BN$2,0,0,ROW()-1,60),ROW()-1,FALSE))</f>
        <v>12.475</v>
      </c>
      <c r="AI427">
        <f ca="1">IF(AND(ISNUMBER($AI$925),$B$511=1),$AI$925,HLOOKUP(INDIRECT(ADDRESS(2,COLUMN())),OFFSET($BN$2,0,0,ROW()-1,60),ROW()-1,FALSE))</f>
        <v>10.76</v>
      </c>
      <c r="AJ427">
        <f ca="1">IF(AND(ISNUMBER($AJ$925),$B$511=1),$AJ$925,HLOOKUP(INDIRECT(ADDRESS(2,COLUMN())),OFFSET($BN$2,0,0,ROW()-1,60),ROW()-1,FALSE))</f>
        <v>9.67</v>
      </c>
      <c r="AK427">
        <f ca="1">IF(AND(ISNUMBER($AK$925),$B$511=1),$AK$925,HLOOKUP(INDIRECT(ADDRESS(2,COLUMN())),OFFSET($BN$2,0,0,ROW()-1,60),ROW()-1,FALSE))</f>
        <v>13.79</v>
      </c>
      <c r="AL427">
        <f ca="1">IF(AND(ISNUMBER($AL$925),$B$511=1),$AL$925,HLOOKUP(INDIRECT(ADDRESS(2,COLUMN())),OFFSET($BN$2,0,0,ROW()-1,60),ROW()-1,FALSE))</f>
        <v>14.91</v>
      </c>
      <c r="AM427">
        <f ca="1">IF(AND(ISNUMBER($AM$925),$B$511=1),$AM$925,HLOOKUP(INDIRECT(ADDRESS(2,COLUMN())),OFFSET($BN$2,0,0,ROW()-1,60),ROW()-1,FALSE))</f>
        <v>16.79</v>
      </c>
      <c r="AN427">
        <f ca="1">IF(AND(ISNUMBER($AN$925),$B$511=1),$AN$925,HLOOKUP(INDIRECT(ADDRESS(2,COLUMN())),OFFSET($BN$2,0,0,ROW()-1,60),ROW()-1,FALSE))</f>
        <v>12.24</v>
      </c>
      <c r="AO427">
        <f ca="1">IF(AND(ISNUMBER($AO$925),$B$511=1),$AO$925,HLOOKUP(INDIRECT(ADDRESS(2,COLUMN())),OFFSET($BN$2,0,0,ROW()-1,60),ROW()-1,FALSE))</f>
        <v>10.08</v>
      </c>
      <c r="AP427">
        <f ca="1">IF(AND(ISNUMBER($AP$925),$B$511=1),$AP$925,HLOOKUP(INDIRECT(ADDRESS(2,COLUMN())),OFFSET($BN$2,0,0,ROW()-1,60),ROW()-1,FALSE))</f>
        <v>12.57</v>
      </c>
      <c r="AQ427">
        <f ca="1">IF(AND(ISNUMBER($AQ$925),$B$511=1),$AQ$925,HLOOKUP(INDIRECT(ADDRESS(2,COLUMN())),OFFSET($BN$2,0,0,ROW()-1,60),ROW()-1,FALSE))</f>
        <v>10</v>
      </c>
      <c r="AR427">
        <f ca="1">IF(AND(ISNUMBER($AR$925),$B$511=1),$AR$925,HLOOKUP(INDIRECT(ADDRESS(2,COLUMN())),OFFSET($BN$2,0,0,ROW()-1,60),ROW()-1,FALSE))</f>
        <v>7.21</v>
      </c>
      <c r="AS427">
        <f ca="1">IF(AND(ISNUMBER($AS$925),$B$511=1),$AS$925,HLOOKUP(INDIRECT(ADDRESS(2,COLUMN())),OFFSET($BN$2,0,0,ROW()-1,60),ROW()-1,FALSE))</f>
        <v>6.07</v>
      </c>
      <c r="AT427">
        <f ca="1">IF(AND(ISNUMBER($AT$925),$B$511=1),$AT$925,HLOOKUP(INDIRECT(ADDRESS(2,COLUMN())),OFFSET($BN$2,0,0,ROW()-1,60),ROW()-1,FALSE))</f>
        <v>2.63</v>
      </c>
      <c r="AU427">
        <f ca="1">IF(AND(ISNUMBER($AU$925),$B$511=1),$AU$925,HLOOKUP(INDIRECT(ADDRESS(2,COLUMN())),OFFSET($BN$2,0,0,ROW()-1,60),ROW()-1,FALSE))</f>
        <v>2.29</v>
      </c>
      <c r="AV427">
        <f ca="1">IF(AND(ISNUMBER($AV$925),$B$511=1),$AV$925,HLOOKUP(INDIRECT(ADDRESS(2,COLUMN())),OFFSET($BN$2,0,0,ROW()-1,60),ROW()-1,FALSE))</f>
        <v>5.2</v>
      </c>
      <c r="AW427">
        <f ca="1">IF(AND(ISNUMBER($AW$925),$B$511=1),$AW$925,HLOOKUP(INDIRECT(ADDRESS(2,COLUMN())),OFFSET($BN$2,0,0,ROW()-1,60),ROW()-1,FALSE))</f>
        <v>4.8099999999999996</v>
      </c>
      <c r="AX427">
        <f ca="1">IF(AND(ISNUMBER($AX$925),$B$511=1),$AX$925,HLOOKUP(INDIRECT(ADDRESS(2,COLUMN())),OFFSET($BN$2,0,0,ROW()-1,60),ROW()-1,FALSE))</f>
        <v>5.72</v>
      </c>
      <c r="AY427">
        <f ca="1">IF(AND(ISNUMBER($AY$925),$B$511=1),$AY$925,HLOOKUP(INDIRECT(ADDRESS(2,COLUMN())),OFFSET($BN$2,0,0,ROW()-1,60),ROW()-1,FALSE))</f>
        <v>6.73</v>
      </c>
      <c r="AZ427">
        <f ca="1">IF(AND(ISNUMBER($AZ$925),$B$511=1),$AZ$925,HLOOKUP(INDIRECT(ADDRESS(2,COLUMN())),OFFSET($BN$2,0,0,ROW()-1,60),ROW()-1,FALSE))</f>
        <v>8.49</v>
      </c>
      <c r="BA427">
        <f ca="1">IF(AND(ISNUMBER($BA$925),$B$511=1),$BA$925,HLOOKUP(INDIRECT(ADDRESS(2,COLUMN())),OFFSET($BN$2,0,0,ROW()-1,60),ROW()-1,FALSE))</f>
        <v>9.42</v>
      </c>
      <c r="BB427">
        <f ca="1">IF(AND(ISNUMBER($BB$925),$B$511=1),$BB$925,HLOOKUP(INDIRECT(ADDRESS(2,COLUMN())),OFFSET($BN$2,0,0,ROW()-1,60),ROW()-1,FALSE))</f>
        <v>7.89</v>
      </c>
      <c r="BC427">
        <f ca="1">IF(AND(ISNUMBER($BC$925),$B$511=1),$BC$925,HLOOKUP(INDIRECT(ADDRESS(2,COLUMN())),OFFSET($BN$2,0,0,ROW()-1,60),ROW()-1,FALSE))</f>
        <v>7.51</v>
      </c>
      <c r="BD427">
        <f ca="1">IF(AND(ISNUMBER($BD$925),$B$511=1),$BD$925,HLOOKUP(INDIRECT(ADDRESS(2,COLUMN())),OFFSET($BN$2,0,0,ROW()-1,60),ROW()-1,FALSE))</f>
        <v>8.09</v>
      </c>
      <c r="BE427">
        <f ca="1">IF(AND(ISNUMBER($BE$925),$B$511=1),$BE$925,HLOOKUP(INDIRECT(ADDRESS(2,COLUMN())),OFFSET($BN$2,0,0,ROW()-1,60),ROW()-1,FALSE))</f>
        <v>6.93</v>
      </c>
      <c r="BF427">
        <f ca="1">IF(AND(ISNUMBER($BF$925),$B$511=1),$BF$925,HLOOKUP(INDIRECT(ADDRESS(2,COLUMN())),OFFSET($BN$2,0,0,ROW()-1,60),ROW()-1,FALSE))</f>
        <v>7.96</v>
      </c>
      <c r="BG427">
        <f ca="1">IF(AND(ISNUMBER($BG$925),$B$511=1),$BG$925,HLOOKUP(INDIRECT(ADDRESS(2,COLUMN())),OFFSET($BN$2,0,0,ROW()-1,60),ROW()-1,FALSE))</f>
        <v>7.72</v>
      </c>
      <c r="BH427">
        <f ca="1">IF(AND(ISNUMBER($BH$925),$B$511=1),$BH$925,HLOOKUP(INDIRECT(ADDRESS(2,COLUMN())),OFFSET($BN$2,0,0,ROW()-1,60),ROW()-1,FALSE))</f>
        <v>9.86</v>
      </c>
      <c r="BI427">
        <f ca="1">IF(AND(ISNUMBER($BI$925),$B$511=1),$BI$925,HLOOKUP(INDIRECT(ADDRESS(2,COLUMN())),OFFSET($BN$2,0,0,ROW()-1,60),ROW()-1,FALSE))</f>
        <v>10.24</v>
      </c>
      <c r="BJ427">
        <f ca="1">IF(AND(ISNUMBER($BJ$925),$B$511=1),$BJ$925,HLOOKUP(INDIRECT(ADDRESS(2,COLUMN())),OFFSET($BN$2,0,0,ROW()-1,60),ROW()-1,FALSE))</f>
        <v>11.33</v>
      </c>
      <c r="BK427">
        <f ca="1">IF(AND(ISNUMBER($BK$925),$B$511=1),$BK$925,HLOOKUP(INDIRECT(ADDRESS(2,COLUMN())),OFFSET($BN$2,0,0,ROW()-1,60),ROW()-1,FALSE))</f>
        <v>14.64</v>
      </c>
      <c r="BL427">
        <f ca="1">IF(AND(ISNUMBER($BL$925),$B$511=1),$BL$925,HLOOKUP(INDIRECT(ADDRESS(2,COLUMN())),OFFSET($BN$2,0,0,ROW()-1,60),ROW()-1,FALSE))</f>
        <v>14.05</v>
      </c>
      <c r="BM427">
        <f ca="1">IF(AND(ISNUMBER($BM$925),$B$511=1),$BM$925,HLOOKUP(INDIRECT(ADDRESS(2,COLUMN())),OFFSET($BN$2,0,0,ROW()-1,60),ROW()-1,FALSE))</f>
        <v>15.65</v>
      </c>
      <c r="BN427">
        <f>8.78</f>
        <v>8.7799999999999994</v>
      </c>
      <c r="BO427">
        <f>7.65</f>
        <v>7.65</v>
      </c>
      <c r="BP427">
        <f>9.25</f>
        <v>9.25</v>
      </c>
      <c r="BQ427">
        <f>11.07</f>
        <v>11.07</v>
      </c>
      <c r="BR427">
        <f>11.08</f>
        <v>11.08</v>
      </c>
      <c r="BS427">
        <f>12.49</f>
        <v>12.49</v>
      </c>
      <c r="BT427">
        <f>11.97</f>
        <v>11.97</v>
      </c>
      <c r="BU427">
        <f>11.19</f>
        <v>11.19</v>
      </c>
      <c r="BV427">
        <f>11.64</f>
        <v>11.64</v>
      </c>
      <c r="BW427">
        <f>12.13</f>
        <v>12.13</v>
      </c>
      <c r="BX427">
        <f>12.07</f>
        <v>12.07</v>
      </c>
      <c r="BY427">
        <f>12.57</f>
        <v>12.57</v>
      </c>
      <c r="BZ427">
        <f>13.5</f>
        <v>13.5</v>
      </c>
      <c r="CA427">
        <f>14.09</f>
        <v>14.09</v>
      </c>
      <c r="CB427">
        <f>13.57</f>
        <v>13.57</v>
      </c>
      <c r="CC427">
        <f>15.01</f>
        <v>15.01</v>
      </c>
      <c r="CD427">
        <f>16.14</f>
        <v>16.14</v>
      </c>
      <c r="CE427">
        <f>15.5</f>
        <v>15.5</v>
      </c>
      <c r="CF427">
        <f>14.79</f>
        <v>14.79</v>
      </c>
      <c r="CG427">
        <f>17.24</f>
        <v>17.239999999999998</v>
      </c>
      <c r="CH427">
        <f>15.6</f>
        <v>15.6</v>
      </c>
      <c r="CI427">
        <f>15.43</f>
        <v>15.43</v>
      </c>
      <c r="CJ427">
        <f>16.87</f>
        <v>16.87</v>
      </c>
      <c r="CK427">
        <f>15.47</f>
        <v>15.47</v>
      </c>
      <c r="CL427">
        <f>13.15</f>
        <v>13.15</v>
      </c>
      <c r="CM427">
        <f>12.95</f>
        <v>12.95</v>
      </c>
      <c r="CN427">
        <f>9.86</f>
        <v>9.86</v>
      </c>
      <c r="CO427">
        <f>9.59</f>
        <v>9.59</v>
      </c>
      <c r="CP427">
        <f>12.475</f>
        <v>12.475</v>
      </c>
      <c r="CQ427">
        <f>10.76</f>
        <v>10.76</v>
      </c>
      <c r="CR427">
        <f>9.67</f>
        <v>9.67</v>
      </c>
      <c r="CS427">
        <f>13.79</f>
        <v>13.79</v>
      </c>
      <c r="CT427">
        <f>14.91</f>
        <v>14.91</v>
      </c>
      <c r="CU427">
        <f>16.79</f>
        <v>16.79</v>
      </c>
      <c r="CV427">
        <f>12.24</f>
        <v>12.24</v>
      </c>
      <c r="CW427">
        <f>10.08</f>
        <v>10.08</v>
      </c>
      <c r="CX427">
        <f>12.57</f>
        <v>12.57</v>
      </c>
      <c r="CY427">
        <f>10</f>
        <v>10</v>
      </c>
      <c r="CZ427">
        <f>7.21</f>
        <v>7.21</v>
      </c>
      <c r="DA427">
        <f>6.07</f>
        <v>6.07</v>
      </c>
      <c r="DB427">
        <f>2.63</f>
        <v>2.63</v>
      </c>
      <c r="DC427">
        <f>2.29</f>
        <v>2.29</v>
      </c>
      <c r="DD427">
        <f>5.2</f>
        <v>5.2</v>
      </c>
      <c r="DE427">
        <f>4.81</f>
        <v>4.8099999999999996</v>
      </c>
      <c r="DF427">
        <f>5.72</f>
        <v>5.72</v>
      </c>
      <c r="DG427">
        <f>6.73</f>
        <v>6.73</v>
      </c>
      <c r="DH427">
        <f>8.49</f>
        <v>8.49</v>
      </c>
      <c r="DI427">
        <f>9.42</f>
        <v>9.42</v>
      </c>
      <c r="DJ427">
        <f>7.89</f>
        <v>7.89</v>
      </c>
      <c r="DK427">
        <f>7.51</f>
        <v>7.51</v>
      </c>
      <c r="DL427">
        <f>8.09</f>
        <v>8.09</v>
      </c>
      <c r="DM427">
        <f>6.93</f>
        <v>6.93</v>
      </c>
      <c r="DN427">
        <f>7.96</f>
        <v>7.96</v>
      </c>
      <c r="DO427">
        <f>7.72</f>
        <v>7.72</v>
      </c>
      <c r="DP427">
        <f>9.86</f>
        <v>9.86</v>
      </c>
      <c r="DQ427">
        <f>10.24</f>
        <v>10.24</v>
      </c>
      <c r="DR427">
        <f>11.33</f>
        <v>11.33</v>
      </c>
      <c r="DS427">
        <f>14.64</f>
        <v>14.64</v>
      </c>
      <c r="DT427">
        <f>14.05</f>
        <v>14.05</v>
      </c>
      <c r="DU427">
        <f>15.65</f>
        <v>15.65</v>
      </c>
    </row>
    <row r="428" spans="1:125" x14ac:dyDescent="0.25">
      <c r="A428" t="str">
        <f>"    Ford Otomotiv Sanayi AS"</f>
        <v xml:space="preserve">    Ford Otomotiv Sanayi AS</v>
      </c>
      <c r="B428" t="str">
        <f>"FROTOTRY EO Equity"</f>
        <v>FROTOTRY EO Equity</v>
      </c>
      <c r="C428" t="str">
        <f t="shared" si="30"/>
        <v>PR005</v>
      </c>
      <c r="D428" t="str">
        <f t="shared" si="31"/>
        <v>PX_LAST</v>
      </c>
      <c r="E428" t="str">
        <f t="shared" si="32"/>
        <v>Dynamic</v>
      </c>
      <c r="F428" t="str">
        <f ca="1">IF(AND(ISNUMBER($F$926),$B$511=1),$F$926,HLOOKUP(INDIRECT(ADDRESS(2,COLUMN())),OFFSET($BN$2,0,0,ROW()-1,60),ROW()-1,FALSE))</f>
        <v/>
      </c>
      <c r="G428" t="str">
        <f ca="1">IF(AND(ISNUMBER($G$926),$B$511=1),$G$926,HLOOKUP(INDIRECT(ADDRESS(2,COLUMN())),OFFSET($BN$2,0,0,ROW()-1,60),ROW()-1,FALSE))</f>
        <v/>
      </c>
      <c r="H428" t="str">
        <f ca="1">IF(AND(ISNUMBER($H$926),$B$511=1),$H$926,HLOOKUP(INDIRECT(ADDRESS(2,COLUMN())),OFFSET($BN$2,0,0,ROW()-1,60),ROW()-1,FALSE))</f>
        <v/>
      </c>
      <c r="I428" t="str">
        <f ca="1">IF(AND(ISNUMBER($I$926),$B$511=1),$I$926,HLOOKUP(INDIRECT(ADDRESS(2,COLUMN())),OFFSET($BN$2,0,0,ROW()-1,60),ROW()-1,FALSE))</f>
        <v/>
      </c>
      <c r="J428" t="str">
        <f ca="1">IF(AND(ISNUMBER($J$926),$B$511=1),$J$926,HLOOKUP(INDIRECT(ADDRESS(2,COLUMN())),OFFSET($BN$2,0,0,ROW()-1,60),ROW()-1,FALSE))</f>
        <v/>
      </c>
      <c r="K428" t="str">
        <f ca="1">IF(AND(ISNUMBER($K$926),$B$511=1),$K$926,HLOOKUP(INDIRECT(ADDRESS(2,COLUMN())),OFFSET($BN$2,0,0,ROW()-1,60),ROW()-1,FALSE))</f>
        <v/>
      </c>
      <c r="L428" t="str">
        <f ca="1">IF(AND(ISNUMBER($L$926),$B$511=1),$L$926,HLOOKUP(INDIRECT(ADDRESS(2,COLUMN())),OFFSET($BN$2,0,0,ROW()-1,60),ROW()-1,FALSE))</f>
        <v/>
      </c>
      <c r="M428" t="str">
        <f ca="1">IF(AND(ISNUMBER($M$926),$B$511=1),$M$926,HLOOKUP(INDIRECT(ADDRESS(2,COLUMN())),OFFSET($BN$2,0,0,ROW()-1,60),ROW()-1,FALSE))</f>
        <v/>
      </c>
      <c r="N428" t="str">
        <f ca="1">IF(AND(ISNUMBER($N$926),$B$511=1),$N$926,HLOOKUP(INDIRECT(ADDRESS(2,COLUMN())),OFFSET($BN$2,0,0,ROW()-1,60),ROW()-1,FALSE))</f>
        <v/>
      </c>
      <c r="O428" t="str">
        <f ca="1">IF(AND(ISNUMBER($O$926),$B$511=1),$O$926,HLOOKUP(INDIRECT(ADDRESS(2,COLUMN())),OFFSET($BN$2,0,0,ROW()-1,60),ROW()-1,FALSE))</f>
        <v/>
      </c>
      <c r="P428" t="str">
        <f ca="1">IF(AND(ISNUMBER($P$926),$B$511=1),$P$926,HLOOKUP(INDIRECT(ADDRESS(2,COLUMN())),OFFSET($BN$2,0,0,ROW()-1,60),ROW()-1,FALSE))</f>
        <v/>
      </c>
      <c r="Q428" t="str">
        <f ca="1">IF(AND(ISNUMBER($Q$926),$B$511=1),$Q$926,HLOOKUP(INDIRECT(ADDRESS(2,COLUMN())),OFFSET($BN$2,0,0,ROW()-1,60),ROW()-1,FALSE))</f>
        <v/>
      </c>
      <c r="R428" t="str">
        <f ca="1">IF(AND(ISNUMBER($R$926),$B$511=1),$R$926,HLOOKUP(INDIRECT(ADDRESS(2,COLUMN())),OFFSET($BN$2,0,0,ROW()-1,60),ROW()-1,FALSE))</f>
        <v/>
      </c>
      <c r="S428" t="str">
        <f ca="1">IF(AND(ISNUMBER($S$926),$B$511=1),$S$926,HLOOKUP(INDIRECT(ADDRESS(2,COLUMN())),OFFSET($BN$2,0,0,ROW()-1,60),ROW()-1,FALSE))</f>
        <v/>
      </c>
      <c r="T428" t="str">
        <f ca="1">IF(AND(ISNUMBER($T$926),$B$511=1),$T$926,HLOOKUP(INDIRECT(ADDRESS(2,COLUMN())),OFFSET($BN$2,0,0,ROW()-1,60),ROW()-1,FALSE))</f>
        <v/>
      </c>
      <c r="U428" t="str">
        <f ca="1">IF(AND(ISNUMBER($U$926),$B$511=1),$U$926,HLOOKUP(INDIRECT(ADDRESS(2,COLUMN())),OFFSET($BN$2,0,0,ROW()-1,60),ROW()-1,FALSE))</f>
        <v/>
      </c>
      <c r="V428" t="str">
        <f ca="1">IF(AND(ISNUMBER($V$926),$B$511=1),$V$926,HLOOKUP(INDIRECT(ADDRESS(2,COLUMN())),OFFSET($BN$2,0,0,ROW()-1,60),ROW()-1,FALSE))</f>
        <v/>
      </c>
      <c r="W428" t="str">
        <f ca="1">IF(AND(ISNUMBER($W$926),$B$511=1),$W$926,HLOOKUP(INDIRECT(ADDRESS(2,COLUMN())),OFFSET($BN$2,0,0,ROW()-1,60),ROW()-1,FALSE))</f>
        <v/>
      </c>
      <c r="X428" t="str">
        <f ca="1">IF(AND(ISNUMBER($X$926),$B$511=1),$X$926,HLOOKUP(INDIRECT(ADDRESS(2,COLUMN())),OFFSET($BN$2,0,0,ROW()-1,60),ROW()-1,FALSE))</f>
        <v/>
      </c>
      <c r="Y428" t="str">
        <f ca="1">IF(AND(ISNUMBER($Y$926),$B$511=1),$Y$926,HLOOKUP(INDIRECT(ADDRESS(2,COLUMN())),OFFSET($BN$2,0,0,ROW()-1,60),ROW()-1,FALSE))</f>
        <v/>
      </c>
      <c r="Z428" t="str">
        <f ca="1">IF(AND(ISNUMBER($Z$926),$B$511=1),$Z$926,HLOOKUP(INDIRECT(ADDRESS(2,COLUMN())),OFFSET($BN$2,0,0,ROW()-1,60),ROW()-1,FALSE))</f>
        <v/>
      </c>
      <c r="AA428" t="str">
        <f ca="1">IF(AND(ISNUMBER($AA$926),$B$511=1),$AA$926,HLOOKUP(INDIRECT(ADDRESS(2,COLUMN())),OFFSET($BN$2,0,0,ROW()-1,60),ROW()-1,FALSE))</f>
        <v/>
      </c>
      <c r="AB428" t="str">
        <f ca="1">IF(AND(ISNUMBER($AB$926),$B$511=1),$AB$926,HLOOKUP(INDIRECT(ADDRESS(2,COLUMN())),OFFSET($BN$2,0,0,ROW()-1,60),ROW()-1,FALSE))</f>
        <v/>
      </c>
      <c r="AC428" t="str">
        <f ca="1">IF(AND(ISNUMBER($AC$926),$B$511=1),$AC$926,HLOOKUP(INDIRECT(ADDRESS(2,COLUMN())),OFFSET($BN$2,0,0,ROW()-1,60),ROW()-1,FALSE))</f>
        <v/>
      </c>
      <c r="AD428" t="str">
        <f ca="1">IF(AND(ISNUMBER($AD$926),$B$511=1),$AD$926,HLOOKUP(INDIRECT(ADDRESS(2,COLUMN())),OFFSET($BN$2,0,0,ROW()-1,60),ROW()-1,FALSE))</f>
        <v/>
      </c>
      <c r="AE428" t="str">
        <f ca="1">IF(AND(ISNUMBER($AE$926),$B$511=1),$AE$926,HLOOKUP(INDIRECT(ADDRESS(2,COLUMN())),OFFSET($BN$2,0,0,ROW()-1,60),ROW()-1,FALSE))</f>
        <v/>
      </c>
      <c r="AF428" t="str">
        <f ca="1">IF(AND(ISNUMBER($AF$926),$B$511=1),$AF$926,HLOOKUP(INDIRECT(ADDRESS(2,COLUMN())),OFFSET($BN$2,0,0,ROW()-1,60),ROW()-1,FALSE))</f>
        <v/>
      </c>
      <c r="AG428" t="str">
        <f ca="1">IF(AND(ISNUMBER($AG$926),$B$511=1),$AG$926,HLOOKUP(INDIRECT(ADDRESS(2,COLUMN())),OFFSET($BN$2,0,0,ROW()-1,60),ROW()-1,FALSE))</f>
        <v/>
      </c>
      <c r="AH428" t="str">
        <f ca="1">IF(AND(ISNUMBER($AH$926),$B$511=1),$AH$926,HLOOKUP(INDIRECT(ADDRESS(2,COLUMN())),OFFSET($BN$2,0,0,ROW()-1,60),ROW()-1,FALSE))</f>
        <v/>
      </c>
      <c r="AI428" t="str">
        <f ca="1">IF(AND(ISNUMBER($AI$926),$B$511=1),$AI$926,HLOOKUP(INDIRECT(ADDRESS(2,COLUMN())),OFFSET($BN$2,0,0,ROW()-1,60),ROW()-1,FALSE))</f>
        <v/>
      </c>
      <c r="AJ428" t="str">
        <f ca="1">IF(AND(ISNUMBER($AJ$926),$B$511=1),$AJ$926,HLOOKUP(INDIRECT(ADDRESS(2,COLUMN())),OFFSET($BN$2,0,0,ROW()-1,60),ROW()-1,FALSE))</f>
        <v/>
      </c>
      <c r="AK428" t="str">
        <f ca="1">IF(AND(ISNUMBER($AK$926),$B$511=1),$AK$926,HLOOKUP(INDIRECT(ADDRESS(2,COLUMN())),OFFSET($BN$2,0,0,ROW()-1,60),ROW()-1,FALSE))</f>
        <v/>
      </c>
      <c r="AL428" t="str">
        <f ca="1">IF(AND(ISNUMBER($AL$926),$B$511=1),$AL$926,HLOOKUP(INDIRECT(ADDRESS(2,COLUMN())),OFFSET($BN$2,0,0,ROW()-1,60),ROW()-1,FALSE))</f>
        <v/>
      </c>
      <c r="AM428" t="str">
        <f ca="1">IF(AND(ISNUMBER($AM$926),$B$511=1),$AM$926,HLOOKUP(INDIRECT(ADDRESS(2,COLUMN())),OFFSET($BN$2,0,0,ROW()-1,60),ROW()-1,FALSE))</f>
        <v/>
      </c>
      <c r="AN428" t="str">
        <f ca="1">IF(AND(ISNUMBER($AN$926),$B$511=1),$AN$926,HLOOKUP(INDIRECT(ADDRESS(2,COLUMN())),OFFSET($BN$2,0,0,ROW()-1,60),ROW()-1,FALSE))</f>
        <v/>
      </c>
      <c r="AO428" t="str">
        <f ca="1">IF(AND(ISNUMBER($AO$926),$B$511=1),$AO$926,HLOOKUP(INDIRECT(ADDRESS(2,COLUMN())),OFFSET($BN$2,0,0,ROW()-1,60),ROW()-1,FALSE))</f>
        <v/>
      </c>
      <c r="AP428" t="str">
        <f ca="1">IF(AND(ISNUMBER($AP$926),$B$511=1),$AP$926,HLOOKUP(INDIRECT(ADDRESS(2,COLUMN())),OFFSET($BN$2,0,0,ROW()-1,60),ROW()-1,FALSE))</f>
        <v/>
      </c>
      <c r="AQ428" t="str">
        <f ca="1">IF(AND(ISNUMBER($AQ$926),$B$511=1),$AQ$926,HLOOKUP(INDIRECT(ADDRESS(2,COLUMN())),OFFSET($BN$2,0,0,ROW()-1,60),ROW()-1,FALSE))</f>
        <v/>
      </c>
      <c r="AR428" t="str">
        <f ca="1">IF(AND(ISNUMBER($AR$926),$B$511=1),$AR$926,HLOOKUP(INDIRECT(ADDRESS(2,COLUMN())),OFFSET($BN$2,0,0,ROW()-1,60),ROW()-1,FALSE))</f>
        <v/>
      </c>
      <c r="AS428" t="str">
        <f ca="1">IF(AND(ISNUMBER($AS$926),$B$511=1),$AS$926,HLOOKUP(INDIRECT(ADDRESS(2,COLUMN())),OFFSET($BN$2,0,0,ROW()-1,60),ROW()-1,FALSE))</f>
        <v/>
      </c>
      <c r="AT428" t="str">
        <f ca="1">IF(AND(ISNUMBER($AT$926),$B$511=1),$AT$926,HLOOKUP(INDIRECT(ADDRESS(2,COLUMN())),OFFSET($BN$2,0,0,ROW()-1,60),ROW()-1,FALSE))</f>
        <v/>
      </c>
      <c r="AU428" t="str">
        <f ca="1">IF(AND(ISNUMBER($AU$926),$B$511=1),$AU$926,HLOOKUP(INDIRECT(ADDRESS(2,COLUMN())),OFFSET($BN$2,0,0,ROW()-1,60),ROW()-1,FALSE))</f>
        <v/>
      </c>
      <c r="AV428" t="str">
        <f ca="1">IF(AND(ISNUMBER($AV$926),$B$511=1),$AV$926,HLOOKUP(INDIRECT(ADDRESS(2,COLUMN())),OFFSET($BN$2,0,0,ROW()-1,60),ROW()-1,FALSE))</f>
        <v/>
      </c>
      <c r="AW428" t="str">
        <f ca="1">IF(AND(ISNUMBER($AW$926),$B$511=1),$AW$926,HLOOKUP(INDIRECT(ADDRESS(2,COLUMN())),OFFSET($BN$2,0,0,ROW()-1,60),ROW()-1,FALSE))</f>
        <v/>
      </c>
      <c r="AX428" t="str">
        <f ca="1">IF(AND(ISNUMBER($AX$926),$B$511=1),$AX$926,HLOOKUP(INDIRECT(ADDRESS(2,COLUMN())),OFFSET($BN$2,0,0,ROW()-1,60),ROW()-1,FALSE))</f>
        <v/>
      </c>
      <c r="AY428" t="str">
        <f ca="1">IF(AND(ISNUMBER($AY$926),$B$511=1),$AY$926,HLOOKUP(INDIRECT(ADDRESS(2,COLUMN())),OFFSET($BN$2,0,0,ROW()-1,60),ROW()-1,FALSE))</f>
        <v/>
      </c>
      <c r="AZ428" t="str">
        <f ca="1">IF(AND(ISNUMBER($AZ$926),$B$511=1),$AZ$926,HLOOKUP(INDIRECT(ADDRESS(2,COLUMN())),OFFSET($BN$2,0,0,ROW()-1,60),ROW()-1,FALSE))</f>
        <v/>
      </c>
      <c r="BA428" t="str">
        <f ca="1">IF(AND(ISNUMBER($BA$926),$B$511=1),$BA$926,HLOOKUP(INDIRECT(ADDRESS(2,COLUMN())),OFFSET($BN$2,0,0,ROW()-1,60),ROW()-1,FALSE))</f>
        <v/>
      </c>
      <c r="BB428" t="str">
        <f ca="1">IF(AND(ISNUMBER($BB$926),$B$511=1),$BB$926,HLOOKUP(INDIRECT(ADDRESS(2,COLUMN())),OFFSET($BN$2,0,0,ROW()-1,60),ROW()-1,FALSE))</f>
        <v/>
      </c>
      <c r="BC428" t="str">
        <f ca="1">IF(AND(ISNUMBER($BC$926),$B$511=1),$BC$926,HLOOKUP(INDIRECT(ADDRESS(2,COLUMN())),OFFSET($BN$2,0,0,ROW()-1,60),ROW()-1,FALSE))</f>
        <v/>
      </c>
      <c r="BD428" t="str">
        <f ca="1">IF(AND(ISNUMBER($BD$926),$B$511=1),$BD$926,HLOOKUP(INDIRECT(ADDRESS(2,COLUMN())),OFFSET($BN$2,0,0,ROW()-1,60),ROW()-1,FALSE))</f>
        <v/>
      </c>
      <c r="BE428" t="str">
        <f ca="1">IF(AND(ISNUMBER($BE$926),$B$511=1),$BE$926,HLOOKUP(INDIRECT(ADDRESS(2,COLUMN())),OFFSET($BN$2,0,0,ROW()-1,60),ROW()-1,FALSE))</f>
        <v/>
      </c>
      <c r="BF428" t="str">
        <f ca="1">IF(AND(ISNUMBER($BF$926),$B$511=1),$BF$926,HLOOKUP(INDIRECT(ADDRESS(2,COLUMN())),OFFSET($BN$2,0,0,ROW()-1,60),ROW()-1,FALSE))</f>
        <v/>
      </c>
      <c r="BG428" t="str">
        <f ca="1">IF(AND(ISNUMBER($BG$926),$B$511=1),$BG$926,HLOOKUP(INDIRECT(ADDRESS(2,COLUMN())),OFFSET($BN$2,0,0,ROW()-1,60),ROW()-1,FALSE))</f>
        <v/>
      </c>
      <c r="BH428" t="str">
        <f ca="1">IF(AND(ISNUMBER($BH$926),$B$511=1),$BH$926,HLOOKUP(INDIRECT(ADDRESS(2,COLUMN())),OFFSET($BN$2,0,0,ROW()-1,60),ROW()-1,FALSE))</f>
        <v/>
      </c>
      <c r="BI428" t="str">
        <f ca="1">IF(AND(ISNUMBER($BI$926),$B$511=1),$BI$926,HLOOKUP(INDIRECT(ADDRESS(2,COLUMN())),OFFSET($BN$2,0,0,ROW()-1,60),ROW()-1,FALSE))</f>
        <v/>
      </c>
      <c r="BJ428" t="str">
        <f ca="1">IF(AND(ISNUMBER($BJ$926),$B$511=1),$BJ$926,HLOOKUP(INDIRECT(ADDRESS(2,COLUMN())),OFFSET($BN$2,0,0,ROW()-1,60),ROW()-1,FALSE))</f>
        <v/>
      </c>
      <c r="BK428" t="str">
        <f ca="1">IF(AND(ISNUMBER($BK$926),$B$511=1),$BK$926,HLOOKUP(INDIRECT(ADDRESS(2,COLUMN())),OFFSET($BN$2,0,0,ROW()-1,60),ROW()-1,FALSE))</f>
        <v/>
      </c>
      <c r="BL428" t="str">
        <f ca="1">IF(AND(ISNUMBER($BL$926),$B$511=1),$BL$926,HLOOKUP(INDIRECT(ADDRESS(2,COLUMN())),OFFSET($BN$2,0,0,ROW()-1,60),ROW()-1,FALSE))</f>
        <v/>
      </c>
      <c r="BM428" t="str">
        <f ca="1">IF(AND(ISNUMBER($BM$926),$B$511=1),$BM$926,HLOOKUP(INDIRECT(ADDRESS(2,COLUMN())),OFFSET($BN$2,0,0,ROW()-1,60),ROW()-1,FALSE))</f>
        <v/>
      </c>
      <c r="BN428" t="str">
        <f>""</f>
        <v/>
      </c>
      <c r="BO428" t="str">
        <f>""</f>
        <v/>
      </c>
      <c r="BP428" t="str">
        <f>""</f>
        <v/>
      </c>
      <c r="BQ428" t="str">
        <f>""</f>
        <v/>
      </c>
      <c r="BR428" t="str">
        <f>""</f>
        <v/>
      </c>
      <c r="BS428" t="str">
        <f>""</f>
        <v/>
      </c>
      <c r="BT428" t="str">
        <f>""</f>
        <v/>
      </c>
      <c r="BU428" t="str">
        <f>""</f>
        <v/>
      </c>
      <c r="BV428" t="str">
        <f>""</f>
        <v/>
      </c>
      <c r="BW428" t="str">
        <f>""</f>
        <v/>
      </c>
      <c r="BX428" t="str">
        <f>""</f>
        <v/>
      </c>
      <c r="BY428" t="str">
        <f>""</f>
        <v/>
      </c>
      <c r="BZ428" t="str">
        <f>""</f>
        <v/>
      </c>
      <c r="CA428" t="str">
        <f>""</f>
        <v/>
      </c>
      <c r="CB428" t="str">
        <f>""</f>
        <v/>
      </c>
      <c r="CC428" t="str">
        <f>""</f>
        <v/>
      </c>
      <c r="CD428" t="str">
        <f>""</f>
        <v/>
      </c>
      <c r="CE428" t="str">
        <f>""</f>
        <v/>
      </c>
      <c r="CF428" t="str">
        <f>""</f>
        <v/>
      </c>
      <c r="CG428" t="str">
        <f>""</f>
        <v/>
      </c>
      <c r="CH428" t="str">
        <f>""</f>
        <v/>
      </c>
      <c r="CI428" t="str">
        <f>""</f>
        <v/>
      </c>
      <c r="CJ428" t="str">
        <f>""</f>
        <v/>
      </c>
      <c r="CK428" t="str">
        <f>""</f>
        <v/>
      </c>
      <c r="CL428" t="str">
        <f>""</f>
        <v/>
      </c>
      <c r="CM428" t="str">
        <f>""</f>
        <v/>
      </c>
      <c r="CN428" t="str">
        <f>""</f>
        <v/>
      </c>
      <c r="CO428" t="str">
        <f>""</f>
        <v/>
      </c>
      <c r="CP428" t="str">
        <f>""</f>
        <v/>
      </c>
      <c r="CQ428" t="str">
        <f>""</f>
        <v/>
      </c>
      <c r="CR428" t="str">
        <f>""</f>
        <v/>
      </c>
      <c r="CS428" t="str">
        <f>""</f>
        <v/>
      </c>
      <c r="CT428" t="str">
        <f>""</f>
        <v/>
      </c>
      <c r="CU428" t="str">
        <f>""</f>
        <v/>
      </c>
      <c r="CV428" t="str">
        <f>""</f>
        <v/>
      </c>
      <c r="CW428" t="str">
        <f>""</f>
        <v/>
      </c>
      <c r="CX428" t="str">
        <f>""</f>
        <v/>
      </c>
      <c r="CY428" t="str">
        <f>""</f>
        <v/>
      </c>
      <c r="CZ428" t="str">
        <f>""</f>
        <v/>
      </c>
      <c r="DA428" t="str">
        <f>""</f>
        <v/>
      </c>
      <c r="DB428" t="str">
        <f>""</f>
        <v/>
      </c>
      <c r="DC428" t="str">
        <f>""</f>
        <v/>
      </c>
      <c r="DD428" t="str">
        <f>""</f>
        <v/>
      </c>
      <c r="DE428" t="str">
        <f>""</f>
        <v/>
      </c>
      <c r="DF428" t="str">
        <f>""</f>
        <v/>
      </c>
      <c r="DG428" t="str">
        <f>""</f>
        <v/>
      </c>
      <c r="DH428" t="str">
        <f>""</f>
        <v/>
      </c>
      <c r="DI428" t="str">
        <f>""</f>
        <v/>
      </c>
      <c r="DJ428" t="str">
        <f>""</f>
        <v/>
      </c>
      <c r="DK428" t="str">
        <f>""</f>
        <v/>
      </c>
      <c r="DL428" t="str">
        <f>""</f>
        <v/>
      </c>
      <c r="DM428" t="str">
        <f>""</f>
        <v/>
      </c>
      <c r="DN428" t="str">
        <f>""</f>
        <v/>
      </c>
      <c r="DO428" t="str">
        <f>""</f>
        <v/>
      </c>
      <c r="DP428" t="str">
        <f>""</f>
        <v/>
      </c>
      <c r="DQ428" t="str">
        <f>""</f>
        <v/>
      </c>
      <c r="DR428" t="str">
        <f>""</f>
        <v/>
      </c>
      <c r="DS428" t="str">
        <f>""</f>
        <v/>
      </c>
      <c r="DT428" t="str">
        <f>""</f>
        <v/>
      </c>
      <c r="DU428" t="str">
        <f>""</f>
        <v/>
      </c>
    </row>
    <row r="429" spans="1:125" x14ac:dyDescent="0.25">
      <c r="A429" t="str">
        <f>"    GAZ PJSC"</f>
        <v xml:space="preserve">    GAZ PJSC</v>
      </c>
      <c r="B429" t="str">
        <f>"GAZA RM Equity"</f>
        <v>GAZA RM Equity</v>
      </c>
      <c r="C429" t="str">
        <f t="shared" si="30"/>
        <v>PR005</v>
      </c>
      <c r="D429" t="str">
        <f t="shared" si="31"/>
        <v>PX_LAST</v>
      </c>
      <c r="E429" t="str">
        <f t="shared" si="32"/>
        <v>Dynamic</v>
      </c>
      <c r="F429">
        <f ca="1">IF(AND(ISNUMBER($F$927),$B$511=1),$F$927,HLOOKUP(INDIRECT(ADDRESS(2,COLUMN())),OFFSET($BN$2,0,0,ROW()-1,60),ROW()-1,FALSE))</f>
        <v>7.2856698900000003</v>
      </c>
      <c r="G429">
        <f ca="1">IF(AND(ISNUMBER($G$927),$B$511=1),$G$927,HLOOKUP(INDIRECT(ADDRESS(2,COLUMN())),OFFSET($BN$2,0,0,ROW()-1,60),ROW()-1,FALSE))</f>
        <v>6.7208165610000004</v>
      </c>
      <c r="H429">
        <f ca="1">IF(AND(ISNUMBER($H$927),$B$511=1),$H$927,HLOOKUP(INDIRECT(ADDRESS(2,COLUMN())),OFFSET($BN$2,0,0,ROW()-1,60),ROW()-1,FALSE))</f>
        <v>5.8786434229999998</v>
      </c>
      <c r="I429">
        <f ca="1">IF(AND(ISNUMBER($I$927),$B$511=1),$I$927,HLOOKUP(INDIRECT(ADDRESS(2,COLUMN())),OFFSET($BN$2,0,0,ROW()-1,60),ROW()-1,FALSE))</f>
        <v>6.7422714920000004</v>
      </c>
      <c r="J429">
        <f ca="1">IF(AND(ISNUMBER($J$927),$B$511=1),$J$927,HLOOKUP(INDIRECT(ADDRESS(2,COLUMN())),OFFSET($BN$2,0,0,ROW()-1,60),ROW()-1,FALSE))</f>
        <v>11.037566269999999</v>
      </c>
      <c r="K429">
        <f ca="1">IF(AND(ISNUMBER($K$927),$B$511=1),$K$927,HLOOKUP(INDIRECT(ADDRESS(2,COLUMN())),OFFSET($BN$2,0,0,ROW()-1,60),ROW()-1,FALSE))</f>
        <v>13.896126450000001</v>
      </c>
      <c r="L429">
        <f ca="1">IF(AND(ISNUMBER($L$927),$B$511=1),$L$927,HLOOKUP(INDIRECT(ADDRESS(2,COLUMN())),OFFSET($BN$2,0,0,ROW()-1,60),ROW()-1,FALSE))</f>
        <v>13.21869029</v>
      </c>
      <c r="M429">
        <f ca="1">IF(AND(ISNUMBER($M$927),$B$511=1),$M$927,HLOOKUP(INDIRECT(ADDRESS(2,COLUMN())),OFFSET($BN$2,0,0,ROW()-1,60),ROW()-1,FALSE))</f>
        <v>8.3028388609999997</v>
      </c>
      <c r="N429">
        <f ca="1">IF(AND(ISNUMBER($N$927),$B$511=1),$N$927,HLOOKUP(INDIRECT(ADDRESS(2,COLUMN())),OFFSET($BN$2,0,0,ROW()-1,60),ROW()-1,FALSE))</f>
        <v>9.5757702810000005</v>
      </c>
      <c r="O429">
        <f ca="1">IF(AND(ISNUMBER($O$927),$B$511=1),$O$927,HLOOKUP(INDIRECT(ADDRESS(2,COLUMN())),OFFSET($BN$2,0,0,ROW()-1,60),ROW()-1,FALSE))</f>
        <v>9.1306449930000007</v>
      </c>
      <c r="P429">
        <f ca="1">IF(AND(ISNUMBER($P$927),$B$511=1),$P$927,HLOOKUP(INDIRECT(ADDRESS(2,COLUMN())),OFFSET($BN$2,0,0,ROW()-1,60),ROW()-1,FALSE))</f>
        <v>6.7749061289999997</v>
      </c>
      <c r="Q429">
        <f ca="1">IF(AND(ISNUMBER($Q$927),$B$511=1),$Q$927,HLOOKUP(INDIRECT(ADDRESS(2,COLUMN())),OFFSET($BN$2,0,0,ROW()-1,60),ROW()-1,FALSE))</f>
        <v>6.7560382089999997</v>
      </c>
      <c r="R429">
        <f ca="1">IF(AND(ISNUMBER($R$927),$B$511=1),$R$927,HLOOKUP(INDIRECT(ADDRESS(2,COLUMN())),OFFSET($BN$2,0,0,ROW()-1,60),ROW()-1,FALSE))</f>
        <v>6.6356408299999998</v>
      </c>
      <c r="S429">
        <f ca="1">IF(AND(ISNUMBER($S$927),$B$511=1),$S$927,HLOOKUP(INDIRECT(ADDRESS(2,COLUMN())),OFFSET($BN$2,0,0,ROW()-1,60),ROW()-1,FALSE))</f>
        <v>5.9919136399999999</v>
      </c>
      <c r="T429">
        <f ca="1">IF(AND(ISNUMBER($T$927),$B$511=1),$T$927,HLOOKUP(INDIRECT(ADDRESS(2,COLUMN())),OFFSET($BN$2,0,0,ROW()-1,60),ROW()-1,FALSE))</f>
        <v>7.4470844969999996</v>
      </c>
      <c r="U429">
        <f ca="1">IF(AND(ISNUMBER($U$927),$B$511=1),$U$927,HLOOKUP(INDIRECT(ADDRESS(2,COLUMN())),OFFSET($BN$2,0,0,ROW()-1,60),ROW()-1,FALSE))</f>
        <v>7.5816520399999998</v>
      </c>
      <c r="V429">
        <f ca="1">IF(AND(ISNUMBER($V$927),$B$511=1),$V$927,HLOOKUP(INDIRECT(ADDRESS(2,COLUMN())),OFFSET($BN$2,0,0,ROW()-1,60),ROW()-1,FALSE))</f>
        <v>7.0472769150000003</v>
      </c>
      <c r="W429">
        <f ca="1">IF(AND(ISNUMBER($W$927),$B$511=1),$W$927,HLOOKUP(INDIRECT(ADDRESS(2,COLUMN())),OFFSET($BN$2,0,0,ROW()-1,60),ROW()-1,FALSE))</f>
        <v>5.7251360389999997</v>
      </c>
      <c r="X429">
        <f ca="1">IF(AND(ISNUMBER($X$927),$B$511=1),$X$927,HLOOKUP(INDIRECT(ADDRESS(2,COLUMN())),OFFSET($BN$2,0,0,ROW()-1,60),ROW()-1,FALSE))</f>
        <v>11.23680622</v>
      </c>
      <c r="Y429">
        <f ca="1">IF(AND(ISNUMBER($Y$927),$B$511=1),$Y$927,HLOOKUP(INDIRECT(ADDRESS(2,COLUMN())),OFFSET($BN$2,0,0,ROW()-1,60),ROW()-1,FALSE))</f>
        <v>18.827947049999999</v>
      </c>
      <c r="Z429">
        <f ca="1">IF(AND(ISNUMBER($Z$927),$B$511=1),$Z$927,HLOOKUP(INDIRECT(ADDRESS(2,COLUMN())),OFFSET($BN$2,0,0,ROW()-1,60),ROW()-1,FALSE))</f>
        <v>20.683067179999998</v>
      </c>
      <c r="AA429">
        <f ca="1">IF(AND(ISNUMBER($AA$927),$B$511=1),$AA$927,HLOOKUP(INDIRECT(ADDRESS(2,COLUMN())),OFFSET($BN$2,0,0,ROW()-1,60),ROW()-1,FALSE))</f>
        <v>25.704751479999999</v>
      </c>
      <c r="AB429">
        <f ca="1">IF(AND(ISNUMBER($AB$927),$B$511=1),$AB$927,HLOOKUP(INDIRECT(ADDRESS(2,COLUMN())),OFFSET($BN$2,0,0,ROW()-1,60),ROW()-1,FALSE))</f>
        <v>29.474607249999998</v>
      </c>
      <c r="AC429">
        <f ca="1">IF(AND(ISNUMBER($AC$927),$B$511=1),$AC$927,HLOOKUP(INDIRECT(ADDRESS(2,COLUMN())),OFFSET($BN$2,0,0,ROW()-1,60),ROW()-1,FALSE))</f>
        <v>31.614402349999999</v>
      </c>
      <c r="AD429">
        <f ca="1">IF(AND(ISNUMBER($AD$927),$B$511=1),$AD$927,HLOOKUP(INDIRECT(ADDRESS(2,COLUMN())),OFFSET($BN$2,0,0,ROW()-1,60),ROW()-1,FALSE))</f>
        <v>44.167256809999998</v>
      </c>
      <c r="AE429">
        <f ca="1">IF(AND(ISNUMBER($AE$927),$B$511=1),$AE$927,HLOOKUP(INDIRECT(ADDRESS(2,COLUMN())),OFFSET($BN$2,0,0,ROW()-1,60),ROW()-1,FALSE))</f>
        <v>44.068287890000001</v>
      </c>
      <c r="AF429">
        <f ca="1">IF(AND(ISNUMBER($AF$927),$B$511=1),$AF$927,HLOOKUP(INDIRECT(ADDRESS(2,COLUMN())),OFFSET($BN$2,0,0,ROW()-1,60),ROW()-1,FALSE))</f>
        <v>30.229276899999999</v>
      </c>
      <c r="AG429">
        <f ca="1">IF(AND(ISNUMBER($AG$927),$B$511=1),$AG$927,HLOOKUP(INDIRECT(ADDRESS(2,COLUMN())),OFFSET($BN$2,0,0,ROW()-1,60),ROW()-1,FALSE))</f>
        <v>27.273567750000002</v>
      </c>
      <c r="AH429">
        <f ca="1">IF(AND(ISNUMBER($AH$927),$B$511=1),$AH$927,HLOOKUP(INDIRECT(ADDRESS(2,COLUMN())),OFFSET($BN$2,0,0,ROW()-1,60),ROW()-1,FALSE))</f>
        <v>33.771151750000001</v>
      </c>
      <c r="AI429">
        <f ca="1">IF(AND(ISNUMBER($AI$927),$B$511=1),$AI$927,HLOOKUP(INDIRECT(ADDRESS(2,COLUMN())),OFFSET($BN$2,0,0,ROW()-1,60),ROW()-1,FALSE))</f>
        <v>26.73929961</v>
      </c>
      <c r="AJ429" t="str">
        <f ca="1">IF(AND(ISNUMBER($AJ$927),$B$511=1),$AJ$927,HLOOKUP(INDIRECT(ADDRESS(2,COLUMN())),OFFSET($BN$2,0,0,ROW()-1,60),ROW()-1,FALSE))</f>
        <v/>
      </c>
      <c r="AK429" t="str">
        <f ca="1">IF(AND(ISNUMBER($AK$927),$B$511=1),$AK$927,HLOOKUP(INDIRECT(ADDRESS(2,COLUMN())),OFFSET($BN$2,0,0,ROW()-1,60),ROW()-1,FALSE))</f>
        <v/>
      </c>
      <c r="AL429" t="str">
        <f ca="1">IF(AND(ISNUMBER($AL$927),$B$511=1),$AL$927,HLOOKUP(INDIRECT(ADDRESS(2,COLUMN())),OFFSET($BN$2,0,0,ROW()-1,60),ROW()-1,FALSE))</f>
        <v/>
      </c>
      <c r="AM429" t="str">
        <f ca="1">IF(AND(ISNUMBER($AM$927),$B$511=1),$AM$927,HLOOKUP(INDIRECT(ADDRESS(2,COLUMN())),OFFSET($BN$2,0,0,ROW()-1,60),ROW()-1,FALSE))</f>
        <v/>
      </c>
      <c r="AN429" t="str">
        <f ca="1">IF(AND(ISNUMBER($AN$927),$B$511=1),$AN$927,HLOOKUP(INDIRECT(ADDRESS(2,COLUMN())),OFFSET($BN$2,0,0,ROW()-1,60),ROW()-1,FALSE))</f>
        <v/>
      </c>
      <c r="AO429" t="str">
        <f ca="1">IF(AND(ISNUMBER($AO$927),$B$511=1),$AO$927,HLOOKUP(INDIRECT(ADDRESS(2,COLUMN())),OFFSET($BN$2,0,0,ROW()-1,60),ROW()-1,FALSE))</f>
        <v/>
      </c>
      <c r="AP429" t="str">
        <f ca="1">IF(AND(ISNUMBER($AP$927),$B$511=1),$AP$927,HLOOKUP(INDIRECT(ADDRESS(2,COLUMN())),OFFSET($BN$2,0,0,ROW()-1,60),ROW()-1,FALSE))</f>
        <v/>
      </c>
      <c r="AQ429" t="str">
        <f ca="1">IF(AND(ISNUMBER($AQ$927),$B$511=1),$AQ$927,HLOOKUP(INDIRECT(ADDRESS(2,COLUMN())),OFFSET($BN$2,0,0,ROW()-1,60),ROW()-1,FALSE))</f>
        <v/>
      </c>
      <c r="AR429" t="str">
        <f ca="1">IF(AND(ISNUMBER($AR$927),$B$511=1),$AR$927,HLOOKUP(INDIRECT(ADDRESS(2,COLUMN())),OFFSET($BN$2,0,0,ROW()-1,60),ROW()-1,FALSE))</f>
        <v/>
      </c>
      <c r="AS429" t="str">
        <f ca="1">IF(AND(ISNUMBER($AS$927),$B$511=1),$AS$927,HLOOKUP(INDIRECT(ADDRESS(2,COLUMN())),OFFSET($BN$2,0,0,ROW()-1,60),ROW()-1,FALSE))</f>
        <v/>
      </c>
      <c r="AT429" t="str">
        <f ca="1">IF(AND(ISNUMBER($AT$927),$B$511=1),$AT$927,HLOOKUP(INDIRECT(ADDRESS(2,COLUMN())),OFFSET($BN$2,0,0,ROW()-1,60),ROW()-1,FALSE))</f>
        <v/>
      </c>
      <c r="AU429" t="str">
        <f ca="1">IF(AND(ISNUMBER($AU$927),$B$511=1),$AU$927,HLOOKUP(INDIRECT(ADDRESS(2,COLUMN())),OFFSET($BN$2,0,0,ROW()-1,60),ROW()-1,FALSE))</f>
        <v/>
      </c>
      <c r="AV429" t="str">
        <f ca="1">IF(AND(ISNUMBER($AV$927),$B$511=1),$AV$927,HLOOKUP(INDIRECT(ADDRESS(2,COLUMN())),OFFSET($BN$2,0,0,ROW()-1,60),ROW()-1,FALSE))</f>
        <v/>
      </c>
      <c r="AW429" t="str">
        <f ca="1">IF(AND(ISNUMBER($AW$927),$B$511=1),$AW$927,HLOOKUP(INDIRECT(ADDRESS(2,COLUMN())),OFFSET($BN$2,0,0,ROW()-1,60),ROW()-1,FALSE))</f>
        <v/>
      </c>
      <c r="AX429" t="str">
        <f ca="1">IF(AND(ISNUMBER($AX$927),$B$511=1),$AX$927,HLOOKUP(INDIRECT(ADDRESS(2,COLUMN())),OFFSET($BN$2,0,0,ROW()-1,60),ROW()-1,FALSE))</f>
        <v/>
      </c>
      <c r="AY429" t="str">
        <f ca="1">IF(AND(ISNUMBER($AY$927),$B$511=1),$AY$927,HLOOKUP(INDIRECT(ADDRESS(2,COLUMN())),OFFSET($BN$2,0,0,ROW()-1,60),ROW()-1,FALSE))</f>
        <v/>
      </c>
      <c r="AZ429" t="str">
        <f ca="1">IF(AND(ISNUMBER($AZ$927),$B$511=1),$AZ$927,HLOOKUP(INDIRECT(ADDRESS(2,COLUMN())),OFFSET($BN$2,0,0,ROW()-1,60),ROW()-1,FALSE))</f>
        <v/>
      </c>
      <c r="BA429" t="str">
        <f ca="1">IF(AND(ISNUMBER($BA$927),$B$511=1),$BA$927,HLOOKUP(INDIRECT(ADDRESS(2,COLUMN())),OFFSET($BN$2,0,0,ROW()-1,60),ROW()-1,FALSE))</f>
        <v/>
      </c>
      <c r="BB429" t="str">
        <f ca="1">IF(AND(ISNUMBER($BB$927),$B$511=1),$BB$927,HLOOKUP(INDIRECT(ADDRESS(2,COLUMN())),OFFSET($BN$2,0,0,ROW()-1,60),ROW()-1,FALSE))</f>
        <v/>
      </c>
      <c r="BC429" t="str">
        <f ca="1">IF(AND(ISNUMBER($BC$927),$B$511=1),$BC$927,HLOOKUP(INDIRECT(ADDRESS(2,COLUMN())),OFFSET($BN$2,0,0,ROW()-1,60),ROW()-1,FALSE))</f>
        <v/>
      </c>
      <c r="BD429" t="str">
        <f ca="1">IF(AND(ISNUMBER($BD$927),$B$511=1),$BD$927,HLOOKUP(INDIRECT(ADDRESS(2,COLUMN())),OFFSET($BN$2,0,0,ROW()-1,60),ROW()-1,FALSE))</f>
        <v/>
      </c>
      <c r="BE429" t="str">
        <f ca="1">IF(AND(ISNUMBER($BE$927),$B$511=1),$BE$927,HLOOKUP(INDIRECT(ADDRESS(2,COLUMN())),OFFSET($BN$2,0,0,ROW()-1,60),ROW()-1,FALSE))</f>
        <v/>
      </c>
      <c r="BF429" t="str">
        <f ca="1">IF(AND(ISNUMBER($BF$927),$B$511=1),$BF$927,HLOOKUP(INDIRECT(ADDRESS(2,COLUMN())),OFFSET($BN$2,0,0,ROW()-1,60),ROW()-1,FALSE))</f>
        <v/>
      </c>
      <c r="BG429" t="str">
        <f ca="1">IF(AND(ISNUMBER($BG$927),$B$511=1),$BG$927,HLOOKUP(INDIRECT(ADDRESS(2,COLUMN())),OFFSET($BN$2,0,0,ROW()-1,60),ROW()-1,FALSE))</f>
        <v/>
      </c>
      <c r="BH429" t="str">
        <f ca="1">IF(AND(ISNUMBER($BH$927),$B$511=1),$BH$927,HLOOKUP(INDIRECT(ADDRESS(2,COLUMN())),OFFSET($BN$2,0,0,ROW()-1,60),ROW()-1,FALSE))</f>
        <v/>
      </c>
      <c r="BI429" t="str">
        <f ca="1">IF(AND(ISNUMBER($BI$927),$B$511=1),$BI$927,HLOOKUP(INDIRECT(ADDRESS(2,COLUMN())),OFFSET($BN$2,0,0,ROW()-1,60),ROW()-1,FALSE))</f>
        <v/>
      </c>
      <c r="BJ429" t="str">
        <f ca="1">IF(AND(ISNUMBER($BJ$927),$B$511=1),$BJ$927,HLOOKUP(INDIRECT(ADDRESS(2,COLUMN())),OFFSET($BN$2,0,0,ROW()-1,60),ROW()-1,FALSE))</f>
        <v/>
      </c>
      <c r="BK429" t="str">
        <f ca="1">IF(AND(ISNUMBER($BK$927),$B$511=1),$BK$927,HLOOKUP(INDIRECT(ADDRESS(2,COLUMN())),OFFSET($BN$2,0,0,ROW()-1,60),ROW()-1,FALSE))</f>
        <v/>
      </c>
      <c r="BL429" t="str">
        <f ca="1">IF(AND(ISNUMBER($BL$927),$B$511=1),$BL$927,HLOOKUP(INDIRECT(ADDRESS(2,COLUMN())),OFFSET($BN$2,0,0,ROW()-1,60),ROW()-1,FALSE))</f>
        <v/>
      </c>
      <c r="BM429" t="str">
        <f ca="1">IF(AND(ISNUMBER($BM$927),$B$511=1),$BM$927,HLOOKUP(INDIRECT(ADDRESS(2,COLUMN())),OFFSET($BN$2,0,0,ROW()-1,60),ROW()-1,FALSE))</f>
        <v/>
      </c>
      <c r="BN429">
        <f>7.28566989</f>
        <v>7.2856698900000003</v>
      </c>
      <c r="BO429">
        <f>6.720816561</f>
        <v>6.7208165610000004</v>
      </c>
      <c r="BP429">
        <f>5.878643423</f>
        <v>5.8786434229999998</v>
      </c>
      <c r="BQ429">
        <f>6.742271492</f>
        <v>6.7422714920000004</v>
      </c>
      <c r="BR429">
        <f>11.03756627</f>
        <v>11.037566269999999</v>
      </c>
      <c r="BS429">
        <f>13.89612645</f>
        <v>13.896126450000001</v>
      </c>
      <c r="BT429">
        <f>13.21869029</f>
        <v>13.21869029</v>
      </c>
      <c r="BU429">
        <f>8.302838861</f>
        <v>8.3028388609999997</v>
      </c>
      <c r="BV429">
        <f>9.575770281</f>
        <v>9.5757702810000005</v>
      </c>
      <c r="BW429">
        <f>9.130644993</f>
        <v>9.1306449930000007</v>
      </c>
      <c r="BX429">
        <f>6.774906129</f>
        <v>6.7749061289999997</v>
      </c>
      <c r="BY429">
        <f>6.756038209</f>
        <v>6.7560382089999997</v>
      </c>
      <c r="BZ429">
        <f>6.63564083</f>
        <v>6.6356408299999998</v>
      </c>
      <c r="CA429">
        <f>5.99191364</f>
        <v>5.9919136399999999</v>
      </c>
      <c r="CB429">
        <f>7.447084497</f>
        <v>7.4470844969999996</v>
      </c>
      <c r="CC429">
        <f>7.58165204</f>
        <v>7.5816520399999998</v>
      </c>
      <c r="CD429">
        <f>7.047276915</f>
        <v>7.0472769150000003</v>
      </c>
      <c r="CE429">
        <f>5.725136039</f>
        <v>5.7251360389999997</v>
      </c>
      <c r="CF429">
        <f>11.23680622</f>
        <v>11.23680622</v>
      </c>
      <c r="CG429">
        <f>18.82794705</f>
        <v>18.827947049999999</v>
      </c>
      <c r="CH429">
        <f>20.68306718</f>
        <v>20.683067179999998</v>
      </c>
      <c r="CI429">
        <f>25.70475148</f>
        <v>25.704751479999999</v>
      </c>
      <c r="CJ429">
        <f>29.47460725</f>
        <v>29.474607249999998</v>
      </c>
      <c r="CK429">
        <f>31.61440235</f>
        <v>31.614402349999999</v>
      </c>
      <c r="CL429">
        <f>44.16725681</f>
        <v>44.167256809999998</v>
      </c>
      <c r="CM429">
        <f>44.06828789</f>
        <v>44.068287890000001</v>
      </c>
      <c r="CN429">
        <f>30.2292769</f>
        <v>30.229276899999999</v>
      </c>
      <c r="CO429">
        <f>27.27356775</f>
        <v>27.273567750000002</v>
      </c>
      <c r="CP429">
        <f>33.77115175</f>
        <v>33.771151750000001</v>
      </c>
      <c r="CQ429">
        <f>26.73929961</f>
        <v>26.73929961</v>
      </c>
      <c r="CR429" t="str">
        <f>""</f>
        <v/>
      </c>
      <c r="CS429" t="str">
        <f>""</f>
        <v/>
      </c>
      <c r="CT429" t="str">
        <f>""</f>
        <v/>
      </c>
      <c r="CU429" t="str">
        <f>""</f>
        <v/>
      </c>
      <c r="CV429" t="str">
        <f>""</f>
        <v/>
      </c>
      <c r="CW429" t="str">
        <f>""</f>
        <v/>
      </c>
      <c r="CX429" t="str">
        <f>""</f>
        <v/>
      </c>
      <c r="CY429" t="str">
        <f>""</f>
        <v/>
      </c>
      <c r="CZ429" t="str">
        <f>""</f>
        <v/>
      </c>
      <c r="DA429" t="str">
        <f>""</f>
        <v/>
      </c>
      <c r="DB429" t="str">
        <f>""</f>
        <v/>
      </c>
      <c r="DC429" t="str">
        <f>""</f>
        <v/>
      </c>
      <c r="DD429" t="str">
        <f>""</f>
        <v/>
      </c>
      <c r="DE429" t="str">
        <f>""</f>
        <v/>
      </c>
      <c r="DF429" t="str">
        <f>""</f>
        <v/>
      </c>
      <c r="DG429" t="str">
        <f>""</f>
        <v/>
      </c>
      <c r="DH429" t="str">
        <f>""</f>
        <v/>
      </c>
      <c r="DI429" t="str">
        <f>""</f>
        <v/>
      </c>
      <c r="DJ429" t="str">
        <f>""</f>
        <v/>
      </c>
      <c r="DK429" t="str">
        <f>""</f>
        <v/>
      </c>
      <c r="DL429" t="str">
        <f>""</f>
        <v/>
      </c>
      <c r="DM429" t="str">
        <f>""</f>
        <v/>
      </c>
      <c r="DN429" t="str">
        <f>""</f>
        <v/>
      </c>
      <c r="DO429" t="str">
        <f>""</f>
        <v/>
      </c>
      <c r="DP429" t="str">
        <f>""</f>
        <v/>
      </c>
      <c r="DQ429" t="str">
        <f>""</f>
        <v/>
      </c>
      <c r="DR429" t="str">
        <f>""</f>
        <v/>
      </c>
      <c r="DS429" t="str">
        <f>""</f>
        <v/>
      </c>
      <c r="DT429" t="str">
        <f>""</f>
        <v/>
      </c>
      <c r="DU429" t="str">
        <f>""</f>
        <v/>
      </c>
    </row>
    <row r="430" spans="1:125" x14ac:dyDescent="0.25">
      <c r="A430" t="str">
        <f>"    Geely Automobile Holdings Ltd"</f>
        <v xml:space="preserve">    Geely Automobile Holdings Ltd</v>
      </c>
      <c r="B430" t="str">
        <f>"175 HK Equity"</f>
        <v>175 HK Equity</v>
      </c>
      <c r="C430" t="str">
        <f t="shared" si="30"/>
        <v>PR005</v>
      </c>
      <c r="D430" t="str">
        <f t="shared" si="31"/>
        <v>PX_LAST</v>
      </c>
      <c r="E430" t="str">
        <f t="shared" si="32"/>
        <v>Dynamic</v>
      </c>
      <c r="F430">
        <f ca="1">IF(AND(ISNUMBER($F$928),$B$511=1),$F$928,HLOOKUP(INDIRECT(ADDRESS(2,COLUMN())),OFFSET($BN$2,0,0,ROW()-1,60),ROW()-1,FALSE))</f>
        <v>1.8777548209999999</v>
      </c>
      <c r="G430">
        <f ca="1">IF(AND(ISNUMBER($G$928),$B$511=1),$G$928,HLOOKUP(INDIRECT(ADDRESS(2,COLUMN())),OFFSET($BN$2,0,0,ROW()-1,60),ROW()-1,FALSE))</f>
        <v>1.7619570490000001</v>
      </c>
      <c r="H430">
        <f ca="1">IF(AND(ISNUMBER($H$928),$B$511=1),$H$928,HLOOKUP(INDIRECT(ADDRESS(2,COLUMN())),OFFSET($BN$2,0,0,ROW()-1,60),ROW()-1,FALSE))</f>
        <v>1.9934828449999999</v>
      </c>
      <c r="I430">
        <f ca="1">IF(AND(ISNUMBER($I$928),$B$511=1),$I$928,HLOOKUP(INDIRECT(ADDRESS(2,COLUMN())),OFFSET($BN$2,0,0,ROW()-1,60),ROW()-1,FALSE))</f>
        <v>2.5936121939999999</v>
      </c>
      <c r="J430">
        <f ca="1">IF(AND(ISNUMBER($J$928),$B$511=1),$J$928,HLOOKUP(INDIRECT(ADDRESS(2,COLUMN())),OFFSET($BN$2,0,0,ROW()-1,60),ROW()-1,FALSE))</f>
        <v>2.8795311209999999</v>
      </c>
      <c r="K430">
        <f ca="1">IF(AND(ISNUMBER($K$928),$B$511=1),$K$928,HLOOKUP(INDIRECT(ADDRESS(2,COLUMN())),OFFSET($BN$2,0,0,ROW()-1,60),ROW()-1,FALSE))</f>
        <v>3.4688888040000001</v>
      </c>
      <c r="L430">
        <f ca="1">IF(AND(ISNUMBER($L$928),$B$511=1),$L$928,HLOOKUP(INDIRECT(ADDRESS(2,COLUMN())),OFFSET($BN$2,0,0,ROW()-1,60),ROW()-1,FALSE))</f>
        <v>2.8162523359999998</v>
      </c>
      <c r="M430">
        <f ca="1">IF(AND(ISNUMBER($M$928),$B$511=1),$M$928,HLOOKUP(INDIRECT(ADDRESS(2,COLUMN())),OFFSET($BN$2,0,0,ROW()-1,60),ROW()-1,FALSE))</f>
        <v>2.1571490789999999</v>
      </c>
      <c r="N430">
        <f ca="1">IF(AND(ISNUMBER($N$928),$B$511=1),$N$928,HLOOKUP(INDIRECT(ADDRESS(2,COLUMN())),OFFSET($BN$2,0,0,ROW()-1,60),ROW()-1,FALSE))</f>
        <v>1.5312359259999999</v>
      </c>
      <c r="O430">
        <f ca="1">IF(AND(ISNUMBER($O$928),$B$511=1),$O$928,HLOOKUP(INDIRECT(ADDRESS(2,COLUMN())),OFFSET($BN$2,0,0,ROW()-1,60),ROW()-1,FALSE))</f>
        <v>0.95564812600000004</v>
      </c>
      <c r="P430">
        <f ca="1">IF(AND(ISNUMBER($P$928),$B$511=1),$P$928,HLOOKUP(INDIRECT(ADDRESS(2,COLUMN())),OFFSET($BN$2,0,0,ROW()-1,60),ROW()-1,FALSE))</f>
        <v>0.89225849700000004</v>
      </c>
      <c r="Q430">
        <f ca="1">IF(AND(ISNUMBER($Q$928),$B$511=1),$Q$928,HLOOKUP(INDIRECT(ADDRESS(2,COLUMN())),OFFSET($BN$2,0,0,ROW()-1,60),ROW()-1,FALSE))</f>
        <v>0.53999020499999995</v>
      </c>
      <c r="R430">
        <f ca="1">IF(AND(ISNUMBER($R$928),$B$511=1),$R$928,HLOOKUP(INDIRECT(ADDRESS(2,COLUMN())),OFFSET($BN$2,0,0,ROW()-1,60),ROW()-1,FALSE))</f>
        <v>0.49509418399999999</v>
      </c>
      <c r="S430">
        <f ca="1">IF(AND(ISNUMBER($S$928),$B$511=1),$S$928,HLOOKUP(INDIRECT(ADDRESS(2,COLUMN())),OFFSET($BN$2,0,0,ROW()-1,60),ROW()-1,FALSE))</f>
        <v>0.53289635000000002</v>
      </c>
      <c r="T430">
        <f ca="1">IF(AND(ISNUMBER($T$928),$B$511=1),$T$928,HLOOKUP(INDIRECT(ADDRESS(2,COLUMN())),OFFSET($BN$2,0,0,ROW()-1,60),ROW()-1,FALSE))</f>
        <v>0.47611060199999999</v>
      </c>
      <c r="U430">
        <f ca="1">IF(AND(ISNUMBER($U$928),$B$511=1),$U$928,HLOOKUP(INDIRECT(ADDRESS(2,COLUMN())),OFFSET($BN$2,0,0,ROW()-1,60),ROW()-1,FALSE))</f>
        <v>0.53405572800000001</v>
      </c>
      <c r="V430">
        <f ca="1">IF(AND(ISNUMBER($V$928),$B$511=1),$V$928,HLOOKUP(INDIRECT(ADDRESS(2,COLUMN())),OFFSET($BN$2,0,0,ROW()-1,60),ROW()-1,FALSE))</f>
        <v>0.51464613199999998</v>
      </c>
      <c r="W430">
        <f ca="1">IF(AND(ISNUMBER($W$928),$B$511=1),$W$928,HLOOKUP(INDIRECT(ADDRESS(2,COLUMN())),OFFSET($BN$2,0,0,ROW()-1,60),ROW()-1,FALSE))</f>
        <v>0.31854937500000002</v>
      </c>
      <c r="X430">
        <f ca="1">IF(AND(ISNUMBER($X$928),$B$511=1),$X$928,HLOOKUP(INDIRECT(ADDRESS(2,COLUMN())),OFFSET($BN$2,0,0,ROW()-1,60),ROW()-1,FALSE))</f>
        <v>0.41856092299999997</v>
      </c>
      <c r="Y430">
        <f ca="1">IF(AND(ISNUMBER($Y$928),$B$511=1),$Y$928,HLOOKUP(INDIRECT(ADDRESS(2,COLUMN())),OFFSET($BN$2,0,0,ROW()-1,60),ROW()-1,FALSE))</f>
        <v>0.352239884</v>
      </c>
      <c r="Z430">
        <f ca="1">IF(AND(ISNUMBER($Z$928),$B$511=1),$Z$928,HLOOKUP(INDIRECT(ADDRESS(2,COLUMN())),OFFSET($BN$2,0,0,ROW()-1,60),ROW()-1,FALSE))</f>
        <v>0.39319831399999999</v>
      </c>
      <c r="AA430">
        <f ca="1">IF(AND(ISNUMBER($AA$928),$B$511=1),$AA$928,HLOOKUP(INDIRECT(ADDRESS(2,COLUMN())),OFFSET($BN$2,0,0,ROW()-1,60),ROW()-1,FALSE))</f>
        <v>0.48363383100000001</v>
      </c>
      <c r="AB430">
        <f ca="1">IF(AND(ISNUMBER($AB$928),$B$511=1),$AB$928,HLOOKUP(INDIRECT(ADDRESS(2,COLUMN())),OFFSET($BN$2,0,0,ROW()-1,60),ROW()-1,FALSE))</f>
        <v>0.51448686700000001</v>
      </c>
      <c r="AC430">
        <f ca="1">IF(AND(ISNUMBER($AC$928),$B$511=1),$AC$928,HLOOKUP(INDIRECT(ADDRESS(2,COLUMN())),OFFSET($BN$2,0,0,ROW()-1,60),ROW()-1,FALSE))</f>
        <v>0.43320741099999999</v>
      </c>
      <c r="AD430">
        <f ca="1">IF(AND(ISNUMBER($AD$928),$B$511=1),$AD$928,HLOOKUP(INDIRECT(ADDRESS(2,COLUMN())),OFFSET($BN$2,0,0,ROW()-1,60),ROW()-1,FALSE))</f>
        <v>0.48564325200000003</v>
      </c>
      <c r="AE430">
        <f ca="1">IF(AND(ISNUMBER($AE$928),$B$511=1),$AE$928,HLOOKUP(INDIRECT(ADDRESS(2,COLUMN())),OFFSET($BN$2,0,0,ROW()-1,60),ROW()-1,FALSE))</f>
        <v>0.47349340099999998</v>
      </c>
      <c r="AF430">
        <f ca="1">IF(AND(ISNUMBER($AF$928),$B$511=1),$AF$928,HLOOKUP(INDIRECT(ADDRESS(2,COLUMN())),OFFSET($BN$2,0,0,ROW()-1,60),ROW()-1,FALSE))</f>
        <v>0.37914447499999998</v>
      </c>
      <c r="AG430">
        <f ca="1">IF(AND(ISNUMBER($AG$928),$B$511=1),$AG$928,HLOOKUP(INDIRECT(ADDRESS(2,COLUMN())),OFFSET($BN$2,0,0,ROW()-1,60),ROW()-1,FALSE))</f>
        <v>0.34804130100000003</v>
      </c>
      <c r="AH430">
        <f ca="1">IF(AND(ISNUMBER($AH$928),$B$511=1),$AH$928,HLOOKUP(INDIRECT(ADDRESS(2,COLUMN())),OFFSET($BN$2,0,0,ROW()-1,60),ROW()-1,FALSE))</f>
        <v>0.39154066100000001</v>
      </c>
      <c r="AI430">
        <f ca="1">IF(AND(ISNUMBER($AI$928),$B$511=1),$AI$928,HLOOKUP(INDIRECT(ADDRESS(2,COLUMN())),OFFSET($BN$2,0,0,ROW()-1,60),ROW()-1,FALSE))</f>
        <v>0.218885999</v>
      </c>
      <c r="AJ430">
        <f ca="1">IF(AND(ISNUMBER($AJ$928),$B$511=1),$AJ$928,HLOOKUP(INDIRECT(ADDRESS(2,COLUMN())),OFFSET($BN$2,0,0,ROW()-1,60),ROW()-1,FALSE))</f>
        <v>0.22476528100000001</v>
      </c>
      <c r="AK430">
        <f ca="1">IF(AND(ISNUMBER($AK$928),$B$511=1),$AK$928,HLOOKUP(INDIRECT(ADDRESS(2,COLUMN())),OFFSET($BN$2,0,0,ROW()-1,60),ROW()-1,FALSE))</f>
        <v>0.39068022099999999</v>
      </c>
      <c r="AL430">
        <f ca="1">IF(AND(ISNUMBER($AL$928),$B$511=1),$AL$928,HLOOKUP(INDIRECT(ADDRESS(2,COLUMN())),OFFSET($BN$2,0,0,ROW()-1,60),ROW()-1,FALSE))</f>
        <v>0.371627704</v>
      </c>
      <c r="AM430">
        <f ca="1">IF(AND(ISNUMBER($AM$928),$B$511=1),$AM$928,HLOOKUP(INDIRECT(ADDRESS(2,COLUMN())),OFFSET($BN$2,0,0,ROW()-1,60),ROW()-1,FALSE))</f>
        <v>0.437422808</v>
      </c>
      <c r="AN430">
        <f ca="1">IF(AND(ISNUMBER($AN$928),$B$511=1),$AN$928,HLOOKUP(INDIRECT(ADDRESS(2,COLUMN())),OFFSET($BN$2,0,0,ROW()-1,60),ROW()-1,FALSE))</f>
        <v>0.49614680799999999</v>
      </c>
      <c r="AO430">
        <f ca="1">IF(AND(ISNUMBER($AO$928),$B$511=1),$AO$928,HLOOKUP(INDIRECT(ADDRESS(2,COLUMN())),OFFSET($BN$2,0,0,ROW()-1,60),ROW()-1,FALSE))</f>
        <v>0.30822973399999998</v>
      </c>
      <c r="AP430">
        <f ca="1">IF(AND(ISNUMBER($AP$928),$B$511=1),$AP$928,HLOOKUP(INDIRECT(ADDRESS(2,COLUMN())),OFFSET($BN$2,0,0,ROW()-1,60),ROW()-1,FALSE))</f>
        <v>0.52932539999999995</v>
      </c>
      <c r="AQ430">
        <f ca="1">IF(AND(ISNUMBER($AQ$928),$B$511=1),$AQ$928,HLOOKUP(INDIRECT(ADDRESS(2,COLUMN())),OFFSET($BN$2,0,0,ROW()-1,60),ROW()-1,FALSE))</f>
        <v>0.55072613299999995</v>
      </c>
      <c r="AR430">
        <f ca="1">IF(AND(ISNUMBER($AR$928),$B$511=1),$AR$928,HLOOKUP(INDIRECT(ADDRESS(2,COLUMN())),OFFSET($BN$2,0,0,ROW()-1,60),ROW()-1,FALSE))</f>
        <v>0.27225455199999998</v>
      </c>
      <c r="AS430">
        <f ca="1">IF(AND(ISNUMBER($AS$928),$B$511=1),$AS$928,HLOOKUP(INDIRECT(ADDRESS(2,COLUMN())),OFFSET($BN$2,0,0,ROW()-1,60),ROW()-1,FALSE))</f>
        <v>0.18064283</v>
      </c>
      <c r="AT430">
        <f ca="1">IF(AND(ISNUMBER($AT$928),$B$511=1),$AT$928,HLOOKUP(INDIRECT(ADDRESS(2,COLUMN())),OFFSET($BN$2,0,0,ROW()-1,60),ROW()-1,FALSE))</f>
        <v>8.7740803000000006E-2</v>
      </c>
      <c r="AU430">
        <f ca="1">IF(AND(ISNUMBER($AU$928),$B$511=1),$AU$928,HLOOKUP(INDIRECT(ADDRESS(2,COLUMN())),OFFSET($BN$2,0,0,ROW()-1,60),ROW()-1,FALSE))</f>
        <v>8.1289273999999995E-2</v>
      </c>
      <c r="AV430">
        <f ca="1">IF(AND(ISNUMBER($AV$928),$B$511=1),$AV$928,HLOOKUP(INDIRECT(ADDRESS(2,COLUMN())),OFFSET($BN$2,0,0,ROW()-1,60),ROW()-1,FALSE))</f>
        <v>7.5983927000000007E-2</v>
      </c>
      <c r="AW430">
        <f ca="1">IF(AND(ISNUMBER($AW$928),$B$511=1),$AW$928,HLOOKUP(INDIRECT(ADDRESS(2,COLUMN())),OFFSET($BN$2,0,0,ROW()-1,60),ROW()-1,FALSE))</f>
        <v>0.114131829</v>
      </c>
      <c r="AX430">
        <f ca="1">IF(AND(ISNUMBER($AX$928),$B$511=1),$AX$928,HLOOKUP(INDIRECT(ADDRESS(2,COLUMN())),OFFSET($BN$2,0,0,ROW()-1,60),ROW()-1,FALSE))</f>
        <v>0.11949733999999999</v>
      </c>
      <c r="AY430">
        <f ca="1">IF(AND(ISNUMBER($AY$928),$B$511=1),$AY$928,HLOOKUP(INDIRECT(ADDRESS(2,COLUMN())),OFFSET($BN$2,0,0,ROW()-1,60),ROW()-1,FALSE))</f>
        <v>0.11282774499999999</v>
      </c>
      <c r="AZ430">
        <f ca="1">IF(AND(ISNUMBER($AZ$928),$B$511=1),$AZ$928,HLOOKUP(INDIRECT(ADDRESS(2,COLUMN())),OFFSET($BN$2,0,0,ROW()-1,60),ROW()-1,FALSE))</f>
        <v>0.11974351699999999</v>
      </c>
      <c r="BA430">
        <f ca="1">IF(AND(ISNUMBER($BA$928),$B$511=1),$BA$928,HLOOKUP(INDIRECT(ADDRESS(2,COLUMN())),OFFSET($BN$2,0,0,ROW()-1,60),ROW()-1,FALSE))</f>
        <v>0.156048145</v>
      </c>
      <c r="BB430">
        <f ca="1">IF(AND(ISNUMBER($BB$928),$B$511=1),$BB$928,HLOOKUP(INDIRECT(ADDRESS(2,COLUMN())),OFFSET($BN$2,0,0,ROW()-1,60),ROW()-1,FALSE))</f>
        <v>0.13308763300000001</v>
      </c>
      <c r="BC430">
        <f ca="1">IF(AND(ISNUMBER($BC$928),$B$511=1),$BC$928,HLOOKUP(INDIRECT(ADDRESS(2,COLUMN())),OFFSET($BN$2,0,0,ROW()-1,60),ROW()-1,FALSE))</f>
        <v>9.8983172999999994E-2</v>
      </c>
      <c r="BD430">
        <f ca="1">IF(AND(ISNUMBER($BD$928),$B$511=1),$BD$928,HLOOKUP(INDIRECT(ADDRESS(2,COLUMN())),OFFSET($BN$2,0,0,ROW()-1,60),ROW()-1,FALSE))</f>
        <v>0.118077392</v>
      </c>
      <c r="BE430">
        <f ca="1">IF(AND(ISNUMBER($BE$928),$B$511=1),$BE$928,HLOOKUP(INDIRECT(ADDRESS(2,COLUMN())),OFFSET($BN$2,0,0,ROW()-1,60),ROW()-1,FALSE))</f>
        <v>0.124887344</v>
      </c>
      <c r="BF430">
        <f ca="1">IF(AND(ISNUMBER($BF$928),$B$511=1),$BF$928,HLOOKUP(INDIRECT(ADDRESS(2,COLUMN())),OFFSET($BN$2,0,0,ROW()-1,60),ROW()-1,FALSE))</f>
        <v>9.9228082999999995E-2</v>
      </c>
      <c r="BG430">
        <f ca="1">IF(AND(ISNUMBER($BG$928),$B$511=1),$BG$928,HLOOKUP(INDIRECT(ADDRESS(2,COLUMN())),OFFSET($BN$2,0,0,ROW()-1,60),ROW()-1,FALSE))</f>
        <v>4.1915473000000002E-2</v>
      </c>
      <c r="BH430">
        <f ca="1">IF(AND(ISNUMBER($BH$928),$B$511=1),$BH$928,HLOOKUP(INDIRECT(ADDRESS(2,COLUMN())),OFFSET($BN$2,0,0,ROW()-1,60),ROW()-1,FALSE))</f>
        <v>5.6074765999999998E-2</v>
      </c>
      <c r="BI430">
        <f ca="1">IF(AND(ISNUMBER($BI$928),$B$511=1),$BI$928,HLOOKUP(INDIRECT(ADDRESS(2,COLUMN())),OFFSET($BN$2,0,0,ROW()-1,60),ROW()-1,FALSE))</f>
        <v>6.4337643999999999E-2</v>
      </c>
      <c r="BJ430">
        <f ca="1">IF(AND(ISNUMBER($BJ$928),$B$511=1),$BJ$928,HLOOKUP(INDIRECT(ADDRESS(2,COLUMN())),OFFSET($BN$2,0,0,ROW()-1,60),ROW()-1,FALSE))</f>
        <v>6.2183473000000003E-2</v>
      </c>
      <c r="BK430">
        <f ca="1">IF(AND(ISNUMBER($BK$928),$B$511=1),$BK$928,HLOOKUP(INDIRECT(ADDRESS(2,COLUMN())),OFFSET($BN$2,0,0,ROW()-1,60),ROW()-1,FALSE))</f>
        <v>4.6957417000000001E-2</v>
      </c>
      <c r="BL430">
        <f ca="1">IF(AND(ISNUMBER($BL$928),$B$511=1),$BL$928,HLOOKUP(INDIRECT(ADDRESS(2,COLUMN())),OFFSET($BN$2,0,0,ROW()-1,60),ROW()-1,FALSE))</f>
        <v>4.6172788999999999E-2</v>
      </c>
      <c r="BM430">
        <f ca="1">IF(AND(ISNUMBER($BM$928),$B$511=1),$BM$928,HLOOKUP(INDIRECT(ADDRESS(2,COLUMN())),OFFSET($BN$2,0,0,ROW()-1,60),ROW()-1,FALSE))</f>
        <v>7.9489218E-2</v>
      </c>
      <c r="BN430">
        <f>1.877754821</f>
        <v>1.8777548209999999</v>
      </c>
      <c r="BO430">
        <f>1.761957049</f>
        <v>1.7619570490000001</v>
      </c>
      <c r="BP430">
        <f>1.993482845</f>
        <v>1.9934828449999999</v>
      </c>
      <c r="BQ430">
        <f>2.593612194</f>
        <v>2.5936121939999999</v>
      </c>
      <c r="BR430">
        <f>2.879531121</f>
        <v>2.8795311209999999</v>
      </c>
      <c r="BS430">
        <f>3.468888804</f>
        <v>3.4688888040000001</v>
      </c>
      <c r="BT430">
        <f>2.816252336</f>
        <v>2.8162523359999998</v>
      </c>
      <c r="BU430">
        <f>2.157149079</f>
        <v>2.1571490789999999</v>
      </c>
      <c r="BV430">
        <f>1.531235926</f>
        <v>1.5312359259999999</v>
      </c>
      <c r="BW430">
        <f>0.955648126</f>
        <v>0.95564812600000004</v>
      </c>
      <c r="BX430">
        <f>0.892258497</f>
        <v>0.89225849700000004</v>
      </c>
      <c r="BY430">
        <f>0.539990205</f>
        <v>0.53999020499999995</v>
      </c>
      <c r="BZ430">
        <f>0.495094184</f>
        <v>0.49509418399999999</v>
      </c>
      <c r="CA430">
        <f>0.53289635</f>
        <v>0.53289635000000002</v>
      </c>
      <c r="CB430">
        <f>0.476110602</f>
        <v>0.47611060199999999</v>
      </c>
      <c r="CC430">
        <f>0.534055728</f>
        <v>0.53405572800000001</v>
      </c>
      <c r="CD430">
        <f>0.514646132</f>
        <v>0.51464613199999998</v>
      </c>
      <c r="CE430">
        <f>0.318549375</f>
        <v>0.31854937500000002</v>
      </c>
      <c r="CF430">
        <f>0.418560923</f>
        <v>0.41856092299999997</v>
      </c>
      <c r="CG430">
        <f>0.352239884</f>
        <v>0.352239884</v>
      </c>
      <c r="CH430">
        <f>0.393198314</f>
        <v>0.39319831399999999</v>
      </c>
      <c r="CI430">
        <f>0.483633831</f>
        <v>0.48363383100000001</v>
      </c>
      <c r="CJ430">
        <f>0.514486867</f>
        <v>0.51448686700000001</v>
      </c>
      <c r="CK430">
        <f>0.433207411</f>
        <v>0.43320741099999999</v>
      </c>
      <c r="CL430">
        <f>0.485643252</f>
        <v>0.48564325200000003</v>
      </c>
      <c r="CM430">
        <f>0.473493401</f>
        <v>0.47349340099999998</v>
      </c>
      <c r="CN430">
        <f>0.379144475</f>
        <v>0.37914447499999998</v>
      </c>
      <c r="CO430">
        <f>0.348041301</f>
        <v>0.34804130100000003</v>
      </c>
      <c r="CP430">
        <f>0.391540661</f>
        <v>0.39154066100000001</v>
      </c>
      <c r="CQ430">
        <f>0.218885999</f>
        <v>0.218885999</v>
      </c>
      <c r="CR430">
        <f>0.224765281</f>
        <v>0.22476528100000001</v>
      </c>
      <c r="CS430">
        <f>0.390680221</f>
        <v>0.39068022099999999</v>
      </c>
      <c r="CT430">
        <f>0.371627704</f>
        <v>0.371627704</v>
      </c>
      <c r="CU430">
        <f>0.437422808</f>
        <v>0.437422808</v>
      </c>
      <c r="CV430">
        <f>0.496146808</f>
        <v>0.49614680799999999</v>
      </c>
      <c r="CW430">
        <f>0.308229734</f>
        <v>0.30822973399999998</v>
      </c>
      <c r="CX430">
        <f>0.5293254</f>
        <v>0.52932539999999995</v>
      </c>
      <c r="CY430">
        <f>0.550726133</f>
        <v>0.55072613299999995</v>
      </c>
      <c r="CZ430">
        <f>0.272254552</f>
        <v>0.27225455199999998</v>
      </c>
      <c r="DA430">
        <f>0.18064283</f>
        <v>0.18064283</v>
      </c>
      <c r="DB430">
        <f>0.087740803</f>
        <v>8.7740803000000006E-2</v>
      </c>
      <c r="DC430">
        <f>0.081289274</f>
        <v>8.1289273999999995E-2</v>
      </c>
      <c r="DD430">
        <f>0.075983927</f>
        <v>7.5983927000000007E-2</v>
      </c>
      <c r="DE430">
        <f>0.114131829</f>
        <v>0.114131829</v>
      </c>
      <c r="DF430">
        <f>0.11949734</f>
        <v>0.11949733999999999</v>
      </c>
      <c r="DG430">
        <f>0.112827745</f>
        <v>0.11282774499999999</v>
      </c>
      <c r="DH430">
        <f>0.119743517</f>
        <v>0.11974351699999999</v>
      </c>
      <c r="DI430">
        <f>0.156048145</f>
        <v>0.156048145</v>
      </c>
      <c r="DJ430">
        <f>0.133087633</f>
        <v>0.13308763300000001</v>
      </c>
      <c r="DK430">
        <f>0.098983173</f>
        <v>9.8983172999999994E-2</v>
      </c>
      <c r="DL430">
        <f>0.118077392</f>
        <v>0.118077392</v>
      </c>
      <c r="DM430">
        <f>0.124887344</f>
        <v>0.124887344</v>
      </c>
      <c r="DN430">
        <f>0.099228083</f>
        <v>9.9228082999999995E-2</v>
      </c>
      <c r="DO430">
        <f>0.041915473</f>
        <v>4.1915473000000002E-2</v>
      </c>
      <c r="DP430">
        <f>0.056074766</f>
        <v>5.6074765999999998E-2</v>
      </c>
      <c r="DQ430">
        <f>0.064337644</f>
        <v>6.4337643999999999E-2</v>
      </c>
      <c r="DR430">
        <f>0.062183473</f>
        <v>6.2183473000000003E-2</v>
      </c>
      <c r="DS430">
        <f>0.046957417</f>
        <v>4.6957417000000001E-2</v>
      </c>
      <c r="DT430">
        <f>0.046172789</f>
        <v>4.6172788999999999E-2</v>
      </c>
      <c r="DU430">
        <f>0.079489218</f>
        <v>7.9489218E-2</v>
      </c>
    </row>
    <row r="431" spans="1:125" x14ac:dyDescent="0.25">
      <c r="A431" t="str">
        <f>"    General Motors Co"</f>
        <v xml:space="preserve">    General Motors Co</v>
      </c>
      <c r="B431" t="str">
        <f>"GM US Equity"</f>
        <v>GM US Equity</v>
      </c>
      <c r="C431" t="str">
        <f t="shared" si="30"/>
        <v>PR005</v>
      </c>
      <c r="D431" t="str">
        <f t="shared" si="31"/>
        <v>PX_LAST</v>
      </c>
      <c r="E431" t="str">
        <f t="shared" si="32"/>
        <v>Dynamic</v>
      </c>
      <c r="F431">
        <f ca="1">IF(AND(ISNUMBER($F$929),$B$511=1),$F$929,HLOOKUP(INDIRECT(ADDRESS(2,COLUMN())),OFFSET($BN$2,0,0,ROW()-1,60),ROW()-1,FALSE))</f>
        <v>40</v>
      </c>
      <c r="G431">
        <f ca="1">IF(AND(ISNUMBER($G$929),$B$511=1),$G$929,HLOOKUP(INDIRECT(ADDRESS(2,COLUMN())),OFFSET($BN$2,0,0,ROW()-1,60),ROW()-1,FALSE))</f>
        <v>33.450000000000003</v>
      </c>
      <c r="H431">
        <f ca="1">IF(AND(ISNUMBER($H$929),$B$511=1),$H$929,HLOOKUP(INDIRECT(ADDRESS(2,COLUMN())),OFFSET($BN$2,0,0,ROW()-1,60),ROW()-1,FALSE))</f>
        <v>33.67</v>
      </c>
      <c r="I431">
        <f ca="1">IF(AND(ISNUMBER($I$929),$B$511=1),$I$929,HLOOKUP(INDIRECT(ADDRESS(2,COLUMN())),OFFSET($BN$2,0,0,ROW()-1,60),ROW()-1,FALSE))</f>
        <v>39.4</v>
      </c>
      <c r="J431">
        <f ca="1">IF(AND(ISNUMBER($J$929),$B$511=1),$J$929,HLOOKUP(INDIRECT(ADDRESS(2,COLUMN())),OFFSET($BN$2,0,0,ROW()-1,60),ROW()-1,FALSE))</f>
        <v>36.340000000000003</v>
      </c>
      <c r="K431">
        <f ca="1">IF(AND(ISNUMBER($K$929),$B$511=1),$K$929,HLOOKUP(INDIRECT(ADDRESS(2,COLUMN())),OFFSET($BN$2,0,0,ROW()-1,60),ROW()-1,FALSE))</f>
        <v>40.99</v>
      </c>
      <c r="L431">
        <f ca="1">IF(AND(ISNUMBER($L$929),$B$511=1),$L$929,HLOOKUP(INDIRECT(ADDRESS(2,COLUMN())),OFFSET($BN$2,0,0,ROW()-1,60),ROW()-1,FALSE))</f>
        <v>40.380000000000003</v>
      </c>
      <c r="M431">
        <f ca="1">IF(AND(ISNUMBER($M$929),$B$511=1),$M$929,HLOOKUP(INDIRECT(ADDRESS(2,COLUMN())),OFFSET($BN$2,0,0,ROW()-1,60),ROW()-1,FALSE))</f>
        <v>34.93</v>
      </c>
      <c r="N431">
        <f ca="1">IF(AND(ISNUMBER($N$929),$B$511=1),$N$929,HLOOKUP(INDIRECT(ADDRESS(2,COLUMN())),OFFSET($BN$2,0,0,ROW()-1,60),ROW()-1,FALSE))</f>
        <v>35.36</v>
      </c>
      <c r="O431">
        <f ca="1">IF(AND(ISNUMBER($O$929),$B$511=1),$O$929,HLOOKUP(INDIRECT(ADDRESS(2,COLUMN())),OFFSET($BN$2,0,0,ROW()-1,60),ROW()-1,FALSE))</f>
        <v>34.840000000000003</v>
      </c>
      <c r="P431">
        <f ca="1">IF(AND(ISNUMBER($P$929),$B$511=1),$P$929,HLOOKUP(INDIRECT(ADDRESS(2,COLUMN())),OFFSET($BN$2,0,0,ROW()-1,60),ROW()-1,FALSE))</f>
        <v>31.77</v>
      </c>
      <c r="Q431">
        <f ca="1">IF(AND(ISNUMBER($Q$929),$B$511=1),$Q$929,HLOOKUP(INDIRECT(ADDRESS(2,COLUMN())),OFFSET($BN$2,0,0,ROW()-1,60),ROW()-1,FALSE))</f>
        <v>28.3</v>
      </c>
      <c r="R431">
        <f ca="1">IF(AND(ISNUMBER($R$929),$B$511=1),$R$929,HLOOKUP(INDIRECT(ADDRESS(2,COLUMN())),OFFSET($BN$2,0,0,ROW()-1,60),ROW()-1,FALSE))</f>
        <v>31.43</v>
      </c>
      <c r="S431">
        <f ca="1">IF(AND(ISNUMBER($S$929),$B$511=1),$S$929,HLOOKUP(INDIRECT(ADDRESS(2,COLUMN())),OFFSET($BN$2,0,0,ROW()-1,60),ROW()-1,FALSE))</f>
        <v>34.01</v>
      </c>
      <c r="T431">
        <f ca="1">IF(AND(ISNUMBER($T$929),$B$511=1),$T$929,HLOOKUP(INDIRECT(ADDRESS(2,COLUMN())),OFFSET($BN$2,0,0,ROW()-1,60),ROW()-1,FALSE))</f>
        <v>30.02</v>
      </c>
      <c r="U431">
        <f ca="1">IF(AND(ISNUMBER($U$929),$B$511=1),$U$929,HLOOKUP(INDIRECT(ADDRESS(2,COLUMN())),OFFSET($BN$2,0,0,ROW()-1,60),ROW()-1,FALSE))</f>
        <v>33.33</v>
      </c>
      <c r="V431">
        <f ca="1">IF(AND(ISNUMBER($V$929),$B$511=1),$V$929,HLOOKUP(INDIRECT(ADDRESS(2,COLUMN())),OFFSET($BN$2,0,0,ROW()-1,60),ROW()-1,FALSE))</f>
        <v>37.5</v>
      </c>
      <c r="W431">
        <f ca="1">IF(AND(ISNUMBER($W$929),$B$511=1),$W$929,HLOOKUP(INDIRECT(ADDRESS(2,COLUMN())),OFFSET($BN$2,0,0,ROW()-1,60),ROW()-1,FALSE))</f>
        <v>34.909999999999997</v>
      </c>
      <c r="X431">
        <f ca="1">IF(AND(ISNUMBER($X$929),$B$511=1),$X$929,HLOOKUP(INDIRECT(ADDRESS(2,COLUMN())),OFFSET($BN$2,0,0,ROW()-1,60),ROW()-1,FALSE))</f>
        <v>31.94</v>
      </c>
      <c r="Y431">
        <f ca="1">IF(AND(ISNUMBER($Y$929),$B$511=1),$Y$929,HLOOKUP(INDIRECT(ADDRESS(2,COLUMN())),OFFSET($BN$2,0,0,ROW()-1,60),ROW()-1,FALSE))</f>
        <v>36.299999999999997</v>
      </c>
      <c r="Z431">
        <f ca="1">IF(AND(ISNUMBER($Z$929),$B$511=1),$Z$929,HLOOKUP(INDIRECT(ADDRESS(2,COLUMN())),OFFSET($BN$2,0,0,ROW()-1,60),ROW()-1,FALSE))</f>
        <v>34.42</v>
      </c>
      <c r="AA431">
        <f ca="1">IF(AND(ISNUMBER($AA$929),$B$511=1),$AA$929,HLOOKUP(INDIRECT(ADDRESS(2,COLUMN())),OFFSET($BN$2,0,0,ROW()-1,60),ROW()-1,FALSE))</f>
        <v>40.869999999999997</v>
      </c>
      <c r="AB431">
        <f ca="1">IF(AND(ISNUMBER($AB$929),$B$511=1),$AB$929,HLOOKUP(INDIRECT(ADDRESS(2,COLUMN())),OFFSET($BN$2,0,0,ROW()-1,60),ROW()-1,FALSE))</f>
        <v>35.97</v>
      </c>
      <c r="AC431">
        <f ca="1">IF(AND(ISNUMBER($AC$929),$B$511=1),$AC$929,HLOOKUP(INDIRECT(ADDRESS(2,COLUMN())),OFFSET($BN$2,0,0,ROW()-1,60),ROW()-1,FALSE))</f>
        <v>33.31</v>
      </c>
      <c r="AD431">
        <f ca="1">IF(AND(ISNUMBER($AD$929),$B$511=1),$AD$929,HLOOKUP(INDIRECT(ADDRESS(2,COLUMN())),OFFSET($BN$2,0,0,ROW()-1,60),ROW()-1,FALSE))</f>
        <v>27.82</v>
      </c>
      <c r="AE431">
        <f ca="1">IF(AND(ISNUMBER($AE$929),$B$511=1),$AE$929,HLOOKUP(INDIRECT(ADDRESS(2,COLUMN())),OFFSET($BN$2,0,0,ROW()-1,60),ROW()-1,FALSE))</f>
        <v>28.83</v>
      </c>
      <c r="AF431">
        <f ca="1">IF(AND(ISNUMBER($AF$929),$B$511=1),$AF$929,HLOOKUP(INDIRECT(ADDRESS(2,COLUMN())),OFFSET($BN$2,0,0,ROW()-1,60),ROW()-1,FALSE))</f>
        <v>22.75</v>
      </c>
      <c r="AG431">
        <f ca="1">IF(AND(ISNUMBER($AG$929),$B$511=1),$AG$929,HLOOKUP(INDIRECT(ADDRESS(2,COLUMN())),OFFSET($BN$2,0,0,ROW()-1,60),ROW()-1,FALSE))</f>
        <v>19.72</v>
      </c>
      <c r="AH431">
        <f ca="1">IF(AND(ISNUMBER($AH$929),$B$511=1),$AH$929,HLOOKUP(INDIRECT(ADDRESS(2,COLUMN())),OFFSET($BN$2,0,0,ROW()-1,60),ROW()-1,FALSE))</f>
        <v>25.65</v>
      </c>
      <c r="AI431">
        <f ca="1">IF(AND(ISNUMBER($AI$929),$B$511=1),$AI$929,HLOOKUP(INDIRECT(ADDRESS(2,COLUMN())),OFFSET($BN$2,0,0,ROW()-1,60),ROW()-1,FALSE))</f>
        <v>20.27</v>
      </c>
      <c r="AJ431">
        <f ca="1">IF(AND(ISNUMBER($AJ$929),$B$511=1),$AJ$929,HLOOKUP(INDIRECT(ADDRESS(2,COLUMN())),OFFSET($BN$2,0,0,ROW()-1,60),ROW()-1,FALSE))</f>
        <v>20.18</v>
      </c>
      <c r="AK431">
        <f ca="1">IF(AND(ISNUMBER($AK$929),$B$511=1),$AK$929,HLOOKUP(INDIRECT(ADDRESS(2,COLUMN())),OFFSET($BN$2,0,0,ROW()-1,60),ROW()-1,FALSE))</f>
        <v>30.36</v>
      </c>
      <c r="AL431">
        <f ca="1">IF(AND(ISNUMBER($AL$929),$B$511=1),$AL$929,HLOOKUP(INDIRECT(ADDRESS(2,COLUMN())),OFFSET($BN$2,0,0,ROW()-1,60),ROW()-1,FALSE))</f>
        <v>31.03</v>
      </c>
      <c r="AM431">
        <f ca="1">IF(AND(ISNUMBER($AM$929),$B$511=1),$AM$929,HLOOKUP(INDIRECT(ADDRESS(2,COLUMN())),OFFSET($BN$2,0,0,ROW()-1,60),ROW()-1,FALSE))</f>
        <v>36.86</v>
      </c>
      <c r="AN431" t="str">
        <f ca="1">IF(AND(ISNUMBER($AN$929),$B$511=1),$AN$929,HLOOKUP(INDIRECT(ADDRESS(2,COLUMN())),OFFSET($BN$2,0,0,ROW()-1,60),ROW()-1,FALSE))</f>
        <v/>
      </c>
      <c r="AO431" t="str">
        <f ca="1">IF(AND(ISNUMBER($AO$929),$B$511=1),$AO$929,HLOOKUP(INDIRECT(ADDRESS(2,COLUMN())),OFFSET($BN$2,0,0,ROW()-1,60),ROW()-1,FALSE))</f>
        <v/>
      </c>
      <c r="AP431" t="str">
        <f ca="1">IF(AND(ISNUMBER($AP$929),$B$511=1),$AP$929,HLOOKUP(INDIRECT(ADDRESS(2,COLUMN())),OFFSET($BN$2,0,0,ROW()-1,60),ROW()-1,FALSE))</f>
        <v/>
      </c>
      <c r="AQ431" t="str">
        <f ca="1">IF(AND(ISNUMBER($AQ$929),$B$511=1),$AQ$929,HLOOKUP(INDIRECT(ADDRESS(2,COLUMN())),OFFSET($BN$2,0,0,ROW()-1,60),ROW()-1,FALSE))</f>
        <v/>
      </c>
      <c r="AR431" t="str">
        <f ca="1">IF(AND(ISNUMBER($AR$929),$B$511=1),$AR$929,HLOOKUP(INDIRECT(ADDRESS(2,COLUMN())),OFFSET($BN$2,0,0,ROW()-1,60),ROW()-1,FALSE))</f>
        <v/>
      </c>
      <c r="AS431" t="str">
        <f ca="1">IF(AND(ISNUMBER($AS$929),$B$511=1),$AS$929,HLOOKUP(INDIRECT(ADDRESS(2,COLUMN())),OFFSET($BN$2,0,0,ROW()-1,60),ROW()-1,FALSE))</f>
        <v/>
      </c>
      <c r="AT431" t="str">
        <f ca="1">IF(AND(ISNUMBER($AT$929),$B$511=1),$AT$929,HLOOKUP(INDIRECT(ADDRESS(2,COLUMN())),OFFSET($BN$2,0,0,ROW()-1,60),ROW()-1,FALSE))</f>
        <v/>
      </c>
      <c r="AU431" t="str">
        <f ca="1">IF(AND(ISNUMBER($AU$929),$B$511=1),$AU$929,HLOOKUP(INDIRECT(ADDRESS(2,COLUMN())),OFFSET($BN$2,0,0,ROW()-1,60),ROW()-1,FALSE))</f>
        <v/>
      </c>
      <c r="AV431" t="str">
        <f ca="1">IF(AND(ISNUMBER($AV$929),$B$511=1),$AV$929,HLOOKUP(INDIRECT(ADDRESS(2,COLUMN())),OFFSET($BN$2,0,0,ROW()-1,60),ROW()-1,FALSE))</f>
        <v/>
      </c>
      <c r="AW431" t="str">
        <f ca="1">IF(AND(ISNUMBER($AW$929),$B$511=1),$AW$929,HLOOKUP(INDIRECT(ADDRESS(2,COLUMN())),OFFSET($BN$2,0,0,ROW()-1,60),ROW()-1,FALSE))</f>
        <v/>
      </c>
      <c r="AX431" t="str">
        <f ca="1">IF(AND(ISNUMBER($AX$929),$B$511=1),$AX$929,HLOOKUP(INDIRECT(ADDRESS(2,COLUMN())),OFFSET($BN$2,0,0,ROW()-1,60),ROW()-1,FALSE))</f>
        <v/>
      </c>
      <c r="AY431" t="str">
        <f ca="1">IF(AND(ISNUMBER($AY$929),$B$511=1),$AY$929,HLOOKUP(INDIRECT(ADDRESS(2,COLUMN())),OFFSET($BN$2,0,0,ROW()-1,60),ROW()-1,FALSE))</f>
        <v/>
      </c>
      <c r="AZ431" t="str">
        <f ca="1">IF(AND(ISNUMBER($AZ$929),$B$511=1),$AZ$929,HLOOKUP(INDIRECT(ADDRESS(2,COLUMN())),OFFSET($BN$2,0,0,ROW()-1,60),ROW()-1,FALSE))</f>
        <v/>
      </c>
      <c r="BA431" t="str">
        <f ca="1">IF(AND(ISNUMBER($BA$929),$B$511=1),$BA$929,HLOOKUP(INDIRECT(ADDRESS(2,COLUMN())),OFFSET($BN$2,0,0,ROW()-1,60),ROW()-1,FALSE))</f>
        <v/>
      </c>
      <c r="BB431" t="str">
        <f ca="1">IF(AND(ISNUMBER($BB$929),$B$511=1),$BB$929,HLOOKUP(INDIRECT(ADDRESS(2,COLUMN())),OFFSET($BN$2,0,0,ROW()-1,60),ROW()-1,FALSE))</f>
        <v/>
      </c>
      <c r="BC431" t="str">
        <f ca="1">IF(AND(ISNUMBER($BC$929),$B$511=1),$BC$929,HLOOKUP(INDIRECT(ADDRESS(2,COLUMN())),OFFSET($BN$2,0,0,ROW()-1,60),ROW()-1,FALSE))</f>
        <v/>
      </c>
      <c r="BD431" t="str">
        <f ca="1">IF(AND(ISNUMBER($BD$929),$B$511=1),$BD$929,HLOOKUP(INDIRECT(ADDRESS(2,COLUMN())),OFFSET($BN$2,0,0,ROW()-1,60),ROW()-1,FALSE))</f>
        <v/>
      </c>
      <c r="BE431" t="str">
        <f ca="1">IF(AND(ISNUMBER($BE$929),$B$511=1),$BE$929,HLOOKUP(INDIRECT(ADDRESS(2,COLUMN())),OFFSET($BN$2,0,0,ROW()-1,60),ROW()-1,FALSE))</f>
        <v/>
      </c>
      <c r="BF431" t="str">
        <f ca="1">IF(AND(ISNUMBER($BF$929),$B$511=1),$BF$929,HLOOKUP(INDIRECT(ADDRESS(2,COLUMN())),OFFSET($BN$2,0,0,ROW()-1,60),ROW()-1,FALSE))</f>
        <v/>
      </c>
      <c r="BG431" t="str">
        <f ca="1">IF(AND(ISNUMBER($BG$929),$B$511=1),$BG$929,HLOOKUP(INDIRECT(ADDRESS(2,COLUMN())),OFFSET($BN$2,0,0,ROW()-1,60),ROW()-1,FALSE))</f>
        <v/>
      </c>
      <c r="BH431" t="str">
        <f ca="1">IF(AND(ISNUMBER($BH$929),$B$511=1),$BH$929,HLOOKUP(INDIRECT(ADDRESS(2,COLUMN())),OFFSET($BN$2,0,0,ROW()-1,60),ROW()-1,FALSE))</f>
        <v/>
      </c>
      <c r="BI431" t="str">
        <f ca="1">IF(AND(ISNUMBER($BI$929),$B$511=1),$BI$929,HLOOKUP(INDIRECT(ADDRESS(2,COLUMN())),OFFSET($BN$2,0,0,ROW()-1,60),ROW()-1,FALSE))</f>
        <v/>
      </c>
      <c r="BJ431" t="str">
        <f ca="1">IF(AND(ISNUMBER($BJ$929),$B$511=1),$BJ$929,HLOOKUP(INDIRECT(ADDRESS(2,COLUMN())),OFFSET($BN$2,0,0,ROW()-1,60),ROW()-1,FALSE))</f>
        <v/>
      </c>
      <c r="BK431" t="str">
        <f ca="1">IF(AND(ISNUMBER($BK$929),$B$511=1),$BK$929,HLOOKUP(INDIRECT(ADDRESS(2,COLUMN())),OFFSET($BN$2,0,0,ROW()-1,60),ROW()-1,FALSE))</f>
        <v/>
      </c>
      <c r="BL431" t="str">
        <f ca="1">IF(AND(ISNUMBER($BL$929),$B$511=1),$BL$929,HLOOKUP(INDIRECT(ADDRESS(2,COLUMN())),OFFSET($BN$2,0,0,ROW()-1,60),ROW()-1,FALSE))</f>
        <v/>
      </c>
      <c r="BM431" t="str">
        <f ca="1">IF(AND(ISNUMBER($BM$929),$B$511=1),$BM$929,HLOOKUP(INDIRECT(ADDRESS(2,COLUMN())),OFFSET($BN$2,0,0,ROW()-1,60),ROW()-1,FALSE))</f>
        <v/>
      </c>
      <c r="BN431">
        <f>40</f>
        <v>40</v>
      </c>
      <c r="BO431">
        <f>33.45</f>
        <v>33.450000000000003</v>
      </c>
      <c r="BP431">
        <f>33.67</f>
        <v>33.67</v>
      </c>
      <c r="BQ431">
        <f>39.4</f>
        <v>39.4</v>
      </c>
      <c r="BR431">
        <f>36.34</f>
        <v>36.340000000000003</v>
      </c>
      <c r="BS431">
        <f>40.99</f>
        <v>40.99</v>
      </c>
      <c r="BT431">
        <f>40.38</f>
        <v>40.380000000000003</v>
      </c>
      <c r="BU431">
        <f>34.93</f>
        <v>34.93</v>
      </c>
      <c r="BV431">
        <f>35.36</f>
        <v>35.36</v>
      </c>
      <c r="BW431">
        <f>34.84</f>
        <v>34.840000000000003</v>
      </c>
      <c r="BX431">
        <f>31.77</f>
        <v>31.77</v>
      </c>
      <c r="BY431">
        <f>28.3</f>
        <v>28.3</v>
      </c>
      <c r="BZ431">
        <f>31.43</f>
        <v>31.43</v>
      </c>
      <c r="CA431">
        <f>34.01</f>
        <v>34.01</v>
      </c>
      <c r="CB431">
        <f>30.02</f>
        <v>30.02</v>
      </c>
      <c r="CC431">
        <f>33.33</f>
        <v>33.33</v>
      </c>
      <c r="CD431">
        <f>37.5</f>
        <v>37.5</v>
      </c>
      <c r="CE431">
        <f>34.91</f>
        <v>34.909999999999997</v>
      </c>
      <c r="CF431">
        <f>31.94</f>
        <v>31.94</v>
      </c>
      <c r="CG431">
        <f>36.3</f>
        <v>36.299999999999997</v>
      </c>
      <c r="CH431">
        <f>34.42</f>
        <v>34.42</v>
      </c>
      <c r="CI431">
        <f>40.87</f>
        <v>40.869999999999997</v>
      </c>
      <c r="CJ431">
        <f>35.97</f>
        <v>35.97</v>
      </c>
      <c r="CK431">
        <f>33.31</f>
        <v>33.31</v>
      </c>
      <c r="CL431">
        <f>27.82</f>
        <v>27.82</v>
      </c>
      <c r="CM431">
        <f>28.83</f>
        <v>28.83</v>
      </c>
      <c r="CN431">
        <f>22.75</f>
        <v>22.75</v>
      </c>
      <c r="CO431">
        <f>19.72</f>
        <v>19.72</v>
      </c>
      <c r="CP431">
        <f>25.65</f>
        <v>25.65</v>
      </c>
      <c r="CQ431">
        <f>20.27</f>
        <v>20.27</v>
      </c>
      <c r="CR431">
        <f>20.18</f>
        <v>20.18</v>
      </c>
      <c r="CS431">
        <f>30.36</f>
        <v>30.36</v>
      </c>
      <c r="CT431">
        <f>31.03</f>
        <v>31.03</v>
      </c>
      <c r="CU431">
        <f>36.86</f>
        <v>36.86</v>
      </c>
      <c r="CV431" t="str">
        <f>""</f>
        <v/>
      </c>
      <c r="CW431" t="str">
        <f>""</f>
        <v/>
      </c>
      <c r="CX431" t="str">
        <f>""</f>
        <v/>
      </c>
      <c r="CY431" t="str">
        <f>""</f>
        <v/>
      </c>
      <c r="CZ431" t="str">
        <f>""</f>
        <v/>
      </c>
      <c r="DA431" t="str">
        <f>""</f>
        <v/>
      </c>
      <c r="DB431" t="str">
        <f>""</f>
        <v/>
      </c>
      <c r="DC431" t="str">
        <f>""</f>
        <v/>
      </c>
      <c r="DD431" t="str">
        <f>""</f>
        <v/>
      </c>
      <c r="DE431" t="str">
        <f>""</f>
        <v/>
      </c>
      <c r="DF431" t="str">
        <f>""</f>
        <v/>
      </c>
      <c r="DG431" t="str">
        <f>""</f>
        <v/>
      </c>
      <c r="DH431" t="str">
        <f>""</f>
        <v/>
      </c>
      <c r="DI431" t="str">
        <f>""</f>
        <v/>
      </c>
      <c r="DJ431" t="str">
        <f>""</f>
        <v/>
      </c>
      <c r="DK431" t="str">
        <f>""</f>
        <v/>
      </c>
      <c r="DL431" t="str">
        <f>""</f>
        <v/>
      </c>
      <c r="DM431" t="str">
        <f>""</f>
        <v/>
      </c>
      <c r="DN431" t="str">
        <f>""</f>
        <v/>
      </c>
      <c r="DO431" t="str">
        <f>""</f>
        <v/>
      </c>
      <c r="DP431" t="str">
        <f>""</f>
        <v/>
      </c>
      <c r="DQ431" t="str">
        <f>""</f>
        <v/>
      </c>
      <c r="DR431" t="str">
        <f>""</f>
        <v/>
      </c>
      <c r="DS431" t="str">
        <f>""</f>
        <v/>
      </c>
      <c r="DT431" t="str">
        <f>""</f>
        <v/>
      </c>
      <c r="DU431" t="str">
        <f>""</f>
        <v/>
      </c>
    </row>
    <row r="432" spans="1:125" x14ac:dyDescent="0.25">
      <c r="A432" t="str">
        <f>"    Great Wall Motor Co Ltd"</f>
        <v xml:space="preserve">    Great Wall Motor Co Ltd</v>
      </c>
      <c r="B432" t="str">
        <f>"2333 HK Equity"</f>
        <v>2333 HK Equity</v>
      </c>
      <c r="C432" t="str">
        <f t="shared" si="30"/>
        <v>PR005</v>
      </c>
      <c r="D432" t="str">
        <f t="shared" si="31"/>
        <v>PX_LAST</v>
      </c>
      <c r="E432" t="str">
        <f t="shared" si="32"/>
        <v>Dynamic</v>
      </c>
      <c r="F432">
        <f ca="1">IF(AND(ISNUMBER($F$930),$B$511=1),$F$930,HLOOKUP(INDIRECT(ADDRESS(2,COLUMN())),OFFSET($BN$2,0,0,ROW()-1,60),ROW()-1,FALSE))</f>
        <v>0.73250272900000002</v>
      </c>
      <c r="G432">
        <f ca="1">IF(AND(ISNUMBER($G$930),$B$511=1),$G$930,HLOOKUP(INDIRECT(ADDRESS(2,COLUMN())),OFFSET($BN$2,0,0,ROW()-1,60),ROW()-1,FALSE))</f>
        <v>0.57327443099999997</v>
      </c>
      <c r="H432">
        <f ca="1">IF(AND(ISNUMBER($H$930),$B$511=1),$H$930,HLOOKUP(INDIRECT(ADDRESS(2,COLUMN())),OFFSET($BN$2,0,0,ROW()-1,60),ROW()-1,FALSE))</f>
        <v>0.63765893500000004</v>
      </c>
      <c r="I432">
        <f ca="1">IF(AND(ISNUMBER($I$930),$B$511=1),$I$930,HLOOKUP(INDIRECT(ADDRESS(2,COLUMN())),OFFSET($BN$2,0,0,ROW()-1,60),ROW()-1,FALSE))</f>
        <v>0.76470138399999998</v>
      </c>
      <c r="J432">
        <f ca="1">IF(AND(ISNUMBER($J$930),$B$511=1),$J$930,HLOOKUP(INDIRECT(ADDRESS(2,COLUMN())),OFFSET($BN$2,0,0,ROW()-1,60),ROW()-1,FALSE))</f>
        <v>1.0027393769999999</v>
      </c>
      <c r="K432">
        <f ca="1">IF(AND(ISNUMBER($K$930),$B$511=1),$K$930,HLOOKUP(INDIRECT(ADDRESS(2,COLUMN())),OFFSET($BN$2,0,0,ROW()-1,60),ROW()-1,FALSE))</f>
        <v>1.1456293280000001</v>
      </c>
      <c r="L432">
        <f ca="1">IF(AND(ISNUMBER($L$930),$B$511=1),$L$930,HLOOKUP(INDIRECT(ADDRESS(2,COLUMN())),OFFSET($BN$2,0,0,ROW()-1,60),ROW()-1,FALSE))</f>
        <v>1.2289101099999999</v>
      </c>
      <c r="M432">
        <f ca="1">IF(AND(ISNUMBER($M$930),$B$511=1),$M$930,HLOOKUP(INDIRECT(ADDRESS(2,COLUMN())),OFFSET($BN$2,0,0,ROW()-1,60),ROW()-1,FALSE))</f>
        <v>1.2348525610000001</v>
      </c>
      <c r="N432">
        <f ca="1">IF(AND(ISNUMBER($N$930),$B$511=1),$N$930,HLOOKUP(INDIRECT(ADDRESS(2,COLUMN())),OFFSET($BN$2,0,0,ROW()-1,60),ROW()-1,FALSE))</f>
        <v>1.138776298</v>
      </c>
      <c r="O432">
        <f ca="1">IF(AND(ISNUMBER($O$930),$B$511=1),$O$930,HLOOKUP(INDIRECT(ADDRESS(2,COLUMN())),OFFSET($BN$2,0,0,ROW()-1,60),ROW()-1,FALSE))</f>
        <v>0.93372367499999998</v>
      </c>
      <c r="P432">
        <f ca="1">IF(AND(ISNUMBER($P$930),$B$511=1),$P$930,HLOOKUP(INDIRECT(ADDRESS(2,COLUMN())),OFFSET($BN$2,0,0,ROW()-1,60),ROW()-1,FALSE))</f>
        <v>0.97349012300000004</v>
      </c>
      <c r="Q432">
        <f ca="1">IF(AND(ISNUMBER($Q$930),$B$511=1),$Q$930,HLOOKUP(INDIRECT(ADDRESS(2,COLUMN())),OFFSET($BN$2,0,0,ROW()-1,60),ROW()-1,FALSE))</f>
        <v>0.82738356099999999</v>
      </c>
      <c r="R432">
        <f ca="1">IF(AND(ISNUMBER($R$930),$B$511=1),$R$930,HLOOKUP(INDIRECT(ADDRESS(2,COLUMN())),OFFSET($BN$2,0,0,ROW()-1,60),ROW()-1,FALSE))</f>
        <v>0.81226389600000004</v>
      </c>
      <c r="S432">
        <f ca="1">IF(AND(ISNUMBER($S$930),$B$511=1),$S$930,HLOOKUP(INDIRECT(ADDRESS(2,COLUMN())),OFFSET($BN$2,0,0,ROW()-1,60),ROW()-1,FALSE))</f>
        <v>1.1651462560000001</v>
      </c>
      <c r="T432">
        <f ca="1">IF(AND(ISNUMBER($T$930),$B$511=1),$T$930,HLOOKUP(INDIRECT(ADDRESS(2,COLUMN())),OFFSET($BN$2,0,0,ROW()-1,60),ROW()-1,FALSE))</f>
        <v>1.104473375</v>
      </c>
      <c r="U432">
        <f ca="1">IF(AND(ISNUMBER($U$930),$B$511=1),$U$930,HLOOKUP(INDIRECT(ADDRESS(2,COLUMN())),OFFSET($BN$2,0,0,ROW()-1,60),ROW()-1,FALSE))</f>
        <v>1.6339869279999999</v>
      </c>
      <c r="V432">
        <f ca="1">IF(AND(ISNUMBER($V$930),$B$511=1),$V$930,HLOOKUP(INDIRECT(ADDRESS(2,COLUMN())),OFFSET($BN$2,0,0,ROW()-1,60),ROW()-1,FALSE))</f>
        <v>2.3561076070000002</v>
      </c>
      <c r="W432">
        <f ca="1">IF(AND(ISNUMBER($W$930),$B$511=1),$W$930,HLOOKUP(INDIRECT(ADDRESS(2,COLUMN())),OFFSET($BN$2,0,0,ROW()-1,60),ROW()-1,FALSE))</f>
        <v>1.895820168</v>
      </c>
      <c r="X432">
        <f ca="1">IF(AND(ISNUMBER($X$930),$B$511=1),$X$930,HLOOKUP(INDIRECT(ADDRESS(2,COLUMN())),OFFSET($BN$2,0,0,ROW()-1,60),ROW()-1,FALSE))</f>
        <v>1.2943191620000001</v>
      </c>
      <c r="Y432">
        <f ca="1">IF(AND(ISNUMBER($Y$930),$B$511=1),$Y$930,HLOOKUP(INDIRECT(ADDRESS(2,COLUMN())),OFFSET($BN$2,0,0,ROW()-1,60),ROW()-1,FALSE))</f>
        <v>1.2386457470000001</v>
      </c>
      <c r="Z432">
        <f ca="1">IF(AND(ISNUMBER($Z$930),$B$511=1),$Z$930,HLOOKUP(INDIRECT(ADDRESS(2,COLUMN())),OFFSET($BN$2,0,0,ROW()-1,60),ROW()-1,FALSE))</f>
        <v>1.67162999</v>
      </c>
      <c r="AA432">
        <f ca="1">IF(AND(ISNUMBER($AA$930),$B$511=1),$AA$930,HLOOKUP(INDIRECT(ADDRESS(2,COLUMN())),OFFSET($BN$2,0,0,ROW()-1,60),ROW()-1,FALSE))</f>
        <v>1.8399580419999999</v>
      </c>
      <c r="AB432">
        <f ca="1">IF(AND(ISNUMBER($AB$930),$B$511=1),$AB$930,HLOOKUP(INDIRECT(ADDRESS(2,COLUMN())),OFFSET($BN$2,0,0,ROW()-1,60),ROW()-1,FALSE))</f>
        <v>1.807366145</v>
      </c>
      <c r="AC432">
        <f ca="1">IF(AND(ISNUMBER($AC$930),$B$511=1),$AC$930,HLOOKUP(INDIRECT(ADDRESS(2,COLUMN())),OFFSET($BN$2,0,0,ROW()-1,60),ROW()-1,FALSE))</f>
        <v>1.437578164</v>
      </c>
      <c r="AD432">
        <f ca="1">IF(AND(ISNUMBER($AD$930),$B$511=1),$AD$930,HLOOKUP(INDIRECT(ADDRESS(2,COLUMN())),OFFSET($BN$2,0,0,ROW()-1,60),ROW()-1,FALSE))</f>
        <v>1.1293030529999999</v>
      </c>
      <c r="AE432">
        <f ca="1">IF(AND(ISNUMBER($AE$930),$B$511=1),$AE$930,HLOOKUP(INDIRECT(ADDRESS(2,COLUMN())),OFFSET($BN$2,0,0,ROW()-1,60),ROW()-1,FALSE))</f>
        <v>1.0514907950000001</v>
      </c>
      <c r="AF432">
        <f ca="1">IF(AND(ISNUMBER($AF$930),$B$511=1),$AF$930,HLOOKUP(INDIRECT(ADDRESS(2,COLUMN())),OFFSET($BN$2,0,0,ROW()-1,60),ROW()-1,FALSE))</f>
        <v>0.87908214399999995</v>
      </c>
      <c r="AG432">
        <f ca="1">IF(AND(ISNUMBER($AG$930),$B$511=1),$AG$930,HLOOKUP(INDIRECT(ADDRESS(2,COLUMN())),OFFSET($BN$2,0,0,ROW()-1,60),ROW()-1,FALSE))</f>
        <v>0.66084879100000005</v>
      </c>
      <c r="AH432">
        <f ca="1">IF(AND(ISNUMBER($AH$930),$B$511=1),$AH$930,HLOOKUP(INDIRECT(ADDRESS(2,COLUMN())),OFFSET($BN$2,0,0,ROW()-1,60),ROW()-1,FALSE))</f>
        <v>0.64827455899999997</v>
      </c>
      <c r="AI432">
        <f ca="1">IF(AND(ISNUMBER($AI$930),$B$511=1),$AI$930,HLOOKUP(INDIRECT(ADDRESS(2,COLUMN())),OFFSET($BN$2,0,0,ROW()-1,60),ROW()-1,FALSE))</f>
        <v>0.486699457</v>
      </c>
      <c r="AJ432">
        <f ca="1">IF(AND(ISNUMBER($AJ$930),$B$511=1),$AJ$930,HLOOKUP(INDIRECT(ADDRESS(2,COLUMN())),OFFSET($BN$2,0,0,ROW()-1,60),ROW()-1,FALSE))</f>
        <v>0.38616815900000001</v>
      </c>
      <c r="AK432">
        <f ca="1">IF(AND(ISNUMBER($AK$930),$B$511=1),$AK$930,HLOOKUP(INDIRECT(ADDRESS(2,COLUMN())),OFFSET($BN$2,0,0,ROW()-1,60),ROW()-1,FALSE))</f>
        <v>0.54832311600000005</v>
      </c>
      <c r="AL432">
        <f ca="1">IF(AND(ISNUMBER($AL$930),$B$511=1),$AL$930,HLOOKUP(INDIRECT(ADDRESS(2,COLUMN())),OFFSET($BN$2,0,0,ROW()-1,60),ROW()-1,FALSE))</f>
        <v>0.61637905199999998</v>
      </c>
      <c r="AM432">
        <f ca="1">IF(AND(ISNUMBER($AM$930),$B$511=1),$AM$930,HLOOKUP(INDIRECT(ADDRESS(2,COLUMN())),OFFSET($BN$2,0,0,ROW()-1,60),ROW()-1,FALSE))</f>
        <v>0.41169205399999997</v>
      </c>
      <c r="AN432">
        <f ca="1">IF(AND(ISNUMBER($AN$930),$B$511=1),$AN$930,HLOOKUP(INDIRECT(ADDRESS(2,COLUMN())),OFFSET($BN$2,0,0,ROW()-1,60),ROW()-1,FALSE))</f>
        <v>0.36083404200000002</v>
      </c>
      <c r="AO432">
        <f ca="1">IF(AND(ISNUMBER($AO$930),$B$511=1),$AO$930,HLOOKUP(INDIRECT(ADDRESS(2,COLUMN())),OFFSET($BN$2,0,0,ROW()-1,60),ROW()-1,FALSE))</f>
        <v>0.23288468800000001</v>
      </c>
      <c r="AP432">
        <f ca="1">IF(AND(ISNUMBER($AP$930),$B$511=1),$AP$930,HLOOKUP(INDIRECT(ADDRESS(2,COLUMN())),OFFSET($BN$2,0,0,ROW()-1,60),ROW()-1,FALSE))</f>
        <v>0.277155294</v>
      </c>
      <c r="AQ432">
        <f ca="1">IF(AND(ISNUMBER($AQ$930),$B$511=1),$AQ$930,HLOOKUP(INDIRECT(ADDRESS(2,COLUMN())),OFFSET($BN$2,0,0,ROW()-1,60),ROW()-1,FALSE))</f>
        <v>0.16646460499999999</v>
      </c>
      <c r="AR432">
        <f ca="1">IF(AND(ISNUMBER($AR$930),$B$511=1),$AR$930,HLOOKUP(INDIRECT(ADDRESS(2,COLUMN())),OFFSET($BN$2,0,0,ROW()-1,60),ROW()-1,FALSE))</f>
        <v>0.120084472</v>
      </c>
      <c r="AS432">
        <f ca="1">IF(AND(ISNUMBER($AS$930),$B$511=1),$AS$930,HLOOKUP(INDIRECT(ADDRESS(2,COLUMN())),OFFSET($BN$2,0,0,ROW()-1,60),ROW()-1,FALSE))</f>
        <v>0.10580508600000001</v>
      </c>
      <c r="AT432">
        <f ca="1">IF(AND(ISNUMBER($AT$930),$B$511=1),$AT$930,HLOOKUP(INDIRECT(ADDRESS(2,COLUMN())),OFFSET($BN$2,0,0,ROW()-1,60),ROW()-1,FALSE))</f>
        <v>5.4192849000000001E-2</v>
      </c>
      <c r="AU432">
        <f ca="1">IF(AND(ISNUMBER($AU$930),$B$511=1),$AU$930,HLOOKUP(INDIRECT(ADDRESS(2,COLUMN())),OFFSET($BN$2,0,0,ROW()-1,60),ROW()-1,FALSE))</f>
        <v>4.6451013999999999E-2</v>
      </c>
      <c r="AV432">
        <f ca="1">IF(AND(ISNUMBER($AV$930),$B$511=1),$AV$930,HLOOKUP(INDIRECT(ADDRESS(2,COLUMN())),OFFSET($BN$2,0,0,ROW()-1,60),ROW()-1,FALSE))</f>
        <v>5.5635689000000002E-2</v>
      </c>
      <c r="AW432">
        <f ca="1">IF(AND(ISNUMBER($AW$930),$B$511=1),$AW$930,HLOOKUP(INDIRECT(ADDRESS(2,COLUMN())),OFFSET($BN$2,0,0,ROW()-1,60),ROW()-1,FALSE))</f>
        <v>8.8398735000000006E-2</v>
      </c>
      <c r="AX432">
        <f ca="1">IF(AND(ISNUMBER($AX$930),$B$511=1),$AX$930,HLOOKUP(INDIRECT(ADDRESS(2,COLUMN())),OFFSET($BN$2,0,0,ROW()-1,60),ROW()-1,FALSE))</f>
        <v>0.12866308600000001</v>
      </c>
      <c r="AY432">
        <f ca="1">IF(AND(ISNUMBER($AY$930),$B$511=1),$AY$930,HLOOKUP(INDIRECT(ADDRESS(2,COLUMN())),OFFSET($BN$2,0,0,ROW()-1,60),ROW()-1,FALSE))</f>
        <v>0.191807167</v>
      </c>
      <c r="AZ432">
        <f ca="1">IF(AND(ISNUMBER($AZ$930),$B$511=1),$AZ$930,HLOOKUP(INDIRECT(ADDRESS(2,COLUMN())),OFFSET($BN$2,0,0,ROW()-1,60),ROW()-1,FALSE))</f>
        <v>0.19742658699999999</v>
      </c>
      <c r="BA432">
        <f ca="1">IF(AND(ISNUMBER($BA$930),$B$511=1),$BA$930,HLOOKUP(INDIRECT(ADDRESS(2,COLUMN())),OFFSET($BN$2,0,0,ROW()-1,60),ROW()-1,FALSE))</f>
        <v>0.193738462</v>
      </c>
      <c r="BB432">
        <f ca="1">IF(AND(ISNUMBER($BB$930),$B$511=1),$BB$930,HLOOKUP(INDIRECT(ADDRESS(2,COLUMN())),OFFSET($BN$2,0,0,ROW()-1,60),ROW()-1,FALSE))</f>
        <v>0.19656019699999999</v>
      </c>
      <c r="BC432">
        <f ca="1">IF(AND(ISNUMBER($BC$930),$B$511=1),$BC$930,HLOOKUP(INDIRECT(ADDRESS(2,COLUMN())),OFFSET($BN$2,0,0,ROW()-1,60),ROW()-1,FALSE))</f>
        <v>0.12872097499999999</v>
      </c>
      <c r="BD432">
        <f ca="1">IF(AND(ISNUMBER($BD$930),$B$511=1),$BD$930,HLOOKUP(INDIRECT(ADDRESS(2,COLUMN())),OFFSET($BN$2,0,0,ROW()-1,60),ROW()-1,FALSE))</f>
        <v>0.111403453</v>
      </c>
      <c r="BE432">
        <f ca="1">IF(AND(ISNUMBER($BE$930),$B$511=1),$BE$930,HLOOKUP(INDIRECT(ADDRESS(2,COLUMN())),OFFSET($BN$2,0,0,ROW()-1,60),ROW()-1,FALSE))</f>
        <v>7.2529075999999998E-2</v>
      </c>
      <c r="BF432">
        <f ca="1">IF(AND(ISNUMBER($BF$930),$B$511=1),$BF$930,HLOOKUP(INDIRECT(ADDRESS(2,COLUMN())),OFFSET($BN$2,0,0,ROW()-1,60),ROW()-1,FALSE))</f>
        <v>8.8489112999999994E-2</v>
      </c>
      <c r="BG432">
        <f ca="1">IF(AND(ISNUMBER($BG$930),$B$511=1),$BG$930,HLOOKUP(INDIRECT(ADDRESS(2,COLUMN())),OFFSET($BN$2,0,0,ROW()-1,60),ROW()-1,FALSE))</f>
        <v>4.3850032999999997E-2</v>
      </c>
      <c r="BH432">
        <f ca="1">IF(AND(ISNUMBER($BH$930),$B$511=1),$BH$930,HLOOKUP(INDIRECT(ADDRESS(2,COLUMN())),OFFSET($BN$2,0,0,ROW()-1,60),ROW()-1,FALSE))</f>
        <v>4.5977010999999998E-2</v>
      </c>
      <c r="BI432">
        <f ca="1">IF(AND(ISNUMBER($BI$930),$B$511=1),$BI$930,HLOOKUP(INDIRECT(ADDRESS(2,COLUMN())),OFFSET($BN$2,0,0,ROW()-1,60),ROW()-1,FALSE))</f>
        <v>4.7609856999999998E-2</v>
      </c>
      <c r="BJ432">
        <f ca="1">IF(AND(ISNUMBER($BJ$930),$B$511=1),$BJ$930,HLOOKUP(INDIRECT(ADDRESS(2,COLUMN())),OFFSET($BN$2,0,0,ROW()-1,60),ROW()-1,FALSE))</f>
        <v>5.0430583000000001E-2</v>
      </c>
      <c r="BK432">
        <f ca="1">IF(AND(ISNUMBER($BK$930),$B$511=1),$BK$930,HLOOKUP(INDIRECT(ADDRESS(2,COLUMN())),OFFSET($BN$2,0,0,ROW()-1,60),ROW()-1,FALSE))</f>
        <v>6.1323384000000002E-2</v>
      </c>
      <c r="BL432">
        <f ca="1">IF(AND(ISNUMBER($BL$930),$B$511=1),$BL$930,HLOOKUP(INDIRECT(ADDRESS(2,COLUMN())),OFFSET($BN$2,0,0,ROW()-1,60),ROW()-1,FALSE))</f>
        <v>6.3273821999999993E-2</v>
      </c>
      <c r="BM432">
        <f ca="1">IF(AND(ISNUMBER($BM$930),$B$511=1),$BM$930,HLOOKUP(INDIRECT(ADDRESS(2,COLUMN())),OFFSET($BN$2,0,0,ROW()-1,60),ROW()-1,FALSE))</f>
        <v>6.7095738000000002E-2</v>
      </c>
      <c r="BN432">
        <f>0.732502729</f>
        <v>0.73250272900000002</v>
      </c>
      <c r="BO432">
        <f>0.573274431</f>
        <v>0.57327443099999997</v>
      </c>
      <c r="BP432">
        <f>0.637658935</f>
        <v>0.63765893500000004</v>
      </c>
      <c r="BQ432">
        <f>0.764701384</f>
        <v>0.76470138399999998</v>
      </c>
      <c r="BR432">
        <f>1.002739377</f>
        <v>1.0027393769999999</v>
      </c>
      <c r="BS432">
        <f>1.145629328</f>
        <v>1.1456293280000001</v>
      </c>
      <c r="BT432">
        <f>1.22891011</f>
        <v>1.2289101099999999</v>
      </c>
      <c r="BU432">
        <f>1.234852561</f>
        <v>1.2348525610000001</v>
      </c>
      <c r="BV432">
        <f>1.138776298</f>
        <v>1.138776298</v>
      </c>
      <c r="BW432">
        <f>0.933723675</f>
        <v>0.93372367499999998</v>
      </c>
      <c r="BX432">
        <f>0.973490123</f>
        <v>0.97349012300000004</v>
      </c>
      <c r="BY432">
        <f>0.827383561</f>
        <v>0.82738356099999999</v>
      </c>
      <c r="BZ432">
        <f>0.812263896</f>
        <v>0.81226389600000004</v>
      </c>
      <c r="CA432">
        <f>1.165146256</f>
        <v>1.1651462560000001</v>
      </c>
      <c r="CB432">
        <f>1.104473375</f>
        <v>1.104473375</v>
      </c>
      <c r="CC432">
        <f>1.633986928</f>
        <v>1.6339869279999999</v>
      </c>
      <c r="CD432">
        <f>2.356107607</f>
        <v>2.3561076070000002</v>
      </c>
      <c r="CE432">
        <f>1.895820168</f>
        <v>1.895820168</v>
      </c>
      <c r="CF432">
        <f>1.294319162</f>
        <v>1.2943191620000001</v>
      </c>
      <c r="CG432">
        <f>1.238645747</f>
        <v>1.2386457470000001</v>
      </c>
      <c r="CH432">
        <f>1.67162999</f>
        <v>1.67162999</v>
      </c>
      <c r="CI432">
        <f>1.839958042</f>
        <v>1.8399580419999999</v>
      </c>
      <c r="CJ432">
        <f>1.807366145</f>
        <v>1.807366145</v>
      </c>
      <c r="CK432">
        <f>1.437578164</f>
        <v>1.437578164</v>
      </c>
      <c r="CL432">
        <f>1.129303053</f>
        <v>1.1293030529999999</v>
      </c>
      <c r="CM432">
        <f>1.051490795</f>
        <v>1.0514907950000001</v>
      </c>
      <c r="CN432">
        <f>0.879082144</f>
        <v>0.87908214399999995</v>
      </c>
      <c r="CO432">
        <f>0.660848791</f>
        <v>0.66084879100000005</v>
      </c>
      <c r="CP432">
        <f>0.648274559</f>
        <v>0.64827455899999997</v>
      </c>
      <c r="CQ432">
        <f>0.486699457</f>
        <v>0.486699457</v>
      </c>
      <c r="CR432">
        <f>0.386168159</f>
        <v>0.38616815900000001</v>
      </c>
      <c r="CS432">
        <f>0.548323116</f>
        <v>0.54832311600000005</v>
      </c>
      <c r="CT432">
        <f>0.616379052</f>
        <v>0.61637905199999998</v>
      </c>
      <c r="CU432">
        <f>0.411692054</f>
        <v>0.41169205399999997</v>
      </c>
      <c r="CV432">
        <f>0.360834042</f>
        <v>0.36083404200000002</v>
      </c>
      <c r="CW432">
        <f>0.232884688</f>
        <v>0.23288468800000001</v>
      </c>
      <c r="CX432">
        <f>0.277155294</f>
        <v>0.277155294</v>
      </c>
      <c r="CY432">
        <f>0.166464605</f>
        <v>0.16646460499999999</v>
      </c>
      <c r="CZ432">
        <f>0.120084472</f>
        <v>0.120084472</v>
      </c>
      <c r="DA432">
        <f>0.105805086</f>
        <v>0.10580508600000001</v>
      </c>
      <c r="DB432">
        <f>0.054192849</f>
        <v>5.4192849000000001E-2</v>
      </c>
      <c r="DC432">
        <f>0.046451014</f>
        <v>4.6451013999999999E-2</v>
      </c>
      <c r="DD432">
        <f>0.055635689</f>
        <v>5.5635689000000002E-2</v>
      </c>
      <c r="DE432">
        <f>0.088398735</f>
        <v>8.8398735000000006E-2</v>
      </c>
      <c r="DF432">
        <f>0.128663086</f>
        <v>0.12866308600000001</v>
      </c>
      <c r="DG432">
        <f>0.191807167</f>
        <v>0.191807167</v>
      </c>
      <c r="DH432">
        <f>0.197426587</f>
        <v>0.19742658699999999</v>
      </c>
      <c r="DI432">
        <f>0.193738462</f>
        <v>0.193738462</v>
      </c>
      <c r="DJ432">
        <f>0.196560197</f>
        <v>0.19656019699999999</v>
      </c>
      <c r="DK432">
        <f>0.128720975</f>
        <v>0.12872097499999999</v>
      </c>
      <c r="DL432">
        <f>0.111403453</f>
        <v>0.111403453</v>
      </c>
      <c r="DM432">
        <f>0.072529076</f>
        <v>7.2529075999999998E-2</v>
      </c>
      <c r="DN432">
        <f>0.088489113</f>
        <v>8.8489112999999994E-2</v>
      </c>
      <c r="DO432">
        <f>0.043850033</f>
        <v>4.3850032999999997E-2</v>
      </c>
      <c r="DP432">
        <f>0.045977011</f>
        <v>4.5977010999999998E-2</v>
      </c>
      <c r="DQ432">
        <f>0.047609857</f>
        <v>4.7609856999999998E-2</v>
      </c>
      <c r="DR432">
        <f>0.050430583</f>
        <v>5.0430583000000001E-2</v>
      </c>
      <c r="DS432">
        <f>0.061323384</f>
        <v>6.1323384000000002E-2</v>
      </c>
      <c r="DT432">
        <f>0.063273822</f>
        <v>6.3273821999999993E-2</v>
      </c>
      <c r="DU432">
        <f>0.067095738</f>
        <v>6.7095738000000002E-2</v>
      </c>
    </row>
    <row r="433" spans="1:125" x14ac:dyDescent="0.25">
      <c r="A433" t="str">
        <f>"    Guangzhou Automobile Group Co Ltd"</f>
        <v xml:space="preserve">    Guangzhou Automobile Group Co Ltd</v>
      </c>
      <c r="B433" t="str">
        <f>"2238 HK Equity"</f>
        <v>2238 HK Equity</v>
      </c>
      <c r="C433" t="str">
        <f t="shared" si="30"/>
        <v>PR005</v>
      </c>
      <c r="D433" t="str">
        <f t="shared" si="31"/>
        <v>PX_LAST</v>
      </c>
      <c r="E433" t="str">
        <f t="shared" si="32"/>
        <v>Dynamic</v>
      </c>
      <c r="F433">
        <f ca="1">IF(AND(ISNUMBER($F$931),$B$511=1),$F$931,HLOOKUP(INDIRECT(ADDRESS(2,COLUMN())),OFFSET($BN$2,0,0,ROW()-1,60),ROW()-1,FALSE))</f>
        <v>1.2293306660000001</v>
      </c>
      <c r="G433">
        <f ca="1">IF(AND(ISNUMBER($G$931),$B$511=1),$G$931,HLOOKUP(INDIRECT(ADDRESS(2,COLUMN())),OFFSET($BN$2,0,0,ROW()-1,60),ROW()-1,FALSE))</f>
        <v>0.99716554700000004</v>
      </c>
      <c r="H433">
        <f ca="1">IF(AND(ISNUMBER($H$931),$B$511=1),$H$931,HLOOKUP(INDIRECT(ADDRESS(2,COLUMN())),OFFSET($BN$2,0,0,ROW()-1,60),ROW()-1,FALSE))</f>
        <v>1.1079164269999999</v>
      </c>
      <c r="I433">
        <f ca="1">IF(AND(ISNUMBER($I$931),$B$511=1),$I$931,HLOOKUP(INDIRECT(ADDRESS(2,COLUMN())),OFFSET($BN$2,0,0,ROW()-1,60),ROW()-1,FALSE))</f>
        <v>0.97754326899999999</v>
      </c>
      <c r="J433">
        <f ca="1">IF(AND(ISNUMBER($J$931),$B$511=1),$J$931,HLOOKUP(INDIRECT(ADDRESS(2,COLUMN())),OFFSET($BN$2,0,0,ROW()-1,60),ROW()-1,FALSE))</f>
        <v>1.3159930470000001</v>
      </c>
      <c r="K433">
        <f ca="1">IF(AND(ISNUMBER($K$931),$B$511=1),$K$931,HLOOKUP(INDIRECT(ADDRESS(2,COLUMN())),OFFSET($BN$2,0,0,ROW()-1,60),ROW()-1,FALSE))</f>
        <v>1.693300491</v>
      </c>
      <c r="L433">
        <f ca="1">IF(AND(ISNUMBER($L$931),$B$511=1),$L$931,HLOOKUP(INDIRECT(ADDRESS(2,COLUMN())),OFFSET($BN$2,0,0,ROW()-1,60),ROW()-1,FALSE))</f>
        <v>1.6531766960000001</v>
      </c>
      <c r="M433">
        <f ca="1">IF(AND(ISNUMBER($M$931),$B$511=1),$M$931,HLOOKUP(INDIRECT(ADDRESS(2,COLUMN())),OFFSET($BN$2,0,0,ROW()-1,60),ROW()-1,FALSE))</f>
        <v>1.2535180850000001</v>
      </c>
      <c r="N433">
        <f ca="1">IF(AND(ISNUMBER($N$931),$B$511=1),$N$931,HLOOKUP(INDIRECT(ADDRESS(2,COLUMN())),OFFSET($BN$2,0,0,ROW()-1,60),ROW()-1,FALSE))</f>
        <v>1.143371844</v>
      </c>
      <c r="O433">
        <f ca="1">IF(AND(ISNUMBER($O$931),$B$511=1),$O$931,HLOOKUP(INDIRECT(ADDRESS(2,COLUMN())),OFFSET($BN$2,0,0,ROW()-1,60),ROW()-1,FALSE))</f>
        <v>0.86408130100000002</v>
      </c>
      <c r="P433">
        <f ca="1">IF(AND(ISNUMBER($P$931),$B$511=1),$P$931,HLOOKUP(INDIRECT(ADDRESS(2,COLUMN())),OFFSET($BN$2,0,0,ROW()-1,60),ROW()-1,FALSE))</f>
        <v>0.918230514</v>
      </c>
      <c r="Q433">
        <f ca="1">IF(AND(ISNUMBER($Q$931),$B$511=1),$Q$931,HLOOKUP(INDIRECT(ADDRESS(2,COLUMN())),OFFSET($BN$2,0,0,ROW()-1,60),ROW()-1,FALSE))</f>
        <v>0.85150177299999996</v>
      </c>
      <c r="R433">
        <f ca="1">IF(AND(ISNUMBER($R$931),$B$511=1),$R$931,HLOOKUP(INDIRECT(ADDRESS(2,COLUMN())),OFFSET($BN$2,0,0,ROW()-1,60),ROW()-1,FALSE))</f>
        <v>0.743193836</v>
      </c>
      <c r="S433">
        <f ca="1">IF(AND(ISNUMBER($S$931),$B$511=1),$S$931,HLOOKUP(INDIRECT(ADDRESS(2,COLUMN())),OFFSET($BN$2,0,0,ROW()-1,60),ROW()-1,FALSE))</f>
        <v>0.63685814200000002</v>
      </c>
      <c r="T433">
        <f ca="1">IF(AND(ISNUMBER($T$931),$B$511=1),$T$931,HLOOKUP(INDIRECT(ADDRESS(2,COLUMN())),OFFSET($BN$2,0,0,ROW()-1,60),ROW()-1,FALSE))</f>
        <v>0.58154430899999998</v>
      </c>
      <c r="U433">
        <f ca="1">IF(AND(ISNUMBER($U$931),$B$511=1),$U$931,HLOOKUP(INDIRECT(ADDRESS(2,COLUMN())),OFFSET($BN$2,0,0,ROW()-1,60),ROW()-1,FALSE))</f>
        <v>0.661580422</v>
      </c>
      <c r="V433">
        <f ca="1">IF(AND(ISNUMBER($V$931),$B$511=1),$V$931,HLOOKUP(INDIRECT(ADDRESS(2,COLUMN())),OFFSET($BN$2,0,0,ROW()-1,60),ROW()-1,FALSE))</f>
        <v>0.68361516300000003</v>
      </c>
      <c r="W433">
        <f ca="1">IF(AND(ISNUMBER($W$931),$B$511=1),$W$931,HLOOKUP(INDIRECT(ADDRESS(2,COLUMN())),OFFSET($BN$2,0,0,ROW()-1,60),ROW()-1,FALSE))</f>
        <v>0.65036396399999996</v>
      </c>
      <c r="X433">
        <f ca="1">IF(AND(ISNUMBER($X$931),$B$511=1),$X$931,HLOOKUP(INDIRECT(ADDRESS(2,COLUMN())),OFFSET($BN$2,0,0,ROW()-1,60),ROW()-1,FALSE))</f>
        <v>0.69085550200000001</v>
      </c>
      <c r="Y433">
        <f ca="1">IF(AND(ISNUMBER($Y$931),$B$511=1),$Y$931,HLOOKUP(INDIRECT(ADDRESS(2,COLUMN())),OFFSET($BN$2,0,0,ROW()-1,60),ROW()-1,FALSE))</f>
        <v>0.82760705400000001</v>
      </c>
      <c r="Z433">
        <f ca="1">IF(AND(ISNUMBER($Z$931),$B$511=1),$Z$931,HLOOKUP(INDIRECT(ADDRESS(2,COLUMN())),OFFSET($BN$2,0,0,ROW()-1,60),ROW()-1,FALSE))</f>
        <v>0.75048390099999995</v>
      </c>
      <c r="AA433">
        <f ca="1">IF(AND(ISNUMBER($AA$931),$B$511=1),$AA$931,HLOOKUP(INDIRECT(ADDRESS(2,COLUMN())),OFFSET($BN$2,0,0,ROW()-1,60),ROW()-1,FALSE))</f>
        <v>0.78118378799999999</v>
      </c>
      <c r="AB433">
        <f ca="1">IF(AND(ISNUMBER($AB$931),$B$511=1),$AB$931,HLOOKUP(INDIRECT(ADDRESS(2,COLUMN())),OFFSET($BN$2,0,0,ROW()-1,60),ROW()-1,FALSE))</f>
        <v>0.77458549099999996</v>
      </c>
      <c r="AC433">
        <f ca="1">IF(AND(ISNUMBER($AC$931),$B$511=1),$AC$931,HLOOKUP(INDIRECT(ADDRESS(2,COLUMN())),OFFSET($BN$2,0,0,ROW()-1,60),ROW()-1,FALSE))</f>
        <v>0.67504471099999996</v>
      </c>
      <c r="AD433">
        <f ca="1">IF(AND(ISNUMBER($AD$931),$B$511=1),$AD$931,HLOOKUP(INDIRECT(ADDRESS(2,COLUMN())),OFFSET($BN$2,0,0,ROW()-1,60),ROW()-1,FALSE))</f>
        <v>0.60452371400000005</v>
      </c>
      <c r="AE433">
        <f ca="1">IF(AND(ISNUMBER($AE$931),$B$511=1),$AE$931,HLOOKUP(INDIRECT(ADDRESS(2,COLUMN())),OFFSET($BN$2,0,0,ROW()-1,60),ROW()-1,FALSE))</f>
        <v>0.63310620200000001</v>
      </c>
      <c r="AF433">
        <f ca="1">IF(AND(ISNUMBER($AF$931),$B$511=1),$AF$931,HLOOKUP(INDIRECT(ADDRESS(2,COLUMN())),OFFSET($BN$2,0,0,ROW()-1,60),ROW()-1,FALSE))</f>
        <v>0.46886428000000002</v>
      </c>
      <c r="AG433">
        <f ca="1">IF(AND(ISNUMBER($AG$931),$B$511=1),$AG$931,HLOOKUP(INDIRECT(ADDRESS(2,COLUMN())),OFFSET($BN$2,0,0,ROW()-1,60),ROW()-1,FALSE))</f>
        <v>0.59295925299999996</v>
      </c>
      <c r="AH433">
        <f ca="1">IF(AND(ISNUMBER($AH$931),$B$511=1),$AH$931,HLOOKUP(INDIRECT(ADDRESS(2,COLUMN())),OFFSET($BN$2,0,0,ROW()-1,60),ROW()-1,FALSE))</f>
        <v>0.70837948500000003</v>
      </c>
      <c r="AI433">
        <f ca="1">IF(AND(ISNUMBER($AI$931),$B$511=1),$AI$931,HLOOKUP(INDIRECT(ADDRESS(2,COLUMN())),OFFSET($BN$2,0,0,ROW()-1,60),ROW()-1,FALSE))</f>
        <v>0.59595851799999999</v>
      </c>
      <c r="AJ433">
        <f ca="1">IF(AND(ISNUMBER($AJ$931),$B$511=1),$AJ$931,HLOOKUP(INDIRECT(ADDRESS(2,COLUMN())),OFFSET($BN$2,0,0,ROW()-1,60),ROW()-1,FALSE))</f>
        <v>0.70365294</v>
      </c>
      <c r="AK433">
        <f ca="1">IF(AND(ISNUMBER($AK$931),$B$511=1),$AK$931,HLOOKUP(INDIRECT(ADDRESS(2,COLUMN())),OFFSET($BN$2,0,0,ROW()-1,60),ROW()-1,FALSE))</f>
        <v>0.87205406399999996</v>
      </c>
      <c r="AL433">
        <f ca="1">IF(AND(ISNUMBER($AL$931),$B$511=1),$AL$931,HLOOKUP(INDIRECT(ADDRESS(2,COLUMN())),OFFSET($BN$2,0,0,ROW()-1,60),ROW()-1,FALSE))</f>
        <v>0.86798858099999998</v>
      </c>
      <c r="AM433">
        <f ca="1">IF(AND(ISNUMBER($AM$931),$B$511=1),$AM$931,HLOOKUP(INDIRECT(ADDRESS(2,COLUMN())),OFFSET($BN$2,0,0,ROW()-1,60),ROW()-1,FALSE))</f>
        <v>0.98512027300000005</v>
      </c>
      <c r="AN433">
        <f ca="1">IF(AND(ISNUMBER($AN$931),$B$511=1),$AN$931,HLOOKUP(INDIRECT(ADDRESS(2,COLUMN())),OFFSET($BN$2,0,0,ROW()-1,60),ROW()-1,FALSE))</f>
        <v>1.229781327</v>
      </c>
      <c r="AO433" t="str">
        <f ca="1">IF(AND(ISNUMBER($AO$931),$B$511=1),$AO$931,HLOOKUP(INDIRECT(ADDRESS(2,COLUMN())),OFFSET($BN$2,0,0,ROW()-1,60),ROW()-1,FALSE))</f>
        <v/>
      </c>
      <c r="AP433" t="str">
        <f ca="1">IF(AND(ISNUMBER($AP$931),$B$511=1),$AP$931,HLOOKUP(INDIRECT(ADDRESS(2,COLUMN())),OFFSET($BN$2,0,0,ROW()-1,60),ROW()-1,FALSE))</f>
        <v/>
      </c>
      <c r="AQ433" t="str">
        <f ca="1">IF(AND(ISNUMBER($AQ$931),$B$511=1),$AQ$931,HLOOKUP(INDIRECT(ADDRESS(2,COLUMN())),OFFSET($BN$2,0,0,ROW()-1,60),ROW()-1,FALSE))</f>
        <v/>
      </c>
      <c r="AR433" t="str">
        <f ca="1">IF(AND(ISNUMBER($AR$931),$B$511=1),$AR$931,HLOOKUP(INDIRECT(ADDRESS(2,COLUMN())),OFFSET($BN$2,0,0,ROW()-1,60),ROW()-1,FALSE))</f>
        <v/>
      </c>
      <c r="AS433" t="str">
        <f ca="1">IF(AND(ISNUMBER($AS$931),$B$511=1),$AS$931,HLOOKUP(INDIRECT(ADDRESS(2,COLUMN())),OFFSET($BN$2,0,0,ROW()-1,60),ROW()-1,FALSE))</f>
        <v/>
      </c>
      <c r="AT433" t="str">
        <f ca="1">IF(AND(ISNUMBER($AT$931),$B$511=1),$AT$931,HLOOKUP(INDIRECT(ADDRESS(2,COLUMN())),OFFSET($BN$2,0,0,ROW()-1,60),ROW()-1,FALSE))</f>
        <v/>
      </c>
      <c r="AU433" t="str">
        <f ca="1">IF(AND(ISNUMBER($AU$931),$B$511=1),$AU$931,HLOOKUP(INDIRECT(ADDRESS(2,COLUMN())),OFFSET($BN$2,0,0,ROW()-1,60),ROW()-1,FALSE))</f>
        <v/>
      </c>
      <c r="AV433" t="str">
        <f ca="1">IF(AND(ISNUMBER($AV$931),$B$511=1),$AV$931,HLOOKUP(INDIRECT(ADDRESS(2,COLUMN())),OFFSET($BN$2,0,0,ROW()-1,60),ROW()-1,FALSE))</f>
        <v/>
      </c>
      <c r="AW433" t="str">
        <f ca="1">IF(AND(ISNUMBER($AW$931),$B$511=1),$AW$931,HLOOKUP(INDIRECT(ADDRESS(2,COLUMN())),OFFSET($BN$2,0,0,ROW()-1,60),ROW()-1,FALSE))</f>
        <v/>
      </c>
      <c r="AX433" t="str">
        <f ca="1">IF(AND(ISNUMBER($AX$931),$B$511=1),$AX$931,HLOOKUP(INDIRECT(ADDRESS(2,COLUMN())),OFFSET($BN$2,0,0,ROW()-1,60),ROW()-1,FALSE))</f>
        <v/>
      </c>
      <c r="AY433" t="str">
        <f ca="1">IF(AND(ISNUMBER($AY$931),$B$511=1),$AY$931,HLOOKUP(INDIRECT(ADDRESS(2,COLUMN())),OFFSET($BN$2,0,0,ROW()-1,60),ROW()-1,FALSE))</f>
        <v/>
      </c>
      <c r="AZ433" t="str">
        <f ca="1">IF(AND(ISNUMBER($AZ$931),$B$511=1),$AZ$931,HLOOKUP(INDIRECT(ADDRESS(2,COLUMN())),OFFSET($BN$2,0,0,ROW()-1,60),ROW()-1,FALSE))</f>
        <v/>
      </c>
      <c r="BA433" t="str">
        <f ca="1">IF(AND(ISNUMBER($BA$931),$B$511=1),$BA$931,HLOOKUP(INDIRECT(ADDRESS(2,COLUMN())),OFFSET($BN$2,0,0,ROW()-1,60),ROW()-1,FALSE))</f>
        <v/>
      </c>
      <c r="BB433" t="str">
        <f ca="1">IF(AND(ISNUMBER($BB$931),$B$511=1),$BB$931,HLOOKUP(INDIRECT(ADDRESS(2,COLUMN())),OFFSET($BN$2,0,0,ROW()-1,60),ROW()-1,FALSE))</f>
        <v/>
      </c>
      <c r="BC433" t="str">
        <f ca="1">IF(AND(ISNUMBER($BC$931),$B$511=1),$BC$931,HLOOKUP(INDIRECT(ADDRESS(2,COLUMN())),OFFSET($BN$2,0,0,ROW()-1,60),ROW()-1,FALSE))</f>
        <v/>
      </c>
      <c r="BD433" t="str">
        <f ca="1">IF(AND(ISNUMBER($BD$931),$B$511=1),$BD$931,HLOOKUP(INDIRECT(ADDRESS(2,COLUMN())),OFFSET($BN$2,0,0,ROW()-1,60),ROW()-1,FALSE))</f>
        <v/>
      </c>
      <c r="BE433" t="str">
        <f ca="1">IF(AND(ISNUMBER($BE$931),$B$511=1),$BE$931,HLOOKUP(INDIRECT(ADDRESS(2,COLUMN())),OFFSET($BN$2,0,0,ROW()-1,60),ROW()-1,FALSE))</f>
        <v/>
      </c>
      <c r="BF433" t="str">
        <f ca="1">IF(AND(ISNUMBER($BF$931),$B$511=1),$BF$931,HLOOKUP(INDIRECT(ADDRESS(2,COLUMN())),OFFSET($BN$2,0,0,ROW()-1,60),ROW()-1,FALSE))</f>
        <v/>
      </c>
      <c r="BG433" t="str">
        <f ca="1">IF(AND(ISNUMBER($BG$931),$B$511=1),$BG$931,HLOOKUP(INDIRECT(ADDRESS(2,COLUMN())),OFFSET($BN$2,0,0,ROW()-1,60),ROW()-1,FALSE))</f>
        <v/>
      </c>
      <c r="BH433" t="str">
        <f ca="1">IF(AND(ISNUMBER($BH$931),$B$511=1),$BH$931,HLOOKUP(INDIRECT(ADDRESS(2,COLUMN())),OFFSET($BN$2,0,0,ROW()-1,60),ROW()-1,FALSE))</f>
        <v/>
      </c>
      <c r="BI433" t="str">
        <f ca="1">IF(AND(ISNUMBER($BI$931),$B$511=1),$BI$931,HLOOKUP(INDIRECT(ADDRESS(2,COLUMN())),OFFSET($BN$2,0,0,ROW()-1,60),ROW()-1,FALSE))</f>
        <v/>
      </c>
      <c r="BJ433" t="str">
        <f ca="1">IF(AND(ISNUMBER($BJ$931),$B$511=1),$BJ$931,HLOOKUP(INDIRECT(ADDRESS(2,COLUMN())),OFFSET($BN$2,0,0,ROW()-1,60),ROW()-1,FALSE))</f>
        <v/>
      </c>
      <c r="BK433" t="str">
        <f ca="1">IF(AND(ISNUMBER($BK$931),$B$511=1),$BK$931,HLOOKUP(INDIRECT(ADDRESS(2,COLUMN())),OFFSET($BN$2,0,0,ROW()-1,60),ROW()-1,FALSE))</f>
        <v/>
      </c>
      <c r="BL433" t="str">
        <f ca="1">IF(AND(ISNUMBER($BL$931),$B$511=1),$BL$931,HLOOKUP(INDIRECT(ADDRESS(2,COLUMN())),OFFSET($BN$2,0,0,ROW()-1,60),ROW()-1,FALSE))</f>
        <v/>
      </c>
      <c r="BM433" t="str">
        <f ca="1">IF(AND(ISNUMBER($BM$931),$B$511=1),$BM$931,HLOOKUP(INDIRECT(ADDRESS(2,COLUMN())),OFFSET($BN$2,0,0,ROW()-1,60),ROW()-1,FALSE))</f>
        <v/>
      </c>
      <c r="BN433">
        <f>1.229330666</f>
        <v>1.2293306660000001</v>
      </c>
      <c r="BO433">
        <f>0.997165547</f>
        <v>0.99716554700000004</v>
      </c>
      <c r="BP433">
        <f>1.107916427</f>
        <v>1.1079164269999999</v>
      </c>
      <c r="BQ433">
        <f>0.977543269</f>
        <v>0.97754326899999999</v>
      </c>
      <c r="BR433">
        <f>1.315993047</f>
        <v>1.3159930470000001</v>
      </c>
      <c r="BS433">
        <f>1.693300491</f>
        <v>1.693300491</v>
      </c>
      <c r="BT433">
        <f>1.653176696</f>
        <v>1.6531766960000001</v>
      </c>
      <c r="BU433">
        <f>1.253518085</f>
        <v>1.2535180850000001</v>
      </c>
      <c r="BV433">
        <f>1.143371844</f>
        <v>1.143371844</v>
      </c>
      <c r="BW433">
        <f>0.864081301</f>
        <v>0.86408130100000002</v>
      </c>
      <c r="BX433">
        <f>0.918230514</f>
        <v>0.918230514</v>
      </c>
      <c r="BY433">
        <f>0.851501773</f>
        <v>0.85150177299999996</v>
      </c>
      <c r="BZ433">
        <f>0.743193836</f>
        <v>0.743193836</v>
      </c>
      <c r="CA433">
        <f>0.636858142</f>
        <v>0.63685814200000002</v>
      </c>
      <c r="CB433">
        <f>0.581544309</f>
        <v>0.58154430899999998</v>
      </c>
      <c r="CC433">
        <f>0.661580422</f>
        <v>0.661580422</v>
      </c>
      <c r="CD433">
        <f>0.683615163</f>
        <v>0.68361516300000003</v>
      </c>
      <c r="CE433">
        <f>0.650363964</f>
        <v>0.65036396399999996</v>
      </c>
      <c r="CF433">
        <f>0.690855502</f>
        <v>0.69085550200000001</v>
      </c>
      <c r="CG433">
        <f>0.827607054</f>
        <v>0.82760705400000001</v>
      </c>
      <c r="CH433">
        <f>0.750483901</f>
        <v>0.75048390099999995</v>
      </c>
      <c r="CI433">
        <f>0.781183788</f>
        <v>0.78118378799999999</v>
      </c>
      <c r="CJ433">
        <f>0.774585491</f>
        <v>0.77458549099999996</v>
      </c>
      <c r="CK433">
        <f>0.675044711</f>
        <v>0.67504471099999996</v>
      </c>
      <c r="CL433">
        <f>0.604523714</f>
        <v>0.60452371400000005</v>
      </c>
      <c r="CM433">
        <f>0.633106202</f>
        <v>0.63310620200000001</v>
      </c>
      <c r="CN433">
        <f>0.46886428</f>
        <v>0.46886428000000002</v>
      </c>
      <c r="CO433">
        <f>0.592959253</f>
        <v>0.59295925299999996</v>
      </c>
      <c r="CP433">
        <f>0.708379485</f>
        <v>0.70837948500000003</v>
      </c>
      <c r="CQ433">
        <f>0.595958518</f>
        <v>0.59595851799999999</v>
      </c>
      <c r="CR433">
        <f>0.70365294</f>
        <v>0.70365294</v>
      </c>
      <c r="CS433">
        <f>0.872054064</f>
        <v>0.87205406399999996</v>
      </c>
      <c r="CT433">
        <f>0.867988581</f>
        <v>0.86798858099999998</v>
      </c>
      <c r="CU433">
        <f>0.985120273</f>
        <v>0.98512027300000005</v>
      </c>
      <c r="CV433">
        <f>1.229781327</f>
        <v>1.229781327</v>
      </c>
      <c r="CW433" t="str">
        <f>""</f>
        <v/>
      </c>
      <c r="CX433" t="str">
        <f>""</f>
        <v/>
      </c>
      <c r="CY433" t="str">
        <f>""</f>
        <v/>
      </c>
      <c r="CZ433" t="str">
        <f>""</f>
        <v/>
      </c>
      <c r="DA433" t="str">
        <f>""</f>
        <v/>
      </c>
      <c r="DB433" t="str">
        <f>""</f>
        <v/>
      </c>
      <c r="DC433" t="str">
        <f>""</f>
        <v/>
      </c>
      <c r="DD433" t="str">
        <f>""</f>
        <v/>
      </c>
      <c r="DE433" t="str">
        <f>""</f>
        <v/>
      </c>
      <c r="DF433" t="str">
        <f>""</f>
        <v/>
      </c>
      <c r="DG433" t="str">
        <f>""</f>
        <v/>
      </c>
      <c r="DH433" t="str">
        <f>""</f>
        <v/>
      </c>
      <c r="DI433" t="str">
        <f>""</f>
        <v/>
      </c>
      <c r="DJ433" t="str">
        <f>""</f>
        <v/>
      </c>
      <c r="DK433" t="str">
        <f>""</f>
        <v/>
      </c>
      <c r="DL433" t="str">
        <f>""</f>
        <v/>
      </c>
      <c r="DM433" t="str">
        <f>""</f>
        <v/>
      </c>
      <c r="DN433" t="str">
        <f>""</f>
        <v/>
      </c>
      <c r="DO433" t="str">
        <f>""</f>
        <v/>
      </c>
      <c r="DP433" t="str">
        <f>""</f>
        <v/>
      </c>
      <c r="DQ433" t="str">
        <f>""</f>
        <v/>
      </c>
      <c r="DR433" t="str">
        <f>""</f>
        <v/>
      </c>
      <c r="DS433" t="str">
        <f>""</f>
        <v/>
      </c>
      <c r="DT433" t="str">
        <f>""</f>
        <v/>
      </c>
      <c r="DU433" t="str">
        <f>""</f>
        <v/>
      </c>
    </row>
    <row r="434" spans="1:125" x14ac:dyDescent="0.25">
      <c r="A434" t="str">
        <f>"    Honda Motor Co Ltd"</f>
        <v xml:space="preserve">    Honda Motor Co Ltd</v>
      </c>
      <c r="B434" t="str">
        <f>"7267 JP Equity"</f>
        <v>7267 JP Equity</v>
      </c>
      <c r="C434" t="str">
        <f t="shared" si="30"/>
        <v>PR005</v>
      </c>
      <c r="D434" t="str">
        <f t="shared" si="31"/>
        <v>PX_LAST</v>
      </c>
      <c r="E434" t="str">
        <f t="shared" si="32"/>
        <v>Dynamic</v>
      </c>
      <c r="F434">
        <f ca="1">IF(AND(ISNUMBER($F$932),$B$511=1),$F$932,HLOOKUP(INDIRECT(ADDRESS(2,COLUMN())),OFFSET($BN$2,0,0,ROW()-1,60),ROW()-1,FALSE))</f>
        <v>28.298331109999999</v>
      </c>
      <c r="G434">
        <f ca="1">IF(AND(ISNUMBER($G$932),$B$511=1),$G$932,HLOOKUP(INDIRECT(ADDRESS(2,COLUMN())),OFFSET($BN$2,0,0,ROW()-1,60),ROW()-1,FALSE))</f>
        <v>26.215922469999999</v>
      </c>
      <c r="H434">
        <f ca="1">IF(AND(ISNUMBER($H$932),$B$511=1),$H$932,HLOOKUP(INDIRECT(ADDRESS(2,COLUMN())),OFFSET($BN$2,0,0,ROW()-1,60),ROW()-1,FALSE))</f>
        <v>30.299559469999998</v>
      </c>
      <c r="I434">
        <f ca="1">IF(AND(ISNUMBER($I$932),$B$511=1),$I$932,HLOOKUP(INDIRECT(ADDRESS(2,COLUMN())),OFFSET($BN$2,0,0,ROW()-1,60),ROW()-1,FALSE))</f>
        <v>29.36450623</v>
      </c>
      <c r="J434">
        <f ca="1">IF(AND(ISNUMBER($J$932),$B$511=1),$J$932,HLOOKUP(INDIRECT(ADDRESS(2,COLUMN())),OFFSET($BN$2,0,0,ROW()-1,60),ROW()-1,FALSE))</f>
        <v>34.456787800000001</v>
      </c>
      <c r="K434">
        <f ca="1">IF(AND(ISNUMBER($K$932),$B$511=1),$K$932,HLOOKUP(INDIRECT(ADDRESS(2,COLUMN())),OFFSET($BN$2,0,0,ROW()-1,60),ROW()-1,FALSE))</f>
        <v>34.304494579999997</v>
      </c>
      <c r="L434">
        <f ca="1">IF(AND(ISNUMBER($L$932),$B$511=1),$L$932,HLOOKUP(INDIRECT(ADDRESS(2,COLUMN())),OFFSET($BN$2,0,0,ROW()-1,60),ROW()-1,FALSE))</f>
        <v>29.586219140000001</v>
      </c>
      <c r="M434">
        <f ca="1">IF(AND(ISNUMBER($M$932),$B$511=1),$M$932,HLOOKUP(INDIRECT(ADDRESS(2,COLUMN())),OFFSET($BN$2,0,0,ROW()-1,60),ROW()-1,FALSE))</f>
        <v>27.271918110000001</v>
      </c>
      <c r="N434">
        <f ca="1">IF(AND(ISNUMBER($N$932),$B$511=1),$N$932,HLOOKUP(INDIRECT(ADDRESS(2,COLUMN())),OFFSET($BN$2,0,0,ROW()-1,60),ROW()-1,FALSE))</f>
        <v>30.10511185</v>
      </c>
      <c r="O434">
        <f ca="1">IF(AND(ISNUMBER($O$932),$B$511=1),$O$932,HLOOKUP(INDIRECT(ADDRESS(2,COLUMN())),OFFSET($BN$2,0,0,ROW()-1,60),ROW()-1,FALSE))</f>
        <v>29.27812071</v>
      </c>
      <c r="P434">
        <f ca="1">IF(AND(ISNUMBER($P$932),$B$511=1),$P$932,HLOOKUP(INDIRECT(ADDRESS(2,COLUMN())),OFFSET($BN$2,0,0,ROW()-1,60),ROW()-1,FALSE))</f>
        <v>28.467908900000001</v>
      </c>
      <c r="Q434">
        <f ca="1">IF(AND(ISNUMBER($Q$932),$B$511=1),$Q$932,HLOOKUP(INDIRECT(ADDRESS(2,COLUMN())),OFFSET($BN$2,0,0,ROW()-1,60),ROW()-1,FALSE))</f>
        <v>24.929741249999999</v>
      </c>
      <c r="R434">
        <f ca="1">IF(AND(ISNUMBER($R$932),$B$511=1),$R$932,HLOOKUP(INDIRECT(ADDRESS(2,COLUMN())),OFFSET($BN$2,0,0,ROW()-1,60),ROW()-1,FALSE))</f>
        <v>27.43111111</v>
      </c>
      <c r="S434">
        <f ca="1">IF(AND(ISNUMBER($S$932),$B$511=1),$S$932,HLOOKUP(INDIRECT(ADDRESS(2,COLUMN())),OFFSET($BN$2,0,0,ROW()-1,60),ROW()-1,FALSE))</f>
        <v>32.418539090000003</v>
      </c>
      <c r="T434">
        <f ca="1">IF(AND(ISNUMBER($T$932),$B$511=1),$T$932,HLOOKUP(INDIRECT(ADDRESS(2,COLUMN())),OFFSET($BN$2,0,0,ROW()-1,60),ROW()-1,FALSE))</f>
        <v>29.5729924</v>
      </c>
      <c r="U434">
        <f ca="1">IF(AND(ISNUMBER($U$932),$B$511=1),$U$932,HLOOKUP(INDIRECT(ADDRESS(2,COLUMN())),OFFSET($BN$2,0,0,ROW()-1,60),ROW()-1,FALSE))</f>
        <v>32.43940387</v>
      </c>
      <c r="V434">
        <f ca="1">IF(AND(ISNUMBER($V$932),$B$511=1),$V$932,HLOOKUP(INDIRECT(ADDRESS(2,COLUMN())),OFFSET($BN$2,0,0,ROW()-1,60),ROW()-1,FALSE))</f>
        <v>32.538557730000001</v>
      </c>
      <c r="W434">
        <f ca="1">IF(AND(ISNUMBER($W$932),$B$511=1),$W$932,HLOOKUP(INDIRECT(ADDRESS(2,COLUMN())),OFFSET($BN$2,0,0,ROW()-1,60),ROW()-1,FALSE))</f>
        <v>29.516156039999998</v>
      </c>
      <c r="X434">
        <f ca="1">IF(AND(ISNUMBER($X$932),$B$511=1),$X$932,HLOOKUP(INDIRECT(ADDRESS(2,COLUMN())),OFFSET($BN$2,0,0,ROW()-1,60),ROW()-1,FALSE))</f>
        <v>34.652562469999999</v>
      </c>
      <c r="Y434">
        <f ca="1">IF(AND(ISNUMBER($Y$932),$B$511=1),$Y$932,HLOOKUP(INDIRECT(ADDRESS(2,COLUMN())),OFFSET($BN$2,0,0,ROW()-1,60),ROW()-1,FALSE))</f>
        <v>34.91953796</v>
      </c>
      <c r="Z434">
        <f ca="1">IF(AND(ISNUMBER($Z$932),$B$511=1),$Z$932,HLOOKUP(INDIRECT(ADDRESS(2,COLUMN())),OFFSET($BN$2,0,0,ROW()-1,60),ROW()-1,FALSE))</f>
        <v>35.257591929999997</v>
      </c>
      <c r="AA434">
        <f ca="1">IF(AND(ISNUMBER($AA$932),$B$511=1),$AA$932,HLOOKUP(INDIRECT(ADDRESS(2,COLUMN())),OFFSET($BN$2,0,0,ROW()-1,60),ROW()-1,FALSE))</f>
        <v>41.206699659999998</v>
      </c>
      <c r="AB434">
        <f ca="1">IF(AND(ISNUMBER($AB$932),$B$511=1),$AB$932,HLOOKUP(INDIRECT(ADDRESS(2,COLUMN())),OFFSET($BN$2,0,0,ROW()-1,60),ROW()-1,FALSE))</f>
        <v>38.030750429999998</v>
      </c>
      <c r="AC434">
        <f ca="1">IF(AND(ISNUMBER($AC$932),$B$511=1),$AC$932,HLOOKUP(INDIRECT(ADDRESS(2,COLUMN())),OFFSET($BN$2,0,0,ROW()-1,60),ROW()-1,FALSE))</f>
        <v>37.09856035</v>
      </c>
      <c r="AD434">
        <f ca="1">IF(AND(ISNUMBER($AD$932),$B$511=1),$AD$932,HLOOKUP(INDIRECT(ADDRESS(2,COLUMN())),OFFSET($BN$2,0,0,ROW()-1,60),ROW()-1,FALSE))</f>
        <v>37.730842709999997</v>
      </c>
      <c r="AE434">
        <f ca="1">IF(AND(ISNUMBER($AE$932),$B$511=1),$AE$932,HLOOKUP(INDIRECT(ADDRESS(2,COLUMN())),OFFSET($BN$2,0,0,ROW()-1,60),ROW()-1,FALSE))</f>
        <v>36.535780670000001</v>
      </c>
      <c r="AF434">
        <f ca="1">IF(AND(ISNUMBER($AF$932),$B$511=1),$AF$932,HLOOKUP(INDIRECT(ADDRESS(2,COLUMN())),OFFSET($BN$2,0,0,ROW()-1,60),ROW()-1,FALSE))</f>
        <v>30.762320330000001</v>
      </c>
      <c r="AG434">
        <f ca="1">IF(AND(ISNUMBER($AG$932),$B$511=1),$AG$932,HLOOKUP(INDIRECT(ADDRESS(2,COLUMN())),OFFSET($BN$2,0,0,ROW()-1,60),ROW()-1,FALSE))</f>
        <v>34.448621549999999</v>
      </c>
      <c r="AH434">
        <f ca="1">IF(AND(ISNUMBER($AH$932),$B$511=1),$AH$932,HLOOKUP(INDIRECT(ADDRESS(2,COLUMN())),OFFSET($BN$2,0,0,ROW()-1,60),ROW()-1,FALSE))</f>
        <v>38.061236839999999</v>
      </c>
      <c r="AI434">
        <f ca="1">IF(AND(ISNUMBER($AI$932),$B$511=1),$AI$932,HLOOKUP(INDIRECT(ADDRESS(2,COLUMN())),OFFSET($BN$2,0,0,ROW()-1,60),ROW()-1,FALSE))</f>
        <v>30.497467199999999</v>
      </c>
      <c r="AJ434">
        <f ca="1">IF(AND(ISNUMBER($AJ$932),$B$511=1),$AJ$932,HLOOKUP(INDIRECT(ADDRESS(2,COLUMN())),OFFSET($BN$2,0,0,ROW()-1,60),ROW()-1,FALSE))</f>
        <v>29.802955669999999</v>
      </c>
      <c r="AK434">
        <f ca="1">IF(AND(ISNUMBER($AK$932),$B$511=1),$AK$932,HLOOKUP(INDIRECT(ADDRESS(2,COLUMN())),OFFSET($BN$2,0,0,ROW()-1,60),ROW()-1,FALSE))</f>
        <v>38.294438929999998</v>
      </c>
      <c r="AL434">
        <f ca="1">IF(AND(ISNUMBER($AL$932),$B$511=1),$AL$932,HLOOKUP(INDIRECT(ADDRESS(2,COLUMN())),OFFSET($BN$2,0,0,ROW()-1,60),ROW()-1,FALSE))</f>
        <v>37.727876369999997</v>
      </c>
      <c r="AM434">
        <f ca="1">IF(AND(ISNUMBER($AM$932),$B$511=1),$AM$932,HLOOKUP(INDIRECT(ADDRESS(2,COLUMN())),OFFSET($BN$2,0,0,ROW()-1,60),ROW()-1,FALSE))</f>
        <v>39.332028379999997</v>
      </c>
      <c r="AN434">
        <f ca="1">IF(AND(ISNUMBER($AN$932),$B$511=1),$AN$932,HLOOKUP(INDIRECT(ADDRESS(2,COLUMN())),OFFSET($BN$2,0,0,ROW()-1,60),ROW()-1,FALSE))</f>
        <v>35.5020369</v>
      </c>
      <c r="AO434">
        <f ca="1">IF(AND(ISNUMBER($AO$932),$B$511=1),$AO$932,HLOOKUP(INDIRECT(ADDRESS(2,COLUMN())),OFFSET($BN$2,0,0,ROW()-1,60),ROW()-1,FALSE))</f>
        <v>29.318130499999999</v>
      </c>
      <c r="AP434">
        <f ca="1">IF(AND(ISNUMBER($AP$932),$B$511=1),$AP$932,HLOOKUP(INDIRECT(ADDRESS(2,COLUMN())),OFFSET($BN$2,0,0,ROW()-1,60),ROW()-1,FALSE))</f>
        <v>35.316780819999998</v>
      </c>
      <c r="AQ434">
        <f ca="1">IF(AND(ISNUMBER($AQ$932),$B$511=1),$AQ$932,HLOOKUP(INDIRECT(ADDRESS(2,COLUMN())),OFFSET($BN$2,0,0,ROW()-1,60),ROW()-1,FALSE))</f>
        <v>33.665295520000001</v>
      </c>
      <c r="AR434">
        <f ca="1">IF(AND(ISNUMBER($AR$932),$B$511=1),$AR$932,HLOOKUP(INDIRECT(ADDRESS(2,COLUMN())),OFFSET($BN$2,0,0,ROW()-1,60),ROW()-1,FALSE))</f>
        <v>30.83184657</v>
      </c>
      <c r="AS434">
        <f ca="1">IF(AND(ISNUMBER($AS$932),$B$511=1),$AS$932,HLOOKUP(INDIRECT(ADDRESS(2,COLUMN())),OFFSET($BN$2,0,0,ROW()-1,60),ROW()-1,FALSE))</f>
        <v>27.616279070000001</v>
      </c>
      <c r="AT434">
        <f ca="1">IF(AND(ISNUMBER($AT$932),$B$511=1),$AT$932,HLOOKUP(INDIRECT(ADDRESS(2,COLUMN())),OFFSET($BN$2,0,0,ROW()-1,60),ROW()-1,FALSE))</f>
        <v>23.301459489999999</v>
      </c>
      <c r="AU434">
        <f ca="1">IF(AND(ISNUMBER($AU$932),$B$511=1),$AU$932,HLOOKUP(INDIRECT(ADDRESS(2,COLUMN())),OFFSET($BN$2,0,0,ROW()-1,60),ROW()-1,FALSE))</f>
        <v>21.10040961</v>
      </c>
      <c r="AV434">
        <f ca="1">IF(AND(ISNUMBER($AV$932),$B$511=1),$AV$932,HLOOKUP(INDIRECT(ADDRESS(2,COLUMN())),OFFSET($BN$2,0,0,ROW()-1,60),ROW()-1,FALSE))</f>
        <v>29.098785199999998</v>
      </c>
      <c r="AW434">
        <f ca="1">IF(AND(ISNUMBER($AW$932),$B$511=1),$AW$932,HLOOKUP(INDIRECT(ADDRESS(2,COLUMN())),OFFSET($BN$2,0,0,ROW()-1,60),ROW()-1,FALSE))</f>
        <v>33.995668139999999</v>
      </c>
      <c r="AX434">
        <f ca="1">IF(AND(ISNUMBER($AX$932),$B$511=1),$AX$932,HLOOKUP(INDIRECT(ADDRESS(2,COLUMN())),OFFSET($BN$2,0,0,ROW()-1,60),ROW()-1,FALSE))</f>
        <v>28.489885839999999</v>
      </c>
      <c r="AY434">
        <f ca="1">IF(AND(ISNUMBER($AY$932),$B$511=1),$AY$932,HLOOKUP(INDIRECT(ADDRESS(2,COLUMN())),OFFSET($BN$2,0,0,ROW()-1,60),ROW()-1,FALSE))</f>
        <v>33.244680850000002</v>
      </c>
      <c r="AZ434">
        <f ca="1">IF(AND(ISNUMBER($AZ$932),$B$511=1),$AZ$932,HLOOKUP(INDIRECT(ADDRESS(2,COLUMN())),OFFSET($BN$2,0,0,ROW()-1,60),ROW()-1,FALSE))</f>
        <v>33.623693379999999</v>
      </c>
      <c r="BA434">
        <f ca="1">IF(AND(ISNUMBER($BA$932),$B$511=1),$BA$932,HLOOKUP(INDIRECT(ADDRESS(2,COLUMN())),OFFSET($BN$2,0,0,ROW()-1,60),ROW()-1,FALSE))</f>
        <v>36.508194060000001</v>
      </c>
      <c r="BB434">
        <f ca="1">IF(AND(ISNUMBER($BB$932),$B$511=1),$BB$932,HLOOKUP(INDIRECT(ADDRESS(2,COLUMN())),OFFSET($BN$2,0,0,ROW()-1,60),ROW()-1,FALSE))</f>
        <v>34.951951700000002</v>
      </c>
      <c r="BC434">
        <f ca="1">IF(AND(ISNUMBER($BC$932),$B$511=1),$BC$932,HLOOKUP(INDIRECT(ADDRESS(2,COLUMN())),OFFSET($BN$2,0,0,ROW()-1,60),ROW()-1,FALSE))</f>
        <v>39.469264359999997</v>
      </c>
      <c r="BD434">
        <f ca="1">IF(AND(ISNUMBER($BD$932),$B$511=1),$BD$932,HLOOKUP(INDIRECT(ADDRESS(2,COLUMN())),OFFSET($BN$2,0,0,ROW()-1,60),ROW()-1,FALSE))</f>
        <v>33.638366380000001</v>
      </c>
      <c r="BE434">
        <f ca="1">IF(AND(ISNUMBER($BE$932),$B$511=1),$BE$932,HLOOKUP(INDIRECT(ADDRESS(2,COLUMN())),OFFSET($BN$2,0,0,ROW()-1,60),ROW()-1,FALSE))</f>
        <v>31.71136542</v>
      </c>
      <c r="BF434">
        <f ca="1">IF(AND(ISNUMBER($BF$932),$B$511=1),$BF$932,HLOOKUP(INDIRECT(ADDRESS(2,COLUMN())),OFFSET($BN$2,0,0,ROW()-1,60),ROW()-1,FALSE))</f>
        <v>31.0212766</v>
      </c>
      <c r="BG434">
        <f ca="1">IF(AND(ISNUMBER($BG$932),$B$511=1),$BG$932,HLOOKUP(INDIRECT(ADDRESS(2,COLUMN())),OFFSET($BN$2,0,0,ROW()-1,60),ROW()-1,FALSE))</f>
        <v>28.52420107</v>
      </c>
      <c r="BH434">
        <f ca="1">IF(AND(ISNUMBER($BH$932),$B$511=1),$BH$932,HLOOKUP(INDIRECT(ADDRESS(2,COLUMN())),OFFSET($BN$2,0,0,ROW()-1,60),ROW()-1,FALSE))</f>
        <v>28.266995420000001</v>
      </c>
      <c r="BI434">
        <f ca="1">IF(AND(ISNUMBER($BI$932),$B$511=1),$BI$932,HLOOKUP(INDIRECT(ADDRESS(2,COLUMN())),OFFSET($BN$2,0,0,ROW()-1,60),ROW()-1,FALSE))</f>
        <v>24.655187959999999</v>
      </c>
      <c r="BJ434">
        <f ca="1">IF(AND(ISNUMBER($BJ$932),$B$511=1),$BJ$932,HLOOKUP(INDIRECT(ADDRESS(2,COLUMN())),OFFSET($BN$2,0,0,ROW()-1,60),ROW()-1,FALSE))</f>
        <v>25.046641789999999</v>
      </c>
      <c r="BK434">
        <f ca="1">IF(AND(ISNUMBER($BK$932),$B$511=1),$BK$932,HLOOKUP(INDIRECT(ADDRESS(2,COLUMN())),OFFSET($BN$2,0,0,ROW()-1,60),ROW()-1,FALSE))</f>
        <v>25.764192139999999</v>
      </c>
      <c r="BL434">
        <f ca="1">IF(AND(ISNUMBER($BL$932),$B$511=1),$BL$932,HLOOKUP(INDIRECT(ADDRESS(2,COLUMN())),OFFSET($BN$2,0,0,ROW()-1,60),ROW()-1,FALSE))</f>
        <v>24.28818339</v>
      </c>
      <c r="BM434">
        <f ca="1">IF(AND(ISNUMBER($BM$932),$B$511=1),$BM$932,HLOOKUP(INDIRECT(ADDRESS(2,COLUMN())),OFFSET($BN$2,0,0,ROW()-1,60),ROW()-1,FALSE))</f>
        <v>24.046813570000001</v>
      </c>
      <c r="BN434">
        <f>28.29833111</f>
        <v>28.298331109999999</v>
      </c>
      <c r="BO434">
        <f>26.21592247</f>
        <v>26.215922469999999</v>
      </c>
      <c r="BP434">
        <f>30.29955947</f>
        <v>30.299559469999998</v>
      </c>
      <c r="BQ434">
        <f>29.36450623</f>
        <v>29.36450623</v>
      </c>
      <c r="BR434">
        <f>34.4567878</f>
        <v>34.456787800000001</v>
      </c>
      <c r="BS434">
        <f>34.30449458</f>
        <v>34.304494579999997</v>
      </c>
      <c r="BT434">
        <f>29.58621914</f>
        <v>29.586219140000001</v>
      </c>
      <c r="BU434">
        <f>27.27191811</f>
        <v>27.271918110000001</v>
      </c>
      <c r="BV434">
        <f>30.10511185</f>
        <v>30.10511185</v>
      </c>
      <c r="BW434">
        <f>29.27812071</f>
        <v>29.27812071</v>
      </c>
      <c r="BX434">
        <f>28.4679089</f>
        <v>28.467908900000001</v>
      </c>
      <c r="BY434">
        <f>24.92974125</f>
        <v>24.929741249999999</v>
      </c>
      <c r="BZ434">
        <f>27.43111111</f>
        <v>27.43111111</v>
      </c>
      <c r="CA434">
        <f>32.41853909</f>
        <v>32.418539090000003</v>
      </c>
      <c r="CB434">
        <f>29.5729924</f>
        <v>29.5729924</v>
      </c>
      <c r="CC434">
        <f>32.43940387</f>
        <v>32.43940387</v>
      </c>
      <c r="CD434">
        <f>32.53855773</f>
        <v>32.538557730000001</v>
      </c>
      <c r="CE434">
        <f>29.51615604</f>
        <v>29.516156039999998</v>
      </c>
      <c r="CF434">
        <f>34.65256247</f>
        <v>34.652562469999999</v>
      </c>
      <c r="CG434">
        <f>34.91953796</f>
        <v>34.91953796</v>
      </c>
      <c r="CH434">
        <f>35.25759193</f>
        <v>35.257591929999997</v>
      </c>
      <c r="CI434">
        <f>41.20669966</f>
        <v>41.206699659999998</v>
      </c>
      <c r="CJ434">
        <f>38.03075043</f>
        <v>38.030750429999998</v>
      </c>
      <c r="CK434">
        <f>37.09856035</f>
        <v>37.09856035</v>
      </c>
      <c r="CL434">
        <f>37.73084271</f>
        <v>37.730842709999997</v>
      </c>
      <c r="CM434">
        <f>36.53578067</f>
        <v>36.535780670000001</v>
      </c>
      <c r="CN434">
        <f>30.76232033</f>
        <v>30.762320330000001</v>
      </c>
      <c r="CO434">
        <f>34.44862155</f>
        <v>34.448621549999999</v>
      </c>
      <c r="CP434">
        <f>38.06123684</f>
        <v>38.061236839999999</v>
      </c>
      <c r="CQ434">
        <f>30.4974672</f>
        <v>30.497467199999999</v>
      </c>
      <c r="CR434">
        <f>29.80295567</f>
        <v>29.802955669999999</v>
      </c>
      <c r="CS434">
        <f>38.29443893</f>
        <v>38.294438929999998</v>
      </c>
      <c r="CT434">
        <f>37.72787637</f>
        <v>37.727876369999997</v>
      </c>
      <c r="CU434">
        <f>39.33202838</f>
        <v>39.332028379999997</v>
      </c>
      <c r="CV434">
        <f>35.5020369</f>
        <v>35.5020369</v>
      </c>
      <c r="CW434">
        <f>29.3181305</f>
        <v>29.318130499999999</v>
      </c>
      <c r="CX434">
        <f>35.31678082</f>
        <v>35.316780819999998</v>
      </c>
      <c r="CY434">
        <f>33.66529552</f>
        <v>33.665295520000001</v>
      </c>
      <c r="CZ434">
        <f>30.83184657</f>
        <v>30.83184657</v>
      </c>
      <c r="DA434">
        <f>27.61627907</f>
        <v>27.616279070000001</v>
      </c>
      <c r="DB434">
        <f>23.30145949</f>
        <v>23.301459489999999</v>
      </c>
      <c r="DC434">
        <f>21.10040961</f>
        <v>21.10040961</v>
      </c>
      <c r="DD434">
        <f>29.0987852</f>
        <v>29.098785199999998</v>
      </c>
      <c r="DE434">
        <f>33.99566814</f>
        <v>33.995668139999999</v>
      </c>
      <c r="DF434">
        <f>28.48988584</f>
        <v>28.489885839999999</v>
      </c>
      <c r="DG434">
        <f>33.24468085</f>
        <v>33.244680850000002</v>
      </c>
      <c r="DH434">
        <f>33.62369338</f>
        <v>33.623693379999999</v>
      </c>
      <c r="DI434">
        <f>36.50819406</f>
        <v>36.508194060000001</v>
      </c>
      <c r="DJ434">
        <f>34.9519517</f>
        <v>34.951951700000002</v>
      </c>
      <c r="DK434">
        <f>39.46926436</f>
        <v>39.469264359999997</v>
      </c>
      <c r="DL434">
        <f>33.63836638</f>
        <v>33.638366380000001</v>
      </c>
      <c r="DM434">
        <f>31.71136542</f>
        <v>31.71136542</v>
      </c>
      <c r="DN434">
        <f>31.0212766</f>
        <v>31.0212766</v>
      </c>
      <c r="DO434">
        <f>28.52420107</f>
        <v>28.52420107</v>
      </c>
      <c r="DP434">
        <f>28.26699542</f>
        <v>28.266995420000001</v>
      </c>
      <c r="DQ434">
        <f>24.65518796</f>
        <v>24.655187959999999</v>
      </c>
      <c r="DR434">
        <f>25.04664179</f>
        <v>25.046641789999999</v>
      </c>
      <c r="DS434">
        <f>25.76419214</f>
        <v>25.764192139999999</v>
      </c>
      <c r="DT434">
        <f>24.28818339</f>
        <v>24.28818339</v>
      </c>
      <c r="DU434">
        <f>24.04681357</f>
        <v>24.046813570000001</v>
      </c>
    </row>
    <row r="435" spans="1:125" x14ac:dyDescent="0.25">
      <c r="A435" t="str">
        <f>"    Hyundai Motor Co"</f>
        <v xml:space="preserve">    Hyundai Motor Co</v>
      </c>
      <c r="B435" t="str">
        <f>"005380 KS Equity"</f>
        <v>005380 KS Equity</v>
      </c>
      <c r="C435" t="str">
        <f t="shared" si="30"/>
        <v>PR005</v>
      </c>
      <c r="D435" t="str">
        <f t="shared" si="31"/>
        <v>PX_LAST</v>
      </c>
      <c r="E435" t="str">
        <f t="shared" si="32"/>
        <v>Dynamic</v>
      </c>
      <c r="F435">
        <f ca="1">IF(AND(ISNUMBER($F$933),$B$511=1),$F$933,HLOOKUP(INDIRECT(ADDRESS(2,COLUMN())),OFFSET($BN$2,0,0,ROW()-1,60),ROW()-1,FALSE))</f>
        <v>112.38650730000001</v>
      </c>
      <c r="G435">
        <f ca="1">IF(AND(ISNUMBER($G$933),$B$511=1),$G$933,HLOOKUP(INDIRECT(ADDRESS(2,COLUMN())),OFFSET($BN$2,0,0,ROW()-1,60),ROW()-1,FALSE))</f>
        <v>106.2494396</v>
      </c>
      <c r="H435">
        <f ca="1">IF(AND(ISNUMBER($H$933),$B$511=1),$H$933,HLOOKUP(INDIRECT(ADDRESS(2,COLUMN())),OFFSET($BN$2,0,0,ROW()-1,60),ROW()-1,FALSE))</f>
        <v>116.67822940000001</v>
      </c>
      <c r="I435">
        <f ca="1">IF(AND(ISNUMBER($I$933),$B$511=1),$I$933,HLOOKUP(INDIRECT(ADDRESS(2,COLUMN())),OFFSET($BN$2,0,0,ROW()-1,60),ROW()-1,FALSE))</f>
        <v>112.7238759</v>
      </c>
      <c r="J435">
        <f ca="1">IF(AND(ISNUMBER($J$933),$B$511=1),$J$933,HLOOKUP(INDIRECT(ADDRESS(2,COLUMN())),OFFSET($BN$2,0,0,ROW()-1,60),ROW()-1,FALSE))</f>
        <v>135.26633799999999</v>
      </c>
      <c r="K435">
        <f ca="1">IF(AND(ISNUMBER($K$933),$B$511=1),$K$933,HLOOKUP(INDIRECT(ADDRESS(2,COLUMN())),OFFSET($BN$2,0,0,ROW()-1,60),ROW()-1,FALSE))</f>
        <v>145.62019269999999</v>
      </c>
      <c r="L435">
        <f ca="1">IF(AND(ISNUMBER($L$933),$B$511=1),$L$933,HLOOKUP(INDIRECT(ADDRESS(2,COLUMN())),OFFSET($BN$2,0,0,ROW()-1,60),ROW()-1,FALSE))</f>
        <v>131.50536510000001</v>
      </c>
      <c r="M435">
        <f ca="1">IF(AND(ISNUMBER($M$933),$B$511=1),$M$933,HLOOKUP(INDIRECT(ADDRESS(2,COLUMN())),OFFSET($BN$2,0,0,ROW()-1,60),ROW()-1,FALSE))</f>
        <v>139.44989419999999</v>
      </c>
      <c r="N435">
        <f ca="1">IF(AND(ISNUMBER($N$933),$B$511=1),$N$933,HLOOKUP(INDIRECT(ADDRESS(2,COLUMN())),OFFSET($BN$2,0,0,ROW()-1,60),ROW()-1,FALSE))</f>
        <v>140.9030319</v>
      </c>
      <c r="O435">
        <f ca="1">IF(AND(ISNUMBER($O$933),$B$511=1),$O$933,HLOOKUP(INDIRECT(ADDRESS(2,COLUMN())),OFFSET($BN$2,0,0,ROW()-1,60),ROW()-1,FALSE))</f>
        <v>120.9811071</v>
      </c>
      <c r="P435">
        <f ca="1">IF(AND(ISNUMBER($P$933),$B$511=1),$P$933,HLOOKUP(INDIRECT(ADDRESS(2,COLUMN())),OFFSET($BN$2,0,0,ROW()-1,60),ROW()-1,FALSE))</f>
        <v>123.2490449</v>
      </c>
      <c r="Q435">
        <f ca="1">IF(AND(ISNUMBER($Q$933),$B$511=1),$Q$933,HLOOKUP(INDIRECT(ADDRESS(2,COLUMN())),OFFSET($BN$2,0,0,ROW()-1,60),ROW()-1,FALSE))</f>
        <v>117.6051937</v>
      </c>
      <c r="R435">
        <f ca="1">IF(AND(ISNUMBER($R$933),$B$511=1),$R$933,HLOOKUP(INDIRECT(ADDRESS(2,COLUMN())),OFFSET($BN$2,0,0,ROW()-1,60),ROW()-1,FALSE))</f>
        <v>133.50959520000001</v>
      </c>
      <c r="S435">
        <f ca="1">IF(AND(ISNUMBER($S$933),$B$511=1),$S$933,HLOOKUP(INDIRECT(ADDRESS(2,COLUMN())),OFFSET($BN$2,0,0,ROW()-1,60),ROW()-1,FALSE))</f>
        <v>126.4662445</v>
      </c>
      <c r="T435">
        <f ca="1">IF(AND(ISNUMBER($T$933),$B$511=1),$T$933,HLOOKUP(INDIRECT(ADDRESS(2,COLUMN())),OFFSET($BN$2,0,0,ROW()-1,60),ROW()-1,FALSE))</f>
        <v>138.34992410000001</v>
      </c>
      <c r="U435">
        <f ca="1">IF(AND(ISNUMBER($U$933),$B$511=1),$U$933,HLOOKUP(INDIRECT(ADDRESS(2,COLUMN())),OFFSET($BN$2,0,0,ROW()-1,60),ROW()-1,FALSE))</f>
        <v>121.68715659999999</v>
      </c>
      <c r="V435">
        <f ca="1">IF(AND(ISNUMBER($V$933),$B$511=1),$V$933,HLOOKUP(INDIRECT(ADDRESS(2,COLUMN())),OFFSET($BN$2,0,0,ROW()-1,60),ROW()-1,FALSE))</f>
        <v>151.981167</v>
      </c>
      <c r="W435">
        <f ca="1">IF(AND(ISNUMBER($W$933),$B$511=1),$W$933,HLOOKUP(INDIRECT(ADDRESS(2,COLUMN())),OFFSET($BN$2,0,0,ROW()-1,60),ROW()-1,FALSE))</f>
        <v>154.1281726</v>
      </c>
      <c r="X435">
        <f ca="1">IF(AND(ISNUMBER($X$933),$B$511=1),$X$933,HLOOKUP(INDIRECT(ADDRESS(2,COLUMN())),OFFSET($BN$2,0,0,ROW()-1,60),ROW()-1,FALSE))</f>
        <v>180.05671079999999</v>
      </c>
      <c r="Y435">
        <f ca="1">IF(AND(ISNUMBER($Y$933),$B$511=1),$Y$933,HLOOKUP(INDIRECT(ADDRESS(2,COLUMN())),OFFSET($BN$2,0,0,ROW()-1,60),ROW()-1,FALSE))</f>
        <v>226.9064592</v>
      </c>
      <c r="Z435">
        <f ca="1">IF(AND(ISNUMBER($Z$933),$B$511=1),$Z$933,HLOOKUP(INDIRECT(ADDRESS(2,COLUMN())),OFFSET($BN$2,0,0,ROW()-1,60),ROW()-1,FALSE))</f>
        <v>236.3732248</v>
      </c>
      <c r="AA435">
        <f ca="1">IF(AND(ISNUMBER($AA$933),$B$511=1),$AA$933,HLOOKUP(INDIRECT(ADDRESS(2,COLUMN())),OFFSET($BN$2,0,0,ROW()-1,60),ROW()-1,FALSE))</f>
        <v>224.17061609999999</v>
      </c>
      <c r="AB435">
        <f ca="1">IF(AND(ISNUMBER($AB$933),$B$511=1),$AB$933,HLOOKUP(INDIRECT(ADDRESS(2,COLUMN())),OFFSET($BN$2,0,0,ROW()-1,60),ROW()-1,FALSE))</f>
        <v>233.40586579999999</v>
      </c>
      <c r="AC435">
        <f ca="1">IF(AND(ISNUMBER($AC$933),$B$511=1),$AC$933,HLOOKUP(INDIRECT(ADDRESS(2,COLUMN())),OFFSET($BN$2,0,0,ROW()-1,60),ROW()-1,FALSE))</f>
        <v>197.365542</v>
      </c>
      <c r="AD435">
        <f ca="1">IF(AND(ISNUMBER($AD$933),$B$511=1),$AD$933,HLOOKUP(INDIRECT(ADDRESS(2,COLUMN())),OFFSET($BN$2,0,0,ROW()-1,60),ROW()-1,FALSE))</f>
        <v>201.20362890000001</v>
      </c>
      <c r="AE435">
        <f ca="1">IF(AND(ISNUMBER($AE$933),$B$511=1),$AE$933,HLOOKUP(INDIRECT(ADDRESS(2,COLUMN())),OFFSET($BN$2,0,0,ROW()-1,60),ROW()-1,FALSE))</f>
        <v>204.73178730000001</v>
      </c>
      <c r="AF435">
        <f ca="1">IF(AND(ISNUMBER($AF$933),$B$511=1),$AF$933,HLOOKUP(INDIRECT(ADDRESS(2,COLUMN())),OFFSET($BN$2,0,0,ROW()-1,60),ROW()-1,FALSE))</f>
        <v>226.50260209999999</v>
      </c>
      <c r="AG435">
        <f ca="1">IF(AND(ISNUMBER($AG$933),$B$511=1),$AG$933,HLOOKUP(INDIRECT(ADDRESS(2,COLUMN())),OFFSET($BN$2,0,0,ROW()-1,60),ROW()-1,FALSE))</f>
        <v>203.5206891</v>
      </c>
      <c r="AH435">
        <f ca="1">IF(AND(ISNUMBER($AH$933),$B$511=1),$AH$933,HLOOKUP(INDIRECT(ADDRESS(2,COLUMN())),OFFSET($BN$2,0,0,ROW()-1,60),ROW()-1,FALSE))</f>
        <v>205.7613169</v>
      </c>
      <c r="AI435">
        <f ca="1">IF(AND(ISNUMBER($AI$933),$B$511=1),$AI$933,HLOOKUP(INDIRECT(ADDRESS(2,COLUMN())),OFFSET($BN$2,0,0,ROW()-1,60),ROW()-1,FALSE))</f>
        <v>184.18754269999999</v>
      </c>
      <c r="AJ435">
        <f ca="1">IF(AND(ISNUMBER($AJ$933),$B$511=1),$AJ$933,HLOOKUP(INDIRECT(ADDRESS(2,COLUMN())),OFFSET($BN$2,0,0,ROW()-1,60),ROW()-1,FALSE))</f>
        <v>178.65458699999999</v>
      </c>
      <c r="AK435">
        <f ca="1">IF(AND(ISNUMBER($AK$933),$B$511=1),$AK$933,HLOOKUP(INDIRECT(ADDRESS(2,COLUMN())),OFFSET($BN$2,0,0,ROW()-1,60),ROW()-1,FALSE))</f>
        <v>221.89349110000001</v>
      </c>
      <c r="AL435">
        <f ca="1">IF(AND(ISNUMBER($AL$933),$B$511=1),$AL$933,HLOOKUP(INDIRECT(ADDRESS(2,COLUMN())),OFFSET($BN$2,0,0,ROW()-1,60),ROW()-1,FALSE))</f>
        <v>184.90686339999999</v>
      </c>
      <c r="AM435">
        <f ca="1">IF(AND(ISNUMBER($AM$933),$B$511=1),$AM$933,HLOOKUP(INDIRECT(ADDRESS(2,COLUMN())),OFFSET($BN$2,0,0,ROW()-1,60),ROW()-1,FALSE))</f>
        <v>153.5425406</v>
      </c>
      <c r="AN435">
        <f ca="1">IF(AND(ISNUMBER($AN$933),$B$511=1),$AN$933,HLOOKUP(INDIRECT(ADDRESS(2,COLUMN())),OFFSET($BN$2,0,0,ROW()-1,60),ROW()-1,FALSE))</f>
        <v>134.7661411</v>
      </c>
      <c r="AO435">
        <f ca="1">IF(AND(ISNUMBER($AO$933),$B$511=1),$AO$933,HLOOKUP(INDIRECT(ADDRESS(2,COLUMN())),OFFSET($BN$2,0,0,ROW()-1,60),ROW()-1,FALSE))</f>
        <v>118.306861</v>
      </c>
      <c r="AP435">
        <f ca="1">IF(AND(ISNUMBER($AP$933),$B$511=1),$AP$933,HLOOKUP(INDIRECT(ADDRESS(2,COLUMN())),OFFSET($BN$2,0,0,ROW()-1,60),ROW()-1,FALSE))</f>
        <v>102.1536284</v>
      </c>
      <c r="AQ435">
        <f ca="1">IF(AND(ISNUMBER($AQ$933),$B$511=1),$AQ$933,HLOOKUP(INDIRECT(ADDRESS(2,COLUMN())),OFFSET($BN$2,0,0,ROW()-1,60),ROW()-1,FALSE))</f>
        <v>103.9072563</v>
      </c>
      <c r="AR435">
        <f ca="1">IF(AND(ISNUMBER($AR$933),$B$511=1),$AR$933,HLOOKUP(INDIRECT(ADDRESS(2,COLUMN())),OFFSET($BN$2,0,0,ROW()-1,60),ROW()-1,FALSE))</f>
        <v>94.845185439999995</v>
      </c>
      <c r="AS435">
        <f ca="1">IF(AND(ISNUMBER($AS$933),$B$511=1),$AS$933,HLOOKUP(INDIRECT(ADDRESS(2,COLUMN())),OFFSET($BN$2,0,0,ROW()-1,60),ROW()-1,FALSE))</f>
        <v>58.238692180000001</v>
      </c>
      <c r="AT435">
        <f ca="1">IF(AND(ISNUMBER($AT$933),$B$511=1),$AT$933,HLOOKUP(INDIRECT(ADDRESS(2,COLUMN())),OFFSET($BN$2,0,0,ROW()-1,60),ROW()-1,FALSE))</f>
        <v>40.592430059999998</v>
      </c>
      <c r="AU435">
        <f ca="1">IF(AND(ISNUMBER($AU$933),$B$511=1),$AU$933,HLOOKUP(INDIRECT(ADDRESS(2,COLUMN())),OFFSET($BN$2,0,0,ROW()-1,60),ROW()-1,FALSE))</f>
        <v>30.49015824</v>
      </c>
      <c r="AV435">
        <f ca="1">IF(AND(ISNUMBER($AV$933),$B$511=1),$AV$933,HLOOKUP(INDIRECT(ADDRESS(2,COLUMN())),OFFSET($BN$2,0,0,ROW()-1,60),ROW()-1,FALSE))</f>
        <v>61.591318559999998</v>
      </c>
      <c r="AW435">
        <f ca="1">IF(AND(ISNUMBER($AW$933),$B$511=1),$AW$933,HLOOKUP(INDIRECT(ADDRESS(2,COLUMN())),OFFSET($BN$2,0,0,ROW()-1,60),ROW()-1,FALSE))</f>
        <v>67.803084560000002</v>
      </c>
      <c r="AX435">
        <f ca="1">IF(AND(ISNUMBER($AX$933),$B$511=1),$AX$933,HLOOKUP(INDIRECT(ADDRESS(2,COLUMN())),OFFSET($BN$2,0,0,ROW()-1,60),ROW()-1,FALSE))</f>
        <v>79.616548940000001</v>
      </c>
      <c r="AY435">
        <f ca="1">IF(AND(ISNUMBER($AY$933),$B$511=1),$AY$933,HLOOKUP(INDIRECT(ADDRESS(2,COLUMN())),OFFSET($BN$2,0,0,ROW()-1,60),ROW()-1,FALSE))</f>
        <v>76.528430950000001</v>
      </c>
      <c r="AZ435">
        <f ca="1">IF(AND(ISNUMBER($AZ$933),$B$511=1),$AZ$933,HLOOKUP(INDIRECT(ADDRESS(2,COLUMN())),OFFSET($BN$2,0,0,ROW()-1,60),ROW()-1,FALSE))</f>
        <v>80.879938710000005</v>
      </c>
      <c r="BA435">
        <f ca="1">IF(AND(ISNUMBER($BA$933),$B$511=1),$BA$933,HLOOKUP(INDIRECT(ADDRESS(2,COLUMN())),OFFSET($BN$2,0,0,ROW()-1,60),ROW()-1,FALSE))</f>
        <v>79.124214179999996</v>
      </c>
      <c r="BB435">
        <f ca="1">IF(AND(ISNUMBER($BB$933),$B$511=1),$BB$933,HLOOKUP(INDIRECT(ADDRESS(2,COLUMN())),OFFSET($BN$2,0,0,ROW()-1,60),ROW()-1,FALSE))</f>
        <v>70.274293</v>
      </c>
      <c r="BC435">
        <f ca="1">IF(AND(ISNUMBER($BC$933),$B$511=1),$BC$933,HLOOKUP(INDIRECT(ADDRESS(2,COLUMN())),OFFSET($BN$2,0,0,ROW()-1,60),ROW()-1,FALSE))</f>
        <v>72.500403379999995</v>
      </c>
      <c r="BD435">
        <f ca="1">IF(AND(ISNUMBER($BD$933),$B$511=1),$BD$933,HLOOKUP(INDIRECT(ADDRESS(2,COLUMN())),OFFSET($BN$2,0,0,ROW()-1,60),ROW()-1,FALSE))</f>
        <v>85.578446909999997</v>
      </c>
      <c r="BE435">
        <f ca="1">IF(AND(ISNUMBER($BE$933),$B$511=1),$BE$933,HLOOKUP(INDIRECT(ADDRESS(2,COLUMN())),OFFSET($BN$2,0,0,ROW()-1,60),ROW()-1,FALSE))</f>
        <v>84.958364079999996</v>
      </c>
      <c r="BF435">
        <f ca="1">IF(AND(ISNUMBER($BF$933),$B$511=1),$BF$933,HLOOKUP(INDIRECT(ADDRESS(2,COLUMN())),OFFSET($BN$2,0,0,ROW()-1,60),ROW()-1,FALSE))</f>
        <v>84.083775020000004</v>
      </c>
      <c r="BG435">
        <f ca="1">IF(AND(ISNUMBER($BG$933),$B$511=1),$BG$933,HLOOKUP(INDIRECT(ADDRESS(2,COLUMN())),OFFSET($BN$2,0,0,ROW()-1,60),ROW()-1,FALSE))</f>
        <v>96.398672410000003</v>
      </c>
      <c r="BH435">
        <f ca="1">IF(AND(ISNUMBER($BH$933),$B$511=1),$BH$933,HLOOKUP(INDIRECT(ADDRESS(2,COLUMN())),OFFSET($BN$2,0,0,ROW()-1,60),ROW()-1,FALSE))</f>
        <v>78.184957789999999</v>
      </c>
      <c r="BI435">
        <f ca="1">IF(AND(ISNUMBER($BI$933),$B$511=1),$BI$933,HLOOKUP(INDIRECT(ADDRESS(2,COLUMN())),OFFSET($BN$2,0,0,ROW()-1,60),ROW()-1,FALSE))</f>
        <v>55.58240696</v>
      </c>
      <c r="BJ435">
        <f ca="1">IF(AND(ISNUMBER($BJ$933),$B$511=1),$BJ$933,HLOOKUP(INDIRECT(ADDRESS(2,COLUMN())),OFFSET($BN$2,0,0,ROW()-1,60),ROW()-1,FALSE))</f>
        <v>54.160512060000002</v>
      </c>
      <c r="BK435">
        <f ca="1">IF(AND(ISNUMBER($BK$933),$B$511=1),$BK$933,HLOOKUP(INDIRECT(ADDRESS(2,COLUMN())),OFFSET($BN$2,0,0,ROW()-1,60),ROW()-1,FALSE))</f>
        <v>53.288526160000004</v>
      </c>
      <c r="BL435">
        <f ca="1">IF(AND(ISNUMBER($BL$933),$B$511=1),$BL$933,HLOOKUP(INDIRECT(ADDRESS(2,COLUMN())),OFFSET($BN$2,0,0,ROW()-1,60),ROW()-1,FALSE))</f>
        <v>46.11376465</v>
      </c>
      <c r="BM435">
        <f ca="1">IF(AND(ISNUMBER($BM$933),$B$511=1),$BM$933,HLOOKUP(INDIRECT(ADDRESS(2,COLUMN())),OFFSET($BN$2,0,0,ROW()-1,60),ROW()-1,FALSE))</f>
        <v>38.468195590000001</v>
      </c>
      <c r="BN435">
        <f>112.3865073</f>
        <v>112.38650730000001</v>
      </c>
      <c r="BO435">
        <f>106.2494396</f>
        <v>106.2494396</v>
      </c>
      <c r="BP435">
        <f>116.6782294</f>
        <v>116.67822940000001</v>
      </c>
      <c r="BQ435">
        <f>112.7238759</f>
        <v>112.7238759</v>
      </c>
      <c r="BR435">
        <f>135.266338</f>
        <v>135.26633799999999</v>
      </c>
      <c r="BS435">
        <f>145.6201927</f>
        <v>145.62019269999999</v>
      </c>
      <c r="BT435">
        <f>131.5053651</f>
        <v>131.50536510000001</v>
      </c>
      <c r="BU435">
        <f>139.4498942</f>
        <v>139.44989419999999</v>
      </c>
      <c r="BV435">
        <f>140.9030319</f>
        <v>140.9030319</v>
      </c>
      <c r="BW435">
        <f>120.9811071</f>
        <v>120.9811071</v>
      </c>
      <c r="BX435">
        <f>123.2490449</f>
        <v>123.2490449</v>
      </c>
      <c r="BY435">
        <f>117.6051937</f>
        <v>117.6051937</v>
      </c>
      <c r="BZ435">
        <f>133.5095952</f>
        <v>133.50959520000001</v>
      </c>
      <c r="CA435">
        <f>126.4662445</f>
        <v>126.4662445</v>
      </c>
      <c r="CB435">
        <f>138.3499241</f>
        <v>138.34992410000001</v>
      </c>
      <c r="CC435">
        <f>121.6871566</f>
        <v>121.68715659999999</v>
      </c>
      <c r="CD435">
        <f>151.981167</f>
        <v>151.981167</v>
      </c>
      <c r="CE435">
        <f>154.1281726</f>
        <v>154.1281726</v>
      </c>
      <c r="CF435">
        <f>180.0567108</f>
        <v>180.05671079999999</v>
      </c>
      <c r="CG435">
        <f>226.9064592</f>
        <v>226.9064592</v>
      </c>
      <c r="CH435">
        <f>236.3732248</f>
        <v>236.3732248</v>
      </c>
      <c r="CI435">
        <f>224.1706161</f>
        <v>224.17061609999999</v>
      </c>
      <c r="CJ435">
        <f>233.4058658</f>
        <v>233.40586579999999</v>
      </c>
      <c r="CK435">
        <f>197.365542</f>
        <v>197.365542</v>
      </c>
      <c r="CL435">
        <f>201.2036289</f>
        <v>201.20362890000001</v>
      </c>
      <c r="CM435">
        <f>204.7317873</f>
        <v>204.73178730000001</v>
      </c>
      <c r="CN435">
        <f>226.5026021</f>
        <v>226.50260209999999</v>
      </c>
      <c r="CO435">
        <f>203.5206891</f>
        <v>203.5206891</v>
      </c>
      <c r="CP435">
        <f>205.7613169</f>
        <v>205.7613169</v>
      </c>
      <c r="CQ435">
        <f>184.1875427</f>
        <v>184.18754269999999</v>
      </c>
      <c r="CR435">
        <f>178.654587</f>
        <v>178.65458699999999</v>
      </c>
      <c r="CS435">
        <f>221.8934911</f>
        <v>221.89349110000001</v>
      </c>
      <c r="CT435">
        <f>184.9068634</f>
        <v>184.90686339999999</v>
      </c>
      <c r="CU435">
        <f>153.5425406</f>
        <v>153.5425406</v>
      </c>
      <c r="CV435">
        <f>134.7661411</f>
        <v>134.7661411</v>
      </c>
      <c r="CW435">
        <f>118.306861</f>
        <v>118.306861</v>
      </c>
      <c r="CX435">
        <f>102.1536284</f>
        <v>102.1536284</v>
      </c>
      <c r="CY435">
        <f>103.9072563</f>
        <v>103.9072563</v>
      </c>
      <c r="CZ435">
        <f>94.84518544</f>
        <v>94.845185439999995</v>
      </c>
      <c r="DA435">
        <f>58.23869218</f>
        <v>58.238692180000001</v>
      </c>
      <c r="DB435">
        <f>40.59243006</f>
        <v>40.592430059999998</v>
      </c>
      <c r="DC435">
        <f>30.49015824</f>
        <v>30.49015824</v>
      </c>
      <c r="DD435">
        <f>61.59131856</f>
        <v>61.591318559999998</v>
      </c>
      <c r="DE435">
        <f>67.80308456</f>
        <v>67.803084560000002</v>
      </c>
      <c r="DF435">
        <f>79.61654894</f>
        <v>79.616548940000001</v>
      </c>
      <c r="DG435">
        <f>76.52843095</f>
        <v>76.528430950000001</v>
      </c>
      <c r="DH435">
        <f>80.87993871</f>
        <v>80.879938710000005</v>
      </c>
      <c r="DI435">
        <f>79.12421418</f>
        <v>79.124214179999996</v>
      </c>
      <c r="DJ435">
        <f>70.274293</f>
        <v>70.274293</v>
      </c>
      <c r="DK435">
        <f>72.50040338</f>
        <v>72.500403379999995</v>
      </c>
      <c r="DL435">
        <f>85.57844691</f>
        <v>85.578446909999997</v>
      </c>
      <c r="DM435">
        <f>84.95836408</f>
        <v>84.958364079999996</v>
      </c>
      <c r="DN435">
        <f>84.08377502</f>
        <v>84.083775020000004</v>
      </c>
      <c r="DO435">
        <f>96.39867241</f>
        <v>96.398672410000003</v>
      </c>
      <c r="DP435">
        <f>78.18495779</f>
        <v>78.184957789999999</v>
      </c>
      <c r="DQ435">
        <f>55.58240696</f>
        <v>55.58240696</v>
      </c>
      <c r="DR435">
        <f>54.16051206</f>
        <v>54.160512060000002</v>
      </c>
      <c r="DS435">
        <f>53.28852616</f>
        <v>53.288526160000004</v>
      </c>
      <c r="DT435">
        <f>46.11376465</f>
        <v>46.11376465</v>
      </c>
      <c r="DU435">
        <f>38.46819559</f>
        <v>38.468195590000001</v>
      </c>
    </row>
    <row r="436" spans="1:125" x14ac:dyDescent="0.25">
      <c r="A436" t="str">
        <f>"    Kia Motors Corp"</f>
        <v xml:space="preserve">    Kia Motors Corp</v>
      </c>
      <c r="B436" t="str">
        <f>"000270 KS Equity"</f>
        <v>000270 KS Equity</v>
      </c>
      <c r="C436" t="str">
        <f t="shared" si="30"/>
        <v>PR005</v>
      </c>
      <c r="D436" t="str">
        <f t="shared" si="31"/>
        <v>PX_LAST</v>
      </c>
      <c r="E436" t="str">
        <f t="shared" si="32"/>
        <v>Dynamic</v>
      </c>
      <c r="F436">
        <f ca="1">IF(AND(ISNUMBER($F$934),$B$511=1),$F$934,HLOOKUP(INDIRECT(ADDRESS(2,COLUMN())),OFFSET($BN$2,0,0,ROW()-1,60),ROW()-1,FALSE))</f>
        <v>32.472148959999998</v>
      </c>
      <c r="G436">
        <f ca="1">IF(AND(ISNUMBER($G$934),$B$511=1),$G$934,HLOOKUP(INDIRECT(ADDRESS(2,COLUMN())),OFFSET($BN$2,0,0,ROW()-1,60),ROW()-1,FALSE))</f>
        <v>30.216085360000001</v>
      </c>
      <c r="H436">
        <f ca="1">IF(AND(ISNUMBER($H$934),$B$511=1),$H$934,HLOOKUP(INDIRECT(ADDRESS(2,COLUMN())),OFFSET($BN$2,0,0,ROW()-1,60),ROW()-1,FALSE))</f>
        <v>31.624755610000001</v>
      </c>
      <c r="I436">
        <f ca="1">IF(AND(ISNUMBER($I$934),$B$511=1),$I$934,HLOOKUP(INDIRECT(ADDRESS(2,COLUMN())),OFFSET($BN$2,0,0,ROW()-1,60),ROW()-1,FALSE))</f>
        <v>27.70941491</v>
      </c>
      <c r="J436">
        <f ca="1">IF(AND(ISNUMBER($J$934),$B$511=1),$J$934,HLOOKUP(INDIRECT(ADDRESS(2,COLUMN())),OFFSET($BN$2,0,0,ROW()-1,60),ROW()-1,FALSE))</f>
        <v>29.221299500000001</v>
      </c>
      <c r="K436">
        <f ca="1">IF(AND(ISNUMBER($K$934),$B$511=1),$K$934,HLOOKUP(INDIRECT(ADDRESS(2,COLUMN())),OFFSET($BN$2,0,0,ROW()-1,60),ROW()-1,FALSE))</f>
        <v>31.27100291</v>
      </c>
      <c r="L436">
        <f ca="1">IF(AND(ISNUMBER($L$934),$B$511=1),$L$934,HLOOKUP(INDIRECT(ADDRESS(2,COLUMN())),OFFSET($BN$2,0,0,ROW()-1,60),ROW()-1,FALSE))</f>
        <v>27.655447209999998</v>
      </c>
      <c r="M436">
        <f ca="1">IF(AND(ISNUMBER($M$934),$B$511=1),$M$934,HLOOKUP(INDIRECT(ADDRESS(2,COLUMN())),OFFSET($BN$2,0,0,ROW()-1,60),ROW()-1,FALSE))</f>
        <v>33.398031090000003</v>
      </c>
      <c r="N436">
        <f ca="1">IF(AND(ISNUMBER($N$934),$B$511=1),$N$934,HLOOKUP(INDIRECT(ADDRESS(2,COLUMN())),OFFSET($BN$2,0,0,ROW()-1,60),ROW()-1,FALSE))</f>
        <v>33.14576083</v>
      </c>
      <c r="O436">
        <f ca="1">IF(AND(ISNUMBER($O$934),$B$511=1),$O$934,HLOOKUP(INDIRECT(ADDRESS(2,COLUMN())),OFFSET($BN$2,0,0,ROW()-1,60),ROW()-1,FALSE))</f>
        <v>32.524030490000001</v>
      </c>
      <c r="P436">
        <f ca="1">IF(AND(ISNUMBER($P$934),$B$511=1),$P$934,HLOOKUP(INDIRECT(ADDRESS(2,COLUMN())),OFFSET($BN$2,0,0,ROW()-1,60),ROW()-1,FALSE))</f>
        <v>38.33909405</v>
      </c>
      <c r="Q436">
        <f ca="1">IF(AND(ISNUMBER($Q$934),$B$511=1),$Q$934,HLOOKUP(INDIRECT(ADDRESS(2,COLUMN())),OFFSET($BN$2,0,0,ROW()-1,60),ROW()-1,FALSE))</f>
        <v>37.494792390000001</v>
      </c>
      <c r="R436">
        <f ca="1">IF(AND(ISNUMBER($R$934),$B$511=1),$R$934,HLOOKUP(INDIRECT(ADDRESS(2,COLUMN())),OFFSET($BN$2,0,0,ROW()-1,60),ROW()-1,FALSE))</f>
        <v>42.285334079999998</v>
      </c>
      <c r="S436">
        <f ca="1">IF(AND(ISNUMBER($S$934),$B$511=1),$S$934,HLOOKUP(INDIRECT(ADDRESS(2,COLUMN())),OFFSET($BN$2,0,0,ROW()-1,60),ROW()-1,FALSE))</f>
        <v>44.645130629999997</v>
      </c>
      <c r="T436">
        <f ca="1">IF(AND(ISNUMBER($T$934),$B$511=1),$T$934,HLOOKUP(INDIRECT(ADDRESS(2,COLUMN())),OFFSET($BN$2,0,0,ROW()-1,60),ROW()-1,FALSE))</f>
        <v>45.216804449999998</v>
      </c>
      <c r="U436">
        <f ca="1">IF(AND(ISNUMBER($U$934),$B$511=1),$U$934,HLOOKUP(INDIRECT(ADDRESS(2,COLUMN())),OFFSET($BN$2,0,0,ROW()-1,60),ROW()-1,FALSE))</f>
        <v>40.532560259999997</v>
      </c>
      <c r="V436">
        <f ca="1">IF(AND(ISNUMBER($V$934),$B$511=1),$V$934,HLOOKUP(INDIRECT(ADDRESS(2,COLUMN())),OFFSET($BN$2,0,0,ROW()-1,60),ROW()-1,FALSE))</f>
        <v>40.768835289999998</v>
      </c>
      <c r="W436">
        <f ca="1">IF(AND(ISNUMBER($W$934),$B$511=1),$W$934,HLOOKUP(INDIRECT(ADDRESS(2,COLUMN())),OFFSET($BN$2,0,0,ROW()-1,60),ROW()-1,FALSE))</f>
        <v>47.697653420000002</v>
      </c>
      <c r="X436">
        <f ca="1">IF(AND(ISNUMBER($X$934),$B$511=1),$X$934,HLOOKUP(INDIRECT(ADDRESS(2,COLUMN())),OFFSET($BN$2,0,0,ROW()-1,60),ROW()-1,FALSE))</f>
        <v>50.75614367</v>
      </c>
      <c r="Y436">
        <f ca="1">IF(AND(ISNUMBER($Y$934),$B$511=1),$Y$934,HLOOKUP(INDIRECT(ADDRESS(2,COLUMN())),OFFSET($BN$2,0,0,ROW()-1,60),ROW()-1,FALSE))</f>
        <v>55.960372939999999</v>
      </c>
      <c r="Z436">
        <f ca="1">IF(AND(ISNUMBER($Z$934),$B$511=1),$Z$934,HLOOKUP(INDIRECT(ADDRESS(2,COLUMN())),OFFSET($BN$2,0,0,ROW()-1,60),ROW()-1,FALSE))</f>
        <v>55.844351529999997</v>
      </c>
      <c r="AA436">
        <f ca="1">IF(AND(ISNUMBER($AA$934),$B$511=1),$AA$934,HLOOKUP(INDIRECT(ADDRESS(2,COLUMN())),OFFSET($BN$2,0,0,ROW()-1,60),ROW()-1,FALSE))</f>
        <v>53.175355449999998</v>
      </c>
      <c r="AB436">
        <f ca="1">IF(AND(ISNUMBER($AB$934),$B$511=1),$AB$934,HLOOKUP(INDIRECT(ADDRESS(2,COLUMN())),OFFSET($BN$2,0,0,ROW()-1,60),ROW()-1,FALSE))</f>
        <v>60.722721270000001</v>
      </c>
      <c r="AC436">
        <f ca="1">IF(AND(ISNUMBER($AC$934),$B$511=1),$AC$934,HLOOKUP(INDIRECT(ADDRESS(2,COLUMN())),OFFSET($BN$2,0,0,ROW()-1,60),ROW()-1,FALSE))</f>
        <v>54.35210713</v>
      </c>
      <c r="AD436">
        <f ca="1">IF(AND(ISNUMBER($AD$934),$B$511=1),$AD$934,HLOOKUP(INDIRECT(ADDRESS(2,COLUMN())),OFFSET($BN$2,0,0,ROW()-1,60),ROW()-1,FALSE))</f>
        <v>49.94161502</v>
      </c>
      <c r="AE436">
        <f ca="1">IF(AND(ISNUMBER($AE$934),$B$511=1),$AE$934,HLOOKUP(INDIRECT(ADDRESS(2,COLUMN())),OFFSET($BN$2,0,0,ROW()-1,60),ROW()-1,FALSE))</f>
        <v>52.939798549999999</v>
      </c>
      <c r="AF436">
        <f ca="1">IF(AND(ISNUMBER($AF$934),$B$511=1),$AF$934,HLOOKUP(INDIRECT(ADDRESS(2,COLUMN())),OFFSET($BN$2,0,0,ROW()-1,60),ROW()-1,FALSE))</f>
        <v>62.37809756</v>
      </c>
      <c r="AG436">
        <f ca="1">IF(AND(ISNUMBER($AG$934),$B$511=1),$AG$934,HLOOKUP(INDIRECT(ADDRESS(2,COLUMN())),OFFSET($BN$2,0,0,ROW()-1,60),ROW()-1,FALSE))</f>
        <v>65.389227849999997</v>
      </c>
      <c r="AH436">
        <f ca="1">IF(AND(ISNUMBER($AH$934),$B$511=1),$AH$934,HLOOKUP(INDIRECT(ADDRESS(2,COLUMN())),OFFSET($BN$2,0,0,ROW()-1,60),ROW()-1,FALSE))</f>
        <v>65.437397340000004</v>
      </c>
      <c r="AI436">
        <f ca="1">IF(AND(ISNUMBER($AI$934),$B$511=1),$AI$934,HLOOKUP(INDIRECT(ADDRESS(2,COLUMN())),OFFSET($BN$2,0,0,ROW()-1,60),ROW()-1,FALSE))</f>
        <v>57.677507499999997</v>
      </c>
      <c r="AJ436">
        <f ca="1">IF(AND(ISNUMBER($AJ$934),$B$511=1),$AJ$934,HLOOKUP(INDIRECT(ADDRESS(2,COLUMN())),OFFSET($BN$2,0,0,ROW()-1,60),ROW()-1,FALSE))</f>
        <v>60.878032259999998</v>
      </c>
      <c r="AK436">
        <f ca="1">IF(AND(ISNUMBER($AK$934),$B$511=1),$AK$934,HLOOKUP(INDIRECT(ADDRESS(2,COLUMN())),OFFSET($BN$2,0,0,ROW()-1,60),ROW()-1,FALSE))</f>
        <v>67.69155868</v>
      </c>
      <c r="AL436">
        <f ca="1">IF(AND(ISNUMBER($AL$934),$B$511=1),$AL$934,HLOOKUP(INDIRECT(ADDRESS(2,COLUMN())),OFFSET($BN$2,0,0,ROW()-1,60),ROW()-1,FALSE))</f>
        <v>62.850116139999997</v>
      </c>
      <c r="AM436">
        <f ca="1">IF(AND(ISNUMBER($AM$934),$B$511=1),$AM$934,HLOOKUP(INDIRECT(ADDRESS(2,COLUMN())),OFFSET($BN$2,0,0,ROW()-1,60),ROW()-1,FALSE))</f>
        <v>44.779553620000002</v>
      </c>
      <c r="AN436">
        <f ca="1">IF(AND(ISNUMBER($AN$934),$B$511=1),$AN$934,HLOOKUP(INDIRECT(ADDRESS(2,COLUMN())),OFFSET($BN$2,0,0,ROW()-1,60),ROW()-1,FALSE))</f>
        <v>32.414339820000002</v>
      </c>
      <c r="AO436">
        <f ca="1">IF(AND(ISNUMBER($AO$934),$B$511=1),$AO$934,HLOOKUP(INDIRECT(ADDRESS(2,COLUMN())),OFFSET($BN$2,0,0,ROW()-1,60),ROW()-1,FALSE))</f>
        <v>26.772556080000001</v>
      </c>
      <c r="AP436">
        <f ca="1">IF(AND(ISNUMBER($AP$934),$B$511=1),$AP$934,HLOOKUP(INDIRECT(ADDRESS(2,COLUMN())),OFFSET($BN$2,0,0,ROW()-1,60),ROW()-1,FALSE))</f>
        <v>22.332286740000001</v>
      </c>
      <c r="AQ436">
        <f ca="1">IF(AND(ISNUMBER($AQ$934),$B$511=1),$AQ$934,HLOOKUP(INDIRECT(ADDRESS(2,COLUMN())),OFFSET($BN$2,0,0,ROW()-1,60),ROW()-1,FALSE))</f>
        <v>17.217690000000001</v>
      </c>
      <c r="AR436">
        <f ca="1">IF(AND(ISNUMBER($AR$934),$B$511=1),$AR$934,HLOOKUP(INDIRECT(ADDRESS(2,COLUMN())),OFFSET($BN$2,0,0,ROW()-1,60),ROW()-1,FALSE))</f>
        <v>15.821708060000001</v>
      </c>
      <c r="AS436">
        <f ca="1">IF(AND(ISNUMBER($AS$934),$B$511=1),$AS$934,HLOOKUP(INDIRECT(ADDRESS(2,COLUMN())),OFFSET($BN$2,0,0,ROW()-1,60),ROW()-1,FALSE))</f>
        <v>9.9029355129999992</v>
      </c>
      <c r="AT436">
        <f ca="1">IF(AND(ISNUMBER($AT$934),$B$511=1),$AT$934,HLOOKUP(INDIRECT(ADDRESS(2,COLUMN())),OFFSET($BN$2,0,0,ROW()-1,60),ROW()-1,FALSE))</f>
        <v>6.2388005120000001</v>
      </c>
      <c r="AU436">
        <f ca="1">IF(AND(ISNUMBER($AU$934),$B$511=1),$AU$934,HLOOKUP(INDIRECT(ADDRESS(2,COLUMN())),OFFSET($BN$2,0,0,ROW()-1,60),ROW()-1,FALSE))</f>
        <v>5.0559629490000004</v>
      </c>
      <c r="AV436">
        <f ca="1">IF(AND(ISNUMBER($AV$934),$B$511=1),$AV$934,HLOOKUP(INDIRECT(ADDRESS(2,COLUMN())),OFFSET($BN$2,0,0,ROW()-1,60),ROW()-1,FALSE))</f>
        <v>12.276364859999999</v>
      </c>
      <c r="AW436">
        <f ca="1">IF(AND(ISNUMBER($AW$934),$B$511=1),$AW$934,HLOOKUP(INDIRECT(ADDRESS(2,COLUMN())),OFFSET($BN$2,0,0,ROW()-1,60),ROW()-1,FALSE))</f>
        <v>10.55245189</v>
      </c>
      <c r="AX436">
        <f ca="1">IF(AND(ISNUMBER($AX$934),$B$511=1),$AX$934,HLOOKUP(INDIRECT(ADDRESS(2,COLUMN())),OFFSET($BN$2,0,0,ROW()-1,60),ROW()-1,FALSE))</f>
        <v>11.50353179</v>
      </c>
      <c r="AY436">
        <f ca="1">IF(AND(ISNUMBER($AY$934),$B$511=1),$AY$934,HLOOKUP(INDIRECT(ADDRESS(2,COLUMN())),OFFSET($BN$2,0,0,ROW()-1,60),ROW()-1,FALSE))</f>
        <v>10.795211630000001</v>
      </c>
      <c r="AZ436">
        <f ca="1">IF(AND(ISNUMBER($AZ$934),$B$511=1),$AZ$934,HLOOKUP(INDIRECT(ADDRESS(2,COLUMN())),OFFSET($BN$2,0,0,ROW()-1,60),ROW()-1,FALSE))</f>
        <v>13.6259166</v>
      </c>
      <c r="BA436">
        <f ca="1">IF(AND(ISNUMBER($BA$934),$B$511=1),$BA$934,HLOOKUP(INDIRECT(ADDRESS(2,COLUMN())),OFFSET($BN$2,0,0,ROW()-1,60),ROW()-1,FALSE))</f>
        <v>15.60806417</v>
      </c>
      <c r="BB436">
        <f ca="1">IF(AND(ISNUMBER($BB$934),$B$511=1),$BB$934,HLOOKUP(INDIRECT(ADDRESS(2,COLUMN())),OFFSET($BN$2,0,0,ROW()-1,60),ROW()-1,FALSE))</f>
        <v>13.502019990000001</v>
      </c>
      <c r="BC436">
        <f ca="1">IF(AND(ISNUMBER($BC$934),$B$511=1),$BC$934,HLOOKUP(INDIRECT(ADDRESS(2,COLUMN())),OFFSET($BN$2,0,0,ROW()-1,60),ROW()-1,FALSE))</f>
        <v>14.46781047</v>
      </c>
      <c r="BD436">
        <f ca="1">IF(AND(ISNUMBER($BD$934),$B$511=1),$BD$934,HLOOKUP(INDIRECT(ADDRESS(2,COLUMN())),OFFSET($BN$2,0,0,ROW()-1,60),ROW()-1,FALSE))</f>
        <v>16.217643949999999</v>
      </c>
      <c r="BE436">
        <f ca="1">IF(AND(ISNUMBER($BE$934),$B$511=1),$BE$934,HLOOKUP(INDIRECT(ADDRESS(2,COLUMN())),OFFSET($BN$2,0,0,ROW()-1,60),ROW()-1,FALSE))</f>
        <v>17.128702430000001</v>
      </c>
      <c r="BF436">
        <f ca="1">IF(AND(ISNUMBER($BF$934),$B$511=1),$BF$934,HLOOKUP(INDIRECT(ADDRESS(2,COLUMN())),OFFSET($BN$2,0,0,ROW()-1,60),ROW()-1,FALSE))</f>
        <v>20.532084600000001</v>
      </c>
      <c r="BG436">
        <f ca="1">IF(AND(ISNUMBER($BG$934),$B$511=1),$BG$934,HLOOKUP(INDIRECT(ADDRESS(2,COLUMN())),OFFSET($BN$2,0,0,ROW()-1,60),ROW()-1,FALSE))</f>
        <v>26.304057069999999</v>
      </c>
      <c r="BH436">
        <f ca="1">IF(AND(ISNUMBER($BH$934),$B$511=1),$BH$934,HLOOKUP(INDIRECT(ADDRESS(2,COLUMN())),OFFSET($BN$2,0,0,ROW()-1,60),ROW()-1,FALSE))</f>
        <v>18.70683039</v>
      </c>
      <c r="BI436">
        <f ca="1">IF(AND(ISNUMBER($BI$934),$B$511=1),$BI$934,HLOOKUP(INDIRECT(ADDRESS(2,COLUMN())),OFFSET($BN$2,0,0,ROW()-1,60),ROW()-1,FALSE))</f>
        <v>13.29144514</v>
      </c>
      <c r="BJ436">
        <f ca="1">IF(AND(ISNUMBER($BJ$934),$B$511=1),$BJ$934,HLOOKUP(INDIRECT(ADDRESS(2,COLUMN())),OFFSET($BN$2,0,0,ROW()-1,60),ROW()-1,FALSE))</f>
        <v>13.78631216</v>
      </c>
      <c r="BK436">
        <f ca="1">IF(AND(ISNUMBER($BK$934),$B$511=1),$BK$934,HLOOKUP(INDIRECT(ADDRESS(2,COLUMN())),OFFSET($BN$2,0,0,ROW()-1,60),ROW()-1,FALSE))</f>
        <v>10.465674509999999</v>
      </c>
      <c r="BL436">
        <f ca="1">IF(AND(ISNUMBER($BL$934),$B$511=1),$BL$934,HLOOKUP(INDIRECT(ADDRESS(2,COLUMN())),OFFSET($BN$2,0,0,ROW()-1,60),ROW()-1,FALSE))</f>
        <v>9.2053842810000006</v>
      </c>
      <c r="BM436">
        <f ca="1">IF(AND(ISNUMBER($BM$934),$B$511=1),$BM$934,HLOOKUP(INDIRECT(ADDRESS(2,COLUMN())),OFFSET($BN$2,0,0,ROW()-1,60),ROW()-1,FALSE))</f>
        <v>8.5417568149999994</v>
      </c>
      <c r="BN436">
        <f>32.47214896</f>
        <v>32.472148959999998</v>
      </c>
      <c r="BO436">
        <f>30.21608536</f>
        <v>30.216085360000001</v>
      </c>
      <c r="BP436">
        <f>31.62475561</f>
        <v>31.624755610000001</v>
      </c>
      <c r="BQ436">
        <f>27.70941491</f>
        <v>27.70941491</v>
      </c>
      <c r="BR436">
        <f>29.2212995</f>
        <v>29.221299500000001</v>
      </c>
      <c r="BS436">
        <f>31.27100291</f>
        <v>31.27100291</v>
      </c>
      <c r="BT436">
        <f>27.65544721</f>
        <v>27.655447209999998</v>
      </c>
      <c r="BU436">
        <f>33.39803109</f>
        <v>33.398031090000003</v>
      </c>
      <c r="BV436">
        <f>33.14576083</f>
        <v>33.14576083</v>
      </c>
      <c r="BW436">
        <f>32.52403049</f>
        <v>32.524030490000001</v>
      </c>
      <c r="BX436">
        <f>38.33909405</f>
        <v>38.33909405</v>
      </c>
      <c r="BY436">
        <f>37.49479239</f>
        <v>37.494792390000001</v>
      </c>
      <c r="BZ436">
        <f>42.28533408</f>
        <v>42.285334079999998</v>
      </c>
      <c r="CA436">
        <f>44.64513063</f>
        <v>44.645130629999997</v>
      </c>
      <c r="CB436">
        <f>45.21680445</f>
        <v>45.216804449999998</v>
      </c>
      <c r="CC436">
        <f>40.53256026</f>
        <v>40.532560259999997</v>
      </c>
      <c r="CD436">
        <f>40.76883529</f>
        <v>40.768835289999998</v>
      </c>
      <c r="CE436">
        <f>47.69765342</f>
        <v>47.697653420000002</v>
      </c>
      <c r="CF436">
        <f>50.75614367</f>
        <v>50.75614367</v>
      </c>
      <c r="CG436">
        <f>55.96037294</f>
        <v>55.960372939999999</v>
      </c>
      <c r="CH436">
        <f>55.84435153</f>
        <v>55.844351529999997</v>
      </c>
      <c r="CI436">
        <f>53.17535545</f>
        <v>53.175355449999998</v>
      </c>
      <c r="CJ436">
        <f>60.72272127</f>
        <v>60.722721270000001</v>
      </c>
      <c r="CK436">
        <f>54.35210713</f>
        <v>54.35210713</v>
      </c>
      <c r="CL436">
        <f>49.94161502</f>
        <v>49.94161502</v>
      </c>
      <c r="CM436">
        <f>52.93979855</f>
        <v>52.939798549999999</v>
      </c>
      <c r="CN436">
        <f>62.37809756</f>
        <v>62.37809756</v>
      </c>
      <c r="CO436">
        <f>65.38922785</f>
        <v>65.389227849999997</v>
      </c>
      <c r="CP436">
        <f>65.43739734</f>
        <v>65.437397340000004</v>
      </c>
      <c r="CQ436">
        <f>57.6775075</f>
        <v>57.677507499999997</v>
      </c>
      <c r="CR436">
        <f>60.87803226</f>
        <v>60.878032259999998</v>
      </c>
      <c r="CS436">
        <f>67.69155868</f>
        <v>67.69155868</v>
      </c>
      <c r="CT436">
        <f>62.85011614</f>
        <v>62.850116139999997</v>
      </c>
      <c r="CU436">
        <f>44.77955362</f>
        <v>44.779553620000002</v>
      </c>
      <c r="CV436">
        <f>32.41433982</f>
        <v>32.414339820000002</v>
      </c>
      <c r="CW436">
        <f>26.77255608</f>
        <v>26.772556080000001</v>
      </c>
      <c r="CX436">
        <f>22.33228674</f>
        <v>22.332286740000001</v>
      </c>
      <c r="CY436">
        <f>17.21769</f>
        <v>17.217690000000001</v>
      </c>
      <c r="CZ436">
        <f>15.82170806</f>
        <v>15.821708060000001</v>
      </c>
      <c r="DA436">
        <f>9.902935513</f>
        <v>9.9029355129999992</v>
      </c>
      <c r="DB436">
        <f>6.238800512</f>
        <v>6.2388005120000001</v>
      </c>
      <c r="DC436">
        <f>5.055962949</f>
        <v>5.0559629490000004</v>
      </c>
      <c r="DD436">
        <f>12.27636486</f>
        <v>12.276364859999999</v>
      </c>
      <c r="DE436">
        <f>10.55245189</f>
        <v>10.55245189</v>
      </c>
      <c r="DF436">
        <f>11.50353179</f>
        <v>11.50353179</v>
      </c>
      <c r="DG436">
        <f>10.79521163</f>
        <v>10.795211630000001</v>
      </c>
      <c r="DH436">
        <f>13.6259166</f>
        <v>13.6259166</v>
      </c>
      <c r="DI436">
        <f>15.60806417</f>
        <v>15.60806417</v>
      </c>
      <c r="DJ436">
        <f>13.50201999</f>
        <v>13.502019990000001</v>
      </c>
      <c r="DK436">
        <f>14.46781047</f>
        <v>14.46781047</v>
      </c>
      <c r="DL436">
        <f>16.21764395</f>
        <v>16.217643949999999</v>
      </c>
      <c r="DM436">
        <f>17.12870243</f>
        <v>17.128702430000001</v>
      </c>
      <c r="DN436">
        <f>20.5320846</f>
        <v>20.532084600000001</v>
      </c>
      <c r="DO436">
        <f>26.30405707</f>
        <v>26.304057069999999</v>
      </c>
      <c r="DP436">
        <f>18.70683039</f>
        <v>18.70683039</v>
      </c>
      <c r="DQ436">
        <f>13.29144514</f>
        <v>13.29144514</v>
      </c>
      <c r="DR436">
        <f>13.78631216</f>
        <v>13.78631216</v>
      </c>
      <c r="DS436">
        <f>10.46567451</f>
        <v>10.465674509999999</v>
      </c>
      <c r="DT436">
        <f>9.205384281</f>
        <v>9.2053842810000006</v>
      </c>
      <c r="DU436">
        <f>8.541756815</f>
        <v>8.5417568149999994</v>
      </c>
    </row>
    <row r="437" spans="1:125" x14ac:dyDescent="0.25">
      <c r="A437" t="str">
        <f>"    Mazda Motor Corp"</f>
        <v xml:space="preserve">    Mazda Motor Corp</v>
      </c>
      <c r="B437" t="str">
        <f>"7261 JP Equity"</f>
        <v>7261 JP Equity</v>
      </c>
      <c r="C437" t="str">
        <f t="shared" si="30"/>
        <v>PR005</v>
      </c>
      <c r="D437" t="str">
        <f t="shared" si="31"/>
        <v>PX_LAST</v>
      </c>
      <c r="E437" t="str">
        <f t="shared" si="32"/>
        <v>Dynamic</v>
      </c>
      <c r="F437">
        <f ca="1">IF(AND(ISNUMBER($F$935),$B$511=1),$F$935,HLOOKUP(INDIRECT(ADDRESS(2,COLUMN())),OFFSET($BN$2,0,0,ROW()-1,60),ROW()-1,FALSE))</f>
        <v>11.73382389</v>
      </c>
      <c r="G437">
        <f ca="1">IF(AND(ISNUMBER($G$935),$B$511=1),$G$935,HLOOKUP(INDIRECT(ADDRESS(2,COLUMN())),OFFSET($BN$2,0,0,ROW()-1,60),ROW()-1,FALSE))</f>
        <v>10.27986595</v>
      </c>
      <c r="H437">
        <f ca="1">IF(AND(ISNUMBER($H$935),$B$511=1),$H$935,HLOOKUP(INDIRECT(ADDRESS(2,COLUMN())),OFFSET($BN$2,0,0,ROW()-1,60),ROW()-1,FALSE))</f>
        <v>12.01762115</v>
      </c>
      <c r="I437">
        <f ca="1">IF(AND(ISNUMBER($I$935),$B$511=1),$I$935,HLOOKUP(INDIRECT(ADDRESS(2,COLUMN())),OFFSET($BN$2,0,0,ROW()-1,60),ROW()-1,FALSE))</f>
        <v>12.27658422</v>
      </c>
      <c r="J437">
        <f ca="1">IF(AND(ISNUMBER($J$935),$B$511=1),$J$935,HLOOKUP(INDIRECT(ADDRESS(2,COLUMN())),OFFSET($BN$2,0,0,ROW()-1,60),ROW()-1,FALSE))</f>
        <v>13.2413858</v>
      </c>
      <c r="K437">
        <f ca="1">IF(AND(ISNUMBER($K$935),$B$511=1),$K$935,HLOOKUP(INDIRECT(ADDRESS(2,COLUMN())),OFFSET($BN$2,0,0,ROW()-1,60),ROW()-1,FALSE))</f>
        <v>13.426008169999999</v>
      </c>
      <c r="L437">
        <f ca="1">IF(AND(ISNUMBER($L$935),$B$511=1),$L$935,HLOOKUP(INDIRECT(ADDRESS(2,COLUMN())),OFFSET($BN$2,0,0,ROW()-1,60),ROW()-1,FALSE))</f>
        <v>15.31699521</v>
      </c>
      <c r="M437">
        <f ca="1">IF(AND(ISNUMBER($M$935),$B$511=1),$M$935,HLOOKUP(INDIRECT(ADDRESS(2,COLUMN())),OFFSET($BN$2,0,0,ROW()-1,60),ROW()-1,FALSE))</f>
        <v>13.956386289999999</v>
      </c>
      <c r="N437">
        <f ca="1">IF(AND(ISNUMBER($N$935),$B$511=1),$N$935,HLOOKUP(INDIRECT(ADDRESS(2,COLUMN())),OFFSET($BN$2,0,0,ROW()-1,60),ROW()-1,FALSE))</f>
        <v>14.401221809999999</v>
      </c>
      <c r="O437">
        <f ca="1">IF(AND(ISNUMBER($O$935),$B$511=1),$O$935,HLOOKUP(INDIRECT(ADDRESS(2,COLUMN())),OFFSET($BN$2,0,0,ROW()-1,60),ROW()-1,FALSE))</f>
        <v>16.392318240000002</v>
      </c>
      <c r="P437">
        <f ca="1">IF(AND(ISNUMBER($P$935),$B$511=1),$P$935,HLOOKUP(INDIRECT(ADDRESS(2,COLUMN())),OFFSET($BN$2,0,0,ROW()-1,60),ROW()-1,FALSE))</f>
        <v>15.09908311</v>
      </c>
      <c r="Q437">
        <f ca="1">IF(AND(ISNUMBER($Q$935),$B$511=1),$Q$935,HLOOKUP(INDIRECT(ADDRESS(2,COLUMN())),OFFSET($BN$2,0,0,ROW()-1,60),ROW()-1,FALSE))</f>
        <v>13.1698808</v>
      </c>
      <c r="R437">
        <f ca="1">IF(AND(ISNUMBER($R$935),$B$511=1),$R$935,HLOOKUP(INDIRECT(ADDRESS(2,COLUMN())),OFFSET($BN$2,0,0,ROW()-1,60),ROW()-1,FALSE))</f>
        <v>15.52444444</v>
      </c>
      <c r="S437">
        <f ca="1">IF(AND(ISNUMBER($S$935),$B$511=1),$S$935,HLOOKUP(INDIRECT(ADDRESS(2,COLUMN())),OFFSET($BN$2,0,0,ROW()-1,60),ROW()-1,FALSE))</f>
        <v>20.926954649999999</v>
      </c>
      <c r="T437">
        <f ca="1">IF(AND(ISNUMBER($T$935),$B$511=1),$T$935,HLOOKUP(INDIRECT(ADDRESS(2,COLUMN())),OFFSET($BN$2,0,0,ROW()-1,60),ROW()-1,FALSE))</f>
        <v>15.70986881</v>
      </c>
      <c r="U437">
        <f ca="1">IF(AND(ISNUMBER($U$935),$B$511=1),$U$935,HLOOKUP(INDIRECT(ADDRESS(2,COLUMN())),OFFSET($BN$2,0,0,ROW()-1,60),ROW()-1,FALSE))</f>
        <v>19.636423189999999</v>
      </c>
      <c r="V437">
        <f ca="1">IF(AND(ISNUMBER($V$935),$B$511=1),$V$935,HLOOKUP(INDIRECT(ADDRESS(2,COLUMN())),OFFSET($BN$2,0,0,ROW()-1,60),ROW()-1,FALSE))</f>
        <v>20.333472279999999</v>
      </c>
      <c r="W437">
        <f ca="1">IF(AND(ISNUMBER($W$935),$B$511=1),$W$935,HLOOKUP(INDIRECT(ADDRESS(2,COLUMN())),OFFSET($BN$2,0,0,ROW()-1,60),ROW()-1,FALSE))</f>
        <v>24.506110830000001</v>
      </c>
      <c r="X437">
        <f ca="1">IF(AND(ISNUMBER($X$935),$B$511=1),$X$935,HLOOKUP(INDIRECT(ADDRESS(2,COLUMN())),OFFSET($BN$2,0,0,ROW()-1,60),ROW()-1,FALSE))</f>
        <v>25.068393220000001</v>
      </c>
      <c r="Y437">
        <f ca="1">IF(AND(ISNUMBER($Y$935),$B$511=1),$Y$935,HLOOKUP(INDIRECT(ADDRESS(2,COLUMN())),OFFSET($BN$2,0,0,ROW()-1,60),ROW()-1,FALSE))</f>
        <v>23.4475269</v>
      </c>
      <c r="Z437">
        <f ca="1">IF(AND(ISNUMBER($Z$935),$B$511=1),$Z$935,HLOOKUP(INDIRECT(ADDRESS(2,COLUMN())),OFFSET($BN$2,0,0,ROW()-1,60),ROW()-1,FALSE))</f>
        <v>22.217910159999999</v>
      </c>
      <c r="AA437">
        <f ca="1">IF(AND(ISNUMBER($AA$935),$B$511=1),$AA$935,HLOOKUP(INDIRECT(ADDRESS(2,COLUMN())),OFFSET($BN$2,0,0,ROW()-1,60),ROW()-1,FALSE))</f>
        <v>25.885039970000001</v>
      </c>
      <c r="AB437">
        <f ca="1">IF(AND(ISNUMBER($AB$935),$B$511=1),$AB$935,HLOOKUP(INDIRECT(ADDRESS(2,COLUMN())),OFFSET($BN$2,0,0,ROW()-1,60),ROW()-1,FALSE))</f>
        <v>22.248243559999999</v>
      </c>
      <c r="AC437">
        <f ca="1">IF(AND(ISNUMBER($AC$935),$B$511=1),$AC$935,HLOOKUP(INDIRECT(ADDRESS(2,COLUMN())),OFFSET($BN$2,0,0,ROW()-1,60),ROW()-1,FALSE))</f>
        <v>19.681868519999998</v>
      </c>
      <c r="AD437">
        <f ca="1">IF(AND(ISNUMBER($AD$935),$B$511=1),$AD$935,HLOOKUP(INDIRECT(ADDRESS(2,COLUMN())),OFFSET($BN$2,0,0,ROW()-1,60),ROW()-1,FALSE))</f>
        <v>14.9119083</v>
      </c>
      <c r="AE437">
        <f ca="1">IF(AND(ISNUMBER($AE$935),$B$511=1),$AE$935,HLOOKUP(INDIRECT(ADDRESS(2,COLUMN())),OFFSET($BN$2,0,0,ROW()-1,60),ROW()-1,FALSE))</f>
        <v>10.106877320000001</v>
      </c>
      <c r="AF437">
        <f ca="1">IF(AND(ISNUMBER($AF$935),$B$511=1),$AF$935,HLOOKUP(INDIRECT(ADDRESS(2,COLUMN())),OFFSET($BN$2,0,0,ROW()-1,60),ROW()-1,FALSE))</f>
        <v>5.8393223819999998</v>
      </c>
      <c r="AG437">
        <f ca="1">IF(AND(ISNUMBER($AG$935),$B$511=1),$AG$935,HLOOKUP(INDIRECT(ADDRESS(2,COLUMN())),OFFSET($BN$2,0,0,ROW()-1,60),ROW()-1,FALSE))</f>
        <v>6.7042606520000003</v>
      </c>
      <c r="AH437">
        <f ca="1">IF(AND(ISNUMBER($AH$935),$B$511=1),$AH$935,HLOOKUP(INDIRECT(ADDRESS(2,COLUMN())),OFFSET($BN$2,0,0,ROW()-1,60),ROW()-1,FALSE))</f>
        <v>8.7740530069999991</v>
      </c>
      <c r="AI437">
        <f ca="1">IF(AND(ISNUMBER($AI$935),$B$511=1),$AI$935,HLOOKUP(INDIRECT(ADDRESS(2,COLUMN())),OFFSET($BN$2,0,0,ROW()-1,60),ROW()-1,FALSE))</f>
        <v>8.8323158849999999</v>
      </c>
      <c r="AJ437">
        <f ca="1">IF(AND(ISNUMBER($AJ$935),$B$511=1),$AJ$935,HLOOKUP(INDIRECT(ADDRESS(2,COLUMN())),OFFSET($BN$2,0,0,ROW()-1,60),ROW()-1,FALSE))</f>
        <v>10.24112004</v>
      </c>
      <c r="AK437">
        <f ca="1">IF(AND(ISNUMBER($AK$935),$B$511=1),$AK$935,HLOOKUP(INDIRECT(ADDRESS(2,COLUMN())),OFFSET($BN$2,0,0,ROW()-1,60),ROW()-1,FALSE))</f>
        <v>13.095829200000001</v>
      </c>
      <c r="AL437">
        <f ca="1">IF(AND(ISNUMBER($AL$935),$B$511=1),$AL$935,HLOOKUP(INDIRECT(ADDRESS(2,COLUMN())),OFFSET($BN$2,0,0,ROW()-1,60),ROW()-1,FALSE))</f>
        <v>11.0467222</v>
      </c>
      <c r="AM437">
        <f ca="1">IF(AND(ISNUMBER($AM$935),$B$511=1),$AM$935,HLOOKUP(INDIRECT(ADDRESS(2,COLUMN())),OFFSET($BN$2,0,0,ROW()-1,60),ROW()-1,FALSE))</f>
        <v>14.25250795</v>
      </c>
      <c r="AN437">
        <f ca="1">IF(AND(ISNUMBER($AN$935),$B$511=1),$AN$935,HLOOKUP(INDIRECT(ADDRESS(2,COLUMN())),OFFSET($BN$2,0,0,ROW()-1,60),ROW()-1,FALSE))</f>
        <v>12.04169662</v>
      </c>
      <c r="AO437">
        <f ca="1">IF(AND(ISNUMBER($AO$935),$B$511=1),$AO$935,HLOOKUP(INDIRECT(ADDRESS(2,COLUMN())),OFFSET($BN$2,0,0,ROW()-1,60),ROW()-1,FALSE))</f>
        <v>11.85369158</v>
      </c>
      <c r="AP437">
        <f ca="1">IF(AND(ISNUMBER($AP$935),$B$511=1),$AP$935,HLOOKUP(INDIRECT(ADDRESS(2,COLUMN())),OFFSET($BN$2,0,0,ROW()-1,60),ROW()-1,FALSE))</f>
        <v>14.073202050000001</v>
      </c>
      <c r="AQ437">
        <f ca="1">IF(AND(ISNUMBER($AQ$935),$B$511=1),$AQ$935,HLOOKUP(INDIRECT(ADDRESS(2,COLUMN())),OFFSET($BN$2,0,0,ROW()-1,60),ROW()-1,FALSE))</f>
        <v>11.474345100000001</v>
      </c>
      <c r="AR437">
        <f ca="1">IF(AND(ISNUMBER($AR$935),$B$511=1),$AR$935,HLOOKUP(INDIRECT(ADDRESS(2,COLUMN())),OFFSET($BN$2,0,0,ROW()-1,60),ROW()-1,FALSE))</f>
        <v>11.20651204</v>
      </c>
      <c r="AS437">
        <f ca="1">IF(AND(ISNUMBER($AS$935),$B$511=1),$AS$935,HLOOKUP(INDIRECT(ADDRESS(2,COLUMN())),OFFSET($BN$2,0,0,ROW()-1,60),ROW()-1,FALSE))</f>
        <v>12.82184385</v>
      </c>
      <c r="AT437">
        <f ca="1">IF(AND(ISNUMBER($AT$935),$B$511=1),$AT$935,HLOOKUP(INDIRECT(ADDRESS(2,COLUMN())),OFFSET($BN$2,0,0,ROW()-1,60),ROW()-1,FALSE))</f>
        <v>8.2536487170000008</v>
      </c>
      <c r="AU437">
        <f ca="1">IF(AND(ISNUMBER($AU$935),$B$511=1),$AU$935,HLOOKUP(INDIRECT(ADDRESS(2,COLUMN())),OFFSET($BN$2,0,0,ROW()-1,60),ROW()-1,FALSE))</f>
        <v>8.2475368089999996</v>
      </c>
      <c r="AV437">
        <f ca="1">IF(AND(ISNUMBER($AV$935),$B$511=1),$AV$935,HLOOKUP(INDIRECT(ADDRESS(2,COLUMN())),OFFSET($BN$2,0,0,ROW()-1,60),ROW()-1,FALSE))</f>
        <v>19.681702609999999</v>
      </c>
      <c r="AW437">
        <f ca="1">IF(AND(ISNUMBER($AW$935),$B$511=1),$AW$935,HLOOKUP(INDIRECT(ADDRESS(2,COLUMN())),OFFSET($BN$2,0,0,ROW()-1,60),ROW()-1,FALSE))</f>
        <v>25.94406253</v>
      </c>
      <c r="AX437">
        <f ca="1">IF(AND(ISNUMBER($AX$935),$B$511=1),$AX$935,HLOOKUP(INDIRECT(ADDRESS(2,COLUMN())),OFFSET($BN$2,0,0,ROW()-1,60),ROW()-1,FALSE))</f>
        <v>17.67474464</v>
      </c>
      <c r="AY437">
        <f ca="1">IF(AND(ISNUMBER($AY$935),$B$511=1),$AY$935,HLOOKUP(INDIRECT(ADDRESS(2,COLUMN())),OFFSET($BN$2,0,0,ROW()-1,60),ROW()-1,FALSE))</f>
        <v>24.734042550000002</v>
      </c>
      <c r="AZ437">
        <f ca="1">IF(AND(ISNUMBER($AZ$935),$B$511=1),$AZ$935,HLOOKUP(INDIRECT(ADDRESS(2,COLUMN())),OFFSET($BN$2,0,0,ROW()-1,60),ROW()-1,FALSE))</f>
        <v>25.304878049999999</v>
      </c>
      <c r="BA437">
        <f ca="1">IF(AND(ISNUMBER($BA$935),$B$511=1),$BA$935,HLOOKUP(INDIRECT(ADDRESS(2,COLUMN())),OFFSET($BN$2,0,0,ROW()-1,60),ROW()-1,FALSE))</f>
        <v>28.516956029999999</v>
      </c>
      <c r="BB437">
        <f ca="1">IF(AND(ISNUMBER($BB$935),$B$511=1),$BB$935,HLOOKUP(INDIRECT(ADDRESS(2,COLUMN())),OFFSET($BN$2,0,0,ROW()-1,60),ROW()-1,FALSE))</f>
        <v>27.723445869999999</v>
      </c>
      <c r="BC437">
        <f ca="1">IF(AND(ISNUMBER($BC$935),$B$511=1),$BC$935,HLOOKUP(INDIRECT(ADDRESS(2,COLUMN())),OFFSET($BN$2,0,0,ROW()-1,60),ROW()-1,FALSE))</f>
        <v>34.136714810000001</v>
      </c>
      <c r="BD437">
        <f ca="1">IF(AND(ISNUMBER($BD$935),$B$511=1),$BD$935,HLOOKUP(INDIRECT(ADDRESS(2,COLUMN())),OFFSET($BN$2,0,0,ROW()-1,60),ROW()-1,FALSE))</f>
        <v>30.333841719999999</v>
      </c>
      <c r="BE437">
        <f ca="1">IF(AND(ISNUMBER($BE$935),$B$511=1),$BE$935,HLOOKUP(INDIRECT(ADDRESS(2,COLUMN())),OFFSET($BN$2,0,0,ROW()-1,60),ROW()-1,FALSE))</f>
        <v>31.31824932</v>
      </c>
      <c r="BF437">
        <f ca="1">IF(AND(ISNUMBER($BF$935),$B$511=1),$BF$935,HLOOKUP(INDIRECT(ADDRESS(2,COLUMN())),OFFSET($BN$2,0,0,ROW()-1,60),ROW()-1,FALSE))</f>
        <v>30.42553191</v>
      </c>
      <c r="BG437">
        <f ca="1">IF(AND(ISNUMBER($BG$935),$B$511=1),$BG$935,HLOOKUP(INDIRECT(ADDRESS(2,COLUMN())),OFFSET($BN$2,0,0,ROW()-1,60),ROW()-1,FALSE))</f>
        <v>22.88717471</v>
      </c>
      <c r="BH437">
        <f ca="1">IF(AND(ISNUMBER($BH$935),$B$511=1),$BH$935,HLOOKUP(INDIRECT(ADDRESS(2,COLUMN())),OFFSET($BN$2,0,0,ROW()-1,60),ROW()-1,FALSE))</f>
        <v>21.926734769999999</v>
      </c>
      <c r="BI437">
        <f ca="1">IF(AND(ISNUMBER($BI$935),$B$511=1),$BI$935,HLOOKUP(INDIRECT(ADDRESS(2,COLUMN())),OFFSET($BN$2,0,0,ROW()-1,60),ROW()-1,FALSE))</f>
        <v>18.795636890000001</v>
      </c>
      <c r="BJ437">
        <f ca="1">IF(AND(ISNUMBER($BJ$935),$B$511=1),$BJ$935,HLOOKUP(INDIRECT(ADDRESS(2,COLUMN())),OFFSET($BN$2,0,0,ROW()-1,60),ROW()-1,FALSE))</f>
        <v>17.070895520000001</v>
      </c>
      <c r="BK437">
        <f ca="1">IF(AND(ISNUMBER($BK$935),$B$511=1),$BK$935,HLOOKUP(INDIRECT(ADDRESS(2,COLUMN())),OFFSET($BN$2,0,0,ROW()-1,60),ROW()-1,FALSE))</f>
        <v>15.62348375</v>
      </c>
      <c r="BL437">
        <f ca="1">IF(AND(ISNUMBER($BL$935),$B$511=1),$BL$935,HLOOKUP(INDIRECT(ADDRESS(2,COLUMN())),OFFSET($BN$2,0,0,ROW()-1,60),ROW()-1,FALSE))</f>
        <v>15.50986992</v>
      </c>
      <c r="BM437">
        <f ca="1">IF(AND(ISNUMBER($BM$935),$B$511=1),$BM$935,HLOOKUP(INDIRECT(ADDRESS(2,COLUMN())),OFFSET($BN$2,0,0,ROW()-1,60),ROW()-1,FALSE))</f>
        <v>17.555088229999999</v>
      </c>
      <c r="BN437">
        <f>11.73382389</f>
        <v>11.73382389</v>
      </c>
      <c r="BO437">
        <f>10.27986595</f>
        <v>10.27986595</v>
      </c>
      <c r="BP437">
        <f>12.01762115</f>
        <v>12.01762115</v>
      </c>
      <c r="BQ437">
        <f>12.27658422</f>
        <v>12.27658422</v>
      </c>
      <c r="BR437">
        <f>13.2413858</f>
        <v>13.2413858</v>
      </c>
      <c r="BS437">
        <f>13.42600817</f>
        <v>13.426008169999999</v>
      </c>
      <c r="BT437">
        <f>15.31699521</f>
        <v>15.31699521</v>
      </c>
      <c r="BU437">
        <f>13.95638629</f>
        <v>13.956386289999999</v>
      </c>
      <c r="BV437">
        <f>14.40122181</f>
        <v>14.401221809999999</v>
      </c>
      <c r="BW437">
        <f>16.39231824</f>
        <v>16.392318240000002</v>
      </c>
      <c r="BX437">
        <f>15.09908311</f>
        <v>15.09908311</v>
      </c>
      <c r="BY437">
        <f>13.1698808</f>
        <v>13.1698808</v>
      </c>
      <c r="BZ437">
        <f>15.52444444</f>
        <v>15.52444444</v>
      </c>
      <c r="CA437">
        <f>20.92695465</f>
        <v>20.926954649999999</v>
      </c>
      <c r="CB437">
        <f>15.70986881</f>
        <v>15.70986881</v>
      </c>
      <c r="CC437">
        <f>19.63642319</f>
        <v>19.636423189999999</v>
      </c>
      <c r="CD437">
        <f>20.33347228</f>
        <v>20.333472279999999</v>
      </c>
      <c r="CE437">
        <f>24.50611083</f>
        <v>24.506110830000001</v>
      </c>
      <c r="CF437">
        <f>25.06839322</f>
        <v>25.068393220000001</v>
      </c>
      <c r="CG437">
        <f>23.4475269</f>
        <v>23.4475269</v>
      </c>
      <c r="CH437">
        <f>22.21791016</f>
        <v>22.217910159999999</v>
      </c>
      <c r="CI437">
        <f>25.88503997</f>
        <v>25.885039970000001</v>
      </c>
      <c r="CJ437">
        <f>22.24824356</f>
        <v>22.248243559999999</v>
      </c>
      <c r="CK437">
        <f>19.68186852</f>
        <v>19.681868519999998</v>
      </c>
      <c r="CL437">
        <f>14.9119083</f>
        <v>14.9119083</v>
      </c>
      <c r="CM437">
        <f>10.10687732</f>
        <v>10.106877320000001</v>
      </c>
      <c r="CN437">
        <f>5.839322382</f>
        <v>5.8393223819999998</v>
      </c>
      <c r="CO437">
        <f>6.704260652</f>
        <v>6.7042606520000003</v>
      </c>
      <c r="CP437">
        <f>8.774053007</f>
        <v>8.7740530069999991</v>
      </c>
      <c r="CQ437">
        <f>8.832315885</f>
        <v>8.8323158849999999</v>
      </c>
      <c r="CR437">
        <f>10.24112004</f>
        <v>10.24112004</v>
      </c>
      <c r="CS437">
        <f>13.0958292</f>
        <v>13.095829200000001</v>
      </c>
      <c r="CT437">
        <f>11.0467222</f>
        <v>11.0467222</v>
      </c>
      <c r="CU437">
        <f>14.25250795</f>
        <v>14.25250795</v>
      </c>
      <c r="CV437">
        <f>12.04169662</f>
        <v>12.04169662</v>
      </c>
      <c r="CW437">
        <f>11.85369158</f>
        <v>11.85369158</v>
      </c>
      <c r="CX437">
        <f>14.07320205</f>
        <v>14.073202050000001</v>
      </c>
      <c r="CY437">
        <f>11.4743451</f>
        <v>11.474345100000001</v>
      </c>
      <c r="CZ437">
        <f>11.20651204</f>
        <v>11.20651204</v>
      </c>
      <c r="DA437">
        <f>12.82184385</f>
        <v>12.82184385</v>
      </c>
      <c r="DB437">
        <f>8.253648717</f>
        <v>8.2536487170000008</v>
      </c>
      <c r="DC437">
        <f>8.247536809</f>
        <v>8.2475368089999996</v>
      </c>
      <c r="DD437">
        <f>19.68170261</f>
        <v>19.681702609999999</v>
      </c>
      <c r="DE437">
        <f>25.94406253</f>
        <v>25.94406253</v>
      </c>
      <c r="DF437">
        <f>17.67474464</f>
        <v>17.67474464</v>
      </c>
      <c r="DG437">
        <f>24.73404255</f>
        <v>24.734042550000002</v>
      </c>
      <c r="DH437">
        <f>25.30487805</f>
        <v>25.304878049999999</v>
      </c>
      <c r="DI437">
        <f>28.51695603</f>
        <v>28.516956029999999</v>
      </c>
      <c r="DJ437">
        <f>27.72344587</f>
        <v>27.723445869999999</v>
      </c>
      <c r="DK437">
        <f>34.13671481</f>
        <v>34.136714810000001</v>
      </c>
      <c r="DL437">
        <f>30.33384172</f>
        <v>30.333841719999999</v>
      </c>
      <c r="DM437">
        <f>31.31824932</f>
        <v>31.31824932</v>
      </c>
      <c r="DN437">
        <f>30.42553191</f>
        <v>30.42553191</v>
      </c>
      <c r="DO437">
        <f>22.88717471</f>
        <v>22.88717471</v>
      </c>
      <c r="DP437">
        <f>21.92673477</f>
        <v>21.926734769999999</v>
      </c>
      <c r="DQ437">
        <f>18.79563689</f>
        <v>18.795636890000001</v>
      </c>
      <c r="DR437">
        <f>17.07089552</f>
        <v>17.070895520000001</v>
      </c>
      <c r="DS437">
        <f>15.62348375</f>
        <v>15.62348375</v>
      </c>
      <c r="DT437">
        <f>15.50986992</f>
        <v>15.50986992</v>
      </c>
      <c r="DU437">
        <f>17.55508823</f>
        <v>17.555088229999999</v>
      </c>
    </row>
    <row r="438" spans="1:125" x14ac:dyDescent="0.25">
      <c r="A438" t="str">
        <f>"    Mitsubishi Motors Corp"</f>
        <v xml:space="preserve">    Mitsubishi Motors Corp</v>
      </c>
      <c r="B438" t="str">
        <f>"7211 JP Equity"</f>
        <v>7211 JP Equity</v>
      </c>
      <c r="C438" t="str">
        <f t="shared" si="30"/>
        <v>PR005</v>
      </c>
      <c r="D438" t="str">
        <f t="shared" si="31"/>
        <v>PX_LAST</v>
      </c>
      <c r="E438" t="str">
        <f t="shared" si="32"/>
        <v>Dynamic</v>
      </c>
      <c r="F438">
        <f ca="1">IF(AND(ISNUMBER($F$936),$B$511=1),$F$936,HLOOKUP(INDIRECT(ADDRESS(2,COLUMN())),OFFSET($BN$2,0,0,ROW()-1,60),ROW()-1,FALSE))</f>
        <v>5.6094059439999997</v>
      </c>
      <c r="G438">
        <f ca="1">IF(AND(ISNUMBER($G$936),$B$511=1),$G$936,HLOOKUP(INDIRECT(ADDRESS(2,COLUMN())),OFFSET($BN$2,0,0,ROW()-1,60),ROW()-1,FALSE))</f>
        <v>5.4524046730000002</v>
      </c>
      <c r="H438">
        <f ca="1">IF(AND(ISNUMBER($H$936),$B$511=1),$H$936,HLOOKUP(INDIRECT(ADDRESS(2,COLUMN())),OFFSET($BN$2,0,0,ROW()-1,60),ROW()-1,FALSE))</f>
        <v>7.0660792949999998</v>
      </c>
      <c r="I438">
        <f ca="1">IF(AND(ISNUMBER($I$936),$B$511=1),$I$936,HLOOKUP(INDIRECT(ADDRESS(2,COLUMN())),OFFSET($BN$2,0,0,ROW()-1,60),ROW()-1,FALSE))</f>
        <v>7.9707528429999996</v>
      </c>
      <c r="J438">
        <f ca="1">IF(AND(ISNUMBER($J$936),$B$511=1),$J$936,HLOOKUP(INDIRECT(ADDRESS(2,COLUMN())),OFFSET($BN$2,0,0,ROW()-1,60),ROW()-1,FALSE))</f>
        <v>7.1643758240000004</v>
      </c>
      <c r="K438">
        <f ca="1">IF(AND(ISNUMBER($K$936),$B$511=1),$K$936,HLOOKUP(INDIRECT(ADDRESS(2,COLUMN())),OFFSET($BN$2,0,0,ROW()-1,60),ROW()-1,FALSE))</f>
        <v>7.2304139279999999</v>
      </c>
      <c r="L438">
        <f ca="1">IF(AND(ISNUMBER($L$936),$B$511=1),$L$936,HLOOKUP(INDIRECT(ADDRESS(2,COLUMN())),OFFSET($BN$2,0,0,ROW()-1,60),ROW()-1,FALSE))</f>
        <v>7.9026815839999998</v>
      </c>
      <c r="M438">
        <f ca="1">IF(AND(ISNUMBER($M$936),$B$511=1),$M$936,HLOOKUP(INDIRECT(ADDRESS(2,COLUMN())),OFFSET($BN$2,0,0,ROW()-1,60),ROW()-1,FALSE))</f>
        <v>6.5865598580000002</v>
      </c>
      <c r="N438">
        <f ca="1">IF(AND(ISNUMBER($N$936),$B$511=1),$N$936,HLOOKUP(INDIRECT(ADDRESS(2,COLUMN())),OFFSET($BN$2,0,0,ROW()-1,60),ROW()-1,FALSE))</f>
        <v>6.0102416669999998</v>
      </c>
      <c r="O438">
        <f ca="1">IF(AND(ISNUMBER($O$936),$B$511=1),$O$936,HLOOKUP(INDIRECT(ADDRESS(2,COLUMN())),OFFSET($BN$2,0,0,ROW()-1,60),ROW()-1,FALSE))</f>
        <v>5.709876543</v>
      </c>
      <c r="P438">
        <f ca="1">IF(AND(ISNUMBER($P$936),$B$511=1),$P$936,HLOOKUP(INDIRECT(ADDRESS(2,COLUMN())),OFFSET($BN$2,0,0,ROW()-1,60),ROW()-1,FALSE))</f>
        <v>4.6238785370000004</v>
      </c>
      <c r="Q438">
        <f ca="1">IF(AND(ISNUMBER($Q$936),$B$511=1),$Q$936,HLOOKUP(INDIRECT(ADDRESS(2,COLUMN())),OFFSET($BN$2,0,0,ROW()-1,60),ROW()-1,FALSE))</f>
        <v>4.545014052</v>
      </c>
      <c r="R438">
        <f ca="1">IF(AND(ISNUMBER($R$936),$B$511=1),$R$936,HLOOKUP(INDIRECT(ADDRESS(2,COLUMN())),OFFSET($BN$2,0,0,ROW()-1,60),ROW()-1,FALSE))</f>
        <v>7.4933333329999998</v>
      </c>
      <c r="S438">
        <f ca="1">IF(AND(ISNUMBER($S$936),$B$511=1),$S$936,HLOOKUP(INDIRECT(ADDRESS(2,COLUMN())),OFFSET($BN$2,0,0,ROW()-1,60),ROW()-1,FALSE))</f>
        <v>8.5399220630000006</v>
      </c>
      <c r="T438">
        <f ca="1">IF(AND(ISNUMBER($T$936),$B$511=1),$T$936,HLOOKUP(INDIRECT(ADDRESS(2,COLUMN())),OFFSET($BN$2,0,0,ROW()-1,60),ROW()-1,FALSE))</f>
        <v>7.6209576329999997</v>
      </c>
      <c r="U438">
        <f ca="1">IF(AND(ISNUMBER($U$936),$B$511=1),$U$936,HLOOKUP(INDIRECT(ADDRESS(2,COLUMN())),OFFSET($BN$2,0,0,ROW()-1,60),ROW()-1,FALSE))</f>
        <v>8.5325908940000001</v>
      </c>
      <c r="V438">
        <f ca="1">IF(AND(ISNUMBER($V$936),$B$511=1),$V$936,HLOOKUP(INDIRECT(ADDRESS(2,COLUMN())),OFFSET($BN$2,0,0,ROW()-1,60),ROW()-1,FALSE))</f>
        <v>9.0454355979999992</v>
      </c>
      <c r="W438">
        <f ca="1">IF(AND(ISNUMBER($W$936),$B$511=1),$W$936,HLOOKUP(INDIRECT(ADDRESS(2,COLUMN())),OFFSET($BN$2,0,0,ROW()-1,60),ROW()-1,FALSE))</f>
        <v>9.2918131590000002</v>
      </c>
      <c r="X438">
        <f ca="1">IF(AND(ISNUMBER($X$936),$B$511=1),$X$936,HLOOKUP(INDIRECT(ADDRESS(2,COLUMN())),OFFSET($BN$2,0,0,ROW()-1,60),ROW()-1,FALSE))</f>
        <v>12.13751596</v>
      </c>
      <c r="Y438">
        <f ca="1">IF(AND(ISNUMBER($Y$936),$B$511=1),$Y$936,HLOOKUP(INDIRECT(ADDRESS(2,COLUMN())),OFFSET($BN$2,0,0,ROW()-1,60),ROW()-1,FALSE))</f>
        <v>11.037614769999999</v>
      </c>
      <c r="Z438">
        <f ca="1">IF(AND(ISNUMBER($Z$936),$B$511=1),$Z$936,HLOOKUP(INDIRECT(ADDRESS(2,COLUMN())),OFFSET($BN$2,0,0,ROW()-1,60),ROW()-1,FALSE))</f>
        <v>10.47831571</v>
      </c>
      <c r="AA438">
        <f ca="1">IF(AND(ISNUMBER($AA$936),$B$511=1),$AA$936,HLOOKUP(INDIRECT(ADDRESS(2,COLUMN())),OFFSET($BN$2,0,0,ROW()-1,60),ROW()-1,FALSE))</f>
        <v>10.7441949</v>
      </c>
      <c r="AB438">
        <f ca="1">IF(AND(ISNUMBER($AB$936),$B$511=1),$AB$936,HLOOKUP(INDIRECT(ADDRESS(2,COLUMN())),OFFSET($BN$2,0,0,ROW()-1,60),ROW()-1,FALSE))</f>
        <v>11.03757255</v>
      </c>
      <c r="AC438">
        <f ca="1">IF(AND(ISNUMBER($AC$936),$B$511=1),$AC$936,HLOOKUP(INDIRECT(ADDRESS(2,COLUMN())),OFFSET($BN$2,0,0,ROW()-1,60),ROW()-1,FALSE))</f>
        <v>13.69173462</v>
      </c>
      <c r="AD438">
        <f ca="1">IF(AND(ISNUMBER($AD$936),$B$511=1),$AD$936,HLOOKUP(INDIRECT(ADDRESS(2,COLUMN())),OFFSET($BN$2,0,0,ROW()-1,60),ROW()-1,FALSE))</f>
        <v>10.40118871</v>
      </c>
      <c r="AE438">
        <f ca="1">IF(AND(ISNUMBER($AE$936),$B$511=1),$AE$936,HLOOKUP(INDIRECT(ADDRESS(2,COLUMN())),OFFSET($BN$2,0,0,ROW()-1,60),ROW()-1,FALSE))</f>
        <v>10.339219330000001</v>
      </c>
      <c r="AF438">
        <f ca="1">IF(AND(ISNUMBER($AF$936),$B$511=1),$AF$936,HLOOKUP(INDIRECT(ADDRESS(2,COLUMN())),OFFSET($BN$2,0,0,ROW()-1,60),ROW()-1,FALSE))</f>
        <v>9.2402464070000008</v>
      </c>
      <c r="AG438">
        <f ca="1">IF(AND(ISNUMBER($AG$936),$B$511=1),$AG$936,HLOOKUP(INDIRECT(ADDRESS(2,COLUMN())),OFFSET($BN$2,0,0,ROW()-1,60),ROW()-1,FALSE))</f>
        <v>10.02506266</v>
      </c>
      <c r="AH438">
        <f ca="1">IF(AND(ISNUMBER($AH$936),$B$511=1),$AH$936,HLOOKUP(INDIRECT(ADDRESS(2,COLUMN())),OFFSET($BN$2,0,0,ROW()-1,60),ROW()-1,FALSE))</f>
        <v>11.37601355</v>
      </c>
      <c r="AI438">
        <f ca="1">IF(AND(ISNUMBER($AI$936),$B$511=1),$AI$936,HLOOKUP(INDIRECT(ADDRESS(2,COLUMN())),OFFSET($BN$2,0,0,ROW()-1,60),ROW()-1,FALSE))</f>
        <v>11.819716850000001</v>
      </c>
      <c r="AJ438">
        <f ca="1">IF(AND(ISNUMBER($AJ$936),$B$511=1),$AJ$936,HLOOKUP(INDIRECT(ADDRESS(2,COLUMN())),OFFSET($BN$2,0,0,ROW()-1,60),ROW()-1,FALSE))</f>
        <v>13.35234638</v>
      </c>
      <c r="AK438">
        <f ca="1">IF(AND(ISNUMBER($AK$936),$B$511=1),$AK$936,HLOOKUP(INDIRECT(ADDRESS(2,COLUMN())),OFFSET($BN$2,0,0,ROW()-1,60),ROW()-1,FALSE))</f>
        <v>12.16484608</v>
      </c>
      <c r="AL438">
        <f ca="1">IF(AND(ISNUMBER($AL$936),$B$511=1),$AL$936,HLOOKUP(INDIRECT(ADDRESS(2,COLUMN())),OFFSET($BN$2,0,0,ROW()-1,60),ROW()-1,FALSE))</f>
        <v>12.314378850000001</v>
      </c>
      <c r="AM438">
        <f ca="1">IF(AND(ISNUMBER($AM$936),$B$511=1),$AM$936,HLOOKUP(INDIRECT(ADDRESS(2,COLUMN())),OFFSET($BN$2,0,0,ROW()-1,60),ROW()-1,FALSE))</f>
        <v>14.43601664</v>
      </c>
      <c r="AN438">
        <f ca="1">IF(AND(ISNUMBER($AN$936),$B$511=1),$AN$936,HLOOKUP(INDIRECT(ADDRESS(2,COLUMN())),OFFSET($BN$2,0,0,ROW()-1,60),ROW()-1,FALSE))</f>
        <v>13.060148570000001</v>
      </c>
      <c r="AO438">
        <f ca="1">IF(AND(ISNUMBER($AO$936),$B$511=1),$AO$936,HLOOKUP(INDIRECT(ADDRESS(2,COLUMN())),OFFSET($BN$2,0,0,ROW()-1,60),ROW()-1,FALSE))</f>
        <v>12.756829979999999</v>
      </c>
      <c r="AP438">
        <f ca="1">IF(AND(ISNUMBER($AP$936),$B$511=1),$AP$936,HLOOKUP(INDIRECT(ADDRESS(2,COLUMN())),OFFSET($BN$2,0,0,ROW()-1,60),ROW()-1,FALSE))</f>
        <v>13.591609589999999</v>
      </c>
      <c r="AQ438">
        <f ca="1">IF(AND(ISNUMBER($AQ$936),$B$511=1),$AQ$936,HLOOKUP(INDIRECT(ADDRESS(2,COLUMN())),OFFSET($BN$2,0,0,ROW()-1,60),ROW()-1,FALSE))</f>
        <v>13.855812950000001</v>
      </c>
      <c r="AR438">
        <f ca="1">IF(AND(ISNUMBER($AR$936),$B$511=1),$AR$936,HLOOKUP(INDIRECT(ADDRESS(2,COLUMN())),OFFSET($BN$2,0,0,ROW()-1,60),ROW()-1,FALSE))</f>
        <v>16.503122210000001</v>
      </c>
      <c r="AS438">
        <f ca="1">IF(AND(ISNUMBER($AS$936),$B$511=1),$AS$936,HLOOKUP(INDIRECT(ADDRESS(2,COLUMN())),OFFSET($BN$2,0,0,ROW()-1,60),ROW()-1,FALSE))</f>
        <v>18.791528240000002</v>
      </c>
      <c r="AT438">
        <f ca="1">IF(AND(ISNUMBER($AT$936),$B$511=1),$AT$936,HLOOKUP(INDIRECT(ADDRESS(2,COLUMN())),OFFSET($BN$2,0,0,ROW()-1,60),ROW()-1,FALSE))</f>
        <v>12.581781579999999</v>
      </c>
      <c r="AU438">
        <f ca="1">IF(AND(ISNUMBER($AU$936),$B$511=1),$AU$936,HLOOKUP(INDIRECT(ADDRESS(2,COLUMN())),OFFSET($BN$2,0,0,ROW()-1,60),ROW()-1,FALSE))</f>
        <v>13.50603343</v>
      </c>
      <c r="AV438">
        <f ca="1">IF(AND(ISNUMBER($AV$936),$B$511=1),$AV$936,HLOOKUP(INDIRECT(ADDRESS(2,COLUMN())),OFFSET($BN$2,0,0,ROW()-1,60),ROW()-1,FALSE))</f>
        <v>16.3857237</v>
      </c>
      <c r="AW438">
        <f ca="1">IF(AND(ISNUMBER($AW$936),$B$511=1),$AW$936,HLOOKUP(INDIRECT(ADDRESS(2,COLUMN())),OFFSET($BN$2,0,0,ROW()-1,60),ROW()-1,FALSE))</f>
        <v>18.174969390000001</v>
      </c>
      <c r="AX438">
        <f ca="1">IF(AND(ISNUMBER($AX$936),$B$511=1),$AX$936,HLOOKUP(INDIRECT(ADDRESS(2,COLUMN())),OFFSET($BN$2,0,0,ROW()-1,60),ROW()-1,FALSE))</f>
        <v>16.422992189999999</v>
      </c>
      <c r="AY438">
        <f ca="1">IF(AND(ISNUMBER($AY$936),$B$511=1),$AY$936,HLOOKUP(INDIRECT(ADDRESS(2,COLUMN())),OFFSET($BN$2,0,0,ROW()-1,60),ROW()-1,FALSE))</f>
        <v>16.755319149999998</v>
      </c>
      <c r="AZ438">
        <f ca="1">IF(AND(ISNUMBER($AZ$936),$B$511=1),$AZ$936,HLOOKUP(INDIRECT(ADDRESS(2,COLUMN())),OFFSET($BN$2,0,0,ROW()-1,60),ROW()-1,FALSE))</f>
        <v>15.243902439999999</v>
      </c>
      <c r="BA438">
        <f ca="1">IF(AND(ISNUMBER($BA$936),$B$511=1),$BA$936,HLOOKUP(INDIRECT(ADDRESS(2,COLUMN())),OFFSET($BN$2,0,0,ROW()-1,60),ROW()-1,FALSE))</f>
        <v>15.171182870000001</v>
      </c>
      <c r="BB438">
        <f ca="1">IF(AND(ISNUMBER($BB$936),$B$511=1),$BB$936,HLOOKUP(INDIRECT(ADDRESS(2,COLUMN())),OFFSET($BN$2,0,0,ROW()-1,60),ROW()-1,FALSE))</f>
        <v>15.647589079999999</v>
      </c>
      <c r="BC438">
        <f ca="1">IF(AND(ISNUMBER($BC$936),$B$511=1),$BC$936,HLOOKUP(INDIRECT(ADDRESS(2,COLUMN())),OFFSET($BN$2,0,0,ROW()-1,60),ROW()-1,FALSE))</f>
        <v>16.543500170000002</v>
      </c>
      <c r="BD438">
        <f ca="1">IF(AND(ISNUMBER($BD$936),$B$511=1),$BD$936,HLOOKUP(INDIRECT(ADDRESS(2,COLUMN())),OFFSET($BN$2,0,0,ROW()-1,60),ROW()-1,FALSE))</f>
        <v>16.607354690000001</v>
      </c>
      <c r="BE438">
        <f ca="1">IF(AND(ISNUMBER($BE$936),$B$511=1),$BE$936,HLOOKUP(INDIRECT(ADDRESS(2,COLUMN())),OFFSET($BN$2,0,0,ROW()-1,60),ROW()-1,FALSE))</f>
        <v>18.520136279999999</v>
      </c>
      <c r="BF438">
        <f ca="1">IF(AND(ISNUMBER($BF$936),$B$511=1),$BF$936,HLOOKUP(INDIRECT(ADDRESS(2,COLUMN())),OFFSET($BN$2,0,0,ROW()-1,60),ROW()-1,FALSE))</f>
        <v>21.191489359999998</v>
      </c>
      <c r="BG438">
        <f ca="1">IF(AND(ISNUMBER($BG$936),$B$511=1),$BG$936,HLOOKUP(INDIRECT(ADDRESS(2,COLUMN())),OFFSET($BN$2,0,0,ROW()-1,60),ROW()-1,FALSE))</f>
        <v>20.767991859999999</v>
      </c>
      <c r="BH438">
        <f ca="1">IF(AND(ISNUMBER($BH$936),$B$511=1),$BH$936,HLOOKUP(INDIRECT(ADDRESS(2,COLUMN())),OFFSET($BN$2,0,0,ROW()-1,60),ROW()-1,FALSE))</f>
        <v>20.517787949999999</v>
      </c>
      <c r="BI438">
        <f ca="1">IF(AND(ISNUMBER($BI$936),$B$511=1),$BI$936,HLOOKUP(INDIRECT(ADDRESS(2,COLUMN())),OFFSET($BN$2,0,0,ROW()-1,60),ROW()-1,FALSE))</f>
        <v>12.620571529999999</v>
      </c>
      <c r="BJ438">
        <f ca="1">IF(AND(ISNUMBER($BJ$936),$B$511=1),$BJ$936,HLOOKUP(INDIRECT(ADDRESS(2,COLUMN())),OFFSET($BN$2,0,0,ROW()-1,60),ROW()-1,FALSE))</f>
        <v>13.15298507</v>
      </c>
      <c r="BK438">
        <f ca="1">IF(AND(ISNUMBER($BK$936),$B$511=1),$BK$936,HLOOKUP(INDIRECT(ADDRESS(2,COLUMN())),OFFSET($BN$2,0,0,ROW()-1,60),ROW()-1,FALSE))</f>
        <v>11.35371179</v>
      </c>
      <c r="BL438">
        <f ca="1">IF(AND(ISNUMBER($BL$936),$B$511=1),$BL$936,HLOOKUP(INDIRECT(ADDRESS(2,COLUMN())),OFFSET($BN$2,0,0,ROW()-1,60),ROW()-1,FALSE))</f>
        <v>10.46120258</v>
      </c>
      <c r="BM438">
        <f ca="1">IF(AND(ISNUMBER($BM$936),$B$511=1),$BM$936,HLOOKUP(INDIRECT(ADDRESS(2,COLUMN())),OFFSET($BN$2,0,0,ROW()-1,60),ROW()-1,FALSE))</f>
        <v>16.275029719999999</v>
      </c>
      <c r="BN438">
        <f>5.609405944</f>
        <v>5.6094059439999997</v>
      </c>
      <c r="BO438">
        <f>5.452404673</f>
        <v>5.4524046730000002</v>
      </c>
      <c r="BP438">
        <f>7.066079295</f>
        <v>7.0660792949999998</v>
      </c>
      <c r="BQ438">
        <f>7.970752843</f>
        <v>7.9707528429999996</v>
      </c>
      <c r="BR438">
        <f>7.164375824</f>
        <v>7.1643758240000004</v>
      </c>
      <c r="BS438">
        <f>7.230413928</f>
        <v>7.2304139279999999</v>
      </c>
      <c r="BT438">
        <f>7.902681584</f>
        <v>7.9026815839999998</v>
      </c>
      <c r="BU438">
        <f>6.586559858</f>
        <v>6.5865598580000002</v>
      </c>
      <c r="BV438">
        <f>6.010241667</f>
        <v>6.0102416669999998</v>
      </c>
      <c r="BW438">
        <f>5.709876543</f>
        <v>5.709876543</v>
      </c>
      <c r="BX438">
        <f>4.623878537</f>
        <v>4.6238785370000004</v>
      </c>
      <c r="BY438">
        <f>4.545014052</f>
        <v>4.545014052</v>
      </c>
      <c r="BZ438">
        <f>7.493333333</f>
        <v>7.4933333329999998</v>
      </c>
      <c r="CA438">
        <f>8.539922063</f>
        <v>8.5399220630000006</v>
      </c>
      <c r="CB438">
        <f>7.620957633</f>
        <v>7.6209576329999997</v>
      </c>
      <c r="CC438">
        <f>8.532590894</f>
        <v>8.5325908940000001</v>
      </c>
      <c r="CD438">
        <f>9.045435598</f>
        <v>9.0454355979999992</v>
      </c>
      <c r="CE438">
        <f>9.291813159</f>
        <v>9.2918131590000002</v>
      </c>
      <c r="CF438">
        <f>12.13751596</f>
        <v>12.13751596</v>
      </c>
      <c r="CG438">
        <f>11.03761477</f>
        <v>11.037614769999999</v>
      </c>
      <c r="CH438">
        <f>10.47831571</f>
        <v>10.47831571</v>
      </c>
      <c r="CI438">
        <f>10.7441949</f>
        <v>10.7441949</v>
      </c>
      <c r="CJ438">
        <f>11.03757255</f>
        <v>11.03757255</v>
      </c>
      <c r="CK438">
        <f>13.69173462</f>
        <v>13.69173462</v>
      </c>
      <c r="CL438">
        <f>10.40118871</f>
        <v>10.40118871</v>
      </c>
      <c r="CM438">
        <f>10.33921933</f>
        <v>10.339219330000001</v>
      </c>
      <c r="CN438">
        <f>9.240246407</f>
        <v>9.2402464070000008</v>
      </c>
      <c r="CO438">
        <f>10.02506266</f>
        <v>10.02506266</v>
      </c>
      <c r="CP438">
        <f>11.37601355</f>
        <v>11.37601355</v>
      </c>
      <c r="CQ438">
        <f>11.81971685</f>
        <v>11.819716850000001</v>
      </c>
      <c r="CR438">
        <f>13.35234638</f>
        <v>13.35234638</v>
      </c>
      <c r="CS438">
        <f>12.16484608</f>
        <v>12.16484608</v>
      </c>
      <c r="CT438">
        <f>12.31437885</f>
        <v>12.314378850000001</v>
      </c>
      <c r="CU438">
        <f>14.43601664</f>
        <v>14.43601664</v>
      </c>
      <c r="CV438">
        <f>13.06014857</f>
        <v>13.060148570000001</v>
      </c>
      <c r="CW438">
        <f>12.75682998</f>
        <v>12.756829979999999</v>
      </c>
      <c r="CX438">
        <f>13.59160959</f>
        <v>13.591609589999999</v>
      </c>
      <c r="CY438">
        <f>13.85581295</f>
        <v>13.855812950000001</v>
      </c>
      <c r="CZ438">
        <f>16.50312221</f>
        <v>16.503122210000001</v>
      </c>
      <c r="DA438">
        <f>18.79152824</f>
        <v>18.791528240000002</v>
      </c>
      <c r="DB438">
        <f>12.58178158</f>
        <v>12.581781579999999</v>
      </c>
      <c r="DC438">
        <f>13.50603343</f>
        <v>13.50603343</v>
      </c>
      <c r="DD438">
        <f>16.3857237</f>
        <v>16.3857237</v>
      </c>
      <c r="DE438">
        <f>18.17496939</f>
        <v>18.174969390000001</v>
      </c>
      <c r="DF438">
        <f>16.42299219</f>
        <v>16.422992189999999</v>
      </c>
      <c r="DG438">
        <f>16.75531915</f>
        <v>16.755319149999998</v>
      </c>
      <c r="DH438">
        <f>15.24390244</f>
        <v>15.243902439999999</v>
      </c>
      <c r="DI438">
        <f>15.17118287</f>
        <v>15.171182870000001</v>
      </c>
      <c r="DJ438">
        <f>15.64758908</f>
        <v>15.647589079999999</v>
      </c>
      <c r="DK438">
        <f>16.54350017</f>
        <v>16.543500170000002</v>
      </c>
      <c r="DL438">
        <f>16.60735469</f>
        <v>16.607354690000001</v>
      </c>
      <c r="DM438">
        <f>18.52013628</f>
        <v>18.520136279999999</v>
      </c>
      <c r="DN438">
        <f>21.19148936</f>
        <v>21.191489359999998</v>
      </c>
      <c r="DO438">
        <f>20.76799186</f>
        <v>20.767991859999999</v>
      </c>
      <c r="DP438">
        <f>20.51778795</f>
        <v>20.517787949999999</v>
      </c>
      <c r="DQ438">
        <f>12.62057153</f>
        <v>12.620571529999999</v>
      </c>
      <c r="DR438">
        <f>13.15298507</f>
        <v>13.15298507</v>
      </c>
      <c r="DS438">
        <f>11.35371179</f>
        <v>11.35371179</v>
      </c>
      <c r="DT438">
        <f>10.46120258</f>
        <v>10.46120258</v>
      </c>
      <c r="DU438">
        <f>16.27502972</f>
        <v>16.275029719999999</v>
      </c>
    </row>
    <row r="439" spans="1:125" x14ac:dyDescent="0.25">
      <c r="A439" t="str">
        <f>"    Nissan Motor Co Ltd"</f>
        <v xml:space="preserve">    Nissan Motor Co Ltd</v>
      </c>
      <c r="B439" t="str">
        <f>"7201 JP Equity"</f>
        <v>7201 JP Equity</v>
      </c>
      <c r="C439" t="str">
        <f t="shared" si="30"/>
        <v>PR005</v>
      </c>
      <c r="D439" t="str">
        <f t="shared" si="31"/>
        <v>PX_LAST</v>
      </c>
      <c r="E439" t="str">
        <f t="shared" si="32"/>
        <v>Dynamic</v>
      </c>
      <c r="F439">
        <f ca="1">IF(AND(ISNUMBER($F$937),$B$511=1),$F$937,HLOOKUP(INDIRECT(ADDRESS(2,COLUMN())),OFFSET($BN$2,0,0,ROW()-1,60),ROW()-1,FALSE))</f>
        <v>8.6368123249999993</v>
      </c>
      <c r="G439">
        <f ca="1">IF(AND(ISNUMBER($G$937),$B$511=1),$G$937,HLOOKUP(INDIRECT(ADDRESS(2,COLUMN())),OFFSET($BN$2,0,0,ROW()-1,60),ROW()-1,FALSE))</f>
        <v>7.9730096909999997</v>
      </c>
      <c r="H439">
        <f ca="1">IF(AND(ISNUMBER($H$937),$B$511=1),$H$937,HLOOKUP(INDIRECT(ADDRESS(2,COLUMN())),OFFSET($BN$2,0,0,ROW()-1,60),ROW()-1,FALSE))</f>
        <v>9.3700440530000009</v>
      </c>
      <c r="I439">
        <f ca="1">IF(AND(ISNUMBER($I$937),$B$511=1),$I$937,HLOOKUP(INDIRECT(ADDRESS(2,COLUMN())),OFFSET($BN$2,0,0,ROW()-1,60),ROW()-1,FALSE))</f>
        <v>9.7309983750000004</v>
      </c>
      <c r="J439">
        <f ca="1">IF(AND(ISNUMBER($J$937),$B$511=1),$J$937,HLOOKUP(INDIRECT(ADDRESS(2,COLUMN())),OFFSET($BN$2,0,0,ROW()-1,60),ROW()-1,FALSE))</f>
        <v>10.393522880000001</v>
      </c>
      <c r="K439">
        <f ca="1">IF(AND(ISNUMBER($K$937),$B$511=1),$K$937,HLOOKUP(INDIRECT(ADDRESS(2,COLUMN())),OFFSET($BN$2,0,0,ROW()-1,60),ROW()-1,FALSE))</f>
        <v>9.9795700830000005</v>
      </c>
      <c r="L439">
        <f ca="1">IF(AND(ISNUMBER($L$937),$B$511=1),$L$937,HLOOKUP(INDIRECT(ADDRESS(2,COLUMN())),OFFSET($BN$2,0,0,ROW()-1,60),ROW()-1,FALSE))</f>
        <v>9.8961108150000001</v>
      </c>
      <c r="M439">
        <f ca="1">IF(AND(ISNUMBER($M$937),$B$511=1),$M$937,HLOOKUP(INDIRECT(ADDRESS(2,COLUMN())),OFFSET($BN$2,0,0,ROW()-1,60),ROW()-1,FALSE))</f>
        <v>9.9510458390000007</v>
      </c>
      <c r="N439">
        <f ca="1">IF(AND(ISNUMBER($N$937),$B$511=1),$N$937,HLOOKUP(INDIRECT(ADDRESS(2,COLUMN())),OFFSET($BN$2,0,0,ROW()-1,60),ROW()-1,FALSE))</f>
        <v>9.6442368159999994</v>
      </c>
      <c r="O439">
        <f ca="1">IF(AND(ISNUMBER($O$937),$B$511=1),$O$937,HLOOKUP(INDIRECT(ADDRESS(2,COLUMN())),OFFSET($BN$2,0,0,ROW()-1,60),ROW()-1,FALSE))</f>
        <v>10.07801783</v>
      </c>
      <c r="P439">
        <f ca="1">IF(AND(ISNUMBER($P$937),$B$511=1),$P$937,HLOOKUP(INDIRECT(ADDRESS(2,COLUMN())),OFFSET($BN$2,0,0,ROW()-1,60),ROW()-1,FALSE))</f>
        <v>9.6884550919999999</v>
      </c>
      <c r="Q439">
        <f ca="1">IF(AND(ISNUMBER($Q$937),$B$511=1),$Q$937,HLOOKUP(INDIRECT(ADDRESS(2,COLUMN())),OFFSET($BN$2,0,0,ROW()-1,60),ROW()-1,FALSE))</f>
        <v>8.8952417869999998</v>
      </c>
      <c r="R439">
        <f ca="1">IF(AND(ISNUMBER($R$937),$B$511=1),$R$937,HLOOKUP(INDIRECT(ADDRESS(2,COLUMN())),OFFSET($BN$2,0,0,ROW()-1,60),ROW()-1,FALSE))</f>
        <v>9.2577777779999995</v>
      </c>
      <c r="S439">
        <f ca="1">IF(AND(ISNUMBER($S$937),$B$511=1),$S$937,HLOOKUP(INDIRECT(ADDRESS(2,COLUMN())),OFFSET($BN$2,0,0,ROW()-1,60),ROW()-1,FALSE))</f>
        <v>10.60857309</v>
      </c>
      <c r="T439">
        <f ca="1">IF(AND(ISNUMBER($T$937),$B$511=1),$T$937,HLOOKUP(INDIRECT(ADDRESS(2,COLUMN())),OFFSET($BN$2,0,0,ROW()-1,60),ROW()-1,FALSE))</f>
        <v>9.141806635</v>
      </c>
      <c r="U439">
        <f ca="1">IF(AND(ISNUMBER($U$937),$B$511=1),$U$937,HLOOKUP(INDIRECT(ADDRESS(2,COLUMN())),OFFSET($BN$2,0,0,ROW()-1,60),ROW()-1,FALSE))</f>
        <v>10.44055028</v>
      </c>
      <c r="V439">
        <f ca="1">IF(AND(ISNUMBER($V$937),$B$511=1),$V$937,HLOOKUP(INDIRECT(ADDRESS(2,COLUMN())),OFFSET($BN$2,0,0,ROW()-1,60),ROW()-1,FALSE))</f>
        <v>10.204251770000001</v>
      </c>
      <c r="W439">
        <f ca="1">IF(AND(ISNUMBER($W$937),$B$511=1),$W$937,HLOOKUP(INDIRECT(ADDRESS(2,COLUMN())),OFFSET($BN$2,0,0,ROW()-1,60),ROW()-1,FALSE))</f>
        <v>8.8481500079999993</v>
      </c>
      <c r="X439">
        <f ca="1">IF(AND(ISNUMBER($X$937),$B$511=1),$X$937,HLOOKUP(INDIRECT(ADDRESS(2,COLUMN())),OFFSET($BN$2,0,0,ROW()-1,60),ROW()-1,FALSE))</f>
        <v>9.7483129670000004</v>
      </c>
      <c r="Y439">
        <f ca="1">IF(AND(ISNUMBER($Y$937),$B$511=1),$Y$937,HLOOKUP(INDIRECT(ADDRESS(2,COLUMN())),OFFSET($BN$2,0,0,ROW()-1,60),ROW()-1,FALSE))</f>
        <v>9.4876098330000005</v>
      </c>
      <c r="Z439">
        <f ca="1">IF(AND(ISNUMBER($Z$937),$B$511=1),$Z$937,HLOOKUP(INDIRECT(ADDRESS(2,COLUMN())),OFFSET($BN$2,0,0,ROW()-1,60),ROW()-1,FALSE))</f>
        <v>8.9259726399999995</v>
      </c>
      <c r="AA439">
        <f ca="1">IF(AND(ISNUMBER($AA$937),$B$511=1),$AA$937,HLOOKUP(INDIRECT(ADDRESS(2,COLUMN())),OFFSET($BN$2,0,0,ROW()-1,60),ROW()-1,FALSE))</f>
        <v>8.4126379900000003</v>
      </c>
      <c r="AB439">
        <f ca="1">IF(AND(ISNUMBER($AB$937),$B$511=1),$AB$937,HLOOKUP(INDIRECT(ADDRESS(2,COLUMN())),OFFSET($BN$2,0,0,ROW()-1,60),ROW()-1,FALSE))</f>
        <v>10.0193463</v>
      </c>
      <c r="AC439">
        <f ca="1">IF(AND(ISNUMBER($AC$937),$B$511=1),$AC$937,HLOOKUP(INDIRECT(ADDRESS(2,COLUMN())),OFFSET($BN$2,0,0,ROW()-1,60),ROW()-1,FALSE))</f>
        <v>10.11778919</v>
      </c>
      <c r="AD439">
        <f ca="1">IF(AND(ISNUMBER($AD$937),$B$511=1),$AD$937,HLOOKUP(INDIRECT(ADDRESS(2,COLUMN())),OFFSET($BN$2,0,0,ROW()-1,60),ROW()-1,FALSE))</f>
        <v>9.6051793669999999</v>
      </c>
      <c r="AE439">
        <f ca="1">IF(AND(ISNUMBER($AE$937),$B$511=1),$AE$937,HLOOKUP(INDIRECT(ADDRESS(2,COLUMN())),OFFSET($BN$2,0,0,ROW()-1,60),ROW()-1,FALSE))</f>
        <v>9.4214684010000003</v>
      </c>
      <c r="AF439">
        <f ca="1">IF(AND(ISNUMBER($AF$937),$B$511=1),$AF$937,HLOOKUP(INDIRECT(ADDRESS(2,COLUMN())),OFFSET($BN$2,0,0,ROW()-1,60),ROW()-1,FALSE))</f>
        <v>8.5343942510000002</v>
      </c>
      <c r="AG439">
        <f ca="1">IF(AND(ISNUMBER($AG$937),$B$511=1),$AG$937,HLOOKUP(INDIRECT(ADDRESS(2,COLUMN())),OFFSET($BN$2,0,0,ROW()-1,60),ROW()-1,FALSE))</f>
        <v>9.3734335840000007</v>
      </c>
      <c r="AH439">
        <f ca="1">IF(AND(ISNUMBER($AH$937),$B$511=1),$AH$937,HLOOKUP(INDIRECT(ADDRESS(2,COLUMN())),OFFSET($BN$2,0,0,ROW()-1,60),ROW()-1,FALSE))</f>
        <v>10.66198717</v>
      </c>
      <c r="AI439">
        <f ca="1">IF(AND(ISNUMBER($AI$937),$B$511=1),$AI$937,HLOOKUP(INDIRECT(ADDRESS(2,COLUMN())),OFFSET($BN$2,0,0,ROW()-1,60),ROW()-1,FALSE))</f>
        <v>8.9881802830000002</v>
      </c>
      <c r="AJ439">
        <f ca="1">IF(AND(ISNUMBER($AJ$937),$B$511=1),$AJ$937,HLOOKUP(INDIRECT(ADDRESS(2,COLUMN())),OFFSET($BN$2,0,0,ROW()-1,60),ROW()-1,FALSE))</f>
        <v>8.9836660619999993</v>
      </c>
      <c r="AK439">
        <f ca="1">IF(AND(ISNUMBER($AK$937),$B$511=1),$AK$937,HLOOKUP(INDIRECT(ADDRESS(2,COLUMN())),OFFSET($BN$2,0,0,ROW()-1,60),ROW()-1,FALSE))</f>
        <v>10.45183714</v>
      </c>
      <c r="AL439">
        <f ca="1">IF(AND(ISNUMBER($AL$937),$B$511=1),$AL$937,HLOOKUP(INDIRECT(ADDRESS(2,COLUMN())),OFFSET($BN$2,0,0,ROW()-1,60),ROW()-1,FALSE))</f>
        <v>8.9098152840000004</v>
      </c>
      <c r="AM439">
        <f ca="1">IF(AND(ISNUMBER($AM$937),$B$511=1),$AM$937,HLOOKUP(INDIRECT(ADDRESS(2,COLUMN())),OFFSET($BN$2,0,0,ROW()-1,60),ROW()-1,FALSE))</f>
        <v>9.4568142890000004</v>
      </c>
      <c r="AN439">
        <f ca="1">IF(AND(ISNUMBER($AN$937),$B$511=1),$AN$937,HLOOKUP(INDIRECT(ADDRESS(2,COLUMN())),OFFSET($BN$2,0,0,ROW()-1,60),ROW()-1,FALSE))</f>
        <v>8.7347232209999994</v>
      </c>
      <c r="AO439">
        <f ca="1">IF(AND(ISNUMBER($AO$937),$B$511=1),$AO$937,HLOOKUP(INDIRECT(ADDRESS(2,COLUMN())),OFFSET($BN$2,0,0,ROW()-1,60),ROW()-1,FALSE))</f>
        <v>7.0670580269999999</v>
      </c>
      <c r="AP439">
        <f ca="1">IF(AND(ISNUMBER($AP$937),$B$511=1),$AP$937,HLOOKUP(INDIRECT(ADDRESS(2,COLUMN())),OFFSET($BN$2,0,0,ROW()-1,60),ROW()-1,FALSE))</f>
        <v>8.5723458899999994</v>
      </c>
      <c r="AQ439">
        <f ca="1">IF(AND(ISNUMBER($AQ$937),$B$511=1),$AQ$937,HLOOKUP(INDIRECT(ADDRESS(2,COLUMN())),OFFSET($BN$2,0,0,ROW()-1,60),ROW()-1,FALSE))</f>
        <v>8.7681316299999992</v>
      </c>
      <c r="AR439">
        <f ca="1">IF(AND(ISNUMBER($AR$937),$B$511=1),$AR$937,HLOOKUP(INDIRECT(ADDRESS(2,COLUMN())),OFFSET($BN$2,0,0,ROW()-1,60),ROW()-1,FALSE))</f>
        <v>6.7685102590000001</v>
      </c>
      <c r="AS439">
        <f ca="1">IF(AND(ISNUMBER($AS$937),$B$511=1),$AS$937,HLOOKUP(INDIRECT(ADDRESS(2,COLUMN())),OFFSET($BN$2,0,0,ROW()-1,60),ROW()-1,FALSE))</f>
        <v>6.0838870429999998</v>
      </c>
      <c r="AT439">
        <f ca="1">IF(AND(ISNUMBER($AT$937),$B$511=1),$AT$937,HLOOKUP(INDIRECT(ADDRESS(2,COLUMN())),OFFSET($BN$2,0,0,ROW()-1,60),ROW()-1,FALSE))</f>
        <v>3.522898842</v>
      </c>
      <c r="AU439">
        <f ca="1">IF(AND(ISNUMBER($AU$937),$B$511=1),$AU$937,HLOOKUP(INDIRECT(ADDRESS(2,COLUMN())),OFFSET($BN$2,0,0,ROW()-1,60),ROW()-1,FALSE))</f>
        <v>3.542566146</v>
      </c>
      <c r="AV439">
        <f ca="1">IF(AND(ISNUMBER($AV$937),$B$511=1),$AV$937,HLOOKUP(INDIRECT(ADDRESS(2,COLUMN())),OFFSET($BN$2,0,0,ROW()-1,60),ROW()-1,FALSE))</f>
        <v>6.5637065640000003</v>
      </c>
      <c r="AW439">
        <f ca="1">IF(AND(ISNUMBER($AW$937),$B$511=1),$AW$937,HLOOKUP(INDIRECT(ADDRESS(2,COLUMN())),OFFSET($BN$2,0,0,ROW()-1,60),ROW()-1,FALSE))</f>
        <v>8.2587814300000009</v>
      </c>
      <c r="AX439">
        <f ca="1">IF(AND(ISNUMBER($AX$937),$B$511=1),$AX$937,HLOOKUP(INDIRECT(ADDRESS(2,COLUMN())),OFFSET($BN$2,0,0,ROW()-1,60),ROW()-1,FALSE))</f>
        <v>8.2515521730000003</v>
      </c>
      <c r="AY439">
        <f ca="1">IF(AND(ISNUMBER($AY$937),$B$511=1),$AY$937,HLOOKUP(INDIRECT(ADDRESS(2,COLUMN())),OFFSET($BN$2,0,0,ROW()-1,60),ROW()-1,FALSE))</f>
        <v>10.904255320000001</v>
      </c>
      <c r="AZ439">
        <f ca="1">IF(AND(ISNUMBER($AZ$937),$B$511=1),$AZ$937,HLOOKUP(INDIRECT(ADDRESS(2,COLUMN())),OFFSET($BN$2,0,0,ROW()-1,60),ROW()-1,FALSE))</f>
        <v>10.0261324</v>
      </c>
      <c r="BA439">
        <f ca="1">IF(AND(ISNUMBER($BA$937),$B$511=1),$BA$937,HLOOKUP(INDIRECT(ADDRESS(2,COLUMN())),OFFSET($BN$2,0,0,ROW()-1,60),ROW()-1,FALSE))</f>
        <v>10.71718319</v>
      </c>
      <c r="BB439">
        <f ca="1">IF(AND(ISNUMBER($BB$937),$B$511=1),$BB$937,HLOOKUP(INDIRECT(ADDRESS(2,COLUMN())),OFFSET($BN$2,0,0,ROW()-1,60),ROW()-1,FALSE))</f>
        <v>10.740709239999999</v>
      </c>
      <c r="BC439">
        <f ca="1">IF(AND(ISNUMBER($BC$937),$B$511=1),$BC$937,HLOOKUP(INDIRECT(ADDRESS(2,COLUMN())),OFFSET($BN$2,0,0,ROW()-1,60),ROW()-1,FALSE))</f>
        <v>12.033926770000001</v>
      </c>
      <c r="BD439">
        <f ca="1">IF(AND(ISNUMBER($BD$937),$B$511=1),$BD$937,HLOOKUP(INDIRECT(ADDRESS(2,COLUMN())),OFFSET($BN$2,0,0,ROW()-1,60),ROW()-1,FALSE))</f>
        <v>11.20996441</v>
      </c>
      <c r="BE439">
        <f ca="1">IF(AND(ISNUMBER($BE$937),$B$511=1),$BE$937,HLOOKUP(INDIRECT(ADDRESS(2,COLUMN())),OFFSET($BN$2,0,0,ROW()-1,60),ROW()-1,FALSE))</f>
        <v>10.91989167</v>
      </c>
      <c r="BF439">
        <f ca="1">IF(AND(ISNUMBER($BF$937),$B$511=1),$BF$937,HLOOKUP(INDIRECT(ADDRESS(2,COLUMN())),OFFSET($BN$2,0,0,ROW()-1,60),ROW()-1,FALSE))</f>
        <v>11.897872339999999</v>
      </c>
      <c r="BG439">
        <f ca="1">IF(AND(ISNUMBER($BG$937),$B$511=1),$BG$937,HLOOKUP(INDIRECT(ADDRESS(2,COLUMN())),OFFSET($BN$2,0,0,ROW()-1,60),ROW()-1,FALSE))</f>
        <v>10.12969399</v>
      </c>
      <c r="BH439">
        <f ca="1">IF(AND(ISNUMBER($BH$937),$B$511=1),$BH$937,HLOOKUP(INDIRECT(ADDRESS(2,COLUMN())),OFFSET($BN$2,0,0,ROW()-1,60),ROW()-1,FALSE))</f>
        <v>11.41246918</v>
      </c>
      <c r="BI439">
        <f ca="1">IF(AND(ISNUMBER($BI$937),$B$511=1),$BI$937,HLOOKUP(INDIRECT(ADDRESS(2,COLUMN())),OFFSET($BN$2,0,0,ROW()-1,60),ROW()-1,FALSE))</f>
        <v>9.8981339580000007</v>
      </c>
      <c r="BJ439">
        <f ca="1">IF(AND(ISNUMBER($BJ$937),$B$511=1),$BJ$937,HLOOKUP(INDIRECT(ADDRESS(2,COLUMN())),OFFSET($BN$2,0,0,ROW()-1,60),ROW()-1,FALSE))</f>
        <v>10.251865670000001</v>
      </c>
      <c r="BK439">
        <f ca="1">IF(AND(ISNUMBER($BK$937),$B$511=1),$BK$937,HLOOKUP(INDIRECT(ADDRESS(2,COLUMN())),OFFSET($BN$2,0,0,ROW()-1,60),ROW()-1,FALSE))</f>
        <v>10.810286270000001</v>
      </c>
      <c r="BL439">
        <f ca="1">IF(AND(ISNUMBER($BL$937),$B$511=1),$BL$937,HLOOKUP(INDIRECT(ADDRESS(2,COLUMN())),OFFSET($BN$2,0,0,ROW()-1,60),ROW()-1,FALSE))</f>
        <v>10.91603748</v>
      </c>
      <c r="BM439">
        <f ca="1">IF(AND(ISNUMBER($BM$937),$B$511=1),$BM$937,HLOOKUP(INDIRECT(ADDRESS(2,COLUMN())),OFFSET($BN$2,0,0,ROW()-1,60),ROW()-1,FALSE))</f>
        <v>11.09079272</v>
      </c>
      <c r="BN439">
        <f>8.636812325</f>
        <v>8.6368123249999993</v>
      </c>
      <c r="BO439">
        <f>7.973009691</f>
        <v>7.9730096909999997</v>
      </c>
      <c r="BP439">
        <f>9.370044053</f>
        <v>9.3700440530000009</v>
      </c>
      <c r="BQ439">
        <f>9.730998375</f>
        <v>9.7309983750000004</v>
      </c>
      <c r="BR439">
        <f>10.39352288</f>
        <v>10.393522880000001</v>
      </c>
      <c r="BS439">
        <f>9.979570083</f>
        <v>9.9795700830000005</v>
      </c>
      <c r="BT439">
        <f>9.896110815</f>
        <v>9.8961108150000001</v>
      </c>
      <c r="BU439">
        <f>9.951045839</f>
        <v>9.9510458390000007</v>
      </c>
      <c r="BV439">
        <f>9.644236816</f>
        <v>9.6442368159999994</v>
      </c>
      <c r="BW439">
        <f>10.07801783</f>
        <v>10.07801783</v>
      </c>
      <c r="BX439">
        <f>9.688455092</f>
        <v>9.6884550919999999</v>
      </c>
      <c r="BY439">
        <f>8.895241787</f>
        <v>8.8952417869999998</v>
      </c>
      <c r="BZ439">
        <f>9.257777778</f>
        <v>9.2577777779999995</v>
      </c>
      <c r="CA439">
        <f>10.60857309</f>
        <v>10.60857309</v>
      </c>
      <c r="CB439">
        <f>9.141806635</f>
        <v>9.141806635</v>
      </c>
      <c r="CC439">
        <f>10.44055028</f>
        <v>10.44055028</v>
      </c>
      <c r="CD439">
        <f>10.20425177</f>
        <v>10.204251770000001</v>
      </c>
      <c r="CE439">
        <f>8.848150008</f>
        <v>8.8481500079999993</v>
      </c>
      <c r="CF439">
        <f>9.748312967</f>
        <v>9.7483129670000004</v>
      </c>
      <c r="CG439">
        <f>9.487609833</f>
        <v>9.4876098330000005</v>
      </c>
      <c r="CH439">
        <f>8.92597264</f>
        <v>8.9259726399999995</v>
      </c>
      <c r="CI439">
        <f>8.41263799</f>
        <v>8.4126379900000003</v>
      </c>
      <c r="CJ439">
        <f>10.0193463</f>
        <v>10.0193463</v>
      </c>
      <c r="CK439">
        <f>10.11778919</f>
        <v>10.11778919</v>
      </c>
      <c r="CL439">
        <f>9.605179367</f>
        <v>9.6051793669999999</v>
      </c>
      <c r="CM439">
        <f>9.421468401</f>
        <v>9.4214684010000003</v>
      </c>
      <c r="CN439">
        <f>8.534394251</f>
        <v>8.5343942510000002</v>
      </c>
      <c r="CO439">
        <f>9.373433584</f>
        <v>9.3734335840000007</v>
      </c>
      <c r="CP439">
        <f>10.66198717</f>
        <v>10.66198717</v>
      </c>
      <c r="CQ439">
        <f>8.988180283</f>
        <v>8.9881802830000002</v>
      </c>
      <c r="CR439">
        <f>8.983666062</f>
        <v>8.9836660619999993</v>
      </c>
      <c r="CS439">
        <f>10.45183714</f>
        <v>10.45183714</v>
      </c>
      <c r="CT439">
        <f>8.909815284</f>
        <v>8.9098152840000004</v>
      </c>
      <c r="CU439">
        <f>9.456814289</f>
        <v>9.4568142890000004</v>
      </c>
      <c r="CV439">
        <f>8.734723221</f>
        <v>8.7347232209999994</v>
      </c>
      <c r="CW439">
        <f>7.067058027</f>
        <v>7.0670580269999999</v>
      </c>
      <c r="CX439">
        <f>8.57234589</f>
        <v>8.5723458899999994</v>
      </c>
      <c r="CY439">
        <f>8.76813163</f>
        <v>8.7681316299999992</v>
      </c>
      <c r="CZ439">
        <f>6.768510259</f>
        <v>6.7685102590000001</v>
      </c>
      <c r="DA439">
        <f>6.083887043</f>
        <v>6.0838870429999998</v>
      </c>
      <c r="DB439">
        <f>3.522898842</f>
        <v>3.522898842</v>
      </c>
      <c r="DC439">
        <f>3.542566146</f>
        <v>3.542566146</v>
      </c>
      <c r="DD439">
        <f>6.563706564</f>
        <v>6.5637065640000003</v>
      </c>
      <c r="DE439">
        <f>8.25878143</f>
        <v>8.2587814300000009</v>
      </c>
      <c r="DF439">
        <f>8.251552173</f>
        <v>8.2515521730000003</v>
      </c>
      <c r="DG439">
        <f>10.90425532</f>
        <v>10.904255320000001</v>
      </c>
      <c r="DH439">
        <f>10.0261324</f>
        <v>10.0261324</v>
      </c>
      <c r="DI439">
        <f>10.71718319</f>
        <v>10.71718319</v>
      </c>
      <c r="DJ439">
        <f>10.74070924</f>
        <v>10.740709239999999</v>
      </c>
      <c r="DK439">
        <f>12.03392677</f>
        <v>12.033926770000001</v>
      </c>
      <c r="DL439">
        <f>11.20996441</f>
        <v>11.20996441</v>
      </c>
      <c r="DM439">
        <f>10.91989167</f>
        <v>10.91989167</v>
      </c>
      <c r="DN439">
        <f>11.89787234</f>
        <v>11.897872339999999</v>
      </c>
      <c r="DO439">
        <f>10.12969399</f>
        <v>10.12969399</v>
      </c>
      <c r="DP439">
        <f>11.41246918</f>
        <v>11.41246918</v>
      </c>
      <c r="DQ439">
        <f>9.898133958</f>
        <v>9.8981339580000007</v>
      </c>
      <c r="DR439">
        <f>10.25186567</f>
        <v>10.251865670000001</v>
      </c>
      <c r="DS439">
        <f>10.81028627</f>
        <v>10.810286270000001</v>
      </c>
      <c r="DT439">
        <f>10.91603748</f>
        <v>10.91603748</v>
      </c>
      <c r="DU439">
        <f>11.09079272</f>
        <v>11.09079272</v>
      </c>
    </row>
    <row r="440" spans="1:125" x14ac:dyDescent="0.25">
      <c r="A440" t="str">
        <f>"    Peugeot SA"</f>
        <v xml:space="preserve">    Peugeot SA</v>
      </c>
      <c r="B440" t="str">
        <f>"UG FP Equity"</f>
        <v>UG FP Equity</v>
      </c>
      <c r="C440" t="str">
        <f t="shared" si="30"/>
        <v>PR005</v>
      </c>
      <c r="D440" t="str">
        <f t="shared" si="31"/>
        <v>PX_LAST</v>
      </c>
      <c r="E440" t="str">
        <f t="shared" si="32"/>
        <v>Dynamic</v>
      </c>
      <c r="F440">
        <f ca="1">IF(AND(ISNUMBER($F$938),$B$511=1),$F$938,HLOOKUP(INDIRECT(ADDRESS(2,COLUMN())),OFFSET($BN$2,0,0,ROW()-1,60),ROW()-1,FALSE))</f>
        <v>25.58024962</v>
      </c>
      <c r="G440">
        <f ca="1">IF(AND(ISNUMBER($G$938),$B$511=1),$G$938,HLOOKUP(INDIRECT(ADDRESS(2,COLUMN())),OFFSET($BN$2,0,0,ROW()-1,60),ROW()-1,FALSE))</f>
        <v>21.352253999999999</v>
      </c>
      <c r="H440">
        <f ca="1">IF(AND(ISNUMBER($H$938),$B$511=1),$H$938,HLOOKUP(INDIRECT(ADDRESS(2,COLUMN())),OFFSET($BN$2,0,0,ROW()-1,60),ROW()-1,FALSE))</f>
        <v>26.979322</v>
      </c>
      <c r="I440">
        <f ca="1">IF(AND(ISNUMBER($I$938),$B$511=1),$I$938,HLOOKUP(INDIRECT(ADDRESS(2,COLUMN())),OFFSET($BN$2,0,0,ROW()-1,60),ROW()-1,FALSE))</f>
        <v>22.840212000000001</v>
      </c>
      <c r="J440">
        <f ca="1">IF(AND(ISNUMBER($J$938),$B$511=1),$J$938,HLOOKUP(INDIRECT(ADDRESS(2,COLUMN())),OFFSET($BN$2,0,0,ROW()-1,60),ROW()-1,FALSE))</f>
        <v>24.028905000000002</v>
      </c>
      <c r="K440">
        <f ca="1">IF(AND(ISNUMBER($K$938),$B$511=1),$K$938,HLOOKUP(INDIRECT(ADDRESS(2,COLUMN())),OFFSET($BN$2,0,0,ROW()-1,60),ROW()-1,FALSE))</f>
        <v>20.383300999999999</v>
      </c>
      <c r="L440">
        <f ca="1">IF(AND(ISNUMBER($L$938),$B$511=1),$L$938,HLOOKUP(INDIRECT(ADDRESS(2,COLUMN())),OFFSET($BN$2,0,0,ROW()-1,60),ROW()-1,FALSE))</f>
        <v>23.783045000000001</v>
      </c>
      <c r="M440">
        <f ca="1">IF(AND(ISNUMBER($M$938),$B$511=1),$M$938,HLOOKUP(INDIRECT(ADDRESS(2,COLUMN())),OFFSET($BN$2,0,0,ROW()-1,60),ROW()-1,FALSE))</f>
        <v>19.9328045</v>
      </c>
      <c r="N440">
        <f ca="1">IF(AND(ISNUMBER($N$938),$B$511=1),$N$938,HLOOKUP(INDIRECT(ADDRESS(2,COLUMN())),OFFSET($BN$2,0,0,ROW()-1,60),ROW()-1,FALSE))</f>
        <v>20.190587499999999</v>
      </c>
      <c r="O440">
        <f ca="1">IF(AND(ISNUMBER($O$938),$B$511=1),$O$938,HLOOKUP(INDIRECT(ADDRESS(2,COLUMN())),OFFSET($BN$2,0,0,ROW()-1,60),ROW()-1,FALSE))</f>
        <v>16.3425765</v>
      </c>
      <c r="P440">
        <f ca="1">IF(AND(ISNUMBER($P$938),$B$511=1),$P$938,HLOOKUP(INDIRECT(ADDRESS(2,COLUMN())),OFFSET($BN$2,0,0,ROW()-1,60),ROW()-1,FALSE))</f>
        <v>15.264466000000001</v>
      </c>
      <c r="Q440">
        <f ca="1">IF(AND(ISNUMBER($Q$938),$B$511=1),$Q$938,HLOOKUP(INDIRECT(ADDRESS(2,COLUMN())),OFFSET($BN$2,0,0,ROW()-1,60),ROW()-1,FALSE))</f>
        <v>11.9754495</v>
      </c>
      <c r="R440">
        <f ca="1">IF(AND(ISNUMBER($R$938),$B$511=1),$R$938,HLOOKUP(INDIRECT(ADDRESS(2,COLUMN())),OFFSET($BN$2,0,0,ROW()-1,60),ROW()-1,FALSE))</f>
        <v>17.139786000000001</v>
      </c>
      <c r="S440">
        <f ca="1">IF(AND(ISNUMBER($S$938),$B$511=1),$S$938,HLOOKUP(INDIRECT(ADDRESS(2,COLUMN())),OFFSET($BN$2,0,0,ROW()-1,60),ROW()-1,FALSE))</f>
        <v>17.608353000000001</v>
      </c>
      <c r="T440">
        <f ca="1">IF(AND(ISNUMBER($T$938),$B$511=1),$T$938,HLOOKUP(INDIRECT(ADDRESS(2,COLUMN())),OFFSET($BN$2,0,0,ROW()-1,60),ROW()-1,FALSE))</f>
        <v>15.045381000000001</v>
      </c>
      <c r="U440">
        <f ca="1">IF(AND(ISNUMBER($U$938),$B$511=1),$U$938,HLOOKUP(INDIRECT(ADDRESS(2,COLUMN())),OFFSET($BN$2,0,0,ROW()-1,60),ROW()-1,FALSE))</f>
        <v>20.5717085</v>
      </c>
      <c r="V440">
        <f ca="1">IF(AND(ISNUMBER($V$938),$B$511=1),$V$938,HLOOKUP(INDIRECT(ADDRESS(2,COLUMN())),OFFSET($BN$2,0,0,ROW()-1,60),ROW()-1,FALSE))</f>
        <v>16.724951999999998</v>
      </c>
      <c r="W440">
        <f ca="1">IF(AND(ISNUMBER($W$938),$B$511=1),$W$938,HLOOKUP(INDIRECT(ADDRESS(2,COLUMN())),OFFSET($BN$2,0,0,ROW()-1,60),ROW()-1,FALSE))</f>
        <v>12.366199999999999</v>
      </c>
      <c r="X440">
        <f ca="1">IF(AND(ISNUMBER($X$938),$B$511=1),$X$938,HLOOKUP(INDIRECT(ADDRESS(2,COLUMN())),OFFSET($BN$2,0,0,ROW()-1,60),ROW()-1,FALSE))</f>
        <v>12.824749499999999</v>
      </c>
      <c r="Y440">
        <f ca="1">IF(AND(ISNUMBER($Y$938),$B$511=1),$Y$938,HLOOKUP(INDIRECT(ADDRESS(2,COLUMN())),OFFSET($BN$2,0,0,ROW()-1,60),ROW()-1,FALSE))</f>
        <v>14.778354999999999</v>
      </c>
      <c r="Z440">
        <f ca="1">IF(AND(ISNUMBER($Z$938),$B$511=1),$Z$938,HLOOKUP(INDIRECT(ADDRESS(2,COLUMN())),OFFSET($BN$2,0,0,ROW()-1,60),ROW()-1,FALSE))</f>
        <v>15.60023887</v>
      </c>
      <c r="AA440">
        <f ca="1">IF(AND(ISNUMBER($AA$938),$B$511=1),$AA$938,HLOOKUP(INDIRECT(ADDRESS(2,COLUMN())),OFFSET($BN$2,0,0,ROW()-1,60),ROW()-1,FALSE))</f>
        <v>10.764278920000001</v>
      </c>
      <c r="AB440">
        <f ca="1">IF(AND(ISNUMBER($AB$938),$B$511=1),$AB$938,HLOOKUP(INDIRECT(ADDRESS(2,COLUMN())),OFFSET($BN$2,0,0,ROW()-1,60),ROW()-1,FALSE))</f>
        <v>13.598104360000001</v>
      </c>
      <c r="AC440">
        <f ca="1">IF(AND(ISNUMBER($AC$938),$B$511=1),$AC$938,HLOOKUP(INDIRECT(ADDRESS(2,COLUMN())),OFFSET($BN$2,0,0,ROW()-1,60),ROW()-1,FALSE))</f>
        <v>6.8036675469999999</v>
      </c>
      <c r="AD440">
        <f ca="1">IF(AND(ISNUMBER($AD$938),$B$511=1),$AD$938,HLOOKUP(INDIRECT(ADDRESS(2,COLUMN())),OFFSET($BN$2,0,0,ROW()-1,60),ROW()-1,FALSE))</f>
        <v>5.9920636529999998</v>
      </c>
      <c r="AE440">
        <f ca="1">IF(AND(ISNUMBER($AE$938),$B$511=1),$AE$938,HLOOKUP(INDIRECT(ADDRESS(2,COLUMN())),OFFSET($BN$2,0,0,ROW()-1,60),ROW()-1,FALSE))</f>
        <v>5.9719220350000004</v>
      </c>
      <c r="AF440">
        <f ca="1">IF(AND(ISNUMBER($AF$938),$B$511=1),$AF$938,HLOOKUP(INDIRECT(ADDRESS(2,COLUMN())),OFFSET($BN$2,0,0,ROW()-1,60),ROW()-1,FALSE))</f>
        <v>6.5498036600000002</v>
      </c>
      <c r="AG440">
        <f ca="1">IF(AND(ISNUMBER($AG$938),$B$511=1),$AG$938,HLOOKUP(INDIRECT(ADDRESS(2,COLUMN())),OFFSET($BN$2,0,0,ROW()-1,60),ROW()-1,FALSE))</f>
        <v>8.1127265449999992</v>
      </c>
      <c r="AH440">
        <f ca="1">IF(AND(ISNUMBER($AH$938),$B$511=1),$AH$938,HLOOKUP(INDIRECT(ADDRESS(2,COLUMN())),OFFSET($BN$2,0,0,ROW()-1,60),ROW()-1,FALSE))</f>
        <v>13.31541303</v>
      </c>
      <c r="AI440">
        <f ca="1">IF(AND(ISNUMBER($AI$938),$B$511=1),$AI$938,HLOOKUP(INDIRECT(ADDRESS(2,COLUMN())),OFFSET($BN$2,0,0,ROW()-1,60),ROW()-1,FALSE))</f>
        <v>11.32879792</v>
      </c>
      <c r="AJ440">
        <f ca="1">IF(AND(ISNUMBER($AJ$938),$B$511=1),$AJ$938,HLOOKUP(INDIRECT(ADDRESS(2,COLUMN())),OFFSET($BN$2,0,0,ROW()-1,60),ROW()-1,FALSE))</f>
        <v>15.69279813</v>
      </c>
      <c r="AK440">
        <f ca="1">IF(AND(ISNUMBER($AK$938),$B$511=1),$AK$938,HLOOKUP(INDIRECT(ADDRESS(2,COLUMN())),OFFSET($BN$2,0,0,ROW()-1,60),ROW()-1,FALSE))</f>
        <v>32.3324584</v>
      </c>
      <c r="AL440">
        <f ca="1">IF(AND(ISNUMBER($AL$938),$B$511=1),$AL$938,HLOOKUP(INDIRECT(ADDRESS(2,COLUMN())),OFFSET($BN$2,0,0,ROW()-1,60),ROW()-1,FALSE))</f>
        <v>28.55682041</v>
      </c>
      <c r="AM440">
        <f ca="1">IF(AND(ISNUMBER($AM$938),$B$511=1),$AM$938,HLOOKUP(INDIRECT(ADDRESS(2,COLUMN())),OFFSET($BN$2,0,0,ROW()-1,60),ROW()-1,FALSE))</f>
        <v>27.409895259999999</v>
      </c>
      <c r="AN440">
        <f ca="1">IF(AND(ISNUMBER($AN$938),$B$511=1),$AN$938,HLOOKUP(INDIRECT(ADDRESS(2,COLUMN())),OFFSET($BN$2,0,0,ROW()-1,60),ROW()-1,FALSE))</f>
        <v>24.248948599999999</v>
      </c>
      <c r="AO440">
        <f ca="1">IF(AND(ISNUMBER($AO$938),$B$511=1),$AO$938,HLOOKUP(INDIRECT(ADDRESS(2,COLUMN())),OFFSET($BN$2,0,0,ROW()-1,60),ROW()-1,FALSE))</f>
        <v>18.637185809999998</v>
      </c>
      <c r="AP440">
        <f ca="1">IF(AND(ISNUMBER($AP$938),$B$511=1),$AP$938,HLOOKUP(INDIRECT(ADDRESS(2,COLUMN())),OFFSET($BN$2,0,0,ROW()-1,60),ROW()-1,FALSE))</f>
        <v>21.295373470000001</v>
      </c>
      <c r="AQ440">
        <f ca="1">IF(AND(ISNUMBER($AQ$938),$B$511=1),$AQ$938,HLOOKUP(INDIRECT(ADDRESS(2,COLUMN())),OFFSET($BN$2,0,0,ROW()-1,60),ROW()-1,FALSE))</f>
        <v>24.48035381</v>
      </c>
      <c r="AR440">
        <f ca="1">IF(AND(ISNUMBER($AR$938),$B$511=1),$AR$938,HLOOKUP(INDIRECT(ADDRESS(2,COLUMN())),OFFSET($BN$2,0,0,ROW()-1,60),ROW()-1,FALSE))</f>
        <v>22.022075780000002</v>
      </c>
      <c r="AS440">
        <f ca="1">IF(AND(ISNUMBER($AS$938),$B$511=1),$AS$938,HLOOKUP(INDIRECT(ADDRESS(2,COLUMN())),OFFSET($BN$2,0,0,ROW()-1,60),ROW()-1,FALSE))</f>
        <v>18.985273339999999</v>
      </c>
      <c r="AT440">
        <f ca="1">IF(AND(ISNUMBER($AT$938),$B$511=1),$AT$938,HLOOKUP(INDIRECT(ADDRESS(2,COLUMN())),OFFSET($BN$2,0,0,ROW()-1,60),ROW()-1,FALSE))</f>
        <v>13.597895250000001</v>
      </c>
      <c r="AU440">
        <f ca="1">IF(AND(ISNUMBER($AU$938),$B$511=1),$AU$938,HLOOKUP(INDIRECT(ADDRESS(2,COLUMN())),OFFSET($BN$2,0,0,ROW()-1,60),ROW()-1,FALSE))</f>
        <v>12.23710137</v>
      </c>
      <c r="AV440">
        <f ca="1">IF(AND(ISNUMBER($AV$938),$B$511=1),$AV$938,HLOOKUP(INDIRECT(ADDRESS(2,COLUMN())),OFFSET($BN$2,0,0,ROW()-1,60),ROW()-1,FALSE))</f>
        <v>26.77413374</v>
      </c>
      <c r="AW440">
        <f ca="1">IF(AND(ISNUMBER($AW$938),$B$511=1),$AW$938,HLOOKUP(INDIRECT(ADDRESS(2,COLUMN())),OFFSET($BN$2,0,0,ROW()-1,60),ROW()-1,FALSE))</f>
        <v>39.176192659999998</v>
      </c>
      <c r="AX440">
        <f ca="1">IF(AND(ISNUMBER($AX$938),$B$511=1),$AX$938,HLOOKUP(INDIRECT(ADDRESS(2,COLUMN())),OFFSET($BN$2,0,0,ROW()-1,60),ROW()-1,FALSE))</f>
        <v>56.04140555</v>
      </c>
      <c r="AY440">
        <f ca="1">IF(AND(ISNUMBER($AY$938),$B$511=1),$AY$938,HLOOKUP(INDIRECT(ADDRESS(2,COLUMN())),OFFSET($BN$2,0,0,ROW()-1,60),ROW()-1,FALSE))</f>
        <v>54.579596670000001</v>
      </c>
      <c r="AZ440">
        <f ca="1">IF(AND(ISNUMBER($AZ$938),$B$511=1),$AZ$938,HLOOKUP(INDIRECT(ADDRESS(2,COLUMN())),OFFSET($BN$2,0,0,ROW()-1,60),ROW()-1,FALSE))</f>
        <v>59.473114109999997</v>
      </c>
      <c r="BA440">
        <f ca="1">IF(AND(ISNUMBER($BA$938),$B$511=1),$BA$938,HLOOKUP(INDIRECT(ADDRESS(2,COLUMN())),OFFSET($BN$2,0,0,ROW()-1,60),ROW()-1,FALSE))</f>
        <v>58.417787689999997</v>
      </c>
      <c r="BB440">
        <f ca="1">IF(AND(ISNUMBER($BB$938),$B$511=1),$BB$938,HLOOKUP(INDIRECT(ADDRESS(2,COLUMN())),OFFSET($BN$2,0,0,ROW()-1,60),ROW()-1,FALSE))</f>
        <v>50.921754780000001</v>
      </c>
      <c r="BC440">
        <f ca="1">IF(AND(ISNUMBER($BC$938),$B$511=1),$BC$938,HLOOKUP(INDIRECT(ADDRESS(2,COLUMN())),OFFSET($BN$2,0,0,ROW()-1,60),ROW()-1,FALSE))</f>
        <v>47.791457000000001</v>
      </c>
      <c r="BD440">
        <f ca="1">IF(AND(ISNUMBER($BD$938),$B$511=1),$BD$938,HLOOKUP(INDIRECT(ADDRESS(2,COLUMN())),OFFSET($BN$2,0,0,ROW()-1,60),ROW()-1,FALSE))</f>
        <v>40.721758309999998</v>
      </c>
      <c r="BE440">
        <f ca="1">IF(AND(ISNUMBER($BE$938),$B$511=1),$BE$938,HLOOKUP(INDIRECT(ADDRESS(2,COLUMN())),OFFSET($BN$2,0,0,ROW()-1,60),ROW()-1,FALSE))</f>
        <v>44.897097170000002</v>
      </c>
      <c r="BF440">
        <f ca="1">IF(AND(ISNUMBER($BF$938),$B$511=1),$BF$938,HLOOKUP(INDIRECT(ADDRESS(2,COLUMN())),OFFSET($BN$2,0,0,ROW()-1,60),ROW()-1,FALSE))</f>
        <v>45.563905300000002</v>
      </c>
      <c r="BG440">
        <f ca="1">IF(AND(ISNUMBER($BG$938),$B$511=1),$BG$938,HLOOKUP(INDIRECT(ADDRESS(2,COLUMN())),OFFSET($BN$2,0,0,ROW()-1,60),ROW()-1,FALSE))</f>
        <v>41.596664869999998</v>
      </c>
      <c r="BH440">
        <f ca="1">IF(AND(ISNUMBER($BH$938),$B$511=1),$BH$938,HLOOKUP(INDIRECT(ADDRESS(2,COLUMN())),OFFSET($BN$2,0,0,ROW()-1,60),ROW()-1,FALSE))</f>
        <v>49.062396810000003</v>
      </c>
      <c r="BI440">
        <f ca="1">IF(AND(ISNUMBER($BI$938),$B$511=1),$BI$938,HLOOKUP(INDIRECT(ADDRESS(2,COLUMN())),OFFSET($BN$2,0,0,ROW()-1,60),ROW()-1,FALSE))</f>
        <v>42.758595419999999</v>
      </c>
      <c r="BJ440">
        <f ca="1">IF(AND(ISNUMBER($BJ$938),$B$511=1),$BJ$938,HLOOKUP(INDIRECT(ADDRESS(2,COLUMN())),OFFSET($BN$2,0,0,ROW()-1,60),ROW()-1,FALSE))</f>
        <v>45.886083839999998</v>
      </c>
      <c r="BK440">
        <f ca="1">IF(AND(ISNUMBER($BK$938),$B$511=1),$BK$938,HLOOKUP(INDIRECT(ADDRESS(2,COLUMN())),OFFSET($BN$2,0,0,ROW()-1,60),ROW()-1,FALSE))</f>
        <v>45.696519840000001</v>
      </c>
      <c r="BL440">
        <f ca="1">IF(AND(ISNUMBER($BL$938),$B$511=1),$BL$938,HLOOKUP(INDIRECT(ADDRESS(2,COLUMN())),OFFSET($BN$2,0,0,ROW()-1,60),ROW()-1,FALSE))</f>
        <v>44.495655239999998</v>
      </c>
      <c r="BM440">
        <f ca="1">IF(AND(ISNUMBER($BM$938),$B$511=1),$BM$938,HLOOKUP(INDIRECT(ADDRESS(2,COLUMN())),OFFSET($BN$2,0,0,ROW()-1,60),ROW()-1,FALSE))</f>
        <v>40.204113380000003</v>
      </c>
      <c r="BN440">
        <f>25.58024962</f>
        <v>25.58024962</v>
      </c>
      <c r="BO440">
        <f>21.352254</f>
        <v>21.352253999999999</v>
      </c>
      <c r="BP440">
        <f>26.979322</f>
        <v>26.979322</v>
      </c>
      <c r="BQ440">
        <f>22.840212</f>
        <v>22.840212000000001</v>
      </c>
      <c r="BR440">
        <f>24.028905</f>
        <v>24.028905000000002</v>
      </c>
      <c r="BS440">
        <f>20.383301</f>
        <v>20.383300999999999</v>
      </c>
      <c r="BT440">
        <f>23.783045</f>
        <v>23.783045000000001</v>
      </c>
      <c r="BU440">
        <f>19.9328045</f>
        <v>19.9328045</v>
      </c>
      <c r="BV440">
        <f>20.1905875</f>
        <v>20.190587499999999</v>
      </c>
      <c r="BW440">
        <f>16.3425765</f>
        <v>16.3425765</v>
      </c>
      <c r="BX440">
        <f>15.264466</f>
        <v>15.264466000000001</v>
      </c>
      <c r="BY440">
        <f>11.9754495</f>
        <v>11.9754495</v>
      </c>
      <c r="BZ440">
        <f>17.139786</f>
        <v>17.139786000000001</v>
      </c>
      <c r="CA440">
        <f>17.608353</f>
        <v>17.608353000000001</v>
      </c>
      <c r="CB440">
        <f>15.045381</f>
        <v>15.045381000000001</v>
      </c>
      <c r="CC440">
        <f>20.5717085</f>
        <v>20.5717085</v>
      </c>
      <c r="CD440">
        <f>16.724952</f>
        <v>16.724951999999998</v>
      </c>
      <c r="CE440">
        <f>12.3662</f>
        <v>12.366199999999999</v>
      </c>
      <c r="CF440">
        <f>12.8247495</f>
        <v>12.824749499999999</v>
      </c>
      <c r="CG440">
        <f>14.778355</f>
        <v>14.778354999999999</v>
      </c>
      <c r="CH440">
        <f>15.60023887</f>
        <v>15.60023887</v>
      </c>
      <c r="CI440">
        <f>10.76427892</f>
        <v>10.764278920000001</v>
      </c>
      <c r="CJ440">
        <f>13.59810436</f>
        <v>13.598104360000001</v>
      </c>
      <c r="CK440">
        <f>6.803667547</f>
        <v>6.8036675469999999</v>
      </c>
      <c r="CL440">
        <f>5.992063653</f>
        <v>5.9920636529999998</v>
      </c>
      <c r="CM440">
        <f>5.971922035</f>
        <v>5.9719220350000004</v>
      </c>
      <c r="CN440">
        <f>6.54980366</f>
        <v>6.5498036600000002</v>
      </c>
      <c r="CO440">
        <f>8.112726545</f>
        <v>8.1127265449999992</v>
      </c>
      <c r="CP440">
        <f>13.31541303</f>
        <v>13.31541303</v>
      </c>
      <c r="CQ440">
        <f>11.32879792</f>
        <v>11.32879792</v>
      </c>
      <c r="CR440">
        <f>15.69279813</f>
        <v>15.69279813</v>
      </c>
      <c r="CS440">
        <f>32.3324584</f>
        <v>32.3324584</v>
      </c>
      <c r="CT440">
        <f>28.55682041</f>
        <v>28.55682041</v>
      </c>
      <c r="CU440">
        <f>27.40989526</f>
        <v>27.409895259999999</v>
      </c>
      <c r="CV440">
        <f>24.2489486</f>
        <v>24.248948599999999</v>
      </c>
      <c r="CW440">
        <f>18.63718581</f>
        <v>18.637185809999998</v>
      </c>
      <c r="CX440">
        <f>21.29537347</f>
        <v>21.295373470000001</v>
      </c>
      <c r="CY440">
        <f>24.48035381</f>
        <v>24.48035381</v>
      </c>
      <c r="CZ440">
        <f>22.02207578</f>
        <v>22.022075780000002</v>
      </c>
      <c r="DA440">
        <f>18.98527334</f>
        <v>18.985273339999999</v>
      </c>
      <c r="DB440">
        <f>13.59789525</f>
        <v>13.597895250000001</v>
      </c>
      <c r="DC440">
        <f>12.23710137</f>
        <v>12.23710137</v>
      </c>
      <c r="DD440">
        <f>26.77413374</f>
        <v>26.77413374</v>
      </c>
      <c r="DE440">
        <f>39.17619266</f>
        <v>39.176192659999998</v>
      </c>
      <c r="DF440">
        <f>56.04140555</f>
        <v>56.04140555</v>
      </c>
      <c r="DG440">
        <f>54.57959667</f>
        <v>54.579596670000001</v>
      </c>
      <c r="DH440">
        <f>59.47311411</f>
        <v>59.473114109999997</v>
      </c>
      <c r="DI440">
        <f>58.41778769</f>
        <v>58.417787689999997</v>
      </c>
      <c r="DJ440">
        <f>50.92175478</f>
        <v>50.921754780000001</v>
      </c>
      <c r="DK440">
        <f>47.791457</f>
        <v>47.791457000000001</v>
      </c>
      <c r="DL440">
        <f>40.72175831</f>
        <v>40.721758309999998</v>
      </c>
      <c r="DM440">
        <f>44.89709717</f>
        <v>44.897097170000002</v>
      </c>
      <c r="DN440">
        <f>45.5639053</f>
        <v>45.563905300000002</v>
      </c>
      <c r="DO440">
        <f>41.59666487</f>
        <v>41.596664869999998</v>
      </c>
      <c r="DP440">
        <f>49.06239681</f>
        <v>49.062396810000003</v>
      </c>
      <c r="DQ440">
        <f>42.75859542</f>
        <v>42.758595419999999</v>
      </c>
      <c r="DR440">
        <f>45.88608384</f>
        <v>45.886083839999998</v>
      </c>
      <c r="DS440">
        <f>45.69651984</f>
        <v>45.696519840000001</v>
      </c>
      <c r="DT440">
        <f>44.49565524</f>
        <v>44.495655239999998</v>
      </c>
      <c r="DU440">
        <f>40.20411338</f>
        <v>40.204113380000003</v>
      </c>
    </row>
    <row r="441" spans="1:125" x14ac:dyDescent="0.25">
      <c r="A441" t="str">
        <f>"    Renault SA"</f>
        <v xml:space="preserve">    Renault SA</v>
      </c>
      <c r="B441" t="str">
        <f>"RNO FP Equity"</f>
        <v>RNO FP Equity</v>
      </c>
      <c r="C441" t="str">
        <f t="shared" si="30"/>
        <v>PR005</v>
      </c>
      <c r="D441" t="str">
        <f t="shared" si="31"/>
        <v>PX_LAST</v>
      </c>
      <c r="E441" t="str">
        <f t="shared" si="32"/>
        <v>Dynamic</v>
      </c>
      <c r="F441">
        <f ca="1">IF(AND(ISNUMBER($F$939),$B$511=1),$F$939,HLOOKUP(INDIRECT(ADDRESS(2,COLUMN())),OFFSET($BN$2,0,0,ROW()-1,60),ROW()-1,FALSE))</f>
        <v>69.009828990000003</v>
      </c>
      <c r="G441">
        <f ca="1">IF(AND(ISNUMBER($G$939),$B$511=1),$G$939,HLOOKUP(INDIRECT(ADDRESS(2,COLUMN())),OFFSET($BN$2,0,0,ROW()-1,60),ROW()-1,FALSE))</f>
        <v>62.470660000000002</v>
      </c>
      <c r="H441">
        <f ca="1">IF(AND(ISNUMBER($H$939),$B$511=1),$H$939,HLOOKUP(INDIRECT(ADDRESS(2,COLUMN())),OFFSET($BN$2,0,0,ROW()-1,60),ROW()-1,FALSE))</f>
        <v>86.524299999999997</v>
      </c>
      <c r="I441">
        <f ca="1">IF(AND(ISNUMBER($I$939),$B$511=1),$I$939,HLOOKUP(INDIRECT(ADDRESS(2,COLUMN())),OFFSET($BN$2,0,0,ROW()-1,60),ROW()-1,FALSE))</f>
        <v>85.043591000000006</v>
      </c>
      <c r="J441">
        <f ca="1">IF(AND(ISNUMBER($J$939),$B$511=1),$J$939,HLOOKUP(INDIRECT(ADDRESS(2,COLUMN())),OFFSET($BN$2,0,0,ROW()-1,60),ROW()-1,FALSE))</f>
        <v>121.06635</v>
      </c>
      <c r="K441">
        <f ca="1">IF(AND(ISNUMBER($K$939),$B$511=1),$K$939,HLOOKUP(INDIRECT(ADDRESS(2,COLUMN())),OFFSET($BN$2,0,0,ROW()-1,60),ROW()-1,FALSE))</f>
        <v>100.87660200000001</v>
      </c>
      <c r="L441">
        <f ca="1">IF(AND(ISNUMBER($L$939),$B$511=1),$L$939,HLOOKUP(INDIRECT(ADDRESS(2,COLUMN())),OFFSET($BN$2,0,0,ROW()-1,60),ROW()-1,FALSE))</f>
        <v>98.094733000000005</v>
      </c>
      <c r="M441">
        <f ca="1">IF(AND(ISNUMBER($M$939),$B$511=1),$M$939,HLOOKUP(INDIRECT(ADDRESS(2,COLUMN())),OFFSET($BN$2,0,0,ROW()-1,60),ROW()-1,FALSE))</f>
        <v>90.448025000000001</v>
      </c>
      <c r="N441">
        <f ca="1">IF(AND(ISNUMBER($N$939),$B$511=1),$N$939,HLOOKUP(INDIRECT(ADDRESS(2,COLUMN())),OFFSET($BN$2,0,0,ROW()-1,60),ROW()-1,FALSE))</f>
        <v>87.105671000000001</v>
      </c>
      <c r="O441">
        <f ca="1">IF(AND(ISNUMBER($O$939),$B$511=1),$O$939,HLOOKUP(INDIRECT(ADDRESS(2,COLUMN())),OFFSET($BN$2,0,0,ROW()-1,60),ROW()-1,FALSE))</f>
        <v>89.132696999999993</v>
      </c>
      <c r="P441">
        <f ca="1">IF(AND(ISNUMBER($P$939),$B$511=1),$P$939,HLOOKUP(INDIRECT(ADDRESS(2,COLUMN())),OFFSET($BN$2,0,0,ROW()-1,60),ROW()-1,FALSE))</f>
        <v>82.121592000000007</v>
      </c>
      <c r="Q441">
        <f ca="1">IF(AND(ISNUMBER($Q$939),$B$511=1),$Q$939,HLOOKUP(INDIRECT(ADDRESS(2,COLUMN())),OFFSET($BN$2,0,0,ROW()-1,60),ROW()-1,FALSE))</f>
        <v>75.783612000000005</v>
      </c>
      <c r="R441">
        <f ca="1">IF(AND(ISNUMBER($R$939),$B$511=1),$R$939,HLOOKUP(INDIRECT(ADDRESS(2,COLUMN())),OFFSET($BN$2,0,0,ROW()-1,60),ROW()-1,FALSE))</f>
        <v>99.378891999999993</v>
      </c>
      <c r="S441">
        <f ca="1">IF(AND(ISNUMBER($S$939),$B$511=1),$S$939,HLOOKUP(INDIRECT(ADDRESS(2,COLUMN())),OFFSET($BN$2,0,0,ROW()-1,60),ROW()-1,FALSE))</f>
        <v>100.651758</v>
      </c>
      <c r="T441">
        <f ca="1">IF(AND(ISNUMBER($T$939),$B$511=1),$T$939,HLOOKUP(INDIRECT(ADDRESS(2,COLUMN())),OFFSET($BN$2,0,0,ROW()-1,60),ROW()-1,FALSE))</f>
        <v>71.564800000000005</v>
      </c>
      <c r="U441">
        <f ca="1">IF(AND(ISNUMBER($U$939),$B$511=1),$U$939,HLOOKUP(INDIRECT(ADDRESS(2,COLUMN())),OFFSET($BN$2,0,0,ROW()-1,60),ROW()-1,FALSE))</f>
        <v>104.191326</v>
      </c>
      <c r="V441">
        <f ca="1">IF(AND(ISNUMBER($V$939),$B$511=1),$V$939,HLOOKUP(INDIRECT(ADDRESS(2,COLUMN())),OFFSET($BN$2,0,0,ROW()-1,60),ROW()-1,FALSE))</f>
        <v>90.941255999999996</v>
      </c>
      <c r="W441">
        <f ca="1">IF(AND(ISNUMBER($W$939),$B$511=1),$W$939,HLOOKUP(INDIRECT(ADDRESS(2,COLUMN())),OFFSET($BN$2,0,0,ROW()-1,60),ROW()-1,FALSE))</f>
        <v>73.241299999999995</v>
      </c>
      <c r="X441">
        <f ca="1">IF(AND(ISNUMBER($X$939),$B$511=1),$X$939,HLOOKUP(INDIRECT(ADDRESS(2,COLUMN())),OFFSET($BN$2,0,0,ROW()-1,60),ROW()-1,FALSE))</f>
        <v>72.427314999999993</v>
      </c>
      <c r="Y441">
        <f ca="1">IF(AND(ISNUMBER($Y$939),$B$511=1),$Y$939,HLOOKUP(INDIRECT(ADDRESS(2,COLUMN())),OFFSET($BN$2,0,0,ROW()-1,60),ROW()-1,FALSE))</f>
        <v>90.395070000000004</v>
      </c>
      <c r="Z441">
        <f ca="1">IF(AND(ISNUMBER($Z$939),$B$511=1),$Z$939,HLOOKUP(INDIRECT(ADDRESS(2,COLUMN())),OFFSET($BN$2,0,0,ROW()-1,60),ROW()-1,FALSE))</f>
        <v>97.147688000000002</v>
      </c>
      <c r="AA441">
        <f ca="1">IF(AND(ISNUMBER($AA$939),$B$511=1),$AA$939,HLOOKUP(INDIRECT(ADDRESS(2,COLUMN())),OFFSET($BN$2,0,0,ROW()-1,60),ROW()-1,FALSE))</f>
        <v>80.596705</v>
      </c>
      <c r="AB441">
        <f ca="1">IF(AND(ISNUMBER($AB$939),$B$511=1),$AB$939,HLOOKUP(INDIRECT(ADDRESS(2,COLUMN())),OFFSET($BN$2,0,0,ROW()-1,60),ROW()-1,FALSE))</f>
        <v>79.738183000000006</v>
      </c>
      <c r="AC441">
        <f ca="1">IF(AND(ISNUMBER($AC$939),$B$511=1),$AC$939,HLOOKUP(INDIRECT(ADDRESS(2,COLUMN())),OFFSET($BN$2,0,0,ROW()-1,60),ROW()-1,FALSE))</f>
        <v>67.235849999999999</v>
      </c>
      <c r="AD441">
        <f ca="1">IF(AND(ISNUMBER($AD$939),$B$511=1),$AD$939,HLOOKUP(INDIRECT(ADDRESS(2,COLUMN())),OFFSET($BN$2,0,0,ROW()-1,60),ROW()-1,FALSE))</f>
        <v>62.667524999999998</v>
      </c>
      <c r="AE441">
        <f ca="1">IF(AND(ISNUMBER($AE$939),$B$511=1),$AE$939,HLOOKUP(INDIRECT(ADDRESS(2,COLUMN())),OFFSET($BN$2,0,0,ROW()-1,60),ROW()-1,FALSE))</f>
        <v>53.6919945</v>
      </c>
      <c r="AF441">
        <f ca="1">IF(AND(ISNUMBER($AF$939),$B$511=1),$AF$939,HLOOKUP(INDIRECT(ADDRESS(2,COLUMN())),OFFSET($BN$2,0,0,ROW()-1,60),ROW()-1,FALSE))</f>
        <v>47.023152000000003</v>
      </c>
      <c r="AG441">
        <f ca="1">IF(AND(ISNUMBER($AG$939),$B$511=1),$AG$939,HLOOKUP(INDIRECT(ADDRESS(2,COLUMN())),OFFSET($BN$2,0,0,ROW()-1,60),ROW()-1,FALSE))</f>
        <v>39.774743999999998</v>
      </c>
      <c r="AH441">
        <f ca="1">IF(AND(ISNUMBER($AH$939),$B$511=1),$AH$939,HLOOKUP(INDIRECT(ADDRESS(2,COLUMN())),OFFSET($BN$2,0,0,ROW()-1,60),ROW()-1,FALSE))</f>
        <v>52.69473</v>
      </c>
      <c r="AI441">
        <f ca="1">IF(AND(ISNUMBER($AI$939),$B$511=1),$AI$939,HLOOKUP(INDIRECT(ADDRESS(2,COLUMN())),OFFSET($BN$2,0,0,ROW()-1,60),ROW()-1,FALSE))</f>
        <v>34.732799999999997</v>
      </c>
      <c r="AJ441">
        <f ca="1">IF(AND(ISNUMBER($AJ$939),$B$511=1),$AJ$939,HLOOKUP(INDIRECT(ADDRESS(2,COLUMN())),OFFSET($BN$2,0,0,ROW()-1,60),ROW()-1,FALSE))</f>
        <v>33.716642999999998</v>
      </c>
      <c r="AK441">
        <f ca="1">IF(AND(ISNUMBER($AK$939),$B$511=1),$AK$939,HLOOKUP(INDIRECT(ADDRESS(2,COLUMN())),OFFSET($BN$2,0,0,ROW()-1,60),ROW()-1,FALSE))</f>
        <v>59.324134999999998</v>
      </c>
      <c r="AL441">
        <f ca="1">IF(AND(ISNUMBER($AL$939),$B$511=1),$AL$939,HLOOKUP(INDIRECT(ADDRESS(2,COLUMN())),OFFSET($BN$2,0,0,ROW()-1,60),ROW()-1,FALSE))</f>
        <v>55.35519</v>
      </c>
      <c r="AM441">
        <f ca="1">IF(AND(ISNUMBER($AM$939),$B$511=1),$AM$939,HLOOKUP(INDIRECT(ADDRESS(2,COLUMN())),OFFSET($BN$2,0,0,ROW()-1,60),ROW()-1,FALSE))</f>
        <v>58.142099999999999</v>
      </c>
      <c r="AN441">
        <f ca="1">IF(AND(ISNUMBER($AN$939),$B$511=1),$AN$939,HLOOKUP(INDIRECT(ADDRESS(2,COLUMN())),OFFSET($BN$2,0,0,ROW()-1,60),ROW()-1,FALSE))</f>
        <v>51.40869</v>
      </c>
      <c r="AO441">
        <f ca="1">IF(AND(ISNUMBER($AO$939),$B$511=1),$AO$939,HLOOKUP(INDIRECT(ADDRESS(2,COLUMN())),OFFSET($BN$2,0,0,ROW()-1,60),ROW()-1,FALSE))</f>
        <v>37.733174499999997</v>
      </c>
      <c r="AP441">
        <f ca="1">IF(AND(ISNUMBER($AP$939),$B$511=1),$AP$939,HLOOKUP(INDIRECT(ADDRESS(2,COLUMN())),OFFSET($BN$2,0,0,ROW()-1,60),ROW()-1,FALSE))</f>
        <v>46.959510000000002</v>
      </c>
      <c r="AQ441">
        <f ca="1">IF(AND(ISNUMBER($AQ$939),$B$511=1),$AQ$939,HLOOKUP(INDIRECT(ADDRESS(2,COLUMN())),OFFSET($BN$2,0,0,ROW()-1,60),ROW()-1,FALSE))</f>
        <v>51.878219999999999</v>
      </c>
      <c r="AR441">
        <f ca="1">IF(AND(ISNUMBER($AR$939),$B$511=1),$AR$939,HLOOKUP(INDIRECT(ADDRESS(2,COLUMN())),OFFSET($BN$2,0,0,ROW()-1,60),ROW()-1,FALSE))</f>
        <v>46.659919500000001</v>
      </c>
      <c r="AS441">
        <f ca="1">IF(AND(ISNUMBER($AS$939),$B$511=1),$AS$939,HLOOKUP(INDIRECT(ADDRESS(2,COLUMN())),OFFSET($BN$2,0,0,ROW()-1,60),ROW()-1,FALSE))</f>
        <v>36.76885</v>
      </c>
      <c r="AT441">
        <f ca="1">IF(AND(ISNUMBER($AT$939),$B$511=1),$AT$939,HLOOKUP(INDIRECT(ADDRESS(2,COLUMN())),OFFSET($BN$2,0,0,ROW()-1,60),ROW()-1,FALSE))</f>
        <v>20.485106500000001</v>
      </c>
      <c r="AU441">
        <f ca="1">IF(AND(ISNUMBER($AU$939),$B$511=1),$AU$939,HLOOKUP(INDIRECT(ADDRESS(2,COLUMN())),OFFSET($BN$2,0,0,ROW()-1,60),ROW()-1,FALSE))</f>
        <v>25.882815000000001</v>
      </c>
      <c r="AV441">
        <f ca="1">IF(AND(ISNUMBER($AV$939),$B$511=1),$AV$939,HLOOKUP(INDIRECT(ADDRESS(2,COLUMN())),OFFSET($BN$2,0,0,ROW()-1,60),ROW()-1,FALSE))</f>
        <v>62.671062999999997</v>
      </c>
      <c r="AW441">
        <f ca="1">IF(AND(ISNUMBER($AW$939),$B$511=1),$AW$939,HLOOKUP(INDIRECT(ADDRESS(2,COLUMN())),OFFSET($BN$2,0,0,ROW()-1,60),ROW()-1,FALSE))</f>
        <v>81.984560000000002</v>
      </c>
      <c r="AX441">
        <f ca="1">IF(AND(ISNUMBER($AX$939),$B$511=1),$AX$939,HLOOKUP(INDIRECT(ADDRESS(2,COLUMN())),OFFSET($BN$2,0,0,ROW()-1,60),ROW()-1,FALSE))</f>
        <v>110.82109</v>
      </c>
      <c r="AY441">
        <f ca="1">IF(AND(ISNUMBER($AY$939),$B$511=1),$AY$939,HLOOKUP(INDIRECT(ADDRESS(2,COLUMN())),OFFSET($BN$2,0,0,ROW()-1,60),ROW()-1,FALSE))</f>
        <v>141.469683</v>
      </c>
      <c r="AZ441">
        <f ca="1">IF(AND(ISNUMBER($AZ$939),$B$511=1),$AZ$939,HLOOKUP(INDIRECT(ADDRESS(2,COLUMN())),OFFSET($BN$2,0,0,ROW()-1,60),ROW()-1,FALSE))</f>
        <v>144.65607</v>
      </c>
      <c r="BA441">
        <f ca="1">IF(AND(ISNUMBER($BA$939),$B$511=1),$BA$939,HLOOKUP(INDIRECT(ADDRESS(2,COLUMN())),OFFSET($BN$2,0,0,ROW()-1,60),ROW()-1,FALSE))</f>
        <v>161.38649799999999</v>
      </c>
      <c r="BB441">
        <f ca="1">IF(AND(ISNUMBER($BB$939),$B$511=1),$BB$939,HLOOKUP(INDIRECT(ADDRESS(2,COLUMN())),OFFSET($BN$2,0,0,ROW()-1,60),ROW()-1,FALSE))</f>
        <v>117.06310499999999</v>
      </c>
      <c r="BC441">
        <f ca="1">IF(AND(ISNUMBER($BC$939),$B$511=1),$BC$939,HLOOKUP(INDIRECT(ADDRESS(2,COLUMN())),OFFSET($BN$2,0,0,ROW()-1,60),ROW()-1,FALSE))</f>
        <v>120.01990000000001</v>
      </c>
      <c r="BD441">
        <f ca="1">IF(AND(ISNUMBER($BD$939),$B$511=1),$BD$939,HLOOKUP(INDIRECT(ADDRESS(2,COLUMN())),OFFSET($BN$2,0,0,ROW()-1,60),ROW()-1,FALSE))</f>
        <v>114.74487000000001</v>
      </c>
      <c r="BE441">
        <f ca="1">IF(AND(ISNUMBER($BE$939),$B$511=1),$BE$939,HLOOKUP(INDIRECT(ADDRESS(2,COLUMN())),OFFSET($BN$2,0,0,ROW()-1,60),ROW()-1,FALSE))</f>
        <v>107.39400000000001</v>
      </c>
      <c r="BF441">
        <f ca="1">IF(AND(ISNUMBER($BF$939),$B$511=1),$BF$939,HLOOKUP(INDIRECT(ADDRESS(2,COLUMN())),OFFSET($BN$2,0,0,ROW()-1,60),ROW()-1,FALSE))</f>
        <v>106.51972499999999</v>
      </c>
      <c r="BG441">
        <f ca="1">IF(AND(ISNUMBER($BG$939),$B$511=1),$BG$939,HLOOKUP(INDIRECT(ADDRESS(2,COLUMN())),OFFSET($BN$2,0,0,ROW()-1,60),ROW()-1,FALSE))</f>
        <v>81.52937</v>
      </c>
      <c r="BH441">
        <f ca="1">IF(AND(ISNUMBER($BH$939),$B$511=1),$BH$939,HLOOKUP(INDIRECT(ADDRESS(2,COLUMN())),OFFSET($BN$2,0,0,ROW()-1,60),ROW()-1,FALSE))</f>
        <v>94.796400000000006</v>
      </c>
      <c r="BI441">
        <f ca="1">IF(AND(ISNUMBER($BI$939),$B$511=1),$BI$939,HLOOKUP(INDIRECT(ADDRESS(2,COLUMN())),OFFSET($BN$2,0,0,ROW()-1,60),ROW()-1,FALSE))</f>
        <v>88.165260000000004</v>
      </c>
      <c r="BJ441">
        <f ca="1">IF(AND(ISNUMBER($BJ$939),$B$511=1),$BJ$939,HLOOKUP(INDIRECT(ADDRESS(2,COLUMN())),OFFSET($BN$2,0,0,ROW()-1,60),ROW()-1,FALSE))</f>
        <v>89.349519999999998</v>
      </c>
      <c r="BK441">
        <f ca="1">IF(AND(ISNUMBER($BK$939),$B$511=1),$BK$939,HLOOKUP(INDIRECT(ADDRESS(2,COLUMN())),OFFSET($BN$2,0,0,ROW()-1,60),ROW()-1,FALSE))</f>
        <v>83.437179999999998</v>
      </c>
      <c r="BL441">
        <f ca="1">IF(AND(ISNUMBER($BL$939),$B$511=1),$BL$939,HLOOKUP(INDIRECT(ADDRESS(2,COLUMN())),OFFSET($BN$2,0,0,ROW()-1,60),ROW()-1,FALSE))</f>
        <v>81.838380000000001</v>
      </c>
      <c r="BM441">
        <f ca="1">IF(AND(ISNUMBER($BM$939),$B$511=1),$BM$939,HLOOKUP(INDIRECT(ADDRESS(2,COLUMN())),OFFSET($BN$2,0,0,ROW()-1,60),ROW()-1,FALSE))</f>
        <v>76.177940000000007</v>
      </c>
      <c r="BN441">
        <f>69.00982899</f>
        <v>69.009828990000003</v>
      </c>
      <c r="BO441">
        <f>62.47066</f>
        <v>62.470660000000002</v>
      </c>
      <c r="BP441">
        <f>86.5243</f>
        <v>86.524299999999997</v>
      </c>
      <c r="BQ441">
        <f>85.043591</f>
        <v>85.043591000000006</v>
      </c>
      <c r="BR441">
        <f>121.06635</f>
        <v>121.06635</v>
      </c>
      <c r="BS441">
        <f>100.876602</f>
        <v>100.87660200000001</v>
      </c>
      <c r="BT441">
        <f>98.094733</f>
        <v>98.094733000000005</v>
      </c>
      <c r="BU441">
        <f>90.448025</f>
        <v>90.448025000000001</v>
      </c>
      <c r="BV441">
        <f>87.105671</f>
        <v>87.105671000000001</v>
      </c>
      <c r="BW441">
        <f>89.132697</f>
        <v>89.132696999999993</v>
      </c>
      <c r="BX441">
        <f>82.121592</f>
        <v>82.121592000000007</v>
      </c>
      <c r="BY441">
        <f>75.783612</f>
        <v>75.783612000000005</v>
      </c>
      <c r="BZ441">
        <f>99.378892</f>
        <v>99.378891999999993</v>
      </c>
      <c r="CA441">
        <f>100.651758</f>
        <v>100.651758</v>
      </c>
      <c r="CB441">
        <f>71.5648</f>
        <v>71.564800000000005</v>
      </c>
      <c r="CC441">
        <f>104.191326</f>
        <v>104.191326</v>
      </c>
      <c r="CD441">
        <f>90.941256</f>
        <v>90.941255999999996</v>
      </c>
      <c r="CE441">
        <f>73.2413</f>
        <v>73.241299999999995</v>
      </c>
      <c r="CF441">
        <f>72.427315</f>
        <v>72.427314999999993</v>
      </c>
      <c r="CG441">
        <f>90.39507</f>
        <v>90.395070000000004</v>
      </c>
      <c r="CH441">
        <f>97.147688</f>
        <v>97.147688000000002</v>
      </c>
      <c r="CI441">
        <f>80.596705</f>
        <v>80.596705</v>
      </c>
      <c r="CJ441">
        <f>79.738183</f>
        <v>79.738183000000006</v>
      </c>
      <c r="CK441">
        <f>67.23585</f>
        <v>67.235849999999999</v>
      </c>
      <c r="CL441">
        <f>62.667525</f>
        <v>62.667524999999998</v>
      </c>
      <c r="CM441">
        <f>53.6919945</f>
        <v>53.6919945</v>
      </c>
      <c r="CN441">
        <f>47.023152</f>
        <v>47.023152000000003</v>
      </c>
      <c r="CO441">
        <f>39.774744</f>
        <v>39.774743999999998</v>
      </c>
      <c r="CP441">
        <f>52.69473</f>
        <v>52.69473</v>
      </c>
      <c r="CQ441">
        <f>34.7328</f>
        <v>34.732799999999997</v>
      </c>
      <c r="CR441">
        <f>33.716643</f>
        <v>33.716642999999998</v>
      </c>
      <c r="CS441">
        <f>59.324135</f>
        <v>59.324134999999998</v>
      </c>
      <c r="CT441">
        <f>55.35519</f>
        <v>55.35519</v>
      </c>
      <c r="CU441">
        <f>58.1421</f>
        <v>58.142099999999999</v>
      </c>
      <c r="CV441">
        <f>51.40869</f>
        <v>51.40869</v>
      </c>
      <c r="CW441">
        <f>37.7331745</f>
        <v>37.733174499999997</v>
      </c>
      <c r="CX441">
        <f>46.95951</f>
        <v>46.959510000000002</v>
      </c>
      <c r="CY441">
        <f>51.87822</f>
        <v>51.878219999999999</v>
      </c>
      <c r="CZ441">
        <f>46.6599195</f>
        <v>46.659919500000001</v>
      </c>
      <c r="DA441">
        <f>36.76885</f>
        <v>36.76885</v>
      </c>
      <c r="DB441">
        <f>20.4851065</f>
        <v>20.485106500000001</v>
      </c>
      <c r="DC441">
        <f>25.882815</f>
        <v>25.882815000000001</v>
      </c>
      <c r="DD441">
        <f>62.671063</f>
        <v>62.671062999999997</v>
      </c>
      <c r="DE441">
        <f>81.98456</f>
        <v>81.984560000000002</v>
      </c>
      <c r="DF441">
        <f>110.82109</f>
        <v>110.82109</v>
      </c>
      <c r="DG441">
        <f>141.469683</f>
        <v>141.469683</v>
      </c>
      <c r="DH441">
        <f>144.65607</f>
        <v>144.65607</v>
      </c>
      <c r="DI441">
        <f>161.386498</f>
        <v>161.38649799999999</v>
      </c>
      <c r="DJ441">
        <f>117.063105</f>
        <v>117.06310499999999</v>
      </c>
      <c r="DK441">
        <f>120.0199</f>
        <v>120.01990000000001</v>
      </c>
      <c r="DL441">
        <f>114.74487</f>
        <v>114.74487000000001</v>
      </c>
      <c r="DM441">
        <f>107.394</f>
        <v>107.39400000000001</v>
      </c>
      <c r="DN441">
        <f>106.519725</f>
        <v>106.51972499999999</v>
      </c>
      <c r="DO441">
        <f>81.52937</f>
        <v>81.52937</v>
      </c>
      <c r="DP441">
        <f>94.7964</f>
        <v>94.796400000000006</v>
      </c>
      <c r="DQ441">
        <f>88.16526</f>
        <v>88.165260000000004</v>
      </c>
      <c r="DR441">
        <f>89.34952</f>
        <v>89.349519999999998</v>
      </c>
      <c r="DS441">
        <f>83.43718</f>
        <v>83.437179999999998</v>
      </c>
      <c r="DT441">
        <f>81.83838</f>
        <v>81.838380000000001</v>
      </c>
      <c r="DU441">
        <f>76.17794</f>
        <v>76.177940000000007</v>
      </c>
    </row>
    <row r="442" spans="1:125" x14ac:dyDescent="0.25">
      <c r="A442" t="str">
        <f>"    SAIC Motor Corp Ltd"</f>
        <v xml:space="preserve">    SAIC Motor Corp Ltd</v>
      </c>
      <c r="B442" t="str">
        <f>"600104 CH Equity"</f>
        <v>600104 CH Equity</v>
      </c>
      <c r="C442" t="str">
        <f t="shared" si="30"/>
        <v>PR005</v>
      </c>
      <c r="D442" t="str">
        <f t="shared" si="31"/>
        <v>PX_LAST</v>
      </c>
      <c r="E442" t="str">
        <f t="shared" si="32"/>
        <v>Dynamic</v>
      </c>
      <c r="F442">
        <f ca="1">IF(AND(ISNUMBER($F$940),$B$511=1),$F$940,HLOOKUP(INDIRECT(ADDRESS(2,COLUMN())),OFFSET($BN$2,0,0,ROW()-1,60),ROW()-1,FALSE))</f>
        <v>4.2308440310000002</v>
      </c>
      <c r="G442">
        <f ca="1">IF(AND(ISNUMBER($G$940),$B$511=1),$G$940,HLOOKUP(INDIRECT(ADDRESS(2,COLUMN())),OFFSET($BN$2,0,0,ROW()-1,60),ROW()-1,FALSE))</f>
        <v>3.877467942</v>
      </c>
      <c r="H442">
        <f ca="1">IF(AND(ISNUMBER($H$940),$B$511=1),$H$940,HLOOKUP(INDIRECT(ADDRESS(2,COLUMN())),OFFSET($BN$2,0,0,ROW()-1,60),ROW()-1,FALSE))</f>
        <v>4.8448850649999997</v>
      </c>
      <c r="I442">
        <f ca="1">IF(AND(ISNUMBER($I$940),$B$511=1),$I$940,HLOOKUP(INDIRECT(ADDRESS(2,COLUMN())),OFFSET($BN$2,0,0,ROW()-1,60),ROW()-1,FALSE))</f>
        <v>5.2823865090000002</v>
      </c>
      <c r="J442">
        <f ca="1">IF(AND(ISNUMBER($J$940),$B$511=1),$J$940,HLOOKUP(INDIRECT(ADDRESS(2,COLUMN())),OFFSET($BN$2,0,0,ROW()-1,60),ROW()-1,FALSE))</f>
        <v>5.4087150130000001</v>
      </c>
      <c r="K442">
        <f ca="1">IF(AND(ISNUMBER($K$940),$B$511=1),$K$940,HLOOKUP(INDIRECT(ADDRESS(2,COLUMN())),OFFSET($BN$2,0,0,ROW()-1,60),ROW()-1,FALSE))</f>
        <v>4.9241551020000003</v>
      </c>
      <c r="L442">
        <f ca="1">IF(AND(ISNUMBER($L$940),$B$511=1),$L$940,HLOOKUP(INDIRECT(ADDRESS(2,COLUMN())),OFFSET($BN$2,0,0,ROW()-1,60),ROW()-1,FALSE))</f>
        <v>4.5501816149999996</v>
      </c>
      <c r="M442">
        <f ca="1">IF(AND(ISNUMBER($M$940),$B$511=1),$M$940,HLOOKUP(INDIRECT(ADDRESS(2,COLUMN())),OFFSET($BN$2,0,0,ROW()-1,60),ROW()-1,FALSE))</f>
        <v>4.5897325980000003</v>
      </c>
      <c r="N442">
        <f ca="1">IF(AND(ISNUMBER($N$940),$B$511=1),$N$940,HLOOKUP(INDIRECT(ADDRESS(2,COLUMN())),OFFSET($BN$2,0,0,ROW()-1,60),ROW()-1,FALSE))</f>
        <v>3.6902407820000001</v>
      </c>
      <c r="O442">
        <f ca="1">IF(AND(ISNUMBER($O$940),$B$511=1),$O$940,HLOOKUP(INDIRECT(ADDRESS(2,COLUMN())),OFFSET($BN$2,0,0,ROW()-1,60),ROW()-1,FALSE))</f>
        <v>3.379108607</v>
      </c>
      <c r="P442">
        <f ca="1">IF(AND(ISNUMBER($P$940),$B$511=1),$P$940,HLOOKUP(INDIRECT(ADDRESS(2,COLUMN())),OFFSET($BN$2,0,0,ROW()-1,60),ROW()-1,FALSE))</f>
        <v>3.277680272</v>
      </c>
      <c r="Q442">
        <f ca="1">IF(AND(ISNUMBER($Q$940),$B$511=1),$Q$940,HLOOKUP(INDIRECT(ADDRESS(2,COLUMN())),OFFSET($BN$2,0,0,ROW()-1,60),ROW()-1,FALSE))</f>
        <v>3.0489729059999999</v>
      </c>
      <c r="R442">
        <f ca="1">IF(AND(ISNUMBER($R$940),$B$511=1),$R$940,HLOOKUP(INDIRECT(ADDRESS(2,COLUMN())),OFFSET($BN$2,0,0,ROW()-1,60),ROW()-1,FALSE))</f>
        <v>3.1087761710000001</v>
      </c>
      <c r="S442">
        <f ca="1">IF(AND(ISNUMBER($S$940),$B$511=1),$S$940,HLOOKUP(INDIRECT(ADDRESS(2,COLUMN())),OFFSET($BN$2,0,0,ROW()-1,60),ROW()-1,FALSE))</f>
        <v>3.2709055880000002</v>
      </c>
      <c r="T442">
        <f ca="1">IF(AND(ISNUMBER($T$940),$B$511=1),$T$940,HLOOKUP(INDIRECT(ADDRESS(2,COLUMN())),OFFSET($BN$2,0,0,ROW()-1,60),ROW()-1,FALSE))</f>
        <v>2.642381919</v>
      </c>
      <c r="U442">
        <f ca="1">IF(AND(ISNUMBER($U$940),$B$511=1),$U$940,HLOOKUP(INDIRECT(ADDRESS(2,COLUMN())),OFFSET($BN$2,0,0,ROW()-1,60),ROW()-1,FALSE))</f>
        <v>3.6460433980000002</v>
      </c>
      <c r="V442">
        <f ca="1">IF(AND(ISNUMBER($V$940),$B$511=1),$V$940,HLOOKUP(INDIRECT(ADDRESS(2,COLUMN())),OFFSET($BN$2,0,0,ROW()-1,60),ROW()-1,FALSE))</f>
        <v>4.0087075710000004</v>
      </c>
      <c r="W442">
        <f ca="1">IF(AND(ISNUMBER($W$940),$B$511=1),$W$940,HLOOKUP(INDIRECT(ADDRESS(2,COLUMN())),OFFSET($BN$2,0,0,ROW()-1,60),ROW()-1,FALSE))</f>
        <v>3.4587750100000001</v>
      </c>
      <c r="X442">
        <f ca="1">IF(AND(ISNUMBER($X$940),$B$511=1),$X$940,HLOOKUP(INDIRECT(ADDRESS(2,COLUMN())),OFFSET($BN$2,0,0,ROW()-1,60),ROW()-1,FALSE))</f>
        <v>2.945488906</v>
      </c>
      <c r="Y442">
        <f ca="1">IF(AND(ISNUMBER($Y$940),$B$511=1),$Y$940,HLOOKUP(INDIRECT(ADDRESS(2,COLUMN())),OFFSET($BN$2,0,0,ROW()-1,60),ROW()-1,FALSE))</f>
        <v>2.466071371</v>
      </c>
      <c r="Z442">
        <f ca="1">IF(AND(ISNUMBER($Z$940),$B$511=1),$Z$940,HLOOKUP(INDIRECT(ADDRESS(2,COLUMN())),OFFSET($BN$2,0,0,ROW()-1,60),ROW()-1,FALSE))</f>
        <v>2.2272252149999998</v>
      </c>
      <c r="AA442">
        <f ca="1">IF(AND(ISNUMBER($AA$940),$B$511=1),$AA$940,HLOOKUP(INDIRECT(ADDRESS(2,COLUMN())),OFFSET($BN$2,0,0,ROW()-1,60),ROW()-1,FALSE))</f>
        <v>2.3362633009999998</v>
      </c>
      <c r="AB442">
        <f ca="1">IF(AND(ISNUMBER($AB$940),$B$511=1),$AB$940,HLOOKUP(INDIRECT(ADDRESS(2,COLUMN())),OFFSET($BN$2,0,0,ROW()-1,60),ROW()-1,FALSE))</f>
        <v>2.2102786939999999</v>
      </c>
      <c r="AC442">
        <f ca="1">IF(AND(ISNUMBER($AC$940),$B$511=1),$AC$940,HLOOKUP(INDIRECT(ADDRESS(2,COLUMN())),OFFSET($BN$2,0,0,ROW()-1,60),ROW()-1,FALSE))</f>
        <v>2.152307091</v>
      </c>
      <c r="AD442">
        <f ca="1">IF(AND(ISNUMBER($AD$940),$B$511=1),$AD$940,HLOOKUP(INDIRECT(ADDRESS(2,COLUMN())),OFFSET($BN$2,0,0,ROW()-1,60),ROW()-1,FALSE))</f>
        <v>2.3829458360000002</v>
      </c>
      <c r="AE442">
        <f ca="1">IF(AND(ISNUMBER($AE$940),$B$511=1),$AE$940,HLOOKUP(INDIRECT(ADDRESS(2,COLUMN())),OFFSET($BN$2,0,0,ROW()-1,60),ROW()-1,FALSE))</f>
        <v>2.8291900559999998</v>
      </c>
      <c r="AF442">
        <f ca="1">IF(AND(ISNUMBER($AF$940),$B$511=1),$AF$940,HLOOKUP(INDIRECT(ADDRESS(2,COLUMN())),OFFSET($BN$2,0,0,ROW()-1,60),ROW()-1,FALSE))</f>
        <v>2.1540615359999999</v>
      </c>
      <c r="AG442">
        <f ca="1">IF(AND(ISNUMBER($AG$940),$B$511=1),$AG$940,HLOOKUP(INDIRECT(ADDRESS(2,COLUMN())),OFFSET($BN$2,0,0,ROW()-1,60),ROW()-1,FALSE))</f>
        <v>2.2485877479999998</v>
      </c>
      <c r="AH442">
        <f ca="1">IF(AND(ISNUMBER($AH$940),$B$511=1),$AH$940,HLOOKUP(INDIRECT(ADDRESS(2,COLUMN())),OFFSET($BN$2,0,0,ROW()-1,60),ROW()-1,FALSE))</f>
        <v>2.354491474</v>
      </c>
      <c r="AI442">
        <f ca="1">IF(AND(ISNUMBER($AI$940),$B$511=1),$AI$940,HLOOKUP(INDIRECT(ADDRESS(2,COLUMN())),OFFSET($BN$2,0,0,ROW()-1,60),ROW()-1,FALSE))</f>
        <v>2.244551328</v>
      </c>
      <c r="AJ442">
        <f ca="1">IF(AND(ISNUMBER($AJ$940),$B$511=1),$AJ$940,HLOOKUP(INDIRECT(ADDRESS(2,COLUMN())),OFFSET($BN$2,0,0,ROW()-1,60),ROW()-1,FALSE))</f>
        <v>2.5035249880000001</v>
      </c>
      <c r="AK442">
        <f ca="1">IF(AND(ISNUMBER($AK$940),$B$511=1),$AK$940,HLOOKUP(INDIRECT(ADDRESS(2,COLUMN())),OFFSET($BN$2,0,0,ROW()-1,60),ROW()-1,FALSE))</f>
        <v>2.899178515</v>
      </c>
      <c r="AL442">
        <f ca="1">IF(AND(ISNUMBER($AL$940),$B$511=1),$AL$940,HLOOKUP(INDIRECT(ADDRESS(2,COLUMN())),OFFSET($BN$2,0,0,ROW()-1,60),ROW()-1,FALSE))</f>
        <v>2.7988895459999998</v>
      </c>
      <c r="AM442">
        <f ca="1">IF(AND(ISNUMBER($AM$940),$B$511=1),$AM$940,HLOOKUP(INDIRECT(ADDRESS(2,COLUMN())),OFFSET($BN$2,0,0,ROW()-1,60),ROW()-1,FALSE))</f>
        <v>2.227719016</v>
      </c>
      <c r="AN442">
        <f ca="1">IF(AND(ISNUMBER($AN$940),$B$511=1),$AN$940,HLOOKUP(INDIRECT(ADDRESS(2,COLUMN())),OFFSET($BN$2,0,0,ROW()-1,60),ROW()-1,FALSE))</f>
        <v>2.5186846040000002</v>
      </c>
      <c r="AO442">
        <f ca="1">IF(AND(ISNUMBER($AO$940),$B$511=1),$AO$940,HLOOKUP(INDIRECT(ADDRESS(2,COLUMN())),OFFSET($BN$2,0,0,ROW()-1,60),ROW()-1,FALSE))</f>
        <v>1.8093608990000001</v>
      </c>
      <c r="AP442">
        <f ca="1">IF(AND(ISNUMBER($AP$940),$B$511=1),$AP$940,HLOOKUP(INDIRECT(ADDRESS(2,COLUMN())),OFFSET($BN$2,0,0,ROW()-1,60),ROW()-1,FALSE))</f>
        <v>2.3066218190000001</v>
      </c>
      <c r="AQ442">
        <f ca="1">IF(AND(ISNUMBER($AQ$940),$B$511=1),$AQ$940,HLOOKUP(INDIRECT(ADDRESS(2,COLUMN())),OFFSET($BN$2,0,0,ROW()-1,60),ROW()-1,FALSE))</f>
        <v>2.9441490529999998</v>
      </c>
      <c r="AR442">
        <f ca="1">IF(AND(ISNUMBER($AR$940),$B$511=1),$AR$940,HLOOKUP(INDIRECT(ADDRESS(2,COLUMN())),OFFSET($BN$2,0,0,ROW()-1,60),ROW()-1,FALSE))</f>
        <v>2.2255552340000002</v>
      </c>
      <c r="AS442">
        <f ca="1">IF(AND(ISNUMBER($AS$940),$B$511=1),$AS$940,HLOOKUP(INDIRECT(ADDRESS(2,COLUMN())),OFFSET($BN$2,0,0,ROW()-1,60),ROW()-1,FALSE))</f>
        <v>1.683575622</v>
      </c>
      <c r="AT442">
        <f ca="1">IF(AND(ISNUMBER($AT$940),$B$511=1),$AT$940,HLOOKUP(INDIRECT(ADDRESS(2,COLUMN())),OFFSET($BN$2,0,0,ROW()-1,60),ROW()-1,FALSE))</f>
        <v>1.107649082</v>
      </c>
      <c r="AU442">
        <f ca="1">IF(AND(ISNUMBER($AU$940),$B$511=1),$AU$940,HLOOKUP(INDIRECT(ADDRESS(2,COLUMN())),OFFSET($BN$2,0,0,ROW()-1,60),ROW()-1,FALSE))</f>
        <v>0.60406958099999997</v>
      </c>
      <c r="AV442">
        <f ca="1">IF(AND(ISNUMBER($AV$940),$B$511=1),$AV$940,HLOOKUP(INDIRECT(ADDRESS(2,COLUMN())),OFFSET($BN$2,0,0,ROW()-1,60),ROW()-1,FALSE))</f>
        <v>0.76602961899999999</v>
      </c>
      <c r="AW442">
        <f ca="1">IF(AND(ISNUMBER($AW$940),$B$511=1),$AW$940,HLOOKUP(INDIRECT(ADDRESS(2,COLUMN())),OFFSET($BN$2,0,0,ROW()-1,60),ROW()-1,FALSE))</f>
        <v>0.88097421200000003</v>
      </c>
      <c r="AX442">
        <f ca="1">IF(AND(ISNUMBER($AX$940),$B$511=1),$AX$940,HLOOKUP(INDIRECT(ADDRESS(2,COLUMN())),OFFSET($BN$2,0,0,ROW()-1,60),ROW()-1,FALSE))</f>
        <v>1.5062091360000001</v>
      </c>
      <c r="AY442">
        <f ca="1">IF(AND(ISNUMBER($AY$940),$B$511=1),$AY$940,HLOOKUP(INDIRECT(ADDRESS(2,COLUMN())),OFFSET($BN$2,0,0,ROW()-1,60),ROW()-1,FALSE))</f>
        <v>2.7687294699999998</v>
      </c>
      <c r="AZ442">
        <f ca="1">IF(AND(ISNUMBER($AZ$940),$B$511=1),$AZ$940,HLOOKUP(INDIRECT(ADDRESS(2,COLUMN())),OFFSET($BN$2,0,0,ROW()-1,60),ROW()-1,FALSE))</f>
        <v>3.0272814010000002</v>
      </c>
      <c r="BA442">
        <f ca="1">IF(AND(ISNUMBER($BA$940),$B$511=1),$BA$940,HLOOKUP(INDIRECT(ADDRESS(2,COLUMN())),OFFSET($BN$2,0,0,ROW()-1,60),ROW()-1,FALSE))</f>
        <v>1.7449450150000001</v>
      </c>
      <c r="BB442">
        <f ca="1">IF(AND(ISNUMBER($BB$940),$B$511=1),$BB$940,HLOOKUP(INDIRECT(ADDRESS(2,COLUMN())),OFFSET($BN$2,0,0,ROW()-1,60),ROW()-1,FALSE))</f>
        <v>1.2326012070000001</v>
      </c>
      <c r="BC442">
        <f ca="1">IF(AND(ISNUMBER($BC$940),$B$511=1),$BC$940,HLOOKUP(INDIRECT(ADDRESS(2,COLUMN())),OFFSET($BN$2,0,0,ROW()-1,60),ROW()-1,FALSE))</f>
        <v>0.80519344900000001</v>
      </c>
      <c r="BD442">
        <f ca="1">IF(AND(ISNUMBER($BD$940),$B$511=1),$BD$940,HLOOKUP(INDIRECT(ADDRESS(2,COLUMN())),OFFSET($BN$2,0,0,ROW()-1,60),ROW()-1,FALSE))</f>
        <v>0.50703967699999997</v>
      </c>
      <c r="BE442">
        <f ca="1">IF(AND(ISNUMBER($BE$940),$B$511=1),$BE$940,HLOOKUP(INDIRECT(ADDRESS(2,COLUMN())),OFFSET($BN$2,0,0,ROW()-1,60),ROW()-1,FALSE))</f>
        <v>0.56386329099999999</v>
      </c>
      <c r="BF442">
        <f ca="1">IF(AND(ISNUMBER($BF$940),$B$511=1),$BF$940,HLOOKUP(INDIRECT(ADDRESS(2,COLUMN())),OFFSET($BN$2,0,0,ROW()-1,60),ROW()-1,FALSE))</f>
        <v>0.334856981</v>
      </c>
      <c r="BG442">
        <f ca="1">IF(AND(ISNUMBER($BG$940),$B$511=1),$BG$940,HLOOKUP(INDIRECT(ADDRESS(2,COLUMN())),OFFSET($BN$2,0,0,ROW()-1,60),ROW()-1,FALSE))</f>
        <v>0.31550071200000002</v>
      </c>
      <c r="BH442">
        <f ca="1">IF(AND(ISNUMBER($BH$940),$B$511=1),$BH$940,HLOOKUP(INDIRECT(ADDRESS(2,COLUMN())),OFFSET($BN$2,0,0,ROW()-1,60),ROW()-1,FALSE))</f>
        <v>0.49045233799999999</v>
      </c>
      <c r="BI442">
        <f ca="1">IF(AND(ISNUMBER($BI$940),$B$511=1),$BI$940,HLOOKUP(INDIRECT(ADDRESS(2,COLUMN())),OFFSET($BN$2,0,0,ROW()-1,60),ROW()-1,FALSE))</f>
        <v>0.39965350999999999</v>
      </c>
      <c r="BJ442">
        <f ca="1">IF(AND(ISNUMBER($BJ$940),$B$511=1),$BJ$940,HLOOKUP(INDIRECT(ADDRESS(2,COLUMN())),OFFSET($BN$2,0,0,ROW()-1,60),ROW()-1,FALSE))</f>
        <v>0.40151236299999998</v>
      </c>
      <c r="BK442">
        <f ca="1">IF(AND(ISNUMBER($BK$940),$B$511=1),$BK$940,HLOOKUP(INDIRECT(ADDRESS(2,COLUMN())),OFFSET($BN$2,0,0,ROW()-1,60),ROW()-1,FALSE))</f>
        <v>0.44147238</v>
      </c>
      <c r="BL442">
        <f ca="1">IF(AND(ISNUMBER($BL$940),$B$511=1),$BL$940,HLOOKUP(INDIRECT(ADDRESS(2,COLUMN())),OFFSET($BN$2,0,0,ROW()-1,60),ROW()-1,FALSE))</f>
        <v>0.72680294999999995</v>
      </c>
      <c r="BM442">
        <f ca="1">IF(AND(ISNUMBER($BM$940),$B$511=1),$BM$940,HLOOKUP(INDIRECT(ADDRESS(2,COLUMN())),OFFSET($BN$2,0,0,ROW()-1,60),ROW()-1,FALSE))</f>
        <v>0.79186203799999999</v>
      </c>
      <c r="BN442">
        <f>4.230844031</f>
        <v>4.2308440310000002</v>
      </c>
      <c r="BO442">
        <f>3.877467942</f>
        <v>3.877467942</v>
      </c>
      <c r="BP442">
        <f>4.844885065</f>
        <v>4.8448850649999997</v>
      </c>
      <c r="BQ442">
        <f>5.282386509</f>
        <v>5.2823865090000002</v>
      </c>
      <c r="BR442">
        <f>5.408715013</f>
        <v>5.4087150130000001</v>
      </c>
      <c r="BS442">
        <f>4.924155102</f>
        <v>4.9241551020000003</v>
      </c>
      <c r="BT442">
        <f>4.550181615</f>
        <v>4.5501816149999996</v>
      </c>
      <c r="BU442">
        <f>4.589732598</f>
        <v>4.5897325980000003</v>
      </c>
      <c r="BV442">
        <f>3.690240782</f>
        <v>3.6902407820000001</v>
      </c>
      <c r="BW442">
        <f>3.379108607</f>
        <v>3.379108607</v>
      </c>
      <c r="BX442">
        <f>3.277680272</f>
        <v>3.277680272</v>
      </c>
      <c r="BY442">
        <f>3.048972906</f>
        <v>3.0489729059999999</v>
      </c>
      <c r="BZ442">
        <f>3.108776171</f>
        <v>3.1087761710000001</v>
      </c>
      <c r="CA442">
        <f>3.270905588</f>
        <v>3.2709055880000002</v>
      </c>
      <c r="CB442">
        <f>2.642381919</f>
        <v>2.642381919</v>
      </c>
      <c r="CC442">
        <f>3.646043398</f>
        <v>3.6460433980000002</v>
      </c>
      <c r="CD442">
        <f>4.008707571</f>
        <v>4.0087075710000004</v>
      </c>
      <c r="CE442">
        <f>3.45877501</f>
        <v>3.4587750100000001</v>
      </c>
      <c r="CF442">
        <f>2.945488906</f>
        <v>2.945488906</v>
      </c>
      <c r="CG442">
        <f>2.466071371</f>
        <v>2.466071371</v>
      </c>
      <c r="CH442">
        <f>2.227225215</f>
        <v>2.2272252149999998</v>
      </c>
      <c r="CI442">
        <f>2.336263301</f>
        <v>2.3362633009999998</v>
      </c>
      <c r="CJ442">
        <f>2.210278694</f>
        <v>2.2102786939999999</v>
      </c>
      <c r="CK442">
        <f>2.152307091</f>
        <v>2.152307091</v>
      </c>
      <c r="CL442">
        <f>2.382945836</f>
        <v>2.3829458360000002</v>
      </c>
      <c r="CM442">
        <f>2.829190056</f>
        <v>2.8291900559999998</v>
      </c>
      <c r="CN442">
        <f>2.154061536</f>
        <v>2.1540615359999999</v>
      </c>
      <c r="CO442">
        <f>2.248587748</f>
        <v>2.2485877479999998</v>
      </c>
      <c r="CP442">
        <f>2.354491474</f>
        <v>2.354491474</v>
      </c>
      <c r="CQ442">
        <f>2.244551328</f>
        <v>2.244551328</v>
      </c>
      <c r="CR442">
        <f>2.503524988</f>
        <v>2.5035249880000001</v>
      </c>
      <c r="CS442">
        <f>2.899178515</f>
        <v>2.899178515</v>
      </c>
      <c r="CT442">
        <f>2.798889546</f>
        <v>2.7988895459999998</v>
      </c>
      <c r="CU442">
        <f>2.227719016</f>
        <v>2.227719016</v>
      </c>
      <c r="CV442">
        <f>2.518684604</f>
        <v>2.5186846040000002</v>
      </c>
      <c r="CW442">
        <f>1.809360899</f>
        <v>1.8093608990000001</v>
      </c>
      <c r="CX442">
        <f>2.306621819</f>
        <v>2.3066218190000001</v>
      </c>
      <c r="CY442">
        <f>2.944149053</f>
        <v>2.9441490529999998</v>
      </c>
      <c r="CZ442">
        <f>2.225555234</f>
        <v>2.2255552340000002</v>
      </c>
      <c r="DA442">
        <f>1.683575622</f>
        <v>1.683575622</v>
      </c>
      <c r="DB442">
        <f>1.107649082</f>
        <v>1.107649082</v>
      </c>
      <c r="DC442">
        <f>0.604069581</f>
        <v>0.60406958099999997</v>
      </c>
      <c r="DD442">
        <f>0.766029619</f>
        <v>0.76602961899999999</v>
      </c>
      <c r="DE442">
        <f>0.880974212</f>
        <v>0.88097421200000003</v>
      </c>
      <c r="DF442">
        <f>1.506209136</f>
        <v>1.5062091360000001</v>
      </c>
      <c r="DG442">
        <f>2.76872947</f>
        <v>2.7687294699999998</v>
      </c>
      <c r="DH442">
        <f>3.027281401</f>
        <v>3.0272814010000002</v>
      </c>
      <c r="DI442">
        <f>1.744945015</f>
        <v>1.7449450150000001</v>
      </c>
      <c r="DJ442">
        <f>1.232601207</f>
        <v>1.2326012070000001</v>
      </c>
      <c r="DK442">
        <f>0.805193449</f>
        <v>0.80519344900000001</v>
      </c>
      <c r="DL442">
        <f>0.507039677</f>
        <v>0.50703967699999997</v>
      </c>
      <c r="DM442">
        <f>0.563863291</f>
        <v>0.56386329099999999</v>
      </c>
      <c r="DN442">
        <f>0.334856981</f>
        <v>0.334856981</v>
      </c>
      <c r="DO442">
        <f>0.315500712</f>
        <v>0.31550071200000002</v>
      </c>
      <c r="DP442">
        <f>0.490452338</f>
        <v>0.49045233799999999</v>
      </c>
      <c r="DQ442">
        <f>0.39965351</f>
        <v>0.39965350999999999</v>
      </c>
      <c r="DR442">
        <f>0.401512363</f>
        <v>0.40151236299999998</v>
      </c>
      <c r="DS442">
        <f>0.44147238</f>
        <v>0.44147238</v>
      </c>
      <c r="DT442">
        <f>0.72680295</f>
        <v>0.72680294999999995</v>
      </c>
      <c r="DU442">
        <f>0.791862038</f>
        <v>0.79186203799999999</v>
      </c>
    </row>
    <row r="443" spans="1:125" x14ac:dyDescent="0.25">
      <c r="A443" t="str">
        <f>"    Sanyang Motor Co Ltd"</f>
        <v xml:space="preserve">    Sanyang Motor Co Ltd</v>
      </c>
      <c r="B443" t="str">
        <f>"2206 TT Equity"</f>
        <v>2206 TT Equity</v>
      </c>
      <c r="C443" t="str">
        <f t="shared" si="30"/>
        <v>PR005</v>
      </c>
      <c r="D443" t="str">
        <f t="shared" si="31"/>
        <v>PX_LAST</v>
      </c>
      <c r="E443" t="str">
        <f t="shared" si="32"/>
        <v>Dynamic</v>
      </c>
      <c r="F443">
        <f ca="1">IF(AND(ISNUMBER($F$941),$B$511=1),$F$941,HLOOKUP(INDIRECT(ADDRESS(2,COLUMN())),OFFSET($BN$2,0,0,ROW()-1,60),ROW()-1,FALSE))</f>
        <v>0.66090740000000003</v>
      </c>
      <c r="G443">
        <f ca="1">IF(AND(ISNUMBER($G$941),$B$511=1),$G$941,HLOOKUP(INDIRECT(ADDRESS(2,COLUMN())),OFFSET($BN$2,0,0,ROW()-1,60),ROW()-1,FALSE))</f>
        <v>0.654857405</v>
      </c>
      <c r="H443">
        <f ca="1">IF(AND(ISNUMBER($H$941),$B$511=1),$H$941,HLOOKUP(INDIRECT(ADDRESS(2,COLUMN())),OFFSET($BN$2,0,0,ROW()-1,60),ROW()-1,FALSE))</f>
        <v>0.67246186699999999</v>
      </c>
      <c r="I443">
        <f ca="1">IF(AND(ISNUMBER($I$941),$B$511=1),$I$941,HLOOKUP(INDIRECT(ADDRESS(2,COLUMN())),OFFSET($BN$2,0,0,ROW()-1,60),ROW()-1,FALSE))</f>
        <v>0.71749909700000003</v>
      </c>
      <c r="J443">
        <f ca="1">IF(AND(ISNUMBER($J$941),$B$511=1),$J$941,HLOOKUP(INDIRECT(ADDRESS(2,COLUMN())),OFFSET($BN$2,0,0,ROW()-1,60),ROW()-1,FALSE))</f>
        <v>0.72998969400000002</v>
      </c>
      <c r="K443">
        <f ca="1">IF(AND(ISNUMBER($K$941),$B$511=1),$K$941,HLOOKUP(INDIRECT(ADDRESS(2,COLUMN())),OFFSET($BN$2,0,0,ROW()-1,60),ROW()-1,FALSE))</f>
        <v>0.72129158400000004</v>
      </c>
      <c r="L443">
        <f ca="1">IF(AND(ISNUMBER($L$941),$B$511=1),$L$941,HLOOKUP(INDIRECT(ADDRESS(2,COLUMN())),OFFSET($BN$2,0,0,ROW()-1,60),ROW()-1,FALSE))</f>
        <v>0.703318475</v>
      </c>
      <c r="M443">
        <f ca="1">IF(AND(ISNUMBER($M$941),$B$511=1),$M$941,HLOOKUP(INDIRECT(ADDRESS(2,COLUMN())),OFFSET($BN$2,0,0,ROW()-1,60),ROW()-1,FALSE))</f>
        <v>0.72096391900000001</v>
      </c>
      <c r="N443">
        <f ca="1">IF(AND(ISNUMBER($N$941),$B$511=1),$N$941,HLOOKUP(INDIRECT(ADDRESS(2,COLUMN())),OFFSET($BN$2,0,0,ROW()-1,60),ROW()-1,FALSE))</f>
        <v>0.70661483700000005</v>
      </c>
      <c r="O443">
        <f ca="1">IF(AND(ISNUMBER($O$941),$B$511=1),$O$941,HLOOKUP(INDIRECT(ADDRESS(2,COLUMN())),OFFSET($BN$2,0,0,ROW()-1,60),ROW()-1,FALSE))</f>
        <v>0.63902694999999998</v>
      </c>
      <c r="P443">
        <f ca="1">IF(AND(ISNUMBER($P$941),$B$511=1),$P$941,HLOOKUP(INDIRECT(ADDRESS(2,COLUMN())),OFFSET($BN$2,0,0,ROW()-1,60),ROW()-1,FALSE))</f>
        <v>0.66474912100000005</v>
      </c>
      <c r="Q443">
        <f ca="1">IF(AND(ISNUMBER($Q$941),$B$511=1),$Q$941,HLOOKUP(INDIRECT(ADDRESS(2,COLUMN())),OFFSET($BN$2,0,0,ROW()-1,60),ROW()-1,FALSE))</f>
        <v>0.64267751299999998</v>
      </c>
      <c r="R443">
        <f ca="1">IF(AND(ISNUMBER($R$941),$B$511=1),$R$941,HLOOKUP(INDIRECT(ADDRESS(2,COLUMN())),OFFSET($BN$2,0,0,ROW()-1,60),ROW()-1,FALSE))</f>
        <v>0.66784704800000005</v>
      </c>
      <c r="S443">
        <f ca="1">IF(AND(ISNUMBER($S$941),$B$511=1),$S$941,HLOOKUP(INDIRECT(ADDRESS(2,COLUMN())),OFFSET($BN$2,0,0,ROW()-1,60),ROW()-1,FALSE))</f>
        <v>0.66836796700000001</v>
      </c>
      <c r="T443">
        <f ca="1">IF(AND(ISNUMBER($T$941),$B$511=1),$T$941,HLOOKUP(INDIRECT(ADDRESS(2,COLUMN())),OFFSET($BN$2,0,0,ROW()-1,60),ROW()-1,FALSE))</f>
        <v>0.70898348700000002</v>
      </c>
      <c r="U443">
        <f ca="1">IF(AND(ISNUMBER($U$941),$B$511=1),$U$941,HLOOKUP(INDIRECT(ADDRESS(2,COLUMN())),OFFSET($BN$2,0,0,ROW()-1,60),ROW()-1,FALSE))</f>
        <v>0.802900803</v>
      </c>
      <c r="V443">
        <f ca="1">IF(AND(ISNUMBER($V$941),$B$511=1),$V$941,HLOOKUP(INDIRECT(ADDRESS(2,COLUMN())),OFFSET($BN$2,0,0,ROW()-1,60),ROW()-1,FALSE))</f>
        <v>0.83831952099999996</v>
      </c>
      <c r="W443">
        <f ca="1">IF(AND(ISNUMBER($W$941),$B$511=1),$W$941,HLOOKUP(INDIRECT(ADDRESS(2,COLUMN())),OFFSET($BN$2,0,0,ROW()-1,60),ROW()-1,FALSE))</f>
        <v>0.901356779</v>
      </c>
      <c r="X443">
        <f ca="1">IF(AND(ISNUMBER($X$941),$B$511=1),$X$941,HLOOKUP(INDIRECT(ADDRESS(2,COLUMN())),OFFSET($BN$2,0,0,ROW()-1,60),ROW()-1,FALSE))</f>
        <v>0.91722006700000003</v>
      </c>
      <c r="Y443">
        <f ca="1">IF(AND(ISNUMBER($Y$941),$B$511=1),$Y$941,HLOOKUP(INDIRECT(ADDRESS(2,COLUMN())),OFFSET($BN$2,0,0,ROW()-1,60),ROW()-1,FALSE))</f>
        <v>1.047874121</v>
      </c>
      <c r="Z443">
        <f ca="1">IF(AND(ISNUMBER($Z$941),$B$511=1),$Z$941,HLOOKUP(INDIRECT(ADDRESS(2,COLUMN())),OFFSET($BN$2,0,0,ROW()-1,60),ROW()-1,FALSE))</f>
        <v>1.6582386549999999</v>
      </c>
      <c r="AA443">
        <f ca="1">IF(AND(ISNUMBER($AA$941),$B$511=1),$AA$941,HLOOKUP(INDIRECT(ADDRESS(2,COLUMN())),OFFSET($BN$2,0,0,ROW()-1,60),ROW()-1,FALSE))</f>
        <v>1.6383271290000001</v>
      </c>
      <c r="AB443">
        <f ca="1">IF(AND(ISNUMBER($AB$941),$B$511=1),$AB$941,HLOOKUP(INDIRECT(ADDRESS(2,COLUMN())),OFFSET($BN$2,0,0,ROW()-1,60),ROW()-1,FALSE))</f>
        <v>1.4394451960000001</v>
      </c>
      <c r="AC443">
        <f ca="1">IF(AND(ISNUMBER($AC$941),$B$511=1),$AC$941,HLOOKUP(INDIRECT(ADDRESS(2,COLUMN())),OFFSET($BN$2,0,0,ROW()-1,60),ROW()-1,FALSE))</f>
        <v>0.92734672100000004</v>
      </c>
      <c r="AD443">
        <f ca="1">IF(AND(ISNUMBER($AD$941),$B$511=1),$AD$941,HLOOKUP(INDIRECT(ADDRESS(2,COLUMN())),OFFSET($BN$2,0,0,ROW()-1,60),ROW()-1,FALSE))</f>
        <v>0.83274689199999996</v>
      </c>
      <c r="AE443">
        <f ca="1">IF(AND(ISNUMBER($AE$941),$B$511=1),$AE$941,HLOOKUP(INDIRECT(ADDRESS(2,COLUMN())),OFFSET($BN$2,0,0,ROW()-1,60),ROW()-1,FALSE))</f>
        <v>0.60881229999999997</v>
      </c>
      <c r="AF443">
        <f ca="1">IF(AND(ISNUMBER($AF$941),$B$511=1),$AF$941,HLOOKUP(INDIRECT(ADDRESS(2,COLUMN())),OFFSET($BN$2,0,0,ROW()-1,60),ROW()-1,FALSE))</f>
        <v>0.68708016500000002</v>
      </c>
      <c r="AG443">
        <f ca="1">IF(AND(ISNUMBER($AG$941),$B$511=1),$AG$941,HLOOKUP(INDIRECT(ADDRESS(2,COLUMN())),OFFSET($BN$2,0,0,ROW()-1,60),ROW()-1,FALSE))</f>
        <v>0.64673949500000005</v>
      </c>
      <c r="AH443">
        <f ca="1">IF(AND(ISNUMBER($AH$941),$B$511=1),$AH$941,HLOOKUP(INDIRECT(ADDRESS(2,COLUMN())),OFFSET($BN$2,0,0,ROW()-1,60),ROW()-1,FALSE))</f>
        <v>0.67949978</v>
      </c>
      <c r="AI443">
        <f ca="1">IF(AND(ISNUMBER($AI$941),$B$511=1),$AI$941,HLOOKUP(INDIRECT(ADDRESS(2,COLUMN())),OFFSET($BN$2,0,0,ROW()-1,60),ROW()-1,FALSE))</f>
        <v>0.54311938699999995</v>
      </c>
      <c r="AJ443">
        <f ca="1">IF(AND(ISNUMBER($AJ$941),$B$511=1),$AJ$941,HLOOKUP(INDIRECT(ADDRESS(2,COLUMN())),OFFSET($BN$2,0,0,ROW()-1,60),ROW()-1,FALSE))</f>
        <v>0.55604763300000004</v>
      </c>
      <c r="AK443">
        <f ca="1">IF(AND(ISNUMBER($AK$941),$B$511=1),$AK$941,HLOOKUP(INDIRECT(ADDRESS(2,COLUMN())),OFFSET($BN$2,0,0,ROW()-1,60),ROW()-1,FALSE))</f>
        <v>0.57045755600000003</v>
      </c>
      <c r="AL443">
        <f ca="1">IF(AND(ISNUMBER($AL$941),$B$511=1),$AL$941,HLOOKUP(INDIRECT(ADDRESS(2,COLUMN())),OFFSET($BN$2,0,0,ROW()-1,60),ROW()-1,FALSE))</f>
        <v>0.55661853100000003</v>
      </c>
      <c r="AM443">
        <f ca="1">IF(AND(ISNUMBER($AM$941),$B$511=1),$AM$941,HLOOKUP(INDIRECT(ADDRESS(2,COLUMN())),OFFSET($BN$2,0,0,ROW()-1,60),ROW()-1,FALSE))</f>
        <v>0.59858113599999996</v>
      </c>
      <c r="AN443">
        <f ca="1">IF(AND(ISNUMBER($AN$941),$B$511=1),$AN$941,HLOOKUP(INDIRECT(ADDRESS(2,COLUMN())),OFFSET($BN$2,0,0,ROW()-1,60),ROW()-1,FALSE))</f>
        <v>0.50148512099999998</v>
      </c>
      <c r="AO443">
        <f ca="1">IF(AND(ISNUMBER($AO$941),$B$511=1),$AO$941,HLOOKUP(INDIRECT(ADDRESS(2,COLUMN())),OFFSET($BN$2,0,0,ROW()-1,60),ROW()-1,FALSE))</f>
        <v>0.37580828100000002</v>
      </c>
      <c r="AP443">
        <f ca="1">IF(AND(ISNUMBER($AP$941),$B$511=1),$AP$941,HLOOKUP(INDIRECT(ADDRESS(2,COLUMN())),OFFSET($BN$2,0,0,ROW()-1,60),ROW()-1,FALSE))</f>
        <v>0.38763604400000001</v>
      </c>
      <c r="AQ443">
        <f ca="1">IF(AND(ISNUMBER($AQ$941),$B$511=1),$AQ$941,HLOOKUP(INDIRECT(ADDRESS(2,COLUMN())),OFFSET($BN$2,0,0,ROW()-1,60),ROW()-1,FALSE))</f>
        <v>0.407030418</v>
      </c>
      <c r="AR443">
        <f ca="1">IF(AND(ISNUMBER($AR$941),$B$511=1),$AR$941,HLOOKUP(INDIRECT(ADDRESS(2,COLUMN())),OFFSET($BN$2,0,0,ROW()-1,60),ROW()-1,FALSE))</f>
        <v>0.42697570899999998</v>
      </c>
      <c r="AS443">
        <f ca="1">IF(AND(ISNUMBER($AS$941),$B$511=1),$AS$941,HLOOKUP(INDIRECT(ADDRESS(2,COLUMN())),OFFSET($BN$2,0,0,ROW()-1,60),ROW()-1,FALSE))</f>
        <v>0.43417503899999998</v>
      </c>
      <c r="AT443">
        <f ca="1">IF(AND(ISNUMBER($AT$941),$B$511=1),$AT$941,HLOOKUP(INDIRECT(ADDRESS(2,COLUMN())),OFFSET($BN$2,0,0,ROW()-1,60),ROW()-1,FALSE))</f>
        <v>0.217544188</v>
      </c>
      <c r="AU443">
        <f ca="1">IF(AND(ISNUMBER($AU$941),$B$511=1),$AU$941,HLOOKUP(INDIRECT(ADDRESS(2,COLUMN())),OFFSET($BN$2,0,0,ROW()-1,60),ROW()-1,FALSE))</f>
        <v>0.17706644599999999</v>
      </c>
      <c r="AV443">
        <f ca="1">IF(AND(ISNUMBER($AV$941),$B$511=1),$AV$941,HLOOKUP(INDIRECT(ADDRESS(2,COLUMN())),OFFSET($BN$2,0,0,ROW()-1,60),ROW()-1,FALSE))</f>
        <v>0.23592223300000001</v>
      </c>
      <c r="AW443">
        <f ca="1">IF(AND(ISNUMBER($AW$941),$B$511=1),$AW$941,HLOOKUP(INDIRECT(ADDRESS(2,COLUMN())),OFFSET($BN$2,0,0,ROW()-1,60),ROW()-1,FALSE))</f>
        <v>0.36984629200000002</v>
      </c>
      <c r="AX443">
        <f ca="1">IF(AND(ISNUMBER($AX$941),$B$511=1),$AX$941,HLOOKUP(INDIRECT(ADDRESS(2,COLUMN())),OFFSET($BN$2,0,0,ROW()-1,60),ROW()-1,FALSE))</f>
        <v>0.68154758500000001</v>
      </c>
      <c r="AY443">
        <f ca="1">IF(AND(ISNUMBER($AY$941),$B$511=1),$AY$941,HLOOKUP(INDIRECT(ADDRESS(2,COLUMN())),OFFSET($BN$2,0,0,ROW()-1,60),ROW()-1,FALSE))</f>
        <v>0.49584494499999998</v>
      </c>
      <c r="AZ443">
        <f ca="1">IF(AND(ISNUMBER($AZ$941),$B$511=1),$AZ$941,HLOOKUP(INDIRECT(ADDRESS(2,COLUMN())),OFFSET($BN$2,0,0,ROW()-1,60),ROW()-1,FALSE))</f>
        <v>0.73278133000000001</v>
      </c>
      <c r="BA443">
        <f ca="1">IF(AND(ISNUMBER($BA$941),$B$511=1),$BA$941,HLOOKUP(INDIRECT(ADDRESS(2,COLUMN())),OFFSET($BN$2,0,0,ROW()-1,60),ROW()-1,FALSE))</f>
        <v>0.68225731199999995</v>
      </c>
      <c r="BB443">
        <f ca="1">IF(AND(ISNUMBER($BB$941),$B$511=1),$BB$941,HLOOKUP(INDIRECT(ADDRESS(2,COLUMN())),OFFSET($BN$2,0,0,ROW()-1,60),ROW()-1,FALSE))</f>
        <v>0.52975993200000004</v>
      </c>
      <c r="BC443">
        <f ca="1">IF(AND(ISNUMBER($BC$941),$B$511=1),$BC$941,HLOOKUP(INDIRECT(ADDRESS(2,COLUMN())),OFFSET($BN$2,0,0,ROW()-1,60),ROW()-1,FALSE))</f>
        <v>0.64220141500000005</v>
      </c>
      <c r="BD443">
        <f ca="1">IF(AND(ISNUMBER($BD$941),$B$511=1),$BD$941,HLOOKUP(INDIRECT(ADDRESS(2,COLUMN())),OFFSET($BN$2,0,0,ROW()-1,60),ROW()-1,FALSE))</f>
        <v>0.461367578</v>
      </c>
      <c r="BE443">
        <f ca="1">IF(AND(ISNUMBER($BE$941),$B$511=1),$BE$941,HLOOKUP(INDIRECT(ADDRESS(2,COLUMN())),OFFSET($BN$2,0,0,ROW()-1,60),ROW()-1,FALSE))</f>
        <v>0.44804549799999999</v>
      </c>
      <c r="BF443">
        <f ca="1">IF(AND(ISNUMBER($BF$941),$B$511=1),$BF$941,HLOOKUP(INDIRECT(ADDRESS(2,COLUMN())),OFFSET($BN$2,0,0,ROW()-1,60),ROW()-1,FALSE))</f>
        <v>0.31826516599999999</v>
      </c>
      <c r="BG443">
        <f ca="1">IF(AND(ISNUMBER($BG$941),$B$511=1),$BG$941,HLOOKUP(INDIRECT(ADDRESS(2,COLUMN())),OFFSET($BN$2,0,0,ROW()-1,60),ROW()-1,FALSE))</f>
        <v>0.33659944800000002</v>
      </c>
      <c r="BH443">
        <f ca="1">IF(AND(ISNUMBER($BH$941),$B$511=1),$BH$941,HLOOKUP(INDIRECT(ADDRESS(2,COLUMN())),OFFSET($BN$2,0,0,ROW()-1,60),ROW()-1,FALSE))</f>
        <v>0.32480766799999999</v>
      </c>
      <c r="BI443">
        <f ca="1">IF(AND(ISNUMBER($BI$941),$B$511=1),$BI$941,HLOOKUP(INDIRECT(ADDRESS(2,COLUMN())),OFFSET($BN$2,0,0,ROW()-1,60),ROW()-1,FALSE))</f>
        <v>0.38031557100000002</v>
      </c>
      <c r="BJ443">
        <f ca="1">IF(AND(ISNUMBER($BJ$941),$B$511=1),$BJ$941,HLOOKUP(INDIRECT(ADDRESS(2,COLUMN())),OFFSET($BN$2,0,0,ROW()-1,60),ROW()-1,FALSE))</f>
        <v>0.39899607999999998</v>
      </c>
      <c r="BK443">
        <f ca="1">IF(AND(ISNUMBER($BK$941),$B$511=1),$BK$941,HLOOKUP(INDIRECT(ADDRESS(2,COLUMN())),OFFSET($BN$2,0,0,ROW()-1,60),ROW()-1,FALSE))</f>
        <v>0.39280615299999999</v>
      </c>
      <c r="BL443">
        <f ca="1">IF(AND(ISNUMBER($BL$941),$B$511=1),$BL$941,HLOOKUP(INDIRECT(ADDRESS(2,COLUMN())),OFFSET($BN$2,0,0,ROW()-1,60),ROW()-1,FALSE))</f>
        <v>0.37536383899999998</v>
      </c>
      <c r="BM443">
        <f ca="1">IF(AND(ISNUMBER($BM$941),$B$511=1),$BM$941,HLOOKUP(INDIRECT(ADDRESS(2,COLUMN())),OFFSET($BN$2,0,0,ROW()-1,60),ROW()-1,FALSE))</f>
        <v>0.31119258799999999</v>
      </c>
      <c r="BN443">
        <f>0.6609074</f>
        <v>0.66090740000000003</v>
      </c>
      <c r="BO443">
        <f>0.654857405</f>
        <v>0.654857405</v>
      </c>
      <c r="BP443">
        <f>0.672461867</f>
        <v>0.67246186699999999</v>
      </c>
      <c r="BQ443">
        <f>0.717499097</f>
        <v>0.71749909700000003</v>
      </c>
      <c r="BR443">
        <f>0.729989694</f>
        <v>0.72998969400000002</v>
      </c>
      <c r="BS443">
        <f>0.721291584</f>
        <v>0.72129158400000004</v>
      </c>
      <c r="BT443">
        <f>0.703318475</f>
        <v>0.703318475</v>
      </c>
      <c r="BU443">
        <f>0.720963919</f>
        <v>0.72096391900000001</v>
      </c>
      <c r="BV443">
        <f>0.706614837</f>
        <v>0.70661483700000005</v>
      </c>
      <c r="BW443">
        <f>0.63902695</f>
        <v>0.63902694999999998</v>
      </c>
      <c r="BX443">
        <f>0.664749121</f>
        <v>0.66474912100000005</v>
      </c>
      <c r="BY443">
        <f>0.642677513</f>
        <v>0.64267751299999998</v>
      </c>
      <c r="BZ443">
        <f>0.667847048</f>
        <v>0.66784704800000005</v>
      </c>
      <c r="CA443">
        <f>0.668367967</f>
        <v>0.66836796700000001</v>
      </c>
      <c r="CB443">
        <f>0.708983487</f>
        <v>0.70898348700000002</v>
      </c>
      <c r="CC443">
        <f>0.802900803</f>
        <v>0.802900803</v>
      </c>
      <c r="CD443">
        <f>0.838319521</f>
        <v>0.83831952099999996</v>
      </c>
      <c r="CE443">
        <f>0.901356779</f>
        <v>0.901356779</v>
      </c>
      <c r="CF443">
        <f>0.917220067</f>
        <v>0.91722006700000003</v>
      </c>
      <c r="CG443">
        <f>1.047874121</f>
        <v>1.047874121</v>
      </c>
      <c r="CH443">
        <f>1.658238655</f>
        <v>1.6582386549999999</v>
      </c>
      <c r="CI443">
        <f>1.638327129</f>
        <v>1.6383271290000001</v>
      </c>
      <c r="CJ443">
        <f>1.439445196</f>
        <v>1.4394451960000001</v>
      </c>
      <c r="CK443">
        <f>0.927346721</f>
        <v>0.92734672100000004</v>
      </c>
      <c r="CL443">
        <f>0.832746892</f>
        <v>0.83274689199999996</v>
      </c>
      <c r="CM443">
        <f>0.6088123</f>
        <v>0.60881229999999997</v>
      </c>
      <c r="CN443">
        <f>0.687080165</f>
        <v>0.68708016500000002</v>
      </c>
      <c r="CO443">
        <f>0.646739495</f>
        <v>0.64673949500000005</v>
      </c>
      <c r="CP443">
        <f>0.67949978</f>
        <v>0.67949978</v>
      </c>
      <c r="CQ443">
        <f>0.543119387</f>
        <v>0.54311938699999995</v>
      </c>
      <c r="CR443">
        <f>0.556047633</f>
        <v>0.55604763300000004</v>
      </c>
      <c r="CS443">
        <f>0.570457556</f>
        <v>0.57045755600000003</v>
      </c>
      <c r="CT443">
        <f>0.556618531</f>
        <v>0.55661853100000003</v>
      </c>
      <c r="CU443">
        <f>0.598581136</f>
        <v>0.59858113599999996</v>
      </c>
      <c r="CV443">
        <f>0.501485121</f>
        <v>0.50148512099999998</v>
      </c>
      <c r="CW443">
        <f>0.375808281</f>
        <v>0.37580828100000002</v>
      </c>
      <c r="CX443">
        <f>0.387636044</f>
        <v>0.38763604400000001</v>
      </c>
      <c r="CY443">
        <f>0.407030418</f>
        <v>0.407030418</v>
      </c>
      <c r="CZ443">
        <f>0.426975709</f>
        <v>0.42697570899999998</v>
      </c>
      <c r="DA443">
        <f>0.434175039</f>
        <v>0.43417503899999998</v>
      </c>
      <c r="DB443">
        <f>0.217544188</f>
        <v>0.217544188</v>
      </c>
      <c r="DC443">
        <f>0.177066446</f>
        <v>0.17706644599999999</v>
      </c>
      <c r="DD443">
        <f>0.235922233</f>
        <v>0.23592223300000001</v>
      </c>
      <c r="DE443">
        <f>0.369846292</f>
        <v>0.36984629200000002</v>
      </c>
      <c r="DF443">
        <f>0.681547585</f>
        <v>0.68154758500000001</v>
      </c>
      <c r="DG443">
        <f>0.495844945</f>
        <v>0.49584494499999998</v>
      </c>
      <c r="DH443">
        <f>0.73278133</f>
        <v>0.73278133000000001</v>
      </c>
      <c r="DI443">
        <f>0.682257312</f>
        <v>0.68225731199999995</v>
      </c>
      <c r="DJ443">
        <f>0.529759932</f>
        <v>0.52975993200000004</v>
      </c>
      <c r="DK443">
        <f>0.642201415</f>
        <v>0.64220141500000005</v>
      </c>
      <c r="DL443">
        <f>0.461367578</f>
        <v>0.461367578</v>
      </c>
      <c r="DM443">
        <f>0.448045498</f>
        <v>0.44804549799999999</v>
      </c>
      <c r="DN443">
        <f>0.318265166</f>
        <v>0.31826516599999999</v>
      </c>
      <c r="DO443">
        <f>0.336599448</f>
        <v>0.33659944800000002</v>
      </c>
      <c r="DP443">
        <f>0.324807668</f>
        <v>0.32480766799999999</v>
      </c>
      <c r="DQ443">
        <f>0.380315571</f>
        <v>0.38031557100000002</v>
      </c>
      <c r="DR443">
        <f>0.39899608</f>
        <v>0.39899607999999998</v>
      </c>
      <c r="DS443">
        <f>0.392806153</f>
        <v>0.39280615299999999</v>
      </c>
      <c r="DT443">
        <f>0.375363839</f>
        <v>0.37536383899999998</v>
      </c>
      <c r="DU443">
        <f>0.311192588</f>
        <v>0.31119258799999999</v>
      </c>
    </row>
    <row r="444" spans="1:125" x14ac:dyDescent="0.25">
      <c r="A444" t="str">
        <f>"    Sollers PJSC"</f>
        <v xml:space="preserve">    Sollers PJSC</v>
      </c>
      <c r="B444" t="str">
        <f>"SVAV RM Equity"</f>
        <v>SVAV RM Equity</v>
      </c>
      <c r="C444" t="str">
        <f t="shared" si="30"/>
        <v>PR005</v>
      </c>
      <c r="D444" t="str">
        <f t="shared" si="31"/>
        <v>PX_LAST</v>
      </c>
      <c r="E444" t="str">
        <f t="shared" si="32"/>
        <v>Dynamic</v>
      </c>
      <c r="F444">
        <f ca="1">IF(AND(ISNUMBER($F$942),$B$511=1),$F$942,HLOOKUP(INDIRECT(ADDRESS(2,COLUMN())),OFFSET($BN$2,0,0,ROW()-1,60),ROW()-1,FALSE))</f>
        <v>6.0840667140000004</v>
      </c>
      <c r="G444">
        <f ca="1">IF(AND(ISNUMBER($G$942),$B$511=1),$G$942,HLOOKUP(INDIRECT(ADDRESS(2,COLUMN())),OFFSET($BN$2,0,0,ROW()-1,60),ROW()-1,FALSE))</f>
        <v>5.8654399079999999</v>
      </c>
      <c r="H444">
        <f ca="1">IF(AND(ISNUMBER($H$942),$B$511=1),$H$942,HLOOKUP(INDIRECT(ADDRESS(2,COLUMN())),OFFSET($BN$2,0,0,ROW()-1,60),ROW()-1,FALSE))</f>
        <v>7.7872938850000004</v>
      </c>
      <c r="I444">
        <f ca="1">IF(AND(ISNUMBER($I$942),$B$511=1),$I$942,HLOOKUP(INDIRECT(ADDRESS(2,COLUMN())),OFFSET($BN$2,0,0,ROW()-1,60),ROW()-1,FALSE))</f>
        <v>8.2405540459999997</v>
      </c>
      <c r="J444">
        <f ca="1">IF(AND(ISNUMBER($J$942),$B$511=1),$J$942,HLOOKUP(INDIRECT(ADDRESS(2,COLUMN())),OFFSET($BN$2,0,0,ROW()-1,60),ROW()-1,FALSE))</f>
        <v>9.8987697489999995</v>
      </c>
      <c r="K444">
        <f ca="1">IF(AND(ISNUMBER($K$942),$B$511=1),$K$942,HLOOKUP(INDIRECT(ADDRESS(2,COLUMN())),OFFSET($BN$2,0,0,ROW()-1,60),ROW()-1,FALSE))</f>
        <v>10.80423832</v>
      </c>
      <c r="L444">
        <f ca="1">IF(AND(ISNUMBER($L$942),$B$511=1),$L$942,HLOOKUP(INDIRECT(ADDRESS(2,COLUMN())),OFFSET($BN$2,0,0,ROW()-1,60),ROW()-1,FALSE))</f>
        <v>9.9531005730000004</v>
      </c>
      <c r="M444">
        <f ca="1">IF(AND(ISNUMBER($M$942),$B$511=1),$M$942,HLOOKUP(INDIRECT(ADDRESS(2,COLUMN())),OFFSET($BN$2,0,0,ROW()-1,60),ROW()-1,FALSE))</f>
        <v>9.9262045029999992</v>
      </c>
      <c r="N444">
        <f ca="1">IF(AND(ISNUMBER($N$942),$B$511=1),$N$942,HLOOKUP(INDIRECT(ADDRESS(2,COLUMN())),OFFSET($BN$2,0,0,ROW()-1,60),ROW()-1,FALSE))</f>
        <v>10.286402580000001</v>
      </c>
      <c r="O444">
        <f ca="1">IF(AND(ISNUMBER($O$942),$B$511=1),$O$942,HLOOKUP(INDIRECT(ADDRESS(2,COLUMN())),OFFSET($BN$2,0,0,ROW()-1,60),ROW()-1,FALSE))</f>
        <v>8.7386316120000007</v>
      </c>
      <c r="P444">
        <f ca="1">IF(AND(ISNUMBER($P$942),$B$511=1),$P$942,HLOOKUP(INDIRECT(ADDRESS(2,COLUMN())),OFFSET($BN$2,0,0,ROW()-1,60),ROW()-1,FALSE))</f>
        <v>9.2876647410000004</v>
      </c>
      <c r="Q444">
        <f ca="1">IF(AND(ISNUMBER($Q$942),$B$511=1),$Q$942,HLOOKUP(INDIRECT(ADDRESS(2,COLUMN())),OFFSET($BN$2,0,0,ROW()-1,60),ROW()-1,FALSE))</f>
        <v>6.7716771859999998</v>
      </c>
      <c r="R444">
        <f ca="1">IF(AND(ISNUMBER($R$942),$B$511=1),$R$942,HLOOKUP(INDIRECT(ADDRESS(2,COLUMN())),OFFSET($BN$2,0,0,ROW()-1,60),ROW()-1,FALSE))</f>
        <v>6.1297848029999997</v>
      </c>
      <c r="S444">
        <f ca="1">IF(AND(ISNUMBER($S$942),$B$511=1),$S$942,HLOOKUP(INDIRECT(ADDRESS(2,COLUMN())),OFFSET($BN$2,0,0,ROW()-1,60),ROW()-1,FALSE))</f>
        <v>5.4744301889999996</v>
      </c>
      <c r="T444">
        <f ca="1">IF(AND(ISNUMBER($T$942),$B$511=1),$T$942,HLOOKUP(INDIRECT(ADDRESS(2,COLUMN())),OFFSET($BN$2,0,0,ROW()-1,60),ROW()-1,FALSE))</f>
        <v>6.7298448019999997</v>
      </c>
      <c r="U444">
        <f ca="1">IF(AND(ISNUMBER($U$942),$B$511=1),$U$942,HLOOKUP(INDIRECT(ADDRESS(2,COLUMN())),OFFSET($BN$2,0,0,ROW()-1,60),ROW()-1,FALSE))</f>
        <v>8.0340179139999996</v>
      </c>
      <c r="V444">
        <f ca="1">IF(AND(ISNUMBER($V$942),$B$511=1),$V$942,HLOOKUP(INDIRECT(ADDRESS(2,COLUMN())),OFFSET($BN$2,0,0,ROW()-1,60),ROW()-1,FALSE))</f>
        <v>6.2222298619999998</v>
      </c>
      <c r="W444">
        <f ca="1">IF(AND(ISNUMBER($W$942),$B$511=1),$W$942,HLOOKUP(INDIRECT(ADDRESS(2,COLUMN())),OFFSET($BN$2,0,0,ROW()-1,60),ROW()-1,FALSE))</f>
        <v>6.2814972219999996</v>
      </c>
      <c r="X444">
        <f ca="1">IF(AND(ISNUMBER($X$942),$B$511=1),$X$942,HLOOKUP(INDIRECT(ADDRESS(2,COLUMN())),OFFSET($BN$2,0,0,ROW()-1,60),ROW()-1,FALSE))</f>
        <v>11.582748349999999</v>
      </c>
      <c r="Y444">
        <f ca="1">IF(AND(ISNUMBER($Y$942),$B$511=1),$Y$942,HLOOKUP(INDIRECT(ADDRESS(2,COLUMN())),OFFSET($BN$2,0,0,ROW()-1,60),ROW()-1,FALSE))</f>
        <v>17.509578770000001</v>
      </c>
      <c r="Z444">
        <f ca="1">IF(AND(ISNUMBER($Z$942),$B$511=1),$Z$942,HLOOKUP(INDIRECT(ADDRESS(2,COLUMN())),OFFSET($BN$2,0,0,ROW()-1,60),ROW()-1,FALSE))</f>
        <v>14.203794309999999</v>
      </c>
      <c r="AA444">
        <f ca="1">IF(AND(ISNUMBER($AA$942),$B$511=1),$AA$942,HLOOKUP(INDIRECT(ADDRESS(2,COLUMN())),OFFSET($BN$2,0,0,ROW()-1,60),ROW()-1,FALSE))</f>
        <v>25.892665010000002</v>
      </c>
      <c r="AB444">
        <f ca="1">IF(AND(ISNUMBER($AB$942),$B$511=1),$AB$942,HLOOKUP(INDIRECT(ADDRESS(2,COLUMN())),OFFSET($BN$2,0,0,ROW()-1,60),ROW()-1,FALSE))</f>
        <v>21.014474849999999</v>
      </c>
      <c r="AC444">
        <f ca="1">IF(AND(ISNUMBER($AC$942),$B$511=1),$AC$942,HLOOKUP(INDIRECT(ADDRESS(2,COLUMN())),OFFSET($BN$2,0,0,ROW()-1,60),ROW()-1,FALSE))</f>
        <v>21.634593420000002</v>
      </c>
      <c r="AD444">
        <f ca="1">IF(AND(ISNUMBER($AD$942),$B$511=1),$AD$942,HLOOKUP(INDIRECT(ADDRESS(2,COLUMN())),OFFSET($BN$2,0,0,ROW()-1,60),ROW()-1,FALSE))</f>
        <v>24.46404429</v>
      </c>
      <c r="AE444">
        <f ca="1">IF(AND(ISNUMBER($AE$942),$B$511=1),$AE$942,HLOOKUP(INDIRECT(ADDRESS(2,COLUMN())),OFFSET($BN$2,0,0,ROW()-1,60),ROW()-1,FALSE))</f>
        <v>22.549629939999999</v>
      </c>
      <c r="AF444">
        <f ca="1">IF(AND(ISNUMBER($AF$942),$B$511=1),$AF$942,HLOOKUP(INDIRECT(ADDRESS(2,COLUMN())),OFFSET($BN$2,0,0,ROW()-1,60),ROW()-1,FALSE))</f>
        <v>19.95831329</v>
      </c>
      <c r="AG444">
        <f ca="1">IF(AND(ISNUMBER($AG$942),$B$511=1),$AG$942,HLOOKUP(INDIRECT(ADDRESS(2,COLUMN())),OFFSET($BN$2,0,0,ROW()-1,60),ROW()-1,FALSE))</f>
        <v>12.20376591</v>
      </c>
      <c r="AH444">
        <f ca="1">IF(AND(ISNUMBER($AH$942),$B$511=1),$AH$942,HLOOKUP(INDIRECT(ADDRESS(2,COLUMN())),OFFSET($BN$2,0,0,ROW()-1,60),ROW()-1,FALSE))</f>
        <v>15.938864629999999</v>
      </c>
      <c r="AI444">
        <f ca="1">IF(AND(ISNUMBER($AI$942),$B$511=1),$AI$942,HLOOKUP(INDIRECT(ADDRESS(2,COLUMN())),OFFSET($BN$2,0,0,ROW()-1,60),ROW()-1,FALSE))</f>
        <v>9.4599221789999994</v>
      </c>
      <c r="AJ444">
        <f ca="1">IF(AND(ISNUMBER($AJ$942),$B$511=1),$AJ$942,HLOOKUP(INDIRECT(ADDRESS(2,COLUMN())),OFFSET($BN$2,0,0,ROW()-1,60),ROW()-1,FALSE))</f>
        <v>10.44618444</v>
      </c>
      <c r="AK444">
        <f ca="1">IF(AND(ISNUMBER($AK$942),$B$511=1),$AK$942,HLOOKUP(INDIRECT(ADDRESS(2,COLUMN())),OFFSET($BN$2,0,0,ROW()-1,60),ROW()-1,FALSE))</f>
        <v>18.501370999999999</v>
      </c>
      <c r="AL444">
        <f ca="1">IF(AND(ISNUMBER($AL$942),$B$511=1),$AL$942,HLOOKUP(INDIRECT(ADDRESS(2,COLUMN())),OFFSET($BN$2,0,0,ROW()-1,60),ROW()-1,FALSE))</f>
        <v>20.517115780000001</v>
      </c>
      <c r="AM444">
        <f ca="1">IF(AND(ISNUMBER($AM$942),$B$511=1),$AM$942,HLOOKUP(INDIRECT(ADDRESS(2,COLUMN())),OFFSET($BN$2,0,0,ROW()-1,60),ROW()-1,FALSE))</f>
        <v>21.131174349999998</v>
      </c>
      <c r="AN444">
        <f ca="1">IF(AND(ISNUMBER($AN$942),$B$511=1),$AN$942,HLOOKUP(INDIRECT(ADDRESS(2,COLUMN())),OFFSET($BN$2,0,0,ROW()-1,60),ROW()-1,FALSE))</f>
        <v>15.72142131</v>
      </c>
      <c r="AO444">
        <f ca="1">IF(AND(ISNUMBER($AO$942),$B$511=1),$AO$942,HLOOKUP(INDIRECT(ADDRESS(2,COLUMN())),OFFSET($BN$2,0,0,ROW()-1,60),ROW()-1,FALSE))</f>
        <v>14.02532132</v>
      </c>
      <c r="AP444">
        <f ca="1">IF(AND(ISNUMBER($AP$942),$B$511=1),$AP$942,HLOOKUP(INDIRECT(ADDRESS(2,COLUMN())),OFFSET($BN$2,0,0,ROW()-1,60),ROW()-1,FALSE))</f>
        <v>18.204470130000001</v>
      </c>
      <c r="AQ444">
        <f ca="1">IF(AND(ISNUMBER($AQ$942),$B$511=1),$AQ$942,HLOOKUP(INDIRECT(ADDRESS(2,COLUMN())),OFFSET($BN$2,0,0,ROW()-1,60),ROW()-1,FALSE))</f>
        <v>14.12685201</v>
      </c>
      <c r="AR444">
        <f ca="1">IF(AND(ISNUMBER($AR$942),$B$511=1),$AR$942,HLOOKUP(INDIRECT(ADDRESS(2,COLUMN())),OFFSET($BN$2,0,0,ROW()-1,60),ROW()-1,FALSE))</f>
        <v>14.064748679999999</v>
      </c>
      <c r="AS444">
        <f ca="1">IF(AND(ISNUMBER($AS$942),$B$511=1),$AS$942,HLOOKUP(INDIRECT(ADDRESS(2,COLUMN())),OFFSET($BN$2,0,0,ROW()-1,60),ROW()-1,FALSE))</f>
        <v>7.0271085979999999</v>
      </c>
      <c r="AT444">
        <f ca="1">IF(AND(ISNUMBER($AT$942),$B$511=1),$AT$942,HLOOKUP(INDIRECT(ADDRESS(2,COLUMN())),OFFSET($BN$2,0,0,ROW()-1,60),ROW()-1,FALSE))</f>
        <v>4.2934347480000001</v>
      </c>
      <c r="AU444">
        <f ca="1">IF(AND(ISNUMBER($AU$942),$B$511=1),$AU$942,HLOOKUP(INDIRECT(ADDRESS(2,COLUMN())),OFFSET($BN$2,0,0,ROW()-1,60),ROW()-1,FALSE))</f>
        <v>4.164909464</v>
      </c>
      <c r="AV444">
        <f ca="1">IF(AND(ISNUMBER($AV$942),$B$511=1),$AV$942,HLOOKUP(INDIRECT(ADDRESS(2,COLUMN())),OFFSET($BN$2,0,0,ROW()-1,60),ROW()-1,FALSE))</f>
        <v>29.601931919999998</v>
      </c>
      <c r="AW444">
        <f ca="1">IF(AND(ISNUMBER($AW$942),$B$511=1),$AW$942,HLOOKUP(INDIRECT(ADDRESS(2,COLUMN())),OFFSET($BN$2,0,0,ROW()-1,60),ROW()-1,FALSE))</f>
        <v>62.222699919999997</v>
      </c>
      <c r="AX444">
        <f ca="1">IF(AND(ISNUMBER($AX$942),$B$511=1),$AX$942,HLOOKUP(INDIRECT(ADDRESS(2,COLUMN())),OFFSET($BN$2,0,0,ROW()-1,60),ROW()-1,FALSE))</f>
        <v>60.714838630000003</v>
      </c>
      <c r="AY444">
        <f ca="1">IF(AND(ISNUMBER($AY$942),$B$511=1),$AY$942,HLOOKUP(INDIRECT(ADDRESS(2,COLUMN())),OFFSET($BN$2,0,0,ROW()-1,60),ROW()-1,FALSE))</f>
        <v>54.400429979999998</v>
      </c>
      <c r="AZ444">
        <f ca="1">IF(AND(ISNUMBER($AZ$942),$B$511=1),$AZ$942,HLOOKUP(INDIRECT(ADDRESS(2,COLUMN())),OFFSET($BN$2,0,0,ROW()-1,60),ROW()-1,FALSE))</f>
        <v>49.022248130000001</v>
      </c>
      <c r="BA444">
        <f ca="1">IF(AND(ISNUMBER($BA$942),$B$511=1),$BA$942,HLOOKUP(INDIRECT(ADDRESS(2,COLUMN())),OFFSET($BN$2,0,0,ROW()-1,60),ROW()-1,FALSE))</f>
        <v>33.727578520000002</v>
      </c>
      <c r="BB444">
        <f ca="1">IF(AND(ISNUMBER($BB$942),$B$511=1),$BB$942,HLOOKUP(INDIRECT(ADDRESS(2,COLUMN())),OFFSET($BN$2,0,0,ROW()-1,60),ROW()-1,FALSE))</f>
        <v>32.509433960000003</v>
      </c>
      <c r="BC444">
        <f ca="1">IF(AND(ISNUMBER($BC$942),$B$511=1),$BC$942,HLOOKUP(INDIRECT(ADDRESS(2,COLUMN())),OFFSET($BN$2,0,0,ROW()-1,60),ROW()-1,FALSE))</f>
        <v>30.76712693</v>
      </c>
      <c r="BD444">
        <f ca="1">IF(AND(ISNUMBER($BD$942),$B$511=1),$BD$942,HLOOKUP(INDIRECT(ADDRESS(2,COLUMN())),OFFSET($BN$2,0,0,ROW()-1,60),ROW()-1,FALSE))</f>
        <v>20.23356618</v>
      </c>
      <c r="BE444">
        <f ca="1">IF(AND(ISNUMBER($BE$942),$B$511=1),$BE$942,HLOOKUP(INDIRECT(ADDRESS(2,COLUMN())),OFFSET($BN$2,0,0,ROW()-1,60),ROW()-1,FALSE))</f>
        <v>19.403174079999999</v>
      </c>
      <c r="BF444">
        <f ca="1">IF(AND(ISNUMBER($BF$942),$B$511=1),$BF$942,HLOOKUP(INDIRECT(ADDRESS(2,COLUMN())),OFFSET($BN$2,0,0,ROW()-1,60),ROW()-1,FALSE))</f>
        <v>24.009839299999999</v>
      </c>
      <c r="BG444">
        <f ca="1">IF(AND(ISNUMBER($BG$942),$B$511=1),$BG$942,HLOOKUP(INDIRECT(ADDRESS(2,COLUMN())),OFFSET($BN$2,0,0,ROW()-1,60),ROW()-1,FALSE))</f>
        <v>18.22771333</v>
      </c>
      <c r="BH444">
        <f ca="1">IF(AND(ISNUMBER($BH$942),$B$511=1),$BH$942,HLOOKUP(INDIRECT(ADDRESS(2,COLUMN())),OFFSET($BN$2,0,0,ROW()-1,60),ROW()-1,FALSE))</f>
        <v>18.999649489999999</v>
      </c>
      <c r="BI444">
        <f ca="1">IF(AND(ISNUMBER($BI$942),$B$511=1),$BI$942,HLOOKUP(INDIRECT(ADDRESS(2,COLUMN())),OFFSET($BN$2,0,0,ROW()-1,60),ROW()-1,FALSE))</f>
        <v>14.320642680000001</v>
      </c>
      <c r="BJ444" t="str">
        <f ca="1">IF(AND(ISNUMBER($BJ$942),$B$511=1),$BJ$942,HLOOKUP(INDIRECT(ADDRESS(2,COLUMN())),OFFSET($BN$2,0,0,ROW()-1,60),ROW()-1,FALSE))</f>
        <v/>
      </c>
      <c r="BK444" t="str">
        <f ca="1">IF(AND(ISNUMBER($BK$942),$B$511=1),$BK$942,HLOOKUP(INDIRECT(ADDRESS(2,COLUMN())),OFFSET($BN$2,0,0,ROW()-1,60),ROW()-1,FALSE))</f>
        <v/>
      </c>
      <c r="BL444" t="str">
        <f ca="1">IF(AND(ISNUMBER($BL$942),$B$511=1),$BL$942,HLOOKUP(INDIRECT(ADDRESS(2,COLUMN())),OFFSET($BN$2,0,0,ROW()-1,60),ROW()-1,FALSE))</f>
        <v/>
      </c>
      <c r="BM444" t="str">
        <f ca="1">IF(AND(ISNUMBER($BM$942),$B$511=1),$BM$942,HLOOKUP(INDIRECT(ADDRESS(2,COLUMN())),OFFSET($BN$2,0,0,ROW()-1,60),ROW()-1,FALSE))</f>
        <v/>
      </c>
      <c r="BN444">
        <f>6.084066714</f>
        <v>6.0840667140000004</v>
      </c>
      <c r="BO444">
        <f>5.865439908</f>
        <v>5.8654399079999999</v>
      </c>
      <c r="BP444">
        <f>7.787293885</f>
        <v>7.7872938850000004</v>
      </c>
      <c r="BQ444">
        <f>8.240554046</f>
        <v>8.2405540459999997</v>
      </c>
      <c r="BR444">
        <f>9.898769749</f>
        <v>9.8987697489999995</v>
      </c>
      <c r="BS444">
        <f>10.80423832</f>
        <v>10.80423832</v>
      </c>
      <c r="BT444">
        <f>9.953100573</f>
        <v>9.9531005730000004</v>
      </c>
      <c r="BU444">
        <f>9.926204503</f>
        <v>9.9262045029999992</v>
      </c>
      <c r="BV444">
        <f>10.28640258</f>
        <v>10.286402580000001</v>
      </c>
      <c r="BW444">
        <f>8.738631612</f>
        <v>8.7386316120000007</v>
      </c>
      <c r="BX444">
        <f>9.287664741</f>
        <v>9.2876647410000004</v>
      </c>
      <c r="BY444">
        <f>6.771677186</f>
        <v>6.7716771859999998</v>
      </c>
      <c r="BZ444">
        <f>6.129784803</f>
        <v>6.1297848029999997</v>
      </c>
      <c r="CA444">
        <f>5.474430189</f>
        <v>5.4744301889999996</v>
      </c>
      <c r="CB444">
        <f>6.729844802</f>
        <v>6.7298448019999997</v>
      </c>
      <c r="CC444">
        <f>8.034017914</f>
        <v>8.0340179139999996</v>
      </c>
      <c r="CD444">
        <f>6.222229862</f>
        <v>6.2222298619999998</v>
      </c>
      <c r="CE444">
        <f>6.281497222</f>
        <v>6.2814972219999996</v>
      </c>
      <c r="CF444">
        <f>11.58274835</f>
        <v>11.582748349999999</v>
      </c>
      <c r="CG444">
        <f>17.50957877</f>
        <v>17.509578770000001</v>
      </c>
      <c r="CH444">
        <f>14.20379431</f>
        <v>14.203794309999999</v>
      </c>
      <c r="CI444">
        <f>25.89266501</f>
        <v>25.892665010000002</v>
      </c>
      <c r="CJ444">
        <f>21.01447485</f>
        <v>21.014474849999999</v>
      </c>
      <c r="CK444">
        <f>21.63459342</f>
        <v>21.634593420000002</v>
      </c>
      <c r="CL444">
        <f>24.46404429</f>
        <v>24.46404429</v>
      </c>
      <c r="CM444">
        <f>22.54962994</f>
        <v>22.549629939999999</v>
      </c>
      <c r="CN444">
        <f>19.95831329</f>
        <v>19.95831329</v>
      </c>
      <c r="CO444">
        <f>12.20376591</f>
        <v>12.20376591</v>
      </c>
      <c r="CP444">
        <f>15.93886463</f>
        <v>15.938864629999999</v>
      </c>
      <c r="CQ444">
        <f>9.459922179</f>
        <v>9.4599221789999994</v>
      </c>
      <c r="CR444">
        <f>10.44618444</f>
        <v>10.44618444</v>
      </c>
      <c r="CS444">
        <f>18.501371</f>
        <v>18.501370999999999</v>
      </c>
      <c r="CT444">
        <f>20.51711578</f>
        <v>20.517115780000001</v>
      </c>
      <c r="CU444">
        <f>21.13117435</f>
        <v>21.131174349999998</v>
      </c>
      <c r="CV444">
        <f>15.72142131</f>
        <v>15.72142131</v>
      </c>
      <c r="CW444">
        <f>14.02532132</f>
        <v>14.02532132</v>
      </c>
      <c r="CX444">
        <f>18.20447013</f>
        <v>18.204470130000001</v>
      </c>
      <c r="CY444">
        <f>14.12685201</f>
        <v>14.12685201</v>
      </c>
      <c r="CZ444">
        <f>14.06474868</f>
        <v>14.064748679999999</v>
      </c>
      <c r="DA444">
        <f>7.027108598</f>
        <v>7.0271085979999999</v>
      </c>
      <c r="DB444">
        <f>4.293434748</f>
        <v>4.2934347480000001</v>
      </c>
      <c r="DC444">
        <f>4.164909464</f>
        <v>4.164909464</v>
      </c>
      <c r="DD444">
        <f>29.60193192</f>
        <v>29.601931919999998</v>
      </c>
      <c r="DE444">
        <f>62.22269992</f>
        <v>62.222699919999997</v>
      </c>
      <c r="DF444">
        <f>60.71483863</f>
        <v>60.714838630000003</v>
      </c>
      <c r="DG444">
        <f>54.40042998</f>
        <v>54.400429979999998</v>
      </c>
      <c r="DH444">
        <f>49.02224813</f>
        <v>49.022248130000001</v>
      </c>
      <c r="DI444">
        <f>33.72757852</f>
        <v>33.727578520000002</v>
      </c>
      <c r="DJ444">
        <f>32.50943396</f>
        <v>32.509433960000003</v>
      </c>
      <c r="DK444">
        <f>30.76712693</f>
        <v>30.76712693</v>
      </c>
      <c r="DL444">
        <f>20.23356618</f>
        <v>20.23356618</v>
      </c>
      <c r="DM444">
        <f>19.40317408</f>
        <v>19.403174079999999</v>
      </c>
      <c r="DN444">
        <f>24.0098393</f>
        <v>24.009839299999999</v>
      </c>
      <c r="DO444">
        <f>18.22771333</f>
        <v>18.22771333</v>
      </c>
      <c r="DP444">
        <f>18.99964949</f>
        <v>18.999649489999999</v>
      </c>
      <c r="DQ444">
        <f>14.32064268</f>
        <v>14.320642680000001</v>
      </c>
      <c r="DR444" t="str">
        <f>""</f>
        <v/>
      </c>
      <c r="DS444" t="str">
        <f>""</f>
        <v/>
      </c>
      <c r="DT444" t="str">
        <f>""</f>
        <v/>
      </c>
      <c r="DU444" t="str">
        <f>""</f>
        <v/>
      </c>
    </row>
    <row r="445" spans="1:125" x14ac:dyDescent="0.25">
      <c r="A445" t="str">
        <f>"    Ssangyong Motor Co"</f>
        <v xml:space="preserve">    Ssangyong Motor Co</v>
      </c>
      <c r="B445" t="str">
        <f>"003620 KS Equity"</f>
        <v>003620 KS Equity</v>
      </c>
      <c r="C445" t="str">
        <f t="shared" si="30"/>
        <v>PR005</v>
      </c>
      <c r="D445" t="str">
        <f t="shared" si="31"/>
        <v>PX_LAST</v>
      </c>
      <c r="E445" t="str">
        <f t="shared" si="32"/>
        <v>Dynamic</v>
      </c>
      <c r="F445">
        <f ca="1">IF(AND(ISNUMBER($F$943),$B$511=1),$F$943,HLOOKUP(INDIRECT(ADDRESS(2,COLUMN())),OFFSET($BN$2,0,0,ROW()-1,60),ROW()-1,FALSE))</f>
        <v>4.5048248500000003</v>
      </c>
      <c r="G445">
        <f ca="1">IF(AND(ISNUMBER($G$943),$B$511=1),$G$943,HLOOKUP(INDIRECT(ADDRESS(2,COLUMN())),OFFSET($BN$2,0,0,ROW()-1,60),ROW()-1,FALSE))</f>
        <v>3.5506141850000001</v>
      </c>
      <c r="H445">
        <f ca="1">IF(AND(ISNUMBER($H$943),$B$511=1),$H$943,HLOOKUP(INDIRECT(ADDRESS(2,COLUMN())),OFFSET($BN$2,0,0,ROW()-1,60),ROW()-1,FALSE))</f>
        <v>4.1130202090000001</v>
      </c>
      <c r="I445">
        <f ca="1">IF(AND(ISNUMBER($I$943),$B$511=1),$I$943,HLOOKUP(INDIRECT(ADDRESS(2,COLUMN())),OFFSET($BN$2,0,0,ROW()-1,60),ROW()-1,FALSE))</f>
        <v>4.1047658399999998</v>
      </c>
      <c r="J445">
        <f ca="1">IF(AND(ISNUMBER($J$943),$B$511=1),$J$943,HLOOKUP(INDIRECT(ADDRESS(2,COLUMN())),OFFSET($BN$2,0,0,ROW()-1,60),ROW()-1,FALSE))</f>
        <v>4.6801210329999998</v>
      </c>
      <c r="K445">
        <f ca="1">IF(AND(ISNUMBER($K$943),$B$511=1),$K$943,HLOOKUP(INDIRECT(ADDRESS(2,COLUMN())),OFFSET($BN$2,0,0,ROW()-1,60),ROW()-1,FALSE))</f>
        <v>4.7793293999999999</v>
      </c>
      <c r="L445">
        <f ca="1">IF(AND(ISNUMBER($L$943),$B$511=1),$L$943,HLOOKUP(INDIRECT(ADDRESS(2,COLUMN())),OFFSET($BN$2,0,0,ROW()-1,60),ROW()-1,FALSE))</f>
        <v>4.52623117</v>
      </c>
      <c r="M445">
        <f ca="1">IF(AND(ISNUMBER($M$943),$B$511=1),$M$943,HLOOKUP(INDIRECT(ADDRESS(2,COLUMN())),OFFSET($BN$2,0,0,ROW()-1,60),ROW()-1,FALSE))</f>
        <v>5.9801710119999996</v>
      </c>
      <c r="N445">
        <f ca="1">IF(AND(ISNUMBER($N$943),$B$511=1),$N$943,HLOOKUP(INDIRECT(ADDRESS(2,COLUMN())),OFFSET($BN$2,0,0,ROW()-1,60),ROW()-1,FALSE))</f>
        <v>7.1122482759999999</v>
      </c>
      <c r="O445">
        <f ca="1">IF(AND(ISNUMBER($O$943),$B$511=1),$O$943,HLOOKUP(INDIRECT(ADDRESS(2,COLUMN())),OFFSET($BN$2,0,0,ROW()-1,60),ROW()-1,FALSE))</f>
        <v>6.5379516080000002</v>
      </c>
      <c r="P445">
        <f ca="1">IF(AND(ISNUMBER($P$943),$B$511=1),$P$943,HLOOKUP(INDIRECT(ADDRESS(2,COLUMN())),OFFSET($BN$2,0,0,ROW()-1,60),ROW()-1,FALSE))</f>
        <v>7.1675459339999996</v>
      </c>
      <c r="Q445">
        <f ca="1">IF(AND(ISNUMBER($Q$943),$B$511=1),$Q$943,HLOOKUP(INDIRECT(ADDRESS(2,COLUMN())),OFFSET($BN$2,0,0,ROW()-1,60),ROW()-1,FALSE))</f>
        <v>6.0755450629999999</v>
      </c>
      <c r="R445">
        <f ca="1">IF(AND(ISNUMBER($R$943),$B$511=1),$R$943,HLOOKUP(INDIRECT(ADDRESS(2,COLUMN())),OFFSET($BN$2,0,0,ROW()-1,60),ROW()-1,FALSE))</f>
        <v>7.2314049589999998</v>
      </c>
      <c r="S445">
        <f ca="1">IF(AND(ISNUMBER($S$943),$B$511=1),$S$943,HLOOKUP(INDIRECT(ADDRESS(2,COLUMN())),OFFSET($BN$2,0,0,ROW()-1,60),ROW()-1,FALSE))</f>
        <v>6.5779422500000004</v>
      </c>
      <c r="T445">
        <f ca="1">IF(AND(ISNUMBER($T$943),$B$511=1),$T$943,HLOOKUP(INDIRECT(ADDRESS(2,COLUMN())),OFFSET($BN$2,0,0,ROW()-1,60),ROW()-1,FALSE))</f>
        <v>7.3730386369999996</v>
      </c>
      <c r="U445">
        <f ca="1">IF(AND(ISNUMBER($U$943),$B$511=1),$U$943,HLOOKUP(INDIRECT(ADDRESS(2,COLUMN())),OFFSET($BN$2,0,0,ROW()-1,60),ROW()-1,FALSE))</f>
        <v>7.7843989909999998</v>
      </c>
      <c r="V445">
        <f ca="1">IF(AND(ISNUMBER($V$943),$B$511=1),$V$943,HLOOKUP(INDIRECT(ADDRESS(2,COLUMN())),OFFSET($BN$2,0,0,ROW()-1,60),ROW()-1,FALSE))</f>
        <v>8.1808260199999996</v>
      </c>
      <c r="W445">
        <f ca="1">IF(AND(ISNUMBER($W$943),$B$511=1),$W$943,HLOOKUP(INDIRECT(ADDRESS(2,COLUMN())),OFFSET($BN$2,0,0,ROW()-1,60),ROW()-1,FALSE))</f>
        <v>8.4451294590000003</v>
      </c>
      <c r="X445">
        <f ca="1">IF(AND(ISNUMBER($X$943),$B$511=1),$X$943,HLOOKUP(INDIRECT(ADDRESS(2,COLUMN())),OFFSET($BN$2,0,0,ROW()-1,60),ROW()-1,FALSE))</f>
        <v>6.2287334589999999</v>
      </c>
      <c r="Y445">
        <f ca="1">IF(AND(ISNUMBER($Y$943),$B$511=1),$Y$943,HLOOKUP(INDIRECT(ADDRESS(2,COLUMN())),OFFSET($BN$2,0,0,ROW()-1,60),ROW()-1,FALSE))</f>
        <v>8.6511177240000006</v>
      </c>
      <c r="Z445">
        <f ca="1">IF(AND(ISNUMBER($Z$943),$B$511=1),$Z$943,HLOOKUP(INDIRECT(ADDRESS(2,COLUMN())),OFFSET($BN$2,0,0,ROW()-1,60),ROW()-1,FALSE))</f>
        <v>8.2306851999999999</v>
      </c>
      <c r="AA445">
        <f ca="1">IF(AND(ISNUMBER($AA$943),$B$511=1),$AA$943,HLOOKUP(INDIRECT(ADDRESS(2,COLUMN())),OFFSET($BN$2,0,0,ROW()-1,60),ROW()-1,FALSE))</f>
        <v>7.156398104</v>
      </c>
      <c r="AB445">
        <f ca="1">IF(AND(ISNUMBER($AB$943),$B$511=1),$AB$943,HLOOKUP(INDIRECT(ADDRESS(2,COLUMN())),OFFSET($BN$2,0,0,ROW()-1,60),ROW()-1,FALSE))</f>
        <v>7.9413788609999996</v>
      </c>
      <c r="AC445">
        <f ca="1">IF(AND(ISNUMBER($AC$943),$B$511=1),$AC$943,HLOOKUP(INDIRECT(ADDRESS(2,COLUMN())),OFFSET($BN$2,0,0,ROW()-1,60),ROW()-1,FALSE))</f>
        <v>7.8158505099999998</v>
      </c>
      <c r="AD445">
        <f ca="1">IF(AND(ISNUMBER($AD$943),$B$511=1),$AD$943,HLOOKUP(INDIRECT(ADDRESS(2,COLUMN())),OFFSET($BN$2,0,0,ROW()-1,60),ROW()-1,FALSE))</f>
        <v>5.4702236590000002</v>
      </c>
      <c r="AE445">
        <f ca="1">IF(AND(ISNUMBER($AE$943),$B$511=1),$AE$943,HLOOKUP(INDIRECT(ADDRESS(2,COLUMN())),OFFSET($BN$2,0,0,ROW()-1,60),ROW()-1,FALSE))</f>
        <v>4.9754040760000002</v>
      </c>
      <c r="AF445">
        <f ca="1">IF(AND(ISNUMBER($AF$943),$B$511=1),$AF$943,HLOOKUP(INDIRECT(ADDRESS(2,COLUMN())),OFFSET($BN$2,0,0,ROW()-1,60),ROW()-1,FALSE))</f>
        <v>4.6379104240000002</v>
      </c>
      <c r="AG445">
        <f ca="1">IF(AND(ISNUMBER($AG$943),$B$511=1),$AG$943,HLOOKUP(INDIRECT(ADDRESS(2,COLUMN())),OFFSET($BN$2,0,0,ROW()-1,60),ROW()-1,FALSE))</f>
        <v>4.8757429600000002</v>
      </c>
      <c r="AH445">
        <f ca="1">IF(AND(ISNUMBER($AH$943),$B$511=1),$AH$943,HLOOKUP(INDIRECT(ADDRESS(2,COLUMN())),OFFSET($BN$2,0,0,ROW()-1,60),ROW()-1,FALSE))</f>
        <v>6.1905014219999996</v>
      </c>
      <c r="AI445">
        <f ca="1">IF(AND(ISNUMBER($AI$943),$B$511=1),$AI$943,HLOOKUP(INDIRECT(ADDRESS(2,COLUMN())),OFFSET($BN$2,0,0,ROW()-1,60),ROW()-1,FALSE))</f>
        <v>4.401476959</v>
      </c>
      <c r="AJ445">
        <f ca="1">IF(AND(ISNUMBER($AJ$943),$B$511=1),$AJ$943,HLOOKUP(INDIRECT(ADDRESS(2,COLUMN())),OFFSET($BN$2,0,0,ROW()-1,60),ROW()-1,FALSE))</f>
        <v>4.5298674910000001</v>
      </c>
      <c r="AK445">
        <f ca="1">IF(AND(ISNUMBER($AK$943),$B$511=1),$AK$943,HLOOKUP(INDIRECT(ADDRESS(2,COLUMN())),OFFSET($BN$2,0,0,ROW()-1,60),ROW()-1,FALSE))</f>
        <v>7.8926672160000004</v>
      </c>
      <c r="AL445">
        <f ca="1">IF(AND(ISNUMBER($AL$943),$B$511=1),$AL$943,HLOOKUP(INDIRECT(ADDRESS(2,COLUMN())),OFFSET($BN$2,0,0,ROW()-1,60),ROW()-1,FALSE))</f>
        <v>8.3435806350000004</v>
      </c>
      <c r="AM445">
        <f ca="1">IF(AND(ISNUMBER($AM$943),$B$511=1),$AM$943,HLOOKUP(INDIRECT(ADDRESS(2,COLUMN())),OFFSET($BN$2,0,0,ROW()-1,60),ROW()-1,FALSE))</f>
        <v>7.4514593180000004</v>
      </c>
      <c r="AN445">
        <f ca="1">IF(AND(ISNUMBER($AN$943),$B$511=1),$AN$943,HLOOKUP(INDIRECT(ADDRESS(2,COLUMN())),OFFSET($BN$2,0,0,ROW()-1,60),ROW()-1,FALSE))</f>
        <v>8.0947767109999997</v>
      </c>
      <c r="AO445">
        <f ca="1">IF(AND(ISNUMBER($AO$943),$B$511=1),$AO$943,HLOOKUP(INDIRECT(ADDRESS(2,COLUMN())),OFFSET($BN$2,0,0,ROW()-1,60),ROW()-1,FALSE))</f>
        <v>11.46225643</v>
      </c>
      <c r="AP445">
        <f ca="1">IF(AND(ISNUMBER($AP$943),$B$511=1),$AP$943,HLOOKUP(INDIRECT(ADDRESS(2,COLUMN())),OFFSET($BN$2,0,0,ROW()-1,60),ROW()-1,FALSE))</f>
        <v>10.65758634</v>
      </c>
      <c r="AQ445">
        <f ca="1">IF(AND(ISNUMBER($AQ$943),$B$511=1),$AQ$943,HLOOKUP(INDIRECT(ADDRESS(2,COLUMN())),OFFSET($BN$2,0,0,ROW()-1,60),ROW()-1,FALSE))</f>
        <v>19.066507779999998</v>
      </c>
      <c r="AR445">
        <f ca="1">IF(AND(ISNUMBER($AR$943),$B$511=1),$AR$943,HLOOKUP(INDIRECT(ADDRESS(2,COLUMN())),OFFSET($BN$2,0,0,ROW()-1,60),ROW()-1,FALSE))</f>
        <v>19.86645515</v>
      </c>
      <c r="AS445">
        <f ca="1">IF(AND(ISNUMBER($AS$943),$B$511=1),$AS$943,HLOOKUP(INDIRECT(ADDRESS(2,COLUMN())),OFFSET($BN$2,0,0,ROW()-1,60),ROW()-1,FALSE))</f>
        <v>10.150510929999999</v>
      </c>
      <c r="AT445">
        <f ca="1">IF(AND(ISNUMBER($AT$943),$B$511=1),$AT$943,HLOOKUP(INDIRECT(ADDRESS(2,COLUMN())),OFFSET($BN$2,0,0,ROW()-1,60),ROW()-1,FALSE))</f>
        <v>7.8990690509999997</v>
      </c>
      <c r="AU445">
        <f ca="1">IF(AND(ISNUMBER($AU$943),$B$511=1),$AU$943,HLOOKUP(INDIRECT(ADDRESS(2,COLUMN())),OFFSET($BN$2,0,0,ROW()-1,60),ROW()-1,FALSE))</f>
        <v>6.6692410100000004</v>
      </c>
      <c r="AV445">
        <f ca="1">IF(AND(ISNUMBER($AV$943),$B$511=1),$AV$943,HLOOKUP(INDIRECT(ADDRESS(2,COLUMN())),OFFSET($BN$2,0,0,ROW()-1,60),ROW()-1,FALSE))</f>
        <v>19.005324959999999</v>
      </c>
      <c r="AW445">
        <f ca="1">IF(AND(ISNUMBER($AW$943),$B$511=1),$AW$943,HLOOKUP(INDIRECT(ADDRESS(2,COLUMN())),OFFSET($BN$2,0,0,ROW()-1,60),ROW()-1,FALSE))</f>
        <v>33.906323929999999</v>
      </c>
      <c r="AX445">
        <f ca="1">IF(AND(ISNUMBER($AX$943),$B$511=1),$AX$943,HLOOKUP(INDIRECT(ADDRESS(2,COLUMN())),OFFSET($BN$2,0,0,ROW()-1,60),ROW()-1,FALSE))</f>
        <v>49.313834280000002</v>
      </c>
      <c r="AY445">
        <f ca="1">IF(AND(ISNUMBER($AY$943),$B$511=1),$AY$943,HLOOKUP(INDIRECT(ADDRESS(2,COLUMN())),OFFSET($BN$2,0,0,ROW()-1,60),ROW()-1,FALSE))</f>
        <v>59.640884100000001</v>
      </c>
      <c r="AZ445">
        <f ca="1">IF(AND(ISNUMBER($AZ$943),$B$511=1),$AZ$943,HLOOKUP(INDIRECT(ADDRESS(2,COLUMN())),OFFSET($BN$2,0,0,ROW()-1,60),ROW()-1,FALSE))</f>
        <v>58.312368020000001</v>
      </c>
      <c r="BA445">
        <f ca="1">IF(AND(ISNUMBER($BA$943),$B$511=1),$BA$943,HLOOKUP(INDIRECT(ADDRESS(2,COLUMN())),OFFSET($BN$2,0,0,ROW()-1,60),ROW()-1,FALSE))</f>
        <v>69.748550690000002</v>
      </c>
      <c r="BB445">
        <f ca="1">IF(AND(ISNUMBER($BB$943),$B$511=1),$BB$943,HLOOKUP(INDIRECT(ADDRESS(2,COLUMN())),OFFSET($BN$2,0,0,ROW()-1,60),ROW()-1,FALSE))</f>
        <v>58.845429590000002</v>
      </c>
      <c r="BC445">
        <f ca="1">IF(AND(ISNUMBER($BC$943),$B$511=1),$BC$943,HLOOKUP(INDIRECT(ADDRESS(2,COLUMN())),OFFSET($BN$2,0,0,ROW()-1,60),ROW()-1,FALSE))</f>
        <v>50.922400330000002</v>
      </c>
      <c r="BD445">
        <f ca="1">IF(AND(ISNUMBER($BD$943),$B$511=1),$BD$943,HLOOKUP(INDIRECT(ADDRESS(2,COLUMN())),OFFSET($BN$2,0,0,ROW()-1,60),ROW()-1,FALSE))</f>
        <v>43.835191020000003</v>
      </c>
      <c r="BE445">
        <f ca="1">IF(AND(ISNUMBER($BE$943),$B$511=1),$BE$943,HLOOKUP(INDIRECT(ADDRESS(2,COLUMN())),OFFSET($BN$2,0,0,ROW()-1,60),ROW()-1,FALSE))</f>
        <v>44.919372320000001</v>
      </c>
      <c r="BF445">
        <f ca="1">IF(AND(ISNUMBER($BF$943),$B$511=1),$BF$943,HLOOKUP(INDIRECT(ADDRESS(2,COLUMN())),OFFSET($BN$2,0,0,ROW()-1,60),ROW()-1,FALSE))</f>
        <v>58.261731410000003</v>
      </c>
      <c r="BG445">
        <f ca="1">IF(AND(ISNUMBER($BG$943),$B$511=1),$BG$943,HLOOKUP(INDIRECT(ADDRESS(2,COLUMN())),OFFSET($BN$2,0,0,ROW()-1,60),ROW()-1,FALSE))</f>
        <v>72.492212449999997</v>
      </c>
      <c r="BH445">
        <f ca="1">IF(AND(ISNUMBER($BH$943),$B$511=1),$BH$943,HLOOKUP(INDIRECT(ADDRESS(2,COLUMN())),OFFSET($BN$2,0,0,ROW()-1,60),ROW()-1,FALSE))</f>
        <v>69.416744499999993</v>
      </c>
      <c r="BI445">
        <f ca="1">IF(AND(ISNUMBER($BI$943),$B$511=1),$BI$943,HLOOKUP(INDIRECT(ADDRESS(2,COLUMN())),OFFSET($BN$2,0,0,ROW()-1,60),ROW()-1,FALSE))</f>
        <v>60.029011519999997</v>
      </c>
      <c r="BJ445">
        <f ca="1">IF(AND(ISNUMBER($BJ$943),$B$511=1),$BJ$943,HLOOKUP(INDIRECT(ADDRESS(2,COLUMN())),OFFSET($BN$2,0,0,ROW()-1,60),ROW()-1,FALSE))</f>
        <v>64.608580130000007</v>
      </c>
      <c r="BK445">
        <f ca="1">IF(AND(ISNUMBER($BK$943),$B$511=1),$BK$943,HLOOKUP(INDIRECT(ADDRESS(2,COLUMN())),OFFSET($BN$2,0,0,ROW()-1,60),ROW()-1,FALSE))</f>
        <v>51.848306100000002</v>
      </c>
      <c r="BL445">
        <f ca="1">IF(AND(ISNUMBER($BL$943),$B$511=1),$BL$943,HLOOKUP(INDIRECT(ADDRESS(2,COLUMN())),OFFSET($BN$2,0,0,ROW()-1,60),ROW()-1,FALSE))</f>
        <v>63.465058290000002</v>
      </c>
      <c r="BM445">
        <f ca="1">IF(AND(ISNUMBER($BM$943),$B$511=1),$BM$943,HLOOKUP(INDIRECT(ADDRESS(2,COLUMN())),OFFSET($BN$2,0,0,ROW()-1,60),ROW()-1,FALSE))</f>
        <v>60.752932960000003</v>
      </c>
      <c r="BN445">
        <f>4.50482485</f>
        <v>4.5048248500000003</v>
      </c>
      <c r="BO445">
        <f>3.550614185</f>
        <v>3.5506141850000001</v>
      </c>
      <c r="BP445">
        <f>4.113020209</f>
        <v>4.1130202090000001</v>
      </c>
      <c r="BQ445">
        <f>4.10476584</f>
        <v>4.1047658399999998</v>
      </c>
      <c r="BR445">
        <f>4.680121033</f>
        <v>4.6801210329999998</v>
      </c>
      <c r="BS445">
        <f>4.7793294</f>
        <v>4.7793293999999999</v>
      </c>
      <c r="BT445">
        <f>4.52623117</f>
        <v>4.52623117</v>
      </c>
      <c r="BU445">
        <f>5.980171012</f>
        <v>5.9801710119999996</v>
      </c>
      <c r="BV445">
        <f>7.112248276</f>
        <v>7.1122482759999999</v>
      </c>
      <c r="BW445">
        <f>6.537951608</f>
        <v>6.5379516080000002</v>
      </c>
      <c r="BX445">
        <f>7.167545934</f>
        <v>7.1675459339999996</v>
      </c>
      <c r="BY445">
        <f>6.075545063</f>
        <v>6.0755450629999999</v>
      </c>
      <c r="BZ445">
        <f>7.231404959</f>
        <v>7.2314049589999998</v>
      </c>
      <c r="CA445">
        <f>6.57794225</f>
        <v>6.5779422500000004</v>
      </c>
      <c r="CB445">
        <f>7.373038637</f>
        <v>7.3730386369999996</v>
      </c>
      <c r="CC445">
        <f>7.784398991</f>
        <v>7.7843989909999998</v>
      </c>
      <c r="CD445">
        <f>8.18082602</f>
        <v>8.1808260199999996</v>
      </c>
      <c r="CE445">
        <f>8.445129459</f>
        <v>8.4451294590000003</v>
      </c>
      <c r="CF445">
        <f>6.228733459</f>
        <v>6.2287334589999999</v>
      </c>
      <c r="CG445">
        <f>8.651117724</f>
        <v>8.6511177240000006</v>
      </c>
      <c r="CH445">
        <f>8.2306852</f>
        <v>8.2306851999999999</v>
      </c>
      <c r="CI445">
        <f>7.156398104</f>
        <v>7.156398104</v>
      </c>
      <c r="CJ445">
        <f>7.941378861</f>
        <v>7.9413788609999996</v>
      </c>
      <c r="CK445">
        <f>7.81585051</f>
        <v>7.8158505099999998</v>
      </c>
      <c r="CL445">
        <f>5.470223659</f>
        <v>5.4702236590000002</v>
      </c>
      <c r="CM445">
        <f>4.975404076</f>
        <v>4.9754040760000002</v>
      </c>
      <c r="CN445">
        <f>4.637910424</f>
        <v>4.6379104240000002</v>
      </c>
      <c r="CO445">
        <f>4.87574296</f>
        <v>4.8757429600000002</v>
      </c>
      <c r="CP445">
        <f>6.190501422</f>
        <v>6.1905014219999996</v>
      </c>
      <c r="CQ445">
        <f>4.401476959</f>
        <v>4.401476959</v>
      </c>
      <c r="CR445">
        <f>4.529867491</f>
        <v>4.5298674910000001</v>
      </c>
      <c r="CS445">
        <f>7.892667216</f>
        <v>7.8926672160000004</v>
      </c>
      <c r="CT445">
        <f>8.343580635</f>
        <v>8.3435806350000004</v>
      </c>
      <c r="CU445">
        <f>7.451459318</f>
        <v>7.4514593180000004</v>
      </c>
      <c r="CV445">
        <f>8.094776711</f>
        <v>8.0947767109999997</v>
      </c>
      <c r="CW445">
        <f>11.46225643</f>
        <v>11.46225643</v>
      </c>
      <c r="CX445">
        <f>10.65758634</f>
        <v>10.65758634</v>
      </c>
      <c r="CY445">
        <f>19.06650778</f>
        <v>19.066507779999998</v>
      </c>
      <c r="CZ445">
        <f>19.86645515</f>
        <v>19.86645515</v>
      </c>
      <c r="DA445">
        <f>10.15051093</f>
        <v>10.150510929999999</v>
      </c>
      <c r="DB445">
        <f>7.899069051</f>
        <v>7.8990690509999997</v>
      </c>
      <c r="DC445">
        <f>6.66924101</f>
        <v>6.6692410100000004</v>
      </c>
      <c r="DD445">
        <f>19.00532496</f>
        <v>19.005324959999999</v>
      </c>
      <c r="DE445">
        <f>33.90632393</f>
        <v>33.906323929999999</v>
      </c>
      <c r="DF445">
        <f>49.31383428</f>
        <v>49.313834280000002</v>
      </c>
      <c r="DG445">
        <f>59.6408841</f>
        <v>59.640884100000001</v>
      </c>
      <c r="DH445">
        <f>58.31236802</f>
        <v>58.312368020000001</v>
      </c>
      <c r="DI445">
        <f>69.74855069</f>
        <v>69.748550690000002</v>
      </c>
      <c r="DJ445">
        <f>58.84542959</f>
        <v>58.845429590000002</v>
      </c>
      <c r="DK445">
        <f>50.92240033</f>
        <v>50.922400330000002</v>
      </c>
      <c r="DL445">
        <f>43.83519102</f>
        <v>43.835191020000003</v>
      </c>
      <c r="DM445">
        <f>44.91937232</f>
        <v>44.919372320000001</v>
      </c>
      <c r="DN445">
        <f>58.26173141</f>
        <v>58.261731410000003</v>
      </c>
      <c r="DO445">
        <f>72.49221245</f>
        <v>72.492212449999997</v>
      </c>
      <c r="DP445">
        <f>69.4167445</f>
        <v>69.416744499999993</v>
      </c>
      <c r="DQ445">
        <f>60.02901152</f>
        <v>60.029011519999997</v>
      </c>
      <c r="DR445">
        <f>64.60858013</f>
        <v>64.608580130000007</v>
      </c>
      <c r="DS445">
        <f>51.8483061</f>
        <v>51.848306100000002</v>
      </c>
      <c r="DT445">
        <f>63.46505829</f>
        <v>63.465058290000002</v>
      </c>
      <c r="DU445">
        <f>60.75293296</f>
        <v>60.752932960000003</v>
      </c>
    </row>
    <row r="446" spans="1:125" x14ac:dyDescent="0.25">
      <c r="A446" t="str">
        <f>"    Subaru Corp"</f>
        <v xml:space="preserve">    Subaru Corp</v>
      </c>
      <c r="B446" t="str">
        <f>"7270 JP Equity"</f>
        <v>7270 JP Equity</v>
      </c>
      <c r="C446" t="str">
        <f t="shared" si="30"/>
        <v>PR005</v>
      </c>
      <c r="D446" t="str">
        <f t="shared" si="31"/>
        <v>PX_LAST</v>
      </c>
      <c r="E446" t="str">
        <f t="shared" si="32"/>
        <v>Dynamic</v>
      </c>
      <c r="F446">
        <f ca="1">IF(AND(ISNUMBER($F$944),$B$511=1),$F$944,HLOOKUP(INDIRECT(ADDRESS(2,COLUMN())),OFFSET($BN$2,0,0,ROW()-1,60),ROW()-1,FALSE))</f>
        <v>25.365700369999999</v>
      </c>
      <c r="G446">
        <f ca="1">IF(AND(ISNUMBER($G$944),$B$511=1),$G$944,HLOOKUP(INDIRECT(ADDRESS(2,COLUMN())),OFFSET($BN$2,0,0,ROW()-1,60),ROW()-1,FALSE))</f>
        <v>21.374875459999998</v>
      </c>
      <c r="H446">
        <f ca="1">IF(AND(ISNUMBER($H$944),$B$511=1),$H$944,HLOOKUP(INDIRECT(ADDRESS(2,COLUMN())),OFFSET($BN$2,0,0,ROW()-1,60),ROW()-1,FALSE))</f>
        <v>30.660792950000001</v>
      </c>
      <c r="I446">
        <f ca="1">IF(AND(ISNUMBER($I$944),$B$511=1),$I$944,HLOOKUP(INDIRECT(ADDRESS(2,COLUMN())),OFFSET($BN$2,0,0,ROW()-1,60),ROW()-1,FALSE))</f>
        <v>29.111753019999998</v>
      </c>
      <c r="J446">
        <f ca="1">IF(AND(ISNUMBER($J$944),$B$511=1),$J$944,HLOOKUP(INDIRECT(ADDRESS(2,COLUMN())),OFFSET($BN$2,0,0,ROW()-1,60),ROW()-1,FALSE))</f>
        <v>32.828092640000001</v>
      </c>
      <c r="K446">
        <f ca="1">IF(AND(ISNUMBER($K$944),$B$511=1),$K$944,HLOOKUP(INDIRECT(ADDRESS(2,COLUMN())),OFFSET($BN$2,0,0,ROW()-1,60),ROW()-1,FALSE))</f>
        <v>31.826256879999999</v>
      </c>
      <c r="L446">
        <f ca="1">IF(AND(ISNUMBER($L$944),$B$511=1),$L$944,HLOOKUP(INDIRECT(ADDRESS(2,COLUMN())),OFFSET($BN$2,0,0,ROW()-1,60),ROW()-1,FALSE))</f>
        <v>36.050435090000001</v>
      </c>
      <c r="M446">
        <f ca="1">IF(AND(ISNUMBER($M$944),$B$511=1),$M$944,HLOOKUP(INDIRECT(ADDRESS(2,COLUMN())),OFFSET($BN$2,0,0,ROW()-1,60),ROW()-1,FALSE))</f>
        <v>33.698264350000002</v>
      </c>
      <c r="N446">
        <f ca="1">IF(AND(ISNUMBER($N$944),$B$511=1),$N$944,HLOOKUP(INDIRECT(ADDRESS(2,COLUMN())),OFFSET($BN$2,0,0,ROW()-1,60),ROW()-1,FALSE))</f>
        <v>36.681340400000003</v>
      </c>
      <c r="O446">
        <f ca="1">IF(AND(ISNUMBER($O$944),$B$511=1),$O$944,HLOOKUP(INDIRECT(ADDRESS(2,COLUMN())),OFFSET($BN$2,0,0,ROW()-1,60),ROW()-1,FALSE))</f>
        <v>40.912208499999998</v>
      </c>
      <c r="P446">
        <f ca="1">IF(AND(ISNUMBER($P$944),$B$511=1),$P$944,HLOOKUP(INDIRECT(ADDRESS(2,COLUMN())),OFFSET($BN$2,0,0,ROW()-1,60),ROW()-1,FALSE))</f>
        <v>37.020605340000003</v>
      </c>
      <c r="Q446">
        <f ca="1">IF(AND(ISNUMBER($Q$944),$B$511=1),$Q$944,HLOOKUP(INDIRECT(ADDRESS(2,COLUMN())),OFFSET($BN$2,0,0,ROW()-1,60),ROW()-1,FALSE))</f>
        <v>33.704816360000002</v>
      </c>
      <c r="R446">
        <f ca="1">IF(AND(ISNUMBER($R$944),$B$511=1),$R$944,HLOOKUP(INDIRECT(ADDRESS(2,COLUMN())),OFFSET($BN$2,0,0,ROW()-1,60),ROW()-1,FALSE))</f>
        <v>35.333333330000002</v>
      </c>
      <c r="S446">
        <f ca="1">IF(AND(ISNUMBER($S$944),$B$511=1),$S$944,HLOOKUP(INDIRECT(ADDRESS(2,COLUMN())),OFFSET($BN$2,0,0,ROW()-1,60),ROW()-1,FALSE))</f>
        <v>41.679794379999997</v>
      </c>
      <c r="T446">
        <f ca="1">IF(AND(ISNUMBER($T$944),$B$511=1),$T$944,HLOOKUP(INDIRECT(ADDRESS(2,COLUMN())),OFFSET($BN$2,0,0,ROW()-1,60),ROW()-1,FALSE))</f>
        <v>35.79008941</v>
      </c>
      <c r="U446">
        <f ca="1">IF(AND(ISNUMBER($U$944),$B$511=1),$U$944,HLOOKUP(INDIRECT(ADDRESS(2,COLUMN())),OFFSET($BN$2,0,0,ROW()-1,60),ROW()-1,FALSE))</f>
        <v>36.914510319999998</v>
      </c>
      <c r="V446">
        <f ca="1">IF(AND(ISNUMBER($V$944),$B$511=1),$V$944,HLOOKUP(INDIRECT(ADDRESS(2,COLUMN())),OFFSET($BN$2,0,0,ROW()-1,60),ROW()-1,FALSE))</f>
        <v>33.272196749999999</v>
      </c>
      <c r="W446">
        <f ca="1">IF(AND(ISNUMBER($W$944),$B$511=1),$W$944,HLOOKUP(INDIRECT(ADDRESS(2,COLUMN())),OFFSET($BN$2,0,0,ROW()-1,60),ROW()-1,FALSE))</f>
        <v>35.995312239999997</v>
      </c>
      <c r="X446">
        <f ca="1">IF(AND(ISNUMBER($X$944),$B$511=1),$X$944,HLOOKUP(INDIRECT(ADDRESS(2,COLUMN())),OFFSET($BN$2,0,0,ROW()-1,60),ROW()-1,FALSE))</f>
        <v>33.065839869999998</v>
      </c>
      <c r="Y446">
        <f ca="1">IF(AND(ISNUMBER($Y$944),$B$511=1),$Y$944,HLOOKUP(INDIRECT(ADDRESS(2,COLUMN())),OFFSET($BN$2,0,0,ROW()-1,60),ROW()-1,FALSE))</f>
        <v>27.69276335</v>
      </c>
      <c r="Z446">
        <f ca="1">IF(AND(ISNUMBER($Z$944),$B$511=1),$Z$944,HLOOKUP(INDIRECT(ADDRESS(2,COLUMN())),OFFSET($BN$2,0,0,ROW()-1,60),ROW()-1,FALSE))</f>
        <v>27.088386530000001</v>
      </c>
      <c r="AA446">
        <f ca="1">IF(AND(ISNUMBER($AA$944),$B$511=1),$AA$944,HLOOKUP(INDIRECT(ADDRESS(2,COLUMN())),OFFSET($BN$2,0,0,ROW()-1,60),ROW()-1,FALSE))</f>
        <v>28.692424819999999</v>
      </c>
      <c r="AB446">
        <f ca="1">IF(AND(ISNUMBER($AB$944),$B$511=1),$AB$944,HLOOKUP(INDIRECT(ADDRESS(2,COLUMN())),OFFSET($BN$2,0,0,ROW()-1,60),ROW()-1,FALSE))</f>
        <v>27.59393137</v>
      </c>
      <c r="AC446">
        <f ca="1">IF(AND(ISNUMBER($AC$944),$B$511=1),$AC$944,HLOOKUP(INDIRECT(ADDRESS(2,COLUMN())),OFFSET($BN$2,0,0,ROW()-1,60),ROW()-1,FALSE))</f>
        <v>24.614919960000002</v>
      </c>
      <c r="AD446">
        <f ca="1">IF(AND(ISNUMBER($AD$944),$B$511=1),$AD$944,HLOOKUP(INDIRECT(ADDRESS(2,COLUMN())),OFFSET($BN$2,0,0,ROW()-1,60),ROW()-1,FALSE))</f>
        <v>15.50626194</v>
      </c>
      <c r="AE446">
        <f ca="1">IF(AND(ISNUMBER($AE$944),$B$511=1),$AE$944,HLOOKUP(INDIRECT(ADDRESS(2,COLUMN())),OFFSET($BN$2,0,0,ROW()-1,60),ROW()-1,FALSE))</f>
        <v>12.5</v>
      </c>
      <c r="AF446">
        <f ca="1">IF(AND(ISNUMBER($AF$944),$B$511=1),$AF$944,HLOOKUP(INDIRECT(ADDRESS(2,COLUMN())),OFFSET($BN$2,0,0,ROW()-1,60),ROW()-1,FALSE))</f>
        <v>8.316221766</v>
      </c>
      <c r="AG446">
        <f ca="1">IF(AND(ISNUMBER($AG$944),$B$511=1),$AG$944,HLOOKUP(INDIRECT(ADDRESS(2,COLUMN())),OFFSET($BN$2,0,0,ROW()-1,60),ROW()-1,FALSE))</f>
        <v>7.98245614</v>
      </c>
      <c r="AH446">
        <f ca="1">IF(AND(ISNUMBER($AH$944),$B$511=1),$AH$944,HLOOKUP(INDIRECT(ADDRESS(2,COLUMN())),OFFSET($BN$2,0,0,ROW()-1,60),ROW()-1,FALSE))</f>
        <v>8.0479244829999992</v>
      </c>
      <c r="AI446">
        <f ca="1">IF(AND(ISNUMBER($AI$944),$B$511=1),$AI$944,HLOOKUP(INDIRECT(ADDRESS(2,COLUMN())),OFFSET($BN$2,0,0,ROW()-1,60),ROW()-1,FALSE))</f>
        <v>6.0397454210000001</v>
      </c>
      <c r="AJ446">
        <f ca="1">IF(AND(ISNUMBER($AJ$944),$B$511=1),$AJ$944,HLOOKUP(INDIRECT(ADDRESS(2,COLUMN())),OFFSET($BN$2,0,0,ROW()-1,60),ROW()-1,FALSE))</f>
        <v>5.9372569349999997</v>
      </c>
      <c r="AK446">
        <f ca="1">IF(AND(ISNUMBER($AK$944),$B$511=1),$AK$944,HLOOKUP(INDIRECT(ADDRESS(2,COLUMN())),OFFSET($BN$2,0,0,ROW()-1,60),ROW()-1,FALSE))</f>
        <v>7.7209533270000001</v>
      </c>
      <c r="AL446">
        <f ca="1">IF(AND(ISNUMBER($AL$944),$B$511=1),$AL$944,HLOOKUP(INDIRECT(ADDRESS(2,COLUMN())),OFFSET($BN$2,0,0,ROW()-1,60),ROW()-1,FALSE))</f>
        <v>6.4710853559999997</v>
      </c>
      <c r="AM446">
        <f ca="1">IF(AND(ISNUMBER($AM$944),$B$511=1),$AM$944,HLOOKUP(INDIRECT(ADDRESS(2,COLUMN())),OFFSET($BN$2,0,0,ROW()-1,60),ROW()-1,FALSE))</f>
        <v>7.707364815</v>
      </c>
      <c r="AN446">
        <f ca="1">IF(AND(ISNUMBER($AN$944),$B$511=1),$AN$944,HLOOKUP(INDIRECT(ADDRESS(2,COLUMN())),OFFSET($BN$2,0,0,ROW()-1,60),ROW()-1,FALSE))</f>
        <v>6.374311047</v>
      </c>
      <c r="AO446">
        <f ca="1">IF(AND(ISNUMBER($AO$944),$B$511=1),$AO$944,HLOOKUP(INDIRECT(ADDRESS(2,COLUMN())),OFFSET($BN$2,0,0,ROW()-1,60),ROW()-1,FALSE))</f>
        <v>5.4188304360000004</v>
      </c>
      <c r="AP446">
        <f ca="1">IF(AND(ISNUMBER($AP$944),$B$511=1),$AP$944,HLOOKUP(INDIRECT(ADDRESS(2,COLUMN())),OFFSET($BN$2,0,0,ROW()-1,60),ROW()-1,FALSE))</f>
        <v>5.1797945209999998</v>
      </c>
      <c r="AQ446">
        <f ca="1">IF(AND(ISNUMBER($AQ$944),$B$511=1),$AQ$944,HLOOKUP(INDIRECT(ADDRESS(2,COLUMN())),OFFSET($BN$2,0,0,ROW()-1,60),ROW()-1,FALSE))</f>
        <v>4.8711842389999997</v>
      </c>
      <c r="AR446">
        <f ca="1">IF(AND(ISNUMBER($AR$944),$B$511=1),$AR$944,HLOOKUP(INDIRECT(ADDRESS(2,COLUMN())),OFFSET($BN$2,0,0,ROW()-1,60),ROW()-1,FALSE))</f>
        <v>3.8916146299999999</v>
      </c>
      <c r="AS446">
        <f ca="1">IF(AND(ISNUMBER($AS$944),$B$511=1),$AS$944,HLOOKUP(INDIRECT(ADDRESS(2,COLUMN())),OFFSET($BN$2,0,0,ROW()-1,60),ROW()-1,FALSE))</f>
        <v>4.0593853820000003</v>
      </c>
      <c r="AT446">
        <f ca="1">IF(AND(ISNUMBER($AT$944),$B$511=1),$AT$944,HLOOKUP(INDIRECT(ADDRESS(2,COLUMN())),OFFSET($BN$2,0,0,ROW()-1,60),ROW()-1,FALSE))</f>
        <v>3.2410669350000001</v>
      </c>
      <c r="AU446">
        <f ca="1">IF(AND(ISNUMBER($AU$944),$B$511=1),$AU$944,HLOOKUP(INDIRECT(ADDRESS(2,COLUMN())),OFFSET($BN$2,0,0,ROW()-1,60),ROW()-1,FALSE))</f>
        <v>2.6458540909999999</v>
      </c>
      <c r="AV446">
        <f ca="1">IF(AND(ISNUMBER($AV$944),$B$511=1),$AV$944,HLOOKUP(INDIRECT(ADDRESS(2,COLUMN())),OFFSET($BN$2,0,0,ROW()-1,60),ROW()-1,FALSE))</f>
        <v>4.9063000280000004</v>
      </c>
      <c r="AW446">
        <f ca="1">IF(AND(ISNUMBER($AW$944),$B$511=1),$AW$944,HLOOKUP(INDIRECT(ADDRESS(2,COLUMN())),OFFSET($BN$2,0,0,ROW()-1,60),ROW()-1,FALSE))</f>
        <v>4.8968829459999998</v>
      </c>
      <c r="AX446">
        <f ca="1">IF(AND(ISNUMBER($AX$944),$B$511=1),$AX$944,HLOOKUP(INDIRECT(ADDRESS(2,COLUMN())),OFFSET($BN$2,0,0,ROW()-1,60),ROW()-1,FALSE))</f>
        <v>4.1758461850000002</v>
      </c>
      <c r="AY446">
        <f ca="1">IF(AND(ISNUMBER($AY$944),$B$511=1),$AY$944,HLOOKUP(INDIRECT(ADDRESS(2,COLUMN())),OFFSET($BN$2,0,0,ROW()-1,60),ROW()-1,FALSE))</f>
        <v>4.6276595739999999</v>
      </c>
      <c r="AZ446">
        <f ca="1">IF(AND(ISNUMBER($AZ$944),$B$511=1),$AZ$944,HLOOKUP(INDIRECT(ADDRESS(2,COLUMN())),OFFSET($BN$2,0,0,ROW()-1,60),ROW()-1,FALSE))</f>
        <v>4.3989547040000003</v>
      </c>
      <c r="BA446">
        <f ca="1">IF(AND(ISNUMBER($BA$944),$B$511=1),$BA$944,HLOOKUP(INDIRECT(ADDRESS(2,COLUMN())),OFFSET($BN$2,0,0,ROW()-1,60),ROW()-1,FALSE))</f>
        <v>4.7866298880000002</v>
      </c>
      <c r="BB446">
        <f ca="1">IF(AND(ISNUMBER($BB$944),$B$511=1),$BB$944,HLOOKUP(INDIRECT(ADDRESS(2,COLUMN())),OFFSET($BN$2,0,0,ROW()-1,60),ROW()-1,FALSE))</f>
        <v>5.2045241940000002</v>
      </c>
      <c r="BC446">
        <f ca="1">IF(AND(ISNUMBER($BC$944),$B$511=1),$BC$944,HLOOKUP(INDIRECT(ADDRESS(2,COLUMN())),OFFSET($BN$2,0,0,ROW()-1,60),ROW()-1,FALSE))</f>
        <v>5.1310043670000001</v>
      </c>
      <c r="BD446">
        <f ca="1">IF(AND(ISNUMBER($BD$944),$B$511=1),$BD$944,HLOOKUP(INDIRECT(ADDRESS(2,COLUMN())),OFFSET($BN$2,0,0,ROW()-1,60),ROW()-1,FALSE))</f>
        <v>5.6939501779999997</v>
      </c>
      <c r="BE446">
        <f ca="1">IF(AND(ISNUMBER($BE$944),$B$511=1),$BE$944,HLOOKUP(INDIRECT(ADDRESS(2,COLUMN())),OFFSET($BN$2,0,0,ROW()-1,60),ROW()-1,FALSE))</f>
        <v>5.8443260239999999</v>
      </c>
      <c r="BF446">
        <f ca="1">IF(AND(ISNUMBER($BF$944),$B$511=1),$BF$944,HLOOKUP(INDIRECT(ADDRESS(2,COLUMN())),OFFSET($BN$2,0,0,ROW()-1,60),ROW()-1,FALSE))</f>
        <v>5.8893617020000004</v>
      </c>
      <c r="BG446">
        <f ca="1">IF(AND(ISNUMBER($BG$944),$B$511=1),$BG$944,HLOOKUP(INDIRECT(ADDRESS(2,COLUMN())),OFFSET($BN$2,0,0,ROW()-1,60),ROW()-1,FALSE))</f>
        <v>5.4251080780000001</v>
      </c>
      <c r="BH446">
        <f ca="1">IF(AND(ISNUMBER($BH$944),$B$511=1),$BH$944,HLOOKUP(INDIRECT(ADDRESS(2,COLUMN())),OFFSET($BN$2,0,0,ROW()-1,60),ROW()-1,FALSE))</f>
        <v>4.5174357169999997</v>
      </c>
      <c r="BI446">
        <f ca="1">IF(AND(ISNUMBER($BI$944),$B$511=1),$BI$944,HLOOKUP(INDIRECT(ADDRESS(2,COLUMN())),OFFSET($BN$2,0,0,ROW()-1,60),ROW()-1,FALSE))</f>
        <v>4.164788605</v>
      </c>
      <c r="BJ446">
        <f ca="1">IF(AND(ISNUMBER($BJ$944),$B$511=1),$BJ$944,HLOOKUP(INDIRECT(ADDRESS(2,COLUMN())),OFFSET($BN$2,0,0,ROW()-1,60),ROW()-1,FALSE))</f>
        <v>4.8880597010000004</v>
      </c>
      <c r="BK446">
        <f ca="1">IF(AND(ISNUMBER($BK$944),$B$511=1),$BK$944,HLOOKUP(INDIRECT(ADDRESS(2,COLUMN())),OFFSET($BN$2,0,0,ROW()-1,60),ROW()-1,FALSE))</f>
        <v>4.852013586</v>
      </c>
      <c r="BL446">
        <f ca="1">IF(AND(ISNUMBER($BL$944),$B$511=1),$BL$944,HLOOKUP(INDIRECT(ADDRESS(2,COLUMN())),OFFSET($BN$2,0,0,ROW()-1,60),ROW()-1,FALSE))</f>
        <v>5.0668607300000001</v>
      </c>
      <c r="BM446">
        <f ca="1">IF(AND(ISNUMBER($BM$944),$B$511=1),$BM$944,HLOOKUP(INDIRECT(ADDRESS(2,COLUMN())),OFFSET($BN$2,0,0,ROW()-1,60),ROW()-1,FALSE))</f>
        <v>5.5956843740000002</v>
      </c>
      <c r="BN446">
        <f>25.36570037</f>
        <v>25.365700369999999</v>
      </c>
      <c r="BO446">
        <f>21.37487546</f>
        <v>21.374875459999998</v>
      </c>
      <c r="BP446">
        <f>30.66079295</f>
        <v>30.660792950000001</v>
      </c>
      <c r="BQ446">
        <f>29.11175302</f>
        <v>29.111753019999998</v>
      </c>
      <c r="BR446">
        <f>32.82809264</f>
        <v>32.828092640000001</v>
      </c>
      <c r="BS446">
        <f>31.82625688</f>
        <v>31.826256879999999</v>
      </c>
      <c r="BT446">
        <f>36.05043509</f>
        <v>36.050435090000001</v>
      </c>
      <c r="BU446">
        <f>33.69826435</f>
        <v>33.698264350000002</v>
      </c>
      <c r="BV446">
        <f>36.6813404</f>
        <v>36.681340400000003</v>
      </c>
      <c r="BW446">
        <f>40.9122085</f>
        <v>40.912208499999998</v>
      </c>
      <c r="BX446">
        <f>37.02060534</f>
        <v>37.020605340000003</v>
      </c>
      <c r="BY446">
        <f>33.70481636</f>
        <v>33.704816360000002</v>
      </c>
      <c r="BZ446">
        <f>35.33333333</f>
        <v>35.333333330000002</v>
      </c>
      <c r="CA446">
        <f>41.67979438</f>
        <v>41.679794379999997</v>
      </c>
      <c r="CB446">
        <f>35.79008941</f>
        <v>35.79008941</v>
      </c>
      <c r="CC446">
        <f>36.91451032</f>
        <v>36.914510319999998</v>
      </c>
      <c r="CD446">
        <f>33.27219675</f>
        <v>33.272196749999999</v>
      </c>
      <c r="CE446">
        <f>35.99531224</f>
        <v>35.995312239999997</v>
      </c>
      <c r="CF446">
        <f>33.06583987</f>
        <v>33.065839869999998</v>
      </c>
      <c r="CG446">
        <f>27.69276335</f>
        <v>27.69276335</v>
      </c>
      <c r="CH446">
        <f>27.08838653</f>
        <v>27.088386530000001</v>
      </c>
      <c r="CI446">
        <f>28.69242482</f>
        <v>28.692424819999999</v>
      </c>
      <c r="CJ446">
        <f>27.59393137</f>
        <v>27.59393137</v>
      </c>
      <c r="CK446">
        <f>24.61491996</f>
        <v>24.614919960000002</v>
      </c>
      <c r="CL446">
        <f>15.50626194</f>
        <v>15.50626194</v>
      </c>
      <c r="CM446">
        <f>12.5</f>
        <v>12.5</v>
      </c>
      <c r="CN446">
        <f>8.316221766</f>
        <v>8.316221766</v>
      </c>
      <c r="CO446">
        <f>7.98245614</f>
        <v>7.98245614</v>
      </c>
      <c r="CP446">
        <f>8.047924483</f>
        <v>8.0479244829999992</v>
      </c>
      <c r="CQ446">
        <f>6.039745421</f>
        <v>6.0397454210000001</v>
      </c>
      <c r="CR446">
        <f>5.937256935</f>
        <v>5.9372569349999997</v>
      </c>
      <c r="CS446">
        <f>7.720953327</f>
        <v>7.7209533270000001</v>
      </c>
      <c r="CT446">
        <f>6.471085356</f>
        <v>6.4710853559999997</v>
      </c>
      <c r="CU446">
        <f>7.707364815</f>
        <v>7.707364815</v>
      </c>
      <c r="CV446">
        <f>6.374311047</f>
        <v>6.374311047</v>
      </c>
      <c r="CW446">
        <f>5.418830436</f>
        <v>5.4188304360000004</v>
      </c>
      <c r="CX446">
        <f>5.179794521</f>
        <v>5.1797945209999998</v>
      </c>
      <c r="CY446">
        <f>4.871184239</f>
        <v>4.8711842389999997</v>
      </c>
      <c r="CZ446">
        <f>3.89161463</f>
        <v>3.8916146299999999</v>
      </c>
      <c r="DA446">
        <f>4.059385382</f>
        <v>4.0593853820000003</v>
      </c>
      <c r="DB446">
        <f>3.241066935</f>
        <v>3.2410669350000001</v>
      </c>
      <c r="DC446">
        <f>2.645854091</f>
        <v>2.6458540909999999</v>
      </c>
      <c r="DD446">
        <f>4.906300028</f>
        <v>4.9063000280000004</v>
      </c>
      <c r="DE446">
        <f>4.896882946</f>
        <v>4.8968829459999998</v>
      </c>
      <c r="DF446">
        <f>4.175846185</f>
        <v>4.1758461850000002</v>
      </c>
      <c r="DG446">
        <f>4.627659574</f>
        <v>4.6276595739999999</v>
      </c>
      <c r="DH446">
        <f>4.398954704</f>
        <v>4.3989547040000003</v>
      </c>
      <c r="DI446">
        <f>4.786629888</f>
        <v>4.7866298880000002</v>
      </c>
      <c r="DJ446">
        <f>5.204524194</f>
        <v>5.2045241940000002</v>
      </c>
      <c r="DK446">
        <f>5.131004367</f>
        <v>5.1310043670000001</v>
      </c>
      <c r="DL446">
        <f>5.693950178</f>
        <v>5.6939501779999997</v>
      </c>
      <c r="DM446">
        <f>5.844326024</f>
        <v>5.8443260239999999</v>
      </c>
      <c r="DN446">
        <f>5.889361702</f>
        <v>5.8893617020000004</v>
      </c>
      <c r="DO446">
        <f>5.425108078</f>
        <v>5.4251080780000001</v>
      </c>
      <c r="DP446">
        <f>4.517435717</f>
        <v>4.5174357169999997</v>
      </c>
      <c r="DQ446">
        <f>4.164788605</f>
        <v>4.164788605</v>
      </c>
      <c r="DR446">
        <f>4.888059701</f>
        <v>4.8880597010000004</v>
      </c>
      <c r="DS446">
        <f>4.852013586</f>
        <v>4.852013586</v>
      </c>
      <c r="DT446">
        <f>5.06686073</f>
        <v>5.0668607300000001</v>
      </c>
      <c r="DU446">
        <f>5.595684374</f>
        <v>5.5956843740000002</v>
      </c>
    </row>
    <row r="447" spans="1:125" x14ac:dyDescent="0.25">
      <c r="A447" t="str">
        <f>"    Suzuki Motor Corp"</f>
        <v xml:space="preserve">    Suzuki Motor Corp</v>
      </c>
      <c r="B447" t="str">
        <f>"7269 JP Equity"</f>
        <v>7269 JP Equity</v>
      </c>
      <c r="C447" t="str">
        <f t="shared" si="30"/>
        <v>PR005</v>
      </c>
      <c r="D447" t="str">
        <f t="shared" si="31"/>
        <v>PX_LAST</v>
      </c>
      <c r="E447" t="str">
        <f t="shared" si="32"/>
        <v>Dynamic</v>
      </c>
      <c r="F447">
        <f ca="1">IF(AND(ISNUMBER($F$945),$B$511=1),$F$945,HLOOKUP(INDIRECT(ADDRESS(2,COLUMN())),OFFSET($BN$2,0,0,ROW()-1,60),ROW()-1,FALSE))</f>
        <v>51.166757259999997</v>
      </c>
      <c r="G447">
        <f ca="1">IF(AND(ISNUMBER($G$945),$B$511=1),$G$945,HLOOKUP(INDIRECT(ADDRESS(2,COLUMN())),OFFSET($BN$2,0,0,ROW()-1,60),ROW()-1,FALSE))</f>
        <v>50.4211575</v>
      </c>
      <c r="H447">
        <f ca="1">IF(AND(ISNUMBER($H$945),$B$511=1),$H$945,HLOOKUP(INDIRECT(ADDRESS(2,COLUMN())),OFFSET($BN$2,0,0,ROW()-1,60),ROW()-1,FALSE))</f>
        <v>57.339207049999999</v>
      </c>
      <c r="I447">
        <f ca="1">IF(AND(ISNUMBER($I$945),$B$511=1),$I$945,HLOOKUP(INDIRECT(ADDRESS(2,COLUMN())),OFFSET($BN$2,0,0,ROW()-1,60),ROW()-1,FALSE))</f>
        <v>55.226575189999998</v>
      </c>
      <c r="J447">
        <f ca="1">IF(AND(ISNUMBER($J$945),$B$511=1),$J$945,HLOOKUP(INDIRECT(ADDRESS(2,COLUMN())),OFFSET($BN$2,0,0,ROW()-1,60),ROW()-1,FALSE))</f>
        <v>53.944643190000001</v>
      </c>
      <c r="K447">
        <f ca="1">IF(AND(ISNUMBER($K$945),$B$511=1),$K$945,HLOOKUP(INDIRECT(ADDRESS(2,COLUMN())),OFFSET($BN$2,0,0,ROW()-1,60),ROW()-1,FALSE))</f>
        <v>58.038728020000001</v>
      </c>
      <c r="L447">
        <f ca="1">IF(AND(ISNUMBER($L$945),$B$511=1),$L$945,HLOOKUP(INDIRECT(ADDRESS(2,COLUMN())),OFFSET($BN$2,0,0,ROW()-1,60),ROW()-1,FALSE))</f>
        <v>52.406322150000001</v>
      </c>
      <c r="M447">
        <f ca="1">IF(AND(ISNUMBER($M$945),$B$511=1),$M$945,HLOOKUP(INDIRECT(ADDRESS(2,COLUMN())),OFFSET($BN$2,0,0,ROW()-1,60),ROW()-1,FALSE))</f>
        <v>47.441032489999998</v>
      </c>
      <c r="N447">
        <f ca="1">IF(AND(ISNUMBER($N$945),$B$511=1),$N$945,HLOOKUP(INDIRECT(ADDRESS(2,COLUMN())),OFFSET($BN$2,0,0,ROW()-1,60),ROW()-1,FALSE))</f>
        <v>41.52367263</v>
      </c>
      <c r="O447">
        <f ca="1">IF(AND(ISNUMBER($O$945),$B$511=1),$O$945,HLOOKUP(INDIRECT(ADDRESS(2,COLUMN())),OFFSET($BN$2,0,0,ROW()-1,60),ROW()-1,FALSE))</f>
        <v>35.270919069999998</v>
      </c>
      <c r="P447">
        <f ca="1">IF(AND(ISNUMBER($P$945),$B$511=1),$P$945,HLOOKUP(INDIRECT(ADDRESS(2,COLUMN())),OFFSET($BN$2,0,0,ROW()-1,60),ROW()-1,FALSE))</f>
        <v>33.126294000000001</v>
      </c>
      <c r="Q447">
        <f ca="1">IF(AND(ISNUMBER($Q$945),$B$511=1),$Q$945,HLOOKUP(INDIRECT(ADDRESS(2,COLUMN())),OFFSET($BN$2,0,0,ROW()-1,60),ROW()-1,FALSE))</f>
        <v>26.68378719</v>
      </c>
      <c r="R447">
        <f ca="1">IF(AND(ISNUMBER($R$945),$B$511=1),$R$945,HLOOKUP(INDIRECT(ADDRESS(2,COLUMN())),OFFSET($BN$2,0,0,ROW()-1,60),ROW()-1,FALSE))</f>
        <v>26.764444439999998</v>
      </c>
      <c r="S447">
        <f ca="1">IF(AND(ISNUMBER($S$945),$B$511=1),$S$945,HLOOKUP(INDIRECT(ADDRESS(2,COLUMN())),OFFSET($BN$2,0,0,ROW()-1,60),ROW()-1,FALSE))</f>
        <v>30.70226349</v>
      </c>
      <c r="T447">
        <f ca="1">IF(AND(ISNUMBER($T$945),$B$511=1),$T$945,HLOOKUP(INDIRECT(ADDRESS(2,COLUMN())),OFFSET($BN$2,0,0,ROW()-1,60),ROW()-1,FALSE))</f>
        <v>30.600818919999998</v>
      </c>
      <c r="U447">
        <f ca="1">IF(AND(ISNUMBER($U$945),$B$511=1),$U$945,HLOOKUP(INDIRECT(ADDRESS(2,COLUMN())),OFFSET($BN$2,0,0,ROW()-1,60),ROW()-1,FALSE))</f>
        <v>33.860137569999999</v>
      </c>
      <c r="V447">
        <f ca="1">IF(AND(ISNUMBER($V$945),$B$511=1),$V$945,HLOOKUP(INDIRECT(ADDRESS(2,COLUMN())),OFFSET($BN$2,0,0,ROW()-1,60),ROW()-1,FALSE))</f>
        <v>30.116715299999999</v>
      </c>
      <c r="W447">
        <f ca="1">IF(AND(ISNUMBER($W$945),$B$511=1),$W$945,HLOOKUP(INDIRECT(ADDRESS(2,COLUMN())),OFFSET($BN$2,0,0,ROW()-1,60),ROW()-1,FALSE))</f>
        <v>30.470450360000001</v>
      </c>
      <c r="X447">
        <f ca="1">IF(AND(ISNUMBER($X$945),$B$511=1),$X$945,HLOOKUP(INDIRECT(ADDRESS(2,COLUMN())),OFFSET($BN$2,0,0,ROW()-1,60),ROW()-1,FALSE))</f>
        <v>33.152471269999999</v>
      </c>
      <c r="Y447">
        <f ca="1">IF(AND(ISNUMBER($Y$945),$B$511=1),$Y$945,HLOOKUP(INDIRECT(ADDRESS(2,COLUMN())),OFFSET($BN$2,0,0,ROW()-1,60),ROW()-1,FALSE))</f>
        <v>31.325895939999999</v>
      </c>
      <c r="Z447">
        <f ca="1">IF(AND(ISNUMBER($Z$945),$B$511=1),$Z$945,HLOOKUP(INDIRECT(ADDRESS(2,COLUMN())),OFFSET($BN$2,0,0,ROW()-1,60),ROW()-1,FALSE))</f>
        <v>26.1375764</v>
      </c>
      <c r="AA447">
        <f ca="1">IF(AND(ISNUMBER($AA$945),$B$511=1),$AA$945,HLOOKUP(INDIRECT(ADDRESS(2,COLUMN())),OFFSET($BN$2,0,0,ROW()-1,60),ROW()-1,FALSE))</f>
        <v>26.912828319999999</v>
      </c>
      <c r="AB447">
        <f ca="1">IF(AND(ISNUMBER($AB$945),$B$511=1),$AB$945,HLOOKUP(INDIRECT(ADDRESS(2,COLUMN())),OFFSET($BN$2,0,0,ROW()-1,60),ROW()-1,FALSE))</f>
        <v>23.948681400000002</v>
      </c>
      <c r="AC447">
        <f ca="1">IF(AND(ISNUMBER($AC$945),$B$511=1),$AC$945,HLOOKUP(INDIRECT(ADDRESS(2,COLUMN())),OFFSET($BN$2,0,0,ROW()-1,60),ROW()-1,FALSE))</f>
        <v>23.02426256</v>
      </c>
      <c r="AD447">
        <f ca="1">IF(AND(ISNUMBER($AD$945),$B$511=1),$AD$945,HLOOKUP(INDIRECT(ADDRESS(2,COLUMN())),OFFSET($BN$2,0,0,ROW()-1,60),ROW()-1,FALSE))</f>
        <v>22.405009549999999</v>
      </c>
      <c r="AE447">
        <f ca="1">IF(AND(ISNUMBER($AE$945),$B$511=1),$AE$945,HLOOKUP(INDIRECT(ADDRESS(2,COLUMN())),OFFSET($BN$2,0,0,ROW()-1,60),ROW()-1,FALSE))</f>
        <v>26.04553903</v>
      </c>
      <c r="AF447">
        <f ca="1">IF(AND(ISNUMBER($AF$945),$B$511=1),$AF$945,HLOOKUP(INDIRECT(ADDRESS(2,COLUMN())),OFFSET($BN$2,0,0,ROW()-1,60),ROW()-1,FALSE))</f>
        <v>19.443018479999999</v>
      </c>
      <c r="AG447">
        <f ca="1">IF(AND(ISNUMBER($AG$945),$B$511=1),$AG$945,HLOOKUP(INDIRECT(ADDRESS(2,COLUMN())),OFFSET($BN$2,0,0,ROW()-1,60),ROW()-1,FALSE))</f>
        <v>20.313283210000002</v>
      </c>
      <c r="AH447">
        <f ca="1">IF(AND(ISNUMBER($AH$945),$B$511=1),$AH$945,HLOOKUP(INDIRECT(ADDRESS(2,COLUMN())),OFFSET($BN$2,0,0,ROW()-1,60),ROW()-1,FALSE))</f>
        <v>23.925934890000001</v>
      </c>
      <c r="AI447">
        <f ca="1">IF(AND(ISNUMBER($AI$945),$B$511=1),$AI$945,HLOOKUP(INDIRECT(ADDRESS(2,COLUMN())),OFFSET($BN$2,0,0,ROW()-1,60),ROW()-1,FALSE))</f>
        <v>20.678010130000001</v>
      </c>
      <c r="AJ447">
        <f ca="1">IF(AND(ISNUMBER($AJ$945),$B$511=1),$AJ$945,HLOOKUP(INDIRECT(ADDRESS(2,COLUMN())),OFFSET($BN$2,0,0,ROW()-1,60),ROW()-1,FALSE))</f>
        <v>22.323049000000001</v>
      </c>
      <c r="AK447">
        <f ca="1">IF(AND(ISNUMBER($AK$945),$B$511=1),$AK$945,HLOOKUP(INDIRECT(ADDRESS(2,COLUMN())),OFFSET($BN$2,0,0,ROW()-1,60),ROW()-1,FALSE))</f>
        <v>22.40566038</v>
      </c>
      <c r="AL447">
        <f ca="1">IF(AND(ISNUMBER($AL$945),$B$511=1),$AL$945,HLOOKUP(INDIRECT(ADDRESS(2,COLUMN())),OFFSET($BN$2,0,0,ROW()-1,60),ROW()-1,FALSE))</f>
        <v>22.443559100000002</v>
      </c>
      <c r="AM447">
        <f ca="1">IF(AND(ISNUMBER($AM$945),$B$511=1),$AM$945,HLOOKUP(INDIRECT(ADDRESS(2,COLUMN())),OFFSET($BN$2,0,0,ROW()-1,60),ROW()-1,FALSE))</f>
        <v>24.46782481</v>
      </c>
      <c r="AN447">
        <f ca="1">IF(AND(ISNUMBER($AN$945),$B$511=1),$AN$945,HLOOKUP(INDIRECT(ADDRESS(2,COLUMN())),OFFSET($BN$2,0,0,ROW()-1,60),ROW()-1,FALSE))</f>
        <v>21.040019170000001</v>
      </c>
      <c r="AO447">
        <f ca="1">IF(AND(ISNUMBER($AO$945),$B$511=1),$AO$945,HLOOKUP(INDIRECT(ADDRESS(2,COLUMN())),OFFSET($BN$2,0,0,ROW()-1,60),ROW()-1,FALSE))</f>
        <v>19.83517724</v>
      </c>
      <c r="AP447">
        <f ca="1">IF(AND(ISNUMBER($AP$945),$B$511=1),$AP$945,HLOOKUP(INDIRECT(ADDRESS(2,COLUMN())),OFFSET($BN$2,0,0,ROW()-1,60),ROW()-1,FALSE))</f>
        <v>22.078339039999999</v>
      </c>
      <c r="AQ447">
        <f ca="1">IF(AND(ISNUMBER($AQ$945),$B$511=1),$AQ$945,HLOOKUP(INDIRECT(ADDRESS(2,COLUMN())),OFFSET($BN$2,0,0,ROW()-1,60),ROW()-1,FALSE))</f>
        <v>24.680666810000002</v>
      </c>
      <c r="AR447">
        <f ca="1">IF(AND(ISNUMBER($AR$945),$B$511=1),$AR$945,HLOOKUP(INDIRECT(ADDRESS(2,COLUMN())),OFFSET($BN$2,0,0,ROW()-1,60),ROW()-1,FALSE))</f>
        <v>23.36083854</v>
      </c>
      <c r="AS447">
        <f ca="1">IF(AND(ISNUMBER($AS$945),$B$511=1),$AS$945,HLOOKUP(INDIRECT(ADDRESS(2,COLUMN())),OFFSET($BN$2,0,0,ROW()-1,60),ROW()-1,FALSE))</f>
        <v>22.52906977</v>
      </c>
      <c r="AT447">
        <f ca="1">IF(AND(ISNUMBER($AT$945),$B$511=1),$AT$945,HLOOKUP(INDIRECT(ADDRESS(2,COLUMN())),OFFSET($BN$2,0,0,ROW()-1,60),ROW()-1,FALSE))</f>
        <v>16.39657776</v>
      </c>
      <c r="AU447">
        <f ca="1">IF(AND(ISNUMBER($AU$945),$B$511=1),$AU$945,HLOOKUP(INDIRECT(ADDRESS(2,COLUMN())),OFFSET($BN$2,0,0,ROW()-1,60),ROW()-1,FALSE))</f>
        <v>13.594597589999999</v>
      </c>
      <c r="AV447">
        <f ca="1">IF(AND(ISNUMBER($AV$945),$B$511=1),$AV$945,HLOOKUP(INDIRECT(ADDRESS(2,COLUMN())),OFFSET($BN$2,0,0,ROW()-1,60),ROW()-1,FALSE))</f>
        <v>18.061964400000001</v>
      </c>
      <c r="AW447">
        <f ca="1">IF(AND(ISNUMBER($AW$945),$B$511=1),$AW$945,HLOOKUP(INDIRECT(ADDRESS(2,COLUMN())),OFFSET($BN$2,0,0,ROW()-1,60),ROW()-1,FALSE))</f>
        <v>23.636877299999998</v>
      </c>
      <c r="AX447">
        <f ca="1">IF(AND(ISNUMBER($AX$945),$B$511=1),$AX$945,HLOOKUP(INDIRECT(ADDRESS(2,COLUMN())),OFFSET($BN$2,0,0,ROW()-1,60),ROW()-1,FALSE))</f>
        <v>25.18525936</v>
      </c>
      <c r="AY447">
        <f ca="1">IF(AND(ISNUMBER($AY$945),$B$511=1),$AY$945,HLOOKUP(INDIRECT(ADDRESS(2,COLUMN())),OFFSET($BN$2,0,0,ROW()-1,60),ROW()-1,FALSE))</f>
        <v>29.875886520000002</v>
      </c>
      <c r="AZ447">
        <f ca="1">IF(AND(ISNUMBER($AZ$945),$B$511=1),$AZ$945,HLOOKUP(INDIRECT(ADDRESS(2,COLUMN())),OFFSET($BN$2,0,0,ROW()-1,60),ROW()-1,FALSE))</f>
        <v>29.616724739999999</v>
      </c>
      <c r="BA447">
        <f ca="1">IF(AND(ISNUMBER($BA$945),$B$511=1),$BA$945,HLOOKUP(INDIRECT(ADDRESS(2,COLUMN())),OFFSET($BN$2,0,0,ROW()-1,60),ROW()-1,FALSE))</f>
        <v>28.395262049999999</v>
      </c>
      <c r="BB447">
        <f ca="1">IF(AND(ISNUMBER($BB$945),$B$511=1),$BB$945,HLOOKUP(INDIRECT(ADDRESS(2,COLUMN())),OFFSET($BN$2,0,0,ROW()-1,60),ROW()-1,FALSE))</f>
        <v>26.022620969999998</v>
      </c>
      <c r="BC447">
        <f ca="1">IF(AND(ISNUMBER($BC$945),$B$511=1),$BC$945,HLOOKUP(INDIRECT(ADDRESS(2,COLUMN())),OFFSET($BN$2,0,0,ROW()-1,60),ROW()-1,FALSE))</f>
        <v>28.21632516</v>
      </c>
      <c r="BD447">
        <f ca="1">IF(AND(ISNUMBER($BD$945),$B$511=1),$BD$945,HLOOKUP(INDIRECT(ADDRESS(2,COLUMN())),OFFSET($BN$2,0,0,ROW()-1,60),ROW()-1,FALSE))</f>
        <v>25.41942044</v>
      </c>
      <c r="BE447">
        <f ca="1">IF(AND(ISNUMBER($BE$945),$B$511=1),$BE$945,HLOOKUP(INDIRECT(ADDRESS(2,COLUMN())),OFFSET($BN$2,0,0,ROW()-1,60),ROW()-1,FALSE))</f>
        <v>21.62138552</v>
      </c>
      <c r="BF447">
        <f ca="1">IF(AND(ISNUMBER($BF$945),$B$511=1),$BF$945,HLOOKUP(INDIRECT(ADDRESS(2,COLUMN())),OFFSET($BN$2,0,0,ROW()-1,60),ROW()-1,FALSE))</f>
        <v>23.0212766</v>
      </c>
      <c r="BG447">
        <f ca="1">IF(AND(ISNUMBER($BG$945),$B$511=1),$BG$945,HLOOKUP(INDIRECT(ADDRESS(2,COLUMN())),OFFSET($BN$2,0,0,ROW()-1,60),ROW()-1,FALSE))</f>
        <v>18.521658049999999</v>
      </c>
      <c r="BH447">
        <f ca="1">IF(AND(ISNUMBER($BH$945),$B$511=1),$BH$945,HLOOKUP(INDIRECT(ADDRESS(2,COLUMN())),OFFSET($BN$2,0,0,ROW()-1,60),ROW()-1,FALSE))</f>
        <v>18.492426909999999</v>
      </c>
      <c r="BI447">
        <f ca="1">IF(AND(ISNUMBER($BI$945),$B$511=1),$BI$945,HLOOKUP(INDIRECT(ADDRESS(2,COLUMN())),OFFSET($BN$2,0,0,ROW()-1,60),ROW()-1,FALSE))</f>
        <v>15.712611559999999</v>
      </c>
      <c r="BJ447">
        <f ca="1">IF(AND(ISNUMBER($BJ$945),$B$511=1),$BJ$945,HLOOKUP(INDIRECT(ADDRESS(2,COLUMN())),OFFSET($BN$2,0,0,ROW()-1,60),ROW()-1,FALSE))</f>
        <v>17.891791040000001</v>
      </c>
      <c r="BK447">
        <f ca="1">IF(AND(ISNUMBER($BK$945),$B$511=1),$BK$945,HLOOKUP(INDIRECT(ADDRESS(2,COLUMN())),OFFSET($BN$2,0,0,ROW()-1,60),ROW()-1,FALSE))</f>
        <v>18.165938860000001</v>
      </c>
      <c r="BL447">
        <f ca="1">IF(AND(ISNUMBER($BL$945),$B$511=1),$BL$945,HLOOKUP(INDIRECT(ADDRESS(2,COLUMN())),OFFSET($BN$2,0,0,ROW()-1,60),ROW()-1,FALSE))</f>
        <v>16.401346310000001</v>
      </c>
      <c r="BM447">
        <f ca="1">IF(AND(ISNUMBER($BM$945),$B$511=1),$BM$945,HLOOKUP(INDIRECT(ADDRESS(2,COLUMN())),OFFSET($BN$2,0,0,ROW()-1,60),ROW()-1,FALSE))</f>
        <v>17.573374780000002</v>
      </c>
      <c r="BN447">
        <f>51.16675726</f>
        <v>51.166757259999997</v>
      </c>
      <c r="BO447">
        <f>50.4211575</f>
        <v>50.4211575</v>
      </c>
      <c r="BP447">
        <f>57.33920705</f>
        <v>57.339207049999999</v>
      </c>
      <c r="BQ447">
        <f>55.22657519</f>
        <v>55.226575189999998</v>
      </c>
      <c r="BR447">
        <f>53.94464319</f>
        <v>53.944643190000001</v>
      </c>
      <c r="BS447">
        <f>58.03872802</f>
        <v>58.038728020000001</v>
      </c>
      <c r="BT447">
        <f>52.40632215</f>
        <v>52.406322150000001</v>
      </c>
      <c r="BU447">
        <f>47.44103249</f>
        <v>47.441032489999998</v>
      </c>
      <c r="BV447">
        <f>41.52367263</f>
        <v>41.52367263</v>
      </c>
      <c r="BW447">
        <f>35.27091907</f>
        <v>35.270919069999998</v>
      </c>
      <c r="BX447">
        <f>33.126294</f>
        <v>33.126294000000001</v>
      </c>
      <c r="BY447">
        <f>26.68378719</f>
        <v>26.68378719</v>
      </c>
      <c r="BZ447">
        <f>26.76444444</f>
        <v>26.764444439999998</v>
      </c>
      <c r="CA447">
        <f>30.70226349</f>
        <v>30.70226349</v>
      </c>
      <c r="CB447">
        <f>30.60081892</f>
        <v>30.600818919999998</v>
      </c>
      <c r="CC447">
        <f>33.86013757</f>
        <v>33.860137569999999</v>
      </c>
      <c r="CD447">
        <f>30.1167153</f>
        <v>30.116715299999999</v>
      </c>
      <c r="CE447">
        <f>30.47045036</f>
        <v>30.470450360000001</v>
      </c>
      <c r="CF447">
        <f>33.15247127</f>
        <v>33.152471269999999</v>
      </c>
      <c r="CG447">
        <f>31.32589594</f>
        <v>31.325895939999999</v>
      </c>
      <c r="CH447">
        <f>26.1375764</f>
        <v>26.1375764</v>
      </c>
      <c r="CI447">
        <f>26.91282832</f>
        <v>26.912828319999999</v>
      </c>
      <c r="CJ447">
        <f>23.9486814</f>
        <v>23.948681400000002</v>
      </c>
      <c r="CK447">
        <f>23.02426256</f>
        <v>23.02426256</v>
      </c>
      <c r="CL447">
        <f>22.40500955</f>
        <v>22.405009549999999</v>
      </c>
      <c r="CM447">
        <f>26.04553903</f>
        <v>26.04553903</v>
      </c>
      <c r="CN447">
        <f>19.44301848</f>
        <v>19.443018479999999</v>
      </c>
      <c r="CO447">
        <f>20.31328321</f>
        <v>20.313283210000002</v>
      </c>
      <c r="CP447">
        <f>23.92593489</f>
        <v>23.925934890000001</v>
      </c>
      <c r="CQ447">
        <f>20.67801013</f>
        <v>20.678010130000001</v>
      </c>
      <c r="CR447">
        <f>22.323049</f>
        <v>22.323049000000001</v>
      </c>
      <c r="CS447">
        <f>22.40566038</f>
        <v>22.40566038</v>
      </c>
      <c r="CT447">
        <f>22.4435591</f>
        <v>22.443559100000002</v>
      </c>
      <c r="CU447">
        <f>24.46782481</f>
        <v>24.46782481</v>
      </c>
      <c r="CV447">
        <f>21.04001917</f>
        <v>21.040019170000001</v>
      </c>
      <c r="CW447">
        <f>19.83517724</f>
        <v>19.83517724</v>
      </c>
      <c r="CX447">
        <f>22.07833904</f>
        <v>22.078339039999999</v>
      </c>
      <c r="CY447">
        <f>24.68066681</f>
        <v>24.680666810000002</v>
      </c>
      <c r="CZ447">
        <f>23.36083854</f>
        <v>23.36083854</v>
      </c>
      <c r="DA447">
        <f>22.52906977</f>
        <v>22.52906977</v>
      </c>
      <c r="DB447">
        <f>16.39657776</f>
        <v>16.39657776</v>
      </c>
      <c r="DC447">
        <f>13.59459759</f>
        <v>13.594597589999999</v>
      </c>
      <c r="DD447">
        <f>18.0619644</f>
        <v>18.061964400000001</v>
      </c>
      <c r="DE447">
        <f>23.6368773</f>
        <v>23.636877299999998</v>
      </c>
      <c r="DF447">
        <f>25.18525936</f>
        <v>25.18525936</v>
      </c>
      <c r="DG447">
        <f>29.87588652</f>
        <v>29.875886520000002</v>
      </c>
      <c r="DH447">
        <f>29.61672474</f>
        <v>29.616724739999999</v>
      </c>
      <c r="DI447">
        <f>28.39526205</f>
        <v>28.395262049999999</v>
      </c>
      <c r="DJ447">
        <f>26.02262097</f>
        <v>26.022620969999998</v>
      </c>
      <c r="DK447">
        <f>28.21632516</f>
        <v>28.21632516</v>
      </c>
      <c r="DL447">
        <f>25.41942044</f>
        <v>25.41942044</v>
      </c>
      <c r="DM447">
        <f>21.62138552</f>
        <v>21.62138552</v>
      </c>
      <c r="DN447">
        <f>23.0212766</f>
        <v>23.0212766</v>
      </c>
      <c r="DO447">
        <f>18.52165805</f>
        <v>18.521658049999999</v>
      </c>
      <c r="DP447">
        <f>18.49242691</f>
        <v>18.492426909999999</v>
      </c>
      <c r="DQ447">
        <f>15.71261156</f>
        <v>15.712611559999999</v>
      </c>
      <c r="DR447">
        <f>17.89179104</f>
        <v>17.891791040000001</v>
      </c>
      <c r="DS447">
        <f>18.16593886</f>
        <v>18.165938860000001</v>
      </c>
      <c r="DT447">
        <f>16.40134631</f>
        <v>16.401346310000001</v>
      </c>
      <c r="DU447">
        <f>17.57337478</f>
        <v>17.573374780000002</v>
      </c>
    </row>
    <row r="448" spans="1:125" x14ac:dyDescent="0.25">
      <c r="A448" t="str">
        <f>"    Tata Motors Ltd"</f>
        <v xml:space="preserve">    Tata Motors Ltd</v>
      </c>
      <c r="B448" t="str">
        <f>"TTMT IN Equity"</f>
        <v>TTMT IN Equity</v>
      </c>
      <c r="C448" t="str">
        <f t="shared" si="30"/>
        <v>PR005</v>
      </c>
      <c r="D448" t="str">
        <f t="shared" si="31"/>
        <v>PX_LAST</v>
      </c>
      <c r="E448" t="str">
        <f t="shared" si="32"/>
        <v>Dynamic</v>
      </c>
      <c r="F448">
        <f ca="1">IF(AND(ISNUMBER($F$946),$B$511=1),$F$946,HLOOKUP(INDIRECT(ADDRESS(2,COLUMN())),OFFSET($BN$2,0,0,ROW()-1,60),ROW()-1,FALSE))</f>
        <v>2.4933045319999998</v>
      </c>
      <c r="G448">
        <f ca="1">IF(AND(ISNUMBER($G$946),$B$511=1),$G$946,HLOOKUP(INDIRECT(ADDRESS(2,COLUMN())),OFFSET($BN$2,0,0,ROW()-1,60),ROW()-1,FALSE))</f>
        <v>2.4781173769999998</v>
      </c>
      <c r="H448">
        <f ca="1">IF(AND(ISNUMBER($H$946),$B$511=1),$H$946,HLOOKUP(INDIRECT(ADDRESS(2,COLUMN())),OFFSET($BN$2,0,0,ROW()-1,60),ROW()-1,FALSE))</f>
        <v>3.083412015</v>
      </c>
      <c r="I448">
        <f ca="1">IF(AND(ISNUMBER($I$946),$B$511=1),$I$946,HLOOKUP(INDIRECT(ADDRESS(2,COLUMN())),OFFSET($BN$2,0,0,ROW()-1,60),ROW()-1,FALSE))</f>
        <v>3.9328221980000002</v>
      </c>
      <c r="J448">
        <f ca="1">IF(AND(ISNUMBER($J$946),$B$511=1),$J$946,HLOOKUP(INDIRECT(ADDRESS(2,COLUMN())),OFFSET($BN$2,0,0,ROW()-1,60),ROW()-1,FALSE))</f>
        <v>5.0174617189999999</v>
      </c>
      <c r="K448">
        <f ca="1">IF(AND(ISNUMBER($K$946),$B$511=1),$K$946,HLOOKUP(INDIRECT(ADDRESS(2,COLUMN())),OFFSET($BN$2,0,0,ROW()-1,60),ROW()-1,FALSE))</f>
        <v>6.7633493339999999</v>
      </c>
      <c r="L448">
        <f ca="1">IF(AND(ISNUMBER($L$946),$B$511=1),$L$946,HLOOKUP(INDIRECT(ADDRESS(2,COLUMN())),OFFSET($BN$2,0,0,ROW()-1,60),ROW()-1,FALSE))</f>
        <v>6.1438408569999998</v>
      </c>
      <c r="M448">
        <f ca="1">IF(AND(ISNUMBER($M$946),$B$511=1),$M$946,HLOOKUP(INDIRECT(ADDRESS(2,COLUMN())),OFFSET($BN$2,0,0,ROW()-1,60),ROW()-1,FALSE))</f>
        <v>6.6937584240000003</v>
      </c>
      <c r="N448">
        <f ca="1">IF(AND(ISNUMBER($N$946),$B$511=1),$N$946,HLOOKUP(INDIRECT(ADDRESS(2,COLUMN())),OFFSET($BN$2,0,0,ROW()-1,60),ROW()-1,FALSE))</f>
        <v>7.1819499259999997</v>
      </c>
      <c r="O448">
        <f ca="1">IF(AND(ISNUMBER($O$946),$B$511=1),$O$946,HLOOKUP(INDIRECT(ADDRESS(2,COLUMN())),OFFSET($BN$2,0,0,ROW()-1,60),ROW()-1,FALSE))</f>
        <v>6.943586303</v>
      </c>
      <c r="P448">
        <f ca="1">IF(AND(ISNUMBER($P$946),$B$511=1),$P$946,HLOOKUP(INDIRECT(ADDRESS(2,COLUMN())),OFFSET($BN$2,0,0,ROW()-1,60),ROW()-1,FALSE))</f>
        <v>8.0271287989999998</v>
      </c>
      <c r="Q448">
        <f ca="1">IF(AND(ISNUMBER($Q$946),$B$511=1),$Q$946,HLOOKUP(INDIRECT(ADDRESS(2,COLUMN())),OFFSET($BN$2,0,0,ROW()-1,60),ROW()-1,FALSE))</f>
        <v>6.8009329530000002</v>
      </c>
      <c r="R448">
        <f ca="1">IF(AND(ISNUMBER($R$946),$B$511=1),$R$946,HLOOKUP(INDIRECT(ADDRESS(2,COLUMN())),OFFSET($BN$2,0,0,ROW()-1,60),ROW()-1,FALSE))</f>
        <v>5.8445318249999998</v>
      </c>
      <c r="S448">
        <f ca="1">IF(AND(ISNUMBER($S$946),$B$511=1),$S$946,HLOOKUP(INDIRECT(ADDRESS(2,COLUMN())),OFFSET($BN$2,0,0,ROW()-1,60),ROW()-1,FALSE))</f>
        <v>5.9078864920000003</v>
      </c>
      <c r="T448">
        <f ca="1">IF(AND(ISNUMBER($T$946),$B$511=1),$T$946,HLOOKUP(INDIRECT(ADDRESS(2,COLUMN())),OFFSET($BN$2,0,0,ROW()-1,60),ROW()-1,FALSE))</f>
        <v>4.556865438</v>
      </c>
      <c r="U448">
        <f ca="1">IF(AND(ISNUMBER($U$946),$B$511=1),$U$946,HLOOKUP(INDIRECT(ADDRESS(2,COLUMN())),OFFSET($BN$2,0,0,ROW()-1,60),ROW()-1,FALSE))</f>
        <v>6.8249164870000003</v>
      </c>
      <c r="V448">
        <f ca="1">IF(AND(ISNUMBER($V$946),$B$511=1),$V$946,HLOOKUP(INDIRECT(ADDRESS(2,COLUMN())),OFFSET($BN$2,0,0,ROW()-1,60),ROW()-1,FALSE))</f>
        <v>8.7364931430000006</v>
      </c>
      <c r="W448">
        <f ca="1">IF(AND(ISNUMBER($W$946),$B$511=1),$W$946,HLOOKUP(INDIRECT(ADDRESS(2,COLUMN())),OFFSET($BN$2,0,0,ROW()-1,60),ROW()-1,FALSE))</f>
        <v>7.7547049960000001</v>
      </c>
      <c r="X448">
        <f ca="1">IF(AND(ISNUMBER($X$946),$B$511=1),$X$946,HLOOKUP(INDIRECT(ADDRESS(2,COLUMN())),OFFSET($BN$2,0,0,ROW()-1,60),ROW()-1,FALSE))</f>
        <v>8.0241810890000007</v>
      </c>
      <c r="Y448">
        <f ca="1">IF(AND(ISNUMBER($Y$946),$B$511=1),$Y$946,HLOOKUP(INDIRECT(ADDRESS(2,COLUMN())),OFFSET($BN$2,0,0,ROW()-1,60),ROW()-1,FALSE))</f>
        <v>7.1067206990000003</v>
      </c>
      <c r="Z448">
        <f ca="1">IF(AND(ISNUMBER($Z$946),$B$511=1),$Z$946,HLOOKUP(INDIRECT(ADDRESS(2,COLUMN())),OFFSET($BN$2,0,0,ROW()-1,60),ROW()-1,FALSE))</f>
        <v>6.5855676719999998</v>
      </c>
      <c r="AA448">
        <f ca="1">IF(AND(ISNUMBER($AA$946),$B$511=1),$AA$946,HLOOKUP(INDIRECT(ADDRESS(2,COLUMN())),OFFSET($BN$2,0,0,ROW()-1,60),ROW()-1,FALSE))</f>
        <v>6.0206231219999999</v>
      </c>
      <c r="AB448">
        <f ca="1">IF(AND(ISNUMBER($AB$946),$B$511=1),$AB$946,HLOOKUP(INDIRECT(ADDRESS(2,COLUMN())),OFFSET($BN$2,0,0,ROW()-1,60),ROW()-1,FALSE))</f>
        <v>5.2504809630000002</v>
      </c>
      <c r="AC448">
        <f ca="1">IF(AND(ISNUMBER($AC$946),$B$511=1),$AC$946,HLOOKUP(INDIRECT(ADDRESS(2,COLUMN())),OFFSET($BN$2,0,0,ROW()-1,60),ROW()-1,FALSE))</f>
        <v>4.6669714830000002</v>
      </c>
      <c r="AD448">
        <f ca="1">IF(AND(ISNUMBER($AD$946),$B$511=1),$AD$946,HLOOKUP(INDIRECT(ADDRESS(2,COLUMN())),OFFSET($BN$2,0,0,ROW()-1,60),ROW()-1,FALSE))</f>
        <v>4.8874695819999996</v>
      </c>
      <c r="AE448">
        <f ca="1">IF(AND(ISNUMBER($AE$946),$B$511=1),$AE$946,HLOOKUP(INDIRECT(ADDRESS(2,COLUMN())),OFFSET($BN$2,0,0,ROW()-1,60),ROW()-1,FALSE))</f>
        <v>5.6457776639999997</v>
      </c>
      <c r="AF448">
        <f ca="1">IF(AND(ISNUMBER($AF$946),$B$511=1),$AF$946,HLOOKUP(INDIRECT(ADDRESS(2,COLUMN())),OFFSET($BN$2,0,0,ROW()-1,60),ROW()-1,FALSE))</f>
        <v>5.0082444309999996</v>
      </c>
      <c r="AG448">
        <f ca="1">IF(AND(ISNUMBER($AG$946),$B$511=1),$AG$946,HLOOKUP(INDIRECT(ADDRESS(2,COLUMN())),OFFSET($BN$2,0,0,ROW()-1,60),ROW()-1,FALSE))</f>
        <v>4.3201642610000004</v>
      </c>
      <c r="AH448">
        <f ca="1">IF(AND(ISNUMBER($AH$946),$B$511=1),$AH$946,HLOOKUP(INDIRECT(ADDRESS(2,COLUMN())),OFFSET($BN$2,0,0,ROW()-1,60),ROW()-1,FALSE))</f>
        <v>5.3455500440000003</v>
      </c>
      <c r="AI448">
        <f ca="1">IF(AND(ISNUMBER($AI$946),$B$511=1),$AI$946,HLOOKUP(INDIRECT(ADDRESS(2,COLUMN())),OFFSET($BN$2,0,0,ROW()-1,60),ROW()-1,FALSE))</f>
        <v>3.3293218269999998</v>
      </c>
      <c r="AJ448">
        <f ca="1">IF(AND(ISNUMBER($AJ$946),$B$511=1),$AJ$946,HLOOKUP(INDIRECT(ADDRESS(2,COLUMN())),OFFSET($BN$2,0,0,ROW()-1,60),ROW()-1,FALSE))</f>
        <v>3.1530664439999998</v>
      </c>
      <c r="AK448">
        <f ca="1">IF(AND(ISNUMBER($AK$946),$B$511=1),$AK$946,HLOOKUP(INDIRECT(ADDRESS(2,COLUMN())),OFFSET($BN$2,0,0,ROW()-1,60),ROW()-1,FALSE))</f>
        <v>4.4149441180000002</v>
      </c>
      <c r="AL448">
        <f ca="1">IF(AND(ISNUMBER($AL$946),$B$511=1),$AL$946,HLOOKUP(INDIRECT(ADDRESS(2,COLUMN())),OFFSET($BN$2,0,0,ROW()-1,60),ROW()-1,FALSE))</f>
        <v>5.5401290039999997</v>
      </c>
      <c r="AM448">
        <f ca="1">IF(AND(ISNUMBER($AM$946),$B$511=1),$AM$946,HLOOKUP(INDIRECT(ADDRESS(2,COLUMN())),OFFSET($BN$2,0,0,ROW()-1,60),ROW()-1,FALSE))</f>
        <v>5.7911454640000004</v>
      </c>
      <c r="AN448">
        <f ca="1">IF(AND(ISNUMBER($AN$946),$B$511=1),$AN$946,HLOOKUP(INDIRECT(ADDRESS(2,COLUMN())),OFFSET($BN$2,0,0,ROW()-1,60),ROW()-1,FALSE))</f>
        <v>4.8324117099999997</v>
      </c>
      <c r="AO448">
        <f ca="1">IF(AND(ISNUMBER($AO$946),$B$511=1),$AO$946,HLOOKUP(INDIRECT(ADDRESS(2,COLUMN())),OFFSET($BN$2,0,0,ROW()-1,60),ROW()-1,FALSE))</f>
        <v>3.3162415709999999</v>
      </c>
      <c r="AP448">
        <f ca="1">IF(AND(ISNUMBER($AP$946),$B$511=1),$AP$946,HLOOKUP(INDIRECT(ADDRESS(2,COLUMN())),OFFSET($BN$2,0,0,ROW()-1,60),ROW()-1,FALSE))</f>
        <v>3.3355251950000002</v>
      </c>
      <c r="AQ448">
        <f ca="1">IF(AND(ISNUMBER($AQ$946),$B$511=1),$AQ$946,HLOOKUP(INDIRECT(ADDRESS(2,COLUMN())),OFFSET($BN$2,0,0,ROW()-1,60),ROW()-1,FALSE))</f>
        <v>3.3663965239999998</v>
      </c>
      <c r="AR448">
        <f ca="1">IF(AND(ISNUMBER($AR$946),$B$511=1),$AR$946,HLOOKUP(INDIRECT(ADDRESS(2,COLUMN())),OFFSET($BN$2,0,0,ROW()-1,60),ROW()-1,FALSE))</f>
        <v>2.4316670459999998</v>
      </c>
      <c r="AS448">
        <f ca="1">IF(AND(ISNUMBER($AS$946),$B$511=1),$AS$946,HLOOKUP(INDIRECT(ADDRESS(2,COLUMN())),OFFSET($BN$2,0,0,ROW()-1,60),ROW()-1,FALSE))</f>
        <v>1.200979276</v>
      </c>
      <c r="AT448">
        <f ca="1">IF(AND(ISNUMBER($AT$946),$B$511=1),$AT$946,HLOOKUP(INDIRECT(ADDRESS(2,COLUMN())),OFFSET($BN$2,0,0,ROW()-1,60),ROW()-1,FALSE))</f>
        <v>0.70320944699999999</v>
      </c>
      <c r="AU448">
        <f ca="1">IF(AND(ISNUMBER($AU$946),$B$511=1),$AU$946,HLOOKUP(INDIRECT(ADDRESS(2,COLUMN())),OFFSET($BN$2,0,0,ROW()-1,60),ROW()-1,FALSE))</f>
        <v>0.64983532300000002</v>
      </c>
      <c r="AV448">
        <f ca="1">IF(AND(ISNUMBER($AV$946),$B$511=1),$AV$946,HLOOKUP(INDIRECT(ADDRESS(2,COLUMN())),OFFSET($BN$2,0,0,ROW()-1,60),ROW()-1,FALSE))</f>
        <v>1.4425035850000001</v>
      </c>
      <c r="AW448">
        <f ca="1">IF(AND(ISNUMBER($AW$946),$B$511=1),$AW$946,HLOOKUP(INDIRECT(ADDRESS(2,COLUMN())),OFFSET($BN$2,0,0,ROW()-1,60),ROW()-1,FALSE))</f>
        <v>1.8962778819999999</v>
      </c>
      <c r="AX448">
        <f ca="1">IF(AND(ISNUMBER($AX$946),$B$511=1),$AX$946,HLOOKUP(INDIRECT(ADDRESS(2,COLUMN())),OFFSET($BN$2,0,0,ROW()-1,60),ROW()-1,FALSE))</f>
        <v>2.975029025</v>
      </c>
      <c r="AY448">
        <f ca="1">IF(AND(ISNUMBER($AY$946),$B$511=1),$AY$946,HLOOKUP(INDIRECT(ADDRESS(2,COLUMN())),OFFSET($BN$2,0,0,ROW()-1,60),ROW()-1,FALSE))</f>
        <v>3.6070224350000002</v>
      </c>
      <c r="AZ448">
        <f ca="1">IF(AND(ISNUMBER($AZ$946),$B$511=1),$AZ$946,HLOOKUP(INDIRECT(ADDRESS(2,COLUMN())),OFFSET($BN$2,0,0,ROW()-1,60),ROW()-1,FALSE))</f>
        <v>3.7434715239999998</v>
      </c>
      <c r="BA448">
        <f ca="1">IF(AND(ISNUMBER($BA$946),$B$511=1),$BA$946,HLOOKUP(INDIRECT(ADDRESS(2,COLUMN())),OFFSET($BN$2,0,0,ROW()-1,60),ROW()-1,FALSE))</f>
        <v>3.1555496490000001</v>
      </c>
      <c r="BB448">
        <f ca="1">IF(AND(ISNUMBER($BB$946),$B$511=1),$BB$946,HLOOKUP(INDIRECT(ADDRESS(2,COLUMN())),OFFSET($BN$2,0,0,ROW()-1,60),ROW()-1,FALSE))</f>
        <v>3.209970652</v>
      </c>
      <c r="BC448">
        <f ca="1">IF(AND(ISNUMBER($BC$946),$B$511=1),$BC$946,HLOOKUP(INDIRECT(ADDRESS(2,COLUMN())),OFFSET($BN$2,0,0,ROW()-1,60),ROW()-1,FALSE))</f>
        <v>3.899290004</v>
      </c>
      <c r="BD448">
        <f ca="1">IF(AND(ISNUMBER($BD$946),$B$511=1),$BD$946,HLOOKUP(INDIRECT(ADDRESS(2,COLUMN())),OFFSET($BN$2,0,0,ROW()-1,60),ROW()-1,FALSE))</f>
        <v>3.5956046330000002</v>
      </c>
      <c r="BE448">
        <f ca="1">IF(AND(ISNUMBER($BE$946),$B$511=1),$BE$946,HLOOKUP(INDIRECT(ADDRESS(2,COLUMN())),OFFSET($BN$2,0,0,ROW()-1,60),ROW()-1,FALSE))</f>
        <v>3.3083760409999998</v>
      </c>
      <c r="BF448">
        <f ca="1">IF(AND(ISNUMBER($BF$946),$B$511=1),$BF$946,HLOOKUP(INDIRECT(ADDRESS(2,COLUMN())),OFFSET($BN$2,0,0,ROW()-1,60),ROW()-1,FALSE))</f>
        <v>4.0018159850000004</v>
      </c>
      <c r="BG448">
        <f ca="1">IF(AND(ISNUMBER($BG$946),$B$511=1),$BG$946,HLOOKUP(INDIRECT(ADDRESS(2,COLUMN())),OFFSET($BN$2,0,0,ROW()-1,60),ROW()-1,FALSE))</f>
        <v>2.7793890239999999</v>
      </c>
      <c r="BH448">
        <f ca="1">IF(AND(ISNUMBER($BH$946),$B$511=1),$BH$946,HLOOKUP(INDIRECT(ADDRESS(2,COLUMN())),OFFSET($BN$2,0,0,ROW()-1,60),ROW()-1,FALSE))</f>
        <v>2.3259952739999998</v>
      </c>
      <c r="BI448">
        <f ca="1">IF(AND(ISNUMBER($BI$946),$B$511=1),$BI$946,HLOOKUP(INDIRECT(ADDRESS(2,COLUMN())),OFFSET($BN$2,0,0,ROW()-1,60),ROW()-1,FALSE))</f>
        <v>1.873159467</v>
      </c>
      <c r="BJ448">
        <f ca="1">IF(AND(ISNUMBER($BJ$946),$B$511=1),$BJ$946,HLOOKUP(INDIRECT(ADDRESS(2,COLUMN())),OFFSET($BN$2,0,0,ROW()-1,60),ROW()-1,FALSE))</f>
        <v>1.8122666709999999</v>
      </c>
      <c r="BK448">
        <f ca="1">IF(AND(ISNUMBER($BK$946),$B$511=1),$BK$946,HLOOKUP(INDIRECT(ADDRESS(2,COLUMN())),OFFSET($BN$2,0,0,ROW()-1,60),ROW()-1,FALSE))</f>
        <v>2.2273867850000002</v>
      </c>
      <c r="BL448">
        <f ca="1">IF(AND(ISNUMBER($BL$946),$B$511=1),$BL$946,HLOOKUP(INDIRECT(ADDRESS(2,COLUMN())),OFFSET($BN$2,0,0,ROW()-1,60),ROW()-1,FALSE))</f>
        <v>1.6821377179999999</v>
      </c>
      <c r="BM448">
        <f ca="1">IF(AND(ISNUMBER($BM$946),$B$511=1),$BM$946,HLOOKUP(INDIRECT(ADDRESS(2,COLUMN())),OFFSET($BN$2,0,0,ROW()-1,60),ROW()-1,FALSE))</f>
        <v>1.581805868</v>
      </c>
      <c r="BN448">
        <f>2.493304532</f>
        <v>2.4933045319999998</v>
      </c>
      <c r="BO448">
        <f>2.478117377</f>
        <v>2.4781173769999998</v>
      </c>
      <c r="BP448">
        <f>3.083412015</f>
        <v>3.083412015</v>
      </c>
      <c r="BQ448">
        <f>3.932822198</f>
        <v>3.9328221980000002</v>
      </c>
      <c r="BR448">
        <f>5.017461719</f>
        <v>5.0174617189999999</v>
      </c>
      <c r="BS448">
        <f>6.763349334</f>
        <v>6.7633493339999999</v>
      </c>
      <c r="BT448">
        <f>6.143840857</f>
        <v>6.1438408569999998</v>
      </c>
      <c r="BU448">
        <f>6.693758424</f>
        <v>6.6937584240000003</v>
      </c>
      <c r="BV448">
        <f>7.181949926</f>
        <v>7.1819499259999997</v>
      </c>
      <c r="BW448">
        <f>6.943586303</f>
        <v>6.943586303</v>
      </c>
      <c r="BX448">
        <f>8.027128799</f>
        <v>8.0271287989999998</v>
      </c>
      <c r="BY448">
        <f>6.800932953</f>
        <v>6.8009329530000002</v>
      </c>
      <c r="BZ448">
        <f>5.844531825</f>
        <v>5.8445318249999998</v>
      </c>
      <c r="CA448">
        <f>5.907886492</f>
        <v>5.9078864920000003</v>
      </c>
      <c r="CB448">
        <f>4.556865438</f>
        <v>4.556865438</v>
      </c>
      <c r="CC448">
        <f>6.824916487</f>
        <v>6.8249164870000003</v>
      </c>
      <c r="CD448">
        <f>8.736493143</f>
        <v>8.7364931430000006</v>
      </c>
      <c r="CE448">
        <f>7.754704996</f>
        <v>7.7547049960000001</v>
      </c>
      <c r="CF448">
        <f>8.024181089</f>
        <v>8.0241810890000007</v>
      </c>
      <c r="CG448">
        <f>7.106720699</f>
        <v>7.1067206990000003</v>
      </c>
      <c r="CH448">
        <f>6.585567672</f>
        <v>6.5855676719999998</v>
      </c>
      <c r="CI448">
        <f>6.020623122</f>
        <v>6.0206231219999999</v>
      </c>
      <c r="CJ448">
        <f>5.250480963</f>
        <v>5.2504809630000002</v>
      </c>
      <c r="CK448">
        <f>4.666971483</f>
        <v>4.6669714830000002</v>
      </c>
      <c r="CL448">
        <f>4.887469582</f>
        <v>4.8874695819999996</v>
      </c>
      <c r="CM448">
        <f>5.645777664</f>
        <v>5.6457776639999997</v>
      </c>
      <c r="CN448">
        <f>5.008244431</f>
        <v>5.0082444309999996</v>
      </c>
      <c r="CO448">
        <f>4.320164261</f>
        <v>4.3201642610000004</v>
      </c>
      <c r="CP448">
        <f>5.345550044</f>
        <v>5.3455500440000003</v>
      </c>
      <c r="CQ448">
        <f>3.329321827</f>
        <v>3.3293218269999998</v>
      </c>
      <c r="CR448">
        <f>3.153066444</f>
        <v>3.1530664439999998</v>
      </c>
      <c r="CS448">
        <f>4.414944118</f>
        <v>4.4149441180000002</v>
      </c>
      <c r="CT448">
        <f>5.540129004</f>
        <v>5.5401290039999997</v>
      </c>
      <c r="CU448">
        <f>5.791145464</f>
        <v>5.7911454640000004</v>
      </c>
      <c r="CV448">
        <f>4.83241171</f>
        <v>4.8324117099999997</v>
      </c>
      <c r="CW448">
        <f>3.316241571</f>
        <v>3.3162415709999999</v>
      </c>
      <c r="CX448">
        <f>3.335525195</f>
        <v>3.3355251950000002</v>
      </c>
      <c r="CY448">
        <f>3.366396524</f>
        <v>3.3663965239999998</v>
      </c>
      <c r="CZ448">
        <f>2.431667046</f>
        <v>2.4316670459999998</v>
      </c>
      <c r="DA448">
        <f>1.200979276</f>
        <v>1.200979276</v>
      </c>
      <c r="DB448">
        <f>0.703209447</f>
        <v>0.70320944699999999</v>
      </c>
      <c r="DC448">
        <f>0.649835323</f>
        <v>0.64983532300000002</v>
      </c>
      <c r="DD448">
        <f>1.442503585</f>
        <v>1.4425035850000001</v>
      </c>
      <c r="DE448">
        <f>1.896277882</f>
        <v>1.8962778819999999</v>
      </c>
      <c r="DF448">
        <f>2.975029025</f>
        <v>2.975029025</v>
      </c>
      <c r="DG448">
        <f>3.607022435</f>
        <v>3.6070224350000002</v>
      </c>
      <c r="DH448">
        <f>3.743471524</f>
        <v>3.7434715239999998</v>
      </c>
      <c r="DI448">
        <f>3.155549649</f>
        <v>3.1555496490000001</v>
      </c>
      <c r="DJ448">
        <f>3.209970652</f>
        <v>3.209970652</v>
      </c>
      <c r="DK448">
        <f>3.899290004</f>
        <v>3.899290004</v>
      </c>
      <c r="DL448">
        <f>3.595604633</f>
        <v>3.5956046330000002</v>
      </c>
      <c r="DM448">
        <f>3.308376041</f>
        <v>3.3083760409999998</v>
      </c>
      <c r="DN448">
        <f>4.001815985</f>
        <v>4.0018159850000004</v>
      </c>
      <c r="DO448">
        <f>2.779389024</f>
        <v>2.7793890239999999</v>
      </c>
      <c r="DP448">
        <f>2.325995274</f>
        <v>2.3259952739999998</v>
      </c>
      <c r="DQ448">
        <f>1.873159467</f>
        <v>1.873159467</v>
      </c>
      <c r="DR448">
        <f>1.812266671</f>
        <v>1.8122666709999999</v>
      </c>
      <c r="DS448">
        <f>2.227386785</f>
        <v>2.2273867850000002</v>
      </c>
      <c r="DT448">
        <f>1.682137718</f>
        <v>1.6821377179999999</v>
      </c>
      <c r="DU448">
        <f>1.581805868</f>
        <v>1.581805868</v>
      </c>
    </row>
    <row r="449" spans="1:125" x14ac:dyDescent="0.25">
      <c r="A449" t="str">
        <f>"    Tesla Inc"</f>
        <v xml:space="preserve">    Tesla Inc</v>
      </c>
      <c r="B449" t="str">
        <f>"TSLA US Equity"</f>
        <v>TSLA US Equity</v>
      </c>
      <c r="C449" t="str">
        <f t="shared" si="30"/>
        <v>PR005</v>
      </c>
      <c r="D449" t="str">
        <f t="shared" si="31"/>
        <v>PX_LAST</v>
      </c>
      <c r="E449" t="str">
        <f t="shared" si="32"/>
        <v>Dynamic</v>
      </c>
      <c r="F449">
        <f ca="1">IF(AND(ISNUMBER($F$947),$B$511=1),$F$947,HLOOKUP(INDIRECT(ADDRESS(2,COLUMN())),OFFSET($BN$2,0,0,ROW()-1,60),ROW()-1,FALSE))</f>
        <v>314.74</v>
      </c>
      <c r="G449">
        <f ca="1">IF(AND(ISNUMBER($G$947),$B$511=1),$G$947,HLOOKUP(INDIRECT(ADDRESS(2,COLUMN())),OFFSET($BN$2,0,0,ROW()-1,60),ROW()-1,FALSE))</f>
        <v>332.8</v>
      </c>
      <c r="H449">
        <f ca="1">IF(AND(ISNUMBER($H$947),$B$511=1),$H$947,HLOOKUP(INDIRECT(ADDRESS(2,COLUMN())),OFFSET($BN$2,0,0,ROW()-1,60),ROW()-1,FALSE))</f>
        <v>264.77</v>
      </c>
      <c r="I449">
        <f ca="1">IF(AND(ISNUMBER($I$947),$B$511=1),$I$947,HLOOKUP(INDIRECT(ADDRESS(2,COLUMN())),OFFSET($BN$2,0,0,ROW()-1,60),ROW()-1,FALSE))</f>
        <v>342.95</v>
      </c>
      <c r="J449">
        <f ca="1">IF(AND(ISNUMBER($J$947),$B$511=1),$J$947,HLOOKUP(INDIRECT(ADDRESS(2,COLUMN())),OFFSET($BN$2,0,0,ROW()-1,60),ROW()-1,FALSE))</f>
        <v>266.13</v>
      </c>
      <c r="K449">
        <f ca="1">IF(AND(ISNUMBER($K$947),$B$511=1),$K$947,HLOOKUP(INDIRECT(ADDRESS(2,COLUMN())),OFFSET($BN$2,0,0,ROW()-1,60),ROW()-1,FALSE))</f>
        <v>311.35000000000002</v>
      </c>
      <c r="L449">
        <f ca="1">IF(AND(ISNUMBER($L$947),$B$511=1),$L$947,HLOOKUP(INDIRECT(ADDRESS(2,COLUMN())),OFFSET($BN$2,0,0,ROW()-1,60),ROW()-1,FALSE))</f>
        <v>341.1</v>
      </c>
      <c r="M449">
        <f ca="1">IF(AND(ISNUMBER($M$947),$B$511=1),$M$947,HLOOKUP(INDIRECT(ADDRESS(2,COLUMN())),OFFSET($BN$2,0,0,ROW()-1,60),ROW()-1,FALSE))</f>
        <v>361.61</v>
      </c>
      <c r="N449">
        <f ca="1">IF(AND(ISNUMBER($N$947),$B$511=1),$N$947,HLOOKUP(INDIRECT(ADDRESS(2,COLUMN())),OFFSET($BN$2,0,0,ROW()-1,60),ROW()-1,FALSE))</f>
        <v>278.3</v>
      </c>
      <c r="O449">
        <f ca="1">IF(AND(ISNUMBER($O$947),$B$511=1),$O$947,HLOOKUP(INDIRECT(ADDRESS(2,COLUMN())),OFFSET($BN$2,0,0,ROW()-1,60),ROW()-1,FALSE))</f>
        <v>213.69</v>
      </c>
      <c r="P449">
        <f ca="1">IF(AND(ISNUMBER($P$947),$B$511=1),$P$947,HLOOKUP(INDIRECT(ADDRESS(2,COLUMN())),OFFSET($BN$2,0,0,ROW()-1,60),ROW()-1,FALSE))</f>
        <v>204.03</v>
      </c>
      <c r="Q449">
        <f ca="1">IF(AND(ISNUMBER($Q$947),$B$511=1),$Q$947,HLOOKUP(INDIRECT(ADDRESS(2,COLUMN())),OFFSET($BN$2,0,0,ROW()-1,60),ROW()-1,FALSE))</f>
        <v>212.28</v>
      </c>
      <c r="R449">
        <f ca="1">IF(AND(ISNUMBER($R$947),$B$511=1),$R$947,HLOOKUP(INDIRECT(ADDRESS(2,COLUMN())),OFFSET($BN$2,0,0,ROW()-1,60),ROW()-1,FALSE))</f>
        <v>229.77</v>
      </c>
      <c r="S449">
        <f ca="1">IF(AND(ISNUMBER($S$947),$B$511=1),$S$947,HLOOKUP(INDIRECT(ADDRESS(2,COLUMN())),OFFSET($BN$2,0,0,ROW()-1,60),ROW()-1,FALSE))</f>
        <v>240.01</v>
      </c>
      <c r="T449">
        <f ca="1">IF(AND(ISNUMBER($T$947),$B$511=1),$T$947,HLOOKUP(INDIRECT(ADDRESS(2,COLUMN())),OFFSET($BN$2,0,0,ROW()-1,60),ROW()-1,FALSE))</f>
        <v>248.4</v>
      </c>
      <c r="U449">
        <f ca="1">IF(AND(ISNUMBER($U$947),$B$511=1),$U$947,HLOOKUP(INDIRECT(ADDRESS(2,COLUMN())),OFFSET($BN$2,0,0,ROW()-1,60),ROW()-1,FALSE))</f>
        <v>268.26</v>
      </c>
      <c r="V449">
        <f ca="1">IF(AND(ISNUMBER($V$947),$B$511=1),$V$947,HLOOKUP(INDIRECT(ADDRESS(2,COLUMN())),OFFSET($BN$2,0,0,ROW()-1,60),ROW()-1,FALSE))</f>
        <v>188.77</v>
      </c>
      <c r="W449">
        <f ca="1">IF(AND(ISNUMBER($W$947),$B$511=1),$W$947,HLOOKUP(INDIRECT(ADDRESS(2,COLUMN())),OFFSET($BN$2,0,0,ROW()-1,60),ROW()-1,FALSE))</f>
        <v>222.41</v>
      </c>
      <c r="X449">
        <f ca="1">IF(AND(ISNUMBER($X$947),$B$511=1),$X$947,HLOOKUP(INDIRECT(ADDRESS(2,COLUMN())),OFFSET($BN$2,0,0,ROW()-1,60),ROW()-1,FALSE))</f>
        <v>242.68</v>
      </c>
      <c r="Y449">
        <f ca="1">IF(AND(ISNUMBER($Y$947),$B$511=1),$Y$947,HLOOKUP(INDIRECT(ADDRESS(2,COLUMN())),OFFSET($BN$2,0,0,ROW()-1,60),ROW()-1,FALSE))</f>
        <v>240.06</v>
      </c>
      <c r="Z449">
        <f ca="1">IF(AND(ISNUMBER($Z$947),$B$511=1),$Z$947,HLOOKUP(INDIRECT(ADDRESS(2,COLUMN())),OFFSET($BN$2,0,0,ROW()-1,60),ROW()-1,FALSE))</f>
        <v>208.45</v>
      </c>
      <c r="AA449">
        <f ca="1">IF(AND(ISNUMBER($AA$947),$B$511=1),$AA$947,HLOOKUP(INDIRECT(ADDRESS(2,COLUMN())),OFFSET($BN$2,0,0,ROW()-1,60),ROW()-1,FALSE))</f>
        <v>150.429</v>
      </c>
      <c r="AB449">
        <f ca="1">IF(AND(ISNUMBER($AB$947),$B$511=1),$AB$947,HLOOKUP(INDIRECT(ADDRESS(2,COLUMN())),OFFSET($BN$2,0,0,ROW()-1,60),ROW()-1,FALSE))</f>
        <v>193.37</v>
      </c>
      <c r="AC449">
        <f ca="1">IF(AND(ISNUMBER($AC$947),$B$511=1),$AC$947,HLOOKUP(INDIRECT(ADDRESS(2,COLUMN())),OFFSET($BN$2,0,0,ROW()-1,60),ROW()-1,FALSE))</f>
        <v>107.36</v>
      </c>
      <c r="AD449">
        <f ca="1">IF(AND(ISNUMBER($AD$947),$B$511=1),$AD$947,HLOOKUP(INDIRECT(ADDRESS(2,COLUMN())),OFFSET($BN$2,0,0,ROW()-1,60),ROW()-1,FALSE))</f>
        <v>37.89</v>
      </c>
      <c r="AE449">
        <f ca="1">IF(AND(ISNUMBER($AE$947),$B$511=1),$AE$947,HLOOKUP(INDIRECT(ADDRESS(2,COLUMN())),OFFSET($BN$2,0,0,ROW()-1,60),ROW()-1,FALSE))</f>
        <v>33.869999999999997</v>
      </c>
      <c r="AF449">
        <f ca="1">IF(AND(ISNUMBER($AF$947),$B$511=1),$AF$947,HLOOKUP(INDIRECT(ADDRESS(2,COLUMN())),OFFSET($BN$2,0,0,ROW()-1,60),ROW()-1,FALSE))</f>
        <v>29.28</v>
      </c>
      <c r="AG449">
        <f ca="1">IF(AND(ISNUMBER($AG$947),$B$511=1),$AG$947,HLOOKUP(INDIRECT(ADDRESS(2,COLUMN())),OFFSET($BN$2,0,0,ROW()-1,60),ROW()-1,FALSE))</f>
        <v>31.29</v>
      </c>
      <c r="AH449">
        <f ca="1">IF(AND(ISNUMBER($AH$947),$B$511=1),$AH$947,HLOOKUP(INDIRECT(ADDRESS(2,COLUMN())),OFFSET($BN$2,0,0,ROW()-1,60),ROW()-1,FALSE))</f>
        <v>37.24</v>
      </c>
      <c r="AI449">
        <f ca="1">IF(AND(ISNUMBER($AI$947),$B$511=1),$AI$947,HLOOKUP(INDIRECT(ADDRESS(2,COLUMN())),OFFSET($BN$2,0,0,ROW()-1,60),ROW()-1,FALSE))</f>
        <v>28.56</v>
      </c>
      <c r="AJ449">
        <f ca="1">IF(AND(ISNUMBER($AJ$947),$B$511=1),$AJ$947,HLOOKUP(INDIRECT(ADDRESS(2,COLUMN())),OFFSET($BN$2,0,0,ROW()-1,60),ROW()-1,FALSE))</f>
        <v>24.39</v>
      </c>
      <c r="AK449">
        <f ca="1">IF(AND(ISNUMBER($AK$947),$B$511=1),$AK$947,HLOOKUP(INDIRECT(ADDRESS(2,COLUMN())),OFFSET($BN$2,0,0,ROW()-1,60),ROW()-1,FALSE))</f>
        <v>29.13</v>
      </c>
      <c r="AL449">
        <f ca="1">IF(AND(ISNUMBER($AL$947),$B$511=1),$AL$947,HLOOKUP(INDIRECT(ADDRESS(2,COLUMN())),OFFSET($BN$2,0,0,ROW()-1,60),ROW()-1,FALSE))</f>
        <v>27.75</v>
      </c>
      <c r="AM449">
        <f ca="1">IF(AND(ISNUMBER($AM$947),$B$511=1),$AM$947,HLOOKUP(INDIRECT(ADDRESS(2,COLUMN())),OFFSET($BN$2,0,0,ROW()-1,60),ROW()-1,FALSE))</f>
        <v>26.63</v>
      </c>
      <c r="AN449">
        <f ca="1">IF(AND(ISNUMBER($AN$947),$B$511=1),$AN$947,HLOOKUP(INDIRECT(ADDRESS(2,COLUMN())),OFFSET($BN$2,0,0,ROW()-1,60),ROW()-1,FALSE))</f>
        <v>20.405000000000001</v>
      </c>
      <c r="AO449">
        <f ca="1">IF(AND(ISNUMBER($AO$947),$B$511=1),$AO$947,HLOOKUP(INDIRECT(ADDRESS(2,COLUMN())),OFFSET($BN$2,0,0,ROW()-1,60),ROW()-1,FALSE))</f>
        <v>23.83</v>
      </c>
      <c r="AP449" t="str">
        <f ca="1">IF(AND(ISNUMBER($AP$947),$B$511=1),$AP$947,HLOOKUP(INDIRECT(ADDRESS(2,COLUMN())),OFFSET($BN$2,0,0,ROW()-1,60),ROW()-1,FALSE))</f>
        <v/>
      </c>
      <c r="AQ449" t="str">
        <f ca="1">IF(AND(ISNUMBER($AQ$947),$B$511=1),$AQ$947,HLOOKUP(INDIRECT(ADDRESS(2,COLUMN())),OFFSET($BN$2,0,0,ROW()-1,60),ROW()-1,FALSE))</f>
        <v/>
      </c>
      <c r="AR449" t="str">
        <f ca="1">IF(AND(ISNUMBER($AR$947),$B$511=1),$AR$947,HLOOKUP(INDIRECT(ADDRESS(2,COLUMN())),OFFSET($BN$2,0,0,ROW()-1,60),ROW()-1,FALSE))</f>
        <v/>
      </c>
      <c r="AS449" t="str">
        <f ca="1">IF(AND(ISNUMBER($AS$947),$B$511=1),$AS$947,HLOOKUP(INDIRECT(ADDRESS(2,COLUMN())),OFFSET($BN$2,0,0,ROW()-1,60),ROW()-1,FALSE))</f>
        <v/>
      </c>
      <c r="AT449" t="str">
        <f ca="1">IF(AND(ISNUMBER($AT$947),$B$511=1),$AT$947,HLOOKUP(INDIRECT(ADDRESS(2,COLUMN())),OFFSET($BN$2,0,0,ROW()-1,60),ROW()-1,FALSE))</f>
        <v/>
      </c>
      <c r="AU449" t="str">
        <f ca="1">IF(AND(ISNUMBER($AU$947),$B$511=1),$AU$947,HLOOKUP(INDIRECT(ADDRESS(2,COLUMN())),OFFSET($BN$2,0,0,ROW()-1,60),ROW()-1,FALSE))</f>
        <v/>
      </c>
      <c r="AV449" t="str">
        <f ca="1">IF(AND(ISNUMBER($AV$947),$B$511=1),$AV$947,HLOOKUP(INDIRECT(ADDRESS(2,COLUMN())),OFFSET($BN$2,0,0,ROW()-1,60),ROW()-1,FALSE))</f>
        <v/>
      </c>
      <c r="AW449" t="str">
        <f ca="1">IF(AND(ISNUMBER($AW$947),$B$511=1),$AW$947,HLOOKUP(INDIRECT(ADDRESS(2,COLUMN())),OFFSET($BN$2,0,0,ROW()-1,60),ROW()-1,FALSE))</f>
        <v/>
      </c>
      <c r="AX449" t="str">
        <f ca="1">IF(AND(ISNUMBER($AX$947),$B$511=1),$AX$947,HLOOKUP(INDIRECT(ADDRESS(2,COLUMN())),OFFSET($BN$2,0,0,ROW()-1,60),ROW()-1,FALSE))</f>
        <v/>
      </c>
      <c r="AY449" t="str">
        <f ca="1">IF(AND(ISNUMBER($AY$947),$B$511=1),$AY$947,HLOOKUP(INDIRECT(ADDRESS(2,COLUMN())),OFFSET($BN$2,0,0,ROW()-1,60),ROW()-1,FALSE))</f>
        <v/>
      </c>
      <c r="AZ449" t="str">
        <f ca="1">IF(AND(ISNUMBER($AZ$947),$B$511=1),$AZ$947,HLOOKUP(INDIRECT(ADDRESS(2,COLUMN())),OFFSET($BN$2,0,0,ROW()-1,60),ROW()-1,FALSE))</f>
        <v/>
      </c>
      <c r="BA449" t="str">
        <f ca="1">IF(AND(ISNUMBER($BA$947),$B$511=1),$BA$947,HLOOKUP(INDIRECT(ADDRESS(2,COLUMN())),OFFSET($BN$2,0,0,ROW()-1,60),ROW()-1,FALSE))</f>
        <v/>
      </c>
      <c r="BB449" t="str">
        <f ca="1">IF(AND(ISNUMBER($BB$947),$B$511=1),$BB$947,HLOOKUP(INDIRECT(ADDRESS(2,COLUMN())),OFFSET($BN$2,0,0,ROW()-1,60),ROW()-1,FALSE))</f>
        <v/>
      </c>
      <c r="BC449" t="str">
        <f ca="1">IF(AND(ISNUMBER($BC$947),$B$511=1),$BC$947,HLOOKUP(INDIRECT(ADDRESS(2,COLUMN())),OFFSET($BN$2,0,0,ROW()-1,60),ROW()-1,FALSE))</f>
        <v/>
      </c>
      <c r="BD449" t="str">
        <f ca="1">IF(AND(ISNUMBER($BD$947),$B$511=1),$BD$947,HLOOKUP(INDIRECT(ADDRESS(2,COLUMN())),OFFSET($BN$2,0,0,ROW()-1,60),ROW()-1,FALSE))</f>
        <v/>
      </c>
      <c r="BE449" t="str">
        <f ca="1">IF(AND(ISNUMBER($BE$947),$B$511=1),$BE$947,HLOOKUP(INDIRECT(ADDRESS(2,COLUMN())),OFFSET($BN$2,0,0,ROW()-1,60),ROW()-1,FALSE))</f>
        <v/>
      </c>
      <c r="BF449" t="str">
        <f ca="1">IF(AND(ISNUMBER($BF$947),$B$511=1),$BF$947,HLOOKUP(INDIRECT(ADDRESS(2,COLUMN())),OFFSET($BN$2,0,0,ROW()-1,60),ROW()-1,FALSE))</f>
        <v/>
      </c>
      <c r="BG449" t="str">
        <f ca="1">IF(AND(ISNUMBER($BG$947),$B$511=1),$BG$947,HLOOKUP(INDIRECT(ADDRESS(2,COLUMN())),OFFSET($BN$2,0,0,ROW()-1,60),ROW()-1,FALSE))</f>
        <v/>
      </c>
      <c r="BH449" t="str">
        <f ca="1">IF(AND(ISNUMBER($BH$947),$B$511=1),$BH$947,HLOOKUP(INDIRECT(ADDRESS(2,COLUMN())),OFFSET($BN$2,0,0,ROW()-1,60),ROW()-1,FALSE))</f>
        <v/>
      </c>
      <c r="BI449" t="str">
        <f ca="1">IF(AND(ISNUMBER($BI$947),$B$511=1),$BI$947,HLOOKUP(INDIRECT(ADDRESS(2,COLUMN())),OFFSET($BN$2,0,0,ROW()-1,60),ROW()-1,FALSE))</f>
        <v/>
      </c>
      <c r="BJ449" t="str">
        <f ca="1">IF(AND(ISNUMBER($BJ$947),$B$511=1),$BJ$947,HLOOKUP(INDIRECT(ADDRESS(2,COLUMN())),OFFSET($BN$2,0,0,ROW()-1,60),ROW()-1,FALSE))</f>
        <v/>
      </c>
      <c r="BK449" t="str">
        <f ca="1">IF(AND(ISNUMBER($BK$947),$B$511=1),$BK$947,HLOOKUP(INDIRECT(ADDRESS(2,COLUMN())),OFFSET($BN$2,0,0,ROW()-1,60),ROW()-1,FALSE))</f>
        <v/>
      </c>
      <c r="BL449" t="str">
        <f ca="1">IF(AND(ISNUMBER($BL$947),$B$511=1),$BL$947,HLOOKUP(INDIRECT(ADDRESS(2,COLUMN())),OFFSET($BN$2,0,0,ROW()-1,60),ROW()-1,FALSE))</f>
        <v/>
      </c>
      <c r="BM449" t="str">
        <f ca="1">IF(AND(ISNUMBER($BM$947),$B$511=1),$BM$947,HLOOKUP(INDIRECT(ADDRESS(2,COLUMN())),OFFSET($BN$2,0,0,ROW()-1,60),ROW()-1,FALSE))</f>
        <v/>
      </c>
      <c r="BN449">
        <f>314.74</f>
        <v>314.74</v>
      </c>
      <c r="BO449">
        <f>332.8</f>
        <v>332.8</v>
      </c>
      <c r="BP449">
        <f>264.77</f>
        <v>264.77</v>
      </c>
      <c r="BQ449">
        <f>342.95</f>
        <v>342.95</v>
      </c>
      <c r="BR449">
        <f>266.13</f>
        <v>266.13</v>
      </c>
      <c r="BS449">
        <f>311.35</f>
        <v>311.35000000000002</v>
      </c>
      <c r="BT449">
        <f>341.1</f>
        <v>341.1</v>
      </c>
      <c r="BU449">
        <f>361.61</f>
        <v>361.61</v>
      </c>
      <c r="BV449">
        <f>278.3</f>
        <v>278.3</v>
      </c>
      <c r="BW449">
        <f>213.69</f>
        <v>213.69</v>
      </c>
      <c r="BX449">
        <f>204.03</f>
        <v>204.03</v>
      </c>
      <c r="BY449">
        <f>212.28</f>
        <v>212.28</v>
      </c>
      <c r="BZ449">
        <f>229.77</f>
        <v>229.77</v>
      </c>
      <c r="CA449">
        <f>240.01</f>
        <v>240.01</v>
      </c>
      <c r="CB449">
        <f>248.4</f>
        <v>248.4</v>
      </c>
      <c r="CC449">
        <f>268.26</f>
        <v>268.26</v>
      </c>
      <c r="CD449">
        <f>188.77</f>
        <v>188.77</v>
      </c>
      <c r="CE449">
        <f>222.41</f>
        <v>222.41</v>
      </c>
      <c r="CF449">
        <f>242.68</f>
        <v>242.68</v>
      </c>
      <c r="CG449">
        <f>240.06</f>
        <v>240.06</v>
      </c>
      <c r="CH449">
        <f>208.45</f>
        <v>208.45</v>
      </c>
      <c r="CI449">
        <f>150.429</f>
        <v>150.429</v>
      </c>
      <c r="CJ449">
        <f>193.37</f>
        <v>193.37</v>
      </c>
      <c r="CK449">
        <f>107.36</f>
        <v>107.36</v>
      </c>
      <c r="CL449">
        <f>37.89</f>
        <v>37.89</v>
      </c>
      <c r="CM449">
        <f>33.87</f>
        <v>33.869999999999997</v>
      </c>
      <c r="CN449">
        <f>29.28</f>
        <v>29.28</v>
      </c>
      <c r="CO449">
        <f>31.29</f>
        <v>31.29</v>
      </c>
      <c r="CP449">
        <f>37.24</f>
        <v>37.24</v>
      </c>
      <c r="CQ449">
        <f>28.56</f>
        <v>28.56</v>
      </c>
      <c r="CR449">
        <f>24.39</f>
        <v>24.39</v>
      </c>
      <c r="CS449">
        <f>29.13</f>
        <v>29.13</v>
      </c>
      <c r="CT449">
        <f>27.75</f>
        <v>27.75</v>
      </c>
      <c r="CU449">
        <f>26.63</f>
        <v>26.63</v>
      </c>
      <c r="CV449">
        <f>20.405</f>
        <v>20.405000000000001</v>
      </c>
      <c r="CW449">
        <f>23.83</f>
        <v>23.83</v>
      </c>
      <c r="CX449" t="str">
        <f>""</f>
        <v/>
      </c>
      <c r="CY449" t="str">
        <f>""</f>
        <v/>
      </c>
      <c r="CZ449" t="str">
        <f>""</f>
        <v/>
      </c>
      <c r="DA449" t="str">
        <f>""</f>
        <v/>
      </c>
      <c r="DB449" t="str">
        <f>""</f>
        <v/>
      </c>
      <c r="DC449" t="str">
        <f>""</f>
        <v/>
      </c>
      <c r="DD449" t="str">
        <f>""</f>
        <v/>
      </c>
      <c r="DE449" t="str">
        <f>""</f>
        <v/>
      </c>
      <c r="DF449" t="str">
        <f>""</f>
        <v/>
      </c>
      <c r="DG449" t="str">
        <f>""</f>
        <v/>
      </c>
      <c r="DH449" t="str">
        <f>""</f>
        <v/>
      </c>
      <c r="DI449" t="str">
        <f>""</f>
        <v/>
      </c>
      <c r="DJ449" t="str">
        <f>""</f>
        <v/>
      </c>
      <c r="DK449" t="str">
        <f>""</f>
        <v/>
      </c>
      <c r="DL449" t="str">
        <f>""</f>
        <v/>
      </c>
      <c r="DM449" t="str">
        <f>""</f>
        <v/>
      </c>
      <c r="DN449" t="str">
        <f>""</f>
        <v/>
      </c>
      <c r="DO449" t="str">
        <f>""</f>
        <v/>
      </c>
      <c r="DP449" t="str">
        <f>""</f>
        <v/>
      </c>
      <c r="DQ449" t="str">
        <f>""</f>
        <v/>
      </c>
      <c r="DR449" t="str">
        <f>""</f>
        <v/>
      </c>
      <c r="DS449" t="str">
        <f>""</f>
        <v/>
      </c>
      <c r="DT449" t="str">
        <f>""</f>
        <v/>
      </c>
      <c r="DU449" t="str">
        <f>""</f>
        <v/>
      </c>
    </row>
    <row r="450" spans="1:125" x14ac:dyDescent="0.25">
      <c r="A450" t="str">
        <f>"    Tianjin Faw Xiali Automobile Co Ltd"</f>
        <v xml:space="preserve">    Tianjin Faw Xiali Automobile Co Ltd</v>
      </c>
      <c r="B450" t="str">
        <f>"000927 CH Equity"</f>
        <v>000927 CH Equity</v>
      </c>
      <c r="C450" t="str">
        <f t="shared" si="30"/>
        <v>PR005</v>
      </c>
      <c r="D450" t="str">
        <f t="shared" si="31"/>
        <v>PX_LAST</v>
      </c>
      <c r="E450" t="str">
        <f t="shared" si="32"/>
        <v>Dynamic</v>
      </c>
      <c r="F450">
        <f ca="1">IF(AND(ISNUMBER($F$948),$B$511=1),$F$948,HLOOKUP(INDIRECT(ADDRESS(2,COLUMN())),OFFSET($BN$2,0,0,ROW()-1,60),ROW()-1,FALSE))</f>
        <v>0.56620405600000001</v>
      </c>
      <c r="G450">
        <f ca="1">IF(AND(ISNUMBER($G$948),$B$511=1),$G$948,HLOOKUP(INDIRECT(ADDRESS(2,COLUMN())),OFFSET($BN$2,0,0,ROW()-1,60),ROW()-1,FALSE))</f>
        <v>0.457968655</v>
      </c>
      <c r="H450">
        <f ca="1">IF(AND(ISNUMBER($H$948),$B$511=1),$H$948,HLOOKUP(INDIRECT(ADDRESS(2,COLUMN())),OFFSET($BN$2,0,0,ROW()-1,60),ROW()-1,FALSE))</f>
        <v>0.48623546000000001</v>
      </c>
      <c r="I450">
        <f ca="1">IF(AND(ISNUMBER($I$948),$B$511=1),$I$948,HLOOKUP(INDIRECT(ADDRESS(2,COLUMN())),OFFSET($BN$2,0,0,ROW()-1,60),ROW()-1,FALSE))</f>
        <v>0.58726732000000004</v>
      </c>
      <c r="J450">
        <f ca="1">IF(AND(ISNUMBER($J$948),$B$511=1),$J$948,HLOOKUP(INDIRECT(ADDRESS(2,COLUMN())),OFFSET($BN$2,0,0,ROW()-1,60),ROW()-1,FALSE))</f>
        <v>0.64567430000000003</v>
      </c>
      <c r="K450">
        <f ca="1">IF(AND(ISNUMBER($K$948),$B$511=1),$K$948,HLOOKUP(INDIRECT(ADDRESS(2,COLUMN())),OFFSET($BN$2,0,0,ROW()-1,60),ROW()-1,FALSE))</f>
        <v>0.70235295900000005</v>
      </c>
      <c r="L450">
        <f ca="1">IF(AND(ISNUMBER($L$948),$B$511=1),$L$948,HLOOKUP(INDIRECT(ADDRESS(2,COLUMN())),OFFSET($BN$2,0,0,ROW()-1,60),ROW()-1,FALSE))</f>
        <v>0.87115103500000002</v>
      </c>
      <c r="M450">
        <f ca="1">IF(AND(ISNUMBER($M$948),$B$511=1),$M$948,HLOOKUP(INDIRECT(ADDRESS(2,COLUMN())),OFFSET($BN$2,0,0,ROW()-1,60),ROW()-1,FALSE))</f>
        <v>0.778998093</v>
      </c>
      <c r="N450">
        <f ca="1">IF(AND(ISNUMBER($N$948),$B$511=1),$N$948,HLOOKUP(INDIRECT(ADDRESS(2,COLUMN())),OFFSET($BN$2,0,0,ROW()-1,60),ROW()-1,FALSE))</f>
        <v>1.1253925789999999</v>
      </c>
      <c r="O450">
        <f ca="1">IF(AND(ISNUMBER($O$948),$B$511=1),$O$948,HLOOKUP(INDIRECT(ADDRESS(2,COLUMN())),OFFSET($BN$2,0,0,ROW()-1,60),ROW()-1,FALSE))</f>
        <v>0.86747265699999998</v>
      </c>
      <c r="P450">
        <f ca="1">IF(AND(ISNUMBER($P$948),$B$511=1),$P$948,HLOOKUP(INDIRECT(ADDRESS(2,COLUMN())),OFFSET($BN$2,0,0,ROW()-1,60),ROW()-1,FALSE))</f>
        <v>0.73804059200000005</v>
      </c>
      <c r="Q450">
        <f ca="1">IF(AND(ISNUMBER($Q$948),$B$511=1),$Q$948,HLOOKUP(INDIRECT(ADDRESS(2,COLUMN())),OFFSET($BN$2,0,0,ROW()-1,60),ROW()-1,FALSE))</f>
        <v>0.79492689400000005</v>
      </c>
      <c r="R450">
        <f ca="1">IF(AND(ISNUMBER($R$948),$B$511=1),$R$948,HLOOKUP(INDIRECT(ADDRESS(2,COLUMN())),OFFSET($BN$2,0,0,ROW()-1,60),ROW()-1,FALSE))</f>
        <v>1.015078959</v>
      </c>
      <c r="S450">
        <f ca="1">IF(AND(ISNUMBER($S$948),$B$511=1),$S$948,HLOOKUP(INDIRECT(ADDRESS(2,COLUMN())),OFFSET($BN$2,0,0,ROW()-1,60),ROW()-1,FALSE))</f>
        <v>1.143737958</v>
      </c>
      <c r="T450">
        <f ca="1">IF(AND(ISNUMBER($T$948),$B$511=1),$T$948,HLOOKUP(INDIRECT(ADDRESS(2,COLUMN())),OFFSET($BN$2,0,0,ROW()-1,60),ROW()-1,FALSE))</f>
        <v>1.0133702019999999</v>
      </c>
      <c r="U450">
        <f ca="1">IF(AND(ISNUMBER($U$948),$B$511=1),$U$948,HLOOKUP(INDIRECT(ADDRESS(2,COLUMN())),OFFSET($BN$2,0,0,ROW()-1,60),ROW()-1,FALSE))</f>
        <v>1.5584415579999999</v>
      </c>
      <c r="V450">
        <f ca="1">IF(AND(ISNUMBER($V$948),$B$511=1),$V$948,HLOOKUP(INDIRECT(ADDRESS(2,COLUMN())),OFFSET($BN$2,0,0,ROW()-1,60),ROW()-1,FALSE))</f>
        <v>1.3561235190000001</v>
      </c>
      <c r="W450">
        <f ca="1">IF(AND(ISNUMBER($W$948),$B$511=1),$W$948,HLOOKUP(INDIRECT(ADDRESS(2,COLUMN())),OFFSET($BN$2,0,0,ROW()-1,60),ROW()-1,FALSE))</f>
        <v>1.0648580729999999</v>
      </c>
      <c r="X450">
        <f ca="1">IF(AND(ISNUMBER($X$948),$B$511=1),$X$948,HLOOKUP(INDIRECT(ADDRESS(2,COLUMN())),OFFSET($BN$2,0,0,ROW()-1,60),ROW()-1,FALSE))</f>
        <v>0.79013391600000005</v>
      </c>
      <c r="Y450">
        <f ca="1">IF(AND(ISNUMBER($Y$948),$B$511=1),$Y$948,HLOOKUP(INDIRECT(ADDRESS(2,COLUMN())),OFFSET($BN$2,0,0,ROW()-1,60),ROW()-1,FALSE))</f>
        <v>0.575416653</v>
      </c>
      <c r="Z450">
        <f ca="1">IF(AND(ISNUMBER($Z$948),$B$511=1),$Z$948,HLOOKUP(INDIRECT(ADDRESS(2,COLUMN())),OFFSET($BN$2,0,0,ROW()-1,60),ROW()-1,FALSE))</f>
        <v>0.60464742299999996</v>
      </c>
      <c r="AA450">
        <f ca="1">IF(AND(ISNUMBER($AA$948),$B$511=1),$AA$948,HLOOKUP(INDIRECT(ADDRESS(2,COLUMN())),OFFSET($BN$2,0,0,ROW()-1,60),ROW()-1,FALSE))</f>
        <v>0.591500892</v>
      </c>
      <c r="AB450">
        <f ca="1">IF(AND(ISNUMBER($AB$948),$B$511=1),$AB$948,HLOOKUP(INDIRECT(ADDRESS(2,COLUMN())),OFFSET($BN$2,0,0,ROW()-1,60),ROW()-1,FALSE))</f>
        <v>0.60607050699999998</v>
      </c>
      <c r="AC450">
        <f ca="1">IF(AND(ISNUMBER($AC$948),$B$511=1),$AC$948,HLOOKUP(INDIRECT(ADDRESS(2,COLUMN())),OFFSET($BN$2,0,0,ROW()-1,60),ROW()-1,FALSE))</f>
        <v>0.58654848800000003</v>
      </c>
      <c r="AD450">
        <f ca="1">IF(AND(ISNUMBER($AD$948),$B$511=1),$AD$948,HLOOKUP(INDIRECT(ADDRESS(2,COLUMN())),OFFSET($BN$2,0,0,ROW()-1,60),ROW()-1,FALSE))</f>
        <v>0.70683325799999996</v>
      </c>
      <c r="AE450">
        <f ca="1">IF(AND(ISNUMBER($AE$948),$B$511=1),$AE$948,HLOOKUP(INDIRECT(ADDRESS(2,COLUMN())),OFFSET($BN$2,0,0,ROW()-1,60),ROW()-1,FALSE))</f>
        <v>0.79871692100000002</v>
      </c>
      <c r="AF450">
        <f ca="1">IF(AND(ISNUMBER($AF$948),$B$511=1),$AF$948,HLOOKUP(INDIRECT(ADDRESS(2,COLUMN())),OFFSET($BN$2,0,0,ROW()-1,60),ROW()-1,FALSE))</f>
        <v>0.76680772500000005</v>
      </c>
      <c r="AG450">
        <f ca="1">IF(AND(ISNUMBER($AG$948),$B$511=1),$AG$948,HLOOKUP(INDIRECT(ADDRESS(2,COLUMN())),OFFSET($BN$2,0,0,ROW()-1,60),ROW()-1,FALSE))</f>
        <v>1.1534043519999999</v>
      </c>
      <c r="AH450">
        <f ca="1">IF(AND(ISNUMBER($AH$948),$B$511=1),$AH$948,HLOOKUP(INDIRECT(ADDRESS(2,COLUMN())),OFFSET($BN$2,0,0,ROW()-1,60),ROW()-1,FALSE))</f>
        <v>1.0478519040000001</v>
      </c>
      <c r="AI450">
        <f ca="1">IF(AND(ISNUMBER($AI$948),$B$511=1),$AI$948,HLOOKUP(INDIRECT(ADDRESS(2,COLUMN())),OFFSET($BN$2,0,0,ROW()-1,60),ROW()-1,FALSE))</f>
        <v>0.96988745499999995</v>
      </c>
      <c r="AJ450">
        <f ca="1">IF(AND(ISNUMBER($AJ$948),$B$511=1),$AJ$948,HLOOKUP(INDIRECT(ADDRESS(2,COLUMN())),OFFSET($BN$2,0,0,ROW()-1,60),ROW()-1,FALSE))</f>
        <v>1.1499295</v>
      </c>
      <c r="AK450">
        <f ca="1">IF(AND(ISNUMBER($AK$948),$B$511=1),$AK$948,HLOOKUP(INDIRECT(ADDRESS(2,COLUMN())),OFFSET($BN$2,0,0,ROW()-1,60),ROW()-1,FALSE))</f>
        <v>1.0922198670000001</v>
      </c>
      <c r="AL450">
        <f ca="1">IF(AND(ISNUMBER($AL$948),$B$511=1),$AL$948,HLOOKUP(INDIRECT(ADDRESS(2,COLUMN())),OFFSET($BN$2,0,0,ROW()-1,60),ROW()-1,FALSE))</f>
        <v>1.2033106309999999</v>
      </c>
      <c r="AM450">
        <f ca="1">IF(AND(ISNUMBER($AM$948),$B$511=1),$AM$948,HLOOKUP(INDIRECT(ADDRESS(2,COLUMN())),OFFSET($BN$2,0,0,ROW()-1,60),ROW()-1,FALSE))</f>
        <v>1.2367786089999999</v>
      </c>
      <c r="AN450">
        <f ca="1">IF(AND(ISNUMBER($AN$948),$B$511=1),$AN$948,HLOOKUP(INDIRECT(ADDRESS(2,COLUMN())),OFFSET($BN$2,0,0,ROW()-1,60),ROW()-1,FALSE))</f>
        <v>1.1943198799999999</v>
      </c>
      <c r="AO450">
        <f ca="1">IF(AND(ISNUMBER($AO$948),$B$511=1),$AO$948,HLOOKUP(INDIRECT(ADDRESS(2,COLUMN())),OFFSET($BN$2,0,0,ROW()-1,60),ROW()-1,FALSE))</f>
        <v>1.1398826200000001</v>
      </c>
      <c r="AP450">
        <f ca="1">IF(AND(ISNUMBER($AP$948),$B$511=1),$AP$948,HLOOKUP(INDIRECT(ADDRESS(2,COLUMN())),OFFSET($BN$2,0,0,ROW()-1,60),ROW()-1,FALSE))</f>
        <v>1.4282575260000001</v>
      </c>
      <c r="AQ450">
        <f ca="1">IF(AND(ISNUMBER($AQ$948),$B$511=1),$AQ$948,HLOOKUP(INDIRECT(ADDRESS(2,COLUMN())),OFFSET($BN$2,0,0,ROW()-1,60),ROW()-1,FALSE))</f>
        <v>1.743053419</v>
      </c>
      <c r="AR450">
        <f ca="1">IF(AND(ISNUMBER($AR$948),$B$511=1),$AR$948,HLOOKUP(INDIRECT(ADDRESS(2,COLUMN())),OFFSET($BN$2,0,0,ROW()-1,60),ROW()-1,FALSE))</f>
        <v>0.993217409</v>
      </c>
      <c r="AS450">
        <f ca="1">IF(AND(ISNUMBER($AS$948),$B$511=1),$AS$948,HLOOKUP(INDIRECT(ADDRESS(2,COLUMN())),OFFSET($BN$2,0,0,ROW()-1,60),ROW()-1,FALSE))</f>
        <v>1.0233211820000001</v>
      </c>
      <c r="AT450">
        <f ca="1">IF(AND(ISNUMBER($AT$948),$B$511=1),$AT$948,HLOOKUP(INDIRECT(ADDRESS(2,COLUMN())),OFFSET($BN$2,0,0,ROW()-1,60),ROW()-1,FALSE))</f>
        <v>0.73021540600000001</v>
      </c>
      <c r="AU450">
        <f ca="1">IF(AND(ISNUMBER($AU$948),$B$511=1),$AU$948,HLOOKUP(INDIRECT(ADDRESS(2,COLUMN())),OFFSET($BN$2,0,0,ROW()-1,60),ROW()-1,FALSE))</f>
        <v>0.55820086400000002</v>
      </c>
      <c r="AV450">
        <f ca="1">IF(AND(ISNUMBER($AV$948),$B$511=1),$AV$948,HLOOKUP(INDIRECT(ADDRESS(2,COLUMN())),OFFSET($BN$2,0,0,ROW()-1,60),ROW()-1,FALSE))</f>
        <v>0.519821859</v>
      </c>
      <c r="AW450">
        <f ca="1">IF(AND(ISNUMBER($AW$948),$B$511=1),$AW$948,HLOOKUP(INDIRECT(ADDRESS(2,COLUMN())),OFFSET($BN$2,0,0,ROW()-1,60),ROW()-1,FALSE))</f>
        <v>0.61275403799999995</v>
      </c>
      <c r="AX450">
        <f ca="1">IF(AND(ISNUMBER($AX$948),$B$511=1),$AX$948,HLOOKUP(INDIRECT(ADDRESS(2,COLUMN())),OFFSET($BN$2,0,0,ROW()-1,60),ROW()-1,FALSE))</f>
        <v>1.1266400459999999</v>
      </c>
      <c r="AY450">
        <f ca="1">IF(AND(ISNUMBER($AY$948),$B$511=1),$AY$948,HLOOKUP(INDIRECT(ADDRESS(2,COLUMN())),OFFSET($BN$2,0,0,ROW()-1,60),ROW()-1,FALSE))</f>
        <v>1.9851864020000001</v>
      </c>
      <c r="AZ450">
        <f ca="1">IF(AND(ISNUMBER($AZ$948),$B$511=1),$AZ$948,HLOOKUP(INDIRECT(ADDRESS(2,COLUMN())),OFFSET($BN$2,0,0,ROW()-1,60),ROW()-1,FALSE))</f>
        <v>2.1982121210000001</v>
      </c>
      <c r="BA450">
        <f ca="1">IF(AND(ISNUMBER($BA$948),$B$511=1),$BA$948,HLOOKUP(INDIRECT(ADDRESS(2,COLUMN())),OFFSET($BN$2,0,0,ROW()-1,60),ROW()-1,FALSE))</f>
        <v>1.0978188069999999</v>
      </c>
      <c r="BB450">
        <f ca="1">IF(AND(ISNUMBER($BB$948),$B$511=1),$BB$948,HLOOKUP(INDIRECT(ADDRESS(2,COLUMN())),OFFSET($BN$2,0,0,ROW()-1,60),ROW()-1,FALSE))</f>
        <v>1.2943308309999999</v>
      </c>
      <c r="BC450">
        <f ca="1">IF(AND(ISNUMBER($BC$948),$B$511=1),$BC$948,HLOOKUP(INDIRECT(ADDRESS(2,COLUMN())),OFFSET($BN$2,0,0,ROW()-1,60),ROW()-1,FALSE))</f>
        <v>0.68977873300000003</v>
      </c>
      <c r="BD450">
        <f ca="1">IF(AND(ISNUMBER($BD$948),$B$511=1),$BD$948,HLOOKUP(INDIRECT(ADDRESS(2,COLUMN())),OFFSET($BN$2,0,0,ROW()-1,60),ROW()-1,FALSE))</f>
        <v>0.48076314799999997</v>
      </c>
      <c r="BE450">
        <f ca="1">IF(AND(ISNUMBER($BE$948),$B$511=1),$BE$948,HLOOKUP(INDIRECT(ADDRESS(2,COLUMN())),OFFSET($BN$2,0,0,ROW()-1,60),ROW()-1,FALSE))</f>
        <v>0.815581102</v>
      </c>
      <c r="BF450">
        <f ca="1">IF(AND(ISNUMBER($BF$948),$B$511=1),$BF$948,HLOOKUP(INDIRECT(ADDRESS(2,COLUMN())),OFFSET($BN$2,0,0,ROW()-1,60),ROW()-1,FALSE))</f>
        <v>0.57251908399999996</v>
      </c>
      <c r="BG450">
        <f ca="1">IF(AND(ISNUMBER($BG$948),$B$511=1),$BG$948,HLOOKUP(INDIRECT(ADDRESS(2,COLUMN())),OFFSET($BN$2,0,0,ROW()-1,60),ROW()-1,FALSE))</f>
        <v>0.49936804499999998</v>
      </c>
      <c r="BH450">
        <f ca="1">IF(AND(ISNUMBER($BH$948),$B$511=1),$BH$948,HLOOKUP(INDIRECT(ADDRESS(2,COLUMN())),OFFSET($BN$2,0,0,ROW()-1,60),ROW()-1,FALSE))</f>
        <v>0.49802273899999999</v>
      </c>
      <c r="BI450">
        <f ca="1">IF(AND(ISNUMBER($BI$948),$B$511=1),$BI$948,HLOOKUP(INDIRECT(ADDRESS(2,COLUMN())),OFFSET($BN$2,0,0,ROW()-1,60),ROW()-1,FALSE))</f>
        <v>0.334682535</v>
      </c>
      <c r="BJ450">
        <f ca="1">IF(AND(ISNUMBER($BJ$948),$B$511=1),$BJ$948,HLOOKUP(INDIRECT(ADDRESS(2,COLUMN())),OFFSET($BN$2,0,0,ROW()-1,60),ROW()-1,FALSE))</f>
        <v>0.28393987700000001</v>
      </c>
      <c r="BK450">
        <f ca="1">IF(AND(ISNUMBER($BK$948),$B$511=1),$BK$948,HLOOKUP(INDIRECT(ADDRESS(2,COLUMN())),OFFSET($BN$2,0,0,ROW()-1,60),ROW()-1,FALSE))</f>
        <v>0.32984957399999998</v>
      </c>
      <c r="BL450">
        <f ca="1">IF(AND(ISNUMBER($BL$948),$B$511=1),$BL$948,HLOOKUP(INDIRECT(ADDRESS(2,COLUMN())),OFFSET($BN$2,0,0,ROW()-1,60),ROW()-1,FALSE))</f>
        <v>0.512293844</v>
      </c>
      <c r="BM450">
        <f ca="1">IF(AND(ISNUMBER($BM$948),$B$511=1),$BM$948,HLOOKUP(INDIRECT(ADDRESS(2,COLUMN())),OFFSET($BN$2,0,0,ROW()-1,60),ROW()-1,FALSE))</f>
        <v>0.66452407999999996</v>
      </c>
      <c r="BN450">
        <f>0.566204056</f>
        <v>0.56620405600000001</v>
      </c>
      <c r="BO450">
        <f>0.457968655</f>
        <v>0.457968655</v>
      </c>
      <c r="BP450">
        <f>0.48623546</f>
        <v>0.48623546000000001</v>
      </c>
      <c r="BQ450">
        <f>0.58726732</f>
        <v>0.58726732000000004</v>
      </c>
      <c r="BR450">
        <f>0.6456743</f>
        <v>0.64567430000000003</v>
      </c>
      <c r="BS450">
        <f>0.702352959</f>
        <v>0.70235295900000005</v>
      </c>
      <c r="BT450">
        <f>0.871151035</f>
        <v>0.87115103500000002</v>
      </c>
      <c r="BU450">
        <f>0.778998093</f>
        <v>0.778998093</v>
      </c>
      <c r="BV450">
        <f>1.125392579</f>
        <v>1.1253925789999999</v>
      </c>
      <c r="BW450">
        <f>0.867472657</f>
        <v>0.86747265699999998</v>
      </c>
      <c r="BX450">
        <f>0.738040592</f>
        <v>0.73804059200000005</v>
      </c>
      <c r="BY450">
        <f>0.794926894</f>
        <v>0.79492689400000005</v>
      </c>
      <c r="BZ450">
        <f>1.015078959</f>
        <v>1.015078959</v>
      </c>
      <c r="CA450">
        <f>1.143737958</f>
        <v>1.143737958</v>
      </c>
      <c r="CB450">
        <f>1.013370202</f>
        <v>1.0133702019999999</v>
      </c>
      <c r="CC450">
        <f>1.558441558</f>
        <v>1.5584415579999999</v>
      </c>
      <c r="CD450">
        <f>1.356123519</f>
        <v>1.3561235190000001</v>
      </c>
      <c r="CE450">
        <f>1.064858073</f>
        <v>1.0648580729999999</v>
      </c>
      <c r="CF450">
        <f>0.790133916</f>
        <v>0.79013391600000005</v>
      </c>
      <c r="CG450">
        <f>0.575416653</f>
        <v>0.575416653</v>
      </c>
      <c r="CH450">
        <f>0.604647423</f>
        <v>0.60464742299999996</v>
      </c>
      <c r="CI450">
        <f>0.591500892</f>
        <v>0.591500892</v>
      </c>
      <c r="CJ450">
        <f>0.606070507</f>
        <v>0.60607050699999998</v>
      </c>
      <c r="CK450">
        <f>0.586548488</f>
        <v>0.58654848800000003</v>
      </c>
      <c r="CL450">
        <f>0.706833258</f>
        <v>0.70683325799999996</v>
      </c>
      <c r="CM450">
        <f>0.798716921</f>
        <v>0.79871692100000002</v>
      </c>
      <c r="CN450">
        <f>0.766807725</f>
        <v>0.76680772500000005</v>
      </c>
      <c r="CO450">
        <f>1.153404352</f>
        <v>1.1534043519999999</v>
      </c>
      <c r="CP450">
        <f>1.047851904</f>
        <v>1.0478519040000001</v>
      </c>
      <c r="CQ450">
        <f>0.969887455</f>
        <v>0.96988745499999995</v>
      </c>
      <c r="CR450">
        <f>1.1499295</f>
        <v>1.1499295</v>
      </c>
      <c r="CS450">
        <f>1.092219867</f>
        <v>1.0922198670000001</v>
      </c>
      <c r="CT450">
        <f>1.203310631</f>
        <v>1.2033106309999999</v>
      </c>
      <c r="CU450">
        <f>1.236778609</f>
        <v>1.2367786089999999</v>
      </c>
      <c r="CV450">
        <f>1.19431988</f>
        <v>1.1943198799999999</v>
      </c>
      <c r="CW450">
        <f>1.13988262</f>
        <v>1.1398826200000001</v>
      </c>
      <c r="CX450">
        <f>1.428257526</f>
        <v>1.4282575260000001</v>
      </c>
      <c r="CY450">
        <f>1.743053419</f>
        <v>1.743053419</v>
      </c>
      <c r="CZ450">
        <f>0.993217409</f>
        <v>0.993217409</v>
      </c>
      <c r="DA450">
        <f>1.023321182</f>
        <v>1.0233211820000001</v>
      </c>
      <c r="DB450">
        <f>0.730215406</f>
        <v>0.73021540600000001</v>
      </c>
      <c r="DC450">
        <f>0.558200864</f>
        <v>0.55820086400000002</v>
      </c>
      <c r="DD450">
        <f>0.519821859</f>
        <v>0.519821859</v>
      </c>
      <c r="DE450">
        <f>0.612754038</f>
        <v>0.61275403799999995</v>
      </c>
      <c r="DF450">
        <f>1.126640046</f>
        <v>1.1266400459999999</v>
      </c>
      <c r="DG450">
        <f>1.985186402</f>
        <v>1.9851864020000001</v>
      </c>
      <c r="DH450">
        <f>2.198212121</f>
        <v>2.1982121210000001</v>
      </c>
      <c r="DI450">
        <f>1.097818807</f>
        <v>1.0978188069999999</v>
      </c>
      <c r="DJ450">
        <f>1.294330831</f>
        <v>1.2943308309999999</v>
      </c>
      <c r="DK450">
        <f>0.689778733</f>
        <v>0.68977873300000003</v>
      </c>
      <c r="DL450">
        <f>0.480763148</f>
        <v>0.48076314799999997</v>
      </c>
      <c r="DM450">
        <f>0.815581102</f>
        <v>0.815581102</v>
      </c>
      <c r="DN450">
        <f>0.572519084</f>
        <v>0.57251908399999996</v>
      </c>
      <c r="DO450">
        <f>0.499368045</f>
        <v>0.49936804499999998</v>
      </c>
      <c r="DP450">
        <f>0.498022739</f>
        <v>0.49802273899999999</v>
      </c>
      <c r="DQ450">
        <f>0.334682535</f>
        <v>0.334682535</v>
      </c>
      <c r="DR450">
        <f>0.283939877</f>
        <v>0.28393987700000001</v>
      </c>
      <c r="DS450">
        <f>0.329849574</f>
        <v>0.32984957399999998</v>
      </c>
      <c r="DT450">
        <f>0.512293844</f>
        <v>0.512293844</v>
      </c>
      <c r="DU450">
        <f>0.66452408</f>
        <v>0.66452407999999996</v>
      </c>
    </row>
    <row r="451" spans="1:125" x14ac:dyDescent="0.25">
      <c r="A451" t="str">
        <f>"    Tofas Turk Otomobil Fabrikasi AS"</f>
        <v xml:space="preserve">    Tofas Turk Otomobil Fabrikasi AS</v>
      </c>
      <c r="B451" t="str">
        <f>"TOASOTRY EO Equity"</f>
        <v>TOASOTRY EO Equity</v>
      </c>
      <c r="C451" t="str">
        <f t="shared" si="30"/>
        <v>PR005</v>
      </c>
      <c r="D451" t="str">
        <f t="shared" si="31"/>
        <v>PX_LAST</v>
      </c>
      <c r="E451" t="str">
        <f t="shared" si="32"/>
        <v>Dynamic</v>
      </c>
      <c r="F451" t="str">
        <f ca="1">IF(AND(ISNUMBER($F$949),$B$511=1),$F$949,HLOOKUP(INDIRECT(ADDRESS(2,COLUMN())),OFFSET($BN$2,0,0,ROW()-1,60),ROW()-1,FALSE))</f>
        <v/>
      </c>
      <c r="G451" t="str">
        <f ca="1">IF(AND(ISNUMBER($G$949),$B$511=1),$G$949,HLOOKUP(INDIRECT(ADDRESS(2,COLUMN())),OFFSET($BN$2,0,0,ROW()-1,60),ROW()-1,FALSE))</f>
        <v/>
      </c>
      <c r="H451" t="str">
        <f ca="1">IF(AND(ISNUMBER($H$949),$B$511=1),$H$949,HLOOKUP(INDIRECT(ADDRESS(2,COLUMN())),OFFSET($BN$2,0,0,ROW()-1,60),ROW()-1,FALSE))</f>
        <v/>
      </c>
      <c r="I451" t="str">
        <f ca="1">IF(AND(ISNUMBER($I$949),$B$511=1),$I$949,HLOOKUP(INDIRECT(ADDRESS(2,COLUMN())),OFFSET($BN$2,0,0,ROW()-1,60),ROW()-1,FALSE))</f>
        <v/>
      </c>
      <c r="J451" t="str">
        <f ca="1">IF(AND(ISNUMBER($J$949),$B$511=1),$J$949,HLOOKUP(INDIRECT(ADDRESS(2,COLUMN())),OFFSET($BN$2,0,0,ROW()-1,60),ROW()-1,FALSE))</f>
        <v/>
      </c>
      <c r="K451" t="str">
        <f ca="1">IF(AND(ISNUMBER($K$949),$B$511=1),$K$949,HLOOKUP(INDIRECT(ADDRESS(2,COLUMN())),OFFSET($BN$2,0,0,ROW()-1,60),ROW()-1,FALSE))</f>
        <v/>
      </c>
      <c r="L451" t="str">
        <f ca="1">IF(AND(ISNUMBER($L$949),$B$511=1),$L$949,HLOOKUP(INDIRECT(ADDRESS(2,COLUMN())),OFFSET($BN$2,0,0,ROW()-1,60),ROW()-1,FALSE))</f>
        <v/>
      </c>
      <c r="M451" t="str">
        <f ca="1">IF(AND(ISNUMBER($M$949),$B$511=1),$M$949,HLOOKUP(INDIRECT(ADDRESS(2,COLUMN())),OFFSET($BN$2,0,0,ROW()-1,60),ROW()-1,FALSE))</f>
        <v/>
      </c>
      <c r="N451" t="str">
        <f ca="1">IF(AND(ISNUMBER($N$949),$B$511=1),$N$949,HLOOKUP(INDIRECT(ADDRESS(2,COLUMN())),OFFSET($BN$2,0,0,ROW()-1,60),ROW()-1,FALSE))</f>
        <v/>
      </c>
      <c r="O451" t="str">
        <f ca="1">IF(AND(ISNUMBER($O$949),$B$511=1),$O$949,HLOOKUP(INDIRECT(ADDRESS(2,COLUMN())),OFFSET($BN$2,0,0,ROW()-1,60),ROW()-1,FALSE))</f>
        <v/>
      </c>
      <c r="P451" t="str">
        <f ca="1">IF(AND(ISNUMBER($P$949),$B$511=1),$P$949,HLOOKUP(INDIRECT(ADDRESS(2,COLUMN())),OFFSET($BN$2,0,0,ROW()-1,60),ROW()-1,FALSE))</f>
        <v/>
      </c>
      <c r="Q451" t="str">
        <f ca="1">IF(AND(ISNUMBER($Q$949),$B$511=1),$Q$949,HLOOKUP(INDIRECT(ADDRESS(2,COLUMN())),OFFSET($BN$2,0,0,ROW()-1,60),ROW()-1,FALSE))</f>
        <v/>
      </c>
      <c r="R451" t="str">
        <f ca="1">IF(AND(ISNUMBER($R$949),$B$511=1),$R$949,HLOOKUP(INDIRECT(ADDRESS(2,COLUMN())),OFFSET($BN$2,0,0,ROW()-1,60),ROW()-1,FALSE))</f>
        <v/>
      </c>
      <c r="S451" t="str">
        <f ca="1">IF(AND(ISNUMBER($S$949),$B$511=1),$S$949,HLOOKUP(INDIRECT(ADDRESS(2,COLUMN())),OFFSET($BN$2,0,0,ROW()-1,60),ROW()-1,FALSE))</f>
        <v/>
      </c>
      <c r="T451" t="str">
        <f ca="1">IF(AND(ISNUMBER($T$949),$B$511=1),$T$949,HLOOKUP(INDIRECT(ADDRESS(2,COLUMN())),OFFSET($BN$2,0,0,ROW()-1,60),ROW()-1,FALSE))</f>
        <v/>
      </c>
      <c r="U451" t="str">
        <f ca="1">IF(AND(ISNUMBER($U$949),$B$511=1),$U$949,HLOOKUP(INDIRECT(ADDRESS(2,COLUMN())),OFFSET($BN$2,0,0,ROW()-1,60),ROW()-1,FALSE))</f>
        <v/>
      </c>
      <c r="V451" t="str">
        <f ca="1">IF(AND(ISNUMBER($V$949),$B$511=1),$V$949,HLOOKUP(INDIRECT(ADDRESS(2,COLUMN())),OFFSET($BN$2,0,0,ROW()-1,60),ROW()-1,FALSE))</f>
        <v/>
      </c>
      <c r="W451" t="str">
        <f ca="1">IF(AND(ISNUMBER($W$949),$B$511=1),$W$949,HLOOKUP(INDIRECT(ADDRESS(2,COLUMN())),OFFSET($BN$2,0,0,ROW()-1,60),ROW()-1,FALSE))</f>
        <v/>
      </c>
      <c r="X451" t="str">
        <f ca="1">IF(AND(ISNUMBER($X$949),$B$511=1),$X$949,HLOOKUP(INDIRECT(ADDRESS(2,COLUMN())),OFFSET($BN$2,0,0,ROW()-1,60),ROW()-1,FALSE))</f>
        <v/>
      </c>
      <c r="Y451" t="str">
        <f ca="1">IF(AND(ISNUMBER($Y$949),$B$511=1),$Y$949,HLOOKUP(INDIRECT(ADDRESS(2,COLUMN())),OFFSET($BN$2,0,0,ROW()-1,60),ROW()-1,FALSE))</f>
        <v/>
      </c>
      <c r="Z451" t="str">
        <f ca="1">IF(AND(ISNUMBER($Z$949),$B$511=1),$Z$949,HLOOKUP(INDIRECT(ADDRESS(2,COLUMN())),OFFSET($BN$2,0,0,ROW()-1,60),ROW()-1,FALSE))</f>
        <v/>
      </c>
      <c r="AA451" t="str">
        <f ca="1">IF(AND(ISNUMBER($AA$949),$B$511=1),$AA$949,HLOOKUP(INDIRECT(ADDRESS(2,COLUMN())),OFFSET($BN$2,0,0,ROW()-1,60),ROW()-1,FALSE))</f>
        <v/>
      </c>
      <c r="AB451" t="str">
        <f ca="1">IF(AND(ISNUMBER($AB$949),$B$511=1),$AB$949,HLOOKUP(INDIRECT(ADDRESS(2,COLUMN())),OFFSET($BN$2,0,0,ROW()-1,60),ROW()-1,FALSE))</f>
        <v/>
      </c>
      <c r="AC451" t="str">
        <f ca="1">IF(AND(ISNUMBER($AC$949),$B$511=1),$AC$949,HLOOKUP(INDIRECT(ADDRESS(2,COLUMN())),OFFSET($BN$2,0,0,ROW()-1,60),ROW()-1,FALSE))</f>
        <v/>
      </c>
      <c r="AD451" t="str">
        <f ca="1">IF(AND(ISNUMBER($AD$949),$B$511=1),$AD$949,HLOOKUP(INDIRECT(ADDRESS(2,COLUMN())),OFFSET($BN$2,0,0,ROW()-1,60),ROW()-1,FALSE))</f>
        <v/>
      </c>
      <c r="AE451" t="str">
        <f ca="1">IF(AND(ISNUMBER($AE$949),$B$511=1),$AE$949,HLOOKUP(INDIRECT(ADDRESS(2,COLUMN())),OFFSET($BN$2,0,0,ROW()-1,60),ROW()-1,FALSE))</f>
        <v/>
      </c>
      <c r="AF451" t="str">
        <f ca="1">IF(AND(ISNUMBER($AF$949),$B$511=1),$AF$949,HLOOKUP(INDIRECT(ADDRESS(2,COLUMN())),OFFSET($BN$2,0,0,ROW()-1,60),ROW()-1,FALSE))</f>
        <v/>
      </c>
      <c r="AG451" t="str">
        <f ca="1">IF(AND(ISNUMBER($AG$949),$B$511=1),$AG$949,HLOOKUP(INDIRECT(ADDRESS(2,COLUMN())),OFFSET($BN$2,0,0,ROW()-1,60),ROW()-1,FALSE))</f>
        <v/>
      </c>
      <c r="AH451" t="str">
        <f ca="1">IF(AND(ISNUMBER($AH$949),$B$511=1),$AH$949,HLOOKUP(INDIRECT(ADDRESS(2,COLUMN())),OFFSET($BN$2,0,0,ROW()-1,60),ROW()-1,FALSE))</f>
        <v/>
      </c>
      <c r="AI451" t="str">
        <f ca="1">IF(AND(ISNUMBER($AI$949),$B$511=1),$AI$949,HLOOKUP(INDIRECT(ADDRESS(2,COLUMN())),OFFSET($BN$2,0,0,ROW()-1,60),ROW()-1,FALSE))</f>
        <v/>
      </c>
      <c r="AJ451" t="str">
        <f ca="1">IF(AND(ISNUMBER($AJ$949),$B$511=1),$AJ$949,HLOOKUP(INDIRECT(ADDRESS(2,COLUMN())),OFFSET($BN$2,0,0,ROW()-1,60),ROW()-1,FALSE))</f>
        <v/>
      </c>
      <c r="AK451" t="str">
        <f ca="1">IF(AND(ISNUMBER($AK$949),$B$511=1),$AK$949,HLOOKUP(INDIRECT(ADDRESS(2,COLUMN())),OFFSET($BN$2,0,0,ROW()-1,60),ROW()-1,FALSE))</f>
        <v/>
      </c>
      <c r="AL451" t="str">
        <f ca="1">IF(AND(ISNUMBER($AL$949),$B$511=1),$AL$949,HLOOKUP(INDIRECT(ADDRESS(2,COLUMN())),OFFSET($BN$2,0,0,ROW()-1,60),ROW()-1,FALSE))</f>
        <v/>
      </c>
      <c r="AM451" t="str">
        <f ca="1">IF(AND(ISNUMBER($AM$949),$B$511=1),$AM$949,HLOOKUP(INDIRECT(ADDRESS(2,COLUMN())),OFFSET($BN$2,0,0,ROW()-1,60),ROW()-1,FALSE))</f>
        <v/>
      </c>
      <c r="AN451" t="str">
        <f ca="1">IF(AND(ISNUMBER($AN$949),$B$511=1),$AN$949,HLOOKUP(INDIRECT(ADDRESS(2,COLUMN())),OFFSET($BN$2,0,0,ROW()-1,60),ROW()-1,FALSE))</f>
        <v/>
      </c>
      <c r="AO451" t="str">
        <f ca="1">IF(AND(ISNUMBER($AO$949),$B$511=1),$AO$949,HLOOKUP(INDIRECT(ADDRESS(2,COLUMN())),OFFSET($BN$2,0,0,ROW()-1,60),ROW()-1,FALSE))</f>
        <v/>
      </c>
      <c r="AP451" t="str">
        <f ca="1">IF(AND(ISNUMBER($AP$949),$B$511=1),$AP$949,HLOOKUP(INDIRECT(ADDRESS(2,COLUMN())),OFFSET($BN$2,0,0,ROW()-1,60),ROW()-1,FALSE))</f>
        <v/>
      </c>
      <c r="AQ451" t="str">
        <f ca="1">IF(AND(ISNUMBER($AQ$949),$B$511=1),$AQ$949,HLOOKUP(INDIRECT(ADDRESS(2,COLUMN())),OFFSET($BN$2,0,0,ROW()-1,60),ROW()-1,FALSE))</f>
        <v/>
      </c>
      <c r="AR451" t="str">
        <f ca="1">IF(AND(ISNUMBER($AR$949),$B$511=1),$AR$949,HLOOKUP(INDIRECT(ADDRESS(2,COLUMN())),OFFSET($BN$2,0,0,ROW()-1,60),ROW()-1,FALSE))</f>
        <v/>
      </c>
      <c r="AS451" t="str">
        <f ca="1">IF(AND(ISNUMBER($AS$949),$B$511=1),$AS$949,HLOOKUP(INDIRECT(ADDRESS(2,COLUMN())),OFFSET($BN$2,0,0,ROW()-1,60),ROW()-1,FALSE))</f>
        <v/>
      </c>
      <c r="AT451" t="str">
        <f ca="1">IF(AND(ISNUMBER($AT$949),$B$511=1),$AT$949,HLOOKUP(INDIRECT(ADDRESS(2,COLUMN())),OFFSET($BN$2,0,0,ROW()-1,60),ROW()-1,FALSE))</f>
        <v/>
      </c>
      <c r="AU451" t="str">
        <f ca="1">IF(AND(ISNUMBER($AU$949),$B$511=1),$AU$949,HLOOKUP(INDIRECT(ADDRESS(2,COLUMN())),OFFSET($BN$2,0,0,ROW()-1,60),ROW()-1,FALSE))</f>
        <v/>
      </c>
      <c r="AV451" t="str">
        <f ca="1">IF(AND(ISNUMBER($AV$949),$B$511=1),$AV$949,HLOOKUP(INDIRECT(ADDRESS(2,COLUMN())),OFFSET($BN$2,0,0,ROW()-1,60),ROW()-1,FALSE))</f>
        <v/>
      </c>
      <c r="AW451" t="str">
        <f ca="1">IF(AND(ISNUMBER($AW$949),$B$511=1),$AW$949,HLOOKUP(INDIRECT(ADDRESS(2,COLUMN())),OFFSET($BN$2,0,0,ROW()-1,60),ROW()-1,FALSE))</f>
        <v/>
      </c>
      <c r="AX451" t="str">
        <f ca="1">IF(AND(ISNUMBER($AX$949),$B$511=1),$AX$949,HLOOKUP(INDIRECT(ADDRESS(2,COLUMN())),OFFSET($BN$2,0,0,ROW()-1,60),ROW()-1,FALSE))</f>
        <v/>
      </c>
      <c r="AY451" t="str">
        <f ca="1">IF(AND(ISNUMBER($AY$949),$B$511=1),$AY$949,HLOOKUP(INDIRECT(ADDRESS(2,COLUMN())),OFFSET($BN$2,0,0,ROW()-1,60),ROW()-1,FALSE))</f>
        <v/>
      </c>
      <c r="AZ451" t="str">
        <f ca="1">IF(AND(ISNUMBER($AZ$949),$B$511=1),$AZ$949,HLOOKUP(INDIRECT(ADDRESS(2,COLUMN())),OFFSET($BN$2,0,0,ROW()-1,60),ROW()-1,FALSE))</f>
        <v/>
      </c>
      <c r="BA451" t="str">
        <f ca="1">IF(AND(ISNUMBER($BA$949),$B$511=1),$BA$949,HLOOKUP(INDIRECT(ADDRESS(2,COLUMN())),OFFSET($BN$2,0,0,ROW()-1,60),ROW()-1,FALSE))</f>
        <v/>
      </c>
      <c r="BB451" t="str">
        <f ca="1">IF(AND(ISNUMBER($BB$949),$B$511=1),$BB$949,HLOOKUP(INDIRECT(ADDRESS(2,COLUMN())),OFFSET($BN$2,0,0,ROW()-1,60),ROW()-1,FALSE))</f>
        <v/>
      </c>
      <c r="BC451" t="str">
        <f ca="1">IF(AND(ISNUMBER($BC$949),$B$511=1),$BC$949,HLOOKUP(INDIRECT(ADDRESS(2,COLUMN())),OFFSET($BN$2,0,0,ROW()-1,60),ROW()-1,FALSE))</f>
        <v/>
      </c>
      <c r="BD451" t="str">
        <f ca="1">IF(AND(ISNUMBER($BD$949),$B$511=1),$BD$949,HLOOKUP(INDIRECT(ADDRESS(2,COLUMN())),OFFSET($BN$2,0,0,ROW()-1,60),ROW()-1,FALSE))</f>
        <v/>
      </c>
      <c r="BE451" t="str">
        <f ca="1">IF(AND(ISNUMBER($BE$949),$B$511=1),$BE$949,HLOOKUP(INDIRECT(ADDRESS(2,COLUMN())),OFFSET($BN$2,0,0,ROW()-1,60),ROW()-1,FALSE))</f>
        <v/>
      </c>
      <c r="BF451" t="str">
        <f ca="1">IF(AND(ISNUMBER($BF$949),$B$511=1),$BF$949,HLOOKUP(INDIRECT(ADDRESS(2,COLUMN())),OFFSET($BN$2,0,0,ROW()-1,60),ROW()-1,FALSE))</f>
        <v/>
      </c>
      <c r="BG451" t="str">
        <f ca="1">IF(AND(ISNUMBER($BG$949),$B$511=1),$BG$949,HLOOKUP(INDIRECT(ADDRESS(2,COLUMN())),OFFSET($BN$2,0,0,ROW()-1,60),ROW()-1,FALSE))</f>
        <v/>
      </c>
      <c r="BH451" t="str">
        <f ca="1">IF(AND(ISNUMBER($BH$949),$B$511=1),$BH$949,HLOOKUP(INDIRECT(ADDRESS(2,COLUMN())),OFFSET($BN$2,0,0,ROW()-1,60),ROW()-1,FALSE))</f>
        <v/>
      </c>
      <c r="BI451" t="str">
        <f ca="1">IF(AND(ISNUMBER($BI$949),$B$511=1),$BI$949,HLOOKUP(INDIRECT(ADDRESS(2,COLUMN())),OFFSET($BN$2,0,0,ROW()-1,60),ROW()-1,FALSE))</f>
        <v/>
      </c>
      <c r="BJ451" t="str">
        <f ca="1">IF(AND(ISNUMBER($BJ$949),$B$511=1),$BJ$949,HLOOKUP(INDIRECT(ADDRESS(2,COLUMN())),OFFSET($BN$2,0,0,ROW()-1,60),ROW()-1,FALSE))</f>
        <v/>
      </c>
      <c r="BK451" t="str">
        <f ca="1">IF(AND(ISNUMBER($BK$949),$B$511=1),$BK$949,HLOOKUP(INDIRECT(ADDRESS(2,COLUMN())),OFFSET($BN$2,0,0,ROW()-1,60),ROW()-1,FALSE))</f>
        <v/>
      </c>
      <c r="BL451" t="str">
        <f ca="1">IF(AND(ISNUMBER($BL$949),$B$511=1),$BL$949,HLOOKUP(INDIRECT(ADDRESS(2,COLUMN())),OFFSET($BN$2,0,0,ROW()-1,60),ROW()-1,FALSE))</f>
        <v/>
      </c>
      <c r="BM451" t="str">
        <f ca="1">IF(AND(ISNUMBER($BM$949),$B$511=1),$BM$949,HLOOKUP(INDIRECT(ADDRESS(2,COLUMN())),OFFSET($BN$2,0,0,ROW()-1,60),ROW()-1,FALSE))</f>
        <v/>
      </c>
      <c r="BN451" t="str">
        <f>""</f>
        <v/>
      </c>
      <c r="BO451" t="str">
        <f>""</f>
        <v/>
      </c>
      <c r="BP451" t="str">
        <f>""</f>
        <v/>
      </c>
      <c r="BQ451" t="str">
        <f>""</f>
        <v/>
      </c>
      <c r="BR451" t="str">
        <f>""</f>
        <v/>
      </c>
      <c r="BS451" t="str">
        <f>""</f>
        <v/>
      </c>
      <c r="BT451" t="str">
        <f>""</f>
        <v/>
      </c>
      <c r="BU451" t="str">
        <f>""</f>
        <v/>
      </c>
      <c r="BV451" t="str">
        <f>""</f>
        <v/>
      </c>
      <c r="BW451" t="str">
        <f>""</f>
        <v/>
      </c>
      <c r="BX451" t="str">
        <f>""</f>
        <v/>
      </c>
      <c r="BY451" t="str">
        <f>""</f>
        <v/>
      </c>
      <c r="BZ451" t="str">
        <f>""</f>
        <v/>
      </c>
      <c r="CA451" t="str">
        <f>""</f>
        <v/>
      </c>
      <c r="CB451" t="str">
        <f>""</f>
        <v/>
      </c>
      <c r="CC451" t="str">
        <f>""</f>
        <v/>
      </c>
      <c r="CD451" t="str">
        <f>""</f>
        <v/>
      </c>
      <c r="CE451" t="str">
        <f>""</f>
        <v/>
      </c>
      <c r="CF451" t="str">
        <f>""</f>
        <v/>
      </c>
      <c r="CG451" t="str">
        <f>""</f>
        <v/>
      </c>
      <c r="CH451" t="str">
        <f>""</f>
        <v/>
      </c>
      <c r="CI451" t="str">
        <f>""</f>
        <v/>
      </c>
      <c r="CJ451" t="str">
        <f>""</f>
        <v/>
      </c>
      <c r="CK451" t="str">
        <f>""</f>
        <v/>
      </c>
      <c r="CL451" t="str">
        <f>""</f>
        <v/>
      </c>
      <c r="CM451" t="str">
        <f>""</f>
        <v/>
      </c>
      <c r="CN451" t="str">
        <f>""</f>
        <v/>
      </c>
      <c r="CO451" t="str">
        <f>""</f>
        <v/>
      </c>
      <c r="CP451" t="str">
        <f>""</f>
        <v/>
      </c>
      <c r="CQ451" t="str">
        <f>""</f>
        <v/>
      </c>
      <c r="CR451" t="str">
        <f>""</f>
        <v/>
      </c>
      <c r="CS451" t="str">
        <f>""</f>
        <v/>
      </c>
      <c r="CT451" t="str">
        <f>""</f>
        <v/>
      </c>
      <c r="CU451" t="str">
        <f>""</f>
        <v/>
      </c>
      <c r="CV451" t="str">
        <f>""</f>
        <v/>
      </c>
      <c r="CW451" t="str">
        <f>""</f>
        <v/>
      </c>
      <c r="CX451" t="str">
        <f>""</f>
        <v/>
      </c>
      <c r="CY451" t="str">
        <f>""</f>
        <v/>
      </c>
      <c r="CZ451" t="str">
        <f>""</f>
        <v/>
      </c>
      <c r="DA451" t="str">
        <f>""</f>
        <v/>
      </c>
      <c r="DB451" t="str">
        <f>""</f>
        <v/>
      </c>
      <c r="DC451" t="str">
        <f>""</f>
        <v/>
      </c>
      <c r="DD451" t="str">
        <f>""</f>
        <v/>
      </c>
      <c r="DE451" t="str">
        <f>""</f>
        <v/>
      </c>
      <c r="DF451" t="str">
        <f>""</f>
        <v/>
      </c>
      <c r="DG451" t="str">
        <f>""</f>
        <v/>
      </c>
      <c r="DH451" t="str">
        <f>""</f>
        <v/>
      </c>
      <c r="DI451" t="str">
        <f>""</f>
        <v/>
      </c>
      <c r="DJ451" t="str">
        <f>""</f>
        <v/>
      </c>
      <c r="DK451" t="str">
        <f>""</f>
        <v/>
      </c>
      <c r="DL451" t="str">
        <f>""</f>
        <v/>
      </c>
      <c r="DM451" t="str">
        <f>""</f>
        <v/>
      </c>
      <c r="DN451" t="str">
        <f>""</f>
        <v/>
      </c>
      <c r="DO451" t="str">
        <f>""</f>
        <v/>
      </c>
      <c r="DP451" t="str">
        <f>""</f>
        <v/>
      </c>
      <c r="DQ451" t="str">
        <f>""</f>
        <v/>
      </c>
      <c r="DR451" t="str">
        <f>""</f>
        <v/>
      </c>
      <c r="DS451" t="str">
        <f>""</f>
        <v/>
      </c>
      <c r="DT451" t="str">
        <f>""</f>
        <v/>
      </c>
      <c r="DU451" t="str">
        <f>""</f>
        <v/>
      </c>
    </row>
    <row r="452" spans="1:125" x14ac:dyDescent="0.25">
      <c r="A452" t="str">
        <f>"    Toyota Motor Corp"</f>
        <v xml:space="preserve">    Toyota Motor Corp</v>
      </c>
      <c r="B452" t="str">
        <f>"7203 JP Equity"</f>
        <v>7203 JP Equity</v>
      </c>
      <c r="C452" t="str">
        <f t="shared" si="30"/>
        <v>PR005</v>
      </c>
      <c r="D452" t="str">
        <f t="shared" si="31"/>
        <v>PX_LAST</v>
      </c>
      <c r="E452" t="str">
        <f t="shared" si="32"/>
        <v>Dynamic</v>
      </c>
      <c r="F452">
        <f ca="1">IF(AND(ISNUMBER($F$950),$B$511=1),$F$950,HLOOKUP(INDIRECT(ADDRESS(2,COLUMN())),OFFSET($BN$2,0,0,ROW()-1,60),ROW()-1,FALSE))</f>
        <v>60.10051137</v>
      </c>
      <c r="G452">
        <f ca="1">IF(AND(ISNUMBER($G$950),$B$511=1),$G$950,HLOOKUP(INDIRECT(ADDRESS(2,COLUMN())),OFFSET($BN$2,0,0,ROW()-1,60),ROW()-1,FALSE))</f>
        <v>58.020106869999999</v>
      </c>
      <c r="H452">
        <f ca="1">IF(AND(ISNUMBER($H$950),$B$511=1),$H$950,HLOOKUP(INDIRECT(ADDRESS(2,COLUMN())),OFFSET($BN$2,0,0,ROW()-1,60),ROW()-1,FALSE))</f>
        <v>62.511013220000002</v>
      </c>
      <c r="I452">
        <f ca="1">IF(AND(ISNUMBER($I$950),$B$511=1),$I$950,HLOOKUP(INDIRECT(ADDRESS(2,COLUMN())),OFFSET($BN$2,0,0,ROW()-1,60),ROW()-1,FALSE))</f>
        <v>64.722874169999997</v>
      </c>
      <c r="J452">
        <f ca="1">IF(AND(ISNUMBER($J$950),$B$511=1),$J$950,HLOOKUP(INDIRECT(ADDRESS(2,COLUMN())),OFFSET($BN$2,0,0,ROW()-1,60),ROW()-1,FALSE))</f>
        <v>64.253436260000001</v>
      </c>
      <c r="K452">
        <f ca="1">IF(AND(ISNUMBER($K$950),$B$511=1),$K$950,HLOOKUP(INDIRECT(ADDRESS(2,COLUMN())),OFFSET($BN$2,0,0,ROW()-1,60),ROW()-1,FALSE))</f>
        <v>64.06999467</v>
      </c>
      <c r="L452">
        <f ca="1">IF(AND(ISNUMBER($L$950),$B$511=1),$L$950,HLOOKUP(INDIRECT(ADDRESS(2,COLUMN())),OFFSET($BN$2,0,0,ROW()-1,60),ROW()-1,FALSE))</f>
        <v>59.580891489999999</v>
      </c>
      <c r="M452">
        <f ca="1">IF(AND(ISNUMBER($M$950),$B$511=1),$M$950,HLOOKUP(INDIRECT(ADDRESS(2,COLUMN())),OFFSET($BN$2,0,0,ROW()-1,60),ROW()-1,FALSE))</f>
        <v>52.452158429999997</v>
      </c>
      <c r="N452">
        <f ca="1">IF(AND(ISNUMBER($N$950),$B$511=1),$N$950,HLOOKUP(INDIRECT(ADDRESS(2,COLUMN())),OFFSET($BN$2,0,0,ROW()-1,60),ROW()-1,FALSE))</f>
        <v>54.280837300000002</v>
      </c>
      <c r="O452">
        <f ca="1">IF(AND(ISNUMBER($O$950),$B$511=1),$O$950,HLOOKUP(INDIRECT(ADDRESS(2,COLUMN())),OFFSET($BN$2,0,0,ROW()-1,60),ROW()-1,FALSE))</f>
        <v>58.96776406</v>
      </c>
      <c r="P452">
        <f ca="1">IF(AND(ISNUMBER($P$950),$B$511=1),$P$950,HLOOKUP(INDIRECT(ADDRESS(2,COLUMN())),OFFSET($BN$2,0,0,ROW()-1,60),ROW()-1,FALSE))</f>
        <v>56.975253870000003</v>
      </c>
      <c r="Q452">
        <f ca="1">IF(AND(ISNUMBER($Q$950),$B$511=1),$Q$950,HLOOKUP(INDIRECT(ADDRESS(2,COLUMN())),OFFSET($BN$2,0,0,ROW()-1,60),ROW()-1,FALSE))</f>
        <v>48.958232389999999</v>
      </c>
      <c r="R452">
        <f ca="1">IF(AND(ISNUMBER($R$950),$B$511=1),$R$950,HLOOKUP(INDIRECT(ADDRESS(2,COLUMN())),OFFSET($BN$2,0,0,ROW()-1,60),ROW()-1,FALSE))</f>
        <v>52.90666667</v>
      </c>
      <c r="S452">
        <f ca="1">IF(AND(ISNUMBER($S$950),$B$511=1),$S$950,HLOOKUP(INDIRECT(ADDRESS(2,COLUMN())),OFFSET($BN$2,0,0,ROW()-1,60),ROW()-1,FALSE))</f>
        <v>62.084404280000001</v>
      </c>
      <c r="T452">
        <f ca="1">IF(AND(ISNUMBER($T$950),$B$511=1),$T$950,HLOOKUP(INDIRECT(ADDRESS(2,COLUMN())),OFFSET($BN$2,0,0,ROW()-1,60),ROW()-1,FALSE))</f>
        <v>58.251859279999998</v>
      </c>
      <c r="U452">
        <f ca="1">IF(AND(ISNUMBER($U$950),$B$511=1),$U$950,HLOOKUP(INDIRECT(ADDRESS(2,COLUMN())),OFFSET($BN$2,0,0,ROW()-1,60),ROW()-1,FALSE))</f>
        <v>67.171634460000007</v>
      </c>
      <c r="V452">
        <f ca="1">IF(AND(ISNUMBER($V$950),$B$511=1),$V$950,HLOOKUP(INDIRECT(ADDRESS(2,COLUMN())),OFFSET($BN$2,0,0,ROW()-1,60),ROW()-1,FALSE))</f>
        <v>69.887453109999996</v>
      </c>
      <c r="W452">
        <f ca="1">IF(AND(ISNUMBER($W$950),$B$511=1),$W$950,HLOOKUP(INDIRECT(ADDRESS(2,COLUMN())),OFFSET($BN$2,0,0,ROW()-1,60),ROW()-1,FALSE))</f>
        <v>63.268039510000001</v>
      </c>
      <c r="X452">
        <f ca="1">IF(AND(ISNUMBER($X$950),$B$511=1),$X$950,HLOOKUP(INDIRECT(ADDRESS(2,COLUMN())),OFFSET($BN$2,0,0,ROW()-1,60),ROW()-1,FALSE))</f>
        <v>58.936713480000002</v>
      </c>
      <c r="Y452">
        <f ca="1">IF(AND(ISNUMBER($Y$950),$B$511=1),$Y$950,HLOOKUP(INDIRECT(ADDRESS(2,COLUMN())),OFFSET($BN$2,0,0,ROW()-1,60),ROW()-1,FALSE))</f>
        <v>60.065159440000002</v>
      </c>
      <c r="Z452">
        <f ca="1">IF(AND(ISNUMBER($Z$950),$B$511=1),$Z$950,HLOOKUP(INDIRECT(ADDRESS(2,COLUMN())),OFFSET($BN$2,0,0,ROW()-1,60),ROW()-1,FALSE))</f>
        <v>56.524691959999998</v>
      </c>
      <c r="AA452">
        <f ca="1">IF(AND(ISNUMBER($AA$950),$B$511=1),$AA$950,HLOOKUP(INDIRECT(ADDRESS(2,COLUMN())),OFFSET($BN$2,0,0,ROW()-1,60),ROW()-1,FALSE))</f>
        <v>61.096307580000001</v>
      </c>
      <c r="AB452">
        <f ca="1">IF(AND(ISNUMBER($AB$950),$B$511=1),$AB$950,HLOOKUP(INDIRECT(ADDRESS(2,COLUMN())),OFFSET($BN$2,0,0,ROW()-1,60),ROW()-1,FALSE))</f>
        <v>63.84278587</v>
      </c>
      <c r="AC452">
        <f ca="1">IF(AND(ISNUMBER($AC$950),$B$511=1),$AC$950,HLOOKUP(INDIRECT(ADDRESS(2,COLUMN())),OFFSET($BN$2,0,0,ROW()-1,60),ROW()-1,FALSE))</f>
        <v>60.304037049999998</v>
      </c>
      <c r="AD452">
        <f ca="1">IF(AND(ISNUMBER($AD$950),$B$511=1),$AD$950,HLOOKUP(INDIRECT(ADDRESS(2,COLUMN())),OFFSET($BN$2,0,0,ROW()-1,60),ROW()-1,FALSE))</f>
        <v>51.581405220000001</v>
      </c>
      <c r="AE452">
        <f ca="1">IF(AND(ISNUMBER($AE$950),$B$511=1),$AE$950,HLOOKUP(INDIRECT(ADDRESS(2,COLUMN())),OFFSET($BN$2,0,0,ROW()-1,60),ROW()-1,FALSE))</f>
        <v>46.526486990000002</v>
      </c>
      <c r="AF452">
        <f ca="1">IF(AND(ISNUMBER($AF$950),$B$511=1),$AF$950,HLOOKUP(INDIRECT(ADDRESS(2,COLUMN())),OFFSET($BN$2,0,0,ROW()-1,60),ROW()-1,FALSE))</f>
        <v>39.014373720000002</v>
      </c>
      <c r="AG452">
        <f ca="1">IF(AND(ISNUMBER($AG$950),$B$511=1),$AG$950,HLOOKUP(INDIRECT(ADDRESS(2,COLUMN())),OFFSET($BN$2,0,0,ROW()-1,60),ROW()-1,FALSE))</f>
        <v>39.974937339999997</v>
      </c>
      <c r="AH452">
        <f ca="1">IF(AND(ISNUMBER($AH$950),$B$511=1),$AH$950,HLOOKUP(INDIRECT(ADDRESS(2,COLUMN())),OFFSET($BN$2,0,0,ROW()-1,60),ROW()-1,FALSE))</f>
        <v>43.204647219999998</v>
      </c>
      <c r="AI452">
        <f ca="1">IF(AND(ISNUMBER($AI$950),$B$511=1),$AI$950,HLOOKUP(INDIRECT(ADDRESS(2,COLUMN())),OFFSET($BN$2,0,0,ROW()-1,60),ROW()-1,FALSE))</f>
        <v>33.316015069999999</v>
      </c>
      <c r="AJ452">
        <f ca="1">IF(AND(ISNUMBER($AJ$950),$B$511=1),$AJ$950,HLOOKUP(INDIRECT(ADDRESS(2,COLUMN())),OFFSET($BN$2,0,0,ROW()-1,60),ROW()-1,FALSE))</f>
        <v>34.84573503</v>
      </c>
      <c r="AK452">
        <f ca="1">IF(AND(ISNUMBER($AK$950),$B$511=1),$AK$950,HLOOKUP(INDIRECT(ADDRESS(2,COLUMN())),OFFSET($BN$2,0,0,ROW()-1,60),ROW()-1,FALSE))</f>
        <v>40.342601790000003</v>
      </c>
      <c r="AL452">
        <f ca="1">IF(AND(ISNUMBER($AL$950),$B$511=1),$AL$950,HLOOKUP(INDIRECT(ADDRESS(2,COLUMN())),OFFSET($BN$2,0,0,ROW()-1,60),ROW()-1,FALSE))</f>
        <v>40.444283470000002</v>
      </c>
      <c r="AM452">
        <f ca="1">IF(AND(ISNUMBER($AM$950),$B$511=1),$AM$950,HLOOKUP(INDIRECT(ADDRESS(2,COLUMN())),OFFSET($BN$2,0,0,ROW()-1,60),ROW()-1,FALSE))</f>
        <v>39.39319794</v>
      </c>
      <c r="AN452">
        <f ca="1">IF(AND(ISNUMBER($AN$950),$B$511=1),$AN$950,HLOOKUP(INDIRECT(ADDRESS(2,COLUMN())),OFFSET($BN$2,0,0,ROW()-1,60),ROW()-1,FALSE))</f>
        <v>35.921399469999997</v>
      </c>
      <c r="AO452">
        <f ca="1">IF(AND(ISNUMBER($AO$950),$B$511=1),$AO$950,HLOOKUP(INDIRECT(ADDRESS(2,COLUMN())),OFFSET($BN$2,0,0,ROW()-1,60),ROW()-1,FALSE))</f>
        <v>34.770828629999997</v>
      </c>
      <c r="AP452">
        <f ca="1">IF(AND(ISNUMBER($AP$950),$B$511=1),$AP$950,HLOOKUP(INDIRECT(ADDRESS(2,COLUMN())),OFFSET($BN$2,0,0,ROW()-1,60),ROW()-1,FALSE))</f>
        <v>40.079195210000002</v>
      </c>
      <c r="AQ452">
        <f ca="1">IF(AND(ISNUMBER($AQ$950),$B$511=1),$AQ$950,HLOOKUP(INDIRECT(ADDRESS(2,COLUMN())),OFFSET($BN$2,0,0,ROW()-1,60),ROW()-1,FALSE))</f>
        <v>42.00043299</v>
      </c>
      <c r="AR452">
        <f ca="1">IF(AND(ISNUMBER($AR$950),$B$511=1),$AR$950,HLOOKUP(INDIRECT(ADDRESS(2,COLUMN())),OFFSET($BN$2,0,0,ROW()-1,60),ROW()-1,FALSE))</f>
        <v>39.80820696</v>
      </c>
      <c r="AS452">
        <f ca="1">IF(AND(ISNUMBER($AS$950),$B$511=1),$AS$950,HLOOKUP(INDIRECT(ADDRESS(2,COLUMN())),OFFSET($BN$2,0,0,ROW()-1,60),ROW()-1,FALSE))</f>
        <v>38.102159469999997</v>
      </c>
      <c r="AT452">
        <f ca="1">IF(AND(ISNUMBER($AT$950),$B$511=1),$AT$950,HLOOKUP(INDIRECT(ADDRESS(2,COLUMN())),OFFSET($BN$2,0,0,ROW()-1,60),ROW()-1,FALSE))</f>
        <v>31.404126819999998</v>
      </c>
      <c r="AU452">
        <f ca="1">IF(AND(ISNUMBER($AU$950),$B$511=1),$AU$950,HLOOKUP(INDIRECT(ADDRESS(2,COLUMN())),OFFSET($BN$2,0,0,ROW()-1,60),ROW()-1,FALSE))</f>
        <v>31.606332340000002</v>
      </c>
      <c r="AV452">
        <f ca="1">IF(AND(ISNUMBER($AV$950),$B$511=1),$AV$950,HLOOKUP(INDIRECT(ADDRESS(2,COLUMN())),OFFSET($BN$2,0,0,ROW()-1,60),ROW()-1,FALSE))</f>
        <v>41.246821730000001</v>
      </c>
      <c r="AW452">
        <f ca="1">IF(AND(ISNUMBER($AW$950),$B$511=1),$AW$950,HLOOKUP(INDIRECT(ADDRESS(2,COLUMN())),OFFSET($BN$2,0,0,ROW()-1,60),ROW()-1,FALSE))</f>
        <v>47.17958376</v>
      </c>
      <c r="AX452">
        <f ca="1">IF(AND(ISNUMBER($AX$950),$B$511=1),$AX$950,HLOOKUP(INDIRECT(ADDRESS(2,COLUMN())),OFFSET($BN$2,0,0,ROW()-1,60),ROW()-1,FALSE))</f>
        <v>49.769677549999997</v>
      </c>
      <c r="AY452">
        <f ca="1">IF(AND(ISNUMBER($AY$950),$B$511=1),$AY$950,HLOOKUP(INDIRECT(ADDRESS(2,COLUMN())),OFFSET($BN$2,0,0,ROW()-1,60),ROW()-1,FALSE))</f>
        <v>53.546099290000001</v>
      </c>
      <c r="AZ452">
        <f ca="1">IF(AND(ISNUMBER($AZ$950),$B$511=1),$AZ$950,HLOOKUP(INDIRECT(ADDRESS(2,COLUMN())),OFFSET($BN$2,0,0,ROW()-1,60),ROW()-1,FALSE))</f>
        <v>59.059233450000001</v>
      </c>
      <c r="BA452">
        <f ca="1">IF(AND(ISNUMBER($BA$950),$B$511=1),$BA$950,HLOOKUP(INDIRECT(ADDRESS(2,COLUMN())),OFFSET($BN$2,0,0,ROW()-1,60),ROW()-1,FALSE))</f>
        <v>63.280869709999997</v>
      </c>
      <c r="BB452">
        <f ca="1">IF(AND(ISNUMBER($BB$950),$B$511=1),$BB$950,HLOOKUP(INDIRECT(ADDRESS(2,COLUMN())),OFFSET($BN$2,0,0,ROW()-1,60),ROW()-1,FALSE))</f>
        <v>64.206139980000003</v>
      </c>
      <c r="BC452">
        <f ca="1">IF(AND(ISNUMBER($BC$950),$B$511=1),$BC$950,HLOOKUP(INDIRECT(ADDRESS(2,COLUMN())),OFFSET($BN$2,0,0,ROW()-1,60),ROW()-1,FALSE))</f>
        <v>66.845817940000003</v>
      </c>
      <c r="BD452">
        <f ca="1">IF(AND(ISNUMBER($BD$950),$B$511=1),$BD$950,HLOOKUP(INDIRECT(ADDRESS(2,COLUMN())),OFFSET($BN$2,0,0,ROW()-1,60),ROW()-1,FALSE))</f>
        <v>54.397559739999998</v>
      </c>
      <c r="BE452">
        <f ca="1">IF(AND(ISNUMBER($BE$950),$B$511=1),$BE$950,HLOOKUP(INDIRECT(ADDRESS(2,COLUMN())),OFFSET($BN$2,0,0,ROW()-1,60),ROW()-1,FALSE))</f>
        <v>52.328120910000003</v>
      </c>
      <c r="BF452">
        <f ca="1">IF(AND(ISNUMBER($BF$950),$B$511=1),$BF$950,HLOOKUP(INDIRECT(ADDRESS(2,COLUMN())),OFFSET($BN$2,0,0,ROW()-1,60),ROW()-1,FALSE))</f>
        <v>54.723404260000002</v>
      </c>
      <c r="BG452">
        <f ca="1">IF(AND(ISNUMBER($BG$950),$B$511=1),$BG$950,HLOOKUP(INDIRECT(ADDRESS(2,COLUMN())),OFFSET($BN$2,0,0,ROW()-1,60),ROW()-1,FALSE))</f>
        <v>51.877595999999997</v>
      </c>
      <c r="BH452">
        <f ca="1">IF(AND(ISNUMBER($BH$950),$B$511=1),$BH$950,HLOOKUP(INDIRECT(ADDRESS(2,COLUMN())),OFFSET($BN$2,0,0,ROW()-1,60),ROW()-1,FALSE))</f>
        <v>45.790771399999997</v>
      </c>
      <c r="BI452">
        <f ca="1">IF(AND(ISNUMBER($BI$950),$B$511=1),$BI$950,HLOOKUP(INDIRECT(ADDRESS(2,COLUMN())),OFFSET($BN$2,0,0,ROW()-1,60),ROW()-1,FALSE))</f>
        <v>35.788334990000003</v>
      </c>
      <c r="BJ452">
        <f ca="1">IF(AND(ISNUMBER($BJ$950),$B$511=1),$BJ$950,HLOOKUP(INDIRECT(ADDRESS(2,COLUMN())),OFFSET($BN$2,0,0,ROW()-1,60),ROW()-1,FALSE))</f>
        <v>37.220149249999999</v>
      </c>
      <c r="BK452">
        <f ca="1">IF(AND(ISNUMBER($BK$950),$B$511=1),$BK$950,HLOOKUP(INDIRECT(ADDRESS(2,COLUMN())),OFFSET($BN$2,0,0,ROW()-1,60),ROW()-1,FALSE))</f>
        <v>40.465793300000001</v>
      </c>
      <c r="BL452">
        <f ca="1">IF(AND(ISNUMBER($BL$950),$B$511=1),$BL$950,HLOOKUP(INDIRECT(ADDRESS(2,COLUMN())),OFFSET($BN$2,0,0,ROW()-1,60),ROW()-1,FALSE))</f>
        <v>38.388065130000001</v>
      </c>
      <c r="BM452">
        <f ca="1">IF(AND(ISNUMBER($BM$950),$B$511=1),$BM$950,HLOOKUP(INDIRECT(ADDRESS(2,COLUMN())),OFFSET($BN$2,0,0,ROW()-1,60),ROW()-1,FALSE))</f>
        <v>40.41327604</v>
      </c>
      <c r="BN452">
        <f>60.10051137</f>
        <v>60.10051137</v>
      </c>
      <c r="BO452">
        <f>58.02010687</f>
        <v>58.020106869999999</v>
      </c>
      <c r="BP452">
        <f>62.51101322</f>
        <v>62.511013220000002</v>
      </c>
      <c r="BQ452">
        <f>64.72287417</f>
        <v>64.722874169999997</v>
      </c>
      <c r="BR452">
        <f>64.25343626</f>
        <v>64.253436260000001</v>
      </c>
      <c r="BS452">
        <f>64.06999467</f>
        <v>64.06999467</v>
      </c>
      <c r="BT452">
        <f>59.58089149</f>
        <v>59.580891489999999</v>
      </c>
      <c r="BU452">
        <f>52.45215843</f>
        <v>52.452158429999997</v>
      </c>
      <c r="BV452">
        <f>54.2808373</f>
        <v>54.280837300000002</v>
      </c>
      <c r="BW452">
        <f>58.96776406</f>
        <v>58.96776406</v>
      </c>
      <c r="BX452">
        <f>56.97525387</f>
        <v>56.975253870000003</v>
      </c>
      <c r="BY452">
        <f>48.95823239</f>
        <v>48.958232389999999</v>
      </c>
      <c r="BZ452">
        <f>52.90666667</f>
        <v>52.90666667</v>
      </c>
      <c r="CA452">
        <f>62.08440428</f>
        <v>62.084404280000001</v>
      </c>
      <c r="CB452">
        <f>58.25185928</f>
        <v>58.251859279999998</v>
      </c>
      <c r="CC452">
        <f>67.17163446</f>
        <v>67.171634460000007</v>
      </c>
      <c r="CD452">
        <f>69.88745311</f>
        <v>69.887453109999996</v>
      </c>
      <c r="CE452">
        <f>63.26803951</f>
        <v>63.268039510000001</v>
      </c>
      <c r="CF452">
        <f>58.93671348</f>
        <v>58.936713480000002</v>
      </c>
      <c r="CG452">
        <f>60.06515944</f>
        <v>60.065159440000002</v>
      </c>
      <c r="CH452">
        <f>56.52469196</f>
        <v>56.524691959999998</v>
      </c>
      <c r="CI452">
        <f>61.09630758</f>
        <v>61.096307580000001</v>
      </c>
      <c r="CJ452">
        <f>63.84278587</f>
        <v>63.84278587</v>
      </c>
      <c r="CK452">
        <f>60.30403705</f>
        <v>60.304037049999998</v>
      </c>
      <c r="CL452">
        <f>51.58140522</f>
        <v>51.581405220000001</v>
      </c>
      <c r="CM452">
        <f>46.52648699</f>
        <v>46.526486990000002</v>
      </c>
      <c r="CN452">
        <f>39.01437372</f>
        <v>39.014373720000002</v>
      </c>
      <c r="CO452">
        <f>39.97493734</f>
        <v>39.974937339999997</v>
      </c>
      <c r="CP452">
        <f>43.20464722</f>
        <v>43.204647219999998</v>
      </c>
      <c r="CQ452">
        <f>33.31601507</f>
        <v>33.316015069999999</v>
      </c>
      <c r="CR452">
        <f>34.84573503</f>
        <v>34.84573503</v>
      </c>
      <c r="CS452">
        <f>40.34260179</f>
        <v>40.342601790000003</v>
      </c>
      <c r="CT452">
        <f>40.44428347</f>
        <v>40.444283470000002</v>
      </c>
      <c r="CU452">
        <f>39.39319794</f>
        <v>39.39319794</v>
      </c>
      <c r="CV452">
        <f>35.92139947</f>
        <v>35.921399469999997</v>
      </c>
      <c r="CW452">
        <f>34.77082863</f>
        <v>34.770828629999997</v>
      </c>
      <c r="CX452">
        <f>40.07919521</f>
        <v>40.079195210000002</v>
      </c>
      <c r="CY452">
        <f>42.00043299</f>
        <v>42.00043299</v>
      </c>
      <c r="CZ452">
        <f>39.80820696</f>
        <v>39.80820696</v>
      </c>
      <c r="DA452">
        <f>38.10215947</f>
        <v>38.102159469999997</v>
      </c>
      <c r="DB452">
        <f>31.40412682</f>
        <v>31.404126819999998</v>
      </c>
      <c r="DC452">
        <f>31.60633234</f>
        <v>31.606332340000002</v>
      </c>
      <c r="DD452">
        <f>41.24682173</f>
        <v>41.246821730000001</v>
      </c>
      <c r="DE452">
        <f>47.17958376</f>
        <v>47.17958376</v>
      </c>
      <c r="DF452">
        <f>49.76967755</f>
        <v>49.769677549999997</v>
      </c>
      <c r="DG452">
        <f>53.54609929</f>
        <v>53.546099290000001</v>
      </c>
      <c r="DH452">
        <f>59.05923345</f>
        <v>59.059233450000001</v>
      </c>
      <c r="DI452">
        <f>63.28086971</f>
        <v>63.280869709999997</v>
      </c>
      <c r="DJ452">
        <f>64.20613998</f>
        <v>64.206139980000003</v>
      </c>
      <c r="DK452">
        <f>66.84581794</f>
        <v>66.845817940000003</v>
      </c>
      <c r="DL452">
        <f>54.39755974</f>
        <v>54.397559739999998</v>
      </c>
      <c r="DM452">
        <f>52.32812091</f>
        <v>52.328120910000003</v>
      </c>
      <c r="DN452">
        <f>54.72340426</f>
        <v>54.723404260000002</v>
      </c>
      <c r="DO452">
        <f>51.877596</f>
        <v>51.877595999999997</v>
      </c>
      <c r="DP452">
        <f>45.7907714</f>
        <v>45.790771399999997</v>
      </c>
      <c r="DQ452">
        <f>35.78833499</f>
        <v>35.788334990000003</v>
      </c>
      <c r="DR452">
        <f>37.22014925</f>
        <v>37.220149249999999</v>
      </c>
      <c r="DS452">
        <f>40.4657933</f>
        <v>40.465793300000001</v>
      </c>
      <c r="DT452">
        <f>38.38806513</f>
        <v>38.388065130000001</v>
      </c>
      <c r="DU452">
        <f>40.41327604</f>
        <v>40.41327604</v>
      </c>
    </row>
    <row r="453" spans="1:125" x14ac:dyDescent="0.25">
      <c r="A453" t="str">
        <f>"    Volkswagen AG"</f>
        <v xml:space="preserve">    Volkswagen AG</v>
      </c>
      <c r="B453" t="str">
        <f>"VOW GR Equity"</f>
        <v>VOW GR Equity</v>
      </c>
      <c r="C453" t="str">
        <f t="shared" si="30"/>
        <v>PR005</v>
      </c>
      <c r="D453" t="str">
        <f t="shared" si="31"/>
        <v>PX_LAST</v>
      </c>
      <c r="E453" t="str">
        <f t="shared" si="32"/>
        <v>Dynamic</v>
      </c>
      <c r="F453">
        <f ca="1">IF(AND(ISNUMBER($F$951),$B$511=1),$F$951,HLOOKUP(INDIRECT(ADDRESS(2,COLUMN())),OFFSET($BN$2,0,0,ROW()-1,60),ROW()-1,FALSE))</f>
        <v>176.67425739999999</v>
      </c>
      <c r="G453">
        <f ca="1">IF(AND(ISNUMBER($G$951),$B$511=1),$G$951,HLOOKUP(INDIRECT(ADDRESS(2,COLUMN())),OFFSET($BN$2,0,0,ROW()-1,60),ROW()-1,FALSE))</f>
        <v>159.14430999999999</v>
      </c>
      <c r="H453">
        <f ca="1">IF(AND(ISNUMBER($H$951),$B$511=1),$H$951,HLOOKUP(INDIRECT(ADDRESS(2,COLUMN())),OFFSET($BN$2,0,0,ROW()-1,60),ROW()-1,FALSE))</f>
        <v>173.39702</v>
      </c>
      <c r="I453">
        <f ca="1">IF(AND(ISNUMBER($I$951),$B$511=1),$I$951,HLOOKUP(INDIRECT(ADDRESS(2,COLUMN())),OFFSET($BN$2,0,0,ROW()-1,60),ROW()-1,FALSE))</f>
        <v>165.22954999999999</v>
      </c>
      <c r="J453">
        <f ca="1">IF(AND(ISNUMBER($J$951),$B$511=1),$J$951,HLOOKUP(INDIRECT(ADDRESS(2,COLUMN())),OFFSET($BN$2,0,0,ROW()-1,60),ROW()-1,FALSE))</f>
        <v>200.22039000000001</v>
      </c>
      <c r="K453">
        <f ca="1">IF(AND(ISNUMBER($K$951),$B$511=1),$K$951,HLOOKUP(INDIRECT(ADDRESS(2,COLUMN())),OFFSET($BN$2,0,0,ROW()-1,60),ROW()-1,FALSE))</f>
        <v>202.81113999999999</v>
      </c>
      <c r="L453">
        <f ca="1">IF(AND(ISNUMBER($L$951),$B$511=1),$L$951,HLOOKUP(INDIRECT(ADDRESS(2,COLUMN())),OFFSET($BN$2,0,0,ROW()-1,60),ROW()-1,FALSE))</f>
        <v>168.723885</v>
      </c>
      <c r="M453">
        <f ca="1">IF(AND(ISNUMBER($M$951),$B$511=1),$M$951,HLOOKUP(INDIRECT(ADDRESS(2,COLUMN())),OFFSET($BN$2,0,0,ROW()-1,60),ROW()-1,FALSE))</f>
        <v>155.39940799999999</v>
      </c>
      <c r="N453">
        <f ca="1">IF(AND(ISNUMBER($N$951),$B$511=1),$N$951,HLOOKUP(INDIRECT(ADDRESS(2,COLUMN())),OFFSET($BN$2,0,0,ROW()-1,60),ROW()-1,FALSE))</f>
        <v>149.372908</v>
      </c>
      <c r="O453">
        <f ca="1">IF(AND(ISNUMBER($O$951),$B$511=1),$O$951,HLOOKUP(INDIRECT(ADDRESS(2,COLUMN())),OFFSET($BN$2,0,0,ROW()-1,60),ROW()-1,FALSE))</f>
        <v>144.23022499999999</v>
      </c>
      <c r="P453">
        <f ca="1">IF(AND(ISNUMBER($P$951),$B$511=1),$P$951,HLOOKUP(INDIRECT(ADDRESS(2,COLUMN())),OFFSET($BN$2,0,0,ROW()-1,60),ROW()-1,FALSE))</f>
        <v>144.29102800000001</v>
      </c>
      <c r="Q453">
        <f ca="1">IF(AND(ISNUMBER($Q$951),$B$511=1),$Q$951,HLOOKUP(INDIRECT(ADDRESS(2,COLUMN())),OFFSET($BN$2,0,0,ROW()-1,60),ROW()-1,FALSE))</f>
        <v>135.16811100000001</v>
      </c>
      <c r="R453">
        <f ca="1">IF(AND(ISNUMBER($R$951),$B$511=1),$R$951,HLOOKUP(INDIRECT(ADDRESS(2,COLUMN())),OFFSET($BN$2,0,0,ROW()-1,60),ROW()-1,FALSE))</f>
        <v>145.03946400000001</v>
      </c>
      <c r="S453">
        <f ca="1">IF(AND(ISNUMBER($S$951),$B$511=1),$S$951,HLOOKUP(INDIRECT(ADDRESS(2,COLUMN())),OFFSET($BN$2,0,0,ROW()-1,60),ROW()-1,FALSE))</f>
        <v>155.26353</v>
      </c>
      <c r="T453">
        <f ca="1">IF(AND(ISNUMBER($T$951),$B$511=1),$T$951,HLOOKUP(INDIRECT(ADDRESS(2,COLUMN())),OFFSET($BN$2,0,0,ROW()-1,60),ROW()-1,FALSE))</f>
        <v>119.47967</v>
      </c>
      <c r="U453">
        <f ca="1">IF(AND(ISNUMBER($U$951),$B$511=1),$U$951,HLOOKUP(INDIRECT(ADDRESS(2,COLUMN())),OFFSET($BN$2,0,0,ROW()-1,60),ROW()-1,FALSE))</f>
        <v>231.59204500000001</v>
      </c>
      <c r="V453">
        <f ca="1">IF(AND(ISNUMBER($V$951),$B$511=1),$V$951,HLOOKUP(INDIRECT(ADDRESS(2,COLUMN())),OFFSET($BN$2,0,0,ROW()-1,60),ROW()-1,FALSE))</f>
        <v>256.57299360000002</v>
      </c>
      <c r="W453">
        <f ca="1">IF(AND(ISNUMBER($W$951),$B$511=1),$W$951,HLOOKUP(INDIRECT(ADDRESS(2,COLUMN())),OFFSET($BN$2,0,0,ROW()-1,60),ROW()-1,FALSE))</f>
        <v>218.94757000000001</v>
      </c>
      <c r="X453">
        <f ca="1">IF(AND(ISNUMBER($X$951),$B$511=1),$X$951,HLOOKUP(INDIRECT(ADDRESS(2,COLUMN())),OFFSET($BN$2,0,0,ROW()-1,60),ROW()-1,FALSE))</f>
        <v>206.45889199999999</v>
      </c>
      <c r="Y453">
        <f ca="1">IF(AND(ISNUMBER($Y$951),$B$511=1),$Y$951,HLOOKUP(INDIRECT(ADDRESS(2,COLUMN())),OFFSET($BN$2,0,0,ROW()-1,60),ROW()-1,FALSE))</f>
        <v>257.74162999999999</v>
      </c>
      <c r="Z453">
        <f ca="1">IF(AND(ISNUMBER($Z$951),$B$511=1),$Z$951,HLOOKUP(INDIRECT(ADDRESS(2,COLUMN())),OFFSET($BN$2,0,0,ROW()-1,60),ROW()-1,FALSE))</f>
        <v>253.41857200000001</v>
      </c>
      <c r="AA453">
        <f ca="1">IF(AND(ISNUMBER($AA$951),$B$511=1),$AA$951,HLOOKUP(INDIRECT(ADDRESS(2,COLUMN())),OFFSET($BN$2,0,0,ROW()-1,60),ROW()-1,FALSE))</f>
        <v>271.72199999999998</v>
      </c>
      <c r="AB453">
        <f ca="1">IF(AND(ISNUMBER($AB$951),$B$511=1),$AB$951,HLOOKUP(INDIRECT(ADDRESS(2,COLUMN())),OFFSET($BN$2,0,0,ROW()-1,60),ROW()-1,FALSE))</f>
        <v>227.03664900000001</v>
      </c>
      <c r="AC453">
        <f ca="1">IF(AND(ISNUMBER($AC$951),$B$511=1),$AC$951,HLOOKUP(INDIRECT(ADDRESS(2,COLUMN())),OFFSET($BN$2,0,0,ROW()-1,60),ROW()-1,FALSE))</f>
        <v>194.94495000000001</v>
      </c>
      <c r="AD453">
        <f ca="1">IF(AND(ISNUMBER($AD$951),$B$511=1),$AD$951,HLOOKUP(INDIRECT(ADDRESS(2,COLUMN())),OFFSET($BN$2,0,0,ROW()-1,60),ROW()-1,FALSE))</f>
        <v>187.9730844</v>
      </c>
      <c r="AE453">
        <f ca="1">IF(AND(ISNUMBER($AE$951),$B$511=1),$AE$951,HLOOKUP(INDIRECT(ADDRESS(2,COLUMN())),OFFSET($BN$2,0,0,ROW()-1,60),ROW()-1,FALSE))</f>
        <v>215.18805</v>
      </c>
      <c r="AF453">
        <f ca="1">IF(AND(ISNUMBER($AF$951),$B$511=1),$AF$951,HLOOKUP(INDIRECT(ADDRESS(2,COLUMN())),OFFSET($BN$2,0,0,ROW()-1,60),ROW()-1,FALSE))</f>
        <v>167.94166799999999</v>
      </c>
      <c r="AG453">
        <f ca="1">IF(AND(ISNUMBER($AG$951),$B$511=1),$AG$951,HLOOKUP(INDIRECT(ADDRESS(2,COLUMN())),OFFSET($BN$2,0,0,ROW()-1,60),ROW()-1,FALSE))</f>
        <v>149.079384</v>
      </c>
      <c r="AH453">
        <f ca="1">IF(AND(ISNUMBER($AH$951),$B$511=1),$AH$951,HLOOKUP(INDIRECT(ADDRESS(2,COLUMN())),OFFSET($BN$2,0,0,ROW()-1,60),ROW()-1,FALSE))</f>
        <v>161.423856</v>
      </c>
      <c r="AI453">
        <f ca="1">IF(AND(ISNUMBER($AI$951),$B$511=1),$AI$951,HLOOKUP(INDIRECT(ADDRESS(2,COLUMN())),OFFSET($BN$2,0,0,ROW()-1,60),ROW()-1,FALSE))</f>
        <v>134.3304</v>
      </c>
      <c r="AJ453">
        <f ca="1">IF(AND(ISNUMBER($AJ$951),$B$511=1),$AJ$951,HLOOKUP(INDIRECT(ADDRESS(2,COLUMN())),OFFSET($BN$2,0,0,ROW()-1,60),ROW()-1,FALSE))</f>
        <v>126.25921200000001</v>
      </c>
      <c r="AK453">
        <f ca="1">IF(AND(ISNUMBER($AK$951),$B$511=1),$AK$951,HLOOKUP(INDIRECT(ADDRESS(2,COLUMN())),OFFSET($BN$2,0,0,ROW()-1,60),ROW()-1,FALSE))</f>
        <v>184.55269000000001</v>
      </c>
      <c r="AL453">
        <f ca="1">IF(AND(ISNUMBER($AL$951),$B$511=1),$AL$951,HLOOKUP(INDIRECT(ADDRESS(2,COLUMN())),OFFSET($BN$2,0,0,ROW()-1,60),ROW()-1,FALSE))</f>
        <v>153.69189</v>
      </c>
      <c r="AM453">
        <f ca="1">IF(AND(ISNUMBER($AM$951),$B$511=1),$AM$951,HLOOKUP(INDIRECT(ADDRESS(2,COLUMN())),OFFSET($BN$2,0,0,ROW()-1,60),ROW()-1,FALSE))</f>
        <v>140.45517000000001</v>
      </c>
      <c r="AN453">
        <f ca="1">IF(AND(ISNUMBER($AN$951),$B$511=1),$AN$951,HLOOKUP(INDIRECT(ADDRESS(2,COLUMN())),OFFSET($BN$2,0,0,ROW()-1,60),ROW()-1,FALSE))</f>
        <v>110.10408</v>
      </c>
      <c r="AO453">
        <f ca="1">IF(AND(ISNUMBER($AO$951),$B$511=1),$AO$951,HLOOKUP(INDIRECT(ADDRESS(2,COLUMN())),OFFSET($BN$2,0,0,ROW()-1,60),ROW()-1,FALSE))</f>
        <v>85.357748000000001</v>
      </c>
      <c r="AP453">
        <f ca="1">IF(AND(ISNUMBER($AP$951),$B$511=1),$AP$951,HLOOKUP(INDIRECT(ADDRESS(2,COLUMN())),OFFSET($BN$2,0,0,ROW()-1,60),ROW()-1,FALSE))</f>
        <v>96.896280000000004</v>
      </c>
      <c r="AQ453">
        <f ca="1">IF(AND(ISNUMBER($AQ$951),$B$511=1),$AQ$951,HLOOKUP(INDIRECT(ADDRESS(2,COLUMN())),OFFSET($BN$2,0,0,ROW()-1,60),ROW()-1,FALSE))</f>
        <v>109.770914</v>
      </c>
      <c r="AR453">
        <f ca="1">IF(AND(ISNUMBER($AR$951),$B$511=1),$AR$951,HLOOKUP(INDIRECT(ADDRESS(2,COLUMN())),OFFSET($BN$2,0,0,ROW()-1,60),ROW()-1,FALSE))</f>
        <v>164.2165229</v>
      </c>
      <c r="AS453">
        <f ca="1">IF(AND(ISNUMBER($AS$951),$B$511=1),$AS$951,HLOOKUP(INDIRECT(ADDRESS(2,COLUMN())),OFFSET($BN$2,0,0,ROW()-1,60),ROW()-1,FALSE))</f>
        <v>336.88160529999999</v>
      </c>
      <c r="AT453">
        <f ca="1">IF(AND(ISNUMBER($AT$951),$B$511=1),$AT$951,HLOOKUP(INDIRECT(ADDRESS(2,COLUMN())),OFFSET($BN$2,0,0,ROW()-1,60),ROW()-1,FALSE))</f>
        <v>302.1104181</v>
      </c>
      <c r="AU453">
        <f ca="1">IF(AND(ISNUMBER($AU$951),$B$511=1),$AU$951,HLOOKUP(INDIRECT(ADDRESS(2,COLUMN())),OFFSET($BN$2,0,0,ROW()-1,60),ROW()-1,FALSE))</f>
        <v>350.80664569999999</v>
      </c>
      <c r="AV453">
        <f ca="1">IF(AND(ISNUMBER($AV$951),$B$511=1),$AV$951,HLOOKUP(INDIRECT(ADDRESS(2,COLUMN())),OFFSET($BN$2,0,0,ROW()-1,60),ROW()-1,FALSE))</f>
        <v>389.60939009999998</v>
      </c>
      <c r="AW453">
        <f ca="1">IF(AND(ISNUMBER($AW$951),$B$511=1),$AW$951,HLOOKUP(INDIRECT(ADDRESS(2,COLUMN())),OFFSET($BN$2,0,0,ROW()-1,60),ROW()-1,FALSE))</f>
        <v>285.98827519999998</v>
      </c>
      <c r="AX453">
        <f ca="1">IF(AND(ISNUMBER($AX$951),$B$511=1),$AX$951,HLOOKUP(INDIRECT(ADDRESS(2,COLUMN())),OFFSET($BN$2,0,0,ROW()-1,60),ROW()-1,FALSE))</f>
        <v>289.04390699999999</v>
      </c>
      <c r="AY453">
        <f ca="1">IF(AND(ISNUMBER($AY$951),$B$511=1),$AY$951,HLOOKUP(INDIRECT(ADDRESS(2,COLUMN())),OFFSET($BN$2,0,0,ROW()-1,60),ROW()-1,FALSE))</f>
        <v>228.39752580000001</v>
      </c>
      <c r="AZ453">
        <f ca="1">IF(AND(ISNUMBER($AZ$951),$B$511=1),$AZ$951,HLOOKUP(INDIRECT(ADDRESS(2,COLUMN())),OFFSET($BN$2,0,0,ROW()-1,60),ROW()-1,FALSE))</f>
        <v>224.4596827</v>
      </c>
      <c r="BA453">
        <f ca="1">IF(AND(ISNUMBER($BA$951),$B$511=1),$BA$951,HLOOKUP(INDIRECT(ADDRESS(2,COLUMN())),OFFSET($BN$2,0,0,ROW()-1,60),ROW()-1,FALSE))</f>
        <v>158.37913019999999</v>
      </c>
      <c r="BB453">
        <f ca="1">IF(AND(ISNUMBER($BB$951),$B$511=1),$BB$951,HLOOKUP(INDIRECT(ADDRESS(2,COLUMN())),OFFSET($BN$2,0,0,ROW()-1,60),ROW()-1,FALSE))</f>
        <v>149.6722882</v>
      </c>
      <c r="BC453">
        <f ca="1">IF(AND(ISNUMBER($BC$951),$B$511=1),$BC$951,HLOOKUP(INDIRECT(ADDRESS(2,COLUMN())),OFFSET($BN$2,0,0,ROW()-1,60),ROW()-1,FALSE))</f>
        <v>112.86034189999999</v>
      </c>
      <c r="BD453">
        <f ca="1">IF(AND(ISNUMBER($BD$951),$B$511=1),$BD$951,HLOOKUP(INDIRECT(ADDRESS(2,COLUMN())),OFFSET($BN$2,0,0,ROW()-1,60),ROW()-1,FALSE))</f>
        <v>85.096776169999998</v>
      </c>
      <c r="BE453">
        <f ca="1">IF(AND(ISNUMBER($BE$951),$B$511=1),$BE$951,HLOOKUP(INDIRECT(ADDRESS(2,COLUMN())),OFFSET($BN$2,0,0,ROW()-1,60),ROW()-1,FALSE))</f>
        <v>69.694204999999997</v>
      </c>
      <c r="BF453">
        <f ca="1">IF(AND(ISNUMBER($BF$951),$B$511=1),$BF$951,HLOOKUP(INDIRECT(ADDRESS(2,COLUMN())),OFFSET($BN$2,0,0,ROW()-1,60),ROW()-1,FALSE))</f>
        <v>74.705271890000006</v>
      </c>
      <c r="BG453">
        <f ca="1">IF(AND(ISNUMBER($BG$951),$B$511=1),$BG$951,HLOOKUP(INDIRECT(ADDRESS(2,COLUMN())),OFFSET($BN$2,0,0,ROW()-1,60),ROW()-1,FALSE))</f>
        <v>52.481323410000002</v>
      </c>
      <c r="BH453">
        <f ca="1">IF(AND(ISNUMBER($BH$951),$B$511=1),$BH$951,HLOOKUP(INDIRECT(ADDRESS(2,COLUMN())),OFFSET($BN$2,0,0,ROW()-1,60),ROW()-1,FALSE))</f>
        <v>61.392395809999996</v>
      </c>
      <c r="BI453">
        <f ca="1">IF(AND(ISNUMBER($BI$951),$B$511=1),$BI$951,HLOOKUP(INDIRECT(ADDRESS(2,COLUMN())),OFFSET($BN$2,0,0,ROW()-1,60),ROW()-1,FALSE))</f>
        <v>45.354390870000003</v>
      </c>
      <c r="BJ453">
        <f ca="1">IF(AND(ISNUMBER($BJ$951),$B$511=1),$BJ$951,HLOOKUP(INDIRECT(ADDRESS(2,COLUMN())),OFFSET($BN$2,0,0,ROW()-1,60),ROW()-1,FALSE))</f>
        <v>47.278272780000002</v>
      </c>
      <c r="BK453">
        <f ca="1">IF(AND(ISNUMBER($BK$951),$B$511=1),$BK$951,HLOOKUP(INDIRECT(ADDRESS(2,COLUMN())),OFFSET($BN$2,0,0,ROW()-1,60),ROW()-1,FALSE))</f>
        <v>45.216023819999997</v>
      </c>
      <c r="BL453">
        <f ca="1">IF(AND(ISNUMBER($BL$951),$B$511=1),$BL$951,HLOOKUP(INDIRECT(ADDRESS(2,COLUMN())),OFFSET($BN$2,0,0,ROW()-1,60),ROW()-1,FALSE))</f>
        <v>38.229555120000001</v>
      </c>
      <c r="BM453">
        <f ca="1">IF(AND(ISNUMBER($BM$951),$B$511=1),$BM$951,HLOOKUP(INDIRECT(ADDRESS(2,COLUMN())),OFFSET($BN$2,0,0,ROW()-1,60),ROW()-1,FALSE))</f>
        <v>41.981896740000003</v>
      </c>
      <c r="BN453">
        <f>176.6742574</f>
        <v>176.67425739999999</v>
      </c>
      <c r="BO453">
        <f>159.14431</f>
        <v>159.14430999999999</v>
      </c>
      <c r="BP453">
        <f>173.39702</f>
        <v>173.39702</v>
      </c>
      <c r="BQ453">
        <f>165.22955</f>
        <v>165.22954999999999</v>
      </c>
      <c r="BR453">
        <f>200.22039</f>
        <v>200.22039000000001</v>
      </c>
      <c r="BS453">
        <f>202.81114</f>
        <v>202.81113999999999</v>
      </c>
      <c r="BT453">
        <f>168.723885</f>
        <v>168.723885</v>
      </c>
      <c r="BU453">
        <f>155.399408</f>
        <v>155.39940799999999</v>
      </c>
      <c r="BV453">
        <f>149.372908</f>
        <v>149.372908</v>
      </c>
      <c r="BW453">
        <f>144.230225</f>
        <v>144.23022499999999</v>
      </c>
      <c r="BX453">
        <f>144.291028</f>
        <v>144.29102800000001</v>
      </c>
      <c r="BY453">
        <f>135.168111</f>
        <v>135.16811100000001</v>
      </c>
      <c r="BZ453">
        <f>145.039464</f>
        <v>145.03946400000001</v>
      </c>
      <c r="CA453">
        <f>155.26353</f>
        <v>155.26353</v>
      </c>
      <c r="CB453">
        <f>119.47967</f>
        <v>119.47967</v>
      </c>
      <c r="CC453">
        <f>231.592045</f>
        <v>231.59204500000001</v>
      </c>
      <c r="CD453">
        <f>256.5729936</f>
        <v>256.57299360000002</v>
      </c>
      <c r="CE453">
        <f>218.94757</f>
        <v>218.94757000000001</v>
      </c>
      <c r="CF453">
        <f>206.458892</f>
        <v>206.45889199999999</v>
      </c>
      <c r="CG453">
        <f>257.74163</f>
        <v>257.74162999999999</v>
      </c>
      <c r="CH453">
        <f>253.418572</f>
        <v>253.41857200000001</v>
      </c>
      <c r="CI453">
        <f>271.722</f>
        <v>271.72199999999998</v>
      </c>
      <c r="CJ453">
        <f>227.036649</f>
        <v>227.03664900000001</v>
      </c>
      <c r="CK453">
        <f>194.94495</f>
        <v>194.94495000000001</v>
      </c>
      <c r="CL453">
        <f>187.9730844</f>
        <v>187.9730844</v>
      </c>
      <c r="CM453">
        <f>215.18805</f>
        <v>215.18805</v>
      </c>
      <c r="CN453">
        <f>167.941668</f>
        <v>167.94166799999999</v>
      </c>
      <c r="CO453">
        <f>149.079384</f>
        <v>149.079384</v>
      </c>
      <c r="CP453">
        <f>161.423856</f>
        <v>161.423856</v>
      </c>
      <c r="CQ453">
        <f>134.3304</f>
        <v>134.3304</v>
      </c>
      <c r="CR453">
        <f>126.259212</f>
        <v>126.25921200000001</v>
      </c>
      <c r="CS453">
        <f>184.55269</f>
        <v>184.55269000000001</v>
      </c>
      <c r="CT453">
        <f>153.69189</f>
        <v>153.69189</v>
      </c>
      <c r="CU453">
        <f>140.45517</f>
        <v>140.45517000000001</v>
      </c>
      <c r="CV453">
        <f>110.10408</f>
        <v>110.10408</v>
      </c>
      <c r="CW453">
        <f>85.357748</f>
        <v>85.357748000000001</v>
      </c>
      <c r="CX453">
        <f>96.89628</f>
        <v>96.896280000000004</v>
      </c>
      <c r="CY453">
        <f>109.770914</f>
        <v>109.770914</v>
      </c>
      <c r="CZ453">
        <f>164.2165229</f>
        <v>164.2165229</v>
      </c>
      <c r="DA453">
        <f>336.8816053</f>
        <v>336.88160529999999</v>
      </c>
      <c r="DB453">
        <f>302.1104181</f>
        <v>302.1104181</v>
      </c>
      <c r="DC453">
        <f>350.8066457</f>
        <v>350.80664569999999</v>
      </c>
      <c r="DD453">
        <f>389.6093901</f>
        <v>389.60939009999998</v>
      </c>
      <c r="DE453">
        <f>285.9882752</f>
        <v>285.98827519999998</v>
      </c>
      <c r="DF453">
        <f>289.043907</f>
        <v>289.04390699999999</v>
      </c>
      <c r="DG453">
        <f>228.3975258</f>
        <v>228.39752580000001</v>
      </c>
      <c r="DH453">
        <f>224.4596827</f>
        <v>224.4596827</v>
      </c>
      <c r="DI453">
        <f>158.3791302</f>
        <v>158.37913019999999</v>
      </c>
      <c r="DJ453">
        <f>149.6722882</f>
        <v>149.6722882</v>
      </c>
      <c r="DK453">
        <f>112.8603419</f>
        <v>112.86034189999999</v>
      </c>
      <c r="DL453">
        <f>85.09677617</f>
        <v>85.096776169999998</v>
      </c>
      <c r="DM453">
        <f>69.694205</f>
        <v>69.694204999999997</v>
      </c>
      <c r="DN453">
        <f>74.70527189</f>
        <v>74.705271890000006</v>
      </c>
      <c r="DO453">
        <f>52.48132341</f>
        <v>52.481323410000002</v>
      </c>
      <c r="DP453">
        <f>61.39239581</f>
        <v>61.392395809999996</v>
      </c>
      <c r="DQ453">
        <f>45.35439087</f>
        <v>45.354390870000003</v>
      </c>
      <c r="DR453">
        <f>47.27827278</f>
        <v>47.278272780000002</v>
      </c>
      <c r="DS453">
        <f>45.21602382</f>
        <v>45.216023819999997</v>
      </c>
      <c r="DT453">
        <f>38.22955512</f>
        <v>38.229555120000001</v>
      </c>
      <c r="DU453">
        <f>41.98189674</f>
        <v>41.981896740000003</v>
      </c>
    </row>
    <row r="454" spans="1:125" x14ac:dyDescent="0.25">
      <c r="A454" t="str">
        <f>"    Yulon Motor Co Ltd"</f>
        <v xml:space="preserve">    Yulon Motor Co Ltd</v>
      </c>
      <c r="B454" t="str">
        <f>"2201 TT Equity"</f>
        <v>2201 TT Equity</v>
      </c>
      <c r="C454" t="str">
        <f t="shared" si="30"/>
        <v>PR005</v>
      </c>
      <c r="D454" t="str">
        <f t="shared" si="31"/>
        <v>PX_LAST</v>
      </c>
      <c r="E454" t="str">
        <f t="shared" si="32"/>
        <v>Dynamic</v>
      </c>
      <c r="F454">
        <f ca="1">IF(AND(ISNUMBER($F$952),$B$511=1),$F$952,HLOOKUP(INDIRECT(ADDRESS(2,COLUMN())),OFFSET($BN$2,0,0,ROW()-1,60),ROW()-1,FALSE))</f>
        <v>0.61381571800000001</v>
      </c>
      <c r="G454">
        <f ca="1">IF(AND(ISNUMBER($G$952),$B$511=1),$G$952,HLOOKUP(INDIRECT(ADDRESS(2,COLUMN())),OFFSET($BN$2,0,0,ROW()-1,60),ROW()-1,FALSE))</f>
        <v>0.59592023800000005</v>
      </c>
      <c r="H454">
        <f ca="1">IF(AND(ISNUMBER($H$952),$B$511=1),$H$952,HLOOKUP(INDIRECT(ADDRESS(2,COLUMN())),OFFSET($BN$2,0,0,ROW()-1,60),ROW()-1,FALSE))</f>
        <v>0.71182548800000001</v>
      </c>
      <c r="I454">
        <f ca="1">IF(AND(ISNUMBER($I$952),$B$511=1),$I$952,HLOOKUP(INDIRECT(ADDRESS(2,COLUMN())),OFFSET($BN$2,0,0,ROW()-1,60),ROW()-1,FALSE))</f>
        <v>0.69287098199999997</v>
      </c>
      <c r="J454">
        <f ca="1">IF(AND(ISNUMBER($J$952),$B$511=1),$J$952,HLOOKUP(INDIRECT(ADDRESS(2,COLUMN())),OFFSET($BN$2,0,0,ROW()-1,60),ROW()-1,FALSE))</f>
        <v>0.77636550999999998</v>
      </c>
      <c r="K454">
        <f ca="1">IF(AND(ISNUMBER($K$952),$B$511=1),$K$952,HLOOKUP(INDIRECT(ADDRESS(2,COLUMN())),OFFSET($BN$2,0,0,ROW()-1,60),ROW()-1,FALSE))</f>
        <v>0.81398092300000002</v>
      </c>
      <c r="L454">
        <f ca="1">IF(AND(ISNUMBER($L$952),$B$511=1),$L$952,HLOOKUP(INDIRECT(ADDRESS(2,COLUMN())),OFFSET($BN$2,0,0,ROW()-1,60),ROW()-1,FALSE))</f>
        <v>0.85520884900000005</v>
      </c>
      <c r="M454">
        <f ca="1">IF(AND(ISNUMBER($M$952),$B$511=1),$M$952,HLOOKUP(INDIRECT(ADDRESS(2,COLUMN())),OFFSET($BN$2,0,0,ROW()-1,60),ROW()-1,FALSE))</f>
        <v>0.89873584399999995</v>
      </c>
      <c r="N454">
        <f ca="1">IF(AND(ISNUMBER($N$952),$B$511=1),$N$952,HLOOKUP(INDIRECT(ADDRESS(2,COLUMN())),OFFSET($BN$2,0,0,ROW()-1,60),ROW()-1,FALSE))</f>
        <v>0.93062327099999997</v>
      </c>
      <c r="O454">
        <f ca="1">IF(AND(ISNUMBER($O$952),$B$511=1),$O$952,HLOOKUP(INDIRECT(ADDRESS(2,COLUMN())),OFFSET($BN$2,0,0,ROW()-1,60),ROW()-1,FALSE))</f>
        <v>0.82733924000000003</v>
      </c>
      <c r="P454">
        <f ca="1">IF(AND(ISNUMBER($P$952),$B$511=1),$P$952,HLOOKUP(INDIRECT(ADDRESS(2,COLUMN())),OFFSET($BN$2,0,0,ROW()-1,60),ROW()-1,FALSE))</f>
        <v>0.88047299499999998</v>
      </c>
      <c r="Q454">
        <f ca="1">IF(AND(ISNUMBER($Q$952),$B$511=1),$Q$952,HLOOKUP(INDIRECT(ADDRESS(2,COLUMN())),OFFSET($BN$2,0,0,ROW()-1,60),ROW()-1,FALSE))</f>
        <v>0.84758918299999997</v>
      </c>
      <c r="R454">
        <f ca="1">IF(AND(ISNUMBER($R$952),$B$511=1),$R$952,HLOOKUP(INDIRECT(ADDRESS(2,COLUMN())),OFFSET($BN$2,0,0,ROW()-1,60),ROW()-1,FALSE))</f>
        <v>0.970707918</v>
      </c>
      <c r="S454">
        <f ca="1">IF(AND(ISNUMBER($S$952),$B$511=1),$S$952,HLOOKUP(INDIRECT(ADDRESS(2,COLUMN())),OFFSET($BN$2,0,0,ROW()-1,60),ROW()-1,FALSE))</f>
        <v>0.91748693599999998</v>
      </c>
      <c r="T454">
        <f ca="1">IF(AND(ISNUMBER($T$952),$B$511=1),$T$952,HLOOKUP(INDIRECT(ADDRESS(2,COLUMN())),OFFSET($BN$2,0,0,ROW()-1,60),ROW()-1,FALSE))</f>
        <v>0.892289047</v>
      </c>
      <c r="U454">
        <f ca="1">IF(AND(ISNUMBER($U$952),$B$511=1),$U$952,HLOOKUP(INDIRECT(ADDRESS(2,COLUMN())),OFFSET($BN$2,0,0,ROW()-1,60),ROW()-1,FALSE))</f>
        <v>1.1590261589999999</v>
      </c>
      <c r="V454">
        <f ca="1">IF(AND(ISNUMBER($V$952),$B$511=1),$V$952,HLOOKUP(INDIRECT(ADDRESS(2,COLUMN())),OFFSET($BN$2,0,0,ROW()-1,60),ROW()-1,FALSE))</f>
        <v>1.3678686849999999</v>
      </c>
      <c r="W454">
        <f ca="1">IF(AND(ISNUMBER($W$952),$B$511=1),$W$952,HLOOKUP(INDIRECT(ADDRESS(2,COLUMN())),OFFSET($BN$2,0,0,ROW()-1,60),ROW()-1,FALSE))</f>
        <v>1.4706347449999999</v>
      </c>
      <c r="X454">
        <f ca="1">IF(AND(ISNUMBER($X$952),$B$511=1),$X$952,HLOOKUP(INDIRECT(ADDRESS(2,COLUMN())),OFFSET($BN$2,0,0,ROW()-1,60),ROW()-1,FALSE))</f>
        <v>1.4958248409999999</v>
      </c>
      <c r="Y454">
        <f ca="1">IF(AND(ISNUMBER($Y$952),$B$511=1),$Y$952,HLOOKUP(INDIRECT(ADDRESS(2,COLUMN())),OFFSET($BN$2,0,0,ROW()-1,60),ROW()-1,FALSE))</f>
        <v>1.627050552</v>
      </c>
      <c r="Z454">
        <f ca="1">IF(AND(ISNUMBER($Z$952),$B$511=1),$Z$952,HLOOKUP(INDIRECT(ADDRESS(2,COLUMN())),OFFSET($BN$2,0,0,ROW()-1,60),ROW()-1,FALSE))</f>
        <v>1.6516713730000001</v>
      </c>
      <c r="AA454">
        <f ca="1">IF(AND(ISNUMBER($AA$952),$B$511=1),$AA$952,HLOOKUP(INDIRECT(ADDRESS(2,COLUMN())),OFFSET($BN$2,0,0,ROW()-1,60),ROW()-1,FALSE))</f>
        <v>1.8110473890000001</v>
      </c>
      <c r="AB454">
        <f ca="1">IF(AND(ISNUMBER($AB$952),$B$511=1),$AB$952,HLOOKUP(INDIRECT(ADDRESS(2,COLUMN())),OFFSET($BN$2,0,0,ROW()-1,60),ROW()-1,FALSE))</f>
        <v>1.674560217</v>
      </c>
      <c r="AC454">
        <f ca="1">IF(AND(ISNUMBER($AC$952),$B$511=1),$AC$952,HLOOKUP(INDIRECT(ADDRESS(2,COLUMN())),OFFSET($BN$2,0,0,ROW()-1,60),ROW()-1,FALSE))</f>
        <v>1.6011741939999999</v>
      </c>
      <c r="AD454">
        <f ca="1">IF(AND(ISNUMBER($AD$952),$B$511=1),$AD$952,HLOOKUP(INDIRECT(ADDRESS(2,COLUMN())),OFFSET($BN$2,0,0,ROW()-1,60),ROW()-1,FALSE))</f>
        <v>1.789484267</v>
      </c>
      <c r="AE454">
        <f ca="1">IF(AND(ISNUMBER($AE$952),$B$511=1),$AE$952,HLOOKUP(INDIRECT(ADDRESS(2,COLUMN())),OFFSET($BN$2,0,0,ROW()-1,60),ROW()-1,FALSE))</f>
        <v>1.8917896329999999</v>
      </c>
      <c r="AF454">
        <f ca="1">IF(AND(ISNUMBER($AF$952),$B$511=1),$AF$952,HLOOKUP(INDIRECT(ADDRESS(2,COLUMN())),OFFSET($BN$2,0,0,ROW()-1,60),ROW()-1,FALSE))</f>
        <v>2.0117980019999999</v>
      </c>
      <c r="AG454">
        <f ca="1">IF(AND(ISNUMBER($AG$952),$B$511=1),$AG$952,HLOOKUP(INDIRECT(ADDRESS(2,COLUMN())),OFFSET($BN$2,0,0,ROW()-1,60),ROW()-1,FALSE))</f>
        <v>1.755914483</v>
      </c>
      <c r="AH454">
        <f ca="1">IF(AND(ISNUMBER($AH$952),$B$511=1),$AH$952,HLOOKUP(INDIRECT(ADDRESS(2,COLUMN())),OFFSET($BN$2,0,0,ROW()-1,60),ROW()-1,FALSE))</f>
        <v>1.9114108519999999</v>
      </c>
      <c r="AI454">
        <f ca="1">IF(AND(ISNUMBER($AI$952),$B$511=1),$AI$952,HLOOKUP(INDIRECT(ADDRESS(2,COLUMN())),OFFSET($BN$2,0,0,ROW()-1,60),ROW()-1,FALSE))</f>
        <v>1.7168515580000001</v>
      </c>
      <c r="AJ454">
        <f ca="1">IF(AND(ISNUMBER($AJ$952),$B$511=1),$AJ$952,HLOOKUP(INDIRECT(ADDRESS(2,COLUMN())),OFFSET($BN$2,0,0,ROW()-1,60),ROW()-1,FALSE))</f>
        <v>1.8928583139999999</v>
      </c>
      <c r="AK454">
        <f ca="1">IF(AND(ISNUMBER($AK$952),$B$511=1),$AK$952,HLOOKUP(INDIRECT(ADDRESS(2,COLUMN())),OFFSET($BN$2,0,0,ROW()-1,60),ROW()-1,FALSE))</f>
        <v>2.4429967430000001</v>
      </c>
      <c r="AL454">
        <f ca="1">IF(AND(ISNUMBER($AL$952),$B$511=1),$AL$952,HLOOKUP(INDIRECT(ADDRESS(2,COLUMN())),OFFSET($BN$2,0,0,ROW()-1,60),ROW()-1,FALSE))</f>
        <v>1.8465619259999999</v>
      </c>
      <c r="AM454">
        <f ca="1">IF(AND(ISNUMBER($AM$952),$B$511=1),$AM$952,HLOOKUP(INDIRECT(ADDRESS(2,COLUMN())),OFFSET($BN$2,0,0,ROW()-1,60),ROW()-1,FALSE))</f>
        <v>2.1161299169999999</v>
      </c>
      <c r="AN454">
        <f ca="1">IF(AND(ISNUMBER($AN$952),$B$511=1),$AN$952,HLOOKUP(INDIRECT(ADDRESS(2,COLUMN())),OFFSET($BN$2,0,0,ROW()-1,60),ROW()-1,FALSE))</f>
        <v>1.8060714739999999</v>
      </c>
      <c r="AO454">
        <f ca="1">IF(AND(ISNUMBER($AO$952),$B$511=1),$AO$952,HLOOKUP(INDIRECT(ADDRESS(2,COLUMN())),OFFSET($BN$2,0,0,ROW()-1,60),ROW()-1,FALSE))</f>
        <v>0.98966762100000005</v>
      </c>
      <c r="AP454">
        <f ca="1">IF(AND(ISNUMBER($AP$952),$B$511=1),$AP$952,HLOOKUP(INDIRECT(ADDRESS(2,COLUMN())),OFFSET($BN$2,0,0,ROW()-1,60),ROW()-1,FALSE))</f>
        <v>1.10988665</v>
      </c>
      <c r="AQ454">
        <f ca="1">IF(AND(ISNUMBER($AQ$952),$B$511=1),$AQ$952,HLOOKUP(INDIRECT(ADDRESS(2,COLUMN())),OFFSET($BN$2,0,0,ROW()-1,60),ROW()-1,FALSE))</f>
        <v>1.178677505</v>
      </c>
      <c r="AR454">
        <f ca="1">IF(AND(ISNUMBER($AR$952),$B$511=1),$AR$952,HLOOKUP(INDIRECT(ADDRESS(2,COLUMN())),OFFSET($BN$2,0,0,ROW()-1,60),ROW()-1,FALSE))</f>
        <v>1.149371656</v>
      </c>
      <c r="AS454">
        <f ca="1">IF(AND(ISNUMBER($AS$952),$B$511=1),$AS$952,HLOOKUP(INDIRECT(ADDRESS(2,COLUMN())),OFFSET($BN$2,0,0,ROW()-1,60),ROW()-1,FALSE))</f>
        <v>0.95092959499999996</v>
      </c>
      <c r="AT454">
        <f ca="1">IF(AND(ISNUMBER($AT$952),$B$511=1),$AT$952,HLOOKUP(INDIRECT(ADDRESS(2,COLUMN())),OFFSET($BN$2,0,0,ROW()-1,60),ROW()-1,FALSE))</f>
        <v>0.54405520200000002</v>
      </c>
      <c r="AU454">
        <f ca="1">IF(AND(ISNUMBER($AU$952),$B$511=1),$AU$952,HLOOKUP(INDIRECT(ADDRESS(2,COLUMN())),OFFSET($BN$2,0,0,ROW()-1,60),ROW()-1,FALSE))</f>
        <v>0.42961608800000001</v>
      </c>
      <c r="AV454">
        <f ca="1">IF(AND(ISNUMBER($AV$952),$B$511=1),$AV$952,HLOOKUP(INDIRECT(ADDRESS(2,COLUMN())),OFFSET($BN$2,0,0,ROW()-1,60),ROW()-1,FALSE))</f>
        <v>0.53521563800000005</v>
      </c>
      <c r="AW454">
        <f ca="1">IF(AND(ISNUMBER($AW$952),$B$511=1),$AW$952,HLOOKUP(INDIRECT(ADDRESS(2,COLUMN())),OFFSET($BN$2,0,0,ROW()-1,60),ROW()-1,FALSE))</f>
        <v>0.99959479299999998</v>
      </c>
      <c r="AX454">
        <f ca="1">IF(AND(ISNUMBER($AX$952),$B$511=1),$AX$952,HLOOKUP(INDIRECT(ADDRESS(2,COLUMN())),OFFSET($BN$2,0,0,ROW()-1,60),ROW()-1,FALSE))</f>
        <v>1.433539076</v>
      </c>
      <c r="AY454">
        <f ca="1">IF(AND(ISNUMBER($AY$952),$B$511=1),$AY$952,HLOOKUP(INDIRECT(ADDRESS(2,COLUMN())),OFFSET($BN$2,0,0,ROW()-1,60),ROW()-1,FALSE))</f>
        <v>0.944963993</v>
      </c>
      <c r="AZ454">
        <f ca="1">IF(AND(ISNUMBER($AZ$952),$B$511=1),$AZ$952,HLOOKUP(INDIRECT(ADDRESS(2,COLUMN())),OFFSET($BN$2,0,0,ROW()-1,60),ROW()-1,FALSE))</f>
        <v>1.1280044090000001</v>
      </c>
      <c r="BA454">
        <f ca="1">IF(AND(ISNUMBER($BA$952),$B$511=1),$BA$952,HLOOKUP(INDIRECT(ADDRESS(2,COLUMN())),OFFSET($BN$2,0,0,ROW()-1,60),ROW()-1,FALSE))</f>
        <v>1.19695036</v>
      </c>
      <c r="BB454">
        <f ca="1">IF(AND(ISNUMBER($BB$952),$B$511=1),$BB$952,HLOOKUP(INDIRECT(ADDRESS(2,COLUMN())),OFFSET($BN$2,0,0,ROW()-1,60),ROW()-1,FALSE))</f>
        <v>1.0922722579999999</v>
      </c>
      <c r="BC454">
        <f ca="1">IF(AND(ISNUMBER($BC$952),$B$511=1),$BC$952,HLOOKUP(INDIRECT(ADDRESS(2,COLUMN())),OFFSET($BN$2,0,0,ROW()-1,60),ROW()-1,FALSE))</f>
        <v>1.176673302</v>
      </c>
      <c r="BD454">
        <f ca="1">IF(AND(ISNUMBER($BD$952),$B$511=1),$BD$952,HLOOKUP(INDIRECT(ADDRESS(2,COLUMN())),OFFSET($BN$2,0,0,ROW()-1,60),ROW()-1,FALSE))</f>
        <v>0.98408846699999997</v>
      </c>
      <c r="BE454">
        <f ca="1">IF(AND(ISNUMBER($BE$952),$B$511=1),$BE$952,HLOOKUP(INDIRECT(ADDRESS(2,COLUMN())),OFFSET($BN$2,0,0,ROW()-1,60),ROW()-1,FALSE))</f>
        <v>1.14767267</v>
      </c>
      <c r="BF454">
        <f ca="1">IF(AND(ISNUMBER($BF$952),$B$511=1),$BF$952,HLOOKUP(INDIRECT(ADDRESS(2,COLUMN())),OFFSET($BN$2,0,0,ROW()-1,60),ROW()-1,FALSE))</f>
        <v>0.88555016600000003</v>
      </c>
      <c r="BG454">
        <f ca="1">IF(AND(ISNUMBER($BG$952),$B$511=1),$BG$952,HLOOKUP(INDIRECT(ADDRESS(2,COLUMN())),OFFSET($BN$2,0,0,ROW()-1,60),ROW()-1,FALSE))</f>
        <v>1.0359178550000001</v>
      </c>
      <c r="BH454">
        <f ca="1">IF(AND(ISNUMBER($BH$952),$B$511=1),$BH$952,HLOOKUP(INDIRECT(ADDRESS(2,COLUMN())),OFFSET($BN$2,0,0,ROW()-1,60),ROW()-1,FALSE))</f>
        <v>0.95688673999999996</v>
      </c>
      <c r="BI454">
        <f ca="1">IF(AND(ISNUMBER($BI$952),$B$511=1),$BI$952,HLOOKUP(INDIRECT(ADDRESS(2,COLUMN())),OFFSET($BN$2,0,0,ROW()-1,60),ROW()-1,FALSE))</f>
        <v>1.089762294</v>
      </c>
      <c r="BJ454">
        <f ca="1">IF(AND(ISNUMBER($BJ$952),$B$511=1),$BJ$952,HLOOKUP(INDIRECT(ADDRESS(2,COLUMN())),OFFSET($BN$2,0,0,ROW()-1,60),ROW()-1,FALSE))</f>
        <v>1.1600686790000001</v>
      </c>
      <c r="BK454">
        <f ca="1">IF(AND(ISNUMBER($BK$952),$B$511=1),$BK$952,HLOOKUP(INDIRECT(ADDRESS(2,COLUMN())),OFFSET($BN$2,0,0,ROW()-1,60),ROW()-1,FALSE))</f>
        <v>1.093959465</v>
      </c>
      <c r="BL454">
        <f ca="1">IF(AND(ISNUMBER($BL$952),$B$511=1),$BL$952,HLOOKUP(INDIRECT(ADDRESS(2,COLUMN())),OFFSET($BN$2,0,0,ROW()-1,60),ROW()-1,FALSE))</f>
        <v>0.99279252200000001</v>
      </c>
      <c r="BM454">
        <f ca="1">IF(AND(ISNUMBER($BM$952),$B$511=1),$BM$952,HLOOKUP(INDIRECT(ADDRESS(2,COLUMN())),OFFSET($BN$2,0,0,ROW()-1,60),ROW()-1,FALSE))</f>
        <v>1.0226609280000001</v>
      </c>
      <c r="BN454">
        <f>0.613815718</f>
        <v>0.61381571800000001</v>
      </c>
      <c r="BO454">
        <f>0.595920238</f>
        <v>0.59592023800000005</v>
      </c>
      <c r="BP454">
        <f>0.711825488</f>
        <v>0.71182548800000001</v>
      </c>
      <c r="BQ454">
        <f>0.692870982</f>
        <v>0.69287098199999997</v>
      </c>
      <c r="BR454">
        <f>0.77636551</f>
        <v>0.77636550999999998</v>
      </c>
      <c r="BS454">
        <f>0.813980923</f>
        <v>0.81398092300000002</v>
      </c>
      <c r="BT454">
        <f>0.855208849</f>
        <v>0.85520884900000005</v>
      </c>
      <c r="BU454">
        <f>0.898735844</f>
        <v>0.89873584399999995</v>
      </c>
      <c r="BV454">
        <f>0.930623271</f>
        <v>0.93062327099999997</v>
      </c>
      <c r="BW454">
        <f>0.82733924</f>
        <v>0.82733924000000003</v>
      </c>
      <c r="BX454">
        <f>0.880472995</f>
        <v>0.88047299499999998</v>
      </c>
      <c r="BY454">
        <f>0.847589183</f>
        <v>0.84758918299999997</v>
      </c>
      <c r="BZ454">
        <f>0.970707918</f>
        <v>0.970707918</v>
      </c>
      <c r="CA454">
        <f>0.917486936</f>
        <v>0.91748693599999998</v>
      </c>
      <c r="CB454">
        <f>0.892289047</f>
        <v>0.892289047</v>
      </c>
      <c r="CC454">
        <f>1.159026159</f>
        <v>1.1590261589999999</v>
      </c>
      <c r="CD454">
        <f>1.367868685</f>
        <v>1.3678686849999999</v>
      </c>
      <c r="CE454">
        <f>1.470634745</f>
        <v>1.4706347449999999</v>
      </c>
      <c r="CF454">
        <f>1.495824841</f>
        <v>1.4958248409999999</v>
      </c>
      <c r="CG454">
        <f>1.627050552</f>
        <v>1.627050552</v>
      </c>
      <c r="CH454">
        <f>1.651671373</f>
        <v>1.6516713730000001</v>
      </c>
      <c r="CI454">
        <f>1.811047389</f>
        <v>1.8110473890000001</v>
      </c>
      <c r="CJ454">
        <f>1.674560217</f>
        <v>1.674560217</v>
      </c>
      <c r="CK454">
        <f>1.601174194</f>
        <v>1.6011741939999999</v>
      </c>
      <c r="CL454">
        <f>1.789484267</f>
        <v>1.789484267</v>
      </c>
      <c r="CM454">
        <f>1.891789633</f>
        <v>1.8917896329999999</v>
      </c>
      <c r="CN454">
        <f>2.011798002</f>
        <v>2.0117980019999999</v>
      </c>
      <c r="CO454">
        <f>1.755914483</f>
        <v>1.755914483</v>
      </c>
      <c r="CP454">
        <f>1.911410852</f>
        <v>1.9114108519999999</v>
      </c>
      <c r="CQ454">
        <f>1.716851558</f>
        <v>1.7168515580000001</v>
      </c>
      <c r="CR454">
        <f>1.892858314</f>
        <v>1.8928583139999999</v>
      </c>
      <c r="CS454">
        <f>2.442996743</f>
        <v>2.4429967430000001</v>
      </c>
      <c r="CT454">
        <f>1.846561926</f>
        <v>1.8465619259999999</v>
      </c>
      <c r="CU454">
        <f>2.116129917</f>
        <v>2.1161299169999999</v>
      </c>
      <c r="CV454">
        <f>1.806071474</f>
        <v>1.8060714739999999</v>
      </c>
      <c r="CW454">
        <f>0.989667621</f>
        <v>0.98966762100000005</v>
      </c>
      <c r="CX454">
        <f>1.10988665</f>
        <v>1.10988665</v>
      </c>
      <c r="CY454">
        <f>1.178677505</f>
        <v>1.178677505</v>
      </c>
      <c r="CZ454">
        <f>1.149371656</f>
        <v>1.149371656</v>
      </c>
      <c r="DA454">
        <f>0.950929595</f>
        <v>0.95092959499999996</v>
      </c>
      <c r="DB454">
        <f>0.544055202</f>
        <v>0.54405520200000002</v>
      </c>
      <c r="DC454">
        <f>0.429616088</f>
        <v>0.42961608800000001</v>
      </c>
      <c r="DD454">
        <f>0.535215638</f>
        <v>0.53521563800000005</v>
      </c>
      <c r="DE454">
        <f>0.999594793</f>
        <v>0.99959479299999998</v>
      </c>
      <c r="DF454">
        <f>1.433539076</f>
        <v>1.433539076</v>
      </c>
      <c r="DG454">
        <f>0.944963993</f>
        <v>0.944963993</v>
      </c>
      <c r="DH454">
        <f>1.128004409</f>
        <v>1.1280044090000001</v>
      </c>
      <c r="DI454">
        <f>1.19695036</f>
        <v>1.19695036</v>
      </c>
      <c r="DJ454">
        <f>1.092272258</f>
        <v>1.0922722579999999</v>
      </c>
      <c r="DK454">
        <f>1.176673302</f>
        <v>1.176673302</v>
      </c>
      <c r="DL454">
        <f>0.984088467</f>
        <v>0.98408846699999997</v>
      </c>
      <c r="DM454">
        <f>1.14767267</f>
        <v>1.14767267</v>
      </c>
      <c r="DN454">
        <f>0.885550166</f>
        <v>0.88555016600000003</v>
      </c>
      <c r="DO454">
        <f>1.035917855</f>
        <v>1.0359178550000001</v>
      </c>
      <c r="DP454">
        <f>0.95688674</f>
        <v>0.95688673999999996</v>
      </c>
      <c r="DQ454">
        <f>1.089762294</f>
        <v>1.089762294</v>
      </c>
      <c r="DR454">
        <f>1.160068679</f>
        <v>1.1600686790000001</v>
      </c>
      <c r="DS454">
        <f>1.093959465</f>
        <v>1.093959465</v>
      </c>
      <c r="DT454">
        <f>0.992792522</f>
        <v>0.99279252200000001</v>
      </c>
      <c r="DU454">
        <f>1.022660928</f>
        <v>1.0226609280000001</v>
      </c>
    </row>
    <row r="455" spans="1:125" x14ac:dyDescent="0.25">
      <c r="A455" t="str">
        <f>"Market Cap ($M)"</f>
        <v>Market Cap ($M)</v>
      </c>
      <c r="B455" t="str">
        <f>""</f>
        <v/>
      </c>
      <c r="E455" t="str">
        <f>"Average"</f>
        <v>Average</v>
      </c>
      <c r="F455">
        <f ca="1">IF(ISERROR(IF(AVERAGE($F$456:$F$495) = 0, "", AVERAGE($F$456:$F$495))), "", (IF(AVERAGE($F$456:$F$495) = 0, "", AVERAGE($F$456:$F$495))))</f>
        <v>26517.082753916216</v>
      </c>
      <c r="G455">
        <f ca="1">IF(ISERROR(IF(AVERAGE($G$456:$G$495) = 0, "", AVERAGE($G$456:$G$495))), "", (IF(AVERAGE($G$456:$G$495) = 0, "", AVERAGE($G$456:$G$495))))</f>
        <v>24728.889657513519</v>
      </c>
      <c r="H455">
        <f ca="1">IF(ISERROR(IF(AVERAGE($H$456:$H$495) = 0, "", AVERAGE($H$456:$H$495))), "", (IF(AVERAGE($H$456:$H$495) = 0, "", AVERAGE($H$456:$H$495))))</f>
        <v>27640.245636635136</v>
      </c>
      <c r="I455">
        <f ca="1">IF(ISERROR(IF(AVERAGE($I$456:$I$495) = 0, "", AVERAGE($I$456:$I$495))), "", (IF(AVERAGE($I$456:$I$495) = 0, "", AVERAGE($I$456:$I$495))))</f>
        <v>28812.331838443239</v>
      </c>
      <c r="J455">
        <f ca="1">IF(ISERROR(IF(AVERAGE($J$456:$J$495) = 0, "", AVERAGE($J$456:$J$495))), "", (IF(AVERAGE($J$456:$J$495) = 0, "", AVERAGE($J$456:$J$495))))</f>
        <v>31362.287384781088</v>
      </c>
      <c r="K455">
        <f ca="1">IF(ISERROR(IF(AVERAGE($K$456:$K$495) = 0, "", AVERAGE($K$456:$K$495))), "", (IF(AVERAGE($K$456:$K$495) = 0, "", AVERAGE($K$456:$K$495))))</f>
        <v>31886.003267724333</v>
      </c>
      <c r="L455">
        <f ca="1">IF(ISERROR(IF(AVERAGE($L$456:$L$495) = 0, "", AVERAGE($L$456:$L$495))), "", (IF(AVERAGE($L$456:$L$495) = 0, "", AVERAGE($L$456:$L$495))))</f>
        <v>30326.566558943236</v>
      </c>
      <c r="M455">
        <f ca="1">IF(ISERROR(IF(AVERAGE($M$456:$M$495) = 0, "", AVERAGE($M$456:$M$495))), "", (IF(AVERAGE($M$456:$M$495) = 0, "", AVERAGE($M$456:$M$495))))</f>
        <v>27808.242849894592</v>
      </c>
      <c r="N455">
        <f ca="1">IF(ISERROR(IF(AVERAGE($N$456:$N$495) = 0, "", AVERAGE($N$456:$N$495))), "", (IF(AVERAGE($N$456:$N$495) = 0, "", AVERAGE($N$456:$N$495))))</f>
        <v>27014.192710816216</v>
      </c>
      <c r="O455">
        <f ca="1">IF(ISERROR(IF(AVERAGE($O$456:$O$495) = 0, "", AVERAGE($O$456:$O$495))), "", (IF(AVERAGE($O$456:$O$495) = 0, "", AVERAGE($O$456:$O$495))))</f>
        <v>27033.514607241665</v>
      </c>
      <c r="P455">
        <f ca="1">IF(ISERROR(IF(AVERAGE($P$456:$P$495) = 0, "", AVERAGE($P$456:$P$495))), "", (IF(AVERAGE($P$456:$P$495) = 0, "", AVERAGE($P$456:$P$495))))</f>
        <v>25568.132664654058</v>
      </c>
      <c r="Q455">
        <f ca="1">IF(ISERROR(IF(AVERAGE($Q$456:$Q$495) = 0, "", AVERAGE($Q$456:$Q$495))), "", (IF(AVERAGE($Q$456:$Q$495) = 0, "", AVERAGE($Q$456:$Q$495))))</f>
        <v>23109.527760340541</v>
      </c>
      <c r="R455">
        <f ca="1">IF(ISERROR(IF(AVERAGE($R$456:$R$495) = 0, "", AVERAGE($R$456:$R$495))), "", (IF(AVERAGE($R$456:$R$495) = 0, "", AVERAGE($R$456:$R$495))))</f>
        <v>25565.762247472969</v>
      </c>
      <c r="S455">
        <f ca="1">IF(ISERROR(IF(AVERAGE($S$456:$S$495) = 0, "", AVERAGE($S$456:$S$495))), "", (IF(AVERAGE($S$456:$S$495) = 0, "", AVERAGE($S$456:$S$495))))</f>
        <v>28576.748583843251</v>
      </c>
      <c r="T455">
        <f ca="1">IF(ISERROR(IF(AVERAGE($T$456:$T$495) = 0, "", AVERAGE($T$456:$T$495))), "", (IF(AVERAGE($T$456:$T$495) = 0, "", AVERAGE($T$456:$T$495))))</f>
        <v>25622.77128167298</v>
      </c>
      <c r="U455">
        <f ca="1">IF(ISERROR(IF(AVERAGE($U$456:$U$495) = 0, "", AVERAGE($U$456:$U$495))), "", (IF(AVERAGE($U$456:$U$495) = 0, "", AVERAGE($U$456:$U$495))))</f>
        <v>31039.220958764861</v>
      </c>
      <c r="V455">
        <f ca="1">IF(ISERROR(IF(AVERAGE($V$456:$V$495) = 0, "", AVERAGE($V$456:$V$495))), "", (IF(AVERAGE($V$456:$V$495) = 0, "", AVERAGE($V$456:$V$495))))</f>
        <v>32212.432424970266</v>
      </c>
      <c r="W455">
        <f ca="1">IF(ISERROR(IF(AVERAGE($W$456:$W$495) = 0, "", AVERAGE($W$456:$W$495))), "", (IF(AVERAGE($W$456:$W$495) = 0, "", AVERAGE($W$456:$W$495))))</f>
        <v>29061.754562872971</v>
      </c>
      <c r="X455">
        <f ca="1">IF(ISERROR(IF(AVERAGE($X$456:$X$495) = 0, "", AVERAGE($X$456:$X$495))), "", (IF(AVERAGE($X$456:$X$495) = 0, "", AVERAGE($X$456:$X$495))))</f>
        <v>29015.944589630551</v>
      </c>
      <c r="Y455">
        <f ca="1">IF(ISERROR(IF(AVERAGE($Y$456:$Y$495) = 0, "", AVERAGE($Y$456:$Y$495))), "", (IF(AVERAGE($Y$456:$Y$495) = 0, "", AVERAGE($Y$456:$Y$495))))</f>
        <v>30427.782496513515</v>
      </c>
      <c r="Z455">
        <f ca="1">IF(ISERROR(IF(AVERAGE($Z$456:$Z$495) = 0, "", AVERAGE($Z$456:$Z$495))), "", (IF(AVERAGE($Z$456:$Z$495) = 0, "", AVERAGE($Z$456:$Z$495))))</f>
        <v>29290.263974837846</v>
      </c>
      <c r="AA455">
        <f ca="1">IF(ISERROR(IF(AVERAGE($AA$456:$AA$495) = 0, "", AVERAGE($AA$456:$AA$495))), "", (IF(AVERAGE($AA$456:$AA$495) = 0, "", AVERAGE($AA$456:$AA$495))))</f>
        <v>29533.122735808105</v>
      </c>
      <c r="AB455">
        <f ca="1">IF(ISERROR(IF(AVERAGE($AB$456:$AB$495) = 0, "", AVERAGE($AB$456:$AB$495))), "", (IF(AVERAGE($AB$456:$AB$495) = 0, "", AVERAGE($AB$456:$AB$495))))</f>
        <v>28856.832273302702</v>
      </c>
      <c r="AC455">
        <f ca="1">IF(ISERROR(IF(AVERAGE($AC$456:$AC$495) = 0, "", AVERAGE($AC$456:$AC$495))), "", (IF(AVERAGE($AC$456:$AC$495) = 0, "", AVERAGE($AC$456:$AC$495))))</f>
        <v>25608.17111023243</v>
      </c>
      <c r="AD455">
        <f ca="1">IF(ISERROR(IF(AVERAGE($AD$456:$AD$495) = 0, "", AVERAGE($AD$456:$AD$495))), "", (IF(AVERAGE($AD$456:$AD$495) = 0, "", AVERAGE($AD$456:$AD$495))))</f>
        <v>23307.551264854053</v>
      </c>
      <c r="AE455">
        <f ca="1">IF(ISERROR(IF(AVERAGE($AE$456:$AE$495) = 0, "", AVERAGE($AE$456:$AE$495))), "", (IF(AVERAGE($AE$456:$AE$495) = 0, "", AVERAGE($AE$456:$AE$495))))</f>
        <v>23292.489019710811</v>
      </c>
      <c r="AF455">
        <f ca="1">IF(ISERROR(IF(AVERAGE($AF$456:$AF$495) = 0, "", AVERAGE($AF$456:$AF$495))), "", (IF(AVERAGE($AF$456:$AF$495) = 0, "", AVERAGE($AF$456:$AF$495))))</f>
        <v>19713.136275145949</v>
      </c>
      <c r="AG455">
        <f ca="1">IF(ISERROR(IF(AVERAGE($AG$456:$AG$495) = 0, "", AVERAGE($AG$456:$AG$495))), "", (IF(AVERAGE($AG$456:$AG$495) = 0, "", AVERAGE($AG$456:$AG$495))))</f>
        <v>19521.520685916217</v>
      </c>
      <c r="AH455">
        <f ca="1">IF(ISERROR(IF(AVERAGE($AH$456:$AH$495) = 0, "", AVERAGE($AH$456:$AH$495))), "", (IF(AVERAGE($AH$456:$AH$495) = 0, "", AVERAGE($AH$456:$AH$495))))</f>
        <v>22396.956933375677</v>
      </c>
      <c r="AI455">
        <f ca="1">IF(ISERROR(IF(AVERAGE($AI$456:$AI$495) = 0, "", AVERAGE($AI$456:$AI$495))), "", (IF(AVERAGE($AI$456:$AI$495) = 0, "", AVERAGE($AI$456:$AI$495))))</f>
        <v>18118.109366402699</v>
      </c>
      <c r="AJ455">
        <f ca="1">IF(ISERROR(IF(AVERAGE($AJ$456:$AJ$495) = 0, "", AVERAGE($AJ$456:$AJ$495))), "", (IF(AVERAGE($AJ$456:$AJ$495) = 0, "", AVERAGE($AJ$456:$AJ$495))))</f>
        <v>18433.575094744447</v>
      </c>
      <c r="AK455">
        <f ca="1">IF(ISERROR(IF(AVERAGE($AK$456:$AK$495) = 0, "", AVERAGE($AK$456:$AK$495))), "", (IF(AVERAGE($AK$456:$AK$495) = 0, "", AVERAGE($AK$456:$AK$495))))</f>
        <v>24203.499591691667</v>
      </c>
      <c r="AL455">
        <f ca="1">IF(ISERROR(IF(AVERAGE($AL$456:$AL$495) = 0, "", AVERAGE($AL$456:$AL$495))), "", (IF(AVERAGE($AL$456:$AL$495) = 0, "", AVERAGE($AL$456:$AL$495))))</f>
        <v>22921.512727188892</v>
      </c>
      <c r="AM455">
        <f ca="1">IF(ISERROR(IF(AVERAGE($AM$456:$AM$495) = 0, "", AVERAGE($AM$456:$AM$495))), "", (IF(AVERAGE($AM$456:$AM$495) = 0, "", AVERAGE($AM$456:$AM$495))))</f>
        <v>22615.761952547222</v>
      </c>
      <c r="AN455">
        <f ca="1">IF(ISERROR(IF(AVERAGE($AN$456:$AN$495) = 0, "", AVERAGE($AN$456:$AN$495))), "", (IF(AVERAGE($AN$456:$AN$495) = 0, "", AVERAGE($AN$456:$AN$495))))</f>
        <v>19408.310342119999</v>
      </c>
      <c r="AO455">
        <f ca="1">IF(ISERROR(IF(AVERAGE($AO$456:$AO$495) = 0, "", AVERAGE($AO$456:$AO$495))), "", (IF(AVERAGE($AO$456:$AO$495) = 0, "", AVERAGE($AO$456:$AO$495))))</f>
        <v>16238.808390514709</v>
      </c>
      <c r="AP455">
        <f ca="1">IF(ISERROR(IF(AVERAGE($AP$456:$AP$495) = 0, "", AVERAGE($AP$456:$AP$495))), "", (IF(AVERAGE($AP$456:$AP$495) = 0, "", AVERAGE($AP$456:$AP$495))))</f>
        <v>18440.130972790914</v>
      </c>
      <c r="AQ455">
        <f ca="1">IF(ISERROR(IF(AVERAGE($AQ$456:$AQ$495) = 0, "", AVERAGE($AQ$456:$AQ$495))), "", (IF(AVERAGE($AQ$456:$AQ$495) = 0, "", AVERAGE($AQ$456:$AQ$495))))</f>
        <v>18623.371696742423</v>
      </c>
      <c r="AR455">
        <f ca="1">IF(ISERROR(IF(AVERAGE($AR$456:$AR$495) = 0, "", AVERAGE($AR$456:$AR$495))), "", (IF(AVERAGE($AR$456:$AR$495) = 0, "", AVERAGE($AR$456:$AR$495))))</f>
        <v>17201.252599051517</v>
      </c>
      <c r="AS455">
        <f ca="1">IF(ISERROR(IF(AVERAGE($AS$456:$AS$495) = 0, "", AVERAGE($AS$456:$AS$495))), "", (IF(AVERAGE($AS$456:$AS$495) = 0, "", AVERAGE($AS$456:$AS$495))))</f>
        <v>16201.276573306059</v>
      </c>
      <c r="AT455">
        <f ca="1">IF(ISERROR(IF(AVERAGE($AT$456:$AT$495) = 0, "", AVERAGE($AT$456:$AT$495))), "", (IF(AVERAGE($AT$456:$AT$495) = 0, "", AVERAGE($AT$456:$AT$495))))</f>
        <v>12313.652104660607</v>
      </c>
      <c r="AU455">
        <f ca="1">IF(ISERROR(IF(AVERAGE($AU$456:$AU$495) = 0, "", AVERAGE($AU$456:$AU$495))), "", (IF(AVERAGE($AU$456:$AU$495) = 0, "", AVERAGE($AU$456:$AU$495))))</f>
        <v>12878.663144253031</v>
      </c>
      <c r="AV455">
        <f ca="1">IF(ISERROR(IF(AVERAGE($AV$456:$AV$495) = 0, "", AVERAGE($AV$456:$AV$495))), "", (IF(AVERAGE($AV$456:$AV$495) = 0, "", AVERAGE($AV$456:$AV$495))))</f>
        <v>17267.669537590911</v>
      </c>
      <c r="AW455">
        <f ca="1">IF(ISERROR(IF(AVERAGE($AW$456:$AW$495) = 0, "", AVERAGE($AW$456:$AW$495))), "", (IF(AVERAGE($AW$456:$AW$495) = 0, "", AVERAGE($AW$456:$AW$495))))</f>
        <v>18904.424330366666</v>
      </c>
      <c r="AX455">
        <f ca="1">IF(ISERROR(IF(AVERAGE($AX$456:$AX$495) = 0, "", AVERAGE($AX$456:$AX$495))), "", (IF(AVERAGE($AX$456:$AX$495) = 0, "", AVERAGE($AX$456:$AX$495))))</f>
        <v>20878.651671387885</v>
      </c>
      <c r="AY455">
        <f ca="1">IF(ISERROR(IF(AVERAGE($AY$456:$AY$495) = 0, "", AVERAGE($AY$456:$AY$495))), "", (IF(AVERAGE($AY$456:$AY$495) = 0, "", AVERAGE($AY$456:$AY$495))))</f>
        <v>23218.775224960606</v>
      </c>
      <c r="AZ455">
        <f ca="1">IF(ISERROR(IF(AVERAGE($AZ$456:$AZ$495) = 0, "", AVERAGE($AZ$456:$AZ$495))), "", (IF(AVERAGE($AZ$456:$AZ$495) = 0, "", AVERAGE($AZ$456:$AZ$495))))</f>
        <v>24016.338879696967</v>
      </c>
      <c r="BA455">
        <f ca="1">IF(ISERROR(IF(AVERAGE($BA$456:$BA$495) = 0, "", AVERAGE($BA$456:$BA$495))), "", (IF(AVERAGE($BA$456:$BA$495) = 0, "", AVERAGE($BA$456:$BA$495))))</f>
        <v>23124.901726133336</v>
      </c>
      <c r="BB455">
        <f ca="1">IF(ISERROR(IF(AVERAGE($BB$456:$BB$495) = 0, "", AVERAGE($BB$456:$BB$495))), "", (IF(AVERAGE($BB$456:$BB$495) = 0, "", AVERAGE($BB$456:$BB$495))))</f>
        <v>21801.847289496971</v>
      </c>
      <c r="BC455">
        <f ca="1">IF(ISERROR(IF(AVERAGE($BC$456:$BC$495) = 0, "", AVERAGE($BC$456:$BC$495))), "", (IF(AVERAGE($BC$456:$BC$495) = 0, "", AVERAGE($BC$456:$BC$495))))</f>
        <v>21120.642981157576</v>
      </c>
      <c r="BD455">
        <f ca="1">IF(ISERROR(IF(AVERAGE($BD$456:$BD$495) = 0, "", AVERAGE($BD$456:$BD$495))), "", (IF(AVERAGE($BD$456:$BD$495) = 0, "", AVERAGE($BD$456:$BD$495))))</f>
        <v>18138.444350493937</v>
      </c>
      <c r="BE455">
        <f ca="1">IF(ISERROR(IF(AVERAGE($BE$456:$BE$495) = 0, "", AVERAGE($BE$456:$BE$495))), "", (IF(AVERAGE($BE$456:$BE$495) = 0, "", AVERAGE($BE$456:$BE$495))))</f>
        <v>17208.691613242427</v>
      </c>
      <c r="BF455">
        <f ca="1">IF(ISERROR(IF(AVERAGE($BF$456:$BF$495) = 0, "", AVERAGE($BF$456:$BF$495))), "", (IF(AVERAGE($BF$456:$BF$495) = 0, "", AVERAGE($BF$456:$BF$495))))</f>
        <v>18230.317831460608</v>
      </c>
      <c r="BG455">
        <f ca="1">IF(ISERROR(IF(AVERAGE($BG$456:$BG$495) = 0, "", AVERAGE($BG$456:$BG$495))), "", (IF(AVERAGE($BG$456:$BG$495) = 0, "", AVERAGE($BG$456:$BG$495))))</f>
        <v>16831.961777718749</v>
      </c>
      <c r="BH455">
        <f ca="1">IF(ISERROR(IF(AVERAGE($BH$456:$BH$495) = 0, "", AVERAGE($BH$456:$BH$495))), "", (IF(AVERAGE($BH$456:$BH$495) = 0, "", AVERAGE($BH$456:$BH$495))))</f>
        <v>16887.370995403224</v>
      </c>
      <c r="BI455">
        <f ca="1">IF(ISERROR(IF(AVERAGE($BI$456:$BI$495) = 0, "", AVERAGE($BI$456:$BI$495))), "", (IF(AVERAGE($BI$456:$BI$495) = 0, "", AVERAGE($BI$456:$BI$495))))</f>
        <v>14070.143743345163</v>
      </c>
      <c r="BJ455">
        <f ca="1">IF(ISERROR(IF(AVERAGE($BJ$456:$BJ$495) = 0, "", AVERAGE($BJ$456:$BJ$495))), "", (IF(AVERAGE($BJ$456:$BJ$495) = 0, "", AVERAGE($BJ$456:$BJ$495))))</f>
        <v>14640.410789374195</v>
      </c>
      <c r="BK455">
        <f ca="1">IF(ISERROR(IF(AVERAGE($BK$456:$BK$495) = 0, "", AVERAGE($BK$456:$BK$495))), "", (IF(AVERAGE($BK$456:$BK$495) = 0, "", AVERAGE($BK$456:$BK$495))))</f>
        <v>15274.599793112906</v>
      </c>
      <c r="BL455">
        <f ca="1">IF(ISERROR(IF(AVERAGE($BL$456:$BL$495) = 0, "", AVERAGE($BL$456:$BL$495))), "", (IF(AVERAGE($BL$456:$BL$495) = 0, "", AVERAGE($BL$456:$BL$495))))</f>
        <v>14373.506799048384</v>
      </c>
      <c r="BM455">
        <f ca="1">IF(ISERROR(IF(AVERAGE($BM$456:$BM$495) = 0, "", AVERAGE($BM$456:$BM$495))), "", (IF(AVERAGE($BM$456:$BM$495) = 0, "", AVERAGE($BM$456:$BM$495))))</f>
        <v>14958.732109677418</v>
      </c>
      <c r="BN455">
        <f>26517.08275</f>
        <v>26517.082750000001</v>
      </c>
      <c r="BO455">
        <f>24728.88966</f>
        <v>24728.889660000001</v>
      </c>
      <c r="BP455">
        <f>27640.24564</f>
        <v>27640.245640000001</v>
      </c>
      <c r="BQ455">
        <f>28812.33184</f>
        <v>28812.331839999999</v>
      </c>
      <c r="BR455">
        <f>31362.28738</f>
        <v>31362.287380000002</v>
      </c>
      <c r="BS455">
        <f>31886.00327</f>
        <v>31886.003270000001</v>
      </c>
      <c r="BT455">
        <f>30326.56656</f>
        <v>30326.566559999999</v>
      </c>
      <c r="BU455">
        <f>27808.24285</f>
        <v>27808.242849999999</v>
      </c>
      <c r="BV455">
        <f>27014.19271</f>
        <v>27014.192709999999</v>
      </c>
      <c r="BW455">
        <f>27033.51461</f>
        <v>27033.514609999998</v>
      </c>
      <c r="BX455">
        <f>25568.13266</f>
        <v>25568.132659999999</v>
      </c>
      <c r="BY455">
        <f>23109.52776</f>
        <v>23109.527760000001</v>
      </c>
      <c r="BZ455">
        <f>25565.76225</f>
        <v>25565.76225</v>
      </c>
      <c r="CA455">
        <f>28576.74858</f>
        <v>28576.748579999999</v>
      </c>
      <c r="CB455">
        <f>25622.77128</f>
        <v>25622.771280000001</v>
      </c>
      <c r="CC455">
        <f>31039.22096</f>
        <v>31039.220959999999</v>
      </c>
      <c r="CD455">
        <f>32212.43242</f>
        <v>32212.432420000001</v>
      </c>
      <c r="CE455">
        <f>29061.75456</f>
        <v>29061.754560000001</v>
      </c>
      <c r="CF455">
        <f>29015.94459</f>
        <v>29015.944589999999</v>
      </c>
      <c r="CG455">
        <f>30427.7825</f>
        <v>30427.782500000001</v>
      </c>
      <c r="CH455">
        <f>29290.26397</f>
        <v>29290.26397</v>
      </c>
      <c r="CI455">
        <f>29533.12274</f>
        <v>29533.122739999999</v>
      </c>
      <c r="CJ455">
        <f>28856.83227</f>
        <v>28856.832269999999</v>
      </c>
      <c r="CK455">
        <f>25608.17111</f>
        <v>25608.171109999999</v>
      </c>
      <c r="CL455">
        <f>23307.55126</f>
        <v>23307.55126</v>
      </c>
      <c r="CM455">
        <f>23292.48902</f>
        <v>23292.489020000001</v>
      </c>
      <c r="CN455">
        <f>19713.13628</f>
        <v>19713.136279999999</v>
      </c>
      <c r="CO455">
        <f>19521.52068</f>
        <v>19521.520680000001</v>
      </c>
      <c r="CP455">
        <f>22396.95693</f>
        <v>22396.95693</v>
      </c>
      <c r="CQ455">
        <f>18118.10937</f>
        <v>18118.109369999998</v>
      </c>
      <c r="CR455">
        <f>18433.57509</f>
        <v>18433.575089999998</v>
      </c>
      <c r="CS455">
        <f>24203.49959</f>
        <v>24203.499589999999</v>
      </c>
      <c r="CT455">
        <f>22921.51273</f>
        <v>22921.512729999999</v>
      </c>
      <c r="CU455">
        <f>22615.76195</f>
        <v>22615.76195</v>
      </c>
      <c r="CV455">
        <f>19408.31034</f>
        <v>19408.31034</v>
      </c>
      <c r="CW455">
        <f>16238.80839</f>
        <v>16238.80839</v>
      </c>
      <c r="CX455">
        <f>18440.13097</f>
        <v>18440.130969999998</v>
      </c>
      <c r="CY455">
        <f>18623.3717</f>
        <v>18623.3717</v>
      </c>
      <c r="CZ455">
        <f>17201.2526</f>
        <v>17201.2526</v>
      </c>
      <c r="DA455">
        <f>16201.27657</f>
        <v>16201.27657</v>
      </c>
      <c r="DB455">
        <f>12313.65211</f>
        <v>12313.652110000001</v>
      </c>
      <c r="DC455">
        <f>12878.66314</f>
        <v>12878.663140000001</v>
      </c>
      <c r="DD455">
        <f>17267.66954</f>
        <v>17267.669539999999</v>
      </c>
      <c r="DE455">
        <f>18904.42433</f>
        <v>18904.424330000002</v>
      </c>
      <c r="DF455">
        <f>20878.65167</f>
        <v>20878.651669999999</v>
      </c>
      <c r="DG455">
        <f>23218.77523</f>
        <v>23218.775229999999</v>
      </c>
      <c r="DH455">
        <f>24016.33888</f>
        <v>24016.338879999999</v>
      </c>
      <c r="DI455">
        <f>23124.90173</f>
        <v>23124.901730000001</v>
      </c>
      <c r="DJ455">
        <f>21801.84729</f>
        <v>21801.847290000002</v>
      </c>
      <c r="DK455">
        <f>21120.64298</f>
        <v>21120.642980000001</v>
      </c>
      <c r="DL455">
        <f>18138.44435</f>
        <v>18138.444350000002</v>
      </c>
      <c r="DM455">
        <f>17208.69161</f>
        <v>17208.691610000002</v>
      </c>
      <c r="DN455">
        <f>18230.31783</f>
        <v>18230.31783</v>
      </c>
      <c r="DO455">
        <f>16831.96178</f>
        <v>16831.961780000001</v>
      </c>
      <c r="DP455">
        <f>16887.37099</f>
        <v>16887.370989999999</v>
      </c>
      <c r="DQ455">
        <f>14070.14374</f>
        <v>14070.14374</v>
      </c>
      <c r="DR455">
        <f>14640.41079</f>
        <v>14640.41079</v>
      </c>
      <c r="DS455">
        <f>15274.59979</f>
        <v>15274.59979</v>
      </c>
      <c r="DT455">
        <f>14373.5068</f>
        <v>14373.506799999999</v>
      </c>
      <c r="DU455">
        <f>14958.73211</f>
        <v>14958.732110000001</v>
      </c>
    </row>
    <row r="456" spans="1:125" x14ac:dyDescent="0.25">
      <c r="A456" t="str">
        <f>"    AUDI AG"</f>
        <v xml:space="preserve">    AUDI AG</v>
      </c>
      <c r="B456" t="str">
        <f>"NSU GR Equity"</f>
        <v>NSU GR Equity</v>
      </c>
      <c r="C456" t="str">
        <f t="shared" ref="C456:C495" si="33">"RR902"</f>
        <v>RR902</v>
      </c>
      <c r="D456" t="str">
        <f t="shared" ref="D456:D495" si="34">"CUR_MKT_CAP"</f>
        <v>CUR_MKT_CAP</v>
      </c>
      <c r="E456" t="str">
        <f t="shared" ref="E456:E495" si="35">"Dynamic"</f>
        <v>Dynamic</v>
      </c>
      <c r="F456">
        <f ca="1">IF(AND(ISNUMBER($F$953),$B$511=1),$F$953,HLOOKUP(INDIRECT(ADDRESS(2,COLUMN())),OFFSET($BN$2,0,0,ROW()-1,60),ROW()-1,FALSE))</f>
        <v>38835.088799999998</v>
      </c>
      <c r="G456">
        <f ca="1">IF(AND(ISNUMBER($G$953),$B$511=1),$G$953,HLOOKUP(INDIRECT(ADDRESS(2,COLUMN())),OFFSET($BN$2,0,0,ROW()-1,60),ROW()-1,FALSE))</f>
        <v>38471.506600000001</v>
      </c>
      <c r="H456">
        <f ca="1">IF(AND(ISNUMBER($H$953),$B$511=1),$H$953,HLOOKUP(INDIRECT(ADDRESS(2,COLUMN())),OFFSET($BN$2,0,0,ROW()-1,60),ROW()-1,FALSE))</f>
        <v>40251.801200000002</v>
      </c>
      <c r="I456">
        <f ca="1">IF(AND(ISNUMBER($I$953),$B$511=1),$I$953,HLOOKUP(INDIRECT(ADDRESS(2,COLUMN())),OFFSET($BN$2,0,0,ROW()-1,60),ROW()-1,FALSE))</f>
        <v>37507.691700000003</v>
      </c>
      <c r="J456">
        <f ca="1">IF(AND(ISNUMBER($J$953),$B$511=1),$J$953,HLOOKUP(INDIRECT(ADDRESS(2,COLUMN())),OFFSET($BN$2,0,0,ROW()-1,60),ROW()-1,FALSE))</f>
        <v>40589.7984</v>
      </c>
      <c r="K456">
        <f ca="1">IF(AND(ISNUMBER($K$953),$B$511=1),$K$953,HLOOKUP(INDIRECT(ADDRESS(2,COLUMN())),OFFSET($BN$2,0,0,ROW()-1,60),ROW()-1,FALSE))</f>
        <v>37527.694869999999</v>
      </c>
      <c r="L456">
        <f ca="1">IF(AND(ISNUMBER($L$953),$B$511=1),$L$953,HLOOKUP(INDIRECT(ADDRESS(2,COLUMN())),OFFSET($BN$2,0,0,ROW()-1,60),ROW()-1,FALSE))</f>
        <v>35920.364970000002</v>
      </c>
      <c r="M456">
        <f ca="1">IF(AND(ISNUMBER($M$953),$B$511=1),$M$953,HLOOKUP(INDIRECT(ADDRESS(2,COLUMN())),OFFSET($BN$2,0,0,ROW()-1,60),ROW()-1,FALSE))</f>
        <v>34745.737200000003</v>
      </c>
      <c r="N456">
        <f ca="1">IF(AND(ISNUMBER($N$953),$B$511=1),$N$953,HLOOKUP(INDIRECT(ADDRESS(2,COLUMN())),OFFSET($BN$2,0,0,ROW()-1,60),ROW()-1,FALSE))</f>
        <v>29479.541389999999</v>
      </c>
      <c r="O456">
        <f ca="1">IF(AND(ISNUMBER($O$953),$B$511=1),$O$953,HLOOKUP(INDIRECT(ADDRESS(2,COLUMN())),OFFSET($BN$2,0,0,ROW()-1,60),ROW()-1,FALSE))</f>
        <v>28617.1751</v>
      </c>
      <c r="P456">
        <f ca="1">IF(AND(ISNUMBER($P$953),$B$511=1),$P$953,HLOOKUP(INDIRECT(ADDRESS(2,COLUMN())),OFFSET($BN$2,0,0,ROW()-1,60),ROW()-1,FALSE))</f>
        <v>30180.07804</v>
      </c>
      <c r="Q456">
        <f ca="1">IF(AND(ISNUMBER($Q$953),$B$511=1),$Q$953,HLOOKUP(INDIRECT(ADDRESS(2,COLUMN())),OFFSET($BN$2,0,0,ROW()-1,60),ROW()-1,FALSE))</f>
        <v>29473.004099999998</v>
      </c>
      <c r="R456">
        <f ca="1">IF(AND(ISNUMBER($R$953),$B$511=1),$R$953,HLOOKUP(INDIRECT(ADDRESS(2,COLUMN())),OFFSET($BN$2,0,0,ROW()-1,60),ROW()-1,FALSE))</f>
        <v>30698.750899999999</v>
      </c>
      <c r="S456">
        <f ca="1">IF(AND(ISNUMBER($S$953),$B$511=1),$S$953,HLOOKUP(INDIRECT(ADDRESS(2,COLUMN())),OFFSET($BN$2,0,0,ROW()-1,60),ROW()-1,FALSE))</f>
        <v>31809.929400000001</v>
      </c>
      <c r="T456">
        <f ca="1">IF(AND(ISNUMBER($T$953),$B$511=1),$T$953,HLOOKUP(INDIRECT(ADDRESS(2,COLUMN())),OFFSET($BN$2,0,0,ROW()-1,60),ROW()-1,FALSE))</f>
        <v>32359.589800000002</v>
      </c>
      <c r="U456">
        <f ca="1">IF(AND(ISNUMBER($U$953),$B$511=1),$U$953,HLOOKUP(INDIRECT(ADDRESS(2,COLUMN())),OFFSET($BN$2,0,0,ROW()-1,60),ROW()-1,FALSE))</f>
        <v>36962.640220000001</v>
      </c>
      <c r="V456">
        <f ca="1">IF(AND(ISNUMBER($V$953),$B$511=1),$V$953,HLOOKUP(INDIRECT(ADDRESS(2,COLUMN())),OFFSET($BN$2,0,0,ROW()-1,60),ROW()-1,FALSE))</f>
        <v>34307.916570000001</v>
      </c>
      <c r="W456">
        <f ca="1">IF(AND(ISNUMBER($W$953),$B$511=1),$W$953,HLOOKUP(INDIRECT(ADDRESS(2,COLUMN())),OFFSET($BN$2,0,0,ROW()-1,60),ROW()-1,FALSE))</f>
        <v>33976.201249999998</v>
      </c>
      <c r="X456">
        <f ca="1">IF(AND(ISNUMBER($X$953),$B$511=1),$X$953,HLOOKUP(INDIRECT(ADDRESS(2,COLUMN())),OFFSET($BN$2,0,0,ROW()-1,60),ROW()-1,FALSE))</f>
        <v>32691.429400000001</v>
      </c>
      <c r="Y456">
        <f ca="1">IF(AND(ISNUMBER($Y$953),$B$511=1),$Y$953,HLOOKUP(INDIRECT(ADDRESS(2,COLUMN())),OFFSET($BN$2,0,0,ROW()-1,60),ROW()-1,FALSE))</f>
        <v>36674.141000000003</v>
      </c>
      <c r="Z456">
        <f ca="1">IF(AND(ISNUMBER($Z$953),$B$511=1),$Z$953,HLOOKUP(INDIRECT(ADDRESS(2,COLUMN())),OFFSET($BN$2,0,0,ROW()-1,60),ROW()-1,FALSE))</f>
        <v>37870.934200000003</v>
      </c>
      <c r="AA456">
        <f ca="1">IF(AND(ISNUMBER($AA$953),$B$511=1),$AA$953,HLOOKUP(INDIRECT(ADDRESS(2,COLUMN())),OFFSET($BN$2,0,0,ROW()-1,60),ROW()-1,FALSE))</f>
        <v>37861.887000000002</v>
      </c>
      <c r="AB456">
        <f ca="1">IF(AND(ISNUMBER($AB$953),$B$511=1),$AB$953,HLOOKUP(INDIRECT(ADDRESS(2,COLUMN())),OFFSET($BN$2,0,0,ROW()-1,60),ROW()-1,FALSE))</f>
        <v>35389.992230000003</v>
      </c>
      <c r="AC456">
        <f ca="1">IF(AND(ISNUMBER($AC$953),$B$511=1),$AC$953,HLOOKUP(INDIRECT(ADDRESS(2,COLUMN())),OFFSET($BN$2,0,0,ROW()-1,60),ROW()-1,FALSE))</f>
        <v>35071.168729999998</v>
      </c>
      <c r="AD456">
        <f ca="1">IF(AND(ISNUMBER($AD$953),$B$511=1),$AD$953,HLOOKUP(INDIRECT(ADDRESS(2,COLUMN())),OFFSET($BN$2,0,0,ROW()-1,60),ROW()-1,FALSE))</f>
        <v>31946.145069999999</v>
      </c>
      <c r="AE456">
        <f ca="1">IF(AND(ISNUMBER($AE$953),$B$511=1),$AE$953,HLOOKUP(INDIRECT(ADDRESS(2,COLUMN())),OFFSET($BN$2,0,0,ROW()-1,60),ROW()-1,FALSE))</f>
        <v>29854.350460000001</v>
      </c>
      <c r="AF456">
        <f ca="1">IF(AND(ISNUMBER($AF$953),$B$511=1),$AF$953,HLOOKUP(INDIRECT(ADDRESS(2,COLUMN())),OFFSET($BN$2,0,0,ROW()-1,60),ROW()-1,FALSE))</f>
        <v>29039.886600000002</v>
      </c>
      <c r="AG456">
        <f ca="1">IF(AND(ISNUMBER($AG$953),$B$511=1),$AG$953,HLOOKUP(INDIRECT(ADDRESS(2,COLUMN())),OFFSET($BN$2,0,0,ROW()-1,60),ROW()-1,FALSE))</f>
        <v>29226.023929999999</v>
      </c>
      <c r="AH456">
        <f ca="1">IF(AND(ISNUMBER($AH$953),$B$511=1),$AH$953,HLOOKUP(INDIRECT(ADDRESS(2,COLUMN())),OFFSET($BN$2,0,0,ROW()-1,60),ROW()-1,FALSE))</f>
        <v>34016.478009999999</v>
      </c>
      <c r="AI456">
        <f ca="1">IF(AND(ISNUMBER($AI$953),$B$511=1),$AI$953,HLOOKUP(INDIRECT(ADDRESS(2,COLUMN())),OFFSET($BN$2,0,0,ROW()-1,60),ROW()-1,FALSE))</f>
        <v>30248.043839999998</v>
      </c>
      <c r="AJ456">
        <f ca="1">IF(AND(ISNUMBER($AJ$953),$B$511=1),$AJ$953,HLOOKUP(INDIRECT(ADDRESS(2,COLUMN())),OFFSET($BN$2,0,0,ROW()-1,60),ROW()-1,FALSE))</f>
        <v>30930.171590000002</v>
      </c>
      <c r="AK456">
        <f ca="1">IF(AND(ISNUMBER($AK$953),$B$511=1),$AK$953,HLOOKUP(INDIRECT(ADDRESS(2,COLUMN())),OFFSET($BN$2,0,0,ROW()-1,60),ROW()-1,FALSE))</f>
        <v>36506.1443</v>
      </c>
      <c r="AL456">
        <f ca="1">IF(AND(ISNUMBER($AL$953),$B$511=1),$AL$953,HLOOKUP(INDIRECT(ADDRESS(2,COLUMN())),OFFSET($BN$2,0,0,ROW()-1,60),ROW()-1,FALSE))</f>
        <v>37830.54</v>
      </c>
      <c r="AM456">
        <f ca="1">IF(AND(ISNUMBER($AM$953),$B$511=1),$AM$953,HLOOKUP(INDIRECT(ADDRESS(2,COLUMN())),OFFSET($BN$2,0,0,ROW()-1,60),ROW()-1,FALSE))</f>
        <v>36214.621500000001</v>
      </c>
      <c r="AN456">
        <f ca="1">IF(AND(ISNUMBER($AN$953),$B$511=1),$AN$953,HLOOKUP(INDIRECT(ADDRESS(2,COLUMN())),OFFSET($BN$2,0,0,ROW()-1,60),ROW()-1,FALSE))</f>
        <v>35549.561999999998</v>
      </c>
      <c r="AO456">
        <f ca="1">IF(AND(ISNUMBER($AO$953),$B$511=1),$AO$953,HLOOKUP(INDIRECT(ADDRESS(2,COLUMN())),OFFSET($BN$2,0,0,ROW()-1,60),ROW()-1,FALSE))</f>
        <v>29532.248680000001</v>
      </c>
      <c r="AP456">
        <f ca="1">IF(AND(ISNUMBER($AP$953),$B$511=1),$AP$953,HLOOKUP(INDIRECT(ADDRESS(2,COLUMN())),OFFSET($BN$2,0,0,ROW()-1,60),ROW()-1,FALSE))</f>
        <v>33821.132279999998</v>
      </c>
      <c r="AQ456">
        <f ca="1">IF(AND(ISNUMBER($AQ$953),$B$511=1),$AQ$953,HLOOKUP(INDIRECT(ADDRESS(2,COLUMN())),OFFSET($BN$2,0,0,ROW()-1,60),ROW()-1,FALSE))</f>
        <v>30828.85</v>
      </c>
      <c r="AR456">
        <f ca="1">IF(AND(ISNUMBER($AR$953),$B$511=1),$AR$953,HLOOKUP(INDIRECT(ADDRESS(2,COLUMN())),OFFSET($BN$2,0,0,ROW()-1,60),ROW()-1,FALSE))</f>
        <v>25500.784500000002</v>
      </c>
      <c r="AS456">
        <f ca="1">IF(AND(ISNUMBER($AS$953),$B$511=1),$AS$953,HLOOKUP(INDIRECT(ADDRESS(2,COLUMN())),OFFSET($BN$2,0,0,ROW()-1,60),ROW()-1,FALSE))</f>
        <v>23178.214749999999</v>
      </c>
      <c r="AT456">
        <f ca="1">IF(AND(ISNUMBER($AT$953),$B$511=1),$AT$953,HLOOKUP(INDIRECT(ADDRESS(2,COLUMN())),OFFSET($BN$2,0,0,ROW()-1,60),ROW()-1,FALSE))</f>
        <v>17729.25445</v>
      </c>
      <c r="AU456">
        <f ca="1">IF(AND(ISNUMBER($AU$953),$B$511=1),$AU$953,HLOOKUP(INDIRECT(ADDRESS(2,COLUMN())),OFFSET($BN$2,0,0,ROW()-1,60),ROW()-1,FALSE))</f>
        <v>28251.288100000002</v>
      </c>
      <c r="AV456">
        <f ca="1">IF(AND(ISNUMBER($AV$953),$B$511=1),$AV$953,HLOOKUP(INDIRECT(ADDRESS(2,COLUMN())),OFFSET($BN$2,0,0,ROW()-1,60),ROW()-1,FALSE))</f>
        <v>29032.828839999998</v>
      </c>
      <c r="AW456">
        <f ca="1">IF(AND(ISNUMBER($AW$953),$B$511=1),$AW$953,HLOOKUP(INDIRECT(ADDRESS(2,COLUMN())),OFFSET($BN$2,0,0,ROW()-1,60),ROW()-1,FALSE))</f>
        <v>34956.312330000001</v>
      </c>
      <c r="AX456">
        <f ca="1">IF(AND(ISNUMBER($AX$953),$B$511=1),$AX$953,HLOOKUP(INDIRECT(ADDRESS(2,COLUMN())),OFFSET($BN$2,0,0,ROW()-1,60),ROW()-1,FALSE))</f>
        <v>36557.585290000003</v>
      </c>
      <c r="AY456">
        <f ca="1">IF(AND(ISNUMBER($AY$953),$B$511=1),$AY$953,HLOOKUP(INDIRECT(ADDRESS(2,COLUMN())),OFFSET($BN$2,0,0,ROW()-1,60),ROW()-1,FALSE))</f>
        <v>39222.192000000003</v>
      </c>
      <c r="AZ456">
        <f ca="1">IF(AND(ISNUMBER($AZ$953),$B$511=1),$AZ$953,HLOOKUP(INDIRECT(ADDRESS(2,COLUMN())),OFFSET($BN$2,0,0,ROW()-1,60),ROW()-1,FALSE))</f>
        <v>33268.518859999996</v>
      </c>
      <c r="BA456">
        <f ca="1">IF(AND(ISNUMBER($BA$953),$B$511=1),$BA$953,HLOOKUP(INDIRECT(ADDRESS(2,COLUMN())),OFFSET($BN$2,0,0,ROW()-1,60),ROW()-1,FALSE))</f>
        <v>32340.454369999999</v>
      </c>
      <c r="BB456">
        <f ca="1">IF(AND(ISNUMBER($BB$953),$B$511=1),$BB$953,HLOOKUP(INDIRECT(ADDRESS(2,COLUMN())),OFFSET($BN$2,0,0,ROW()-1,60),ROW()-1,FALSE))</f>
        <v>32496.91851</v>
      </c>
      <c r="BC456">
        <f ca="1">IF(AND(ISNUMBER($BC$953),$B$511=1),$BC$953,HLOOKUP(INDIRECT(ADDRESS(2,COLUMN())),OFFSET($BN$2,0,0,ROW()-1,60),ROW()-1,FALSE))</f>
        <v>30908.4215</v>
      </c>
      <c r="BD456">
        <f ca="1">IF(AND(ISNUMBER($BD$953),$B$511=1),$BD$953,HLOOKUP(INDIRECT(ADDRESS(2,COLUMN())),OFFSET($BN$2,0,0,ROW()-1,60),ROW()-1,FALSE))</f>
        <v>23701.8881</v>
      </c>
      <c r="BE456">
        <f ca="1">IF(AND(ISNUMBER($BE$953),$B$511=1),$BE$953,HLOOKUP(INDIRECT(ADDRESS(2,COLUMN())),OFFSET($BN$2,0,0,ROW()-1,60),ROW()-1,FALSE))</f>
        <v>16822.503000000001</v>
      </c>
      <c r="BF456">
        <f ca="1">IF(AND(ISNUMBER($BF$953),$B$511=1),$BF$953,HLOOKUP(INDIRECT(ADDRESS(2,COLUMN())),OFFSET($BN$2,0,0,ROW()-1,60),ROW()-1,FALSE))</f>
        <v>17225.241000000002</v>
      </c>
      <c r="BG456">
        <f ca="1">IF(AND(ISNUMBER($BG$953),$B$511=1),$BG$953,HLOOKUP(INDIRECT(ADDRESS(2,COLUMN())),OFFSET($BN$2,0,0,ROW()-1,60),ROW()-1,FALSE))</f>
        <v>15671.6252</v>
      </c>
      <c r="BH456">
        <f ca="1">IF(AND(ISNUMBER($BH$953),$B$511=1),$BH$953,HLOOKUP(INDIRECT(ADDRESS(2,COLUMN())),OFFSET($BN$2,0,0,ROW()-1,60),ROW()-1,FALSE))</f>
        <v>12249.4272</v>
      </c>
      <c r="BI456">
        <f ca="1">IF(AND(ISNUMBER($BI$953),$B$511=1),$BI$953,HLOOKUP(INDIRECT(ADDRESS(2,COLUMN())),OFFSET($BN$2,0,0,ROW()-1,60),ROW()-1,FALSE))</f>
        <v>12468.006950000001</v>
      </c>
      <c r="BJ456">
        <f ca="1">IF(AND(ISNUMBER($BJ$953),$B$511=1),$BJ$953,HLOOKUP(INDIRECT(ADDRESS(2,COLUMN())),OFFSET($BN$2,0,0,ROW()-1,60),ROW()-1,FALSE))</f>
        <v>12825.352000000001</v>
      </c>
      <c r="BK456">
        <f ca="1">IF(AND(ISNUMBER($BK$953),$B$511=1),$BK$953,HLOOKUP(INDIRECT(ADDRESS(2,COLUMN())),OFFSET($BN$2,0,0,ROW()-1,60),ROW()-1,FALSE))</f>
        <v>13076.5193</v>
      </c>
      <c r="BL456">
        <f ca="1">IF(AND(ISNUMBER($BL$953),$B$511=1),$BL$953,HLOOKUP(INDIRECT(ADDRESS(2,COLUMN())),OFFSET($BN$2,0,0,ROW()-1,60),ROW()-1,FALSE))</f>
        <v>11477.39471</v>
      </c>
      <c r="BM456">
        <f ca="1">IF(AND(ISNUMBER($BM$953),$B$511=1),$BM$953,HLOOKUP(INDIRECT(ADDRESS(2,COLUMN())),OFFSET($BN$2,0,0,ROW()-1,60),ROW()-1,FALSE))</f>
        <v>11593.503650000001</v>
      </c>
      <c r="BN456">
        <f>38835.0888</f>
        <v>38835.088799999998</v>
      </c>
      <c r="BO456">
        <f>38471.5066</f>
        <v>38471.506600000001</v>
      </c>
      <c r="BP456">
        <f>40251.8012</f>
        <v>40251.801200000002</v>
      </c>
      <c r="BQ456">
        <f>37507.6917</f>
        <v>37507.691700000003</v>
      </c>
      <c r="BR456">
        <f>40589.7984</f>
        <v>40589.7984</v>
      </c>
      <c r="BS456">
        <f>37527.69487</f>
        <v>37527.694869999999</v>
      </c>
      <c r="BT456">
        <f>35920.36497</f>
        <v>35920.364970000002</v>
      </c>
      <c r="BU456">
        <f>34745.7372</f>
        <v>34745.737200000003</v>
      </c>
      <c r="BV456">
        <f>29479.54139</f>
        <v>29479.541389999999</v>
      </c>
      <c r="BW456">
        <f>28617.1751</f>
        <v>28617.1751</v>
      </c>
      <c r="BX456">
        <f>30180.07804</f>
        <v>30180.07804</v>
      </c>
      <c r="BY456">
        <f>29473.0041</f>
        <v>29473.004099999998</v>
      </c>
      <c r="BZ456">
        <f>30698.7509</f>
        <v>30698.750899999999</v>
      </c>
      <c r="CA456">
        <f>31809.9294</f>
        <v>31809.929400000001</v>
      </c>
      <c r="CB456">
        <f>32359.5898</f>
        <v>32359.589800000002</v>
      </c>
      <c r="CC456">
        <f>36962.64022</f>
        <v>36962.640220000001</v>
      </c>
      <c r="CD456">
        <f>34307.91657</f>
        <v>34307.916570000001</v>
      </c>
      <c r="CE456">
        <f>33976.20125</f>
        <v>33976.201249999998</v>
      </c>
      <c r="CF456">
        <f>32691.4294</f>
        <v>32691.429400000001</v>
      </c>
      <c r="CG456">
        <f>36674.141</f>
        <v>36674.141000000003</v>
      </c>
      <c r="CH456">
        <f>37870.9342</f>
        <v>37870.934200000003</v>
      </c>
      <c r="CI456">
        <f>37861.887</f>
        <v>37861.887000000002</v>
      </c>
      <c r="CJ456">
        <f>35389.99223</f>
        <v>35389.992230000003</v>
      </c>
      <c r="CK456">
        <f>35071.16873</f>
        <v>35071.168729999998</v>
      </c>
      <c r="CL456">
        <f>31946.14507</f>
        <v>31946.145069999999</v>
      </c>
      <c r="CM456">
        <f>29854.35046</f>
        <v>29854.350460000001</v>
      </c>
      <c r="CN456">
        <f>29039.8866</f>
        <v>29039.886600000002</v>
      </c>
      <c r="CO456">
        <f>29226.02393</f>
        <v>29226.023929999999</v>
      </c>
      <c r="CP456">
        <f>34016.47801</f>
        <v>34016.478009999999</v>
      </c>
      <c r="CQ456">
        <f>30248.04384</f>
        <v>30248.043839999998</v>
      </c>
      <c r="CR456">
        <f>30930.17159</f>
        <v>30930.171590000002</v>
      </c>
      <c r="CS456">
        <f>36506.1443</f>
        <v>36506.1443</v>
      </c>
      <c r="CT456">
        <f>37830.54</f>
        <v>37830.54</v>
      </c>
      <c r="CU456">
        <f>36214.6215</f>
        <v>36214.621500000001</v>
      </c>
      <c r="CV456">
        <f>35549.562</f>
        <v>35549.561999999998</v>
      </c>
      <c r="CW456">
        <f>29532.24868</f>
        <v>29532.248680000001</v>
      </c>
      <c r="CX456">
        <f>33821.13228</f>
        <v>33821.132279999998</v>
      </c>
      <c r="CY456">
        <f>30828.85</f>
        <v>30828.85</v>
      </c>
      <c r="CZ456">
        <f>25500.7845</f>
        <v>25500.784500000002</v>
      </c>
      <c r="DA456">
        <f>23178.21475</f>
        <v>23178.214749999999</v>
      </c>
      <c r="DB456">
        <f>17729.25445</f>
        <v>17729.25445</v>
      </c>
      <c r="DC456">
        <f>28251.2881</f>
        <v>28251.288100000002</v>
      </c>
      <c r="DD456">
        <f>29032.82884</f>
        <v>29032.828839999998</v>
      </c>
      <c r="DE456">
        <f>34956.31233</f>
        <v>34956.312330000001</v>
      </c>
      <c r="DF456">
        <f>36557.58529</f>
        <v>36557.585290000003</v>
      </c>
      <c r="DG456">
        <f>39222.192</f>
        <v>39222.192000000003</v>
      </c>
      <c r="DH456">
        <f>33268.51886</f>
        <v>33268.518859999996</v>
      </c>
      <c r="DI456">
        <f>32340.45437</f>
        <v>32340.454369999999</v>
      </c>
      <c r="DJ456">
        <f>32496.91851</f>
        <v>32496.91851</v>
      </c>
      <c r="DK456">
        <f>30908.4215</f>
        <v>30908.4215</v>
      </c>
      <c r="DL456">
        <f>23701.8881</f>
        <v>23701.8881</v>
      </c>
      <c r="DM456">
        <f>16822.503</f>
        <v>16822.503000000001</v>
      </c>
      <c r="DN456">
        <f>17225.241</f>
        <v>17225.241000000002</v>
      </c>
      <c r="DO456">
        <f>15671.6252</f>
        <v>15671.6252</v>
      </c>
      <c r="DP456">
        <f>12249.4272</f>
        <v>12249.4272</v>
      </c>
      <c r="DQ456">
        <f>12468.00695</f>
        <v>12468.006950000001</v>
      </c>
      <c r="DR456">
        <f>12825.352</f>
        <v>12825.352000000001</v>
      </c>
      <c r="DS456">
        <f>13076.5193</f>
        <v>13076.5193</v>
      </c>
      <c r="DT456">
        <f>11477.39471</f>
        <v>11477.39471</v>
      </c>
      <c r="DU456">
        <f>11593.50365</f>
        <v>11593.503650000001</v>
      </c>
    </row>
    <row r="457" spans="1:125" x14ac:dyDescent="0.25">
      <c r="A457" t="str">
        <f>"    Avtovaz PJSC"</f>
        <v xml:space="preserve">    Avtovaz PJSC</v>
      </c>
      <c r="B457" t="str">
        <f>"AVAZ RM Equity"</f>
        <v>AVAZ RM Equity</v>
      </c>
      <c r="C457" t="str">
        <f t="shared" si="33"/>
        <v>RR902</v>
      </c>
      <c r="D457" t="str">
        <f t="shared" si="34"/>
        <v>CUR_MKT_CAP</v>
      </c>
      <c r="E457" t="str">
        <f t="shared" si="35"/>
        <v>Dynamic</v>
      </c>
      <c r="F457">
        <f ca="1">IF(AND(ISNUMBER($F$954),$B$511=1),$F$954,HLOOKUP(INDIRECT(ADDRESS(2,COLUMN())),OFFSET($BN$2,0,0,ROW()-1,60),ROW()-1,FALSE))</f>
        <v>2008.6578850000001</v>
      </c>
      <c r="G457">
        <f ca="1">IF(AND(ISNUMBER($G$954),$B$511=1),$G$954,HLOOKUP(INDIRECT(ADDRESS(2,COLUMN())),OFFSET($BN$2,0,0,ROW()-1,60),ROW()-1,FALSE))</f>
        <v>1886.8678399999999</v>
      </c>
      <c r="H457">
        <f ca="1">IF(AND(ISNUMBER($H$954),$B$511=1),$H$954,HLOOKUP(INDIRECT(ADDRESS(2,COLUMN())),OFFSET($BN$2,0,0,ROW()-1,60),ROW()-1,FALSE))</f>
        <v>855.30153159999998</v>
      </c>
      <c r="I457">
        <f ca="1">IF(AND(ISNUMBER($I$954),$B$511=1),$I$954,HLOOKUP(INDIRECT(ADDRESS(2,COLUMN())),OFFSET($BN$2,0,0,ROW()-1,60),ROW()-1,FALSE))</f>
        <v>881.52826379999999</v>
      </c>
      <c r="J457">
        <f ca="1">IF(AND(ISNUMBER($J$954),$B$511=1),$J$954,HLOOKUP(INDIRECT(ADDRESS(2,COLUMN())),OFFSET($BN$2,0,0,ROW()-1,60),ROW()-1,FALSE))</f>
        <v>1077.4436889999999</v>
      </c>
      <c r="K457">
        <f ca="1">IF(AND(ISNUMBER($K$954),$B$511=1),$K$954,HLOOKUP(INDIRECT(ADDRESS(2,COLUMN())),OFFSET($BN$2,0,0,ROW()-1,60),ROW()-1,FALSE))</f>
        <v>821.08530800000005</v>
      </c>
      <c r="L457">
        <f ca="1">IF(AND(ISNUMBER($L$954),$B$511=1),$L$954,HLOOKUP(INDIRECT(ADDRESS(2,COLUMN())),OFFSET($BN$2,0,0,ROW()-1,60),ROW()-1,FALSE))</f>
        <v>960.66984349999996</v>
      </c>
      <c r="M457">
        <f ca="1">IF(AND(ISNUMBER($M$954),$B$511=1),$M$954,HLOOKUP(INDIRECT(ADDRESS(2,COLUMN())),OFFSET($BN$2,0,0,ROW()-1,60),ROW()-1,FALSE))</f>
        <v>749.77763400000003</v>
      </c>
      <c r="N457">
        <f ca="1">IF(AND(ISNUMBER($N$954),$B$511=1),$N$954,HLOOKUP(INDIRECT(ADDRESS(2,COLUMN())),OFFSET($BN$2,0,0,ROW()-1,60),ROW()-1,FALSE))</f>
        <v>803.6767734</v>
      </c>
      <c r="O457">
        <f ca="1">IF(AND(ISNUMBER($O$954),$B$511=1),$O$954,HLOOKUP(INDIRECT(ADDRESS(2,COLUMN())),OFFSET($BN$2,0,0,ROW()-1,60),ROW()-1,FALSE))</f>
        <v>746.62177050000003</v>
      </c>
      <c r="P457">
        <f ca="1">IF(AND(ISNUMBER($P$954),$B$511=1),$P$954,HLOOKUP(INDIRECT(ADDRESS(2,COLUMN())),OFFSET($BN$2,0,0,ROW()-1,60),ROW()-1,FALSE))</f>
        <v>308.0957444</v>
      </c>
      <c r="Q457">
        <f ca="1">IF(AND(ISNUMBER($Q$954),$B$511=1),$Q$954,HLOOKUP(INDIRECT(ADDRESS(2,COLUMN())),OFFSET($BN$2,0,0,ROW()-1,60),ROW()-1,FALSE))</f>
        <v>206.6355825</v>
      </c>
      <c r="R457">
        <f ca="1">IF(AND(ISNUMBER($R$954),$B$511=1),$R$954,HLOOKUP(INDIRECT(ADDRESS(2,COLUMN())),OFFSET($BN$2,0,0,ROW()-1,60),ROW()-1,FALSE))</f>
        <v>244.03340159999999</v>
      </c>
      <c r="S457">
        <f ca="1">IF(AND(ISNUMBER($S$954),$B$511=1),$S$954,HLOOKUP(INDIRECT(ADDRESS(2,COLUMN())),OFFSET($BN$2,0,0,ROW()-1,60),ROW()-1,FALSE))</f>
        <v>233.5399831</v>
      </c>
      <c r="T457">
        <f ca="1">IF(AND(ISNUMBER($T$954),$B$511=1),$T$954,HLOOKUP(INDIRECT(ADDRESS(2,COLUMN())),OFFSET($BN$2,0,0,ROW()-1,60),ROW()-1,FALSE))</f>
        <v>272.8313167</v>
      </c>
      <c r="U457">
        <f ca="1">IF(AND(ISNUMBER($U$954),$B$511=1),$U$954,HLOOKUP(INDIRECT(ADDRESS(2,COLUMN())),OFFSET($BN$2,0,0,ROW()-1,60),ROW()-1,FALSE))</f>
        <v>329.43828309999998</v>
      </c>
      <c r="V457">
        <f ca="1">IF(AND(ISNUMBER($V$954),$B$511=1),$V$954,HLOOKUP(INDIRECT(ADDRESS(2,COLUMN())),OFFSET($BN$2,0,0,ROW()-1,60),ROW()-1,FALSE))</f>
        <v>368.38637060000002</v>
      </c>
      <c r="W457">
        <f ca="1">IF(AND(ISNUMBER($W$954),$B$511=1),$W$954,HLOOKUP(INDIRECT(ADDRESS(2,COLUMN())),OFFSET($BN$2,0,0,ROW()-1,60),ROW()-1,FALSE))</f>
        <v>275.07421069999998</v>
      </c>
      <c r="X457">
        <f ca="1">IF(AND(ISNUMBER($X$954),$B$511=1),$X$954,HLOOKUP(INDIRECT(ADDRESS(2,COLUMN())),OFFSET($BN$2,0,0,ROW()-1,60),ROW()-1,FALSE))</f>
        <v>481.86989249999999</v>
      </c>
      <c r="Y457">
        <f ca="1">IF(AND(ISNUMBER($Y$954),$B$511=1),$Y$954,HLOOKUP(INDIRECT(ADDRESS(2,COLUMN())),OFFSET($BN$2,0,0,ROW()-1,60),ROW()-1,FALSE))</f>
        <v>520.16897310000002</v>
      </c>
      <c r="Z457">
        <f ca="1">IF(AND(ISNUMBER($Z$954),$B$511=1),$Z$954,HLOOKUP(INDIRECT(ADDRESS(2,COLUMN())),OFFSET($BN$2,0,0,ROW()-1,60),ROW()-1,FALSE))</f>
        <v>524.8680564</v>
      </c>
      <c r="AA457">
        <f ca="1">IF(AND(ISNUMBER($AA$954),$B$511=1),$AA$954,HLOOKUP(INDIRECT(ADDRESS(2,COLUMN())),OFFSET($BN$2,0,0,ROW()-1,60),ROW()-1,FALSE))</f>
        <v>602.02115260000005</v>
      </c>
      <c r="AB457">
        <f ca="1">IF(AND(ISNUMBER($AB$954),$B$511=1),$AB$954,HLOOKUP(INDIRECT(ADDRESS(2,COLUMN())),OFFSET($BN$2,0,0,ROW()-1,60),ROW()-1,FALSE))</f>
        <v>589.32715429999996</v>
      </c>
      <c r="AC457">
        <f ca="1">IF(AND(ISNUMBER($AC$954),$B$511=1),$AC$954,HLOOKUP(INDIRECT(ADDRESS(2,COLUMN())),OFFSET($BN$2,0,0,ROW()-1,60),ROW()-1,FALSE))</f>
        <v>534.70122519999995</v>
      </c>
      <c r="AD457">
        <f ca="1">IF(AND(ISNUMBER($AD$954),$B$511=1),$AD$954,HLOOKUP(INDIRECT(ADDRESS(2,COLUMN())),OFFSET($BN$2,0,0,ROW()-1,60),ROW()-1,FALSE))</f>
        <v>729.31377359999999</v>
      </c>
      <c r="AE457">
        <f ca="1">IF(AND(ISNUMBER($AE$954),$B$511=1),$AE$954,HLOOKUP(INDIRECT(ADDRESS(2,COLUMN())),OFFSET($BN$2,0,0,ROW()-1,60),ROW()-1,FALSE))</f>
        <v>954.40143939999996</v>
      </c>
      <c r="AF457">
        <f ca="1">IF(AND(ISNUMBER($AF$954),$B$511=1),$AF$954,HLOOKUP(INDIRECT(ADDRESS(2,COLUMN())),OFFSET($BN$2,0,0,ROW()-1,60),ROW()-1,FALSE))</f>
        <v>918.56583460000002</v>
      </c>
      <c r="AG457">
        <f ca="1">IF(AND(ISNUMBER($AG$954),$B$511=1),$AG$954,HLOOKUP(INDIRECT(ADDRESS(2,COLUMN())),OFFSET($BN$2,0,0,ROW()-1,60),ROW()-1,FALSE))</f>
        <v>923.78420419999998</v>
      </c>
      <c r="AH457">
        <f ca="1">IF(AND(ISNUMBER($AH$954),$B$511=1),$AH$954,HLOOKUP(INDIRECT(ADDRESS(2,COLUMN())),OFFSET($BN$2,0,0,ROW()-1,60),ROW()-1,FALSE))</f>
        <v>1482.92741</v>
      </c>
      <c r="AI457">
        <f ca="1">IF(AND(ISNUMBER($AI$954),$B$511=1),$AI$954,HLOOKUP(INDIRECT(ADDRESS(2,COLUMN())),OFFSET($BN$2,0,0,ROW()-1,60),ROW()-1,FALSE))</f>
        <v>857.26077009999995</v>
      </c>
      <c r="AJ457">
        <f ca="1">IF(AND(ISNUMBER($AJ$954),$B$511=1),$AJ$954,HLOOKUP(INDIRECT(ADDRESS(2,COLUMN())),OFFSET($BN$2,0,0,ROW()-1,60),ROW()-1,FALSE))</f>
        <v>881.05321179999999</v>
      </c>
      <c r="AK457">
        <f ca="1">IF(AND(ISNUMBER($AK$954),$B$511=1),$AK$954,HLOOKUP(INDIRECT(ADDRESS(2,COLUMN())),OFFSET($BN$2,0,0,ROW()-1,60),ROW()-1,FALSE))</f>
        <v>1581.873341</v>
      </c>
      <c r="AL457">
        <f ca="1">IF(AND(ISNUMBER($AL$954),$B$511=1),$AL$954,HLOOKUP(INDIRECT(ADDRESS(2,COLUMN())),OFFSET($BN$2,0,0,ROW()-1,60),ROW()-1,FALSE))</f>
        <v>1460.1438370000001</v>
      </c>
      <c r="AM457">
        <f ca="1">IF(AND(ISNUMBER($AM$954),$B$511=1),$AM$954,HLOOKUP(INDIRECT(ADDRESS(2,COLUMN())),OFFSET($BN$2,0,0,ROW()-1,60),ROW()-1,FALSE))</f>
        <v>1532.931564</v>
      </c>
      <c r="AN457">
        <f ca="1">IF(AND(ISNUMBER($AN$954),$B$511=1),$AN$954,HLOOKUP(INDIRECT(ADDRESS(2,COLUMN())),OFFSET($BN$2,0,0,ROW()-1,60),ROW()-1,FALSE))</f>
        <v>1219.5285140000001</v>
      </c>
      <c r="AO457">
        <f ca="1">IF(AND(ISNUMBER($AO$954),$B$511=1),$AO$954,HLOOKUP(INDIRECT(ADDRESS(2,COLUMN())),OFFSET($BN$2,0,0,ROW()-1,60),ROW()-1,FALSE))</f>
        <v>593.2067978</v>
      </c>
      <c r="AP457">
        <f ca="1">IF(AND(ISNUMBER($AP$954),$B$511=1),$AP$954,HLOOKUP(INDIRECT(ADDRESS(2,COLUMN())),OFFSET($BN$2,0,0,ROW()-1,60),ROW()-1,FALSE))</f>
        <v>726.01167080000005</v>
      </c>
      <c r="AQ457">
        <f ca="1">IF(AND(ISNUMBER($AQ$954),$B$511=1),$AQ$954,HLOOKUP(INDIRECT(ADDRESS(2,COLUMN())),OFFSET($BN$2,0,0,ROW()-1,60),ROW()-1,FALSE))</f>
        <v>683.53679650000004</v>
      </c>
      <c r="AR457">
        <f ca="1">IF(AND(ISNUMBER($AR$954),$B$511=1),$AR$954,HLOOKUP(INDIRECT(ADDRESS(2,COLUMN())),OFFSET($BN$2,0,0,ROW()-1,60),ROW()-1,FALSE))</f>
        <v>682.86928399999999</v>
      </c>
      <c r="AS457">
        <f ca="1">IF(AND(ISNUMBER($AS$954),$B$511=1),$AS$954,HLOOKUP(INDIRECT(ADDRESS(2,COLUMN())),OFFSET($BN$2,0,0,ROW()-1,60),ROW()-1,FALSE))</f>
        <v>586.82853939999995</v>
      </c>
      <c r="AT457">
        <f ca="1">IF(AND(ISNUMBER($AT$954),$B$511=1),$AT$954,HLOOKUP(INDIRECT(ADDRESS(2,COLUMN())),OFFSET($BN$2,0,0,ROW()-1,60),ROW()-1,FALSE))</f>
        <v>520.61680030000002</v>
      </c>
      <c r="AU457">
        <f ca="1">IF(AND(ISNUMBER($AU$954),$B$511=1),$AU$954,HLOOKUP(INDIRECT(ADDRESS(2,COLUMN())),OFFSET($BN$2,0,0,ROW()-1,60),ROW()-1,FALSE))</f>
        <v>343.78144630000003</v>
      </c>
      <c r="AV457">
        <f ca="1">IF(AND(ISNUMBER($AV$954),$B$511=1),$AV$954,HLOOKUP(INDIRECT(ADDRESS(2,COLUMN())),OFFSET($BN$2,0,0,ROW()-1,60),ROW()-1,FALSE))</f>
        <v>634.55555470000002</v>
      </c>
      <c r="AW457">
        <f ca="1">IF(AND(ISNUMBER($AW$954),$B$511=1),$AW$954,HLOOKUP(INDIRECT(ADDRESS(2,COLUMN())),OFFSET($BN$2,0,0,ROW()-1,60),ROW()-1,FALSE))</f>
        <v>4304.3985590000002</v>
      </c>
      <c r="AX457">
        <f ca="1">IF(AND(ISNUMBER($AX$954),$B$511=1),$AX$954,HLOOKUP(INDIRECT(ADDRESS(2,COLUMN())),OFFSET($BN$2,0,0,ROW()-1,60),ROW()-1,FALSE))</f>
        <v>4594.7883680000004</v>
      </c>
      <c r="AY457">
        <f ca="1">IF(AND(ISNUMBER($AY$954),$B$511=1),$AY$954,HLOOKUP(INDIRECT(ADDRESS(2,COLUMN())),OFFSET($BN$2,0,0,ROW()-1,60),ROW()-1,FALSE))</f>
        <v>5178.2814859999999</v>
      </c>
      <c r="AZ457">
        <f ca="1">IF(AND(ISNUMBER($AZ$954),$B$511=1),$AZ$954,HLOOKUP(INDIRECT(ADDRESS(2,COLUMN())),OFFSET($BN$2,0,0,ROW()-1,60),ROW()-1,FALSE))</f>
        <v>4449.4311630000002</v>
      </c>
      <c r="BA457">
        <f ca="1">IF(AND(ISNUMBER($BA$954),$B$511=1),$BA$954,HLOOKUP(INDIRECT(ADDRESS(2,COLUMN())),OFFSET($BN$2,0,0,ROW()-1,60),ROW()-1,FALSE))</f>
        <v>4137.8668939999998</v>
      </c>
      <c r="BB457">
        <f ca="1">IF(AND(ISNUMBER($BB$954),$B$511=1),$BB$954,HLOOKUP(INDIRECT(ADDRESS(2,COLUMN())),OFFSET($BN$2,0,0,ROW()-1,60),ROW()-1,FALSE))</f>
        <v>2870.962145</v>
      </c>
      <c r="BC457">
        <f ca="1">IF(AND(ISNUMBER($BC$954),$B$511=1),$BC$954,HLOOKUP(INDIRECT(ADDRESS(2,COLUMN())),OFFSET($BN$2,0,0,ROW()-1,60),ROW()-1,FALSE))</f>
        <v>1847.6894199999999</v>
      </c>
      <c r="BD457">
        <f ca="1">IF(AND(ISNUMBER($BD$954),$B$511=1),$BD$954,HLOOKUP(INDIRECT(ADDRESS(2,COLUMN())),OFFSET($BN$2,0,0,ROW()-1,60),ROW()-1,FALSE))</f>
        <v>1803.0063170000001</v>
      </c>
      <c r="BE457">
        <f ca="1">IF(AND(ISNUMBER($BE$954),$B$511=1),$BE$954,HLOOKUP(INDIRECT(ADDRESS(2,COLUMN())),OFFSET($BN$2,0,0,ROW()-1,60),ROW()-1,FALSE))</f>
        <v>1463.9910970000001</v>
      </c>
      <c r="BF457">
        <f ca="1">IF(AND(ISNUMBER($BF$954),$B$511=1),$BF$954,HLOOKUP(INDIRECT(ADDRESS(2,COLUMN())),OFFSET($BN$2,0,0,ROW()-1,60),ROW()-1,FALSE))</f>
        <v>1730.4412749999999</v>
      </c>
      <c r="BG457">
        <f ca="1">IF(AND(ISNUMBER($BG$954),$B$511=1),$BG$954,HLOOKUP(INDIRECT(ADDRESS(2,COLUMN())),OFFSET($BN$2,0,0,ROW()-1,60),ROW()-1,FALSE))</f>
        <v>985.56223320000004</v>
      </c>
      <c r="BH457">
        <f ca="1">IF(AND(ISNUMBER($BH$954),$B$511=1),$BH$954,HLOOKUP(INDIRECT(ADDRESS(2,COLUMN())),OFFSET($BN$2,0,0,ROW()-1,60),ROW()-1,FALSE))</f>
        <v>676.31910049999999</v>
      </c>
      <c r="BI457">
        <f ca="1">IF(AND(ISNUMBER($BI$954),$B$511=1),$BI$954,HLOOKUP(INDIRECT(ADDRESS(2,COLUMN())),OFFSET($BN$2,0,0,ROW()-1,60),ROW()-1,FALSE))</f>
        <v>643.47569850000002</v>
      </c>
      <c r="BJ457">
        <f ca="1">IF(AND(ISNUMBER($BJ$954),$B$511=1),$BJ$954,HLOOKUP(INDIRECT(ADDRESS(2,COLUMN())),OFFSET($BN$2,0,0,ROW()-1,60),ROW()-1,FALSE))</f>
        <v>807.82173590000002</v>
      </c>
      <c r="BK457">
        <f ca="1">IF(AND(ISNUMBER($BK$954),$B$511=1),$BK$954,HLOOKUP(INDIRECT(ADDRESS(2,COLUMN())),OFFSET($BN$2,0,0,ROW()-1,60),ROW()-1,FALSE))</f>
        <v>762.42001189999996</v>
      </c>
      <c r="BL457">
        <f ca="1">IF(AND(ISNUMBER($BL$954),$B$511=1),$BL$954,HLOOKUP(INDIRECT(ADDRESS(2,COLUMN())),OFFSET($BN$2,0,0,ROW()-1,60),ROW()-1,FALSE))</f>
        <v>709.17427710000004</v>
      </c>
      <c r="BM457">
        <f ca="1">IF(AND(ISNUMBER($BM$954),$B$511=1),$BM$954,HLOOKUP(INDIRECT(ADDRESS(2,COLUMN())),OFFSET($BN$2,0,0,ROW()-1,60),ROW()-1,FALSE))</f>
        <v>653.01085</v>
      </c>
      <c r="BN457">
        <f>2008.657885</f>
        <v>2008.6578850000001</v>
      </c>
      <c r="BO457">
        <f>1886.86784</f>
        <v>1886.8678399999999</v>
      </c>
      <c r="BP457">
        <f>855.3015316</f>
        <v>855.30153159999998</v>
      </c>
      <c r="BQ457">
        <f>881.5282638</f>
        <v>881.52826379999999</v>
      </c>
      <c r="BR457">
        <f>1077.443689</f>
        <v>1077.4436889999999</v>
      </c>
      <c r="BS457">
        <f>821.085308</f>
        <v>821.08530800000005</v>
      </c>
      <c r="BT457">
        <f>960.6698435</f>
        <v>960.66984349999996</v>
      </c>
      <c r="BU457">
        <f>749.777634</f>
        <v>749.77763400000003</v>
      </c>
      <c r="BV457">
        <f>803.6767734</f>
        <v>803.6767734</v>
      </c>
      <c r="BW457">
        <f>746.6217705</f>
        <v>746.62177050000003</v>
      </c>
      <c r="BX457">
        <f>308.0957444</f>
        <v>308.0957444</v>
      </c>
      <c r="BY457">
        <f>206.6355825</f>
        <v>206.6355825</v>
      </c>
      <c r="BZ457">
        <f>244.0334016</f>
        <v>244.03340159999999</v>
      </c>
      <c r="CA457">
        <f>233.5399831</f>
        <v>233.5399831</v>
      </c>
      <c r="CB457">
        <f>272.8313167</f>
        <v>272.8313167</v>
      </c>
      <c r="CC457">
        <f>329.4382831</f>
        <v>329.43828309999998</v>
      </c>
      <c r="CD457">
        <f>368.3863706</f>
        <v>368.38637060000002</v>
      </c>
      <c r="CE457">
        <f>275.0742107</f>
        <v>275.07421069999998</v>
      </c>
      <c r="CF457">
        <f>481.8698925</f>
        <v>481.86989249999999</v>
      </c>
      <c r="CG457">
        <f>520.1689731</f>
        <v>520.16897310000002</v>
      </c>
      <c r="CH457">
        <f>524.8680564</f>
        <v>524.8680564</v>
      </c>
      <c r="CI457">
        <f>602.0211526</f>
        <v>602.02115260000005</v>
      </c>
      <c r="CJ457">
        <f>589.3271543</f>
        <v>589.32715429999996</v>
      </c>
      <c r="CK457">
        <f>534.7012252</f>
        <v>534.70122519999995</v>
      </c>
      <c r="CL457">
        <f>729.3137736</f>
        <v>729.31377359999999</v>
      </c>
      <c r="CM457">
        <f>954.4014394</f>
        <v>954.40143939999996</v>
      </c>
      <c r="CN457">
        <f>918.5658346</f>
        <v>918.56583460000002</v>
      </c>
      <c r="CO457">
        <f>923.7842042</f>
        <v>923.78420419999998</v>
      </c>
      <c r="CP457">
        <f>1482.92741</f>
        <v>1482.92741</v>
      </c>
      <c r="CQ457">
        <f>857.2607701</f>
        <v>857.26077009999995</v>
      </c>
      <c r="CR457">
        <f>881.0532118</f>
        <v>881.05321179999999</v>
      </c>
      <c r="CS457">
        <f>1581.873341</f>
        <v>1581.873341</v>
      </c>
      <c r="CT457">
        <f>1460.143837</f>
        <v>1460.1438370000001</v>
      </c>
      <c r="CU457">
        <f>1532.931564</f>
        <v>1532.931564</v>
      </c>
      <c r="CV457">
        <f>1219.528514</f>
        <v>1219.5285140000001</v>
      </c>
      <c r="CW457">
        <f>593.2067978</f>
        <v>593.2067978</v>
      </c>
      <c r="CX457">
        <f>726.0116708</f>
        <v>726.01167080000005</v>
      </c>
      <c r="CY457">
        <f>683.5367965</f>
        <v>683.53679650000004</v>
      </c>
      <c r="CZ457">
        <f>682.869284</f>
        <v>682.86928399999999</v>
      </c>
      <c r="DA457">
        <f>586.8285394</f>
        <v>586.82853939999995</v>
      </c>
      <c r="DB457">
        <f>520.6168003</f>
        <v>520.61680030000002</v>
      </c>
      <c r="DC457">
        <f>343.7814463</f>
        <v>343.78144630000003</v>
      </c>
      <c r="DD457">
        <f>634.5555547</f>
        <v>634.55555470000002</v>
      </c>
      <c r="DE457">
        <f>4304.398559</f>
        <v>4304.3985590000002</v>
      </c>
      <c r="DF457">
        <f>4594.788368</f>
        <v>4594.7883680000004</v>
      </c>
      <c r="DG457">
        <f>5178.281486</f>
        <v>5178.2814859999999</v>
      </c>
      <c r="DH457">
        <f>4449.431163</f>
        <v>4449.4311630000002</v>
      </c>
      <c r="DI457">
        <f>4137.866894</f>
        <v>4137.8668939999998</v>
      </c>
      <c r="DJ457">
        <f>2870.962145</f>
        <v>2870.962145</v>
      </c>
      <c r="DK457">
        <f>1847.68942</f>
        <v>1847.6894199999999</v>
      </c>
      <c r="DL457">
        <f>1803.006317</f>
        <v>1803.0063170000001</v>
      </c>
      <c r="DM457">
        <f>1463.991097</f>
        <v>1463.9910970000001</v>
      </c>
      <c r="DN457">
        <f>1730.441275</f>
        <v>1730.4412749999999</v>
      </c>
      <c r="DO457">
        <f>985.5622332</f>
        <v>985.56223320000004</v>
      </c>
      <c r="DP457">
        <f>676.3191005</f>
        <v>676.31910049999999</v>
      </c>
      <c r="DQ457">
        <f>643.4756985</f>
        <v>643.47569850000002</v>
      </c>
      <c r="DR457">
        <f>807.8217359</f>
        <v>807.82173590000002</v>
      </c>
      <c r="DS457">
        <f>762.4200119</f>
        <v>762.42001189999996</v>
      </c>
      <c r="DT457">
        <f>709.1742771</f>
        <v>709.17427710000004</v>
      </c>
      <c r="DU457">
        <f>653.01085</f>
        <v>653.01085</v>
      </c>
    </row>
    <row r="458" spans="1:125" x14ac:dyDescent="0.25">
      <c r="A458" t="str">
        <f>"    Bayerische Motoren Werke AG"</f>
        <v xml:space="preserve">    Bayerische Motoren Werke AG</v>
      </c>
      <c r="B458" t="str">
        <f>"BMW GR Equity"</f>
        <v>BMW GR Equity</v>
      </c>
      <c r="C458" t="str">
        <f t="shared" si="33"/>
        <v>RR902</v>
      </c>
      <c r="D458" t="str">
        <f t="shared" si="34"/>
        <v>CUR_MKT_CAP</v>
      </c>
      <c r="E458" t="str">
        <f t="shared" si="35"/>
        <v>Dynamic</v>
      </c>
      <c r="F458">
        <f ca="1">IF(AND(ISNUMBER($F$955),$B$511=1),$F$955,HLOOKUP(INDIRECT(ADDRESS(2,COLUMN())),OFFSET($BN$2,0,0,ROW()-1,60),ROW()-1,FALSE))</f>
        <v>53930.004690000002</v>
      </c>
      <c r="G458">
        <f ca="1">IF(AND(ISNUMBER($G$955),$B$511=1),$G$955,HLOOKUP(INDIRECT(ADDRESS(2,COLUMN())),OFFSET($BN$2,0,0,ROW()-1,60),ROW()-1,FALSE))</f>
        <v>52644.795819999999</v>
      </c>
      <c r="H458">
        <f ca="1">IF(AND(ISNUMBER($H$955),$B$511=1),$H$955,HLOOKUP(INDIRECT(ADDRESS(2,COLUMN())),OFFSET($BN$2,0,0,ROW()-1,60),ROW()-1,FALSE))</f>
        <v>58537.384429999998</v>
      </c>
      <c r="I458">
        <f ca="1">IF(AND(ISNUMBER($I$955),$B$511=1),$I$955,HLOOKUP(INDIRECT(ADDRESS(2,COLUMN())),OFFSET($BN$2,0,0,ROW()-1,60),ROW()-1,FALSE))</f>
        <v>58990.14516</v>
      </c>
      <c r="J458">
        <f ca="1">IF(AND(ISNUMBER($J$955),$B$511=1),$J$955,HLOOKUP(INDIRECT(ADDRESS(2,COLUMN())),OFFSET($BN$2,0,0,ROW()-1,60),ROW()-1,FALSE))</f>
        <v>70434.129270000005</v>
      </c>
      <c r="K458">
        <f ca="1">IF(AND(ISNUMBER($K$955),$B$511=1),$K$955,HLOOKUP(INDIRECT(ADDRESS(2,COLUMN())),OFFSET($BN$2,0,0,ROW()-1,60),ROW()-1,FALSE))</f>
        <v>67785.982829999994</v>
      </c>
      <c r="L458">
        <f ca="1">IF(AND(ISNUMBER($L$955),$B$511=1),$L$955,HLOOKUP(INDIRECT(ADDRESS(2,COLUMN())),OFFSET($BN$2,0,0,ROW()-1,60),ROW()-1,FALSE))</f>
        <v>65704.304080000002</v>
      </c>
      <c r="M458">
        <f ca="1">IF(AND(ISNUMBER($M$955),$B$511=1),$M$955,HLOOKUP(INDIRECT(ADDRESS(2,COLUMN())),OFFSET($BN$2,0,0,ROW()-1,60),ROW()-1,FALSE))</f>
        <v>60554.850789999997</v>
      </c>
      <c r="N458">
        <f ca="1">IF(AND(ISNUMBER($N$955),$B$511=1),$N$955,HLOOKUP(INDIRECT(ADDRESS(2,COLUMN())),OFFSET($BN$2,0,0,ROW()-1,60),ROW()-1,FALSE))</f>
        <v>59367.522290000001</v>
      </c>
      <c r="O458">
        <f ca="1">IF(AND(ISNUMBER($O$955),$B$511=1),$O$955,HLOOKUP(INDIRECT(ADDRESS(2,COLUMN())),OFFSET($BN$2,0,0,ROW()-1,60),ROW()-1,FALSE))</f>
        <v>60552.13076</v>
      </c>
      <c r="P458">
        <f ca="1">IF(AND(ISNUMBER($P$955),$B$511=1),$P$955,HLOOKUP(INDIRECT(ADDRESS(2,COLUMN())),OFFSET($BN$2,0,0,ROW()-1,60),ROW()-1,FALSE))</f>
        <v>54538.052000000003</v>
      </c>
      <c r="Q458">
        <f ca="1">IF(AND(ISNUMBER($Q$955),$B$511=1),$Q$955,HLOOKUP(INDIRECT(ADDRESS(2,COLUMN())),OFFSET($BN$2,0,0,ROW()-1,60),ROW()-1,FALSE))</f>
        <v>47572.172120000003</v>
      </c>
      <c r="R458">
        <f ca="1">IF(AND(ISNUMBER($R$955),$B$511=1),$R$955,HLOOKUP(INDIRECT(ADDRESS(2,COLUMN())),OFFSET($BN$2,0,0,ROW()-1,60),ROW()-1,FALSE))</f>
        <v>59642.010730000002</v>
      </c>
      <c r="S458">
        <f ca="1">IF(AND(ISNUMBER($S$955),$B$511=1),$S$955,HLOOKUP(INDIRECT(ADDRESS(2,COLUMN())),OFFSET($BN$2,0,0,ROW()-1,60),ROW()-1,FALSE))</f>
        <v>68730.133470000001</v>
      </c>
      <c r="T458">
        <f ca="1">IF(AND(ISNUMBER($T$955),$B$511=1),$T$955,HLOOKUP(INDIRECT(ADDRESS(2,COLUMN())),OFFSET($BN$2,0,0,ROW()-1,60),ROW()-1,FALSE))</f>
        <v>56952.560189999997</v>
      </c>
      <c r="U458">
        <f ca="1">IF(AND(ISNUMBER($U$955),$B$511=1),$U$955,HLOOKUP(INDIRECT(ADDRESS(2,COLUMN())),OFFSET($BN$2,0,0,ROW()-1,60),ROW()-1,FALSE))</f>
        <v>70761.005059999996</v>
      </c>
      <c r="V458">
        <f ca="1">IF(AND(ISNUMBER($V$955),$B$511=1),$V$955,HLOOKUP(INDIRECT(ADDRESS(2,COLUMN())),OFFSET($BN$2,0,0,ROW()-1,60),ROW()-1,FALSE))</f>
        <v>79775.278489999997</v>
      </c>
      <c r="W458">
        <f ca="1">IF(AND(ISNUMBER($W$955),$B$511=1),$W$955,HLOOKUP(INDIRECT(ADDRESS(2,COLUMN())),OFFSET($BN$2,0,0,ROW()-1,60),ROW()-1,FALSE))</f>
        <v>70115.970520000003</v>
      </c>
      <c r="X458">
        <f ca="1">IF(AND(ISNUMBER($X$955),$B$511=1),$X$955,HLOOKUP(INDIRECT(ADDRESS(2,COLUMN())),OFFSET($BN$2,0,0,ROW()-1,60),ROW()-1,FALSE))</f>
        <v>69862.111359999995</v>
      </c>
      <c r="Y458">
        <f ca="1">IF(AND(ISNUMBER($Y$955),$B$511=1),$Y$955,HLOOKUP(INDIRECT(ADDRESS(2,COLUMN())),OFFSET($BN$2,0,0,ROW()-1,60),ROW()-1,FALSE))</f>
        <v>81357.657770000005</v>
      </c>
      <c r="Z458">
        <f ca="1">IF(AND(ISNUMBER($Z$955),$B$511=1),$Z$955,HLOOKUP(INDIRECT(ADDRESS(2,COLUMN())),OFFSET($BN$2,0,0,ROW()-1,60),ROW()-1,FALSE))</f>
        <v>80897.120580000003</v>
      </c>
      <c r="AA458">
        <f ca="1">IF(AND(ISNUMBER($AA$955),$B$511=1),$AA$955,HLOOKUP(INDIRECT(ADDRESS(2,COLUMN())),OFFSET($BN$2,0,0,ROW()-1,60),ROW()-1,FALSE))</f>
        <v>75387.020380000002</v>
      </c>
      <c r="AB458">
        <f ca="1">IF(AND(ISNUMBER($AB$955),$B$511=1),$AB$955,HLOOKUP(INDIRECT(ADDRESS(2,COLUMN())),OFFSET($BN$2,0,0,ROW()-1,60),ROW()-1,FALSE))</f>
        <v>69266.961070000005</v>
      </c>
      <c r="AC458">
        <f ca="1">IF(AND(ISNUMBER($AC$955),$B$511=1),$AC$955,HLOOKUP(INDIRECT(ADDRESS(2,COLUMN())),OFFSET($BN$2,0,0,ROW()-1,60),ROW()-1,FALSE))</f>
        <v>56319.59072</v>
      </c>
      <c r="AD458">
        <f ca="1">IF(AND(ISNUMBER($AD$955),$B$511=1),$AD$955,HLOOKUP(INDIRECT(ADDRESS(2,COLUMN())),OFFSET($BN$2,0,0,ROW()-1,60),ROW()-1,FALSE))</f>
        <v>55814.169450000001</v>
      </c>
      <c r="AE458">
        <f ca="1">IF(AND(ISNUMBER($AE$955),$B$511=1),$AE$955,HLOOKUP(INDIRECT(ADDRESS(2,COLUMN())),OFFSET($BN$2,0,0,ROW()-1,60),ROW()-1,FALSE))</f>
        <v>61502.637999999999</v>
      </c>
      <c r="AF458">
        <f ca="1">IF(AND(ISNUMBER($AF$955),$B$511=1),$AF$955,HLOOKUP(INDIRECT(ADDRESS(2,COLUMN())),OFFSET($BN$2,0,0,ROW()-1,60),ROW()-1,FALSE))</f>
        <v>47040.536189999999</v>
      </c>
      <c r="AG458">
        <f ca="1">IF(AND(ISNUMBER($AG$955),$B$511=1),$AG$955,HLOOKUP(INDIRECT(ADDRESS(2,COLUMN())),OFFSET($BN$2,0,0,ROW()-1,60),ROW()-1,FALSE))</f>
        <v>45935.465210000002</v>
      </c>
      <c r="AH458">
        <f ca="1">IF(AND(ISNUMBER($AH$955),$B$511=1),$AH$955,HLOOKUP(INDIRECT(ADDRESS(2,COLUMN())),OFFSET($BN$2,0,0,ROW()-1,60),ROW()-1,FALSE))</f>
        <v>57294.09491</v>
      </c>
      <c r="AI458">
        <f ca="1">IF(AND(ISNUMBER($AI$955),$B$511=1),$AI$955,HLOOKUP(INDIRECT(ADDRESS(2,COLUMN())),OFFSET($BN$2,0,0,ROW()-1,60),ROW()-1,FALSE))</f>
        <v>42920.008410000002</v>
      </c>
      <c r="AJ458">
        <f ca="1">IF(AND(ISNUMBER($AJ$955),$B$511=1),$AJ$955,HLOOKUP(INDIRECT(ADDRESS(2,COLUMN())),OFFSET($BN$2,0,0,ROW()-1,60),ROW()-1,FALSE))</f>
        <v>42838.274060000003</v>
      </c>
      <c r="AK458">
        <f ca="1">IF(AND(ISNUMBER($AK$955),$B$511=1),$AK$955,HLOOKUP(INDIRECT(ADDRESS(2,COLUMN())),OFFSET($BN$2,0,0,ROW()-1,60),ROW()-1,FALSE))</f>
        <v>62809.58655</v>
      </c>
      <c r="AL458">
        <f ca="1">IF(AND(ISNUMBER($AL$955),$B$511=1),$AL$955,HLOOKUP(INDIRECT(ADDRESS(2,COLUMN())),OFFSET($BN$2,0,0,ROW()-1,60),ROW()-1,FALSE))</f>
        <v>53237.759469999997</v>
      </c>
      <c r="AM458">
        <f ca="1">IF(AND(ISNUMBER($AM$955),$B$511=1),$AM$955,HLOOKUP(INDIRECT(ADDRESS(2,COLUMN())),OFFSET($BN$2,0,0,ROW()-1,60),ROW()-1,FALSE))</f>
        <v>49702.020409999997</v>
      </c>
      <c r="AN458">
        <f ca="1">IF(AND(ISNUMBER($AN$955),$B$511=1),$AN$955,HLOOKUP(INDIRECT(ADDRESS(2,COLUMN())),OFFSET($BN$2,0,0,ROW()-1,60),ROW()-1,FALSE))</f>
        <v>44605.729829999997</v>
      </c>
      <c r="AO458">
        <f ca="1">IF(AND(ISNUMBER($AO$955),$B$511=1),$AO$955,HLOOKUP(INDIRECT(ADDRESS(2,COLUMN())),OFFSET($BN$2,0,0,ROW()-1,60),ROW()-1,FALSE))</f>
        <v>31474.560659999999</v>
      </c>
      <c r="AP458">
        <f ca="1">IF(AND(ISNUMBER($AP$955),$B$511=1),$AP$955,HLOOKUP(INDIRECT(ADDRESS(2,COLUMN())),OFFSET($BN$2,0,0,ROW()-1,60),ROW()-1,FALSE))</f>
        <v>29735.48575</v>
      </c>
      <c r="AQ458">
        <f ca="1">IF(AND(ISNUMBER($AQ$955),$B$511=1),$AQ$955,HLOOKUP(INDIRECT(ADDRESS(2,COLUMN())),OFFSET($BN$2,0,0,ROW()-1,60),ROW()-1,FALSE))</f>
        <v>29186.664110000002</v>
      </c>
      <c r="AR458">
        <f ca="1">IF(AND(ISNUMBER($AR$955),$B$511=1),$AR$955,HLOOKUP(INDIRECT(ADDRESS(2,COLUMN())),OFFSET($BN$2,0,0,ROW()-1,60),ROW()-1,FALSE))</f>
        <v>30747.483240000001</v>
      </c>
      <c r="AS458">
        <f ca="1">IF(AND(ISNUMBER($AS$955),$B$511=1),$AS$955,HLOOKUP(INDIRECT(ADDRESS(2,COLUMN())),OFFSET($BN$2,0,0,ROW()-1,60),ROW()-1,FALSE))</f>
        <v>23954.269049999999</v>
      </c>
      <c r="AT458">
        <f ca="1">IF(AND(ISNUMBER($AT$955),$B$511=1),$AT$955,HLOOKUP(INDIRECT(ADDRESS(2,COLUMN())),OFFSET($BN$2,0,0,ROW()-1,60),ROW()-1,FALSE))</f>
        <v>18179.084579999999</v>
      </c>
      <c r="AU458">
        <f ca="1">IF(AND(ISNUMBER($AU$955),$B$511=1),$AU$955,HLOOKUP(INDIRECT(ADDRESS(2,COLUMN())),OFFSET($BN$2,0,0,ROW()-1,60),ROW()-1,FALSE))</f>
        <v>19382.124390000001</v>
      </c>
      <c r="AV458">
        <f ca="1">IF(AND(ISNUMBER($AV$955),$B$511=1),$AV$955,HLOOKUP(INDIRECT(ADDRESS(2,COLUMN())),OFFSET($BN$2,0,0,ROW()-1,60),ROW()-1,FALSE))</f>
        <v>24849.89889</v>
      </c>
      <c r="AW458">
        <f ca="1">IF(AND(ISNUMBER($AW$955),$B$511=1),$AW$955,HLOOKUP(INDIRECT(ADDRESS(2,COLUMN())),OFFSET($BN$2,0,0,ROW()-1,60),ROW()-1,FALSE))</f>
        <v>30996.679189999999</v>
      </c>
      <c r="AX458">
        <f ca="1">IF(AND(ISNUMBER($AX$955),$B$511=1),$AX$955,HLOOKUP(INDIRECT(ADDRESS(2,COLUMN())),OFFSET($BN$2,0,0,ROW()-1,60),ROW()-1,FALSE))</f>
        <v>35592.476999999999</v>
      </c>
      <c r="AY458">
        <f ca="1">IF(AND(ISNUMBER($AY$955),$B$511=1),$AY$955,HLOOKUP(INDIRECT(ADDRESS(2,COLUMN())),OFFSET($BN$2,0,0,ROW()-1,60),ROW()-1,FALSE))</f>
        <v>40618.0916</v>
      </c>
      <c r="AZ458">
        <f ca="1">IF(AND(ISNUMBER($AZ$955),$B$511=1),$AZ$955,HLOOKUP(INDIRECT(ADDRESS(2,COLUMN())),OFFSET($BN$2,0,0,ROW()-1,60),ROW()-1,FALSE))</f>
        <v>41644.0648</v>
      </c>
      <c r="BA458">
        <f ca="1">IF(AND(ISNUMBER($BA$955),$B$511=1),$BA$955,HLOOKUP(INDIRECT(ADDRESS(2,COLUMN())),OFFSET($BN$2,0,0,ROW()-1,60),ROW()-1,FALSE))</f>
        <v>41675.534800000001</v>
      </c>
      <c r="BB458">
        <f ca="1">IF(AND(ISNUMBER($BB$955),$B$511=1),$BB$955,HLOOKUP(INDIRECT(ADDRESS(2,COLUMN())),OFFSET($BN$2,0,0,ROW()-1,60),ROW()-1,FALSE))</f>
        <v>38670.676670000001</v>
      </c>
      <c r="BC458">
        <f ca="1">IF(AND(ISNUMBER($BC$955),$B$511=1),$BC$955,HLOOKUP(INDIRECT(ADDRESS(2,COLUMN())),OFFSET($BN$2,0,0,ROW()-1,60),ROW()-1,FALSE))</f>
        <v>37699.088360000002</v>
      </c>
      <c r="BD458">
        <f ca="1">IF(AND(ISNUMBER($BD$955),$B$511=1),$BD$955,HLOOKUP(INDIRECT(ADDRESS(2,COLUMN())),OFFSET($BN$2,0,0,ROW()-1,60),ROW()-1,FALSE))</f>
        <v>35054.385829999999</v>
      </c>
      <c r="BE458">
        <f ca="1">IF(AND(ISNUMBER($BE$955),$B$511=1),$BE$955,HLOOKUP(INDIRECT(ADDRESS(2,COLUMN())),OFFSET($BN$2,0,0,ROW()-1,60),ROW()-1,FALSE))</f>
        <v>33559.50937</v>
      </c>
      <c r="BF458">
        <f ca="1">IF(AND(ISNUMBER($BF$955),$B$511=1),$BF$955,HLOOKUP(INDIRECT(ADDRESS(2,COLUMN())),OFFSET($BN$2,0,0,ROW()-1,60),ROW()-1,FALSE))</f>
        <v>36964.327720000001</v>
      </c>
      <c r="BG458">
        <f ca="1">IF(AND(ISNUMBER($BG$955),$B$511=1),$BG$955,HLOOKUP(INDIRECT(ADDRESS(2,COLUMN())),OFFSET($BN$2,0,0,ROW()-1,60),ROW()-1,FALSE))</f>
        <v>29280.640719999999</v>
      </c>
      <c r="BH458">
        <f ca="1">IF(AND(ISNUMBER($BH$955),$B$511=1),$BH$955,HLOOKUP(INDIRECT(ADDRESS(2,COLUMN())),OFFSET($BN$2,0,0,ROW()-1,60),ROW()-1,FALSE))</f>
        <v>31260.221870000001</v>
      </c>
      <c r="BI458">
        <f ca="1">IF(AND(ISNUMBER($BI$955),$B$511=1),$BI$955,HLOOKUP(INDIRECT(ADDRESS(2,COLUMN())),OFFSET($BN$2,0,0,ROW()-1,60),ROW()-1,FALSE))</f>
        <v>30429.09374</v>
      </c>
      <c r="BJ458">
        <f ca="1">IF(AND(ISNUMBER($BJ$955),$B$511=1),$BJ$955,HLOOKUP(INDIRECT(ADDRESS(2,COLUMN())),OFFSET($BN$2,0,0,ROW()-1,60),ROW()-1,FALSE))</f>
        <v>30145.006819999999</v>
      </c>
      <c r="BK458">
        <f ca="1">IF(AND(ISNUMBER($BK$955),$B$511=1),$BK$955,HLOOKUP(INDIRECT(ADDRESS(2,COLUMN())),OFFSET($BN$2,0,0,ROW()-1,60),ROW()-1,FALSE))</f>
        <v>29936.525020000001</v>
      </c>
      <c r="BL458">
        <f ca="1">IF(AND(ISNUMBER($BL$955),$B$511=1),$BL$955,HLOOKUP(INDIRECT(ADDRESS(2,COLUMN())),OFFSET($BN$2,0,0,ROW()-1,60),ROW()-1,FALSE))</f>
        <v>27156.23792</v>
      </c>
      <c r="BM458">
        <f ca="1">IF(AND(ISNUMBER($BM$955),$B$511=1),$BM$955,HLOOKUP(INDIRECT(ADDRESS(2,COLUMN())),OFFSET($BN$2,0,0,ROW()-1,60),ROW()-1,FALSE))</f>
        <v>29142.83124</v>
      </c>
      <c r="BN458">
        <f>53930.00469</f>
        <v>53930.004690000002</v>
      </c>
      <c r="BO458">
        <f>52644.79582</f>
        <v>52644.795819999999</v>
      </c>
      <c r="BP458">
        <f>58537.38443</f>
        <v>58537.384429999998</v>
      </c>
      <c r="BQ458">
        <f>58990.14516</f>
        <v>58990.14516</v>
      </c>
      <c r="BR458">
        <f>70434.12927</f>
        <v>70434.129270000005</v>
      </c>
      <c r="BS458">
        <f>67785.98283</f>
        <v>67785.982829999994</v>
      </c>
      <c r="BT458">
        <f>65704.30408</f>
        <v>65704.304080000002</v>
      </c>
      <c r="BU458">
        <f>60554.85079</f>
        <v>60554.850789999997</v>
      </c>
      <c r="BV458">
        <f>59367.52229</f>
        <v>59367.522290000001</v>
      </c>
      <c r="BW458">
        <f>60552.13076</f>
        <v>60552.13076</v>
      </c>
      <c r="BX458">
        <f>54538.052</f>
        <v>54538.052000000003</v>
      </c>
      <c r="BY458">
        <f>47572.17212</f>
        <v>47572.172120000003</v>
      </c>
      <c r="BZ458">
        <f>59642.01073</f>
        <v>59642.010730000002</v>
      </c>
      <c r="CA458">
        <f>68730.13347</f>
        <v>68730.133470000001</v>
      </c>
      <c r="CB458">
        <f>56952.56019</f>
        <v>56952.560189999997</v>
      </c>
      <c r="CC458">
        <f>70761.00506</f>
        <v>70761.005059999996</v>
      </c>
      <c r="CD458">
        <f>79775.27849</f>
        <v>79775.278489999997</v>
      </c>
      <c r="CE458">
        <f>70115.97052</f>
        <v>70115.970520000003</v>
      </c>
      <c r="CF458">
        <f>69862.11136</f>
        <v>69862.111359999995</v>
      </c>
      <c r="CG458">
        <f>81357.65777</f>
        <v>81357.657770000005</v>
      </c>
      <c r="CH458">
        <f>80897.12058</f>
        <v>80897.120580000003</v>
      </c>
      <c r="CI458">
        <f>75387.02038</f>
        <v>75387.020380000002</v>
      </c>
      <c r="CJ458">
        <f>69266.96107</f>
        <v>69266.961070000005</v>
      </c>
      <c r="CK458">
        <f>56319.59072</f>
        <v>56319.59072</v>
      </c>
      <c r="CL458">
        <f>55814.16945</f>
        <v>55814.169450000001</v>
      </c>
      <c r="CM458">
        <f>61502.638</f>
        <v>61502.637999999999</v>
      </c>
      <c r="CN458">
        <f>47040.53619</f>
        <v>47040.536189999999</v>
      </c>
      <c r="CO458">
        <f>45935.46521</f>
        <v>45935.465210000002</v>
      </c>
      <c r="CP458">
        <f>57294.09491</f>
        <v>57294.09491</v>
      </c>
      <c r="CQ458">
        <f>42920.00841</f>
        <v>42920.008410000002</v>
      </c>
      <c r="CR458">
        <f>42838.27406</f>
        <v>42838.274060000003</v>
      </c>
      <c r="CS458">
        <f>62809.58655</f>
        <v>62809.58655</v>
      </c>
      <c r="CT458">
        <f>53237.75947</f>
        <v>53237.759469999997</v>
      </c>
      <c r="CU458">
        <f>49702.02041</f>
        <v>49702.020409999997</v>
      </c>
      <c r="CV458">
        <f>44605.72983</f>
        <v>44605.729829999997</v>
      </c>
      <c r="CW458">
        <f>31474.56066</f>
        <v>31474.560659999999</v>
      </c>
      <c r="CX458">
        <f>29735.48575</f>
        <v>29735.48575</v>
      </c>
      <c r="CY458">
        <f>29186.66411</f>
        <v>29186.664110000002</v>
      </c>
      <c r="CZ458">
        <f>30747.48324</f>
        <v>30747.483240000001</v>
      </c>
      <c r="DA458">
        <f>23954.26905</f>
        <v>23954.269049999999</v>
      </c>
      <c r="DB458">
        <f>18179.08458</f>
        <v>18179.084579999999</v>
      </c>
      <c r="DC458">
        <f>19382.12439</f>
        <v>19382.124390000001</v>
      </c>
      <c r="DD458">
        <f>24849.89889</f>
        <v>24849.89889</v>
      </c>
      <c r="DE458">
        <f>30996.67919</f>
        <v>30996.679189999999</v>
      </c>
      <c r="DF458">
        <f>35592.477</f>
        <v>35592.476999999999</v>
      </c>
      <c r="DG458">
        <f>40618.0916</f>
        <v>40618.0916</v>
      </c>
      <c r="DH458">
        <f>41644.0648</f>
        <v>41644.0648</v>
      </c>
      <c r="DI458">
        <f>41675.5348</f>
        <v>41675.534800000001</v>
      </c>
      <c r="DJ458">
        <f>38670.67667</f>
        <v>38670.676670000001</v>
      </c>
      <c r="DK458">
        <f>37699.08836</f>
        <v>37699.088360000002</v>
      </c>
      <c r="DL458">
        <f>35054.38583</f>
        <v>35054.385829999999</v>
      </c>
      <c r="DM458">
        <f>33559.50937</f>
        <v>33559.50937</v>
      </c>
      <c r="DN458">
        <f>36964.32772</f>
        <v>36964.327720000001</v>
      </c>
      <c r="DO458">
        <f>29280.64072</f>
        <v>29280.640719999999</v>
      </c>
      <c r="DP458">
        <f>31260.22187</f>
        <v>31260.221870000001</v>
      </c>
      <c r="DQ458">
        <f>30429.09374</f>
        <v>30429.09374</v>
      </c>
      <c r="DR458">
        <f>30145.00682</f>
        <v>30145.006819999999</v>
      </c>
      <c r="DS458">
        <f>29936.52502</f>
        <v>29936.525020000001</v>
      </c>
      <c r="DT458">
        <f>27156.23792</f>
        <v>27156.23792</v>
      </c>
      <c r="DU458">
        <f>29142.83124</f>
        <v>29142.83124</v>
      </c>
    </row>
    <row r="459" spans="1:125" x14ac:dyDescent="0.25">
      <c r="A459" t="str">
        <f>"    Brilliance China Automotive Holdings Ltd"</f>
        <v xml:space="preserve">    Brilliance China Automotive Holdings Ltd</v>
      </c>
      <c r="B459" t="str">
        <f>"1114 HK Equity"</f>
        <v>1114 HK Equity</v>
      </c>
      <c r="C459" t="str">
        <f t="shared" si="33"/>
        <v>RR902</v>
      </c>
      <c r="D459" t="str">
        <f t="shared" si="34"/>
        <v>CUR_MKT_CAP</v>
      </c>
      <c r="E459" t="str">
        <f t="shared" si="35"/>
        <v>Dynamic</v>
      </c>
      <c r="F459">
        <f ca="1">IF(AND(ISNUMBER($F$956),$B$511=1),$F$956,HLOOKUP(INDIRECT(ADDRESS(2,COLUMN())),OFFSET($BN$2,0,0,ROW()-1,60),ROW()-1,FALSE))</f>
        <v>5078.3105480000004</v>
      </c>
      <c r="G459">
        <f ca="1">IF(AND(ISNUMBER($G$956),$B$511=1),$G$956,HLOOKUP(INDIRECT(ADDRESS(2,COLUMN())),OFFSET($BN$2,0,0,ROW()-1,60),ROW()-1,FALSE))</f>
        <v>3755.5119289999998</v>
      </c>
      <c r="H459">
        <f ca="1">IF(AND(ISNUMBER($H$956),$B$511=1),$H$956,HLOOKUP(INDIRECT(ADDRESS(2,COLUMN())),OFFSET($BN$2,0,0,ROW()-1,60),ROW()-1,FALSE))</f>
        <v>8162.1762769999996</v>
      </c>
      <c r="I459">
        <f ca="1">IF(AND(ISNUMBER($I$956),$B$511=1),$I$956,HLOOKUP(INDIRECT(ADDRESS(2,COLUMN())),OFFSET($BN$2,0,0,ROW()-1,60),ROW()-1,FALSE))</f>
        <v>9105.1737830000002</v>
      </c>
      <c r="J459">
        <f ca="1">IF(AND(ISNUMBER($J$956),$B$511=1),$J$956,HLOOKUP(INDIRECT(ADDRESS(2,COLUMN())),OFFSET($BN$2,0,0,ROW()-1,60),ROW()-1,FALSE))</f>
        <v>10529.59324</v>
      </c>
      <c r="K459">
        <f ca="1">IF(AND(ISNUMBER($K$956),$B$511=1),$K$956,HLOOKUP(INDIRECT(ADDRESS(2,COLUMN())),OFFSET($BN$2,0,0,ROW()-1,60),ROW()-1,FALSE))</f>
        <v>13497.450199999999</v>
      </c>
      <c r="L459">
        <f ca="1">IF(AND(ISNUMBER($L$956),$B$511=1),$L$956,HLOOKUP(INDIRECT(ADDRESS(2,COLUMN())),OFFSET($BN$2,0,0,ROW()-1,60),ROW()-1,FALSE))</f>
        <v>13433.728880000001</v>
      </c>
      <c r="M459">
        <f ca="1">IF(AND(ISNUMBER($M$956),$B$511=1),$M$956,HLOOKUP(INDIRECT(ADDRESS(2,COLUMN())),OFFSET($BN$2,0,0,ROW()-1,60),ROW()-1,FALSE))</f>
        <v>9190.1381820000006</v>
      </c>
      <c r="N459">
        <f ca="1">IF(AND(ISNUMBER($N$956),$B$511=1),$N$956,HLOOKUP(INDIRECT(ADDRESS(2,COLUMN())),OFFSET($BN$2,0,0,ROW()-1,60),ROW()-1,FALSE))</f>
        <v>8430.5867820000003</v>
      </c>
      <c r="O459">
        <f ca="1">IF(AND(ISNUMBER($O$956),$B$511=1),$O$956,HLOOKUP(INDIRECT(ADDRESS(2,COLUMN())),OFFSET($BN$2,0,0,ROW()-1,60),ROW()-1,FALSE))</f>
        <v>6941.7722229999999</v>
      </c>
      <c r="P459">
        <f ca="1">IF(AND(ISNUMBER($P$956),$B$511=1),$P$956,HLOOKUP(INDIRECT(ADDRESS(2,COLUMN())),OFFSET($BN$2,0,0,ROW()-1,60),ROW()-1,FALSE))</f>
        <v>5650.8822490000002</v>
      </c>
      <c r="Q459">
        <f ca="1">IF(AND(ISNUMBER($Q$956),$B$511=1),$Q$956,HLOOKUP(INDIRECT(ADDRESS(2,COLUMN())),OFFSET($BN$2,0,0,ROW()-1,60),ROW()-1,FALSE))</f>
        <v>5167.700484</v>
      </c>
      <c r="R459">
        <f ca="1">IF(AND(ISNUMBER($R$956),$B$511=1),$R$956,HLOOKUP(INDIRECT(ADDRESS(2,COLUMN())),OFFSET($BN$2,0,0,ROW()-1,60),ROW()-1,FALSE))</f>
        <v>5215.3631310000001</v>
      </c>
      <c r="S459">
        <f ca="1">IF(AND(ISNUMBER($S$956),$B$511=1),$S$956,HLOOKUP(INDIRECT(ADDRESS(2,COLUMN())),OFFSET($BN$2,0,0,ROW()-1,60),ROW()-1,FALSE))</f>
        <v>6322.6607309999999</v>
      </c>
      <c r="T459">
        <f ca="1">IF(AND(ISNUMBER($T$956),$B$511=1),$T$956,HLOOKUP(INDIRECT(ADDRESS(2,COLUMN())),OFFSET($BN$2,0,0,ROW()-1,60),ROW()-1,FALSE))</f>
        <v>5939.9054109999997</v>
      </c>
      <c r="U459">
        <f ca="1">IF(AND(ISNUMBER($U$956),$B$511=1),$U$956,HLOOKUP(INDIRECT(ADDRESS(2,COLUMN())),OFFSET($BN$2,0,0,ROW()-1,60),ROW()-1,FALSE))</f>
        <v>7844.6609040000003</v>
      </c>
      <c r="V459">
        <f ca="1">IF(AND(ISNUMBER($V$956),$B$511=1),$V$956,HLOOKUP(INDIRECT(ADDRESS(2,COLUMN())),OFFSET($BN$2,0,0,ROW()-1,60),ROW()-1,FALSE))</f>
        <v>9684.7627080000002</v>
      </c>
      <c r="W459">
        <f ca="1">IF(AND(ISNUMBER($W$956),$B$511=1),$W$956,HLOOKUP(INDIRECT(ADDRESS(2,COLUMN())),OFFSET($BN$2,0,0,ROW()-1,60),ROW()-1,FALSE))</f>
        <v>8076.0763429999997</v>
      </c>
      <c r="X459">
        <f ca="1">IF(AND(ISNUMBER($X$956),$B$511=1),$X$956,HLOOKUP(INDIRECT(ADDRESS(2,COLUMN())),OFFSET($BN$2,0,0,ROW()-1,60),ROW()-1,FALSE))</f>
        <v>8776.8278030000001</v>
      </c>
      <c r="Y459">
        <f ca="1">IF(AND(ISNUMBER($Y$956),$B$511=1),$Y$956,HLOOKUP(INDIRECT(ADDRESS(2,COLUMN())),OFFSET($BN$2,0,0,ROW()-1,60),ROW()-1,FALSE))</f>
        <v>9428.5054940000009</v>
      </c>
      <c r="Z459">
        <f ca="1">IF(AND(ISNUMBER($Z$956),$B$511=1),$Z$956,HLOOKUP(INDIRECT(ADDRESS(2,COLUMN())),OFFSET($BN$2,0,0,ROW()-1,60),ROW()-1,FALSE))</f>
        <v>7684.2071759999999</v>
      </c>
      <c r="AA459">
        <f ca="1">IF(AND(ISNUMBER($AA$956),$B$511=1),$AA$956,HLOOKUP(INDIRECT(ADDRESS(2,COLUMN())),OFFSET($BN$2,0,0,ROW()-1,60),ROW()-1,FALSE))</f>
        <v>8192.8508440000005</v>
      </c>
      <c r="AB459">
        <f ca="1">IF(AND(ISNUMBER($AB$956),$B$511=1),$AB$956,HLOOKUP(INDIRECT(ADDRESS(2,COLUMN())),OFFSET($BN$2,0,0,ROW()-1,60),ROW()-1,FALSE))</f>
        <v>7543.2230019999997</v>
      </c>
      <c r="AC459">
        <f ca="1">IF(AND(ISNUMBER($AC$956),$B$511=1),$AC$956,HLOOKUP(INDIRECT(ADDRESS(2,COLUMN())),OFFSET($BN$2,0,0,ROW()-1,60),ROW()-1,FALSE))</f>
        <v>5637.3944279999996</v>
      </c>
      <c r="AD459">
        <f ca="1">IF(AND(ISNUMBER($AD$956),$B$511=1),$AD$956,HLOOKUP(INDIRECT(ADDRESS(2,COLUMN())),OFFSET($BN$2,0,0,ROW()-1,60),ROW()-1,FALSE))</f>
        <v>5904.3679709999997</v>
      </c>
      <c r="AE459">
        <f ca="1">IF(AND(ISNUMBER($AE$956),$B$511=1),$AE$956,HLOOKUP(INDIRECT(ADDRESS(2,COLUMN())),OFFSET($BN$2,0,0,ROW()-1,60),ROW()-1,FALSE))</f>
        <v>6185.8418160000001</v>
      </c>
      <c r="AF459">
        <f ca="1">IF(AND(ISNUMBER($AF$956),$B$511=1),$AF$956,HLOOKUP(INDIRECT(ADDRESS(2,COLUMN())),OFFSET($BN$2,0,0,ROW()-1,60),ROW()-1,FALSE))</f>
        <v>5541.4840139999997</v>
      </c>
      <c r="AG459">
        <f ca="1">IF(AND(ISNUMBER($AG$956),$B$511=1),$AG$956,HLOOKUP(INDIRECT(ADDRESS(2,COLUMN())),OFFSET($BN$2,0,0,ROW()-1,60),ROW()-1,FALSE))</f>
        <v>4366.4599870000002</v>
      </c>
      <c r="AH459">
        <f ca="1">IF(AND(ISNUMBER($AH$956),$B$511=1),$AH$956,HLOOKUP(INDIRECT(ADDRESS(2,COLUMN())),OFFSET($BN$2,0,0,ROW()-1,60),ROW()-1,FALSE))</f>
        <v>5431.9136630000003</v>
      </c>
      <c r="AI459">
        <f ca="1">IF(AND(ISNUMBER($AI$956),$B$511=1),$AI$956,HLOOKUP(INDIRECT(ADDRESS(2,COLUMN())),OFFSET($BN$2,0,0,ROW()-1,60),ROW()-1,FALSE))</f>
        <v>5404.8977249999998</v>
      </c>
      <c r="AJ459">
        <f ca="1">IF(AND(ISNUMBER($AJ$956),$B$511=1),$AJ$956,HLOOKUP(INDIRECT(ADDRESS(2,COLUMN())),OFFSET($BN$2,0,0,ROW()-1,60),ROW()-1,FALSE))</f>
        <v>3940.477648</v>
      </c>
      <c r="AK459">
        <f ca="1">IF(AND(ISNUMBER($AK$956),$B$511=1),$AK$956,HLOOKUP(INDIRECT(ADDRESS(2,COLUMN())),OFFSET($BN$2,0,0,ROW()-1,60),ROW()-1,FALSE))</f>
        <v>5638.0857290000004</v>
      </c>
      <c r="AL459">
        <f ca="1">IF(AND(ISNUMBER($AL$956),$B$511=1),$AL$956,HLOOKUP(INDIRECT(ADDRESS(2,COLUMN())),OFFSET($BN$2,0,0,ROW()-1,60),ROW()-1,FALSE))</f>
        <v>5008.9962269999996</v>
      </c>
      <c r="AM459">
        <f ca="1">IF(AND(ISNUMBER($AM$956),$B$511=1),$AM$956,HLOOKUP(INDIRECT(ADDRESS(2,COLUMN())),OFFSET($BN$2,0,0,ROW()-1,60),ROW()-1,FALSE))</f>
        <v>3809.983221</v>
      </c>
      <c r="AN459">
        <f ca="1">IF(AND(ISNUMBER($AN$956),$B$511=1),$AN$956,HLOOKUP(INDIRECT(ADDRESS(2,COLUMN())),OFFSET($BN$2,0,0,ROW()-1,60),ROW()-1,FALSE))</f>
        <v>3719.8306910000001</v>
      </c>
      <c r="AO459">
        <f ca="1">IF(AND(ISNUMBER($AO$956),$B$511=1),$AO$956,HLOOKUP(INDIRECT(ADDRESS(2,COLUMN())),OFFSET($BN$2,0,0,ROW()-1,60),ROW()-1,FALSE))</f>
        <v>1635.495422</v>
      </c>
      <c r="AP459">
        <f ca="1">IF(AND(ISNUMBER($AP$956),$B$511=1),$AP$956,HLOOKUP(INDIRECT(ADDRESS(2,COLUMN())),OFFSET($BN$2,0,0,ROW()-1,60),ROW()-1,FALSE))</f>
        <v>1421.4089610000001</v>
      </c>
      <c r="AQ459">
        <f ca="1">IF(AND(ISNUMBER($AQ$956),$B$511=1),$AQ$956,HLOOKUP(INDIRECT(ADDRESS(2,COLUMN())),OFFSET($BN$2,0,0,ROW()-1,60),ROW()-1,FALSE))</f>
        <v>1407.755647</v>
      </c>
      <c r="AR459">
        <f ca="1">IF(AND(ISNUMBER($AR$956),$B$511=1),$AR$956,HLOOKUP(INDIRECT(ADDRESS(2,COLUMN())),OFFSET($BN$2,0,0,ROW()-1,60),ROW()-1,FALSE))</f>
        <v>527.32929579999995</v>
      </c>
      <c r="AS459">
        <f ca="1">IF(AND(ISNUMBER($AS$956),$B$511=1),$AS$956,HLOOKUP(INDIRECT(ADDRESS(2,COLUMN())),OFFSET($BN$2,0,0,ROW()-1,60),ROW()-1,FALSE))</f>
        <v>578.77605640000002</v>
      </c>
      <c r="AT459">
        <f ca="1">IF(AND(ISNUMBER($AT$956),$B$511=1),$AT$956,HLOOKUP(INDIRECT(ADDRESS(2,COLUMN())),OFFSET($BN$2,0,0,ROW()-1,60),ROW()-1,FALSE))</f>
        <v>232.0209127</v>
      </c>
      <c r="AU459">
        <f ca="1">IF(AND(ISNUMBER($AU$956),$B$511=1),$AU$956,HLOOKUP(INDIRECT(ADDRESS(2,COLUMN())),OFFSET($BN$2,0,0,ROW()-1,60),ROW()-1,FALSE))</f>
        <v>191.7723871</v>
      </c>
      <c r="AV459">
        <f ca="1">IF(AND(ISNUMBER($AV$956),$B$511=1),$AV$956,HLOOKUP(INDIRECT(ADDRESS(2,COLUMN())),OFFSET($BN$2,0,0,ROW()-1,60),ROW()-1,FALSE))</f>
        <v>264.66475459999998</v>
      </c>
      <c r="AW459">
        <f ca="1">IF(AND(ISNUMBER($AW$956),$B$511=1),$AW$956,HLOOKUP(INDIRECT(ADDRESS(2,COLUMN())),OFFSET($BN$2,0,0,ROW()-1,60),ROW()-1,FALSE))</f>
        <v>447.07329770000001</v>
      </c>
      <c r="AX459">
        <f ca="1">IF(AND(ISNUMBER($AX$956),$B$511=1),$AX$956,HLOOKUP(INDIRECT(ADDRESS(2,COLUMN())),OFFSET($BN$2,0,0,ROW()-1,60),ROW()-1,FALSE))</f>
        <v>608.27974859999995</v>
      </c>
      <c r="AY459">
        <f ca="1">IF(AND(ISNUMBER($AY$956),$B$511=1),$AY$956,HLOOKUP(INDIRECT(ADDRESS(2,COLUMN())),OFFSET($BN$2,0,0,ROW()-1,60),ROW()-1,FALSE))</f>
        <v>818.69255880000003</v>
      </c>
      <c r="AZ459">
        <f ca="1">IF(AND(ISNUMBER($AZ$956),$B$511=1),$AZ$956,HLOOKUP(INDIRECT(ADDRESS(2,COLUMN())),OFFSET($BN$2,0,0,ROW()-1,60),ROW()-1,FALSE))</f>
        <v>1011.163052</v>
      </c>
      <c r="BA459">
        <f ca="1">IF(AND(ISNUMBER($BA$956),$B$511=1),$BA$956,HLOOKUP(INDIRECT(ADDRESS(2,COLUMN())),OFFSET($BN$2,0,0,ROW()-1,60),ROW()-1,FALSE))</f>
        <v>924.35886110000001</v>
      </c>
      <c r="BB459">
        <f ca="1">IF(AND(ISNUMBER($BB$956),$B$511=1),$BB$956,HLOOKUP(INDIRECT(ADDRESS(2,COLUMN())),OFFSET($BN$2,0,0,ROW()-1,60),ROW()-1,FALSE))</f>
        <v>896.63013920000003</v>
      </c>
      <c r="BC459">
        <f ca="1">IF(AND(ISNUMBER($BC$956),$B$511=1),$BC$956,HLOOKUP(INDIRECT(ADDRESS(2,COLUMN())),OFFSET($BN$2,0,0,ROW()-1,60),ROW()-1,FALSE))</f>
        <v>622.47251570000003</v>
      </c>
      <c r="BD459">
        <f ca="1">IF(AND(ISNUMBER($BD$956),$B$511=1),$BD$956,HLOOKUP(INDIRECT(ADDRESS(2,COLUMN())),OFFSET($BN$2,0,0,ROW()-1,60),ROW()-1,FALSE))</f>
        <v>569.69170910000003</v>
      </c>
      <c r="BE459">
        <f ca="1">IF(AND(ISNUMBER($BE$956),$B$511=1),$BE$956,HLOOKUP(INDIRECT(ADDRESS(2,COLUMN())),OFFSET($BN$2,0,0,ROW()-1,60),ROW()-1,FALSE))</f>
        <v>618.71920160000002</v>
      </c>
      <c r="BF459">
        <f ca="1">IF(AND(ISNUMBER($BF$956),$B$511=1),$BF$956,HLOOKUP(INDIRECT(ADDRESS(2,COLUMN())),OFFSET($BN$2,0,0,ROW()-1,60),ROW()-1,FALSE))</f>
        <v>543.64740519999998</v>
      </c>
      <c r="BG459">
        <f ca="1">IF(AND(ISNUMBER($BG$956),$B$511=1),$BG$956,HLOOKUP(INDIRECT(ADDRESS(2,COLUMN())),OFFSET($BN$2,0,0,ROW()-1,60),ROW()-1,FALSE))</f>
        <v>544.08211559999995</v>
      </c>
      <c r="BH459">
        <f ca="1">IF(AND(ISNUMBER($BH$956),$B$511=1),$BH$956,HLOOKUP(INDIRECT(ADDRESS(2,COLUMN())),OFFSET($BN$2,0,0,ROW()-1,60),ROW()-1,FALSE))</f>
        <v>529.62910390000002</v>
      </c>
      <c r="BI459">
        <f ca="1">IF(AND(ISNUMBER($BI$956),$B$511=1),$BI$956,HLOOKUP(INDIRECT(ADDRESS(2,COLUMN())),OFFSET($BN$2,0,0,ROW()-1,60),ROW()-1,FALSE))</f>
        <v>651.40312670000003</v>
      </c>
      <c r="BJ459">
        <f ca="1">IF(AND(ISNUMBER($BJ$956),$B$511=1),$BJ$956,HLOOKUP(INDIRECT(ADDRESS(2,COLUMN())),OFFSET($BN$2,0,0,ROW()-1,60),ROW()-1,FALSE))</f>
        <v>649.06460660000005</v>
      </c>
      <c r="BK459">
        <f ca="1">IF(AND(ISNUMBER($BK$956),$B$511=1),$BK$956,HLOOKUP(INDIRECT(ADDRESS(2,COLUMN())),OFFSET($BN$2,0,0,ROW()-1,60),ROW()-1,FALSE))</f>
        <v>717.34904429999995</v>
      </c>
      <c r="BL459">
        <f ca="1">IF(AND(ISNUMBER($BL$956),$B$511=1),$BL$956,HLOOKUP(INDIRECT(ADDRESS(2,COLUMN())),OFFSET($BN$2,0,0,ROW()-1,60),ROW()-1,FALSE))</f>
        <v>733.97929350000004</v>
      </c>
      <c r="BM459">
        <f ca="1">IF(AND(ISNUMBER($BM$956),$B$511=1),$BM$956,HLOOKUP(INDIRECT(ADDRESS(2,COLUMN())),OFFSET($BN$2,0,0,ROW()-1,60),ROW()-1,FALSE))</f>
        <v>1081.732737</v>
      </c>
      <c r="BN459">
        <f>5078.310548</f>
        <v>5078.3105480000004</v>
      </c>
      <c r="BO459">
        <f>3755.511929</f>
        <v>3755.5119289999998</v>
      </c>
      <c r="BP459">
        <f>8162.176277</f>
        <v>8162.1762769999996</v>
      </c>
      <c r="BQ459">
        <f>9105.173783</f>
        <v>9105.1737830000002</v>
      </c>
      <c r="BR459">
        <f>10529.59324</f>
        <v>10529.59324</v>
      </c>
      <c r="BS459">
        <f>13497.4502</f>
        <v>13497.450199999999</v>
      </c>
      <c r="BT459">
        <f>13433.72888</f>
        <v>13433.728880000001</v>
      </c>
      <c r="BU459">
        <f>9190.138182</f>
        <v>9190.1381820000006</v>
      </c>
      <c r="BV459">
        <f>8430.586782</f>
        <v>8430.5867820000003</v>
      </c>
      <c r="BW459">
        <f>6941.772223</f>
        <v>6941.7722229999999</v>
      </c>
      <c r="BX459">
        <f>5650.882249</f>
        <v>5650.8822490000002</v>
      </c>
      <c r="BY459">
        <f>5167.700484</f>
        <v>5167.700484</v>
      </c>
      <c r="BZ459">
        <f>5215.363131</f>
        <v>5215.3631310000001</v>
      </c>
      <c r="CA459">
        <f>6322.660731</f>
        <v>6322.6607309999999</v>
      </c>
      <c r="CB459">
        <f>5939.905411</f>
        <v>5939.9054109999997</v>
      </c>
      <c r="CC459">
        <f>7844.660904</f>
        <v>7844.6609040000003</v>
      </c>
      <c r="CD459">
        <f>9684.762708</f>
        <v>9684.7627080000002</v>
      </c>
      <c r="CE459">
        <f>8076.076343</f>
        <v>8076.0763429999997</v>
      </c>
      <c r="CF459">
        <f>8776.827803</f>
        <v>8776.8278030000001</v>
      </c>
      <c r="CG459">
        <f>9428.505494</f>
        <v>9428.5054940000009</v>
      </c>
      <c r="CH459">
        <f>7684.207176</f>
        <v>7684.2071759999999</v>
      </c>
      <c r="CI459">
        <f>8192.850844</f>
        <v>8192.8508440000005</v>
      </c>
      <c r="CJ459">
        <f>7543.223002</f>
        <v>7543.2230019999997</v>
      </c>
      <c r="CK459">
        <f>5637.394428</f>
        <v>5637.3944279999996</v>
      </c>
      <c r="CL459">
        <f>5904.367971</f>
        <v>5904.3679709999997</v>
      </c>
      <c r="CM459">
        <f>6185.841816</f>
        <v>6185.8418160000001</v>
      </c>
      <c r="CN459">
        <f>5541.484014</f>
        <v>5541.4840139999997</v>
      </c>
      <c r="CO459">
        <f>4366.459987</f>
        <v>4366.4599870000002</v>
      </c>
      <c r="CP459">
        <f>5431.913663</f>
        <v>5431.9136630000003</v>
      </c>
      <c r="CQ459">
        <f>5404.897725</f>
        <v>5404.8977249999998</v>
      </c>
      <c r="CR459">
        <f>3940.477648</f>
        <v>3940.477648</v>
      </c>
      <c r="CS459">
        <f>5638.085729</f>
        <v>5638.0857290000004</v>
      </c>
      <c r="CT459">
        <f>5008.996227</f>
        <v>5008.9962269999996</v>
      </c>
      <c r="CU459">
        <f>3809.983221</f>
        <v>3809.983221</v>
      </c>
      <c r="CV459">
        <f>3719.830691</f>
        <v>3719.8306910000001</v>
      </c>
      <c r="CW459">
        <f>1635.495422</f>
        <v>1635.495422</v>
      </c>
      <c r="CX459">
        <f>1421.408961</f>
        <v>1421.4089610000001</v>
      </c>
      <c r="CY459">
        <f>1407.755647</f>
        <v>1407.755647</v>
      </c>
      <c r="CZ459">
        <f>527.3292958</f>
        <v>527.32929579999995</v>
      </c>
      <c r="DA459">
        <f>578.7760564</f>
        <v>578.77605640000002</v>
      </c>
      <c r="DB459">
        <f>232.0209127</f>
        <v>232.0209127</v>
      </c>
      <c r="DC459">
        <f>191.7723871</f>
        <v>191.7723871</v>
      </c>
      <c r="DD459">
        <f>264.6647546</f>
        <v>264.66475459999998</v>
      </c>
      <c r="DE459">
        <f>447.0732977</f>
        <v>447.07329770000001</v>
      </c>
      <c r="DF459">
        <f>608.2797486</f>
        <v>608.27974859999995</v>
      </c>
      <c r="DG459">
        <f>818.6925588</f>
        <v>818.69255880000003</v>
      </c>
      <c r="DH459">
        <f>1011.163052</f>
        <v>1011.163052</v>
      </c>
      <c r="DI459">
        <f>924.3588611</f>
        <v>924.35886110000001</v>
      </c>
      <c r="DJ459">
        <f>896.6301392</f>
        <v>896.63013920000003</v>
      </c>
      <c r="DK459">
        <f>622.4725157</f>
        <v>622.47251570000003</v>
      </c>
      <c r="DL459">
        <f>569.6917091</f>
        <v>569.69170910000003</v>
      </c>
      <c r="DM459">
        <f>618.7192016</f>
        <v>618.71920160000002</v>
      </c>
      <c r="DN459">
        <f>543.6474052</f>
        <v>543.64740519999998</v>
      </c>
      <c r="DO459">
        <f>544.0821156</f>
        <v>544.08211559999995</v>
      </c>
      <c r="DP459">
        <f>529.6291039</f>
        <v>529.62910390000002</v>
      </c>
      <c r="DQ459">
        <f>651.4031267</f>
        <v>651.40312670000003</v>
      </c>
      <c r="DR459">
        <f>649.0646066</f>
        <v>649.06460660000005</v>
      </c>
      <c r="DS459">
        <f>717.3490443</f>
        <v>717.34904429999995</v>
      </c>
      <c r="DT459">
        <f>733.9792935</f>
        <v>733.97929350000004</v>
      </c>
      <c r="DU459">
        <f>1081.732737</f>
        <v>1081.732737</v>
      </c>
    </row>
    <row r="460" spans="1:125" x14ac:dyDescent="0.25">
      <c r="A460" t="str">
        <f>"    BYD Co Ltd"</f>
        <v xml:space="preserve">    BYD Co Ltd</v>
      </c>
      <c r="B460" t="str">
        <f>"1211 HK Equity"</f>
        <v>1211 HK Equity</v>
      </c>
      <c r="C460" t="str">
        <f t="shared" si="33"/>
        <v>RR902</v>
      </c>
      <c r="D460" t="str">
        <f t="shared" si="34"/>
        <v>CUR_MKT_CAP</v>
      </c>
      <c r="E460" t="str">
        <f t="shared" si="35"/>
        <v>Dynamic</v>
      </c>
      <c r="F460">
        <f ca="1">IF(AND(ISNUMBER($F$957),$B$511=1),$F$957,HLOOKUP(INDIRECT(ADDRESS(2,COLUMN())),OFFSET($BN$2,0,0,ROW()-1,60),ROW()-1,FALSE))</f>
        <v>19868.198</v>
      </c>
      <c r="G460">
        <f ca="1">IF(AND(ISNUMBER($G$957),$B$511=1),$G$957,HLOOKUP(INDIRECT(ADDRESS(2,COLUMN())),OFFSET($BN$2,0,0,ROW()-1,60),ROW()-1,FALSE))</f>
        <v>19276.134910000001</v>
      </c>
      <c r="H460">
        <f ca="1">IF(AND(ISNUMBER($H$957),$B$511=1),$H$957,HLOOKUP(INDIRECT(ADDRESS(2,COLUMN())),OFFSET($BN$2,0,0,ROW()-1,60),ROW()-1,FALSE))</f>
        <v>19531.469410000002</v>
      </c>
      <c r="I460">
        <f ca="1">IF(AND(ISNUMBER($I$957),$B$511=1),$I$957,HLOOKUP(INDIRECT(ADDRESS(2,COLUMN())),OFFSET($BN$2,0,0,ROW()-1,60),ROW()-1,FALSE))</f>
        <v>18596.458429999999</v>
      </c>
      <c r="J460">
        <f ca="1">IF(AND(ISNUMBER($J$957),$B$511=1),$J$957,HLOOKUP(INDIRECT(ADDRESS(2,COLUMN())),OFFSET($BN$2,0,0,ROW()-1,60),ROW()-1,FALSE))</f>
        <v>23239.867480000001</v>
      </c>
      <c r="K460">
        <f ca="1">IF(AND(ISNUMBER($K$957),$B$511=1),$K$957,HLOOKUP(INDIRECT(ADDRESS(2,COLUMN())),OFFSET($BN$2,0,0,ROW()-1,60),ROW()-1,FALSE))</f>
        <v>26102.76844</v>
      </c>
      <c r="L460">
        <f ca="1">IF(AND(ISNUMBER($L$957),$B$511=1),$L$957,HLOOKUP(INDIRECT(ADDRESS(2,COLUMN())),OFFSET($BN$2,0,0,ROW()-1,60),ROW()-1,FALSE))</f>
        <v>27150.690119999999</v>
      </c>
      <c r="M460">
        <f ca="1">IF(AND(ISNUMBER($M$957),$B$511=1),$M$957,HLOOKUP(INDIRECT(ADDRESS(2,COLUMN())),OFFSET($BN$2,0,0,ROW()-1,60),ROW()-1,FALSE))</f>
        <v>19001.596890000001</v>
      </c>
      <c r="N460">
        <f ca="1">IF(AND(ISNUMBER($N$957),$B$511=1),$N$957,HLOOKUP(INDIRECT(ADDRESS(2,COLUMN())),OFFSET($BN$2,0,0,ROW()-1,60),ROW()-1,FALSE))</f>
        <v>17734.023509999999</v>
      </c>
      <c r="O460">
        <f ca="1">IF(AND(ISNUMBER($O$957),$B$511=1),$O$957,HLOOKUP(INDIRECT(ADDRESS(2,COLUMN())),OFFSET($BN$2,0,0,ROW()-1,60),ROW()-1,FALSE))</f>
        <v>17800.457149999998</v>
      </c>
      <c r="P460">
        <f ca="1">IF(AND(ISNUMBER($P$957),$B$511=1),$P$957,HLOOKUP(INDIRECT(ADDRESS(2,COLUMN())),OFFSET($BN$2,0,0,ROW()-1,60),ROW()-1,FALSE))</f>
        <v>21124.868699999999</v>
      </c>
      <c r="Q460">
        <f ca="1">IF(AND(ISNUMBER($Q$957),$B$511=1),$Q$957,HLOOKUP(INDIRECT(ADDRESS(2,COLUMN())),OFFSET($BN$2,0,0,ROW()-1,60),ROW()-1,FALSE))</f>
        <v>19788.63322</v>
      </c>
      <c r="R460">
        <f ca="1">IF(AND(ISNUMBER($R$957),$B$511=1),$R$957,HLOOKUP(INDIRECT(ADDRESS(2,COLUMN())),OFFSET($BN$2,0,0,ROW()-1,60),ROW()-1,FALSE))</f>
        <v>19476.715219999998</v>
      </c>
      <c r="S460">
        <f ca="1">IF(AND(ISNUMBER($S$957),$B$511=1),$S$957,HLOOKUP(INDIRECT(ADDRESS(2,COLUMN())),OFFSET($BN$2,0,0,ROW()-1,60),ROW()-1,FALSE))</f>
        <v>20531.093769999999</v>
      </c>
      <c r="T460">
        <f ca="1">IF(AND(ISNUMBER($T$957),$B$511=1),$T$957,HLOOKUP(INDIRECT(ADDRESS(2,COLUMN())),OFFSET($BN$2,0,0,ROW()-1,60),ROW()-1,FALSE))</f>
        <v>19556.483209999999</v>
      </c>
      <c r="U460">
        <f ca="1">IF(AND(ISNUMBER($U$957),$B$511=1),$U$957,HLOOKUP(INDIRECT(ADDRESS(2,COLUMN())),OFFSET($BN$2,0,0,ROW()-1,60),ROW()-1,FALSE))</f>
        <v>19403.339049999999</v>
      </c>
      <c r="V460">
        <f ca="1">IF(AND(ISNUMBER($V$957),$B$511=1),$V$957,HLOOKUP(INDIRECT(ADDRESS(2,COLUMN())),OFFSET($BN$2,0,0,ROW()-1,60),ROW()-1,FALSE))</f>
        <v>17898.788779999999</v>
      </c>
      <c r="W460">
        <f ca="1">IF(AND(ISNUMBER($W$957),$B$511=1),$W$957,HLOOKUP(INDIRECT(ADDRESS(2,COLUMN())),OFFSET($BN$2,0,0,ROW()-1,60),ROW()-1,FALSE))</f>
        <v>13175.19068</v>
      </c>
      <c r="X460">
        <f ca="1">IF(AND(ISNUMBER($X$957),$B$511=1),$X$957,HLOOKUP(INDIRECT(ADDRESS(2,COLUMN())),OFFSET($BN$2,0,0,ROW()-1,60),ROW()-1,FALSE))</f>
        <v>18492.615880000001</v>
      </c>
      <c r="Y460">
        <f ca="1">IF(AND(ISNUMBER($Y$957),$B$511=1),$Y$957,HLOOKUP(INDIRECT(ADDRESS(2,COLUMN())),OFFSET($BN$2,0,0,ROW()-1,60),ROW()-1,FALSE))</f>
        <v>17208.164929999999</v>
      </c>
      <c r="Z460">
        <f ca="1">IF(AND(ISNUMBER($Z$957),$B$511=1),$Z$957,HLOOKUP(INDIRECT(ADDRESS(2,COLUMN())),OFFSET($BN$2,0,0,ROW()-1,60),ROW()-1,FALSE))</f>
        <v>16979.442159999999</v>
      </c>
      <c r="AA460">
        <f ca="1">IF(AND(ISNUMBER($AA$957),$B$511=1),$AA$957,HLOOKUP(INDIRECT(ADDRESS(2,COLUMN())),OFFSET($BN$2,0,0,ROW()-1,60),ROW()-1,FALSE))</f>
        <v>13605.05011</v>
      </c>
      <c r="AB460">
        <f ca="1">IF(AND(ISNUMBER($AB$957),$B$511=1),$AB$957,HLOOKUP(INDIRECT(ADDRESS(2,COLUMN())),OFFSET($BN$2,0,0,ROW()-1,60),ROW()-1,FALSE))</f>
        <v>13575.464319999999</v>
      </c>
      <c r="AC460">
        <f ca="1">IF(AND(ISNUMBER($AC$957),$B$511=1),$AC$957,HLOOKUP(INDIRECT(ADDRESS(2,COLUMN())),OFFSET($BN$2,0,0,ROW()-1,60),ROW()-1,FALSE))</f>
        <v>10235.08159</v>
      </c>
      <c r="AD460">
        <f ca="1">IF(AND(ISNUMBER($AD$957),$B$511=1),$AD$957,HLOOKUP(INDIRECT(ADDRESS(2,COLUMN())),OFFSET($BN$2,0,0,ROW()-1,60),ROW()-1,FALSE))</f>
        <v>8230.7167860000009</v>
      </c>
      <c r="AE460">
        <f ca="1">IF(AND(ISNUMBER($AE$957),$B$511=1),$AE$957,HLOOKUP(INDIRECT(ADDRESS(2,COLUMN())),OFFSET($BN$2,0,0,ROW()-1,60),ROW()-1,FALSE))</f>
        <v>7473.8672779999997</v>
      </c>
      <c r="AF460">
        <f ca="1">IF(AND(ISNUMBER($AF$957),$B$511=1),$AF$957,HLOOKUP(INDIRECT(ADDRESS(2,COLUMN())),OFFSET($BN$2,0,0,ROW()-1,60),ROW()-1,FALSE))</f>
        <v>4939.0017879999996</v>
      </c>
      <c r="AG460">
        <f ca="1">IF(AND(ISNUMBER($AG$957),$B$511=1),$AG$957,HLOOKUP(INDIRECT(ADDRESS(2,COLUMN())),OFFSET($BN$2,0,0,ROW()-1,60),ROW()-1,FALSE))</f>
        <v>6372.8614710000002</v>
      </c>
      <c r="AH460">
        <f ca="1">IF(AND(ISNUMBER($AH$957),$B$511=1),$AH$957,HLOOKUP(INDIRECT(ADDRESS(2,COLUMN())),OFFSET($BN$2,0,0,ROW()-1,60),ROW()-1,FALSE))</f>
        <v>9230.288219</v>
      </c>
      <c r="AI460">
        <f ca="1">IF(AND(ISNUMBER($AI$957),$B$511=1),$AI$957,HLOOKUP(INDIRECT(ADDRESS(2,COLUMN())),OFFSET($BN$2,0,0,ROW()-1,60),ROW()-1,FALSE))</f>
        <v>7369.2484860000004</v>
      </c>
      <c r="AJ460">
        <f ca="1">IF(AND(ISNUMBER($AJ$957),$B$511=1),$AJ$957,HLOOKUP(INDIRECT(ADDRESS(2,COLUMN())),OFFSET($BN$2,0,0,ROW()-1,60),ROW()-1,FALSE))</f>
        <v>6062.4904729999998</v>
      </c>
      <c r="AK460">
        <f ca="1">IF(AND(ISNUMBER($AK$957),$B$511=1),$AK$957,HLOOKUP(INDIRECT(ADDRESS(2,COLUMN())),OFFSET($BN$2,0,0,ROW()-1,60),ROW()-1,FALSE))</f>
        <v>8709.4341729999996</v>
      </c>
      <c r="AL460">
        <f ca="1">IF(AND(ISNUMBER($AL$957),$B$511=1),$AL$957,HLOOKUP(INDIRECT(ADDRESS(2,COLUMN())),OFFSET($BN$2,0,0,ROW()-1,60),ROW()-1,FALSE))</f>
        <v>8718.2032340000005</v>
      </c>
      <c r="AM460">
        <f ca="1">IF(AND(ISNUMBER($AM$957),$B$511=1),$AM$957,HLOOKUP(INDIRECT(ADDRESS(2,COLUMN())),OFFSET($BN$2,0,0,ROW()-1,60),ROW()-1,FALSE))</f>
        <v>11956.802439999999</v>
      </c>
      <c r="AN460">
        <f ca="1">IF(AND(ISNUMBER($AN$957),$B$511=1),$AN$957,HLOOKUP(INDIRECT(ADDRESS(2,COLUMN())),OFFSET($BN$2,0,0,ROW()-1,60),ROW()-1,FALSE))</f>
        <v>18280.430359999998</v>
      </c>
      <c r="AO460">
        <f ca="1">IF(AND(ISNUMBER($AO$957),$B$511=1),$AO$957,HLOOKUP(INDIRECT(ADDRESS(2,COLUMN())),OFFSET($BN$2,0,0,ROW()-1,60),ROW()-1,FALSE))</f>
        <v>17034.615300000001</v>
      </c>
      <c r="AP460">
        <f ca="1">IF(AND(ISNUMBER($AP$957),$B$511=1),$AP$957,HLOOKUP(INDIRECT(ADDRESS(2,COLUMN())),OFFSET($BN$2,0,0,ROW()-1,60),ROW()-1,FALSE))</f>
        <v>22664.269</v>
      </c>
      <c r="AQ460">
        <f ca="1">IF(AND(ISNUMBER($AQ$957),$B$511=1),$AQ$957,HLOOKUP(INDIRECT(ADDRESS(2,COLUMN())),OFFSET($BN$2,0,0,ROW()-1,60),ROW()-1,FALSE))</f>
        <v>20085.458419999999</v>
      </c>
      <c r="AR460">
        <f ca="1">IF(AND(ISNUMBER($AR$957),$B$511=1),$AR$957,HLOOKUP(INDIRECT(ADDRESS(2,COLUMN())),OFFSET($BN$2,0,0,ROW()-1,60),ROW()-1,FALSE))</f>
        <v>18743.64633</v>
      </c>
      <c r="AS460">
        <f ca="1">IF(AND(ISNUMBER($AS$957),$B$511=1),$AS$957,HLOOKUP(INDIRECT(ADDRESS(2,COLUMN())),OFFSET($BN$2,0,0,ROW()-1,60),ROW()-1,FALSE))</f>
        <v>8120.9364070000001</v>
      </c>
      <c r="AT460">
        <f ca="1">IF(AND(ISNUMBER($AT$957),$B$511=1),$AT$957,HLOOKUP(INDIRECT(ADDRESS(2,COLUMN())),OFFSET($BN$2,0,0,ROW()-1,60),ROW()-1,FALSE))</f>
        <v>3777.4257950000001</v>
      </c>
      <c r="AU460">
        <f ca="1">IF(AND(ISNUMBER($AU$957),$B$511=1),$AU$957,HLOOKUP(INDIRECT(ADDRESS(2,COLUMN())),OFFSET($BN$2,0,0,ROW()-1,60),ROW()-1,FALSE))</f>
        <v>3359.4753219999998</v>
      </c>
      <c r="AV460">
        <f ca="1">IF(AND(ISNUMBER($AV$957),$B$511=1),$AV$957,HLOOKUP(INDIRECT(ADDRESS(2,COLUMN())),OFFSET($BN$2,0,0,ROW()-1,60),ROW()-1,FALSE))</f>
        <v>3390.0787770000002</v>
      </c>
      <c r="AW460">
        <f ca="1">IF(AND(ISNUMBER($AW$957),$B$511=1),$AW$957,HLOOKUP(INDIRECT(ADDRESS(2,COLUMN())),OFFSET($BN$2,0,0,ROW()-1,60),ROW()-1,FALSE))</f>
        <v>2629.0074060000002</v>
      </c>
      <c r="AX460">
        <f ca="1">IF(AND(ISNUMBER($AX$957),$B$511=1),$AX$957,HLOOKUP(INDIRECT(ADDRESS(2,COLUMN())),OFFSET($BN$2,0,0,ROW()-1,60),ROW()-1,FALSE))</f>
        <v>3766.9197509999999</v>
      </c>
      <c r="AY460">
        <f ca="1">IF(AND(ISNUMBER($AY$957),$B$511=1),$AY$957,HLOOKUP(INDIRECT(ADDRESS(2,COLUMN())),OFFSET($BN$2,0,0,ROW()-1,60),ROW()-1,FALSE))</f>
        <v>3569.2287970000002</v>
      </c>
      <c r="AZ460">
        <f ca="1">IF(AND(ISNUMBER($AZ$957),$B$511=1),$AZ$957,HLOOKUP(INDIRECT(ADDRESS(2,COLUMN())),OFFSET($BN$2,0,0,ROW()-1,60),ROW()-1,FALSE))</f>
        <v>4032.3919089999999</v>
      </c>
      <c r="BA460">
        <f ca="1">IF(AND(ISNUMBER($BA$957),$B$511=1),$BA$957,HLOOKUP(INDIRECT(ADDRESS(2,COLUMN())),OFFSET($BN$2,0,0,ROW()-1,60),ROW()-1,FALSE))</f>
        <v>3101.8437979999999</v>
      </c>
      <c r="BB460">
        <f ca="1">IF(AND(ISNUMBER($BB$957),$B$511=1),$BB$957,HLOOKUP(INDIRECT(ADDRESS(2,COLUMN())),OFFSET($BN$2,0,0,ROW()-1,60),ROW()-1,FALSE))</f>
        <v>2661.4615330000001</v>
      </c>
      <c r="BC460">
        <f ca="1">IF(AND(ISNUMBER($BC$957),$B$511=1),$BC$957,HLOOKUP(INDIRECT(ADDRESS(2,COLUMN())),OFFSET($BN$2,0,0,ROW()-1,60),ROW()-1,FALSE))</f>
        <v>2066.7043749999998</v>
      </c>
      <c r="BD460">
        <f ca="1">IF(AND(ISNUMBER($BD$957),$B$511=1),$BD$957,HLOOKUP(INDIRECT(ADDRESS(2,COLUMN())),OFFSET($BN$2,0,0,ROW()-1,60),ROW()-1,FALSE))</f>
        <v>1557.947764</v>
      </c>
      <c r="BE460">
        <f ca="1">IF(AND(ISNUMBER($BE$957),$B$511=1),$BE$957,HLOOKUP(INDIRECT(ADDRESS(2,COLUMN())),OFFSET($BN$2,0,0,ROW()-1,60),ROW()-1,FALSE))</f>
        <v>1100.9495300000001</v>
      </c>
      <c r="BF460">
        <f ca="1">IF(AND(ISNUMBER($BF$957),$B$511=1),$BF$957,HLOOKUP(INDIRECT(ADDRESS(2,COLUMN())),OFFSET($BN$2,0,0,ROW()-1,60),ROW()-1,FALSE))</f>
        <v>1115.8616730000001</v>
      </c>
      <c r="BG460">
        <f ca="1">IF(AND(ISNUMBER($BG$957),$B$511=1),$BG$957,HLOOKUP(INDIRECT(ADDRESS(2,COLUMN())),OFFSET($BN$2,0,0,ROW()-1,60),ROW()-1,FALSE))</f>
        <v>831.47723020000001</v>
      </c>
      <c r="BH460">
        <f ca="1">IF(AND(ISNUMBER($BH$957),$B$511=1),$BH$957,HLOOKUP(INDIRECT(ADDRESS(2,COLUMN())),OFFSET($BN$2,0,0,ROW()-1,60),ROW()-1,FALSE))</f>
        <v>862.36545279999996</v>
      </c>
      <c r="BI460">
        <f ca="1">IF(AND(ISNUMBER($BI$957),$B$511=1),$BI$957,HLOOKUP(INDIRECT(ADDRESS(2,COLUMN())),OFFSET($BN$2,0,0,ROW()-1,60),ROW()-1,FALSE))</f>
        <v>1162.7903240000001</v>
      </c>
      <c r="BJ460">
        <f ca="1">IF(AND(ISNUMBER($BJ$957),$B$511=1),$BJ$957,HLOOKUP(INDIRECT(ADDRESS(2,COLUMN())),OFFSET($BN$2,0,0,ROW()-1,60),ROW()-1,FALSE))</f>
        <v>1587.4767609999999</v>
      </c>
      <c r="BK460">
        <f ca="1">IF(AND(ISNUMBER($BK$957),$B$511=1),$BK$957,HLOOKUP(INDIRECT(ADDRESS(2,COLUMN())),OFFSET($BN$2,0,0,ROW()-1,60),ROW()-1,FALSE))</f>
        <v>1429.7825809999999</v>
      </c>
      <c r="BL460">
        <f ca="1">IF(AND(ISNUMBER($BL$957),$B$511=1),$BL$957,HLOOKUP(INDIRECT(ADDRESS(2,COLUMN())),OFFSET($BN$2,0,0,ROW()-1,60),ROW()-1,FALSE))</f>
        <v>1639.922789</v>
      </c>
      <c r="BM460">
        <f ca="1">IF(AND(ISNUMBER($BM$957),$B$511=1),$BM$957,HLOOKUP(INDIRECT(ADDRESS(2,COLUMN())),OFFSET($BN$2,0,0,ROW()-1,60),ROW()-1,FALSE))</f>
        <v>1594.332547</v>
      </c>
      <c r="BN460">
        <f>19868.198</f>
        <v>19868.198</v>
      </c>
      <c r="BO460">
        <f>19276.13491</f>
        <v>19276.134910000001</v>
      </c>
      <c r="BP460">
        <f>19531.46941</f>
        <v>19531.469410000002</v>
      </c>
      <c r="BQ460">
        <f>18596.45843</f>
        <v>18596.458429999999</v>
      </c>
      <c r="BR460">
        <f>23239.86748</f>
        <v>23239.867480000001</v>
      </c>
      <c r="BS460">
        <f>26102.76844</f>
        <v>26102.76844</v>
      </c>
      <c r="BT460">
        <f>27150.69012</f>
        <v>27150.690119999999</v>
      </c>
      <c r="BU460">
        <f>19001.59689</f>
        <v>19001.596890000001</v>
      </c>
      <c r="BV460">
        <f>17734.02351</f>
        <v>17734.023509999999</v>
      </c>
      <c r="BW460">
        <f>17800.45715</f>
        <v>17800.457149999998</v>
      </c>
      <c r="BX460">
        <f>21124.8687</f>
        <v>21124.868699999999</v>
      </c>
      <c r="BY460">
        <f>19788.63322</f>
        <v>19788.63322</v>
      </c>
      <c r="BZ460">
        <f>19476.71522</f>
        <v>19476.715219999998</v>
      </c>
      <c r="CA460">
        <f>20531.09377</f>
        <v>20531.093769999999</v>
      </c>
      <c r="CB460">
        <f>19556.48321</f>
        <v>19556.483209999999</v>
      </c>
      <c r="CC460">
        <f>19403.33905</f>
        <v>19403.339049999999</v>
      </c>
      <c r="CD460">
        <f>17898.78878</f>
        <v>17898.788779999999</v>
      </c>
      <c r="CE460">
        <f>13175.1906799999</f>
        <v>13175.19068</v>
      </c>
      <c r="CF460">
        <f>18492.61588</f>
        <v>18492.615880000001</v>
      </c>
      <c r="CG460">
        <f>17208.16493</f>
        <v>17208.164929999999</v>
      </c>
      <c r="CH460">
        <f>16979.44216</f>
        <v>16979.442159999999</v>
      </c>
      <c r="CI460">
        <f>13605.05011</f>
        <v>13605.05011</v>
      </c>
      <c r="CJ460">
        <f>13575.46432</f>
        <v>13575.464319999999</v>
      </c>
      <c r="CK460">
        <f>10235.08159</f>
        <v>10235.08159</v>
      </c>
      <c r="CL460">
        <f>8230.716786</f>
        <v>8230.7167860000009</v>
      </c>
      <c r="CM460">
        <f>7473.867278</f>
        <v>7473.8672779999997</v>
      </c>
      <c r="CN460">
        <f>4939.001788</f>
        <v>4939.0017879999996</v>
      </c>
      <c r="CO460">
        <f>6372.861471</f>
        <v>6372.8614710000002</v>
      </c>
      <c r="CP460">
        <f>9230.288219</f>
        <v>9230.288219</v>
      </c>
      <c r="CQ460">
        <f>7369.248486</f>
        <v>7369.2484860000004</v>
      </c>
      <c r="CR460">
        <f>6062.490473</f>
        <v>6062.4904729999998</v>
      </c>
      <c r="CS460">
        <f>8709.434173</f>
        <v>8709.4341729999996</v>
      </c>
      <c r="CT460">
        <f>8718.203234</f>
        <v>8718.2032340000005</v>
      </c>
      <c r="CU460">
        <f>11956.8024399999</f>
        <v>11956.802439999999</v>
      </c>
      <c r="CV460">
        <f>18280.43036</f>
        <v>18280.430359999998</v>
      </c>
      <c r="CW460">
        <f>17034.6153</f>
        <v>17034.615300000001</v>
      </c>
      <c r="CX460">
        <f>22664.269</f>
        <v>22664.269</v>
      </c>
      <c r="CY460">
        <f>20085.45842</f>
        <v>20085.458419999999</v>
      </c>
      <c r="CZ460">
        <f>18743.64633</f>
        <v>18743.64633</v>
      </c>
      <c r="DA460">
        <f>8120.936407</f>
        <v>8120.9364070000001</v>
      </c>
      <c r="DB460">
        <f>3777.425795</f>
        <v>3777.4257950000001</v>
      </c>
      <c r="DC460">
        <f>3359.475322</f>
        <v>3359.4753219999998</v>
      </c>
      <c r="DD460">
        <f>3390.078777</f>
        <v>3390.0787770000002</v>
      </c>
      <c r="DE460">
        <f>2629.007406</f>
        <v>2629.0074060000002</v>
      </c>
      <c r="DF460">
        <f>3766.919751</f>
        <v>3766.9197509999999</v>
      </c>
      <c r="DG460">
        <f>3569.228797</f>
        <v>3569.2287970000002</v>
      </c>
      <c r="DH460">
        <f>4032.391909</f>
        <v>4032.3919089999999</v>
      </c>
      <c r="DI460">
        <f>3101.843798</f>
        <v>3101.8437979999999</v>
      </c>
      <c r="DJ460">
        <f>2661.461533</f>
        <v>2661.4615330000001</v>
      </c>
      <c r="DK460">
        <f>2066.704375</f>
        <v>2066.7043749999998</v>
      </c>
      <c r="DL460">
        <f>1557.947764</f>
        <v>1557.947764</v>
      </c>
      <c r="DM460">
        <f>1100.94953</f>
        <v>1100.9495300000001</v>
      </c>
      <c r="DN460">
        <f>1115.861673</f>
        <v>1115.8616730000001</v>
      </c>
      <c r="DO460">
        <f>831.4772302</f>
        <v>831.47723020000001</v>
      </c>
      <c r="DP460">
        <f>862.3654528</f>
        <v>862.36545279999996</v>
      </c>
      <c r="DQ460">
        <f>1162.790324</f>
        <v>1162.7903240000001</v>
      </c>
      <c r="DR460">
        <f>1587.476761</f>
        <v>1587.4767609999999</v>
      </c>
      <c r="DS460">
        <f>1429.782581</f>
        <v>1429.7825809999999</v>
      </c>
      <c r="DT460">
        <f>1639.922789</f>
        <v>1639.922789</v>
      </c>
      <c r="DU460">
        <f>1594.332547</f>
        <v>1594.332547</v>
      </c>
    </row>
    <row r="461" spans="1:125" x14ac:dyDescent="0.25">
      <c r="A461" t="str">
        <f>"    Chongqing Changan Automobile Co Ltd"</f>
        <v xml:space="preserve">    Chongqing Changan Automobile Co Ltd</v>
      </c>
      <c r="B461" t="str">
        <f>"200625 CH Equity"</f>
        <v>200625 CH Equity</v>
      </c>
      <c r="C461" t="str">
        <f t="shared" si="33"/>
        <v>RR902</v>
      </c>
      <c r="D461" t="str">
        <f t="shared" si="34"/>
        <v>CUR_MKT_CAP</v>
      </c>
      <c r="E461" t="str">
        <f t="shared" si="35"/>
        <v>Dynamic</v>
      </c>
      <c r="F461">
        <f ca="1">IF(AND(ISNUMBER($F$958),$B$511=1),$F$958,HLOOKUP(INDIRECT(ADDRESS(2,COLUMN())),OFFSET($BN$2,0,0,ROW()-1,60),ROW()-1,FALSE))</f>
        <v>5534.5157349999999</v>
      </c>
      <c r="G461">
        <f ca="1">IF(AND(ISNUMBER($G$958),$B$511=1),$G$958,HLOOKUP(INDIRECT(ADDRESS(2,COLUMN())),OFFSET($BN$2,0,0,ROW()-1,60),ROW()-1,FALSE))</f>
        <v>4139.2419650000002</v>
      </c>
      <c r="H461">
        <f ca="1">IF(AND(ISNUMBER($H$958),$B$511=1),$H$958,HLOOKUP(INDIRECT(ADDRESS(2,COLUMN())),OFFSET($BN$2,0,0,ROW()-1,60),ROW()-1,FALSE))</f>
        <v>4862.4531159999997</v>
      </c>
      <c r="I461">
        <f ca="1">IF(AND(ISNUMBER($I$958),$B$511=1),$I$958,HLOOKUP(INDIRECT(ADDRESS(2,COLUMN())),OFFSET($BN$2,0,0,ROW()-1,60),ROW()-1,FALSE))</f>
        <v>6211.5126630000004</v>
      </c>
      <c r="J461">
        <f ca="1">IF(AND(ISNUMBER($J$958),$B$511=1),$J$958,HLOOKUP(INDIRECT(ADDRESS(2,COLUMN())),OFFSET($BN$2,0,0,ROW()-1,60),ROW()-1,FALSE))</f>
        <v>7894.4530839999998</v>
      </c>
      <c r="K461">
        <f ca="1">IF(AND(ISNUMBER($K$958),$B$511=1),$K$958,HLOOKUP(INDIRECT(ADDRESS(2,COLUMN())),OFFSET($BN$2,0,0,ROW()-1,60),ROW()-1,FALSE))</f>
        <v>8546.4298280000003</v>
      </c>
      <c r="L461">
        <f ca="1">IF(AND(ISNUMBER($L$958),$B$511=1),$L$958,HLOOKUP(INDIRECT(ADDRESS(2,COLUMN())),OFFSET($BN$2,0,0,ROW()-1,60),ROW()-1,FALSE))</f>
        <v>9523.3019769999992</v>
      </c>
      <c r="M461">
        <f ca="1">IF(AND(ISNUMBER($M$958),$B$511=1),$M$958,HLOOKUP(INDIRECT(ADDRESS(2,COLUMN())),OFFSET($BN$2,0,0,ROW()-1,60),ROW()-1,FALSE))</f>
        <v>9504.4482630000002</v>
      </c>
      <c r="N461">
        <f ca="1">IF(AND(ISNUMBER($N$958),$B$511=1),$N$958,HLOOKUP(INDIRECT(ADDRESS(2,COLUMN())),OFFSET($BN$2,0,0,ROW()-1,60),ROW()-1,FALSE))</f>
        <v>10203.18324</v>
      </c>
      <c r="O461">
        <f ca="1">IF(AND(ISNUMBER($O$958),$B$511=1),$O$958,HLOOKUP(INDIRECT(ADDRESS(2,COLUMN())),OFFSET($BN$2,0,0,ROW()-1,60),ROW()-1,FALSE))</f>
        <v>9687.5299930000001</v>
      </c>
      <c r="P461">
        <f ca="1">IF(AND(ISNUMBER($P$958),$B$511=1),$P$958,HLOOKUP(INDIRECT(ADDRESS(2,COLUMN())),OFFSET($BN$2,0,0,ROW()-1,60),ROW()-1,FALSE))</f>
        <v>10423.362730000001</v>
      </c>
      <c r="Q461">
        <f ca="1">IF(AND(ISNUMBER($Q$958),$B$511=1),$Q$958,HLOOKUP(INDIRECT(ADDRESS(2,COLUMN())),OFFSET($BN$2,0,0,ROW()-1,60),ROW()-1,FALSE))</f>
        <v>8981.0313010000009</v>
      </c>
      <c r="R461">
        <f ca="1">IF(AND(ISNUMBER($R$958),$B$511=1),$R$958,HLOOKUP(INDIRECT(ADDRESS(2,COLUMN())),OFFSET($BN$2,0,0,ROW()-1,60),ROW()-1,FALSE))</f>
        <v>10881.15547</v>
      </c>
      <c r="S461">
        <f ca="1">IF(AND(ISNUMBER($S$958),$B$511=1),$S$958,HLOOKUP(INDIRECT(ADDRESS(2,COLUMN())),OFFSET($BN$2,0,0,ROW()-1,60),ROW()-1,FALSE))</f>
        <v>11827.92362</v>
      </c>
      <c r="T461">
        <f ca="1">IF(AND(ISNUMBER($T$958),$B$511=1),$T$958,HLOOKUP(INDIRECT(ADDRESS(2,COLUMN())),OFFSET($BN$2,0,0,ROW()-1,60),ROW()-1,FALSE))</f>
        <v>10254.433789999999</v>
      </c>
      <c r="U461">
        <f ca="1">IF(AND(ISNUMBER($U$958),$B$511=1),$U$958,HLOOKUP(INDIRECT(ADDRESS(2,COLUMN())),OFFSET($BN$2,0,0,ROW()-1,60),ROW()-1,FALSE))</f>
        <v>15139.95119</v>
      </c>
      <c r="V461">
        <f ca="1">IF(AND(ISNUMBER($V$958),$B$511=1),$V$958,HLOOKUP(INDIRECT(ADDRESS(2,COLUMN())),OFFSET($BN$2,0,0,ROW()-1,60),ROW()-1,FALSE))</f>
        <v>14659.044</v>
      </c>
      <c r="W461">
        <f ca="1">IF(AND(ISNUMBER($W$958),$B$511=1),$W$958,HLOOKUP(INDIRECT(ADDRESS(2,COLUMN())),OFFSET($BN$2,0,0,ROW()-1,60),ROW()-1,FALSE))</f>
        <v>11997.201510000001</v>
      </c>
      <c r="X461">
        <f ca="1">IF(AND(ISNUMBER($X$958),$B$511=1),$X$958,HLOOKUP(INDIRECT(ADDRESS(2,COLUMN())),OFFSET($BN$2,0,0,ROW()-1,60),ROW()-1,FALSE))</f>
        <v>10331.67684</v>
      </c>
      <c r="Y461">
        <f ca="1">IF(AND(ISNUMBER($Y$958),$B$511=1),$Y$958,HLOOKUP(INDIRECT(ADDRESS(2,COLUMN())),OFFSET($BN$2,0,0,ROW()-1,60),ROW()-1,FALSE))</f>
        <v>9242.7542959999992</v>
      </c>
      <c r="Z461">
        <f ca="1">IF(AND(ISNUMBER($Z$958),$B$511=1),$Z$958,HLOOKUP(INDIRECT(ADDRESS(2,COLUMN())),OFFSET($BN$2,0,0,ROW()-1,60),ROW()-1,FALSE))</f>
        <v>7285.5699830000003</v>
      </c>
      <c r="AA461">
        <f ca="1">IF(AND(ISNUMBER($AA$958),$B$511=1),$AA$958,HLOOKUP(INDIRECT(ADDRESS(2,COLUMN())),OFFSET($BN$2,0,0,ROW()-1,60),ROW()-1,FALSE))</f>
        <v>8883.7733580000004</v>
      </c>
      <c r="AB461">
        <f ca="1">IF(AND(ISNUMBER($AB$958),$B$511=1),$AB$958,HLOOKUP(INDIRECT(ADDRESS(2,COLUMN())),OFFSET($BN$2,0,0,ROW()-1,60),ROW()-1,FALSE))</f>
        <v>7705.2317300000004</v>
      </c>
      <c r="AC461">
        <f ca="1">IF(AND(ISNUMBER($AC$958),$B$511=1),$AC$958,HLOOKUP(INDIRECT(ADDRESS(2,COLUMN())),OFFSET($BN$2,0,0,ROW()-1,60),ROW()-1,FALSE))</f>
        <v>6762.4795720000002</v>
      </c>
      <c r="AD461">
        <f ca="1">IF(AND(ISNUMBER($AD$958),$B$511=1),$AD$958,HLOOKUP(INDIRECT(ADDRESS(2,COLUMN())),OFFSET($BN$2,0,0,ROW()-1,60),ROW()-1,FALSE))</f>
        <v>6514.5416249999998</v>
      </c>
      <c r="AE461">
        <f ca="1">IF(AND(ISNUMBER($AE$958),$B$511=1),$AE$958,HLOOKUP(INDIRECT(ADDRESS(2,COLUMN())),OFFSET($BN$2,0,0,ROW()-1,60),ROW()-1,FALSE))</f>
        <v>4517.4416739999997</v>
      </c>
      <c r="AF461">
        <f ca="1">IF(AND(ISNUMBER($AF$958),$B$511=1),$AF$958,HLOOKUP(INDIRECT(ADDRESS(2,COLUMN())),OFFSET($BN$2,0,0,ROW()-1,60),ROW()-1,FALSE))</f>
        <v>3504.919762</v>
      </c>
      <c r="AG461">
        <f ca="1">IF(AND(ISNUMBER($AG$958),$B$511=1),$AG$958,HLOOKUP(INDIRECT(ADDRESS(2,COLUMN())),OFFSET($BN$2,0,0,ROW()-1,60),ROW()-1,FALSE))</f>
        <v>3247.2205530000001</v>
      </c>
      <c r="AH461">
        <f ca="1">IF(AND(ISNUMBER($AH$958),$B$511=1),$AH$958,HLOOKUP(INDIRECT(ADDRESS(2,COLUMN())),OFFSET($BN$2,0,0,ROW()-1,60),ROW()-1,FALSE))</f>
        <v>2989.3773299999998</v>
      </c>
      <c r="AI461">
        <f ca="1">IF(AND(ISNUMBER($AI$958),$B$511=1),$AI$958,HLOOKUP(INDIRECT(ADDRESS(2,COLUMN())),OFFSET($BN$2,0,0,ROW()-1,60),ROW()-1,FALSE))</f>
        <v>2640.928778</v>
      </c>
      <c r="AJ461">
        <f ca="1">IF(AND(ISNUMBER($AJ$958),$B$511=1),$AJ$958,HLOOKUP(INDIRECT(ADDRESS(2,COLUMN())),OFFSET($BN$2,0,0,ROW()-1,60),ROW()-1,FALSE))</f>
        <v>2830.420318</v>
      </c>
      <c r="AK461">
        <f ca="1">IF(AND(ISNUMBER($AK$958),$B$511=1),$AK$958,HLOOKUP(INDIRECT(ADDRESS(2,COLUMN())),OFFSET($BN$2,0,0,ROW()-1,60),ROW()-1,FALSE))</f>
        <v>3384.5821890000002</v>
      </c>
      <c r="AL461">
        <f ca="1">IF(AND(ISNUMBER($AL$958),$B$511=1),$AL$958,HLOOKUP(INDIRECT(ADDRESS(2,COLUMN())),OFFSET($BN$2,0,0,ROW()-1,60),ROW()-1,FALSE))</f>
        <v>3473.0124700000001</v>
      </c>
      <c r="AM461">
        <f ca="1">IF(AND(ISNUMBER($AM$958),$B$511=1),$AM$958,HLOOKUP(INDIRECT(ADDRESS(2,COLUMN())),OFFSET($BN$2,0,0,ROW()-1,60),ROW()-1,FALSE))</f>
        <v>3000.4503300000001</v>
      </c>
      <c r="AN461">
        <f ca="1">IF(AND(ISNUMBER($AN$958),$B$511=1),$AN$958,HLOOKUP(INDIRECT(ADDRESS(2,COLUMN())),OFFSET($BN$2,0,0,ROW()-1,60),ROW()-1,FALSE))</f>
        <v>3374.0999870000001</v>
      </c>
      <c r="AO461">
        <f ca="1">IF(AND(ISNUMBER($AO$958),$B$511=1),$AO$958,HLOOKUP(INDIRECT(ADDRESS(2,COLUMN())),OFFSET($BN$2,0,0,ROW()-1,60),ROW()-1,FALSE))</f>
        <v>2557.5365870000001</v>
      </c>
      <c r="AP461">
        <f ca="1">IF(AND(ISNUMBER($AP$958),$B$511=1),$AP$958,HLOOKUP(INDIRECT(ADDRESS(2,COLUMN())),OFFSET($BN$2,0,0,ROW()-1,60),ROW()-1,FALSE))</f>
        <v>3622.3951750000001</v>
      </c>
      <c r="AQ461">
        <f ca="1">IF(AND(ISNUMBER($AQ$958),$B$511=1),$AQ$958,HLOOKUP(INDIRECT(ADDRESS(2,COLUMN())),OFFSET($BN$2,0,0,ROW()-1,60),ROW()-1,FALSE))</f>
        <v>4169.080833</v>
      </c>
      <c r="AR461">
        <f ca="1">IF(AND(ISNUMBER($AR$958),$B$511=1),$AR$958,HLOOKUP(INDIRECT(ADDRESS(2,COLUMN())),OFFSET($BN$2,0,0,ROW()-1,60),ROW()-1,FALSE))</f>
        <v>2928.7796149999999</v>
      </c>
      <c r="AS461">
        <f ca="1">IF(AND(ISNUMBER($AS$958),$B$511=1),$AS$958,HLOOKUP(INDIRECT(ADDRESS(2,COLUMN())),OFFSET($BN$2,0,0,ROW()-1,60),ROW()-1,FALSE))</f>
        <v>2340.0529999999999</v>
      </c>
      <c r="AT461">
        <f ca="1">IF(AND(ISNUMBER($AT$958),$B$511=1),$AT$958,HLOOKUP(INDIRECT(ADDRESS(2,COLUMN())),OFFSET($BN$2,0,0,ROW()-1,60),ROW()-1,FALSE))</f>
        <v>2088.357696</v>
      </c>
      <c r="AU461">
        <f ca="1">IF(AND(ISNUMBER($AU$958),$B$511=1),$AU$958,HLOOKUP(INDIRECT(ADDRESS(2,COLUMN())),OFFSET($BN$2,0,0,ROW()-1,60),ROW()-1,FALSE))</f>
        <v>1062.3792169999999</v>
      </c>
      <c r="AV461">
        <f ca="1">IF(AND(ISNUMBER($AV$958),$B$511=1),$AV$958,HLOOKUP(INDIRECT(ADDRESS(2,COLUMN())),OFFSET($BN$2,0,0,ROW()-1,60),ROW()-1,FALSE))</f>
        <v>1156.4397269999999</v>
      </c>
      <c r="AW461">
        <f ca="1">IF(AND(ISNUMBER($AW$958),$B$511=1),$AW$958,HLOOKUP(INDIRECT(ADDRESS(2,COLUMN())),OFFSET($BN$2,0,0,ROW()-1,60),ROW()-1,FALSE))</f>
        <v>1453.341784</v>
      </c>
      <c r="AX461">
        <f ca="1">IF(AND(ISNUMBER($AX$958),$B$511=1),$AX$958,HLOOKUP(INDIRECT(ADDRESS(2,COLUMN())),OFFSET($BN$2,0,0,ROW()-1,60),ROW()-1,FALSE))</f>
        <v>2320.2374009999999</v>
      </c>
      <c r="AY461">
        <f ca="1">IF(AND(ISNUMBER($AY$958),$B$511=1),$AY$958,HLOOKUP(INDIRECT(ADDRESS(2,COLUMN())),OFFSET($BN$2,0,0,ROW()-1,60),ROW()-1,FALSE))</f>
        <v>4237.2124739999999</v>
      </c>
      <c r="AZ461">
        <f ca="1">IF(AND(ISNUMBER($AZ$958),$B$511=1),$AZ$958,HLOOKUP(INDIRECT(ADDRESS(2,COLUMN())),OFFSET($BN$2,0,0,ROW()-1,60),ROW()-1,FALSE))</f>
        <v>5116.871862</v>
      </c>
      <c r="BA461">
        <f ca="1">IF(AND(ISNUMBER($BA$958),$B$511=1),$BA$958,HLOOKUP(INDIRECT(ADDRESS(2,COLUMN())),OFFSET($BN$2,0,0,ROW()-1,60),ROW()-1,FALSE))</f>
        <v>3092.5968630000002</v>
      </c>
      <c r="BB461">
        <f ca="1">IF(AND(ISNUMBER($BB$958),$B$511=1),$BB$958,HLOOKUP(INDIRECT(ADDRESS(2,COLUMN())),OFFSET($BN$2,0,0,ROW()-1,60),ROW()-1,FALSE))</f>
        <v>2665.5340860000001</v>
      </c>
      <c r="BC461">
        <f ca="1">IF(AND(ISNUMBER($BC$958),$B$511=1),$BC$958,HLOOKUP(INDIRECT(ADDRESS(2,COLUMN())),OFFSET($BN$2,0,0,ROW()-1,60),ROW()-1,FALSE))</f>
        <v>1727.1020860000001</v>
      </c>
      <c r="BD461">
        <f ca="1">IF(AND(ISNUMBER($BD$958),$B$511=1),$BD$958,HLOOKUP(INDIRECT(ADDRESS(2,COLUMN())),OFFSET($BN$2,0,0,ROW()-1,60),ROW()-1,FALSE))</f>
        <v>972.12055169999996</v>
      </c>
      <c r="BE461">
        <f ca="1">IF(AND(ISNUMBER($BE$958),$B$511=1),$BE$958,HLOOKUP(INDIRECT(ADDRESS(2,COLUMN())),OFFSET($BN$2,0,0,ROW()-1,60),ROW()-1,FALSE))</f>
        <v>1031.417058</v>
      </c>
      <c r="BF461">
        <f ca="1">IF(AND(ISNUMBER($BF$958),$B$511=1),$BF$958,HLOOKUP(INDIRECT(ADDRESS(2,COLUMN())),OFFSET($BN$2,0,0,ROW()-1,60),ROW()-1,FALSE))</f>
        <v>972.56791329999999</v>
      </c>
      <c r="BG461">
        <f ca="1">IF(AND(ISNUMBER($BG$958),$B$511=1),$BG$958,HLOOKUP(INDIRECT(ADDRESS(2,COLUMN())),OFFSET($BN$2,0,0,ROW()-1,60),ROW()-1,FALSE))</f>
        <v>660.26069700000005</v>
      </c>
      <c r="BH461">
        <f ca="1">IF(AND(ISNUMBER($BH$958),$B$511=1),$BH$958,HLOOKUP(INDIRECT(ADDRESS(2,COLUMN())),OFFSET($BN$2,0,0,ROW()-1,60),ROW()-1,FALSE))</f>
        <v>855.76938910000001</v>
      </c>
      <c r="BI461">
        <f ca="1">IF(AND(ISNUMBER($BI$958),$B$511=1),$BI$958,HLOOKUP(INDIRECT(ADDRESS(2,COLUMN())),OFFSET($BN$2,0,0,ROW()-1,60),ROW()-1,FALSE))</f>
        <v>1011.908513</v>
      </c>
      <c r="BJ461">
        <f ca="1">IF(AND(ISNUMBER($BJ$958),$B$511=1),$BJ$958,HLOOKUP(INDIRECT(ADDRESS(2,COLUMN())),OFFSET($BN$2,0,0,ROW()-1,60),ROW()-1,FALSE))</f>
        <v>974.81957350000005</v>
      </c>
      <c r="BK461">
        <f ca="1">IF(AND(ISNUMBER($BK$958),$B$511=1),$BK$958,HLOOKUP(INDIRECT(ADDRESS(2,COLUMN())),OFFSET($BN$2,0,0,ROW()-1,60),ROW()-1,FALSE))</f>
        <v>1021.7413320000001</v>
      </c>
      <c r="BL461">
        <f ca="1">IF(AND(ISNUMBER($BL$958),$B$511=1),$BL$958,HLOOKUP(INDIRECT(ADDRESS(2,COLUMN())),OFFSET($BN$2,0,0,ROW()-1,60),ROW()-1,FALSE))</f>
        <v>1400.3506279999999</v>
      </c>
      <c r="BM461">
        <f ca="1">IF(AND(ISNUMBER($BM$958),$B$511=1),$BM$958,HLOOKUP(INDIRECT(ADDRESS(2,COLUMN())),OFFSET($BN$2,0,0,ROW()-1,60),ROW()-1,FALSE))</f>
        <v>1409.108743</v>
      </c>
      <c r="BN461">
        <f>5534.515735</f>
        <v>5534.5157349999999</v>
      </c>
      <c r="BO461">
        <f>4139.241965</f>
        <v>4139.2419650000002</v>
      </c>
      <c r="BP461">
        <f>4862.453116</f>
        <v>4862.4531159999997</v>
      </c>
      <c r="BQ461">
        <f>6211.512663</f>
        <v>6211.5126630000004</v>
      </c>
      <c r="BR461">
        <f>7894.453084</f>
        <v>7894.4530839999998</v>
      </c>
      <c r="BS461">
        <f>8546.429828</f>
        <v>8546.4298280000003</v>
      </c>
      <c r="BT461">
        <f>9523.301977</f>
        <v>9523.3019769999992</v>
      </c>
      <c r="BU461">
        <f>9504.448263</f>
        <v>9504.4482630000002</v>
      </c>
      <c r="BV461">
        <f>10203.18324</f>
        <v>10203.18324</v>
      </c>
      <c r="BW461">
        <f>9687.529993</f>
        <v>9687.5299930000001</v>
      </c>
      <c r="BX461">
        <f>10423.36273</f>
        <v>10423.362730000001</v>
      </c>
      <c r="BY461">
        <f>8981.031301</f>
        <v>8981.0313010000009</v>
      </c>
      <c r="BZ461">
        <f>10881.15547</f>
        <v>10881.15547</v>
      </c>
      <c r="CA461">
        <f>11827.92362</f>
        <v>11827.92362</v>
      </c>
      <c r="CB461">
        <f>10254.43379</f>
        <v>10254.433789999999</v>
      </c>
      <c r="CC461">
        <f>15139.95119</f>
        <v>15139.95119</v>
      </c>
      <c r="CD461">
        <f>14659.044</f>
        <v>14659.044</v>
      </c>
      <c r="CE461">
        <f>11997.20151</f>
        <v>11997.201510000001</v>
      </c>
      <c r="CF461">
        <f>10331.67684</f>
        <v>10331.67684</v>
      </c>
      <c r="CG461">
        <f>9242.754296</f>
        <v>9242.7542959999992</v>
      </c>
      <c r="CH461">
        <f>7285.569983</f>
        <v>7285.5699830000003</v>
      </c>
      <c r="CI461">
        <f>8883.773358</f>
        <v>8883.7733580000004</v>
      </c>
      <c r="CJ461">
        <f>7705.23173</f>
        <v>7705.2317300000004</v>
      </c>
      <c r="CK461">
        <f>6762.479572</f>
        <v>6762.4795720000002</v>
      </c>
      <c r="CL461">
        <f>6514.541625</f>
        <v>6514.5416249999998</v>
      </c>
      <c r="CM461">
        <f>4517.441674</f>
        <v>4517.4416739999997</v>
      </c>
      <c r="CN461">
        <f>3504.919762</f>
        <v>3504.919762</v>
      </c>
      <c r="CO461">
        <f>3247.220553</f>
        <v>3247.2205530000001</v>
      </c>
      <c r="CP461">
        <f>2989.37733</f>
        <v>2989.3773299999998</v>
      </c>
      <c r="CQ461">
        <f>2640.928778</f>
        <v>2640.928778</v>
      </c>
      <c r="CR461">
        <f>2830.420318</f>
        <v>2830.420318</v>
      </c>
      <c r="CS461">
        <f>3384.582189</f>
        <v>3384.5821890000002</v>
      </c>
      <c r="CT461">
        <f>3473.01247</f>
        <v>3473.0124700000001</v>
      </c>
      <c r="CU461">
        <f>3000.45033</f>
        <v>3000.4503300000001</v>
      </c>
      <c r="CV461">
        <f>3374.099987</f>
        <v>3374.0999870000001</v>
      </c>
      <c r="CW461">
        <f>2557.536587</f>
        <v>2557.5365870000001</v>
      </c>
      <c r="CX461">
        <f>3622.395175</f>
        <v>3622.3951750000001</v>
      </c>
      <c r="CY461">
        <f>4169.080833</f>
        <v>4169.080833</v>
      </c>
      <c r="CZ461">
        <f>2928.779615</f>
        <v>2928.7796149999999</v>
      </c>
      <c r="DA461">
        <f>2340.053</f>
        <v>2340.0529999999999</v>
      </c>
      <c r="DB461">
        <f>2088.357696</f>
        <v>2088.357696</v>
      </c>
      <c r="DC461">
        <f>1062.379217</f>
        <v>1062.3792169999999</v>
      </c>
      <c r="DD461">
        <f>1156.439727</f>
        <v>1156.4397269999999</v>
      </c>
      <c r="DE461">
        <f>1453.341784</f>
        <v>1453.341784</v>
      </c>
      <c r="DF461">
        <f>2320.237401</f>
        <v>2320.2374009999999</v>
      </c>
      <c r="DG461">
        <f>4237.212474</f>
        <v>4237.2124739999999</v>
      </c>
      <c r="DH461">
        <f>5116.871862</f>
        <v>5116.871862</v>
      </c>
      <c r="DI461">
        <f>3092.596863</f>
        <v>3092.5968630000002</v>
      </c>
      <c r="DJ461">
        <f>2665.534086</f>
        <v>2665.5340860000001</v>
      </c>
      <c r="DK461">
        <f>1727.102086</f>
        <v>1727.1020860000001</v>
      </c>
      <c r="DL461">
        <f>972.1205517</f>
        <v>972.12055169999996</v>
      </c>
      <c r="DM461">
        <f>1031.417058</f>
        <v>1031.417058</v>
      </c>
      <c r="DN461">
        <f>972.5679133</f>
        <v>972.56791329999999</v>
      </c>
      <c r="DO461">
        <f>660.260697</f>
        <v>660.26069700000005</v>
      </c>
      <c r="DP461">
        <f>855.7693891</f>
        <v>855.76938910000001</v>
      </c>
      <c r="DQ461">
        <f>1011.908513</f>
        <v>1011.908513</v>
      </c>
      <c r="DR461">
        <f>974.8195735</f>
        <v>974.81957350000005</v>
      </c>
      <c r="DS461">
        <f>1021.741332</f>
        <v>1021.7413320000001</v>
      </c>
      <c r="DT461">
        <f>1400.350628</f>
        <v>1400.3506279999999</v>
      </c>
      <c r="DU461">
        <f>1409.108743</f>
        <v>1409.108743</v>
      </c>
    </row>
    <row r="462" spans="1:125" x14ac:dyDescent="0.25">
      <c r="A462" t="str">
        <f>"    Daihatsu Motor Co Ltd"</f>
        <v xml:space="preserve">    Daihatsu Motor Co Ltd</v>
      </c>
      <c r="B462" t="str">
        <f>"7262 JP Equity"</f>
        <v>7262 JP Equity</v>
      </c>
      <c r="C462" t="str">
        <f t="shared" si="33"/>
        <v>RR902</v>
      </c>
      <c r="D462" t="str">
        <f t="shared" si="34"/>
        <v>CUR_MKT_CAP</v>
      </c>
      <c r="E462" t="str">
        <f t="shared" si="35"/>
        <v>Dynamic</v>
      </c>
      <c r="F462" t="str">
        <f ca="1">IF(AND(ISNUMBER($F$959),$B$511=1),$F$959,HLOOKUP(INDIRECT(ADDRESS(2,COLUMN())),OFFSET($BN$2,0,0,ROW()-1,60),ROW()-1,FALSE))</f>
        <v/>
      </c>
      <c r="G462" t="str">
        <f ca="1">IF(AND(ISNUMBER($G$959),$B$511=1),$G$959,HLOOKUP(INDIRECT(ADDRESS(2,COLUMN())),OFFSET($BN$2,0,0,ROW()-1,60),ROW()-1,FALSE))</f>
        <v/>
      </c>
      <c r="H462" t="str">
        <f ca="1">IF(AND(ISNUMBER($H$959),$B$511=1),$H$959,HLOOKUP(INDIRECT(ADDRESS(2,COLUMN())),OFFSET($BN$2,0,0,ROW()-1,60),ROW()-1,FALSE))</f>
        <v/>
      </c>
      <c r="I462" t="str">
        <f ca="1">IF(AND(ISNUMBER($I$959),$B$511=1),$I$959,HLOOKUP(INDIRECT(ADDRESS(2,COLUMN())),OFFSET($BN$2,0,0,ROW()-1,60),ROW()-1,FALSE))</f>
        <v/>
      </c>
      <c r="J462" t="str">
        <f ca="1">IF(AND(ISNUMBER($J$959),$B$511=1),$J$959,HLOOKUP(INDIRECT(ADDRESS(2,COLUMN())),OFFSET($BN$2,0,0,ROW()-1,60),ROW()-1,FALSE))</f>
        <v/>
      </c>
      <c r="K462" t="str">
        <f ca="1">IF(AND(ISNUMBER($K$959),$B$511=1),$K$959,HLOOKUP(INDIRECT(ADDRESS(2,COLUMN())),OFFSET($BN$2,0,0,ROW()-1,60),ROW()-1,FALSE))</f>
        <v/>
      </c>
      <c r="L462" t="str">
        <f ca="1">IF(AND(ISNUMBER($L$959),$B$511=1),$L$959,HLOOKUP(INDIRECT(ADDRESS(2,COLUMN())),OFFSET($BN$2,0,0,ROW()-1,60),ROW()-1,FALSE))</f>
        <v/>
      </c>
      <c r="M462" t="str">
        <f ca="1">IF(AND(ISNUMBER($M$959),$B$511=1),$M$959,HLOOKUP(INDIRECT(ADDRESS(2,COLUMN())),OFFSET($BN$2,0,0,ROW()-1,60),ROW()-1,FALSE))</f>
        <v/>
      </c>
      <c r="N462" t="str">
        <f ca="1">IF(AND(ISNUMBER($N$959),$B$511=1),$N$959,HLOOKUP(INDIRECT(ADDRESS(2,COLUMN())),OFFSET($BN$2,0,0,ROW()-1,60),ROW()-1,FALSE))</f>
        <v/>
      </c>
      <c r="O462" t="str">
        <f ca="1">IF(AND(ISNUMBER($O$959),$B$511=1),$O$959,HLOOKUP(INDIRECT(ADDRESS(2,COLUMN())),OFFSET($BN$2,0,0,ROW()-1,60),ROW()-1,FALSE))</f>
        <v/>
      </c>
      <c r="P462">
        <f ca="1">IF(AND(ISNUMBER($P$959),$B$511=1),$P$959,HLOOKUP(INDIRECT(ADDRESS(2,COLUMN())),OFFSET($BN$2,0,0,ROW()-1,60),ROW()-1,FALSE))</f>
        <v>6077.3005670000002</v>
      </c>
      <c r="Q462">
        <f ca="1">IF(AND(ISNUMBER($Q$959),$B$511=1),$Q$959,HLOOKUP(INDIRECT(ADDRESS(2,COLUMN())),OFFSET($BN$2,0,0,ROW()-1,60),ROW()-1,FALSE))</f>
        <v>5476.1475909999999</v>
      </c>
      <c r="R462">
        <f ca="1">IF(AND(ISNUMBER($R$959),$B$511=1),$R$959,HLOOKUP(INDIRECT(ADDRESS(2,COLUMN())),OFFSET($BN$2,0,0,ROW()-1,60),ROW()-1,FALSE))</f>
        <v>6021.4845079999996</v>
      </c>
      <c r="S462">
        <f ca="1">IF(AND(ISNUMBER($S$959),$B$511=1),$S$959,HLOOKUP(INDIRECT(ADDRESS(2,COLUMN())),OFFSET($BN$2,0,0,ROW()-1,60),ROW()-1,FALSE))</f>
        <v>5811.365307</v>
      </c>
      <c r="T462">
        <f ca="1">IF(AND(ISNUMBER($T$959),$B$511=1),$T$959,HLOOKUP(INDIRECT(ADDRESS(2,COLUMN())),OFFSET($BN$2,0,0,ROW()-1,60),ROW()-1,FALSE))</f>
        <v>4929.0281720000003</v>
      </c>
      <c r="U462">
        <f ca="1">IF(AND(ISNUMBER($U$959),$B$511=1),$U$959,HLOOKUP(INDIRECT(ADDRESS(2,COLUMN())),OFFSET($BN$2,0,0,ROW()-1,60),ROW()-1,FALSE))</f>
        <v>6096.260327</v>
      </c>
      <c r="V462">
        <f ca="1">IF(AND(ISNUMBER($V$959),$B$511=1),$V$959,HLOOKUP(INDIRECT(ADDRESS(2,COLUMN())),OFFSET($BN$2,0,0,ROW()-1,60),ROW()-1,FALSE))</f>
        <v>6544.8269440000004</v>
      </c>
      <c r="W462">
        <f ca="1">IF(AND(ISNUMBER($W$959),$B$511=1),$W$959,HLOOKUP(INDIRECT(ADDRESS(2,COLUMN())),OFFSET($BN$2,0,0,ROW()-1,60),ROW()-1,FALSE))</f>
        <v>5645.6315619999996</v>
      </c>
      <c r="X462">
        <f ca="1">IF(AND(ISNUMBER($X$959),$B$511=1),$X$959,HLOOKUP(INDIRECT(ADDRESS(2,COLUMN())),OFFSET($BN$2,0,0,ROW()-1,60),ROW()-1,FALSE))</f>
        <v>6781.151425</v>
      </c>
      <c r="Y462">
        <f ca="1">IF(AND(ISNUMBER($Y$959),$B$511=1),$Y$959,HLOOKUP(INDIRECT(ADDRESS(2,COLUMN())),OFFSET($BN$2,0,0,ROW()-1,60),ROW()-1,FALSE))</f>
        <v>7594.5151800000003</v>
      </c>
      <c r="Z462">
        <f ca="1">IF(AND(ISNUMBER($Z$959),$B$511=1),$Z$959,HLOOKUP(INDIRECT(ADDRESS(2,COLUMN())),OFFSET($BN$2,0,0,ROW()-1,60),ROW()-1,FALSE))</f>
        <v>7554.5274820000004</v>
      </c>
      <c r="AA462">
        <f ca="1">IF(AND(ISNUMBER($AA$959),$B$511=1),$AA$959,HLOOKUP(INDIRECT(ADDRESS(2,COLUMN())),OFFSET($BN$2,0,0,ROW()-1,60),ROW()-1,FALSE))</f>
        <v>7243.3679709999997</v>
      </c>
      <c r="AB462">
        <f ca="1">IF(AND(ISNUMBER($AB$959),$B$511=1),$AB$959,HLOOKUP(INDIRECT(ADDRESS(2,COLUMN())),OFFSET($BN$2,0,0,ROW()-1,60),ROW()-1,FALSE))</f>
        <v>8263.2482959999998</v>
      </c>
      <c r="AC462">
        <f ca="1">IF(AND(ISNUMBER($AC$959),$B$511=1),$AC$959,HLOOKUP(INDIRECT(ADDRESS(2,COLUMN())),OFFSET($BN$2,0,0,ROW()-1,60),ROW()-1,FALSE))</f>
        <v>8084.0748620000004</v>
      </c>
      <c r="AD462">
        <f ca="1">IF(AND(ISNUMBER($AD$959),$B$511=1),$AD$959,HLOOKUP(INDIRECT(ADDRESS(2,COLUMN())),OFFSET($BN$2,0,0,ROW()-1,60),ROW()-1,FALSE))</f>
        <v>8848.9075389999998</v>
      </c>
      <c r="AE462">
        <f ca="1">IF(AND(ISNUMBER($AE$959),$B$511=1),$AE$959,HLOOKUP(INDIRECT(ADDRESS(2,COLUMN())),OFFSET($BN$2,0,0,ROW()-1,60),ROW()-1,FALSE))</f>
        <v>8489.8632519999992</v>
      </c>
      <c r="AF462">
        <f ca="1">IF(AND(ISNUMBER($AF$959),$B$511=1),$AF$959,HLOOKUP(INDIRECT(ADDRESS(2,COLUMN())),OFFSET($BN$2,0,0,ROW()-1,60),ROW()-1,FALSE))</f>
        <v>7136.9882900000002</v>
      </c>
      <c r="AG462">
        <f ca="1">IF(AND(ISNUMBER($AG$959),$B$511=1),$AG$959,HLOOKUP(INDIRECT(ADDRESS(2,COLUMN())),OFFSET($BN$2,0,0,ROW()-1,60),ROW()-1,FALSE))</f>
        <v>7423.8042779999996</v>
      </c>
      <c r="AH462">
        <f ca="1">IF(AND(ISNUMBER($AH$959),$B$511=1),$AH$959,HLOOKUP(INDIRECT(ADDRESS(2,COLUMN())),OFFSET($BN$2,0,0,ROW()-1,60),ROW()-1,FALSE))</f>
        <v>7836.3602389999996</v>
      </c>
      <c r="AI462">
        <f ca="1">IF(AND(ISNUMBER($AI$959),$B$511=1),$AI$959,HLOOKUP(INDIRECT(ADDRESS(2,COLUMN())),OFFSET($BN$2,0,0,ROW()-1,60),ROW()-1,FALSE))</f>
        <v>7622.6390769999998</v>
      </c>
      <c r="AJ462">
        <f ca="1">IF(AND(ISNUMBER($AJ$959),$B$511=1),$AJ$959,HLOOKUP(INDIRECT(ADDRESS(2,COLUMN())),OFFSET($BN$2,0,0,ROW()-1,60),ROW()-1,FALSE))</f>
        <v>7801.6111879999999</v>
      </c>
      <c r="AK462">
        <f ca="1">IF(AND(ISNUMBER($AK$959),$B$511=1),$AK$959,HLOOKUP(INDIRECT(ADDRESS(2,COLUMN())),OFFSET($BN$2,0,0,ROW()-1,60),ROW()-1,FALSE))</f>
        <v>7231.8241399999997</v>
      </c>
      <c r="AL462">
        <f ca="1">IF(AND(ISNUMBER($AL$959),$B$511=1),$AL$959,HLOOKUP(INDIRECT(ADDRESS(2,COLUMN())),OFFSET($BN$2,0,0,ROW()-1,60),ROW()-1,FALSE))</f>
        <v>6249.8256529999999</v>
      </c>
      <c r="AM462">
        <f ca="1">IF(AND(ISNUMBER($AM$959),$B$511=1),$AM$959,HLOOKUP(INDIRECT(ADDRESS(2,COLUMN())),OFFSET($BN$2,0,0,ROW()-1,60),ROW()-1,FALSE))</f>
        <v>6510.8299530000004</v>
      </c>
      <c r="AN462">
        <f ca="1">IF(AND(ISNUMBER($AN$959),$B$511=1),$AN$959,HLOOKUP(INDIRECT(ADDRESS(2,COLUMN())),OFFSET($BN$2,0,0,ROW()-1,60),ROW()-1,FALSE))</f>
        <v>5716.4674720000003</v>
      </c>
      <c r="AO462">
        <f ca="1">IF(AND(ISNUMBER($AO$959),$B$511=1),$AO$959,HLOOKUP(INDIRECT(ADDRESS(2,COLUMN())),OFFSET($BN$2,0,0,ROW()-1,60),ROW()-1,FALSE))</f>
        <v>4002.168416</v>
      </c>
      <c r="AP462">
        <f ca="1">IF(AND(ISNUMBER($AP$959),$B$511=1),$AP$959,HLOOKUP(INDIRECT(ADDRESS(2,COLUMN())),OFFSET($BN$2,0,0,ROW()-1,60),ROW()-1,FALSE))</f>
        <v>4081.9865829999999</v>
      </c>
      <c r="AQ462">
        <f ca="1">IF(AND(ISNUMBER($AQ$959),$B$511=1),$AQ$959,HLOOKUP(INDIRECT(ADDRESS(2,COLUMN())),OFFSET($BN$2,0,0,ROW()-1,60),ROW()-1,FALSE))</f>
        <v>4276.7781109999996</v>
      </c>
      <c r="AR462">
        <f ca="1">IF(AND(ISNUMBER($AR$959),$B$511=1),$AR$959,HLOOKUP(INDIRECT(ADDRESS(2,COLUMN())),OFFSET($BN$2,0,0,ROW()-1,60),ROW()-1,FALSE))</f>
        <v>4367.4373109999997</v>
      </c>
      <c r="AS462">
        <f ca="1">IF(AND(ISNUMBER($AS$959),$B$511=1),$AS$959,HLOOKUP(INDIRECT(ADDRESS(2,COLUMN())),OFFSET($BN$2,0,0,ROW()-1,60),ROW()-1,FALSE))</f>
        <v>3982.1059100000002</v>
      </c>
      <c r="AT462">
        <f ca="1">IF(AND(ISNUMBER($AT$959),$B$511=1),$AT$959,HLOOKUP(INDIRECT(ADDRESS(2,COLUMN())),OFFSET($BN$2,0,0,ROW()-1,60),ROW()-1,FALSE))</f>
        <v>3306.0651849999999</v>
      </c>
      <c r="AU462">
        <f ca="1">IF(AND(ISNUMBER($AU$959),$B$511=1),$AU$959,HLOOKUP(INDIRECT(ADDRESS(2,COLUMN())),OFFSET($BN$2,0,0,ROW()-1,60),ROW()-1,FALSE))</f>
        <v>3702.39453</v>
      </c>
      <c r="AV462">
        <f ca="1">IF(AND(ISNUMBER($AV$959),$B$511=1),$AV$959,HLOOKUP(INDIRECT(ADDRESS(2,COLUMN())),OFFSET($BN$2,0,0,ROW()-1,60),ROW()-1,FALSE))</f>
        <v>4585.3677729999999</v>
      </c>
      <c r="AW462">
        <f ca="1">IF(AND(ISNUMBER($AW$959),$B$511=1),$AW$959,HLOOKUP(INDIRECT(ADDRESS(2,COLUMN())),OFFSET($BN$2,0,0,ROW()-1,60),ROW()-1,FALSE))</f>
        <v>4891.0589579999996</v>
      </c>
      <c r="AX462">
        <f ca="1">IF(AND(ISNUMBER($AX$959),$B$511=1),$AX$959,HLOOKUP(INDIRECT(ADDRESS(2,COLUMN())),OFFSET($BN$2,0,0,ROW()-1,60),ROW()-1,FALSE))</f>
        <v>5119.8299020000004</v>
      </c>
      <c r="AY462">
        <f ca="1">IF(AND(ISNUMBER($AY$959),$B$511=1),$AY$959,HLOOKUP(INDIRECT(ADDRESS(2,COLUMN())),OFFSET($BN$2,0,0,ROW()-1,60),ROW()-1,FALSE))</f>
        <v>3979.6654090000002</v>
      </c>
      <c r="AZ462">
        <f ca="1">IF(AND(ISNUMBER($AZ$959),$B$511=1),$AZ$959,HLOOKUP(INDIRECT(ADDRESS(2,COLUMN())),OFFSET($BN$2,0,0,ROW()-1,60),ROW()-1,FALSE))</f>
        <v>4438.6561160000001</v>
      </c>
      <c r="BA462">
        <f ca="1">IF(AND(ISNUMBER($BA$959),$B$511=1),$BA$959,HLOOKUP(INDIRECT(ADDRESS(2,COLUMN())),OFFSET($BN$2,0,0,ROW()-1,60),ROW()-1,FALSE))</f>
        <v>3915.6983129999999</v>
      </c>
      <c r="BB462">
        <f ca="1">IF(AND(ISNUMBER($BB$959),$B$511=1),$BB$959,HLOOKUP(INDIRECT(ADDRESS(2,COLUMN())),OFFSET($BN$2,0,0,ROW()-1,60),ROW()-1,FALSE))</f>
        <v>4075.4485079999999</v>
      </c>
      <c r="BC462">
        <f ca="1">IF(AND(ISNUMBER($BC$959),$B$511=1),$BC$959,HLOOKUP(INDIRECT(ADDRESS(2,COLUMN())),OFFSET($BN$2,0,0,ROW()-1,60),ROW()-1,FALSE))</f>
        <v>4307.8158039999998</v>
      </c>
      <c r="BD462">
        <f ca="1">IF(AND(ISNUMBER($BD$959),$B$511=1),$BD$959,HLOOKUP(INDIRECT(ADDRESS(2,COLUMN())),OFFSET($BN$2,0,0,ROW()-1,60),ROW()-1,FALSE))</f>
        <v>3912.2178250000002</v>
      </c>
      <c r="BE462">
        <f ca="1">IF(AND(ISNUMBER($BE$959),$B$511=1),$BE$959,HLOOKUP(INDIRECT(ADDRESS(2,COLUMN())),OFFSET($BN$2,0,0,ROW()-1,60),ROW()-1,FALSE))</f>
        <v>3798.4729590000002</v>
      </c>
      <c r="BF462">
        <f ca="1">IF(AND(ISNUMBER($BF$959),$B$511=1),$BF$959,HLOOKUP(INDIRECT(ADDRESS(2,COLUMN())),OFFSET($BN$2,0,0,ROW()-1,60),ROW()-1,FALSE))</f>
        <v>4398.4579819999999</v>
      </c>
      <c r="BG462">
        <f ca="1">IF(AND(ISNUMBER($BG$959),$B$511=1),$BG$959,HLOOKUP(INDIRECT(ADDRESS(2,COLUMN())),OFFSET($BN$2,0,0,ROW()-1,60),ROW()-1,FALSE))</f>
        <v>4616.2736880000002</v>
      </c>
      <c r="BH462">
        <f ca="1">IF(AND(ISNUMBER($BH$959),$B$511=1),$BH$959,HLOOKUP(INDIRECT(ADDRESS(2,COLUMN())),OFFSET($BN$2,0,0,ROW()-1,60),ROW()-1,FALSE))</f>
        <v>4325.3912799999998</v>
      </c>
      <c r="BI462">
        <f ca="1">IF(AND(ISNUMBER($BI$959),$B$511=1),$BI$959,HLOOKUP(INDIRECT(ADDRESS(2,COLUMN())),OFFSET($BN$2,0,0,ROW()-1,60),ROW()-1,FALSE))</f>
        <v>3677.1157619999999</v>
      </c>
      <c r="BJ462">
        <f ca="1">IF(AND(ISNUMBER($BJ$959),$B$511=1),$BJ$959,HLOOKUP(INDIRECT(ADDRESS(2,COLUMN())),OFFSET($BN$2,0,0,ROW()-1,60),ROW()-1,FALSE))</f>
        <v>3311.000012</v>
      </c>
      <c r="BK462">
        <f ca="1">IF(AND(ISNUMBER($BK$959),$B$511=1),$BK$959,HLOOKUP(INDIRECT(ADDRESS(2,COLUMN())),OFFSET($BN$2,0,0,ROW()-1,60),ROW()-1,FALSE))</f>
        <v>3386.3122699999999</v>
      </c>
      <c r="BL462">
        <f ca="1">IF(AND(ISNUMBER($BL$959),$B$511=1),$BL$959,HLOOKUP(INDIRECT(ADDRESS(2,COLUMN())),OFFSET($BN$2,0,0,ROW()-1,60),ROW()-1,FALSE))</f>
        <v>3426.9305330000002</v>
      </c>
      <c r="BM462">
        <f ca="1">IF(AND(ISNUMBER($BM$959),$B$511=1),$BM$959,HLOOKUP(INDIRECT(ADDRESS(2,COLUMN())),OFFSET($BN$2,0,0,ROW()-1,60),ROW()-1,FALSE))</f>
        <v>3081.2840430000001</v>
      </c>
      <c r="BN462" t="str">
        <f>""</f>
        <v/>
      </c>
      <c r="BO462" t="str">
        <f>""</f>
        <v/>
      </c>
      <c r="BP462" t="str">
        <f>""</f>
        <v/>
      </c>
      <c r="BQ462" t="str">
        <f>""</f>
        <v/>
      </c>
      <c r="BR462" t="str">
        <f>""</f>
        <v/>
      </c>
      <c r="BS462" t="str">
        <f>""</f>
        <v/>
      </c>
      <c r="BT462" t="str">
        <f>""</f>
        <v/>
      </c>
      <c r="BU462" t="str">
        <f>""</f>
        <v/>
      </c>
      <c r="BV462" t="str">
        <f>""</f>
        <v/>
      </c>
      <c r="BW462" t="str">
        <f>""</f>
        <v/>
      </c>
      <c r="BX462">
        <f>6077.300567</f>
        <v>6077.3005670000002</v>
      </c>
      <c r="BY462">
        <f>5476.147591</f>
        <v>5476.1475909999999</v>
      </c>
      <c r="BZ462">
        <f>6021.484508</f>
        <v>6021.4845079999996</v>
      </c>
      <c r="CA462">
        <f>5811.365307</f>
        <v>5811.365307</v>
      </c>
      <c r="CB462">
        <f>4929.028172</f>
        <v>4929.0281720000003</v>
      </c>
      <c r="CC462">
        <f>6096.260327</f>
        <v>6096.260327</v>
      </c>
      <c r="CD462">
        <f>6544.826944</f>
        <v>6544.8269440000004</v>
      </c>
      <c r="CE462">
        <f>5645.631562</f>
        <v>5645.6315619999996</v>
      </c>
      <c r="CF462">
        <f>6781.151425</f>
        <v>6781.151425</v>
      </c>
      <c r="CG462">
        <f>7594.51518</f>
        <v>7594.5151800000003</v>
      </c>
      <c r="CH462">
        <f>7554.527482</f>
        <v>7554.5274820000004</v>
      </c>
      <c r="CI462">
        <f>7243.367971</f>
        <v>7243.3679709999997</v>
      </c>
      <c r="CJ462">
        <f>8263.248296</f>
        <v>8263.2482959999998</v>
      </c>
      <c r="CK462">
        <f>8084.074862</f>
        <v>8084.0748620000004</v>
      </c>
      <c r="CL462">
        <f>8848.907539</f>
        <v>8848.9075389999998</v>
      </c>
      <c r="CM462">
        <f>8489.863252</f>
        <v>8489.8632519999992</v>
      </c>
      <c r="CN462">
        <f>7136.98829</f>
        <v>7136.9882900000002</v>
      </c>
      <c r="CO462">
        <f>7423.804278</f>
        <v>7423.8042779999996</v>
      </c>
      <c r="CP462">
        <f>7836.360239</f>
        <v>7836.3602389999996</v>
      </c>
      <c r="CQ462">
        <f>7622.639077</f>
        <v>7622.6390769999998</v>
      </c>
      <c r="CR462">
        <f>7801.611188</f>
        <v>7801.6111879999999</v>
      </c>
      <c r="CS462">
        <f>7231.82414</f>
        <v>7231.8241399999997</v>
      </c>
      <c r="CT462">
        <f>6249.825653</f>
        <v>6249.8256529999999</v>
      </c>
      <c r="CU462">
        <f>6510.829953</f>
        <v>6510.8299530000004</v>
      </c>
      <c r="CV462">
        <f>5716.467472</f>
        <v>5716.4674720000003</v>
      </c>
      <c r="CW462">
        <f>4002.168416</f>
        <v>4002.168416</v>
      </c>
      <c r="CX462">
        <f>4081.986583</f>
        <v>4081.9865829999999</v>
      </c>
      <c r="CY462">
        <f>4276.778111</f>
        <v>4276.7781109999996</v>
      </c>
      <c r="CZ462">
        <f>4367.437311</f>
        <v>4367.4373109999997</v>
      </c>
      <c r="DA462">
        <f>3982.10591</f>
        <v>3982.1059100000002</v>
      </c>
      <c r="DB462">
        <f>3306.065185</f>
        <v>3306.0651849999999</v>
      </c>
      <c r="DC462">
        <f>3702.39453</f>
        <v>3702.39453</v>
      </c>
      <c r="DD462">
        <f>4585.367773</f>
        <v>4585.3677729999999</v>
      </c>
      <c r="DE462">
        <f>4891.058958</f>
        <v>4891.0589579999996</v>
      </c>
      <c r="DF462">
        <f>5119.829902</f>
        <v>5119.8299020000004</v>
      </c>
      <c r="DG462">
        <f>3979.665409</f>
        <v>3979.6654090000002</v>
      </c>
      <c r="DH462">
        <f>4438.656116</f>
        <v>4438.6561160000001</v>
      </c>
      <c r="DI462">
        <f>3915.698313</f>
        <v>3915.6983129999999</v>
      </c>
      <c r="DJ462">
        <f>4075.448508</f>
        <v>4075.4485079999999</v>
      </c>
      <c r="DK462">
        <f>4307.815804</f>
        <v>4307.8158039999998</v>
      </c>
      <c r="DL462">
        <f>3912.217825</f>
        <v>3912.2178250000002</v>
      </c>
      <c r="DM462">
        <f>3798.472959</f>
        <v>3798.4729590000002</v>
      </c>
      <c r="DN462">
        <f>4398.457982</f>
        <v>4398.4579819999999</v>
      </c>
      <c r="DO462">
        <f>4616.273688</f>
        <v>4616.2736880000002</v>
      </c>
      <c r="DP462">
        <f>4325.39128</f>
        <v>4325.3912799999998</v>
      </c>
      <c r="DQ462">
        <f>3677.115762</f>
        <v>3677.1157619999999</v>
      </c>
      <c r="DR462">
        <f>3311.000012</f>
        <v>3311.000012</v>
      </c>
      <c r="DS462">
        <f>3386.31227</f>
        <v>3386.3122699999999</v>
      </c>
      <c r="DT462">
        <f>3426.930533</f>
        <v>3426.9305330000002</v>
      </c>
      <c r="DU462">
        <f>3081.284043</f>
        <v>3081.2840430000001</v>
      </c>
    </row>
    <row r="463" spans="1:125" x14ac:dyDescent="0.25">
      <c r="A463" t="str">
        <f>"    Daimler AG"</f>
        <v xml:space="preserve">    Daimler AG</v>
      </c>
      <c r="B463" t="str">
        <f>"DAI GR Equity"</f>
        <v>DAI GR Equity</v>
      </c>
      <c r="C463" t="str">
        <f t="shared" si="33"/>
        <v>RR902</v>
      </c>
      <c r="D463" t="str">
        <f t="shared" si="34"/>
        <v>CUR_MKT_CAP</v>
      </c>
      <c r="E463" t="str">
        <f t="shared" si="35"/>
        <v>Dynamic</v>
      </c>
      <c r="F463">
        <f ca="1">IF(AND(ISNUMBER($F$960),$B$511=1),$F$960,HLOOKUP(INDIRECT(ADDRESS(2,COLUMN())),OFFSET($BN$2,0,0,ROW()-1,60),ROW()-1,FALSE))</f>
        <v>63398.736140000001</v>
      </c>
      <c r="G463">
        <f ca="1">IF(AND(ISNUMBER($G$960),$B$511=1),$G$960,HLOOKUP(INDIRECT(ADDRESS(2,COLUMN())),OFFSET($BN$2,0,0,ROW()-1,60),ROW()-1,FALSE))</f>
        <v>56193.88697</v>
      </c>
      <c r="H463">
        <f ca="1">IF(AND(ISNUMBER($H$960),$B$511=1),$H$960,HLOOKUP(INDIRECT(ADDRESS(2,COLUMN())),OFFSET($BN$2,0,0,ROW()-1,60),ROW()-1,FALSE))</f>
        <v>67592.501080000002</v>
      </c>
      <c r="I463">
        <f ca="1">IF(AND(ISNUMBER($I$960),$B$511=1),$I$960,HLOOKUP(INDIRECT(ADDRESS(2,COLUMN())),OFFSET($BN$2,0,0,ROW()-1,60),ROW()-1,FALSE))</f>
        <v>68871.107669999998</v>
      </c>
      <c r="J463">
        <f ca="1">IF(AND(ISNUMBER($J$960),$B$511=1),$J$960,HLOOKUP(INDIRECT(ADDRESS(2,COLUMN())),OFFSET($BN$2,0,0,ROW()-1,60),ROW()-1,FALSE))</f>
        <v>90862.160940000002</v>
      </c>
      <c r="K463">
        <f ca="1">IF(AND(ISNUMBER($K$960),$B$511=1),$K$960,HLOOKUP(INDIRECT(ADDRESS(2,COLUMN())),OFFSET($BN$2,0,0,ROW()-1,60),ROW()-1,FALSE))</f>
        <v>91060.02738</v>
      </c>
      <c r="L463">
        <f ca="1">IF(AND(ISNUMBER($L$960),$B$511=1),$L$960,HLOOKUP(INDIRECT(ADDRESS(2,COLUMN())),OFFSET($BN$2,0,0,ROW()-1,60),ROW()-1,FALSE))</f>
        <v>85032.176649999994</v>
      </c>
      <c r="M463">
        <f ca="1">IF(AND(ISNUMBER($M$960),$B$511=1),$M$960,HLOOKUP(INDIRECT(ADDRESS(2,COLUMN())),OFFSET($BN$2,0,0,ROW()-1,60),ROW()-1,FALSE))</f>
        <v>77533.844630000007</v>
      </c>
      <c r="N463">
        <f ca="1">IF(AND(ISNUMBER($N$960),$B$511=1),$N$960,HLOOKUP(INDIRECT(ADDRESS(2,COLUMN())),OFFSET($BN$2,0,0,ROW()-1,60),ROW()-1,FALSE))</f>
        <v>79066.946240000005</v>
      </c>
      <c r="O463">
        <f ca="1">IF(AND(ISNUMBER($O$960),$B$511=1),$O$960,HLOOKUP(INDIRECT(ADDRESS(2,COLUMN())),OFFSET($BN$2,0,0,ROW()-1,60),ROW()-1,FALSE))</f>
        <v>79797.442980000007</v>
      </c>
      <c r="P463">
        <f ca="1">IF(AND(ISNUMBER($P$960),$B$511=1),$P$960,HLOOKUP(INDIRECT(ADDRESS(2,COLUMN())),OFFSET($BN$2,0,0,ROW()-1,60),ROW()-1,FALSE))</f>
        <v>75268.033859999996</v>
      </c>
      <c r="Q463">
        <f ca="1">IF(AND(ISNUMBER($Q$960),$B$511=1),$Q$960,HLOOKUP(INDIRECT(ADDRESS(2,COLUMN())),OFFSET($BN$2,0,0,ROW()-1,60),ROW()-1,FALSE))</f>
        <v>63968.88697</v>
      </c>
      <c r="R463">
        <f ca="1">IF(AND(ISNUMBER($R$960),$B$511=1),$R$960,HLOOKUP(INDIRECT(ADDRESS(2,COLUMN())),OFFSET($BN$2,0,0,ROW()-1,60),ROW()-1,FALSE))</f>
        <v>82152.689169999998</v>
      </c>
      <c r="S463">
        <f ca="1">IF(AND(ISNUMBER($S$960),$B$511=1),$S$960,HLOOKUP(INDIRECT(ADDRESS(2,COLUMN())),OFFSET($BN$2,0,0,ROW()-1,60),ROW()-1,FALSE))</f>
        <v>90559.102169999998</v>
      </c>
      <c r="T463">
        <f ca="1">IF(AND(ISNUMBER($T$960),$B$511=1),$T$960,HLOOKUP(INDIRECT(ADDRESS(2,COLUMN())),OFFSET($BN$2,0,0,ROW()-1,60),ROW()-1,FALSE))</f>
        <v>77766.169670000003</v>
      </c>
      <c r="U463">
        <f ca="1">IF(AND(ISNUMBER($U$960),$B$511=1),$U$960,HLOOKUP(INDIRECT(ADDRESS(2,COLUMN())),OFFSET($BN$2,0,0,ROW()-1,60),ROW()-1,FALSE))</f>
        <v>98008.598249999995</v>
      </c>
      <c r="V463">
        <f ca="1">IF(AND(ISNUMBER($V$960),$B$511=1),$V$960,HLOOKUP(INDIRECT(ADDRESS(2,COLUMN())),OFFSET($BN$2,0,0,ROW()-1,60),ROW()-1,FALSE))</f>
        <v>103057.3625</v>
      </c>
      <c r="W463">
        <f ca="1">IF(AND(ISNUMBER($W$960),$B$511=1),$W$960,HLOOKUP(INDIRECT(ADDRESS(2,COLUMN())),OFFSET($BN$2,0,0,ROW()-1,60),ROW()-1,FALSE))</f>
        <v>89702.473729999998</v>
      </c>
      <c r="X463">
        <f ca="1">IF(AND(ISNUMBER($X$960),$B$511=1),$X$960,HLOOKUP(INDIRECT(ADDRESS(2,COLUMN())),OFFSET($BN$2,0,0,ROW()-1,60),ROW()-1,FALSE))</f>
        <v>81768.430110000001</v>
      </c>
      <c r="Y463">
        <f ca="1">IF(AND(ISNUMBER($Y$960),$B$511=1),$Y$960,HLOOKUP(INDIRECT(ADDRESS(2,COLUMN())),OFFSET($BN$2,0,0,ROW()-1,60),ROW()-1,FALSE))</f>
        <v>100061.97779999999</v>
      </c>
      <c r="Z463">
        <f ca="1">IF(AND(ISNUMBER($Z$960),$B$511=1),$Z$960,HLOOKUP(INDIRECT(ADDRESS(2,COLUMN())),OFFSET($BN$2,0,0,ROW()-1,60),ROW()-1,FALSE))</f>
        <v>101377.1632</v>
      </c>
      <c r="AA463">
        <f ca="1">IF(AND(ISNUMBER($AA$960),$B$511=1),$AA$960,HLOOKUP(INDIRECT(ADDRESS(2,COLUMN())),OFFSET($BN$2,0,0,ROW()-1,60),ROW()-1,FALSE))</f>
        <v>92829.186719999998</v>
      </c>
      <c r="AB463">
        <f ca="1">IF(AND(ISNUMBER($AB$960),$B$511=1),$AB$960,HLOOKUP(INDIRECT(ADDRESS(2,COLUMN())),OFFSET($BN$2,0,0,ROW()-1,60),ROW()-1,FALSE))</f>
        <v>83480.539439999993</v>
      </c>
      <c r="AC463">
        <f ca="1">IF(AND(ISNUMBER($AC$960),$B$511=1),$AC$960,HLOOKUP(INDIRECT(ADDRESS(2,COLUMN())),OFFSET($BN$2,0,0,ROW()-1,60),ROW()-1,FALSE))</f>
        <v>64438.582199999997</v>
      </c>
      <c r="AD463">
        <f ca="1">IF(AND(ISNUMBER($AD$960),$B$511=1),$AD$960,HLOOKUP(INDIRECT(ADDRESS(2,COLUMN())),OFFSET($BN$2,0,0,ROW()-1,60),ROW()-1,FALSE))</f>
        <v>58464.775560000002</v>
      </c>
      <c r="AE463">
        <f ca="1">IF(AND(ISNUMBER($AE$960),$B$511=1),$AE$960,HLOOKUP(INDIRECT(ADDRESS(2,COLUMN())),OFFSET($BN$2,0,0,ROW()-1,60),ROW()-1,FALSE))</f>
        <v>58316.203580000001</v>
      </c>
      <c r="AF463">
        <f ca="1">IF(AND(ISNUMBER($AF$960),$B$511=1),$AF$960,HLOOKUP(INDIRECT(ADDRESS(2,COLUMN())),OFFSET($BN$2,0,0,ROW()-1,60),ROW()-1,FALSE))</f>
        <v>51997.17871</v>
      </c>
      <c r="AG463">
        <f ca="1">IF(AND(ISNUMBER($AG$960),$B$511=1),$AG$960,HLOOKUP(INDIRECT(ADDRESS(2,COLUMN())),OFFSET($BN$2,0,0,ROW()-1,60),ROW()-1,FALSE))</f>
        <v>47687.516340000002</v>
      </c>
      <c r="AH463">
        <f ca="1">IF(AND(ISNUMBER($AH$960),$B$511=1),$AH$960,HLOOKUP(INDIRECT(ADDRESS(2,COLUMN())),OFFSET($BN$2,0,0,ROW()-1,60),ROW()-1,FALSE))</f>
        <v>64614.087549999997</v>
      </c>
      <c r="AI463">
        <f ca="1">IF(AND(ISNUMBER($AI$960),$B$511=1),$AI$960,HLOOKUP(INDIRECT(ADDRESS(2,COLUMN())),OFFSET($BN$2,0,0,ROW()-1,60),ROW()-1,FALSE))</f>
        <v>46876.393909999999</v>
      </c>
      <c r="AJ463">
        <f ca="1">IF(AND(ISNUMBER($AJ$960),$B$511=1),$AJ$960,HLOOKUP(INDIRECT(ADDRESS(2,COLUMN())),OFFSET($BN$2,0,0,ROW()-1,60),ROW()-1,FALSE))</f>
        <v>48055.522499999999</v>
      </c>
      <c r="AK463">
        <f ca="1">IF(AND(ISNUMBER($AK$960),$B$511=1),$AK$960,HLOOKUP(INDIRECT(ADDRESS(2,COLUMN())),OFFSET($BN$2,0,0,ROW()-1,60),ROW()-1,FALSE))</f>
        <v>80034.195330000002</v>
      </c>
      <c r="AL463">
        <f ca="1">IF(AND(ISNUMBER($AL$960),$B$511=1),$AL$960,HLOOKUP(INDIRECT(ADDRESS(2,COLUMN())),OFFSET($BN$2,0,0,ROW()-1,60),ROW()-1,FALSE))</f>
        <v>75607.74798</v>
      </c>
      <c r="AM463">
        <f ca="1">IF(AND(ISNUMBER($AM$960),$B$511=1),$AM$960,HLOOKUP(INDIRECT(ADDRESS(2,COLUMN())),OFFSET($BN$2,0,0,ROW()-1,60),ROW()-1,FALSE))</f>
        <v>71576.979170000006</v>
      </c>
      <c r="AN463">
        <f ca="1">IF(AND(ISNUMBER($AN$960),$B$511=1),$AN$960,HLOOKUP(INDIRECT(ADDRESS(2,COLUMN())),OFFSET($BN$2,0,0,ROW()-1,60),ROW()-1,FALSE))</f>
        <v>67164.330130000002</v>
      </c>
      <c r="AO463">
        <f ca="1">IF(AND(ISNUMBER($AO$960),$B$511=1),$AO$960,HLOOKUP(INDIRECT(ADDRESS(2,COLUMN())),OFFSET($BN$2,0,0,ROW()-1,60),ROW()-1,FALSE))</f>
        <v>54567.69586</v>
      </c>
      <c r="AP463">
        <f ca="1">IF(AND(ISNUMBER($AP$960),$B$511=1),$AP$960,HLOOKUP(INDIRECT(ADDRESS(2,COLUMN())),OFFSET($BN$2,0,0,ROW()-1,60),ROW()-1,FALSE))</f>
        <v>50163.062619999997</v>
      </c>
      <c r="AQ463">
        <f ca="1">IF(AND(ISNUMBER($AQ$960),$B$511=1),$AQ$960,HLOOKUP(INDIRECT(ADDRESS(2,COLUMN())),OFFSET($BN$2,0,0,ROW()-1,60),ROW()-1,FALSE))</f>
        <v>56649.076710000001</v>
      </c>
      <c r="AR463">
        <f ca="1">IF(AND(ISNUMBER($AR$960),$B$511=1),$AR$960,HLOOKUP(INDIRECT(ADDRESS(2,COLUMN())),OFFSET($BN$2,0,0,ROW()-1,60),ROW()-1,FALSE))</f>
        <v>53784.652750000001</v>
      </c>
      <c r="AS463">
        <f ca="1">IF(AND(ISNUMBER($AS$960),$B$511=1),$AS$960,HLOOKUP(INDIRECT(ADDRESS(2,COLUMN())),OFFSET($BN$2,0,0,ROW()-1,60),ROW()-1,FALSE))</f>
        <v>38339.684229999999</v>
      </c>
      <c r="AT463">
        <f ca="1">IF(AND(ISNUMBER($AT$960),$B$511=1),$AT$960,HLOOKUP(INDIRECT(ADDRESS(2,COLUMN())),OFFSET($BN$2,0,0,ROW()-1,60),ROW()-1,FALSE))</f>
        <v>27242.928779999998</v>
      </c>
      <c r="AU463">
        <f ca="1">IF(AND(ISNUMBER($AU$960),$B$511=1),$AU$960,HLOOKUP(INDIRECT(ADDRESS(2,COLUMN())),OFFSET($BN$2,0,0,ROW()-1,60),ROW()-1,FALSE))</f>
        <v>36348.746579999999</v>
      </c>
      <c r="AV463">
        <f ca="1">IF(AND(ISNUMBER($AV$960),$B$511=1),$AV$960,HLOOKUP(INDIRECT(ADDRESS(2,COLUMN())),OFFSET($BN$2,0,0,ROW()-1,60),ROW()-1,FALSE))</f>
        <v>48876.789089999998</v>
      </c>
      <c r="AW463">
        <f ca="1">IF(AND(ISNUMBER($AW$960),$B$511=1),$AW$960,HLOOKUP(INDIRECT(ADDRESS(2,COLUMN())),OFFSET($BN$2,0,0,ROW()-1,60),ROW()-1,FALSE))</f>
        <v>59495.155169999998</v>
      </c>
      <c r="AX463">
        <f ca="1">IF(AND(ISNUMBER($AX$960),$B$511=1),$AX$960,HLOOKUP(INDIRECT(ADDRESS(2,COLUMN())),OFFSET($BN$2,0,0,ROW()-1,60),ROW()-1,FALSE))</f>
        <v>87019.063930000004</v>
      </c>
      <c r="AY463">
        <f ca="1">IF(AND(ISNUMBER($AY$960),$B$511=1),$AY$960,HLOOKUP(INDIRECT(ADDRESS(2,COLUMN())),OFFSET($BN$2,0,0,ROW()-1,60),ROW()-1,FALSE))</f>
        <v>102250.3976</v>
      </c>
      <c r="AZ463">
        <f ca="1">IF(AND(ISNUMBER($AZ$960),$B$511=1),$AZ$960,HLOOKUP(INDIRECT(ADDRESS(2,COLUMN())),OFFSET($BN$2,0,0,ROW()-1,60),ROW()-1,FALSE))</f>
        <v>106269.4757</v>
      </c>
      <c r="BA463">
        <f ca="1">IF(AND(ISNUMBER($BA$960),$B$511=1),$BA$960,HLOOKUP(INDIRECT(ADDRESS(2,COLUMN())),OFFSET($BN$2,0,0,ROW()-1,60),ROW()-1,FALSE))</f>
        <v>95068.738200000007</v>
      </c>
      <c r="BB463">
        <f ca="1">IF(AND(ISNUMBER($BB$960),$B$511=1),$BB$960,HLOOKUP(INDIRECT(ADDRESS(2,COLUMN())),OFFSET($BN$2,0,0,ROW()-1,60),ROW()-1,FALSE))</f>
        <v>84850.043909999993</v>
      </c>
      <c r="BC463">
        <f ca="1">IF(AND(ISNUMBER($BC$960),$B$511=1),$BC$960,HLOOKUP(INDIRECT(ADDRESS(2,COLUMN())),OFFSET($BN$2,0,0,ROW()-1,60),ROW()-1,FALSE))</f>
        <v>63420.228219999997</v>
      </c>
      <c r="BD463">
        <f ca="1">IF(AND(ISNUMBER($BD$960),$B$511=1),$BD$960,HLOOKUP(INDIRECT(ADDRESS(2,COLUMN())),OFFSET($BN$2,0,0,ROW()-1,60),ROW()-1,FALSE))</f>
        <v>51253.083489999997</v>
      </c>
      <c r="BE463">
        <f ca="1">IF(AND(ISNUMBER($BE$960),$B$511=1),$BE$960,HLOOKUP(INDIRECT(ADDRESS(2,COLUMN())),OFFSET($BN$2,0,0,ROW()-1,60),ROW()-1,FALSE))</f>
        <v>50225.779849999999</v>
      </c>
      <c r="BF463">
        <f ca="1">IF(AND(ISNUMBER($BF$960),$B$511=1),$BF$960,HLOOKUP(INDIRECT(ADDRESS(2,COLUMN())),OFFSET($BN$2,0,0,ROW()-1,60),ROW()-1,FALSE))</f>
        <v>58593.89976</v>
      </c>
      <c r="BG463">
        <f ca="1">IF(AND(ISNUMBER($BG$960),$B$511=1),$BG$960,HLOOKUP(INDIRECT(ADDRESS(2,COLUMN())),OFFSET($BN$2,0,0,ROW()-1,60),ROW()-1,FALSE))</f>
        <v>51950.696309999999</v>
      </c>
      <c r="BH463">
        <f ca="1">IF(AND(ISNUMBER($BH$960),$B$511=1),$BH$960,HLOOKUP(INDIRECT(ADDRESS(2,COLUMN())),OFFSET($BN$2,0,0,ROW()-1,60),ROW()-1,FALSE))</f>
        <v>53793.562709999998</v>
      </c>
      <c r="BI463">
        <f ca="1">IF(AND(ISNUMBER($BI$960),$B$511=1),$BI$960,HLOOKUP(INDIRECT(ADDRESS(2,COLUMN())),OFFSET($BN$2,0,0,ROW()-1,60),ROW()-1,FALSE))</f>
        <v>41156.952980000002</v>
      </c>
      <c r="BJ463">
        <f ca="1">IF(AND(ISNUMBER($BJ$960),$B$511=1),$BJ$960,HLOOKUP(INDIRECT(ADDRESS(2,COLUMN())),OFFSET($BN$2,0,0,ROW()-1,60),ROW()-1,FALSE))</f>
        <v>45470.951110000002</v>
      </c>
      <c r="BK463">
        <f ca="1">IF(AND(ISNUMBER($BK$960),$B$511=1),$BK$960,HLOOKUP(INDIRECT(ADDRESS(2,COLUMN())),OFFSET($BN$2,0,0,ROW()-1,60),ROW()-1,FALSE))</f>
        <v>48700.690790000001</v>
      </c>
      <c r="BL463">
        <f ca="1">IF(AND(ISNUMBER($BL$960),$B$511=1),$BL$960,HLOOKUP(INDIRECT(ADDRESS(2,COLUMN())),OFFSET($BN$2,0,0,ROW()-1,60),ROW()-1,FALSE))</f>
        <v>41714.56525</v>
      </c>
      <c r="BM463">
        <f ca="1">IF(AND(ISNUMBER($BM$960),$B$511=1),$BM$960,HLOOKUP(INDIRECT(ADDRESS(2,COLUMN())),OFFSET($BN$2,0,0,ROW()-1,60),ROW()-1,FALSE))</f>
        <v>47439.136489999997</v>
      </c>
      <c r="BN463">
        <f>63398.73614</f>
        <v>63398.736140000001</v>
      </c>
      <c r="BO463">
        <f>56193.88697</f>
        <v>56193.88697</v>
      </c>
      <c r="BP463">
        <f>67592.50108</f>
        <v>67592.501080000002</v>
      </c>
      <c r="BQ463">
        <f>68871.10767</f>
        <v>68871.107669999998</v>
      </c>
      <c r="BR463">
        <f>90862.16094</f>
        <v>90862.160940000002</v>
      </c>
      <c r="BS463">
        <f>91060.02738</f>
        <v>91060.02738</v>
      </c>
      <c r="BT463">
        <f>85032.17665</f>
        <v>85032.176649999994</v>
      </c>
      <c r="BU463">
        <f>77533.84463</f>
        <v>77533.844630000007</v>
      </c>
      <c r="BV463">
        <f>79066.94624</f>
        <v>79066.946240000005</v>
      </c>
      <c r="BW463">
        <f>79797.44298</f>
        <v>79797.442980000007</v>
      </c>
      <c r="BX463">
        <f>75268.03386</f>
        <v>75268.033859999996</v>
      </c>
      <c r="BY463">
        <f>63968.88697</f>
        <v>63968.88697</v>
      </c>
      <c r="BZ463">
        <f>82152.68917</f>
        <v>82152.689169999998</v>
      </c>
      <c r="CA463">
        <f>90559.10217</f>
        <v>90559.102169999998</v>
      </c>
      <c r="CB463">
        <f>77766.16967</f>
        <v>77766.169670000003</v>
      </c>
      <c r="CC463">
        <f>98008.59825</f>
        <v>98008.598249999995</v>
      </c>
      <c r="CD463">
        <f>103057.3625</f>
        <v>103057.3625</v>
      </c>
      <c r="CE463">
        <f>89702.47373</f>
        <v>89702.473729999998</v>
      </c>
      <c r="CF463">
        <f>81768.43011</f>
        <v>81768.430110000001</v>
      </c>
      <c r="CG463">
        <f>100061.9778</f>
        <v>100061.97779999999</v>
      </c>
      <c r="CH463">
        <f>101377.1632</f>
        <v>101377.1632</v>
      </c>
      <c r="CI463">
        <f>92829.18672</f>
        <v>92829.186719999998</v>
      </c>
      <c r="CJ463">
        <f>83480.53944</f>
        <v>83480.539439999993</v>
      </c>
      <c r="CK463">
        <f>64438.5822</f>
        <v>64438.582199999997</v>
      </c>
      <c r="CL463">
        <f>58464.77556</f>
        <v>58464.775560000002</v>
      </c>
      <c r="CM463">
        <f>58316.20358</f>
        <v>58316.203580000001</v>
      </c>
      <c r="CN463">
        <f>51997.17871</f>
        <v>51997.17871</v>
      </c>
      <c r="CO463">
        <f>47687.51634</f>
        <v>47687.516340000002</v>
      </c>
      <c r="CP463">
        <f>64614.08755</f>
        <v>64614.087549999997</v>
      </c>
      <c r="CQ463">
        <f>46876.39391</f>
        <v>46876.393909999999</v>
      </c>
      <c r="CR463">
        <f>48055.5225</f>
        <v>48055.522499999999</v>
      </c>
      <c r="CS463">
        <f>80034.19533</f>
        <v>80034.195330000002</v>
      </c>
      <c r="CT463">
        <f>75607.74798</f>
        <v>75607.74798</v>
      </c>
      <c r="CU463">
        <f>71576.97917</f>
        <v>71576.979170000006</v>
      </c>
      <c r="CV463">
        <f>67164.33013</f>
        <v>67164.330130000002</v>
      </c>
      <c r="CW463">
        <f>54567.69586</f>
        <v>54567.69586</v>
      </c>
      <c r="CX463">
        <f>50163.06262</f>
        <v>50163.062619999997</v>
      </c>
      <c r="CY463">
        <f>56649.07671</f>
        <v>56649.076710000001</v>
      </c>
      <c r="CZ463">
        <f>53784.65275</f>
        <v>53784.652750000001</v>
      </c>
      <c r="DA463">
        <f>38339.68423</f>
        <v>38339.684229999999</v>
      </c>
      <c r="DB463">
        <f>27242.92878</f>
        <v>27242.928779999998</v>
      </c>
      <c r="DC463">
        <f>36348.74658</f>
        <v>36348.746579999999</v>
      </c>
      <c r="DD463">
        <f>48876.78909</f>
        <v>48876.789089999998</v>
      </c>
      <c r="DE463">
        <f>59495.15517</f>
        <v>59495.155169999998</v>
      </c>
      <c r="DF463">
        <f>87019.06393</f>
        <v>87019.063930000004</v>
      </c>
      <c r="DG463">
        <f>102250.3976</f>
        <v>102250.3976</v>
      </c>
      <c r="DH463">
        <f>106269.4757</f>
        <v>106269.4757</v>
      </c>
      <c r="DI463">
        <f>95068.7382</f>
        <v>95068.738200000007</v>
      </c>
      <c r="DJ463">
        <f>84850.04391</f>
        <v>84850.043909999993</v>
      </c>
      <c r="DK463">
        <f>63420.22822</f>
        <v>63420.228219999997</v>
      </c>
      <c r="DL463">
        <f>51253.08349</f>
        <v>51253.083489999997</v>
      </c>
      <c r="DM463">
        <f>50225.77985</f>
        <v>50225.779849999999</v>
      </c>
      <c r="DN463">
        <f>58593.89976</f>
        <v>58593.89976</v>
      </c>
      <c r="DO463">
        <f>51950.69631</f>
        <v>51950.696309999999</v>
      </c>
      <c r="DP463">
        <f>53793.56271</f>
        <v>53793.562709999998</v>
      </c>
      <c r="DQ463">
        <f>41156.95298</f>
        <v>41156.952980000002</v>
      </c>
      <c r="DR463">
        <f>45470.95111</f>
        <v>45470.951110000002</v>
      </c>
      <c r="DS463">
        <f>48700.69079</f>
        <v>48700.690790000001</v>
      </c>
      <c r="DT463">
        <f>41714.56525</f>
        <v>41714.56525</v>
      </c>
      <c r="DU463">
        <f>47439.13649</f>
        <v>47439.136489999997</v>
      </c>
    </row>
    <row r="464" spans="1:125" x14ac:dyDescent="0.25">
      <c r="A464" t="str">
        <f>"    Dongfeng Motor Group Co Ltd"</f>
        <v xml:space="preserve">    Dongfeng Motor Group Co Ltd</v>
      </c>
      <c r="B464" t="str">
        <f>"489 HK Equity"</f>
        <v>489 HK Equity</v>
      </c>
      <c r="C464" t="str">
        <f t="shared" si="33"/>
        <v>RR902</v>
      </c>
      <c r="D464" t="str">
        <f t="shared" si="34"/>
        <v>CUR_MKT_CAP</v>
      </c>
      <c r="E464" t="str">
        <f t="shared" si="35"/>
        <v>Dynamic</v>
      </c>
      <c r="F464">
        <f ca="1">IF(AND(ISNUMBER($F$961),$B$511=1),$F$961,HLOOKUP(INDIRECT(ADDRESS(2,COLUMN())),OFFSET($BN$2,0,0,ROW()-1,60),ROW()-1,FALSE))</f>
        <v>9561.756899</v>
      </c>
      <c r="G464">
        <f ca="1">IF(AND(ISNUMBER($G$961),$B$511=1),$G$961,HLOOKUP(INDIRECT(ADDRESS(2,COLUMN())),OFFSET($BN$2,0,0,ROW()-1,60),ROW()-1,FALSE))</f>
        <v>7810.6345600000004</v>
      </c>
      <c r="H464">
        <f ca="1">IF(AND(ISNUMBER($H$961),$B$511=1),$H$961,HLOOKUP(INDIRECT(ADDRESS(2,COLUMN())),OFFSET($BN$2,0,0,ROW()-1,60),ROW()-1,FALSE))</f>
        <v>8874.3118269999995</v>
      </c>
      <c r="I464">
        <f ca="1">IF(AND(ISNUMBER($I$961),$B$511=1),$I$961,HLOOKUP(INDIRECT(ADDRESS(2,COLUMN())),OFFSET($BN$2,0,0,ROW()-1,60),ROW()-1,FALSE))</f>
        <v>9114.4497969999993</v>
      </c>
      <c r="J464">
        <f ca="1">IF(AND(ISNUMBER($J$961),$B$511=1),$J$961,HLOOKUP(INDIRECT(ADDRESS(2,COLUMN())),OFFSET($BN$2,0,0,ROW()-1,60),ROW()-1,FALSE))</f>
        <v>10001.000599999999</v>
      </c>
      <c r="K464">
        <f ca="1">IF(AND(ISNUMBER($K$961),$B$511=1),$K$961,HLOOKUP(INDIRECT(ADDRESS(2,COLUMN())),OFFSET($BN$2,0,0,ROW()-1,60),ROW()-1,FALSE))</f>
        <v>10433.354719999999</v>
      </c>
      <c r="L464">
        <f ca="1">IF(AND(ISNUMBER($L$961),$B$511=1),$L$961,HLOOKUP(INDIRECT(ADDRESS(2,COLUMN())),OFFSET($BN$2,0,0,ROW()-1,60),ROW()-1,FALSE))</f>
        <v>11382.569750000001</v>
      </c>
      <c r="M464">
        <f ca="1">IF(AND(ISNUMBER($M$961),$B$511=1),$M$961,HLOOKUP(INDIRECT(ADDRESS(2,COLUMN())),OFFSET($BN$2,0,0,ROW()-1,60),ROW()-1,FALSE))</f>
        <v>10187.12205</v>
      </c>
      <c r="N464">
        <f ca="1">IF(AND(ISNUMBER($N$961),$B$511=1),$N$961,HLOOKUP(INDIRECT(ADDRESS(2,COLUMN())),OFFSET($BN$2,0,0,ROW()-1,60),ROW()-1,FALSE))</f>
        <v>9678.7913559999997</v>
      </c>
      <c r="O464">
        <f ca="1">IF(AND(ISNUMBER($O$961),$B$511=1),$O$961,HLOOKUP(INDIRECT(ADDRESS(2,COLUMN())),OFFSET($BN$2,0,0,ROW()-1,60),ROW()-1,FALSE))</f>
        <v>8411.7705800000003</v>
      </c>
      <c r="P464">
        <f ca="1">IF(AND(ISNUMBER($P$961),$B$511=1),$P$961,HLOOKUP(INDIRECT(ADDRESS(2,COLUMN())),OFFSET($BN$2,0,0,ROW()-1,60),ROW()-1,FALSE))</f>
        <v>8609.898588</v>
      </c>
      <c r="Q464">
        <f ca="1">IF(AND(ISNUMBER($Q$961),$B$511=1),$Q$961,HLOOKUP(INDIRECT(ADDRESS(2,COLUMN())),OFFSET($BN$2,0,0,ROW()-1,60),ROW()-1,FALSE))</f>
        <v>8972.117569</v>
      </c>
      <c r="R464">
        <f ca="1">IF(AND(ISNUMBER($R$961),$B$511=1),$R$961,HLOOKUP(INDIRECT(ADDRESS(2,COLUMN())),OFFSET($BN$2,0,0,ROW()-1,60),ROW()-1,FALSE))</f>
        <v>10753.347809999999</v>
      </c>
      <c r="S464">
        <f ca="1">IF(AND(ISNUMBER($S$961),$B$511=1),$S$961,HLOOKUP(INDIRECT(ADDRESS(2,COLUMN())),OFFSET($BN$2,0,0,ROW()-1,60),ROW()-1,FALSE))</f>
        <v>11517.658160000001</v>
      </c>
      <c r="T464">
        <f ca="1">IF(AND(ISNUMBER($T$961),$B$511=1),$T$961,HLOOKUP(INDIRECT(ADDRESS(2,COLUMN())),OFFSET($BN$2,0,0,ROW()-1,60),ROW()-1,FALSE))</f>
        <v>10728.043729999999</v>
      </c>
      <c r="U464">
        <f ca="1">IF(AND(ISNUMBER($U$961),$B$511=1),$U$961,HLOOKUP(INDIRECT(ADDRESS(2,COLUMN())),OFFSET($BN$2,0,0,ROW()-1,60),ROW()-1,FALSE))</f>
        <v>11559.294029999999</v>
      </c>
      <c r="V464">
        <f ca="1">IF(AND(ISNUMBER($V$961),$B$511=1),$V$961,HLOOKUP(INDIRECT(ADDRESS(2,COLUMN())),OFFSET($BN$2,0,0,ROW()-1,60),ROW()-1,FALSE))</f>
        <v>13825.08893</v>
      </c>
      <c r="W464">
        <f ca="1">IF(AND(ISNUMBER($W$961),$B$511=1),$W$961,HLOOKUP(INDIRECT(ADDRESS(2,COLUMN())),OFFSET($BN$2,0,0,ROW()-1,60),ROW()-1,FALSE))</f>
        <v>12200.956529999999</v>
      </c>
      <c r="X464">
        <f ca="1">IF(AND(ISNUMBER($X$961),$B$511=1),$X$961,HLOOKUP(INDIRECT(ADDRESS(2,COLUMN())),OFFSET($BN$2,0,0,ROW()-1,60),ROW()-1,FALSE))</f>
        <v>14159.167820000001</v>
      </c>
      <c r="Y464">
        <f ca="1">IF(AND(ISNUMBER($Y$961),$B$511=1),$Y$961,HLOOKUP(INDIRECT(ADDRESS(2,COLUMN())),OFFSET($BN$2,0,0,ROW()-1,60),ROW()-1,FALSE))</f>
        <v>15430.39645</v>
      </c>
      <c r="Z464">
        <f ca="1">IF(AND(ISNUMBER($Z$961),$B$511=1),$Z$961,HLOOKUP(INDIRECT(ADDRESS(2,COLUMN())),OFFSET($BN$2,0,0,ROW()-1,60),ROW()-1,FALSE))</f>
        <v>12196.237779999999</v>
      </c>
      <c r="AA464">
        <f ca="1">IF(AND(ISNUMBER($AA$961),$B$511=1),$AA$961,HLOOKUP(INDIRECT(ADDRESS(2,COLUMN())),OFFSET($BN$2,0,0,ROW()-1,60),ROW()-1,FALSE))</f>
        <v>13490.12046</v>
      </c>
      <c r="AB464">
        <f ca="1">IF(AND(ISNUMBER($AB$961),$B$511=1),$AB$961,HLOOKUP(INDIRECT(ADDRESS(2,COLUMN())),OFFSET($BN$2,0,0,ROW()-1,60),ROW()-1,FALSE))</f>
        <v>13087.552100000001</v>
      </c>
      <c r="AC464">
        <f ca="1">IF(AND(ISNUMBER($AC$961),$B$511=1),$AC$961,HLOOKUP(INDIRECT(ADDRESS(2,COLUMN())),OFFSET($BN$2,0,0,ROW()-1,60),ROW()-1,FALSE))</f>
        <v>11508.74828</v>
      </c>
      <c r="AD464">
        <f ca="1">IF(AND(ISNUMBER($AD$961),$B$511=1),$AD$961,HLOOKUP(INDIRECT(ADDRESS(2,COLUMN())),OFFSET($BN$2,0,0,ROW()-1,60),ROW()-1,FALSE))</f>
        <v>12098.01843</v>
      </c>
      <c r="AE464">
        <f ca="1">IF(AND(ISNUMBER($AE$961),$B$511=1),$AE$961,HLOOKUP(INDIRECT(ADDRESS(2,COLUMN())),OFFSET($BN$2,0,0,ROW()-1,60),ROW()-1,FALSE))</f>
        <v>13295.074689999999</v>
      </c>
      <c r="AF464">
        <f ca="1">IF(AND(ISNUMBER($AF$961),$B$511=1),$AF$961,HLOOKUP(INDIRECT(ADDRESS(2,COLUMN())),OFFSET($BN$2,0,0,ROW()-1,60),ROW()-1,FALSE))</f>
        <v>10055.825210000001</v>
      </c>
      <c r="AG464">
        <f ca="1">IF(AND(ISNUMBER($AG$961),$B$511=1),$AG$961,HLOOKUP(INDIRECT(ADDRESS(2,COLUMN())),OFFSET($BN$2,0,0,ROW()-1,60),ROW()-1,FALSE))</f>
        <v>13216.78168</v>
      </c>
      <c r="AH464">
        <f ca="1">IF(AND(ISNUMBER($AH$961),$B$511=1),$AH$961,HLOOKUP(INDIRECT(ADDRESS(2,COLUMN())),OFFSET($BN$2,0,0,ROW()-1,60),ROW()-1,FALSE))</f>
        <v>15558.33202</v>
      </c>
      <c r="AI464">
        <f ca="1">IF(AND(ISNUMBER($AI$961),$B$511=1),$AI$961,HLOOKUP(INDIRECT(ADDRESS(2,COLUMN())),OFFSET($BN$2,0,0,ROW()-1,60),ROW()-1,FALSE))</f>
        <v>14776.957420000001</v>
      </c>
      <c r="AJ464">
        <f ca="1">IF(AND(ISNUMBER($AJ$961),$B$511=1),$AJ$961,HLOOKUP(INDIRECT(ADDRESS(2,COLUMN())),OFFSET($BN$2,0,0,ROW()-1,60),ROW()-1,FALSE))</f>
        <v>11863.086569999999</v>
      </c>
      <c r="AK464">
        <f ca="1">IF(AND(ISNUMBER($AK$961),$B$511=1),$AK$961,HLOOKUP(INDIRECT(ADDRESS(2,COLUMN())),OFFSET($BN$2,0,0,ROW()-1,60),ROW()-1,FALSE))</f>
        <v>16277.09548</v>
      </c>
      <c r="AL464">
        <f ca="1">IF(AND(ISNUMBER($AL$961),$B$511=1),$AL$961,HLOOKUP(INDIRECT(ADDRESS(2,COLUMN())),OFFSET($BN$2,0,0,ROW()-1,60),ROW()-1,FALSE))</f>
        <v>14669.319229999999</v>
      </c>
      <c r="AM464">
        <f ca="1">IF(AND(ISNUMBER($AM$961),$B$511=1),$AM$961,HLOOKUP(INDIRECT(ADDRESS(2,COLUMN())),OFFSET($BN$2,0,0,ROW()-1,60),ROW()-1,FALSE))</f>
        <v>14853.85024</v>
      </c>
      <c r="AN464">
        <f ca="1">IF(AND(ISNUMBER($AN$961),$B$511=1),$AN$961,HLOOKUP(INDIRECT(ADDRESS(2,COLUMN())),OFFSET($BN$2,0,0,ROW()-1,60),ROW()-1,FALSE))</f>
        <v>17632.411209999998</v>
      </c>
      <c r="AO464">
        <f ca="1">IF(AND(ISNUMBER($AO$961),$B$511=1),$AO$961,HLOOKUP(INDIRECT(ADDRESS(2,COLUMN())),OFFSET($BN$2,0,0,ROW()-1,60),ROW()-1,FALSE))</f>
        <v>10158.222159999999</v>
      </c>
      <c r="AP464">
        <f ca="1">IF(AND(ISNUMBER($AP$961),$B$511=1),$AP$961,HLOOKUP(INDIRECT(ADDRESS(2,COLUMN())),OFFSET($BN$2,0,0,ROW()-1,60),ROW()-1,FALSE))</f>
        <v>14003.996800000001</v>
      </c>
      <c r="AQ464">
        <f ca="1">IF(AND(ISNUMBER($AQ$961),$B$511=1),$AQ$961,HLOOKUP(INDIRECT(ADDRESS(2,COLUMN())),OFFSET($BN$2,0,0,ROW()-1,60),ROW()-1,FALSE))</f>
        <v>12423.99732</v>
      </c>
      <c r="AR464">
        <f ca="1">IF(AND(ISNUMBER($AR$961),$B$511=1),$AR$961,HLOOKUP(INDIRECT(ADDRESS(2,COLUMN())),OFFSET($BN$2,0,0,ROW()-1,60),ROW()-1,FALSE))</f>
        <v>9160.7628609999992</v>
      </c>
      <c r="AS464">
        <f ca="1">IF(AND(ISNUMBER($AS$961),$B$511=1),$AS$961,HLOOKUP(INDIRECT(ADDRESS(2,COLUMN())),OFFSET($BN$2,0,0,ROW()-1,60),ROW()-1,FALSE))</f>
        <v>7270.7996499999999</v>
      </c>
      <c r="AT464">
        <f ca="1">IF(AND(ISNUMBER($AT$961),$B$511=1),$AT$961,HLOOKUP(INDIRECT(ADDRESS(2,COLUMN())),OFFSET($BN$2,0,0,ROW()-1,60),ROW()-1,FALSE))</f>
        <v>4458.0896940000002</v>
      </c>
      <c r="AU464">
        <f ca="1">IF(AND(ISNUMBER($AU$961),$B$511=1),$AU$961,HLOOKUP(INDIRECT(ADDRESS(2,COLUMN())),OFFSET($BN$2,0,0,ROW()-1,60),ROW()-1,FALSE))</f>
        <v>2779.3576640000001</v>
      </c>
      <c r="AV464">
        <f ca="1">IF(AND(ISNUMBER($AV$961),$B$511=1),$AV$961,HLOOKUP(INDIRECT(ADDRESS(2,COLUMN())),OFFSET($BN$2,0,0,ROW()-1,60),ROW()-1,FALSE))</f>
        <v>3084.7946390000002</v>
      </c>
      <c r="AW464">
        <f ca="1">IF(AND(ISNUMBER($AW$961),$B$511=1),$AW$961,HLOOKUP(INDIRECT(ADDRESS(2,COLUMN())),OFFSET($BN$2,0,0,ROW()-1,60),ROW()-1,FALSE))</f>
        <v>3447.331905</v>
      </c>
      <c r="AX464">
        <f ca="1">IF(AND(ISNUMBER($AX$961),$B$511=1),$AX$961,HLOOKUP(INDIRECT(ADDRESS(2,COLUMN())),OFFSET($BN$2,0,0,ROW()-1,60),ROW()-1,FALSE))</f>
        <v>3874.8515619999998</v>
      </c>
      <c r="AY464">
        <f ca="1">IF(AND(ISNUMBER($AY$961),$B$511=1),$AY$961,HLOOKUP(INDIRECT(ADDRESS(2,COLUMN())),OFFSET($BN$2,0,0,ROW()-1,60),ROW()-1,FALSE))</f>
        <v>6075.8586619999996</v>
      </c>
      <c r="AZ464">
        <f ca="1">IF(AND(ISNUMBER($AZ$961),$B$511=1),$AZ$961,HLOOKUP(INDIRECT(ADDRESS(2,COLUMN())),OFFSET($BN$2,0,0,ROW()-1,60),ROW()-1,FALSE))</f>
        <v>7577.0735130000003</v>
      </c>
      <c r="BA464">
        <f ca="1">IF(AND(ISNUMBER($BA$961),$B$511=1),$BA$961,HLOOKUP(INDIRECT(ADDRESS(2,COLUMN())),OFFSET($BN$2,0,0,ROW()-1,60),ROW()-1,FALSE))</f>
        <v>4584.6252830000003</v>
      </c>
      <c r="BB464">
        <f ca="1">IF(AND(ISNUMBER($BB$961),$B$511=1),$BB$961,HLOOKUP(INDIRECT(ADDRESS(2,COLUMN())),OFFSET($BN$2,0,0,ROW()-1,60),ROW()-1,FALSE))</f>
        <v>4697.0555530000001</v>
      </c>
      <c r="BC464">
        <f ca="1">IF(AND(ISNUMBER($BC$961),$B$511=1),$BC$961,HLOOKUP(INDIRECT(ADDRESS(2,COLUMN())),OFFSET($BN$2,0,0,ROW()-1,60),ROW()-1,FALSE))</f>
        <v>4175.6465589999998</v>
      </c>
      <c r="BD464">
        <f ca="1">IF(AND(ISNUMBER($BD$961),$B$511=1),$BD$961,HLOOKUP(INDIRECT(ADDRESS(2,COLUMN())),OFFSET($BN$2,0,0,ROW()-1,60),ROW()-1,FALSE))</f>
        <v>3494.441249</v>
      </c>
      <c r="BE464">
        <f ca="1">IF(AND(ISNUMBER($BE$961),$B$511=1),$BE$961,HLOOKUP(INDIRECT(ADDRESS(2,COLUMN())),OFFSET($BN$2,0,0,ROW()-1,60),ROW()-1,FALSE))</f>
        <v>4021.2996990000001</v>
      </c>
      <c r="BF464">
        <f ca="1">IF(AND(ISNUMBER($BF$961),$B$511=1),$BF$961,HLOOKUP(INDIRECT(ADDRESS(2,COLUMN())),OFFSET($BN$2,0,0,ROW()-1,60),ROW()-1,FALSE))</f>
        <v>3775.1527430000001</v>
      </c>
      <c r="BG464">
        <f ca="1">IF(AND(ISNUMBER($BG$961),$B$511=1),$BG$961,HLOOKUP(INDIRECT(ADDRESS(2,COLUMN())),OFFSET($BN$2,0,0,ROW()-1,60),ROW()-1,FALSE))</f>
        <v>2166.8924350000002</v>
      </c>
      <c r="BH464" t="str">
        <f ca="1">IF(AND(ISNUMBER($BH$961),$B$511=1),$BH$961,HLOOKUP(INDIRECT(ADDRESS(2,COLUMN())),OFFSET($BN$2,0,0,ROW()-1,60),ROW()-1,FALSE))</f>
        <v/>
      </c>
      <c r="BI464" t="str">
        <f ca="1">IF(AND(ISNUMBER($BI$961),$B$511=1),$BI$961,HLOOKUP(INDIRECT(ADDRESS(2,COLUMN())),OFFSET($BN$2,0,0,ROW()-1,60),ROW()-1,FALSE))</f>
        <v/>
      </c>
      <c r="BJ464" t="str">
        <f ca="1">IF(AND(ISNUMBER($BJ$961),$B$511=1),$BJ$961,HLOOKUP(INDIRECT(ADDRESS(2,COLUMN())),OFFSET($BN$2,0,0,ROW()-1,60),ROW()-1,FALSE))</f>
        <v/>
      </c>
      <c r="BK464" t="str">
        <f ca="1">IF(AND(ISNUMBER($BK$961),$B$511=1),$BK$961,HLOOKUP(INDIRECT(ADDRESS(2,COLUMN())),OFFSET($BN$2,0,0,ROW()-1,60),ROW()-1,FALSE))</f>
        <v/>
      </c>
      <c r="BL464" t="str">
        <f ca="1">IF(AND(ISNUMBER($BL$961),$B$511=1),$BL$961,HLOOKUP(INDIRECT(ADDRESS(2,COLUMN())),OFFSET($BN$2,0,0,ROW()-1,60),ROW()-1,FALSE))</f>
        <v/>
      </c>
      <c r="BM464" t="str">
        <f ca="1">IF(AND(ISNUMBER($BM$961),$B$511=1),$BM$961,HLOOKUP(INDIRECT(ADDRESS(2,COLUMN())),OFFSET($BN$2,0,0,ROW()-1,60),ROW()-1,FALSE))</f>
        <v/>
      </c>
      <c r="BN464">
        <f>9561.756899</f>
        <v>9561.756899</v>
      </c>
      <c r="BO464">
        <f>7810.63456</f>
        <v>7810.6345600000004</v>
      </c>
      <c r="BP464">
        <f>8874.311827</f>
        <v>8874.3118269999995</v>
      </c>
      <c r="BQ464">
        <f>9114.449797</f>
        <v>9114.4497969999993</v>
      </c>
      <c r="BR464">
        <f>10001.0006</f>
        <v>10001.000599999999</v>
      </c>
      <c r="BS464">
        <f>10433.35472</f>
        <v>10433.354719999999</v>
      </c>
      <c r="BT464">
        <f>11382.56975</f>
        <v>11382.569750000001</v>
      </c>
      <c r="BU464">
        <f>10187.12205</f>
        <v>10187.12205</v>
      </c>
      <c r="BV464">
        <f>9678.791356</f>
        <v>9678.7913559999997</v>
      </c>
      <c r="BW464">
        <f>8411.77058</f>
        <v>8411.7705800000003</v>
      </c>
      <c r="BX464">
        <f>8609.898588</f>
        <v>8609.898588</v>
      </c>
      <c r="BY464">
        <f>8972.117569</f>
        <v>8972.117569</v>
      </c>
      <c r="BZ464">
        <f>10753.34781</f>
        <v>10753.347809999999</v>
      </c>
      <c r="CA464">
        <f>11517.65816</f>
        <v>11517.658160000001</v>
      </c>
      <c r="CB464">
        <f>10728.04373</f>
        <v>10728.043729999999</v>
      </c>
      <c r="CC464">
        <f>11559.29403</f>
        <v>11559.294029999999</v>
      </c>
      <c r="CD464">
        <f>13825.08893</f>
        <v>13825.08893</v>
      </c>
      <c r="CE464">
        <f>12200.95653</f>
        <v>12200.956529999999</v>
      </c>
      <c r="CF464">
        <f>14159.16782</f>
        <v>14159.167820000001</v>
      </c>
      <c r="CG464">
        <f>15430.39645</f>
        <v>15430.39645</v>
      </c>
      <c r="CH464">
        <f>12196.23778</f>
        <v>12196.237779999999</v>
      </c>
      <c r="CI464">
        <f>13490.12046</f>
        <v>13490.12046</v>
      </c>
      <c r="CJ464">
        <f>13087.5521</f>
        <v>13087.552100000001</v>
      </c>
      <c r="CK464">
        <f>11508.74828</f>
        <v>11508.74828</v>
      </c>
      <c r="CL464">
        <f>12098.01843</f>
        <v>12098.01843</v>
      </c>
      <c r="CM464">
        <f>13295.07469</f>
        <v>13295.074689999999</v>
      </c>
      <c r="CN464">
        <f>10055.82521</f>
        <v>10055.825210000001</v>
      </c>
      <c r="CO464">
        <f>13216.78168</f>
        <v>13216.78168</v>
      </c>
      <c r="CP464">
        <f>15558.33202</f>
        <v>15558.33202</v>
      </c>
      <c r="CQ464">
        <f>14776.95742</f>
        <v>14776.957420000001</v>
      </c>
      <c r="CR464">
        <f>11863.08657</f>
        <v>11863.086569999999</v>
      </c>
      <c r="CS464">
        <f>16277.09548</f>
        <v>16277.09548</v>
      </c>
      <c r="CT464">
        <f>14669.31923</f>
        <v>14669.319229999999</v>
      </c>
      <c r="CU464">
        <f>14853.85024</f>
        <v>14853.85024</v>
      </c>
      <c r="CV464">
        <f>17632.41121</f>
        <v>17632.411209999998</v>
      </c>
      <c r="CW464">
        <f>10158.22216</f>
        <v>10158.222159999999</v>
      </c>
      <c r="CX464">
        <f>14003.9968</f>
        <v>14003.996800000001</v>
      </c>
      <c r="CY464">
        <f>12423.99732</f>
        <v>12423.99732</v>
      </c>
      <c r="CZ464">
        <f>9160.762861</f>
        <v>9160.7628609999992</v>
      </c>
      <c r="DA464">
        <f>7270.79965</f>
        <v>7270.7996499999999</v>
      </c>
      <c r="DB464">
        <f>4458.089694</f>
        <v>4458.0896940000002</v>
      </c>
      <c r="DC464">
        <f>2779.357664</f>
        <v>2779.3576640000001</v>
      </c>
      <c r="DD464">
        <f>3084.794639</f>
        <v>3084.7946390000002</v>
      </c>
      <c r="DE464">
        <f>3447.331905</f>
        <v>3447.331905</v>
      </c>
      <c r="DF464">
        <f>3874.851562</f>
        <v>3874.8515619999998</v>
      </c>
      <c r="DG464">
        <f>6075.858662</f>
        <v>6075.8586619999996</v>
      </c>
      <c r="DH464">
        <f>7577.073513</f>
        <v>7577.0735130000003</v>
      </c>
      <c r="DI464">
        <f>4584.625283</f>
        <v>4584.6252830000003</v>
      </c>
      <c r="DJ464">
        <f>4697.055553</f>
        <v>4697.0555530000001</v>
      </c>
      <c r="DK464">
        <f>4175.646559</f>
        <v>4175.6465589999998</v>
      </c>
      <c r="DL464">
        <f>3494.441249</f>
        <v>3494.441249</v>
      </c>
      <c r="DM464">
        <f>4021.299699</f>
        <v>4021.2996990000001</v>
      </c>
      <c r="DN464">
        <f>3775.152743</f>
        <v>3775.1527430000001</v>
      </c>
      <c r="DO464">
        <f>2166.892435</f>
        <v>2166.8924350000002</v>
      </c>
      <c r="DP464" t="str">
        <f>""</f>
        <v/>
      </c>
      <c r="DQ464" t="str">
        <f>""</f>
        <v/>
      </c>
      <c r="DR464" t="str">
        <f>""</f>
        <v/>
      </c>
      <c r="DS464" t="str">
        <f>""</f>
        <v/>
      </c>
      <c r="DT464" t="str">
        <f>""</f>
        <v/>
      </c>
      <c r="DU464" t="str">
        <f>""</f>
        <v/>
      </c>
    </row>
    <row r="465" spans="1:125" x14ac:dyDescent="0.25">
      <c r="A465" t="str">
        <f>"    DRB-Hicom Bhd"</f>
        <v xml:space="preserve">    DRB-Hicom Bhd</v>
      </c>
      <c r="B465" t="str">
        <f>"DRB MK Equity"</f>
        <v>DRB MK Equity</v>
      </c>
      <c r="C465" t="str">
        <f t="shared" si="33"/>
        <v>RR902</v>
      </c>
      <c r="D465" t="str">
        <f t="shared" si="34"/>
        <v>CUR_MKT_CAP</v>
      </c>
      <c r="E465" t="str">
        <f t="shared" si="35"/>
        <v>Dynamic</v>
      </c>
      <c r="F465">
        <f ca="1">IF(AND(ISNUMBER($F$962),$B$511=1),$F$962,HLOOKUP(INDIRECT(ADDRESS(2,COLUMN())),OFFSET($BN$2,0,0,ROW()-1,60),ROW()-1,FALSE))</f>
        <v>879.50041220000003</v>
      </c>
      <c r="G465">
        <f ca="1">IF(AND(ISNUMBER($G$962),$B$511=1),$G$962,HLOOKUP(INDIRECT(ADDRESS(2,COLUMN())),OFFSET($BN$2,0,0,ROW()-1,60),ROW()-1,FALSE))</f>
        <v>794.99346560000004</v>
      </c>
      <c r="H465">
        <f ca="1">IF(AND(ISNUMBER($H$962),$B$511=1),$H$962,HLOOKUP(INDIRECT(ADDRESS(2,COLUMN())),OFFSET($BN$2,0,0,ROW()-1,60),ROW()-1,FALSE))</f>
        <v>1013.682349</v>
      </c>
      <c r="I465">
        <f ca="1">IF(AND(ISNUMBER($I$962),$B$511=1),$I$962,HLOOKUP(INDIRECT(ADDRESS(2,COLUMN())),OFFSET($BN$2,0,0,ROW()-1,60),ROW()-1,FALSE))</f>
        <v>939.8612511</v>
      </c>
      <c r="J465">
        <f ca="1">IF(AND(ISNUMBER($J$962),$B$511=1),$J$962,HLOOKUP(INDIRECT(ADDRESS(2,COLUMN())),OFFSET($BN$2,0,0,ROW()-1,60),ROW()-1,FALSE))</f>
        <v>1221.7297080000001</v>
      </c>
      <c r="K465">
        <f ca="1">IF(AND(ISNUMBER($K$962),$B$511=1),$K$962,HLOOKUP(INDIRECT(ADDRESS(2,COLUMN())),OFFSET($BN$2,0,0,ROW()-1,60),ROW()-1,FALSE))</f>
        <v>871.08479920000002</v>
      </c>
      <c r="L465">
        <f ca="1">IF(AND(ISNUMBER($L$962),$B$511=1),$L$962,HLOOKUP(INDIRECT(ADDRESS(2,COLUMN())),OFFSET($BN$2,0,0,ROW()-1,60),ROW()-1,FALSE))</f>
        <v>746.28215350000005</v>
      </c>
      <c r="M465">
        <f ca="1">IF(AND(ISNUMBER($M$962),$B$511=1),$M$962,HLOOKUP(INDIRECT(ADDRESS(2,COLUMN())),OFFSET($BN$2,0,0,ROW()-1,60),ROW()-1,FALSE))</f>
        <v>800.54948649999994</v>
      </c>
      <c r="N465">
        <f ca="1">IF(AND(ISNUMBER($N$962),$B$511=1),$N$962,HLOOKUP(INDIRECT(ADDRESS(2,COLUMN())),OFFSET($BN$2,0,0,ROW()-1,60),ROW()-1,FALSE))</f>
        <v>611.57651899999996</v>
      </c>
      <c r="O465">
        <f ca="1">IF(AND(ISNUMBER($O$962),$B$511=1),$O$962,HLOOKUP(INDIRECT(ADDRESS(2,COLUMN())),OFFSET($BN$2,0,0,ROW()-1,60),ROW()-1,FALSE))</f>
        <v>495.4808602</v>
      </c>
      <c r="P465">
        <f ca="1">IF(AND(ISNUMBER($P$962),$B$511=1),$P$962,HLOOKUP(INDIRECT(ADDRESS(2,COLUMN())),OFFSET($BN$2,0,0,ROW()-1,60),ROW()-1,FALSE))</f>
        <v>678.90378729999998</v>
      </c>
      <c r="Q465">
        <f ca="1">IF(AND(ISNUMBER($Q$962),$B$511=1),$Q$962,HLOOKUP(INDIRECT(ADDRESS(2,COLUMN())),OFFSET($BN$2,0,0,ROW()-1,60),ROW()-1,FALSE))</f>
        <v>435.82820359999999</v>
      </c>
      <c r="R465">
        <f ca="1">IF(AND(ISNUMBER($R$962),$B$511=1),$R$962,HLOOKUP(INDIRECT(ADDRESS(2,COLUMN())),OFFSET($BN$2,0,0,ROW()-1,60),ROW()-1,FALSE))</f>
        <v>509.07494559999998</v>
      </c>
      <c r="S465">
        <f ca="1">IF(AND(ISNUMBER($S$962),$B$511=1),$S$962,HLOOKUP(INDIRECT(ADDRESS(2,COLUMN())),OFFSET($BN$2,0,0,ROW()-1,60),ROW()-1,FALSE))</f>
        <v>556.93468280000002</v>
      </c>
      <c r="T465">
        <f ca="1">IF(AND(ISNUMBER($T$962),$B$511=1),$T$962,HLOOKUP(INDIRECT(ADDRESS(2,COLUMN())),OFFSET($BN$2,0,0,ROW()-1,60),ROW()-1,FALSE))</f>
        <v>586.23011640000004</v>
      </c>
      <c r="U465">
        <f ca="1">IF(AND(ISNUMBER($U$962),$B$511=1),$U$962,HLOOKUP(INDIRECT(ADDRESS(2,COLUMN())),OFFSET($BN$2,0,0,ROW()-1,60),ROW()-1,FALSE))</f>
        <v>820.94034299999998</v>
      </c>
      <c r="V465">
        <f ca="1">IF(AND(ISNUMBER($V$962),$B$511=1),$V$962,HLOOKUP(INDIRECT(ADDRESS(2,COLUMN())),OFFSET($BN$2,0,0,ROW()-1,60),ROW()-1,FALSE))</f>
        <v>1027.9012740000001</v>
      </c>
      <c r="W465">
        <f ca="1">IF(AND(ISNUMBER($W$962),$B$511=1),$W$962,HLOOKUP(INDIRECT(ADDRESS(2,COLUMN())),OFFSET($BN$2,0,0,ROW()-1,60),ROW()-1,FALSE))</f>
        <v>966.20444269999996</v>
      </c>
      <c r="X465">
        <f ca="1">IF(AND(ISNUMBER($X$962),$B$511=1),$X$962,HLOOKUP(INDIRECT(ADDRESS(2,COLUMN())),OFFSET($BN$2,0,0,ROW()-1,60),ROW()-1,FALSE))</f>
        <v>1343.3031109999999</v>
      </c>
      <c r="Y465">
        <f ca="1">IF(AND(ISNUMBER($Y$962),$B$511=1),$Y$962,HLOOKUP(INDIRECT(ADDRESS(2,COLUMN())),OFFSET($BN$2,0,0,ROW()-1,60),ROW()-1,FALSE))</f>
        <v>1331.2313529999999</v>
      </c>
      <c r="Z465">
        <f ca="1">IF(AND(ISNUMBER($Z$962),$B$511=1),$Z$962,HLOOKUP(INDIRECT(ADDRESS(2,COLUMN())),OFFSET($BN$2,0,0,ROW()-1,60),ROW()-1,FALSE))</f>
        <v>1466.327511</v>
      </c>
      <c r="AA465">
        <f ca="1">IF(AND(ISNUMBER($AA$962),$B$511=1),$AA$962,HLOOKUP(INDIRECT(ADDRESS(2,COLUMN())),OFFSET($BN$2,0,0,ROW()-1,60),ROW()-1,FALSE))</f>
        <v>1661.352586</v>
      </c>
      <c r="AB465">
        <f ca="1">IF(AND(ISNUMBER($AB$962),$B$511=1),$AB$962,HLOOKUP(INDIRECT(ADDRESS(2,COLUMN())),OFFSET($BN$2,0,0,ROW()-1,60),ROW()-1,FALSE))</f>
        <v>1578.5402529999999</v>
      </c>
      <c r="AC465">
        <f ca="1">IF(AND(ISNUMBER($AC$962),$B$511=1),$AC$962,HLOOKUP(INDIRECT(ADDRESS(2,COLUMN())),OFFSET($BN$2,0,0,ROW()-1,60),ROW()-1,FALSE))</f>
        <v>1636.841048</v>
      </c>
      <c r="AD465">
        <f ca="1">IF(AND(ISNUMBER($AD$962),$B$511=1),$AD$962,HLOOKUP(INDIRECT(ADDRESS(2,COLUMN())),OFFSET($BN$2,0,0,ROW()-1,60),ROW()-1,FALSE))</f>
        <v>1583.850835</v>
      </c>
      <c r="AE465">
        <f ca="1">IF(AND(ISNUMBER($AE$962),$B$511=1),$AE$962,HLOOKUP(INDIRECT(ADDRESS(2,COLUMN())),OFFSET($BN$2,0,0,ROW()-1,60),ROW()-1,FALSE))</f>
        <v>1728.7052650000001</v>
      </c>
      <c r="AF465">
        <f ca="1">IF(AND(ISNUMBER($AF$962),$B$511=1),$AF$962,HLOOKUP(INDIRECT(ADDRESS(2,COLUMN())),OFFSET($BN$2,0,0,ROW()-1,60),ROW()-1,FALSE))</f>
        <v>1470.214228</v>
      </c>
      <c r="AG465">
        <f ca="1">IF(AND(ISNUMBER($AG$962),$B$511=1),$AG$962,HLOOKUP(INDIRECT(ADDRESS(2,COLUMN())),OFFSET($BN$2,0,0,ROW()-1,60),ROW()-1,FALSE))</f>
        <v>1543.7471929999999</v>
      </c>
      <c r="AH465">
        <f ca="1">IF(AND(ISNUMBER($AH$962),$B$511=1),$AH$962,HLOOKUP(INDIRECT(ADDRESS(2,COLUMN())),OFFSET($BN$2,0,0,ROW()-1,60),ROW()-1,FALSE))</f>
        <v>1591.7134619999999</v>
      </c>
      <c r="AI465">
        <f ca="1">IF(AND(ISNUMBER($AI$962),$B$511=1),$AI$962,HLOOKUP(INDIRECT(ADDRESS(2,COLUMN())),OFFSET($BN$2,0,0,ROW()-1,60),ROW()-1,FALSE))</f>
        <v>1245.477216</v>
      </c>
      <c r="AJ465">
        <f ca="1">IF(AND(ISNUMBER($AJ$962),$B$511=1),$AJ$962,HLOOKUP(INDIRECT(ADDRESS(2,COLUMN())),OFFSET($BN$2,0,0,ROW()-1,60),ROW()-1,FALSE))</f>
        <v>1053.6341809999999</v>
      </c>
      <c r="AK465">
        <f ca="1">IF(AND(ISNUMBER($AK$962),$B$511=1),$AK$962,HLOOKUP(INDIRECT(ADDRESS(2,COLUMN())),OFFSET($BN$2,0,0,ROW()-1,60),ROW()-1,FALSE))</f>
        <v>1454.332437</v>
      </c>
      <c r="AL465">
        <f ca="1">IF(AND(ISNUMBER($AL$962),$B$511=1),$AL$962,HLOOKUP(INDIRECT(ADDRESS(2,COLUMN())),OFFSET($BN$2,0,0,ROW()-1,60),ROW()-1,FALSE))</f>
        <v>1469.656334</v>
      </c>
      <c r="AM465">
        <f ca="1">IF(AND(ISNUMBER($AM$962),$B$511=1),$AM$962,HLOOKUP(INDIRECT(ADDRESS(2,COLUMN())),OFFSET($BN$2,0,0,ROW()-1,60),ROW()-1,FALSE))</f>
        <v>1218.08376</v>
      </c>
      <c r="AN465">
        <f ca="1">IF(AND(ISNUMBER($AN$962),$B$511=1),$AN$962,HLOOKUP(INDIRECT(ADDRESS(2,COLUMN())),OFFSET($BN$2,0,0,ROW()-1,60),ROW()-1,FALSE))</f>
        <v>783.44831439999996</v>
      </c>
      <c r="AO465">
        <f ca="1">IF(AND(ISNUMBER($AO$962),$B$511=1),$AO$962,HLOOKUP(INDIRECT(ADDRESS(2,COLUMN())),OFFSET($BN$2,0,0,ROW()-1,60),ROW()-1,FALSE))</f>
        <v>623.33484510000005</v>
      </c>
      <c r="AP465">
        <f ca="1">IF(AND(ISNUMBER($AP$962),$B$511=1),$AP$962,HLOOKUP(INDIRECT(ADDRESS(2,COLUMN())),OFFSET($BN$2,0,0,ROW()-1,60),ROW()-1,FALSE))</f>
        <v>687.47853780000003</v>
      </c>
      <c r="AQ465">
        <f ca="1">IF(AND(ISNUMBER($AQ$962),$B$511=1),$AQ$962,HLOOKUP(INDIRECT(ADDRESS(2,COLUMN())),OFFSET($BN$2,0,0,ROW()-1,60),ROW()-1,FALSE))</f>
        <v>567.77244289999999</v>
      </c>
      <c r="AR465">
        <f ca="1">IF(AND(ISNUMBER($AR$962),$B$511=1),$AR$962,HLOOKUP(INDIRECT(ADDRESS(2,COLUMN())),OFFSET($BN$2,0,0,ROW()-1,60),ROW()-1,FALSE))</f>
        <v>646.73539730000005</v>
      </c>
      <c r="AS465">
        <f ca="1">IF(AND(ISNUMBER($AS$962),$B$511=1),$AS$962,HLOOKUP(INDIRECT(ADDRESS(2,COLUMN())),OFFSET($BN$2,0,0,ROW()-1,60),ROW()-1,FALSE))</f>
        <v>571.99617149999995</v>
      </c>
      <c r="AT465">
        <f ca="1">IF(AND(ISNUMBER($AT$962),$B$511=1),$AT$962,HLOOKUP(INDIRECT(ADDRESS(2,COLUMN())),OFFSET($BN$2,0,0,ROW()-1,60),ROW()-1,FALSE))</f>
        <v>365.91237740000003</v>
      </c>
      <c r="AU465">
        <f ca="1">IF(AND(ISNUMBER($AU$962),$B$511=1),$AU$962,HLOOKUP(INDIRECT(ADDRESS(2,COLUMN())),OFFSET($BN$2,0,0,ROW()-1,60),ROW()-1,FALSE))</f>
        <v>405.08580030000002</v>
      </c>
      <c r="AV465">
        <f ca="1">IF(AND(ISNUMBER($AV$962),$B$511=1),$AV$962,HLOOKUP(INDIRECT(ADDRESS(2,COLUMN())),OFFSET($BN$2,0,0,ROW()-1,60),ROW()-1,FALSE))</f>
        <v>259.03625219999998</v>
      </c>
      <c r="AW465">
        <f ca="1">IF(AND(ISNUMBER($AW$962),$B$511=1),$AW$962,HLOOKUP(INDIRECT(ADDRESS(2,COLUMN())),OFFSET($BN$2,0,0,ROW()-1,60),ROW()-1,FALSE))</f>
        <v>296.03759209999998</v>
      </c>
      <c r="AX465">
        <f ca="1">IF(AND(ISNUMBER($AX$962),$B$511=1),$AX$962,HLOOKUP(INDIRECT(ADDRESS(2,COLUMN())),OFFSET($BN$2,0,0,ROW()-1,60),ROW()-1,FALSE))</f>
        <v>400.58257570000001</v>
      </c>
      <c r="AY465">
        <f ca="1">IF(AND(ISNUMBER($AY$962),$B$511=1),$AY$962,HLOOKUP(INDIRECT(ADDRESS(2,COLUMN())),OFFSET($BN$2,0,0,ROW()-1,60),ROW()-1,FALSE))</f>
        <v>484.49974759999998</v>
      </c>
      <c r="AZ465">
        <f ca="1">IF(AND(ISNUMBER($AZ$962),$B$511=1),$AZ$962,HLOOKUP(INDIRECT(ADDRESS(2,COLUMN())),OFFSET($BN$2,0,0,ROW()-1,60),ROW()-1,FALSE))</f>
        <v>567.69929690000004</v>
      </c>
      <c r="BA465">
        <f ca="1">IF(AND(ISNUMBER($BA$962),$B$511=1),$BA$962,HLOOKUP(INDIRECT(ADDRESS(2,COLUMN())),OFFSET($BN$2,0,0,ROW()-1,60),ROW()-1,FALSE))</f>
        <v>534.08284530000003</v>
      </c>
      <c r="BB465">
        <f ca="1">IF(AND(ISNUMBER($BB$962),$B$511=1),$BB$962,HLOOKUP(INDIRECT(ADDRESS(2,COLUMN())),OFFSET($BN$2,0,0,ROW()-1,60),ROW()-1,FALSE))</f>
        <v>568.28167099999996</v>
      </c>
      <c r="BC465">
        <f ca="1">IF(AND(ISNUMBER($BC$962),$B$511=1),$BC$962,HLOOKUP(INDIRECT(ADDRESS(2,COLUMN())),OFFSET($BN$2,0,0,ROW()-1,60),ROW()-1,FALSE))</f>
        <v>479.81291270000003</v>
      </c>
      <c r="BD465">
        <f ca="1">IF(AND(ISNUMBER($BD$962),$B$511=1),$BD$962,HLOOKUP(INDIRECT(ADDRESS(2,COLUMN())),OFFSET($BN$2,0,0,ROW()-1,60),ROW()-1,FALSE))</f>
        <v>391.66591019999998</v>
      </c>
      <c r="BE465">
        <f ca="1">IF(AND(ISNUMBER($BE$962),$B$511=1),$BE$962,HLOOKUP(INDIRECT(ADDRESS(2,COLUMN())),OFFSET($BN$2,0,0,ROW()-1,60),ROW()-1,FALSE))</f>
        <v>390.3749838</v>
      </c>
      <c r="BF465">
        <f ca="1">IF(AND(ISNUMBER($BF$962),$B$511=1),$BF$962,HLOOKUP(INDIRECT(ADDRESS(2,COLUMN())),OFFSET($BN$2,0,0,ROW()-1,60),ROW()-1,FALSE))</f>
        <v>390.6652254</v>
      </c>
      <c r="BG465">
        <f ca="1">IF(AND(ISNUMBER($BG$962),$B$511=1),$BG$962,HLOOKUP(INDIRECT(ADDRESS(2,COLUMN())),OFFSET($BN$2,0,0,ROW()-1,60),ROW()-1,FALSE))</f>
        <v>314.27419709999998</v>
      </c>
      <c r="BH465">
        <f ca="1">IF(AND(ISNUMBER($BH$962),$B$511=1),$BH$962,HLOOKUP(INDIRECT(ADDRESS(2,COLUMN())),OFFSET($BN$2,0,0,ROW()-1,60),ROW()-1,FALSE))</f>
        <v>410.86820770000003</v>
      </c>
      <c r="BI465">
        <f ca="1">IF(AND(ISNUMBER($BI$962),$B$511=1),$BI$962,HLOOKUP(INDIRECT(ADDRESS(2,COLUMN())),OFFSET($BN$2,0,0,ROW()-1,60),ROW()-1,FALSE))</f>
        <v>381.38256469999999</v>
      </c>
      <c r="BJ465">
        <f ca="1">IF(AND(ISNUMBER($BJ$962),$B$511=1),$BJ$962,HLOOKUP(INDIRECT(ADDRESS(2,COLUMN())),OFFSET($BN$2,0,0,ROW()-1,60),ROW()-1,FALSE))</f>
        <v>482.3899687</v>
      </c>
      <c r="BK465">
        <f ca="1">IF(AND(ISNUMBER($BK$962),$B$511=1),$BK$962,HLOOKUP(INDIRECT(ADDRESS(2,COLUMN())),OFFSET($BN$2,0,0,ROW()-1,60),ROW()-1,FALSE))</f>
        <v>567.30839300000002</v>
      </c>
      <c r="BL465">
        <f ca="1">IF(AND(ISNUMBER($BL$962),$B$511=1),$BL$962,HLOOKUP(INDIRECT(ADDRESS(2,COLUMN())),OFFSET($BN$2,0,0,ROW()-1,60),ROW()-1,FALSE))</f>
        <v>542.73008330000005</v>
      </c>
      <c r="BM465">
        <f ca="1">IF(AND(ISNUMBER($BM$962),$B$511=1),$BM$962,HLOOKUP(INDIRECT(ADDRESS(2,COLUMN())),OFFSET($BN$2,0,0,ROW()-1,60),ROW()-1,FALSE))</f>
        <v>405.36599510000002</v>
      </c>
      <c r="BN465">
        <f>879.5004122</f>
        <v>879.50041220000003</v>
      </c>
      <c r="BO465">
        <f>794.9934656</f>
        <v>794.99346560000004</v>
      </c>
      <c r="BP465">
        <f>1013.682349</f>
        <v>1013.682349</v>
      </c>
      <c r="BQ465">
        <f>939.8612511</f>
        <v>939.8612511</v>
      </c>
      <c r="BR465">
        <f>1221.729708</f>
        <v>1221.7297080000001</v>
      </c>
      <c r="BS465">
        <f>871.0847992</f>
        <v>871.08479920000002</v>
      </c>
      <c r="BT465">
        <f>746.2821535</f>
        <v>746.28215350000005</v>
      </c>
      <c r="BU465">
        <f>800.5494865</f>
        <v>800.54948649999994</v>
      </c>
      <c r="BV465">
        <f>611.576519</f>
        <v>611.57651899999996</v>
      </c>
      <c r="BW465">
        <f>495.4808602</f>
        <v>495.4808602</v>
      </c>
      <c r="BX465">
        <f>678.9037873</f>
        <v>678.90378729999998</v>
      </c>
      <c r="BY465">
        <f>435.8282036</f>
        <v>435.82820359999999</v>
      </c>
      <c r="BZ465">
        <f>509.0749456</f>
        <v>509.07494559999998</v>
      </c>
      <c r="CA465">
        <f>556.9346828</f>
        <v>556.93468280000002</v>
      </c>
      <c r="CB465">
        <f>586.2301164</f>
        <v>586.23011640000004</v>
      </c>
      <c r="CC465">
        <f>820.940343</f>
        <v>820.94034299999998</v>
      </c>
      <c r="CD465">
        <f>1027.901274</f>
        <v>1027.9012740000001</v>
      </c>
      <c r="CE465">
        <f>966.2044427</f>
        <v>966.20444269999996</v>
      </c>
      <c r="CF465">
        <f>1343.303111</f>
        <v>1343.3031109999999</v>
      </c>
      <c r="CG465">
        <f>1331.231353</f>
        <v>1331.2313529999999</v>
      </c>
      <c r="CH465">
        <f>1466.327511</f>
        <v>1466.327511</v>
      </c>
      <c r="CI465">
        <f>1661.352586</f>
        <v>1661.352586</v>
      </c>
      <c r="CJ465">
        <f>1578.540253</f>
        <v>1578.5402529999999</v>
      </c>
      <c r="CK465">
        <f>1636.841048</f>
        <v>1636.841048</v>
      </c>
      <c r="CL465">
        <f>1583.850835</f>
        <v>1583.850835</v>
      </c>
      <c r="CM465">
        <f>1728.705265</f>
        <v>1728.7052650000001</v>
      </c>
      <c r="CN465">
        <f>1470.214228</f>
        <v>1470.214228</v>
      </c>
      <c r="CO465">
        <f>1543.747193</f>
        <v>1543.7471929999999</v>
      </c>
      <c r="CP465">
        <f>1591.713462</f>
        <v>1591.7134619999999</v>
      </c>
      <c r="CQ465">
        <f>1245.477216</f>
        <v>1245.477216</v>
      </c>
      <c r="CR465">
        <f>1053.634181</f>
        <v>1053.6341809999999</v>
      </c>
      <c r="CS465">
        <f>1454.332437</f>
        <v>1454.332437</v>
      </c>
      <c r="CT465">
        <f>1469.656334</f>
        <v>1469.656334</v>
      </c>
      <c r="CU465">
        <f>1218.08376</f>
        <v>1218.08376</v>
      </c>
      <c r="CV465">
        <f>783.4483144</f>
        <v>783.44831439999996</v>
      </c>
      <c r="CW465">
        <f>623.3348451</f>
        <v>623.33484510000005</v>
      </c>
      <c r="CX465">
        <f>687.4785378</f>
        <v>687.47853780000003</v>
      </c>
      <c r="CY465">
        <f>567.7724429</f>
        <v>567.77244289999999</v>
      </c>
      <c r="CZ465">
        <f>646.7353973</f>
        <v>646.73539730000005</v>
      </c>
      <c r="DA465">
        <f>571.9961715</f>
        <v>571.99617149999995</v>
      </c>
      <c r="DB465">
        <f>365.9123774</f>
        <v>365.91237740000003</v>
      </c>
      <c r="DC465">
        <f>405.0858003</f>
        <v>405.08580030000002</v>
      </c>
      <c r="DD465">
        <f>259.0362522</f>
        <v>259.03625219999998</v>
      </c>
      <c r="DE465">
        <f>296.0375921</f>
        <v>296.03759209999998</v>
      </c>
      <c r="DF465">
        <f>400.5825757</f>
        <v>400.58257570000001</v>
      </c>
      <c r="DG465">
        <f>484.4997476</f>
        <v>484.49974759999998</v>
      </c>
      <c r="DH465">
        <f>567.6992969</f>
        <v>567.69929690000004</v>
      </c>
      <c r="DI465">
        <f>534.0828453</f>
        <v>534.08284530000003</v>
      </c>
      <c r="DJ465">
        <f>568.281671</f>
        <v>568.28167099999996</v>
      </c>
      <c r="DK465">
        <f>479.8129127</f>
        <v>479.81291270000003</v>
      </c>
      <c r="DL465">
        <f>391.6659102</f>
        <v>391.66591019999998</v>
      </c>
      <c r="DM465">
        <f>390.3749838</f>
        <v>390.3749838</v>
      </c>
      <c r="DN465">
        <f>390.6652254</f>
        <v>390.6652254</v>
      </c>
      <c r="DO465">
        <f>314.2741971</f>
        <v>314.27419709999998</v>
      </c>
      <c r="DP465">
        <f>410.8682077</f>
        <v>410.86820770000003</v>
      </c>
      <c r="DQ465">
        <f>381.3825647</f>
        <v>381.38256469999999</v>
      </c>
      <c r="DR465">
        <f>482.3899687</f>
        <v>482.3899687</v>
      </c>
      <c r="DS465">
        <f>567.308393</f>
        <v>567.30839300000002</v>
      </c>
      <c r="DT465">
        <f>542.7300833</f>
        <v>542.73008330000005</v>
      </c>
      <c r="DU465">
        <f>405.3659951</f>
        <v>405.36599510000002</v>
      </c>
    </row>
    <row r="466" spans="1:125" x14ac:dyDescent="0.25">
      <c r="A466" t="str">
        <f>"    FAW CAR Co Ltd"</f>
        <v xml:space="preserve">    FAW CAR Co Ltd</v>
      </c>
      <c r="B466" t="str">
        <f>"000800 CH Equity"</f>
        <v>000800 CH Equity</v>
      </c>
      <c r="C466" t="str">
        <f t="shared" si="33"/>
        <v>RR902</v>
      </c>
      <c r="D466" t="str">
        <f t="shared" si="34"/>
        <v>CUR_MKT_CAP</v>
      </c>
      <c r="E466" t="str">
        <f t="shared" si="35"/>
        <v>Dynamic</v>
      </c>
      <c r="F466">
        <f ca="1">IF(AND(ISNUMBER($F$963),$B$511=1),$F$963,HLOOKUP(INDIRECT(ADDRESS(2,COLUMN())),OFFSET($BN$2,0,0,ROW()-1,60),ROW()-1,FALSE))</f>
        <v>1951.293527</v>
      </c>
      <c r="G466">
        <f ca="1">IF(AND(ISNUMBER($G$963),$B$511=1),$G$963,HLOOKUP(INDIRECT(ADDRESS(2,COLUMN())),OFFSET($BN$2,0,0,ROW()-1,60),ROW()-1,FALSE))</f>
        <v>1566.4054550000001</v>
      </c>
      <c r="H466">
        <f ca="1">IF(AND(ISNUMBER($H$963),$B$511=1),$H$963,HLOOKUP(INDIRECT(ADDRESS(2,COLUMN())),OFFSET($BN$2,0,0,ROW()-1,60),ROW()-1,FALSE))</f>
        <v>1561.3726690000001</v>
      </c>
      <c r="I466">
        <f ca="1">IF(AND(ISNUMBER($I$963),$B$511=1),$I$963,HLOOKUP(INDIRECT(ADDRESS(2,COLUMN())),OFFSET($BN$2,0,0,ROW()-1,60),ROW()-1,FALSE))</f>
        <v>1837.8447739999999</v>
      </c>
      <c r="J466">
        <f ca="1">IF(AND(ISNUMBER($J$963),$B$511=1),$J$963,HLOOKUP(INDIRECT(ADDRESS(2,COLUMN())),OFFSET($BN$2,0,0,ROW()-1,60),ROW()-1,FALSE))</f>
        <v>2640.0286259999998</v>
      </c>
      <c r="K466">
        <f ca="1">IF(AND(ISNUMBER($K$963),$B$511=1),$K$963,HLOOKUP(INDIRECT(ADDRESS(2,COLUMN())),OFFSET($BN$2,0,0,ROW()-1,60),ROW()-1,FALSE))</f>
        <v>2691.364286</v>
      </c>
      <c r="L466">
        <f ca="1">IF(AND(ISNUMBER($L$963),$B$511=1),$L$963,HLOOKUP(INDIRECT(ADDRESS(2,COLUMN())),OFFSET($BN$2,0,0,ROW()-1,60),ROW()-1,FALSE))</f>
        <v>3375.2430330000002</v>
      </c>
      <c r="M466">
        <f ca="1">IF(AND(ISNUMBER($M$963),$B$511=1),$M$963,HLOOKUP(INDIRECT(ADDRESS(2,COLUMN())),OFFSET($BN$2,0,0,ROW()-1,60),ROW()-1,FALSE))</f>
        <v>2446.6268049999999</v>
      </c>
      <c r="N466">
        <f ca="1">IF(AND(ISNUMBER($N$963),$B$511=1),$N$963,HLOOKUP(INDIRECT(ADDRESS(2,COLUMN())),OFFSET($BN$2,0,0,ROW()-1,60),ROW()-1,FALSE))</f>
        <v>2782.8602999999998</v>
      </c>
      <c r="O466">
        <f ca="1">IF(AND(ISNUMBER($O$963),$B$511=1),$O$963,HLOOKUP(INDIRECT(ADDRESS(2,COLUMN())),OFFSET($BN$2,0,0,ROW()-1,60),ROW()-1,FALSE))</f>
        <v>2549.234837</v>
      </c>
      <c r="P466">
        <f ca="1">IF(AND(ISNUMBER($P$963),$B$511=1),$P$963,HLOOKUP(INDIRECT(ADDRESS(2,COLUMN())),OFFSET($BN$2,0,0,ROW()-1,60),ROW()-1,FALSE))</f>
        <v>2556.1293369999999</v>
      </c>
      <c r="Q466">
        <f ca="1">IF(AND(ISNUMBER($Q$963),$B$511=1),$Q$963,HLOOKUP(INDIRECT(ADDRESS(2,COLUMN())),OFFSET($BN$2,0,0,ROW()-1,60),ROW()-1,FALSE))</f>
        <v>2660.856237</v>
      </c>
      <c r="R466">
        <f ca="1">IF(AND(ISNUMBER($R$963),$B$511=1),$R$963,HLOOKUP(INDIRECT(ADDRESS(2,COLUMN())),OFFSET($BN$2,0,0,ROW()-1,60),ROW()-1,FALSE))</f>
        <v>3553.7798130000001</v>
      </c>
      <c r="S466">
        <f ca="1">IF(AND(ISNUMBER($S$963),$B$511=1),$S$963,HLOOKUP(INDIRECT(ADDRESS(2,COLUMN())),OFFSET($BN$2,0,0,ROW()-1,60),ROW()-1,FALSE))</f>
        <v>4106.6936420000002</v>
      </c>
      <c r="T466">
        <f ca="1">IF(AND(ISNUMBER($T$963),$B$511=1),$T$963,HLOOKUP(INDIRECT(ADDRESS(2,COLUMN())),OFFSET($BN$2,0,0,ROW()-1,60),ROW()-1,FALSE))</f>
        <v>3724.5198890000001</v>
      </c>
      <c r="U466">
        <f ca="1">IF(AND(ISNUMBER($U$963),$B$511=1),$U$963,HLOOKUP(INDIRECT(ADDRESS(2,COLUMN())),OFFSET($BN$2,0,0,ROW()-1,60),ROW()-1,FALSE))</f>
        <v>6532.5804630000002</v>
      </c>
      <c r="V466">
        <f ca="1">IF(AND(ISNUMBER($V$963),$B$511=1),$V$963,HLOOKUP(INDIRECT(ADDRESS(2,COLUMN())),OFFSET($BN$2,0,0,ROW()-1,60),ROW()-1,FALSE))</f>
        <v>5143.7555430000002</v>
      </c>
      <c r="W466">
        <f ca="1">IF(AND(ISNUMBER($W$963),$B$511=1),$W$963,HLOOKUP(INDIRECT(ADDRESS(2,COLUMN())),OFFSET($BN$2,0,0,ROW()-1,60),ROW()-1,FALSE))</f>
        <v>3969.5121949999998</v>
      </c>
      <c r="X466">
        <f ca="1">IF(AND(ISNUMBER($X$963),$B$511=1),$X$963,HLOOKUP(INDIRECT(ADDRESS(2,COLUMN())),OFFSET($BN$2,0,0,ROW()-1,60),ROW()-1,FALSE))</f>
        <v>2943.0859209999999</v>
      </c>
      <c r="Y466">
        <f ca="1">IF(AND(ISNUMBER($Y$963),$B$511=1),$Y$963,HLOOKUP(INDIRECT(ADDRESS(2,COLUMN())),OFFSET($BN$2,0,0,ROW()-1,60),ROW()-1,FALSE))</f>
        <v>2518.2940589999998</v>
      </c>
      <c r="Z466">
        <f ca="1">IF(AND(ISNUMBER($Z$963),$B$511=1),$Z$963,HLOOKUP(INDIRECT(ADDRESS(2,COLUMN())),OFFSET($BN$2,0,0,ROW()-1,60),ROW()-1,FALSE))</f>
        <v>2643.3625470000002</v>
      </c>
      <c r="AA466">
        <f ca="1">IF(AND(ISNUMBER($AA$963),$B$511=1),$AA$963,HLOOKUP(INDIRECT(ADDRESS(2,COLUMN())),OFFSET($BN$2,0,0,ROW()-1,60),ROW()-1,FALSE))</f>
        <v>3199.928954</v>
      </c>
      <c r="AB466">
        <f ca="1">IF(AND(ISNUMBER($AB$963),$B$511=1),$AB$963,HLOOKUP(INDIRECT(ADDRESS(2,COLUMN())),OFFSET($BN$2,0,0,ROW()-1,60),ROW()-1,FALSE))</f>
        <v>3528.1022320000002</v>
      </c>
      <c r="AC466">
        <f ca="1">IF(AND(ISNUMBER($AC$963),$B$511=1),$AC$963,HLOOKUP(INDIRECT(ADDRESS(2,COLUMN())),OFFSET($BN$2,0,0,ROW()-1,60),ROW()-1,FALSE))</f>
        <v>3261.5761859999998</v>
      </c>
      <c r="AD466">
        <f ca="1">IF(AND(ISNUMBER($AD$963),$B$511=1),$AD$963,HLOOKUP(INDIRECT(ADDRESS(2,COLUMN())),OFFSET($BN$2,0,0,ROW()-1,60),ROW()-1,FALSE))</f>
        <v>2054.421331</v>
      </c>
      <c r="AE466">
        <f ca="1">IF(AND(ISNUMBER($AE$963),$B$511=1),$AE$963,HLOOKUP(INDIRECT(ADDRESS(2,COLUMN())),OFFSET($BN$2,0,0,ROW()-1,60),ROW()-1,FALSE))</f>
        <v>2171.7401759999998</v>
      </c>
      <c r="AF466">
        <f ca="1">IF(AND(ISNUMBER($AF$963),$B$511=1),$AF$963,HLOOKUP(INDIRECT(ADDRESS(2,COLUMN())),OFFSET($BN$2,0,0,ROW()-1,60),ROW()-1,FALSE))</f>
        <v>1765.8134210000001</v>
      </c>
      <c r="AG466">
        <f ca="1">IF(AND(ISNUMBER($AG$963),$B$511=1),$AG$963,HLOOKUP(INDIRECT(ADDRESS(2,COLUMN())),OFFSET($BN$2,0,0,ROW()-1,60),ROW()-1,FALSE))</f>
        <v>2781.175749</v>
      </c>
      <c r="AH466">
        <f ca="1">IF(AND(ISNUMBER($AH$963),$B$511=1),$AH$963,HLOOKUP(INDIRECT(ADDRESS(2,COLUMN())),OFFSET($BN$2,0,0,ROW()-1,60),ROW()-1,FALSE))</f>
        <v>2715.686819</v>
      </c>
      <c r="AI466">
        <f ca="1">IF(AND(ISNUMBER($AI$963),$B$511=1),$AI$963,HLOOKUP(INDIRECT(ADDRESS(2,COLUMN())),OFFSET($BN$2,0,0,ROW()-1,60),ROW()-1,FALSE))</f>
        <v>2286.358874</v>
      </c>
      <c r="AJ466">
        <f ca="1">IF(AND(ISNUMBER($AJ$963),$B$511=1),$AJ$963,HLOOKUP(INDIRECT(ADDRESS(2,COLUMN())),OFFSET($BN$2,0,0,ROW()-1,60),ROW()-1,FALSE))</f>
        <v>2916.9042770000001</v>
      </c>
      <c r="AK466">
        <f ca="1">IF(AND(ISNUMBER($AK$963),$B$511=1),$AK$963,HLOOKUP(INDIRECT(ADDRESS(2,COLUMN())),OFFSET($BN$2,0,0,ROW()-1,60),ROW()-1,FALSE))</f>
        <v>3565.246987</v>
      </c>
      <c r="AL466">
        <f ca="1">IF(AND(ISNUMBER($AL$963),$B$511=1),$AL$963,HLOOKUP(INDIRECT(ADDRESS(2,COLUMN())),OFFSET($BN$2,0,0,ROW()-1,60),ROW()-1,FALSE))</f>
        <v>4162.8172430000004</v>
      </c>
      <c r="AM466">
        <f ca="1">IF(AND(ISNUMBER($AM$963),$B$511=1),$AM$963,HLOOKUP(INDIRECT(ADDRESS(2,COLUMN())),OFFSET($BN$2,0,0,ROW()-1,60),ROW()-1,FALSE))</f>
        <v>3963.9702870000001</v>
      </c>
      <c r="AN466">
        <f ca="1">IF(AND(ISNUMBER($AN$963),$B$511=1),$AN$963,HLOOKUP(INDIRECT(ADDRESS(2,COLUMN())),OFFSET($BN$2,0,0,ROW()-1,60),ROW()-1,FALSE))</f>
        <v>4517.5896860000003</v>
      </c>
      <c r="AO466">
        <f ca="1">IF(AND(ISNUMBER($AO$963),$B$511=1),$AO$963,HLOOKUP(INDIRECT(ADDRESS(2,COLUMN())),OFFSET($BN$2,0,0,ROW()-1,60),ROW()-1,FALSE))</f>
        <v>3647.9193089999999</v>
      </c>
      <c r="AP466">
        <f ca="1">IF(AND(ISNUMBER($AP$963),$B$511=1),$AP$963,HLOOKUP(INDIRECT(ADDRESS(2,COLUMN())),OFFSET($BN$2,0,0,ROW()-1,60),ROW()-1,FALSE))</f>
        <v>5259.3056470000001</v>
      </c>
      <c r="AQ466">
        <f ca="1">IF(AND(ISNUMBER($AQ$963),$B$511=1),$AQ$963,HLOOKUP(INDIRECT(ADDRESS(2,COLUMN())),OFFSET($BN$2,0,0,ROW()-1,60),ROW()-1,FALSE))</f>
        <v>6202.8606579999996</v>
      </c>
      <c r="AR466">
        <f ca="1">IF(AND(ISNUMBER($AR$963),$B$511=1),$AR$963,HLOOKUP(INDIRECT(ADDRESS(2,COLUMN())),OFFSET($BN$2,0,0,ROW()-1,60),ROW()-1,FALSE))</f>
        <v>4060.2266239999999</v>
      </c>
      <c r="AS466">
        <f ca="1">IF(AND(ISNUMBER($AS$963),$B$511=1),$AS$963,HLOOKUP(INDIRECT(ADDRESS(2,COLUMN())),OFFSET($BN$2,0,0,ROW()-1,60),ROW()-1,FALSE))</f>
        <v>3678.7737710000001</v>
      </c>
      <c r="AT466">
        <f ca="1">IF(AND(ISNUMBER($AT$963),$B$511=1),$AT$963,HLOOKUP(INDIRECT(ADDRESS(2,COLUMN())),OFFSET($BN$2,0,0,ROW()-1,60),ROW()-1,FALSE))</f>
        <v>2922.2408390000001</v>
      </c>
      <c r="AU466">
        <f ca="1">IF(AND(ISNUMBER($AU$963),$B$511=1),$AU$963,HLOOKUP(INDIRECT(ADDRESS(2,COLUMN())),OFFSET($BN$2,0,0,ROW()-1,60),ROW()-1,FALSE))</f>
        <v>1712.028423</v>
      </c>
      <c r="AV466">
        <f ca="1">IF(AND(ISNUMBER($AV$963),$B$511=1),$AV$963,HLOOKUP(INDIRECT(ADDRESS(2,COLUMN())),OFFSET($BN$2,0,0,ROW()-1,60),ROW()-1,FALSE))</f>
        <v>1615.974301</v>
      </c>
      <c r="AW466">
        <f ca="1">IF(AND(ISNUMBER($AW$963),$B$511=1),$AW$963,HLOOKUP(INDIRECT(ADDRESS(2,COLUMN())),OFFSET($BN$2,0,0,ROW()-1,60),ROW()-1,FALSE))</f>
        <v>1885.2909850000001</v>
      </c>
      <c r="AX466">
        <f ca="1">IF(AND(ISNUMBER($AX$963),$B$511=1),$AX$963,HLOOKUP(INDIRECT(ADDRESS(2,COLUMN())),OFFSET($BN$2,0,0,ROW()-1,60),ROW()-1,FALSE))</f>
        <v>3082.31603</v>
      </c>
      <c r="AY466">
        <f ca="1">IF(AND(ISNUMBER($AY$963),$B$511=1),$AY$963,HLOOKUP(INDIRECT(ADDRESS(2,COLUMN())),OFFSET($BN$2,0,0,ROW()-1,60),ROW()-1,FALSE))</f>
        <v>4255.8631450000003</v>
      </c>
      <c r="AZ466">
        <f ca="1">IF(AND(ISNUMBER($AZ$963),$B$511=1),$AZ$963,HLOOKUP(INDIRECT(ADDRESS(2,COLUMN())),OFFSET($BN$2,0,0,ROW()-1,60),ROW()-1,FALSE))</f>
        <v>4672.5496599999997</v>
      </c>
      <c r="BA466">
        <f ca="1">IF(AND(ISNUMBER($BA$963),$B$511=1),$BA$963,HLOOKUP(INDIRECT(ADDRESS(2,COLUMN())),OFFSET($BN$2,0,0,ROW()-1,60),ROW()-1,FALSE))</f>
        <v>2330.1305630000002</v>
      </c>
      <c r="BB466">
        <f ca="1">IF(AND(ISNUMBER($BB$963),$B$511=1),$BB$963,HLOOKUP(INDIRECT(ADDRESS(2,COLUMN())),OFFSET($BN$2,0,0,ROW()-1,60),ROW()-1,FALSE))</f>
        <v>1904.297178</v>
      </c>
      <c r="BC466">
        <f ca="1">IF(AND(ISNUMBER($BC$963),$B$511=1),$BC$963,HLOOKUP(INDIRECT(ADDRESS(2,COLUMN())),OFFSET($BN$2,0,0,ROW()-1,60),ROW()-1,FALSE))</f>
        <v>840.32555639999998</v>
      </c>
      <c r="BD466">
        <f ca="1">IF(AND(ISNUMBER($BD$963),$B$511=1),$BD$963,HLOOKUP(INDIRECT(ADDRESS(2,COLUMN())),OFFSET($BN$2,0,0,ROW()-1,60),ROW()-1,FALSE))</f>
        <v>638.30796680000003</v>
      </c>
      <c r="BE466">
        <f ca="1">IF(AND(ISNUMBER($BE$963),$B$511=1),$BE$963,HLOOKUP(INDIRECT(ADDRESS(2,COLUMN())),OFFSET($BN$2,0,0,ROW()-1,60),ROW()-1,FALSE))</f>
        <v>722.71806160000006</v>
      </c>
      <c r="BF466">
        <f ca="1">IF(AND(ISNUMBER($BF$963),$B$511=1),$BF$963,HLOOKUP(INDIRECT(ADDRESS(2,COLUMN())),OFFSET($BN$2,0,0,ROW()-1,60),ROW()-1,FALSE))</f>
        <v>692.23357280000005</v>
      </c>
      <c r="BG466">
        <f ca="1">IF(AND(ISNUMBER($BG$963),$B$511=1),$BG$963,HLOOKUP(INDIRECT(ADDRESS(2,COLUMN())),OFFSET($BN$2,0,0,ROW()-1,60),ROW()-1,FALSE))</f>
        <v>629.20373719999998</v>
      </c>
      <c r="BH466">
        <f ca="1">IF(AND(ISNUMBER($BH$963),$B$511=1),$BH$963,HLOOKUP(INDIRECT(ADDRESS(2,COLUMN())),OFFSET($BN$2,0,0,ROW()-1,60),ROW()-1,FALSE))</f>
        <v>569.18252600000005</v>
      </c>
      <c r="BI466">
        <f ca="1">IF(AND(ISNUMBER($BI$963),$B$511=1),$BI$963,HLOOKUP(INDIRECT(ADDRESS(2,COLUMN())),OFFSET($BN$2,0,0,ROW()-1,60),ROW()-1,FALSE))</f>
        <v>530.93736409999997</v>
      </c>
      <c r="BJ466">
        <f ca="1">IF(AND(ISNUMBER($BJ$963),$B$511=1),$BJ$963,HLOOKUP(INDIRECT(ADDRESS(2,COLUMN())),OFFSET($BN$2,0,0,ROW()-1,60),ROW()-1,FALSE))</f>
        <v>641.05770619999998</v>
      </c>
      <c r="BK466">
        <f ca="1">IF(AND(ISNUMBER($BK$963),$B$511=1),$BK$963,HLOOKUP(INDIRECT(ADDRESS(2,COLUMN())),OFFSET($BN$2,0,0,ROW()-1,60),ROW()-1,FALSE))</f>
        <v>717.73998670000003</v>
      </c>
      <c r="BL466">
        <f ca="1">IF(AND(ISNUMBER($BL$963),$B$511=1),$BL$963,HLOOKUP(INDIRECT(ADDRESS(2,COLUMN())),OFFSET($BN$2,0,0,ROW()-1,60),ROW()-1,FALSE))</f>
        <v>1140.518335</v>
      </c>
      <c r="BM466">
        <f ca="1">IF(AND(ISNUMBER($BM$963),$B$511=1),$BM$963,HLOOKUP(INDIRECT(ADDRESS(2,COLUMN())),OFFSET($BN$2,0,0,ROW()-1,60),ROW()-1,FALSE))</f>
        <v>1217.208361</v>
      </c>
      <c r="BN466">
        <f>1951.293527</f>
        <v>1951.293527</v>
      </c>
      <c r="BO466">
        <f>1566.405455</f>
        <v>1566.4054550000001</v>
      </c>
      <c r="BP466">
        <f>1561.372669</f>
        <v>1561.3726690000001</v>
      </c>
      <c r="BQ466">
        <f>1837.844774</f>
        <v>1837.8447739999999</v>
      </c>
      <c r="BR466">
        <f>2640.028626</f>
        <v>2640.0286259999998</v>
      </c>
      <c r="BS466">
        <f>2691.364286</f>
        <v>2691.364286</v>
      </c>
      <c r="BT466">
        <f>3375.243033</f>
        <v>3375.2430330000002</v>
      </c>
      <c r="BU466">
        <f>2446.626805</f>
        <v>2446.6268049999999</v>
      </c>
      <c r="BV466">
        <f>2782.8603</f>
        <v>2782.8602999999998</v>
      </c>
      <c r="BW466">
        <f>2549.234837</f>
        <v>2549.234837</v>
      </c>
      <c r="BX466">
        <f>2556.129337</f>
        <v>2556.1293369999999</v>
      </c>
      <c r="BY466">
        <f>2660.856237</f>
        <v>2660.856237</v>
      </c>
      <c r="BZ466">
        <f>3553.779813</f>
        <v>3553.7798130000001</v>
      </c>
      <c r="CA466">
        <f>4106.693642</f>
        <v>4106.6936420000002</v>
      </c>
      <c r="CB466">
        <f>3724.519889</f>
        <v>3724.5198890000001</v>
      </c>
      <c r="CC466">
        <f>6532.580463</f>
        <v>6532.5804630000002</v>
      </c>
      <c r="CD466">
        <f>5143.755543</f>
        <v>5143.7555430000002</v>
      </c>
      <c r="CE466">
        <f>3969.512195</f>
        <v>3969.5121949999998</v>
      </c>
      <c r="CF466">
        <f>2943.085921</f>
        <v>2943.0859209999999</v>
      </c>
      <c r="CG466">
        <f>2518.294059</f>
        <v>2518.2940589999998</v>
      </c>
      <c r="CH466">
        <f>2643.362547</f>
        <v>2643.3625470000002</v>
      </c>
      <c r="CI466">
        <f>3199.928954</f>
        <v>3199.928954</v>
      </c>
      <c r="CJ466">
        <f>3528.102232</f>
        <v>3528.1022320000002</v>
      </c>
      <c r="CK466">
        <f>3261.576186</f>
        <v>3261.5761859999998</v>
      </c>
      <c r="CL466">
        <f>2054.421331</f>
        <v>2054.421331</v>
      </c>
      <c r="CM466">
        <f>2171.740176</f>
        <v>2171.7401759999998</v>
      </c>
      <c r="CN466">
        <f>1765.813421</f>
        <v>1765.8134210000001</v>
      </c>
      <c r="CO466">
        <f>2781.175749</f>
        <v>2781.175749</v>
      </c>
      <c r="CP466">
        <f>2715.686819</f>
        <v>2715.686819</v>
      </c>
      <c r="CQ466">
        <f>2286.358874</f>
        <v>2286.358874</v>
      </c>
      <c r="CR466">
        <f>2916.904277</f>
        <v>2916.9042770000001</v>
      </c>
      <c r="CS466">
        <f>3565.246987</f>
        <v>3565.246987</v>
      </c>
      <c r="CT466">
        <f>4162.817243</f>
        <v>4162.8172430000004</v>
      </c>
      <c r="CU466">
        <f>3963.970287</f>
        <v>3963.9702870000001</v>
      </c>
      <c r="CV466">
        <f>4517.589686</f>
        <v>4517.5896860000003</v>
      </c>
      <c r="CW466">
        <f>3647.919309</f>
        <v>3647.9193089999999</v>
      </c>
      <c r="CX466">
        <f>5259.305647</f>
        <v>5259.3056470000001</v>
      </c>
      <c r="CY466">
        <f>6202.860658</f>
        <v>6202.8606579999996</v>
      </c>
      <c r="CZ466">
        <f>4060.226624</f>
        <v>4060.2266239999999</v>
      </c>
      <c r="DA466">
        <f>3678.773771</f>
        <v>3678.7737710000001</v>
      </c>
      <c r="DB466">
        <f>2922.240839</f>
        <v>2922.2408390000001</v>
      </c>
      <c r="DC466">
        <f>1712.028423</f>
        <v>1712.028423</v>
      </c>
      <c r="DD466">
        <f>1615.974301</f>
        <v>1615.974301</v>
      </c>
      <c r="DE466">
        <f>1885.290985</f>
        <v>1885.2909850000001</v>
      </c>
      <c r="DF466">
        <f>3082.31603</f>
        <v>3082.31603</v>
      </c>
      <c r="DG466">
        <f>4255.863145</f>
        <v>4255.8631450000003</v>
      </c>
      <c r="DH466">
        <f>4672.54966</f>
        <v>4672.5496599999997</v>
      </c>
      <c r="DI466">
        <f>2330.130563</f>
        <v>2330.1305630000002</v>
      </c>
      <c r="DJ466">
        <f>1904.297178</f>
        <v>1904.297178</v>
      </c>
      <c r="DK466">
        <f>840.3255564</f>
        <v>840.32555639999998</v>
      </c>
      <c r="DL466">
        <f>638.3079668</f>
        <v>638.30796680000003</v>
      </c>
      <c r="DM466">
        <f>722.7180616</f>
        <v>722.71806160000006</v>
      </c>
      <c r="DN466">
        <f>692.2335728</f>
        <v>692.23357280000005</v>
      </c>
      <c r="DO466">
        <f>629.2037372</f>
        <v>629.20373719999998</v>
      </c>
      <c r="DP466">
        <f>569.182526</f>
        <v>569.18252600000005</v>
      </c>
      <c r="DQ466">
        <f>530.9373641</f>
        <v>530.93736409999997</v>
      </c>
      <c r="DR466">
        <f>641.0577062</f>
        <v>641.05770619999998</v>
      </c>
      <c r="DS466">
        <f>717.7399867</f>
        <v>717.73998670000003</v>
      </c>
      <c r="DT466">
        <f>1140.518335</f>
        <v>1140.518335</v>
      </c>
      <c r="DU466">
        <f>1217.208361</f>
        <v>1217.208361</v>
      </c>
    </row>
    <row r="467" spans="1:125" x14ac:dyDescent="0.25">
      <c r="A467" t="str">
        <f>"    Fiat Chrysler Automobiles NV"</f>
        <v xml:space="preserve">    Fiat Chrysler Automobiles NV</v>
      </c>
      <c r="B467" t="str">
        <f>"FCAU US Equity"</f>
        <v>FCAU US Equity</v>
      </c>
      <c r="C467" t="str">
        <f t="shared" si="33"/>
        <v>RR902</v>
      </c>
      <c r="D467" t="str">
        <f t="shared" si="34"/>
        <v>CUR_MKT_CAP</v>
      </c>
      <c r="E467" t="str">
        <f t="shared" si="35"/>
        <v>Dynamic</v>
      </c>
      <c r="F467">
        <f ca="1">IF(AND(ISNUMBER($F$964),$B$511=1),$F$964,HLOOKUP(INDIRECT(ADDRESS(2,COLUMN())),OFFSET($BN$2,0,0,ROW()-1,60),ROW()-1,FALSE))</f>
        <v>23197.238740000001</v>
      </c>
      <c r="G467">
        <f ca="1">IF(AND(ISNUMBER($G$964),$B$511=1),$G$964,HLOOKUP(INDIRECT(ADDRESS(2,COLUMN())),OFFSET($BN$2,0,0,ROW()-1,60),ROW()-1,FALSE))</f>
        <v>22421.929960000001</v>
      </c>
      <c r="H467">
        <f ca="1">IF(AND(ISNUMBER($H$964),$B$511=1),$H$964,HLOOKUP(INDIRECT(ADDRESS(2,COLUMN())),OFFSET($BN$2,0,0,ROW()-1,60),ROW()-1,FALSE))</f>
        <v>27151.313529999999</v>
      </c>
      <c r="I467">
        <f ca="1">IF(AND(ISNUMBER($I$964),$B$511=1),$I$964,HLOOKUP(INDIRECT(ADDRESS(2,COLUMN())),OFFSET($BN$2,0,0,ROW()-1,60),ROW()-1,FALSE))</f>
        <v>29291.16577</v>
      </c>
      <c r="J467">
        <f ca="1">IF(AND(ISNUMBER($J$964),$B$511=1),$J$964,HLOOKUP(INDIRECT(ADDRESS(2,COLUMN())),OFFSET($BN$2,0,0,ROW()-1,60),ROW()-1,FALSE))</f>
        <v>31602.640439999999</v>
      </c>
      <c r="K467">
        <f ca="1">IF(AND(ISNUMBER($K$964),$B$511=1),$K$964,HLOOKUP(INDIRECT(ADDRESS(2,COLUMN())),OFFSET($BN$2,0,0,ROW()-1,60),ROW()-1,FALSE))</f>
        <v>27475.200069999999</v>
      </c>
      <c r="L467">
        <f ca="1">IF(AND(ISNUMBER($L$964),$B$511=1),$L$964,HLOOKUP(INDIRECT(ADDRESS(2,COLUMN())),OFFSET($BN$2,0,0,ROW()-1,60),ROW()-1,FALSE))</f>
        <v>27532.93894</v>
      </c>
      <c r="M467">
        <f ca="1">IF(AND(ISNUMBER($M$964),$B$511=1),$M$964,HLOOKUP(INDIRECT(ADDRESS(2,COLUMN())),OFFSET($BN$2,0,0,ROW()-1,60),ROW()-1,FALSE))</f>
        <v>16341.437239999999</v>
      </c>
      <c r="N467">
        <f ca="1">IF(AND(ISNUMBER($N$964),$B$511=1),$N$964,HLOOKUP(INDIRECT(ADDRESS(2,COLUMN())),OFFSET($BN$2,0,0,ROW()-1,60),ROW()-1,FALSE))</f>
        <v>16700.958610000001</v>
      </c>
      <c r="O467">
        <f ca="1">IF(AND(ISNUMBER($O$964),$B$511=1),$O$964,HLOOKUP(INDIRECT(ADDRESS(2,COLUMN())),OFFSET($BN$2,0,0,ROW()-1,60),ROW()-1,FALSE))</f>
        <v>13935.04717</v>
      </c>
      <c r="P467">
        <f ca="1">IF(AND(ISNUMBER($P$964),$B$511=1),$P$964,HLOOKUP(INDIRECT(ADDRESS(2,COLUMN())),OFFSET($BN$2,0,0,ROW()-1,60),ROW()-1,FALSE))</f>
        <v>8250.0874999999996</v>
      </c>
      <c r="Q467">
        <f ca="1">IF(AND(ISNUMBER($Q$964),$B$511=1),$Q$964,HLOOKUP(INDIRECT(ADDRESS(2,COLUMN())),OFFSET($BN$2,0,0,ROW()-1,60),ROW()-1,FALSE))</f>
        <v>7888.6426460000002</v>
      </c>
      <c r="R467">
        <f ca="1">IF(AND(ISNUMBER($R$964),$B$511=1),$R$964,HLOOKUP(INDIRECT(ADDRESS(2,COLUMN())),OFFSET($BN$2,0,0,ROW()-1,60),ROW()-1,FALSE))</f>
        <v>10389.29081</v>
      </c>
      <c r="S467">
        <f ca="1">IF(AND(ISNUMBER($S$964),$B$511=1),$S$964,HLOOKUP(INDIRECT(ADDRESS(2,COLUMN())),OFFSET($BN$2,0,0,ROW()-1,60),ROW()-1,FALSE))</f>
        <v>18032.495210000001</v>
      </c>
      <c r="T467">
        <f ca="1">IF(AND(ISNUMBER($T$964),$B$511=1),$T$964,HLOOKUP(INDIRECT(ADDRESS(2,COLUMN())),OFFSET($BN$2,0,0,ROW()-1,60),ROW()-1,FALSE))</f>
        <v>17026.57573</v>
      </c>
      <c r="U467">
        <f ca="1">IF(AND(ISNUMBER($U$964),$B$511=1),$U$964,HLOOKUP(INDIRECT(ADDRESS(2,COLUMN())),OFFSET($BN$2,0,0,ROW()-1,60),ROW()-1,FALSE))</f>
        <v>18727.944390000001</v>
      </c>
      <c r="V467">
        <f ca="1">IF(AND(ISNUMBER($V$964),$B$511=1),$V$964,HLOOKUP(INDIRECT(ADDRESS(2,COLUMN())),OFFSET($BN$2,0,0,ROW()-1,60),ROW()-1,FALSE))</f>
        <v>20995.487499999999</v>
      </c>
      <c r="W467">
        <f ca="1">IF(AND(ISNUMBER($W$964),$B$511=1),$W$964,HLOOKUP(INDIRECT(ADDRESS(2,COLUMN())),OFFSET($BN$2,0,0,ROW()-1,60),ROW()-1,FALSE))</f>
        <v>14879.36845</v>
      </c>
      <c r="X467" t="str">
        <f ca="1">IF(AND(ISNUMBER($X$964),$B$511=1),$X$964,HLOOKUP(INDIRECT(ADDRESS(2,COLUMN())),OFFSET($BN$2,0,0,ROW()-1,60),ROW()-1,FALSE))</f>
        <v/>
      </c>
      <c r="Y467" t="str">
        <f ca="1">IF(AND(ISNUMBER($Y$964),$B$511=1),$Y$964,HLOOKUP(INDIRECT(ADDRESS(2,COLUMN())),OFFSET($BN$2,0,0,ROW()-1,60),ROW()-1,FALSE))</f>
        <v/>
      </c>
      <c r="Z467" t="str">
        <f ca="1">IF(AND(ISNUMBER($Z$964),$B$511=1),$Z$964,HLOOKUP(INDIRECT(ADDRESS(2,COLUMN())),OFFSET($BN$2,0,0,ROW()-1,60),ROW()-1,FALSE))</f>
        <v/>
      </c>
      <c r="AA467" t="str">
        <f ca="1">IF(AND(ISNUMBER($AA$964),$B$511=1),$AA$964,HLOOKUP(INDIRECT(ADDRESS(2,COLUMN())),OFFSET($BN$2,0,0,ROW()-1,60),ROW()-1,FALSE))</f>
        <v/>
      </c>
      <c r="AB467" t="str">
        <f ca="1">IF(AND(ISNUMBER($AB$964),$B$511=1),$AB$964,HLOOKUP(INDIRECT(ADDRESS(2,COLUMN())),OFFSET($BN$2,0,0,ROW()-1,60),ROW()-1,FALSE))</f>
        <v/>
      </c>
      <c r="AC467" t="str">
        <f ca="1">IF(AND(ISNUMBER($AC$964),$B$511=1),$AC$964,HLOOKUP(INDIRECT(ADDRESS(2,COLUMN())),OFFSET($BN$2,0,0,ROW()-1,60),ROW()-1,FALSE))</f>
        <v/>
      </c>
      <c r="AD467" t="str">
        <f ca="1">IF(AND(ISNUMBER($AD$964),$B$511=1),$AD$964,HLOOKUP(INDIRECT(ADDRESS(2,COLUMN())),OFFSET($BN$2,0,0,ROW()-1,60),ROW()-1,FALSE))</f>
        <v/>
      </c>
      <c r="AE467" t="str">
        <f ca="1">IF(AND(ISNUMBER($AE$964),$B$511=1),$AE$964,HLOOKUP(INDIRECT(ADDRESS(2,COLUMN())),OFFSET($BN$2,0,0,ROW()-1,60),ROW()-1,FALSE))</f>
        <v/>
      </c>
      <c r="AF467" t="str">
        <f ca="1">IF(AND(ISNUMBER($AF$964),$B$511=1),$AF$964,HLOOKUP(INDIRECT(ADDRESS(2,COLUMN())),OFFSET($BN$2,0,0,ROW()-1,60),ROW()-1,FALSE))</f>
        <v/>
      </c>
      <c r="AG467" t="str">
        <f ca="1">IF(AND(ISNUMBER($AG$964),$B$511=1),$AG$964,HLOOKUP(INDIRECT(ADDRESS(2,COLUMN())),OFFSET($BN$2,0,0,ROW()-1,60),ROW()-1,FALSE))</f>
        <v/>
      </c>
      <c r="AH467" t="str">
        <f ca="1">IF(AND(ISNUMBER($AH$964),$B$511=1),$AH$964,HLOOKUP(INDIRECT(ADDRESS(2,COLUMN())),OFFSET($BN$2,0,0,ROW()-1,60),ROW()-1,FALSE))</f>
        <v/>
      </c>
      <c r="AI467" t="str">
        <f ca="1">IF(AND(ISNUMBER($AI$964),$B$511=1),$AI$964,HLOOKUP(INDIRECT(ADDRESS(2,COLUMN())),OFFSET($BN$2,0,0,ROW()-1,60),ROW()-1,FALSE))</f>
        <v/>
      </c>
      <c r="AJ467" t="str">
        <f ca="1">IF(AND(ISNUMBER($AJ$964),$B$511=1),$AJ$964,HLOOKUP(INDIRECT(ADDRESS(2,COLUMN())),OFFSET($BN$2,0,0,ROW()-1,60),ROW()-1,FALSE))</f>
        <v/>
      </c>
      <c r="AK467" t="str">
        <f ca="1">IF(AND(ISNUMBER($AK$964),$B$511=1),$AK$964,HLOOKUP(INDIRECT(ADDRESS(2,COLUMN())),OFFSET($BN$2,0,0,ROW()-1,60),ROW()-1,FALSE))</f>
        <v/>
      </c>
      <c r="AL467" t="str">
        <f ca="1">IF(AND(ISNUMBER($AL$964),$B$511=1),$AL$964,HLOOKUP(INDIRECT(ADDRESS(2,COLUMN())),OFFSET($BN$2,0,0,ROW()-1,60),ROW()-1,FALSE))</f>
        <v/>
      </c>
      <c r="AM467" t="str">
        <f ca="1">IF(AND(ISNUMBER($AM$964),$B$511=1),$AM$964,HLOOKUP(INDIRECT(ADDRESS(2,COLUMN())),OFFSET($BN$2,0,0,ROW()-1,60),ROW()-1,FALSE))</f>
        <v/>
      </c>
      <c r="AN467" t="str">
        <f ca="1">IF(AND(ISNUMBER($AN$964),$B$511=1),$AN$964,HLOOKUP(INDIRECT(ADDRESS(2,COLUMN())),OFFSET($BN$2,0,0,ROW()-1,60),ROW()-1,FALSE))</f>
        <v/>
      </c>
      <c r="AO467" t="str">
        <f ca="1">IF(AND(ISNUMBER($AO$964),$B$511=1),$AO$964,HLOOKUP(INDIRECT(ADDRESS(2,COLUMN())),OFFSET($BN$2,0,0,ROW()-1,60),ROW()-1,FALSE))</f>
        <v/>
      </c>
      <c r="AP467" t="str">
        <f ca="1">IF(AND(ISNUMBER($AP$964),$B$511=1),$AP$964,HLOOKUP(INDIRECT(ADDRESS(2,COLUMN())),OFFSET($BN$2,0,0,ROW()-1,60),ROW()-1,FALSE))</f>
        <v/>
      </c>
      <c r="AQ467" t="str">
        <f ca="1">IF(AND(ISNUMBER($AQ$964),$B$511=1),$AQ$964,HLOOKUP(INDIRECT(ADDRESS(2,COLUMN())),OFFSET($BN$2,0,0,ROW()-1,60),ROW()-1,FALSE))</f>
        <v/>
      </c>
      <c r="AR467" t="str">
        <f ca="1">IF(AND(ISNUMBER($AR$964),$B$511=1),$AR$964,HLOOKUP(INDIRECT(ADDRESS(2,COLUMN())),OFFSET($BN$2,0,0,ROW()-1,60),ROW()-1,FALSE))</f>
        <v/>
      </c>
      <c r="AS467" t="str">
        <f ca="1">IF(AND(ISNUMBER($AS$964),$B$511=1),$AS$964,HLOOKUP(INDIRECT(ADDRESS(2,COLUMN())),OFFSET($BN$2,0,0,ROW()-1,60),ROW()-1,FALSE))</f>
        <v/>
      </c>
      <c r="AT467" t="str">
        <f ca="1">IF(AND(ISNUMBER($AT$964),$B$511=1),$AT$964,HLOOKUP(INDIRECT(ADDRESS(2,COLUMN())),OFFSET($BN$2,0,0,ROW()-1,60),ROW()-1,FALSE))</f>
        <v/>
      </c>
      <c r="AU467" t="str">
        <f ca="1">IF(AND(ISNUMBER($AU$964),$B$511=1),$AU$964,HLOOKUP(INDIRECT(ADDRESS(2,COLUMN())),OFFSET($BN$2,0,0,ROW()-1,60),ROW()-1,FALSE))</f>
        <v/>
      </c>
      <c r="AV467" t="str">
        <f ca="1">IF(AND(ISNUMBER($AV$964),$B$511=1),$AV$964,HLOOKUP(INDIRECT(ADDRESS(2,COLUMN())),OFFSET($BN$2,0,0,ROW()-1,60),ROW()-1,FALSE))</f>
        <v/>
      </c>
      <c r="AW467" t="str">
        <f ca="1">IF(AND(ISNUMBER($AW$964),$B$511=1),$AW$964,HLOOKUP(INDIRECT(ADDRESS(2,COLUMN())),OFFSET($BN$2,0,0,ROW()-1,60),ROW()-1,FALSE))</f>
        <v/>
      </c>
      <c r="AX467" t="str">
        <f ca="1">IF(AND(ISNUMBER($AX$964),$B$511=1),$AX$964,HLOOKUP(INDIRECT(ADDRESS(2,COLUMN())),OFFSET($BN$2,0,0,ROW()-1,60),ROW()-1,FALSE))</f>
        <v/>
      </c>
      <c r="AY467" t="str">
        <f ca="1">IF(AND(ISNUMBER($AY$964),$B$511=1),$AY$964,HLOOKUP(INDIRECT(ADDRESS(2,COLUMN())),OFFSET($BN$2,0,0,ROW()-1,60),ROW()-1,FALSE))</f>
        <v/>
      </c>
      <c r="AZ467" t="str">
        <f ca="1">IF(AND(ISNUMBER($AZ$964),$B$511=1),$AZ$964,HLOOKUP(INDIRECT(ADDRESS(2,COLUMN())),OFFSET($BN$2,0,0,ROW()-1,60),ROW()-1,FALSE))</f>
        <v/>
      </c>
      <c r="BA467" t="str">
        <f ca="1">IF(AND(ISNUMBER($BA$964),$B$511=1),$BA$964,HLOOKUP(INDIRECT(ADDRESS(2,COLUMN())),OFFSET($BN$2,0,0,ROW()-1,60),ROW()-1,FALSE))</f>
        <v/>
      </c>
      <c r="BB467" t="str">
        <f ca="1">IF(AND(ISNUMBER($BB$964),$B$511=1),$BB$964,HLOOKUP(INDIRECT(ADDRESS(2,COLUMN())),OFFSET($BN$2,0,0,ROW()-1,60),ROW()-1,FALSE))</f>
        <v/>
      </c>
      <c r="BC467" t="str">
        <f ca="1">IF(AND(ISNUMBER($BC$964),$B$511=1),$BC$964,HLOOKUP(INDIRECT(ADDRESS(2,COLUMN())),OFFSET($BN$2,0,0,ROW()-1,60),ROW()-1,FALSE))</f>
        <v/>
      </c>
      <c r="BD467" t="str">
        <f ca="1">IF(AND(ISNUMBER($BD$964),$B$511=1),$BD$964,HLOOKUP(INDIRECT(ADDRESS(2,COLUMN())),OFFSET($BN$2,0,0,ROW()-1,60),ROW()-1,FALSE))</f>
        <v/>
      </c>
      <c r="BE467" t="str">
        <f ca="1">IF(AND(ISNUMBER($BE$964),$B$511=1),$BE$964,HLOOKUP(INDIRECT(ADDRESS(2,COLUMN())),OFFSET($BN$2,0,0,ROW()-1,60),ROW()-1,FALSE))</f>
        <v/>
      </c>
      <c r="BF467" t="str">
        <f ca="1">IF(AND(ISNUMBER($BF$964),$B$511=1),$BF$964,HLOOKUP(INDIRECT(ADDRESS(2,COLUMN())),OFFSET($BN$2,0,0,ROW()-1,60),ROW()-1,FALSE))</f>
        <v/>
      </c>
      <c r="BG467" t="str">
        <f ca="1">IF(AND(ISNUMBER($BG$964),$B$511=1),$BG$964,HLOOKUP(INDIRECT(ADDRESS(2,COLUMN())),OFFSET($BN$2,0,0,ROW()-1,60),ROW()-1,FALSE))</f>
        <v/>
      </c>
      <c r="BH467" t="str">
        <f ca="1">IF(AND(ISNUMBER($BH$964),$B$511=1),$BH$964,HLOOKUP(INDIRECT(ADDRESS(2,COLUMN())),OFFSET($BN$2,0,0,ROW()-1,60),ROW()-1,FALSE))</f>
        <v/>
      </c>
      <c r="BI467" t="str">
        <f ca="1">IF(AND(ISNUMBER($BI$964),$B$511=1),$BI$964,HLOOKUP(INDIRECT(ADDRESS(2,COLUMN())),OFFSET($BN$2,0,0,ROW()-1,60),ROW()-1,FALSE))</f>
        <v/>
      </c>
      <c r="BJ467" t="str">
        <f ca="1">IF(AND(ISNUMBER($BJ$964),$B$511=1),$BJ$964,HLOOKUP(INDIRECT(ADDRESS(2,COLUMN())),OFFSET($BN$2,0,0,ROW()-1,60),ROW()-1,FALSE))</f>
        <v/>
      </c>
      <c r="BK467" t="str">
        <f ca="1">IF(AND(ISNUMBER($BK$964),$B$511=1),$BK$964,HLOOKUP(INDIRECT(ADDRESS(2,COLUMN())),OFFSET($BN$2,0,0,ROW()-1,60),ROW()-1,FALSE))</f>
        <v/>
      </c>
      <c r="BL467" t="str">
        <f ca="1">IF(AND(ISNUMBER($BL$964),$B$511=1),$BL$964,HLOOKUP(INDIRECT(ADDRESS(2,COLUMN())),OFFSET($BN$2,0,0,ROW()-1,60),ROW()-1,FALSE))</f>
        <v/>
      </c>
      <c r="BM467" t="str">
        <f ca="1">IF(AND(ISNUMBER($BM$964),$B$511=1),$BM$964,HLOOKUP(INDIRECT(ADDRESS(2,COLUMN())),OFFSET($BN$2,0,0,ROW()-1,60),ROW()-1,FALSE))</f>
        <v/>
      </c>
      <c r="BN467">
        <f>23197.23874</f>
        <v>23197.238740000001</v>
      </c>
      <c r="BO467">
        <f>22421.92996</f>
        <v>22421.929960000001</v>
      </c>
      <c r="BP467">
        <f>27151.31353</f>
        <v>27151.313529999999</v>
      </c>
      <c r="BQ467">
        <f>29291.16577</f>
        <v>29291.16577</v>
      </c>
      <c r="BR467">
        <f>31602.64044</f>
        <v>31602.640439999999</v>
      </c>
      <c r="BS467">
        <f>27475.20007</f>
        <v>27475.200069999999</v>
      </c>
      <c r="BT467">
        <f>27532.93894</f>
        <v>27532.93894</v>
      </c>
      <c r="BU467">
        <f>16341.43724</f>
        <v>16341.437239999999</v>
      </c>
      <c r="BV467">
        <f>16700.95861</f>
        <v>16700.958610000001</v>
      </c>
      <c r="BW467">
        <f>13935.04717</f>
        <v>13935.04717</v>
      </c>
      <c r="BX467">
        <f>8250.0875</f>
        <v>8250.0874999999996</v>
      </c>
      <c r="BY467">
        <f>7888.642646</f>
        <v>7888.6426460000002</v>
      </c>
      <c r="BZ467">
        <f>10389.29081</f>
        <v>10389.29081</v>
      </c>
      <c r="CA467">
        <f>18032.49521</f>
        <v>18032.495210000001</v>
      </c>
      <c r="CB467">
        <f>17026.57573</f>
        <v>17026.57573</v>
      </c>
      <c r="CC467">
        <f>18727.94439</f>
        <v>18727.944390000001</v>
      </c>
      <c r="CD467">
        <f>20995.4875</f>
        <v>20995.487499999999</v>
      </c>
      <c r="CE467">
        <f>14879.36845</f>
        <v>14879.36845</v>
      </c>
      <c r="CF467" t="str">
        <f>""</f>
        <v/>
      </c>
      <c r="CG467" t="str">
        <f>""</f>
        <v/>
      </c>
      <c r="CH467" t="str">
        <f>""</f>
        <v/>
      </c>
      <c r="CI467" t="str">
        <f>""</f>
        <v/>
      </c>
      <c r="CJ467" t="str">
        <f>""</f>
        <v/>
      </c>
      <c r="CK467" t="str">
        <f>""</f>
        <v/>
      </c>
      <c r="CL467" t="str">
        <f>""</f>
        <v/>
      </c>
      <c r="CM467" t="str">
        <f>""</f>
        <v/>
      </c>
      <c r="CN467" t="str">
        <f>""</f>
        <v/>
      </c>
      <c r="CO467" t="str">
        <f>""</f>
        <v/>
      </c>
      <c r="CP467" t="str">
        <f>""</f>
        <v/>
      </c>
      <c r="CQ467" t="str">
        <f>""</f>
        <v/>
      </c>
      <c r="CR467" t="str">
        <f>""</f>
        <v/>
      </c>
      <c r="CS467" t="str">
        <f>""</f>
        <v/>
      </c>
      <c r="CT467" t="str">
        <f>""</f>
        <v/>
      </c>
      <c r="CU467" t="str">
        <f>""</f>
        <v/>
      </c>
      <c r="CV467" t="str">
        <f>""</f>
        <v/>
      </c>
      <c r="CW467" t="str">
        <f>""</f>
        <v/>
      </c>
      <c r="CX467" t="str">
        <f>""</f>
        <v/>
      </c>
      <c r="CY467" t="str">
        <f>""</f>
        <v/>
      </c>
      <c r="CZ467" t="str">
        <f>""</f>
        <v/>
      </c>
      <c r="DA467" t="str">
        <f>""</f>
        <v/>
      </c>
      <c r="DB467" t="str">
        <f>""</f>
        <v/>
      </c>
      <c r="DC467" t="str">
        <f>""</f>
        <v/>
      </c>
      <c r="DD467" t="str">
        <f>""</f>
        <v/>
      </c>
      <c r="DE467" t="str">
        <f>""</f>
        <v/>
      </c>
      <c r="DF467" t="str">
        <f>""</f>
        <v/>
      </c>
      <c r="DG467" t="str">
        <f>""</f>
        <v/>
      </c>
      <c r="DH467" t="str">
        <f>""</f>
        <v/>
      </c>
      <c r="DI467" t="str">
        <f>""</f>
        <v/>
      </c>
      <c r="DJ467" t="str">
        <f>""</f>
        <v/>
      </c>
      <c r="DK467" t="str">
        <f>""</f>
        <v/>
      </c>
      <c r="DL467" t="str">
        <f>""</f>
        <v/>
      </c>
      <c r="DM467" t="str">
        <f>""</f>
        <v/>
      </c>
      <c r="DN467" t="str">
        <f>""</f>
        <v/>
      </c>
      <c r="DO467" t="str">
        <f>""</f>
        <v/>
      </c>
      <c r="DP467" t="str">
        <f>""</f>
        <v/>
      </c>
      <c r="DQ467" t="str">
        <f>""</f>
        <v/>
      </c>
      <c r="DR467" t="str">
        <f>""</f>
        <v/>
      </c>
      <c r="DS467" t="str">
        <f>""</f>
        <v/>
      </c>
      <c r="DT467" t="str">
        <f>""</f>
        <v/>
      </c>
      <c r="DU467" t="str">
        <f>""</f>
        <v/>
      </c>
    </row>
    <row r="468" spans="1:125" x14ac:dyDescent="0.25">
      <c r="A468" t="str">
        <f>"    Ford Motor Co"</f>
        <v xml:space="preserve">    Ford Motor Co</v>
      </c>
      <c r="B468" t="str">
        <f>"F US Equity"</f>
        <v>F US Equity</v>
      </c>
      <c r="C468" t="str">
        <f t="shared" si="33"/>
        <v>RR902</v>
      </c>
      <c r="D468" t="str">
        <f t="shared" si="34"/>
        <v>CUR_MKT_CAP</v>
      </c>
      <c r="E468" t="str">
        <f t="shared" si="35"/>
        <v>Dynamic</v>
      </c>
      <c r="F468">
        <f ca="1">IF(AND(ISNUMBER($F$965),$B$511=1),$F$965,HLOOKUP(INDIRECT(ADDRESS(2,COLUMN())),OFFSET($BN$2,0,0,ROW()-1,60),ROW()-1,FALSE))</f>
        <v>34653.18563</v>
      </c>
      <c r="G468">
        <f ca="1">IF(AND(ISNUMBER($G$965),$B$511=1),$G$965,HLOOKUP(INDIRECT(ADDRESS(2,COLUMN())),OFFSET($BN$2,0,0,ROW()-1,60),ROW()-1,FALSE))</f>
        <v>30430.960899999998</v>
      </c>
      <c r="H468">
        <f ca="1">IF(AND(ISNUMBER($H$965),$B$511=1),$H$965,HLOOKUP(INDIRECT(ADDRESS(2,COLUMN())),OFFSET($BN$2,0,0,ROW()-1,60),ROW()-1,FALSE))</f>
        <v>36867.970480000004</v>
      </c>
      <c r="I468">
        <f ca="1">IF(AND(ISNUMBER($I$965),$B$511=1),$I$965,HLOOKUP(INDIRECT(ADDRESS(2,COLUMN())),OFFSET($BN$2,0,0,ROW()-1,60),ROW()-1,FALSE))</f>
        <v>44113.437059999997</v>
      </c>
      <c r="J468">
        <f ca="1">IF(AND(ISNUMBER($J$965),$B$511=1),$J$965,HLOOKUP(INDIRECT(ADDRESS(2,COLUMN())),OFFSET($BN$2,0,0,ROW()-1,60),ROW()-1,FALSE))</f>
        <v>44024.736349999999</v>
      </c>
      <c r="K468">
        <f ca="1">IF(AND(ISNUMBER($K$965),$B$511=1),$K$965,HLOOKUP(INDIRECT(ADDRESS(2,COLUMN())),OFFSET($BN$2,0,0,ROW()-1,60),ROW()-1,FALSE))</f>
        <v>49614.054380000001</v>
      </c>
      <c r="L468">
        <f ca="1">IF(AND(ISNUMBER($L$965),$B$511=1),$L$965,HLOOKUP(INDIRECT(ADDRESS(2,COLUMN())),OFFSET($BN$2,0,0,ROW()-1,60),ROW()-1,FALSE))</f>
        <v>47541.909039999999</v>
      </c>
      <c r="M468">
        <f ca="1">IF(AND(ISNUMBER($M$965),$B$511=1),$M$965,HLOOKUP(INDIRECT(ADDRESS(2,COLUMN())),OFFSET($BN$2,0,0,ROW()-1,60),ROW()-1,FALSE))</f>
        <v>44558.426780000002</v>
      </c>
      <c r="N468">
        <f ca="1">IF(AND(ISNUMBER($N$965),$B$511=1),$N$965,HLOOKUP(INDIRECT(ADDRESS(2,COLUMN())),OFFSET($BN$2,0,0,ROW()-1,60),ROW()-1,FALSE))</f>
        <v>46349.289550000001</v>
      </c>
      <c r="O468">
        <f ca="1">IF(AND(ISNUMBER($O$965),$B$511=1),$O$965,HLOOKUP(INDIRECT(ADDRESS(2,COLUMN())),OFFSET($BN$2,0,0,ROW()-1,60),ROW()-1,FALSE))</f>
        <v>48201.158369999997</v>
      </c>
      <c r="P468">
        <f ca="1">IF(AND(ISNUMBER($P$965),$B$511=1),$P$965,HLOOKUP(INDIRECT(ADDRESS(2,COLUMN())),OFFSET($BN$2,0,0,ROW()-1,60),ROW()-1,FALSE))</f>
        <v>47957.015800000001</v>
      </c>
      <c r="Q468">
        <f ca="1">IF(AND(ISNUMBER($Q$965),$B$511=1),$Q$965,HLOOKUP(INDIRECT(ADDRESS(2,COLUMN())),OFFSET($BN$2,0,0,ROW()-1,60),ROW()-1,FALSE))</f>
        <v>49938.538820000002</v>
      </c>
      <c r="R468">
        <f ca="1">IF(AND(ISNUMBER($R$965),$B$511=1),$R$965,HLOOKUP(INDIRECT(ADDRESS(2,COLUMN())),OFFSET($BN$2,0,0,ROW()-1,60),ROW()-1,FALSE))</f>
        <v>53757.923159999998</v>
      </c>
      <c r="S468">
        <f ca="1">IF(AND(ISNUMBER($S$965),$B$511=1),$S$965,HLOOKUP(INDIRECT(ADDRESS(2,COLUMN())),OFFSET($BN$2,0,0,ROW()-1,60),ROW()-1,FALSE))</f>
        <v>55917.998809999997</v>
      </c>
      <c r="T468">
        <f ca="1">IF(AND(ISNUMBER($T$965),$B$511=1),$T$965,HLOOKUP(INDIRECT(ADDRESS(2,COLUMN())),OFFSET($BN$2,0,0,ROW()-1,60),ROW()-1,FALSE))</f>
        <v>53843.560490000003</v>
      </c>
      <c r="U468">
        <f ca="1">IF(AND(ISNUMBER($U$965),$B$511=1),$U$965,HLOOKUP(INDIRECT(ADDRESS(2,COLUMN())),OFFSET($BN$2,0,0,ROW()-1,60),ROW()-1,FALSE))</f>
        <v>59670.096920000004</v>
      </c>
      <c r="V468">
        <f ca="1">IF(AND(ISNUMBER($V$965),$B$511=1),$V$965,HLOOKUP(INDIRECT(ADDRESS(2,COLUMN())),OFFSET($BN$2,0,0,ROW()-1,60),ROW()-1,FALSE))</f>
        <v>64154.258260000002</v>
      </c>
      <c r="W468">
        <f ca="1">IF(AND(ISNUMBER($W$965),$B$511=1),$W$965,HLOOKUP(INDIRECT(ADDRESS(2,COLUMN())),OFFSET($BN$2,0,0,ROW()-1,60),ROW()-1,FALSE))</f>
        <v>59654.656600000002</v>
      </c>
      <c r="X468">
        <f ca="1">IF(AND(ISNUMBER($X$965),$B$511=1),$X$965,HLOOKUP(INDIRECT(ADDRESS(2,COLUMN())),OFFSET($BN$2,0,0,ROW()-1,60),ROW()-1,FALSE))</f>
        <v>57362.397879999997</v>
      </c>
      <c r="Y468">
        <f ca="1">IF(AND(ISNUMBER($Y$965),$B$511=1),$Y$965,HLOOKUP(INDIRECT(ADDRESS(2,COLUMN())),OFFSET($BN$2,0,0,ROW()-1,60),ROW()-1,FALSE))</f>
        <v>68171.413499999995</v>
      </c>
      <c r="Z468">
        <f ca="1">IF(AND(ISNUMBER($Z$965),$B$511=1),$Z$965,HLOOKUP(INDIRECT(ADDRESS(2,COLUMN())),OFFSET($BN$2,0,0,ROW()-1,60),ROW()-1,FALSE))</f>
        <v>61659.186979999999</v>
      </c>
      <c r="AA468">
        <f ca="1">IF(AND(ISNUMBER($AA$965),$B$511=1),$AA$965,HLOOKUP(INDIRECT(ADDRESS(2,COLUMN())),OFFSET($BN$2,0,0,ROW()-1,60),ROW()-1,FALSE))</f>
        <v>60862.655910000001</v>
      </c>
      <c r="AB468">
        <f ca="1">IF(AND(ISNUMBER($AB$965),$B$511=1),$AB$965,HLOOKUP(INDIRECT(ADDRESS(2,COLUMN())),OFFSET($BN$2,0,0,ROW()-1,60),ROW()-1,FALSE))</f>
        <v>66462.194900000002</v>
      </c>
      <c r="AC468">
        <f ca="1">IF(AND(ISNUMBER($AC$965),$B$511=1),$AC$965,HLOOKUP(INDIRECT(ADDRESS(2,COLUMN())),OFFSET($BN$2,0,0,ROW()-1,60),ROW()-1,FALSE))</f>
        <v>60815.758020000001</v>
      </c>
      <c r="AD468">
        <f ca="1">IF(AND(ISNUMBER($AD$965),$B$511=1),$AD$965,HLOOKUP(INDIRECT(ADDRESS(2,COLUMN())),OFFSET($BN$2,0,0,ROW()-1,60),ROW()-1,FALSE))</f>
        <v>51577.555999999997</v>
      </c>
      <c r="AE468">
        <f ca="1">IF(AND(ISNUMBER($AE$965),$B$511=1),$AE$965,HLOOKUP(INDIRECT(ADDRESS(2,COLUMN())),OFFSET($BN$2,0,0,ROW()-1,60),ROW()-1,FALSE))</f>
        <v>49373.971749999997</v>
      </c>
      <c r="AF468">
        <f ca="1">IF(AND(ISNUMBER($AF$965),$B$511=1),$AF$965,HLOOKUP(INDIRECT(ADDRESS(2,COLUMN())),OFFSET($BN$2,0,0,ROW()-1,60),ROW()-1,FALSE))</f>
        <v>37605.908049999998</v>
      </c>
      <c r="AG468">
        <f ca="1">IF(AND(ISNUMBER($AG$965),$B$511=1),$AG$965,HLOOKUP(INDIRECT(ADDRESS(2,COLUMN())),OFFSET($BN$2,0,0,ROW()-1,60),ROW()-1,FALSE))</f>
        <v>36598.964110000001</v>
      </c>
      <c r="AH468">
        <f ca="1">IF(AND(ISNUMBER($AH$965),$B$511=1),$AH$965,HLOOKUP(INDIRECT(ADDRESS(2,COLUMN())),OFFSET($BN$2,0,0,ROW()-1,60),ROW()-1,FALSE))</f>
        <v>47414.317230000001</v>
      </c>
      <c r="AI468">
        <f ca="1">IF(AND(ISNUMBER($AI$965),$B$511=1),$AI$965,HLOOKUP(INDIRECT(ADDRESS(2,COLUMN())),OFFSET($BN$2,0,0,ROW()-1,60),ROW()-1,FALSE))</f>
        <v>40889.077539999998</v>
      </c>
      <c r="AJ468">
        <f ca="1">IF(AND(ISNUMBER($AJ$965),$B$511=1),$AJ$965,HLOOKUP(INDIRECT(ADDRESS(2,COLUMN())),OFFSET($BN$2,0,0,ROW()-1,60),ROW()-1,FALSE))</f>
        <v>36744.34549</v>
      </c>
      <c r="AK468">
        <f ca="1">IF(AND(ISNUMBER($AK$965),$B$511=1),$AK$965,HLOOKUP(INDIRECT(ADDRESS(2,COLUMN())),OFFSET($BN$2,0,0,ROW()-1,60),ROW()-1,FALSE))</f>
        <v>52377.060120000002</v>
      </c>
      <c r="AL468">
        <f ca="1">IF(AND(ISNUMBER($AL$965),$B$511=1),$AL$965,HLOOKUP(INDIRECT(ADDRESS(2,COLUMN())),OFFSET($BN$2,0,0,ROW()-1,60),ROW()-1,FALSE))</f>
        <v>56400.220759999997</v>
      </c>
      <c r="AM468">
        <f ca="1">IF(AND(ISNUMBER($AM$965),$B$511=1),$AM$965,HLOOKUP(INDIRECT(ADDRESS(2,COLUMN())),OFFSET($BN$2,0,0,ROW()-1,60),ROW()-1,FALSE))</f>
        <v>62912.815320000002</v>
      </c>
      <c r="AN468">
        <f ca="1">IF(AND(ISNUMBER($AN$965),$B$511=1),$AN$965,HLOOKUP(INDIRECT(ADDRESS(2,COLUMN())),OFFSET($BN$2,0,0,ROW()-1,60),ROW()-1,FALSE))</f>
        <v>42097.266239999997</v>
      </c>
      <c r="AO468">
        <f ca="1">IF(AND(ISNUMBER($AO$965),$B$511=1),$AO$965,HLOOKUP(INDIRECT(ADDRESS(2,COLUMN())),OFFSET($BN$2,0,0,ROW()-1,60),ROW()-1,FALSE))</f>
        <v>34338.335030000002</v>
      </c>
      <c r="AP468">
        <f ca="1">IF(AND(ISNUMBER($AP$965),$B$511=1),$AP$965,HLOOKUP(INDIRECT(ADDRESS(2,COLUMN())),OFFSET($BN$2,0,0,ROW()-1,60),ROW()-1,FALSE))</f>
        <v>42339.099479999997</v>
      </c>
      <c r="AQ468">
        <f ca="1">IF(AND(ISNUMBER($AQ$965),$B$511=1),$AQ$965,HLOOKUP(INDIRECT(ADDRESS(2,COLUMN())),OFFSET($BN$2,0,0,ROW()-1,60),ROW()-1,FALSE))</f>
        <v>33071.008759999997</v>
      </c>
      <c r="AR468">
        <f ca="1">IF(AND(ISNUMBER($AR$965),$B$511=1),$AR$965,HLOOKUP(INDIRECT(ADDRESS(2,COLUMN())),OFFSET($BN$2,0,0,ROW()-1,60),ROW()-1,FALSE))</f>
        <v>23225.499749999999</v>
      </c>
      <c r="AS468">
        <f ca="1">IF(AND(ISNUMBER($AS$965),$B$511=1),$AS$965,HLOOKUP(INDIRECT(ADDRESS(2,COLUMN())),OFFSET($BN$2,0,0,ROW()-1,60),ROW()-1,FALSE))</f>
        <v>19534.776300000001</v>
      </c>
      <c r="AT468">
        <f ca="1">IF(AND(ISNUMBER($AT$965),$B$511=1),$AT$965,HLOOKUP(INDIRECT(ADDRESS(2,COLUMN())),OFFSET($BN$2,0,0,ROW()-1,60),ROW()-1,FALSE))</f>
        <v>6302.3238259999998</v>
      </c>
      <c r="AU468">
        <f ca="1">IF(AND(ISNUMBER($AU$965),$B$511=1),$AU$965,HLOOKUP(INDIRECT(ADDRESS(2,COLUMN())),OFFSET($BN$2,0,0,ROW()-1,60),ROW()-1,FALSE))</f>
        <v>5470.4791279999999</v>
      </c>
      <c r="AV468">
        <f ca="1">IF(AND(ISNUMBER($AV$965),$B$511=1),$AV$965,HLOOKUP(INDIRECT(ADDRESS(2,COLUMN())),OFFSET($BN$2,0,0,ROW()-1,60),ROW()-1,FALSE))</f>
        <v>11759.02202</v>
      </c>
      <c r="AW468">
        <f ca="1">IF(AND(ISNUMBER($AW$965),$B$511=1),$AW$965,HLOOKUP(INDIRECT(ADDRESS(2,COLUMN())),OFFSET($BN$2,0,0,ROW()-1,60),ROW()-1,FALSE))</f>
        <v>10784.02022</v>
      </c>
      <c r="AX468">
        <f ca="1">IF(AND(ISNUMBER($AX$965),$B$511=1),$AX$965,HLOOKUP(INDIRECT(ADDRESS(2,COLUMN())),OFFSET($BN$2,0,0,ROW()-1,60),ROW()-1,FALSE))</f>
        <v>12624.052830000001</v>
      </c>
      <c r="AY468">
        <f ca="1">IF(AND(ISNUMBER($AY$965),$B$511=1),$AY$965,HLOOKUP(INDIRECT(ADDRESS(2,COLUMN())),OFFSET($BN$2,0,0,ROW()-1,60),ROW()-1,FALSE))</f>
        <v>14201.68377</v>
      </c>
      <c r="AZ468">
        <f ca="1">IF(AND(ISNUMBER($AZ$965),$B$511=1),$AZ$965,HLOOKUP(INDIRECT(ADDRESS(2,COLUMN())),OFFSET($BN$2,0,0,ROW()-1,60),ROW()-1,FALSE))</f>
        <v>17825.557540000002</v>
      </c>
      <c r="BA468">
        <f ca="1">IF(AND(ISNUMBER($BA$965),$B$511=1),$BA$965,HLOOKUP(INDIRECT(ADDRESS(2,COLUMN())),OFFSET($BN$2,0,0,ROW()-1,60),ROW()-1,FALSE))</f>
        <v>17710.990659999999</v>
      </c>
      <c r="BB468">
        <f ca="1">IF(AND(ISNUMBER($BB$965),$B$511=1),$BB$965,HLOOKUP(INDIRECT(ADDRESS(2,COLUMN())),OFFSET($BN$2,0,0,ROW()-1,60),ROW()-1,FALSE))</f>
        <v>14932.12875</v>
      </c>
      <c r="BC468">
        <f ca="1">IF(AND(ISNUMBER($BC$965),$B$511=1),$BC$965,HLOOKUP(INDIRECT(ADDRESS(2,COLUMN())),OFFSET($BN$2,0,0,ROW()-1,60),ROW()-1,FALSE))</f>
        <v>14185.592769999999</v>
      </c>
      <c r="BD468">
        <f ca="1">IF(AND(ISNUMBER($BD$965),$B$511=1),$BD$965,HLOOKUP(INDIRECT(ADDRESS(2,COLUMN())),OFFSET($BN$2,0,0,ROW()-1,60),ROW()-1,FALSE))</f>
        <v>15217.3753</v>
      </c>
      <c r="BE468">
        <f ca="1">IF(AND(ISNUMBER($BE$965),$B$511=1),$BE$965,HLOOKUP(INDIRECT(ADDRESS(2,COLUMN())),OFFSET($BN$2,0,0,ROW()-1,60),ROW()-1,FALSE))</f>
        <v>13000.343629999999</v>
      </c>
      <c r="BF468">
        <f ca="1">IF(AND(ISNUMBER($BF$965),$B$511=1),$BF$965,HLOOKUP(INDIRECT(ADDRESS(2,COLUMN())),OFFSET($BN$2,0,0,ROW()-1,60),ROW()-1,FALSE))</f>
        <v>14838.54225</v>
      </c>
      <c r="BG468">
        <f ca="1">IF(AND(ISNUMBER($BG$965),$B$511=1),$BG$965,HLOOKUP(INDIRECT(ADDRESS(2,COLUMN())),OFFSET($BN$2,0,0,ROW()-1,60),ROW()-1,FALSE))</f>
        <v>14340.762629999999</v>
      </c>
      <c r="BH468">
        <f ca="1">IF(AND(ISNUMBER($BH$965),$B$511=1),$BH$965,HLOOKUP(INDIRECT(ADDRESS(2,COLUMN())),OFFSET($BN$2,0,0,ROW()-1,60),ROW()-1,FALSE))</f>
        <v>18271.07273</v>
      </c>
      <c r="BI468">
        <f ca="1">IF(AND(ISNUMBER($BI$965),$B$511=1),$BI$965,HLOOKUP(INDIRECT(ADDRESS(2,COLUMN())),OFFSET($BN$2,0,0,ROW()-1,60),ROW()-1,FALSE))</f>
        <v>18845.214220000002</v>
      </c>
      <c r="BJ468">
        <f ca="1">IF(AND(ISNUMBER($BJ$965),$B$511=1),$BJ$965,HLOOKUP(INDIRECT(ADDRESS(2,COLUMN())),OFFSET($BN$2,0,0,ROW()-1,60),ROW()-1,FALSE))</f>
        <v>20744.10194</v>
      </c>
      <c r="BK468">
        <f ca="1">IF(AND(ISNUMBER($BK$965),$B$511=1),$BK$965,HLOOKUP(INDIRECT(ADDRESS(2,COLUMN())),OFFSET($BN$2,0,0,ROW()-1,60),ROW()-1,FALSE))</f>
        <v>26786.337609999999</v>
      </c>
      <c r="BL468">
        <f ca="1">IF(AND(ISNUMBER($BL$965),$B$511=1),$BL$965,HLOOKUP(INDIRECT(ADDRESS(2,COLUMN())),OFFSET($BN$2,0,0,ROW()-1,60),ROW()-1,FALSE))</f>
        <v>25708.50921</v>
      </c>
      <c r="BM468">
        <f ca="1">IF(AND(ISNUMBER($BM$965),$B$511=1),$BM$965,HLOOKUP(INDIRECT(ADDRESS(2,COLUMN())),OFFSET($BN$2,0,0,ROW()-1,60),ROW()-1,FALSE))</f>
        <v>28652.693579999999</v>
      </c>
      <c r="BN468">
        <f>34653.18563</f>
        <v>34653.18563</v>
      </c>
      <c r="BO468">
        <f>30430.9609</f>
        <v>30430.960899999998</v>
      </c>
      <c r="BP468">
        <f>36867.97048</f>
        <v>36867.970480000004</v>
      </c>
      <c r="BQ468">
        <f>44113.43706</f>
        <v>44113.437059999997</v>
      </c>
      <c r="BR468">
        <f>44024.73635</f>
        <v>44024.736349999999</v>
      </c>
      <c r="BS468">
        <f>49614.05438</f>
        <v>49614.054380000001</v>
      </c>
      <c r="BT468">
        <f>47541.90904</f>
        <v>47541.909039999999</v>
      </c>
      <c r="BU468">
        <f>44558.42678</f>
        <v>44558.426780000002</v>
      </c>
      <c r="BV468">
        <f>46349.28955</f>
        <v>46349.289550000001</v>
      </c>
      <c r="BW468">
        <f>48201.15837</f>
        <v>48201.158369999997</v>
      </c>
      <c r="BX468">
        <f>47957.0158</f>
        <v>47957.015800000001</v>
      </c>
      <c r="BY468">
        <f>49938.53882</f>
        <v>49938.538820000002</v>
      </c>
      <c r="BZ468">
        <f>53757.92316</f>
        <v>53757.923159999998</v>
      </c>
      <c r="CA468">
        <f>55917.99881</f>
        <v>55917.998809999997</v>
      </c>
      <c r="CB468">
        <f>53843.56049</f>
        <v>53843.560490000003</v>
      </c>
      <c r="CC468">
        <f>59670.09692</f>
        <v>59670.096920000004</v>
      </c>
      <c r="CD468">
        <f>64154.25826</f>
        <v>64154.258260000002</v>
      </c>
      <c r="CE468">
        <f>59654.6566</f>
        <v>59654.656600000002</v>
      </c>
      <c r="CF468">
        <f>57362.39788</f>
        <v>57362.397879999997</v>
      </c>
      <c r="CG468">
        <f>68171.4135</f>
        <v>68171.413499999995</v>
      </c>
      <c r="CH468">
        <f>61659.1869799999</f>
        <v>61659.186979999999</v>
      </c>
      <c r="CI468">
        <f>60862.65591</f>
        <v>60862.655910000001</v>
      </c>
      <c r="CJ468">
        <f>66462.1949</f>
        <v>66462.194900000002</v>
      </c>
      <c r="CK468">
        <f>60815.75802</f>
        <v>60815.758020000001</v>
      </c>
      <c r="CL468">
        <f>51577.556</f>
        <v>51577.555999999997</v>
      </c>
      <c r="CM468">
        <f>49373.97175</f>
        <v>49373.971749999997</v>
      </c>
      <c r="CN468">
        <f>37605.90805</f>
        <v>37605.908049999998</v>
      </c>
      <c r="CO468">
        <f>36598.96411</f>
        <v>36598.964110000001</v>
      </c>
      <c r="CP468">
        <f>47414.31723</f>
        <v>47414.317230000001</v>
      </c>
      <c r="CQ468">
        <f>40889.07754</f>
        <v>40889.077539999998</v>
      </c>
      <c r="CR468">
        <f>36744.34549</f>
        <v>36744.34549</v>
      </c>
      <c r="CS468">
        <f>52377.06012</f>
        <v>52377.060120000002</v>
      </c>
      <c r="CT468">
        <f>56400.22076</f>
        <v>56400.220759999997</v>
      </c>
      <c r="CU468">
        <f>62912.81532</f>
        <v>62912.815320000002</v>
      </c>
      <c r="CV468">
        <f>42097.26624</f>
        <v>42097.266239999997</v>
      </c>
      <c r="CW468">
        <f>34338.33503</f>
        <v>34338.335030000002</v>
      </c>
      <c r="CX468">
        <f>42339.09948</f>
        <v>42339.099479999997</v>
      </c>
      <c r="CY468">
        <f>33071.00876</f>
        <v>33071.008759999997</v>
      </c>
      <c r="CZ468">
        <f>23225.49975</f>
        <v>23225.499749999999</v>
      </c>
      <c r="DA468">
        <f>19534.7763</f>
        <v>19534.776300000001</v>
      </c>
      <c r="DB468">
        <f>6302.323826</f>
        <v>6302.3238259999998</v>
      </c>
      <c r="DC468">
        <f>5470.479128</f>
        <v>5470.4791279999999</v>
      </c>
      <c r="DD468">
        <f>11759.02202</f>
        <v>11759.02202</v>
      </c>
      <c r="DE468">
        <f>10784.02022</f>
        <v>10784.02022</v>
      </c>
      <c r="DF468">
        <f>12624.05283</f>
        <v>12624.052830000001</v>
      </c>
      <c r="DG468">
        <f>14201.68377</f>
        <v>14201.68377</v>
      </c>
      <c r="DH468">
        <f>17825.55754</f>
        <v>17825.557540000002</v>
      </c>
      <c r="DI468">
        <f>17710.99066</f>
        <v>17710.990659999999</v>
      </c>
      <c r="DJ468">
        <f>14932.12875</f>
        <v>14932.12875</v>
      </c>
      <c r="DK468">
        <f>14185.59277</f>
        <v>14185.592769999999</v>
      </c>
      <c r="DL468">
        <f>15217.3753</f>
        <v>15217.3753</v>
      </c>
      <c r="DM468">
        <f>13000.34363</f>
        <v>13000.343629999999</v>
      </c>
      <c r="DN468">
        <f>14838.54225</f>
        <v>14838.54225</v>
      </c>
      <c r="DO468">
        <f>14340.76263</f>
        <v>14340.762629999999</v>
      </c>
      <c r="DP468">
        <f>18271.07273</f>
        <v>18271.07273</v>
      </c>
      <c r="DQ468">
        <f>18845.21422</f>
        <v>18845.214220000002</v>
      </c>
      <c r="DR468">
        <f>20744.10194</f>
        <v>20744.10194</v>
      </c>
      <c r="DS468">
        <f>26786.33761</f>
        <v>26786.337609999999</v>
      </c>
      <c r="DT468">
        <f>25708.50921</f>
        <v>25708.50921</v>
      </c>
      <c r="DU468">
        <f>28652.69358</f>
        <v>28652.693579999999</v>
      </c>
    </row>
    <row r="469" spans="1:125" x14ac:dyDescent="0.25">
      <c r="A469" t="str">
        <f>"    Ford Otomotiv Sanayi AS"</f>
        <v xml:space="preserve">    Ford Otomotiv Sanayi AS</v>
      </c>
      <c r="B469" t="str">
        <f>"FROTOTRY EO Equity"</f>
        <v>FROTOTRY EO Equity</v>
      </c>
      <c r="C469" t="str">
        <f t="shared" si="33"/>
        <v>RR902</v>
      </c>
      <c r="D469" t="str">
        <f t="shared" si="34"/>
        <v>CUR_MKT_CAP</v>
      </c>
      <c r="E469" t="str">
        <f t="shared" si="35"/>
        <v>Dynamic</v>
      </c>
      <c r="F469" t="str">
        <f ca="1">IF(AND(ISNUMBER($F$966),$B$511=1),$F$966,HLOOKUP(INDIRECT(ADDRESS(2,COLUMN())),OFFSET($BN$2,0,0,ROW()-1,60),ROW()-1,FALSE))</f>
        <v/>
      </c>
      <c r="G469" t="str">
        <f ca="1">IF(AND(ISNUMBER($G$966),$B$511=1),$G$966,HLOOKUP(INDIRECT(ADDRESS(2,COLUMN())),OFFSET($BN$2,0,0,ROW()-1,60),ROW()-1,FALSE))</f>
        <v/>
      </c>
      <c r="H469" t="str">
        <f ca="1">IF(AND(ISNUMBER($H$966),$B$511=1),$H$966,HLOOKUP(INDIRECT(ADDRESS(2,COLUMN())),OFFSET($BN$2,0,0,ROW()-1,60),ROW()-1,FALSE))</f>
        <v/>
      </c>
      <c r="I469" t="str">
        <f ca="1">IF(AND(ISNUMBER($I$966),$B$511=1),$I$966,HLOOKUP(INDIRECT(ADDRESS(2,COLUMN())),OFFSET($BN$2,0,0,ROW()-1,60),ROW()-1,FALSE))</f>
        <v/>
      </c>
      <c r="J469" t="str">
        <f ca="1">IF(AND(ISNUMBER($J$966),$B$511=1),$J$966,HLOOKUP(INDIRECT(ADDRESS(2,COLUMN())),OFFSET($BN$2,0,0,ROW()-1,60),ROW()-1,FALSE))</f>
        <v/>
      </c>
      <c r="K469" t="str">
        <f ca="1">IF(AND(ISNUMBER($K$966),$B$511=1),$K$966,HLOOKUP(INDIRECT(ADDRESS(2,COLUMN())),OFFSET($BN$2,0,0,ROW()-1,60),ROW()-1,FALSE))</f>
        <v/>
      </c>
      <c r="L469" t="str">
        <f ca="1">IF(AND(ISNUMBER($L$966),$B$511=1),$L$966,HLOOKUP(INDIRECT(ADDRESS(2,COLUMN())),OFFSET($BN$2,0,0,ROW()-1,60),ROW()-1,FALSE))</f>
        <v/>
      </c>
      <c r="M469" t="str">
        <f ca="1">IF(AND(ISNUMBER($M$966),$B$511=1),$M$966,HLOOKUP(INDIRECT(ADDRESS(2,COLUMN())),OFFSET($BN$2,0,0,ROW()-1,60),ROW()-1,FALSE))</f>
        <v/>
      </c>
      <c r="N469" t="str">
        <f ca="1">IF(AND(ISNUMBER($N$966),$B$511=1),$N$966,HLOOKUP(INDIRECT(ADDRESS(2,COLUMN())),OFFSET($BN$2,0,0,ROW()-1,60),ROW()-1,FALSE))</f>
        <v/>
      </c>
      <c r="O469" t="str">
        <f ca="1">IF(AND(ISNUMBER($O$966),$B$511=1),$O$966,HLOOKUP(INDIRECT(ADDRESS(2,COLUMN())),OFFSET($BN$2,0,0,ROW()-1,60),ROW()-1,FALSE))</f>
        <v/>
      </c>
      <c r="P469" t="str">
        <f ca="1">IF(AND(ISNUMBER($P$966),$B$511=1),$P$966,HLOOKUP(INDIRECT(ADDRESS(2,COLUMN())),OFFSET($BN$2,0,0,ROW()-1,60),ROW()-1,FALSE))</f>
        <v/>
      </c>
      <c r="Q469" t="str">
        <f ca="1">IF(AND(ISNUMBER($Q$966),$B$511=1),$Q$966,HLOOKUP(INDIRECT(ADDRESS(2,COLUMN())),OFFSET($BN$2,0,0,ROW()-1,60),ROW()-1,FALSE))</f>
        <v/>
      </c>
      <c r="R469" t="str">
        <f ca="1">IF(AND(ISNUMBER($R$966),$B$511=1),$R$966,HLOOKUP(INDIRECT(ADDRESS(2,COLUMN())),OFFSET($BN$2,0,0,ROW()-1,60),ROW()-1,FALSE))</f>
        <v/>
      </c>
      <c r="S469" t="str">
        <f ca="1">IF(AND(ISNUMBER($S$966),$B$511=1),$S$966,HLOOKUP(INDIRECT(ADDRESS(2,COLUMN())),OFFSET($BN$2,0,0,ROW()-1,60),ROW()-1,FALSE))</f>
        <v/>
      </c>
      <c r="T469" t="str">
        <f ca="1">IF(AND(ISNUMBER($T$966),$B$511=1),$T$966,HLOOKUP(INDIRECT(ADDRESS(2,COLUMN())),OFFSET($BN$2,0,0,ROW()-1,60),ROW()-1,FALSE))</f>
        <v/>
      </c>
      <c r="U469" t="str">
        <f ca="1">IF(AND(ISNUMBER($U$966),$B$511=1),$U$966,HLOOKUP(INDIRECT(ADDRESS(2,COLUMN())),OFFSET($BN$2,0,0,ROW()-1,60),ROW()-1,FALSE))</f>
        <v/>
      </c>
      <c r="V469" t="str">
        <f ca="1">IF(AND(ISNUMBER($V$966),$B$511=1),$V$966,HLOOKUP(INDIRECT(ADDRESS(2,COLUMN())),OFFSET($BN$2,0,0,ROW()-1,60),ROW()-1,FALSE))</f>
        <v/>
      </c>
      <c r="W469" t="str">
        <f ca="1">IF(AND(ISNUMBER($W$966),$B$511=1),$W$966,HLOOKUP(INDIRECT(ADDRESS(2,COLUMN())),OFFSET($BN$2,0,0,ROW()-1,60),ROW()-1,FALSE))</f>
        <v/>
      </c>
      <c r="X469" t="str">
        <f ca="1">IF(AND(ISNUMBER($X$966),$B$511=1),$X$966,HLOOKUP(INDIRECT(ADDRESS(2,COLUMN())),OFFSET($BN$2,0,0,ROW()-1,60),ROW()-1,FALSE))</f>
        <v/>
      </c>
      <c r="Y469" t="str">
        <f ca="1">IF(AND(ISNUMBER($Y$966),$B$511=1),$Y$966,HLOOKUP(INDIRECT(ADDRESS(2,COLUMN())),OFFSET($BN$2,0,0,ROW()-1,60),ROW()-1,FALSE))</f>
        <v/>
      </c>
      <c r="Z469" t="str">
        <f ca="1">IF(AND(ISNUMBER($Z$966),$B$511=1),$Z$966,HLOOKUP(INDIRECT(ADDRESS(2,COLUMN())),OFFSET($BN$2,0,0,ROW()-1,60),ROW()-1,FALSE))</f>
        <v/>
      </c>
      <c r="AA469" t="str">
        <f ca="1">IF(AND(ISNUMBER($AA$966),$B$511=1),$AA$966,HLOOKUP(INDIRECT(ADDRESS(2,COLUMN())),OFFSET($BN$2,0,0,ROW()-1,60),ROW()-1,FALSE))</f>
        <v/>
      </c>
      <c r="AB469" t="str">
        <f ca="1">IF(AND(ISNUMBER($AB$966),$B$511=1),$AB$966,HLOOKUP(INDIRECT(ADDRESS(2,COLUMN())),OFFSET($BN$2,0,0,ROW()-1,60),ROW()-1,FALSE))</f>
        <v/>
      </c>
      <c r="AC469" t="str">
        <f ca="1">IF(AND(ISNUMBER($AC$966),$B$511=1),$AC$966,HLOOKUP(INDIRECT(ADDRESS(2,COLUMN())),OFFSET($BN$2,0,0,ROW()-1,60),ROW()-1,FALSE))</f>
        <v/>
      </c>
      <c r="AD469" t="str">
        <f ca="1">IF(AND(ISNUMBER($AD$966),$B$511=1),$AD$966,HLOOKUP(INDIRECT(ADDRESS(2,COLUMN())),OFFSET($BN$2,0,0,ROW()-1,60),ROW()-1,FALSE))</f>
        <v/>
      </c>
      <c r="AE469" t="str">
        <f ca="1">IF(AND(ISNUMBER($AE$966),$B$511=1),$AE$966,HLOOKUP(INDIRECT(ADDRESS(2,COLUMN())),OFFSET($BN$2,0,0,ROW()-1,60),ROW()-1,FALSE))</f>
        <v/>
      </c>
      <c r="AF469" t="str">
        <f ca="1">IF(AND(ISNUMBER($AF$966),$B$511=1),$AF$966,HLOOKUP(INDIRECT(ADDRESS(2,COLUMN())),OFFSET($BN$2,0,0,ROW()-1,60),ROW()-1,FALSE))</f>
        <v/>
      </c>
      <c r="AG469" t="str">
        <f ca="1">IF(AND(ISNUMBER($AG$966),$B$511=1),$AG$966,HLOOKUP(INDIRECT(ADDRESS(2,COLUMN())),OFFSET($BN$2,0,0,ROW()-1,60),ROW()-1,FALSE))</f>
        <v/>
      </c>
      <c r="AH469" t="str">
        <f ca="1">IF(AND(ISNUMBER($AH$966),$B$511=1),$AH$966,HLOOKUP(INDIRECT(ADDRESS(2,COLUMN())),OFFSET($BN$2,0,0,ROW()-1,60),ROW()-1,FALSE))</f>
        <v/>
      </c>
      <c r="AI469" t="str">
        <f ca="1">IF(AND(ISNUMBER($AI$966),$B$511=1),$AI$966,HLOOKUP(INDIRECT(ADDRESS(2,COLUMN())),OFFSET($BN$2,0,0,ROW()-1,60),ROW()-1,FALSE))</f>
        <v/>
      </c>
      <c r="AJ469" t="str">
        <f ca="1">IF(AND(ISNUMBER($AJ$966),$B$511=1),$AJ$966,HLOOKUP(INDIRECT(ADDRESS(2,COLUMN())),OFFSET($BN$2,0,0,ROW()-1,60),ROW()-1,FALSE))</f>
        <v/>
      </c>
      <c r="AK469" t="str">
        <f ca="1">IF(AND(ISNUMBER($AK$966),$B$511=1),$AK$966,HLOOKUP(INDIRECT(ADDRESS(2,COLUMN())),OFFSET($BN$2,0,0,ROW()-1,60),ROW()-1,FALSE))</f>
        <v/>
      </c>
      <c r="AL469" t="str">
        <f ca="1">IF(AND(ISNUMBER($AL$966),$B$511=1),$AL$966,HLOOKUP(INDIRECT(ADDRESS(2,COLUMN())),OFFSET($BN$2,0,0,ROW()-1,60),ROW()-1,FALSE))</f>
        <v/>
      </c>
      <c r="AM469" t="str">
        <f ca="1">IF(AND(ISNUMBER($AM$966),$B$511=1),$AM$966,HLOOKUP(INDIRECT(ADDRESS(2,COLUMN())),OFFSET($BN$2,0,0,ROW()-1,60),ROW()-1,FALSE))</f>
        <v/>
      </c>
      <c r="AN469" t="str">
        <f ca="1">IF(AND(ISNUMBER($AN$966),$B$511=1),$AN$966,HLOOKUP(INDIRECT(ADDRESS(2,COLUMN())),OFFSET($BN$2,0,0,ROW()-1,60),ROW()-1,FALSE))</f>
        <v/>
      </c>
      <c r="AO469" t="str">
        <f ca="1">IF(AND(ISNUMBER($AO$966),$B$511=1),$AO$966,HLOOKUP(INDIRECT(ADDRESS(2,COLUMN())),OFFSET($BN$2,0,0,ROW()-1,60),ROW()-1,FALSE))</f>
        <v/>
      </c>
      <c r="AP469" t="str">
        <f ca="1">IF(AND(ISNUMBER($AP$966),$B$511=1),$AP$966,HLOOKUP(INDIRECT(ADDRESS(2,COLUMN())),OFFSET($BN$2,0,0,ROW()-1,60),ROW()-1,FALSE))</f>
        <v/>
      </c>
      <c r="AQ469" t="str">
        <f ca="1">IF(AND(ISNUMBER($AQ$966),$B$511=1),$AQ$966,HLOOKUP(INDIRECT(ADDRESS(2,COLUMN())),OFFSET($BN$2,0,0,ROW()-1,60),ROW()-1,FALSE))</f>
        <v/>
      </c>
      <c r="AR469" t="str">
        <f ca="1">IF(AND(ISNUMBER($AR$966),$B$511=1),$AR$966,HLOOKUP(INDIRECT(ADDRESS(2,COLUMN())),OFFSET($BN$2,0,0,ROW()-1,60),ROW()-1,FALSE))</f>
        <v/>
      </c>
      <c r="AS469" t="str">
        <f ca="1">IF(AND(ISNUMBER($AS$966),$B$511=1),$AS$966,HLOOKUP(INDIRECT(ADDRESS(2,COLUMN())),OFFSET($BN$2,0,0,ROW()-1,60),ROW()-1,FALSE))</f>
        <v/>
      </c>
      <c r="AT469" t="str">
        <f ca="1">IF(AND(ISNUMBER($AT$966),$B$511=1),$AT$966,HLOOKUP(INDIRECT(ADDRESS(2,COLUMN())),OFFSET($BN$2,0,0,ROW()-1,60),ROW()-1,FALSE))</f>
        <v/>
      </c>
      <c r="AU469" t="str">
        <f ca="1">IF(AND(ISNUMBER($AU$966),$B$511=1),$AU$966,HLOOKUP(INDIRECT(ADDRESS(2,COLUMN())),OFFSET($BN$2,0,0,ROW()-1,60),ROW()-1,FALSE))</f>
        <v/>
      </c>
      <c r="AV469" t="str">
        <f ca="1">IF(AND(ISNUMBER($AV$966),$B$511=1),$AV$966,HLOOKUP(INDIRECT(ADDRESS(2,COLUMN())),OFFSET($BN$2,0,0,ROW()-1,60),ROW()-1,FALSE))</f>
        <v/>
      </c>
      <c r="AW469" t="str">
        <f ca="1">IF(AND(ISNUMBER($AW$966),$B$511=1),$AW$966,HLOOKUP(INDIRECT(ADDRESS(2,COLUMN())),OFFSET($BN$2,0,0,ROW()-1,60),ROW()-1,FALSE))</f>
        <v/>
      </c>
      <c r="AX469" t="str">
        <f ca="1">IF(AND(ISNUMBER($AX$966),$B$511=1),$AX$966,HLOOKUP(INDIRECT(ADDRESS(2,COLUMN())),OFFSET($BN$2,0,0,ROW()-1,60),ROW()-1,FALSE))</f>
        <v/>
      </c>
      <c r="AY469" t="str">
        <f ca="1">IF(AND(ISNUMBER($AY$966),$B$511=1),$AY$966,HLOOKUP(INDIRECT(ADDRESS(2,COLUMN())),OFFSET($BN$2,0,0,ROW()-1,60),ROW()-1,FALSE))</f>
        <v/>
      </c>
      <c r="AZ469" t="str">
        <f ca="1">IF(AND(ISNUMBER($AZ$966),$B$511=1),$AZ$966,HLOOKUP(INDIRECT(ADDRESS(2,COLUMN())),OFFSET($BN$2,0,0,ROW()-1,60),ROW()-1,FALSE))</f>
        <v/>
      </c>
      <c r="BA469" t="str">
        <f ca="1">IF(AND(ISNUMBER($BA$966),$B$511=1),$BA$966,HLOOKUP(INDIRECT(ADDRESS(2,COLUMN())),OFFSET($BN$2,0,0,ROW()-1,60),ROW()-1,FALSE))</f>
        <v/>
      </c>
      <c r="BB469" t="str">
        <f ca="1">IF(AND(ISNUMBER($BB$966),$B$511=1),$BB$966,HLOOKUP(INDIRECT(ADDRESS(2,COLUMN())),OFFSET($BN$2,0,0,ROW()-1,60),ROW()-1,FALSE))</f>
        <v/>
      </c>
      <c r="BC469" t="str">
        <f ca="1">IF(AND(ISNUMBER($BC$966),$B$511=1),$BC$966,HLOOKUP(INDIRECT(ADDRESS(2,COLUMN())),OFFSET($BN$2,0,0,ROW()-1,60),ROW()-1,FALSE))</f>
        <v/>
      </c>
      <c r="BD469" t="str">
        <f ca="1">IF(AND(ISNUMBER($BD$966),$B$511=1),$BD$966,HLOOKUP(INDIRECT(ADDRESS(2,COLUMN())),OFFSET($BN$2,0,0,ROW()-1,60),ROW()-1,FALSE))</f>
        <v/>
      </c>
      <c r="BE469" t="str">
        <f ca="1">IF(AND(ISNUMBER($BE$966),$B$511=1),$BE$966,HLOOKUP(INDIRECT(ADDRESS(2,COLUMN())),OFFSET($BN$2,0,0,ROW()-1,60),ROW()-1,FALSE))</f>
        <v/>
      </c>
      <c r="BF469" t="str">
        <f ca="1">IF(AND(ISNUMBER($BF$966),$B$511=1),$BF$966,HLOOKUP(INDIRECT(ADDRESS(2,COLUMN())),OFFSET($BN$2,0,0,ROW()-1,60),ROW()-1,FALSE))</f>
        <v/>
      </c>
      <c r="BG469" t="str">
        <f ca="1">IF(AND(ISNUMBER($BG$966),$B$511=1),$BG$966,HLOOKUP(INDIRECT(ADDRESS(2,COLUMN())),OFFSET($BN$2,0,0,ROW()-1,60),ROW()-1,FALSE))</f>
        <v/>
      </c>
      <c r="BH469" t="str">
        <f ca="1">IF(AND(ISNUMBER($BH$966),$B$511=1),$BH$966,HLOOKUP(INDIRECT(ADDRESS(2,COLUMN())),OFFSET($BN$2,0,0,ROW()-1,60),ROW()-1,FALSE))</f>
        <v/>
      </c>
      <c r="BI469" t="str">
        <f ca="1">IF(AND(ISNUMBER($BI$966),$B$511=1),$BI$966,HLOOKUP(INDIRECT(ADDRESS(2,COLUMN())),OFFSET($BN$2,0,0,ROW()-1,60),ROW()-1,FALSE))</f>
        <v/>
      </c>
      <c r="BJ469" t="str">
        <f ca="1">IF(AND(ISNUMBER($BJ$966),$B$511=1),$BJ$966,HLOOKUP(INDIRECT(ADDRESS(2,COLUMN())),OFFSET($BN$2,0,0,ROW()-1,60),ROW()-1,FALSE))</f>
        <v/>
      </c>
      <c r="BK469" t="str">
        <f ca="1">IF(AND(ISNUMBER($BK$966),$B$511=1),$BK$966,HLOOKUP(INDIRECT(ADDRESS(2,COLUMN())),OFFSET($BN$2,0,0,ROW()-1,60),ROW()-1,FALSE))</f>
        <v/>
      </c>
      <c r="BL469" t="str">
        <f ca="1">IF(AND(ISNUMBER($BL$966),$B$511=1),$BL$966,HLOOKUP(INDIRECT(ADDRESS(2,COLUMN())),OFFSET($BN$2,0,0,ROW()-1,60),ROW()-1,FALSE))</f>
        <v/>
      </c>
      <c r="BM469" t="str">
        <f ca="1">IF(AND(ISNUMBER($BM$966),$B$511=1),$BM$966,HLOOKUP(INDIRECT(ADDRESS(2,COLUMN())),OFFSET($BN$2,0,0,ROW()-1,60),ROW()-1,FALSE))</f>
        <v/>
      </c>
      <c r="BN469" t="str">
        <f>""</f>
        <v/>
      </c>
      <c r="BO469" t="str">
        <f>""</f>
        <v/>
      </c>
      <c r="BP469" t="str">
        <f>""</f>
        <v/>
      </c>
      <c r="BQ469" t="str">
        <f>""</f>
        <v/>
      </c>
      <c r="BR469" t="str">
        <f>""</f>
        <v/>
      </c>
      <c r="BS469" t="str">
        <f>""</f>
        <v/>
      </c>
      <c r="BT469" t="str">
        <f>""</f>
        <v/>
      </c>
      <c r="BU469" t="str">
        <f>""</f>
        <v/>
      </c>
      <c r="BV469" t="str">
        <f>""</f>
        <v/>
      </c>
      <c r="BW469" t="str">
        <f>""</f>
        <v/>
      </c>
      <c r="BX469" t="str">
        <f>""</f>
        <v/>
      </c>
      <c r="BY469" t="str">
        <f>""</f>
        <v/>
      </c>
      <c r="BZ469" t="str">
        <f>""</f>
        <v/>
      </c>
      <c r="CA469" t="str">
        <f>""</f>
        <v/>
      </c>
      <c r="CB469" t="str">
        <f>""</f>
        <v/>
      </c>
      <c r="CC469" t="str">
        <f>""</f>
        <v/>
      </c>
      <c r="CD469" t="str">
        <f>""</f>
        <v/>
      </c>
      <c r="CE469" t="str">
        <f>""</f>
        <v/>
      </c>
      <c r="CF469" t="str">
        <f>""</f>
        <v/>
      </c>
      <c r="CG469" t="str">
        <f>""</f>
        <v/>
      </c>
      <c r="CH469" t="str">
        <f>""</f>
        <v/>
      </c>
      <c r="CI469" t="str">
        <f>""</f>
        <v/>
      </c>
      <c r="CJ469" t="str">
        <f>""</f>
        <v/>
      </c>
      <c r="CK469" t="str">
        <f>""</f>
        <v/>
      </c>
      <c r="CL469" t="str">
        <f>""</f>
        <v/>
      </c>
      <c r="CM469" t="str">
        <f>""</f>
        <v/>
      </c>
      <c r="CN469" t="str">
        <f>""</f>
        <v/>
      </c>
      <c r="CO469" t="str">
        <f>""</f>
        <v/>
      </c>
      <c r="CP469" t="str">
        <f>""</f>
        <v/>
      </c>
      <c r="CQ469" t="str">
        <f>""</f>
        <v/>
      </c>
      <c r="CR469" t="str">
        <f>""</f>
        <v/>
      </c>
      <c r="CS469" t="str">
        <f>""</f>
        <v/>
      </c>
      <c r="CT469" t="str">
        <f>""</f>
        <v/>
      </c>
      <c r="CU469" t="str">
        <f>""</f>
        <v/>
      </c>
      <c r="CV469" t="str">
        <f>""</f>
        <v/>
      </c>
      <c r="CW469" t="str">
        <f>""</f>
        <v/>
      </c>
      <c r="CX469" t="str">
        <f>""</f>
        <v/>
      </c>
      <c r="CY469" t="str">
        <f>""</f>
        <v/>
      </c>
      <c r="CZ469" t="str">
        <f>""</f>
        <v/>
      </c>
      <c r="DA469" t="str">
        <f>""</f>
        <v/>
      </c>
      <c r="DB469" t="str">
        <f>""</f>
        <v/>
      </c>
      <c r="DC469" t="str">
        <f>""</f>
        <v/>
      </c>
      <c r="DD469" t="str">
        <f>""</f>
        <v/>
      </c>
      <c r="DE469" t="str">
        <f>""</f>
        <v/>
      </c>
      <c r="DF469" t="str">
        <f>""</f>
        <v/>
      </c>
      <c r="DG469" t="str">
        <f>""</f>
        <v/>
      </c>
      <c r="DH469" t="str">
        <f>""</f>
        <v/>
      </c>
      <c r="DI469" t="str">
        <f>""</f>
        <v/>
      </c>
      <c r="DJ469" t="str">
        <f>""</f>
        <v/>
      </c>
      <c r="DK469" t="str">
        <f>""</f>
        <v/>
      </c>
      <c r="DL469" t="str">
        <f>""</f>
        <v/>
      </c>
      <c r="DM469" t="str">
        <f>""</f>
        <v/>
      </c>
      <c r="DN469" t="str">
        <f>""</f>
        <v/>
      </c>
      <c r="DO469" t="str">
        <f>""</f>
        <v/>
      </c>
      <c r="DP469" t="str">
        <f>""</f>
        <v/>
      </c>
      <c r="DQ469" t="str">
        <f>""</f>
        <v/>
      </c>
      <c r="DR469" t="str">
        <f>""</f>
        <v/>
      </c>
      <c r="DS469" t="str">
        <f>""</f>
        <v/>
      </c>
      <c r="DT469" t="str">
        <f>""</f>
        <v/>
      </c>
      <c r="DU469" t="str">
        <f>""</f>
        <v/>
      </c>
    </row>
    <row r="470" spans="1:125" x14ac:dyDescent="0.25">
      <c r="A470" t="str">
        <f>"    GAZ PJSC"</f>
        <v xml:space="preserve">    GAZ PJSC</v>
      </c>
      <c r="B470" t="str">
        <f>"GAZA RM Equity"</f>
        <v>GAZA RM Equity</v>
      </c>
      <c r="C470" t="str">
        <f t="shared" si="33"/>
        <v>RR902</v>
      </c>
      <c r="D470" t="str">
        <f t="shared" si="34"/>
        <v>CUR_MKT_CAP</v>
      </c>
      <c r="E470" t="str">
        <f t="shared" si="35"/>
        <v>Dynamic</v>
      </c>
      <c r="F470">
        <f ca="1">IF(AND(ISNUMBER($F$967),$B$511=1),$F$967,HLOOKUP(INDIRECT(ADDRESS(2,COLUMN())),OFFSET($BN$2,0,0,ROW()-1,60),ROW()-1,FALSE))</f>
        <v>146.16806819999999</v>
      </c>
      <c r="G470">
        <f ca="1">IF(AND(ISNUMBER($G$967),$B$511=1),$G$967,HLOOKUP(INDIRECT(ADDRESS(2,COLUMN())),OFFSET($BN$2,0,0,ROW()-1,60),ROW()-1,FALSE))</f>
        <v>131.70115799999999</v>
      </c>
      <c r="H470">
        <f ca="1">IF(AND(ISNUMBER($H$967),$B$511=1),$H$967,HLOOKUP(INDIRECT(ADDRESS(2,COLUMN())),OFFSET($BN$2,0,0,ROW()-1,60),ROW()-1,FALSE))</f>
        <v>115.7540788</v>
      </c>
      <c r="I470">
        <f ca="1">IF(AND(ISNUMBER($I$967),$B$511=1),$I$967,HLOOKUP(INDIRECT(ADDRESS(2,COLUMN())),OFFSET($BN$2,0,0,ROW()-1,60),ROW()-1,FALSE))</f>
        <v>131.97643840000001</v>
      </c>
      <c r="J470">
        <f ca="1">IF(AND(ISNUMBER($J$967),$B$511=1),$J$967,HLOOKUP(INDIRECT(ADDRESS(2,COLUMN())),OFFSET($BN$2,0,0,ROW()-1,60),ROW()-1,FALSE))</f>
        <v>217.40587059999999</v>
      </c>
      <c r="K470">
        <f ca="1">IF(AND(ISNUMBER($K$967),$B$511=1),$K$967,HLOOKUP(INDIRECT(ADDRESS(2,COLUMN())),OFFSET($BN$2,0,0,ROW()-1,60),ROW()-1,FALSE))</f>
        <v>269.8321522</v>
      </c>
      <c r="L470">
        <f ca="1">IF(AND(ISNUMBER($L$967),$B$511=1),$L$967,HLOOKUP(INDIRECT(ADDRESS(2,COLUMN())),OFFSET($BN$2,0,0,ROW()-1,60),ROW()-1,FALSE))</f>
        <v>257.71506460000001</v>
      </c>
      <c r="M470">
        <f ca="1">IF(AND(ISNUMBER($M$967),$B$511=1),$M$967,HLOOKUP(INDIRECT(ADDRESS(2,COLUMN())),OFFSET($BN$2,0,0,ROW()-1,60),ROW()-1,FALSE))</f>
        <v>161.8817277</v>
      </c>
      <c r="N470">
        <f ca="1">IF(AND(ISNUMBER($N$967),$B$511=1),$N$967,HLOOKUP(INDIRECT(ADDRESS(2,COLUMN())),OFFSET($BN$2,0,0,ROW()-1,60),ROW()-1,FALSE))</f>
        <v>187.1066974</v>
      </c>
      <c r="O470" t="str">
        <f ca="1">IF(AND(ISNUMBER($O$967),$B$511=1),$O$967,HLOOKUP(INDIRECT(ADDRESS(2,COLUMN())),OFFSET($BN$2,0,0,ROW()-1,60),ROW()-1,FALSE))</f>
        <v/>
      </c>
      <c r="P470" t="str">
        <f ca="1">IF(AND(ISNUMBER($P$967),$B$511=1),$P$967,HLOOKUP(INDIRECT(ADDRESS(2,COLUMN())),OFFSET($BN$2,0,0,ROW()-1,60),ROW()-1,FALSE))</f>
        <v/>
      </c>
      <c r="Q470" t="str">
        <f ca="1">IF(AND(ISNUMBER($Q$967),$B$511=1),$Q$967,HLOOKUP(INDIRECT(ADDRESS(2,COLUMN())),OFFSET($BN$2,0,0,ROW()-1,60),ROW()-1,FALSE))</f>
        <v/>
      </c>
      <c r="R470" t="str">
        <f ca="1">IF(AND(ISNUMBER($R$967),$B$511=1),$R$967,HLOOKUP(INDIRECT(ADDRESS(2,COLUMN())),OFFSET($BN$2,0,0,ROW()-1,60),ROW()-1,FALSE))</f>
        <v/>
      </c>
      <c r="S470" t="str">
        <f ca="1">IF(AND(ISNUMBER($S$967),$B$511=1),$S$967,HLOOKUP(INDIRECT(ADDRESS(2,COLUMN())),OFFSET($BN$2,0,0,ROW()-1,60),ROW()-1,FALSE))</f>
        <v/>
      </c>
      <c r="T470" t="str">
        <f ca="1">IF(AND(ISNUMBER($T$967),$B$511=1),$T$967,HLOOKUP(INDIRECT(ADDRESS(2,COLUMN())),OFFSET($BN$2,0,0,ROW()-1,60),ROW()-1,FALSE))</f>
        <v/>
      </c>
      <c r="U470" t="str">
        <f ca="1">IF(AND(ISNUMBER($U$967),$B$511=1),$U$967,HLOOKUP(INDIRECT(ADDRESS(2,COLUMN())),OFFSET($BN$2,0,0,ROW()-1,60),ROW()-1,FALSE))</f>
        <v/>
      </c>
      <c r="V470" t="str">
        <f ca="1">IF(AND(ISNUMBER($V$967),$B$511=1),$V$967,HLOOKUP(INDIRECT(ADDRESS(2,COLUMN())),OFFSET($BN$2,0,0,ROW()-1,60),ROW()-1,FALSE))</f>
        <v/>
      </c>
      <c r="W470" t="str">
        <f ca="1">IF(AND(ISNUMBER($W$967),$B$511=1),$W$967,HLOOKUP(INDIRECT(ADDRESS(2,COLUMN())),OFFSET($BN$2,0,0,ROW()-1,60),ROW()-1,FALSE))</f>
        <v/>
      </c>
      <c r="X470" t="str">
        <f ca="1">IF(AND(ISNUMBER($X$967),$B$511=1),$X$967,HLOOKUP(INDIRECT(ADDRESS(2,COLUMN())),OFFSET($BN$2,0,0,ROW()-1,60),ROW()-1,FALSE))</f>
        <v/>
      </c>
      <c r="Y470">
        <f ca="1">IF(AND(ISNUMBER($Y$967),$B$511=1),$Y$967,HLOOKUP(INDIRECT(ADDRESS(2,COLUMN())),OFFSET($BN$2,0,0,ROW()-1,60),ROW()-1,FALSE))</f>
        <v>356.35088500000001</v>
      </c>
      <c r="Z470">
        <f ca="1">IF(AND(ISNUMBER($Z$967),$B$511=1),$Z$967,HLOOKUP(INDIRECT(ADDRESS(2,COLUMN())),OFFSET($BN$2,0,0,ROW()-1,60),ROW()-1,FALSE))</f>
        <v>401.4034082</v>
      </c>
      <c r="AA470">
        <f ca="1">IF(AND(ISNUMBER($AA$967),$B$511=1),$AA$967,HLOOKUP(INDIRECT(ADDRESS(2,COLUMN())),OFFSET($BN$2,0,0,ROW()-1,60),ROW()-1,FALSE))</f>
        <v>498.0854764</v>
      </c>
      <c r="AB470">
        <f ca="1">IF(AND(ISNUMBER($AB$967),$B$511=1),$AB$967,HLOOKUP(INDIRECT(ADDRESS(2,COLUMN())),OFFSET($BN$2,0,0,ROW()-1,60),ROW()-1,FALSE))</f>
        <v>573.6932918</v>
      </c>
      <c r="AC470">
        <f ca="1">IF(AND(ISNUMBER($AC$967),$B$511=1),$AC$967,HLOOKUP(INDIRECT(ADDRESS(2,COLUMN())),OFFSET($BN$2,0,0,ROW()-1,60),ROW()-1,FALSE))</f>
        <v>609.85271709999995</v>
      </c>
      <c r="AD470">
        <f ca="1">IF(AND(ISNUMBER($AD$967),$B$511=1),$AD$967,HLOOKUP(INDIRECT(ADDRESS(2,COLUMN())),OFFSET($BN$2,0,0,ROW()-1,60),ROW()-1,FALSE))</f>
        <v>853.08145669999999</v>
      </c>
      <c r="AE470">
        <f ca="1">IF(AND(ISNUMBER($AE$967),$B$511=1),$AE$967,HLOOKUP(INDIRECT(ADDRESS(2,COLUMN())),OFFSET($BN$2,0,0,ROW()-1,60),ROW()-1,FALSE))</f>
        <v>846.9756691</v>
      </c>
      <c r="AF470">
        <f ca="1">IF(AND(ISNUMBER($AF$967),$B$511=1),$AF$967,HLOOKUP(INDIRECT(ADDRESS(2,COLUMN())),OFFSET($BN$2,0,0,ROW()-1,60),ROW()-1,FALSE))</f>
        <v>588.51977699999998</v>
      </c>
      <c r="AG470">
        <f ca="1">IF(AND(ISNUMBER($AG$967),$B$511=1),$AG$967,HLOOKUP(INDIRECT(ADDRESS(2,COLUMN())),OFFSET($BN$2,0,0,ROW()-1,60),ROW()-1,FALSE))</f>
        <v>531.99067590000004</v>
      </c>
      <c r="AH470">
        <f ca="1">IF(AND(ISNUMBER($AH$967),$B$511=1),$AH$967,HLOOKUP(INDIRECT(ADDRESS(2,COLUMN())),OFFSET($BN$2,0,0,ROW()-1,60),ROW()-1,FALSE))</f>
        <v>656.44385929999999</v>
      </c>
      <c r="AI470">
        <f ca="1">IF(AND(ISNUMBER($AI$967),$B$511=1),$AI$967,HLOOKUP(INDIRECT(ADDRESS(2,COLUMN())),OFFSET($BN$2,0,0,ROW()-1,60),ROW()-1,FALSE))</f>
        <v>522.26843310000004</v>
      </c>
      <c r="AJ470" t="str">
        <f ca="1">IF(AND(ISNUMBER($AJ$967),$B$511=1),$AJ$967,HLOOKUP(INDIRECT(ADDRESS(2,COLUMN())),OFFSET($BN$2,0,0,ROW()-1,60),ROW()-1,FALSE))</f>
        <v/>
      </c>
      <c r="AK470" t="str">
        <f ca="1">IF(AND(ISNUMBER($AK$967),$B$511=1),$AK$967,HLOOKUP(INDIRECT(ADDRESS(2,COLUMN())),OFFSET($BN$2,0,0,ROW()-1,60),ROW()-1,FALSE))</f>
        <v/>
      </c>
      <c r="AL470" t="str">
        <f ca="1">IF(AND(ISNUMBER($AL$967),$B$511=1),$AL$967,HLOOKUP(INDIRECT(ADDRESS(2,COLUMN())),OFFSET($BN$2,0,0,ROW()-1,60),ROW()-1,FALSE))</f>
        <v/>
      </c>
      <c r="AM470" t="str">
        <f ca="1">IF(AND(ISNUMBER($AM$967),$B$511=1),$AM$967,HLOOKUP(INDIRECT(ADDRESS(2,COLUMN())),OFFSET($BN$2,0,0,ROW()-1,60),ROW()-1,FALSE))</f>
        <v/>
      </c>
      <c r="AN470" t="str">
        <f ca="1">IF(AND(ISNUMBER($AN$967),$B$511=1),$AN$967,HLOOKUP(INDIRECT(ADDRESS(2,COLUMN())),OFFSET($BN$2,0,0,ROW()-1,60),ROW()-1,FALSE))</f>
        <v/>
      </c>
      <c r="AO470" t="str">
        <f ca="1">IF(AND(ISNUMBER($AO$967),$B$511=1),$AO$967,HLOOKUP(INDIRECT(ADDRESS(2,COLUMN())),OFFSET($BN$2,0,0,ROW()-1,60),ROW()-1,FALSE))</f>
        <v/>
      </c>
      <c r="AP470" t="str">
        <f ca="1">IF(AND(ISNUMBER($AP$967),$B$511=1),$AP$967,HLOOKUP(INDIRECT(ADDRESS(2,COLUMN())),OFFSET($BN$2,0,0,ROW()-1,60),ROW()-1,FALSE))</f>
        <v/>
      </c>
      <c r="AQ470" t="str">
        <f ca="1">IF(AND(ISNUMBER($AQ$967),$B$511=1),$AQ$967,HLOOKUP(INDIRECT(ADDRESS(2,COLUMN())),OFFSET($BN$2,0,0,ROW()-1,60),ROW()-1,FALSE))</f>
        <v/>
      </c>
      <c r="AR470" t="str">
        <f ca="1">IF(AND(ISNUMBER($AR$967),$B$511=1),$AR$967,HLOOKUP(INDIRECT(ADDRESS(2,COLUMN())),OFFSET($BN$2,0,0,ROW()-1,60),ROW()-1,FALSE))</f>
        <v/>
      </c>
      <c r="AS470" t="str">
        <f ca="1">IF(AND(ISNUMBER($AS$967),$B$511=1),$AS$967,HLOOKUP(INDIRECT(ADDRESS(2,COLUMN())),OFFSET($BN$2,0,0,ROW()-1,60),ROW()-1,FALSE))</f>
        <v/>
      </c>
      <c r="AT470" t="str">
        <f ca="1">IF(AND(ISNUMBER($AT$967),$B$511=1),$AT$967,HLOOKUP(INDIRECT(ADDRESS(2,COLUMN())),OFFSET($BN$2,0,0,ROW()-1,60),ROW()-1,FALSE))</f>
        <v/>
      </c>
      <c r="AU470" t="str">
        <f ca="1">IF(AND(ISNUMBER($AU$967),$B$511=1),$AU$967,HLOOKUP(INDIRECT(ADDRESS(2,COLUMN())),OFFSET($BN$2,0,0,ROW()-1,60),ROW()-1,FALSE))</f>
        <v/>
      </c>
      <c r="AV470" t="str">
        <f ca="1">IF(AND(ISNUMBER($AV$967),$B$511=1),$AV$967,HLOOKUP(INDIRECT(ADDRESS(2,COLUMN())),OFFSET($BN$2,0,0,ROW()-1,60),ROW()-1,FALSE))</f>
        <v/>
      </c>
      <c r="AW470" t="str">
        <f ca="1">IF(AND(ISNUMBER($AW$967),$B$511=1),$AW$967,HLOOKUP(INDIRECT(ADDRESS(2,COLUMN())),OFFSET($BN$2,0,0,ROW()-1,60),ROW()-1,FALSE))</f>
        <v/>
      </c>
      <c r="AX470" t="str">
        <f ca="1">IF(AND(ISNUMBER($AX$967),$B$511=1),$AX$967,HLOOKUP(INDIRECT(ADDRESS(2,COLUMN())),OFFSET($BN$2,0,0,ROW()-1,60),ROW()-1,FALSE))</f>
        <v/>
      </c>
      <c r="AY470" t="str">
        <f ca="1">IF(AND(ISNUMBER($AY$967),$B$511=1),$AY$967,HLOOKUP(INDIRECT(ADDRESS(2,COLUMN())),OFFSET($BN$2,0,0,ROW()-1,60),ROW()-1,FALSE))</f>
        <v/>
      </c>
      <c r="AZ470" t="str">
        <f ca="1">IF(AND(ISNUMBER($AZ$967),$B$511=1),$AZ$967,HLOOKUP(INDIRECT(ADDRESS(2,COLUMN())),OFFSET($BN$2,0,0,ROW()-1,60),ROW()-1,FALSE))</f>
        <v/>
      </c>
      <c r="BA470" t="str">
        <f ca="1">IF(AND(ISNUMBER($BA$967),$B$511=1),$BA$967,HLOOKUP(INDIRECT(ADDRESS(2,COLUMN())),OFFSET($BN$2,0,0,ROW()-1,60),ROW()-1,FALSE))</f>
        <v/>
      </c>
      <c r="BB470" t="str">
        <f ca="1">IF(AND(ISNUMBER($BB$967),$B$511=1),$BB$967,HLOOKUP(INDIRECT(ADDRESS(2,COLUMN())),OFFSET($BN$2,0,0,ROW()-1,60),ROW()-1,FALSE))</f>
        <v/>
      </c>
      <c r="BC470" t="str">
        <f ca="1">IF(AND(ISNUMBER($BC$967),$B$511=1),$BC$967,HLOOKUP(INDIRECT(ADDRESS(2,COLUMN())),OFFSET($BN$2,0,0,ROW()-1,60),ROW()-1,FALSE))</f>
        <v/>
      </c>
      <c r="BD470" t="str">
        <f ca="1">IF(AND(ISNUMBER($BD$967),$B$511=1),$BD$967,HLOOKUP(INDIRECT(ADDRESS(2,COLUMN())),OFFSET($BN$2,0,0,ROW()-1,60),ROW()-1,FALSE))</f>
        <v/>
      </c>
      <c r="BE470" t="str">
        <f ca="1">IF(AND(ISNUMBER($BE$967),$B$511=1),$BE$967,HLOOKUP(INDIRECT(ADDRESS(2,COLUMN())),OFFSET($BN$2,0,0,ROW()-1,60),ROW()-1,FALSE))</f>
        <v/>
      </c>
      <c r="BF470" t="str">
        <f ca="1">IF(AND(ISNUMBER($BF$967),$B$511=1),$BF$967,HLOOKUP(INDIRECT(ADDRESS(2,COLUMN())),OFFSET($BN$2,0,0,ROW()-1,60),ROW()-1,FALSE))</f>
        <v/>
      </c>
      <c r="BG470" t="str">
        <f ca="1">IF(AND(ISNUMBER($BG$967),$B$511=1),$BG$967,HLOOKUP(INDIRECT(ADDRESS(2,COLUMN())),OFFSET($BN$2,0,0,ROW()-1,60),ROW()-1,FALSE))</f>
        <v/>
      </c>
      <c r="BH470" t="str">
        <f ca="1">IF(AND(ISNUMBER($BH$967),$B$511=1),$BH$967,HLOOKUP(INDIRECT(ADDRESS(2,COLUMN())),OFFSET($BN$2,0,0,ROW()-1,60),ROW()-1,FALSE))</f>
        <v/>
      </c>
      <c r="BI470" t="str">
        <f ca="1">IF(AND(ISNUMBER($BI$967),$B$511=1),$BI$967,HLOOKUP(INDIRECT(ADDRESS(2,COLUMN())),OFFSET($BN$2,0,0,ROW()-1,60),ROW()-1,FALSE))</f>
        <v/>
      </c>
      <c r="BJ470" t="str">
        <f ca="1">IF(AND(ISNUMBER($BJ$967),$B$511=1),$BJ$967,HLOOKUP(INDIRECT(ADDRESS(2,COLUMN())),OFFSET($BN$2,0,0,ROW()-1,60),ROW()-1,FALSE))</f>
        <v/>
      </c>
      <c r="BK470" t="str">
        <f ca="1">IF(AND(ISNUMBER($BK$967),$B$511=1),$BK$967,HLOOKUP(INDIRECT(ADDRESS(2,COLUMN())),OFFSET($BN$2,0,0,ROW()-1,60),ROW()-1,FALSE))</f>
        <v/>
      </c>
      <c r="BL470" t="str">
        <f ca="1">IF(AND(ISNUMBER($BL$967),$B$511=1),$BL$967,HLOOKUP(INDIRECT(ADDRESS(2,COLUMN())),OFFSET($BN$2,0,0,ROW()-1,60),ROW()-1,FALSE))</f>
        <v/>
      </c>
      <c r="BM470" t="str">
        <f ca="1">IF(AND(ISNUMBER($BM$967),$B$511=1),$BM$967,HLOOKUP(INDIRECT(ADDRESS(2,COLUMN())),OFFSET($BN$2,0,0,ROW()-1,60),ROW()-1,FALSE))</f>
        <v/>
      </c>
      <c r="BN470">
        <f>146.1680682</f>
        <v>146.16806819999999</v>
      </c>
      <c r="BO470">
        <f>131.701158</f>
        <v>131.70115799999999</v>
      </c>
      <c r="BP470">
        <f>115.7540788</f>
        <v>115.7540788</v>
      </c>
      <c r="BQ470">
        <f>131.9764384</f>
        <v>131.97643840000001</v>
      </c>
      <c r="BR470">
        <f>217.4058706</f>
        <v>217.40587059999999</v>
      </c>
      <c r="BS470">
        <f>269.8321522</f>
        <v>269.8321522</v>
      </c>
      <c r="BT470">
        <f>257.7150646</f>
        <v>257.71506460000001</v>
      </c>
      <c r="BU470">
        <f>161.8817277</f>
        <v>161.8817277</v>
      </c>
      <c r="BV470">
        <f>187.1066974</f>
        <v>187.1066974</v>
      </c>
      <c r="BW470" t="str">
        <f>""</f>
        <v/>
      </c>
      <c r="BX470" t="str">
        <f>""</f>
        <v/>
      </c>
      <c r="BY470" t="str">
        <f>""</f>
        <v/>
      </c>
      <c r="BZ470" t="str">
        <f>""</f>
        <v/>
      </c>
      <c r="CA470" t="str">
        <f>""</f>
        <v/>
      </c>
      <c r="CB470" t="str">
        <f>""</f>
        <v/>
      </c>
      <c r="CC470" t="str">
        <f>""</f>
        <v/>
      </c>
      <c r="CD470" t="str">
        <f>""</f>
        <v/>
      </c>
      <c r="CE470" t="str">
        <f>""</f>
        <v/>
      </c>
      <c r="CF470" t="str">
        <f>""</f>
        <v/>
      </c>
      <c r="CG470">
        <f>356.350885</f>
        <v>356.35088500000001</v>
      </c>
      <c r="CH470">
        <f>401.4034082</f>
        <v>401.4034082</v>
      </c>
      <c r="CI470">
        <f>498.0854764</f>
        <v>498.0854764</v>
      </c>
      <c r="CJ470">
        <f>573.6932918</f>
        <v>573.6932918</v>
      </c>
      <c r="CK470">
        <f>609.8527171</f>
        <v>609.85271709999995</v>
      </c>
      <c r="CL470">
        <f>853.0814567</f>
        <v>853.08145669999999</v>
      </c>
      <c r="CM470">
        <f>846.9756691</f>
        <v>846.9756691</v>
      </c>
      <c r="CN470">
        <f>588.519777</f>
        <v>588.51977699999998</v>
      </c>
      <c r="CO470">
        <f>531.9906759</f>
        <v>531.99067590000004</v>
      </c>
      <c r="CP470">
        <f>656.4438593</f>
        <v>656.44385929999999</v>
      </c>
      <c r="CQ470">
        <f>522.2684331</f>
        <v>522.26843310000004</v>
      </c>
      <c r="CR470" t="str">
        <f>""</f>
        <v/>
      </c>
      <c r="CS470" t="str">
        <f>""</f>
        <v/>
      </c>
      <c r="CT470" t="str">
        <f>""</f>
        <v/>
      </c>
      <c r="CU470" t="str">
        <f>""</f>
        <v/>
      </c>
      <c r="CV470" t="str">
        <f>""</f>
        <v/>
      </c>
      <c r="CW470" t="str">
        <f>""</f>
        <v/>
      </c>
      <c r="CX470" t="str">
        <f>""</f>
        <v/>
      </c>
      <c r="CY470" t="str">
        <f>""</f>
        <v/>
      </c>
      <c r="CZ470" t="str">
        <f>""</f>
        <v/>
      </c>
      <c r="DA470" t="str">
        <f>""</f>
        <v/>
      </c>
      <c r="DB470" t="str">
        <f>""</f>
        <v/>
      </c>
      <c r="DC470" t="str">
        <f>""</f>
        <v/>
      </c>
      <c r="DD470" t="str">
        <f>""</f>
        <v/>
      </c>
      <c r="DE470" t="str">
        <f>""</f>
        <v/>
      </c>
      <c r="DF470" t="str">
        <f>""</f>
        <v/>
      </c>
      <c r="DG470" t="str">
        <f>""</f>
        <v/>
      </c>
      <c r="DH470" t="str">
        <f>""</f>
        <v/>
      </c>
      <c r="DI470" t="str">
        <f>""</f>
        <v/>
      </c>
      <c r="DJ470" t="str">
        <f>""</f>
        <v/>
      </c>
      <c r="DK470" t="str">
        <f>""</f>
        <v/>
      </c>
      <c r="DL470" t="str">
        <f>""</f>
        <v/>
      </c>
      <c r="DM470" t="str">
        <f>""</f>
        <v/>
      </c>
      <c r="DN470" t="str">
        <f>""</f>
        <v/>
      </c>
      <c r="DO470" t="str">
        <f>""</f>
        <v/>
      </c>
      <c r="DP470" t="str">
        <f>""</f>
        <v/>
      </c>
      <c r="DQ470" t="str">
        <f>""</f>
        <v/>
      </c>
      <c r="DR470" t="str">
        <f>""</f>
        <v/>
      </c>
      <c r="DS470" t="str">
        <f>""</f>
        <v/>
      </c>
      <c r="DT470" t="str">
        <f>""</f>
        <v/>
      </c>
      <c r="DU470" t="str">
        <f>""</f>
        <v/>
      </c>
    </row>
    <row r="471" spans="1:125" x14ac:dyDescent="0.25">
      <c r="A471" t="str">
        <f>"    Geely Automobile Holdings Ltd"</f>
        <v xml:space="preserve">    Geely Automobile Holdings Ltd</v>
      </c>
      <c r="B471" t="str">
        <f>"175 HK Equity"</f>
        <v>175 HK Equity</v>
      </c>
      <c r="C471" t="str">
        <f t="shared" si="33"/>
        <v>RR902</v>
      </c>
      <c r="D471" t="str">
        <f t="shared" si="34"/>
        <v>CUR_MKT_CAP</v>
      </c>
      <c r="E471" t="str">
        <f t="shared" si="35"/>
        <v>Dynamic</v>
      </c>
      <c r="F471">
        <f ca="1">IF(AND(ISNUMBER($F$968),$B$511=1),$F$968,HLOOKUP(INDIRECT(ADDRESS(2,COLUMN())),OFFSET($BN$2,0,0,ROW()-1,60),ROW()-1,FALSE))</f>
        <v>17673.71184</v>
      </c>
      <c r="G471">
        <f ca="1">IF(AND(ISNUMBER($G$968),$B$511=1),$G$968,HLOOKUP(INDIRECT(ADDRESS(2,COLUMN())),OFFSET($BN$2,0,0,ROW()-1,60),ROW()-1,FALSE))</f>
        <v>15825.215529999999</v>
      </c>
      <c r="H471">
        <f ca="1">IF(AND(ISNUMBER($H$968),$B$511=1),$H$968,HLOOKUP(INDIRECT(ADDRESS(2,COLUMN())),OFFSET($BN$2,0,0,ROW()-1,60),ROW()-1,FALSE))</f>
        <v>17898.696110000001</v>
      </c>
      <c r="I471">
        <f ca="1">IF(AND(ISNUMBER($I$968),$B$511=1),$I$968,HLOOKUP(INDIRECT(ADDRESS(2,COLUMN())),OFFSET($BN$2,0,0,ROW()-1,60),ROW()-1,FALSE))</f>
        <v>23284.27159</v>
      </c>
      <c r="J471">
        <f ca="1">IF(AND(ISNUMBER($J$968),$B$511=1),$J$968,HLOOKUP(INDIRECT(ADDRESS(2,COLUMN())),OFFSET($BN$2,0,0,ROW()-1,60),ROW()-1,FALSE))</f>
        <v>25839.62513</v>
      </c>
      <c r="K471">
        <f ca="1">IF(AND(ISNUMBER($K$968),$B$511=1),$K$968,HLOOKUP(INDIRECT(ADDRESS(2,COLUMN())),OFFSET($BN$2,0,0,ROW()-1,60),ROW()-1,FALSE))</f>
        <v>31117.71745</v>
      </c>
      <c r="L471">
        <f ca="1">IF(AND(ISNUMBER($L$968),$B$511=1),$L$968,HLOOKUP(INDIRECT(ADDRESS(2,COLUMN())),OFFSET($BN$2,0,0,ROW()-1,60),ROW()-1,FALSE))</f>
        <v>25242.133170000001</v>
      </c>
      <c r="M471">
        <f ca="1">IF(AND(ISNUMBER($M$968),$B$511=1),$M$968,HLOOKUP(INDIRECT(ADDRESS(2,COLUMN())),OFFSET($BN$2,0,0,ROW()-1,60),ROW()-1,FALSE))</f>
        <v>19273.223290000002</v>
      </c>
      <c r="N471">
        <f ca="1">IF(AND(ISNUMBER($N$968),$B$511=1),$N$968,HLOOKUP(INDIRECT(ADDRESS(2,COLUMN())),OFFSET($BN$2,0,0,ROW()-1,60),ROW()-1,FALSE))</f>
        <v>13643.551359999999</v>
      </c>
      <c r="O471">
        <f ca="1">IF(AND(ISNUMBER($O$968),$B$511=1),$O$968,HLOOKUP(INDIRECT(ADDRESS(2,COLUMN())),OFFSET($BN$2,0,0,ROW()-1,60),ROW()-1,FALSE))</f>
        <v>8488.8897770000003</v>
      </c>
      <c r="P471">
        <f ca="1">IF(AND(ISNUMBER($P$968),$B$511=1),$P$968,HLOOKUP(INDIRECT(ADDRESS(2,COLUMN())),OFFSET($BN$2,0,0,ROW()-1,60),ROW()-1,FALSE))</f>
        <v>7888.6107300000003</v>
      </c>
      <c r="Q471">
        <f ca="1">IF(AND(ISNUMBER($Q$968),$B$511=1),$Q$968,HLOOKUP(INDIRECT(ADDRESS(2,COLUMN())),OFFSET($BN$2,0,0,ROW()-1,60),ROW()-1,FALSE))</f>
        <v>4753.2347799999998</v>
      </c>
      <c r="R471">
        <f ca="1">IF(AND(ISNUMBER($R$968),$B$511=1),$R$968,HLOOKUP(INDIRECT(ADDRESS(2,COLUMN())),OFFSET($BN$2,0,0,ROW()-1,60),ROW()-1,FALSE))</f>
        <v>4357.8122380000004</v>
      </c>
      <c r="S471">
        <f ca="1">IF(AND(ISNUMBER($S$968),$B$511=1),$S$968,HLOOKUP(INDIRECT(ADDRESS(2,COLUMN())),OFFSET($BN$2,0,0,ROW()-1,60),ROW()-1,FALSE))</f>
        <v>4690.5463849999996</v>
      </c>
      <c r="T471">
        <f ca="1">IF(AND(ISNUMBER($T$968),$B$511=1),$T$968,HLOOKUP(INDIRECT(ADDRESS(2,COLUMN())),OFFSET($BN$2,0,0,ROW()-1,60),ROW()-1,FALSE))</f>
        <v>4190.6046329999999</v>
      </c>
      <c r="U471">
        <f ca="1">IF(AND(ISNUMBER($U$968),$B$511=1),$U$968,HLOOKUP(INDIRECT(ADDRESS(2,COLUMN())),OFFSET($BN$2,0,0,ROW()-1,60),ROW()-1,FALSE))</f>
        <v>4700.6229139999996</v>
      </c>
      <c r="V471">
        <f ca="1">IF(AND(ISNUMBER($V$968),$B$511=1),$V$968,HLOOKUP(INDIRECT(ADDRESS(2,COLUMN())),OFFSET($BN$2,0,0,ROW()-1,60),ROW()-1,FALSE))</f>
        <v>4529.6302919999998</v>
      </c>
      <c r="W471">
        <f ca="1">IF(AND(ISNUMBER($W$968),$B$511=1),$W$968,HLOOKUP(INDIRECT(ADDRESS(2,COLUMN())),OFFSET($BN$2,0,0,ROW()-1,60),ROW()-1,FALSE))</f>
        <v>2803.6952160000001</v>
      </c>
      <c r="X471">
        <f ca="1">IF(AND(ISNUMBER($X$968),$B$511=1),$X$968,HLOOKUP(INDIRECT(ADDRESS(2,COLUMN())),OFFSET($BN$2,0,0,ROW()-1,60),ROW()-1,FALSE))</f>
        <v>3683.9414839999999</v>
      </c>
      <c r="Y471">
        <f ca="1">IF(AND(ISNUMBER($Y$968),$B$511=1),$Y$968,HLOOKUP(INDIRECT(ADDRESS(2,COLUMN())),OFFSET($BN$2,0,0,ROW()-1,60),ROW()-1,FALSE))</f>
        <v>3100.2204230000002</v>
      </c>
      <c r="Z471">
        <f ca="1">IF(AND(ISNUMBER($Z$968),$B$511=1),$Z$968,HLOOKUP(INDIRECT(ADDRESS(2,COLUMN())),OFFSET($BN$2,0,0,ROW()-1,60),ROW()-1,FALSE))</f>
        <v>3460.7138399999999</v>
      </c>
      <c r="AA471">
        <f ca="1">IF(AND(ISNUMBER($AA$968),$B$511=1),$AA$968,HLOOKUP(INDIRECT(ADDRESS(2,COLUMN())),OFFSET($BN$2,0,0,ROW()-1,60),ROW()-1,FALSE))</f>
        <v>4256.6771879999997</v>
      </c>
      <c r="AB471">
        <f ca="1">IF(AND(ISNUMBER($AB$968),$B$511=1),$AB$968,HLOOKUP(INDIRECT(ADDRESS(2,COLUMN())),OFFSET($BN$2,0,0,ROW()-1,60),ROW()-1,FALSE))</f>
        <v>4256.4935459999997</v>
      </c>
      <c r="AC471">
        <f ca="1">IF(AND(ISNUMBER($AC$968),$B$511=1),$AC$968,HLOOKUP(INDIRECT(ADDRESS(2,COLUMN())),OFFSET($BN$2,0,0,ROW()-1,60),ROW()-1,FALSE))</f>
        <v>3584.0459040000001</v>
      </c>
      <c r="AD471">
        <f ca="1">IF(AND(ISNUMBER($AD$968),$B$511=1),$AD$968,HLOOKUP(INDIRECT(ADDRESS(2,COLUMN())),OFFSET($BN$2,0,0,ROW()-1,60),ROW()-1,FALSE))</f>
        <v>4012.6634119999999</v>
      </c>
      <c r="AE471">
        <f ca="1">IF(AND(ISNUMBER($AE$968),$B$511=1),$AE$968,HLOOKUP(INDIRECT(ADDRESS(2,COLUMN())),OFFSET($BN$2,0,0,ROW()-1,60),ROW()-1,FALSE))</f>
        <v>3910.5579520000001</v>
      </c>
      <c r="AF471">
        <f ca="1">IF(AND(ISNUMBER($AF$968),$B$511=1),$AF$968,HLOOKUP(INDIRECT(ADDRESS(2,COLUMN())),OFFSET($BN$2,0,0,ROW()-1,60),ROW()-1,FALSE))</f>
        <v>2835.8340539999999</v>
      </c>
      <c r="AG471">
        <f ca="1">IF(AND(ISNUMBER($AG$968),$B$511=1),$AG$968,HLOOKUP(INDIRECT(ADDRESS(2,COLUMN())),OFFSET($BN$2,0,0,ROW()-1,60),ROW()-1,FALSE))</f>
        <v>2601.8038179999999</v>
      </c>
      <c r="AH471">
        <f ca="1">IF(AND(ISNUMBER($AH$968),$B$511=1),$AH$968,HLOOKUP(INDIRECT(ADDRESS(2,COLUMN())),OFFSET($BN$2,0,0,ROW()-1,60),ROW()-1,FALSE))</f>
        <v>2921.1910010000001</v>
      </c>
      <c r="AI471">
        <f ca="1">IF(AND(ISNUMBER($AI$968),$B$511=1),$AI$968,HLOOKUP(INDIRECT(ADDRESS(2,COLUMN())),OFFSET($BN$2,0,0,ROW()-1,60),ROW()-1,FALSE))</f>
        <v>1632.3336810000001</v>
      </c>
      <c r="AJ471">
        <f ca="1">IF(AND(ISNUMBER($AJ$968),$B$511=1),$AJ$968,HLOOKUP(INDIRECT(ADDRESS(2,COLUMN())),OFFSET($BN$2,0,0,ROW()-1,60),ROW()-1,FALSE))</f>
        <v>1675.728662</v>
      </c>
      <c r="AK471">
        <f ca="1">IF(AND(ISNUMBER($AK$968),$B$511=1),$AK$968,HLOOKUP(INDIRECT(ADDRESS(2,COLUMN())),OFFSET($BN$2,0,0,ROW()-1,60),ROW()-1,FALSE))</f>
        <v>2911.796531</v>
      </c>
      <c r="AL471">
        <f ca="1">IF(AND(ISNUMBER($AL$968),$B$511=1),$AL$968,HLOOKUP(INDIRECT(ADDRESS(2,COLUMN())),OFFSET($BN$2,0,0,ROW()-1,60),ROW()-1,FALSE))</f>
        <v>2765.4287239999999</v>
      </c>
      <c r="AM471">
        <f ca="1">IF(AND(ISNUMBER($AM$968),$B$511=1),$AM$968,HLOOKUP(INDIRECT(ADDRESS(2,COLUMN())),OFFSET($BN$2,0,0,ROW()-1,60),ROW()-1,FALSE))</f>
        <v>3254.7561059999998</v>
      </c>
      <c r="AN471">
        <f ca="1">IF(AND(ISNUMBER($AN$968),$B$511=1),$AN$968,HLOOKUP(INDIRECT(ADDRESS(2,COLUMN())),OFFSET($BN$2,0,0,ROW()-1,60),ROW()-1,FALSE))</f>
        <v>3666.8500220000001</v>
      </c>
      <c r="AO471">
        <f ca="1">IF(AND(ISNUMBER($AO$968),$B$511=1),$AO$968,HLOOKUP(INDIRECT(ADDRESS(2,COLUMN())),OFFSET($BN$2,0,0,ROW()-1,60),ROW()-1,FALSE))</f>
        <v>2268.4645860000001</v>
      </c>
      <c r="AP471">
        <f ca="1">IF(AND(ISNUMBER($AP$968),$B$511=1),$AP$968,HLOOKUP(INDIRECT(ADDRESS(2,COLUMN())),OFFSET($BN$2,0,0,ROW()-1,60),ROW()-1,FALSE))</f>
        <v>3871.5681650000001</v>
      </c>
      <c r="AQ471">
        <f ca="1">IF(AND(ISNUMBER($AQ$968),$B$511=1),$AQ$968,HLOOKUP(INDIRECT(ADDRESS(2,COLUMN())),OFFSET($BN$2,0,0,ROW()-1,60),ROW()-1,FALSE))</f>
        <v>4026.2791619999998</v>
      </c>
      <c r="AR471">
        <f ca="1">IF(AND(ISNUMBER($AR$968),$B$511=1),$AR$968,HLOOKUP(INDIRECT(ADDRESS(2,COLUMN())),OFFSET($BN$2,0,0,ROW()-1,60),ROW()-1,FALSE))</f>
        <v>1984.3695729999999</v>
      </c>
      <c r="AS471">
        <f ca="1">IF(AND(ISNUMBER($AS$968),$B$511=1),$AS$968,HLOOKUP(INDIRECT(ADDRESS(2,COLUMN())),OFFSET($BN$2,0,0,ROW()-1,60),ROW()-1,FALSE))</f>
        <v>1275.2941920000001</v>
      </c>
      <c r="AT471">
        <f ca="1">IF(AND(ISNUMBER($AT$968),$B$511=1),$AT$968,HLOOKUP(INDIRECT(ADDRESS(2,COLUMN())),OFFSET($BN$2,0,0,ROW()-1,60),ROW()-1,FALSE))</f>
        <v>569.4163069</v>
      </c>
      <c r="AU471">
        <f ca="1">IF(AND(ISNUMBER($AU$968),$B$511=1),$AU$968,HLOOKUP(INDIRECT(ADDRESS(2,COLUMN())),OFFSET($BN$2,0,0,ROW()-1,60),ROW()-1,FALSE))</f>
        <v>527.54746079999995</v>
      </c>
      <c r="AV471">
        <f ca="1">IF(AND(ISNUMBER($AV$968),$B$511=1),$AV$968,HLOOKUP(INDIRECT(ADDRESS(2,COLUMN())),OFFSET($BN$2,0,0,ROW()-1,60),ROW()-1,FALSE))</f>
        <v>493.11706429999998</v>
      </c>
      <c r="AW471">
        <f ca="1">IF(AND(ISNUMBER($AW$968),$B$511=1),$AW$968,HLOOKUP(INDIRECT(ADDRESS(2,COLUMN())),OFFSET($BN$2,0,0,ROW()-1,60),ROW()-1,FALSE))</f>
        <v>593.6091705</v>
      </c>
      <c r="AX471">
        <f ca="1">IF(AND(ISNUMBER($AX$968),$B$511=1),$AX$968,HLOOKUP(INDIRECT(ADDRESS(2,COLUMN())),OFFSET($BN$2,0,0,ROW()-1,60),ROW()-1,FALSE))</f>
        <v>621.51564399999995</v>
      </c>
      <c r="AY471">
        <f ca="1">IF(AND(ISNUMBER($AY$968),$B$511=1),$AY$968,HLOOKUP(INDIRECT(ADDRESS(2,COLUMN())),OFFSET($BN$2,0,0,ROW()-1,60),ROW()-1,FALSE))</f>
        <v>586.82652429999996</v>
      </c>
      <c r="AZ471">
        <f ca="1">IF(AND(ISNUMBER($AZ$968),$B$511=1),$AZ$968,HLOOKUP(INDIRECT(ADDRESS(2,COLUMN())),OFFSET($BN$2,0,0,ROW()-1,60),ROW()-1,FALSE))</f>
        <v>613.23560999999995</v>
      </c>
      <c r="BA471">
        <f ca="1">IF(AND(ISNUMBER($BA$968),$B$511=1),$BA$968,HLOOKUP(INDIRECT(ADDRESS(2,COLUMN())),OFFSET($BN$2,0,0,ROW()-1,60),ROW()-1,FALSE))</f>
        <v>768.64233839999997</v>
      </c>
      <c r="BB471">
        <f ca="1">IF(AND(ISNUMBER($BB$968),$B$511=1),$BB$968,HLOOKUP(INDIRECT(ADDRESS(2,COLUMN())),OFFSET($BN$2,0,0,ROW()-1,60),ROW()-1,FALSE))</f>
        <v>635.79036080000003</v>
      </c>
      <c r="BC471">
        <f ca="1">IF(AND(ISNUMBER($BC$968),$B$511=1),$BC$968,HLOOKUP(INDIRECT(ADDRESS(2,COLUMN())),OFFSET($BN$2,0,0,ROW()-1,60),ROW()-1,FALSE))</f>
        <v>410.91762249999999</v>
      </c>
      <c r="BD471">
        <f ca="1">IF(AND(ISNUMBER($BD$968),$B$511=1),$BD$968,HLOOKUP(INDIRECT(ADDRESS(2,COLUMN())),OFFSET($BN$2,0,0,ROW()-1,60),ROW()-1,FALSE))</f>
        <v>489.9197618</v>
      </c>
      <c r="BE471">
        <f ca="1">IF(AND(ISNUMBER($BE$968),$B$511=1),$BE$968,HLOOKUP(INDIRECT(ADDRESS(2,COLUMN())),OFFSET($BN$2,0,0,ROW()-1,60),ROW()-1,FALSE))</f>
        <v>514.5689691</v>
      </c>
      <c r="BF471">
        <f ca="1">IF(AND(ISNUMBER($BF$968),$B$511=1),$BF$968,HLOOKUP(INDIRECT(ADDRESS(2,COLUMN())),OFFSET($BN$2,0,0,ROW()-1,60),ROW()-1,FALSE))</f>
        <v>408.84601029999999</v>
      </c>
      <c r="BG471">
        <f ca="1">IF(AND(ISNUMBER($BG$968),$B$511=1),$BG$968,HLOOKUP(INDIRECT(ADDRESS(2,COLUMN())),OFFSET($BN$2,0,0,ROW()-1,60),ROW()-1,FALSE))</f>
        <v>172.70286050000001</v>
      </c>
      <c r="BH471">
        <f ca="1">IF(AND(ISNUMBER($BH$968),$B$511=1),$BH$968,HLOOKUP(INDIRECT(ADDRESS(2,COLUMN())),OFFSET($BN$2,0,0,ROW()-1,60),ROW()-1,FALSE))</f>
        <v>231.0429049</v>
      </c>
      <c r="BI471">
        <f ca="1">IF(AND(ISNUMBER($BI$968),$B$511=1),$BI$968,HLOOKUP(INDIRECT(ADDRESS(2,COLUMN())),OFFSET($BN$2,0,0,ROW()-1,60),ROW()-1,FALSE))</f>
        <v>265.08815140000002</v>
      </c>
      <c r="BJ471">
        <f ca="1">IF(AND(ISNUMBER($BJ$968),$B$511=1),$BJ$968,HLOOKUP(INDIRECT(ADDRESS(2,COLUMN())),OFFSET($BN$2,0,0,ROW()-1,60),ROW()-1,FALSE))</f>
        <v>256.21239709999998</v>
      </c>
      <c r="BK471">
        <f ca="1">IF(AND(ISNUMBER($BK$968),$B$511=1),$BK$968,HLOOKUP(INDIRECT(ADDRESS(2,COLUMN())),OFFSET($BN$2,0,0,ROW()-1,60),ROW()-1,FALSE))</f>
        <v>193.47700689999999</v>
      </c>
      <c r="BL471">
        <f ca="1">IF(AND(ISNUMBER($BL$968),$B$511=1),$BL$968,HLOOKUP(INDIRECT(ADDRESS(2,COLUMN())),OFFSET($BN$2,0,0,ROW()-1,60),ROW()-1,FALSE))</f>
        <v>190.2441321</v>
      </c>
      <c r="BM471">
        <f ca="1">IF(AND(ISNUMBER($BM$968),$B$511=1),$BM$968,HLOOKUP(INDIRECT(ADDRESS(2,COLUMN())),OFFSET($BN$2,0,0,ROW()-1,60),ROW()-1,FALSE))</f>
        <v>327.51665229999998</v>
      </c>
      <c r="BN471">
        <f>17673.71184</f>
        <v>17673.71184</v>
      </c>
      <c r="BO471">
        <f>15825.21553</f>
        <v>15825.215529999999</v>
      </c>
      <c r="BP471">
        <f>17898.69611</f>
        <v>17898.696110000001</v>
      </c>
      <c r="BQ471">
        <f>23284.27159</f>
        <v>23284.27159</v>
      </c>
      <c r="BR471">
        <f>25839.62513</f>
        <v>25839.62513</v>
      </c>
      <c r="BS471">
        <f>31117.71745</f>
        <v>31117.71745</v>
      </c>
      <c r="BT471">
        <f>25242.13317</f>
        <v>25242.133170000001</v>
      </c>
      <c r="BU471">
        <f>19273.22329</f>
        <v>19273.223290000002</v>
      </c>
      <c r="BV471">
        <f>13643.55136</f>
        <v>13643.551359999999</v>
      </c>
      <c r="BW471">
        <f>8488.889777</f>
        <v>8488.8897770000003</v>
      </c>
      <c r="BX471">
        <f>7888.61073</f>
        <v>7888.6107300000003</v>
      </c>
      <c r="BY471">
        <f>4753.23478</f>
        <v>4753.2347799999998</v>
      </c>
      <c r="BZ471">
        <f>4357.812238</f>
        <v>4357.8122380000004</v>
      </c>
      <c r="CA471">
        <f>4690.546385</f>
        <v>4690.5463849999996</v>
      </c>
      <c r="CB471">
        <f>4190.604633</f>
        <v>4190.6046329999999</v>
      </c>
      <c r="CC471">
        <f>4700.622914</f>
        <v>4700.6229139999996</v>
      </c>
      <c r="CD471">
        <f>4529.630292</f>
        <v>4529.6302919999998</v>
      </c>
      <c r="CE471">
        <f>2803.695216</f>
        <v>2803.6952160000001</v>
      </c>
      <c r="CF471">
        <f>3683.941484</f>
        <v>3683.9414839999999</v>
      </c>
      <c r="CG471">
        <f>3100.220423</f>
        <v>3100.2204230000002</v>
      </c>
      <c r="CH471">
        <f>3460.71384</f>
        <v>3460.7138399999999</v>
      </c>
      <c r="CI471">
        <f>4256.677188</f>
        <v>4256.6771879999997</v>
      </c>
      <c r="CJ471">
        <f>4256.493546</f>
        <v>4256.4935459999997</v>
      </c>
      <c r="CK471">
        <f>3584.045904</f>
        <v>3584.0459040000001</v>
      </c>
      <c r="CL471">
        <f>4012.663412</f>
        <v>4012.6634119999999</v>
      </c>
      <c r="CM471">
        <f>3910.557952</f>
        <v>3910.5579520000001</v>
      </c>
      <c r="CN471">
        <f>2835.834054</f>
        <v>2835.8340539999999</v>
      </c>
      <c r="CO471">
        <f>2601.803818</f>
        <v>2601.8038179999999</v>
      </c>
      <c r="CP471">
        <f>2921.191001</f>
        <v>2921.1910010000001</v>
      </c>
      <c r="CQ471">
        <f>1632.333681</f>
        <v>1632.3336810000001</v>
      </c>
      <c r="CR471">
        <f>1675.728662</f>
        <v>1675.728662</v>
      </c>
      <c r="CS471">
        <f>2911.796531</f>
        <v>2911.796531</v>
      </c>
      <c r="CT471">
        <f>2765.428724</f>
        <v>2765.4287239999999</v>
      </c>
      <c r="CU471">
        <f>3254.756106</f>
        <v>3254.7561059999998</v>
      </c>
      <c r="CV471">
        <f>3666.850022</f>
        <v>3666.8500220000001</v>
      </c>
      <c r="CW471">
        <f>2268.464586</f>
        <v>2268.4645860000001</v>
      </c>
      <c r="CX471">
        <f>3871.568165</f>
        <v>3871.5681650000001</v>
      </c>
      <c r="CY471">
        <f>4026.279162</f>
        <v>4026.2791619999998</v>
      </c>
      <c r="CZ471">
        <f>1984.369573</f>
        <v>1984.3695729999999</v>
      </c>
      <c r="DA471">
        <f>1275.294192</f>
        <v>1275.2941920000001</v>
      </c>
      <c r="DB471">
        <f>569.4163069</f>
        <v>569.4163069</v>
      </c>
      <c r="DC471">
        <f>527.5474608</f>
        <v>527.54746079999995</v>
      </c>
      <c r="DD471">
        <f>493.1170643</f>
        <v>493.11706429999998</v>
      </c>
      <c r="DE471">
        <f>593.6091705</f>
        <v>593.6091705</v>
      </c>
      <c r="DF471">
        <f>621.515644</f>
        <v>621.51564399999995</v>
      </c>
      <c r="DG471">
        <f>586.8265243</f>
        <v>586.82652429999996</v>
      </c>
      <c r="DH471">
        <f>613.23561</f>
        <v>613.23560999999995</v>
      </c>
      <c r="DI471">
        <f>768.6423384</f>
        <v>768.64233839999997</v>
      </c>
      <c r="DJ471">
        <f>635.7903608</f>
        <v>635.79036080000003</v>
      </c>
      <c r="DK471">
        <f>410.9176225</f>
        <v>410.91762249999999</v>
      </c>
      <c r="DL471">
        <f>489.9197618</f>
        <v>489.9197618</v>
      </c>
      <c r="DM471">
        <f>514.5689691</f>
        <v>514.5689691</v>
      </c>
      <c r="DN471">
        <f>408.8460103</f>
        <v>408.84601029999999</v>
      </c>
      <c r="DO471">
        <f>172.7028605</f>
        <v>172.70286050000001</v>
      </c>
      <c r="DP471">
        <f>231.0429049</f>
        <v>231.0429049</v>
      </c>
      <c r="DQ471">
        <f>265.0881514</f>
        <v>265.08815140000002</v>
      </c>
      <c r="DR471">
        <f>256.2123971</f>
        <v>256.21239709999998</v>
      </c>
      <c r="DS471">
        <f>193.4770069</f>
        <v>193.47700689999999</v>
      </c>
      <c r="DT471">
        <f>190.2441321</f>
        <v>190.2441321</v>
      </c>
      <c r="DU471">
        <f>327.5166523</f>
        <v>327.51665229999998</v>
      </c>
    </row>
    <row r="472" spans="1:125" x14ac:dyDescent="0.25">
      <c r="A472" t="str">
        <f>"    General Motors Co"</f>
        <v xml:space="preserve">    General Motors Co</v>
      </c>
      <c r="B472" t="str">
        <f>"GM US Equity"</f>
        <v>GM US Equity</v>
      </c>
      <c r="C472" t="str">
        <f t="shared" si="33"/>
        <v>RR902</v>
      </c>
      <c r="D472" t="str">
        <f t="shared" si="34"/>
        <v>CUR_MKT_CAP</v>
      </c>
      <c r="E472" t="str">
        <f t="shared" si="35"/>
        <v>Dynamic</v>
      </c>
      <c r="F472">
        <f ca="1">IF(AND(ISNUMBER($F$969),$B$511=1),$F$969,HLOOKUP(INDIRECT(ADDRESS(2,COLUMN())),OFFSET($BN$2,0,0,ROW()-1,60),ROW()-1,FALSE))</f>
        <v>55357.286970000001</v>
      </c>
      <c r="G472">
        <f ca="1">IF(AND(ISNUMBER($G$969),$B$511=1),$G$969,HLOOKUP(INDIRECT(ADDRESS(2,COLUMN())),OFFSET($BN$2,0,0,ROW()-1,60),ROW()-1,FALSE))</f>
        <v>47211.451520000002</v>
      </c>
      <c r="H472">
        <f ca="1">IF(AND(ISNUMBER($H$969),$B$511=1),$H$969,HLOOKUP(INDIRECT(ADDRESS(2,COLUMN())),OFFSET($BN$2,0,0,ROW()-1,60),ROW()-1,FALSE))</f>
        <v>47504.609600000003</v>
      </c>
      <c r="I472">
        <f ca="1">IF(AND(ISNUMBER($I$969),$B$511=1),$I$969,HLOOKUP(INDIRECT(ADDRESS(2,COLUMN())),OFFSET($BN$2,0,0,ROW()-1,60),ROW()-1,FALSE))</f>
        <v>55532.00621</v>
      </c>
      <c r="J472">
        <f ca="1">IF(AND(ISNUMBER($J$969),$B$511=1),$J$969,HLOOKUP(INDIRECT(ADDRESS(2,COLUMN())),OFFSET($BN$2,0,0,ROW()-1,60),ROW()-1,FALSE))</f>
        <v>50895.055350000002</v>
      </c>
      <c r="K472">
        <f ca="1">IF(AND(ISNUMBER($K$969),$B$511=1),$K$969,HLOOKUP(INDIRECT(ADDRESS(2,COLUMN())),OFFSET($BN$2,0,0,ROW()-1,60),ROW()-1,FALSE))</f>
        <v>58222.505879999997</v>
      </c>
      <c r="L472">
        <f ca="1">IF(AND(ISNUMBER($L$969),$B$511=1),$L$969,HLOOKUP(INDIRECT(ADDRESS(2,COLUMN())),OFFSET($BN$2,0,0,ROW()-1,60),ROW()-1,FALSE))</f>
        <v>58842.0697</v>
      </c>
      <c r="M472">
        <f ca="1">IF(AND(ISNUMBER($M$969),$B$511=1),$M$969,HLOOKUP(INDIRECT(ADDRESS(2,COLUMN())),OFFSET($BN$2,0,0,ROW()-1,60),ROW()-1,FALSE))</f>
        <v>52713.259559999999</v>
      </c>
      <c r="N472">
        <f ca="1">IF(AND(ISNUMBER($N$969),$B$511=1),$N$969,HLOOKUP(INDIRECT(ADDRESS(2,COLUMN())),OFFSET($BN$2,0,0,ROW()-1,60),ROW()-1,FALSE))</f>
        <v>52968.02824</v>
      </c>
      <c r="O472">
        <f ca="1">IF(AND(ISNUMBER($O$969),$B$511=1),$O$969,HLOOKUP(INDIRECT(ADDRESS(2,COLUMN())),OFFSET($BN$2,0,0,ROW()-1,60),ROW()-1,FALSE))</f>
        <v>53108.144760000003</v>
      </c>
      <c r="P472">
        <f ca="1">IF(AND(ISNUMBER($P$969),$B$511=1),$P$969,HLOOKUP(INDIRECT(ADDRESS(2,COLUMN())),OFFSET($BN$2,0,0,ROW()-1,60),ROW()-1,FALSE))</f>
        <v>49622.257969999999</v>
      </c>
      <c r="Q472">
        <f ca="1">IF(AND(ISNUMBER($Q$969),$B$511=1),$Q$969,HLOOKUP(INDIRECT(ADDRESS(2,COLUMN())),OFFSET($BN$2,0,0,ROW()-1,60),ROW()-1,FALSE))</f>
        <v>43577.056479999999</v>
      </c>
      <c r="R472">
        <f ca="1">IF(AND(ISNUMBER($R$969),$B$511=1),$R$969,HLOOKUP(INDIRECT(ADDRESS(2,COLUMN())),OFFSET($BN$2,0,0,ROW()-1,60),ROW()-1,FALSE))</f>
        <v>48543.400959999999</v>
      </c>
      <c r="S472">
        <f ca="1">IF(AND(ISNUMBER($S$969),$B$511=1),$S$969,HLOOKUP(INDIRECT(ADDRESS(2,COLUMN())),OFFSET($BN$2,0,0,ROW()-1,60),ROW()-1,FALSE))</f>
        <v>52925.575680000002</v>
      </c>
      <c r="T472">
        <f ca="1">IF(AND(ISNUMBER($T$969),$B$511=1),$T$969,HLOOKUP(INDIRECT(ADDRESS(2,COLUMN())),OFFSET($BN$2,0,0,ROW()-1,60),ROW()-1,FALSE))</f>
        <v>47551.603040000002</v>
      </c>
      <c r="U472">
        <f ca="1">IF(AND(ISNUMBER($U$969),$B$511=1),$U$969,HLOOKUP(INDIRECT(ADDRESS(2,COLUMN())),OFFSET($BN$2,0,0,ROW()-1,60),ROW()-1,FALSE))</f>
        <v>53568.230689999997</v>
      </c>
      <c r="V472">
        <f ca="1">IF(AND(ISNUMBER($V$969),$B$511=1),$V$969,HLOOKUP(INDIRECT(ADDRESS(2,COLUMN())),OFFSET($BN$2,0,0,ROW()-1,60),ROW()-1,FALSE))</f>
        <v>60388.723749999997</v>
      </c>
      <c r="W472">
        <f ca="1">IF(AND(ISNUMBER($W$969),$B$511=1),$W$969,HLOOKUP(INDIRECT(ADDRESS(2,COLUMN())),OFFSET($BN$2,0,0,ROW()-1,60),ROW()-1,FALSE))</f>
        <v>56089.767449999999</v>
      </c>
      <c r="X472">
        <f ca="1">IF(AND(ISNUMBER($X$969),$B$511=1),$X$969,HLOOKUP(INDIRECT(ADDRESS(2,COLUMN())),OFFSET($BN$2,0,0,ROW()-1,60),ROW()-1,FALSE))</f>
        <v>51253.539400000001</v>
      </c>
      <c r="Y472">
        <f ca="1">IF(AND(ISNUMBER($Y$969),$B$511=1),$Y$969,HLOOKUP(INDIRECT(ADDRESS(2,COLUMN())),OFFSET($BN$2,0,0,ROW()-1,60),ROW()-1,FALSE))</f>
        <v>58214.977330000002</v>
      </c>
      <c r="Z472">
        <f ca="1">IF(AND(ISNUMBER($Z$969),$B$511=1),$Z$969,HLOOKUP(INDIRECT(ADDRESS(2,COLUMN())),OFFSET($BN$2,0,0,ROW()-1,60),ROW()-1,FALSE))</f>
        <v>54720.514320000002</v>
      </c>
      <c r="AA472">
        <f ca="1">IF(AND(ISNUMBER($AA$969),$B$511=1),$AA$969,HLOOKUP(INDIRECT(ADDRESS(2,COLUMN())),OFFSET($BN$2,0,0,ROW()-1,60),ROW()-1,FALSE))</f>
        <v>56767.357360000002</v>
      </c>
      <c r="AB472">
        <f ca="1">IF(AND(ISNUMBER($AB$969),$B$511=1),$AB$969,HLOOKUP(INDIRECT(ADDRESS(2,COLUMN())),OFFSET($BN$2,0,0,ROW()-1,60),ROW()-1,FALSE))</f>
        <v>49787.437290000002</v>
      </c>
      <c r="AC472">
        <f ca="1">IF(AND(ISNUMBER($AC$969),$B$511=1),$AC$969,HLOOKUP(INDIRECT(ADDRESS(2,COLUMN())),OFFSET($BN$2,0,0,ROW()-1,60),ROW()-1,FALSE))</f>
        <v>45790.795899999997</v>
      </c>
      <c r="AD472">
        <f ca="1">IF(AND(ISNUMBER($AD$969),$B$511=1),$AD$969,HLOOKUP(INDIRECT(ADDRESS(2,COLUMN())),OFFSET($BN$2,0,0,ROW()-1,60),ROW()-1,FALSE))</f>
        <v>38014.454259999999</v>
      </c>
      <c r="AE472">
        <f ca="1">IF(AND(ISNUMBER($AE$969),$B$511=1),$AE$969,HLOOKUP(INDIRECT(ADDRESS(2,COLUMN())),OFFSET($BN$2,0,0,ROW()-1,60),ROW()-1,FALSE))</f>
        <v>45148.353640000001</v>
      </c>
      <c r="AF472">
        <f ca="1">IF(AND(ISNUMBER($AF$969),$B$511=1),$AF$969,HLOOKUP(INDIRECT(ADDRESS(2,COLUMN())),OFFSET($BN$2,0,0,ROW()-1,60),ROW()-1,FALSE))</f>
        <v>35625.464139999996</v>
      </c>
      <c r="AG472">
        <f ca="1">IF(AND(ISNUMBER($AG$969),$B$511=1),$AG$969,HLOOKUP(INDIRECT(ADDRESS(2,COLUMN())),OFFSET($BN$2,0,0,ROW()-1,60),ROW()-1,FALSE))</f>
        <v>30878.662619999999</v>
      </c>
      <c r="AH472">
        <f ca="1">IF(AND(ISNUMBER($AH$969),$B$511=1),$AH$969,HLOOKUP(INDIRECT(ADDRESS(2,COLUMN())),OFFSET($BN$2,0,0,ROW()-1,60),ROW()-1,FALSE))</f>
        <v>40161.794349999996</v>
      </c>
      <c r="AI472">
        <f ca="1">IF(AND(ISNUMBER($AI$969),$B$511=1),$AI$969,HLOOKUP(INDIRECT(ADDRESS(2,COLUMN())),OFFSET($BN$2,0,0,ROW()-1,60),ROW()-1,FALSE))</f>
        <v>31713.6695</v>
      </c>
      <c r="AJ472">
        <f ca="1">IF(AND(ISNUMBER($AJ$969),$B$511=1),$AJ$969,HLOOKUP(INDIRECT(ADDRESS(2,COLUMN())),OFFSET($BN$2,0,0,ROW()-1,60),ROW()-1,FALSE))</f>
        <v>31516.440170000002</v>
      </c>
      <c r="AK472">
        <f ca="1">IF(AND(ISNUMBER($AK$969),$B$511=1),$AK$969,HLOOKUP(INDIRECT(ADDRESS(2,COLUMN())),OFFSET($BN$2,0,0,ROW()-1,60),ROW()-1,FALSE))</f>
        <v>47385.466990000001</v>
      </c>
      <c r="AL472">
        <f ca="1">IF(AND(ISNUMBER($AL$969),$B$511=1),$AL$969,HLOOKUP(INDIRECT(ADDRESS(2,COLUMN())),OFFSET($BN$2,0,0,ROW()-1,60),ROW()-1,FALSE))</f>
        <v>48429.856590000003</v>
      </c>
      <c r="AM472">
        <f ca="1">IF(AND(ISNUMBER($AM$969),$B$511=1),$AM$969,HLOOKUP(INDIRECT(ADDRESS(2,COLUMN())),OFFSET($BN$2,0,0,ROW()-1,60),ROW()-1,FALSE))</f>
        <v>55290</v>
      </c>
      <c r="AN472" t="str">
        <f ca="1">IF(AND(ISNUMBER($AN$969),$B$511=1),$AN$969,HLOOKUP(INDIRECT(ADDRESS(2,COLUMN())),OFFSET($BN$2,0,0,ROW()-1,60),ROW()-1,FALSE))</f>
        <v/>
      </c>
      <c r="AO472" t="str">
        <f ca="1">IF(AND(ISNUMBER($AO$969),$B$511=1),$AO$969,HLOOKUP(INDIRECT(ADDRESS(2,COLUMN())),OFFSET($BN$2,0,0,ROW()-1,60),ROW()-1,FALSE))</f>
        <v/>
      </c>
      <c r="AP472" t="str">
        <f ca="1">IF(AND(ISNUMBER($AP$969),$B$511=1),$AP$969,HLOOKUP(INDIRECT(ADDRESS(2,COLUMN())),OFFSET($BN$2,0,0,ROW()-1,60),ROW()-1,FALSE))</f>
        <v/>
      </c>
      <c r="AQ472" t="str">
        <f ca="1">IF(AND(ISNUMBER($AQ$969),$B$511=1),$AQ$969,HLOOKUP(INDIRECT(ADDRESS(2,COLUMN())),OFFSET($BN$2,0,0,ROW()-1,60),ROW()-1,FALSE))</f>
        <v/>
      </c>
      <c r="AR472" t="str">
        <f ca="1">IF(AND(ISNUMBER($AR$969),$B$511=1),$AR$969,HLOOKUP(INDIRECT(ADDRESS(2,COLUMN())),OFFSET($BN$2,0,0,ROW()-1,60),ROW()-1,FALSE))</f>
        <v/>
      </c>
      <c r="AS472" t="str">
        <f ca="1">IF(AND(ISNUMBER($AS$969),$B$511=1),$AS$969,HLOOKUP(INDIRECT(ADDRESS(2,COLUMN())),OFFSET($BN$2,0,0,ROW()-1,60),ROW()-1,FALSE))</f>
        <v/>
      </c>
      <c r="AT472" t="str">
        <f ca="1">IF(AND(ISNUMBER($AT$969),$B$511=1),$AT$969,HLOOKUP(INDIRECT(ADDRESS(2,COLUMN())),OFFSET($BN$2,0,0,ROW()-1,60),ROW()-1,FALSE))</f>
        <v/>
      </c>
      <c r="AU472" t="str">
        <f ca="1">IF(AND(ISNUMBER($AU$969),$B$511=1),$AU$969,HLOOKUP(INDIRECT(ADDRESS(2,COLUMN())),OFFSET($BN$2,0,0,ROW()-1,60),ROW()-1,FALSE))</f>
        <v/>
      </c>
      <c r="AV472" t="str">
        <f ca="1">IF(AND(ISNUMBER($AV$969),$B$511=1),$AV$969,HLOOKUP(INDIRECT(ADDRESS(2,COLUMN())),OFFSET($BN$2,0,0,ROW()-1,60),ROW()-1,FALSE))</f>
        <v/>
      </c>
      <c r="AW472" t="str">
        <f ca="1">IF(AND(ISNUMBER($AW$969),$B$511=1),$AW$969,HLOOKUP(INDIRECT(ADDRESS(2,COLUMN())),OFFSET($BN$2,0,0,ROW()-1,60),ROW()-1,FALSE))</f>
        <v/>
      </c>
      <c r="AX472" t="str">
        <f ca="1">IF(AND(ISNUMBER($AX$969),$B$511=1),$AX$969,HLOOKUP(INDIRECT(ADDRESS(2,COLUMN())),OFFSET($BN$2,0,0,ROW()-1,60),ROW()-1,FALSE))</f>
        <v/>
      </c>
      <c r="AY472" t="str">
        <f ca="1">IF(AND(ISNUMBER($AY$969),$B$511=1),$AY$969,HLOOKUP(INDIRECT(ADDRESS(2,COLUMN())),OFFSET($BN$2,0,0,ROW()-1,60),ROW()-1,FALSE))</f>
        <v/>
      </c>
      <c r="AZ472" t="str">
        <f ca="1">IF(AND(ISNUMBER($AZ$969),$B$511=1),$AZ$969,HLOOKUP(INDIRECT(ADDRESS(2,COLUMN())),OFFSET($BN$2,0,0,ROW()-1,60),ROW()-1,FALSE))</f>
        <v/>
      </c>
      <c r="BA472" t="str">
        <f ca="1">IF(AND(ISNUMBER($BA$969),$B$511=1),$BA$969,HLOOKUP(INDIRECT(ADDRESS(2,COLUMN())),OFFSET($BN$2,0,0,ROW()-1,60),ROW()-1,FALSE))</f>
        <v/>
      </c>
      <c r="BB472" t="str">
        <f ca="1">IF(AND(ISNUMBER($BB$969),$B$511=1),$BB$969,HLOOKUP(INDIRECT(ADDRESS(2,COLUMN())),OFFSET($BN$2,0,0,ROW()-1,60),ROW()-1,FALSE))</f>
        <v/>
      </c>
      <c r="BC472" t="str">
        <f ca="1">IF(AND(ISNUMBER($BC$969),$B$511=1),$BC$969,HLOOKUP(INDIRECT(ADDRESS(2,COLUMN())),OFFSET($BN$2,0,0,ROW()-1,60),ROW()-1,FALSE))</f>
        <v/>
      </c>
      <c r="BD472" t="str">
        <f ca="1">IF(AND(ISNUMBER($BD$969),$B$511=1),$BD$969,HLOOKUP(INDIRECT(ADDRESS(2,COLUMN())),OFFSET($BN$2,0,0,ROW()-1,60),ROW()-1,FALSE))</f>
        <v/>
      </c>
      <c r="BE472" t="str">
        <f ca="1">IF(AND(ISNUMBER($BE$969),$B$511=1),$BE$969,HLOOKUP(INDIRECT(ADDRESS(2,COLUMN())),OFFSET($BN$2,0,0,ROW()-1,60),ROW()-1,FALSE))</f>
        <v/>
      </c>
      <c r="BF472" t="str">
        <f ca="1">IF(AND(ISNUMBER($BF$969),$B$511=1),$BF$969,HLOOKUP(INDIRECT(ADDRESS(2,COLUMN())),OFFSET($BN$2,0,0,ROW()-1,60),ROW()-1,FALSE))</f>
        <v/>
      </c>
      <c r="BG472" t="str">
        <f ca="1">IF(AND(ISNUMBER($BG$969),$B$511=1),$BG$969,HLOOKUP(INDIRECT(ADDRESS(2,COLUMN())),OFFSET($BN$2,0,0,ROW()-1,60),ROW()-1,FALSE))</f>
        <v/>
      </c>
      <c r="BH472" t="str">
        <f ca="1">IF(AND(ISNUMBER($BH$969),$B$511=1),$BH$969,HLOOKUP(INDIRECT(ADDRESS(2,COLUMN())),OFFSET($BN$2,0,0,ROW()-1,60),ROW()-1,FALSE))</f>
        <v/>
      </c>
      <c r="BI472" t="str">
        <f ca="1">IF(AND(ISNUMBER($BI$969),$B$511=1),$BI$969,HLOOKUP(INDIRECT(ADDRESS(2,COLUMN())),OFFSET($BN$2,0,0,ROW()-1,60),ROW()-1,FALSE))</f>
        <v/>
      </c>
      <c r="BJ472" t="str">
        <f ca="1">IF(AND(ISNUMBER($BJ$969),$B$511=1),$BJ$969,HLOOKUP(INDIRECT(ADDRESS(2,COLUMN())),OFFSET($BN$2,0,0,ROW()-1,60),ROW()-1,FALSE))</f>
        <v/>
      </c>
      <c r="BK472" t="str">
        <f ca="1">IF(AND(ISNUMBER($BK$969),$B$511=1),$BK$969,HLOOKUP(INDIRECT(ADDRESS(2,COLUMN())),OFFSET($BN$2,0,0,ROW()-1,60),ROW()-1,FALSE))</f>
        <v/>
      </c>
      <c r="BL472" t="str">
        <f ca="1">IF(AND(ISNUMBER($BL$969),$B$511=1),$BL$969,HLOOKUP(INDIRECT(ADDRESS(2,COLUMN())),OFFSET($BN$2,0,0,ROW()-1,60),ROW()-1,FALSE))</f>
        <v/>
      </c>
      <c r="BM472" t="str">
        <f ca="1">IF(AND(ISNUMBER($BM$969),$B$511=1),$BM$969,HLOOKUP(INDIRECT(ADDRESS(2,COLUMN())),OFFSET($BN$2,0,0,ROW()-1,60),ROW()-1,FALSE))</f>
        <v/>
      </c>
      <c r="BN472">
        <f>55357.28697</f>
        <v>55357.286970000001</v>
      </c>
      <c r="BO472">
        <f>47211.45152</f>
        <v>47211.451520000002</v>
      </c>
      <c r="BP472">
        <f>47504.6096</f>
        <v>47504.609600000003</v>
      </c>
      <c r="BQ472">
        <f>55532.00621</f>
        <v>55532.00621</v>
      </c>
      <c r="BR472">
        <f>50895.05535</f>
        <v>50895.055350000002</v>
      </c>
      <c r="BS472">
        <f>58222.50588</f>
        <v>58222.505879999997</v>
      </c>
      <c r="BT472">
        <f>58842.0697</f>
        <v>58842.0697</v>
      </c>
      <c r="BU472">
        <f>52713.25956</f>
        <v>52713.259559999999</v>
      </c>
      <c r="BV472">
        <f>52968.02824</f>
        <v>52968.02824</v>
      </c>
      <c r="BW472">
        <f>53108.14476</f>
        <v>53108.144760000003</v>
      </c>
      <c r="BX472">
        <f>49622.25797</f>
        <v>49622.257969999999</v>
      </c>
      <c r="BY472">
        <f>43577.05648</f>
        <v>43577.056479999999</v>
      </c>
      <c r="BZ472">
        <f>48543.4009599999</f>
        <v>48543.400959999999</v>
      </c>
      <c r="CA472">
        <f>52925.57568</f>
        <v>52925.575680000002</v>
      </c>
      <c r="CB472">
        <f>47551.60304</f>
        <v>47551.603040000002</v>
      </c>
      <c r="CC472">
        <f>53568.23069</f>
        <v>53568.230689999997</v>
      </c>
      <c r="CD472">
        <f>60388.72375</f>
        <v>60388.723749999997</v>
      </c>
      <c r="CE472">
        <f>56089.76745</f>
        <v>56089.767449999999</v>
      </c>
      <c r="CF472">
        <f>51253.5394</f>
        <v>51253.539400000001</v>
      </c>
      <c r="CG472">
        <f>58214.97733</f>
        <v>58214.977330000002</v>
      </c>
      <c r="CH472">
        <f>54720.51432</f>
        <v>54720.514320000002</v>
      </c>
      <c r="CI472">
        <f>56767.35736</f>
        <v>56767.357360000002</v>
      </c>
      <c r="CJ472">
        <f>49787.43729</f>
        <v>49787.437290000002</v>
      </c>
      <c r="CK472">
        <f>45790.7959</f>
        <v>45790.795899999997</v>
      </c>
      <c r="CL472">
        <f>38014.45426</f>
        <v>38014.454259999999</v>
      </c>
      <c r="CM472">
        <f>45148.35364</f>
        <v>45148.353640000001</v>
      </c>
      <c r="CN472">
        <f>35625.46414</f>
        <v>35625.464139999996</v>
      </c>
      <c r="CO472">
        <f>30878.66262</f>
        <v>30878.662619999999</v>
      </c>
      <c r="CP472">
        <f>40161.79435</f>
        <v>40161.794349999996</v>
      </c>
      <c r="CQ472">
        <f>31713.6695</f>
        <v>31713.6695</v>
      </c>
      <c r="CR472">
        <f>31516.44017</f>
        <v>31516.440170000002</v>
      </c>
      <c r="CS472">
        <f>47385.46699</f>
        <v>47385.466990000001</v>
      </c>
      <c r="CT472">
        <f>48429.85659</f>
        <v>48429.856590000003</v>
      </c>
      <c r="CU472">
        <f>55290</f>
        <v>55290</v>
      </c>
      <c r="CV472" t="str">
        <f>""</f>
        <v/>
      </c>
      <c r="CW472" t="str">
        <f>""</f>
        <v/>
      </c>
      <c r="CX472" t="str">
        <f>""</f>
        <v/>
      </c>
      <c r="CY472" t="str">
        <f>""</f>
        <v/>
      </c>
      <c r="CZ472" t="str">
        <f>""</f>
        <v/>
      </c>
      <c r="DA472" t="str">
        <f>""</f>
        <v/>
      </c>
      <c r="DB472" t="str">
        <f>""</f>
        <v/>
      </c>
      <c r="DC472" t="str">
        <f>""</f>
        <v/>
      </c>
      <c r="DD472" t="str">
        <f>""</f>
        <v/>
      </c>
      <c r="DE472" t="str">
        <f>""</f>
        <v/>
      </c>
      <c r="DF472" t="str">
        <f>""</f>
        <v/>
      </c>
      <c r="DG472" t="str">
        <f>""</f>
        <v/>
      </c>
      <c r="DH472" t="str">
        <f>""</f>
        <v/>
      </c>
      <c r="DI472" t="str">
        <f>""</f>
        <v/>
      </c>
      <c r="DJ472" t="str">
        <f>""</f>
        <v/>
      </c>
      <c r="DK472" t="str">
        <f>""</f>
        <v/>
      </c>
      <c r="DL472" t="str">
        <f>""</f>
        <v/>
      </c>
      <c r="DM472" t="str">
        <f>""</f>
        <v/>
      </c>
      <c r="DN472" t="str">
        <f>""</f>
        <v/>
      </c>
      <c r="DO472" t="str">
        <f>""</f>
        <v/>
      </c>
      <c r="DP472" t="str">
        <f>""</f>
        <v/>
      </c>
      <c r="DQ472" t="str">
        <f>""</f>
        <v/>
      </c>
      <c r="DR472" t="str">
        <f>""</f>
        <v/>
      </c>
      <c r="DS472" t="str">
        <f>""</f>
        <v/>
      </c>
      <c r="DT472" t="str">
        <f>""</f>
        <v/>
      </c>
      <c r="DU472" t="str">
        <f>""</f>
        <v/>
      </c>
    </row>
    <row r="473" spans="1:125" x14ac:dyDescent="0.25">
      <c r="A473" t="str">
        <f>"    Great Wall Motor Co Ltd"</f>
        <v xml:space="preserve">    Great Wall Motor Co Ltd</v>
      </c>
      <c r="B473" t="str">
        <f>"2333 HK Equity"</f>
        <v>2333 HK Equity</v>
      </c>
      <c r="C473" t="str">
        <f t="shared" si="33"/>
        <v>RR902</v>
      </c>
      <c r="D473" t="str">
        <f t="shared" si="34"/>
        <v>CUR_MKT_CAP</v>
      </c>
      <c r="E473" t="str">
        <f t="shared" si="35"/>
        <v>Dynamic</v>
      </c>
      <c r="F473">
        <f ca="1">IF(AND(ISNUMBER($F$970),$B$511=1),$F$970,HLOOKUP(INDIRECT(ADDRESS(2,COLUMN())),OFFSET($BN$2,0,0,ROW()-1,60),ROW()-1,FALSE))</f>
        <v>9953.3484559999997</v>
      </c>
      <c r="G473">
        <f ca="1">IF(AND(ISNUMBER($G$970),$B$511=1),$G$970,HLOOKUP(INDIRECT(ADDRESS(2,COLUMN())),OFFSET($BN$2,0,0,ROW()-1,60),ROW()-1,FALSE))</f>
        <v>6683.2715150000004</v>
      </c>
      <c r="H473">
        <f ca="1">IF(AND(ISNUMBER($H$970),$B$511=1),$H$970,HLOOKUP(INDIRECT(ADDRESS(2,COLUMN())),OFFSET($BN$2,0,0,ROW()-1,60),ROW()-1,FALSE))</f>
        <v>8882.4817870000006</v>
      </c>
      <c r="I473">
        <f ca="1">IF(AND(ISNUMBER($I$970),$B$511=1),$I$970,HLOOKUP(INDIRECT(ADDRESS(2,COLUMN())),OFFSET($BN$2,0,0,ROW()-1,60),ROW()-1,FALSE))</f>
        <v>11306.392879999999</v>
      </c>
      <c r="J473">
        <f ca="1">IF(AND(ISNUMBER($J$970),$B$511=1),$J$970,HLOOKUP(INDIRECT(ADDRESS(2,COLUMN())),OFFSET($BN$2,0,0,ROW()-1,60),ROW()-1,FALSE))</f>
        <v>13999.73119</v>
      </c>
      <c r="K473">
        <f ca="1">IF(AND(ISNUMBER($K$970),$B$511=1),$K$970,HLOOKUP(INDIRECT(ADDRESS(2,COLUMN())),OFFSET($BN$2,0,0,ROW()-1,60),ROW()-1,FALSE))</f>
        <v>14195.12241</v>
      </c>
      <c r="L473">
        <f ca="1">IF(AND(ISNUMBER($L$970),$B$511=1),$L$970,HLOOKUP(INDIRECT(ADDRESS(2,COLUMN())),OFFSET($BN$2,0,0,ROW()-1,60),ROW()-1,FALSE))</f>
        <v>14921.052610000001</v>
      </c>
      <c r="M473">
        <f ca="1">IF(AND(ISNUMBER($M$970),$B$511=1),$M$970,HLOOKUP(INDIRECT(ADDRESS(2,COLUMN())),OFFSET($BN$2,0,0,ROW()-1,60),ROW()-1,FALSE))</f>
        <v>15668.91388</v>
      </c>
      <c r="N473">
        <f ca="1">IF(AND(ISNUMBER($N$970),$B$511=1),$N$970,HLOOKUP(INDIRECT(ADDRESS(2,COLUMN())),OFFSET($BN$2,0,0,ROW()-1,60),ROW()-1,FALSE))</f>
        <v>14555.16122</v>
      </c>
      <c r="O473">
        <f ca="1">IF(AND(ISNUMBER($O$970),$B$511=1),$O$970,HLOOKUP(INDIRECT(ADDRESS(2,COLUMN())),OFFSET($BN$2,0,0,ROW()-1,60),ROW()-1,FALSE))</f>
        <v>12500.67944</v>
      </c>
      <c r="P473">
        <f ca="1">IF(AND(ISNUMBER($P$970),$B$511=1),$P$970,HLOOKUP(INDIRECT(ADDRESS(2,COLUMN())),OFFSET($BN$2,0,0,ROW()-1,60),ROW()-1,FALSE))</f>
        <v>12683.3667</v>
      </c>
      <c r="Q473">
        <f ca="1">IF(AND(ISNUMBER($Q$970),$B$511=1),$Q$970,HLOOKUP(INDIRECT(ADDRESS(2,COLUMN())),OFFSET($BN$2,0,0,ROW()-1,60),ROW()-1,FALSE))</f>
        <v>10209.335859999999</v>
      </c>
      <c r="R473">
        <f ca="1">IF(AND(ISNUMBER($R$970),$B$511=1),$R$970,HLOOKUP(INDIRECT(ADDRESS(2,COLUMN())),OFFSET($BN$2,0,0,ROW()-1,60),ROW()-1,FALSE))</f>
        <v>11037.006670000001</v>
      </c>
      <c r="S473">
        <f ca="1">IF(AND(ISNUMBER($S$970),$B$511=1),$S$970,HLOOKUP(INDIRECT(ADDRESS(2,COLUMN())),OFFSET($BN$2,0,0,ROW()-1,60),ROW()-1,FALSE))</f>
        <v>14798.1392</v>
      </c>
      <c r="T473">
        <f ca="1">IF(AND(ISNUMBER($T$970),$B$511=1),$T$970,HLOOKUP(INDIRECT(ADDRESS(2,COLUMN())),OFFSET($BN$2,0,0,ROW()-1,60),ROW()-1,FALSE))</f>
        <v>13766.79435</v>
      </c>
      <c r="U473">
        <f ca="1">IF(AND(ISNUMBER($U$970),$B$511=1),$U$970,HLOOKUP(INDIRECT(ADDRESS(2,COLUMN())),OFFSET($BN$2,0,0,ROW()-1,60),ROW()-1,FALSE))</f>
        <v>18909.310270000002</v>
      </c>
      <c r="V473">
        <f ca="1">IF(AND(ISNUMBER($V$970),$B$511=1),$V$970,HLOOKUP(INDIRECT(ADDRESS(2,COLUMN())),OFFSET($BN$2,0,0,ROW()-1,60),ROW()-1,FALSE))</f>
        <v>24153.729879999999</v>
      </c>
      <c r="W473">
        <f ca="1">IF(AND(ISNUMBER($W$970),$B$511=1),$W$970,HLOOKUP(INDIRECT(ADDRESS(2,COLUMN())),OFFSET($BN$2,0,0,ROW()-1,60),ROW()-1,FALSE))</f>
        <v>19325.287670000002</v>
      </c>
      <c r="X473">
        <f ca="1">IF(AND(ISNUMBER($X$970),$B$511=1),$X$970,HLOOKUP(INDIRECT(ADDRESS(2,COLUMN())),OFFSET($BN$2,0,0,ROW()-1,60),ROW()-1,FALSE))</f>
        <v>13966.02851</v>
      </c>
      <c r="Y473">
        <f ca="1">IF(AND(ISNUMBER($Y$970),$B$511=1),$Y$970,HLOOKUP(INDIRECT(ADDRESS(2,COLUMN())),OFFSET($BN$2,0,0,ROW()-1,60),ROW()-1,FALSE))</f>
        <v>12032.68973</v>
      </c>
      <c r="Z473">
        <f ca="1">IF(AND(ISNUMBER($Z$970),$B$511=1),$Z$970,HLOOKUP(INDIRECT(ADDRESS(2,COLUMN())),OFFSET($BN$2,0,0,ROW()-1,60),ROW()-1,FALSE))</f>
        <v>15672.57987</v>
      </c>
      <c r="AA473">
        <f ca="1">IF(AND(ISNUMBER($AA$970),$B$511=1),$AA$970,HLOOKUP(INDIRECT(ADDRESS(2,COLUMN())),OFFSET($BN$2,0,0,ROW()-1,60),ROW()-1,FALSE))</f>
        <v>19370.417939999999</v>
      </c>
      <c r="AB473">
        <f ca="1">IF(AND(ISNUMBER($AB$970),$B$511=1),$AB$970,HLOOKUP(INDIRECT(ADDRESS(2,COLUMN())),OFFSET($BN$2,0,0,ROW()-1,60),ROW()-1,FALSE))</f>
        <v>22368.125199999999</v>
      </c>
      <c r="AC473">
        <f ca="1">IF(AND(ISNUMBER($AC$970),$B$511=1),$AC$970,HLOOKUP(INDIRECT(ADDRESS(2,COLUMN())),OFFSET($BN$2,0,0,ROW()-1,60),ROW()-1,FALSE))</f>
        <v>16051.14352</v>
      </c>
      <c r="AD473">
        <f ca="1">IF(AND(ISNUMBER($AD$970),$B$511=1),$AD$970,HLOOKUP(INDIRECT(ADDRESS(2,COLUMN())),OFFSET($BN$2,0,0,ROW()-1,60),ROW()-1,FALSE))</f>
        <v>13969.60708</v>
      </c>
      <c r="AE473">
        <f ca="1">IF(AND(ISNUMBER($AE$970),$B$511=1),$AE$970,HLOOKUP(INDIRECT(ADDRESS(2,COLUMN())),OFFSET($BN$2,0,0,ROW()-1,60),ROW()-1,FALSE))</f>
        <v>10896.51727</v>
      </c>
      <c r="AF473">
        <f ca="1">IF(AND(ISNUMBER($AF$970),$B$511=1),$AF$970,HLOOKUP(INDIRECT(ADDRESS(2,COLUMN())),OFFSET($BN$2,0,0,ROW()-1,60),ROW()-1,FALSE))</f>
        <v>8328.1788550000001</v>
      </c>
      <c r="AG473">
        <f ca="1">IF(AND(ISNUMBER($AG$970),$B$511=1),$AG$970,HLOOKUP(INDIRECT(ADDRESS(2,COLUMN())),OFFSET($BN$2,0,0,ROW()-1,60),ROW()-1,FALSE))</f>
        <v>7676.0163339999999</v>
      </c>
      <c r="AH473">
        <f ca="1">IF(AND(ISNUMBER($AH$970),$B$511=1),$AH$970,HLOOKUP(INDIRECT(ADDRESS(2,COLUMN())),OFFSET($BN$2,0,0,ROW()-1,60),ROW()-1,FALSE))</f>
        <v>6303.0708969999996</v>
      </c>
      <c r="AI473">
        <f ca="1">IF(AND(ISNUMBER($AI$970),$B$511=1),$AI$970,HLOOKUP(INDIRECT(ADDRESS(2,COLUMN())),OFFSET($BN$2,0,0,ROW()-1,60),ROW()-1,FALSE))</f>
        <v>5326.2880889999997</v>
      </c>
      <c r="AJ473">
        <f ca="1">IF(AND(ISNUMBER($AJ$970),$B$511=1),$AJ$970,HLOOKUP(INDIRECT(ADDRESS(2,COLUMN())),OFFSET($BN$2,0,0,ROW()-1,60),ROW()-1,FALSE))</f>
        <v>5119.1070099999997</v>
      </c>
      <c r="AK473">
        <f ca="1">IF(AND(ISNUMBER($AK$970),$B$511=1),$AK$970,HLOOKUP(INDIRECT(ADDRESS(2,COLUMN())),OFFSET($BN$2,0,0,ROW()-1,60),ROW()-1,FALSE))</f>
        <v>4504.2222620000002</v>
      </c>
      <c r="AL473">
        <f ca="1">IF(AND(ISNUMBER($AL$970),$B$511=1),$AL$970,HLOOKUP(INDIRECT(ADDRESS(2,COLUMN())),OFFSET($BN$2,0,0,ROW()-1,60),ROW()-1,FALSE))</f>
        <v>5063.2704750000003</v>
      </c>
      <c r="AM473">
        <f ca="1">IF(AND(ISNUMBER($AM$970),$B$511=1),$AM$970,HLOOKUP(INDIRECT(ADDRESS(2,COLUMN())),OFFSET($BN$2,0,0,ROW()-1,60),ROW()-1,FALSE))</f>
        <v>3381.860858</v>
      </c>
      <c r="AN473">
        <f ca="1">IF(AND(ISNUMBER($AN$970),$B$511=1),$AN$970,HLOOKUP(INDIRECT(ADDRESS(2,COLUMN())),OFFSET($BN$2,0,0,ROW()-1,60),ROW()-1,FALSE))</f>
        <v>2964.085681</v>
      </c>
      <c r="AO473">
        <f ca="1">IF(AND(ISNUMBER($AO$970),$B$511=1),$AO$970,HLOOKUP(INDIRECT(ADDRESS(2,COLUMN())),OFFSET($BN$2,0,0,ROW()-1,60),ROW()-1,FALSE))</f>
        <v>1913.040589</v>
      </c>
      <c r="AP473">
        <f ca="1">IF(AND(ISNUMBER($AP$970),$B$511=1),$AP$970,HLOOKUP(INDIRECT(ADDRESS(2,COLUMN())),OFFSET($BN$2,0,0,ROW()-1,60),ROW()-1,FALSE))</f>
        <v>2276.7032599999998</v>
      </c>
      <c r="AQ473">
        <f ca="1">IF(AND(ISNUMBER($AQ$970),$B$511=1),$AQ$970,HLOOKUP(INDIRECT(ADDRESS(2,COLUMN())),OFFSET($BN$2,0,0,ROW()-1,60),ROW()-1,FALSE))</f>
        <v>1367.4301579999999</v>
      </c>
      <c r="AR473">
        <f ca="1">IF(AND(ISNUMBER($AR$970),$B$511=1),$AR$970,HLOOKUP(INDIRECT(ADDRESS(2,COLUMN())),OFFSET($BN$2,0,0,ROW()-1,60),ROW()-1,FALSE))</f>
        <v>986.43870170000002</v>
      </c>
      <c r="AS473">
        <f ca="1">IF(AND(ISNUMBER($AS$970),$B$511=1),$AS$970,HLOOKUP(INDIRECT(ADDRESS(2,COLUMN())),OFFSET($BN$2,0,0,ROW()-1,60),ROW()-1,FALSE))</f>
        <v>869.14011679999999</v>
      </c>
      <c r="AT473">
        <f ca="1">IF(AND(ISNUMBER($AT$970),$B$511=1),$AT$970,HLOOKUP(INDIRECT(ADDRESS(2,COLUMN())),OFFSET($BN$2,0,0,ROW()-1,60),ROW()-1,FALSE))</f>
        <v>445.16932809999997</v>
      </c>
      <c r="AU473">
        <f ca="1">IF(AND(ISNUMBER($AU$970),$B$511=1),$AU$970,HLOOKUP(INDIRECT(ADDRESS(2,COLUMN())),OFFSET($BN$2,0,0,ROW()-1,60),ROW()-1,FALSE))</f>
        <v>381.57370980000002</v>
      </c>
      <c r="AV473">
        <f ca="1">IF(AND(ISNUMBER($AV$970),$B$511=1),$AV$970,HLOOKUP(INDIRECT(ADDRESS(2,COLUMN())),OFFSET($BN$2,0,0,ROW()-1,60),ROW()-1,FALSE))</f>
        <v>457.02159619999998</v>
      </c>
      <c r="AW473">
        <f ca="1">IF(AND(ISNUMBER($AW$970),$B$511=1),$AW$970,HLOOKUP(INDIRECT(ADDRESS(2,COLUMN())),OFFSET($BN$2,0,0,ROW()-1,60),ROW()-1,FALSE))</f>
        <v>726.15494439999998</v>
      </c>
      <c r="AX473">
        <f ca="1">IF(AND(ISNUMBER($AX$970),$B$511=1),$AX$970,HLOOKUP(INDIRECT(ADDRESS(2,COLUMN())),OFFSET($BN$2,0,0,ROW()-1,60),ROW()-1,FALSE))</f>
        <v>1056.90807</v>
      </c>
      <c r="AY473">
        <f ca="1">IF(AND(ISNUMBER($AY$970),$B$511=1),$AY$970,HLOOKUP(INDIRECT(ADDRESS(2,COLUMN())),OFFSET($BN$2,0,0,ROW()-1,60),ROW()-1,FALSE))</f>
        <v>1575.607651</v>
      </c>
      <c r="AZ473">
        <f ca="1">IF(AND(ISNUMBER($AZ$970),$B$511=1),$AZ$970,HLOOKUP(INDIRECT(ADDRESS(2,COLUMN())),OFFSET($BN$2,0,0,ROW()-1,60),ROW()-1,FALSE))</f>
        <v>1621.7686040000001</v>
      </c>
      <c r="BA473">
        <f ca="1">IF(AND(ISNUMBER($BA$970),$B$511=1),$BA$970,HLOOKUP(INDIRECT(ADDRESS(2,COLUMN())),OFFSET($BN$2,0,0,ROW()-1,60),ROW()-1,FALSE))</f>
        <v>1591.4723469999999</v>
      </c>
      <c r="BB473">
        <f ca="1">IF(AND(ISNUMBER($BB$970),$B$511=1),$BB$970,HLOOKUP(INDIRECT(ADDRESS(2,COLUMN())),OFFSET($BN$2,0,0,ROW()-1,60),ROW()-1,FALSE))</f>
        <v>1391.9410499999999</v>
      </c>
      <c r="BC473">
        <f ca="1">IF(AND(ISNUMBER($BC$970),$B$511=1),$BC$970,HLOOKUP(INDIRECT(ADDRESS(2,COLUMN())),OFFSET($BN$2,0,0,ROW()-1,60),ROW()-1,FALSE))</f>
        <v>911.53759330000003</v>
      </c>
      <c r="BD473">
        <f ca="1">IF(AND(ISNUMBER($BD$970),$B$511=1),$BD$970,HLOOKUP(INDIRECT(ADDRESS(2,COLUMN())),OFFSET($BN$2,0,0,ROW()-1,60),ROW()-1,FALSE))</f>
        <v>788.90355890000001</v>
      </c>
      <c r="BE473">
        <f ca="1">IF(AND(ISNUMBER($BE$970),$B$511=1),$BE$970,HLOOKUP(INDIRECT(ADDRESS(2,COLUMN())),OFFSET($BN$2,0,0,ROW()-1,60),ROW()-1,FALSE))</f>
        <v>513.61465840000005</v>
      </c>
      <c r="BF473">
        <f ca="1">IF(AND(ISNUMBER($BF$970),$B$511=1),$BF$970,HLOOKUP(INDIRECT(ADDRESS(2,COLUMN())),OFFSET($BN$2,0,0,ROW()-1,60),ROW()-1,FALSE))</f>
        <v>626.63566060000005</v>
      </c>
      <c r="BG473">
        <f ca="1">IF(AND(ISNUMBER($BG$970),$B$511=1),$BG$970,HLOOKUP(INDIRECT(ADDRESS(2,COLUMN())),OFFSET($BN$2,0,0,ROW()-1,60),ROW()-1,FALSE))</f>
        <v>310.5240119</v>
      </c>
      <c r="BH473">
        <f ca="1">IF(AND(ISNUMBER($BH$970),$B$511=1),$BH$970,HLOOKUP(INDIRECT(ADDRESS(2,COLUMN())),OFFSET($BN$2,0,0,ROW()-1,60),ROW()-1,FALSE))</f>
        <v>325.58621110000001</v>
      </c>
      <c r="BI473">
        <f ca="1">IF(AND(ISNUMBER($BI$970),$B$511=1),$BI$970,HLOOKUP(INDIRECT(ADDRESS(2,COLUMN())),OFFSET($BN$2,0,0,ROW()-1,60),ROW()-1,FALSE))</f>
        <v>337.14920339999998</v>
      </c>
      <c r="BJ473">
        <f ca="1">IF(AND(ISNUMBER($BJ$970),$B$511=1),$BJ$970,HLOOKUP(INDIRECT(ADDRESS(2,COLUMN())),OFFSET($BN$2,0,0,ROW()-1,60),ROW()-1,FALSE))</f>
        <v>357.12417920000001</v>
      </c>
      <c r="BK473">
        <f ca="1">IF(AND(ISNUMBER($BK$970),$B$511=1),$BK$970,HLOOKUP(INDIRECT(ADDRESS(2,COLUMN())),OFFSET($BN$2,0,0,ROW()-1,60),ROW()-1,FALSE))</f>
        <v>434.26155199999999</v>
      </c>
      <c r="BL473">
        <f ca="1">IF(AND(ISNUMBER($BL$970),$B$511=1),$BL$970,HLOOKUP(INDIRECT(ADDRESS(2,COLUMN())),OFFSET($BN$2,0,0,ROW()-1,60),ROW()-1,FALSE))</f>
        <v>448.07357439999998</v>
      </c>
      <c r="BM473">
        <f ca="1">IF(AND(ISNUMBER($BM$970),$B$511=1),$BM$970,HLOOKUP(INDIRECT(ADDRESS(2,COLUMN())),OFFSET($BN$2,0,0,ROW()-1,60),ROW()-1,FALSE))</f>
        <v>475.13847120000003</v>
      </c>
      <c r="BN473">
        <f>9953.348456</f>
        <v>9953.3484559999997</v>
      </c>
      <c r="BO473">
        <f>6683.271515</f>
        <v>6683.2715150000004</v>
      </c>
      <c r="BP473">
        <f>8882.481787</f>
        <v>8882.4817870000006</v>
      </c>
      <c r="BQ473">
        <f>11306.39288</f>
        <v>11306.392879999999</v>
      </c>
      <c r="BR473">
        <f>13999.73119</f>
        <v>13999.73119</v>
      </c>
      <c r="BS473">
        <f>14195.12241</f>
        <v>14195.12241</v>
      </c>
      <c r="BT473">
        <f>14921.05261</f>
        <v>14921.052610000001</v>
      </c>
      <c r="BU473">
        <f>15668.91388</f>
        <v>15668.91388</v>
      </c>
      <c r="BV473">
        <f>14555.16122</f>
        <v>14555.16122</v>
      </c>
      <c r="BW473">
        <f>12500.67944</f>
        <v>12500.67944</v>
      </c>
      <c r="BX473">
        <f>12683.3667</f>
        <v>12683.3667</v>
      </c>
      <c r="BY473">
        <f>10209.33586</f>
        <v>10209.335859999999</v>
      </c>
      <c r="BZ473">
        <f>11037.00667</f>
        <v>11037.006670000001</v>
      </c>
      <c r="CA473">
        <f>14798.1392</f>
        <v>14798.1392</v>
      </c>
      <c r="CB473">
        <f>13766.79435</f>
        <v>13766.79435</v>
      </c>
      <c r="CC473">
        <f>18909.31027</f>
        <v>18909.310270000002</v>
      </c>
      <c r="CD473">
        <f>24153.7298799999</f>
        <v>24153.729879999999</v>
      </c>
      <c r="CE473">
        <f>19325.28767</f>
        <v>19325.287670000002</v>
      </c>
      <c r="CF473">
        <f>13966.02851</f>
        <v>13966.02851</v>
      </c>
      <c r="CG473">
        <f>12032.68973</f>
        <v>12032.68973</v>
      </c>
      <c r="CH473">
        <f>15672.57987</f>
        <v>15672.57987</v>
      </c>
      <c r="CI473">
        <f>19370.41794</f>
        <v>19370.417939999999</v>
      </c>
      <c r="CJ473">
        <f>22368.1252</f>
        <v>22368.125199999999</v>
      </c>
      <c r="CK473">
        <f>16051.14352</f>
        <v>16051.14352</v>
      </c>
      <c r="CL473">
        <f>13969.60708</f>
        <v>13969.60708</v>
      </c>
      <c r="CM473">
        <f>10896.51727</f>
        <v>10896.51727</v>
      </c>
      <c r="CN473">
        <f>8328.178855</f>
        <v>8328.1788550000001</v>
      </c>
      <c r="CO473">
        <f>7676.016334</f>
        <v>7676.0163339999999</v>
      </c>
      <c r="CP473">
        <f>6303.070897</f>
        <v>6303.0708969999996</v>
      </c>
      <c r="CQ473">
        <f>5326.288089</f>
        <v>5326.2880889999997</v>
      </c>
      <c r="CR473">
        <f>5119.10701</f>
        <v>5119.1070099999997</v>
      </c>
      <c r="CS473">
        <f>4504.222262</f>
        <v>4504.2222620000002</v>
      </c>
      <c r="CT473">
        <f>5063.270475</f>
        <v>5063.2704750000003</v>
      </c>
      <c r="CU473">
        <f>3381.860858</f>
        <v>3381.860858</v>
      </c>
      <c r="CV473">
        <f>2964.085681</f>
        <v>2964.085681</v>
      </c>
      <c r="CW473">
        <f>1913.040589</f>
        <v>1913.040589</v>
      </c>
      <c r="CX473">
        <f>2276.70326</f>
        <v>2276.7032599999998</v>
      </c>
      <c r="CY473">
        <f>1367.430158</f>
        <v>1367.4301579999999</v>
      </c>
      <c r="CZ473">
        <f>986.4387017</f>
        <v>986.43870170000002</v>
      </c>
      <c r="DA473">
        <f>869.1401168</f>
        <v>869.14011679999999</v>
      </c>
      <c r="DB473">
        <f>445.1693281</f>
        <v>445.16932809999997</v>
      </c>
      <c r="DC473">
        <f>381.5737098</f>
        <v>381.57370980000002</v>
      </c>
      <c r="DD473">
        <f>457.0215962</f>
        <v>457.02159619999998</v>
      </c>
      <c r="DE473">
        <f>726.1549444</f>
        <v>726.15494439999998</v>
      </c>
      <c r="DF473">
        <f>1056.90807</f>
        <v>1056.90807</v>
      </c>
      <c r="DG473">
        <f>1575.607651</f>
        <v>1575.607651</v>
      </c>
      <c r="DH473">
        <f>1621.768604</f>
        <v>1621.7686040000001</v>
      </c>
      <c r="DI473">
        <f>1591.472347</f>
        <v>1591.4723469999999</v>
      </c>
      <c r="DJ473">
        <f>1391.94105</f>
        <v>1391.9410499999999</v>
      </c>
      <c r="DK473">
        <f>911.5375933</f>
        <v>911.53759330000003</v>
      </c>
      <c r="DL473">
        <f>788.9035589</f>
        <v>788.90355890000001</v>
      </c>
      <c r="DM473">
        <f>513.6146584</f>
        <v>513.61465840000005</v>
      </c>
      <c r="DN473">
        <f>626.6356606</f>
        <v>626.63566060000005</v>
      </c>
      <c r="DO473">
        <f>310.5240119</f>
        <v>310.5240119</v>
      </c>
      <c r="DP473">
        <f>325.5862111</f>
        <v>325.58621110000001</v>
      </c>
      <c r="DQ473">
        <f>337.1492034</f>
        <v>337.14920339999998</v>
      </c>
      <c r="DR473">
        <f>357.1241792</f>
        <v>357.12417920000001</v>
      </c>
      <c r="DS473">
        <f>434.261552</f>
        <v>434.26155199999999</v>
      </c>
      <c r="DT473">
        <f>448.0735744</f>
        <v>448.07357439999998</v>
      </c>
      <c r="DU473">
        <f>475.1384712</f>
        <v>475.13847120000003</v>
      </c>
    </row>
    <row r="474" spans="1:125" x14ac:dyDescent="0.25">
      <c r="A474" t="str">
        <f>"    Guangzhou Automobile Group Co Ltd"</f>
        <v xml:space="preserve">    Guangzhou Automobile Group Co Ltd</v>
      </c>
      <c r="B474" t="str">
        <f>"2238 HK Equity"</f>
        <v>2238 HK Equity</v>
      </c>
      <c r="C474" t="str">
        <f t="shared" si="33"/>
        <v>RR902</v>
      </c>
      <c r="D474" t="str">
        <f t="shared" si="34"/>
        <v>CUR_MKT_CAP</v>
      </c>
      <c r="E474" t="str">
        <f t="shared" si="35"/>
        <v>Dynamic</v>
      </c>
      <c r="F474">
        <f ca="1">IF(AND(ISNUMBER($F$971),$B$511=1),$F$971,HLOOKUP(INDIRECT(ADDRESS(2,COLUMN())),OFFSET($BN$2,0,0,ROW()-1,60),ROW()-1,FALSE))</f>
        <v>16848.111290000001</v>
      </c>
      <c r="G474">
        <f ca="1">IF(AND(ISNUMBER($G$971),$B$511=1),$G$971,HLOOKUP(INDIRECT(ADDRESS(2,COLUMN())),OFFSET($BN$2,0,0,ROW()-1,60),ROW()-1,FALSE))</f>
        <v>13759.74934</v>
      </c>
      <c r="H474">
        <f ca="1">IF(AND(ISNUMBER($H$971),$B$511=1),$H$971,HLOOKUP(INDIRECT(ADDRESS(2,COLUMN())),OFFSET($BN$2,0,0,ROW()-1,60),ROW()-1,FALSE))</f>
        <v>14880.31681</v>
      </c>
      <c r="I474">
        <f ca="1">IF(AND(ISNUMBER($I$971),$B$511=1),$I$971,HLOOKUP(INDIRECT(ADDRESS(2,COLUMN())),OFFSET($BN$2,0,0,ROW()-1,60),ROW()-1,FALSE))</f>
        <v>14994.63502</v>
      </c>
      <c r="J474">
        <f ca="1">IF(AND(ISNUMBER($J$971),$B$511=1),$J$971,HLOOKUP(INDIRECT(ADDRESS(2,COLUMN())),OFFSET($BN$2,0,0,ROW()-1,60),ROW()-1,FALSE))</f>
        <v>21442.136640000001</v>
      </c>
      <c r="K474">
        <f ca="1">IF(AND(ISNUMBER($K$971),$B$511=1),$K$971,HLOOKUP(INDIRECT(ADDRESS(2,COLUMN())),OFFSET($BN$2,0,0,ROW()-1,60),ROW()-1,FALSE))</f>
        <v>24458.98846</v>
      </c>
      <c r="L474">
        <f ca="1">IF(AND(ISNUMBER($L$971),$B$511=1),$L$971,HLOOKUP(INDIRECT(ADDRESS(2,COLUMN())),OFFSET($BN$2,0,0,ROW()-1,60),ROW()-1,FALSE))</f>
        <v>22466.36565</v>
      </c>
      <c r="M474">
        <f ca="1">IF(AND(ISNUMBER($M$971),$B$511=1),$M$971,HLOOKUP(INDIRECT(ADDRESS(2,COLUMN())),OFFSET($BN$2,0,0,ROW()-1,60),ROW()-1,FALSE))</f>
        <v>20396.171490000001</v>
      </c>
      <c r="N474">
        <f ca="1">IF(AND(ISNUMBER($N$971),$B$511=1),$N$971,HLOOKUP(INDIRECT(ADDRESS(2,COLUMN())),OFFSET($BN$2,0,0,ROW()-1,60),ROW()-1,FALSE))</f>
        <v>19779.823769999999</v>
      </c>
      <c r="O474">
        <f ca="1">IF(AND(ISNUMBER($O$971),$B$511=1),$O$971,HLOOKUP(INDIRECT(ADDRESS(2,COLUMN())),OFFSET($BN$2,0,0,ROW()-1,60),ROW()-1,FALSE))</f>
        <v>16831.235509999999</v>
      </c>
      <c r="P474">
        <f ca="1">IF(AND(ISNUMBER($P$971),$B$511=1),$P$971,HLOOKUP(INDIRECT(ADDRESS(2,COLUMN())),OFFSET($BN$2,0,0,ROW()-1,60),ROW()-1,FALSE))</f>
        <v>16973.7251</v>
      </c>
      <c r="Q474">
        <f ca="1">IF(AND(ISNUMBER($Q$971),$B$511=1),$Q$971,HLOOKUP(INDIRECT(ADDRESS(2,COLUMN())),OFFSET($BN$2,0,0,ROW()-1,60),ROW()-1,FALSE))</f>
        <v>17540.458930000001</v>
      </c>
      <c r="R474">
        <f ca="1">IF(AND(ISNUMBER($R$971),$B$511=1),$R$971,HLOOKUP(INDIRECT(ADDRESS(2,COLUMN())),OFFSET($BN$2,0,0,ROW()-1,60),ROW()-1,FALSE))</f>
        <v>15793.640509999999</v>
      </c>
      <c r="S474">
        <f ca="1">IF(AND(ISNUMBER($S$971),$B$511=1),$S$971,HLOOKUP(INDIRECT(ADDRESS(2,COLUMN())),OFFSET($BN$2,0,0,ROW()-1,60),ROW()-1,FALSE))</f>
        <v>16660.736430000001</v>
      </c>
      <c r="T474">
        <f ca="1">IF(AND(ISNUMBER($T$971),$B$511=1),$T$971,HLOOKUP(INDIRECT(ADDRESS(2,COLUMN())),OFFSET($BN$2,0,0,ROW()-1,60),ROW()-1,FALSE))</f>
        <v>13873.71702</v>
      </c>
      <c r="U474">
        <f ca="1">IF(AND(ISNUMBER($U$971),$B$511=1),$U$971,HLOOKUP(INDIRECT(ADDRESS(2,COLUMN())),OFFSET($BN$2,0,0,ROW()-1,60),ROW()-1,FALSE))</f>
        <v>12470.622300000001</v>
      </c>
      <c r="V474">
        <f ca="1">IF(AND(ISNUMBER($V$971),$B$511=1),$V$971,HLOOKUP(INDIRECT(ADDRESS(2,COLUMN())),OFFSET($BN$2,0,0,ROW()-1,60),ROW()-1,FALSE))</f>
        <v>8810.1132030000008</v>
      </c>
      <c r="W474">
        <f ca="1">IF(AND(ISNUMBER($W$971),$B$511=1),$W$971,HLOOKUP(INDIRECT(ADDRESS(2,COLUMN())),OFFSET($BN$2,0,0,ROW()-1,60),ROW()-1,FALSE))</f>
        <v>7918.5925010000001</v>
      </c>
      <c r="X474">
        <f ca="1">IF(AND(ISNUMBER($X$971),$B$511=1),$X$971,HLOOKUP(INDIRECT(ADDRESS(2,COLUMN())),OFFSET($BN$2,0,0,ROW()-1,60),ROW()-1,FALSE))</f>
        <v>7966.1794959999997</v>
      </c>
      <c r="Y474">
        <f ca="1">IF(AND(ISNUMBER($Y$971),$B$511=1),$Y$971,HLOOKUP(INDIRECT(ADDRESS(2,COLUMN())),OFFSET($BN$2,0,0,ROW()-1,60),ROW()-1,FALSE))</f>
        <v>7688.3155150000002</v>
      </c>
      <c r="Z474">
        <f ca="1">IF(AND(ISNUMBER($Z$971),$B$511=1),$Z$971,HLOOKUP(INDIRECT(ADDRESS(2,COLUMN())),OFFSET($BN$2,0,0,ROW()-1,60),ROW()-1,FALSE))</f>
        <v>7254.2552159999996</v>
      </c>
      <c r="AA474">
        <f ca="1">IF(AND(ISNUMBER($AA$971),$B$511=1),$AA$971,HLOOKUP(INDIRECT(ADDRESS(2,COLUMN())),OFFSET($BN$2,0,0,ROW()-1,60),ROW()-1,FALSE))</f>
        <v>8168.2241979999999</v>
      </c>
      <c r="AB474">
        <f ca="1">IF(AND(ISNUMBER($AB$971),$B$511=1),$AB$971,HLOOKUP(INDIRECT(ADDRESS(2,COLUMN())),OFFSET($BN$2,0,0,ROW()-1,60),ROW()-1,FALSE))</f>
        <v>7993.3351199999997</v>
      </c>
      <c r="AC474">
        <f ca="1">IF(AND(ISNUMBER($AC$971),$B$511=1),$AC$971,HLOOKUP(INDIRECT(ADDRESS(2,COLUMN())),OFFSET($BN$2,0,0,ROW()-1,60),ROW()-1,FALSE))</f>
        <v>7154.2489930000002</v>
      </c>
      <c r="AD474">
        <f ca="1">IF(AND(ISNUMBER($AD$971),$B$511=1),$AD$971,HLOOKUP(INDIRECT(ADDRESS(2,COLUMN())),OFFSET($BN$2,0,0,ROW()-1,60),ROW()-1,FALSE))</f>
        <v>5759.1035490000004</v>
      </c>
      <c r="AE474">
        <f ca="1">IF(AND(ISNUMBER($AE$971),$B$511=1),$AE$971,HLOOKUP(INDIRECT(ADDRESS(2,COLUMN())),OFFSET($BN$2,0,0,ROW()-1,60),ROW()-1,FALSE))</f>
        <v>6098.8377829999999</v>
      </c>
      <c r="AF474">
        <f ca="1">IF(AND(ISNUMBER($AF$971),$B$511=1),$AF$971,HLOOKUP(INDIRECT(ADDRESS(2,COLUMN())),OFFSET($BN$2,0,0,ROW()-1,60),ROW()-1,FALSE))</f>
        <v>5025.8936030000004</v>
      </c>
      <c r="AG474">
        <f ca="1">IF(AND(ISNUMBER($AG$971),$B$511=1),$AG$971,HLOOKUP(INDIRECT(ADDRESS(2,COLUMN())),OFFSET($BN$2,0,0,ROW()-1,60),ROW()-1,FALSE))</f>
        <v>6952.4981120000002</v>
      </c>
      <c r="AH474">
        <f ca="1">IF(AND(ISNUMBER($AH$971),$B$511=1),$AH$971,HLOOKUP(INDIRECT(ADDRESS(2,COLUMN())),OFFSET($BN$2,0,0,ROW()-1,60),ROW()-1,FALSE))</f>
        <v>7905.6415079999997</v>
      </c>
      <c r="AI474">
        <f ca="1">IF(AND(ISNUMBER($AI$971),$B$511=1),$AI$971,HLOOKUP(INDIRECT(ADDRESS(2,COLUMN())),OFFSET($BN$2,0,0,ROW()-1,60),ROW()-1,FALSE))</f>
        <v>5129.5844719999996</v>
      </c>
      <c r="AJ474">
        <f ca="1">IF(AND(ISNUMBER($AJ$971),$B$511=1),$AJ$971,HLOOKUP(INDIRECT(ADDRESS(2,COLUMN())),OFFSET($BN$2,0,0,ROW()-1,60),ROW()-1,FALSE))</f>
        <v>6056.540994</v>
      </c>
      <c r="AK474">
        <f ca="1">IF(AND(ISNUMBER($AK$971),$B$511=1),$AK$971,HLOOKUP(INDIRECT(ADDRESS(2,COLUMN())),OFFSET($BN$2,0,0,ROW()-1,60),ROW()-1,FALSE))</f>
        <v>7506.0170609999996</v>
      </c>
      <c r="AL474">
        <f ca="1">IF(AND(ISNUMBER($AL$971),$B$511=1),$AL$971,HLOOKUP(INDIRECT(ADDRESS(2,COLUMN())),OFFSET($BN$2,0,0,ROW()-1,60),ROW()-1,FALSE))</f>
        <v>7471.0245940000004</v>
      </c>
      <c r="AM474">
        <f ca="1">IF(AND(ISNUMBER($AM$971),$B$511=1),$AM$971,HLOOKUP(INDIRECT(ADDRESS(2,COLUMN())),OFFSET($BN$2,0,0,ROW()-1,60),ROW()-1,FALSE))</f>
        <v>8479.2103800000004</v>
      </c>
      <c r="AN474">
        <f ca="1">IF(AND(ISNUMBER($AN$971),$B$511=1),$AN$971,HLOOKUP(INDIRECT(ADDRESS(2,COLUMN())),OFFSET($BN$2,0,0,ROW()-1,60),ROW()-1,FALSE))</f>
        <v>10585.077660000001</v>
      </c>
      <c r="AO474" t="str">
        <f ca="1">IF(AND(ISNUMBER($AO$971),$B$511=1),$AO$971,HLOOKUP(INDIRECT(ADDRESS(2,COLUMN())),OFFSET($BN$2,0,0,ROW()-1,60),ROW()-1,FALSE))</f>
        <v/>
      </c>
      <c r="AP474" t="str">
        <f ca="1">IF(AND(ISNUMBER($AP$971),$B$511=1),$AP$971,HLOOKUP(INDIRECT(ADDRESS(2,COLUMN())),OFFSET($BN$2,0,0,ROW()-1,60),ROW()-1,FALSE))</f>
        <v/>
      </c>
      <c r="AQ474" t="str">
        <f ca="1">IF(AND(ISNUMBER($AQ$971),$B$511=1),$AQ$971,HLOOKUP(INDIRECT(ADDRESS(2,COLUMN())),OFFSET($BN$2,0,0,ROW()-1,60),ROW()-1,FALSE))</f>
        <v/>
      </c>
      <c r="AR474" t="str">
        <f ca="1">IF(AND(ISNUMBER($AR$971),$B$511=1),$AR$971,HLOOKUP(INDIRECT(ADDRESS(2,COLUMN())),OFFSET($BN$2,0,0,ROW()-1,60),ROW()-1,FALSE))</f>
        <v/>
      </c>
      <c r="AS474" t="str">
        <f ca="1">IF(AND(ISNUMBER($AS$971),$B$511=1),$AS$971,HLOOKUP(INDIRECT(ADDRESS(2,COLUMN())),OFFSET($BN$2,0,0,ROW()-1,60),ROW()-1,FALSE))</f>
        <v/>
      </c>
      <c r="AT474" t="str">
        <f ca="1">IF(AND(ISNUMBER($AT$971),$B$511=1),$AT$971,HLOOKUP(INDIRECT(ADDRESS(2,COLUMN())),OFFSET($BN$2,0,0,ROW()-1,60),ROW()-1,FALSE))</f>
        <v/>
      </c>
      <c r="AU474" t="str">
        <f ca="1">IF(AND(ISNUMBER($AU$971),$B$511=1),$AU$971,HLOOKUP(INDIRECT(ADDRESS(2,COLUMN())),OFFSET($BN$2,0,0,ROW()-1,60),ROW()-1,FALSE))</f>
        <v/>
      </c>
      <c r="AV474" t="str">
        <f ca="1">IF(AND(ISNUMBER($AV$971),$B$511=1),$AV$971,HLOOKUP(INDIRECT(ADDRESS(2,COLUMN())),OFFSET($BN$2,0,0,ROW()-1,60),ROW()-1,FALSE))</f>
        <v/>
      </c>
      <c r="AW474" t="str">
        <f ca="1">IF(AND(ISNUMBER($AW$971),$B$511=1),$AW$971,HLOOKUP(INDIRECT(ADDRESS(2,COLUMN())),OFFSET($BN$2,0,0,ROW()-1,60),ROW()-1,FALSE))</f>
        <v/>
      </c>
      <c r="AX474" t="str">
        <f ca="1">IF(AND(ISNUMBER($AX$971),$B$511=1),$AX$971,HLOOKUP(INDIRECT(ADDRESS(2,COLUMN())),OFFSET($BN$2,0,0,ROW()-1,60),ROW()-1,FALSE))</f>
        <v/>
      </c>
      <c r="AY474" t="str">
        <f ca="1">IF(AND(ISNUMBER($AY$971),$B$511=1),$AY$971,HLOOKUP(INDIRECT(ADDRESS(2,COLUMN())),OFFSET($BN$2,0,0,ROW()-1,60),ROW()-1,FALSE))</f>
        <v/>
      </c>
      <c r="AZ474" t="str">
        <f ca="1">IF(AND(ISNUMBER($AZ$971),$B$511=1),$AZ$971,HLOOKUP(INDIRECT(ADDRESS(2,COLUMN())),OFFSET($BN$2,0,0,ROW()-1,60),ROW()-1,FALSE))</f>
        <v/>
      </c>
      <c r="BA474" t="str">
        <f ca="1">IF(AND(ISNUMBER($BA$971),$B$511=1),$BA$971,HLOOKUP(INDIRECT(ADDRESS(2,COLUMN())),OFFSET($BN$2,0,0,ROW()-1,60),ROW()-1,FALSE))</f>
        <v/>
      </c>
      <c r="BB474" t="str">
        <f ca="1">IF(AND(ISNUMBER($BB$971),$B$511=1),$BB$971,HLOOKUP(INDIRECT(ADDRESS(2,COLUMN())),OFFSET($BN$2,0,0,ROW()-1,60),ROW()-1,FALSE))</f>
        <v/>
      </c>
      <c r="BC474" t="str">
        <f ca="1">IF(AND(ISNUMBER($BC$971),$B$511=1),$BC$971,HLOOKUP(INDIRECT(ADDRESS(2,COLUMN())),OFFSET($BN$2,0,0,ROW()-1,60),ROW()-1,FALSE))</f>
        <v/>
      </c>
      <c r="BD474" t="str">
        <f ca="1">IF(AND(ISNUMBER($BD$971),$B$511=1),$BD$971,HLOOKUP(INDIRECT(ADDRESS(2,COLUMN())),OFFSET($BN$2,0,0,ROW()-1,60),ROW()-1,FALSE))</f>
        <v/>
      </c>
      <c r="BE474" t="str">
        <f ca="1">IF(AND(ISNUMBER($BE$971),$B$511=1),$BE$971,HLOOKUP(INDIRECT(ADDRESS(2,COLUMN())),OFFSET($BN$2,0,0,ROW()-1,60),ROW()-1,FALSE))</f>
        <v/>
      </c>
      <c r="BF474" t="str">
        <f ca="1">IF(AND(ISNUMBER($BF$971),$B$511=1),$BF$971,HLOOKUP(INDIRECT(ADDRESS(2,COLUMN())),OFFSET($BN$2,0,0,ROW()-1,60),ROW()-1,FALSE))</f>
        <v/>
      </c>
      <c r="BG474" t="str">
        <f ca="1">IF(AND(ISNUMBER($BG$971),$B$511=1),$BG$971,HLOOKUP(INDIRECT(ADDRESS(2,COLUMN())),OFFSET($BN$2,0,0,ROW()-1,60),ROW()-1,FALSE))</f>
        <v/>
      </c>
      <c r="BH474" t="str">
        <f ca="1">IF(AND(ISNUMBER($BH$971),$B$511=1),$BH$971,HLOOKUP(INDIRECT(ADDRESS(2,COLUMN())),OFFSET($BN$2,0,0,ROW()-1,60),ROW()-1,FALSE))</f>
        <v/>
      </c>
      <c r="BI474" t="str">
        <f ca="1">IF(AND(ISNUMBER($BI$971),$B$511=1),$BI$971,HLOOKUP(INDIRECT(ADDRESS(2,COLUMN())),OFFSET($BN$2,0,0,ROW()-1,60),ROW()-1,FALSE))</f>
        <v/>
      </c>
      <c r="BJ474" t="str">
        <f ca="1">IF(AND(ISNUMBER($BJ$971),$B$511=1),$BJ$971,HLOOKUP(INDIRECT(ADDRESS(2,COLUMN())),OFFSET($BN$2,0,0,ROW()-1,60),ROW()-1,FALSE))</f>
        <v/>
      </c>
      <c r="BK474" t="str">
        <f ca="1">IF(AND(ISNUMBER($BK$971),$B$511=1),$BK$971,HLOOKUP(INDIRECT(ADDRESS(2,COLUMN())),OFFSET($BN$2,0,0,ROW()-1,60),ROW()-1,FALSE))</f>
        <v/>
      </c>
      <c r="BL474" t="str">
        <f ca="1">IF(AND(ISNUMBER($BL$971),$B$511=1),$BL$971,HLOOKUP(INDIRECT(ADDRESS(2,COLUMN())),OFFSET($BN$2,0,0,ROW()-1,60),ROW()-1,FALSE))</f>
        <v/>
      </c>
      <c r="BM474" t="str">
        <f ca="1">IF(AND(ISNUMBER($BM$971),$B$511=1),$BM$971,HLOOKUP(INDIRECT(ADDRESS(2,COLUMN())),OFFSET($BN$2,0,0,ROW()-1,60),ROW()-1,FALSE))</f>
        <v/>
      </c>
      <c r="BN474">
        <f>16848.11129</f>
        <v>16848.111290000001</v>
      </c>
      <c r="BO474">
        <f>13759.74934</f>
        <v>13759.74934</v>
      </c>
      <c r="BP474">
        <f>14880.31681</f>
        <v>14880.31681</v>
      </c>
      <c r="BQ474">
        <f>14994.63502</f>
        <v>14994.63502</v>
      </c>
      <c r="BR474">
        <f>21442.13664</f>
        <v>21442.136640000001</v>
      </c>
      <c r="BS474">
        <f>24458.98846</f>
        <v>24458.98846</v>
      </c>
      <c r="BT474">
        <f>22466.36565</f>
        <v>22466.36565</v>
      </c>
      <c r="BU474">
        <f>20396.17149</f>
        <v>20396.171490000001</v>
      </c>
      <c r="BV474">
        <f>19779.82377</f>
        <v>19779.823769999999</v>
      </c>
      <c r="BW474">
        <f>16831.23551</f>
        <v>16831.235509999999</v>
      </c>
      <c r="BX474">
        <f>16973.7251</f>
        <v>16973.7251</v>
      </c>
      <c r="BY474">
        <f>17540.45893</f>
        <v>17540.458930000001</v>
      </c>
      <c r="BZ474">
        <f>15793.64051</f>
        <v>15793.640509999999</v>
      </c>
      <c r="CA474">
        <f>16660.73643</f>
        <v>16660.736430000001</v>
      </c>
      <c r="CB474">
        <f>13873.71702</f>
        <v>13873.71702</v>
      </c>
      <c r="CC474">
        <f>12470.6223</f>
        <v>12470.622300000001</v>
      </c>
      <c r="CD474">
        <f>8810.113203</f>
        <v>8810.1132030000008</v>
      </c>
      <c r="CE474">
        <f>7918.592501</f>
        <v>7918.5925010000001</v>
      </c>
      <c r="CF474">
        <f>7966.179496</f>
        <v>7966.1794959999997</v>
      </c>
      <c r="CG474">
        <f>7688.315515</f>
        <v>7688.3155150000002</v>
      </c>
      <c r="CH474">
        <f>7254.255216</f>
        <v>7254.2552159999996</v>
      </c>
      <c r="CI474">
        <f>8168.224198</f>
        <v>8168.2241979999999</v>
      </c>
      <c r="CJ474">
        <f>7993.33512</f>
        <v>7993.3351199999997</v>
      </c>
      <c r="CK474">
        <f>7154.248993</f>
        <v>7154.2489930000002</v>
      </c>
      <c r="CL474">
        <f>5759.103549</f>
        <v>5759.1035490000004</v>
      </c>
      <c r="CM474">
        <f>6098.837783</f>
        <v>6098.8377829999999</v>
      </c>
      <c r="CN474">
        <f>5025.893603</f>
        <v>5025.8936030000004</v>
      </c>
      <c r="CO474">
        <f>6952.498112</f>
        <v>6952.4981120000002</v>
      </c>
      <c r="CP474">
        <f>7905.641508</f>
        <v>7905.6415079999997</v>
      </c>
      <c r="CQ474">
        <f>5129.584472</f>
        <v>5129.5844719999996</v>
      </c>
      <c r="CR474">
        <f>6056.540994</f>
        <v>6056.540994</v>
      </c>
      <c r="CS474">
        <f>7506.017061</f>
        <v>7506.0170609999996</v>
      </c>
      <c r="CT474">
        <f>7471.024594</f>
        <v>7471.0245940000004</v>
      </c>
      <c r="CU474">
        <f>8479.21038</f>
        <v>8479.2103800000004</v>
      </c>
      <c r="CV474">
        <f>10585.07766</f>
        <v>10585.077660000001</v>
      </c>
      <c r="CW474" t="str">
        <f>""</f>
        <v/>
      </c>
      <c r="CX474" t="str">
        <f>""</f>
        <v/>
      </c>
      <c r="CY474" t="str">
        <f>""</f>
        <v/>
      </c>
      <c r="CZ474" t="str">
        <f>""</f>
        <v/>
      </c>
      <c r="DA474" t="str">
        <f>""</f>
        <v/>
      </c>
      <c r="DB474" t="str">
        <f>""</f>
        <v/>
      </c>
      <c r="DC474" t="str">
        <f>""</f>
        <v/>
      </c>
      <c r="DD474" t="str">
        <f>""</f>
        <v/>
      </c>
      <c r="DE474" t="str">
        <f>""</f>
        <v/>
      </c>
      <c r="DF474" t="str">
        <f>""</f>
        <v/>
      </c>
      <c r="DG474" t="str">
        <f>""</f>
        <v/>
      </c>
      <c r="DH474" t="str">
        <f>""</f>
        <v/>
      </c>
      <c r="DI474" t="str">
        <f>""</f>
        <v/>
      </c>
      <c r="DJ474" t="str">
        <f>""</f>
        <v/>
      </c>
      <c r="DK474" t="str">
        <f>""</f>
        <v/>
      </c>
      <c r="DL474" t="str">
        <f>""</f>
        <v/>
      </c>
      <c r="DM474" t="str">
        <f>""</f>
        <v/>
      </c>
      <c r="DN474" t="str">
        <f>""</f>
        <v/>
      </c>
      <c r="DO474" t="str">
        <f>""</f>
        <v/>
      </c>
      <c r="DP474" t="str">
        <f>""</f>
        <v/>
      </c>
      <c r="DQ474" t="str">
        <f>""</f>
        <v/>
      </c>
      <c r="DR474" t="str">
        <f>""</f>
        <v/>
      </c>
      <c r="DS474" t="str">
        <f>""</f>
        <v/>
      </c>
      <c r="DT474" t="str">
        <f>""</f>
        <v/>
      </c>
      <c r="DU474" t="str">
        <f>""</f>
        <v/>
      </c>
    </row>
    <row r="475" spans="1:125" x14ac:dyDescent="0.25">
      <c r="A475" t="str">
        <f>"    Honda Motor Co Ltd"</f>
        <v xml:space="preserve">    Honda Motor Co Ltd</v>
      </c>
      <c r="B475" t="str">
        <f>"7267 JP Equity"</f>
        <v>7267 JP Equity</v>
      </c>
      <c r="C475" t="str">
        <f t="shared" si="33"/>
        <v>RR902</v>
      </c>
      <c r="D475" t="str">
        <f t="shared" si="34"/>
        <v>CUR_MKT_CAP</v>
      </c>
      <c r="E475" t="str">
        <f t="shared" si="35"/>
        <v>Dynamic</v>
      </c>
      <c r="F475">
        <f ca="1">IF(AND(ISNUMBER($F$972),$B$511=1),$F$972,HLOOKUP(INDIRECT(ADDRESS(2,COLUMN())),OFFSET($BN$2,0,0,ROW()-1,60),ROW()-1,FALSE))</f>
        <v>51191.118139999999</v>
      </c>
      <c r="G475">
        <f ca="1">IF(AND(ISNUMBER($G$972),$B$511=1),$G$972,HLOOKUP(INDIRECT(ADDRESS(2,COLUMN())),OFFSET($BN$2,0,0,ROW()-1,60),ROW()-1,FALSE))</f>
        <v>47488.26728</v>
      </c>
      <c r="H475">
        <f ca="1">IF(AND(ISNUMBER($H$972),$B$511=1),$H$972,HLOOKUP(INDIRECT(ADDRESS(2,COLUMN())),OFFSET($BN$2,0,0,ROW()-1,60),ROW()-1,FALSE))</f>
        <v>54885.483440000004</v>
      </c>
      <c r="I475">
        <f ca="1">IF(AND(ISNUMBER($I$972),$B$511=1),$I$972,HLOOKUP(INDIRECT(ADDRESS(2,COLUMN())),OFFSET($BN$2,0,0,ROW()-1,60),ROW()-1,FALSE))</f>
        <v>53191.701419999998</v>
      </c>
      <c r="J475">
        <f ca="1">IF(AND(ISNUMBER($J$972),$B$511=1),$J$972,HLOOKUP(INDIRECT(ADDRESS(2,COLUMN())),OFFSET($BN$2,0,0,ROW()-1,60),ROW()-1,FALSE))</f>
        <v>62416.00503</v>
      </c>
      <c r="K475">
        <f ca="1">IF(AND(ISNUMBER($K$972),$B$511=1),$K$972,HLOOKUP(INDIRECT(ADDRESS(2,COLUMN())),OFFSET($BN$2,0,0,ROW()-1,60),ROW()-1,FALSE))</f>
        <v>62140.136760000001</v>
      </c>
      <c r="L475">
        <f ca="1">IF(AND(ISNUMBER($L$972),$B$511=1),$L$972,HLOOKUP(INDIRECT(ADDRESS(2,COLUMN())),OFFSET($BN$2,0,0,ROW()-1,60),ROW()-1,FALSE))</f>
        <v>53593.318489999998</v>
      </c>
      <c r="M475">
        <f ca="1">IF(AND(ISNUMBER($M$972),$B$511=1),$M$972,HLOOKUP(INDIRECT(ADDRESS(2,COLUMN())),OFFSET($BN$2,0,0,ROW()-1,60),ROW()-1,FALSE))</f>
        <v>49401.128810000002</v>
      </c>
      <c r="N475">
        <f ca="1">IF(AND(ISNUMBER($N$972),$B$511=1),$N$972,HLOOKUP(INDIRECT(ADDRESS(2,COLUMN())),OFFSET($BN$2,0,0,ROW()-1,60),ROW()-1,FALSE))</f>
        <v>54533.256600000001</v>
      </c>
      <c r="O475">
        <f ca="1">IF(AND(ISNUMBER($O$972),$B$511=1),$O$972,HLOOKUP(INDIRECT(ADDRESS(2,COLUMN())),OFFSET($BN$2,0,0,ROW()-1,60),ROW()-1,FALSE))</f>
        <v>53035.221310000001</v>
      </c>
      <c r="P475">
        <f ca="1">IF(AND(ISNUMBER($P$972),$B$511=1),$P$972,HLOOKUP(INDIRECT(ADDRESS(2,COLUMN())),OFFSET($BN$2,0,0,ROW()-1,60),ROW()-1,FALSE))</f>
        <v>51567.580580000002</v>
      </c>
      <c r="Q475">
        <f ca="1">IF(AND(ISNUMBER($Q$972),$B$511=1),$Q$972,HLOOKUP(INDIRECT(ADDRESS(2,COLUMN())),OFFSET($BN$2,0,0,ROW()-1,60),ROW()-1,FALSE))</f>
        <v>45158.44298</v>
      </c>
      <c r="R475">
        <f ca="1">IF(AND(ISNUMBER($R$972),$B$511=1),$R$972,HLOOKUP(INDIRECT(ADDRESS(2,COLUMN())),OFFSET($BN$2,0,0,ROW()-1,60),ROW()-1,FALSE))</f>
        <v>49689.495540000004</v>
      </c>
      <c r="S475">
        <f ca="1">IF(AND(ISNUMBER($S$972),$B$511=1),$S$972,HLOOKUP(INDIRECT(ADDRESS(2,COLUMN())),OFFSET($BN$2,0,0,ROW()-1,60),ROW()-1,FALSE))</f>
        <v>58723.864560000002</v>
      </c>
      <c r="T475">
        <f ca="1">IF(AND(ISNUMBER($T$972),$B$511=1),$T$972,HLOOKUP(INDIRECT(ADDRESS(2,COLUMN())),OFFSET($BN$2,0,0,ROW()-1,60),ROW()-1,FALSE))</f>
        <v>53569.360269999997</v>
      </c>
      <c r="U475">
        <f ca="1">IF(AND(ISNUMBER($U$972),$B$511=1),$U$972,HLOOKUP(INDIRECT(ADDRESS(2,COLUMN())),OFFSET($BN$2,0,0,ROW()-1,60),ROW()-1,FALSE))</f>
        <v>58761.659610000002</v>
      </c>
      <c r="V475">
        <f ca="1">IF(AND(ISNUMBER($V$972),$B$511=1),$V$972,HLOOKUP(INDIRECT(ADDRESS(2,COLUMN())),OFFSET($BN$2,0,0,ROW()-1,60),ROW()-1,FALSE))</f>
        <v>58941.269740000003</v>
      </c>
      <c r="W475">
        <f ca="1">IF(AND(ISNUMBER($W$972),$B$511=1),$W$972,HLOOKUP(INDIRECT(ADDRESS(2,COLUMN())),OFFSET($BN$2,0,0,ROW()-1,60),ROW()-1,FALSE))</f>
        <v>53466.405270000003</v>
      </c>
      <c r="X475">
        <f ca="1">IF(AND(ISNUMBER($X$972),$B$511=1),$X$972,HLOOKUP(INDIRECT(ADDRESS(2,COLUMN())),OFFSET($BN$2,0,0,ROW()-1,60),ROW()-1,FALSE))</f>
        <v>62770.638099999996</v>
      </c>
      <c r="Y475">
        <f ca="1">IF(AND(ISNUMBER($Y$972),$B$511=1),$Y$972,HLOOKUP(INDIRECT(ADDRESS(2,COLUMN())),OFFSET($BN$2,0,0,ROW()-1,60),ROW()-1,FALSE))</f>
        <v>63254.245110000003</v>
      </c>
      <c r="Z475">
        <f ca="1">IF(AND(ISNUMBER($Z$972),$B$511=1),$Z$972,HLOOKUP(INDIRECT(ADDRESS(2,COLUMN())),OFFSET($BN$2,0,0,ROW()-1,60),ROW()-1,FALSE))</f>
        <v>63866.605689999997</v>
      </c>
      <c r="AA475">
        <f ca="1">IF(AND(ISNUMBER($AA$972),$B$511=1),$AA$972,HLOOKUP(INDIRECT(ADDRESS(2,COLUMN())),OFFSET($BN$2,0,0,ROW()-1,60),ROW()-1,FALSE))</f>
        <v>74642.98878</v>
      </c>
      <c r="AB475">
        <f ca="1">IF(AND(ISNUMBER($AB$972),$B$511=1),$AB$972,HLOOKUP(INDIRECT(ADDRESS(2,COLUMN())),OFFSET($BN$2,0,0,ROW()-1,60),ROW()-1,FALSE))</f>
        <v>68889.983949999994</v>
      </c>
      <c r="AC475">
        <f ca="1">IF(AND(ISNUMBER($AC$972),$B$511=1),$AC$972,HLOOKUP(INDIRECT(ADDRESS(2,COLUMN())),OFFSET($BN$2,0,0,ROW()-1,60),ROW()-1,FALSE))</f>
        <v>67201.388300000006</v>
      </c>
      <c r="AD475">
        <f ca="1">IF(AND(ISNUMBER($AD$972),$B$511=1),$AD$972,HLOOKUP(INDIRECT(ADDRESS(2,COLUMN())),OFFSET($BN$2,0,0,ROW()-1,60),ROW()-1,FALSE))</f>
        <v>68346.717950000006</v>
      </c>
      <c r="AE475">
        <f ca="1">IF(AND(ISNUMBER($AE$972),$B$511=1),$AE$972,HLOOKUP(INDIRECT(ADDRESS(2,COLUMN())),OFFSET($BN$2,0,0,ROW()-1,60),ROW()-1,FALSE))</f>
        <v>66181.948699999994</v>
      </c>
      <c r="AF475">
        <f ca="1">IF(AND(ISNUMBER($AF$972),$B$511=1),$AF$972,HLOOKUP(INDIRECT(ADDRESS(2,COLUMN())),OFFSET($BN$2,0,0,ROW()-1,60),ROW()-1,FALSE))</f>
        <v>55723.738989999998</v>
      </c>
      <c r="AG475">
        <f ca="1">IF(AND(ISNUMBER($AG$972),$B$511=1),$AG$972,HLOOKUP(INDIRECT(ADDRESS(2,COLUMN())),OFFSET($BN$2,0,0,ROW()-1,60),ROW()-1,FALSE))</f>
        <v>62401.209519999997</v>
      </c>
      <c r="AH475">
        <f ca="1">IF(AND(ISNUMBER($AH$972),$B$511=1),$AH$972,HLOOKUP(INDIRECT(ADDRESS(2,COLUMN())),OFFSET($BN$2,0,0,ROW()-1,60),ROW()-1,FALSE))</f>
        <v>68945.203250000006</v>
      </c>
      <c r="AI475">
        <f ca="1">IF(AND(ISNUMBER($AI$972),$B$511=1),$AI$972,HLOOKUP(INDIRECT(ADDRESS(2,COLUMN())),OFFSET($BN$2,0,0,ROW()-1,60),ROW()-1,FALSE))</f>
        <v>55243.97653</v>
      </c>
      <c r="AJ475">
        <f ca="1">IF(AND(ISNUMBER($AJ$972),$B$511=1),$AJ$972,HLOOKUP(INDIRECT(ADDRESS(2,COLUMN())),OFFSET($BN$2,0,0,ROW()-1,60),ROW()-1,FALSE))</f>
        <v>53985.91865</v>
      </c>
      <c r="AK475">
        <f ca="1">IF(AND(ISNUMBER($AK$972),$B$511=1),$AK$972,HLOOKUP(INDIRECT(ADDRESS(2,COLUMN())),OFFSET($BN$2,0,0,ROW()-1,60),ROW()-1,FALSE))</f>
        <v>69367.636790000004</v>
      </c>
      <c r="AL475">
        <f ca="1">IF(AND(ISNUMBER($AL$972),$B$511=1),$AL$972,HLOOKUP(INDIRECT(ADDRESS(2,COLUMN())),OFFSET($BN$2,0,0,ROW()-1,60),ROW()-1,FALSE))</f>
        <v>68341.349249999999</v>
      </c>
      <c r="AM475">
        <f ca="1">IF(AND(ISNUMBER($AM$972),$B$511=1),$AM$972,HLOOKUP(INDIRECT(ADDRESS(2,COLUMN())),OFFSET($BN$2,0,0,ROW()-1,60),ROW()-1,FALSE))</f>
        <v>71247.155870000002</v>
      </c>
      <c r="AN475">
        <f ca="1">IF(AND(ISNUMBER($AN$972),$B$511=1),$AN$972,HLOOKUP(INDIRECT(ADDRESS(2,COLUMN())),OFFSET($BN$2,0,0,ROW()-1,60),ROW()-1,FALSE))</f>
        <v>64309.400280000002</v>
      </c>
      <c r="AO475">
        <f ca="1">IF(AND(ISNUMBER($AO$972),$B$511=1),$AO$972,HLOOKUP(INDIRECT(ADDRESS(2,COLUMN())),OFFSET($BN$2,0,0,ROW()-1,60),ROW()-1,FALSE))</f>
        <v>53793.737580000001</v>
      </c>
      <c r="AP475">
        <f ca="1">IF(AND(ISNUMBER($AP$972),$B$511=1),$AP$972,HLOOKUP(INDIRECT(ADDRESS(2,COLUMN())),OFFSET($BN$2,0,0,ROW()-1,60),ROW()-1,FALSE))</f>
        <v>64800.231359999998</v>
      </c>
      <c r="AQ475">
        <f ca="1">IF(AND(ISNUMBER($AQ$972),$B$511=1),$AQ$972,HLOOKUP(INDIRECT(ADDRESS(2,COLUMN())),OFFSET($BN$2,0,0,ROW()-1,60),ROW()-1,FALSE))</f>
        <v>61770.039270000001</v>
      </c>
      <c r="AR475">
        <f ca="1">IF(AND(ISNUMBER($AR$972),$B$511=1),$AR$972,HLOOKUP(INDIRECT(ADDRESS(2,COLUMN())),OFFSET($BN$2,0,0,ROW()-1,60),ROW()-1,FALSE))</f>
        <v>56571.14675</v>
      </c>
      <c r="AS475">
        <f ca="1">IF(AND(ISNUMBER($AS$972),$B$511=1),$AS$972,HLOOKUP(INDIRECT(ADDRESS(2,COLUMN())),OFFSET($BN$2,0,0,ROW()-1,60),ROW()-1,FALSE))</f>
        <v>50671.132290000001</v>
      </c>
      <c r="AT475">
        <f ca="1">IF(AND(ISNUMBER($AT$972),$B$511=1),$AT$972,HLOOKUP(INDIRECT(ADDRESS(2,COLUMN())),OFFSET($BN$2,0,0,ROW()-1,60),ROW()-1,FALSE))</f>
        <v>42754.178910000002</v>
      </c>
      <c r="AU475">
        <f ca="1">IF(AND(ISNUMBER($AU$972),$B$511=1),$AU$972,HLOOKUP(INDIRECT(ADDRESS(2,COLUMN())),OFFSET($BN$2,0,0,ROW()-1,60),ROW()-1,FALSE))</f>
        <v>38715.630149999997</v>
      </c>
      <c r="AV475">
        <f ca="1">IF(AND(ISNUMBER($AV$972),$B$511=1),$AV$972,HLOOKUP(INDIRECT(ADDRESS(2,COLUMN())),OFFSET($BN$2,0,0,ROW()-1,60),ROW()-1,FALSE))</f>
        <v>53391.276590000001</v>
      </c>
      <c r="AW475">
        <f ca="1">IF(AND(ISNUMBER($AW$972),$B$511=1),$AW$972,HLOOKUP(INDIRECT(ADDRESS(2,COLUMN())),OFFSET($BN$2,0,0,ROW()-1,60),ROW()-1,FALSE))</f>
        <v>62376.216330000003</v>
      </c>
      <c r="AX475">
        <f ca="1">IF(AND(ISNUMBER($AX$972),$B$511=1),$AX$972,HLOOKUP(INDIRECT(ADDRESS(2,COLUMN())),OFFSET($BN$2,0,0,ROW()-1,60),ROW()-1,FALSE))</f>
        <v>52274.050770000002</v>
      </c>
      <c r="AY475">
        <f ca="1">IF(AND(ISNUMBER($AY$972),$B$511=1),$AY$972,HLOOKUP(INDIRECT(ADDRESS(2,COLUMN())),OFFSET($BN$2,0,0,ROW()-1,60),ROW()-1,FALSE))</f>
        <v>60998.28355</v>
      </c>
      <c r="AZ475">
        <f ca="1">IF(AND(ISNUMBER($AZ$972),$B$511=1),$AZ$972,HLOOKUP(INDIRECT(ADDRESS(2,COLUMN())),OFFSET($BN$2,0,0,ROW()-1,60),ROW()-1,FALSE))</f>
        <v>61693.706489999997</v>
      </c>
      <c r="BA475">
        <f ca="1">IF(AND(ISNUMBER($BA$972),$B$511=1),$BA$972,HLOOKUP(INDIRECT(ADDRESS(2,COLUMN())),OFFSET($BN$2,0,0,ROW()-1,60),ROW()-1,FALSE))</f>
        <v>66986.270170000003</v>
      </c>
      <c r="BB475">
        <f ca="1">IF(AND(ISNUMBER($BB$972),$B$511=1),$BB$972,HLOOKUP(INDIRECT(ADDRESS(2,COLUMN())),OFFSET($BN$2,0,0,ROW()-1,60),ROW()-1,FALSE))</f>
        <v>64130.83253</v>
      </c>
      <c r="BC475">
        <f ca="1">IF(AND(ISNUMBER($BC$972),$B$511=1),$BC$972,HLOOKUP(INDIRECT(ADDRESS(2,COLUMN())),OFFSET($BN$2,0,0,ROW()-1,60),ROW()-1,FALSE))</f>
        <v>72419.325960000002</v>
      </c>
      <c r="BD475">
        <f ca="1">IF(AND(ISNUMBER($BD$972),$B$511=1),$BD$972,HLOOKUP(INDIRECT(ADDRESS(2,COLUMN())),OFFSET($BN$2,0,0,ROW()-1,60),ROW()-1,FALSE))</f>
        <v>61720.628920000003</v>
      </c>
      <c r="BE475">
        <f ca="1">IF(AND(ISNUMBER($BE$972),$B$511=1),$BE$972,HLOOKUP(INDIRECT(ADDRESS(2,COLUMN())),OFFSET($BN$2,0,0,ROW()-1,60),ROW()-1,FALSE))</f>
        <v>58184.912900000003</v>
      </c>
      <c r="BF475">
        <f ca="1">IF(AND(ISNUMBER($BF$972),$B$511=1),$BF$972,HLOOKUP(INDIRECT(ADDRESS(2,COLUMN())),OFFSET($BN$2,0,0,ROW()-1,60),ROW()-1,FALSE))</f>
        <v>56918.718339999999</v>
      </c>
      <c r="BG475">
        <f ca="1">IF(AND(ISNUMBER($BG$972),$B$511=1),$BG$972,HLOOKUP(INDIRECT(ADDRESS(2,COLUMN())),OFFSET($BN$2,0,0,ROW()-1,60),ROW()-1,FALSE))</f>
        <v>52964.545749999997</v>
      </c>
      <c r="BH475">
        <f ca="1">IF(AND(ISNUMBER($BH$972),$B$511=1),$BH$972,HLOOKUP(INDIRECT(ADDRESS(2,COLUMN())),OFFSET($BN$2,0,0,ROW()-1,60),ROW()-1,FALSE))</f>
        <v>52486.959009999999</v>
      </c>
      <c r="BI475">
        <f ca="1">IF(AND(ISNUMBER($BI$972),$B$511=1),$BI$972,HLOOKUP(INDIRECT(ADDRESS(2,COLUMN())),OFFSET($BN$2,0,0,ROW()-1,60),ROW()-1,FALSE))</f>
        <v>45780.452440000001</v>
      </c>
      <c r="BJ475">
        <f ca="1">IF(AND(ISNUMBER($BJ$972),$B$511=1),$BJ$972,HLOOKUP(INDIRECT(ADDRESS(2,COLUMN())),OFFSET($BN$2,0,0,ROW()-1,60),ROW()-1,FALSE))</f>
        <v>46507.315029999998</v>
      </c>
      <c r="BK475">
        <f ca="1">IF(AND(ISNUMBER($BK$972),$B$511=1),$BK$972,HLOOKUP(INDIRECT(ADDRESS(2,COLUMN())),OFFSET($BN$2,0,0,ROW()-1,60),ROW()-1,FALSE))</f>
        <v>48406.4951</v>
      </c>
      <c r="BL475">
        <f ca="1">IF(AND(ISNUMBER($BL$972),$B$511=1),$BL$972,HLOOKUP(INDIRECT(ADDRESS(2,COLUMN())),OFFSET($BN$2,0,0,ROW()-1,60),ROW()-1,FALSE))</f>
        <v>45633.327989999998</v>
      </c>
      <c r="BM475">
        <f ca="1">IF(AND(ISNUMBER($BM$972),$B$511=1),$BM$972,HLOOKUP(INDIRECT(ADDRESS(2,COLUMN())),OFFSET($BN$2,0,0,ROW()-1,60),ROW()-1,FALSE))</f>
        <v>46863.103660000001</v>
      </c>
      <c r="BN475">
        <f>51191.11814</f>
        <v>51191.118139999999</v>
      </c>
      <c r="BO475">
        <f>47488.26728</f>
        <v>47488.26728</v>
      </c>
      <c r="BP475">
        <f>54885.48344</f>
        <v>54885.483440000004</v>
      </c>
      <c r="BQ475">
        <f>53191.70142</f>
        <v>53191.701419999998</v>
      </c>
      <c r="BR475">
        <f>62416.00503</f>
        <v>62416.00503</v>
      </c>
      <c r="BS475">
        <f>62140.13676</f>
        <v>62140.136760000001</v>
      </c>
      <c r="BT475">
        <f>53593.31849</f>
        <v>53593.318489999998</v>
      </c>
      <c r="BU475">
        <f>49401.12881</f>
        <v>49401.128810000002</v>
      </c>
      <c r="BV475">
        <f>54533.2566</f>
        <v>54533.256600000001</v>
      </c>
      <c r="BW475">
        <f>53035.22131</f>
        <v>53035.221310000001</v>
      </c>
      <c r="BX475">
        <f>51567.58058</f>
        <v>51567.580580000002</v>
      </c>
      <c r="BY475">
        <f>45158.44298</f>
        <v>45158.44298</v>
      </c>
      <c r="BZ475">
        <f>49689.49554</f>
        <v>49689.495540000004</v>
      </c>
      <c r="CA475">
        <f>58723.86456</f>
        <v>58723.864560000002</v>
      </c>
      <c r="CB475">
        <f>53569.36027</f>
        <v>53569.360269999997</v>
      </c>
      <c r="CC475">
        <f>58761.65961</f>
        <v>58761.659610000002</v>
      </c>
      <c r="CD475">
        <f>58941.26974</f>
        <v>58941.269740000003</v>
      </c>
      <c r="CE475">
        <f>53466.40527</f>
        <v>53466.405270000003</v>
      </c>
      <c r="CF475">
        <f>62770.6381</f>
        <v>62770.638099999996</v>
      </c>
      <c r="CG475">
        <f>63254.24511</f>
        <v>63254.245110000003</v>
      </c>
      <c r="CH475">
        <f>63866.60569</f>
        <v>63866.605689999997</v>
      </c>
      <c r="CI475">
        <f>74642.98878</f>
        <v>74642.98878</v>
      </c>
      <c r="CJ475">
        <f>68889.98395</f>
        <v>68889.983949999994</v>
      </c>
      <c r="CK475">
        <f>67201.3883</f>
        <v>67201.388300000006</v>
      </c>
      <c r="CL475">
        <f>68346.71795</f>
        <v>68346.717950000006</v>
      </c>
      <c r="CM475">
        <f>66181.9487</f>
        <v>66181.948699999994</v>
      </c>
      <c r="CN475">
        <f>55723.73899</f>
        <v>55723.738989999998</v>
      </c>
      <c r="CO475">
        <f>62401.20952</f>
        <v>62401.209519999997</v>
      </c>
      <c r="CP475">
        <f>68945.20325</f>
        <v>68945.203250000006</v>
      </c>
      <c r="CQ475">
        <f>55243.97653</f>
        <v>55243.97653</v>
      </c>
      <c r="CR475">
        <f>53985.91865</f>
        <v>53985.91865</v>
      </c>
      <c r="CS475">
        <f>69367.63679</f>
        <v>69367.636790000004</v>
      </c>
      <c r="CT475">
        <f>68341.34925</f>
        <v>68341.349249999999</v>
      </c>
      <c r="CU475">
        <f>71247.15587</f>
        <v>71247.155870000002</v>
      </c>
      <c r="CV475">
        <f>64309.40028</f>
        <v>64309.400280000002</v>
      </c>
      <c r="CW475">
        <f>53793.73758</f>
        <v>53793.737580000001</v>
      </c>
      <c r="CX475">
        <f>64800.23136</f>
        <v>64800.231359999998</v>
      </c>
      <c r="CY475">
        <f>61770.03927</f>
        <v>61770.039270000001</v>
      </c>
      <c r="CZ475">
        <f>56571.14675</f>
        <v>56571.14675</v>
      </c>
      <c r="DA475">
        <f>50671.13229</f>
        <v>50671.132290000001</v>
      </c>
      <c r="DB475">
        <f>42754.17891</f>
        <v>42754.178910000002</v>
      </c>
      <c r="DC475">
        <f>38715.63015</f>
        <v>38715.630149999997</v>
      </c>
      <c r="DD475">
        <f>53391.27659</f>
        <v>53391.276590000001</v>
      </c>
      <c r="DE475">
        <f>62376.21633</f>
        <v>62376.216330000003</v>
      </c>
      <c r="DF475">
        <f>52274.05077</f>
        <v>52274.050770000002</v>
      </c>
      <c r="DG475">
        <f>60998.28355</f>
        <v>60998.28355</v>
      </c>
      <c r="DH475">
        <f>61693.70649</f>
        <v>61693.706489999997</v>
      </c>
      <c r="DI475">
        <f>66986.27017</f>
        <v>66986.270170000003</v>
      </c>
      <c r="DJ475">
        <f>64130.83253</f>
        <v>64130.83253</v>
      </c>
      <c r="DK475">
        <f>72419.32596</f>
        <v>72419.325960000002</v>
      </c>
      <c r="DL475">
        <f>61720.62892</f>
        <v>61720.628920000003</v>
      </c>
      <c r="DM475">
        <f>58184.9129</f>
        <v>58184.912900000003</v>
      </c>
      <c r="DN475">
        <f>56918.71834</f>
        <v>56918.718339999999</v>
      </c>
      <c r="DO475">
        <f>52964.54575</f>
        <v>52964.545749999997</v>
      </c>
      <c r="DP475">
        <f>52486.95901</f>
        <v>52486.959009999999</v>
      </c>
      <c r="DQ475">
        <f>45780.45244</f>
        <v>45780.452440000001</v>
      </c>
      <c r="DR475">
        <f>46507.31503</f>
        <v>46507.315029999998</v>
      </c>
      <c r="DS475">
        <f>48406.4951</f>
        <v>48406.4951</v>
      </c>
      <c r="DT475">
        <f>45633.32799</f>
        <v>45633.327989999998</v>
      </c>
      <c r="DU475">
        <f>46863.10366</f>
        <v>46863.103660000001</v>
      </c>
    </row>
    <row r="476" spans="1:125" x14ac:dyDescent="0.25">
      <c r="A476" t="str">
        <f>"    Hyundai Motor Co"</f>
        <v xml:space="preserve">    Hyundai Motor Co</v>
      </c>
      <c r="B476" t="str">
        <f>"005380 KS Equity"</f>
        <v>005380 KS Equity</v>
      </c>
      <c r="C476" t="str">
        <f t="shared" si="33"/>
        <v>RR902</v>
      </c>
      <c r="D476" t="str">
        <f t="shared" si="34"/>
        <v>CUR_MKT_CAP</v>
      </c>
      <c r="E476" t="str">
        <f t="shared" si="35"/>
        <v>Dynamic</v>
      </c>
      <c r="F476">
        <f ca="1">IF(AND(ISNUMBER($F$973),$B$511=1),$F$973,HLOOKUP(INDIRECT(ADDRESS(2,COLUMN())),OFFSET($BN$2,0,0,ROW()-1,60),ROW()-1,FALSE))</f>
        <v>23043.67452</v>
      </c>
      <c r="G476">
        <f ca="1">IF(AND(ISNUMBER($G$973),$B$511=1),$G$973,HLOOKUP(INDIRECT(ADDRESS(2,COLUMN())),OFFSET($BN$2,0,0,ROW()-1,60),ROW()-1,FALSE))</f>
        <v>22702.12513</v>
      </c>
      <c r="H476">
        <f ca="1">IF(AND(ISNUMBER($H$973),$B$511=1),$H$973,HLOOKUP(INDIRECT(ADDRESS(2,COLUMN())),OFFSET($BN$2,0,0,ROW()-1,60),ROW()-1,FALSE))</f>
        <v>24930.425729999999</v>
      </c>
      <c r="I476">
        <f ca="1">IF(AND(ISNUMBER($I$973),$B$511=1),$I$973,HLOOKUP(INDIRECT(ADDRESS(2,COLUMN())),OFFSET($BN$2,0,0,ROW()-1,60),ROW()-1,FALSE))</f>
        <v>24830.41848</v>
      </c>
      <c r="J476">
        <f ca="1">IF(AND(ISNUMBER($J$973),$B$511=1),$J$973,HLOOKUP(INDIRECT(ADDRESS(2,COLUMN())),OFFSET($BN$2,0,0,ROW()-1,60),ROW()-1,FALSE))</f>
        <v>29795.99266</v>
      </c>
      <c r="K476">
        <f ca="1">IF(AND(ISNUMBER($K$973),$B$511=1),$K$973,HLOOKUP(INDIRECT(ADDRESS(2,COLUMN())),OFFSET($BN$2,0,0,ROW()-1,60),ROW()-1,FALSE))</f>
        <v>32076.703310000001</v>
      </c>
      <c r="L476">
        <f ca="1">IF(AND(ISNUMBER($L$973),$B$511=1),$L$973,HLOOKUP(INDIRECT(ADDRESS(2,COLUMN())),OFFSET($BN$2,0,0,ROW()-1,60),ROW()-1,FALSE))</f>
        <v>28967.538789999999</v>
      </c>
      <c r="M476">
        <f ca="1">IF(AND(ISNUMBER($M$973),$B$511=1),$M$973,HLOOKUP(INDIRECT(ADDRESS(2,COLUMN())),OFFSET($BN$2,0,0,ROW()-1,60),ROW()-1,FALSE))</f>
        <v>30717.530999999999</v>
      </c>
      <c r="N476">
        <f ca="1">IF(AND(ISNUMBER($N$973),$B$511=1),$N$973,HLOOKUP(INDIRECT(ADDRESS(2,COLUMN())),OFFSET($BN$2,0,0,ROW()-1,60),ROW()-1,FALSE))</f>
        <v>31037.623039999999</v>
      </c>
      <c r="O476">
        <f ca="1">IF(AND(ISNUMBER($O$973),$B$511=1),$O$973,HLOOKUP(INDIRECT(ADDRESS(2,COLUMN())),OFFSET($BN$2,0,0,ROW()-1,60),ROW()-1,FALSE))</f>
        <v>26649.291679999998</v>
      </c>
      <c r="P476">
        <f ca="1">IF(AND(ISNUMBER($P$973),$B$511=1),$P$973,HLOOKUP(INDIRECT(ADDRESS(2,COLUMN())),OFFSET($BN$2,0,0,ROW()-1,60),ROW()-1,FALSE))</f>
        <v>27148.865040000001</v>
      </c>
      <c r="Q476">
        <f ca="1">IF(AND(ISNUMBER($Q$973),$B$511=1),$Q$973,HLOOKUP(INDIRECT(ADDRESS(2,COLUMN())),OFFSET($BN$2,0,0,ROW()-1,60),ROW()-1,FALSE))</f>
        <v>25905.6574</v>
      </c>
      <c r="R476">
        <f ca="1">IF(AND(ISNUMBER($R$973),$B$511=1),$R$973,HLOOKUP(INDIRECT(ADDRESS(2,COLUMN())),OFFSET($BN$2,0,0,ROW()-1,60),ROW()-1,FALSE))</f>
        <v>29409.022870000001</v>
      </c>
      <c r="S476">
        <f ca="1">IF(AND(ISNUMBER($S$973),$B$511=1),$S$973,HLOOKUP(INDIRECT(ADDRESS(2,COLUMN())),OFFSET($BN$2,0,0,ROW()-1,60),ROW()-1,FALSE))</f>
        <v>27857.538430000001</v>
      </c>
      <c r="T476">
        <f ca="1">IF(AND(ISNUMBER($T$973),$B$511=1),$T$973,HLOOKUP(INDIRECT(ADDRESS(2,COLUMN())),OFFSET($BN$2,0,0,ROW()-1,60),ROW()-1,FALSE))</f>
        <v>30475.23345</v>
      </c>
      <c r="U476">
        <f ca="1">IF(AND(ISNUMBER($U$973),$B$511=1),$U$973,HLOOKUP(INDIRECT(ADDRESS(2,COLUMN())),OFFSET($BN$2,0,0,ROW()-1,60),ROW()-1,FALSE))</f>
        <v>26804.817790000001</v>
      </c>
      <c r="V476">
        <f ca="1">IF(AND(ISNUMBER($V$973),$B$511=1),$V$973,HLOOKUP(INDIRECT(ADDRESS(2,COLUMN())),OFFSET($BN$2,0,0,ROW()-1,60),ROW()-1,FALSE))</f>
        <v>33477.875569999997</v>
      </c>
      <c r="W476">
        <f ca="1">IF(AND(ISNUMBER($W$973),$B$511=1),$W$973,HLOOKUP(INDIRECT(ADDRESS(2,COLUMN())),OFFSET($BN$2,0,0,ROW()-1,60),ROW()-1,FALSE))</f>
        <v>33950.810409999998</v>
      </c>
      <c r="X476">
        <f ca="1">IF(AND(ISNUMBER($X$973),$B$511=1),$X$973,HLOOKUP(INDIRECT(ADDRESS(2,COLUMN())),OFFSET($BN$2,0,0,ROW()-1,60),ROW()-1,FALSE))</f>
        <v>39662.257369999999</v>
      </c>
      <c r="Y476">
        <f ca="1">IF(AND(ISNUMBER($Y$973),$B$511=1),$Y$973,HLOOKUP(INDIRECT(ADDRESS(2,COLUMN())),OFFSET($BN$2,0,0,ROW()-1,60),ROW()-1,FALSE))</f>
        <v>49982.154750000002</v>
      </c>
      <c r="Z476">
        <f ca="1">IF(AND(ISNUMBER($Z$973),$B$511=1),$Z$973,HLOOKUP(INDIRECT(ADDRESS(2,COLUMN())),OFFSET($BN$2,0,0,ROW()-1,60),ROW()-1,FALSE))</f>
        <v>52067.460520000001</v>
      </c>
      <c r="AA476">
        <f ca="1">IF(AND(ISNUMBER($AA$973),$B$511=1),$AA$973,HLOOKUP(INDIRECT(ADDRESS(2,COLUMN())),OFFSET($BN$2,0,0,ROW()-1,60),ROW()-1,FALSE))</f>
        <v>49379.512889999998</v>
      </c>
      <c r="AB476">
        <f ca="1">IF(AND(ISNUMBER($AB$973),$B$511=1),$AB$973,HLOOKUP(INDIRECT(ADDRESS(2,COLUMN())),OFFSET($BN$2,0,0,ROW()-1,60),ROW()-1,FALSE))</f>
        <v>51413.82114</v>
      </c>
      <c r="AC476">
        <f ca="1">IF(AND(ISNUMBER($AC$973),$B$511=1),$AC$973,HLOOKUP(INDIRECT(ADDRESS(2,COLUMN())),OFFSET($BN$2,0,0,ROW()-1,60),ROW()-1,FALSE))</f>
        <v>43474.985679999998</v>
      </c>
      <c r="AD476">
        <f ca="1">IF(AND(ISNUMBER($AD$973),$B$511=1),$AD$973,HLOOKUP(INDIRECT(ADDRESS(2,COLUMN())),OFFSET($BN$2,0,0,ROW()-1,60),ROW()-1,FALSE))</f>
        <v>44320.432059999999</v>
      </c>
      <c r="AE476">
        <f ca="1">IF(AND(ISNUMBER($AE$973),$B$511=1),$AE$973,HLOOKUP(INDIRECT(ADDRESS(2,COLUMN())),OFFSET($BN$2,0,0,ROW()-1,60),ROW()-1,FALSE))</f>
        <v>45097.602469999998</v>
      </c>
      <c r="AF476">
        <f ca="1">IF(AND(ISNUMBER($AF$973),$B$511=1),$AF$973,HLOOKUP(INDIRECT(ADDRESS(2,COLUMN())),OFFSET($BN$2,0,0,ROW()-1,60),ROW()-1,FALSE))</f>
        <v>49893.20145</v>
      </c>
      <c r="AG476">
        <f ca="1">IF(AND(ISNUMBER($AG$973),$B$511=1),$AG$973,HLOOKUP(INDIRECT(ADDRESS(2,COLUMN())),OFFSET($BN$2,0,0,ROW()-1,60),ROW()-1,FALSE))</f>
        <v>44830.825989999998</v>
      </c>
      <c r="AH476">
        <f ca="1">IF(AND(ISNUMBER($AH$973),$B$511=1),$AH$973,HLOOKUP(INDIRECT(ADDRESS(2,COLUMN())),OFFSET($BN$2,0,0,ROW()-1,60),ROW()-1,FALSE))</f>
        <v>45324.383650000003</v>
      </c>
      <c r="AI476">
        <f ca="1">IF(AND(ISNUMBER($AI$973),$B$511=1),$AI$973,HLOOKUP(INDIRECT(ADDRESS(2,COLUMN())),OFFSET($BN$2,0,0,ROW()-1,60),ROW()-1,FALSE))</f>
        <v>40572.18808</v>
      </c>
      <c r="AJ476">
        <f ca="1">IF(AND(ISNUMBER($AJ$973),$B$511=1),$AJ$973,HLOOKUP(INDIRECT(ADDRESS(2,COLUMN())),OFFSET($BN$2,0,0,ROW()-1,60),ROW()-1,FALSE))</f>
        <v>39353.407939999997</v>
      </c>
      <c r="AK476">
        <f ca="1">IF(AND(ISNUMBER($AK$973),$B$511=1),$AK$973,HLOOKUP(INDIRECT(ADDRESS(2,COLUMN())),OFFSET($BN$2,0,0,ROW()-1,60),ROW()-1,FALSE))</f>
        <v>48877.922599999998</v>
      </c>
      <c r="AL476">
        <f ca="1">IF(AND(ISNUMBER($AL$973),$B$511=1),$AL$973,HLOOKUP(INDIRECT(ADDRESS(2,COLUMN())),OFFSET($BN$2,0,0,ROW()-1,60),ROW()-1,FALSE))</f>
        <v>40730.63753</v>
      </c>
      <c r="AM476">
        <f ca="1">IF(AND(ISNUMBER($AM$973),$B$511=1),$AM$973,HLOOKUP(INDIRECT(ADDRESS(2,COLUMN())),OFFSET($BN$2,0,0,ROW()-1,60),ROW()-1,FALSE))</f>
        <v>33821.814129999999</v>
      </c>
      <c r="AN476">
        <f ca="1">IF(AND(ISNUMBER($AN$973),$B$511=1),$AN$973,HLOOKUP(INDIRECT(ADDRESS(2,COLUMN())),OFFSET($BN$2,0,0,ROW()-1,60),ROW()-1,FALSE))</f>
        <v>29685.814490000001</v>
      </c>
      <c r="AO476">
        <f ca="1">IF(AND(ISNUMBER($AO$973),$B$511=1),$AO$973,HLOOKUP(INDIRECT(ADDRESS(2,COLUMN())),OFFSET($BN$2,0,0,ROW()-1,60),ROW()-1,FALSE))</f>
        <v>26060.221799999999</v>
      </c>
      <c r="AP476">
        <f ca="1">IF(AND(ISNUMBER($AP$973),$B$511=1),$AP$973,HLOOKUP(INDIRECT(ADDRESS(2,COLUMN())),OFFSET($BN$2,0,0,ROW()-1,60),ROW()-1,FALSE))</f>
        <v>22502.0442</v>
      </c>
      <c r="AQ476">
        <f ca="1">IF(AND(ISNUMBER($AQ$973),$B$511=1),$AQ$973,HLOOKUP(INDIRECT(ADDRESS(2,COLUMN())),OFFSET($BN$2,0,0,ROW()-1,60),ROW()-1,FALSE))</f>
        <v>22888.327219999999</v>
      </c>
      <c r="AR476">
        <f ca="1">IF(AND(ISNUMBER($AR$973),$B$511=1),$AR$973,HLOOKUP(INDIRECT(ADDRESS(2,COLUMN())),OFFSET($BN$2,0,0,ROW()-1,60),ROW()-1,FALSE))</f>
        <v>20892.165919999999</v>
      </c>
      <c r="AS476">
        <f ca="1">IF(AND(ISNUMBER($AS$973),$B$511=1),$AS$973,HLOOKUP(INDIRECT(ADDRESS(2,COLUMN())),OFFSET($BN$2,0,0,ROW()-1,60),ROW()-1,FALSE))</f>
        <v>12828.615540000001</v>
      </c>
      <c r="AT476">
        <f ca="1">IF(AND(ISNUMBER($AT$973),$B$511=1),$AT$973,HLOOKUP(INDIRECT(ADDRESS(2,COLUMN())),OFFSET($BN$2,0,0,ROW()-1,60),ROW()-1,FALSE))</f>
        <v>8941.5586039999998</v>
      </c>
      <c r="AU476">
        <f ca="1">IF(AND(ISNUMBER($AU$973),$B$511=1),$AU$973,HLOOKUP(INDIRECT(ADDRESS(2,COLUMN())),OFFSET($BN$2,0,0,ROW()-1,60),ROW()-1,FALSE))</f>
        <v>6716.2654789999997</v>
      </c>
      <c r="AV476">
        <f ca="1">IF(AND(ISNUMBER($AV$973),$B$511=1),$AV$973,HLOOKUP(INDIRECT(ADDRESS(2,COLUMN())),OFFSET($BN$2,0,0,ROW()-1,60),ROW()-1,FALSE))</f>
        <v>13542.316919999999</v>
      </c>
      <c r="AW476">
        <f ca="1">IF(AND(ISNUMBER($AW$973),$B$511=1),$AW$973,HLOOKUP(INDIRECT(ADDRESS(2,COLUMN())),OFFSET($BN$2,0,0,ROW()-1,60),ROW()-1,FALSE))</f>
        <v>14908.12149</v>
      </c>
      <c r="AX476">
        <f ca="1">IF(AND(ISNUMBER($AX$973),$B$511=1),$AX$973,HLOOKUP(INDIRECT(ADDRESS(2,COLUMN())),OFFSET($BN$2,0,0,ROW()-1,60),ROW()-1,FALSE))</f>
        <v>17505.592720000001</v>
      </c>
      <c r="AY476">
        <f ca="1">IF(AND(ISNUMBER($AY$973),$B$511=1),$AY$973,HLOOKUP(INDIRECT(ADDRESS(2,COLUMN())),OFFSET($BN$2,0,0,ROW()-1,60),ROW()-1,FALSE))</f>
        <v>16826.596509999999</v>
      </c>
      <c r="AZ476">
        <f ca="1">IF(AND(ISNUMBER($AZ$973),$B$511=1),$AZ$973,HLOOKUP(INDIRECT(ADDRESS(2,COLUMN())),OFFSET($BN$2,0,0,ROW()-1,60),ROW()-1,FALSE))</f>
        <v>17750.412950000002</v>
      </c>
      <c r="BA476">
        <f ca="1">IF(AND(ISNUMBER($BA$973),$B$511=1),$BA$973,HLOOKUP(INDIRECT(ADDRESS(2,COLUMN())),OFFSET($BN$2,0,0,ROW()-1,60),ROW()-1,FALSE))</f>
        <v>17365.090749999999</v>
      </c>
      <c r="BB476">
        <f ca="1">IF(AND(ISNUMBER($BB$973),$B$511=1),$BB$973,HLOOKUP(INDIRECT(ADDRESS(2,COLUMN())),OFFSET($BN$2,0,0,ROW()-1,60),ROW()-1,FALSE))</f>
        <v>15422.83217</v>
      </c>
      <c r="BC476">
        <f ca="1">IF(AND(ISNUMBER($BC$973),$B$511=1),$BC$973,HLOOKUP(INDIRECT(ADDRESS(2,COLUMN())),OFFSET($BN$2,0,0,ROW()-1,60),ROW()-1,FALSE))</f>
        <v>15911.38816</v>
      </c>
      <c r="BD476">
        <f ca="1">IF(AND(ISNUMBER($BD$973),$B$511=1),$BD$973,HLOOKUP(INDIRECT(ADDRESS(2,COLUMN())),OFFSET($BN$2,0,0,ROW()-1,60),ROW()-1,FALSE))</f>
        <v>18746.703379999999</v>
      </c>
      <c r="BE476">
        <f ca="1">IF(AND(ISNUMBER($BE$973),$B$511=1),$BE$973,HLOOKUP(INDIRECT(ADDRESS(2,COLUMN())),OFFSET($BN$2,0,0,ROW()-1,60),ROW()-1,FALSE))</f>
        <v>18610.868839999999</v>
      </c>
      <c r="BF476">
        <f ca="1">IF(AND(ISNUMBER($BF$973),$B$511=1),$BF$973,HLOOKUP(INDIRECT(ADDRESS(2,COLUMN())),OFFSET($BN$2,0,0,ROW()-1,60),ROW()-1,FALSE))</f>
        <v>18419.282490000001</v>
      </c>
      <c r="BG476">
        <f ca="1">IF(AND(ISNUMBER($BG$973),$B$511=1),$BG$973,HLOOKUP(INDIRECT(ADDRESS(2,COLUMN())),OFFSET($BN$2,0,0,ROW()-1,60),ROW()-1,FALSE))</f>
        <v>21116.967909999999</v>
      </c>
      <c r="BH476">
        <f ca="1">IF(AND(ISNUMBER($BH$973),$B$511=1),$BH$973,HLOOKUP(INDIRECT(ADDRESS(2,COLUMN())),OFFSET($BN$2,0,0,ROW()-1,60),ROW()-1,FALSE))</f>
        <v>17093.444090000001</v>
      </c>
      <c r="BI476">
        <f ca="1">IF(AND(ISNUMBER($BI$973),$B$511=1),$BI$973,HLOOKUP(INDIRECT(ADDRESS(2,COLUMN())),OFFSET($BN$2,0,0,ROW()-1,60),ROW()-1,FALSE))</f>
        <v>12151.886920000001</v>
      </c>
      <c r="BJ476">
        <f ca="1">IF(AND(ISNUMBER($BJ$973),$B$511=1),$BJ$973,HLOOKUP(INDIRECT(ADDRESS(2,COLUMN())),OFFSET($BN$2,0,0,ROW()-1,60),ROW()-1,FALSE))</f>
        <v>11841.02046</v>
      </c>
      <c r="BK476">
        <f ca="1">IF(AND(ISNUMBER($BK$973),$B$511=1),$BK$973,HLOOKUP(INDIRECT(ADDRESS(2,COLUMN())),OFFSET($BN$2,0,0,ROW()-1,60),ROW()-1,FALSE))</f>
        <v>11650.37967</v>
      </c>
      <c r="BL476">
        <f ca="1">IF(AND(ISNUMBER($BL$973),$B$511=1),$BL$973,HLOOKUP(INDIRECT(ADDRESS(2,COLUMN())),OFFSET($BN$2,0,0,ROW()-1,60),ROW()-1,FALSE))</f>
        <v>10061.95435</v>
      </c>
      <c r="BM476">
        <f ca="1">IF(AND(ISNUMBER($BM$973),$B$511=1),$BM$973,HLOOKUP(INDIRECT(ADDRESS(2,COLUMN())),OFFSET($BN$2,0,0,ROW()-1,60),ROW()-1,FALSE))</f>
        <v>8393.702636</v>
      </c>
      <c r="BN476">
        <f>23043.67452</f>
        <v>23043.67452</v>
      </c>
      <c r="BO476">
        <f>22702.12513</f>
        <v>22702.12513</v>
      </c>
      <c r="BP476">
        <f>24930.42573</f>
        <v>24930.425729999999</v>
      </c>
      <c r="BQ476">
        <f>24830.41848</f>
        <v>24830.41848</v>
      </c>
      <c r="BR476">
        <f>29795.99266</f>
        <v>29795.99266</v>
      </c>
      <c r="BS476">
        <f>32076.70331</f>
        <v>32076.703310000001</v>
      </c>
      <c r="BT476">
        <f>28967.53879</f>
        <v>28967.538789999999</v>
      </c>
      <c r="BU476">
        <f>30717.531</f>
        <v>30717.530999999999</v>
      </c>
      <c r="BV476">
        <f>31037.62304</f>
        <v>31037.623039999999</v>
      </c>
      <c r="BW476">
        <f>26649.29168</f>
        <v>26649.291679999998</v>
      </c>
      <c r="BX476">
        <f>27148.86504</f>
        <v>27148.865040000001</v>
      </c>
      <c r="BY476">
        <f>25905.6574</f>
        <v>25905.6574</v>
      </c>
      <c r="BZ476">
        <f>29409.02287</f>
        <v>29409.022870000001</v>
      </c>
      <c r="CA476">
        <f>27857.53843</f>
        <v>27857.538430000001</v>
      </c>
      <c r="CB476">
        <f>30475.23345</f>
        <v>30475.23345</v>
      </c>
      <c r="CC476">
        <f>26804.81779</f>
        <v>26804.817790000001</v>
      </c>
      <c r="CD476">
        <f>33477.87557</f>
        <v>33477.875569999997</v>
      </c>
      <c r="CE476">
        <f>33950.81041</f>
        <v>33950.810409999998</v>
      </c>
      <c r="CF476">
        <f>39662.25737</f>
        <v>39662.257369999999</v>
      </c>
      <c r="CG476">
        <f>49982.15475</f>
        <v>49982.154750000002</v>
      </c>
      <c r="CH476">
        <f>52067.46052</f>
        <v>52067.460520000001</v>
      </c>
      <c r="CI476">
        <f>49379.51289</f>
        <v>49379.512889999998</v>
      </c>
      <c r="CJ476">
        <f>51413.82114</f>
        <v>51413.82114</v>
      </c>
      <c r="CK476">
        <f>43474.98568</f>
        <v>43474.985679999998</v>
      </c>
      <c r="CL476">
        <f>44320.43206</f>
        <v>44320.432059999999</v>
      </c>
      <c r="CM476">
        <f>45097.60247</f>
        <v>45097.602469999998</v>
      </c>
      <c r="CN476">
        <f>49893.20145</f>
        <v>49893.20145</v>
      </c>
      <c r="CO476">
        <f>44830.82599</f>
        <v>44830.825989999998</v>
      </c>
      <c r="CP476">
        <f>45324.38365</f>
        <v>45324.383650000003</v>
      </c>
      <c r="CQ476">
        <f>40572.18808</f>
        <v>40572.18808</v>
      </c>
      <c r="CR476">
        <f>39353.40794</f>
        <v>39353.407939999997</v>
      </c>
      <c r="CS476">
        <f>48877.9226</f>
        <v>48877.922599999998</v>
      </c>
      <c r="CT476">
        <f>40730.63753</f>
        <v>40730.63753</v>
      </c>
      <c r="CU476">
        <f>33821.81413</f>
        <v>33821.814129999999</v>
      </c>
      <c r="CV476">
        <f>29685.81449</f>
        <v>29685.814490000001</v>
      </c>
      <c r="CW476">
        <f>26060.2218</f>
        <v>26060.221799999999</v>
      </c>
      <c r="CX476">
        <f>22502.0442</f>
        <v>22502.0442</v>
      </c>
      <c r="CY476">
        <f>22888.32722</f>
        <v>22888.327219999999</v>
      </c>
      <c r="CZ476">
        <f>20892.16592</f>
        <v>20892.165919999999</v>
      </c>
      <c r="DA476">
        <f>12828.61554</f>
        <v>12828.615540000001</v>
      </c>
      <c r="DB476">
        <f>8941.558604</f>
        <v>8941.5586039999998</v>
      </c>
      <c r="DC476">
        <f>6716.265479</f>
        <v>6716.2654789999997</v>
      </c>
      <c r="DD476">
        <f>13542.31692</f>
        <v>13542.316919999999</v>
      </c>
      <c r="DE476">
        <f>14908.12149</f>
        <v>14908.12149</v>
      </c>
      <c r="DF476">
        <f>17505.59272</f>
        <v>17505.592720000001</v>
      </c>
      <c r="DG476">
        <f>16826.59651</f>
        <v>16826.596509999999</v>
      </c>
      <c r="DH476">
        <f>17750.41295</f>
        <v>17750.412950000002</v>
      </c>
      <c r="DI476">
        <f>17365.09075</f>
        <v>17365.090749999999</v>
      </c>
      <c r="DJ476">
        <f>15422.83217</f>
        <v>15422.83217</v>
      </c>
      <c r="DK476">
        <f>15911.38816</f>
        <v>15911.38816</v>
      </c>
      <c r="DL476">
        <f>18746.70338</f>
        <v>18746.703379999999</v>
      </c>
      <c r="DM476">
        <f>18610.86884</f>
        <v>18610.868839999999</v>
      </c>
      <c r="DN476">
        <f>18419.28249</f>
        <v>18419.282490000001</v>
      </c>
      <c r="DO476">
        <f>21116.96791</f>
        <v>21116.967909999999</v>
      </c>
      <c r="DP476">
        <f>17093.44409</f>
        <v>17093.444090000001</v>
      </c>
      <c r="DQ476">
        <f>12151.88692</f>
        <v>12151.886920000001</v>
      </c>
      <c r="DR476">
        <f>11841.02046</f>
        <v>11841.02046</v>
      </c>
      <c r="DS476">
        <f>11650.37967</f>
        <v>11650.37967</v>
      </c>
      <c r="DT476">
        <f>10061.95435</f>
        <v>10061.95435</v>
      </c>
      <c r="DU476">
        <f>8393.702636</f>
        <v>8393.702636</v>
      </c>
    </row>
    <row r="477" spans="1:125" x14ac:dyDescent="0.25">
      <c r="A477" t="str">
        <f>"    Kia Motors Corp"</f>
        <v xml:space="preserve">    Kia Motors Corp</v>
      </c>
      <c r="B477" t="str">
        <f>"000270 KS Equity"</f>
        <v>000270 KS Equity</v>
      </c>
      <c r="C477" t="str">
        <f t="shared" si="33"/>
        <v>RR902</v>
      </c>
      <c r="D477" t="str">
        <f t="shared" si="34"/>
        <v>CUR_MKT_CAP</v>
      </c>
      <c r="E477" t="str">
        <f t="shared" si="35"/>
        <v>Dynamic</v>
      </c>
      <c r="F477">
        <f ca="1">IF(AND(ISNUMBER($F$974),$B$511=1),$F$974,HLOOKUP(INDIRECT(ADDRESS(2,COLUMN())),OFFSET($BN$2,0,0,ROW()-1,60),ROW()-1,FALSE))</f>
        <v>12862.36923</v>
      </c>
      <c r="G477">
        <f ca="1">IF(AND(ISNUMBER($G$974),$B$511=1),$G$974,HLOOKUP(INDIRECT(ADDRESS(2,COLUMN())),OFFSET($BN$2,0,0,ROW()-1,60),ROW()-1,FALSE))</f>
        <v>12248.493490000001</v>
      </c>
      <c r="H477">
        <f ca="1">IF(AND(ISNUMBER($H$974),$B$511=1),$H$974,HLOOKUP(INDIRECT(ADDRESS(2,COLUMN())),OFFSET($BN$2,0,0,ROW()-1,60),ROW()-1,FALSE))</f>
        <v>12819.51678</v>
      </c>
      <c r="I477">
        <f ca="1">IF(AND(ISNUMBER($I$974),$B$511=1),$I$974,HLOOKUP(INDIRECT(ADDRESS(2,COLUMN())),OFFSET($BN$2,0,0,ROW()-1,60),ROW()-1,FALSE))</f>
        <v>11232.381170000001</v>
      </c>
      <c r="J477">
        <f ca="1">IF(AND(ISNUMBER($J$974),$B$511=1),$J$974,HLOOKUP(INDIRECT(ADDRESS(2,COLUMN())),OFFSET($BN$2,0,0,ROW()-1,60),ROW()-1,FALSE))</f>
        <v>11845.243769999999</v>
      </c>
      <c r="K477">
        <f ca="1">IF(AND(ISNUMBER($K$974),$B$511=1),$K$974,HLOOKUP(INDIRECT(ADDRESS(2,COLUMN())),OFFSET($BN$2,0,0,ROW()-1,60),ROW()-1,FALSE))</f>
        <v>12676.118399999999</v>
      </c>
      <c r="L477">
        <f ca="1">IF(AND(ISNUMBER($L$974),$B$511=1),$L$974,HLOOKUP(INDIRECT(ADDRESS(2,COLUMN())),OFFSET($BN$2,0,0,ROW()-1,60),ROW()-1,FALSE))</f>
        <v>11210.504639999999</v>
      </c>
      <c r="M477">
        <f ca="1">IF(AND(ISNUMBER($M$974),$B$511=1),$M$974,HLOOKUP(INDIRECT(ADDRESS(2,COLUMN())),OFFSET($BN$2,0,0,ROW()-1,60),ROW()-1,FALSE))</f>
        <v>13538.337509999999</v>
      </c>
      <c r="N477">
        <f ca="1">IF(AND(ISNUMBER($N$974),$B$511=1),$N$974,HLOOKUP(INDIRECT(ADDRESS(2,COLUMN())),OFFSET($BN$2,0,0,ROW()-1,60),ROW()-1,FALSE))</f>
        <v>13436.07639</v>
      </c>
      <c r="O477">
        <f ca="1">IF(AND(ISNUMBER($O$974),$B$511=1),$O$974,HLOOKUP(INDIRECT(ADDRESS(2,COLUMN())),OFFSET($BN$2,0,0,ROW()-1,60),ROW()-1,FALSE))</f>
        <v>13184.049709999999</v>
      </c>
      <c r="P477">
        <f ca="1">IF(AND(ISNUMBER($P$974),$B$511=1),$P$974,HLOOKUP(INDIRECT(ADDRESS(2,COLUMN())),OFFSET($BN$2,0,0,ROW()-1,60),ROW()-1,FALSE))</f>
        <v>15541.263300000001</v>
      </c>
      <c r="Q477">
        <f ca="1">IF(AND(ISNUMBER($Q$974),$B$511=1),$Q$974,HLOOKUP(INDIRECT(ADDRESS(2,COLUMN())),OFFSET($BN$2,0,0,ROW()-1,60),ROW()-1,FALSE))</f>
        <v>15199.014359999999</v>
      </c>
      <c r="R477">
        <f ca="1">IF(AND(ISNUMBER($R$974),$B$511=1),$R$974,HLOOKUP(INDIRECT(ADDRESS(2,COLUMN())),OFFSET($BN$2,0,0,ROW()-1,60),ROW()-1,FALSE))</f>
        <v>17140.924350000001</v>
      </c>
      <c r="S477">
        <f ca="1">IF(AND(ISNUMBER($S$974),$B$511=1),$S$974,HLOOKUP(INDIRECT(ADDRESS(2,COLUMN())),OFFSET($BN$2,0,0,ROW()-1,60),ROW()-1,FALSE))</f>
        <v>18097.499370000001</v>
      </c>
      <c r="T477">
        <f ca="1">IF(AND(ISNUMBER($T$974),$B$511=1),$T$974,HLOOKUP(INDIRECT(ADDRESS(2,COLUMN())),OFFSET($BN$2,0,0,ROW()-1,60),ROW()-1,FALSE))</f>
        <v>18329.234980000001</v>
      </c>
      <c r="U477">
        <f ca="1">IF(AND(ISNUMBER($U$974),$B$511=1),$U$974,HLOOKUP(INDIRECT(ADDRESS(2,COLUMN())),OFFSET($BN$2,0,0,ROW()-1,60),ROW()-1,FALSE))</f>
        <v>16430.414100000002</v>
      </c>
      <c r="V477">
        <f ca="1">IF(AND(ISNUMBER($V$974),$B$511=1),$V$974,HLOOKUP(INDIRECT(ADDRESS(2,COLUMN())),OFFSET($BN$2,0,0,ROW()-1,60),ROW()-1,FALSE))</f>
        <v>16526.191340000001</v>
      </c>
      <c r="W477">
        <f ca="1">IF(AND(ISNUMBER($W$974),$B$511=1),$W$974,HLOOKUP(INDIRECT(ADDRESS(2,COLUMN())),OFFSET($BN$2,0,0,ROW()-1,60),ROW()-1,FALSE))</f>
        <v>19334.880209999999</v>
      </c>
      <c r="X477">
        <f ca="1">IF(AND(ISNUMBER($X$974),$B$511=1),$X$974,HLOOKUP(INDIRECT(ADDRESS(2,COLUMN())),OFFSET($BN$2,0,0,ROW()-1,60),ROW()-1,FALSE))</f>
        <v>20574.680039999999</v>
      </c>
      <c r="Y477">
        <f ca="1">IF(AND(ISNUMBER($Y$974),$B$511=1),$Y$974,HLOOKUP(INDIRECT(ADDRESS(2,COLUMN())),OFFSET($BN$2,0,0,ROW()-1,60),ROW()-1,FALSE))</f>
        <v>22684.283810000001</v>
      </c>
      <c r="Z477">
        <f ca="1">IF(AND(ISNUMBER($Z$974),$B$511=1),$Z$974,HLOOKUP(INDIRECT(ADDRESS(2,COLUMN())),OFFSET($BN$2,0,0,ROW()-1,60),ROW()-1,FALSE))</f>
        <v>22637.252980000001</v>
      </c>
      <c r="AA477">
        <f ca="1">IF(AND(ISNUMBER($AA$974),$B$511=1),$AA$974,HLOOKUP(INDIRECT(ADDRESS(2,COLUMN())),OFFSET($BN$2,0,0,ROW()-1,60),ROW()-1,FALSE))</f>
        <v>21555.339810000001</v>
      </c>
      <c r="AB477">
        <f ca="1">IF(AND(ISNUMBER($AB$974),$B$511=1),$AB$974,HLOOKUP(INDIRECT(ADDRESS(2,COLUMN())),OFFSET($BN$2,0,0,ROW()-1,60),ROW()-1,FALSE))</f>
        <v>24614.76525</v>
      </c>
      <c r="AC477">
        <f ca="1">IF(AND(ISNUMBER($AC$974),$B$511=1),$AC$974,HLOOKUP(INDIRECT(ADDRESS(2,COLUMN())),OFFSET($BN$2,0,0,ROW()-1,60),ROW()-1,FALSE))</f>
        <v>22032.35181</v>
      </c>
      <c r="AD477">
        <f ca="1">IF(AND(ISNUMBER($AD$974),$B$511=1),$AD$974,HLOOKUP(INDIRECT(ADDRESS(2,COLUMN())),OFFSET($BN$2,0,0,ROW()-1,60),ROW()-1,FALSE))</f>
        <v>20244.498459999999</v>
      </c>
      <c r="AE477">
        <f ca="1">IF(AND(ISNUMBER($AE$974),$B$511=1),$AE$974,HLOOKUP(INDIRECT(ADDRESS(2,COLUMN())),OFFSET($BN$2,0,0,ROW()-1,60),ROW()-1,FALSE))</f>
        <v>21459.852060000001</v>
      </c>
      <c r="AF477">
        <f ca="1">IF(AND(ISNUMBER($AF$974),$B$511=1),$AF$974,HLOOKUP(INDIRECT(ADDRESS(2,COLUMN())),OFFSET($BN$2,0,0,ROW()-1,60),ROW()-1,FALSE))</f>
        <v>25285.79221</v>
      </c>
      <c r="AG477">
        <f ca="1">IF(AND(ISNUMBER($AG$974),$B$511=1),$AG$974,HLOOKUP(INDIRECT(ADDRESS(2,COLUMN())),OFFSET($BN$2,0,0,ROW()-1,60),ROW()-1,FALSE))</f>
        <v>26506.393950000001</v>
      </c>
      <c r="AH477">
        <f ca="1">IF(AND(ISNUMBER($AH$974),$B$511=1),$AH$974,HLOOKUP(INDIRECT(ADDRESS(2,COLUMN())),OFFSET($BN$2,0,0,ROW()-1,60),ROW()-1,FALSE))</f>
        <v>26525.920099999999</v>
      </c>
      <c r="AI477">
        <f ca="1">IF(AND(ISNUMBER($AI$974),$B$511=1),$AI$974,HLOOKUP(INDIRECT(ADDRESS(2,COLUMN())),OFFSET($BN$2,0,0,ROW()-1,60),ROW()-1,FALSE))</f>
        <v>23291.030510000001</v>
      </c>
      <c r="AJ477">
        <f ca="1">IF(AND(ISNUMBER($AJ$974),$B$511=1),$AJ$974,HLOOKUP(INDIRECT(ADDRESS(2,COLUMN())),OFFSET($BN$2,0,0,ROW()-1,60),ROW()-1,FALSE))</f>
        <v>24338.90465</v>
      </c>
      <c r="AK477">
        <f ca="1">IF(AND(ISNUMBER($AK$974),$B$511=1),$AK$974,HLOOKUP(INDIRECT(ADDRESS(2,COLUMN())),OFFSET($BN$2,0,0,ROW()-1,60),ROW()-1,FALSE))</f>
        <v>27010.084620000001</v>
      </c>
      <c r="AL477">
        <f ca="1">IF(AND(ISNUMBER($AL$974),$B$511=1),$AL$974,HLOOKUP(INDIRECT(ADDRESS(2,COLUMN())),OFFSET($BN$2,0,0,ROW()-1,60),ROW()-1,FALSE))</f>
        <v>25038.780050000001</v>
      </c>
      <c r="AM477">
        <f ca="1">IF(AND(ISNUMBER($AM$974),$B$511=1),$AM$974,HLOOKUP(INDIRECT(ADDRESS(2,COLUMN())),OFFSET($BN$2,0,0,ROW()-1,60),ROW()-1,FALSE))</f>
        <v>17803.208350000001</v>
      </c>
      <c r="AN477">
        <f ca="1">IF(AND(ISNUMBER($AN$974),$B$511=1),$AN$974,HLOOKUP(INDIRECT(ADDRESS(2,COLUMN())),OFFSET($BN$2,0,0,ROW()-1,60),ROW()-1,FALSE))</f>
        <v>12781.207249999999</v>
      </c>
      <c r="AO477">
        <f ca="1">IF(AND(ISNUMBER($AO$974),$B$511=1),$AO$974,HLOOKUP(INDIRECT(ADDRESS(2,COLUMN())),OFFSET($BN$2,0,0,ROW()-1,60),ROW()-1,FALSE))</f>
        <v>10485.945309999999</v>
      </c>
      <c r="AP477">
        <f ca="1">IF(AND(ISNUMBER($AP$974),$B$511=1),$AP$974,HLOOKUP(INDIRECT(ADDRESS(2,COLUMN())),OFFSET($BN$2,0,0,ROW()-1,60),ROW()-1,FALSE))</f>
        <v>8712.1577780000007</v>
      </c>
      <c r="AQ477">
        <f ca="1">IF(AND(ISNUMBER($AQ$974),$B$511=1),$AQ$974,HLOOKUP(INDIRECT(ADDRESS(2,COLUMN())),OFFSET($BN$2,0,0,ROW()-1,60),ROW()-1,FALSE))</f>
        <v>6675.3222660000001</v>
      </c>
      <c r="AR477">
        <f ca="1">IF(AND(ISNUMBER($AR$974),$B$511=1),$AR$974,HLOOKUP(INDIRECT(ADDRESS(2,COLUMN())),OFFSET($BN$2,0,0,ROW()-1,60),ROW()-1,FALSE))</f>
        <v>6029.441073</v>
      </c>
      <c r="AS477">
        <f ca="1">IF(AND(ISNUMBER($AS$974),$B$511=1),$AS$974,HLOOKUP(INDIRECT(ADDRESS(2,COLUMN())),OFFSET($BN$2,0,0,ROW()-1,60),ROW()-1,FALSE))</f>
        <v>3649.2734420000002</v>
      </c>
      <c r="AT477">
        <f ca="1">IF(AND(ISNUMBER($AT$974),$B$511=1),$AT$974,HLOOKUP(INDIRECT(ADDRESS(2,COLUMN())),OFFSET($BN$2,0,0,ROW()-1,60),ROW()-1,FALSE))</f>
        <v>2166.301817</v>
      </c>
      <c r="AU477">
        <f ca="1">IF(AND(ISNUMBER($AU$974),$B$511=1),$AU$974,HLOOKUP(INDIRECT(ADDRESS(2,COLUMN())),OFFSET($BN$2,0,0,ROW()-1,60),ROW()-1,FALSE))</f>
        <v>1755.5845389999999</v>
      </c>
      <c r="AV477">
        <f ca="1">IF(AND(ISNUMBER($AV$974),$B$511=1),$AV$974,HLOOKUP(INDIRECT(ADDRESS(2,COLUMN())),OFFSET($BN$2,0,0,ROW()-1,60),ROW()-1,FALSE))</f>
        <v>4262.728298</v>
      </c>
      <c r="AW477">
        <f ca="1">IF(AND(ISNUMBER($AW$974),$B$511=1),$AW$974,HLOOKUP(INDIRECT(ADDRESS(2,COLUMN())),OFFSET($BN$2,0,0,ROW()-1,60),ROW()-1,FALSE))</f>
        <v>3664.133139</v>
      </c>
      <c r="AX477">
        <f ca="1">IF(AND(ISNUMBER($AX$974),$B$511=1),$AX$974,HLOOKUP(INDIRECT(ADDRESS(2,COLUMN())),OFFSET($BN$2,0,0,ROW()-1,60),ROW()-1,FALSE))</f>
        <v>3994.3770850000001</v>
      </c>
      <c r="AY477">
        <f ca="1">IF(AND(ISNUMBER($AY$974),$B$511=1),$AY$974,HLOOKUP(INDIRECT(ADDRESS(2,COLUMN())),OFFSET($BN$2,0,0,ROW()-1,60),ROW()-1,FALSE))</f>
        <v>3748.4267239999999</v>
      </c>
      <c r="AZ477">
        <f ca="1">IF(AND(ISNUMBER($AZ$974),$B$511=1),$AZ$974,HLOOKUP(INDIRECT(ADDRESS(2,COLUMN())),OFFSET($BN$2,0,0,ROW()-1,60),ROW()-1,FALSE))</f>
        <v>4731.3338249999997</v>
      </c>
      <c r="BA477">
        <f ca="1">IF(AND(ISNUMBER($BA$974),$B$511=1),$BA$974,HLOOKUP(INDIRECT(ADDRESS(2,COLUMN())),OFFSET($BN$2,0,0,ROW()-1,60),ROW()-1,FALSE))</f>
        <v>5419.5959130000001</v>
      </c>
      <c r="BB477">
        <f ca="1">IF(AND(ISNUMBER($BB$974),$B$511=1),$BB$974,HLOOKUP(INDIRECT(ADDRESS(2,COLUMN())),OFFSET($BN$2,0,0,ROW()-1,60),ROW()-1,FALSE))</f>
        <v>4688.3131409999996</v>
      </c>
      <c r="BC477">
        <f ca="1">IF(AND(ISNUMBER($BC$974),$B$511=1),$BC$974,HLOOKUP(INDIRECT(ADDRESS(2,COLUMN())),OFFSET($BN$2,0,0,ROW()-1,60),ROW()-1,FALSE))</f>
        <v>5023.6650520000003</v>
      </c>
      <c r="BD477">
        <f ca="1">IF(AND(ISNUMBER($BD$974),$B$511=1),$BD$974,HLOOKUP(INDIRECT(ADDRESS(2,COLUMN())),OFFSET($BN$2,0,0,ROW()-1,60),ROW()-1,FALSE))</f>
        <v>5631.2606059999998</v>
      </c>
      <c r="BE477">
        <f ca="1">IF(AND(ISNUMBER($BE$974),$B$511=1),$BE$974,HLOOKUP(INDIRECT(ADDRESS(2,COLUMN())),OFFSET($BN$2,0,0,ROW()-1,60),ROW()-1,FALSE))</f>
        <v>5947.6078980000002</v>
      </c>
      <c r="BF477">
        <f ca="1">IF(AND(ISNUMBER($BF$974),$B$511=1),$BF$974,HLOOKUP(INDIRECT(ADDRESS(2,COLUMN())),OFFSET($BN$2,0,0,ROW()-1,60),ROW()-1,FALSE))</f>
        <v>7129.3659859999998</v>
      </c>
      <c r="BG477">
        <f ca="1">IF(AND(ISNUMBER($BG$974),$B$511=1),$BG$974,HLOOKUP(INDIRECT(ADDRESS(2,COLUMN())),OFFSET($BN$2,0,0,ROW()-1,60),ROW()-1,FALSE))</f>
        <v>9133.5708680000007</v>
      </c>
      <c r="BH477">
        <f ca="1">IF(AND(ISNUMBER($BH$974),$B$511=1),$BH$974,HLOOKUP(INDIRECT(ADDRESS(2,COLUMN())),OFFSET($BN$2,0,0,ROW()-1,60),ROW()-1,FALSE))</f>
        <v>6495.5820569999996</v>
      </c>
      <c r="BI477">
        <f ca="1">IF(AND(ISNUMBER($BI$974),$B$511=1),$BI$974,HLOOKUP(INDIRECT(ADDRESS(2,COLUMN())),OFFSET($BN$2,0,0,ROW()-1,60),ROW()-1,FALSE))</f>
        <v>4615.1951330000002</v>
      </c>
      <c r="BJ477">
        <f ca="1">IF(AND(ISNUMBER($BJ$974),$B$511=1),$BJ$974,HLOOKUP(INDIRECT(ADDRESS(2,COLUMN())),OFFSET($BN$2,0,0,ROW()-1,60),ROW()-1,FALSE))</f>
        <v>4787.0280549999998</v>
      </c>
      <c r="BK477">
        <f ca="1">IF(AND(ISNUMBER($BK$974),$B$511=1),$BK$974,HLOOKUP(INDIRECT(ADDRESS(2,COLUMN())),OFFSET($BN$2,0,0,ROW()-1,60),ROW()-1,FALSE))</f>
        <v>3634.001385</v>
      </c>
      <c r="BL477">
        <f ca="1">IF(AND(ISNUMBER($BL$974),$B$511=1),$BL$974,HLOOKUP(INDIRECT(ADDRESS(2,COLUMN())),OFFSET($BN$2,0,0,ROW()-1,60),ROW()-1,FALSE))</f>
        <v>3196.3901799999999</v>
      </c>
      <c r="BM477">
        <f ca="1">IF(AND(ISNUMBER($BM$974),$B$511=1),$BM$974,HLOOKUP(INDIRECT(ADDRESS(2,COLUMN())),OFFSET($BN$2,0,0,ROW()-1,60),ROW()-1,FALSE))</f>
        <v>2965.9584840000002</v>
      </c>
      <c r="BN477">
        <f>12862.36923</f>
        <v>12862.36923</v>
      </c>
      <c r="BO477">
        <f>12248.49349</f>
        <v>12248.493490000001</v>
      </c>
      <c r="BP477">
        <f>12819.51678</f>
        <v>12819.51678</v>
      </c>
      <c r="BQ477">
        <f>11232.38117</f>
        <v>11232.381170000001</v>
      </c>
      <c r="BR477">
        <f>11845.24377</f>
        <v>11845.243769999999</v>
      </c>
      <c r="BS477">
        <f>12676.1184</f>
        <v>12676.118399999999</v>
      </c>
      <c r="BT477">
        <f>11210.50464</f>
        <v>11210.504639999999</v>
      </c>
      <c r="BU477">
        <f>13538.33751</f>
        <v>13538.337509999999</v>
      </c>
      <c r="BV477">
        <f>13436.07639</f>
        <v>13436.07639</v>
      </c>
      <c r="BW477">
        <f>13184.04971</f>
        <v>13184.049709999999</v>
      </c>
      <c r="BX477">
        <f>15541.2633</f>
        <v>15541.263300000001</v>
      </c>
      <c r="BY477">
        <f>15199.01436</f>
        <v>15199.014359999999</v>
      </c>
      <c r="BZ477">
        <f>17140.92435</f>
        <v>17140.924350000001</v>
      </c>
      <c r="CA477">
        <f>18097.49937</f>
        <v>18097.499370000001</v>
      </c>
      <c r="CB477">
        <f>18329.23498</f>
        <v>18329.234980000001</v>
      </c>
      <c r="CC477">
        <f>16430.4141</f>
        <v>16430.414100000002</v>
      </c>
      <c r="CD477">
        <f>16526.19134</f>
        <v>16526.191340000001</v>
      </c>
      <c r="CE477">
        <f>19334.88021</f>
        <v>19334.880209999999</v>
      </c>
      <c r="CF477">
        <f>20574.68004</f>
        <v>20574.680039999999</v>
      </c>
      <c r="CG477">
        <f>22684.28381</f>
        <v>22684.283810000001</v>
      </c>
      <c r="CH477">
        <f>22637.25298</f>
        <v>22637.252980000001</v>
      </c>
      <c r="CI477">
        <f>21555.33981</f>
        <v>21555.339810000001</v>
      </c>
      <c r="CJ477">
        <f>24614.76525</f>
        <v>24614.76525</v>
      </c>
      <c r="CK477">
        <f>22032.35181</f>
        <v>22032.35181</v>
      </c>
      <c r="CL477">
        <f>20244.49846</f>
        <v>20244.498459999999</v>
      </c>
      <c r="CM477">
        <f>21459.85206</f>
        <v>21459.852060000001</v>
      </c>
      <c r="CN477">
        <f>25285.79221</f>
        <v>25285.79221</v>
      </c>
      <c r="CO477">
        <f>26506.39395</f>
        <v>26506.393950000001</v>
      </c>
      <c r="CP477">
        <f>26525.9201</f>
        <v>26525.920099999999</v>
      </c>
      <c r="CQ477">
        <f>23291.03051</f>
        <v>23291.030510000001</v>
      </c>
      <c r="CR477">
        <f>24338.90465</f>
        <v>24338.90465</v>
      </c>
      <c r="CS477">
        <f>27010.08462</f>
        <v>27010.084620000001</v>
      </c>
      <c r="CT477">
        <f>25038.78005</f>
        <v>25038.780050000001</v>
      </c>
      <c r="CU477">
        <f>17803.20835</f>
        <v>17803.208350000001</v>
      </c>
      <c r="CV477">
        <f>12781.20725</f>
        <v>12781.207249999999</v>
      </c>
      <c r="CW477">
        <f>10485.94531</f>
        <v>10485.945309999999</v>
      </c>
      <c r="CX477">
        <f>8712.157778</f>
        <v>8712.1577780000007</v>
      </c>
      <c r="CY477">
        <f>6675.322266</f>
        <v>6675.3222660000001</v>
      </c>
      <c r="CZ477">
        <f>6029.441073</f>
        <v>6029.441073</v>
      </c>
      <c r="DA477">
        <f>3649.273442</f>
        <v>3649.2734420000002</v>
      </c>
      <c r="DB477">
        <f>2166.301817</f>
        <v>2166.301817</v>
      </c>
      <c r="DC477">
        <f>1755.584539</f>
        <v>1755.5845389999999</v>
      </c>
      <c r="DD477">
        <f>4262.728298</f>
        <v>4262.728298</v>
      </c>
      <c r="DE477">
        <f>3664.133139</f>
        <v>3664.133139</v>
      </c>
      <c r="DF477">
        <f>3994.377085</f>
        <v>3994.3770850000001</v>
      </c>
      <c r="DG477">
        <f>3748.426724</f>
        <v>3748.4267239999999</v>
      </c>
      <c r="DH477">
        <f>4731.333825</f>
        <v>4731.3338249999997</v>
      </c>
      <c r="DI477">
        <f>5419.595913</f>
        <v>5419.5959130000001</v>
      </c>
      <c r="DJ477">
        <f>4688.313141</f>
        <v>4688.3131409999996</v>
      </c>
      <c r="DK477">
        <f>5023.665052</f>
        <v>5023.6650520000003</v>
      </c>
      <c r="DL477">
        <f>5631.260606</f>
        <v>5631.2606059999998</v>
      </c>
      <c r="DM477">
        <f>5947.607898</f>
        <v>5947.6078980000002</v>
      </c>
      <c r="DN477">
        <f>7129.365986</f>
        <v>7129.3659859999998</v>
      </c>
      <c r="DO477">
        <f>9133.570868</f>
        <v>9133.5708680000007</v>
      </c>
      <c r="DP477">
        <f>6495.582057</f>
        <v>6495.5820569999996</v>
      </c>
      <c r="DQ477">
        <f>4615.195133</f>
        <v>4615.1951330000002</v>
      </c>
      <c r="DR477">
        <f>4787.028055</f>
        <v>4787.0280549999998</v>
      </c>
      <c r="DS477">
        <f>3634.001385</f>
        <v>3634.001385</v>
      </c>
      <c r="DT477">
        <f>3196.39018</f>
        <v>3196.3901799999999</v>
      </c>
      <c r="DU477">
        <f>2965.958484</f>
        <v>2965.9584840000002</v>
      </c>
    </row>
    <row r="478" spans="1:125" x14ac:dyDescent="0.25">
      <c r="A478" t="str">
        <f>"    Mazda Motor Corp"</f>
        <v xml:space="preserve">    Mazda Motor Corp</v>
      </c>
      <c r="B478" t="str">
        <f>"7261 JP Equity"</f>
        <v>7261 JP Equity</v>
      </c>
      <c r="C478" t="str">
        <f t="shared" si="33"/>
        <v>RR902</v>
      </c>
      <c r="D478" t="str">
        <f t="shared" si="34"/>
        <v>CUR_MKT_CAP</v>
      </c>
      <c r="E478" t="str">
        <f t="shared" si="35"/>
        <v>Dynamic</v>
      </c>
      <c r="F478">
        <f ca="1">IF(AND(ISNUMBER($F$975),$B$511=1),$F$975,HLOOKUP(INDIRECT(ADDRESS(2,COLUMN())),OFFSET($BN$2,0,0,ROW()-1,60),ROW()-1,FALSE))</f>
        <v>7350.4776540000003</v>
      </c>
      <c r="G478">
        <f ca="1">IF(AND(ISNUMBER($G$975),$B$511=1),$G$975,HLOOKUP(INDIRECT(ADDRESS(2,COLUMN())),OFFSET($BN$2,0,0,ROW()-1,60),ROW()-1,FALSE))</f>
        <v>6494.8602129999999</v>
      </c>
      <c r="H478">
        <f ca="1">IF(AND(ISNUMBER($H$975),$B$511=1),$H$975,HLOOKUP(INDIRECT(ADDRESS(2,COLUMN())),OFFSET($BN$2,0,0,ROW()-1,60),ROW()-1,FALSE))</f>
        <v>7592.7808580000001</v>
      </c>
      <c r="I478">
        <f ca="1">IF(AND(ISNUMBER($I$975),$B$511=1),$I$975,HLOOKUP(INDIRECT(ADDRESS(2,COLUMN())),OFFSET($BN$2,0,0,ROW()-1,60),ROW()-1,FALSE))</f>
        <v>7756.3947589999998</v>
      </c>
      <c r="J478">
        <f ca="1">IF(AND(ISNUMBER($J$975),$B$511=1),$J$975,HLOOKUP(INDIRECT(ADDRESS(2,COLUMN())),OFFSET($BN$2,0,0,ROW()-1,60),ROW()-1,FALSE))</f>
        <v>8365.9602379999997</v>
      </c>
      <c r="K478">
        <f ca="1">IF(AND(ISNUMBER($K$975),$B$511=1),$K$975,HLOOKUP(INDIRECT(ADDRESS(2,COLUMN())),OFFSET($BN$2,0,0,ROW()-1,60),ROW()-1,FALSE))</f>
        <v>8482.6053850000008</v>
      </c>
      <c r="L478">
        <f ca="1">IF(AND(ISNUMBER($L$975),$B$511=1),$L$975,HLOOKUP(INDIRECT(ADDRESS(2,COLUMN())),OFFSET($BN$2,0,0,ROW()-1,60),ROW()-1,FALSE))</f>
        <v>9188.2898359999999</v>
      </c>
      <c r="M478">
        <f ca="1">IF(AND(ISNUMBER($M$975),$B$511=1),$M$975,HLOOKUP(INDIRECT(ADDRESS(2,COLUMN())),OFFSET($BN$2,0,0,ROW()-1,60),ROW()-1,FALSE))</f>
        <v>8372.0940420000006</v>
      </c>
      <c r="N478">
        <f ca="1">IF(AND(ISNUMBER($N$975),$B$511=1),$N$975,HLOOKUP(INDIRECT(ADDRESS(2,COLUMN())),OFFSET($BN$2,0,0,ROW()-1,60),ROW()-1,FALSE))</f>
        <v>8638.9399670000003</v>
      </c>
      <c r="O478">
        <f ca="1">IF(AND(ISNUMBER($O$975),$B$511=1),$O$975,HLOOKUP(INDIRECT(ADDRESS(2,COLUMN())),OFFSET($BN$2,0,0,ROW()-1,60),ROW()-1,FALSE))</f>
        <v>9833.3499109999993</v>
      </c>
      <c r="P478">
        <f ca="1">IF(AND(ISNUMBER($P$975),$B$511=1),$P$975,HLOOKUP(INDIRECT(ADDRESS(2,COLUMN())),OFFSET($BN$2,0,0,ROW()-1,60),ROW()-1,FALSE))</f>
        <v>9057.5698539999994</v>
      </c>
      <c r="Q478">
        <f ca="1">IF(AND(ISNUMBER($Q$975),$B$511=1),$Q$975,HLOOKUP(INDIRECT(ADDRESS(2,COLUMN())),OFFSET($BN$2,0,0,ROW()-1,60),ROW()-1,FALSE))</f>
        <v>7900.2886769999996</v>
      </c>
      <c r="R478">
        <f ca="1">IF(AND(ISNUMBER($R$975),$B$511=1),$R$975,HLOOKUP(INDIRECT(ADDRESS(2,COLUMN())),OFFSET($BN$2,0,0,ROW()-1,60),ROW()-1,FALSE))</f>
        <v>9312.7336909999995</v>
      </c>
      <c r="S478">
        <f ca="1">IF(AND(ISNUMBER($S$975),$B$511=1),$S$975,HLOOKUP(INDIRECT(ADDRESS(2,COLUMN())),OFFSET($BN$2,0,0,ROW()-1,60),ROW()-1,FALSE))</f>
        <v>12553.567139999999</v>
      </c>
      <c r="T478">
        <f ca="1">IF(AND(ISNUMBER($T$975),$B$511=1),$T$975,HLOOKUP(INDIRECT(ADDRESS(2,COLUMN())),OFFSET($BN$2,0,0,ROW()-1,60),ROW()-1,FALSE))</f>
        <v>9423.9652210000004</v>
      </c>
      <c r="U478">
        <f ca="1">IF(AND(ISNUMBER($U$975),$B$511=1),$U$975,HLOOKUP(INDIRECT(ADDRESS(2,COLUMN())),OFFSET($BN$2,0,0,ROW()-1,60),ROW()-1,FALSE))</f>
        <v>11779.408949999999</v>
      </c>
      <c r="V478">
        <f ca="1">IF(AND(ISNUMBER($V$975),$B$511=1),$V$975,HLOOKUP(INDIRECT(ADDRESS(2,COLUMN())),OFFSET($BN$2,0,0,ROW()-1,60),ROW()-1,FALSE))</f>
        <v>12197.55161</v>
      </c>
      <c r="W478">
        <f ca="1">IF(AND(ISNUMBER($W$975),$B$511=1),$W$975,HLOOKUP(INDIRECT(ADDRESS(2,COLUMN())),OFFSET($BN$2,0,0,ROW()-1,60),ROW()-1,FALSE))</f>
        <v>14700.6152</v>
      </c>
      <c r="X478">
        <f ca="1">IF(AND(ISNUMBER($X$975),$B$511=1),$X$975,HLOOKUP(INDIRECT(ADDRESS(2,COLUMN())),OFFSET($BN$2,0,0,ROW()-1,60),ROW()-1,FALSE))</f>
        <v>15037.91462</v>
      </c>
      <c r="Y478">
        <f ca="1">IF(AND(ISNUMBER($Y$975),$B$511=1),$Y$975,HLOOKUP(INDIRECT(ADDRESS(2,COLUMN())),OFFSET($BN$2,0,0,ROW()-1,60),ROW()-1,FALSE))</f>
        <v>14065.596649999999</v>
      </c>
      <c r="Z478">
        <f ca="1">IF(AND(ISNUMBER($Z$975),$B$511=1),$Z$975,HLOOKUP(INDIRECT(ADDRESS(2,COLUMN())),OFFSET($BN$2,0,0,ROW()-1,60),ROW()-1,FALSE))</f>
        <v>13327.9797</v>
      </c>
      <c r="AA478">
        <f ca="1">IF(AND(ISNUMBER($AA$975),$B$511=1),$AA$975,HLOOKUP(INDIRECT(ADDRESS(2,COLUMN())),OFFSET($BN$2,0,0,ROW()-1,60),ROW()-1,FALSE))</f>
        <v>15527.80099</v>
      </c>
      <c r="AB478">
        <f ca="1">IF(AND(ISNUMBER($AB$975),$B$511=1),$AB$975,HLOOKUP(INDIRECT(ADDRESS(2,COLUMN())),OFFSET($BN$2,0,0,ROW()-1,60),ROW()-1,FALSE))</f>
        <v>13346.17597</v>
      </c>
      <c r="AC478">
        <f ca="1">IF(AND(ISNUMBER($AC$975),$B$511=1),$AC$975,HLOOKUP(INDIRECT(ADDRESS(2,COLUMN())),OFFSET($BN$2,0,0,ROW()-1,60),ROW()-1,FALSE))</f>
        <v>11806.67049</v>
      </c>
      <c r="AD478">
        <f ca="1">IF(AND(ISNUMBER($AD$975),$B$511=1),$AD$975,HLOOKUP(INDIRECT(ADDRESS(2,COLUMN())),OFFSET($BN$2,0,0,ROW()-1,60),ROW()-1,FALSE))</f>
        <v>8945.2882730000001</v>
      </c>
      <c r="AE478">
        <f ca="1">IF(AND(ISNUMBER($AE$975),$B$511=1),$AE$975,HLOOKUP(INDIRECT(ADDRESS(2,COLUMN())),OFFSET($BN$2,0,0,ROW()-1,60),ROW()-1,FALSE))</f>
        <v>6062.8679689999999</v>
      </c>
      <c r="AF478">
        <f ca="1">IF(AND(ISNUMBER($AF$975),$B$511=1),$AF$975,HLOOKUP(INDIRECT(ADDRESS(2,COLUMN())),OFFSET($BN$2,0,0,ROW()-1,60),ROW()-1,FALSE))</f>
        <v>3502.8663649999999</v>
      </c>
      <c r="AG478">
        <f ca="1">IF(AND(ISNUMBER($AG$975),$B$511=1),$AG$975,HLOOKUP(INDIRECT(ADDRESS(2,COLUMN())),OFFSET($BN$2,0,0,ROW()-1,60),ROW()-1,FALSE))</f>
        <v>4021.7216320000002</v>
      </c>
      <c r="AH478">
        <f ca="1">IF(AND(ISNUMBER($AH$975),$B$511=1),$AH$975,HLOOKUP(INDIRECT(ADDRESS(2,COLUMN())),OFFSET($BN$2,0,0,ROW()-1,60),ROW()-1,FALSE))</f>
        <v>5263.3393319999996</v>
      </c>
      <c r="AI478">
        <f ca="1">IF(AND(ISNUMBER($AI$975),$B$511=1),$AI$975,HLOOKUP(INDIRECT(ADDRESS(2,COLUMN())),OFFSET($BN$2,0,0,ROW()-1,60),ROW()-1,FALSE))</f>
        <v>3144.9711910000001</v>
      </c>
      <c r="AJ478">
        <f ca="1">IF(AND(ISNUMBER($AJ$975),$B$511=1),$AJ$975,HLOOKUP(INDIRECT(ADDRESS(2,COLUMN())),OFFSET($BN$2,0,0,ROW()-1,60),ROW()-1,FALSE))</f>
        <v>3646.6118190000002</v>
      </c>
      <c r="AK478">
        <f ca="1">IF(AND(ISNUMBER($AK$975),$B$511=1),$AK$975,HLOOKUP(INDIRECT(ADDRESS(2,COLUMN())),OFFSET($BN$2,0,0,ROW()-1,60),ROW()-1,FALSE))</f>
        <v>4663.1037749999996</v>
      </c>
      <c r="AL478">
        <f ca="1">IF(AND(ISNUMBER($AL$975),$B$511=1),$AL$975,HLOOKUP(INDIRECT(ADDRESS(2,COLUMN())),OFFSET($BN$2,0,0,ROW()-1,60),ROW()-1,FALSE))</f>
        <v>3933.4670019999999</v>
      </c>
      <c r="AM478">
        <f ca="1">IF(AND(ISNUMBER($AM$975),$B$511=1),$AM$975,HLOOKUP(INDIRECT(ADDRESS(2,COLUMN())),OFFSET($BN$2,0,0,ROW()-1,60),ROW()-1,FALSE))</f>
        <v>5074.9687279999998</v>
      </c>
      <c r="AN478">
        <f ca="1">IF(AND(ISNUMBER($AN$975),$B$511=1),$AN$975,HLOOKUP(INDIRECT(ADDRESS(2,COLUMN())),OFFSET($BN$2,0,0,ROW()-1,60),ROW()-1,FALSE))</f>
        <v>4287.7530040000001</v>
      </c>
      <c r="AO478">
        <f ca="1">IF(AND(ISNUMBER($AO$975),$B$511=1),$AO$975,HLOOKUP(INDIRECT(ADDRESS(2,COLUMN())),OFFSET($BN$2,0,0,ROW()-1,60),ROW()-1,FALSE))</f>
        <v>4220.8090169999996</v>
      </c>
      <c r="AP478">
        <f ca="1">IF(AND(ISNUMBER($AP$975),$B$511=1),$AP$975,HLOOKUP(INDIRECT(ADDRESS(2,COLUMN())),OFFSET($BN$2,0,0,ROW()-1,60),ROW()-1,FALSE))</f>
        <v>5011.1222930000004</v>
      </c>
      <c r="AQ478">
        <f ca="1">IF(AND(ISNUMBER($AQ$975),$B$511=1),$AQ$975,HLOOKUP(INDIRECT(ADDRESS(2,COLUMN())),OFFSET($BN$2,0,0,ROW()-1,60),ROW()-1,FALSE))</f>
        <v>4085.733033</v>
      </c>
      <c r="AR478">
        <f ca="1">IF(AND(ISNUMBER($AR$975),$B$511=1),$AR$975,HLOOKUP(INDIRECT(ADDRESS(2,COLUMN())),OFFSET($BN$2,0,0,ROW()-1,60),ROW()-1,FALSE))</f>
        <v>3179.3085329999999</v>
      </c>
      <c r="AS478">
        <f ca="1">IF(AND(ISNUMBER($AS$975),$B$511=1),$AS$975,HLOOKUP(INDIRECT(ADDRESS(2,COLUMN())),OFFSET($BN$2,0,0,ROW()-1,60),ROW()-1,FALSE))</f>
        <v>3637.581205</v>
      </c>
      <c r="AT478">
        <f ca="1">IF(AND(ISNUMBER($AT$975),$B$511=1),$AT$975,HLOOKUP(INDIRECT(ADDRESS(2,COLUMN())),OFFSET($BN$2,0,0,ROW()-1,60),ROW()-1,FALSE))</f>
        <v>2341.5756569999999</v>
      </c>
      <c r="AU478">
        <f ca="1">IF(AND(ISNUMBER($AU$975),$B$511=1),$AU$975,HLOOKUP(INDIRECT(ADDRESS(2,COLUMN())),OFFSET($BN$2,0,0,ROW()-1,60),ROW()-1,FALSE))</f>
        <v>2339.8416969999998</v>
      </c>
      <c r="AV478">
        <f ca="1">IF(AND(ISNUMBER($AV$975),$B$511=1),$AV$975,HLOOKUP(INDIRECT(ADDRESS(2,COLUMN())),OFFSET($BN$2,0,0,ROW()-1,60),ROW()-1,FALSE))</f>
        <v>5583.7360289999997</v>
      </c>
      <c r="AW478">
        <f ca="1">IF(AND(ISNUMBER($AW$975),$B$511=1),$AW$975,HLOOKUP(INDIRECT(ADDRESS(2,COLUMN())),OFFSET($BN$2,0,0,ROW()-1,60),ROW()-1,FALSE))</f>
        <v>7360.3793109999997</v>
      </c>
      <c r="AX478">
        <f ca="1">IF(AND(ISNUMBER($AX$975),$B$511=1),$AX$975,HLOOKUP(INDIRECT(ADDRESS(2,COLUMN())),OFFSET($BN$2,0,0,ROW()-1,60),ROW()-1,FALSE))</f>
        <v>5014.3582820000001</v>
      </c>
      <c r="AY478">
        <f ca="1">IF(AND(ISNUMBER($AY$975),$B$511=1),$AY$975,HLOOKUP(INDIRECT(ADDRESS(2,COLUMN())),OFFSET($BN$2,0,0,ROW()-1,60),ROW()-1,FALSE))</f>
        <v>7017.0943690000004</v>
      </c>
      <c r="AZ478">
        <f ca="1">IF(AND(ISNUMBER($AZ$975),$B$511=1),$AZ$975,HLOOKUP(INDIRECT(ADDRESS(2,COLUMN())),OFFSET($BN$2,0,0,ROW()-1,60),ROW()-1,FALSE))</f>
        <v>7173.8649690000002</v>
      </c>
      <c r="BA478">
        <f ca="1">IF(AND(ISNUMBER($BA$975),$B$511=1),$BA$975,HLOOKUP(INDIRECT(ADDRESS(2,COLUMN())),OFFSET($BN$2,0,0,ROW()-1,60),ROW()-1,FALSE))</f>
        <v>8070.8931229999998</v>
      </c>
      <c r="BB478">
        <f ca="1">IF(AND(ISNUMBER($BB$975),$B$511=1),$BB$975,HLOOKUP(INDIRECT(ADDRESS(2,COLUMN())),OFFSET($BN$2,0,0,ROW()-1,60),ROW()-1,FALSE))</f>
        <v>7844.9365079999998</v>
      </c>
      <c r="BC478">
        <f ca="1">IF(AND(ISNUMBER($BC$975),$B$511=1),$BC$975,HLOOKUP(INDIRECT(ADDRESS(2,COLUMN())),OFFSET($BN$2,0,0,ROW()-1,60),ROW()-1,FALSE))</f>
        <v>9621.9781239999993</v>
      </c>
      <c r="BD478">
        <f ca="1">IF(AND(ISNUMBER($BD$975),$B$511=1),$BD$975,HLOOKUP(INDIRECT(ADDRESS(2,COLUMN())),OFFSET($BN$2,0,0,ROW()-1,60),ROW()-1,FALSE))</f>
        <v>8548.0951110000005</v>
      </c>
      <c r="BE478">
        <f ca="1">IF(AND(ISNUMBER($BE$975),$B$511=1),$BE$975,HLOOKUP(INDIRECT(ADDRESS(2,COLUMN())),OFFSET($BN$2,0,0,ROW()-1,60),ROW()-1,FALSE))</f>
        <v>8820.589183</v>
      </c>
      <c r="BF478">
        <f ca="1">IF(AND(ISNUMBER($BF$975),$B$511=1),$BF$975,HLOOKUP(INDIRECT(ADDRESS(2,COLUMN())),OFFSET($BN$2,0,0,ROW()-1,60),ROW()-1,FALSE))</f>
        <v>8357.4746720000003</v>
      </c>
      <c r="BG478">
        <f ca="1">IF(AND(ISNUMBER($BG$975),$B$511=1),$BG$975,HLOOKUP(INDIRECT(ADDRESS(2,COLUMN())),OFFSET($BN$2,0,0,ROW()-1,60),ROW()-1,FALSE))</f>
        <v>6165.9238830000004</v>
      </c>
      <c r="BH478">
        <f ca="1">IF(AND(ISNUMBER($BH$975),$B$511=1),$BH$975,HLOOKUP(INDIRECT(ADDRESS(2,COLUMN())),OFFSET($BN$2,0,0,ROW()-1,60),ROW()-1,FALSE))</f>
        <v>5510.3313770000004</v>
      </c>
      <c r="BI478">
        <f ca="1">IF(AND(ISNUMBER($BI$975),$B$511=1),$BI$975,HLOOKUP(INDIRECT(ADDRESS(2,COLUMN())),OFFSET($BN$2,0,0,ROW()-1,60),ROW()-1,FALSE))</f>
        <v>4601.4665100000002</v>
      </c>
      <c r="BJ478">
        <f ca="1">IF(AND(ISNUMBER($BJ$975),$B$511=1),$BJ$975,HLOOKUP(INDIRECT(ADDRESS(2,COLUMN())),OFFSET($BN$2,0,0,ROW()-1,60),ROW()-1,FALSE))</f>
        <v>4173.8781330000002</v>
      </c>
      <c r="BK478">
        <f ca="1">IF(AND(ISNUMBER($BK$975),$B$511=1),$BK$975,HLOOKUP(INDIRECT(ADDRESS(2,COLUMN())),OFFSET($BN$2,0,0,ROW()-1,60),ROW()-1,FALSE))</f>
        <v>3819.9722900000002</v>
      </c>
      <c r="BL478">
        <f ca="1">IF(AND(ISNUMBER($BL$975),$B$511=1),$BL$975,HLOOKUP(INDIRECT(ADDRESS(2,COLUMN())),OFFSET($BN$2,0,0,ROW()-1,60),ROW()-1,FALSE))</f>
        <v>3792.193487</v>
      </c>
      <c r="BM478">
        <f ca="1">IF(AND(ISNUMBER($BM$975),$B$511=1),$BM$975,HLOOKUP(INDIRECT(ADDRESS(2,COLUMN())),OFFSET($BN$2,0,0,ROW()-1,60),ROW()-1,FALSE))</f>
        <v>4292.2083579999999</v>
      </c>
      <c r="BN478">
        <f>7350.477654</f>
        <v>7350.4776540000003</v>
      </c>
      <c r="BO478">
        <f>6494.860213</f>
        <v>6494.8602129999999</v>
      </c>
      <c r="BP478">
        <f>7592.780858</f>
        <v>7592.7808580000001</v>
      </c>
      <c r="BQ478">
        <f>7756.394759</f>
        <v>7756.3947589999998</v>
      </c>
      <c r="BR478">
        <f>8365.960238</f>
        <v>8365.9602379999997</v>
      </c>
      <c r="BS478">
        <f>8482.605385</f>
        <v>8482.6053850000008</v>
      </c>
      <c r="BT478">
        <f>9188.289836</f>
        <v>9188.2898359999999</v>
      </c>
      <c r="BU478">
        <f>8372.094042</f>
        <v>8372.0940420000006</v>
      </c>
      <c r="BV478">
        <f>8638.939967</f>
        <v>8638.9399670000003</v>
      </c>
      <c r="BW478">
        <f>9833.349911</f>
        <v>9833.3499109999993</v>
      </c>
      <c r="BX478">
        <f>9057.569854</f>
        <v>9057.5698539999994</v>
      </c>
      <c r="BY478">
        <f>7900.288677</f>
        <v>7900.2886769999996</v>
      </c>
      <c r="BZ478">
        <f>9312.733691</f>
        <v>9312.7336909999995</v>
      </c>
      <c r="CA478">
        <f>12553.56714</f>
        <v>12553.567139999999</v>
      </c>
      <c r="CB478">
        <f>9423.965221</f>
        <v>9423.9652210000004</v>
      </c>
      <c r="CC478">
        <f>11779.40895</f>
        <v>11779.408949999999</v>
      </c>
      <c r="CD478">
        <f>12197.55161</f>
        <v>12197.55161</v>
      </c>
      <c r="CE478">
        <f>14700.6152</f>
        <v>14700.6152</v>
      </c>
      <c r="CF478">
        <f>15037.91462</f>
        <v>15037.91462</v>
      </c>
      <c r="CG478">
        <f>14065.59665</f>
        <v>14065.596649999999</v>
      </c>
      <c r="CH478">
        <f>13327.9797</f>
        <v>13327.9797</v>
      </c>
      <c r="CI478">
        <f>15527.80099</f>
        <v>15527.80099</v>
      </c>
      <c r="CJ478">
        <f>13346.17597</f>
        <v>13346.17597</v>
      </c>
      <c r="CK478">
        <f>11806.67049</f>
        <v>11806.67049</v>
      </c>
      <c r="CL478">
        <f>8945.288273</f>
        <v>8945.2882730000001</v>
      </c>
      <c r="CM478">
        <f>6062.867969</f>
        <v>6062.8679689999999</v>
      </c>
      <c r="CN478">
        <f>3502.866365</f>
        <v>3502.8663649999999</v>
      </c>
      <c r="CO478">
        <f>4021.721632</f>
        <v>4021.7216320000002</v>
      </c>
      <c r="CP478">
        <f>5263.339332</f>
        <v>5263.3393319999996</v>
      </c>
      <c r="CQ478">
        <f>3144.971191</f>
        <v>3144.9711910000001</v>
      </c>
      <c r="CR478">
        <f>3646.611819</f>
        <v>3646.6118190000002</v>
      </c>
      <c r="CS478">
        <f>4663.103775</f>
        <v>4663.1037749999996</v>
      </c>
      <c r="CT478">
        <f>3933.467002</f>
        <v>3933.4670019999999</v>
      </c>
      <c r="CU478">
        <f>5074.968728</f>
        <v>5074.9687279999998</v>
      </c>
      <c r="CV478">
        <f>4287.753004</f>
        <v>4287.7530040000001</v>
      </c>
      <c r="CW478">
        <f>4220.809017</f>
        <v>4220.8090169999996</v>
      </c>
      <c r="CX478">
        <f>5011.122293</f>
        <v>5011.1222930000004</v>
      </c>
      <c r="CY478">
        <f>4085.733033</f>
        <v>4085.733033</v>
      </c>
      <c r="CZ478">
        <f>3179.308533</f>
        <v>3179.3085329999999</v>
      </c>
      <c r="DA478">
        <f>3637.581205</f>
        <v>3637.581205</v>
      </c>
      <c r="DB478">
        <f>2341.575657</f>
        <v>2341.5756569999999</v>
      </c>
      <c r="DC478">
        <f>2339.841697</f>
        <v>2339.8416969999998</v>
      </c>
      <c r="DD478">
        <f>5583.736029</f>
        <v>5583.7360289999997</v>
      </c>
      <c r="DE478">
        <f>7360.379311</f>
        <v>7360.3793109999997</v>
      </c>
      <c r="DF478">
        <f>5014.358282</f>
        <v>5014.3582820000001</v>
      </c>
      <c r="DG478">
        <f>7017.094369</f>
        <v>7017.0943690000004</v>
      </c>
      <c r="DH478">
        <f>7173.864969</f>
        <v>7173.8649690000002</v>
      </c>
      <c r="DI478">
        <f>8070.893123</f>
        <v>8070.8931229999998</v>
      </c>
      <c r="DJ478">
        <f>7844.936508</f>
        <v>7844.9365079999998</v>
      </c>
      <c r="DK478">
        <f>9621.978124</f>
        <v>9621.9781239999993</v>
      </c>
      <c r="DL478">
        <f>8548.095111</f>
        <v>8548.0951110000005</v>
      </c>
      <c r="DM478">
        <f>8820.589183</f>
        <v>8820.589183</v>
      </c>
      <c r="DN478">
        <f>8357.474672</f>
        <v>8357.4746720000003</v>
      </c>
      <c r="DO478">
        <f>6165.923883</f>
        <v>6165.9238830000004</v>
      </c>
      <c r="DP478">
        <f>5510.331377</f>
        <v>5510.3313770000004</v>
      </c>
      <c r="DQ478">
        <f>4601.46651</f>
        <v>4601.4665100000002</v>
      </c>
      <c r="DR478">
        <f>4173.878133</f>
        <v>4173.8781330000002</v>
      </c>
      <c r="DS478">
        <f>3819.97229</f>
        <v>3819.9722900000002</v>
      </c>
      <c r="DT478">
        <f>3792.193487</f>
        <v>3792.193487</v>
      </c>
      <c r="DU478">
        <f>4292.208358</f>
        <v>4292.2083579999999</v>
      </c>
    </row>
    <row r="479" spans="1:125" x14ac:dyDescent="0.25">
      <c r="A479" t="str">
        <f>"    Mitsubishi Motors Corp"</f>
        <v xml:space="preserve">    Mitsubishi Motors Corp</v>
      </c>
      <c r="B479" t="str">
        <f>"7211 JP Equity"</f>
        <v>7211 JP Equity</v>
      </c>
      <c r="C479" t="str">
        <f t="shared" si="33"/>
        <v>RR902</v>
      </c>
      <c r="D479" t="str">
        <f t="shared" si="34"/>
        <v>CUR_MKT_CAP</v>
      </c>
      <c r="E479" t="str">
        <f t="shared" si="35"/>
        <v>Dynamic</v>
      </c>
      <c r="F479">
        <f ca="1">IF(AND(ISNUMBER($F$976),$B$511=1),$F$976,HLOOKUP(INDIRECT(ADDRESS(2,COLUMN())),OFFSET($BN$2,0,0,ROW()-1,60),ROW()-1,FALSE))</f>
        <v>8396.1475399999999</v>
      </c>
      <c r="G479">
        <f ca="1">IF(AND(ISNUMBER($G$976),$B$511=1),$G$976,HLOOKUP(INDIRECT(ADDRESS(2,COLUMN())),OFFSET($BN$2,0,0,ROW()-1,60),ROW()-1,FALSE))</f>
        <v>8125.6232460000001</v>
      </c>
      <c r="H479">
        <f ca="1">IF(AND(ISNUMBER($H$976),$B$511=1),$H$976,HLOOKUP(INDIRECT(ADDRESS(2,COLUMN())),OFFSET($BN$2,0,0,ROW()-1,60),ROW()-1,FALSE))</f>
        <v>10530.45429</v>
      </c>
      <c r="I479">
        <f ca="1">IF(AND(ISNUMBER($I$976),$B$511=1),$I$976,HLOOKUP(INDIRECT(ADDRESS(2,COLUMN())),OFFSET($BN$2,0,0,ROW()-1,60),ROW()-1,FALSE))</f>
        <v>11878.67344</v>
      </c>
      <c r="J479">
        <f ca="1">IF(AND(ISNUMBER($J$976),$B$511=1),$J$976,HLOOKUP(INDIRECT(ADDRESS(2,COLUMN())),OFFSET($BN$2,0,0,ROW()-1,60),ROW()-1,FALSE))</f>
        <v>10676.943880000001</v>
      </c>
      <c r="K479">
        <f ca="1">IF(AND(ISNUMBER($K$976),$B$511=1),$K$976,HLOOKUP(INDIRECT(ADDRESS(2,COLUMN())),OFFSET($BN$2,0,0,ROW()-1,60),ROW()-1,FALSE))</f>
        <v>10775.35932</v>
      </c>
      <c r="L479">
        <f ca="1">IF(AND(ISNUMBER($L$976),$B$511=1),$L$976,HLOOKUP(INDIRECT(ADDRESS(2,COLUMN())),OFFSET($BN$2,0,0,ROW()-1,60),ROW()-1,FALSE))</f>
        <v>11777.22804</v>
      </c>
      <c r="M479">
        <f ca="1">IF(AND(ISNUMBER($M$976),$B$511=1),$M$976,HLOOKUP(INDIRECT(ADDRESS(2,COLUMN())),OFFSET($BN$2,0,0,ROW()-1,60),ROW()-1,FALSE))</f>
        <v>9815.8346980000006</v>
      </c>
      <c r="N479">
        <f ca="1">IF(AND(ISNUMBER($N$976),$B$511=1),$N$976,HLOOKUP(INDIRECT(ADDRESS(2,COLUMN())),OFFSET($BN$2,0,0,ROW()-1,60),ROW()-1,FALSE))</f>
        <v>8956.9578020000008</v>
      </c>
      <c r="O479">
        <f ca="1">IF(AND(ISNUMBER($O$976),$B$511=1),$O$976,HLOOKUP(INDIRECT(ADDRESS(2,COLUMN())),OFFSET($BN$2,0,0,ROW()-1,60),ROW()-1,FALSE))</f>
        <v>8509.3289220000006</v>
      </c>
      <c r="P479">
        <f ca="1">IF(AND(ISNUMBER($P$976),$B$511=1),$P$976,HLOOKUP(INDIRECT(ADDRESS(2,COLUMN())),OFFSET($BN$2,0,0,ROW()-1,60),ROW()-1,FALSE))</f>
        <v>4548.3332680000003</v>
      </c>
      <c r="Q479">
        <f ca="1">IF(AND(ISNUMBER($Q$976),$B$511=1),$Q$976,HLOOKUP(INDIRECT(ADDRESS(2,COLUMN())),OFFSET($BN$2,0,0,ROW()-1,60),ROW()-1,FALSE))</f>
        <v>4470.7572769999997</v>
      </c>
      <c r="R479">
        <f ca="1">IF(AND(ISNUMBER($R$976),$B$511=1),$R$976,HLOOKUP(INDIRECT(ADDRESS(2,COLUMN())),OFFSET($BN$2,0,0,ROW()-1,60),ROW()-1,FALSE))</f>
        <v>7370.9067009999999</v>
      </c>
      <c r="S479">
        <f ca="1">IF(AND(ISNUMBER($S$976),$B$511=1),$S$976,HLOOKUP(INDIRECT(ADDRESS(2,COLUMN())),OFFSET($BN$2,0,0,ROW()-1,60),ROW()-1,FALSE))</f>
        <v>8400.3961870000003</v>
      </c>
      <c r="T479">
        <f ca="1">IF(AND(ISNUMBER($T$976),$B$511=1),$T$976,HLOOKUP(INDIRECT(ADDRESS(2,COLUMN())),OFFSET($BN$2,0,0,ROW()-1,60),ROW()-1,FALSE))</f>
        <v>7496.445866</v>
      </c>
      <c r="U479">
        <f ca="1">IF(AND(ISNUMBER($U$976),$B$511=1),$U$976,HLOOKUP(INDIRECT(ADDRESS(2,COLUMN())),OFFSET($BN$2,0,0,ROW()-1,60),ROW()-1,FALSE))</f>
        <v>8393.1847949999992</v>
      </c>
      <c r="V479">
        <f ca="1">IF(AND(ISNUMBER($V$976),$B$511=1),$V$976,HLOOKUP(INDIRECT(ADDRESS(2,COLUMN())),OFFSET($BN$2,0,0,ROW()-1,60),ROW()-1,FALSE))</f>
        <v>8897.6506040000004</v>
      </c>
      <c r="W479">
        <f ca="1">IF(AND(ISNUMBER($W$976),$B$511=1),$W$976,HLOOKUP(INDIRECT(ADDRESS(2,COLUMN())),OFFSET($BN$2,0,0,ROW()-1,60),ROW()-1,FALSE))</f>
        <v>9140.0028309999998</v>
      </c>
      <c r="X479">
        <f ca="1">IF(AND(ISNUMBER($X$976),$B$511=1),$X$976,HLOOKUP(INDIRECT(ADDRESS(2,COLUMN())),OFFSET($BN$2,0,0,ROW()-1,60),ROW()-1,FALSE))</f>
        <v>11939.21233</v>
      </c>
      <c r="Y479">
        <f ca="1">IF(AND(ISNUMBER($Y$976),$B$511=1),$Y$976,HLOOKUP(INDIRECT(ADDRESS(2,COLUMN())),OFFSET($BN$2,0,0,ROW()-1,60),ROW()-1,FALSE))</f>
        <v>10857.28141</v>
      </c>
      <c r="Z479">
        <f ca="1">IF(AND(ISNUMBER($Z$976),$B$511=1),$Z$976,HLOOKUP(INDIRECT(ADDRESS(2,COLUMN())),OFFSET($BN$2,0,0,ROW()-1,60),ROW()-1,FALSE))</f>
        <v>10307.120209999999</v>
      </c>
      <c r="AA479">
        <f ca="1">IF(AND(ISNUMBER($AA$976),$B$511=1),$AA$976,HLOOKUP(INDIRECT(ADDRESS(2,COLUMN())),OFFSET($BN$2,0,0,ROW()-1,60),ROW()-1,FALSE))</f>
        <v>6692.4943430000003</v>
      </c>
      <c r="AB479">
        <f ca="1">IF(AND(ISNUMBER($AB$976),$B$511=1),$AB$976,HLOOKUP(INDIRECT(ADDRESS(2,COLUMN())),OFFSET($BN$2,0,0,ROW()-1,60),ROW()-1,FALSE))</f>
        <v>6875.2375160000001</v>
      </c>
      <c r="AC479">
        <f ca="1">IF(AND(ISNUMBER($AC$976),$B$511=1),$AC$976,HLOOKUP(INDIRECT(ADDRESS(2,COLUMN())),OFFSET($BN$2,0,0,ROW()-1,60),ROW()-1,FALSE))</f>
        <v>8460.0405919999994</v>
      </c>
      <c r="AD479">
        <f ca="1">IF(AND(ISNUMBER($AD$976),$B$511=1),$AD$976,HLOOKUP(INDIRECT(ADDRESS(2,COLUMN())),OFFSET($BN$2,0,0,ROW()-1,60),ROW()-1,FALSE))</f>
        <v>6283.4566249999998</v>
      </c>
      <c r="AE479">
        <f ca="1">IF(AND(ISNUMBER($AE$976),$B$511=1),$AE$976,HLOOKUP(INDIRECT(ADDRESS(2,COLUMN())),OFFSET($BN$2,0,0,ROW()-1,60),ROW()-1,FALSE))</f>
        <v>6211.5561049999997</v>
      </c>
      <c r="AF479">
        <f ca="1">IF(AND(ISNUMBER($AF$976),$B$511=1),$AF$976,HLOOKUP(INDIRECT(ADDRESS(2,COLUMN())),OFFSET($BN$2,0,0,ROW()-1,60),ROW()-1,FALSE))</f>
        <v>5228.5122160000001</v>
      </c>
      <c r="AG479">
        <f ca="1">IF(AND(ISNUMBER($AG$976),$B$511=1),$AG$976,HLOOKUP(INDIRECT(ADDRESS(2,COLUMN())),OFFSET($BN$2,0,0,ROW()-1,60),ROW()-1,FALSE))</f>
        <v>5551.8366230000001</v>
      </c>
      <c r="AH479">
        <f ca="1">IF(AND(ISNUMBER($AH$976),$B$511=1),$AH$976,HLOOKUP(INDIRECT(ADDRESS(2,COLUMN())),OFFSET($BN$2,0,0,ROW()-1,60),ROW()-1,FALSE))</f>
        <v>6299.9874250000003</v>
      </c>
      <c r="AI479">
        <f ca="1">IF(AND(ISNUMBER($AI$976),$B$511=1),$AI$976,HLOOKUP(INDIRECT(ADDRESS(2,COLUMN())),OFFSET($BN$2,0,0,ROW()-1,60),ROW()-1,FALSE))</f>
        <v>6545.7084020000002</v>
      </c>
      <c r="AJ479">
        <f ca="1">IF(AND(ISNUMBER($AJ$976),$B$511=1),$AJ$976,HLOOKUP(INDIRECT(ADDRESS(2,COLUMN())),OFFSET($BN$2,0,0,ROW()-1,60),ROW()-1,FALSE))</f>
        <v>7394.4720539999998</v>
      </c>
      <c r="AK479">
        <f ca="1">IF(AND(ISNUMBER($AK$976),$B$511=1),$AK$976,HLOOKUP(INDIRECT(ADDRESS(2,COLUMN())),OFFSET($BN$2,0,0,ROW()-1,60),ROW()-1,FALSE))</f>
        <v>6736.8394870000002</v>
      </c>
      <c r="AL479">
        <f ca="1">IF(AND(ISNUMBER($AL$976),$B$511=1),$AL$976,HLOOKUP(INDIRECT(ADDRESS(2,COLUMN())),OFFSET($BN$2,0,0,ROW()-1,60),ROW()-1,FALSE))</f>
        <v>6819.6500930000002</v>
      </c>
      <c r="AM479">
        <f ca="1">IF(AND(ISNUMBER($AM$976),$B$511=1),$AM$976,HLOOKUP(INDIRECT(ADDRESS(2,COLUMN())),OFFSET($BN$2,0,0,ROW()-1,60),ROW()-1,FALSE))</f>
        <v>7994.6039840000003</v>
      </c>
      <c r="AN479">
        <f ca="1">IF(AND(ISNUMBER($AN$976),$B$511=1),$AN$976,HLOOKUP(INDIRECT(ADDRESS(2,COLUMN())),OFFSET($BN$2,0,0,ROW()-1,60),ROW()-1,FALSE))</f>
        <v>7232.6541630000002</v>
      </c>
      <c r="AO479">
        <f ca="1">IF(AND(ISNUMBER($AO$976),$B$511=1),$AO$976,HLOOKUP(INDIRECT(ADDRESS(2,COLUMN())),OFFSET($BN$2,0,0,ROW()-1,60),ROW()-1,FALSE))</f>
        <v>7064.6776309999996</v>
      </c>
      <c r="AP479">
        <f ca="1">IF(AND(ISNUMBER($AP$976),$B$511=1),$AP$976,HLOOKUP(INDIRECT(ADDRESS(2,COLUMN())),OFFSET($BN$2,0,0,ROW()-1,60),ROW()-1,FALSE))</f>
        <v>7526.9749890000003</v>
      </c>
      <c r="AQ479">
        <f ca="1">IF(AND(ISNUMBER($AQ$976),$B$511=1),$AQ$976,HLOOKUP(INDIRECT(ADDRESS(2,COLUMN())),OFFSET($BN$2,0,0,ROW()-1,60),ROW()-1,FALSE))</f>
        <v>7673.2896730000002</v>
      </c>
      <c r="AR479">
        <f ca="1">IF(AND(ISNUMBER($AR$976),$B$511=1),$AR$976,HLOOKUP(INDIRECT(ADDRESS(2,COLUMN())),OFFSET($BN$2,0,0,ROW()-1,60),ROW()-1,FALSE))</f>
        <v>9139.3581689999992</v>
      </c>
      <c r="AS479">
        <f ca="1">IF(AND(ISNUMBER($AS$976),$B$511=1),$AS$976,HLOOKUP(INDIRECT(ADDRESS(2,COLUMN())),OFFSET($BN$2,0,0,ROW()-1,60),ROW()-1,FALSE))</f>
        <v>10406.5584</v>
      </c>
      <c r="AT479">
        <f ca="1">IF(AND(ISNUMBER($AT$976),$B$511=1),$AT$976,HLOOKUP(INDIRECT(ADDRESS(2,COLUMN())),OFFSET($BN$2,0,0,ROW()-1,60),ROW()-1,FALSE))</f>
        <v>6967.6634700000004</v>
      </c>
      <c r="AU479">
        <f ca="1">IF(AND(ISNUMBER($AU$976),$B$511=1),$AU$976,HLOOKUP(INDIRECT(ADDRESS(2,COLUMN())),OFFSET($BN$2,0,0,ROW()-1,60),ROW()-1,FALSE))</f>
        <v>7479.5048040000001</v>
      </c>
      <c r="AV479">
        <f ca="1">IF(AND(ISNUMBER($AV$976),$B$511=1),$AV$976,HLOOKUP(INDIRECT(ADDRESS(2,COLUMN())),OFFSET($BN$2,0,0,ROW()-1,60),ROW()-1,FALSE))</f>
        <v>9074.2481690000004</v>
      </c>
      <c r="AW479">
        <f ca="1">IF(AND(ISNUMBER($AW$976),$B$511=1),$AW$976,HLOOKUP(INDIRECT(ADDRESS(2,COLUMN())),OFFSET($BN$2,0,0,ROW()-1,60),ROW()-1,FALSE))</f>
        <v>10065.112569999999</v>
      </c>
      <c r="AX479">
        <f ca="1">IF(AND(ISNUMBER($AX$976),$B$511=1),$AX$976,HLOOKUP(INDIRECT(ADDRESS(2,COLUMN())),OFFSET($BN$2,0,0,ROW()-1,60),ROW()-1,FALSE))</f>
        <v>9094.8854759999995</v>
      </c>
      <c r="AY479">
        <f ca="1">IF(AND(ISNUMBER($AY$976),$B$511=1),$AY$976,HLOOKUP(INDIRECT(ADDRESS(2,COLUMN())),OFFSET($BN$2,0,0,ROW()-1,60),ROW()-1,FALSE))</f>
        <v>9278.924755</v>
      </c>
      <c r="AZ479">
        <f ca="1">IF(AND(ISNUMBER($AZ$976),$B$511=1),$AZ$976,HLOOKUP(INDIRECT(ADDRESS(2,COLUMN())),OFFSET($BN$2,0,0,ROW()-1,60),ROW()-1,FALSE))</f>
        <v>8371.2262410000003</v>
      </c>
      <c r="BA479">
        <f ca="1">IF(AND(ISNUMBER($BA$976),$B$511=1),$BA$976,HLOOKUP(INDIRECT(ADDRESS(2,COLUMN())),OFFSET($BN$2,0,0,ROW()-1,60),ROW()-1,FALSE))</f>
        <v>8331.2802570000003</v>
      </c>
      <c r="BB479">
        <f ca="1">IF(AND(ISNUMBER($BB$976),$B$511=1),$BB$976,HLOOKUP(INDIRECT(ADDRESS(2,COLUMN())),OFFSET($BN$2,0,0,ROW()-1,60),ROW()-1,FALSE))</f>
        <v>8592.8995209999994</v>
      </c>
      <c r="BC479">
        <f ca="1">IF(AND(ISNUMBER($BC$976),$B$511=1),$BC$976,HLOOKUP(INDIRECT(ADDRESS(2,COLUMN())),OFFSET($BN$2,0,0,ROW()-1,60),ROW()-1,FALSE))</f>
        <v>9084.890582</v>
      </c>
      <c r="BD479">
        <f ca="1">IF(AND(ISNUMBER($BD$976),$B$511=1),$BD$976,HLOOKUP(INDIRECT(ADDRESS(2,COLUMN())),OFFSET($BN$2,0,0,ROW()-1,60),ROW()-1,FALSE))</f>
        <v>9119.9563959999996</v>
      </c>
      <c r="BE479">
        <f ca="1">IF(AND(ISNUMBER($BE$976),$B$511=1),$BE$976,HLOOKUP(INDIRECT(ADDRESS(2,COLUMN())),OFFSET($BN$2,0,0,ROW()-1,60),ROW()-1,FALSE))</f>
        <v>10170.363579999999</v>
      </c>
      <c r="BF479">
        <f ca="1">IF(AND(ISNUMBER($BF$976),$B$511=1),$BF$976,HLOOKUP(INDIRECT(ADDRESS(2,COLUMN())),OFFSET($BN$2,0,0,ROW()-1,60),ROW()-1,FALSE))</f>
        <v>11499.77693</v>
      </c>
      <c r="BG479">
        <f ca="1">IF(AND(ISNUMBER($BG$976),$B$511=1),$BG$976,HLOOKUP(INDIRECT(ADDRESS(2,COLUMN())),OFFSET($BN$2,0,0,ROW()-1,60),ROW()-1,FALSE))</f>
        <v>11221.69742</v>
      </c>
      <c r="BH479">
        <f ca="1">IF(AND(ISNUMBER($BH$976),$B$511=1),$BH$976,HLOOKUP(INDIRECT(ADDRESS(2,COLUMN())),OFFSET($BN$2,0,0,ROW()-1,60),ROW()-1,FALSE))</f>
        <v>8888.1755020000001</v>
      </c>
      <c r="BI479">
        <f ca="1">IF(AND(ISNUMBER($BI$976),$B$511=1),$BI$976,HLOOKUP(INDIRECT(ADDRESS(2,COLUMN())),OFFSET($BN$2,0,0,ROW()-1,60),ROW()-1,FALSE))</f>
        <v>5389.2009600000001</v>
      </c>
      <c r="BJ479">
        <f ca="1">IF(AND(ISNUMBER($BJ$976),$B$511=1),$BJ$976,HLOOKUP(INDIRECT(ADDRESS(2,COLUMN())),OFFSET($BN$2,0,0,ROW()-1,60),ROW()-1,FALSE))</f>
        <v>5577.86499</v>
      </c>
      <c r="BK479">
        <f ca="1">IF(AND(ISNUMBER($BK$976),$B$511=1),$BK$976,HLOOKUP(INDIRECT(ADDRESS(2,COLUMN())),OFFSET($BN$2,0,0,ROW()-1,60),ROW()-1,FALSE))</f>
        <v>3158.4035979999999</v>
      </c>
      <c r="BL479">
        <f ca="1">IF(AND(ISNUMBER($BL$976),$B$511=1),$BL$976,HLOOKUP(INDIRECT(ADDRESS(2,COLUMN())),OFFSET($BN$2,0,0,ROW()-1,60),ROW()-1,FALSE))</f>
        <v>2604.8854150000002</v>
      </c>
      <c r="BM479">
        <f ca="1">IF(AND(ISNUMBER($BM$976),$B$511=1),$BM$976,HLOOKUP(INDIRECT(ADDRESS(2,COLUMN())),OFFSET($BN$2,0,0,ROW()-1,60),ROW()-1,FALSE))</f>
        <v>2414.3013230000001</v>
      </c>
      <c r="BN479">
        <f>8396.14754</f>
        <v>8396.1475399999999</v>
      </c>
      <c r="BO479">
        <f>8125.623246</f>
        <v>8125.6232460000001</v>
      </c>
      <c r="BP479">
        <f>10530.45429</f>
        <v>10530.45429</v>
      </c>
      <c r="BQ479">
        <f>11878.67344</f>
        <v>11878.67344</v>
      </c>
      <c r="BR479">
        <f>10676.94388</f>
        <v>10676.943880000001</v>
      </c>
      <c r="BS479">
        <f>10775.35932</f>
        <v>10775.35932</v>
      </c>
      <c r="BT479">
        <f>11777.22804</f>
        <v>11777.22804</v>
      </c>
      <c r="BU479">
        <f>9815.834698</f>
        <v>9815.8346980000006</v>
      </c>
      <c r="BV479">
        <f>8956.957802</f>
        <v>8956.9578020000008</v>
      </c>
      <c r="BW479">
        <f>8509.328922</f>
        <v>8509.3289220000006</v>
      </c>
      <c r="BX479">
        <f>4548.333268</f>
        <v>4548.3332680000003</v>
      </c>
      <c r="BY479">
        <f>4470.757277</f>
        <v>4470.7572769999997</v>
      </c>
      <c r="BZ479">
        <f>7370.906701</f>
        <v>7370.9067009999999</v>
      </c>
      <c r="CA479">
        <f>8400.396187</f>
        <v>8400.3961870000003</v>
      </c>
      <c r="CB479">
        <f>7496.445866</f>
        <v>7496.445866</v>
      </c>
      <c r="CC479">
        <f>8393.184795</f>
        <v>8393.1847949999992</v>
      </c>
      <c r="CD479">
        <f>8897.650604</f>
        <v>8897.6506040000004</v>
      </c>
      <c r="CE479">
        <f>9140.002831</f>
        <v>9140.0028309999998</v>
      </c>
      <c r="CF479">
        <f>11939.21233</f>
        <v>11939.21233</v>
      </c>
      <c r="CG479">
        <f>10857.28141</f>
        <v>10857.28141</v>
      </c>
      <c r="CH479">
        <f>10307.12021</f>
        <v>10307.120209999999</v>
      </c>
      <c r="CI479">
        <f>6692.494343</f>
        <v>6692.4943430000003</v>
      </c>
      <c r="CJ479">
        <f>6875.237516</f>
        <v>6875.2375160000001</v>
      </c>
      <c r="CK479">
        <f>8460.040592</f>
        <v>8460.0405919999994</v>
      </c>
      <c r="CL479">
        <f>6283.456625</f>
        <v>6283.4566249999998</v>
      </c>
      <c r="CM479">
        <f>6211.556105</f>
        <v>6211.5561049999997</v>
      </c>
      <c r="CN479">
        <f>5228.512216</f>
        <v>5228.5122160000001</v>
      </c>
      <c r="CO479">
        <f>5551.836623</f>
        <v>5551.8366230000001</v>
      </c>
      <c r="CP479">
        <f>6299.987425</f>
        <v>6299.9874250000003</v>
      </c>
      <c r="CQ479">
        <f>6545.708402</f>
        <v>6545.7084020000002</v>
      </c>
      <c r="CR479">
        <f>7394.472054</f>
        <v>7394.4720539999998</v>
      </c>
      <c r="CS479">
        <f>6736.839487</f>
        <v>6736.8394870000002</v>
      </c>
      <c r="CT479">
        <f>6819.650093</f>
        <v>6819.6500930000002</v>
      </c>
      <c r="CU479">
        <f>7994.603984</f>
        <v>7994.6039840000003</v>
      </c>
      <c r="CV479">
        <f>7232.654163</f>
        <v>7232.6541630000002</v>
      </c>
      <c r="CW479">
        <f>7064.677631</f>
        <v>7064.6776309999996</v>
      </c>
      <c r="CX479">
        <f>7526.974989</f>
        <v>7526.9749890000003</v>
      </c>
      <c r="CY479">
        <f>7673.289673</f>
        <v>7673.2896730000002</v>
      </c>
      <c r="CZ479">
        <f>9139.358169</f>
        <v>9139.3581689999992</v>
      </c>
      <c r="DA479">
        <f>10406.5584</f>
        <v>10406.5584</v>
      </c>
      <c r="DB479">
        <f>6967.66347</f>
        <v>6967.6634700000004</v>
      </c>
      <c r="DC479">
        <f>7479.504804</f>
        <v>7479.5048040000001</v>
      </c>
      <c r="DD479">
        <f>9074.248169</f>
        <v>9074.2481690000004</v>
      </c>
      <c r="DE479">
        <f>10065.11257</f>
        <v>10065.112569999999</v>
      </c>
      <c r="DF479">
        <f>9094.885476</f>
        <v>9094.8854759999995</v>
      </c>
      <c r="DG479">
        <f>9278.924755</f>
        <v>9278.924755</v>
      </c>
      <c r="DH479">
        <f>8371.226241</f>
        <v>8371.2262410000003</v>
      </c>
      <c r="DI479">
        <f>8331.280257</f>
        <v>8331.2802570000003</v>
      </c>
      <c r="DJ479">
        <f>8592.899521</f>
        <v>8592.8995209999994</v>
      </c>
      <c r="DK479">
        <f>9084.890582</f>
        <v>9084.890582</v>
      </c>
      <c r="DL479">
        <f>9119.956396</f>
        <v>9119.9563959999996</v>
      </c>
      <c r="DM479">
        <f>10170.36358</f>
        <v>10170.363579999999</v>
      </c>
      <c r="DN479">
        <f>11499.77693</f>
        <v>11499.77693</v>
      </c>
      <c r="DO479">
        <f>11221.69742</f>
        <v>11221.69742</v>
      </c>
      <c r="DP479">
        <f>8888.175502</f>
        <v>8888.1755020000001</v>
      </c>
      <c r="DQ479">
        <f>5389.20096</f>
        <v>5389.2009600000001</v>
      </c>
      <c r="DR479">
        <f>5577.86499</f>
        <v>5577.86499</v>
      </c>
      <c r="DS479">
        <f>3158.403598</f>
        <v>3158.4035979999999</v>
      </c>
      <c r="DT479">
        <f>2604.885415</f>
        <v>2604.8854150000002</v>
      </c>
      <c r="DU479">
        <f>2414.301323</f>
        <v>2414.3013230000001</v>
      </c>
    </row>
    <row r="480" spans="1:125" x14ac:dyDescent="0.25">
      <c r="A480" t="str">
        <f>"    Nissan Motor Co Ltd"</f>
        <v xml:space="preserve">    Nissan Motor Co Ltd</v>
      </c>
      <c r="B480" t="str">
        <f>"7201 JP Equity"</f>
        <v>7201 JP Equity</v>
      </c>
      <c r="C480" t="str">
        <f t="shared" si="33"/>
        <v>RR902</v>
      </c>
      <c r="D480" t="str">
        <f t="shared" si="34"/>
        <v>CUR_MKT_CAP</v>
      </c>
      <c r="E480" t="str">
        <f t="shared" si="35"/>
        <v>Dynamic</v>
      </c>
      <c r="F480">
        <f ca="1">IF(AND(ISNUMBER($F$977),$B$511=1),$F$977,HLOOKUP(INDIRECT(ADDRESS(2,COLUMN())),OFFSET($BN$2,0,0,ROW()-1,60),ROW()-1,FALSE))</f>
        <v>36168.833789999997</v>
      </c>
      <c r="G480">
        <f ca="1">IF(AND(ISNUMBER($G$977),$B$511=1),$G$977,HLOOKUP(INDIRECT(ADDRESS(2,COLUMN())),OFFSET($BN$2,0,0,ROW()-1,60),ROW()-1,FALSE))</f>
        <v>33651.802490000002</v>
      </c>
      <c r="H480">
        <f ca="1">IF(AND(ISNUMBER($H$977),$B$511=1),$H$977,HLOOKUP(INDIRECT(ADDRESS(2,COLUMN())),OFFSET($BN$2,0,0,ROW()-1,60),ROW()-1,FALSE))</f>
        <v>39548.286529999998</v>
      </c>
      <c r="I480">
        <f ca="1">IF(AND(ISNUMBER($I$977),$B$511=1),$I$977,HLOOKUP(INDIRECT(ADDRESS(2,COLUMN())),OFFSET($BN$2,0,0,ROW()-1,60),ROW()-1,FALSE))</f>
        <v>41071.7719</v>
      </c>
      <c r="J480">
        <f ca="1">IF(AND(ISNUMBER($J$977),$B$511=1),$J$977,HLOOKUP(INDIRECT(ADDRESS(2,COLUMN())),OFFSET($BN$2,0,0,ROW()-1,60),ROW()-1,FALSE))</f>
        <v>43868.099069999997</v>
      </c>
      <c r="K480">
        <f ca="1">IF(AND(ISNUMBER($K$977),$B$511=1),$K$977,HLOOKUP(INDIRECT(ADDRESS(2,COLUMN())),OFFSET($BN$2,0,0,ROW()-1,60),ROW()-1,FALSE))</f>
        <v>42120.922259999999</v>
      </c>
      <c r="L480">
        <f ca="1">IF(AND(ISNUMBER($L$977),$B$511=1),$L$977,HLOOKUP(INDIRECT(ADDRESS(2,COLUMN())),OFFSET($BN$2,0,0,ROW()-1,60),ROW()-1,FALSE))</f>
        <v>41768.664470000003</v>
      </c>
      <c r="M480">
        <f ca="1">IF(AND(ISNUMBER($M$977),$B$511=1),$M$977,HLOOKUP(INDIRECT(ADDRESS(2,COLUMN())),OFFSET($BN$2,0,0,ROW()-1,60),ROW()-1,FALSE))</f>
        <v>42000.531739999999</v>
      </c>
      <c r="N480">
        <f ca="1">IF(AND(ISNUMBER($N$977),$B$511=1),$N$977,HLOOKUP(INDIRECT(ADDRESS(2,COLUMN())),OFFSET($BN$2,0,0,ROW()-1,60),ROW()-1,FALSE))</f>
        <v>40705.578200000004</v>
      </c>
      <c r="O480">
        <f ca="1">IF(AND(ISNUMBER($O$977),$B$511=1),$O$977,HLOOKUP(INDIRECT(ADDRESS(2,COLUMN())),OFFSET($BN$2,0,0,ROW()-1,60),ROW()-1,FALSE))</f>
        <v>42536.444380000001</v>
      </c>
      <c r="P480">
        <f ca="1">IF(AND(ISNUMBER($P$977),$B$511=1),$P$977,HLOOKUP(INDIRECT(ADDRESS(2,COLUMN())),OFFSET($BN$2,0,0,ROW()-1,60),ROW()-1,FALSE))</f>
        <v>41492.895170000003</v>
      </c>
      <c r="Q480">
        <f ca="1">IF(AND(ISNUMBER($Q$977),$B$511=1),$Q$977,HLOOKUP(INDIRECT(ADDRESS(2,COLUMN())),OFFSET($BN$2,0,0,ROW()-1,60),ROW()-1,FALSE))</f>
        <v>39056.474499999997</v>
      </c>
      <c r="R480">
        <f ca="1">IF(AND(ISNUMBER($R$977),$B$511=1),$R$977,HLOOKUP(INDIRECT(ADDRESS(2,COLUMN())),OFFSET($BN$2,0,0,ROW()-1,60),ROW()-1,FALSE))</f>
        <v>41611.075720000001</v>
      </c>
      <c r="S480">
        <f ca="1">IF(AND(ISNUMBER($S$977),$B$511=1),$S$977,HLOOKUP(INDIRECT(ADDRESS(2,COLUMN())),OFFSET($BN$2,0,0,ROW()-1,60),ROW()-1,FALSE))</f>
        <v>47958.339</v>
      </c>
      <c r="T480">
        <f ca="1">IF(AND(ISNUMBER($T$977),$B$511=1),$T$977,HLOOKUP(INDIRECT(ADDRESS(2,COLUMN())),OFFSET($BN$2,0,0,ROW()-1,60),ROW()-1,FALSE))</f>
        <v>41327.505420000001</v>
      </c>
      <c r="U480">
        <f ca="1">IF(AND(ISNUMBER($U$977),$B$511=1),$U$977,HLOOKUP(INDIRECT(ADDRESS(2,COLUMN())),OFFSET($BN$2,0,0,ROW()-1,60),ROW()-1,FALSE))</f>
        <v>47198.755720000001</v>
      </c>
      <c r="V480">
        <f ca="1">IF(AND(ISNUMBER($V$977),$B$511=1),$V$977,HLOOKUP(INDIRECT(ADDRESS(2,COLUMN())),OFFSET($BN$2,0,0,ROW()-1,60),ROW()-1,FALSE))</f>
        <v>46130.517440000003</v>
      </c>
      <c r="W480">
        <f ca="1">IF(AND(ISNUMBER($W$977),$B$511=1),$W$977,HLOOKUP(INDIRECT(ADDRESS(2,COLUMN())),OFFSET($BN$2,0,0,ROW()-1,60),ROW()-1,FALSE))</f>
        <v>39999.967400000001</v>
      </c>
      <c r="X480">
        <f ca="1">IF(AND(ISNUMBER($X$977),$B$511=1),$X$977,HLOOKUP(INDIRECT(ADDRESS(2,COLUMN())),OFFSET($BN$2,0,0,ROW()-1,60),ROW()-1,FALSE))</f>
        <v>44069.347889999997</v>
      </c>
      <c r="Y480">
        <f ca="1">IF(AND(ISNUMBER($Y$977),$B$511=1),$Y$977,HLOOKUP(INDIRECT(ADDRESS(2,COLUMN())),OFFSET($BN$2,0,0,ROW()-1,60),ROW()-1,FALSE))</f>
        <v>42890.783239999997</v>
      </c>
      <c r="Z480">
        <f ca="1">IF(AND(ISNUMBER($Z$977),$B$511=1),$Z$977,HLOOKUP(INDIRECT(ADDRESS(2,COLUMN())),OFFSET($BN$2,0,0,ROW()-1,60),ROW()-1,FALSE))</f>
        <v>40351.781369999997</v>
      </c>
      <c r="AA480">
        <f ca="1">IF(AND(ISNUMBER($AA$977),$B$511=1),$AA$977,HLOOKUP(INDIRECT(ADDRESS(2,COLUMN())),OFFSET($BN$2,0,0,ROW()-1,60),ROW()-1,FALSE))</f>
        <v>38031.141539999997</v>
      </c>
      <c r="AB480">
        <f ca="1">IF(AND(ISNUMBER($AB$977),$B$511=1),$AB$977,HLOOKUP(INDIRECT(ADDRESS(2,COLUMN())),OFFSET($BN$2,0,0,ROW()-1,60),ROW()-1,FALSE))</f>
        <v>45294.612430000001</v>
      </c>
      <c r="AC480">
        <f ca="1">IF(AND(ISNUMBER($AC$977),$B$511=1),$AC$977,HLOOKUP(INDIRECT(ADDRESS(2,COLUMN())),OFFSET($BN$2,0,0,ROW()-1,60),ROW()-1,FALSE))</f>
        <v>45739.64471</v>
      </c>
      <c r="AD480">
        <f ca="1">IF(AND(ISNUMBER($AD$977),$B$511=1),$AD$977,HLOOKUP(INDIRECT(ADDRESS(2,COLUMN())),OFFSET($BN$2,0,0,ROW()-1,60),ROW()-1,FALSE))</f>
        <v>43422.281629999998</v>
      </c>
      <c r="AE480">
        <f ca="1">IF(AND(ISNUMBER($AE$977),$B$511=1),$AE$977,HLOOKUP(INDIRECT(ADDRESS(2,COLUMN())),OFFSET($BN$2,0,0,ROW()-1,60),ROW()-1,FALSE))</f>
        <v>42591.77665</v>
      </c>
      <c r="AF480">
        <f ca="1">IF(AND(ISNUMBER($AF$977),$B$511=1),$AF$977,HLOOKUP(INDIRECT(ADDRESS(2,COLUMN())),OFFSET($BN$2,0,0,ROW()-1,60),ROW()-1,FALSE))</f>
        <v>38581.566939999997</v>
      </c>
      <c r="AG480">
        <f ca="1">IF(AND(ISNUMBER($AG$977),$B$511=1),$AG$977,HLOOKUP(INDIRECT(ADDRESS(2,COLUMN())),OFFSET($BN$2,0,0,ROW()-1,60),ROW()-1,FALSE))</f>
        <v>42374.624920000002</v>
      </c>
      <c r="AH480">
        <f ca="1">IF(AND(ISNUMBER($AH$977),$B$511=1),$AH$977,HLOOKUP(INDIRECT(ADDRESS(2,COLUMN())),OFFSET($BN$2,0,0,ROW()-1,60),ROW()-1,FALSE))</f>
        <v>48199.808879999997</v>
      </c>
      <c r="AI480">
        <f ca="1">IF(AND(ISNUMBER($AI$977),$B$511=1),$AI$977,HLOOKUP(INDIRECT(ADDRESS(2,COLUMN())),OFFSET($BN$2,0,0,ROW()-1,60),ROW()-1,FALSE))</f>
        <v>40633.004410000001</v>
      </c>
      <c r="AJ480">
        <f ca="1">IF(AND(ISNUMBER($AJ$977),$B$511=1),$AJ$977,HLOOKUP(INDIRECT(ADDRESS(2,COLUMN())),OFFSET($BN$2,0,0,ROW()-1,60),ROW()-1,FALSE))</f>
        <v>40612.596899999997</v>
      </c>
      <c r="AK480">
        <f ca="1">IF(AND(ISNUMBER($AK$977),$B$511=1),$AK$977,HLOOKUP(INDIRECT(ADDRESS(2,COLUMN())),OFFSET($BN$2,0,0,ROW()-1,60),ROW()-1,FALSE))</f>
        <v>47249.780409999999</v>
      </c>
      <c r="AL480">
        <f ca="1">IF(AND(ISNUMBER($AL$977),$B$511=1),$AL$977,HLOOKUP(INDIRECT(ADDRESS(2,COLUMN())),OFFSET($BN$2,0,0,ROW()-1,60),ROW()-1,FALSE))</f>
        <v>40278.738559999998</v>
      </c>
      <c r="AM480">
        <f ca="1">IF(AND(ISNUMBER($AM$977),$B$511=1),$AM$977,HLOOKUP(INDIRECT(ADDRESS(2,COLUMN())),OFFSET($BN$2,0,0,ROW()-1,60),ROW()-1,FALSE))</f>
        <v>42751.565349999997</v>
      </c>
      <c r="AN480">
        <f ca="1">IF(AND(ISNUMBER($AN$977),$B$511=1),$AN$977,HLOOKUP(INDIRECT(ADDRESS(2,COLUMN())),OFFSET($BN$2,0,0,ROW()-1,60),ROW()-1,FALSE))</f>
        <v>39487.197180000003</v>
      </c>
      <c r="AO480">
        <f ca="1">IF(AND(ISNUMBER($AO$977),$B$511=1),$AO$977,HLOOKUP(INDIRECT(ADDRESS(2,COLUMN())),OFFSET($BN$2,0,0,ROW()-1,60),ROW()-1,FALSE))</f>
        <v>31948.157569999999</v>
      </c>
      <c r="AP480">
        <f ca="1">IF(AND(ISNUMBER($AP$977),$B$511=1),$AP$977,HLOOKUP(INDIRECT(ADDRESS(2,COLUMN())),OFFSET($BN$2,0,0,ROW()-1,60),ROW()-1,FALSE))</f>
        <v>38753.135499999997</v>
      </c>
      <c r="AQ480">
        <f ca="1">IF(AND(ISNUMBER($AQ$977),$B$511=1),$AQ$977,HLOOKUP(INDIRECT(ADDRESS(2,COLUMN())),OFFSET($BN$2,0,0,ROW()-1,60),ROW()-1,FALSE))</f>
        <v>39638.22709</v>
      </c>
      <c r="AR480">
        <f ca="1">IF(AND(ISNUMBER($AR$977),$B$511=1),$AR$977,HLOOKUP(INDIRECT(ADDRESS(2,COLUMN())),OFFSET($BN$2,0,0,ROW()-1,60),ROW()-1,FALSE))</f>
        <v>30598.508099999999</v>
      </c>
      <c r="AS480">
        <f ca="1">IF(AND(ISNUMBER($AS$977),$B$511=1),$AS$977,HLOOKUP(INDIRECT(ADDRESS(2,COLUMN())),OFFSET($BN$2,0,0,ROW()-1,60),ROW()-1,FALSE))</f>
        <v>27503.521430000001</v>
      </c>
      <c r="AT480">
        <f ca="1">IF(AND(ISNUMBER($AT$977),$B$511=1),$AT$977,HLOOKUP(INDIRECT(ADDRESS(2,COLUMN())),OFFSET($BN$2,0,0,ROW()-1,60),ROW()-1,FALSE))</f>
        <v>15926.02281</v>
      </c>
      <c r="AU480">
        <f ca="1">IF(AND(ISNUMBER($AU$977),$B$511=1),$AU$977,HLOOKUP(INDIRECT(ADDRESS(2,COLUMN())),OFFSET($BN$2,0,0,ROW()-1,60),ROW()-1,FALSE))</f>
        <v>16014.93309</v>
      </c>
      <c r="AV480">
        <f ca="1">IF(AND(ISNUMBER($AV$977),$B$511=1),$AV$977,HLOOKUP(INDIRECT(ADDRESS(2,COLUMN())),OFFSET($BN$2,0,0,ROW()-1,60),ROW()-1,FALSE))</f>
        <v>29672.6489</v>
      </c>
      <c r="AW480">
        <f ca="1">IF(AND(ISNUMBER($AW$977),$B$511=1),$AW$977,HLOOKUP(INDIRECT(ADDRESS(2,COLUMN())),OFFSET($BN$2,0,0,ROW()-1,60),ROW()-1,FALSE))</f>
        <v>37335.599829999999</v>
      </c>
      <c r="AX480">
        <f ca="1">IF(AND(ISNUMBER($AX$977),$B$511=1),$AX$977,HLOOKUP(INDIRECT(ADDRESS(2,COLUMN())),OFFSET($BN$2,0,0,ROW()-1,60),ROW()-1,FALSE))</f>
        <v>37302.918420000002</v>
      </c>
      <c r="AY480">
        <f ca="1">IF(AND(ISNUMBER($AY$977),$B$511=1),$AY$977,HLOOKUP(INDIRECT(ADDRESS(2,COLUMN())),OFFSET($BN$2,0,0,ROW()-1,60),ROW()-1,FALSE))</f>
        <v>49295.034209999998</v>
      </c>
      <c r="AZ480">
        <f ca="1">IF(AND(ISNUMBER($AZ$977),$B$511=1),$AZ$977,HLOOKUP(INDIRECT(ADDRESS(2,COLUMN())),OFFSET($BN$2,0,0,ROW()-1,60),ROW()-1,FALSE))</f>
        <v>45325.290480000003</v>
      </c>
      <c r="BA480">
        <f ca="1">IF(AND(ISNUMBER($BA$977),$B$511=1),$BA$977,HLOOKUP(INDIRECT(ADDRESS(2,COLUMN())),OFFSET($BN$2,0,0,ROW()-1,60),ROW()-1,FALSE))</f>
        <v>48449.334360000001</v>
      </c>
      <c r="BB480">
        <f ca="1">IF(AND(ISNUMBER($BB$977),$B$511=1),$BB$977,HLOOKUP(INDIRECT(ADDRESS(2,COLUMN())),OFFSET($BN$2,0,0,ROW()-1,60),ROW()-1,FALSE))</f>
        <v>48555.688959999999</v>
      </c>
      <c r="BC480">
        <f ca="1">IF(AND(ISNUMBER($BC$977),$B$511=1),$BC$977,HLOOKUP(INDIRECT(ADDRESS(2,COLUMN())),OFFSET($BN$2,0,0,ROW()-1,60),ROW()-1,FALSE))</f>
        <v>54401.957260000003</v>
      </c>
      <c r="BD480">
        <f ca="1">IF(AND(ISNUMBER($BD$977),$B$511=1),$BD$977,HLOOKUP(INDIRECT(ADDRESS(2,COLUMN())),OFFSET($BN$2,0,0,ROW()-1,60),ROW()-1,FALSE))</f>
        <v>50677.057990000001</v>
      </c>
      <c r="BE480">
        <f ca="1">IF(AND(ISNUMBER($BE$977),$B$511=1),$BE$977,HLOOKUP(INDIRECT(ADDRESS(2,COLUMN())),OFFSET($BN$2,0,0,ROW()-1,60),ROW()-1,FALSE))</f>
        <v>49365.721720000001</v>
      </c>
      <c r="BF480">
        <f ca="1">IF(AND(ISNUMBER($BF$977),$B$511=1),$BF$977,HLOOKUP(INDIRECT(ADDRESS(2,COLUMN())),OFFSET($BN$2,0,0,ROW()-1,60),ROW()-1,FALSE))</f>
        <v>53786.893909999999</v>
      </c>
      <c r="BG480">
        <f ca="1">IF(AND(ISNUMBER($BG$977),$B$511=1),$BG$977,HLOOKUP(INDIRECT(ADDRESS(2,COLUMN())),OFFSET($BN$2,0,0,ROW()-1,60),ROW()-1,FALSE))</f>
        <v>45793.462930000002</v>
      </c>
      <c r="BH480">
        <f ca="1">IF(AND(ISNUMBER($BH$977),$B$511=1),$BH$977,HLOOKUP(INDIRECT(ADDRESS(2,COLUMN())),OFFSET($BN$2,0,0,ROW()-1,60),ROW()-1,FALSE))</f>
        <v>51592.518819999998</v>
      </c>
      <c r="BI480">
        <f ca="1">IF(AND(ISNUMBER($BI$977),$B$511=1),$BI$977,HLOOKUP(INDIRECT(ADDRESS(2,COLUMN())),OFFSET($BN$2,0,0,ROW()-1,60),ROW()-1,FALSE))</f>
        <v>44746.641109999997</v>
      </c>
      <c r="BJ480">
        <f ca="1">IF(AND(ISNUMBER($BJ$977),$B$511=1),$BJ$977,HLOOKUP(INDIRECT(ADDRESS(2,COLUMN())),OFFSET($BN$2,0,0,ROW()-1,60),ROW()-1,FALSE))</f>
        <v>46345.761319999998</v>
      </c>
      <c r="BK480">
        <f ca="1">IF(AND(ISNUMBER($BK$977),$B$511=1),$BK$977,HLOOKUP(INDIRECT(ADDRESS(2,COLUMN())),OFFSET($BN$2,0,0,ROW()-1,60),ROW()-1,FALSE))</f>
        <v>48870.221599999997</v>
      </c>
      <c r="BL480">
        <f ca="1">IF(AND(ISNUMBER($BL$977),$B$511=1),$BL$977,HLOOKUP(INDIRECT(ADDRESS(2,COLUMN())),OFFSET($BN$2,0,0,ROW()-1,60),ROW()-1,FALSE))</f>
        <v>49348.292659999999</v>
      </c>
      <c r="BM480">
        <f ca="1">IF(AND(ISNUMBER($BM$977),$B$511=1),$BM$977,HLOOKUP(INDIRECT(ADDRESS(2,COLUMN())),OFFSET($BN$2,0,0,ROW()-1,60),ROW()-1,FALSE))</f>
        <v>50138.311289999998</v>
      </c>
      <c r="BN480">
        <f>36168.83379</f>
        <v>36168.833789999997</v>
      </c>
      <c r="BO480">
        <f>33651.80249</f>
        <v>33651.802490000002</v>
      </c>
      <c r="BP480">
        <f>39548.28653</f>
        <v>39548.286529999998</v>
      </c>
      <c r="BQ480">
        <f>41071.7719</f>
        <v>41071.7719</v>
      </c>
      <c r="BR480">
        <f>43868.0990699999</f>
        <v>43868.099069999997</v>
      </c>
      <c r="BS480">
        <f>42120.92226</f>
        <v>42120.922259999999</v>
      </c>
      <c r="BT480">
        <f>41768.66447</f>
        <v>41768.664470000003</v>
      </c>
      <c r="BU480">
        <f>42000.53174</f>
        <v>42000.531739999999</v>
      </c>
      <c r="BV480">
        <f>40705.5782</f>
        <v>40705.578200000004</v>
      </c>
      <c r="BW480">
        <f>42536.44438</f>
        <v>42536.444380000001</v>
      </c>
      <c r="BX480">
        <f>41492.89517</f>
        <v>41492.895170000003</v>
      </c>
      <c r="BY480">
        <f>39056.4745</f>
        <v>39056.474499999997</v>
      </c>
      <c r="BZ480">
        <f>41611.07572</f>
        <v>41611.075720000001</v>
      </c>
      <c r="CA480">
        <f>47958.339</f>
        <v>47958.339</v>
      </c>
      <c r="CB480">
        <f>41327.50542</f>
        <v>41327.505420000001</v>
      </c>
      <c r="CC480">
        <f>47198.75572</f>
        <v>47198.755720000001</v>
      </c>
      <c r="CD480">
        <f>46130.51744</f>
        <v>46130.517440000003</v>
      </c>
      <c r="CE480">
        <f>39999.9674</f>
        <v>39999.967400000001</v>
      </c>
      <c r="CF480">
        <f>44069.34789</f>
        <v>44069.347889999997</v>
      </c>
      <c r="CG480">
        <f>42890.78324</f>
        <v>42890.783239999997</v>
      </c>
      <c r="CH480">
        <f>40351.78137</f>
        <v>40351.781369999997</v>
      </c>
      <c r="CI480">
        <f>38031.14154</f>
        <v>38031.141539999997</v>
      </c>
      <c r="CJ480">
        <f>45294.61243</f>
        <v>45294.612430000001</v>
      </c>
      <c r="CK480">
        <f>45739.64471</f>
        <v>45739.64471</v>
      </c>
      <c r="CL480">
        <f>43422.28163</f>
        <v>43422.281629999998</v>
      </c>
      <c r="CM480">
        <f>42591.77665</f>
        <v>42591.77665</v>
      </c>
      <c r="CN480">
        <f>38581.56694</f>
        <v>38581.566939999997</v>
      </c>
      <c r="CO480">
        <f>42374.62492</f>
        <v>42374.624920000002</v>
      </c>
      <c r="CP480">
        <f>48199.80888</f>
        <v>48199.808879999997</v>
      </c>
      <c r="CQ480">
        <f>40633.00441</f>
        <v>40633.004410000001</v>
      </c>
      <c r="CR480">
        <f>40612.5969</f>
        <v>40612.596899999997</v>
      </c>
      <c r="CS480">
        <f>47249.78041</f>
        <v>47249.780409999999</v>
      </c>
      <c r="CT480">
        <f>40278.73856</f>
        <v>40278.738559999998</v>
      </c>
      <c r="CU480">
        <f>42751.56535</f>
        <v>42751.565349999997</v>
      </c>
      <c r="CV480">
        <f>39487.19718</f>
        <v>39487.197180000003</v>
      </c>
      <c r="CW480">
        <f>31948.15757</f>
        <v>31948.157569999999</v>
      </c>
      <c r="CX480">
        <f>38753.1355</f>
        <v>38753.135499999997</v>
      </c>
      <c r="CY480">
        <f>39638.22709</f>
        <v>39638.22709</v>
      </c>
      <c r="CZ480">
        <f>30598.5081</f>
        <v>30598.508099999999</v>
      </c>
      <c r="DA480">
        <f>27503.52143</f>
        <v>27503.521430000001</v>
      </c>
      <c r="DB480">
        <f>15926.02281</f>
        <v>15926.02281</v>
      </c>
      <c r="DC480">
        <f>16014.93309</f>
        <v>16014.93309</v>
      </c>
      <c r="DD480">
        <f>29672.6489</f>
        <v>29672.6489</v>
      </c>
      <c r="DE480">
        <f>37335.59983</f>
        <v>37335.599829999999</v>
      </c>
      <c r="DF480">
        <f>37302.91842</f>
        <v>37302.918420000002</v>
      </c>
      <c r="DG480">
        <f>49295.03421</f>
        <v>49295.034209999998</v>
      </c>
      <c r="DH480">
        <f>45325.29048</f>
        <v>45325.290480000003</v>
      </c>
      <c r="DI480">
        <f>48449.33436</f>
        <v>48449.334360000001</v>
      </c>
      <c r="DJ480">
        <f>48555.68896</f>
        <v>48555.688959999999</v>
      </c>
      <c r="DK480">
        <f>54401.95726</f>
        <v>54401.957260000003</v>
      </c>
      <c r="DL480">
        <f>50677.05799</f>
        <v>50677.057990000001</v>
      </c>
      <c r="DM480">
        <f>49365.72172</f>
        <v>49365.721720000001</v>
      </c>
      <c r="DN480">
        <f>53786.89391</f>
        <v>53786.893909999999</v>
      </c>
      <c r="DO480">
        <f>45793.46293</f>
        <v>45793.462930000002</v>
      </c>
      <c r="DP480">
        <f>51592.51882</f>
        <v>51592.518819999998</v>
      </c>
      <c r="DQ480">
        <f>44746.64111</f>
        <v>44746.641109999997</v>
      </c>
      <c r="DR480">
        <f>46345.76132</f>
        <v>46345.761319999998</v>
      </c>
      <c r="DS480">
        <f>48870.2216</f>
        <v>48870.221599999997</v>
      </c>
      <c r="DT480">
        <f>49348.29266</f>
        <v>49348.292659999999</v>
      </c>
      <c r="DU480">
        <f>50138.31129</f>
        <v>50138.311289999998</v>
      </c>
    </row>
    <row r="481" spans="1:125" x14ac:dyDescent="0.25">
      <c r="A481" t="str">
        <f>"    Peugeot SA"</f>
        <v xml:space="preserve">    Peugeot SA</v>
      </c>
      <c r="B481" t="str">
        <f>"UG FP Equity"</f>
        <v>UG FP Equity</v>
      </c>
      <c r="C481" t="str">
        <f t="shared" si="33"/>
        <v>RR902</v>
      </c>
      <c r="D481" t="str">
        <f t="shared" si="34"/>
        <v>CUR_MKT_CAP</v>
      </c>
      <c r="E481" t="str">
        <f t="shared" si="35"/>
        <v>Dynamic</v>
      </c>
      <c r="F481">
        <f ca="1">IF(AND(ISNUMBER($F$978),$B$511=1),$F$978,HLOOKUP(INDIRECT(ADDRESS(2,COLUMN())),OFFSET($BN$2,0,0,ROW()-1,60),ROW()-1,FALSE))</f>
        <v>23275.187689999999</v>
      </c>
      <c r="G481">
        <f ca="1">IF(AND(ISNUMBER($G$978),$B$511=1),$G$978,HLOOKUP(INDIRECT(ADDRESS(2,COLUMN())),OFFSET($BN$2,0,0,ROW()-1,60),ROW()-1,FALSE))</f>
        <v>19320.12183</v>
      </c>
      <c r="H481">
        <f ca="1">IF(AND(ISNUMBER($H$978),$B$511=1),$H$978,HLOOKUP(INDIRECT(ADDRESS(2,COLUMN())),OFFSET($BN$2,0,0,ROW()-1,60),ROW()-1,FALSE))</f>
        <v>24411.651709999998</v>
      </c>
      <c r="I481">
        <f ca="1">IF(AND(ISNUMBER($I$978),$B$511=1),$I$978,HLOOKUP(INDIRECT(ADDRESS(2,COLUMN())),OFFSET($BN$2,0,0,ROW()-1,60),ROW()-1,FALSE))</f>
        <v>20666.468209999999</v>
      </c>
      <c r="J481">
        <f ca="1">IF(AND(ISNUMBER($J$978),$B$511=1),$J$978,HLOOKUP(INDIRECT(ADDRESS(2,COLUMN())),OFFSET($BN$2,0,0,ROW()-1,60),ROW()-1,FALSE))</f>
        <v>21742.031169999998</v>
      </c>
      <c r="K481">
        <f ca="1">IF(AND(ISNUMBER($K$978),$B$511=1),$K$978,HLOOKUP(INDIRECT(ADDRESS(2,COLUMN())),OFFSET($BN$2,0,0,ROW()-1,60),ROW()-1,FALSE))</f>
        <v>18443.38582</v>
      </c>
      <c r="L481">
        <f ca="1">IF(AND(ISNUMBER($L$978),$B$511=1),$L$978,HLOOKUP(INDIRECT(ADDRESS(2,COLUMN())),OFFSET($BN$2,0,0,ROW()-1,60),ROW()-1,FALSE))</f>
        <v>21519.569469999999</v>
      </c>
      <c r="M481">
        <f ca="1">IF(AND(ISNUMBER($M$978),$B$511=1),$M$978,HLOOKUP(INDIRECT(ADDRESS(2,COLUMN())),OFFSET($BN$2,0,0,ROW()-1,60),ROW()-1,FALSE))</f>
        <v>18035.763340000001</v>
      </c>
      <c r="N481">
        <f ca="1">IF(AND(ISNUMBER($N$978),$B$511=1),$N$978,HLOOKUP(INDIRECT(ADDRESS(2,COLUMN())),OFFSET($BN$2,0,0,ROW()-1,60),ROW()-1,FALSE))</f>
        <v>17546.076499999999</v>
      </c>
      <c r="O481">
        <f ca="1">IF(AND(ISNUMBER($O$978),$B$511=1),$O$978,HLOOKUP(INDIRECT(ADDRESS(2,COLUMN())),OFFSET($BN$2,0,0,ROW()-1,60),ROW()-1,FALSE))</f>
        <v>13266.090459999999</v>
      </c>
      <c r="P481">
        <f ca="1">IF(AND(ISNUMBER($P$978),$B$511=1),$P$978,HLOOKUP(INDIRECT(ADDRESS(2,COLUMN())),OFFSET($BN$2,0,0,ROW()-1,60),ROW()-1,FALSE))</f>
        <v>12365.037329999999</v>
      </c>
      <c r="Q481">
        <f ca="1">IF(AND(ISNUMBER($Q$978),$B$511=1),$Q$978,HLOOKUP(INDIRECT(ADDRESS(2,COLUMN())),OFFSET($BN$2,0,0,ROW()-1,60),ROW()-1,FALSE))</f>
        <v>9695.9661049999995</v>
      </c>
      <c r="R481">
        <f ca="1">IF(AND(ISNUMBER($R$978),$B$511=1),$R$978,HLOOKUP(INDIRECT(ADDRESS(2,COLUMN())),OFFSET($BN$2,0,0,ROW()-1,60),ROW()-1,FALSE))</f>
        <v>13860.03606</v>
      </c>
      <c r="S481">
        <f ca="1">IF(AND(ISNUMBER($S$978),$B$511=1),$S$978,HLOOKUP(INDIRECT(ADDRESS(2,COLUMN())),OFFSET($BN$2,0,0,ROW()-1,60),ROW()-1,FALSE))</f>
        <v>14231.23984</v>
      </c>
      <c r="T481">
        <f ca="1">IF(AND(ISNUMBER($T$978),$B$511=1),$T$978,HLOOKUP(INDIRECT(ADDRESS(2,COLUMN())),OFFSET($BN$2,0,0,ROW()-1,60),ROW()-1,FALSE))</f>
        <v>12157.928669999999</v>
      </c>
      <c r="U481">
        <f ca="1">IF(AND(ISNUMBER($U$978),$B$511=1),$U$978,HLOOKUP(INDIRECT(ADDRESS(2,COLUMN())),OFFSET($BN$2,0,0,ROW()-1,60),ROW()-1,FALSE))</f>
        <v>16552.217140000001</v>
      </c>
      <c r="V481">
        <f ca="1">IF(AND(ISNUMBER($V$978),$B$511=1),$V$978,HLOOKUP(INDIRECT(ADDRESS(2,COLUMN())),OFFSET($BN$2,0,0,ROW()-1,60),ROW()-1,FALSE))</f>
        <v>13155.65696</v>
      </c>
      <c r="W481">
        <f ca="1">IF(AND(ISNUMBER($W$978),$B$511=1),$W$978,HLOOKUP(INDIRECT(ADDRESS(2,COLUMN())),OFFSET($BN$2,0,0,ROW()-1,60),ROW()-1,FALSE))</f>
        <v>9683.8312850000002</v>
      </c>
      <c r="X481">
        <f ca="1">IF(AND(ISNUMBER($X$978),$B$511=1),$X$978,HLOOKUP(INDIRECT(ADDRESS(2,COLUMN())),OFFSET($BN$2,0,0,ROW()-1,60),ROW()-1,FALSE))</f>
        <v>10042.916209999999</v>
      </c>
      <c r="Y481">
        <f ca="1">IF(AND(ISNUMBER($Y$978),$B$511=1),$Y$978,HLOOKUP(INDIRECT(ADDRESS(2,COLUMN())),OFFSET($BN$2,0,0,ROW()-1,60),ROW()-1,FALSE))</f>
        <v>11572.762570000001</v>
      </c>
      <c r="Z481">
        <f ca="1">IF(AND(ISNUMBER($Z$978),$B$511=1),$Z$978,HLOOKUP(INDIRECT(ADDRESS(2,COLUMN())),OFFSET($BN$2,0,0,ROW()-1,60),ROW()-1,FALSE))</f>
        <v>6692.7196780000004</v>
      </c>
      <c r="AA481">
        <f ca="1">IF(AND(ISNUMBER($AA$978),$B$511=1),$AA$978,HLOOKUP(INDIRECT(ADDRESS(2,COLUMN())),OFFSET($BN$2,0,0,ROW()-1,60),ROW()-1,FALSE))</f>
        <v>4618.0255260000004</v>
      </c>
      <c r="AB481">
        <f ca="1">IF(AND(ISNUMBER($AB$978),$B$511=1),$AB$978,HLOOKUP(INDIRECT(ADDRESS(2,COLUMN())),OFFSET($BN$2,0,0,ROW()-1,60),ROW()-1,FALSE))</f>
        <v>5833.7760939999998</v>
      </c>
      <c r="AC481">
        <f ca="1">IF(AND(ISNUMBER($AC$978),$B$511=1),$AC$978,HLOOKUP(INDIRECT(ADDRESS(2,COLUMN())),OFFSET($BN$2,0,0,ROW()-1,60),ROW()-1,FALSE))</f>
        <v>2918.8681040000001</v>
      </c>
      <c r="AD481">
        <f ca="1">IF(AND(ISNUMBER($AD$978),$B$511=1),$AD$978,HLOOKUP(INDIRECT(ADDRESS(2,COLUMN())),OFFSET($BN$2,0,0,ROW()-1,60),ROW()-1,FALSE))</f>
        <v>2570.6787340000001</v>
      </c>
      <c r="AE481">
        <f ca="1">IF(AND(ISNUMBER($AE$978),$B$511=1),$AE$978,HLOOKUP(INDIRECT(ADDRESS(2,COLUMN())),OFFSET($BN$2,0,0,ROW()-1,60),ROW()-1,FALSE))</f>
        <v>2562.0376999999999</v>
      </c>
      <c r="AF481">
        <f ca="1">IF(AND(ISNUMBER($AF$978),$B$511=1),$AF$978,HLOOKUP(INDIRECT(ADDRESS(2,COLUMN())),OFFSET($BN$2,0,0,ROW()-1,60),ROW()-1,FALSE))</f>
        <v>2809.9569630000001</v>
      </c>
      <c r="AG481">
        <f ca="1">IF(AND(ISNUMBER($AG$978),$B$511=1),$AG$978,HLOOKUP(INDIRECT(ADDRESS(2,COLUMN())),OFFSET($BN$2,0,0,ROW()-1,60),ROW()-1,FALSE))</f>
        <v>3480.4726409999998</v>
      </c>
      <c r="AH481">
        <f ca="1">IF(AND(ISNUMBER($AH$978),$B$511=1),$AH$978,HLOOKUP(INDIRECT(ADDRESS(2,COLUMN())),OFFSET($BN$2,0,0,ROW()-1,60),ROW()-1,FALSE))</f>
        <v>5712.4975770000001</v>
      </c>
      <c r="AI481">
        <f ca="1">IF(AND(ISNUMBER($AI$978),$B$511=1),$AI$978,HLOOKUP(INDIRECT(ADDRESS(2,COLUMN())),OFFSET($BN$2,0,0,ROW()-1,60),ROW()-1,FALSE))</f>
        <v>3673.2991229999998</v>
      </c>
      <c r="AJ481">
        <f ca="1">IF(AND(ISNUMBER($AJ$978),$B$511=1),$AJ$978,HLOOKUP(INDIRECT(ADDRESS(2,COLUMN())),OFFSET($BN$2,0,0,ROW()-1,60),ROW()-1,FALSE))</f>
        <v>5088.2996990000001</v>
      </c>
      <c r="AK481">
        <f ca="1">IF(AND(ISNUMBER($AK$978),$B$511=1),$AK$978,HLOOKUP(INDIRECT(ADDRESS(2,COLUMN())),OFFSET($BN$2,0,0,ROW()-1,60),ROW()-1,FALSE))</f>
        <v>10483.614009999999</v>
      </c>
      <c r="AL481">
        <f ca="1">IF(AND(ISNUMBER($AL$978),$B$511=1),$AL$978,HLOOKUP(INDIRECT(ADDRESS(2,COLUMN())),OFFSET($BN$2,0,0,ROW()-1,60),ROW()-1,FALSE))</f>
        <v>9259.3886930000008</v>
      </c>
      <c r="AM481">
        <f ca="1">IF(AND(ISNUMBER($AM$978),$B$511=1),$AM$978,HLOOKUP(INDIRECT(ADDRESS(2,COLUMN())),OFFSET($BN$2,0,0,ROW()-1,60),ROW()-1,FALSE))</f>
        <v>8887.5046509999993</v>
      </c>
      <c r="AN481">
        <f ca="1">IF(AND(ISNUMBER($AN$978),$B$511=1),$AN$978,HLOOKUP(INDIRECT(ADDRESS(2,COLUMN())),OFFSET($BN$2,0,0,ROW()-1,60),ROW()-1,FALSE))</f>
        <v>7862.5854410000002</v>
      </c>
      <c r="AO481">
        <f ca="1">IF(AND(ISNUMBER($AO$978),$B$511=1),$AO$978,HLOOKUP(INDIRECT(ADDRESS(2,COLUMN())),OFFSET($BN$2,0,0,ROW()-1,60),ROW()-1,FALSE))</f>
        <v>6043.0005000000001</v>
      </c>
      <c r="AP481">
        <f ca="1">IF(AND(ISNUMBER($AP$978),$B$511=1),$AP$978,HLOOKUP(INDIRECT(ADDRESS(2,COLUMN())),OFFSET($BN$2,0,0,ROW()-1,60),ROW()-1,FALSE))</f>
        <v>6904.9039380000004</v>
      </c>
      <c r="AQ481">
        <f ca="1">IF(AND(ISNUMBER($AQ$978),$B$511=1),$AQ$978,HLOOKUP(INDIRECT(ADDRESS(2,COLUMN())),OFFSET($BN$2,0,0,ROW()-1,60),ROW()-1,FALSE))</f>
        <v>7937.6157309999999</v>
      </c>
      <c r="AR481">
        <f ca="1">IF(AND(ISNUMBER($AR$978),$B$511=1),$AR$978,HLOOKUP(INDIRECT(ADDRESS(2,COLUMN())),OFFSET($BN$2,0,0,ROW()-1,60),ROW()-1,FALSE))</f>
        <v>7140.522328</v>
      </c>
      <c r="AS481">
        <f ca="1">IF(AND(ISNUMBER($AS$978),$B$511=1),$AS$978,HLOOKUP(INDIRECT(ADDRESS(2,COLUMN())),OFFSET($BN$2,0,0,ROW()-1,60),ROW()-1,FALSE))</f>
        <v>6155.8578550000002</v>
      </c>
      <c r="AT481">
        <f ca="1">IF(AND(ISNUMBER($AT$978),$B$511=1),$AT$978,HLOOKUP(INDIRECT(ADDRESS(2,COLUMN())),OFFSET($BN$2,0,0,ROW()-1,60),ROW()-1,FALSE))</f>
        <v>4409.0337179999997</v>
      </c>
      <c r="AU481">
        <f ca="1">IF(AND(ISNUMBER($AU$978),$B$511=1),$AU$978,HLOOKUP(INDIRECT(ADDRESS(2,COLUMN())),OFFSET($BN$2,0,0,ROW()-1,60),ROW()-1,FALSE))</f>
        <v>3967.8046909999998</v>
      </c>
      <c r="AV481">
        <f ca="1">IF(AND(ISNUMBER($AV$978),$B$511=1),$AV$978,HLOOKUP(INDIRECT(ADDRESS(2,COLUMN())),OFFSET($BN$2,0,0,ROW()-1,60),ROW()-1,FALSE))</f>
        <v>8681.3478309999991</v>
      </c>
      <c r="AW481">
        <f ca="1">IF(AND(ISNUMBER($AW$978),$B$511=1),$AW$978,HLOOKUP(INDIRECT(ADDRESS(2,COLUMN())),OFFSET($BN$2,0,0,ROW()-1,60),ROW()-1,FALSE))</f>
        <v>12715.20364</v>
      </c>
      <c r="AX481">
        <f ca="1">IF(AND(ISNUMBER($AX$978),$B$511=1),$AX$978,HLOOKUP(INDIRECT(ADDRESS(2,COLUMN())),OFFSET($BN$2,0,0,ROW()-1,60),ROW()-1,FALSE))</f>
        <v>18189.054</v>
      </c>
      <c r="AY481">
        <f ca="1">IF(AND(ISNUMBER($AY$978),$B$511=1),$AY$978,HLOOKUP(INDIRECT(ADDRESS(2,COLUMN())),OFFSET($BN$2,0,0,ROW()-1,60),ROW()-1,FALSE))</f>
        <v>17714.602650000001</v>
      </c>
      <c r="AZ481">
        <f ca="1">IF(AND(ISNUMBER($AZ$978),$B$511=1),$AZ$978,HLOOKUP(INDIRECT(ADDRESS(2,COLUMN())),OFFSET($BN$2,0,0,ROW()-1,60),ROW()-1,FALSE))</f>
        <v>19330.713319999999</v>
      </c>
      <c r="BA481">
        <f ca="1">IF(AND(ISNUMBER($BA$978),$B$511=1),$BA$978,HLOOKUP(INDIRECT(ADDRESS(2,COLUMN())),OFFSET($BN$2,0,0,ROW()-1,60),ROW()-1,FALSE))</f>
        <v>18987.697609999999</v>
      </c>
      <c r="BB481">
        <f ca="1">IF(AND(ISNUMBER($BB$978),$B$511=1),$BB$978,HLOOKUP(INDIRECT(ADDRESS(2,COLUMN())),OFFSET($BN$2,0,0,ROW()-1,60),ROW()-1,FALSE))</f>
        <v>16551.240979999999</v>
      </c>
      <c r="BC481">
        <f ca="1">IF(AND(ISNUMBER($BC$978),$B$511=1),$BC$978,HLOOKUP(INDIRECT(ADDRESS(2,COLUMN())),OFFSET($BN$2,0,0,ROW()-1,60),ROW()-1,FALSE))</f>
        <v>15533.791499999999</v>
      </c>
      <c r="BD481">
        <f ca="1">IF(AND(ISNUMBER($BD$978),$B$511=1),$BD$978,HLOOKUP(INDIRECT(ADDRESS(2,COLUMN())),OFFSET($BN$2,0,0,ROW()-1,60),ROW()-1,FALSE))</f>
        <v>13235.90748</v>
      </c>
      <c r="BE481">
        <f ca="1">IF(AND(ISNUMBER($BE$978),$B$511=1),$BE$978,HLOOKUP(INDIRECT(ADDRESS(2,COLUMN())),OFFSET($BN$2,0,0,ROW()-1,60),ROW()-1,FALSE))</f>
        <v>14593.02959</v>
      </c>
      <c r="BF481">
        <f ca="1">IF(AND(ISNUMBER($BF$978),$B$511=1),$BF$978,HLOOKUP(INDIRECT(ADDRESS(2,COLUMN())),OFFSET($BN$2,0,0,ROW()-1,60),ROW()-1,FALSE))</f>
        <v>14809.76412</v>
      </c>
      <c r="BG481">
        <f ca="1">IF(AND(ISNUMBER($BG$978),$B$511=1),$BG$978,HLOOKUP(INDIRECT(ADDRESS(2,COLUMN())),OFFSET($BN$2,0,0,ROW()-1,60),ROW()-1,FALSE))</f>
        <v>13520.28081</v>
      </c>
      <c r="BH481">
        <f ca="1">IF(AND(ISNUMBER($BH$978),$B$511=1),$BH$978,HLOOKUP(INDIRECT(ADDRESS(2,COLUMN())),OFFSET($BN$2,0,0,ROW()-1,60),ROW()-1,FALSE))</f>
        <v>16524.004000000001</v>
      </c>
      <c r="BI481">
        <f ca="1">IF(AND(ISNUMBER($BI$978),$B$511=1),$BI$978,HLOOKUP(INDIRECT(ADDRESS(2,COLUMN())),OFFSET($BN$2,0,0,ROW()-1,60),ROW()-1,FALSE))</f>
        <v>14400.910830000001</v>
      </c>
      <c r="BJ481">
        <f ca="1">IF(AND(ISNUMBER($BJ$978),$B$511=1),$BJ$978,HLOOKUP(INDIRECT(ADDRESS(2,COLUMN())),OFFSET($BN$2,0,0,ROW()-1,60),ROW()-1,FALSE))</f>
        <v>15454.23546</v>
      </c>
      <c r="BK481">
        <f ca="1">IF(AND(ISNUMBER($BK$978),$B$511=1),$BK$978,HLOOKUP(INDIRECT(ADDRESS(2,COLUMN())),OFFSET($BN$2,0,0,ROW()-1,60),ROW()-1,FALSE))</f>
        <v>15390.39112</v>
      </c>
      <c r="BL481">
        <f ca="1">IF(AND(ISNUMBER($BL$978),$B$511=1),$BL$978,HLOOKUP(INDIRECT(ADDRESS(2,COLUMN())),OFFSET($BN$2,0,0,ROW()-1,60),ROW()-1,FALSE))</f>
        <v>14985.945100000001</v>
      </c>
      <c r="BM481">
        <f ca="1">IF(AND(ISNUMBER($BM$978),$B$511=1),$BM$978,HLOOKUP(INDIRECT(ADDRESS(2,COLUMN())),OFFSET($BN$2,0,0,ROW()-1,60),ROW()-1,FALSE))</f>
        <v>13540.57228</v>
      </c>
      <c r="BN481">
        <f>23275.18769</f>
        <v>23275.187689999999</v>
      </c>
      <c r="BO481">
        <f>19320.12183</f>
        <v>19320.12183</v>
      </c>
      <c r="BP481">
        <f>24411.65171</f>
        <v>24411.651709999998</v>
      </c>
      <c r="BQ481">
        <f>20666.46821</f>
        <v>20666.468209999999</v>
      </c>
      <c r="BR481">
        <f>21742.03117</f>
        <v>21742.031169999998</v>
      </c>
      <c r="BS481">
        <f>18443.38582</f>
        <v>18443.38582</v>
      </c>
      <c r="BT481">
        <f>21519.56947</f>
        <v>21519.569469999999</v>
      </c>
      <c r="BU481">
        <f>18035.76334</f>
        <v>18035.763340000001</v>
      </c>
      <c r="BV481">
        <f>17546.0765</f>
        <v>17546.076499999999</v>
      </c>
      <c r="BW481">
        <f>13266.09046</f>
        <v>13266.090459999999</v>
      </c>
      <c r="BX481">
        <f>12365.03733</f>
        <v>12365.037329999999</v>
      </c>
      <c r="BY481">
        <f>9695.966105</f>
        <v>9695.9661049999995</v>
      </c>
      <c r="BZ481">
        <f>13860.03606</f>
        <v>13860.03606</v>
      </c>
      <c r="CA481">
        <f>14231.23984</f>
        <v>14231.23984</v>
      </c>
      <c r="CB481">
        <f>12157.92867</f>
        <v>12157.928669999999</v>
      </c>
      <c r="CC481">
        <f>16552.21714</f>
        <v>16552.217140000001</v>
      </c>
      <c r="CD481">
        <f>13155.65696</f>
        <v>13155.65696</v>
      </c>
      <c r="CE481">
        <f>9683.831285</f>
        <v>9683.8312850000002</v>
      </c>
      <c r="CF481">
        <f>10042.91621</f>
        <v>10042.916209999999</v>
      </c>
      <c r="CG481">
        <f>11572.76257</f>
        <v>11572.762570000001</v>
      </c>
      <c r="CH481">
        <f>6692.719678</f>
        <v>6692.7196780000004</v>
      </c>
      <c r="CI481">
        <f>4618.025526</f>
        <v>4618.0255260000004</v>
      </c>
      <c r="CJ481">
        <f>5833.776094</f>
        <v>5833.7760939999998</v>
      </c>
      <c r="CK481">
        <f>2918.868104</f>
        <v>2918.8681040000001</v>
      </c>
      <c r="CL481">
        <f>2570.678734</f>
        <v>2570.6787340000001</v>
      </c>
      <c r="CM481">
        <f>2562.0377</f>
        <v>2562.0376999999999</v>
      </c>
      <c r="CN481">
        <f>2809.956963</f>
        <v>2809.9569630000001</v>
      </c>
      <c r="CO481">
        <f>3480.472641</f>
        <v>3480.4726409999998</v>
      </c>
      <c r="CP481">
        <f>5712.497577</f>
        <v>5712.4975770000001</v>
      </c>
      <c r="CQ481">
        <f>3673.299123</f>
        <v>3673.2991229999998</v>
      </c>
      <c r="CR481">
        <f>5088.299699</f>
        <v>5088.2996990000001</v>
      </c>
      <c r="CS481">
        <f>10483.61401</f>
        <v>10483.614009999999</v>
      </c>
      <c r="CT481">
        <f>9259.388693</f>
        <v>9259.3886930000008</v>
      </c>
      <c r="CU481">
        <f>8887.504651</f>
        <v>8887.5046509999993</v>
      </c>
      <c r="CV481">
        <f>7862.585441</f>
        <v>7862.5854410000002</v>
      </c>
      <c r="CW481">
        <f>6043.0005</f>
        <v>6043.0005000000001</v>
      </c>
      <c r="CX481">
        <f>6904.903938</f>
        <v>6904.9039380000004</v>
      </c>
      <c r="CY481">
        <f>7937.615731</f>
        <v>7937.6157309999999</v>
      </c>
      <c r="CZ481">
        <f>7140.522328</f>
        <v>7140.522328</v>
      </c>
      <c r="DA481">
        <f>6155.857855</f>
        <v>6155.8578550000002</v>
      </c>
      <c r="DB481">
        <f>4409.033718</f>
        <v>4409.0337179999997</v>
      </c>
      <c r="DC481">
        <f>3967.804691</f>
        <v>3967.8046909999998</v>
      </c>
      <c r="DD481">
        <f>8681.347831</f>
        <v>8681.3478309999991</v>
      </c>
      <c r="DE481">
        <f>12715.20364</f>
        <v>12715.20364</v>
      </c>
      <c r="DF481">
        <f>18189.054</f>
        <v>18189.054</v>
      </c>
      <c r="DG481">
        <f>17714.60265</f>
        <v>17714.602650000001</v>
      </c>
      <c r="DH481">
        <f>19330.71332</f>
        <v>19330.713319999999</v>
      </c>
      <c r="DI481">
        <f>18987.69761</f>
        <v>18987.697609999999</v>
      </c>
      <c r="DJ481">
        <f>16551.24098</f>
        <v>16551.240979999999</v>
      </c>
      <c r="DK481">
        <f>15533.7915</f>
        <v>15533.791499999999</v>
      </c>
      <c r="DL481">
        <f>13235.90748</f>
        <v>13235.90748</v>
      </c>
      <c r="DM481">
        <f>14593.02959</f>
        <v>14593.02959</v>
      </c>
      <c r="DN481">
        <f>14809.76412</f>
        <v>14809.76412</v>
      </c>
      <c r="DO481">
        <f>13520.28081</f>
        <v>13520.28081</v>
      </c>
      <c r="DP481">
        <f>16524.004</f>
        <v>16524.004000000001</v>
      </c>
      <c r="DQ481">
        <f>14400.91083</f>
        <v>14400.910830000001</v>
      </c>
      <c r="DR481">
        <f>15454.23546</f>
        <v>15454.23546</v>
      </c>
      <c r="DS481">
        <f>15390.39112</f>
        <v>15390.39112</v>
      </c>
      <c r="DT481">
        <f>14985.9451</f>
        <v>14985.945100000001</v>
      </c>
      <c r="DU481">
        <f>13540.57228</f>
        <v>13540.57228</v>
      </c>
    </row>
    <row r="482" spans="1:125" x14ac:dyDescent="0.25">
      <c r="A482" t="str">
        <f>"    Renault SA"</f>
        <v xml:space="preserve">    Renault SA</v>
      </c>
      <c r="B482" t="str">
        <f>"RNO FP Equity"</f>
        <v>RNO FP Equity</v>
      </c>
      <c r="C482" t="str">
        <f t="shared" si="33"/>
        <v>RR902</v>
      </c>
      <c r="D482" t="str">
        <f t="shared" si="34"/>
        <v>CUR_MKT_CAP</v>
      </c>
      <c r="E482" t="str">
        <f t="shared" si="35"/>
        <v>Dynamic</v>
      </c>
      <c r="F482">
        <f ca="1">IF(AND(ISNUMBER($F$979),$B$511=1),$F$979,HLOOKUP(INDIRECT(ADDRESS(2,COLUMN())),OFFSET($BN$2,0,0,ROW()-1,60),ROW()-1,FALSE))</f>
        <v>20044.353309999999</v>
      </c>
      <c r="G482">
        <f ca="1">IF(AND(ISNUMBER($G$979),$B$511=1),$G$979,HLOOKUP(INDIRECT(ADDRESS(2,COLUMN())),OFFSET($BN$2,0,0,ROW()-1,60),ROW()-1,FALSE))</f>
        <v>18473.966260000001</v>
      </c>
      <c r="H482">
        <f ca="1">IF(AND(ISNUMBER($H$979),$B$511=1),$H$979,HLOOKUP(INDIRECT(ADDRESS(2,COLUMN())),OFFSET($BN$2,0,0,ROW()-1,60),ROW()-1,FALSE))</f>
        <v>25587.163619999999</v>
      </c>
      <c r="I482">
        <f ca="1">IF(AND(ISNUMBER($I$979),$B$511=1),$I$979,HLOOKUP(INDIRECT(ADDRESS(2,COLUMN())),OFFSET($BN$2,0,0,ROW()-1,60),ROW()-1,FALSE))</f>
        <v>25149.284970000001</v>
      </c>
      <c r="J482">
        <f ca="1">IF(AND(ISNUMBER($J$979),$B$511=1),$J$979,HLOOKUP(INDIRECT(ADDRESS(2,COLUMN())),OFFSET($BN$2,0,0,ROW()-1,60),ROW()-1,FALSE))</f>
        <v>35802.017540000001</v>
      </c>
      <c r="K482">
        <f ca="1">IF(AND(ISNUMBER($K$979),$B$511=1),$K$979,HLOOKUP(INDIRECT(ADDRESS(2,COLUMN())),OFFSET($BN$2,0,0,ROW()-1,60),ROW()-1,FALSE))</f>
        <v>29831.459149999999</v>
      </c>
      <c r="L482">
        <f ca="1">IF(AND(ISNUMBER($L$979),$B$511=1),$L$979,HLOOKUP(INDIRECT(ADDRESS(2,COLUMN())),OFFSET($BN$2,0,0,ROW()-1,60),ROW()-1,FALSE))</f>
        <v>29008.799080000001</v>
      </c>
      <c r="M482">
        <f ca="1">IF(AND(ISNUMBER($M$979),$B$511=1),$M$979,HLOOKUP(INDIRECT(ADDRESS(2,COLUMN())),OFFSET($BN$2,0,0,ROW()-1,60),ROW()-1,FALSE))</f>
        <v>26747.497080000001</v>
      </c>
      <c r="N482">
        <f ca="1">IF(AND(ISNUMBER($N$979),$B$511=1),$N$979,HLOOKUP(INDIRECT(ADDRESS(2,COLUMN())),OFFSET($BN$2,0,0,ROW()-1,60),ROW()-1,FALSE))</f>
        <v>25759.088500000002</v>
      </c>
      <c r="O482">
        <f ca="1">IF(AND(ISNUMBER($O$979),$B$511=1),$O$979,HLOOKUP(INDIRECT(ADDRESS(2,COLUMN())),OFFSET($BN$2,0,0,ROW()-1,60),ROW()-1,FALSE))</f>
        <v>26358.525269999998</v>
      </c>
      <c r="P482">
        <f ca="1">IF(AND(ISNUMBER($P$979),$B$511=1),$P$979,HLOOKUP(INDIRECT(ADDRESS(2,COLUMN())),OFFSET($BN$2,0,0,ROW()-1,60),ROW()-1,FALSE))</f>
        <v>24285.185249999999</v>
      </c>
      <c r="Q482">
        <f ca="1">IF(AND(ISNUMBER($Q$979),$B$511=1),$Q$979,HLOOKUP(INDIRECT(ADDRESS(2,COLUMN())),OFFSET($BN$2,0,0,ROW()-1,60),ROW()-1,FALSE))</f>
        <v>22410.903289999998</v>
      </c>
      <c r="R482">
        <f ca="1">IF(AND(ISNUMBER($R$979),$B$511=1),$R$979,HLOOKUP(INDIRECT(ADDRESS(2,COLUMN())),OFFSET($BN$2,0,0,ROW()-1,60),ROW()-1,FALSE))</f>
        <v>29388.553520000001</v>
      </c>
      <c r="S482">
        <f ca="1">IF(AND(ISNUMBER($S$979),$B$511=1),$S$979,HLOOKUP(INDIRECT(ADDRESS(2,COLUMN())),OFFSET($BN$2,0,0,ROW()-1,60),ROW()-1,FALSE))</f>
        <v>29764.968369999999</v>
      </c>
      <c r="T482">
        <f ca="1">IF(AND(ISNUMBER($T$979),$B$511=1),$T$979,HLOOKUP(INDIRECT(ADDRESS(2,COLUMN())),OFFSET($BN$2,0,0,ROW()-1,60),ROW()-1,FALSE))</f>
        <v>21163.306540000001</v>
      </c>
      <c r="U482">
        <f ca="1">IF(AND(ISNUMBER($U$979),$B$511=1),$U$979,HLOOKUP(INDIRECT(ADDRESS(2,COLUMN())),OFFSET($BN$2,0,0,ROW()-1,60),ROW()-1,FALSE))</f>
        <v>30811.697530000001</v>
      </c>
      <c r="V482">
        <f ca="1">IF(AND(ISNUMBER($V$979),$B$511=1),$V$979,HLOOKUP(INDIRECT(ADDRESS(2,COLUMN())),OFFSET($BN$2,0,0,ROW()-1,60),ROW()-1,FALSE))</f>
        <v>26893.356479999999</v>
      </c>
      <c r="W482">
        <f ca="1">IF(AND(ISNUMBER($W$979),$B$511=1),$W$979,HLOOKUP(INDIRECT(ADDRESS(2,COLUMN())),OFFSET($BN$2,0,0,ROW()-1,60),ROW()-1,FALSE))</f>
        <v>21659.08496</v>
      </c>
      <c r="X482">
        <f ca="1">IF(AND(ISNUMBER($X$979),$B$511=1),$X$979,HLOOKUP(INDIRECT(ADDRESS(2,COLUMN())),OFFSET($BN$2,0,0,ROW()-1,60),ROW()-1,FALSE))</f>
        <v>21418.371449999999</v>
      </c>
      <c r="Y482">
        <f ca="1">IF(AND(ISNUMBER($Y$979),$B$511=1),$Y$979,HLOOKUP(INDIRECT(ADDRESS(2,COLUMN())),OFFSET($BN$2,0,0,ROW()-1,60),ROW()-1,FALSE))</f>
        <v>26731.83711</v>
      </c>
      <c r="Z482">
        <f ca="1">IF(AND(ISNUMBER($Z$979),$B$511=1),$Z$979,HLOOKUP(INDIRECT(ADDRESS(2,COLUMN())),OFFSET($BN$2,0,0,ROW()-1,60),ROW()-1,FALSE))</f>
        <v>28728.73677</v>
      </c>
      <c r="AA482">
        <f ca="1">IF(AND(ISNUMBER($AA$979),$B$511=1),$AA$979,HLOOKUP(INDIRECT(ADDRESS(2,COLUMN())),OFFSET($BN$2,0,0,ROW()-1,60),ROW()-1,FALSE))</f>
        <v>23834.242170000001</v>
      </c>
      <c r="AB482">
        <f ca="1">IF(AND(ISNUMBER($AB$979),$B$511=1),$AB$979,HLOOKUP(INDIRECT(ADDRESS(2,COLUMN())),OFFSET($BN$2,0,0,ROW()-1,60),ROW()-1,FALSE))</f>
        <v>23580.358080000002</v>
      </c>
      <c r="AC482">
        <f ca="1">IF(AND(ISNUMBER($AC$979),$B$511=1),$AC$979,HLOOKUP(INDIRECT(ADDRESS(2,COLUMN())),OFFSET($BN$2,0,0,ROW()-1,60),ROW()-1,FALSE))</f>
        <v>19883.13953</v>
      </c>
      <c r="AD482">
        <f ca="1">IF(AND(ISNUMBER($AD$979),$B$511=1),$AD$979,HLOOKUP(INDIRECT(ADDRESS(2,COLUMN())),OFFSET($BN$2,0,0,ROW()-1,60),ROW()-1,FALSE))</f>
        <v>18532.184000000001</v>
      </c>
      <c r="AE482">
        <f ca="1">IF(AND(ISNUMBER($AE$979),$B$511=1),$AE$979,HLOOKUP(INDIRECT(ADDRESS(2,COLUMN())),OFFSET($BN$2,0,0,ROW()-1,60),ROW()-1,FALSE))</f>
        <v>15877.91957</v>
      </c>
      <c r="AF482">
        <f ca="1">IF(AND(ISNUMBER($AF$979),$B$511=1),$AF$979,HLOOKUP(INDIRECT(ADDRESS(2,COLUMN())),OFFSET($BN$2,0,0,ROW()-1,60),ROW()-1,FALSE))</f>
        <v>13905.794190000001</v>
      </c>
      <c r="AG482">
        <f ca="1">IF(AND(ISNUMBER($AG$979),$B$511=1),$AG$979,HLOOKUP(INDIRECT(ADDRESS(2,COLUMN())),OFFSET($BN$2,0,0,ROW()-1,60),ROW()-1,FALSE))</f>
        <v>11762.27838</v>
      </c>
      <c r="AH482">
        <f ca="1">IF(AND(ISNUMBER($AH$979),$B$511=1),$AH$979,HLOOKUP(INDIRECT(ADDRESS(2,COLUMN())),OFFSET($BN$2,0,0,ROW()-1,60),ROW()-1,FALSE))</f>
        <v>15583.006230000001</v>
      </c>
      <c r="AI482">
        <f ca="1">IF(AND(ISNUMBER($AI$979),$B$511=1),$AI$979,HLOOKUP(INDIRECT(ADDRESS(2,COLUMN())),OFFSET($BN$2,0,0,ROW()-1,60),ROW()-1,FALSE))</f>
        <v>10271.26316</v>
      </c>
      <c r="AJ482">
        <f ca="1">IF(AND(ISNUMBER($AJ$979),$B$511=1),$AJ$979,HLOOKUP(INDIRECT(ADDRESS(2,COLUMN())),OFFSET($BN$2,0,0,ROW()-1,60),ROW()-1,FALSE))</f>
        <v>9970.7628800000002</v>
      </c>
      <c r="AK482">
        <f ca="1">IF(AND(ISNUMBER($AK$979),$B$511=1),$AK$979,HLOOKUP(INDIRECT(ADDRESS(2,COLUMN())),OFFSET($BN$2,0,0,ROW()-1,60),ROW()-1,FALSE))</f>
        <v>17543.469059999999</v>
      </c>
      <c r="AL482">
        <f ca="1">IF(AND(ISNUMBER($AL$979),$B$511=1),$AL$979,HLOOKUP(INDIRECT(ADDRESS(2,COLUMN())),OFFSET($BN$2,0,0,ROW()-1,60),ROW()-1,FALSE))</f>
        <v>16369.76355</v>
      </c>
      <c r="AM482">
        <f ca="1">IF(AND(ISNUMBER($AM$979),$B$511=1),$AM$979,HLOOKUP(INDIRECT(ADDRESS(2,COLUMN())),OFFSET($BN$2,0,0,ROW()-1,60),ROW()-1,FALSE))</f>
        <v>17193.914959999998</v>
      </c>
      <c r="AN482">
        <f ca="1">IF(AND(ISNUMBER($AN$979),$B$511=1),$AN$979,HLOOKUP(INDIRECT(ADDRESS(2,COLUMN())),OFFSET($BN$2,0,0,ROW()-1,60),ROW()-1,FALSE))</f>
        <v>15202.695530000001</v>
      </c>
      <c r="AO482">
        <f ca="1">IF(AND(ISNUMBER($AO$979),$B$511=1),$AO$979,HLOOKUP(INDIRECT(ADDRESS(2,COLUMN())),OFFSET($BN$2,0,0,ROW()-1,60),ROW()-1,FALSE))</f>
        <v>11158.54077</v>
      </c>
      <c r="AP482">
        <f ca="1">IF(AND(ISNUMBER($AP$979),$B$511=1),$AP$979,HLOOKUP(INDIRECT(ADDRESS(2,COLUMN())),OFFSET($BN$2,0,0,ROW()-1,60),ROW()-1,FALSE))</f>
        <v>13380.50675</v>
      </c>
      <c r="AQ482">
        <f ca="1">IF(AND(ISNUMBER($AQ$979),$B$511=1),$AQ$979,HLOOKUP(INDIRECT(ADDRESS(2,COLUMN())),OFFSET($BN$2,0,0,ROW()-1,60),ROW()-1,FALSE))</f>
        <v>14782.02973</v>
      </c>
      <c r="AR482">
        <f ca="1">IF(AND(ISNUMBER($AR$979),$B$511=1),$AR$979,HLOOKUP(INDIRECT(ADDRESS(2,COLUMN())),OFFSET($BN$2,0,0,ROW()-1,60),ROW()-1,FALSE))</f>
        <v>13295.1423</v>
      </c>
      <c r="AS482">
        <f ca="1">IF(AND(ISNUMBER($AS$979),$B$511=1),$AS$979,HLOOKUP(INDIRECT(ADDRESS(2,COLUMN())),OFFSET($BN$2,0,0,ROW()-1,60),ROW()-1,FALSE))</f>
        <v>10476.80961</v>
      </c>
      <c r="AT482">
        <f ca="1">IF(AND(ISNUMBER($AT$979),$B$511=1),$AT$979,HLOOKUP(INDIRECT(ADDRESS(2,COLUMN())),OFFSET($BN$2,0,0,ROW()-1,60),ROW()-1,FALSE))</f>
        <v>5836.9669059999997</v>
      </c>
      <c r="AU482">
        <f ca="1">IF(AND(ISNUMBER($AU$979),$B$511=1),$AU$979,HLOOKUP(INDIRECT(ADDRESS(2,COLUMN())),OFFSET($BN$2,0,0,ROW()-1,60),ROW()-1,FALSE))</f>
        <v>7374.9743310000003</v>
      </c>
      <c r="AV482">
        <f ca="1">IF(AND(ISNUMBER($AV$979),$B$511=1),$AV$979,HLOOKUP(INDIRECT(ADDRESS(2,COLUMN())),OFFSET($BN$2,0,0,ROW()-1,60),ROW()-1,FALSE))</f>
        <v>17857.311150000001</v>
      </c>
      <c r="AW482">
        <f ca="1">IF(AND(ISNUMBER($AW$979),$B$511=1),$AW$979,HLOOKUP(INDIRECT(ADDRESS(2,COLUMN())),OFFSET($BN$2,0,0,ROW()-1,60),ROW()-1,FALSE))</f>
        <v>23360.443039999998</v>
      </c>
      <c r="AX482">
        <f ca="1">IF(AND(ISNUMBER($AX$979),$B$511=1),$AX$979,HLOOKUP(INDIRECT(ADDRESS(2,COLUMN())),OFFSET($BN$2,0,0,ROW()-1,60),ROW()-1,FALSE))</f>
        <v>31577.040369999999</v>
      </c>
      <c r="AY482">
        <f ca="1">IF(AND(ISNUMBER($AY$979),$B$511=1),$AY$979,HLOOKUP(INDIRECT(ADDRESS(2,COLUMN())),OFFSET($BN$2,0,0,ROW()-1,60),ROW()-1,FALSE))</f>
        <v>40309.961669999997</v>
      </c>
      <c r="AZ482">
        <f ca="1">IF(AND(ISNUMBER($AZ$979),$B$511=1),$AZ$979,HLOOKUP(INDIRECT(ADDRESS(2,COLUMN())),OFFSET($BN$2,0,0,ROW()-1,60),ROW()-1,FALSE))</f>
        <v>41217.881560000002</v>
      </c>
      <c r="BA482">
        <f ca="1">IF(AND(ISNUMBER($BA$979),$B$511=1),$BA$979,HLOOKUP(INDIRECT(ADDRESS(2,COLUMN())),OFFSET($BN$2,0,0,ROW()-1,60),ROW()-1,FALSE))</f>
        <v>45985.001250000001</v>
      </c>
      <c r="BB482">
        <f ca="1">IF(AND(ISNUMBER($BB$979),$B$511=1),$BB$979,HLOOKUP(INDIRECT(ADDRESS(2,COLUMN())),OFFSET($BN$2,0,0,ROW()-1,60),ROW()-1,FALSE))</f>
        <v>33355.622040000002</v>
      </c>
      <c r="BC482">
        <f ca="1">IF(AND(ISNUMBER($BC$979),$B$511=1),$BC$979,HLOOKUP(INDIRECT(ADDRESS(2,COLUMN())),OFFSET($BN$2,0,0,ROW()-1,60),ROW()-1,FALSE))</f>
        <v>34198.122640000001</v>
      </c>
      <c r="BD482">
        <f ca="1">IF(AND(ISNUMBER($BD$979),$B$511=1),$BD$979,HLOOKUP(INDIRECT(ADDRESS(2,COLUMN())),OFFSET($BN$2,0,0,ROW()-1,60),ROW()-1,FALSE))</f>
        <v>32695.07087</v>
      </c>
      <c r="BE482">
        <f ca="1">IF(AND(ISNUMBER($BE$979),$B$511=1),$BE$979,HLOOKUP(INDIRECT(ADDRESS(2,COLUMN())),OFFSET($BN$2,0,0,ROW()-1,60),ROW()-1,FALSE))</f>
        <v>30600.53527</v>
      </c>
      <c r="BF482">
        <f ca="1">IF(AND(ISNUMBER($BF$979),$B$511=1),$BF$979,HLOOKUP(INDIRECT(ADDRESS(2,COLUMN())),OFFSET($BN$2,0,0,ROW()-1,60),ROW()-1,FALSE))</f>
        <v>30351.412130000001</v>
      </c>
      <c r="BG482">
        <f ca="1">IF(AND(ISNUMBER($BG$979),$B$511=1),$BG$979,HLOOKUP(INDIRECT(ADDRESS(2,COLUMN())),OFFSET($BN$2,0,0,ROW()-1,60),ROW()-1,FALSE))</f>
        <v>23230.735059999999</v>
      </c>
      <c r="BH482">
        <f ca="1">IF(AND(ISNUMBER($BH$979),$B$511=1),$BH$979,HLOOKUP(INDIRECT(ADDRESS(2,COLUMN())),OFFSET($BN$2,0,0,ROW()-1,60),ROW()-1,FALSE))</f>
        <v>27011.002939999998</v>
      </c>
      <c r="BI482">
        <f ca="1">IF(AND(ISNUMBER($BI$979),$B$511=1),$BI$979,HLOOKUP(INDIRECT(ADDRESS(2,COLUMN())),OFFSET($BN$2,0,0,ROW()-1,60),ROW()-1,FALSE))</f>
        <v>25121.545719999998</v>
      </c>
      <c r="BJ482">
        <f ca="1">IF(AND(ISNUMBER($BJ$979),$B$511=1),$BJ$979,HLOOKUP(INDIRECT(ADDRESS(2,COLUMN())),OFFSET($BN$2,0,0,ROW()-1,60),ROW()-1,FALSE))</f>
        <v>25458.985229999998</v>
      </c>
      <c r="BK482">
        <f ca="1">IF(AND(ISNUMBER($BK$979),$B$511=1),$BK$979,HLOOKUP(INDIRECT(ADDRESS(2,COLUMN())),OFFSET($BN$2,0,0,ROW()-1,60),ROW()-1,FALSE))</f>
        <v>23774.34074</v>
      </c>
      <c r="BL482">
        <f ca="1">IF(AND(ISNUMBER($BL$979),$B$511=1),$BL$979,HLOOKUP(INDIRECT(ADDRESS(2,COLUMN())),OFFSET($BN$2,0,0,ROW()-1,60),ROW()-1,FALSE))</f>
        <v>23318.783439999999</v>
      </c>
      <c r="BM482">
        <f ca="1">IF(AND(ISNUMBER($BM$979),$B$511=1),$BM$979,HLOOKUP(INDIRECT(ADDRESS(2,COLUMN())),OFFSET($BN$2,0,0,ROW()-1,60),ROW()-1,FALSE))</f>
        <v>21705.921559999999</v>
      </c>
      <c r="BN482">
        <f>20044.35331</f>
        <v>20044.353309999999</v>
      </c>
      <c r="BO482">
        <f>18473.96626</f>
        <v>18473.966260000001</v>
      </c>
      <c r="BP482">
        <f>25587.16362</f>
        <v>25587.163619999999</v>
      </c>
      <c r="BQ482">
        <f>25149.28497</f>
        <v>25149.284970000001</v>
      </c>
      <c r="BR482">
        <f>35802.01754</f>
        <v>35802.017540000001</v>
      </c>
      <c r="BS482">
        <f>29831.45915</f>
        <v>29831.459149999999</v>
      </c>
      <c r="BT482">
        <f>29008.79908</f>
        <v>29008.799080000001</v>
      </c>
      <c r="BU482">
        <f>26747.49708</f>
        <v>26747.497080000001</v>
      </c>
      <c r="BV482">
        <f>25759.0885</f>
        <v>25759.088500000002</v>
      </c>
      <c r="BW482">
        <f>26358.52527</f>
        <v>26358.525269999998</v>
      </c>
      <c r="BX482">
        <f>24285.18525</f>
        <v>24285.185249999999</v>
      </c>
      <c r="BY482">
        <f>22410.90329</f>
        <v>22410.903289999998</v>
      </c>
      <c r="BZ482">
        <f>29388.55352</f>
        <v>29388.553520000001</v>
      </c>
      <c r="CA482">
        <f>29764.96837</f>
        <v>29764.968369999999</v>
      </c>
      <c r="CB482">
        <f>21163.30654</f>
        <v>21163.306540000001</v>
      </c>
      <c r="CC482">
        <f>30811.69753</f>
        <v>30811.697530000001</v>
      </c>
      <c r="CD482">
        <f>26893.35648</f>
        <v>26893.356479999999</v>
      </c>
      <c r="CE482">
        <f>21659.08496</f>
        <v>21659.08496</v>
      </c>
      <c r="CF482">
        <f>21418.37145</f>
        <v>21418.371449999999</v>
      </c>
      <c r="CG482">
        <f>26731.83711</f>
        <v>26731.83711</v>
      </c>
      <c r="CH482">
        <f>28728.73677</f>
        <v>28728.73677</v>
      </c>
      <c r="CI482">
        <f>23834.24217</f>
        <v>23834.242170000001</v>
      </c>
      <c r="CJ482">
        <f>23580.35808</f>
        <v>23580.358080000002</v>
      </c>
      <c r="CK482">
        <f>19883.13953</f>
        <v>19883.13953</v>
      </c>
      <c r="CL482">
        <f>18532.184</f>
        <v>18532.184000000001</v>
      </c>
      <c r="CM482">
        <f>15877.91957</f>
        <v>15877.91957</v>
      </c>
      <c r="CN482">
        <f>13905.79419</f>
        <v>13905.794190000001</v>
      </c>
      <c r="CO482">
        <f>11762.27838</f>
        <v>11762.27838</v>
      </c>
      <c r="CP482">
        <f>15583.00623</f>
        <v>15583.006230000001</v>
      </c>
      <c r="CQ482">
        <f>10271.26316</f>
        <v>10271.26316</v>
      </c>
      <c r="CR482">
        <f>9970.76288</f>
        <v>9970.7628800000002</v>
      </c>
      <c r="CS482">
        <f>17543.46906</f>
        <v>17543.469059999999</v>
      </c>
      <c r="CT482">
        <f>16369.76355</f>
        <v>16369.76355</v>
      </c>
      <c r="CU482">
        <f>17193.91496</f>
        <v>17193.914959999998</v>
      </c>
      <c r="CV482">
        <f>15202.69553</f>
        <v>15202.695530000001</v>
      </c>
      <c r="CW482">
        <f>11158.54077</f>
        <v>11158.54077</v>
      </c>
      <c r="CX482">
        <f>13380.50675</f>
        <v>13380.50675</v>
      </c>
      <c r="CY482">
        <f>14782.02973</f>
        <v>14782.02973</v>
      </c>
      <c r="CZ482">
        <f>13295.1423</f>
        <v>13295.1423</v>
      </c>
      <c r="DA482">
        <f>10476.80961</f>
        <v>10476.80961</v>
      </c>
      <c r="DB482">
        <f>5836.966906</f>
        <v>5836.9669059999997</v>
      </c>
      <c r="DC482">
        <f>7374.974331</f>
        <v>7374.9743310000003</v>
      </c>
      <c r="DD482">
        <f>17857.31115</f>
        <v>17857.311150000001</v>
      </c>
      <c r="DE482">
        <f>23360.44304</f>
        <v>23360.443039999998</v>
      </c>
      <c r="DF482">
        <f>31577.04037</f>
        <v>31577.040369999999</v>
      </c>
      <c r="DG482">
        <f>40309.96167</f>
        <v>40309.961669999997</v>
      </c>
      <c r="DH482">
        <f>41217.88156</f>
        <v>41217.881560000002</v>
      </c>
      <c r="DI482">
        <f>45985.00125</f>
        <v>45985.001250000001</v>
      </c>
      <c r="DJ482">
        <f>33355.62204</f>
        <v>33355.622040000002</v>
      </c>
      <c r="DK482">
        <f>34198.12264</f>
        <v>34198.122640000001</v>
      </c>
      <c r="DL482">
        <f>32695.07087</f>
        <v>32695.07087</v>
      </c>
      <c r="DM482">
        <f>30600.53527</f>
        <v>30600.53527</v>
      </c>
      <c r="DN482">
        <f>30351.41213</f>
        <v>30351.412130000001</v>
      </c>
      <c r="DO482">
        <f>23230.73506</f>
        <v>23230.735059999999</v>
      </c>
      <c r="DP482">
        <f>27011.00294</f>
        <v>27011.002939999998</v>
      </c>
      <c r="DQ482">
        <f>25121.54572</f>
        <v>25121.545719999998</v>
      </c>
      <c r="DR482">
        <f>25458.98523</f>
        <v>25458.985229999998</v>
      </c>
      <c r="DS482">
        <f>23774.34074</f>
        <v>23774.34074</v>
      </c>
      <c r="DT482">
        <f>23318.78344</f>
        <v>23318.783439999999</v>
      </c>
      <c r="DU482">
        <f>21705.92156</f>
        <v>21705.921559999999</v>
      </c>
    </row>
    <row r="483" spans="1:125" x14ac:dyDescent="0.25">
      <c r="A483" t="str">
        <f>"    SAIC Motor Corp Ltd"</f>
        <v xml:space="preserve">    SAIC Motor Corp Ltd</v>
      </c>
      <c r="B483" t="str">
        <f>"600104 CH Equity"</f>
        <v>600104 CH Equity</v>
      </c>
      <c r="C483" t="str">
        <f t="shared" si="33"/>
        <v>RR902</v>
      </c>
      <c r="D483" t="str">
        <f t="shared" si="34"/>
        <v>CUR_MKT_CAP</v>
      </c>
      <c r="E483" t="str">
        <f t="shared" si="35"/>
        <v>Dynamic</v>
      </c>
      <c r="F483">
        <f ca="1">IF(AND(ISNUMBER($F$980),$B$511=1),$F$980,HLOOKUP(INDIRECT(ADDRESS(2,COLUMN())),OFFSET($BN$2,0,0,ROW()-1,60),ROW()-1,FALSE))</f>
        <v>49436.587740000003</v>
      </c>
      <c r="G483">
        <f ca="1">IF(AND(ISNUMBER($G$980),$B$511=1),$G$980,HLOOKUP(INDIRECT(ADDRESS(2,COLUMN())),OFFSET($BN$2,0,0,ROW()-1,60),ROW()-1,FALSE))</f>
        <v>45302.246899999998</v>
      </c>
      <c r="H483">
        <f ca="1">IF(AND(ISNUMBER($H$980),$B$511=1),$H$980,HLOOKUP(INDIRECT(ADDRESS(2,COLUMN())),OFFSET($BN$2,0,0,ROW()-1,60),ROW()-1,FALSE))</f>
        <v>56605.027470000001</v>
      </c>
      <c r="I483">
        <f ca="1">IF(AND(ISNUMBER($I$980),$B$511=1),$I$980,HLOOKUP(INDIRECT(ADDRESS(2,COLUMN())),OFFSET($BN$2,0,0,ROW()-1,60),ROW()-1,FALSE))</f>
        <v>61716.558700000001</v>
      </c>
      <c r="J483">
        <f ca="1">IF(AND(ISNUMBER($J$980),$B$511=1),$J$980,HLOOKUP(INDIRECT(ADDRESS(2,COLUMN())),OFFSET($BN$2,0,0,ROW()-1,60),ROW()-1,FALSE))</f>
        <v>63192.512889999998</v>
      </c>
      <c r="K483">
        <f ca="1">IF(AND(ISNUMBER($K$980),$B$511=1),$K$980,HLOOKUP(INDIRECT(ADDRESS(2,COLUMN())),OFFSET($BN$2,0,0,ROW()-1,60),ROW()-1,FALSE))</f>
        <v>57531.175889999999</v>
      </c>
      <c r="L483">
        <f ca="1">IF(AND(ISNUMBER($L$980),$B$511=1),$L$980,HLOOKUP(INDIRECT(ADDRESS(2,COLUMN())),OFFSET($BN$2,0,0,ROW()-1,60),ROW()-1,FALSE))</f>
        <v>53161.87111</v>
      </c>
      <c r="M483">
        <f ca="1">IF(AND(ISNUMBER($M$980),$B$511=1),$M$980,HLOOKUP(INDIRECT(ADDRESS(2,COLUMN())),OFFSET($BN$2,0,0,ROW()-1,60),ROW()-1,FALSE))</f>
        <v>53623.961519999997</v>
      </c>
      <c r="N483">
        <f ca="1">IF(AND(ISNUMBER($N$980),$B$511=1),$N$980,HLOOKUP(INDIRECT(ADDRESS(2,COLUMN())),OFFSET($BN$2,0,0,ROW()-1,60),ROW()-1,FALSE))</f>
        <v>43114.784019999999</v>
      </c>
      <c r="O483">
        <f ca="1">IF(AND(ISNUMBER($O$980),$B$511=1),$O$980,HLOOKUP(INDIRECT(ADDRESS(2,COLUMN())),OFFSET($BN$2,0,0,ROW()-1,60),ROW()-1,FALSE))</f>
        <v>37256.586340000002</v>
      </c>
      <c r="P483">
        <f ca="1">IF(AND(ISNUMBER($P$980),$B$511=1),$P$980,HLOOKUP(INDIRECT(ADDRESS(2,COLUMN())),OFFSET($BN$2,0,0,ROW()-1,60),ROW()-1,FALSE))</f>
        <v>36138.281499999997</v>
      </c>
      <c r="Q483">
        <f ca="1">IF(AND(ISNUMBER($Q$980),$B$511=1),$Q$980,HLOOKUP(INDIRECT(ADDRESS(2,COLUMN())),OFFSET($BN$2,0,0,ROW()-1,60),ROW()-1,FALSE))</f>
        <v>33616.653250000003</v>
      </c>
      <c r="R483">
        <f ca="1">IF(AND(ISNUMBER($R$980),$B$511=1),$R$980,HLOOKUP(INDIRECT(ADDRESS(2,COLUMN())),OFFSET($BN$2,0,0,ROW()-1,60),ROW()-1,FALSE))</f>
        <v>34276.018120000001</v>
      </c>
      <c r="S483">
        <f ca="1">IF(AND(ISNUMBER($S$980),$B$511=1),$S$980,HLOOKUP(INDIRECT(ADDRESS(2,COLUMN())),OFFSET($BN$2,0,0,ROW()-1,60),ROW()-1,FALSE))</f>
        <v>36063.586770000002</v>
      </c>
      <c r="T483">
        <f ca="1">IF(AND(ISNUMBER($T$980),$B$511=1),$T$980,HLOOKUP(INDIRECT(ADDRESS(2,COLUMN())),OFFSET($BN$2,0,0,ROW()-1,60),ROW()-1,FALSE))</f>
        <v>29133.757310000001</v>
      </c>
      <c r="U483">
        <f ca="1">IF(AND(ISNUMBER($U$980),$B$511=1),$U$980,HLOOKUP(INDIRECT(ADDRESS(2,COLUMN())),OFFSET($BN$2,0,0,ROW()-1,60),ROW()-1,FALSE))</f>
        <v>40199.693599999999</v>
      </c>
      <c r="V483">
        <f ca="1">IF(AND(ISNUMBER($V$980),$B$511=1),$V$980,HLOOKUP(INDIRECT(ADDRESS(2,COLUMN())),OFFSET($BN$2,0,0,ROW()-1,60),ROW()-1,FALSE))</f>
        <v>44198.271520000002</v>
      </c>
      <c r="W483">
        <f ca="1">IF(AND(ISNUMBER($W$980),$B$511=1),$W$980,HLOOKUP(INDIRECT(ADDRESS(2,COLUMN())),OFFSET($BN$2,0,0,ROW()-1,60),ROW()-1,FALSE))</f>
        <v>38134.953560000002</v>
      </c>
      <c r="X483">
        <f ca="1">IF(AND(ISNUMBER($X$980),$B$511=1),$X$980,HLOOKUP(INDIRECT(ADDRESS(2,COLUMN())),OFFSET($BN$2,0,0,ROW()-1,60),ROW()-1,FALSE))</f>
        <v>32475.683529999998</v>
      </c>
      <c r="Y483">
        <f ca="1">IF(AND(ISNUMBER($Y$980),$B$511=1),$Y$980,HLOOKUP(INDIRECT(ADDRESS(2,COLUMN())),OFFSET($BN$2,0,0,ROW()-1,60),ROW()-1,FALSE))</f>
        <v>27189.83366</v>
      </c>
      <c r="Z483">
        <f ca="1">IF(AND(ISNUMBER($Z$980),$B$511=1),$Z$980,HLOOKUP(INDIRECT(ADDRESS(2,COLUMN())),OFFSET($BN$2,0,0,ROW()-1,60),ROW()-1,FALSE))</f>
        <v>24556.41951</v>
      </c>
      <c r="AA483">
        <f ca="1">IF(AND(ISNUMBER($AA$980),$B$511=1),$AA$980,HLOOKUP(INDIRECT(ADDRESS(2,COLUMN())),OFFSET($BN$2,0,0,ROW()-1,60),ROW()-1,FALSE))</f>
        <v>25758.62616</v>
      </c>
      <c r="AB483">
        <f ca="1">IF(AND(ISNUMBER($AB$980),$B$511=1),$AB$980,HLOOKUP(INDIRECT(ADDRESS(2,COLUMN())),OFFSET($BN$2,0,0,ROW()-1,60),ROW()-1,FALSE))</f>
        <v>24369.574519999998</v>
      </c>
      <c r="AC483">
        <f ca="1">IF(AND(ISNUMBER($AC$980),$B$511=1),$AC$980,HLOOKUP(INDIRECT(ADDRESS(2,COLUMN())),OFFSET($BN$2,0,0,ROW()-1,60),ROW()-1,FALSE))</f>
        <v>23730.404760000001</v>
      </c>
      <c r="AD483">
        <f ca="1">IF(AND(ISNUMBER($AD$980),$B$511=1),$AD$980,HLOOKUP(INDIRECT(ADDRESS(2,COLUMN())),OFFSET($BN$2,0,0,ROW()-1,60),ROW()-1,FALSE))</f>
        <v>26273.327560000002</v>
      </c>
      <c r="AE483">
        <f ca="1">IF(AND(ISNUMBER($AE$980),$B$511=1),$AE$980,HLOOKUP(INDIRECT(ADDRESS(2,COLUMN())),OFFSET($BN$2,0,0,ROW()-1,60),ROW()-1,FALSE))</f>
        <v>31193.43389</v>
      </c>
      <c r="AF483">
        <f ca="1">IF(AND(ISNUMBER($AF$980),$B$511=1),$AF$980,HLOOKUP(INDIRECT(ADDRESS(2,COLUMN())),OFFSET($BN$2,0,0,ROW()-1,60),ROW()-1,FALSE))</f>
        <v>23749.748500000002</v>
      </c>
      <c r="AG483">
        <f ca="1">IF(AND(ISNUMBER($AG$980),$B$511=1),$AG$980,HLOOKUP(INDIRECT(ADDRESS(2,COLUMN())),OFFSET($BN$2,0,0,ROW()-1,60),ROW()-1,FALSE))</f>
        <v>24791.953539999999</v>
      </c>
      <c r="AH483">
        <f ca="1">IF(AND(ISNUMBER($AH$980),$B$511=1),$AH$980,HLOOKUP(INDIRECT(ADDRESS(2,COLUMN())),OFFSET($BN$2,0,0,ROW()-1,60),ROW()-1,FALSE))</f>
        <v>25959.6021</v>
      </c>
      <c r="AI483">
        <f ca="1">IF(AND(ISNUMBER($AI$980),$B$511=1),$AI$980,HLOOKUP(INDIRECT(ADDRESS(2,COLUMN())),OFFSET($BN$2,0,0,ROW()-1,60),ROW()-1,FALSE))</f>
        <v>24747.449720000001</v>
      </c>
      <c r="AJ483">
        <f ca="1">IF(AND(ISNUMBER($AJ$980),$B$511=1),$AJ$980,HLOOKUP(INDIRECT(ADDRESS(2,COLUMN())),OFFSET($BN$2,0,0,ROW()-1,60),ROW()-1,FALSE))</f>
        <v>23138.634119999999</v>
      </c>
      <c r="AK483">
        <f ca="1">IF(AND(ISNUMBER($AK$980),$B$511=1),$AK$980,HLOOKUP(INDIRECT(ADDRESS(2,COLUMN())),OFFSET($BN$2,0,0,ROW()-1,60),ROW()-1,FALSE))</f>
        <v>26795.430919999999</v>
      </c>
      <c r="AL483">
        <f ca="1">IF(AND(ISNUMBER($AL$980),$B$511=1),$AL$980,HLOOKUP(INDIRECT(ADDRESS(2,COLUMN())),OFFSET($BN$2,0,0,ROW()-1,60),ROW()-1,FALSE))</f>
        <v>26039.563200000001</v>
      </c>
      <c r="AM483">
        <f ca="1">IF(AND(ISNUMBER($AM$980),$B$511=1),$AM$980,HLOOKUP(INDIRECT(ADDRESS(2,COLUMN())),OFFSET($BN$2,0,0,ROW()-1,60),ROW()-1,FALSE))</f>
        <v>20589.518970000001</v>
      </c>
      <c r="AN483">
        <f ca="1">IF(AND(ISNUMBER($AN$980),$B$511=1),$AN$980,HLOOKUP(INDIRECT(ADDRESS(2,COLUMN())),OFFSET($BN$2,0,0,ROW()-1,60),ROW()-1,FALSE))</f>
        <v>21462.823270000001</v>
      </c>
      <c r="AO483">
        <f ca="1">IF(AND(ISNUMBER($AO$980),$B$511=1),$AO$980,HLOOKUP(INDIRECT(ADDRESS(2,COLUMN())),OFFSET($BN$2,0,0,ROW()-1,60),ROW()-1,FALSE))</f>
        <v>15418.362880000001</v>
      </c>
      <c r="AP483">
        <f ca="1">IF(AND(ISNUMBER($AP$980),$B$511=1),$AP$980,HLOOKUP(INDIRECT(ADDRESS(2,COLUMN())),OFFSET($BN$2,0,0,ROW()-1,60),ROW()-1,FALSE))</f>
        <v>19655.74166</v>
      </c>
      <c r="AQ483">
        <f ca="1">IF(AND(ISNUMBER($AQ$980),$B$511=1),$AQ$980,HLOOKUP(INDIRECT(ADDRESS(2,COLUMN())),OFFSET($BN$2,0,0,ROW()-1,60),ROW()-1,FALSE))</f>
        <v>25073.368709999999</v>
      </c>
      <c r="AR483">
        <f ca="1">IF(AND(ISNUMBER($AR$980),$B$511=1),$AR$980,HLOOKUP(INDIRECT(ADDRESS(2,COLUMN())),OFFSET($BN$2,0,0,ROW()-1,60),ROW()-1,FALSE))</f>
        <v>18953.579389999999</v>
      </c>
      <c r="AS483">
        <f ca="1">IF(AND(ISNUMBER($AS$980),$B$511=1),$AS$980,HLOOKUP(INDIRECT(ADDRESS(2,COLUMN())),OFFSET($BN$2,0,0,ROW()-1,60),ROW()-1,FALSE))</f>
        <v>14337.89919</v>
      </c>
      <c r="AT483">
        <f ca="1">IF(AND(ISNUMBER($AT$980),$B$511=1),$AT$980,HLOOKUP(INDIRECT(ADDRESS(2,COLUMN())),OFFSET($BN$2,0,0,ROW()-1,60),ROW()-1,FALSE))</f>
        <v>9433.1133630000004</v>
      </c>
      <c r="AU483">
        <f ca="1">IF(AND(ISNUMBER($AU$980),$B$511=1),$AU$980,HLOOKUP(INDIRECT(ADDRESS(2,COLUMN())),OFFSET($BN$2,0,0,ROW()-1,60),ROW()-1,FALSE))</f>
        <v>5144.4607770000002</v>
      </c>
      <c r="AV483">
        <f ca="1">IF(AND(ISNUMBER($AV$980),$B$511=1),$AV$980,HLOOKUP(INDIRECT(ADDRESS(2,COLUMN())),OFFSET($BN$2,0,0,ROW()-1,60),ROW()-1,FALSE))</f>
        <v>6523.7677059999996</v>
      </c>
      <c r="AW483">
        <f ca="1">IF(AND(ISNUMBER($AW$980),$B$511=1),$AW$980,HLOOKUP(INDIRECT(ADDRESS(2,COLUMN())),OFFSET($BN$2,0,0,ROW()-1,60),ROW()-1,FALSE))</f>
        <v>7502.67479</v>
      </c>
      <c r="AX483">
        <f ca="1">IF(AND(ISNUMBER($AX$980),$B$511=1),$AX$980,HLOOKUP(INDIRECT(ADDRESS(2,COLUMN())),OFFSET($BN$2,0,0,ROW()-1,60),ROW()-1,FALSE))</f>
        <v>12827.385270000001</v>
      </c>
      <c r="AY483">
        <f ca="1">IF(AND(ISNUMBER($AY$980),$B$511=1),$AY$980,HLOOKUP(INDIRECT(ADDRESS(2,COLUMN())),OFFSET($BN$2,0,0,ROW()-1,60),ROW()-1,FALSE))</f>
        <v>23579.436239999999</v>
      </c>
      <c r="AZ483">
        <f ca="1">IF(AND(ISNUMBER($AZ$980),$B$511=1),$AZ$980,HLOOKUP(INDIRECT(ADDRESS(2,COLUMN())),OFFSET($BN$2,0,0,ROW()-1,60),ROW()-1,FALSE))</f>
        <v>25781.351890000002</v>
      </c>
      <c r="BA483">
        <f ca="1">IF(AND(ISNUMBER($BA$980),$B$511=1),$BA$980,HLOOKUP(INDIRECT(ADDRESS(2,COLUMN())),OFFSET($BN$2,0,0,ROW()-1,60),ROW()-1,FALSE))</f>
        <v>14860.54169</v>
      </c>
      <c r="BB483">
        <f ca="1">IF(AND(ISNUMBER($BB$980),$B$511=1),$BB$980,HLOOKUP(INDIRECT(ADDRESS(2,COLUMN())),OFFSET($BN$2,0,0,ROW()-1,60),ROW()-1,FALSE))</f>
        <v>10497.247820000001</v>
      </c>
      <c r="BC483">
        <f ca="1">IF(AND(ISNUMBER($BC$980),$B$511=1),$BC$980,HLOOKUP(INDIRECT(ADDRESS(2,COLUMN())),OFFSET($BN$2,0,0,ROW()-1,60),ROW()-1,FALSE))</f>
        <v>3429.1568360000001</v>
      </c>
      <c r="BD483">
        <f ca="1">IF(AND(ISNUMBER($BD$980),$B$511=1),$BD$980,HLOOKUP(INDIRECT(ADDRESS(2,COLUMN())),OFFSET($BN$2,0,0,ROW()-1,60),ROW()-1,FALSE))</f>
        <v>2159.3799309999999</v>
      </c>
      <c r="BE483">
        <f ca="1">IF(AND(ISNUMBER($BE$980),$B$511=1),$BE$980,HLOOKUP(INDIRECT(ADDRESS(2,COLUMN())),OFFSET($BN$2,0,0,ROW()-1,60),ROW()-1,FALSE))</f>
        <v>2401.3802679999999</v>
      </c>
      <c r="BF483">
        <f ca="1">IF(AND(ISNUMBER($BF$980),$B$511=1),$BF$980,HLOOKUP(INDIRECT(ADDRESS(2,COLUMN())),OFFSET($BN$2,0,0,ROW()-1,60),ROW()-1,FALSE))</f>
        <v>1426.0884840000001</v>
      </c>
      <c r="BG483">
        <f ca="1">IF(AND(ISNUMBER($BG$980),$B$511=1),$BG$980,HLOOKUP(INDIRECT(ADDRESS(2,COLUMN())),OFFSET($BN$2,0,0,ROW()-1,60),ROW()-1,FALSE))</f>
        <v>1343.6540319999999</v>
      </c>
      <c r="BH483">
        <f ca="1">IF(AND(ISNUMBER($BH$980),$B$511=1),$BH$980,HLOOKUP(INDIRECT(ADDRESS(2,COLUMN())),OFFSET($BN$2,0,0,ROW()-1,60),ROW()-1,FALSE))</f>
        <v>2088.9959170000002</v>
      </c>
      <c r="BI483">
        <f ca="1">IF(AND(ISNUMBER($BI$980),$B$511=1),$BI$980,HLOOKUP(INDIRECT(ADDRESS(2,COLUMN())),OFFSET($BN$2,0,0,ROW()-1,60),ROW()-1,FALSE))</f>
        <v>1702.04386</v>
      </c>
      <c r="BJ483">
        <f ca="1">IF(AND(ISNUMBER($BJ$980),$B$511=1),$BJ$980,HLOOKUP(INDIRECT(ADDRESS(2,COLUMN())),OFFSET($BN$2,0,0,ROW()-1,60),ROW()-1,FALSE))</f>
        <v>1709.960343</v>
      </c>
      <c r="BK483">
        <f ca="1">IF(AND(ISNUMBER($BK$980),$B$511=1),$BK$980,HLOOKUP(INDIRECT(ADDRESS(2,COLUMN())),OFFSET($BN$2,0,0,ROW()-1,60),ROW()-1,FALSE))</f>
        <v>1880.142012</v>
      </c>
      <c r="BL483">
        <f ca="1">IF(AND(ISNUMBER($BL$980),$B$511=1),$BL$980,HLOOKUP(INDIRECT(ADDRESS(2,COLUMN())),OFFSET($BN$2,0,0,ROW()-1,60),ROW()-1,FALSE))</f>
        <v>3095.3074809999998</v>
      </c>
      <c r="BM483">
        <f ca="1">IF(AND(ISNUMBER($BM$980),$B$511=1),$BM$980,HLOOKUP(INDIRECT(ADDRESS(2,COLUMN())),OFFSET($BN$2,0,0,ROW()-1,60),ROW()-1,FALSE))</f>
        <v>3372.3810400000002</v>
      </c>
      <c r="BN483">
        <f>49436.58774</f>
        <v>49436.587740000003</v>
      </c>
      <c r="BO483">
        <f>45302.2469</f>
        <v>45302.246899999998</v>
      </c>
      <c r="BP483">
        <f>56605.02747</f>
        <v>56605.027470000001</v>
      </c>
      <c r="BQ483">
        <f>61716.5587</f>
        <v>61716.558700000001</v>
      </c>
      <c r="BR483">
        <f>63192.51289</f>
        <v>63192.512889999998</v>
      </c>
      <c r="BS483">
        <f>57531.17589</f>
        <v>57531.175889999999</v>
      </c>
      <c r="BT483">
        <f>53161.87111</f>
        <v>53161.87111</v>
      </c>
      <c r="BU483">
        <f>53623.96152</f>
        <v>53623.961519999997</v>
      </c>
      <c r="BV483">
        <f>43114.78402</f>
        <v>43114.784019999999</v>
      </c>
      <c r="BW483">
        <f>37256.58634</f>
        <v>37256.586340000002</v>
      </c>
      <c r="BX483">
        <f>36138.2815</f>
        <v>36138.281499999997</v>
      </c>
      <c r="BY483">
        <f>33616.65325</f>
        <v>33616.653250000003</v>
      </c>
      <c r="BZ483">
        <f>34276.01812</f>
        <v>34276.018120000001</v>
      </c>
      <c r="CA483">
        <f>36063.58677</f>
        <v>36063.586770000002</v>
      </c>
      <c r="CB483">
        <f>29133.75731</f>
        <v>29133.757310000001</v>
      </c>
      <c r="CC483">
        <f>40199.6936</f>
        <v>40199.693599999999</v>
      </c>
      <c r="CD483">
        <f>44198.27152</f>
        <v>44198.271520000002</v>
      </c>
      <c r="CE483">
        <f>38134.95356</f>
        <v>38134.953560000002</v>
      </c>
      <c r="CF483">
        <f>32475.68353</f>
        <v>32475.683529999998</v>
      </c>
      <c r="CG483">
        <f>27189.83366</f>
        <v>27189.83366</v>
      </c>
      <c r="CH483">
        <f>24556.41951</f>
        <v>24556.41951</v>
      </c>
      <c r="CI483">
        <f>25758.62616</f>
        <v>25758.62616</v>
      </c>
      <c r="CJ483">
        <f>24369.57452</f>
        <v>24369.574519999998</v>
      </c>
      <c r="CK483">
        <f>23730.40476</f>
        <v>23730.404760000001</v>
      </c>
      <c r="CL483">
        <f>26273.32756</f>
        <v>26273.327560000002</v>
      </c>
      <c r="CM483">
        <f>31193.43389</f>
        <v>31193.43389</v>
      </c>
      <c r="CN483">
        <f>23749.7485</f>
        <v>23749.748500000002</v>
      </c>
      <c r="CO483">
        <f>24791.95354</f>
        <v>24791.953539999999</v>
      </c>
      <c r="CP483">
        <f>25959.6021</f>
        <v>25959.6021</v>
      </c>
      <c r="CQ483">
        <f>24747.44972</f>
        <v>24747.449720000001</v>
      </c>
      <c r="CR483">
        <f>23138.63412</f>
        <v>23138.634119999999</v>
      </c>
      <c r="CS483">
        <f>26795.43092</f>
        <v>26795.430919999999</v>
      </c>
      <c r="CT483">
        <f>26039.5632</f>
        <v>26039.563200000001</v>
      </c>
      <c r="CU483">
        <f>20589.51897</f>
        <v>20589.518970000001</v>
      </c>
      <c r="CV483">
        <f>21462.82327</f>
        <v>21462.823270000001</v>
      </c>
      <c r="CW483">
        <f>15418.36288</f>
        <v>15418.362880000001</v>
      </c>
      <c r="CX483">
        <f>19655.74166</f>
        <v>19655.74166</v>
      </c>
      <c r="CY483">
        <f>25073.36871</f>
        <v>25073.368709999999</v>
      </c>
      <c r="CZ483">
        <f>18953.57939</f>
        <v>18953.579389999999</v>
      </c>
      <c r="DA483">
        <f>14337.89919</f>
        <v>14337.89919</v>
      </c>
      <c r="DB483">
        <f>9433.113363</f>
        <v>9433.1133630000004</v>
      </c>
      <c r="DC483">
        <f>5144.460777</f>
        <v>5144.4607770000002</v>
      </c>
      <c r="DD483">
        <f>6523.767706</f>
        <v>6523.7677059999996</v>
      </c>
      <c r="DE483">
        <f>7502.67479</f>
        <v>7502.67479</v>
      </c>
      <c r="DF483">
        <f>12827.38527</f>
        <v>12827.385270000001</v>
      </c>
      <c r="DG483">
        <f>23579.43624</f>
        <v>23579.436239999999</v>
      </c>
      <c r="DH483">
        <f>25781.35189</f>
        <v>25781.351890000002</v>
      </c>
      <c r="DI483">
        <f>14860.54169</f>
        <v>14860.54169</v>
      </c>
      <c r="DJ483">
        <f>10497.24782</f>
        <v>10497.247820000001</v>
      </c>
      <c r="DK483">
        <f>3429.156836</f>
        <v>3429.1568360000001</v>
      </c>
      <c r="DL483">
        <f>2159.379931</f>
        <v>2159.3799309999999</v>
      </c>
      <c r="DM483">
        <f>2401.380268</f>
        <v>2401.3802679999999</v>
      </c>
      <c r="DN483">
        <f>1426.088484</f>
        <v>1426.0884840000001</v>
      </c>
      <c r="DO483">
        <f>1343.654032</f>
        <v>1343.6540319999999</v>
      </c>
      <c r="DP483">
        <f>2088.995917</f>
        <v>2088.9959170000002</v>
      </c>
      <c r="DQ483">
        <f>1702.04386</f>
        <v>1702.04386</v>
      </c>
      <c r="DR483">
        <f>1709.960343</f>
        <v>1709.960343</v>
      </c>
      <c r="DS483">
        <f>1880.142012</f>
        <v>1880.142012</v>
      </c>
      <c r="DT483">
        <f>3095.307481</f>
        <v>3095.3074809999998</v>
      </c>
      <c r="DU483">
        <f>3372.38104</f>
        <v>3372.3810400000002</v>
      </c>
    </row>
    <row r="484" spans="1:125" x14ac:dyDescent="0.25">
      <c r="A484" t="str">
        <f>"    Sanyang Motor Co Ltd"</f>
        <v xml:space="preserve">    Sanyang Motor Co Ltd</v>
      </c>
      <c r="B484" t="str">
        <f>"2206 TT Equity"</f>
        <v>2206 TT Equity</v>
      </c>
      <c r="C484" t="str">
        <f t="shared" si="33"/>
        <v>RR902</v>
      </c>
      <c r="D484" t="str">
        <f t="shared" si="34"/>
        <v>CUR_MKT_CAP</v>
      </c>
      <c r="E484" t="str">
        <f t="shared" si="35"/>
        <v>Dynamic</v>
      </c>
      <c r="F484">
        <f ca="1">IF(AND(ISNUMBER($F$981),$B$511=1),$F$981,HLOOKUP(INDIRECT(ADDRESS(2,COLUMN())),OFFSET($BN$2,0,0,ROW()-1,60),ROW()-1,FALSE))</f>
        <v>556.8799616</v>
      </c>
      <c r="G484">
        <f ca="1">IF(AND(ISNUMBER($G$981),$B$511=1),$G$981,HLOOKUP(INDIRECT(ADDRESS(2,COLUMN())),OFFSET($BN$2,0,0,ROW()-1,60),ROW()-1,FALSE))</f>
        <v>558.98340199999996</v>
      </c>
      <c r="H484">
        <f ca="1">IF(AND(ISNUMBER($H$981),$B$511=1),$H$981,HLOOKUP(INDIRECT(ADDRESS(2,COLUMN())),OFFSET($BN$2,0,0,ROW()-1,60),ROW()-1,FALSE))</f>
        <v>574.01049309999996</v>
      </c>
      <c r="I484">
        <f ca="1">IF(AND(ISNUMBER($I$981),$B$511=1),$I$981,HLOOKUP(INDIRECT(ADDRESS(2,COLUMN())),OFFSET($BN$2,0,0,ROW()-1,60),ROW()-1,FALSE))</f>
        <v>612.45407499999999</v>
      </c>
      <c r="J484">
        <f ca="1">IF(AND(ISNUMBER($J$981),$B$511=1),$J$981,HLOOKUP(INDIRECT(ADDRESS(2,COLUMN())),OFFSET($BN$2,0,0,ROW()-1,60),ROW()-1,FALSE))</f>
        <v>642.42349139999999</v>
      </c>
      <c r="K484">
        <f ca="1">IF(AND(ISNUMBER($K$981),$B$511=1),$K$981,HLOOKUP(INDIRECT(ADDRESS(2,COLUMN())),OFFSET($BN$2,0,0,ROW()-1,60),ROW()-1,FALSE))</f>
        <v>634.76876619999996</v>
      </c>
      <c r="L484">
        <f ca="1">IF(AND(ISNUMBER($L$981),$B$511=1),$L$981,HLOOKUP(INDIRECT(ADDRESS(2,COLUMN())),OFFSET($BN$2,0,0,ROW()-1,60),ROW()-1,FALSE))</f>
        <v>618.9516284</v>
      </c>
      <c r="M484">
        <f ca="1">IF(AND(ISNUMBER($M$981),$B$511=1),$M$981,HLOOKUP(INDIRECT(ADDRESS(2,COLUMN())),OFFSET($BN$2,0,0,ROW()-1,60),ROW()-1,FALSE))</f>
        <v>634.48041560000001</v>
      </c>
      <c r="N484">
        <f ca="1">IF(AND(ISNUMBER($N$981),$B$511=1),$N$981,HLOOKUP(INDIRECT(ADDRESS(2,COLUMN())),OFFSET($BN$2,0,0,ROW()-1,60),ROW()-1,FALSE))</f>
        <v>621.8525836</v>
      </c>
      <c r="O484">
        <f ca="1">IF(AND(ISNUMBER($O$981),$B$511=1),$O$981,HLOOKUP(INDIRECT(ADDRESS(2,COLUMN())),OFFSET($BN$2,0,0,ROW()-1,60),ROW()-1,FALSE))</f>
        <v>562.37222750000001</v>
      </c>
      <c r="P484">
        <f ca="1">IF(AND(ISNUMBER($P$981),$B$511=1),$P$981,HLOOKUP(INDIRECT(ADDRESS(2,COLUMN())),OFFSET($BN$2,0,0,ROW()-1,60),ROW()-1,FALSE))</f>
        <v>585.00888550000002</v>
      </c>
      <c r="Q484">
        <f ca="1">IF(AND(ISNUMBER($Q$981),$B$511=1),$Q$981,HLOOKUP(INDIRECT(ADDRESS(2,COLUMN())),OFFSET($BN$2,0,0,ROW()-1,60),ROW()-1,FALSE))</f>
        <v>565.58488509999995</v>
      </c>
      <c r="R484">
        <f ca="1">IF(AND(ISNUMBER($R$981),$B$511=1),$R$981,HLOOKUP(INDIRECT(ADDRESS(2,COLUMN())),OFFSET($BN$2,0,0,ROW()-1,60),ROW()-1,FALSE))</f>
        <v>587.7351989</v>
      </c>
      <c r="S484">
        <f ca="1">IF(AND(ISNUMBER($S$981),$B$511=1),$S$981,HLOOKUP(INDIRECT(ADDRESS(2,COLUMN())),OFFSET($BN$2,0,0,ROW()-1,60),ROW()-1,FALSE))</f>
        <v>588.19363129999999</v>
      </c>
      <c r="T484">
        <f ca="1">IF(AND(ISNUMBER($T$981),$B$511=1),$T$981,HLOOKUP(INDIRECT(ADDRESS(2,COLUMN())),OFFSET($BN$2,0,0,ROW()-1,60),ROW()-1,FALSE))</f>
        <v>638.11677110000005</v>
      </c>
      <c r="U484">
        <f ca="1">IF(AND(ISNUMBER($U$981),$B$511=1),$U$981,HLOOKUP(INDIRECT(ADDRESS(2,COLUMN())),OFFSET($BN$2,0,0,ROW()-1,60),ROW()-1,FALSE))</f>
        <v>722.64654540000004</v>
      </c>
      <c r="V484">
        <f ca="1">IF(AND(ISNUMBER($V$981),$B$511=1),$V$981,HLOOKUP(INDIRECT(ADDRESS(2,COLUMN())),OFFSET($BN$2,0,0,ROW()-1,60),ROW()-1,FALSE))</f>
        <v>754.52497219999998</v>
      </c>
      <c r="W484">
        <f ca="1">IF(AND(ISNUMBER($W$981),$B$511=1),$W$981,HLOOKUP(INDIRECT(ADDRESS(2,COLUMN())),OFFSET($BN$2,0,0,ROW()-1,60),ROW()-1,FALSE))</f>
        <v>811.26131680000003</v>
      </c>
      <c r="X484">
        <f ca="1">IF(AND(ISNUMBER($X$981),$B$511=1),$X$981,HLOOKUP(INDIRECT(ADDRESS(2,COLUMN())),OFFSET($BN$2,0,0,ROW()-1,60),ROW()-1,FALSE))</f>
        <v>822.17481710000004</v>
      </c>
      <c r="Y484">
        <f ca="1">IF(AND(ISNUMBER($Y$981),$B$511=1),$Y$981,HLOOKUP(INDIRECT(ADDRESS(2,COLUMN())),OFFSET($BN$2,0,0,ROW()-1,60),ROW()-1,FALSE))</f>
        <v>939.29008409999994</v>
      </c>
      <c r="Z484">
        <f ca="1">IF(AND(ISNUMBER($Z$981),$B$511=1),$Z$981,HLOOKUP(INDIRECT(ADDRESS(2,COLUMN())),OFFSET($BN$2,0,0,ROW()-1,60),ROW()-1,FALSE))</f>
        <v>1486.40661</v>
      </c>
      <c r="AA484">
        <f ca="1">IF(AND(ISNUMBER($AA$981),$B$511=1),$AA$981,HLOOKUP(INDIRECT(ADDRESS(2,COLUMN())),OFFSET($BN$2,0,0,ROW()-1,60),ROW()-1,FALSE))</f>
        <v>1468.5583799999999</v>
      </c>
      <c r="AB484">
        <f ca="1">IF(AND(ISNUMBER($AB$981),$B$511=1),$AB$981,HLOOKUP(INDIRECT(ADDRESS(2,COLUMN())),OFFSET($BN$2,0,0,ROW()-1,60),ROW()-1,FALSE))</f>
        <v>1290.2852359999999</v>
      </c>
      <c r="AC484">
        <f ca="1">IF(AND(ISNUMBER($AC$981),$B$511=1),$AC$981,HLOOKUP(INDIRECT(ADDRESS(2,COLUMN())),OFFSET($BN$2,0,0,ROW()-1,60),ROW()-1,FALSE))</f>
        <v>831.25205840000001</v>
      </c>
      <c r="AD484">
        <f ca="1">IF(AND(ISNUMBER($AD$981),$B$511=1),$AD$981,HLOOKUP(INDIRECT(ADDRESS(2,COLUMN())),OFFSET($BN$2,0,0,ROW()-1,60),ROW()-1,FALSE))</f>
        <v>746.45496920000005</v>
      </c>
      <c r="AE484">
        <f ca="1">IF(AND(ISNUMBER($AE$981),$B$511=1),$AE$981,HLOOKUP(INDIRECT(ADDRESS(2,COLUMN())),OFFSET($BN$2,0,0,ROW()-1,60),ROW()-1,FALSE))</f>
        <v>545.72520310000004</v>
      </c>
      <c r="AF484">
        <f ca="1">IF(AND(ISNUMBER($AF$981),$B$511=1),$AF$981,HLOOKUP(INDIRECT(ADDRESS(2,COLUMN())),OFFSET($BN$2,0,0,ROW()-1,60),ROW()-1,FALSE))</f>
        <v>615.88269909999997</v>
      </c>
      <c r="AG484">
        <f ca="1">IF(AND(ISNUMBER($AG$981),$B$511=1),$AG$981,HLOOKUP(INDIRECT(ADDRESS(2,COLUMN())),OFFSET($BN$2,0,0,ROW()-1,60),ROW()-1,FALSE))</f>
        <v>579.72225930000002</v>
      </c>
      <c r="AH484">
        <f ca="1">IF(AND(ISNUMBER($AH$981),$B$511=1),$AH$981,HLOOKUP(INDIRECT(ADDRESS(2,COLUMN())),OFFSET($BN$2,0,0,ROW()-1,60),ROW()-1,FALSE))</f>
        <v>609.08781780000004</v>
      </c>
      <c r="AI484">
        <f ca="1">IF(AND(ISNUMBER($AI$981),$B$511=1),$AI$981,HLOOKUP(INDIRECT(ADDRESS(2,COLUMN())),OFFSET($BN$2,0,0,ROW()-1,60),ROW()-1,FALSE))</f>
        <v>486.83960200000001</v>
      </c>
      <c r="AJ484">
        <f ca="1">IF(AND(ISNUMBER($AJ$981),$B$511=1),$AJ$981,HLOOKUP(INDIRECT(ADDRESS(2,COLUMN())),OFFSET($BN$2,0,0,ROW()-1,60),ROW()-1,FALSE))</f>
        <v>498.42818130000001</v>
      </c>
      <c r="AK484">
        <f ca="1">IF(AND(ISNUMBER($AK$981),$B$511=1),$AK$981,HLOOKUP(INDIRECT(ADDRESS(2,COLUMN())),OFFSET($BN$2,0,0,ROW()-1,60),ROW()-1,FALSE))</f>
        <v>511.34491750000001</v>
      </c>
      <c r="AL484">
        <f ca="1">IF(AND(ISNUMBER($AL$981),$B$511=1),$AL$981,HLOOKUP(INDIRECT(ADDRESS(2,COLUMN())),OFFSET($BN$2,0,0,ROW()-1,60),ROW()-1,FALSE))</f>
        <v>498.9399368</v>
      </c>
      <c r="AM484">
        <f ca="1">IF(AND(ISNUMBER($AM$981),$B$511=1),$AM$981,HLOOKUP(INDIRECT(ADDRESS(2,COLUMN())),OFFSET($BN$2,0,0,ROW()-1,60),ROW()-1,FALSE))</f>
        <v>536.55424230000006</v>
      </c>
      <c r="AN484">
        <f ca="1">IF(AND(ISNUMBER($AN$981),$B$511=1),$AN$981,HLOOKUP(INDIRECT(ADDRESS(2,COLUMN())),OFFSET($BN$2,0,0,ROW()-1,60),ROW()-1,FALSE))</f>
        <v>449.51962709999998</v>
      </c>
      <c r="AO484">
        <f ca="1">IF(AND(ISNUMBER($AO$981),$B$511=1),$AO$981,HLOOKUP(INDIRECT(ADDRESS(2,COLUMN())),OFFSET($BN$2,0,0,ROW()-1,60),ROW()-1,FALSE))</f>
        <v>336.86582399999998</v>
      </c>
      <c r="AP484">
        <f ca="1">IF(AND(ISNUMBER($AP$981),$B$511=1),$AP$981,HLOOKUP(INDIRECT(ADDRESS(2,COLUMN())),OFFSET($BN$2,0,0,ROW()-1,60),ROW()-1,FALSE))</f>
        <v>347.46795589999999</v>
      </c>
      <c r="AQ484">
        <f ca="1">IF(AND(ISNUMBER($AQ$981),$B$511=1),$AQ$981,HLOOKUP(INDIRECT(ADDRESS(2,COLUMN())),OFFSET($BN$2,0,0,ROW()-1,60),ROW()-1,FALSE))</f>
        <v>364.85262289999997</v>
      </c>
      <c r="AR484">
        <f ca="1">IF(AND(ISNUMBER($AR$981),$B$511=1),$AR$981,HLOOKUP(INDIRECT(ADDRESS(2,COLUMN())),OFFSET($BN$2,0,0,ROW()-1,60),ROW()-1,FALSE))</f>
        <v>382.73111890000001</v>
      </c>
      <c r="AS484">
        <f ca="1">IF(AND(ISNUMBER($AS$981),$B$511=1),$AS$981,HLOOKUP(INDIRECT(ADDRESS(2,COLUMN())),OFFSET($BN$2,0,0,ROW()-1,60),ROW()-1,FALSE))</f>
        <v>389.18443100000002</v>
      </c>
      <c r="AT484">
        <f ca="1">IF(AND(ISNUMBER($AT$981),$B$511=1),$AT$981,HLOOKUP(INDIRECT(ADDRESS(2,COLUMN())),OFFSET($BN$2,0,0,ROW()-1,60),ROW()-1,FALSE))</f>
        <v>195.00156229999999</v>
      </c>
      <c r="AU484">
        <f ca="1">IF(AND(ISNUMBER($AU$981),$B$511=1),$AU$981,HLOOKUP(INDIRECT(ADDRESS(2,COLUMN())),OFFSET($BN$2,0,0,ROW()-1,60),ROW()-1,FALSE))</f>
        <v>158.71825380000001</v>
      </c>
      <c r="AV484">
        <f ca="1">IF(AND(ISNUMBER($AV$981),$B$511=1),$AV$981,HLOOKUP(INDIRECT(ADDRESS(2,COLUMN())),OFFSET($BN$2,0,0,ROW()-1,60),ROW()-1,FALSE))</f>
        <v>211.47521620000001</v>
      </c>
      <c r="AW484">
        <f ca="1">IF(AND(ISNUMBER($AW$981),$B$511=1),$AW$981,HLOOKUP(INDIRECT(ADDRESS(2,COLUMN())),OFFSET($BN$2,0,0,ROW()-1,60),ROW()-1,FALSE))</f>
        <v>331.59173049999998</v>
      </c>
      <c r="AX484">
        <f ca="1">IF(AND(ISNUMBER($AX$981),$B$511=1),$AX$981,HLOOKUP(INDIRECT(ADDRESS(2,COLUMN())),OFFSET($BN$2,0,0,ROW()-1,60),ROW()-1,FALSE))</f>
        <v>611.05261310000003</v>
      </c>
      <c r="AY484">
        <f ca="1">IF(AND(ISNUMBER($AY$981),$B$511=1),$AY$981,HLOOKUP(INDIRECT(ADDRESS(2,COLUMN())),OFFSET($BN$2,0,0,ROW()-1,60),ROW()-1,FALSE))</f>
        <v>444.55787939999999</v>
      </c>
      <c r="AZ484">
        <f ca="1">IF(AND(ISNUMBER($AZ$981),$B$511=1),$AZ$981,HLOOKUP(INDIRECT(ADDRESS(2,COLUMN())),OFFSET($BN$2,0,0,ROW()-1,60),ROW()-1,FALSE))</f>
        <v>632.33464059999994</v>
      </c>
      <c r="BA484">
        <f ca="1">IF(AND(ISNUMBER($BA$981),$B$511=1),$BA$981,HLOOKUP(INDIRECT(ADDRESS(2,COLUMN())),OFFSET($BN$2,0,0,ROW()-1,60),ROW()-1,FALSE))</f>
        <v>611.68893079999998</v>
      </c>
      <c r="BB484">
        <f ca="1">IF(AND(ISNUMBER($BB$981),$B$511=1),$BB$981,HLOOKUP(INDIRECT(ADDRESS(2,COLUMN())),OFFSET($BN$2,0,0,ROW()-1,60),ROW()-1,FALSE))</f>
        <v>474.96491470000001</v>
      </c>
      <c r="BC484">
        <f ca="1">IF(AND(ISNUMBER($BC$981),$B$511=1),$BC$981,HLOOKUP(INDIRECT(ADDRESS(2,COLUMN())),OFFSET($BN$2,0,0,ROW()-1,60),ROW()-1,FALSE))</f>
        <v>575.77616169999999</v>
      </c>
      <c r="BD484">
        <f ca="1">IF(AND(ISNUMBER($BD$981),$B$511=1),$BD$981,HLOOKUP(INDIRECT(ADDRESS(2,COLUMN())),OFFSET($BN$2,0,0,ROW()-1,60),ROW()-1,FALSE))</f>
        <v>413.64663330000002</v>
      </c>
      <c r="BE484">
        <f ca="1">IF(AND(ISNUMBER($BE$981),$B$511=1),$BE$981,HLOOKUP(INDIRECT(ADDRESS(2,COLUMN())),OFFSET($BN$2,0,0,ROW()-1,60),ROW()-1,FALSE))</f>
        <v>401.70250540000001</v>
      </c>
      <c r="BF484">
        <f ca="1">IF(AND(ISNUMBER($BF$981),$B$511=1),$BF$981,HLOOKUP(INDIRECT(ADDRESS(2,COLUMN())),OFFSET($BN$2,0,0,ROW()-1,60),ROW()-1,FALSE))</f>
        <v>285.34582979999999</v>
      </c>
      <c r="BG484">
        <f ca="1">IF(AND(ISNUMBER($BG$981),$B$511=1),$BG$981,HLOOKUP(INDIRECT(ADDRESS(2,COLUMN())),OFFSET($BN$2,0,0,ROW()-1,60),ROW()-1,FALSE))</f>
        <v>301.78373010000001</v>
      </c>
      <c r="BH484">
        <f ca="1">IF(AND(ISNUMBER($BH$981),$B$511=1),$BH$981,HLOOKUP(INDIRECT(ADDRESS(2,COLUMN())),OFFSET($BN$2,0,0,ROW()-1,60),ROW()-1,FALSE))</f>
        <v>291.21161719999998</v>
      </c>
      <c r="BI484">
        <f ca="1">IF(AND(ISNUMBER($BI$981),$B$511=1),$BI$981,HLOOKUP(INDIRECT(ADDRESS(2,COLUMN())),OFFSET($BN$2,0,0,ROW()-1,60),ROW()-1,FALSE))</f>
        <v>340.97813380000002</v>
      </c>
      <c r="BJ484">
        <f ca="1">IF(AND(ISNUMBER($BJ$981),$B$511=1),$BJ$981,HLOOKUP(INDIRECT(ADDRESS(2,COLUMN())),OFFSET($BN$2,0,0,ROW()-1,60),ROW()-1,FALSE))</f>
        <v>357.7264485</v>
      </c>
      <c r="BK484">
        <f ca="1">IF(AND(ISNUMBER($BK$981),$B$511=1),$BK$981,HLOOKUP(INDIRECT(ADDRESS(2,COLUMN())),OFFSET($BN$2,0,0,ROW()-1,60),ROW()-1,FALSE))</f>
        <v>352.17676820000003</v>
      </c>
      <c r="BL484">
        <f ca="1">IF(AND(ISNUMBER($BL$981),$B$511=1),$BL$981,HLOOKUP(INDIRECT(ADDRESS(2,COLUMN())),OFFSET($BN$2,0,0,ROW()-1,60),ROW()-1,FALSE))</f>
        <v>336.53857720000002</v>
      </c>
      <c r="BM484">
        <f ca="1">IF(AND(ISNUMBER($BM$981),$B$511=1),$BM$981,HLOOKUP(INDIRECT(ADDRESS(2,COLUMN())),OFFSET($BN$2,0,0,ROW()-1,60),ROW()-1,FALSE))</f>
        <v>279.004795</v>
      </c>
      <c r="BN484">
        <f>556.8799616</f>
        <v>556.8799616</v>
      </c>
      <c r="BO484">
        <f>558.983402</f>
        <v>558.98340199999996</v>
      </c>
      <c r="BP484">
        <f>574.0104931</f>
        <v>574.01049309999996</v>
      </c>
      <c r="BQ484">
        <f>612.454075</f>
        <v>612.45407499999999</v>
      </c>
      <c r="BR484">
        <f>642.4234914</f>
        <v>642.42349139999999</v>
      </c>
      <c r="BS484">
        <f>634.7687662</f>
        <v>634.76876619999996</v>
      </c>
      <c r="BT484">
        <f>618.9516284</f>
        <v>618.9516284</v>
      </c>
      <c r="BU484">
        <f>634.4804156</f>
        <v>634.48041560000001</v>
      </c>
      <c r="BV484">
        <f>621.8525836</f>
        <v>621.8525836</v>
      </c>
      <c r="BW484">
        <f>562.3722275</f>
        <v>562.37222750000001</v>
      </c>
      <c r="BX484">
        <f>585.0088855</f>
        <v>585.00888550000002</v>
      </c>
      <c r="BY484">
        <f>565.5848851</f>
        <v>565.58488509999995</v>
      </c>
      <c r="BZ484">
        <f>587.7351989</f>
        <v>587.7351989</v>
      </c>
      <c r="CA484">
        <f>588.1936313</f>
        <v>588.19363129999999</v>
      </c>
      <c r="CB484">
        <f>638.1167711</f>
        <v>638.11677110000005</v>
      </c>
      <c r="CC484">
        <f>722.6465454</f>
        <v>722.64654540000004</v>
      </c>
      <c r="CD484">
        <f>754.5249722</f>
        <v>754.52497219999998</v>
      </c>
      <c r="CE484">
        <f>811.2613168</f>
        <v>811.26131680000003</v>
      </c>
      <c r="CF484">
        <f>822.1748171</f>
        <v>822.17481710000004</v>
      </c>
      <c r="CG484">
        <f>939.2900841</f>
        <v>939.29008409999994</v>
      </c>
      <c r="CH484">
        <f>1486.40661</f>
        <v>1486.40661</v>
      </c>
      <c r="CI484">
        <f>1468.55838</f>
        <v>1468.5583799999999</v>
      </c>
      <c r="CJ484">
        <f>1290.285236</f>
        <v>1290.2852359999999</v>
      </c>
      <c r="CK484">
        <f>831.2520584</f>
        <v>831.25205840000001</v>
      </c>
      <c r="CL484">
        <f>746.4549692</f>
        <v>746.45496920000005</v>
      </c>
      <c r="CM484">
        <f>545.7252031</f>
        <v>545.72520310000004</v>
      </c>
      <c r="CN484">
        <f>615.8826991</f>
        <v>615.88269909999997</v>
      </c>
      <c r="CO484">
        <f>579.7222593</f>
        <v>579.72225930000002</v>
      </c>
      <c r="CP484">
        <f>609.0878178</f>
        <v>609.08781780000004</v>
      </c>
      <c r="CQ484">
        <f>486.839602</f>
        <v>486.83960200000001</v>
      </c>
      <c r="CR484">
        <f>498.4281813</f>
        <v>498.42818130000001</v>
      </c>
      <c r="CS484">
        <f>511.3449175</f>
        <v>511.34491750000001</v>
      </c>
      <c r="CT484">
        <f>498.9399368</f>
        <v>498.9399368</v>
      </c>
      <c r="CU484">
        <f>536.5542423</f>
        <v>536.55424230000006</v>
      </c>
      <c r="CV484">
        <f>449.5196271</f>
        <v>449.51962709999998</v>
      </c>
      <c r="CW484">
        <f>336.865824</f>
        <v>336.86582399999998</v>
      </c>
      <c r="CX484">
        <f>347.4679559</f>
        <v>347.46795589999999</v>
      </c>
      <c r="CY484">
        <f>364.8526229</f>
        <v>364.85262289999997</v>
      </c>
      <c r="CZ484">
        <f>382.7311189</f>
        <v>382.73111890000001</v>
      </c>
      <c r="DA484">
        <f>389.184431</f>
        <v>389.18443100000002</v>
      </c>
      <c r="DB484">
        <f>195.0015623</f>
        <v>195.00156229999999</v>
      </c>
      <c r="DC484">
        <f>158.7182538</f>
        <v>158.71825380000001</v>
      </c>
      <c r="DD484">
        <f>211.4752162</f>
        <v>211.47521620000001</v>
      </c>
      <c r="DE484">
        <f>331.5917305</f>
        <v>331.59173049999998</v>
      </c>
      <c r="DF484">
        <f>611.0526131</f>
        <v>611.05261310000003</v>
      </c>
      <c r="DG484">
        <f>444.5578794</f>
        <v>444.55787939999999</v>
      </c>
      <c r="DH484">
        <f>632.3346406</f>
        <v>632.33464059999994</v>
      </c>
      <c r="DI484">
        <f>611.6889308</f>
        <v>611.68893079999998</v>
      </c>
      <c r="DJ484">
        <f>474.9649147</f>
        <v>474.96491470000001</v>
      </c>
      <c r="DK484">
        <f>575.7761617</f>
        <v>575.77616169999999</v>
      </c>
      <c r="DL484">
        <f>413.6466333</f>
        <v>413.64663330000002</v>
      </c>
      <c r="DM484">
        <f>401.7025054</f>
        <v>401.70250540000001</v>
      </c>
      <c r="DN484">
        <f>285.3458298</f>
        <v>285.34582979999999</v>
      </c>
      <c r="DO484">
        <f>301.7837301</f>
        <v>301.78373010000001</v>
      </c>
      <c r="DP484">
        <f>291.2116172</f>
        <v>291.21161719999998</v>
      </c>
      <c r="DQ484">
        <f>340.9781338</f>
        <v>340.97813380000002</v>
      </c>
      <c r="DR484">
        <f>357.7264485</f>
        <v>357.7264485</v>
      </c>
      <c r="DS484">
        <f>352.1767682</f>
        <v>352.17676820000003</v>
      </c>
      <c r="DT484">
        <f>336.5385772</f>
        <v>336.53857720000002</v>
      </c>
      <c r="DU484">
        <f>279.004795</f>
        <v>279.004795</v>
      </c>
    </row>
    <row r="485" spans="1:125" x14ac:dyDescent="0.25">
      <c r="A485" t="str">
        <f>"    Sollers PJSC"</f>
        <v xml:space="preserve">    Sollers PJSC</v>
      </c>
      <c r="B485" t="str">
        <f>"SVAV RM Equity"</f>
        <v>SVAV RM Equity</v>
      </c>
      <c r="C485" t="str">
        <f t="shared" si="33"/>
        <v>RR902</v>
      </c>
      <c r="D485" t="str">
        <f t="shared" si="34"/>
        <v>CUR_MKT_CAP</v>
      </c>
      <c r="E485" t="str">
        <f t="shared" si="35"/>
        <v>Dynamic</v>
      </c>
      <c r="F485">
        <f ca="1">IF(AND(ISNUMBER($F$982),$B$511=1),$F$982,HLOOKUP(INDIRECT(ADDRESS(2,COLUMN())),OFFSET($BN$2,0,0,ROW()-1,60),ROW()-1,FALSE))</f>
        <v>211.0993627</v>
      </c>
      <c r="G485">
        <f ca="1">IF(AND(ISNUMBER($G$982),$B$511=1),$G$982,HLOOKUP(INDIRECT(ADDRESS(2,COLUMN())),OFFSET($BN$2,0,0,ROW()-1,60),ROW()-1,FALSE))</f>
        <v>201.00955830000001</v>
      </c>
      <c r="H485">
        <f ca="1">IF(AND(ISNUMBER($H$982),$B$511=1),$H$982,HLOOKUP(INDIRECT(ADDRESS(2,COLUMN())),OFFSET($BN$2,0,0,ROW()-1,60),ROW()-1,FALSE))</f>
        <v>266.87179959999997</v>
      </c>
      <c r="I485">
        <f ca="1">IF(AND(ISNUMBER($I$982),$B$511=1),$I$982,HLOOKUP(INDIRECT(ADDRESS(2,COLUMN())),OFFSET($BN$2,0,0,ROW()-1,60),ROW()-1,FALSE))</f>
        <v>282.40509739999999</v>
      </c>
      <c r="J485">
        <f ca="1">IF(AND(ISNUMBER($J$982),$B$511=1),$J$982,HLOOKUP(INDIRECT(ADDRESS(2,COLUMN())),OFFSET($BN$2,0,0,ROW()-1,60),ROW()-1,FALSE))</f>
        <v>339.2324132</v>
      </c>
      <c r="K485">
        <f ca="1">IF(AND(ISNUMBER($K$982),$B$511=1),$K$982,HLOOKUP(INDIRECT(ADDRESS(2,COLUMN())),OFFSET($BN$2,0,0,ROW()-1,60),ROW()-1,FALSE))</f>
        <v>370.26296509999997</v>
      </c>
      <c r="L485">
        <f ca="1">IF(AND(ISNUMBER($L$982),$B$511=1),$L$982,HLOOKUP(INDIRECT(ADDRESS(2,COLUMN())),OFFSET($BN$2,0,0,ROW()-1,60),ROW()-1,FALSE))</f>
        <v>341.09435589999998</v>
      </c>
      <c r="M485">
        <f ca="1">IF(AND(ISNUMBER($M$982),$B$511=1),$M$982,HLOOKUP(INDIRECT(ADDRESS(2,COLUMN())),OFFSET($BN$2,0,0,ROW()-1,60),ROW()-1,FALSE))</f>
        <v>340.17262319999998</v>
      </c>
      <c r="N485">
        <f ca="1">IF(AND(ISNUMBER($N$982),$B$511=1),$N$982,HLOOKUP(INDIRECT(ADDRESS(2,COLUMN())),OFFSET($BN$2,0,0,ROW()-1,60),ROW()-1,FALSE))</f>
        <v>352.51666929999999</v>
      </c>
      <c r="O485">
        <f ca="1">IF(AND(ISNUMBER($O$982),$B$511=1),$O$982,HLOOKUP(INDIRECT(ADDRESS(2,COLUMN())),OFFSET($BN$2,0,0,ROW()-1,60),ROW()-1,FALSE))</f>
        <v>299.47430939999998</v>
      </c>
      <c r="P485">
        <f ca="1">IF(AND(ISNUMBER($P$982),$B$511=1),$P$982,HLOOKUP(INDIRECT(ADDRESS(2,COLUMN())),OFFSET($BN$2,0,0,ROW()-1,60),ROW()-1,FALSE))</f>
        <v>318.28976299999999</v>
      </c>
      <c r="Q485">
        <f ca="1">IF(AND(ISNUMBER($Q$982),$B$511=1),$Q$982,HLOOKUP(INDIRECT(ADDRESS(2,COLUMN())),OFFSET($BN$2,0,0,ROW()-1,60),ROW()-1,FALSE))</f>
        <v>232.06646520000001</v>
      </c>
      <c r="R485">
        <f ca="1">IF(AND(ISNUMBER($R$982),$B$511=1),$R$982,HLOOKUP(INDIRECT(ADDRESS(2,COLUMN())),OFFSET($BN$2,0,0,ROW()-1,60),ROW()-1,FALSE))</f>
        <v>210.0687101</v>
      </c>
      <c r="S485">
        <f ca="1">IF(AND(ISNUMBER($S$982),$B$511=1),$S$982,HLOOKUP(INDIRECT(ADDRESS(2,COLUMN())),OFFSET($BN$2,0,0,ROW()-1,60),ROW()-1,FALSE))</f>
        <v>187.60960220000001</v>
      </c>
      <c r="T485">
        <f ca="1">IF(AND(ISNUMBER($T$982),$B$511=1),$T$982,HLOOKUP(INDIRECT(ADDRESS(2,COLUMN())),OFFSET($BN$2,0,0,ROW()-1,60),ROW()-1,FALSE))</f>
        <v>230.6328627</v>
      </c>
      <c r="U485">
        <f ca="1">IF(AND(ISNUMBER($U$982),$B$511=1),$U$982,HLOOKUP(INDIRECT(ADDRESS(2,COLUMN())),OFFSET($BN$2,0,0,ROW()-1,60),ROW()-1,FALSE))</f>
        <v>275.32708480000002</v>
      </c>
      <c r="V485">
        <f ca="1">IF(AND(ISNUMBER($V$982),$B$511=1),$V$982,HLOOKUP(INDIRECT(ADDRESS(2,COLUMN())),OFFSET($BN$2,0,0,ROW()-1,60),ROW()-1,FALSE))</f>
        <v>213.2368171</v>
      </c>
      <c r="W485">
        <f ca="1">IF(AND(ISNUMBER($W$982),$B$511=1),$W$982,HLOOKUP(INDIRECT(ADDRESS(2,COLUMN())),OFFSET($BN$2,0,0,ROW()-1,60),ROW()-1,FALSE))</f>
        <v>215.2679191</v>
      </c>
      <c r="X485">
        <f ca="1">IF(AND(ISNUMBER($X$982),$B$511=1),$X$982,HLOOKUP(INDIRECT(ADDRESS(2,COLUMN())),OFFSET($BN$2,0,0,ROW()-1,60),ROW()-1,FALSE))</f>
        <v>396.9426469</v>
      </c>
      <c r="Y485">
        <f ca="1">IF(AND(ISNUMBER($Y$982),$B$511=1),$Y$982,HLOOKUP(INDIRECT(ADDRESS(2,COLUMN())),OFFSET($BN$2,0,0,ROW()-1,60),ROW()-1,FALSE))</f>
        <v>600.05607780000003</v>
      </c>
      <c r="Z485">
        <f ca="1">IF(AND(ISNUMBER($Z$982),$B$511=1),$Z$982,HLOOKUP(INDIRECT(ADDRESS(2,COLUMN())),OFFSET($BN$2,0,0,ROW()-1,60),ROW()-1,FALSE))</f>
        <v>486.76631329999998</v>
      </c>
      <c r="AA485">
        <f ca="1">IF(AND(ISNUMBER($AA$982),$B$511=1),$AA$982,HLOOKUP(INDIRECT(ADDRESS(2,COLUMN())),OFFSET($BN$2,0,0,ROW()-1,60),ROW()-1,FALSE))</f>
        <v>887.34579010000004</v>
      </c>
      <c r="AB485">
        <f ca="1">IF(AND(ISNUMBER($AB$982),$B$511=1),$AB$982,HLOOKUP(INDIRECT(ADDRESS(2,COLUMN())),OFFSET($BN$2,0,0,ROW()-1,60),ROW()-1,FALSE))</f>
        <v>720.16942979999999</v>
      </c>
      <c r="AC485">
        <f ca="1">IF(AND(ISNUMBER($AC$982),$B$511=1),$AC$982,HLOOKUP(INDIRECT(ADDRESS(2,COLUMN())),OFFSET($BN$2,0,0,ROW()-1,60),ROW()-1,FALSE))</f>
        <v>741.42099270000006</v>
      </c>
      <c r="AD485">
        <f ca="1">IF(AND(ISNUMBER($AD$982),$B$511=1),$AD$982,HLOOKUP(INDIRECT(ADDRESS(2,COLUMN())),OFFSET($BN$2,0,0,ROW()-1,60),ROW()-1,FALSE))</f>
        <v>838.38766190000001</v>
      </c>
      <c r="AE485">
        <f ca="1">IF(AND(ISNUMBER($AE$982),$B$511=1),$AE$982,HLOOKUP(INDIRECT(ADDRESS(2,COLUMN())),OFFSET($BN$2,0,0,ROW()-1,60),ROW()-1,FALSE))</f>
        <v>772.78030130000002</v>
      </c>
      <c r="AF485">
        <f ca="1">IF(AND(ISNUMBER($AF$982),$B$511=1),$AF$982,HLOOKUP(INDIRECT(ADDRESS(2,COLUMN())),OFFSET($BN$2,0,0,ROW()-1,60),ROW()-1,FALSE))</f>
        <v>683.9753647</v>
      </c>
      <c r="AG485">
        <f ca="1">IF(AND(ISNUMBER($AG$982),$B$511=1),$AG$982,HLOOKUP(INDIRECT(ADDRESS(2,COLUMN())),OFFSET($BN$2,0,0,ROW()-1,60),ROW()-1,FALSE))</f>
        <v>418.22548410000002</v>
      </c>
      <c r="AH485">
        <f ca="1">IF(AND(ISNUMBER($AH$982),$B$511=1),$AH$982,HLOOKUP(INDIRECT(ADDRESS(2,COLUMN())),OFFSET($BN$2,0,0,ROW()-1,60),ROW()-1,FALSE))</f>
        <v>546.22805979999998</v>
      </c>
      <c r="AI485">
        <f ca="1">IF(AND(ISNUMBER($AI$982),$B$511=1),$AI$982,HLOOKUP(INDIRECT(ADDRESS(2,COLUMN())),OFFSET($BN$2,0,0,ROW()-1,60),ROW()-1,FALSE))</f>
        <v>324.1934139</v>
      </c>
      <c r="AJ485">
        <f ca="1">IF(AND(ISNUMBER($AJ$982),$B$511=1),$AJ$982,HLOOKUP(INDIRECT(ADDRESS(2,COLUMN())),OFFSET($BN$2,0,0,ROW()-1,60),ROW()-1,FALSE))</f>
        <v>357.99281769999999</v>
      </c>
      <c r="AK485">
        <f ca="1">IF(AND(ISNUMBER($AK$982),$B$511=1),$AK$982,HLOOKUP(INDIRECT(ADDRESS(2,COLUMN())),OFFSET($BN$2,0,0,ROW()-1,60),ROW()-1,FALSE))</f>
        <v>634.04566279999995</v>
      </c>
      <c r="AL485">
        <f ca="1">IF(AND(ISNUMBER($AL$982),$B$511=1),$AL$982,HLOOKUP(INDIRECT(ADDRESS(2,COLUMN())),OFFSET($BN$2,0,0,ROW()-1,60),ROW()-1,FALSE))</f>
        <v>703.12563699999998</v>
      </c>
      <c r="AM485">
        <f ca="1">IF(AND(ISNUMBER($AM$982),$B$511=1),$AM$982,HLOOKUP(INDIRECT(ADDRESS(2,COLUMN())),OFFSET($BN$2,0,0,ROW()-1,60),ROW()-1,FALSE))</f>
        <v>724.16954650000002</v>
      </c>
      <c r="AN485">
        <f ca="1">IF(AND(ISNUMBER($AN$982),$B$511=1),$AN$982,HLOOKUP(INDIRECT(ADDRESS(2,COLUMN())),OFFSET($BN$2,0,0,ROW()-1,60),ROW()-1,FALSE))</f>
        <v>538.77623419999998</v>
      </c>
      <c r="AO485">
        <f ca="1">IF(AND(ISNUMBER($AO$982),$B$511=1),$AO$982,HLOOKUP(INDIRECT(ADDRESS(2,COLUMN())),OFFSET($BN$2,0,0,ROW()-1,60),ROW()-1,FALSE))</f>
        <v>480.65055009999998</v>
      </c>
      <c r="AP485">
        <f ca="1">IF(AND(ISNUMBER($AP$982),$B$511=1),$AP$982,HLOOKUP(INDIRECT(ADDRESS(2,COLUMN())),OFFSET($BN$2,0,0,ROW()-1,60),ROW()-1,FALSE))</f>
        <v>623.87081069999999</v>
      </c>
      <c r="AQ485">
        <f ca="1">IF(AND(ISNUMBER($AQ$982),$B$511=1),$AQ$982,HLOOKUP(INDIRECT(ADDRESS(2,COLUMN())),OFFSET($BN$2,0,0,ROW()-1,60),ROW()-1,FALSE))</f>
        <v>484.13002699999998</v>
      </c>
      <c r="AR485">
        <f ca="1">IF(AND(ISNUMBER($AR$982),$B$511=1),$AR$982,HLOOKUP(INDIRECT(ADDRESS(2,COLUMN())),OFFSET($BN$2,0,0,ROW()-1,60),ROW()-1,FALSE))</f>
        <v>482.00173369999999</v>
      </c>
      <c r="AS485">
        <f ca="1">IF(AND(ISNUMBER($AS$982),$B$511=1),$AS$982,HLOOKUP(INDIRECT(ADDRESS(2,COLUMN())),OFFSET($BN$2,0,0,ROW()-1,60),ROW()-1,FALSE))</f>
        <v>240.8204088</v>
      </c>
      <c r="AT485">
        <f ca="1">IF(AND(ISNUMBER($AT$982),$B$511=1),$AT$982,HLOOKUP(INDIRECT(ADDRESS(2,COLUMN())),OFFSET($BN$2,0,0,ROW()-1,60),ROW()-1,FALSE))</f>
        <v>147.13686240000001</v>
      </c>
      <c r="AU485">
        <f ca="1">IF(AND(ISNUMBER($AU$982),$B$511=1),$AU$982,HLOOKUP(INDIRECT(ADDRESS(2,COLUMN())),OFFSET($BN$2,0,0,ROW()-1,60),ROW()-1,FALSE))</f>
        <v>142.73227539999999</v>
      </c>
      <c r="AV485">
        <f ca="1">IF(AND(ISNUMBER($AV$982),$B$511=1),$AV$982,HLOOKUP(INDIRECT(ADDRESS(2,COLUMN())),OFFSET($BN$2,0,0,ROW()-1,60),ROW()-1,FALSE))</f>
        <v>1014.4640920000001</v>
      </c>
      <c r="AW485">
        <f ca="1">IF(AND(ISNUMBER($AW$982),$B$511=1),$AW$982,HLOOKUP(INDIRECT(ADDRESS(2,COLUMN())),OFFSET($BN$2,0,0,ROW()-1,60),ROW()-1,FALSE))</f>
        <v>2132.3842970000001</v>
      </c>
      <c r="AX485">
        <f ca="1">IF(AND(ISNUMBER($AX$982),$B$511=1),$AX$982,HLOOKUP(INDIRECT(ADDRESS(2,COLUMN())),OFFSET($BN$2,0,0,ROW()-1,60),ROW()-1,FALSE))</f>
        <v>2080.7095909999998</v>
      </c>
      <c r="AY485">
        <f ca="1">IF(AND(ISNUMBER($AY$982),$B$511=1),$AY$982,HLOOKUP(INDIRECT(ADDRESS(2,COLUMN())),OFFSET($BN$2,0,0,ROW()-1,60),ROW()-1,FALSE))</f>
        <v>1864.3135520000001</v>
      </c>
      <c r="AZ485">
        <f ca="1">IF(AND(ISNUMBER($AZ$982),$B$511=1),$AZ$982,HLOOKUP(INDIRECT(ADDRESS(2,COLUMN())),OFFSET($BN$2,0,0,ROW()-1,60),ROW()-1,FALSE))</f>
        <v>1680.0021899999999</v>
      </c>
      <c r="BA485">
        <f ca="1">IF(AND(ISNUMBER($BA$982),$B$511=1),$BA$982,HLOOKUP(INDIRECT(ADDRESS(2,COLUMN())),OFFSET($BN$2,0,0,ROW()-1,60),ROW()-1,FALSE))</f>
        <v>1155.8508220000001</v>
      </c>
      <c r="BB485">
        <f ca="1">IF(AND(ISNUMBER($BB$982),$B$511=1),$BB$982,HLOOKUP(INDIRECT(ADDRESS(2,COLUMN())),OFFSET($BN$2,0,0,ROW()-1,60),ROW()-1,FALSE))</f>
        <v>1114.104765</v>
      </c>
      <c r="BC485">
        <f ca="1">IF(AND(ISNUMBER($BC$982),$B$511=1),$BC$982,HLOOKUP(INDIRECT(ADDRESS(2,COLUMN())),OFFSET($BN$2,0,0,ROW()-1,60),ROW()-1,FALSE))</f>
        <v>1054.3955570000001</v>
      </c>
      <c r="BD485">
        <f ca="1">IF(AND(ISNUMBER($BD$982),$B$511=1),$BD$982,HLOOKUP(INDIRECT(ADDRESS(2,COLUMN())),OFFSET($BN$2,0,0,ROW()-1,60),ROW()-1,FALSE))</f>
        <v>693.40833580000003</v>
      </c>
      <c r="BE485">
        <f ca="1">IF(AND(ISNUMBER($BE$982),$B$511=1),$BE$982,HLOOKUP(INDIRECT(ADDRESS(2,COLUMN())),OFFSET($BN$2,0,0,ROW()-1,60),ROW()-1,FALSE))</f>
        <v>664.95063359999995</v>
      </c>
      <c r="BF485">
        <f ca="1">IF(AND(ISNUMBER($BF$982),$B$511=1),$BF$982,HLOOKUP(INDIRECT(ADDRESS(2,COLUMN())),OFFSET($BN$2,0,0,ROW()-1,60),ROW()-1,FALSE))</f>
        <v>822.82196650000003</v>
      </c>
      <c r="BG485" t="str">
        <f ca="1">IF(AND(ISNUMBER($BG$982),$B$511=1),$BG$982,HLOOKUP(INDIRECT(ADDRESS(2,COLUMN())),OFFSET($BN$2,0,0,ROW()-1,60),ROW()-1,FALSE))</f>
        <v/>
      </c>
      <c r="BH485" t="str">
        <f ca="1">IF(AND(ISNUMBER($BH$982),$B$511=1),$BH$982,HLOOKUP(INDIRECT(ADDRESS(2,COLUMN())),OFFSET($BN$2,0,0,ROW()-1,60),ROW()-1,FALSE))</f>
        <v/>
      </c>
      <c r="BI485" t="str">
        <f ca="1">IF(AND(ISNUMBER($BI$982),$B$511=1),$BI$982,HLOOKUP(INDIRECT(ADDRESS(2,COLUMN())),OFFSET($BN$2,0,0,ROW()-1,60),ROW()-1,FALSE))</f>
        <v/>
      </c>
      <c r="BJ485" t="str">
        <f ca="1">IF(AND(ISNUMBER($BJ$982),$B$511=1),$BJ$982,HLOOKUP(INDIRECT(ADDRESS(2,COLUMN())),OFFSET($BN$2,0,0,ROW()-1,60),ROW()-1,FALSE))</f>
        <v/>
      </c>
      <c r="BK485" t="str">
        <f ca="1">IF(AND(ISNUMBER($BK$982),$B$511=1),$BK$982,HLOOKUP(INDIRECT(ADDRESS(2,COLUMN())),OFFSET($BN$2,0,0,ROW()-1,60),ROW()-1,FALSE))</f>
        <v/>
      </c>
      <c r="BL485" t="str">
        <f ca="1">IF(AND(ISNUMBER($BL$982),$B$511=1),$BL$982,HLOOKUP(INDIRECT(ADDRESS(2,COLUMN())),OFFSET($BN$2,0,0,ROW()-1,60),ROW()-1,FALSE))</f>
        <v/>
      </c>
      <c r="BM485" t="str">
        <f ca="1">IF(AND(ISNUMBER($BM$982),$B$511=1),$BM$982,HLOOKUP(INDIRECT(ADDRESS(2,COLUMN())),OFFSET($BN$2,0,0,ROW()-1,60),ROW()-1,FALSE))</f>
        <v/>
      </c>
      <c r="BN485">
        <f>211.0993627</f>
        <v>211.0993627</v>
      </c>
      <c r="BO485">
        <f>201.0095583</f>
        <v>201.00955830000001</v>
      </c>
      <c r="BP485">
        <f>266.8717996</f>
        <v>266.87179959999997</v>
      </c>
      <c r="BQ485">
        <f>282.4050974</f>
        <v>282.40509739999999</v>
      </c>
      <c r="BR485">
        <f>339.2324132</f>
        <v>339.2324132</v>
      </c>
      <c r="BS485">
        <f>370.2629651</f>
        <v>370.26296509999997</v>
      </c>
      <c r="BT485">
        <f>341.0943559</f>
        <v>341.09435589999998</v>
      </c>
      <c r="BU485">
        <f>340.1726232</f>
        <v>340.17262319999998</v>
      </c>
      <c r="BV485">
        <f>352.5166693</f>
        <v>352.51666929999999</v>
      </c>
      <c r="BW485">
        <f>299.4743094</f>
        <v>299.47430939999998</v>
      </c>
      <c r="BX485">
        <f>318.289763</f>
        <v>318.28976299999999</v>
      </c>
      <c r="BY485">
        <f>232.0664652</f>
        <v>232.06646520000001</v>
      </c>
      <c r="BZ485">
        <f>210.0687101</f>
        <v>210.0687101</v>
      </c>
      <c r="CA485">
        <f>187.6096022</f>
        <v>187.60960220000001</v>
      </c>
      <c r="CB485">
        <f>230.6328627</f>
        <v>230.6328627</v>
      </c>
      <c r="CC485">
        <f>275.3270848</f>
        <v>275.32708480000002</v>
      </c>
      <c r="CD485">
        <f>213.2368171</f>
        <v>213.2368171</v>
      </c>
      <c r="CE485">
        <f>215.2679191</f>
        <v>215.2679191</v>
      </c>
      <c r="CF485">
        <f>396.9426469</f>
        <v>396.9426469</v>
      </c>
      <c r="CG485">
        <f>600.0560778</f>
        <v>600.05607780000003</v>
      </c>
      <c r="CH485">
        <f>486.7663133</f>
        <v>486.76631329999998</v>
      </c>
      <c r="CI485">
        <f>887.3457901</f>
        <v>887.34579010000004</v>
      </c>
      <c r="CJ485">
        <f>720.1694298</f>
        <v>720.16942979999999</v>
      </c>
      <c r="CK485">
        <f>741.4209927</f>
        <v>741.42099270000006</v>
      </c>
      <c r="CL485">
        <f>838.3876619</f>
        <v>838.38766190000001</v>
      </c>
      <c r="CM485">
        <f>772.7803013</f>
        <v>772.78030130000002</v>
      </c>
      <c r="CN485">
        <f>683.9753647</f>
        <v>683.9753647</v>
      </c>
      <c r="CO485">
        <f>418.2254841</f>
        <v>418.22548410000002</v>
      </c>
      <c r="CP485">
        <f>546.2280598</f>
        <v>546.22805979999998</v>
      </c>
      <c r="CQ485">
        <f>324.1934139</f>
        <v>324.1934139</v>
      </c>
      <c r="CR485">
        <f>357.9928177</f>
        <v>357.99281769999999</v>
      </c>
      <c r="CS485">
        <f>634.0456628</f>
        <v>634.04566279999995</v>
      </c>
      <c r="CT485">
        <f>703.125637</f>
        <v>703.12563699999998</v>
      </c>
      <c r="CU485">
        <f>724.1695465</f>
        <v>724.16954650000002</v>
      </c>
      <c r="CV485">
        <f>538.7762342</f>
        <v>538.77623419999998</v>
      </c>
      <c r="CW485">
        <f>480.6505501</f>
        <v>480.65055009999998</v>
      </c>
      <c r="CX485">
        <f>623.8708107</f>
        <v>623.87081069999999</v>
      </c>
      <c r="CY485">
        <f>484.130027</f>
        <v>484.13002699999998</v>
      </c>
      <c r="CZ485">
        <f>482.0017337</f>
        <v>482.00173369999999</v>
      </c>
      <c r="DA485">
        <f>240.8204088</f>
        <v>240.8204088</v>
      </c>
      <c r="DB485">
        <f>147.1368624</f>
        <v>147.13686240000001</v>
      </c>
      <c r="DC485">
        <f>142.7322754</f>
        <v>142.73227539999999</v>
      </c>
      <c r="DD485">
        <f>1014.464092</f>
        <v>1014.4640920000001</v>
      </c>
      <c r="DE485">
        <f>2132.384297</f>
        <v>2132.3842970000001</v>
      </c>
      <c r="DF485">
        <f>2080.709591</f>
        <v>2080.7095909999998</v>
      </c>
      <c r="DG485">
        <f>1864.313552</f>
        <v>1864.3135520000001</v>
      </c>
      <c r="DH485">
        <f>1680.00219</f>
        <v>1680.0021899999999</v>
      </c>
      <c r="DI485">
        <f>1155.850822</f>
        <v>1155.8508220000001</v>
      </c>
      <c r="DJ485">
        <f>1114.104765</f>
        <v>1114.104765</v>
      </c>
      <c r="DK485">
        <f>1054.395557</f>
        <v>1054.3955570000001</v>
      </c>
      <c r="DL485">
        <f>693.4083358</f>
        <v>693.40833580000003</v>
      </c>
      <c r="DM485">
        <f>664.9506336</f>
        <v>664.95063359999995</v>
      </c>
      <c r="DN485">
        <f>822.8219665</f>
        <v>822.82196650000003</v>
      </c>
      <c r="DO485" t="str">
        <f>""</f>
        <v/>
      </c>
      <c r="DP485" t="str">
        <f>""</f>
        <v/>
      </c>
      <c r="DQ485" t="str">
        <f>""</f>
        <v/>
      </c>
      <c r="DR485" t="str">
        <f>""</f>
        <v/>
      </c>
      <c r="DS485" t="str">
        <f>""</f>
        <v/>
      </c>
      <c r="DT485" t="str">
        <f>""</f>
        <v/>
      </c>
      <c r="DU485" t="str">
        <f>""</f>
        <v/>
      </c>
    </row>
    <row r="486" spans="1:125" x14ac:dyDescent="0.25">
      <c r="A486" t="str">
        <f>"    Ssangyong Motor Co"</f>
        <v xml:space="preserve">    Ssangyong Motor Co</v>
      </c>
      <c r="B486" t="str">
        <f>"003620 KS Equity"</f>
        <v>003620 KS Equity</v>
      </c>
      <c r="C486" t="str">
        <f t="shared" si="33"/>
        <v>RR902</v>
      </c>
      <c r="D486" t="str">
        <f t="shared" si="34"/>
        <v>CUR_MKT_CAP</v>
      </c>
      <c r="E486" t="str">
        <f t="shared" si="35"/>
        <v>Dynamic</v>
      </c>
      <c r="F486">
        <f ca="1">IF(AND(ISNUMBER($F$983),$B$511=1),$F$983,HLOOKUP(INDIRECT(ADDRESS(2,COLUMN())),OFFSET($BN$2,0,0,ROW()-1,60),ROW()-1,FALSE))</f>
        <v>678.45020739999995</v>
      </c>
      <c r="G486">
        <f ca="1">IF(AND(ISNUMBER($G$983),$B$511=1),$G$983,HLOOKUP(INDIRECT(ADDRESS(2,COLUMN())),OFFSET($BN$2,0,0,ROW()-1,60),ROW()-1,FALSE))</f>
        <v>489.80508220000002</v>
      </c>
      <c r="H486">
        <f ca="1">IF(AND(ISNUMBER($H$983),$B$511=1),$H$983,HLOOKUP(INDIRECT(ADDRESS(2,COLUMN())),OFFSET($BN$2,0,0,ROW()-1,60),ROW()-1,FALSE))</f>
        <v>567.3886536</v>
      </c>
      <c r="I486">
        <f ca="1">IF(AND(ISNUMBER($I$983),$B$511=1),$I$983,HLOOKUP(INDIRECT(ADDRESS(2,COLUMN())),OFFSET($BN$2,0,0,ROW()-1,60),ROW()-1,FALSE))</f>
        <v>566.24996829999998</v>
      </c>
      <c r="J486">
        <f ca="1">IF(AND(ISNUMBER($J$983),$B$511=1),$J$983,HLOOKUP(INDIRECT(ADDRESS(2,COLUMN())),OFFSET($BN$2,0,0,ROW()-1,60),ROW()-1,FALSE))</f>
        <v>645.61986969999998</v>
      </c>
      <c r="K486">
        <f ca="1">IF(AND(ISNUMBER($K$983),$B$511=1),$K$983,HLOOKUP(INDIRECT(ADDRESS(2,COLUMN())),OFFSET($BN$2,0,0,ROW()-1,60),ROW()-1,FALSE))</f>
        <v>659.30560409999998</v>
      </c>
      <c r="L486">
        <f ca="1">IF(AND(ISNUMBER($L$983),$B$511=1),$L$983,HLOOKUP(INDIRECT(ADDRESS(2,COLUMN())),OFFSET($BN$2,0,0,ROW()-1,60),ROW()-1,FALSE))</f>
        <v>624.39085599999999</v>
      </c>
      <c r="M486">
        <f ca="1">IF(AND(ISNUMBER($M$983),$B$511=1),$M$983,HLOOKUP(INDIRECT(ADDRESS(2,COLUMN())),OFFSET($BN$2,0,0,ROW()-1,60),ROW()-1,FALSE))</f>
        <v>824.96101410000006</v>
      </c>
      <c r="N486">
        <f ca="1">IF(AND(ISNUMBER($N$983),$B$511=1),$N$983,HLOOKUP(INDIRECT(ADDRESS(2,COLUMN())),OFFSET($BN$2,0,0,ROW()-1,60),ROW()-1,FALSE))</f>
        <v>981.13039549999996</v>
      </c>
      <c r="O486">
        <f ca="1">IF(AND(ISNUMBER($O$983),$B$511=1),$O$983,HLOOKUP(INDIRECT(ADDRESS(2,COLUMN())),OFFSET($BN$2,0,0,ROW()-1,60),ROW()-1,FALSE))</f>
        <v>897.13832609999997</v>
      </c>
      <c r="P486">
        <f ca="1">IF(AND(ISNUMBER($P$983),$B$511=1),$P$983,HLOOKUP(INDIRECT(ADDRESS(2,COLUMN())),OFFSET($BN$2,0,0,ROW()-1,60),ROW()-1,FALSE))</f>
        <v>983.53131800000006</v>
      </c>
      <c r="Q486">
        <f ca="1">IF(AND(ISNUMBER($Q$983),$B$511=1),$Q$983,HLOOKUP(INDIRECT(ADDRESS(2,COLUMN())),OFFSET($BN$2,0,0,ROW()-1,60),ROW()-1,FALSE))</f>
        <v>833.68685719999996</v>
      </c>
      <c r="R486">
        <f ca="1">IF(AND(ISNUMBER($R$983),$B$511=1),$R$983,HLOOKUP(INDIRECT(ADDRESS(2,COLUMN())),OFFSET($BN$2,0,0,ROW()-1,60),ROW()-1,FALSE))</f>
        <v>992.29405929999996</v>
      </c>
      <c r="S486">
        <f ca="1">IF(AND(ISNUMBER($S$983),$B$511=1),$S$983,HLOOKUP(INDIRECT(ADDRESS(2,COLUMN())),OFFSET($BN$2,0,0,ROW()-1,60),ROW()-1,FALSE))</f>
        <v>902.62584579999998</v>
      </c>
      <c r="T486">
        <f ca="1">IF(AND(ISNUMBER($T$983),$B$511=1),$T$983,HLOOKUP(INDIRECT(ADDRESS(2,COLUMN())),OFFSET($BN$2,0,0,ROW()-1,60),ROW()-1,FALSE))</f>
        <v>1011.729046</v>
      </c>
      <c r="U486">
        <f ca="1">IF(AND(ISNUMBER($U$983),$B$511=1),$U$983,HLOOKUP(INDIRECT(ADDRESS(2,COLUMN())),OFFSET($BN$2,0,0,ROW()-1,60),ROW()-1,FALSE))</f>
        <v>1068.1759520000001</v>
      </c>
      <c r="V486">
        <f ca="1">IF(AND(ISNUMBER($V$983),$B$511=1),$V$983,HLOOKUP(INDIRECT(ADDRESS(2,COLUMN())),OFFSET($BN$2,0,0,ROW()-1,60),ROW()-1,FALSE))</f>
        <v>1122.573705</v>
      </c>
      <c r="W486">
        <f ca="1">IF(AND(ISNUMBER($W$983),$B$511=1),$W$983,HLOOKUP(INDIRECT(ADDRESS(2,COLUMN())),OFFSET($BN$2,0,0,ROW()-1,60),ROW()-1,FALSE))</f>
        <v>1158.8414479999999</v>
      </c>
      <c r="X486">
        <f ca="1">IF(AND(ISNUMBER($X$983),$B$511=1),$X$983,HLOOKUP(INDIRECT(ADDRESS(2,COLUMN())),OFFSET($BN$2,0,0,ROW()-1,60),ROW()-1,FALSE))</f>
        <v>854.70738319999998</v>
      </c>
      <c r="Y486">
        <f ca="1">IF(AND(ISNUMBER($Y$983),$B$511=1),$Y$983,HLOOKUP(INDIRECT(ADDRESS(2,COLUMN())),OFFSET($BN$2,0,0,ROW()-1,60),ROW()-1,FALSE))</f>
        <v>1187.1071770000001</v>
      </c>
      <c r="Z486">
        <f ca="1">IF(AND(ISNUMBER($Z$983),$B$511=1),$Z$983,HLOOKUP(INDIRECT(ADDRESS(2,COLUMN())),OFFSET($BN$2,0,0,ROW()-1,60),ROW()-1,FALSE))</f>
        <v>1129.415387</v>
      </c>
      <c r="AA486">
        <f ca="1">IF(AND(ISNUMBER($AA$983),$B$511=1),$AA$983,HLOOKUP(INDIRECT(ADDRESS(2,COLUMN())),OFFSET($BN$2,0,0,ROW()-1,60),ROW()-1,FALSE))</f>
        <v>982.00161179999998</v>
      </c>
      <c r="AB486">
        <f ca="1">IF(AND(ISNUMBER($AB$983),$B$511=1),$AB$983,HLOOKUP(INDIRECT(ADDRESS(2,COLUMN())),OFFSET($BN$2,0,0,ROW()-1,60),ROW()-1,FALSE))</f>
        <v>1089.7167440000001</v>
      </c>
      <c r="AC486">
        <f ca="1">IF(AND(ISNUMBER($AC$983),$B$511=1),$AC$983,HLOOKUP(INDIRECT(ADDRESS(2,COLUMN())),OFFSET($BN$2,0,0,ROW()-1,60),ROW()-1,FALSE))</f>
        <v>1072.491732</v>
      </c>
      <c r="AD486">
        <f ca="1">IF(AND(ISNUMBER($AD$983),$B$511=1),$AD$983,HLOOKUP(INDIRECT(ADDRESS(2,COLUMN())),OFFSET($BN$2,0,0,ROW()-1,60),ROW()-1,FALSE))</f>
        <v>671.05749219999996</v>
      </c>
      <c r="AE486">
        <f ca="1">IF(AND(ISNUMBER($AE$983),$B$511=1),$AE$983,HLOOKUP(INDIRECT(ADDRESS(2,COLUMN())),OFFSET($BN$2,0,0,ROW()-1,60),ROW()-1,FALSE))</f>
        <v>610.35569840000005</v>
      </c>
      <c r="AF486">
        <f ca="1">IF(AND(ISNUMBER($AF$983),$B$511=1),$AF$983,HLOOKUP(INDIRECT(ADDRESS(2,COLUMN())),OFFSET($BN$2,0,0,ROW()-1,60),ROW()-1,FALSE))</f>
        <v>568.9538</v>
      </c>
      <c r="AG486">
        <f ca="1">IF(AND(ISNUMBER($AG$983),$B$511=1),$AG$983,HLOOKUP(INDIRECT(ADDRESS(2,COLUMN())),OFFSET($BN$2,0,0,ROW()-1,60),ROW()-1,FALSE))</f>
        <v>597.79728939999995</v>
      </c>
      <c r="AH486">
        <f ca="1">IF(AND(ISNUMBER($AH$983),$B$511=1),$AH$983,HLOOKUP(INDIRECT(ADDRESS(2,COLUMN())),OFFSET($BN$2,0,0,ROW()-1,60),ROW()-1,FALSE))</f>
        <v>755.00469399999997</v>
      </c>
      <c r="AI486">
        <f ca="1">IF(AND(ISNUMBER($AI$983),$B$511=1),$AI$983,HLOOKUP(INDIRECT(ADDRESS(2,COLUMN())),OFFSET($BN$2,0,0,ROW()-1,60),ROW()-1,FALSE))</f>
        <v>536.81221879999998</v>
      </c>
      <c r="AJ486">
        <f ca="1">IF(AND(ISNUMBER($AJ$983),$B$511=1),$AJ$983,HLOOKUP(INDIRECT(ADDRESS(2,COLUMN())),OFFSET($BN$2,0,0,ROW()-1,60),ROW()-1,FALSE))</f>
        <v>552.47096399999998</v>
      </c>
      <c r="AK486">
        <f ca="1">IF(AND(ISNUMBER($AK$983),$B$511=1),$AK$983,HLOOKUP(INDIRECT(ADDRESS(2,COLUMN())),OFFSET($BN$2,0,0,ROW()-1,60),ROW()-1,FALSE))</f>
        <v>962.60419860000002</v>
      </c>
      <c r="AL486">
        <f ca="1">IF(AND(ISNUMBER($AL$983),$B$511=1),$AL$983,HLOOKUP(INDIRECT(ADDRESS(2,COLUMN())),OFFSET($BN$2,0,0,ROW()-1,60),ROW()-1,FALSE))</f>
        <v>1017.598428</v>
      </c>
      <c r="AM486">
        <f ca="1">IF(AND(ISNUMBER($AM$983),$B$511=1),$AM$983,HLOOKUP(INDIRECT(ADDRESS(2,COLUMN())),OFFSET($BN$2,0,0,ROW()-1,60),ROW()-1,FALSE))</f>
        <v>272.25845090000001</v>
      </c>
      <c r="AN486">
        <f ca="1">IF(AND(ISNUMBER($AN$983),$B$511=1),$AN$983,HLOOKUP(INDIRECT(ADDRESS(2,COLUMN())),OFFSET($BN$2,0,0,ROW()-1,60),ROW()-1,FALSE))</f>
        <v>295.76372550000002</v>
      </c>
      <c r="AO486">
        <f ca="1">IF(AND(ISNUMBER($AO$983),$B$511=1),$AO$983,HLOOKUP(INDIRECT(ADDRESS(2,COLUMN())),OFFSET($BN$2,0,0,ROW()-1,60),ROW()-1,FALSE))</f>
        <v>414.02359849999999</v>
      </c>
      <c r="AP486">
        <f ca="1">IF(AND(ISNUMBER($AP$983),$B$511=1),$AP$983,HLOOKUP(INDIRECT(ADDRESS(2,COLUMN())),OFFSET($BN$2,0,0,ROW()-1,60),ROW()-1,FALSE))</f>
        <v>384.9584309</v>
      </c>
      <c r="AQ486">
        <f ca="1">IF(AND(ISNUMBER($AQ$983),$B$511=1),$AQ$983,HLOOKUP(INDIRECT(ADDRESS(2,COLUMN())),OFFSET($BN$2,0,0,ROW()-1,60),ROW()-1,FALSE))</f>
        <v>259.3486552</v>
      </c>
      <c r="AR486">
        <f ca="1">IF(AND(ISNUMBER($AR$983),$B$511=1),$AR$983,HLOOKUP(INDIRECT(ADDRESS(2,COLUMN())),OFFSET($BN$2,0,0,ROW()-1,60),ROW()-1,FALSE))</f>
        <v>266.6620843</v>
      </c>
      <c r="AS486">
        <f ca="1">IF(AND(ISNUMBER($AS$983),$B$511=1),$AS$983,HLOOKUP(INDIRECT(ADDRESS(2,COLUMN())),OFFSET($BN$2,0,0,ROW()-1,60),ROW()-1,FALSE))</f>
        <v>136.24757819999999</v>
      </c>
      <c r="AT486">
        <f ca="1">IF(AND(ISNUMBER($AT$983),$B$511=1),$AT$983,HLOOKUP(INDIRECT(ADDRESS(2,COLUMN())),OFFSET($BN$2,0,0,ROW()-1,60),ROW()-1,FALSE))</f>
        <v>106.02707940000001</v>
      </c>
      <c r="AU486">
        <f ca="1">IF(AND(ISNUMBER($AU$983),$B$511=1),$AU$983,HLOOKUP(INDIRECT(ADDRESS(2,COLUMN())),OFFSET($BN$2,0,0,ROW()-1,60),ROW()-1,FALSE))</f>
        <v>89.519428349999998</v>
      </c>
      <c r="AV486">
        <f ca="1">IF(AND(ISNUMBER($AV$983),$B$511=1),$AV$983,HLOOKUP(INDIRECT(ADDRESS(2,COLUMN())),OFFSET($BN$2,0,0,ROW()-1,60),ROW()-1,FALSE))</f>
        <v>255.10336530000001</v>
      </c>
      <c r="AW486">
        <f ca="1">IF(AND(ISNUMBER($AW$983),$B$511=1),$AW$983,HLOOKUP(INDIRECT(ADDRESS(2,COLUMN())),OFFSET($BN$2,0,0,ROW()-1,60),ROW()-1,FALSE))</f>
        <v>455.11546679999998</v>
      </c>
      <c r="AX486">
        <f ca="1">IF(AND(ISNUMBER($AX$983),$B$511=1),$AX$983,HLOOKUP(INDIRECT(ADDRESS(2,COLUMN())),OFFSET($BN$2,0,0,ROW()-1,60),ROW()-1,FALSE))</f>
        <v>661.92633439999997</v>
      </c>
      <c r="AY486">
        <f ca="1">IF(AND(ISNUMBER($AY$983),$B$511=1),$AY$983,HLOOKUP(INDIRECT(ADDRESS(2,COLUMN())),OFFSET($BN$2,0,0,ROW()-1,60),ROW()-1,FALSE))</f>
        <v>800.54354660000001</v>
      </c>
      <c r="AZ486">
        <f ca="1">IF(AND(ISNUMBER($AZ$983),$B$511=1),$AZ$983,HLOOKUP(INDIRECT(ADDRESS(2,COLUMN())),OFFSET($BN$2,0,0,ROW()-1,60),ROW()-1,FALSE))</f>
        <v>782.71123250000005</v>
      </c>
      <c r="BA486">
        <f ca="1">IF(AND(ISNUMBER($BA$983),$B$511=1),$BA$983,HLOOKUP(INDIRECT(ADDRESS(2,COLUMN())),OFFSET($BN$2,0,0,ROW()-1,60),ROW()-1,FALSE))</f>
        <v>936.21603679999998</v>
      </c>
      <c r="BB486">
        <f ca="1">IF(AND(ISNUMBER($BB$983),$B$511=1),$BB$983,HLOOKUP(INDIRECT(ADDRESS(2,COLUMN())),OFFSET($BN$2,0,0,ROW()-1,60),ROW()-1,FALSE))</f>
        <v>789.86637470000005</v>
      </c>
      <c r="BC486">
        <f ca="1">IF(AND(ISNUMBER($BC$983),$B$511=1),$BC$983,HLOOKUP(INDIRECT(ADDRESS(2,COLUMN())),OFFSET($BN$2,0,0,ROW()-1,60),ROW()-1,FALSE))</f>
        <v>683.51768389999995</v>
      </c>
      <c r="BD486">
        <f ca="1">IF(AND(ISNUMBER($BD$983),$B$511=1),$BD$983,HLOOKUP(INDIRECT(ADDRESS(2,COLUMN())),OFFSET($BN$2,0,0,ROW()-1,60),ROW()-1,FALSE))</f>
        <v>588.38797939999995</v>
      </c>
      <c r="BE486">
        <f ca="1">IF(AND(ISNUMBER($BE$983),$B$511=1),$BE$983,HLOOKUP(INDIRECT(ADDRESS(2,COLUMN())),OFFSET($BN$2,0,0,ROW()-1,60),ROW()-1,FALSE))</f>
        <v>602.94065350000005</v>
      </c>
      <c r="BF486">
        <f ca="1">IF(AND(ISNUMBER($BF$983),$B$511=1),$BF$983,HLOOKUP(INDIRECT(ADDRESS(2,COLUMN())),OFFSET($BN$2,0,0,ROW()-1,60),ROW()-1,FALSE))</f>
        <v>782.03155100000004</v>
      </c>
      <c r="BG486">
        <f ca="1">IF(AND(ISNUMBER($BG$983),$B$511=1),$BG$983,HLOOKUP(INDIRECT(ADDRESS(2,COLUMN())),OFFSET($BN$2,0,0,ROW()-1,60),ROW()-1,FALSE))</f>
        <v>973.04347059999998</v>
      </c>
      <c r="BH486">
        <f ca="1">IF(AND(ISNUMBER($BH$983),$B$511=1),$BH$983,HLOOKUP(INDIRECT(ADDRESS(2,COLUMN())),OFFSET($BN$2,0,0,ROW()-1,60),ROW()-1,FALSE))</f>
        <v>931.76229160000003</v>
      </c>
      <c r="BI486">
        <f ca="1">IF(AND(ISNUMBER($BI$983),$B$511=1),$BI$983,HLOOKUP(INDIRECT(ADDRESS(2,COLUMN())),OFFSET($BN$2,0,0,ROW()-1,60),ROW()-1,FALSE))</f>
        <v>805.75327660000005</v>
      </c>
      <c r="BJ486">
        <f ca="1">IF(AND(ISNUMBER($BJ$983),$B$511=1),$BJ$983,HLOOKUP(INDIRECT(ADDRESS(2,COLUMN())),OFFSET($BN$2,0,0,ROW()-1,60),ROW()-1,FALSE))</f>
        <v>867.22359440000002</v>
      </c>
      <c r="BK486">
        <f ca="1">IF(AND(ISNUMBER($BK$983),$B$511=1),$BK$983,HLOOKUP(INDIRECT(ADDRESS(2,COLUMN())),OFFSET($BN$2,0,0,ROW()-1,60),ROW()-1,FALSE))</f>
        <v>695.94586790000005</v>
      </c>
      <c r="BL486">
        <f ca="1">IF(AND(ISNUMBER($BL$983),$B$511=1),$BL$983,HLOOKUP(INDIRECT(ADDRESS(2,COLUMN())),OFFSET($BN$2,0,0,ROW()-1,60),ROW()-1,FALSE))</f>
        <v>851.87440819999995</v>
      </c>
      <c r="BM486">
        <f ca="1">IF(AND(ISNUMBER($BM$983),$B$511=1),$BM$983,HLOOKUP(INDIRECT(ADDRESS(2,COLUMN())),OFFSET($BN$2,0,0,ROW()-1,60),ROW()-1,FALSE))</f>
        <v>815.47027939999998</v>
      </c>
      <c r="BN486">
        <f>678.4502074</f>
        <v>678.45020739999995</v>
      </c>
      <c r="BO486">
        <f>489.8050822</f>
        <v>489.80508220000002</v>
      </c>
      <c r="BP486">
        <f>567.3886536</f>
        <v>567.3886536</v>
      </c>
      <c r="BQ486">
        <f>566.2499683</f>
        <v>566.24996829999998</v>
      </c>
      <c r="BR486">
        <f>645.6198697</f>
        <v>645.61986969999998</v>
      </c>
      <c r="BS486">
        <f>659.3056041</f>
        <v>659.30560409999998</v>
      </c>
      <c r="BT486">
        <f>624.390856</f>
        <v>624.39085599999999</v>
      </c>
      <c r="BU486">
        <f>824.9610141</f>
        <v>824.96101410000006</v>
      </c>
      <c r="BV486">
        <f>981.1303955</f>
        <v>981.13039549999996</v>
      </c>
      <c r="BW486">
        <f>897.1383261</f>
        <v>897.13832609999997</v>
      </c>
      <c r="BX486">
        <f>983.531318</f>
        <v>983.53131800000006</v>
      </c>
      <c r="BY486">
        <f>833.6868572</f>
        <v>833.68685719999996</v>
      </c>
      <c r="BZ486">
        <f>992.2940593</f>
        <v>992.29405929999996</v>
      </c>
      <c r="CA486">
        <f>902.6258458</f>
        <v>902.62584579999998</v>
      </c>
      <c r="CB486">
        <f>1011.729046</f>
        <v>1011.729046</v>
      </c>
      <c r="CC486">
        <f>1068.175952</f>
        <v>1068.1759520000001</v>
      </c>
      <c r="CD486">
        <f>1122.573705</f>
        <v>1122.573705</v>
      </c>
      <c r="CE486">
        <f>1158.841448</f>
        <v>1158.8414479999999</v>
      </c>
      <c r="CF486">
        <f>854.7073832</f>
        <v>854.70738319999998</v>
      </c>
      <c r="CG486">
        <f>1187.107177</f>
        <v>1187.1071770000001</v>
      </c>
      <c r="CH486">
        <f>1129.415387</f>
        <v>1129.415387</v>
      </c>
      <c r="CI486">
        <f>982.0016118</f>
        <v>982.00161179999998</v>
      </c>
      <c r="CJ486">
        <f>1089.716744</f>
        <v>1089.7167440000001</v>
      </c>
      <c r="CK486">
        <f>1072.491732</f>
        <v>1072.491732</v>
      </c>
      <c r="CL486">
        <f>671.0574922</f>
        <v>671.05749219999996</v>
      </c>
      <c r="CM486">
        <f>610.3556984</f>
        <v>610.35569840000005</v>
      </c>
      <c r="CN486">
        <f>568.9538</f>
        <v>568.9538</v>
      </c>
      <c r="CO486">
        <f>597.7972894</f>
        <v>597.79728939999995</v>
      </c>
      <c r="CP486">
        <f>755.004694</f>
        <v>755.00469399999997</v>
      </c>
      <c r="CQ486">
        <f>536.8122188</f>
        <v>536.81221879999998</v>
      </c>
      <c r="CR486">
        <f>552.470964</f>
        <v>552.47096399999998</v>
      </c>
      <c r="CS486">
        <f>962.6041986</f>
        <v>962.60419860000002</v>
      </c>
      <c r="CT486">
        <f>1017.598428</f>
        <v>1017.598428</v>
      </c>
      <c r="CU486">
        <f>272.2584509</f>
        <v>272.25845090000001</v>
      </c>
      <c r="CV486">
        <f>295.7637255</f>
        <v>295.76372550000002</v>
      </c>
      <c r="CW486">
        <f>414.0235985</f>
        <v>414.02359849999999</v>
      </c>
      <c r="CX486">
        <f>384.9584309</f>
        <v>384.9584309</v>
      </c>
      <c r="CY486">
        <f>259.3486552</f>
        <v>259.3486552</v>
      </c>
      <c r="CZ486">
        <f>266.6620843</f>
        <v>266.6620843</v>
      </c>
      <c r="DA486">
        <f>136.2475782</f>
        <v>136.24757819999999</v>
      </c>
      <c r="DB486">
        <f>106.0270794</f>
        <v>106.02707940000001</v>
      </c>
      <c r="DC486">
        <f>89.51942835</f>
        <v>89.519428349999998</v>
      </c>
      <c r="DD486">
        <f>255.1033653</f>
        <v>255.10336530000001</v>
      </c>
      <c r="DE486">
        <f>455.1154668</f>
        <v>455.11546679999998</v>
      </c>
      <c r="DF486">
        <f>661.9263344</f>
        <v>661.92633439999997</v>
      </c>
      <c r="DG486">
        <f>800.5435466</f>
        <v>800.54354660000001</v>
      </c>
      <c r="DH486">
        <f>782.7112325</f>
        <v>782.71123250000005</v>
      </c>
      <c r="DI486">
        <f>936.2160368</f>
        <v>936.21603679999998</v>
      </c>
      <c r="DJ486">
        <f>789.8663747</f>
        <v>789.86637470000005</v>
      </c>
      <c r="DK486">
        <f>683.5176839</f>
        <v>683.51768389999995</v>
      </c>
      <c r="DL486">
        <f>588.3879794</f>
        <v>588.38797939999995</v>
      </c>
      <c r="DM486">
        <f>602.9406535</f>
        <v>602.94065350000005</v>
      </c>
      <c r="DN486">
        <f>782.031551</f>
        <v>782.03155100000004</v>
      </c>
      <c r="DO486">
        <f>973.0434706</f>
        <v>973.04347059999998</v>
      </c>
      <c r="DP486">
        <f>931.7622916</f>
        <v>931.76229160000003</v>
      </c>
      <c r="DQ486">
        <f>805.7532766</f>
        <v>805.75327660000005</v>
      </c>
      <c r="DR486">
        <f>867.2235944</f>
        <v>867.22359440000002</v>
      </c>
      <c r="DS486">
        <f>695.9458679</f>
        <v>695.94586790000005</v>
      </c>
      <c r="DT486">
        <f>851.8744082</f>
        <v>851.87440819999995</v>
      </c>
      <c r="DU486">
        <f>815.4702794</f>
        <v>815.47027939999998</v>
      </c>
    </row>
    <row r="487" spans="1:125" x14ac:dyDescent="0.25">
      <c r="A487" t="str">
        <f>"    Subaru Corp"</f>
        <v xml:space="preserve">    Subaru Corp</v>
      </c>
      <c r="B487" t="str">
        <f>"7270 JP Equity"</f>
        <v>7270 JP Equity</v>
      </c>
      <c r="C487" t="str">
        <f t="shared" si="33"/>
        <v>RR902</v>
      </c>
      <c r="D487" t="str">
        <f t="shared" si="34"/>
        <v>CUR_MKT_CAP</v>
      </c>
      <c r="E487" t="str">
        <f t="shared" si="35"/>
        <v>Dynamic</v>
      </c>
      <c r="F487">
        <f ca="1">IF(AND(ISNUMBER($F$984),$B$511=1),$F$984,HLOOKUP(INDIRECT(ADDRESS(2,COLUMN())),OFFSET($BN$2,0,0,ROW()-1,60),ROW()-1,FALSE))</f>
        <v>19725.661769999999</v>
      </c>
      <c r="G487">
        <f ca="1">IF(AND(ISNUMBER($G$984),$B$511=1),$G$984,HLOOKUP(INDIRECT(ADDRESS(2,COLUMN())),OFFSET($BN$2,0,0,ROW()-1,60),ROW()-1,FALSE))</f>
        <v>16441.038499999999</v>
      </c>
      <c r="H487">
        <f ca="1">IF(AND(ISNUMBER($H$984),$B$511=1),$H$984,HLOOKUP(INDIRECT(ADDRESS(2,COLUMN())),OFFSET($BN$2,0,0,ROW()-1,60),ROW()-1,FALSE))</f>
        <v>23583.54219</v>
      </c>
      <c r="I487">
        <f ca="1">IF(AND(ISNUMBER($I$984),$B$511=1),$I$984,HLOOKUP(INDIRECT(ADDRESS(2,COLUMN())),OFFSET($BN$2,0,0,ROW()-1,60),ROW()-1,FALSE))</f>
        <v>22392.05805</v>
      </c>
      <c r="J487">
        <f ca="1">IF(AND(ISNUMBER($J$984),$B$511=1),$J$984,HLOOKUP(INDIRECT(ADDRESS(2,COLUMN())),OFFSET($BN$2,0,0,ROW()-1,60),ROW()-1,FALSE))</f>
        <v>25250.576809999999</v>
      </c>
      <c r="K487">
        <f ca="1">IF(AND(ISNUMBER($K$984),$B$511=1),$K$984,HLOOKUP(INDIRECT(ADDRESS(2,COLUMN())),OFFSET($BN$2,0,0,ROW()-1,60),ROW()-1,FALSE))</f>
        <v>24479.98892</v>
      </c>
      <c r="L487">
        <f ca="1">IF(AND(ISNUMBER($L$984),$B$511=1),$L$984,HLOOKUP(INDIRECT(ADDRESS(2,COLUMN())),OFFSET($BN$2,0,0,ROW()-1,60),ROW()-1,FALSE))</f>
        <v>27729.124879999999</v>
      </c>
      <c r="M487">
        <f ca="1">IF(AND(ISNUMBER($M$984),$B$511=1),$M$984,HLOOKUP(INDIRECT(ADDRESS(2,COLUMN())),OFFSET($BN$2,0,0,ROW()-1,60),ROW()-1,FALSE))</f>
        <v>25919.892919999998</v>
      </c>
      <c r="N487">
        <f ca="1">IF(AND(ISNUMBER($N$984),$B$511=1),$N$984,HLOOKUP(INDIRECT(ADDRESS(2,COLUMN())),OFFSET($BN$2,0,0,ROW()-1,60),ROW()-1,FALSE))</f>
        <v>28214.403139999999</v>
      </c>
      <c r="O487">
        <f ca="1">IF(AND(ISNUMBER($O$984),$B$511=1),$O$984,HLOOKUP(INDIRECT(ADDRESS(2,COLUMN())),OFFSET($BN$2,0,0,ROW()-1,60),ROW()-1,FALSE))</f>
        <v>31468.684929999999</v>
      </c>
      <c r="P487">
        <f ca="1">IF(AND(ISNUMBER($P$984),$B$511=1),$P$984,HLOOKUP(INDIRECT(ADDRESS(2,COLUMN())),OFFSET($BN$2,0,0,ROW()-1,60),ROW()-1,FALSE))</f>
        <v>28475.35756</v>
      </c>
      <c r="Q487">
        <f ca="1">IF(AND(ISNUMBER($Q$984),$B$511=1),$Q$984,HLOOKUP(INDIRECT(ADDRESS(2,COLUMN())),OFFSET($BN$2,0,0,ROW()-1,60),ROW()-1,FALSE))</f>
        <v>26386.34953</v>
      </c>
      <c r="R487">
        <f ca="1">IF(AND(ISNUMBER($R$984),$B$511=1),$R$984,HLOOKUP(INDIRECT(ADDRESS(2,COLUMN())),OFFSET($BN$2,0,0,ROW()-1,60),ROW()-1,FALSE))</f>
        <v>27661.259849999999</v>
      </c>
      <c r="S487">
        <f ca="1">IF(AND(ISNUMBER($S$984),$B$511=1),$S$984,HLOOKUP(INDIRECT(ADDRESS(2,COLUMN())),OFFSET($BN$2,0,0,ROW()-1,60),ROW()-1,FALSE))</f>
        <v>32629.687430000002</v>
      </c>
      <c r="T487">
        <f ca="1">IF(AND(ISNUMBER($T$984),$B$511=1),$T$984,HLOOKUP(INDIRECT(ADDRESS(2,COLUMN())),OFFSET($BN$2,0,0,ROW()-1,60),ROW()-1,FALSE))</f>
        <v>28018.83858</v>
      </c>
      <c r="U487">
        <f ca="1">IF(AND(ISNUMBER($U$984),$B$511=1),$U$984,HLOOKUP(INDIRECT(ADDRESS(2,COLUMN())),OFFSET($BN$2,0,0,ROW()-1,60),ROW()-1,FALSE))</f>
        <v>28899.1093</v>
      </c>
      <c r="V487">
        <f ca="1">IF(AND(ISNUMBER($V$984),$B$511=1),$V$984,HLOOKUP(INDIRECT(ADDRESS(2,COLUMN())),OFFSET($BN$2,0,0,ROW()-1,60),ROW()-1,FALSE))</f>
        <v>26047.666410000002</v>
      </c>
      <c r="W487">
        <f ca="1">IF(AND(ISNUMBER($W$984),$B$511=1),$W$984,HLOOKUP(INDIRECT(ADDRESS(2,COLUMN())),OFFSET($BN$2,0,0,ROW()-1,60),ROW()-1,FALSE))</f>
        <v>28179.500520000001</v>
      </c>
      <c r="X487">
        <f ca="1">IF(AND(ISNUMBER($X$984),$B$511=1),$X$984,HLOOKUP(INDIRECT(ADDRESS(2,COLUMN())),OFFSET($BN$2,0,0,ROW()-1,60),ROW()-1,FALSE))</f>
        <v>25886.11666</v>
      </c>
      <c r="Y487">
        <f ca="1">IF(AND(ISNUMBER($Y$984),$B$511=1),$Y$984,HLOOKUP(INDIRECT(ADDRESS(2,COLUMN())),OFFSET($BN$2,0,0,ROW()-1,60),ROW()-1,FALSE))</f>
        <v>21679.718570000001</v>
      </c>
      <c r="Z487">
        <f ca="1">IF(AND(ISNUMBER($Z$984),$B$511=1),$Z$984,HLOOKUP(INDIRECT(ADDRESS(2,COLUMN())),OFFSET($BN$2,0,0,ROW()-1,60),ROW()-1,FALSE))</f>
        <v>21206.572609999999</v>
      </c>
      <c r="AA487">
        <f ca="1">IF(AND(ISNUMBER($AA$984),$B$511=1),$AA$984,HLOOKUP(INDIRECT(ADDRESS(2,COLUMN())),OFFSET($BN$2,0,0,ROW()-1,60),ROW()-1,FALSE))</f>
        <v>22462.319390000001</v>
      </c>
      <c r="AB487">
        <f ca="1">IF(AND(ISNUMBER($AB$984),$B$511=1),$AB$984,HLOOKUP(INDIRECT(ADDRESS(2,COLUMN())),OFFSET($BN$2,0,0,ROW()-1,60),ROW()-1,FALSE))</f>
        <v>21602.346389999999</v>
      </c>
      <c r="AC487">
        <f ca="1">IF(AND(ISNUMBER($AC$984),$B$511=1),$AC$984,HLOOKUP(INDIRECT(ADDRESS(2,COLUMN())),OFFSET($BN$2,0,0,ROW()-1,60),ROW()-1,FALSE))</f>
        <v>19270.180110000001</v>
      </c>
      <c r="AD487">
        <f ca="1">IF(AND(ISNUMBER($AD$984),$B$511=1),$AD$984,HLOOKUP(INDIRECT(ADDRESS(2,COLUMN())),OFFSET($BN$2,0,0,ROW()-1,60),ROW()-1,FALSE))</f>
        <v>12139.3238</v>
      </c>
      <c r="AE487">
        <f ca="1">IF(AND(ISNUMBER($AE$984),$B$511=1),$AE$984,HLOOKUP(INDIRECT(ADDRESS(2,COLUMN())),OFFSET($BN$2,0,0,ROW()-1,60),ROW()-1,FALSE))</f>
        <v>9785.8238220000003</v>
      </c>
      <c r="AF487">
        <f ca="1">IF(AND(ISNUMBER($AF$984),$B$511=1),$AF$984,HLOOKUP(INDIRECT(ADDRESS(2,COLUMN())),OFFSET($BN$2,0,0,ROW()-1,60),ROW()-1,FALSE))</f>
        <v>6510.4864850000004</v>
      </c>
      <c r="AG487">
        <f ca="1">IF(AND(ISNUMBER($AG$984),$B$511=1),$AG$984,HLOOKUP(INDIRECT(ADDRESS(2,COLUMN())),OFFSET($BN$2,0,0,ROW()-1,60),ROW()-1,FALSE))</f>
        <v>6249.1927569999998</v>
      </c>
      <c r="AH487">
        <f ca="1">IF(AND(ISNUMBER($AH$984),$B$511=1),$AH$984,HLOOKUP(INDIRECT(ADDRESS(2,COLUMN())),OFFSET($BN$2,0,0,ROW()-1,60),ROW()-1,FALSE))</f>
        <v>6300.4456899999996</v>
      </c>
      <c r="AI487">
        <f ca="1">IF(AND(ISNUMBER($AI$984),$B$511=1),$AI$984,HLOOKUP(INDIRECT(ADDRESS(2,COLUMN())),OFFSET($BN$2,0,0,ROW()-1,60),ROW()-1,FALSE))</f>
        <v>4728.31077</v>
      </c>
      <c r="AJ487">
        <f ca="1">IF(AND(ISNUMBER($AJ$984),$B$511=1),$AJ$984,HLOOKUP(INDIRECT(ADDRESS(2,COLUMN())),OFFSET($BN$2,0,0,ROW()-1,60),ROW()-1,FALSE))</f>
        <v>4648.0760289999998</v>
      </c>
      <c r="AK487">
        <f ca="1">IF(AND(ISNUMBER($AK$984),$B$511=1),$AK$984,HLOOKUP(INDIRECT(ADDRESS(2,COLUMN())),OFFSET($BN$2,0,0,ROW()-1,60),ROW()-1,FALSE))</f>
        <v>6044.4701770000001</v>
      </c>
      <c r="AL487">
        <f ca="1">IF(AND(ISNUMBER($AL$984),$B$511=1),$AL$984,HLOOKUP(INDIRECT(ADDRESS(2,COLUMN())),OFFSET($BN$2,0,0,ROW()-1,60),ROW()-1,FALSE))</f>
        <v>5065.9913079999997</v>
      </c>
      <c r="AM487">
        <f ca="1">IF(AND(ISNUMBER($AM$984),$B$511=1),$AM$984,HLOOKUP(INDIRECT(ADDRESS(2,COLUMN())),OFFSET($BN$2,0,0,ROW()-1,60),ROW()-1,FALSE))</f>
        <v>6033.8321960000003</v>
      </c>
      <c r="AN487">
        <f ca="1">IF(AND(ISNUMBER($AN$984),$B$511=1),$AN$984,HLOOKUP(INDIRECT(ADDRESS(2,COLUMN())),OFFSET($BN$2,0,0,ROW()-1,60),ROW()-1,FALSE))</f>
        <v>4990.2300130000003</v>
      </c>
      <c r="AO487">
        <f ca="1">IF(AND(ISNUMBER($AO$984),$B$511=1),$AO$984,HLOOKUP(INDIRECT(ADDRESS(2,COLUMN())),OFFSET($BN$2,0,0,ROW()-1,60),ROW()-1,FALSE))</f>
        <v>4242.2169359999998</v>
      </c>
      <c r="AP487">
        <f ca="1">IF(AND(ISNUMBER($AP$984),$B$511=1),$AP$984,HLOOKUP(INDIRECT(ADDRESS(2,COLUMN())),OFFSET($BN$2,0,0,ROW()-1,60),ROW()-1,FALSE))</f>
        <v>4055.083897</v>
      </c>
      <c r="AQ487">
        <f ca="1">IF(AND(ISNUMBER($AQ$984),$B$511=1),$AQ$984,HLOOKUP(INDIRECT(ADDRESS(2,COLUMN())),OFFSET($BN$2,0,0,ROW()-1,60),ROW()-1,FALSE))</f>
        <v>3813.483467</v>
      </c>
      <c r="AR487">
        <f ca="1">IF(AND(ISNUMBER($AR$984),$B$511=1),$AR$984,HLOOKUP(INDIRECT(ADDRESS(2,COLUMN())),OFFSET($BN$2,0,0,ROW()-1,60),ROW()-1,FALSE))</f>
        <v>3046.6119370000001</v>
      </c>
      <c r="AS487">
        <f ca="1">IF(AND(ISNUMBER($AS$984),$B$511=1),$AS$984,HLOOKUP(INDIRECT(ADDRESS(2,COLUMN())),OFFSET($BN$2,0,0,ROW()-1,60),ROW()-1,FALSE))</f>
        <v>3177.9539180000002</v>
      </c>
      <c r="AT487">
        <f ca="1">IF(AND(ISNUMBER($AT$984),$B$511=1),$AT$984,HLOOKUP(INDIRECT(ADDRESS(2,COLUMN())),OFFSET($BN$2,0,0,ROW()-1,60),ROW()-1,FALSE))</f>
        <v>2537.3204059999998</v>
      </c>
      <c r="AU487">
        <f ca="1">IF(AND(ISNUMBER($AU$984),$B$511=1),$AU$984,HLOOKUP(INDIRECT(ADDRESS(2,COLUMN())),OFFSET($BN$2,0,0,ROW()-1,60),ROW()-1,FALSE))</f>
        <v>2071.3486360000002</v>
      </c>
      <c r="AV487">
        <f ca="1">IF(AND(ISNUMBER($AV$984),$B$511=1),$AV$984,HLOOKUP(INDIRECT(ADDRESS(2,COLUMN())),OFFSET($BN$2,0,0,ROW()-1,60),ROW()-1,FALSE))</f>
        <v>3840.9744169999999</v>
      </c>
      <c r="AW487">
        <f ca="1">IF(AND(ISNUMBER($AW$984),$B$511=1),$AW$984,HLOOKUP(INDIRECT(ADDRESS(2,COLUMN())),OFFSET($BN$2,0,0,ROW()-1,60),ROW()-1,FALSE))</f>
        <v>3833.6021049999999</v>
      </c>
      <c r="AX487">
        <f ca="1">IF(AND(ISNUMBER($AX$984),$B$511=1),$AX$984,HLOOKUP(INDIRECT(ADDRESS(2,COLUMN())),OFFSET($BN$2,0,0,ROW()-1,60),ROW()-1,FALSE))</f>
        <v>3269.1270960000002</v>
      </c>
      <c r="AY487">
        <f ca="1">IF(AND(ISNUMBER($AY$984),$B$511=1),$AY$984,HLOOKUP(INDIRECT(ADDRESS(2,COLUMN())),OFFSET($BN$2,0,0,ROW()-1,60),ROW()-1,FALSE))</f>
        <v>3622.836339</v>
      </c>
      <c r="AZ487">
        <f ca="1">IF(AND(ISNUMBER($AZ$984),$B$511=1),$AZ$984,HLOOKUP(INDIRECT(ADDRESS(2,COLUMN())),OFFSET($BN$2,0,0,ROW()-1,60),ROW()-1,FALSE))</f>
        <v>3443.7911220000001</v>
      </c>
      <c r="BA487">
        <f ca="1">IF(AND(ISNUMBER($BA$984),$B$511=1),$BA$984,HLOOKUP(INDIRECT(ADDRESS(2,COLUMN())),OFFSET($BN$2,0,0,ROW()-1,60),ROW()-1,FALSE))</f>
        <v>3747.288759</v>
      </c>
      <c r="BB487">
        <f ca="1">IF(AND(ISNUMBER($BB$984),$B$511=1),$BB$984,HLOOKUP(INDIRECT(ADDRESS(2,COLUMN())),OFFSET($BN$2,0,0,ROW()-1,60),ROW()-1,FALSE))</f>
        <v>4074.4439120000002</v>
      </c>
      <c r="BC487">
        <f ca="1">IF(AND(ISNUMBER($BC$984),$B$511=1),$BC$984,HLOOKUP(INDIRECT(ADDRESS(2,COLUMN())),OFFSET($BN$2,0,0,ROW()-1,60),ROW()-1,FALSE))</f>
        <v>4016.8877550000002</v>
      </c>
      <c r="BD487">
        <f ca="1">IF(AND(ISNUMBER($BD$984),$B$511=1),$BD$984,HLOOKUP(INDIRECT(ADDRESS(2,COLUMN())),OFFSET($BN$2,0,0,ROW()-1,60),ROW()-1,FALSE))</f>
        <v>4457.5987679999998</v>
      </c>
      <c r="BE487">
        <f ca="1">IF(AND(ISNUMBER($BE$984),$B$511=1),$BE$984,HLOOKUP(INDIRECT(ADDRESS(2,COLUMN())),OFFSET($BN$2,0,0,ROW()-1,60),ROW()-1,FALSE))</f>
        <v>4575.3228730000001</v>
      </c>
      <c r="BF487">
        <f ca="1">IF(AND(ISNUMBER($BF$984),$B$511=1),$BF$984,HLOOKUP(INDIRECT(ADDRESS(2,COLUMN())),OFFSET($BN$2,0,0,ROW()-1,60),ROW()-1,FALSE))</f>
        <v>4610.5797640000001</v>
      </c>
      <c r="BG487">
        <f ca="1">IF(AND(ISNUMBER($BG$984),$B$511=1),$BG$984,HLOOKUP(INDIRECT(ADDRESS(2,COLUMN())),OFFSET($BN$2,0,0,ROW()-1,60),ROW()-1,FALSE))</f>
        <v>4247.1314869999997</v>
      </c>
      <c r="BH487">
        <f ca="1">IF(AND(ISNUMBER($BH$984),$B$511=1),$BH$984,HLOOKUP(INDIRECT(ADDRESS(2,COLUMN())),OFFSET($BN$2,0,0,ROW()-1,60),ROW()-1,FALSE))</f>
        <v>3536.5458530000001</v>
      </c>
      <c r="BI487">
        <f ca="1">IF(AND(ISNUMBER($BI$984),$B$511=1),$BI$984,HLOOKUP(INDIRECT(ADDRESS(2,COLUMN())),OFFSET($BN$2,0,0,ROW()-1,60),ROW()-1,FALSE))</f>
        <v>3260.470495</v>
      </c>
      <c r="BJ487">
        <f ca="1">IF(AND(ISNUMBER($BJ$984),$B$511=1),$BJ$984,HLOOKUP(INDIRECT(ADDRESS(2,COLUMN())),OFFSET($BN$2,0,0,ROW()-1,60),ROW()-1,FALSE))</f>
        <v>3826.6946889999999</v>
      </c>
      <c r="BK487">
        <f ca="1">IF(AND(ISNUMBER($BK$984),$B$511=1),$BK$984,HLOOKUP(INDIRECT(ADDRESS(2,COLUMN())),OFFSET($BN$2,0,0,ROW()-1,60),ROW()-1,FALSE))</f>
        <v>3798.475418</v>
      </c>
      <c r="BL487">
        <f ca="1">IF(AND(ISNUMBER($BL$984),$B$511=1),$BL$984,HLOOKUP(INDIRECT(ADDRESS(2,COLUMN())),OFFSET($BN$2,0,0,ROW()-1,60),ROW()-1,FALSE))</f>
        <v>3966.6718959999998</v>
      </c>
      <c r="BM487">
        <f ca="1">IF(AND(ISNUMBER($BM$984),$B$511=1),$BM$984,HLOOKUP(INDIRECT(ADDRESS(2,COLUMN())),OFFSET($BN$2,0,0,ROW()-1,60),ROW()-1,FALSE))</f>
        <v>4380.6698329999999</v>
      </c>
      <c r="BN487">
        <f>19725.66177</f>
        <v>19725.661769999999</v>
      </c>
      <c r="BO487">
        <f>16441.0385</f>
        <v>16441.038499999999</v>
      </c>
      <c r="BP487">
        <f>23583.54219</f>
        <v>23583.54219</v>
      </c>
      <c r="BQ487">
        <f>22392.05805</f>
        <v>22392.05805</v>
      </c>
      <c r="BR487">
        <f>25250.5768099999</f>
        <v>25250.576809999999</v>
      </c>
      <c r="BS487">
        <f>24479.98892</f>
        <v>24479.98892</v>
      </c>
      <c r="BT487">
        <f>27729.12488</f>
        <v>27729.124879999999</v>
      </c>
      <c r="BU487">
        <f>25919.89292</f>
        <v>25919.892919999998</v>
      </c>
      <c r="BV487">
        <f>28214.40314</f>
        <v>28214.403139999999</v>
      </c>
      <c r="BW487">
        <f>31468.68493</f>
        <v>31468.684929999999</v>
      </c>
      <c r="BX487">
        <f>28475.35756</f>
        <v>28475.35756</v>
      </c>
      <c r="BY487">
        <f>26386.34953</f>
        <v>26386.34953</v>
      </c>
      <c r="BZ487">
        <f>27661.25985</f>
        <v>27661.259849999999</v>
      </c>
      <c r="CA487">
        <f>32629.68743</f>
        <v>32629.687430000002</v>
      </c>
      <c r="CB487">
        <f>28018.83858</f>
        <v>28018.83858</v>
      </c>
      <c r="CC487">
        <f>28899.1093</f>
        <v>28899.1093</v>
      </c>
      <c r="CD487">
        <f>26047.66641</f>
        <v>26047.666410000002</v>
      </c>
      <c r="CE487">
        <f>28179.50052</f>
        <v>28179.500520000001</v>
      </c>
      <c r="CF487">
        <f>25886.11666</f>
        <v>25886.11666</v>
      </c>
      <c r="CG487">
        <f>21679.71857</f>
        <v>21679.718570000001</v>
      </c>
      <c r="CH487">
        <f>21206.57261</f>
        <v>21206.572609999999</v>
      </c>
      <c r="CI487">
        <f>22462.31939</f>
        <v>22462.319390000001</v>
      </c>
      <c r="CJ487">
        <f>21602.34639</f>
        <v>21602.346389999999</v>
      </c>
      <c r="CK487">
        <f>19270.18011</f>
        <v>19270.180110000001</v>
      </c>
      <c r="CL487">
        <f>12139.3238</f>
        <v>12139.3238</v>
      </c>
      <c r="CM487">
        <f>9785.823822</f>
        <v>9785.8238220000003</v>
      </c>
      <c r="CN487">
        <f>6510.486485</f>
        <v>6510.4864850000004</v>
      </c>
      <c r="CO487">
        <f>6249.192757</f>
        <v>6249.1927569999998</v>
      </c>
      <c r="CP487">
        <f>6300.44569</f>
        <v>6300.4456899999996</v>
      </c>
      <c r="CQ487">
        <f>4728.31077</f>
        <v>4728.31077</v>
      </c>
      <c r="CR487">
        <f>4648.076029</f>
        <v>4648.0760289999998</v>
      </c>
      <c r="CS487">
        <f>6044.470177</f>
        <v>6044.4701770000001</v>
      </c>
      <c r="CT487">
        <f>5065.991308</f>
        <v>5065.9913079999997</v>
      </c>
      <c r="CU487">
        <f>6033.832196</f>
        <v>6033.8321960000003</v>
      </c>
      <c r="CV487">
        <f>4990.230013</f>
        <v>4990.2300130000003</v>
      </c>
      <c r="CW487">
        <f>4242.216936</f>
        <v>4242.2169359999998</v>
      </c>
      <c r="CX487">
        <f>4055.083897</f>
        <v>4055.083897</v>
      </c>
      <c r="CY487">
        <f>3813.483467</f>
        <v>3813.483467</v>
      </c>
      <c r="CZ487">
        <f>3046.611937</f>
        <v>3046.6119370000001</v>
      </c>
      <c r="DA487">
        <f>3177.953918</f>
        <v>3177.9539180000002</v>
      </c>
      <c r="DB487">
        <f>2537.320406</f>
        <v>2537.3204059999998</v>
      </c>
      <c r="DC487">
        <f>2071.348636</f>
        <v>2071.3486360000002</v>
      </c>
      <c r="DD487">
        <f>3840.974417</f>
        <v>3840.9744169999999</v>
      </c>
      <c r="DE487">
        <f>3833.602105</f>
        <v>3833.6021049999999</v>
      </c>
      <c r="DF487">
        <f>3269.127096</f>
        <v>3269.1270960000002</v>
      </c>
      <c r="DG487">
        <f>3622.836339</f>
        <v>3622.836339</v>
      </c>
      <c r="DH487">
        <f>3443.791122</f>
        <v>3443.7911220000001</v>
      </c>
      <c r="DI487">
        <f>3747.288759</f>
        <v>3747.288759</v>
      </c>
      <c r="DJ487">
        <f>4074.443912</f>
        <v>4074.4439120000002</v>
      </c>
      <c r="DK487">
        <f>4016.887755</f>
        <v>4016.8877550000002</v>
      </c>
      <c r="DL487">
        <f>4457.598768</f>
        <v>4457.5987679999998</v>
      </c>
      <c r="DM487">
        <f>4575.322873</f>
        <v>4575.3228730000001</v>
      </c>
      <c r="DN487">
        <f>4610.579764</f>
        <v>4610.5797640000001</v>
      </c>
      <c r="DO487">
        <f>4247.131487</f>
        <v>4247.1314869999997</v>
      </c>
      <c r="DP487">
        <f>3536.545853</f>
        <v>3536.5458530000001</v>
      </c>
      <c r="DQ487">
        <f>3260.470495</f>
        <v>3260.470495</v>
      </c>
      <c r="DR487">
        <f>3826.694689</f>
        <v>3826.6946889999999</v>
      </c>
      <c r="DS487">
        <f>3798.475418</f>
        <v>3798.475418</v>
      </c>
      <c r="DT487">
        <f>3966.671896</f>
        <v>3966.6718959999998</v>
      </c>
      <c r="DU487">
        <f>4380.669833</f>
        <v>4380.6698329999999</v>
      </c>
    </row>
    <row r="488" spans="1:125" x14ac:dyDescent="0.25">
      <c r="A488" t="str">
        <f>"    Suzuki Motor Corp"</f>
        <v xml:space="preserve">    Suzuki Motor Corp</v>
      </c>
      <c r="B488" t="str">
        <f>"7269 JP Equity"</f>
        <v>7269 JP Equity</v>
      </c>
      <c r="C488" t="str">
        <f t="shared" si="33"/>
        <v>RR902</v>
      </c>
      <c r="D488" t="str">
        <f t="shared" si="34"/>
        <v>CUR_MKT_CAP</v>
      </c>
      <c r="E488" t="str">
        <f t="shared" si="35"/>
        <v>Dynamic</v>
      </c>
      <c r="F488">
        <f ca="1">IF(AND(ISNUMBER($F$985),$B$511=1),$F$985,HLOOKUP(INDIRECT(ADDRESS(2,COLUMN())),OFFSET($BN$2,0,0,ROW()-1,60),ROW()-1,FALSE))</f>
        <v>25572.616290000002</v>
      </c>
      <c r="G488">
        <f ca="1">IF(AND(ISNUMBER($G$985),$B$511=1),$G$985,HLOOKUP(INDIRECT(ADDRESS(2,COLUMN())),OFFSET($BN$2,0,0,ROW()-1,60),ROW()-1,FALSE))</f>
        <v>24759.264009999999</v>
      </c>
      <c r="H488">
        <f ca="1">IF(AND(ISNUMBER($H$985),$B$511=1),$H$985,HLOOKUP(INDIRECT(ADDRESS(2,COLUMN())),OFFSET($BN$2,0,0,ROW()-1,60),ROW()-1,FALSE))</f>
        <v>28156.366020000001</v>
      </c>
      <c r="I488">
        <f ca="1">IF(AND(ISNUMBER($I$985),$B$511=1),$I$985,HLOOKUP(INDIRECT(ADDRESS(2,COLUMN())),OFFSET($BN$2,0,0,ROW()-1,60),ROW()-1,FALSE))</f>
        <v>27117.248019999999</v>
      </c>
      <c r="J488">
        <f ca="1">IF(AND(ISNUMBER($J$985),$B$511=1),$J$985,HLOOKUP(INDIRECT(ADDRESS(2,COLUMN())),OFFSET($BN$2,0,0,ROW()-1,60),ROW()-1,FALSE))</f>
        <v>26487.79621</v>
      </c>
      <c r="K488">
        <f ca="1">IF(AND(ISNUMBER($K$985),$B$511=1),$K$985,HLOOKUP(INDIRECT(ADDRESS(2,COLUMN())),OFFSET($BN$2,0,0,ROW()-1,60),ROW()-1,FALSE))</f>
        <v>28498.06596</v>
      </c>
      <c r="L488">
        <f ca="1">IF(AND(ISNUMBER($L$985),$B$511=1),$L$985,HLOOKUP(INDIRECT(ADDRESS(2,COLUMN())),OFFSET($BN$2,0,0,ROW()-1,60),ROW()-1,FALSE))</f>
        <v>25732.452730000001</v>
      </c>
      <c r="M488">
        <f ca="1">IF(AND(ISNUMBER($M$985),$B$511=1),$M$985,HLOOKUP(INDIRECT(ADDRESS(2,COLUMN())),OFFSET($BN$2,0,0,ROW()-1,60),ROW()-1,FALSE))</f>
        <v>23293.54695</v>
      </c>
      <c r="N488">
        <f ca="1">IF(AND(ISNUMBER($N$985),$B$511=1),$N$985,HLOOKUP(INDIRECT(ADDRESS(2,COLUMN())),OFFSET($BN$2,0,0,ROW()-1,60),ROW()-1,FALSE))</f>
        <v>20388.12326</v>
      </c>
      <c r="O488">
        <f ca="1">IF(AND(ISNUMBER($O$985),$B$511=1),$O$985,HLOOKUP(INDIRECT(ADDRESS(2,COLUMN())),OFFSET($BN$2,0,0,ROW()-1,60),ROW()-1,FALSE))</f>
        <v>17318.021260000001</v>
      </c>
      <c r="P488">
        <f ca="1">IF(AND(ISNUMBER($P$985),$B$511=1),$P$985,HLOOKUP(INDIRECT(ADDRESS(2,COLUMN())),OFFSET($BN$2,0,0,ROW()-1,60),ROW()-1,FALSE))</f>
        <v>16265.01035</v>
      </c>
      <c r="Q488">
        <f ca="1">IF(AND(ISNUMBER($Q$985),$B$511=1),$Q$985,HLOOKUP(INDIRECT(ADDRESS(2,COLUMN())),OFFSET($BN$2,0,0,ROW()-1,60),ROW()-1,FALSE))</f>
        <v>13101.739509999999</v>
      </c>
      <c r="R488">
        <f ca="1">IF(AND(ISNUMBER($R$985),$B$511=1),$R$985,HLOOKUP(INDIRECT(ADDRESS(2,COLUMN())),OFFSET($BN$2,0,0,ROW()-1,60),ROW()-1,FALSE))</f>
        <v>13141.34222</v>
      </c>
      <c r="S488">
        <f ca="1">IF(AND(ISNUMBER($S$985),$B$511=1),$S$985,HLOOKUP(INDIRECT(ADDRESS(2,COLUMN())),OFFSET($BN$2,0,0,ROW()-1,60),ROW()-1,FALSE))</f>
        <v>17225.42211</v>
      </c>
      <c r="T488">
        <f ca="1">IF(AND(ISNUMBER($T$985),$B$511=1),$T$985,HLOOKUP(INDIRECT(ADDRESS(2,COLUMN())),OFFSET($BN$2,0,0,ROW()-1,60),ROW()-1,FALSE))</f>
        <v>17168.5069</v>
      </c>
      <c r="U488">
        <f ca="1">IF(AND(ISNUMBER($U$985),$B$511=1),$U$985,HLOOKUP(INDIRECT(ADDRESS(2,COLUMN())),OFFSET($BN$2,0,0,ROW()-1,60),ROW()-1,FALSE))</f>
        <v>18997.13884</v>
      </c>
      <c r="V488">
        <f ca="1">IF(AND(ISNUMBER($V$985),$B$511=1),$V$985,HLOOKUP(INDIRECT(ADDRESS(2,COLUMN())),OFFSET($BN$2,0,0,ROW()-1,60),ROW()-1,FALSE))</f>
        <v>16896.901870000002</v>
      </c>
      <c r="W488">
        <f ca="1">IF(AND(ISNUMBER($W$985),$B$511=1),$W$985,HLOOKUP(INDIRECT(ADDRESS(2,COLUMN())),OFFSET($BN$2,0,0,ROW()-1,60),ROW()-1,FALSE))</f>
        <v>17095.363969999999</v>
      </c>
      <c r="X488">
        <f ca="1">IF(AND(ISNUMBER($X$985),$B$511=1),$X$985,HLOOKUP(INDIRECT(ADDRESS(2,COLUMN())),OFFSET($BN$2,0,0,ROW()-1,60),ROW()-1,FALSE))</f>
        <v>18600.10457</v>
      </c>
      <c r="Y488">
        <f ca="1">IF(AND(ISNUMBER($Y$985),$B$511=1),$Y$985,HLOOKUP(INDIRECT(ADDRESS(2,COLUMN())),OFFSET($BN$2,0,0,ROW()-1,60),ROW()-1,FALSE))</f>
        <v>17575.309410000002</v>
      </c>
      <c r="Z488">
        <f ca="1">IF(AND(ISNUMBER($Z$985),$B$511=1),$Z$985,HLOOKUP(INDIRECT(ADDRESS(2,COLUMN())),OFFSET($BN$2,0,0,ROW()-1,60),ROW()-1,FALSE))</f>
        <v>14664.416730000001</v>
      </c>
      <c r="AA488">
        <f ca="1">IF(AND(ISNUMBER($AA$985),$B$511=1),$AA$985,HLOOKUP(INDIRECT(ADDRESS(2,COLUMN())),OFFSET($BN$2,0,0,ROW()-1,60),ROW()-1,FALSE))</f>
        <v>15099.36973</v>
      </c>
      <c r="AB488">
        <f ca="1">IF(AND(ISNUMBER($AB$985),$B$511=1),$AB$985,HLOOKUP(INDIRECT(ADDRESS(2,COLUMN())),OFFSET($BN$2,0,0,ROW()-1,60),ROW()-1,FALSE))</f>
        <v>13436.34309</v>
      </c>
      <c r="AC488">
        <f ca="1">IF(AND(ISNUMBER($AC$985),$B$511=1),$AC$985,HLOOKUP(INDIRECT(ADDRESS(2,COLUMN())),OFFSET($BN$2,0,0,ROW()-1,60),ROW()-1,FALSE))</f>
        <v>12917.7004</v>
      </c>
      <c r="AD488">
        <f ca="1">IF(AND(ISNUMBER($AD$985),$B$511=1),$AD$985,HLOOKUP(INDIRECT(ADDRESS(2,COLUMN())),OFFSET($BN$2,0,0,ROW()-1,60),ROW()-1,FALSE))</f>
        <v>12570.27017</v>
      </c>
      <c r="AE488">
        <f ca="1">IF(AND(ISNUMBER($AE$985),$B$511=1),$AE$985,HLOOKUP(INDIRECT(ADDRESS(2,COLUMN())),OFFSET($BN$2,0,0,ROW()-1,60),ROW()-1,FALSE))</f>
        <v>14612.779409999999</v>
      </c>
      <c r="AF488">
        <f ca="1">IF(AND(ISNUMBER($AF$985),$B$511=1),$AF$985,HLOOKUP(INDIRECT(ADDRESS(2,COLUMN())),OFFSET($BN$2,0,0,ROW()-1,60),ROW()-1,FALSE))</f>
        <v>10908.45307</v>
      </c>
      <c r="AG488">
        <f ca="1">IF(AND(ISNUMBER($AG$985),$B$511=1),$AG$985,HLOOKUP(INDIRECT(ADDRESS(2,COLUMN())),OFFSET($BN$2,0,0,ROW()-1,60),ROW()-1,FALSE))</f>
        <v>11396.712740000001</v>
      </c>
      <c r="AH488">
        <f ca="1">IF(AND(ISNUMBER($AH$985),$B$511=1),$AH$985,HLOOKUP(INDIRECT(ADDRESS(2,COLUMN())),OFFSET($BN$2,0,0,ROW()-1,60),ROW()-1,FALSE))</f>
        <v>13423.58122</v>
      </c>
      <c r="AI488">
        <f ca="1">IF(AND(ISNUMBER($AI$985),$B$511=1),$AI$985,HLOOKUP(INDIRECT(ADDRESS(2,COLUMN())),OFFSET($BN$2,0,0,ROW()-1,60),ROW()-1,FALSE))</f>
        <v>11601.3418</v>
      </c>
      <c r="AJ488">
        <f ca="1">IF(AND(ISNUMBER($AJ$985),$B$511=1),$AJ$985,HLOOKUP(INDIRECT(ADDRESS(2,COLUMN())),OFFSET($BN$2,0,0,ROW()-1,60),ROW()-1,FALSE))</f>
        <v>12524.28642</v>
      </c>
      <c r="AK488">
        <f ca="1">IF(AND(ISNUMBER($AK$985),$B$511=1),$AK$985,HLOOKUP(INDIRECT(ADDRESS(2,COLUMN())),OFFSET($BN$2,0,0,ROW()-1,60),ROW()-1,FALSE))</f>
        <v>12570.63531</v>
      </c>
      <c r="AL488">
        <f ca="1">IF(AND(ISNUMBER($AL$985),$B$511=1),$AL$985,HLOOKUP(INDIRECT(ADDRESS(2,COLUMN())),OFFSET($BN$2,0,0,ROW()-1,60),ROW()-1,FALSE))</f>
        <v>12591.898279999999</v>
      </c>
      <c r="AM488">
        <f ca="1">IF(AND(ISNUMBER($AM$985),$B$511=1),$AM$985,HLOOKUP(INDIRECT(ADDRESS(2,COLUMN())),OFFSET($BN$2,0,0,ROW()-1,60),ROW()-1,FALSE))</f>
        <v>13727.607099999999</v>
      </c>
      <c r="AN488">
        <f ca="1">IF(AND(ISNUMBER($AN$985),$B$511=1),$AN$985,HLOOKUP(INDIRECT(ADDRESS(2,COLUMN())),OFFSET($BN$2,0,0,ROW()-1,60),ROW()-1,FALSE))</f>
        <v>11804.446</v>
      </c>
      <c r="AO488">
        <f ca="1">IF(AND(ISNUMBER($AO$985),$B$511=1),$AO$985,HLOOKUP(INDIRECT(ADDRESS(2,COLUMN())),OFFSET($BN$2,0,0,ROW()-1,60),ROW()-1,FALSE))</f>
        <v>11128.472680000001</v>
      </c>
      <c r="AP488">
        <f ca="1">IF(AND(ISNUMBER($AP$985),$B$511=1),$AP$985,HLOOKUP(INDIRECT(ADDRESS(2,COLUMN())),OFFSET($BN$2,0,0,ROW()-1,60),ROW()-1,FALSE))</f>
        <v>11980.823350000001</v>
      </c>
      <c r="AQ488">
        <f ca="1">IF(AND(ISNUMBER($AQ$985),$B$511=1),$AQ$985,HLOOKUP(INDIRECT(ADDRESS(2,COLUMN())),OFFSET($BN$2,0,0,ROW()-1,60),ROW()-1,FALSE))</f>
        <v>13392.89214</v>
      </c>
      <c r="AR488">
        <f ca="1">IF(AND(ISNUMBER($AR$985),$B$511=1),$AR$985,HLOOKUP(INDIRECT(ADDRESS(2,COLUMN())),OFFSET($BN$2,0,0,ROW()-1,60),ROW()-1,FALSE))</f>
        <v>12676.69116</v>
      </c>
      <c r="AS488">
        <f ca="1">IF(AND(ISNUMBER($AS$985),$B$511=1),$AS$985,HLOOKUP(INDIRECT(ADDRESS(2,COLUMN())),OFFSET($BN$2,0,0,ROW()-1,60),ROW()-1,FALSE))</f>
        <v>12225.33426</v>
      </c>
      <c r="AT488">
        <f ca="1">IF(AND(ISNUMBER($AT$985),$B$511=1),$AT$985,HLOOKUP(INDIRECT(ADDRESS(2,COLUMN())),OFFSET($BN$2,0,0,ROW()-1,60),ROW()-1,FALSE))</f>
        <v>8897.5552819999994</v>
      </c>
      <c r="AU488">
        <f ca="1">IF(AND(ISNUMBER($AU$985),$B$511=1),$AU$985,HLOOKUP(INDIRECT(ADDRESS(2,COLUMN())),OFFSET($BN$2,0,0,ROW()-1,60),ROW()-1,FALSE))</f>
        <v>7377.0688840000003</v>
      </c>
      <c r="AV488">
        <f ca="1">IF(AND(ISNUMBER($AV$985),$B$511=1),$AV$985,HLOOKUP(INDIRECT(ADDRESS(2,COLUMN())),OFFSET($BN$2,0,0,ROW()-1,60),ROW()-1,FALSE))</f>
        <v>9801.2725090000004</v>
      </c>
      <c r="AW488">
        <f ca="1">IF(AND(ISNUMBER($AW$985),$B$511=1),$AW$985,HLOOKUP(INDIRECT(ADDRESS(2,COLUMN())),OFFSET($BN$2,0,0,ROW()-1,60),ROW()-1,FALSE))</f>
        <v>12826.48279</v>
      </c>
      <c r="AX488">
        <f ca="1">IF(AND(ISNUMBER($AX$985),$B$511=1),$AX$985,HLOOKUP(INDIRECT(ADDRESS(2,COLUMN())),OFFSET($BN$2,0,0,ROW()-1,60),ROW()-1,FALSE))</f>
        <v>13666.70782</v>
      </c>
      <c r="AY488">
        <f ca="1">IF(AND(ISNUMBER($AY$985),$B$511=1),$AY$985,HLOOKUP(INDIRECT(ADDRESS(2,COLUMN())),OFFSET($BN$2,0,0,ROW()-1,60),ROW()-1,FALSE))</f>
        <v>16212.063029999999</v>
      </c>
      <c r="AZ488">
        <f ca="1">IF(AND(ISNUMBER($AZ$985),$B$511=1),$AZ$985,HLOOKUP(INDIRECT(ADDRESS(2,COLUMN())),OFFSET($BN$2,0,0,ROW()-1,60),ROW()-1,FALSE))</f>
        <v>16071.429630000001</v>
      </c>
      <c r="BA488">
        <f ca="1">IF(AND(ISNUMBER($BA$985),$B$511=1),$BA$985,HLOOKUP(INDIRECT(ADDRESS(2,COLUMN())),OFFSET($BN$2,0,0,ROW()-1,60),ROW()-1,FALSE))</f>
        <v>15408.606449999999</v>
      </c>
      <c r="BB488">
        <f ca="1">IF(AND(ISNUMBER($BB$985),$B$511=1),$BB$985,HLOOKUP(INDIRECT(ADDRESS(2,COLUMN())),OFFSET($BN$2,0,0,ROW()-1,60),ROW()-1,FALSE))</f>
        <v>14121.09967</v>
      </c>
      <c r="BC488">
        <f ca="1">IF(AND(ISNUMBER($BC$985),$B$511=1),$BC$985,HLOOKUP(INDIRECT(ADDRESS(2,COLUMN())),OFFSET($BN$2,0,0,ROW()-1,60),ROW()-1,FALSE))</f>
        <v>15311.506869999999</v>
      </c>
      <c r="BD488">
        <f ca="1">IF(AND(ISNUMBER($BD$985),$B$511=1),$BD$985,HLOOKUP(INDIRECT(ADDRESS(2,COLUMN())),OFFSET($BN$2,0,0,ROW()-1,60),ROW()-1,FALSE))</f>
        <v>13793.774649999999</v>
      </c>
      <c r="BE488">
        <f ca="1">IF(AND(ISNUMBER($BE$985),$B$511=1),$BE$985,HLOOKUP(INDIRECT(ADDRESS(2,COLUMN())),OFFSET($BN$2,0,0,ROW()-1,60),ROW()-1,FALSE))</f>
        <v>11732.78203</v>
      </c>
      <c r="BF488">
        <f ca="1">IF(AND(ISNUMBER($BF$985),$B$511=1),$BF$985,HLOOKUP(INDIRECT(ADDRESS(2,COLUMN())),OFFSET($BN$2,0,0,ROW()-1,60),ROW()-1,FALSE))</f>
        <v>12492.42886</v>
      </c>
      <c r="BG488">
        <f ca="1">IF(AND(ISNUMBER($BG$985),$B$511=1),$BG$985,HLOOKUP(INDIRECT(ADDRESS(2,COLUMN())),OFFSET($BN$2,0,0,ROW()-1,60),ROW()-1,FALSE))</f>
        <v>10050.72393</v>
      </c>
      <c r="BH488">
        <f ca="1">IF(AND(ISNUMBER($BH$985),$B$511=1),$BH$985,HLOOKUP(INDIRECT(ADDRESS(2,COLUMN())),OFFSET($BN$2,0,0,ROW()-1,60),ROW()-1,FALSE))</f>
        <v>10034.86174</v>
      </c>
      <c r="BI488">
        <f ca="1">IF(AND(ISNUMBER($BI$985),$B$511=1),$BI$985,HLOOKUP(INDIRECT(ADDRESS(2,COLUMN())),OFFSET($BN$2,0,0,ROW()-1,60),ROW()-1,FALSE))</f>
        <v>8526.4030120000007</v>
      </c>
      <c r="BJ488">
        <f ca="1">IF(AND(ISNUMBER($BJ$985),$B$511=1),$BJ$985,HLOOKUP(INDIRECT(ADDRESS(2,COLUMN())),OFFSET($BN$2,0,0,ROW()-1,60),ROW()-1,FALSE))</f>
        <v>9708.9284299999999</v>
      </c>
      <c r="BK488">
        <f ca="1">IF(AND(ISNUMBER($BK$985),$B$511=1),$BK$985,HLOOKUP(INDIRECT(ADDRESS(2,COLUMN())),OFFSET($BN$2,0,0,ROW()-1,60),ROW()-1,FALSE))</f>
        <v>9857.6939480000001</v>
      </c>
      <c r="BL488">
        <f ca="1">IF(AND(ISNUMBER($BL$985),$B$511=1),$BL$985,HLOOKUP(INDIRECT(ADDRESS(2,COLUMN())),OFFSET($BN$2,0,0,ROW()-1,60),ROW()-1,FALSE))</f>
        <v>8900.1429250000001</v>
      </c>
      <c r="BM488">
        <f ca="1">IF(AND(ISNUMBER($BM$985),$B$511=1),$BM$985,HLOOKUP(INDIRECT(ADDRESS(2,COLUMN())),OFFSET($BN$2,0,0,ROW()-1,60),ROW()-1,FALSE))</f>
        <v>9536.14077</v>
      </c>
      <c r="BN488">
        <f>25572.61629</f>
        <v>25572.616290000002</v>
      </c>
      <c r="BO488">
        <f>24759.26401</f>
        <v>24759.264009999999</v>
      </c>
      <c r="BP488">
        <f>28156.36602</f>
        <v>28156.366020000001</v>
      </c>
      <c r="BQ488">
        <f>27117.24802</f>
        <v>27117.248019999999</v>
      </c>
      <c r="BR488">
        <f>26487.79621</f>
        <v>26487.79621</v>
      </c>
      <c r="BS488">
        <f>28498.06596</f>
        <v>28498.06596</v>
      </c>
      <c r="BT488">
        <f>25732.45273</f>
        <v>25732.452730000001</v>
      </c>
      <c r="BU488">
        <f>23293.54695</f>
        <v>23293.54695</v>
      </c>
      <c r="BV488">
        <f>20388.12326</f>
        <v>20388.12326</v>
      </c>
      <c r="BW488">
        <f>17318.02126</f>
        <v>17318.021260000001</v>
      </c>
      <c r="BX488">
        <f>16265.01035</f>
        <v>16265.01035</v>
      </c>
      <c r="BY488">
        <f>13101.73951</f>
        <v>13101.739509999999</v>
      </c>
      <c r="BZ488">
        <f>13141.34222</f>
        <v>13141.34222</v>
      </c>
      <c r="CA488">
        <f>17225.42211</f>
        <v>17225.42211</v>
      </c>
      <c r="CB488">
        <f>17168.5069</f>
        <v>17168.5069</v>
      </c>
      <c r="CC488">
        <f>18997.13884</f>
        <v>18997.13884</v>
      </c>
      <c r="CD488">
        <f>16896.90187</f>
        <v>16896.901870000002</v>
      </c>
      <c r="CE488">
        <f>17095.36397</f>
        <v>17095.363969999999</v>
      </c>
      <c r="CF488">
        <f>18600.10457</f>
        <v>18600.10457</v>
      </c>
      <c r="CG488">
        <f>17575.30941</f>
        <v>17575.309410000002</v>
      </c>
      <c r="CH488">
        <f>14664.41673</f>
        <v>14664.416730000001</v>
      </c>
      <c r="CI488">
        <f>15099.36973</f>
        <v>15099.36973</v>
      </c>
      <c r="CJ488">
        <f>13436.34309</f>
        <v>13436.34309</v>
      </c>
      <c r="CK488">
        <f>12917.7004</f>
        <v>12917.7004</v>
      </c>
      <c r="CL488">
        <f>12570.27017</f>
        <v>12570.27017</v>
      </c>
      <c r="CM488">
        <f>14612.77941</f>
        <v>14612.779409999999</v>
      </c>
      <c r="CN488">
        <f>10908.45307</f>
        <v>10908.45307</v>
      </c>
      <c r="CO488">
        <f>11396.71274</f>
        <v>11396.712740000001</v>
      </c>
      <c r="CP488">
        <f>13423.58122</f>
        <v>13423.58122</v>
      </c>
      <c r="CQ488">
        <f>11601.3418</f>
        <v>11601.3418</v>
      </c>
      <c r="CR488">
        <f>12524.28642</f>
        <v>12524.28642</v>
      </c>
      <c r="CS488">
        <f>12570.63531</f>
        <v>12570.63531</v>
      </c>
      <c r="CT488">
        <f>12591.89828</f>
        <v>12591.898279999999</v>
      </c>
      <c r="CU488">
        <f>13727.6071</f>
        <v>13727.607099999999</v>
      </c>
      <c r="CV488">
        <f>11804.446</f>
        <v>11804.446</v>
      </c>
      <c r="CW488">
        <f>11128.47268</f>
        <v>11128.472680000001</v>
      </c>
      <c r="CX488">
        <f>11980.82335</f>
        <v>11980.823350000001</v>
      </c>
      <c r="CY488">
        <f>13392.89214</f>
        <v>13392.89214</v>
      </c>
      <c r="CZ488">
        <f>12676.69116</f>
        <v>12676.69116</v>
      </c>
      <c r="DA488">
        <f>12225.33426</f>
        <v>12225.33426</v>
      </c>
      <c r="DB488">
        <f>8897.555282</f>
        <v>8897.5552819999994</v>
      </c>
      <c r="DC488">
        <f>7377.068884</f>
        <v>7377.0688840000003</v>
      </c>
      <c r="DD488">
        <f>9801.272509</f>
        <v>9801.2725090000004</v>
      </c>
      <c r="DE488">
        <f>12826.48279</f>
        <v>12826.48279</v>
      </c>
      <c r="DF488">
        <f>13666.70782</f>
        <v>13666.70782</v>
      </c>
      <c r="DG488">
        <f>16212.06303</f>
        <v>16212.063029999999</v>
      </c>
      <c r="DH488">
        <f>16071.42963</f>
        <v>16071.429630000001</v>
      </c>
      <c r="DI488">
        <f>15408.60645</f>
        <v>15408.606449999999</v>
      </c>
      <c r="DJ488">
        <f>14121.09967</f>
        <v>14121.09967</v>
      </c>
      <c r="DK488">
        <f>15311.50687</f>
        <v>15311.506869999999</v>
      </c>
      <c r="DL488">
        <f>13793.77465</f>
        <v>13793.774649999999</v>
      </c>
      <c r="DM488">
        <f>11732.78203</f>
        <v>11732.78203</v>
      </c>
      <c r="DN488">
        <f>12492.42886</f>
        <v>12492.42886</v>
      </c>
      <c r="DO488">
        <f>10050.72393</f>
        <v>10050.72393</v>
      </c>
      <c r="DP488">
        <f>10034.86174</f>
        <v>10034.86174</v>
      </c>
      <c r="DQ488">
        <f>8526.403012</f>
        <v>8526.4030120000007</v>
      </c>
      <c r="DR488">
        <f>9708.92843</f>
        <v>9708.9284299999999</v>
      </c>
      <c r="DS488">
        <f>9857.693948</f>
        <v>9857.6939480000001</v>
      </c>
      <c r="DT488">
        <f>8900.142925</f>
        <v>8900.1429250000001</v>
      </c>
      <c r="DU488">
        <f>9536.14077</f>
        <v>9536.14077</v>
      </c>
    </row>
    <row r="489" spans="1:125" x14ac:dyDescent="0.25">
      <c r="A489" t="str">
        <f>"    Tata Motors Ltd"</f>
        <v xml:space="preserve">    Tata Motors Ltd</v>
      </c>
      <c r="B489" t="str">
        <f>"TTMT IN Equity"</f>
        <v>TTMT IN Equity</v>
      </c>
      <c r="C489" t="str">
        <f t="shared" si="33"/>
        <v>RR902</v>
      </c>
      <c r="D489" t="str">
        <f t="shared" si="34"/>
        <v>CUR_MKT_CAP</v>
      </c>
      <c r="E489" t="str">
        <f t="shared" si="35"/>
        <v>Dynamic</v>
      </c>
      <c r="F489">
        <f ca="1">IF(AND(ISNUMBER($F$986),$B$511=1),$F$986,HLOOKUP(INDIRECT(ADDRESS(2,COLUMN())),OFFSET($BN$2,0,0,ROW()-1,60),ROW()-1,FALSE))</f>
        <v>7726.0004339999996</v>
      </c>
      <c r="G489">
        <f ca="1">IF(AND(ISNUMBER($G$986),$B$511=1),$G$986,HLOOKUP(INDIRECT(ADDRESS(2,COLUMN())),OFFSET($BN$2,0,0,ROW()-1,60),ROW()-1,FALSE))</f>
        <v>7831.2220719999996</v>
      </c>
      <c r="H489">
        <f ca="1">IF(AND(ISNUMBER($H$986),$B$511=1),$H$986,HLOOKUP(INDIRECT(ADDRESS(2,COLUMN())),OFFSET($BN$2,0,0,ROW()-1,60),ROW()-1,FALSE))</f>
        <v>9719.7893399999994</v>
      </c>
      <c r="I489">
        <f ca="1">IF(AND(ISNUMBER($I$986),$B$511=1),$I$986,HLOOKUP(INDIRECT(ADDRESS(2,COLUMN())),OFFSET($BN$2,0,0,ROW()-1,60),ROW()-1,FALSE))</f>
        <v>12533.580250000001</v>
      </c>
      <c r="J489">
        <f ca="1">IF(AND(ISNUMBER($J$986),$B$511=1),$J$986,HLOOKUP(INDIRECT(ADDRESS(2,COLUMN())),OFFSET($BN$2,0,0,ROW()-1,60),ROW()-1,FALSE))</f>
        <v>15918.00145</v>
      </c>
      <c r="K489">
        <f ca="1">IF(AND(ISNUMBER($K$986),$B$511=1),$K$986,HLOOKUP(INDIRECT(ADDRESS(2,COLUMN())),OFFSET($BN$2,0,0,ROW()-1,60),ROW()-1,FALSE))</f>
        <v>21472.116290000002</v>
      </c>
      <c r="L489">
        <f ca="1">IF(AND(ISNUMBER($L$986),$B$511=1),$L$986,HLOOKUP(INDIRECT(ADDRESS(2,COLUMN())),OFFSET($BN$2,0,0,ROW()-1,60),ROW()-1,FALSE))</f>
        <v>19469.172709999999</v>
      </c>
      <c r="M489">
        <f ca="1">IF(AND(ISNUMBER($M$986),$B$511=1),$M$986,HLOOKUP(INDIRECT(ADDRESS(2,COLUMN())),OFFSET($BN$2,0,0,ROW()-1,60),ROW()-1,FALSE))</f>
        <v>21399.1541</v>
      </c>
      <c r="N489">
        <f ca="1">IF(AND(ISNUMBER($N$986),$B$511=1),$N$986,HLOOKUP(INDIRECT(ADDRESS(2,COLUMN())),OFFSET($BN$2,0,0,ROW()-1,60),ROW()-1,FALSE))</f>
        <v>22948.710650000001</v>
      </c>
      <c r="O489">
        <f ca="1">IF(AND(ISNUMBER($O$986),$B$511=1),$O$986,HLOOKUP(INDIRECT(ADDRESS(2,COLUMN())),OFFSET($BN$2,0,0,ROW()-1,60),ROW()-1,FALSE))</f>
        <v>22284.873729999999</v>
      </c>
      <c r="P489">
        <f ca="1">IF(AND(ISNUMBER($P$986),$B$511=1),$P$986,HLOOKUP(INDIRECT(ADDRESS(2,COLUMN())),OFFSET($BN$2,0,0,ROW()-1,60),ROW()-1,FALSE))</f>
        <v>25774.417560000002</v>
      </c>
      <c r="Q489">
        <f ca="1">IF(AND(ISNUMBER($Q$986),$B$511=1),$Q$986,HLOOKUP(INDIRECT(ADDRESS(2,COLUMN())),OFFSET($BN$2,0,0,ROW()-1,60),ROW()-1,FALSE))</f>
        <v>21832.53254</v>
      </c>
      <c r="R489">
        <f ca="1">IF(AND(ISNUMBER($R$986),$B$511=1),$R$986,HLOOKUP(INDIRECT(ADDRESS(2,COLUMN())),OFFSET($BN$2,0,0,ROW()-1,60),ROW()-1,FALSE))</f>
        <v>19090.910400000001</v>
      </c>
      <c r="S489">
        <f ca="1">IF(AND(ISNUMBER($S$986),$B$511=1),$S$986,HLOOKUP(INDIRECT(ADDRESS(2,COLUMN())),OFFSET($BN$2,0,0,ROW()-1,60),ROW()-1,FALSE))</f>
        <v>19278.620510000001</v>
      </c>
      <c r="T489">
        <f ca="1">IF(AND(ISNUMBER($T$986),$B$511=1),$T$986,HLOOKUP(INDIRECT(ADDRESS(2,COLUMN())),OFFSET($BN$2,0,0,ROW()-1,60),ROW()-1,FALSE))</f>
        <v>14836.195239999999</v>
      </c>
      <c r="U489">
        <f ca="1">IF(AND(ISNUMBER($U$986),$B$511=1),$U$986,HLOOKUP(INDIRECT(ADDRESS(2,COLUMN())),OFFSET($BN$2,0,0,ROW()-1,60),ROW()-1,FALSE))</f>
        <v>21788.788809999998</v>
      </c>
      <c r="V489">
        <f ca="1">IF(AND(ISNUMBER($V$986),$B$511=1),$V$986,HLOOKUP(INDIRECT(ADDRESS(2,COLUMN())),OFFSET($BN$2,0,0,ROW()-1,60),ROW()-1,FALSE))</f>
        <v>26353.77449</v>
      </c>
      <c r="W489">
        <f ca="1">IF(AND(ISNUMBER($W$986),$B$511=1),$W$986,HLOOKUP(INDIRECT(ADDRESS(2,COLUMN())),OFFSET($BN$2,0,0,ROW()-1,60),ROW()-1,FALSE))</f>
        <v>23674.859639999999</v>
      </c>
      <c r="X489">
        <f ca="1">IF(AND(ISNUMBER($X$986),$B$511=1),$X$986,HLOOKUP(INDIRECT(ADDRESS(2,COLUMN())),OFFSET($BN$2,0,0,ROW()-1,60),ROW()-1,FALSE))</f>
        <v>24535.927629999998</v>
      </c>
      <c r="Y489">
        <f ca="1">IF(AND(ISNUMBER($Y$986),$B$511=1),$Y$986,HLOOKUP(INDIRECT(ADDRESS(2,COLUMN())),OFFSET($BN$2,0,0,ROW()-1,60),ROW()-1,FALSE))</f>
        <v>21717.251219999998</v>
      </c>
      <c r="Z489">
        <f ca="1">IF(AND(ISNUMBER($Z$986),$B$511=1),$Z$986,HLOOKUP(INDIRECT(ADDRESS(2,COLUMN())),OFFSET($BN$2,0,0,ROW()-1,60),ROW()-1,FALSE))</f>
        <v>19561.091919999999</v>
      </c>
      <c r="AA489">
        <f ca="1">IF(AND(ISNUMBER($AA$986),$B$511=1),$AA$986,HLOOKUP(INDIRECT(ADDRESS(2,COLUMN())),OFFSET($BN$2,0,0,ROW()-1,60),ROW()-1,FALSE))</f>
        <v>17894.28586</v>
      </c>
      <c r="AB489">
        <f ca="1">IF(AND(ISNUMBER($AB$986),$B$511=1),$AB$986,HLOOKUP(INDIRECT(ADDRESS(2,COLUMN())),OFFSET($BN$2,0,0,ROW()-1,60),ROW()-1,FALSE))</f>
        <v>15556.086359999999</v>
      </c>
      <c r="AC489">
        <f ca="1">IF(AND(ISNUMBER($AC$986),$B$511=1),$AC$986,HLOOKUP(INDIRECT(ADDRESS(2,COLUMN())),OFFSET($BN$2,0,0,ROW()-1,60),ROW()-1,FALSE))</f>
        <v>13846.723389999999</v>
      </c>
      <c r="AD489">
        <f ca="1">IF(AND(ISNUMBER($AD$986),$B$511=1),$AD$986,HLOOKUP(INDIRECT(ADDRESS(2,COLUMN())),OFFSET($BN$2,0,0,ROW()-1,60),ROW()-1,FALSE))</f>
        <v>14518.547570000001</v>
      </c>
      <c r="AE489">
        <f ca="1">IF(AND(ISNUMBER($AE$986),$B$511=1),$AE$986,HLOOKUP(INDIRECT(ADDRESS(2,COLUMN())),OFFSET($BN$2,0,0,ROW()-1,60),ROW()-1,FALSE))</f>
        <v>16736.510579999998</v>
      </c>
      <c r="AF489">
        <f ca="1">IF(AND(ISNUMBER($AF$986),$B$511=1),$AF$986,HLOOKUP(INDIRECT(ADDRESS(2,COLUMN())),OFFSET($BN$2,0,0,ROW()-1,60),ROW()-1,FALSE))</f>
        <v>14959.580980000001</v>
      </c>
      <c r="AG489">
        <f ca="1">IF(AND(ISNUMBER($AG$986),$B$511=1),$AG$986,HLOOKUP(INDIRECT(ADDRESS(2,COLUMN())),OFFSET($BN$2,0,0,ROW()-1,60),ROW()-1,FALSE))</f>
        <v>12786.36652</v>
      </c>
      <c r="AH489">
        <f ca="1">IF(AND(ISNUMBER($AH$986),$B$511=1),$AH$986,HLOOKUP(INDIRECT(ADDRESS(2,COLUMN())),OFFSET($BN$2,0,0,ROW()-1,60),ROW()-1,FALSE))</f>
        <v>16036.77376</v>
      </c>
      <c r="AI489">
        <f ca="1">IF(AND(ISNUMBER($AI$986),$B$511=1),$AI$986,HLOOKUP(INDIRECT(ADDRESS(2,COLUMN())),OFFSET($BN$2,0,0,ROW()-1,60),ROW()-1,FALSE))</f>
        <v>9845.3099689999999</v>
      </c>
      <c r="AJ489">
        <f ca="1">IF(AND(ISNUMBER($AJ$986),$B$511=1),$AJ$986,HLOOKUP(INDIRECT(ADDRESS(2,COLUMN())),OFFSET($BN$2,0,0,ROW()-1,60),ROW()-1,FALSE))</f>
        <v>9443.2615499999993</v>
      </c>
      <c r="AK489">
        <f ca="1">IF(AND(ISNUMBER($AK$986),$B$511=1),$AK$986,HLOOKUP(INDIRECT(ADDRESS(2,COLUMN())),OFFSET($BN$2,0,0,ROW()-1,60),ROW()-1,FALSE))</f>
        <v>13183.294159999999</v>
      </c>
      <c r="AL489">
        <f ca="1">IF(AND(ISNUMBER($AL$986),$B$511=1),$AL$986,HLOOKUP(INDIRECT(ADDRESS(2,COLUMN())),OFFSET($BN$2,0,0,ROW()-1,60),ROW()-1,FALSE))</f>
        <v>16544.145540000001</v>
      </c>
      <c r="AM489">
        <f ca="1">IF(AND(ISNUMBER($AM$986),$B$511=1),$AM$986,HLOOKUP(INDIRECT(ADDRESS(2,COLUMN())),OFFSET($BN$2,0,0,ROW()-1,60),ROW()-1,FALSE))</f>
        <v>17400.96773</v>
      </c>
      <c r="AN489">
        <f ca="1">IF(AND(ISNUMBER($AN$986),$B$511=1),$AN$986,HLOOKUP(INDIRECT(ADDRESS(2,COLUMN())),OFFSET($BN$2,0,0,ROW()-1,60),ROW()-1,FALSE))</f>
        <v>13506.71679</v>
      </c>
      <c r="AO489">
        <f ca="1">IF(AND(ISNUMBER($AO$986),$B$511=1),$AO$986,HLOOKUP(INDIRECT(ADDRESS(2,COLUMN())),OFFSET($BN$2,0,0,ROW()-1,60),ROW()-1,FALSE))</f>
        <v>9177.5764780000009</v>
      </c>
      <c r="AP489">
        <f ca="1">IF(AND(ISNUMBER($AP$986),$B$511=1),$AP$986,HLOOKUP(INDIRECT(ADDRESS(2,COLUMN())),OFFSET($BN$2,0,0,ROW()-1,60),ROW()-1,FALSE))</f>
        <v>8737.3093580000004</v>
      </c>
      <c r="AQ489">
        <f ca="1">IF(AND(ISNUMBER($AQ$986),$B$511=1),$AQ$986,HLOOKUP(INDIRECT(ADDRESS(2,COLUMN())),OFFSET($BN$2,0,0,ROW()-1,60),ROW()-1,FALSE))</f>
        <v>8845.0488750000004</v>
      </c>
      <c r="AR489">
        <f ca="1">IF(AND(ISNUMBER($AR$986),$B$511=1),$AR$986,HLOOKUP(INDIRECT(ADDRESS(2,COLUMN())),OFFSET($BN$2,0,0,ROW()-1,60),ROW()-1,FALSE))</f>
        <v>6107.9751150000002</v>
      </c>
      <c r="AS489">
        <f ca="1">IF(AND(ISNUMBER($AS$986),$B$511=1),$AS$986,HLOOKUP(INDIRECT(ADDRESS(2,COLUMN())),OFFSET($BN$2,0,0,ROW()-1,60),ROW()-1,FALSE))</f>
        <v>2730.0911449999999</v>
      </c>
      <c r="AT489">
        <f ca="1">IF(AND(ISNUMBER($AT$986),$B$511=1),$AT$986,HLOOKUP(INDIRECT(ADDRESS(2,COLUMN())),OFFSET($BN$2,0,0,ROW()-1,60),ROW()-1,FALSE))</f>
        <v>1598.550385</v>
      </c>
      <c r="AU489">
        <f ca="1">IF(AND(ISNUMBER($AU$986),$B$511=1),$AU$986,HLOOKUP(INDIRECT(ADDRESS(2,COLUMN())),OFFSET($BN$2,0,0,ROW()-1,60),ROW()-1,FALSE))</f>
        <v>1477.219214</v>
      </c>
      <c r="AV489">
        <f ca="1">IF(AND(ISNUMBER($AV$986),$B$511=1),$AV$986,HLOOKUP(INDIRECT(ADDRESS(2,COLUMN())),OFFSET($BN$2,0,0,ROW()-1,60),ROW()-1,FALSE))</f>
        <v>3279.1292440000002</v>
      </c>
      <c r="AW489">
        <f ca="1">IF(AND(ISNUMBER($AW$986),$B$511=1),$AW$986,HLOOKUP(INDIRECT(ADDRESS(2,COLUMN())),OFFSET($BN$2,0,0,ROW()-1,60),ROW()-1,FALSE))</f>
        <v>3815.7533840000001</v>
      </c>
      <c r="AX489">
        <f ca="1">IF(AND(ISNUMBER($AX$986),$B$511=1),$AX$986,HLOOKUP(INDIRECT(ADDRESS(2,COLUMN())),OFFSET($BN$2,0,0,ROW()-1,60),ROW()-1,FALSE))</f>
        <v>5984.6732490000004</v>
      </c>
      <c r="AY489">
        <f ca="1">IF(AND(ISNUMBER($AY$986),$B$511=1),$AY$986,HLOOKUP(INDIRECT(ADDRESS(2,COLUMN())),OFFSET($BN$2,0,0,ROW()-1,60),ROW()-1,FALSE))</f>
        <v>7256.0134699999999</v>
      </c>
      <c r="AZ489">
        <f ca="1">IF(AND(ISNUMBER($AZ$986),$B$511=1),$AZ$986,HLOOKUP(INDIRECT(ADDRESS(2,COLUMN())),OFFSET($BN$2,0,0,ROW()-1,60),ROW()-1,FALSE))</f>
        <v>7529.7570519999999</v>
      </c>
      <c r="BA489">
        <f ca="1">IF(AND(ISNUMBER($BA$986),$B$511=1),$BA$986,HLOOKUP(INDIRECT(ADDRESS(2,COLUMN())),OFFSET($BN$2,0,0,ROW()-1,60),ROW()-1,FALSE))</f>
        <v>6345.7962450000005</v>
      </c>
      <c r="BB489">
        <f ca="1">IF(AND(ISNUMBER($BB$986),$B$511=1),$BB$986,HLOOKUP(INDIRECT(ADDRESS(2,COLUMN())),OFFSET($BN$2,0,0,ROW()-1,60),ROW()-1,FALSE))</f>
        <v>6455.0955510000003</v>
      </c>
      <c r="BC489">
        <f ca="1">IF(AND(ISNUMBER($BC$986),$B$511=1),$BC$986,HLOOKUP(INDIRECT(ADDRESS(2,COLUMN())),OFFSET($BN$2,0,0,ROW()-1,60),ROW()-1,FALSE))</f>
        <v>7839.3366480000004</v>
      </c>
      <c r="BD489">
        <f ca="1">IF(AND(ISNUMBER($BD$986),$B$511=1),$BD$986,HLOOKUP(INDIRECT(ADDRESS(2,COLUMN())),OFFSET($BN$2,0,0,ROW()-1,60),ROW()-1,FALSE))</f>
        <v>7226.5436319999999</v>
      </c>
      <c r="BE489">
        <f ca="1">IF(AND(ISNUMBER($BE$986),$B$511=1),$BE$986,HLOOKUP(INDIRECT(ADDRESS(2,COLUMN())),OFFSET($BN$2,0,0,ROW()-1,60),ROW()-1,FALSE))</f>
        <v>6612.5186279999998</v>
      </c>
      <c r="BF489">
        <f ca="1">IF(AND(ISNUMBER($BF$986),$B$511=1),$BF$986,HLOOKUP(INDIRECT(ADDRESS(2,COLUMN())),OFFSET($BN$2,0,0,ROW()-1,60),ROW()-1,FALSE))</f>
        <v>7911.9821199999997</v>
      </c>
      <c r="BG489">
        <f ca="1">IF(AND(ISNUMBER($BG$986),$B$511=1),$BG$986,HLOOKUP(INDIRECT(ADDRESS(2,COLUMN())),OFFSET($BN$2,0,0,ROW()-1,60),ROW()-1,FALSE))</f>
        <v>5456.9936200000002</v>
      </c>
      <c r="BH489">
        <f ca="1">IF(AND(ISNUMBER($BH$986),$B$511=1),$BH$986,HLOOKUP(INDIRECT(ADDRESS(2,COLUMN())),OFFSET($BN$2,0,0,ROW()-1,60),ROW()-1,FALSE))</f>
        <v>4566.809921</v>
      </c>
      <c r="BI489">
        <f ca="1">IF(AND(ISNUMBER($BI$986),$B$511=1),$BI$986,HLOOKUP(INDIRECT(ADDRESS(2,COLUMN())),OFFSET($BN$2,0,0,ROW()-1,60),ROW()-1,FALSE))</f>
        <v>3536.0658149999999</v>
      </c>
      <c r="BJ489">
        <f ca="1">IF(AND(ISNUMBER($BJ$986),$B$511=1),$BJ$986,HLOOKUP(INDIRECT(ADDRESS(2,COLUMN())),OFFSET($BN$2,0,0,ROW()-1,60),ROW()-1,FALSE))</f>
        <v>3421.1151450000002</v>
      </c>
      <c r="BK489">
        <f ca="1">IF(AND(ISNUMBER($BK$986),$B$511=1),$BK$986,HLOOKUP(INDIRECT(ADDRESS(2,COLUMN())),OFFSET($BN$2,0,0,ROW()-1,60),ROW()-1,FALSE))</f>
        <v>4200.4790759999996</v>
      </c>
      <c r="BL489">
        <f ca="1">IF(AND(ISNUMBER($BL$986),$B$511=1),$BL$986,HLOOKUP(INDIRECT(ADDRESS(2,COLUMN())),OFFSET($BN$2,0,0,ROW()-1,60),ROW()-1,FALSE))</f>
        <v>3146.788223</v>
      </c>
      <c r="BM489">
        <f ca="1">IF(AND(ISNUMBER($BM$986),$B$511=1),$BM$986,HLOOKUP(INDIRECT(ADDRESS(2,COLUMN())),OFFSET($BN$2,0,0,ROW()-1,60),ROW()-1,FALSE))</f>
        <v>2915.2078449999999</v>
      </c>
      <c r="BN489">
        <f>7726.000434</f>
        <v>7726.0004339999996</v>
      </c>
      <c r="BO489">
        <f>7831.222072</f>
        <v>7831.2220719999996</v>
      </c>
      <c r="BP489">
        <f>9719.78934</f>
        <v>9719.7893399999994</v>
      </c>
      <c r="BQ489">
        <f>12533.58025</f>
        <v>12533.580250000001</v>
      </c>
      <c r="BR489">
        <f>15918.00145</f>
        <v>15918.00145</v>
      </c>
      <c r="BS489">
        <f>21472.11629</f>
        <v>21472.116290000002</v>
      </c>
      <c r="BT489">
        <f>19469.17271</f>
        <v>19469.172709999999</v>
      </c>
      <c r="BU489">
        <f>21399.1541</f>
        <v>21399.1541</v>
      </c>
      <c r="BV489">
        <f>22948.71065</f>
        <v>22948.710650000001</v>
      </c>
      <c r="BW489">
        <f>22284.87373</f>
        <v>22284.873729999999</v>
      </c>
      <c r="BX489">
        <f>25774.41756</f>
        <v>25774.417560000002</v>
      </c>
      <c r="BY489">
        <f>21832.53254</f>
        <v>21832.53254</v>
      </c>
      <c r="BZ489">
        <f>19090.9104</f>
        <v>19090.910400000001</v>
      </c>
      <c r="CA489">
        <f>19278.62051</f>
        <v>19278.620510000001</v>
      </c>
      <c r="CB489">
        <f>14836.19524</f>
        <v>14836.195239999999</v>
      </c>
      <c r="CC489">
        <f>21788.78881</f>
        <v>21788.788809999998</v>
      </c>
      <c r="CD489">
        <f>26353.77449</f>
        <v>26353.77449</v>
      </c>
      <c r="CE489">
        <f>23674.85964</f>
        <v>23674.859639999999</v>
      </c>
      <c r="CF489">
        <f>24535.92763</f>
        <v>24535.927629999998</v>
      </c>
      <c r="CG489">
        <f>21717.25122</f>
        <v>21717.251219999998</v>
      </c>
      <c r="CH489">
        <f>19561.09192</f>
        <v>19561.091919999999</v>
      </c>
      <c r="CI489">
        <f>17894.28586</f>
        <v>17894.28586</v>
      </c>
      <c r="CJ489">
        <f>15556.08636</f>
        <v>15556.086359999999</v>
      </c>
      <c r="CK489">
        <f>13846.72339</f>
        <v>13846.723389999999</v>
      </c>
      <c r="CL489">
        <f>14518.54757</f>
        <v>14518.547570000001</v>
      </c>
      <c r="CM489">
        <f>16736.51058</f>
        <v>16736.510579999998</v>
      </c>
      <c r="CN489">
        <f>14959.58098</f>
        <v>14959.580980000001</v>
      </c>
      <c r="CO489">
        <f>12786.36652</f>
        <v>12786.36652</v>
      </c>
      <c r="CP489">
        <f>16036.77376</f>
        <v>16036.77376</v>
      </c>
      <c r="CQ489">
        <f>9845.309969</f>
        <v>9845.3099689999999</v>
      </c>
      <c r="CR489">
        <f>9443.26155</f>
        <v>9443.2615499999993</v>
      </c>
      <c r="CS489">
        <f>13183.29416</f>
        <v>13183.294159999999</v>
      </c>
      <c r="CT489">
        <f>16544.14554</f>
        <v>16544.145540000001</v>
      </c>
      <c r="CU489">
        <f>17400.96773</f>
        <v>17400.96773</v>
      </c>
      <c r="CV489">
        <f>13506.71679</f>
        <v>13506.71679</v>
      </c>
      <c r="CW489">
        <f>9177.576478</f>
        <v>9177.5764780000009</v>
      </c>
      <c r="CX489">
        <f>8737.309358</f>
        <v>8737.3093580000004</v>
      </c>
      <c r="CY489">
        <f>8845.048875</f>
        <v>8845.0488750000004</v>
      </c>
      <c r="CZ489">
        <f>6107.975115</f>
        <v>6107.9751150000002</v>
      </c>
      <c r="DA489">
        <f>2730.091145</f>
        <v>2730.0911449999999</v>
      </c>
      <c r="DB489">
        <f>1598.550385</f>
        <v>1598.550385</v>
      </c>
      <c r="DC489">
        <f>1477.219214</f>
        <v>1477.219214</v>
      </c>
      <c r="DD489">
        <f>3279.129244</f>
        <v>3279.1292440000002</v>
      </c>
      <c r="DE489">
        <f>3815.753384</f>
        <v>3815.7533840000001</v>
      </c>
      <c r="DF489">
        <f>5984.673249</f>
        <v>5984.6732490000004</v>
      </c>
      <c r="DG489">
        <f>7256.01347</f>
        <v>7256.0134699999999</v>
      </c>
      <c r="DH489">
        <f>7529.757052</f>
        <v>7529.7570519999999</v>
      </c>
      <c r="DI489">
        <f>6345.796245</f>
        <v>6345.7962450000005</v>
      </c>
      <c r="DJ489">
        <f>6455.095551</f>
        <v>6455.0955510000003</v>
      </c>
      <c r="DK489">
        <f>7839.336648</f>
        <v>7839.3366480000004</v>
      </c>
      <c r="DL489">
        <f>7226.543632</f>
        <v>7226.5436319999999</v>
      </c>
      <c r="DM489">
        <f>6612.518628</f>
        <v>6612.5186279999998</v>
      </c>
      <c r="DN489">
        <f>7911.98212</f>
        <v>7911.9821199999997</v>
      </c>
      <c r="DO489">
        <f>5456.99362</f>
        <v>5456.9936200000002</v>
      </c>
      <c r="DP489">
        <f>4566.809921</f>
        <v>4566.809921</v>
      </c>
      <c r="DQ489">
        <f>3536.065815</f>
        <v>3536.0658149999999</v>
      </c>
      <c r="DR489">
        <f>3421.115145</f>
        <v>3421.1151450000002</v>
      </c>
      <c r="DS489">
        <f>4200.479076</f>
        <v>4200.4790759999996</v>
      </c>
      <c r="DT489">
        <f>3146.788223</f>
        <v>3146.788223</v>
      </c>
      <c r="DU489">
        <f>2915.207845</f>
        <v>2915.2078449999999</v>
      </c>
    </row>
    <row r="490" spans="1:125" x14ac:dyDescent="0.25">
      <c r="A490" t="str">
        <f>"    Tesla Inc"</f>
        <v xml:space="preserve">    Tesla Inc</v>
      </c>
      <c r="B490" t="str">
        <f>"TSLA US Equity"</f>
        <v>TSLA US Equity</v>
      </c>
      <c r="C490" t="str">
        <f t="shared" si="33"/>
        <v>RR902</v>
      </c>
      <c r="D490" t="str">
        <f t="shared" si="34"/>
        <v>CUR_MKT_CAP</v>
      </c>
      <c r="E490" t="str">
        <f t="shared" si="35"/>
        <v>Dynamic</v>
      </c>
      <c r="F490">
        <f ca="1">IF(AND(ISNUMBER($F$987),$B$511=1),$F$987,HLOOKUP(INDIRECT(ADDRESS(2,COLUMN())),OFFSET($BN$2,0,0,ROW()-1,60),ROW()-1,FALSE))</f>
        <v>50865.181250000001</v>
      </c>
      <c r="G490">
        <f ca="1">IF(AND(ISNUMBER($G$987),$B$511=1),$G$987,HLOOKUP(INDIRECT(ADDRESS(2,COLUMN())),OFFSET($BN$2,0,0,ROW()-1,60),ROW()-1,FALSE))</f>
        <v>57152.667520000003</v>
      </c>
      <c r="H490">
        <f ca="1">IF(AND(ISNUMBER($H$987),$B$511=1),$H$987,HLOOKUP(INDIRECT(ADDRESS(2,COLUMN())),OFFSET($BN$2,0,0,ROW()-1,60),ROW()-1,FALSE))</f>
        <v>45167.946739999999</v>
      </c>
      <c r="I490">
        <f ca="1">IF(AND(ISNUMBER($I$987),$B$511=1),$I$987,HLOOKUP(INDIRECT(ADDRESS(2,COLUMN())),OFFSET($BN$2,0,0,ROW()-1,60),ROW()-1,FALSE))</f>
        <v>58230.744270000003</v>
      </c>
      <c r="J490">
        <f ca="1">IF(AND(ISNUMBER($J$987),$B$511=1),$J$987,HLOOKUP(INDIRECT(ADDRESS(2,COLUMN())),OFFSET($BN$2,0,0,ROW()-1,60),ROW()-1,FALSE))</f>
        <v>44954.6639</v>
      </c>
      <c r="K490">
        <f ca="1">IF(AND(ISNUMBER($K$987),$B$511=1),$K$987,HLOOKUP(INDIRECT(ADDRESS(2,COLUMN())),OFFSET($BN$2,0,0,ROW()-1,60),ROW()-1,FALSE))</f>
        <v>52327.660450000003</v>
      </c>
      <c r="L490">
        <f ca="1">IF(AND(ISNUMBER($L$987),$B$511=1),$L$987,HLOOKUP(INDIRECT(ADDRESS(2,COLUMN())),OFFSET($BN$2,0,0,ROW()-1,60),ROW()-1,FALSE))</f>
        <v>56925.155700000003</v>
      </c>
      <c r="M490">
        <f ca="1">IF(AND(ISNUMBER($M$987),$B$511=1),$M$987,HLOOKUP(INDIRECT(ADDRESS(2,COLUMN())),OFFSET($BN$2,0,0,ROW()-1,60),ROW()-1,FALSE))</f>
        <v>59398.058599999997</v>
      </c>
      <c r="N490">
        <f ca="1">IF(AND(ISNUMBER($N$987),$B$511=1),$N$987,HLOOKUP(INDIRECT(ADDRESS(2,COLUMN())),OFFSET($BN$2,0,0,ROW()-1,60),ROW()-1,FALSE))</f>
        <v>45389.895100000002</v>
      </c>
      <c r="O490">
        <f ca="1">IF(AND(ISNUMBER($O$987),$B$511=1),$O$987,HLOOKUP(INDIRECT(ADDRESS(2,COLUMN())),OFFSET($BN$2,0,0,ROW()-1,60),ROW()-1,FALSE))</f>
        <v>34423.044159999998</v>
      </c>
      <c r="P490">
        <f ca="1">IF(AND(ISNUMBER($P$987),$B$511=1),$P$987,HLOOKUP(INDIRECT(ADDRESS(2,COLUMN())),OFFSET($BN$2,0,0,ROW()-1,60),ROW()-1,FALSE))</f>
        <v>30337.753560000001</v>
      </c>
      <c r="Q490">
        <f ca="1">IF(AND(ISNUMBER($Q$987),$B$511=1),$Q$987,HLOOKUP(INDIRECT(ADDRESS(2,COLUMN())),OFFSET($BN$2,0,0,ROW()-1,60),ROW()-1,FALSE))</f>
        <v>31263.888770000001</v>
      </c>
      <c r="R490">
        <f ca="1">IF(AND(ISNUMBER($R$987),$B$511=1),$R$987,HLOOKUP(INDIRECT(ADDRESS(2,COLUMN())),OFFSET($BN$2,0,0,ROW()-1,60),ROW()-1,FALSE))</f>
        <v>30342.584200000001</v>
      </c>
      <c r="S490">
        <f ca="1">IF(AND(ISNUMBER($S$987),$B$511=1),$S$987,HLOOKUP(INDIRECT(ADDRESS(2,COLUMN())),OFFSET($BN$2,0,0,ROW()-1,60),ROW()-1,FALSE))</f>
        <v>31429.627380000002</v>
      </c>
      <c r="T490">
        <f ca="1">IF(AND(ISNUMBER($T$987),$B$511=1),$T$987,HLOOKUP(INDIRECT(ADDRESS(2,COLUMN())),OFFSET($BN$2,0,0,ROW()-1,60),ROW()-1,FALSE))</f>
        <v>32351.943329999998</v>
      </c>
      <c r="U490">
        <f ca="1">IF(AND(ISNUMBER($U$987),$B$511=1),$U$987,HLOOKUP(INDIRECT(ADDRESS(2,COLUMN())),OFFSET($BN$2,0,0,ROW()-1,60),ROW()-1,FALSE))</f>
        <v>33909.081599999998</v>
      </c>
      <c r="V490">
        <f ca="1">IF(AND(ISNUMBER($V$987),$B$511=1),$V$987,HLOOKUP(INDIRECT(ADDRESS(2,COLUMN())),OFFSET($BN$2,0,0,ROW()-1,60),ROW()-1,FALSE))</f>
        <v>23740.249919999998</v>
      </c>
      <c r="W490">
        <f ca="1">IF(AND(ISNUMBER($W$987),$B$511=1),$W$987,HLOOKUP(INDIRECT(ADDRESS(2,COLUMN())),OFFSET($BN$2,0,0,ROW()-1,60),ROW()-1,FALSE))</f>
        <v>27886.165649999999</v>
      </c>
      <c r="X490">
        <f ca="1">IF(AND(ISNUMBER($X$987),$B$511=1),$X$987,HLOOKUP(INDIRECT(ADDRESS(2,COLUMN())),OFFSET($BN$2,0,0,ROW()-1,60),ROW()-1,FALSE))</f>
        <v>30245.1633</v>
      </c>
      <c r="Y490">
        <f ca="1">IF(AND(ISNUMBER($Y$987),$B$511=1),$Y$987,HLOOKUP(INDIRECT(ADDRESS(2,COLUMN())),OFFSET($BN$2,0,0,ROW()-1,60),ROW()-1,FALSE))</f>
        <v>29789.082979999999</v>
      </c>
      <c r="Z490">
        <f ca="1">IF(AND(ISNUMBER($Z$987),$B$511=1),$Z$987,HLOOKUP(INDIRECT(ADDRESS(2,COLUMN())),OFFSET($BN$2,0,0,ROW()-1,60),ROW()-1,FALSE))</f>
        <v>25679.359960000002</v>
      </c>
      <c r="AA490">
        <f ca="1">IF(AND(ISNUMBER($AA$987),$B$511=1),$AA$987,HLOOKUP(INDIRECT(ADDRESS(2,COLUMN())),OFFSET($BN$2,0,0,ROW()-1,60),ROW()-1,FALSE))</f>
        <v>18441.681619999999</v>
      </c>
      <c r="AB490">
        <f ca="1">IF(AND(ISNUMBER($AB$987),$B$511=1),$AB$987,HLOOKUP(INDIRECT(ADDRESS(2,COLUMN())),OFFSET($BN$2,0,0,ROW()-1,60),ROW()-1,FALSE))</f>
        <v>23484.718049999999</v>
      </c>
      <c r="AC490">
        <f ca="1">IF(AND(ISNUMBER($AC$987),$B$511=1),$AC$987,HLOOKUP(INDIRECT(ADDRESS(2,COLUMN())),OFFSET($BN$2,0,0,ROW()-1,60),ROW()-1,FALSE))</f>
        <v>12782.700709999999</v>
      </c>
      <c r="AD490">
        <f ca="1">IF(AND(ISNUMBER($AD$987),$B$511=1),$AD$987,HLOOKUP(INDIRECT(ADDRESS(2,COLUMN())),OFFSET($BN$2,0,0,ROW()-1,60),ROW()-1,FALSE))</f>
        <v>4339.0869339999999</v>
      </c>
      <c r="AE490">
        <f ca="1">IF(AND(ISNUMBER($AE$987),$B$511=1),$AE$987,HLOOKUP(INDIRECT(ADDRESS(2,COLUMN())),OFFSET($BN$2,0,0,ROW()-1,60),ROW()-1,FALSE))</f>
        <v>3853.6913479999998</v>
      </c>
      <c r="AF490">
        <f ca="1">IF(AND(ISNUMBER($AF$987),$B$511=1),$AF$987,HLOOKUP(INDIRECT(ADDRESS(2,COLUMN())),OFFSET($BN$2,0,0,ROW()-1,60),ROW()-1,FALSE))</f>
        <v>3299.4987120000001</v>
      </c>
      <c r="AG490">
        <f ca="1">IF(AND(ISNUMBER($AG$987),$B$511=1),$AG$987,HLOOKUP(INDIRECT(ADDRESS(2,COLUMN())),OFFSET($BN$2,0,0,ROW()-1,60),ROW()-1,FALSE))</f>
        <v>3292.1586149999998</v>
      </c>
      <c r="AH490">
        <f ca="1">IF(AND(ISNUMBER($AH$987),$B$511=1),$AH$987,HLOOKUP(INDIRECT(ADDRESS(2,COLUMN())),OFFSET($BN$2,0,0,ROW()-1,60),ROW()-1,FALSE))</f>
        <v>3895.4528209999999</v>
      </c>
      <c r="AI490">
        <f ca="1">IF(AND(ISNUMBER($AI$987),$B$511=1),$AI$987,HLOOKUP(INDIRECT(ADDRESS(2,COLUMN())),OFFSET($BN$2,0,0,ROW()-1,60),ROW()-1,FALSE))</f>
        <v>2978.7679939999998</v>
      </c>
      <c r="AJ490">
        <f ca="1">IF(AND(ISNUMBER($AJ$987),$B$511=1),$AJ$987,HLOOKUP(INDIRECT(ADDRESS(2,COLUMN())),OFFSET($BN$2,0,0,ROW()-1,60),ROW()-1,FALSE))</f>
        <v>2537.0064080000002</v>
      </c>
      <c r="AK490">
        <f ca="1">IF(AND(ISNUMBER($AK$987),$B$511=1),$AK$987,HLOOKUP(INDIRECT(ADDRESS(2,COLUMN())),OFFSET($BN$2,0,0,ROW()-1,60),ROW()-1,FALSE))</f>
        <v>2995.7524290000001</v>
      </c>
      <c r="AL490">
        <f ca="1">IF(AND(ISNUMBER($AL$987),$B$511=1),$AL$987,HLOOKUP(INDIRECT(ADDRESS(2,COLUMN())),OFFSET($BN$2,0,0,ROW()-1,60),ROW()-1,FALSE))</f>
        <v>2645.5574459999998</v>
      </c>
      <c r="AM490">
        <f ca="1">IF(AND(ISNUMBER($AM$987),$B$511=1),$AM$987,HLOOKUP(INDIRECT(ADDRESS(2,COLUMN())),OFFSET($BN$2,0,0,ROW()-1,60),ROW()-1,FALSE))</f>
        <v>2483.798702</v>
      </c>
      <c r="AN490">
        <f ca="1">IF(AND(ISNUMBER($AN$987),$B$511=1),$AN$987,HLOOKUP(INDIRECT(ADDRESS(2,COLUMN())),OFFSET($BN$2,0,0,ROW()-1,60),ROW()-1,FALSE))</f>
        <v>1901.7031260000001</v>
      </c>
      <c r="AO490">
        <f ca="1">IF(AND(ISNUMBER($AO$987),$B$511=1),$AO$987,HLOOKUP(INDIRECT(ADDRESS(2,COLUMN())),OFFSET($BN$2,0,0,ROW()-1,60),ROW()-1,FALSE))</f>
        <v>2218.7969520000001</v>
      </c>
      <c r="AP490" t="str">
        <f ca="1">IF(AND(ISNUMBER($AP$987),$B$511=1),$AP$987,HLOOKUP(INDIRECT(ADDRESS(2,COLUMN())),OFFSET($BN$2,0,0,ROW()-1,60),ROW()-1,FALSE))</f>
        <v/>
      </c>
      <c r="AQ490" t="str">
        <f ca="1">IF(AND(ISNUMBER($AQ$987),$B$511=1),$AQ$987,HLOOKUP(INDIRECT(ADDRESS(2,COLUMN())),OFFSET($BN$2,0,0,ROW()-1,60),ROW()-1,FALSE))</f>
        <v/>
      </c>
      <c r="AR490" t="str">
        <f ca="1">IF(AND(ISNUMBER($AR$987),$B$511=1),$AR$987,HLOOKUP(INDIRECT(ADDRESS(2,COLUMN())),OFFSET($BN$2,0,0,ROW()-1,60),ROW()-1,FALSE))</f>
        <v/>
      </c>
      <c r="AS490" t="str">
        <f ca="1">IF(AND(ISNUMBER($AS$987),$B$511=1),$AS$987,HLOOKUP(INDIRECT(ADDRESS(2,COLUMN())),OFFSET($BN$2,0,0,ROW()-1,60),ROW()-1,FALSE))</f>
        <v/>
      </c>
      <c r="AT490" t="str">
        <f ca="1">IF(AND(ISNUMBER($AT$987),$B$511=1),$AT$987,HLOOKUP(INDIRECT(ADDRESS(2,COLUMN())),OFFSET($BN$2,0,0,ROW()-1,60),ROW()-1,FALSE))</f>
        <v/>
      </c>
      <c r="AU490" t="str">
        <f ca="1">IF(AND(ISNUMBER($AU$987),$B$511=1),$AU$987,HLOOKUP(INDIRECT(ADDRESS(2,COLUMN())),OFFSET($BN$2,0,0,ROW()-1,60),ROW()-1,FALSE))</f>
        <v/>
      </c>
      <c r="AV490" t="str">
        <f ca="1">IF(AND(ISNUMBER($AV$987),$B$511=1),$AV$987,HLOOKUP(INDIRECT(ADDRESS(2,COLUMN())),OFFSET($BN$2,0,0,ROW()-1,60),ROW()-1,FALSE))</f>
        <v/>
      </c>
      <c r="AW490" t="str">
        <f ca="1">IF(AND(ISNUMBER($AW$987),$B$511=1),$AW$987,HLOOKUP(INDIRECT(ADDRESS(2,COLUMN())),OFFSET($BN$2,0,0,ROW()-1,60),ROW()-1,FALSE))</f>
        <v/>
      </c>
      <c r="AX490" t="str">
        <f ca="1">IF(AND(ISNUMBER($AX$987),$B$511=1),$AX$987,HLOOKUP(INDIRECT(ADDRESS(2,COLUMN())),OFFSET($BN$2,0,0,ROW()-1,60),ROW()-1,FALSE))</f>
        <v/>
      </c>
      <c r="AY490" t="str">
        <f ca="1">IF(AND(ISNUMBER($AY$987),$B$511=1),$AY$987,HLOOKUP(INDIRECT(ADDRESS(2,COLUMN())),OFFSET($BN$2,0,0,ROW()-1,60),ROW()-1,FALSE))</f>
        <v/>
      </c>
      <c r="AZ490" t="str">
        <f ca="1">IF(AND(ISNUMBER($AZ$987),$B$511=1),$AZ$987,HLOOKUP(INDIRECT(ADDRESS(2,COLUMN())),OFFSET($BN$2,0,0,ROW()-1,60),ROW()-1,FALSE))</f>
        <v/>
      </c>
      <c r="BA490" t="str">
        <f ca="1">IF(AND(ISNUMBER($BA$987),$B$511=1),$BA$987,HLOOKUP(INDIRECT(ADDRESS(2,COLUMN())),OFFSET($BN$2,0,0,ROW()-1,60),ROW()-1,FALSE))</f>
        <v/>
      </c>
      <c r="BB490" t="str">
        <f ca="1">IF(AND(ISNUMBER($BB$987),$B$511=1),$BB$987,HLOOKUP(INDIRECT(ADDRESS(2,COLUMN())),OFFSET($BN$2,0,0,ROW()-1,60),ROW()-1,FALSE))</f>
        <v/>
      </c>
      <c r="BC490" t="str">
        <f ca="1">IF(AND(ISNUMBER($BC$987),$B$511=1),$BC$987,HLOOKUP(INDIRECT(ADDRESS(2,COLUMN())),OFFSET($BN$2,0,0,ROW()-1,60),ROW()-1,FALSE))</f>
        <v/>
      </c>
      <c r="BD490" t="str">
        <f ca="1">IF(AND(ISNUMBER($BD$987),$B$511=1),$BD$987,HLOOKUP(INDIRECT(ADDRESS(2,COLUMN())),OFFSET($BN$2,0,0,ROW()-1,60),ROW()-1,FALSE))</f>
        <v/>
      </c>
      <c r="BE490" t="str">
        <f ca="1">IF(AND(ISNUMBER($BE$987),$B$511=1),$BE$987,HLOOKUP(INDIRECT(ADDRESS(2,COLUMN())),OFFSET($BN$2,0,0,ROW()-1,60),ROW()-1,FALSE))</f>
        <v/>
      </c>
      <c r="BF490" t="str">
        <f ca="1">IF(AND(ISNUMBER($BF$987),$B$511=1),$BF$987,HLOOKUP(INDIRECT(ADDRESS(2,COLUMN())),OFFSET($BN$2,0,0,ROW()-1,60),ROW()-1,FALSE))</f>
        <v/>
      </c>
      <c r="BG490" t="str">
        <f ca="1">IF(AND(ISNUMBER($BG$987),$B$511=1),$BG$987,HLOOKUP(INDIRECT(ADDRESS(2,COLUMN())),OFFSET($BN$2,0,0,ROW()-1,60),ROW()-1,FALSE))</f>
        <v/>
      </c>
      <c r="BH490" t="str">
        <f ca="1">IF(AND(ISNUMBER($BH$987),$B$511=1),$BH$987,HLOOKUP(INDIRECT(ADDRESS(2,COLUMN())),OFFSET($BN$2,0,0,ROW()-1,60),ROW()-1,FALSE))</f>
        <v/>
      </c>
      <c r="BI490" t="str">
        <f ca="1">IF(AND(ISNUMBER($BI$987),$B$511=1),$BI$987,HLOOKUP(INDIRECT(ADDRESS(2,COLUMN())),OFFSET($BN$2,0,0,ROW()-1,60),ROW()-1,FALSE))</f>
        <v/>
      </c>
      <c r="BJ490" t="str">
        <f ca="1">IF(AND(ISNUMBER($BJ$987),$B$511=1),$BJ$987,HLOOKUP(INDIRECT(ADDRESS(2,COLUMN())),OFFSET($BN$2,0,0,ROW()-1,60),ROW()-1,FALSE))</f>
        <v/>
      </c>
      <c r="BK490" t="str">
        <f ca="1">IF(AND(ISNUMBER($BK$987),$B$511=1),$BK$987,HLOOKUP(INDIRECT(ADDRESS(2,COLUMN())),OFFSET($BN$2,0,0,ROW()-1,60),ROW()-1,FALSE))</f>
        <v/>
      </c>
      <c r="BL490" t="str">
        <f ca="1">IF(AND(ISNUMBER($BL$987),$B$511=1),$BL$987,HLOOKUP(INDIRECT(ADDRESS(2,COLUMN())),OFFSET($BN$2,0,0,ROW()-1,60),ROW()-1,FALSE))</f>
        <v/>
      </c>
      <c r="BM490" t="str">
        <f ca="1">IF(AND(ISNUMBER($BM$987),$B$511=1),$BM$987,HLOOKUP(INDIRECT(ADDRESS(2,COLUMN())),OFFSET($BN$2,0,0,ROW()-1,60),ROW()-1,FALSE))</f>
        <v/>
      </c>
      <c r="BN490">
        <f>50865.18125</f>
        <v>50865.181250000001</v>
      </c>
      <c r="BO490">
        <f>57152.66752</f>
        <v>57152.667520000003</v>
      </c>
      <c r="BP490">
        <f>45167.94674</f>
        <v>45167.946739999999</v>
      </c>
      <c r="BQ490">
        <f>58230.74427</f>
        <v>58230.744270000003</v>
      </c>
      <c r="BR490">
        <f>44954.6639</f>
        <v>44954.6639</v>
      </c>
      <c r="BS490">
        <f>52327.66045</f>
        <v>52327.660450000003</v>
      </c>
      <c r="BT490">
        <f>56925.1557</f>
        <v>56925.155700000003</v>
      </c>
      <c r="BU490">
        <f>59398.0586</f>
        <v>59398.058599999997</v>
      </c>
      <c r="BV490">
        <f>45389.8951</f>
        <v>45389.895100000002</v>
      </c>
      <c r="BW490">
        <f>34423.04416</f>
        <v>34423.044159999998</v>
      </c>
      <c r="BX490">
        <f>30337.75356</f>
        <v>30337.753560000001</v>
      </c>
      <c r="BY490">
        <f>31263.88877</f>
        <v>31263.888770000001</v>
      </c>
      <c r="BZ490">
        <f>30342.5842</f>
        <v>30342.584200000001</v>
      </c>
      <c r="CA490">
        <f>31429.62738</f>
        <v>31429.627380000002</v>
      </c>
      <c r="CB490">
        <f>32351.94333</f>
        <v>32351.943329999998</v>
      </c>
      <c r="CC490">
        <f>33909.0816</f>
        <v>33909.081599999998</v>
      </c>
      <c r="CD490">
        <f>23740.24992</f>
        <v>23740.249919999998</v>
      </c>
      <c r="CE490">
        <f>27886.16565</f>
        <v>27886.165649999999</v>
      </c>
      <c r="CF490">
        <f>30245.1633</f>
        <v>30245.1633</v>
      </c>
      <c r="CG490">
        <f>29789.08298</f>
        <v>29789.082979999999</v>
      </c>
      <c r="CH490">
        <f>25679.35996</f>
        <v>25679.359960000002</v>
      </c>
      <c r="CI490">
        <f>18441.68162</f>
        <v>18441.681619999999</v>
      </c>
      <c r="CJ490">
        <f>23484.71805</f>
        <v>23484.718049999999</v>
      </c>
      <c r="CK490">
        <f>12782.70071</f>
        <v>12782.700709999999</v>
      </c>
      <c r="CL490">
        <f>4339.086934</f>
        <v>4339.0869339999999</v>
      </c>
      <c r="CM490">
        <f>3853.691348</f>
        <v>3853.6913479999998</v>
      </c>
      <c r="CN490">
        <f>3299.498712</f>
        <v>3299.4987120000001</v>
      </c>
      <c r="CO490">
        <f>3292.158615</f>
        <v>3292.1586149999998</v>
      </c>
      <c r="CP490">
        <f>3895.452821</f>
        <v>3895.4528209999999</v>
      </c>
      <c r="CQ490">
        <f>2978.767994</f>
        <v>2978.7679939999998</v>
      </c>
      <c r="CR490">
        <f>2537.006408</f>
        <v>2537.0064080000002</v>
      </c>
      <c r="CS490">
        <f>2995.752429</f>
        <v>2995.7524290000001</v>
      </c>
      <c r="CT490">
        <f>2645.557446</f>
        <v>2645.5574459999998</v>
      </c>
      <c r="CU490">
        <f>2483.798702</f>
        <v>2483.798702</v>
      </c>
      <c r="CV490">
        <f>1901.703126</f>
        <v>1901.7031260000001</v>
      </c>
      <c r="CW490">
        <f>2218.796952</f>
        <v>2218.7969520000001</v>
      </c>
      <c r="CX490" t="str">
        <f>""</f>
        <v/>
      </c>
      <c r="CY490" t="str">
        <f>""</f>
        <v/>
      </c>
      <c r="CZ490" t="str">
        <f>""</f>
        <v/>
      </c>
      <c r="DA490" t="str">
        <f>""</f>
        <v/>
      </c>
      <c r="DB490" t="str">
        <f>""</f>
        <v/>
      </c>
      <c r="DC490" t="str">
        <f>""</f>
        <v/>
      </c>
      <c r="DD490" t="str">
        <f>""</f>
        <v/>
      </c>
      <c r="DE490" t="str">
        <f>""</f>
        <v/>
      </c>
      <c r="DF490" t="str">
        <f>""</f>
        <v/>
      </c>
      <c r="DG490" t="str">
        <f>""</f>
        <v/>
      </c>
      <c r="DH490" t="str">
        <f>""</f>
        <v/>
      </c>
      <c r="DI490" t="str">
        <f>""</f>
        <v/>
      </c>
      <c r="DJ490" t="str">
        <f>""</f>
        <v/>
      </c>
      <c r="DK490" t="str">
        <f>""</f>
        <v/>
      </c>
      <c r="DL490" t="str">
        <f>""</f>
        <v/>
      </c>
      <c r="DM490" t="str">
        <f>""</f>
        <v/>
      </c>
      <c r="DN490" t="str">
        <f>""</f>
        <v/>
      </c>
      <c r="DO490" t="str">
        <f>""</f>
        <v/>
      </c>
      <c r="DP490" t="str">
        <f>""</f>
        <v/>
      </c>
      <c r="DQ490" t="str">
        <f>""</f>
        <v/>
      </c>
      <c r="DR490" t="str">
        <f>""</f>
        <v/>
      </c>
      <c r="DS490" t="str">
        <f>""</f>
        <v/>
      </c>
      <c r="DT490" t="str">
        <f>""</f>
        <v/>
      </c>
      <c r="DU490" t="str">
        <f>""</f>
        <v/>
      </c>
    </row>
    <row r="491" spans="1:125" x14ac:dyDescent="0.25">
      <c r="A491" t="str">
        <f>"    Tianjin Faw Xiali Automobile Co Ltd"</f>
        <v xml:space="preserve">    Tianjin Faw Xiali Automobile Co Ltd</v>
      </c>
      <c r="B491" t="str">
        <f>"000927 CH Equity"</f>
        <v>000927 CH Equity</v>
      </c>
      <c r="C491" t="str">
        <f t="shared" si="33"/>
        <v>RR902</v>
      </c>
      <c r="D491" t="str">
        <f t="shared" si="34"/>
        <v>CUR_MKT_CAP</v>
      </c>
      <c r="E491" t="str">
        <f t="shared" si="35"/>
        <v>Dynamic</v>
      </c>
      <c r="F491">
        <f ca="1">IF(AND(ISNUMBER($F$988),$B$511=1),$F$988,HLOOKUP(INDIRECT(ADDRESS(2,COLUMN())),OFFSET($BN$2,0,0,ROW()-1,60),ROW()-1,FALSE))</f>
        <v>869.55064089999996</v>
      </c>
      <c r="G491">
        <f ca="1">IF(AND(ISNUMBER($G$988),$B$511=1),$G$988,HLOOKUP(INDIRECT(ADDRESS(2,COLUMN())),OFFSET($BN$2,0,0,ROW()-1,60),ROW()-1,FALSE))</f>
        <v>730.53969979999999</v>
      </c>
      <c r="H491">
        <f ca="1">IF(AND(ISNUMBER($H$988),$B$511=1),$H$988,HLOOKUP(INDIRECT(ADDRESS(2,COLUMN())),OFFSET($BN$2,0,0,ROW()-1,60),ROW()-1,FALSE))</f>
        <v>775.63017379999997</v>
      </c>
      <c r="I491">
        <f ca="1">IF(AND(ISNUMBER($I$988),$B$511=1),$I$988,HLOOKUP(INDIRECT(ADDRESS(2,COLUMN())),OFFSET($BN$2,0,0,ROW()-1,60),ROW()-1,FALSE))</f>
        <v>936.79357140000002</v>
      </c>
      <c r="J491">
        <f ca="1">IF(AND(ISNUMBER($J$988),$B$511=1),$J$988,HLOOKUP(INDIRECT(ADDRESS(2,COLUMN())),OFFSET($BN$2,0,0,ROW()-1,60),ROW()-1,FALSE))</f>
        <v>1029.962869</v>
      </c>
      <c r="K491">
        <f ca="1">IF(AND(ISNUMBER($K$988),$B$511=1),$K$988,HLOOKUP(INDIRECT(ADDRESS(2,COLUMN())),OFFSET($BN$2,0,0,ROW()-1,60),ROW()-1,FALSE))</f>
        <v>1120.3751930000001</v>
      </c>
      <c r="L491">
        <f ca="1">IF(AND(ISNUMBER($L$988),$B$511=1),$L$988,HLOOKUP(INDIRECT(ADDRESS(2,COLUMN())),OFFSET($BN$2,0,0,ROW()-1,60),ROW()-1,FALSE))</f>
        <v>1389.6374980000001</v>
      </c>
      <c r="M491">
        <f ca="1">IF(AND(ISNUMBER($M$988),$B$511=1),$M$988,HLOOKUP(INDIRECT(ADDRESS(2,COLUMN())),OFFSET($BN$2,0,0,ROW()-1,60),ROW()-1,FALSE))</f>
        <v>1242.637561</v>
      </c>
      <c r="N491">
        <f ca="1">IF(AND(ISNUMBER($N$988),$B$511=1),$N$988,HLOOKUP(INDIRECT(ADDRESS(2,COLUMN())),OFFSET($BN$2,0,0,ROW()-1,60),ROW()-1,FALSE))</f>
        <v>1795.1970630000001</v>
      </c>
      <c r="O491">
        <f ca="1">IF(AND(ISNUMBER($O$988),$B$511=1),$O$988,HLOOKUP(INDIRECT(ADDRESS(2,COLUMN())),OFFSET($BN$2,0,0,ROW()-1,60),ROW()-1,FALSE))</f>
        <v>1383.7698909999999</v>
      </c>
      <c r="P491">
        <f ca="1">IF(AND(ISNUMBER($P$988),$B$511=1),$P$988,HLOOKUP(INDIRECT(ADDRESS(2,COLUMN())),OFFSET($BN$2,0,0,ROW()-1,60),ROW()-1,FALSE))</f>
        <v>1177.3032169999999</v>
      </c>
      <c r="Q491">
        <f ca="1">IF(AND(ISNUMBER($Q$988),$B$511=1),$Q$988,HLOOKUP(INDIRECT(ADDRESS(2,COLUMN())),OFFSET($BN$2,0,0,ROW()-1,60),ROW()-1,FALSE))</f>
        <v>1268.0467699999999</v>
      </c>
      <c r="R491">
        <f ca="1">IF(AND(ISNUMBER($R$988),$B$511=1),$R$988,HLOOKUP(INDIRECT(ADDRESS(2,COLUMN())),OFFSET($BN$2,0,0,ROW()-1,60),ROW()-1,FALSE))</f>
        <v>1619.227637</v>
      </c>
      <c r="S491">
        <f ca="1">IF(AND(ISNUMBER($S$988),$B$511=1),$S$988,HLOOKUP(INDIRECT(ADDRESS(2,COLUMN())),OFFSET($BN$2,0,0,ROW()-1,60),ROW()-1,FALSE))</f>
        <v>1824.461135</v>
      </c>
      <c r="T491">
        <f ca="1">IF(AND(ISNUMBER($T$988),$B$511=1),$T$988,HLOOKUP(INDIRECT(ADDRESS(2,COLUMN())),OFFSET($BN$2,0,0,ROW()-1,60),ROW()-1,FALSE))</f>
        <v>1618.2816290000001</v>
      </c>
      <c r="U491">
        <f ca="1">IF(AND(ISNUMBER($U$988),$B$511=1),$U$988,HLOOKUP(INDIRECT(ADDRESS(2,COLUMN())),OFFSET($BN$2,0,0,ROW()-1,60),ROW()-1,FALSE))</f>
        <v>2485.9855670000002</v>
      </c>
      <c r="V491">
        <f ca="1">IF(AND(ISNUMBER($V$988),$B$511=1),$V$988,HLOOKUP(INDIRECT(ADDRESS(2,COLUMN())),OFFSET($BN$2,0,0,ROW()-1,60),ROW()-1,FALSE))</f>
        <v>2163.253076</v>
      </c>
      <c r="W491">
        <f ca="1">IF(AND(ISNUMBER($W$988),$B$511=1),$W$988,HLOOKUP(INDIRECT(ADDRESS(2,COLUMN())),OFFSET($BN$2,0,0,ROW()-1,60),ROW()-1,FALSE))</f>
        <v>1698.633988</v>
      </c>
      <c r="X491">
        <f ca="1">IF(AND(ISNUMBER($X$988),$B$511=1),$X$988,HLOOKUP(INDIRECT(ADDRESS(2,COLUMN())),OFFSET($BN$2,0,0,ROW()-1,60),ROW()-1,FALSE))</f>
        <v>1260.401136</v>
      </c>
      <c r="Y491">
        <f ca="1">IF(AND(ISNUMBER($Y$988),$B$511=1),$Y$988,HLOOKUP(INDIRECT(ADDRESS(2,COLUMN())),OFFSET($BN$2,0,0,ROW()-1,60),ROW()-1,FALSE))</f>
        <v>917.889726</v>
      </c>
      <c r="Z491">
        <f ca="1">IF(AND(ISNUMBER($Z$988),$B$511=1),$Z$988,HLOOKUP(INDIRECT(ADDRESS(2,COLUMN())),OFFSET($BN$2,0,0,ROW()-1,60),ROW()-1,FALSE))</f>
        <v>964.51789210000004</v>
      </c>
      <c r="AA491">
        <f ca="1">IF(AND(ISNUMBER($AA$988),$B$511=1),$AA$988,HLOOKUP(INDIRECT(ADDRESS(2,COLUMN())),OFFSET($BN$2,0,0,ROW()-1,60),ROW()-1,FALSE))</f>
        <v>943.54688699999997</v>
      </c>
      <c r="AB491">
        <f ca="1">IF(AND(ISNUMBER($AB$988),$B$511=1),$AB$988,HLOOKUP(INDIRECT(ADDRESS(2,COLUMN())),OFFSET($BN$2,0,0,ROW()-1,60),ROW()-1,FALSE))</f>
        <v>966.78795830000001</v>
      </c>
      <c r="AC491">
        <f ca="1">IF(AND(ISNUMBER($AC$988),$B$511=1),$AC$988,HLOOKUP(INDIRECT(ADDRESS(2,COLUMN())),OFFSET($BN$2,0,0,ROW()-1,60),ROW()-1,FALSE))</f>
        <v>935.64694020000002</v>
      </c>
      <c r="AD491">
        <f ca="1">IF(AND(ISNUMBER($AD$988),$B$511=1),$AD$988,HLOOKUP(INDIRECT(ADDRESS(2,COLUMN())),OFFSET($BN$2,0,0,ROW()-1,60),ROW()-1,FALSE))</f>
        <v>1127.522001</v>
      </c>
      <c r="AE491">
        <f ca="1">IF(AND(ISNUMBER($AE$988),$B$511=1),$AE$988,HLOOKUP(INDIRECT(ADDRESS(2,COLUMN())),OFFSET($BN$2,0,0,ROW()-1,60),ROW()-1,FALSE))</f>
        <v>1274.092425</v>
      </c>
      <c r="AF491">
        <f ca="1">IF(AND(ISNUMBER($AF$988),$B$511=1),$AF$988,HLOOKUP(INDIRECT(ADDRESS(2,COLUMN())),OFFSET($BN$2,0,0,ROW()-1,60),ROW()-1,FALSE))</f>
        <v>1223.1917080000001</v>
      </c>
      <c r="AG491">
        <f ca="1">IF(AND(ISNUMBER($AG$988),$B$511=1),$AG$988,HLOOKUP(INDIRECT(ADDRESS(2,COLUMN())),OFFSET($BN$2,0,0,ROW()-1,60),ROW()-1,FALSE))</f>
        <v>1839.8805769999999</v>
      </c>
      <c r="AH491">
        <f ca="1">IF(AND(ISNUMBER($AH$988),$B$511=1),$AH$988,HLOOKUP(INDIRECT(ADDRESS(2,COLUMN())),OFFSET($BN$2,0,0,ROW()-1,60),ROW()-1,FALSE))</f>
        <v>1671.5060599999999</v>
      </c>
      <c r="AI491">
        <f ca="1">IF(AND(ISNUMBER($AI$988),$B$511=1),$AI$988,HLOOKUP(INDIRECT(ADDRESS(2,COLUMN())),OFFSET($BN$2,0,0,ROW()-1,60),ROW()-1,FALSE))</f>
        <v>1547.139203</v>
      </c>
      <c r="AJ491">
        <f ca="1">IF(AND(ISNUMBER($AJ$988),$B$511=1),$AJ$988,HLOOKUP(INDIRECT(ADDRESS(2,COLUMN())),OFFSET($BN$2,0,0,ROW()-1,60),ROW()-1,FALSE))</f>
        <v>1834.337583</v>
      </c>
      <c r="AK491">
        <f ca="1">IF(AND(ISNUMBER($AK$988),$B$511=1),$AK$988,HLOOKUP(INDIRECT(ADDRESS(2,COLUMN())),OFFSET($BN$2,0,0,ROW()-1,60),ROW()-1,FALSE))</f>
        <v>1742.2806800000001</v>
      </c>
      <c r="AL491">
        <f ca="1">IF(AND(ISNUMBER($AL$988),$B$511=1),$AL$988,HLOOKUP(INDIRECT(ADDRESS(2,COLUMN())),OFFSET($BN$2,0,0,ROW()-1,60),ROW()-1,FALSE))</f>
        <v>1919.4850730000001</v>
      </c>
      <c r="AM491">
        <f ca="1">IF(AND(ISNUMBER($AM$988),$B$511=1),$AM$988,HLOOKUP(INDIRECT(ADDRESS(2,COLUMN())),OFFSET($BN$2,0,0,ROW()-1,60),ROW()-1,FALSE))</f>
        <v>1972.8721880000001</v>
      </c>
      <c r="AN491">
        <f ca="1">IF(AND(ISNUMBER($AN$988),$B$511=1),$AN$988,HLOOKUP(INDIRECT(ADDRESS(2,COLUMN())),OFFSET($BN$2,0,0,ROW()-1,60),ROW()-1,FALSE))</f>
        <v>1905.1479609999999</v>
      </c>
      <c r="AO491">
        <f ca="1">IF(AND(ISNUMBER($AO$988),$B$511=1),$AO$988,HLOOKUP(INDIRECT(ADDRESS(2,COLUMN())),OFFSET($BN$2,0,0,ROW()-1,60),ROW()-1,FALSE))</f>
        <v>1818.311062</v>
      </c>
      <c r="AP491">
        <f ca="1">IF(AND(ISNUMBER($AP$988),$B$511=1),$AP$988,HLOOKUP(INDIRECT(ADDRESS(2,COLUMN())),OFFSET($BN$2,0,0,ROW()-1,60),ROW()-1,FALSE))</f>
        <v>2278.319199</v>
      </c>
      <c r="AQ491">
        <f ca="1">IF(AND(ISNUMBER($AQ$988),$B$511=1),$AQ$988,HLOOKUP(INDIRECT(ADDRESS(2,COLUMN())),OFFSET($BN$2,0,0,ROW()-1,60),ROW()-1,FALSE))</f>
        <v>2780.4734090000002</v>
      </c>
      <c r="AR491">
        <f ca="1">IF(AND(ISNUMBER($AR$988),$B$511=1),$AR$988,HLOOKUP(INDIRECT(ADDRESS(2,COLUMN())),OFFSET($BN$2,0,0,ROW()-1,60),ROW()-1,FALSE))</f>
        <v>1584.3546590000001</v>
      </c>
      <c r="AS491">
        <f ca="1">IF(AND(ISNUMBER($AS$988),$B$511=1),$AS$988,HLOOKUP(INDIRECT(ADDRESS(2,COLUMN())),OFFSET($BN$2,0,0,ROW()-1,60),ROW()-1,FALSE))</f>
        <v>1632.3754180000001</v>
      </c>
      <c r="AT491">
        <f ca="1">IF(AND(ISNUMBER($AT$988),$B$511=1),$AT$988,HLOOKUP(INDIRECT(ADDRESS(2,COLUMN())),OFFSET($BN$2,0,0,ROW()-1,60),ROW()-1,FALSE))</f>
        <v>1164.817742</v>
      </c>
      <c r="AU491">
        <f ca="1">IF(AND(ISNUMBER($AU$988),$B$511=1),$AU$988,HLOOKUP(INDIRECT(ADDRESS(2,COLUMN())),OFFSET($BN$2,0,0,ROW()-1,60),ROW()-1,FALSE))</f>
        <v>890.42529739999998</v>
      </c>
      <c r="AV491">
        <f ca="1">IF(AND(ISNUMBER($AV$988),$B$511=1),$AV$988,HLOOKUP(INDIRECT(ADDRESS(2,COLUMN())),OFFSET($BN$2,0,0,ROW()-1,60),ROW()-1,FALSE))</f>
        <v>829.20425729999999</v>
      </c>
      <c r="AW491">
        <f ca="1">IF(AND(ISNUMBER($AW$988),$B$511=1),$AW$988,HLOOKUP(INDIRECT(ADDRESS(2,COLUMN())),OFFSET($BN$2,0,0,ROW()-1,60),ROW()-1,FALSE))</f>
        <v>977.44688510000003</v>
      </c>
      <c r="AX491">
        <f ca="1">IF(AND(ISNUMBER($AX$988),$B$511=1),$AX$988,HLOOKUP(INDIRECT(ADDRESS(2,COLUMN())),OFFSET($BN$2,0,0,ROW()-1,60),ROW()-1,FALSE))</f>
        <v>1797.1824509999999</v>
      </c>
      <c r="AY491">
        <f ca="1">IF(AND(ISNUMBER($AY$988),$B$511=1),$AY$988,HLOOKUP(INDIRECT(ADDRESS(2,COLUMN())),OFFSET($BN$2,0,0,ROW()-1,60),ROW()-1,FALSE))</f>
        <v>3166.7098799999999</v>
      </c>
      <c r="AZ491">
        <f ca="1">IF(AND(ISNUMBER($AZ$988),$B$511=1),$AZ$988,HLOOKUP(INDIRECT(ADDRESS(2,COLUMN())),OFFSET($BN$2,0,0,ROW()-1,60),ROW()-1,FALSE))</f>
        <v>3506.522125</v>
      </c>
      <c r="BA491">
        <f ca="1">IF(AND(ISNUMBER($BA$988),$B$511=1),$BA$988,HLOOKUP(INDIRECT(ADDRESS(2,COLUMN())),OFFSET($BN$2,0,0,ROW()-1,60),ROW()-1,FALSE))</f>
        <v>1751.644718</v>
      </c>
      <c r="BB491">
        <f ca="1">IF(AND(ISNUMBER($BB$988),$B$511=1),$BB$988,HLOOKUP(INDIRECT(ADDRESS(2,COLUMN())),OFFSET($BN$2,0,0,ROW()-1,60),ROW()-1,FALSE))</f>
        <v>2064.6777689999999</v>
      </c>
      <c r="BC491">
        <f ca="1">IF(AND(ISNUMBER($BC$988),$B$511=1),$BC$988,HLOOKUP(INDIRECT(ADDRESS(2,COLUMN())),OFFSET($BN$2,0,0,ROW()-1,60),ROW()-1,FALSE))</f>
        <v>1101.583136</v>
      </c>
      <c r="BD491">
        <f ca="1">IF(AND(ISNUMBER($BD$988),$B$511=1),$BD$988,HLOOKUP(INDIRECT(ADDRESS(2,COLUMN())),OFFSET($BN$2,0,0,ROW()-1,60),ROW()-1,FALSE))</f>
        <v>766.89897229999997</v>
      </c>
      <c r="BE491">
        <f ca="1">IF(AND(ISNUMBER($BE$988),$B$511=1),$BE$988,HLOOKUP(INDIRECT(ADDRESS(2,COLUMN())),OFFSET($BN$2,0,0,ROW()-1,60),ROW()-1,FALSE))</f>
        <v>1300.990542</v>
      </c>
      <c r="BF491">
        <f ca="1">IF(AND(ISNUMBER($BF$988),$B$511=1),$BF$988,HLOOKUP(INDIRECT(ADDRESS(2,COLUMN())),OFFSET($BN$2,0,0,ROW()-1,60),ROW()-1,FALSE))</f>
        <v>913.26529230000006</v>
      </c>
      <c r="BG491">
        <f ca="1">IF(AND(ISNUMBER($BG$988),$B$511=1),$BG$988,HLOOKUP(INDIRECT(ADDRESS(2,COLUMN())),OFFSET($BN$2,0,0,ROW()-1,60),ROW()-1,FALSE))</f>
        <v>796.5788976</v>
      </c>
      <c r="BH491">
        <f ca="1">IF(AND(ISNUMBER($BH$988),$B$511=1),$BH$988,HLOOKUP(INDIRECT(ADDRESS(2,COLUMN())),OFFSET($BN$2,0,0,ROW()-1,60),ROW()-1,FALSE))</f>
        <v>794.43095370000003</v>
      </c>
      <c r="BI491">
        <f ca="1">IF(AND(ISNUMBER($BI$988),$B$511=1),$BI$988,HLOOKUP(INDIRECT(ADDRESS(2,COLUMN())),OFFSET($BN$2,0,0,ROW()-1,60),ROW()-1,FALSE))</f>
        <v>533.88200449999999</v>
      </c>
      <c r="BJ491">
        <f ca="1">IF(AND(ISNUMBER($BJ$988),$B$511=1),$BJ$988,HLOOKUP(INDIRECT(ADDRESS(2,COLUMN())),OFFSET($BN$2,0,0,ROW()-1,60),ROW()-1,FALSE))</f>
        <v>452.93238650000001</v>
      </c>
      <c r="BK491">
        <f ca="1">IF(AND(ISNUMBER($BK$988),$B$511=1),$BK$988,HLOOKUP(INDIRECT(ADDRESS(2,COLUMN())),OFFSET($BN$2,0,0,ROW()-1,60),ROW()-1,FALSE))</f>
        <v>526.16615960000001</v>
      </c>
      <c r="BL491">
        <f ca="1">IF(AND(ISNUMBER($BL$988),$B$511=1),$BL$988,HLOOKUP(INDIRECT(ADDRESS(2,COLUMN())),OFFSET($BN$2,0,0,ROW()-1,60),ROW()-1,FALSE))</f>
        <v>817.19579369999997</v>
      </c>
      <c r="BM491">
        <f ca="1">IF(AND(ISNUMBER($BM$988),$B$511=1),$BM$988,HLOOKUP(INDIRECT(ADDRESS(2,COLUMN())),OFFSET($BN$2,0,0,ROW()-1,60),ROW()-1,FALSE))</f>
        <v>1060.0417130000001</v>
      </c>
      <c r="BN491">
        <f>869.5506409</f>
        <v>869.55064089999996</v>
      </c>
      <c r="BO491">
        <f>730.5396998</f>
        <v>730.53969979999999</v>
      </c>
      <c r="BP491">
        <f>775.6301738</f>
        <v>775.63017379999997</v>
      </c>
      <c r="BQ491">
        <f>936.7935714</f>
        <v>936.79357140000002</v>
      </c>
      <c r="BR491">
        <f>1029.962869</f>
        <v>1029.962869</v>
      </c>
      <c r="BS491">
        <f>1120.375193</f>
        <v>1120.3751930000001</v>
      </c>
      <c r="BT491">
        <f>1389.637498</f>
        <v>1389.6374980000001</v>
      </c>
      <c r="BU491">
        <f>1242.637561</f>
        <v>1242.637561</v>
      </c>
      <c r="BV491">
        <f>1795.197063</f>
        <v>1795.1970630000001</v>
      </c>
      <c r="BW491">
        <f>1383.769891</f>
        <v>1383.7698909999999</v>
      </c>
      <c r="BX491">
        <f>1177.303217</f>
        <v>1177.3032169999999</v>
      </c>
      <c r="BY491">
        <f>1268.04677</f>
        <v>1268.0467699999999</v>
      </c>
      <c r="BZ491">
        <f>1619.227637</f>
        <v>1619.227637</v>
      </c>
      <c r="CA491">
        <f>1824.461135</f>
        <v>1824.461135</v>
      </c>
      <c r="CB491">
        <f>1618.281629</f>
        <v>1618.2816290000001</v>
      </c>
      <c r="CC491">
        <f>2485.985567</f>
        <v>2485.9855670000002</v>
      </c>
      <c r="CD491">
        <f>2163.253076</f>
        <v>2163.253076</v>
      </c>
      <c r="CE491">
        <f>1698.633988</f>
        <v>1698.633988</v>
      </c>
      <c r="CF491">
        <f>1260.401136</f>
        <v>1260.401136</v>
      </c>
      <c r="CG491">
        <f>917.889726</f>
        <v>917.889726</v>
      </c>
      <c r="CH491">
        <f>964.5178921</f>
        <v>964.51789210000004</v>
      </c>
      <c r="CI491">
        <f>943.546887</f>
        <v>943.54688699999997</v>
      </c>
      <c r="CJ491">
        <f>966.7879583</f>
        <v>966.78795830000001</v>
      </c>
      <c r="CK491">
        <f>935.6469402</f>
        <v>935.64694020000002</v>
      </c>
      <c r="CL491">
        <f>1127.522001</f>
        <v>1127.522001</v>
      </c>
      <c r="CM491">
        <f>1274.092425</f>
        <v>1274.092425</v>
      </c>
      <c r="CN491">
        <f>1223.191708</f>
        <v>1223.1917080000001</v>
      </c>
      <c r="CO491">
        <f>1839.880577</f>
        <v>1839.8805769999999</v>
      </c>
      <c r="CP491">
        <f>1671.50606</f>
        <v>1671.5060599999999</v>
      </c>
      <c r="CQ491">
        <f>1547.139203</f>
        <v>1547.139203</v>
      </c>
      <c r="CR491">
        <f>1834.337583</f>
        <v>1834.337583</v>
      </c>
      <c r="CS491">
        <f>1742.28068</f>
        <v>1742.2806800000001</v>
      </c>
      <c r="CT491">
        <f>1919.485073</f>
        <v>1919.4850730000001</v>
      </c>
      <c r="CU491">
        <f>1972.872188</f>
        <v>1972.8721880000001</v>
      </c>
      <c r="CV491">
        <f>1905.147961</f>
        <v>1905.1479609999999</v>
      </c>
      <c r="CW491">
        <f>1818.311062</f>
        <v>1818.311062</v>
      </c>
      <c r="CX491">
        <f>2278.319199</f>
        <v>2278.319199</v>
      </c>
      <c r="CY491">
        <f>2780.473409</f>
        <v>2780.4734090000002</v>
      </c>
      <c r="CZ491">
        <f>1584.354659</f>
        <v>1584.3546590000001</v>
      </c>
      <c r="DA491">
        <f>1632.375418</f>
        <v>1632.3754180000001</v>
      </c>
      <c r="DB491">
        <f>1164.817742</f>
        <v>1164.817742</v>
      </c>
      <c r="DC491">
        <f>890.4252974</f>
        <v>890.42529739999998</v>
      </c>
      <c r="DD491">
        <f>829.2042573</f>
        <v>829.20425729999999</v>
      </c>
      <c r="DE491">
        <f>977.4468851</f>
        <v>977.44688510000003</v>
      </c>
      <c r="DF491">
        <f>1797.182451</f>
        <v>1797.1824509999999</v>
      </c>
      <c r="DG491">
        <f>3166.70988</f>
        <v>3166.7098799999999</v>
      </c>
      <c r="DH491">
        <f>3506.522125</f>
        <v>3506.522125</v>
      </c>
      <c r="DI491">
        <f>1751.644718</f>
        <v>1751.644718</v>
      </c>
      <c r="DJ491">
        <f>2064.677769</f>
        <v>2064.6777689999999</v>
      </c>
      <c r="DK491">
        <f>1101.583136</f>
        <v>1101.583136</v>
      </c>
      <c r="DL491">
        <f>766.8989723</f>
        <v>766.89897229999997</v>
      </c>
      <c r="DM491">
        <f>1300.990542</f>
        <v>1300.990542</v>
      </c>
      <c r="DN491">
        <f>913.2652923</f>
        <v>913.26529230000006</v>
      </c>
      <c r="DO491">
        <f>796.5788976</f>
        <v>796.5788976</v>
      </c>
      <c r="DP491">
        <f>794.4309537</f>
        <v>794.43095370000003</v>
      </c>
      <c r="DQ491">
        <f>533.8820045</f>
        <v>533.88200449999999</v>
      </c>
      <c r="DR491">
        <f>452.9323865</f>
        <v>452.93238650000001</v>
      </c>
      <c r="DS491">
        <f>526.1661596</f>
        <v>526.16615960000001</v>
      </c>
      <c r="DT491">
        <f>817.1957937</f>
        <v>817.19579369999997</v>
      </c>
      <c r="DU491">
        <f>1060.041713</f>
        <v>1060.0417130000001</v>
      </c>
    </row>
    <row r="492" spans="1:125" x14ac:dyDescent="0.25">
      <c r="A492" t="str">
        <f>"    Tofas Turk Otomobil Fabrikasi AS"</f>
        <v xml:space="preserve">    Tofas Turk Otomobil Fabrikasi AS</v>
      </c>
      <c r="B492" t="str">
        <f>"TOASOTRY EO Equity"</f>
        <v>TOASOTRY EO Equity</v>
      </c>
      <c r="C492" t="str">
        <f t="shared" si="33"/>
        <v>RR902</v>
      </c>
      <c r="D492" t="str">
        <f t="shared" si="34"/>
        <v>CUR_MKT_CAP</v>
      </c>
      <c r="E492" t="str">
        <f t="shared" si="35"/>
        <v>Dynamic</v>
      </c>
      <c r="F492" t="str">
        <f ca="1">IF(AND(ISNUMBER($F$989),$B$511=1),$F$989,HLOOKUP(INDIRECT(ADDRESS(2,COLUMN())),OFFSET($BN$2,0,0,ROW()-1,60),ROW()-1,FALSE))</f>
        <v/>
      </c>
      <c r="G492" t="str">
        <f ca="1">IF(AND(ISNUMBER($G$989),$B$511=1),$G$989,HLOOKUP(INDIRECT(ADDRESS(2,COLUMN())),OFFSET($BN$2,0,0,ROW()-1,60),ROW()-1,FALSE))</f>
        <v/>
      </c>
      <c r="H492" t="str">
        <f ca="1">IF(AND(ISNUMBER($H$989),$B$511=1),$H$989,HLOOKUP(INDIRECT(ADDRESS(2,COLUMN())),OFFSET($BN$2,0,0,ROW()-1,60),ROW()-1,FALSE))</f>
        <v/>
      </c>
      <c r="I492" t="str">
        <f ca="1">IF(AND(ISNUMBER($I$989),$B$511=1),$I$989,HLOOKUP(INDIRECT(ADDRESS(2,COLUMN())),OFFSET($BN$2,0,0,ROW()-1,60),ROW()-1,FALSE))</f>
        <v/>
      </c>
      <c r="J492" t="str">
        <f ca="1">IF(AND(ISNUMBER($J$989),$B$511=1),$J$989,HLOOKUP(INDIRECT(ADDRESS(2,COLUMN())),OFFSET($BN$2,0,0,ROW()-1,60),ROW()-1,FALSE))</f>
        <v/>
      </c>
      <c r="K492" t="str">
        <f ca="1">IF(AND(ISNUMBER($K$989),$B$511=1),$K$989,HLOOKUP(INDIRECT(ADDRESS(2,COLUMN())),OFFSET($BN$2,0,0,ROW()-1,60),ROW()-1,FALSE))</f>
        <v/>
      </c>
      <c r="L492" t="str">
        <f ca="1">IF(AND(ISNUMBER($L$989),$B$511=1),$L$989,HLOOKUP(INDIRECT(ADDRESS(2,COLUMN())),OFFSET($BN$2,0,0,ROW()-1,60),ROW()-1,FALSE))</f>
        <v/>
      </c>
      <c r="M492" t="str">
        <f ca="1">IF(AND(ISNUMBER($M$989),$B$511=1),$M$989,HLOOKUP(INDIRECT(ADDRESS(2,COLUMN())),OFFSET($BN$2,0,0,ROW()-1,60),ROW()-1,FALSE))</f>
        <v/>
      </c>
      <c r="N492" t="str">
        <f ca="1">IF(AND(ISNUMBER($N$989),$B$511=1),$N$989,HLOOKUP(INDIRECT(ADDRESS(2,COLUMN())),OFFSET($BN$2,0,0,ROW()-1,60),ROW()-1,FALSE))</f>
        <v/>
      </c>
      <c r="O492" t="str">
        <f ca="1">IF(AND(ISNUMBER($O$989),$B$511=1),$O$989,HLOOKUP(INDIRECT(ADDRESS(2,COLUMN())),OFFSET($BN$2,0,0,ROW()-1,60),ROW()-1,FALSE))</f>
        <v/>
      </c>
      <c r="P492" t="str">
        <f ca="1">IF(AND(ISNUMBER($P$989),$B$511=1),$P$989,HLOOKUP(INDIRECT(ADDRESS(2,COLUMN())),OFFSET($BN$2,0,0,ROW()-1,60),ROW()-1,FALSE))</f>
        <v/>
      </c>
      <c r="Q492" t="str">
        <f ca="1">IF(AND(ISNUMBER($Q$989),$B$511=1),$Q$989,HLOOKUP(INDIRECT(ADDRESS(2,COLUMN())),OFFSET($BN$2,0,0,ROW()-1,60),ROW()-1,FALSE))</f>
        <v/>
      </c>
      <c r="R492" t="str">
        <f ca="1">IF(AND(ISNUMBER($R$989),$B$511=1),$R$989,HLOOKUP(INDIRECT(ADDRESS(2,COLUMN())),OFFSET($BN$2,0,0,ROW()-1,60),ROW()-1,FALSE))</f>
        <v/>
      </c>
      <c r="S492" t="str">
        <f ca="1">IF(AND(ISNUMBER($S$989),$B$511=1),$S$989,HLOOKUP(INDIRECT(ADDRESS(2,COLUMN())),OFFSET($BN$2,0,0,ROW()-1,60),ROW()-1,FALSE))</f>
        <v/>
      </c>
      <c r="T492" t="str">
        <f ca="1">IF(AND(ISNUMBER($T$989),$B$511=1),$T$989,HLOOKUP(INDIRECT(ADDRESS(2,COLUMN())),OFFSET($BN$2,0,0,ROW()-1,60),ROW()-1,FALSE))</f>
        <v/>
      </c>
      <c r="U492" t="str">
        <f ca="1">IF(AND(ISNUMBER($U$989),$B$511=1),$U$989,HLOOKUP(INDIRECT(ADDRESS(2,COLUMN())),OFFSET($BN$2,0,0,ROW()-1,60),ROW()-1,FALSE))</f>
        <v/>
      </c>
      <c r="V492" t="str">
        <f ca="1">IF(AND(ISNUMBER($V$989),$B$511=1),$V$989,HLOOKUP(INDIRECT(ADDRESS(2,COLUMN())),OFFSET($BN$2,0,0,ROW()-1,60),ROW()-1,FALSE))</f>
        <v/>
      </c>
      <c r="W492" t="str">
        <f ca="1">IF(AND(ISNUMBER($W$989),$B$511=1),$W$989,HLOOKUP(INDIRECT(ADDRESS(2,COLUMN())),OFFSET($BN$2,0,0,ROW()-1,60),ROW()-1,FALSE))</f>
        <v/>
      </c>
      <c r="X492" t="str">
        <f ca="1">IF(AND(ISNUMBER($X$989),$B$511=1),$X$989,HLOOKUP(INDIRECT(ADDRESS(2,COLUMN())),OFFSET($BN$2,0,0,ROW()-1,60),ROW()-1,FALSE))</f>
        <v/>
      </c>
      <c r="Y492" t="str">
        <f ca="1">IF(AND(ISNUMBER($Y$989),$B$511=1),$Y$989,HLOOKUP(INDIRECT(ADDRESS(2,COLUMN())),OFFSET($BN$2,0,0,ROW()-1,60),ROW()-1,FALSE))</f>
        <v/>
      </c>
      <c r="Z492" t="str">
        <f ca="1">IF(AND(ISNUMBER($Z$989),$B$511=1),$Z$989,HLOOKUP(INDIRECT(ADDRESS(2,COLUMN())),OFFSET($BN$2,0,0,ROW()-1,60),ROW()-1,FALSE))</f>
        <v/>
      </c>
      <c r="AA492" t="str">
        <f ca="1">IF(AND(ISNUMBER($AA$989),$B$511=1),$AA$989,HLOOKUP(INDIRECT(ADDRESS(2,COLUMN())),OFFSET($BN$2,0,0,ROW()-1,60),ROW()-1,FALSE))</f>
        <v/>
      </c>
      <c r="AB492" t="str">
        <f ca="1">IF(AND(ISNUMBER($AB$989),$B$511=1),$AB$989,HLOOKUP(INDIRECT(ADDRESS(2,COLUMN())),OFFSET($BN$2,0,0,ROW()-1,60),ROW()-1,FALSE))</f>
        <v/>
      </c>
      <c r="AC492" t="str">
        <f ca="1">IF(AND(ISNUMBER($AC$989),$B$511=1),$AC$989,HLOOKUP(INDIRECT(ADDRESS(2,COLUMN())),OFFSET($BN$2,0,0,ROW()-1,60),ROW()-1,FALSE))</f>
        <v/>
      </c>
      <c r="AD492" t="str">
        <f ca="1">IF(AND(ISNUMBER($AD$989),$B$511=1),$AD$989,HLOOKUP(INDIRECT(ADDRESS(2,COLUMN())),OFFSET($BN$2,0,0,ROW()-1,60),ROW()-1,FALSE))</f>
        <v/>
      </c>
      <c r="AE492" t="str">
        <f ca="1">IF(AND(ISNUMBER($AE$989),$B$511=1),$AE$989,HLOOKUP(INDIRECT(ADDRESS(2,COLUMN())),OFFSET($BN$2,0,0,ROW()-1,60),ROW()-1,FALSE))</f>
        <v/>
      </c>
      <c r="AF492" t="str">
        <f ca="1">IF(AND(ISNUMBER($AF$989),$B$511=1),$AF$989,HLOOKUP(INDIRECT(ADDRESS(2,COLUMN())),OFFSET($BN$2,0,0,ROW()-1,60),ROW()-1,FALSE))</f>
        <v/>
      </c>
      <c r="AG492" t="str">
        <f ca="1">IF(AND(ISNUMBER($AG$989),$B$511=1),$AG$989,HLOOKUP(INDIRECT(ADDRESS(2,COLUMN())),OFFSET($BN$2,0,0,ROW()-1,60),ROW()-1,FALSE))</f>
        <v/>
      </c>
      <c r="AH492" t="str">
        <f ca="1">IF(AND(ISNUMBER($AH$989),$B$511=1),$AH$989,HLOOKUP(INDIRECT(ADDRESS(2,COLUMN())),OFFSET($BN$2,0,0,ROW()-1,60),ROW()-1,FALSE))</f>
        <v/>
      </c>
      <c r="AI492" t="str">
        <f ca="1">IF(AND(ISNUMBER($AI$989),$B$511=1),$AI$989,HLOOKUP(INDIRECT(ADDRESS(2,COLUMN())),OFFSET($BN$2,0,0,ROW()-1,60),ROW()-1,FALSE))</f>
        <v/>
      </c>
      <c r="AJ492" t="str">
        <f ca="1">IF(AND(ISNUMBER($AJ$989),$B$511=1),$AJ$989,HLOOKUP(INDIRECT(ADDRESS(2,COLUMN())),OFFSET($BN$2,0,0,ROW()-1,60),ROW()-1,FALSE))</f>
        <v/>
      </c>
      <c r="AK492" t="str">
        <f ca="1">IF(AND(ISNUMBER($AK$989),$B$511=1),$AK$989,HLOOKUP(INDIRECT(ADDRESS(2,COLUMN())),OFFSET($BN$2,0,0,ROW()-1,60),ROW()-1,FALSE))</f>
        <v/>
      </c>
      <c r="AL492" t="str">
        <f ca="1">IF(AND(ISNUMBER($AL$989),$B$511=1),$AL$989,HLOOKUP(INDIRECT(ADDRESS(2,COLUMN())),OFFSET($BN$2,0,0,ROW()-1,60),ROW()-1,FALSE))</f>
        <v/>
      </c>
      <c r="AM492" t="str">
        <f ca="1">IF(AND(ISNUMBER($AM$989),$B$511=1),$AM$989,HLOOKUP(INDIRECT(ADDRESS(2,COLUMN())),OFFSET($BN$2,0,0,ROW()-1,60),ROW()-1,FALSE))</f>
        <v/>
      </c>
      <c r="AN492" t="str">
        <f ca="1">IF(AND(ISNUMBER($AN$989),$B$511=1),$AN$989,HLOOKUP(INDIRECT(ADDRESS(2,COLUMN())),OFFSET($BN$2,0,0,ROW()-1,60),ROW()-1,FALSE))</f>
        <v/>
      </c>
      <c r="AO492" t="str">
        <f ca="1">IF(AND(ISNUMBER($AO$989),$B$511=1),$AO$989,HLOOKUP(INDIRECT(ADDRESS(2,COLUMN())),OFFSET($BN$2,0,0,ROW()-1,60),ROW()-1,FALSE))</f>
        <v/>
      </c>
      <c r="AP492" t="str">
        <f ca="1">IF(AND(ISNUMBER($AP$989),$B$511=1),$AP$989,HLOOKUP(INDIRECT(ADDRESS(2,COLUMN())),OFFSET($BN$2,0,0,ROW()-1,60),ROW()-1,FALSE))</f>
        <v/>
      </c>
      <c r="AQ492" t="str">
        <f ca="1">IF(AND(ISNUMBER($AQ$989),$B$511=1),$AQ$989,HLOOKUP(INDIRECT(ADDRESS(2,COLUMN())),OFFSET($BN$2,0,0,ROW()-1,60),ROW()-1,FALSE))</f>
        <v/>
      </c>
      <c r="AR492" t="str">
        <f ca="1">IF(AND(ISNUMBER($AR$989),$B$511=1),$AR$989,HLOOKUP(INDIRECT(ADDRESS(2,COLUMN())),OFFSET($BN$2,0,0,ROW()-1,60),ROW()-1,FALSE))</f>
        <v/>
      </c>
      <c r="AS492" t="str">
        <f ca="1">IF(AND(ISNUMBER($AS$989),$B$511=1),$AS$989,HLOOKUP(INDIRECT(ADDRESS(2,COLUMN())),OFFSET($BN$2,0,0,ROW()-1,60),ROW()-1,FALSE))</f>
        <v/>
      </c>
      <c r="AT492" t="str">
        <f ca="1">IF(AND(ISNUMBER($AT$989),$B$511=1),$AT$989,HLOOKUP(INDIRECT(ADDRESS(2,COLUMN())),OFFSET($BN$2,0,0,ROW()-1,60),ROW()-1,FALSE))</f>
        <v/>
      </c>
      <c r="AU492" t="str">
        <f ca="1">IF(AND(ISNUMBER($AU$989),$B$511=1),$AU$989,HLOOKUP(INDIRECT(ADDRESS(2,COLUMN())),OFFSET($BN$2,0,0,ROW()-1,60),ROW()-1,FALSE))</f>
        <v/>
      </c>
      <c r="AV492" t="str">
        <f ca="1">IF(AND(ISNUMBER($AV$989),$B$511=1),$AV$989,HLOOKUP(INDIRECT(ADDRESS(2,COLUMN())),OFFSET($BN$2,0,0,ROW()-1,60),ROW()-1,FALSE))</f>
        <v/>
      </c>
      <c r="AW492" t="str">
        <f ca="1">IF(AND(ISNUMBER($AW$989),$B$511=1),$AW$989,HLOOKUP(INDIRECT(ADDRESS(2,COLUMN())),OFFSET($BN$2,0,0,ROW()-1,60),ROW()-1,FALSE))</f>
        <v/>
      </c>
      <c r="AX492" t="str">
        <f ca="1">IF(AND(ISNUMBER($AX$989),$B$511=1),$AX$989,HLOOKUP(INDIRECT(ADDRESS(2,COLUMN())),OFFSET($BN$2,0,0,ROW()-1,60),ROW()-1,FALSE))</f>
        <v/>
      </c>
      <c r="AY492" t="str">
        <f ca="1">IF(AND(ISNUMBER($AY$989),$B$511=1),$AY$989,HLOOKUP(INDIRECT(ADDRESS(2,COLUMN())),OFFSET($BN$2,0,0,ROW()-1,60),ROW()-1,FALSE))</f>
        <v/>
      </c>
      <c r="AZ492" t="str">
        <f ca="1">IF(AND(ISNUMBER($AZ$989),$B$511=1),$AZ$989,HLOOKUP(INDIRECT(ADDRESS(2,COLUMN())),OFFSET($BN$2,0,0,ROW()-1,60),ROW()-1,FALSE))</f>
        <v/>
      </c>
      <c r="BA492" t="str">
        <f ca="1">IF(AND(ISNUMBER($BA$989),$B$511=1),$BA$989,HLOOKUP(INDIRECT(ADDRESS(2,COLUMN())),OFFSET($BN$2,0,0,ROW()-1,60),ROW()-1,FALSE))</f>
        <v/>
      </c>
      <c r="BB492" t="str">
        <f ca="1">IF(AND(ISNUMBER($BB$989),$B$511=1),$BB$989,HLOOKUP(INDIRECT(ADDRESS(2,COLUMN())),OFFSET($BN$2,0,0,ROW()-1,60),ROW()-1,FALSE))</f>
        <v/>
      </c>
      <c r="BC492" t="str">
        <f ca="1">IF(AND(ISNUMBER($BC$989),$B$511=1),$BC$989,HLOOKUP(INDIRECT(ADDRESS(2,COLUMN())),OFFSET($BN$2,0,0,ROW()-1,60),ROW()-1,FALSE))</f>
        <v/>
      </c>
      <c r="BD492" t="str">
        <f ca="1">IF(AND(ISNUMBER($BD$989),$B$511=1),$BD$989,HLOOKUP(INDIRECT(ADDRESS(2,COLUMN())),OFFSET($BN$2,0,0,ROW()-1,60),ROW()-1,FALSE))</f>
        <v/>
      </c>
      <c r="BE492" t="str">
        <f ca="1">IF(AND(ISNUMBER($BE$989),$B$511=1),$BE$989,HLOOKUP(INDIRECT(ADDRESS(2,COLUMN())),OFFSET($BN$2,0,0,ROW()-1,60),ROW()-1,FALSE))</f>
        <v/>
      </c>
      <c r="BF492" t="str">
        <f ca="1">IF(AND(ISNUMBER($BF$989),$B$511=1),$BF$989,HLOOKUP(INDIRECT(ADDRESS(2,COLUMN())),OFFSET($BN$2,0,0,ROW()-1,60),ROW()-1,FALSE))</f>
        <v/>
      </c>
      <c r="BG492" t="str">
        <f ca="1">IF(AND(ISNUMBER($BG$989),$B$511=1),$BG$989,HLOOKUP(INDIRECT(ADDRESS(2,COLUMN())),OFFSET($BN$2,0,0,ROW()-1,60),ROW()-1,FALSE))</f>
        <v/>
      </c>
      <c r="BH492" t="str">
        <f ca="1">IF(AND(ISNUMBER($BH$989),$B$511=1),$BH$989,HLOOKUP(INDIRECT(ADDRESS(2,COLUMN())),OFFSET($BN$2,0,0,ROW()-1,60),ROW()-1,FALSE))</f>
        <v/>
      </c>
      <c r="BI492" t="str">
        <f ca="1">IF(AND(ISNUMBER($BI$989),$B$511=1),$BI$989,HLOOKUP(INDIRECT(ADDRESS(2,COLUMN())),OFFSET($BN$2,0,0,ROW()-1,60),ROW()-1,FALSE))</f>
        <v/>
      </c>
      <c r="BJ492" t="str">
        <f ca="1">IF(AND(ISNUMBER($BJ$989),$B$511=1),$BJ$989,HLOOKUP(INDIRECT(ADDRESS(2,COLUMN())),OFFSET($BN$2,0,0,ROW()-1,60),ROW()-1,FALSE))</f>
        <v/>
      </c>
      <c r="BK492" t="str">
        <f ca="1">IF(AND(ISNUMBER($BK$989),$B$511=1),$BK$989,HLOOKUP(INDIRECT(ADDRESS(2,COLUMN())),OFFSET($BN$2,0,0,ROW()-1,60),ROW()-1,FALSE))</f>
        <v/>
      </c>
      <c r="BL492" t="str">
        <f ca="1">IF(AND(ISNUMBER($BL$989),$B$511=1),$BL$989,HLOOKUP(INDIRECT(ADDRESS(2,COLUMN())),OFFSET($BN$2,0,0,ROW()-1,60),ROW()-1,FALSE))</f>
        <v/>
      </c>
      <c r="BM492" t="str">
        <f ca="1">IF(AND(ISNUMBER($BM$989),$B$511=1),$BM$989,HLOOKUP(INDIRECT(ADDRESS(2,COLUMN())),OFFSET($BN$2,0,0,ROW()-1,60),ROW()-1,FALSE))</f>
        <v/>
      </c>
      <c r="BN492" t="str">
        <f>""</f>
        <v/>
      </c>
      <c r="BO492" t="str">
        <f>""</f>
        <v/>
      </c>
      <c r="BP492" t="str">
        <f>""</f>
        <v/>
      </c>
      <c r="BQ492" t="str">
        <f>""</f>
        <v/>
      </c>
      <c r="BR492" t="str">
        <f>""</f>
        <v/>
      </c>
      <c r="BS492" t="str">
        <f>""</f>
        <v/>
      </c>
      <c r="BT492" t="str">
        <f>""</f>
        <v/>
      </c>
      <c r="BU492" t="str">
        <f>""</f>
        <v/>
      </c>
      <c r="BV492" t="str">
        <f>""</f>
        <v/>
      </c>
      <c r="BW492" t="str">
        <f>""</f>
        <v/>
      </c>
      <c r="BX492" t="str">
        <f>""</f>
        <v/>
      </c>
      <c r="BY492" t="str">
        <f>""</f>
        <v/>
      </c>
      <c r="BZ492" t="str">
        <f>""</f>
        <v/>
      </c>
      <c r="CA492" t="str">
        <f>""</f>
        <v/>
      </c>
      <c r="CB492" t="str">
        <f>""</f>
        <v/>
      </c>
      <c r="CC492" t="str">
        <f>""</f>
        <v/>
      </c>
      <c r="CD492" t="str">
        <f>""</f>
        <v/>
      </c>
      <c r="CE492" t="str">
        <f>""</f>
        <v/>
      </c>
      <c r="CF492" t="str">
        <f>""</f>
        <v/>
      </c>
      <c r="CG492" t="str">
        <f>""</f>
        <v/>
      </c>
      <c r="CH492" t="str">
        <f>""</f>
        <v/>
      </c>
      <c r="CI492" t="str">
        <f>""</f>
        <v/>
      </c>
      <c r="CJ492" t="str">
        <f>""</f>
        <v/>
      </c>
      <c r="CK492" t="str">
        <f>""</f>
        <v/>
      </c>
      <c r="CL492" t="str">
        <f>""</f>
        <v/>
      </c>
      <c r="CM492" t="str">
        <f>""</f>
        <v/>
      </c>
      <c r="CN492" t="str">
        <f>""</f>
        <v/>
      </c>
      <c r="CO492" t="str">
        <f>""</f>
        <v/>
      </c>
      <c r="CP492" t="str">
        <f>""</f>
        <v/>
      </c>
      <c r="CQ492" t="str">
        <f>""</f>
        <v/>
      </c>
      <c r="CR492" t="str">
        <f>""</f>
        <v/>
      </c>
      <c r="CS492" t="str">
        <f>""</f>
        <v/>
      </c>
      <c r="CT492" t="str">
        <f>""</f>
        <v/>
      </c>
      <c r="CU492" t="str">
        <f>""</f>
        <v/>
      </c>
      <c r="CV492" t="str">
        <f>""</f>
        <v/>
      </c>
      <c r="CW492" t="str">
        <f>""</f>
        <v/>
      </c>
      <c r="CX492" t="str">
        <f>""</f>
        <v/>
      </c>
      <c r="CY492" t="str">
        <f>""</f>
        <v/>
      </c>
      <c r="CZ492" t="str">
        <f>""</f>
        <v/>
      </c>
      <c r="DA492" t="str">
        <f>""</f>
        <v/>
      </c>
      <c r="DB492" t="str">
        <f>""</f>
        <v/>
      </c>
      <c r="DC492" t="str">
        <f>""</f>
        <v/>
      </c>
      <c r="DD492" t="str">
        <f>""</f>
        <v/>
      </c>
      <c r="DE492" t="str">
        <f>""</f>
        <v/>
      </c>
      <c r="DF492" t="str">
        <f>""</f>
        <v/>
      </c>
      <c r="DG492" t="str">
        <f>""</f>
        <v/>
      </c>
      <c r="DH492" t="str">
        <f>""</f>
        <v/>
      </c>
      <c r="DI492" t="str">
        <f>""</f>
        <v/>
      </c>
      <c r="DJ492" t="str">
        <f>""</f>
        <v/>
      </c>
      <c r="DK492" t="str">
        <f>""</f>
        <v/>
      </c>
      <c r="DL492" t="str">
        <f>""</f>
        <v/>
      </c>
      <c r="DM492" t="str">
        <f>""</f>
        <v/>
      </c>
      <c r="DN492" t="str">
        <f>""</f>
        <v/>
      </c>
      <c r="DO492" t="str">
        <f>""</f>
        <v/>
      </c>
      <c r="DP492" t="str">
        <f>""</f>
        <v/>
      </c>
      <c r="DQ492" t="str">
        <f>""</f>
        <v/>
      </c>
      <c r="DR492" t="str">
        <f>""</f>
        <v/>
      </c>
      <c r="DS492" t="str">
        <f>""</f>
        <v/>
      </c>
      <c r="DT492" t="str">
        <f>""</f>
        <v/>
      </c>
      <c r="DU492" t="str">
        <f>""</f>
        <v/>
      </c>
    </row>
    <row r="493" spans="1:125" x14ac:dyDescent="0.25">
      <c r="A493" t="str">
        <f>"    Toyota Motor Corp"</f>
        <v xml:space="preserve">    Toyota Motor Corp</v>
      </c>
      <c r="B493" t="str">
        <f>"7203 JP Equity"</f>
        <v>7203 JP Equity</v>
      </c>
      <c r="C493" t="str">
        <f t="shared" si="33"/>
        <v>RR902</v>
      </c>
      <c r="D493" t="str">
        <f t="shared" si="34"/>
        <v>CUR_MKT_CAP</v>
      </c>
      <c r="E493" t="str">
        <f t="shared" si="35"/>
        <v>Dynamic</v>
      </c>
      <c r="F493">
        <f ca="1">IF(AND(ISNUMBER($F$990),$B$511=1),$F$990,HLOOKUP(INDIRECT(ADDRESS(2,COLUMN())),OFFSET($BN$2,0,0,ROW()-1,60),ROW()-1,FALSE))</f>
        <v>198293.9333</v>
      </c>
      <c r="G493">
        <f ca="1">IF(AND(ISNUMBER($G$990),$B$511=1),$G$990,HLOOKUP(INDIRECT(ADDRESS(2,COLUMN())),OFFSET($BN$2,0,0,ROW()-1,60),ROW()-1,FALSE))</f>
        <v>189319.4632</v>
      </c>
      <c r="H493">
        <f ca="1">IF(AND(ISNUMBER($H$990),$B$511=1),$H$990,HLOOKUP(INDIRECT(ADDRESS(2,COLUMN())),OFFSET($BN$2,0,0,ROW()-1,60),ROW()-1,FALSE))</f>
        <v>203973.27929999999</v>
      </c>
      <c r="I493">
        <f ca="1">IF(AND(ISNUMBER($I$990),$B$511=1),$I$990,HLOOKUP(INDIRECT(ADDRESS(2,COLUMN())),OFFSET($BN$2,0,0,ROW()-1,60),ROW()-1,FALSE))</f>
        <v>211190.57610000001</v>
      </c>
      <c r="J493">
        <f ca="1">IF(AND(ISNUMBER($J$990),$B$511=1),$J$990,HLOOKUP(INDIRECT(ADDRESS(2,COLUMN())),OFFSET($BN$2,0,0,ROW()-1,60),ROW()-1,FALSE))</f>
        <v>209658.8014</v>
      </c>
      <c r="K493">
        <f ca="1">IF(AND(ISNUMBER($K$990),$B$511=1),$K$990,HLOOKUP(INDIRECT(ADDRESS(2,COLUMN())),OFFSET($BN$2,0,0,ROW()-1,60),ROW()-1,FALSE))</f>
        <v>209060.23190000001</v>
      </c>
      <c r="L493">
        <f ca="1">IF(AND(ISNUMBER($L$990),$B$511=1),$L$990,HLOOKUP(INDIRECT(ADDRESS(2,COLUMN())),OFFSET($BN$2,0,0,ROW()-1,60),ROW()-1,FALSE))</f>
        <v>194412.29949999999</v>
      </c>
      <c r="M493">
        <f ca="1">IF(AND(ISNUMBER($M$990),$B$511=1),$M$990,HLOOKUP(INDIRECT(ADDRESS(2,COLUMN())),OFFSET($BN$2,0,0,ROW()-1,60),ROW()-1,FALSE))</f>
        <v>171151.26490000001</v>
      </c>
      <c r="N493">
        <f ca="1">IF(AND(ISNUMBER($N$990),$B$511=1),$N$990,HLOOKUP(INDIRECT(ADDRESS(2,COLUMN())),OFFSET($BN$2,0,0,ROW()-1,60),ROW()-1,FALSE))</f>
        <v>177118.2396</v>
      </c>
      <c r="O493">
        <f ca="1">IF(AND(ISNUMBER($O$990),$B$511=1),$O$990,HLOOKUP(INDIRECT(ADDRESS(2,COLUMN())),OFFSET($BN$2,0,0,ROW()-1,60),ROW()-1,FALSE))</f>
        <v>192411.67019999999</v>
      </c>
      <c r="P493">
        <f ca="1">IF(AND(ISNUMBER($P$990),$B$511=1),$P$990,HLOOKUP(INDIRECT(ADDRESS(2,COLUMN())),OFFSET($BN$2,0,0,ROW()-1,60),ROW()-1,FALSE))</f>
        <v>190183.25829999999</v>
      </c>
      <c r="Q493">
        <f ca="1">IF(AND(ISNUMBER($Q$990),$B$511=1),$Q$990,HLOOKUP(INDIRECT(ADDRESS(2,COLUMN())),OFFSET($BN$2,0,0,ROW()-1,60),ROW()-1,FALSE))</f>
        <v>163422.4602</v>
      </c>
      <c r="R493">
        <f ca="1">IF(AND(ISNUMBER($R$990),$B$511=1),$R$990,HLOOKUP(INDIRECT(ADDRESS(2,COLUMN())),OFFSET($BN$2,0,0,ROW()-1,60),ROW()-1,FALSE))</f>
        <v>176602.3242</v>
      </c>
      <c r="S493">
        <f ca="1">IF(AND(ISNUMBER($S$990),$B$511=1),$S$990,HLOOKUP(INDIRECT(ADDRESS(2,COLUMN())),OFFSET($BN$2,0,0,ROW()-1,60),ROW()-1,FALSE))</f>
        <v>207237.58989999999</v>
      </c>
      <c r="T493">
        <f ca="1">IF(AND(ISNUMBER($T$990),$B$511=1),$T$990,HLOOKUP(INDIRECT(ADDRESS(2,COLUMN())),OFFSET($BN$2,0,0,ROW()-1,60),ROW()-1,FALSE))</f>
        <v>199104.71280000001</v>
      </c>
      <c r="U493">
        <f ca="1">IF(AND(ISNUMBER($U$990),$B$511=1),$U$990,HLOOKUP(INDIRECT(ADDRESS(2,COLUMN())),OFFSET($BN$2,0,0,ROW()-1,60),ROW()-1,FALSE))</f>
        <v>229592.48259999999</v>
      </c>
      <c r="V493">
        <f ca="1">IF(AND(ISNUMBER($V$990),$B$511=1),$V$990,HLOOKUP(INDIRECT(ADDRESS(2,COLUMN())),OFFSET($BN$2,0,0,ROW()-1,60),ROW()-1,FALSE))</f>
        <v>238875.1441</v>
      </c>
      <c r="W493">
        <f ca="1">IF(AND(ISNUMBER($W$990),$B$511=1),$W$990,HLOOKUP(INDIRECT(ADDRESS(2,COLUMN())),OFFSET($BN$2,0,0,ROW()-1,60),ROW()-1,FALSE))</f>
        <v>216250.00459999999</v>
      </c>
      <c r="X493">
        <f ca="1">IF(AND(ISNUMBER($X$990),$B$511=1),$X$990,HLOOKUP(INDIRECT(ADDRESS(2,COLUMN())),OFFSET($BN$2,0,0,ROW()-1,60),ROW()-1,FALSE))</f>
        <v>201445.5428</v>
      </c>
      <c r="Y493">
        <f ca="1">IF(AND(ISNUMBER($Y$990),$B$511=1),$Y$990,HLOOKUP(INDIRECT(ADDRESS(2,COLUMN())),OFFSET($BN$2,0,0,ROW()-1,60),ROW()-1,FALSE))</f>
        <v>205302.56830000001</v>
      </c>
      <c r="Z493">
        <f ca="1">IF(AND(ISNUMBER($Z$990),$B$511=1),$Z$990,HLOOKUP(INDIRECT(ADDRESS(2,COLUMN())),OFFSET($BN$2,0,0,ROW()-1,60),ROW()-1,FALSE))</f>
        <v>194896.9999</v>
      </c>
      <c r="AA493">
        <f ca="1">IF(AND(ISNUMBER($AA$990),$B$511=1),$AA$990,HLOOKUP(INDIRECT(ADDRESS(2,COLUMN())),OFFSET($BN$2,0,0,ROW()-1,60),ROW()-1,FALSE))</f>
        <v>210659.91940000001</v>
      </c>
      <c r="AB493">
        <f ca="1">IF(AND(ISNUMBER($AB$990),$B$511=1),$AB$990,HLOOKUP(INDIRECT(ADDRESS(2,COLUMN())),OFFSET($BN$2,0,0,ROW()-1,60),ROW()-1,FALSE))</f>
        <v>220129.76980000001</v>
      </c>
      <c r="AC493">
        <f ca="1">IF(AND(ISNUMBER($AC$990),$B$511=1),$AC$990,HLOOKUP(INDIRECT(ADDRESS(2,COLUMN())),OFFSET($BN$2,0,0,ROW()-1,60),ROW()-1,FALSE))</f>
        <v>207928.17249999999</v>
      </c>
      <c r="AD493">
        <f ca="1">IF(AND(ISNUMBER($AD$990),$B$511=1),$AD$990,HLOOKUP(INDIRECT(ADDRESS(2,COLUMN())),OFFSET($BN$2,0,0,ROW()-1,60),ROW()-1,FALSE))</f>
        <v>177852.55929999999</v>
      </c>
      <c r="AE493">
        <f ca="1">IF(AND(ISNUMBER($AE$990),$B$511=1),$AE$990,HLOOKUP(INDIRECT(ADDRESS(2,COLUMN())),OFFSET($BN$2,0,0,ROW()-1,60),ROW()-1,FALSE))</f>
        <v>160423.21350000001</v>
      </c>
      <c r="AF493">
        <f ca="1">IF(AND(ISNUMBER($AF$990),$B$511=1),$AF$990,HLOOKUP(INDIRECT(ADDRESS(2,COLUMN())),OFFSET($BN$2,0,0,ROW()-1,60),ROW()-1,FALSE))</f>
        <v>134521.46530000001</v>
      </c>
      <c r="AG493">
        <f ca="1">IF(AND(ISNUMBER($AG$990),$B$511=1),$AG$990,HLOOKUP(INDIRECT(ADDRESS(2,COLUMN())),OFFSET($BN$2,0,0,ROW()-1,60),ROW()-1,FALSE))</f>
        <v>137833.48639999999</v>
      </c>
      <c r="AH493">
        <f ca="1">IF(AND(ISNUMBER($AH$990),$B$511=1),$AH$990,HLOOKUP(INDIRECT(ADDRESS(2,COLUMN())),OFFSET($BN$2,0,0,ROW()-1,60),ROW()-1,FALSE))</f>
        <v>148969.51809999999</v>
      </c>
      <c r="AI493">
        <f ca="1">IF(AND(ISNUMBER($AI$990),$B$511=1),$AI$990,HLOOKUP(INDIRECT(ADDRESS(2,COLUMN())),OFFSET($BN$2,0,0,ROW()-1,60),ROW()-1,FALSE))</f>
        <v>114873.5386</v>
      </c>
      <c r="AJ493">
        <f ca="1">IF(AND(ISNUMBER($AJ$990),$B$511=1),$AJ$990,HLOOKUP(INDIRECT(ADDRESS(2,COLUMN())),OFFSET($BN$2,0,0,ROW()-1,60),ROW()-1,FALSE))</f>
        <v>120148.00930000001</v>
      </c>
      <c r="AK493">
        <f ca="1">IF(AND(ISNUMBER($AK$990),$B$511=1),$AK$990,HLOOKUP(INDIRECT(ADDRESS(2,COLUMN())),OFFSET($BN$2,0,0,ROW()-1,60),ROW()-1,FALSE))</f>
        <v>139101.1925</v>
      </c>
      <c r="AL493">
        <f ca="1">IF(AND(ISNUMBER($AL$990),$B$511=1),$AL$990,HLOOKUP(INDIRECT(ADDRESS(2,COLUMN())),OFFSET($BN$2,0,0,ROW()-1,60),ROW()-1,FALSE))</f>
        <v>139451.79070000001</v>
      </c>
      <c r="AM493">
        <f ca="1">IF(AND(ISNUMBER($AM$990),$B$511=1),$AM$990,HLOOKUP(INDIRECT(ADDRESS(2,COLUMN())),OFFSET($BN$2,0,0,ROW()-1,60),ROW()-1,FALSE))</f>
        <v>135827.65030000001</v>
      </c>
      <c r="AN493">
        <f ca="1">IF(AND(ISNUMBER($AN$990),$B$511=1),$AN$990,HLOOKUP(INDIRECT(ADDRESS(2,COLUMN())),OFFSET($BN$2,0,0,ROW()-1,60),ROW()-1,FALSE))</f>
        <v>123856.8977</v>
      </c>
      <c r="AO493">
        <f ca="1">IF(AND(ISNUMBER($AO$990),$B$511=1),$AO$990,HLOOKUP(INDIRECT(ADDRESS(2,COLUMN())),OFFSET($BN$2,0,0,ROW()-1,60),ROW()-1,FALSE))</f>
        <v>119889.7322</v>
      </c>
      <c r="AP493">
        <f ca="1">IF(AND(ISNUMBER($AP$990),$B$511=1),$AP$990,HLOOKUP(INDIRECT(ADDRESS(2,COLUMN())),OFFSET($BN$2,0,0,ROW()-1,60),ROW()-1,FALSE))</f>
        <v>138192.96720000001</v>
      </c>
      <c r="AQ493">
        <f ca="1">IF(AND(ISNUMBER($AQ$990),$B$511=1),$AQ$990,HLOOKUP(INDIRECT(ADDRESS(2,COLUMN())),OFFSET($BN$2,0,0,ROW()-1,60),ROW()-1,FALSE))</f>
        <v>144817.3904</v>
      </c>
      <c r="AR493">
        <f ca="1">IF(AND(ISNUMBER($AR$990),$B$511=1),$AR$990,HLOOKUP(INDIRECT(ADDRESS(2,COLUMN())),OFFSET($BN$2,0,0,ROW()-1,60),ROW()-1,FALSE))</f>
        <v>137258.6004</v>
      </c>
      <c r="AS493">
        <f ca="1">IF(AND(ISNUMBER($AS$990),$B$511=1),$AS$990,HLOOKUP(INDIRECT(ADDRESS(2,COLUMN())),OFFSET($BN$2,0,0,ROW()-1,60),ROW()-1,FALSE))</f>
        <v>131376.15280000001</v>
      </c>
      <c r="AT493">
        <f ca="1">IF(AND(ISNUMBER($AT$990),$B$511=1),$AT$990,HLOOKUP(INDIRECT(ADDRESS(2,COLUMN())),OFFSET($BN$2,0,0,ROW()-1,60),ROW()-1,FALSE))</f>
        <v>108281.3526</v>
      </c>
      <c r="AU493">
        <f ca="1">IF(AND(ISNUMBER($AU$990),$B$511=1),$AU$990,HLOOKUP(INDIRECT(ADDRESS(2,COLUMN())),OFFSET($BN$2,0,0,ROW()-1,60),ROW()-1,FALSE))</f>
        <v>108978.5567</v>
      </c>
      <c r="AV493">
        <f ca="1">IF(AND(ISNUMBER($AV$990),$B$511=1),$AV$990,HLOOKUP(INDIRECT(ADDRESS(2,COLUMN())),OFFSET($BN$2,0,0,ROW()-1,60),ROW()-1,FALSE))</f>
        <v>142218.9406</v>
      </c>
      <c r="AW493">
        <f ca="1">IF(AND(ISNUMBER($AW$990),$B$511=1),$AW$990,HLOOKUP(INDIRECT(ADDRESS(2,COLUMN())),OFFSET($BN$2,0,0,ROW()-1,60),ROW()-1,FALSE))</f>
        <v>162675.08960000001</v>
      </c>
      <c r="AX493">
        <f ca="1">IF(AND(ISNUMBER($AX$990),$B$511=1),$AX$990,HLOOKUP(INDIRECT(ADDRESS(2,COLUMN())),OFFSET($BN$2,0,0,ROW()-1,60),ROW()-1,FALSE))</f>
        <v>171605.7267</v>
      </c>
      <c r="AY493">
        <f ca="1">IF(AND(ISNUMBER($AY$990),$B$511=1),$AY$990,HLOOKUP(INDIRECT(ADDRESS(2,COLUMN())),OFFSET($BN$2,0,0,ROW()-1,60),ROW()-1,FALSE))</f>
        <v>193301.28769999999</v>
      </c>
      <c r="AZ493">
        <f ca="1">IF(AND(ISNUMBER($AZ$990),$B$511=1),$AZ$990,HLOOKUP(INDIRECT(ADDRESS(2,COLUMN())),OFFSET($BN$2,0,0,ROW()-1,60),ROW()-1,FALSE))</f>
        <v>213203.68859999999</v>
      </c>
      <c r="BA493">
        <f ca="1">IF(AND(ISNUMBER($BA$990),$B$511=1),$BA$990,HLOOKUP(INDIRECT(ADDRESS(2,COLUMN())),OFFSET($BN$2,0,0,ROW()-1,60),ROW()-1,FALSE))</f>
        <v>228443.78510000001</v>
      </c>
      <c r="BB493">
        <f ca="1">IF(AND(ISNUMBER($BB$990),$B$511=1),$BB$990,HLOOKUP(INDIRECT(ADDRESS(2,COLUMN())),OFFSET($BN$2,0,0,ROW()-1,60),ROW()-1,FALSE))</f>
        <v>231784.0086</v>
      </c>
      <c r="BC493">
        <f ca="1">IF(AND(ISNUMBER($BC$990),$B$511=1),$BC$990,HLOOKUP(INDIRECT(ADDRESS(2,COLUMN())),OFFSET($BN$2,0,0,ROW()-1,60),ROW()-1,FALSE))</f>
        <v>241313.2396</v>
      </c>
      <c r="BD493">
        <f ca="1">IF(AND(ISNUMBER($BD$990),$B$511=1),$BD$990,HLOOKUP(INDIRECT(ADDRESS(2,COLUMN())),OFFSET($BN$2,0,0,ROW()-1,60),ROW()-1,FALSE))</f>
        <v>196375.05780000001</v>
      </c>
      <c r="BE493">
        <f ca="1">IF(AND(ISNUMBER($BE$990),$B$511=1),$BE$990,HLOOKUP(INDIRECT(ADDRESS(2,COLUMN())),OFFSET($BN$2,0,0,ROW()-1,60),ROW()-1,FALSE))</f>
        <v>188904.38870000001</v>
      </c>
      <c r="BF493">
        <f ca="1">IF(AND(ISNUMBER($BF$990),$B$511=1),$BF$990,HLOOKUP(INDIRECT(ADDRESS(2,COLUMN())),OFFSET($BN$2,0,0,ROW()-1,60),ROW()-1,FALSE))</f>
        <v>197551.35579999999</v>
      </c>
      <c r="BG493">
        <f ca="1">IF(AND(ISNUMBER($BG$990),$B$511=1),$BG$990,HLOOKUP(INDIRECT(ADDRESS(2,COLUMN())),OFFSET($BN$2,0,0,ROW()-1,60),ROW()-1,FALSE))</f>
        <v>187277.99489999999</v>
      </c>
      <c r="BH493">
        <f ca="1">IF(AND(ISNUMBER($BH$990),$B$511=1),$BH$990,HLOOKUP(INDIRECT(ADDRESS(2,COLUMN())),OFFSET($BN$2,0,0,ROW()-1,60),ROW()-1,FALSE))</f>
        <v>165304.573</v>
      </c>
      <c r="BI493">
        <f ca="1">IF(AND(ISNUMBER($BI$990),$B$511=1),$BI$990,HLOOKUP(INDIRECT(ADDRESS(2,COLUMN())),OFFSET($BN$2,0,0,ROW()-1,60),ROW()-1,FALSE))</f>
        <v>129195.80190000001</v>
      </c>
      <c r="BJ493">
        <f ca="1">IF(AND(ISNUMBER($BJ$990),$B$511=1),$BJ$990,HLOOKUP(INDIRECT(ADDRESS(2,COLUMN())),OFFSET($BN$2,0,0,ROW()-1,60),ROW()-1,FALSE))</f>
        <v>134364.6661</v>
      </c>
      <c r="BK493">
        <f ca="1">IF(AND(ISNUMBER($BK$990),$B$511=1),$BK$990,HLOOKUP(INDIRECT(ADDRESS(2,COLUMN())),OFFSET($BN$2,0,0,ROW()-1,60),ROW()-1,FALSE))</f>
        <v>146081.43479999999</v>
      </c>
      <c r="BL493">
        <f ca="1">IF(AND(ISNUMBER($BL$990),$B$511=1),$BL$990,HLOOKUP(INDIRECT(ADDRESS(2,COLUMN())),OFFSET($BN$2,0,0,ROW()-1,60),ROW()-1,FALSE))</f>
        <v>138580.84020000001</v>
      </c>
      <c r="BM493">
        <f ca="1">IF(AND(ISNUMBER($BM$990),$B$511=1),$BM$990,HLOOKUP(INDIRECT(ADDRESS(2,COLUMN())),OFFSET($BN$2,0,0,ROW()-1,60),ROW()-1,FALSE))</f>
        <v>145891.84760000001</v>
      </c>
      <c r="BN493">
        <f>198293.9333</f>
        <v>198293.9333</v>
      </c>
      <c r="BO493">
        <f>189319.4632</f>
        <v>189319.4632</v>
      </c>
      <c r="BP493">
        <f>203973.2793</f>
        <v>203973.27929999999</v>
      </c>
      <c r="BQ493">
        <f>211190.5761</f>
        <v>211190.57610000001</v>
      </c>
      <c r="BR493">
        <f>209658.8014</f>
        <v>209658.8014</v>
      </c>
      <c r="BS493">
        <f>209060.2319</f>
        <v>209060.23190000001</v>
      </c>
      <c r="BT493">
        <f>194412.2995</f>
        <v>194412.29949999999</v>
      </c>
      <c r="BU493">
        <f>171151.2649</f>
        <v>171151.26490000001</v>
      </c>
      <c r="BV493">
        <f>177118.2396</f>
        <v>177118.2396</v>
      </c>
      <c r="BW493">
        <f>192411.6702</f>
        <v>192411.67019999999</v>
      </c>
      <c r="BX493">
        <f>190183.2583</f>
        <v>190183.25829999999</v>
      </c>
      <c r="BY493">
        <f>163422.4602</f>
        <v>163422.4602</v>
      </c>
      <c r="BZ493">
        <f>176602.3242</f>
        <v>176602.3242</v>
      </c>
      <c r="CA493">
        <f>207237.5899</f>
        <v>207237.58989999999</v>
      </c>
      <c r="CB493">
        <f>199104.7128</f>
        <v>199104.71280000001</v>
      </c>
      <c r="CC493">
        <f>229592.4826</f>
        <v>229592.48259999999</v>
      </c>
      <c r="CD493">
        <f>238875.1441</f>
        <v>238875.1441</v>
      </c>
      <c r="CE493">
        <f>216250.0046</f>
        <v>216250.00459999999</v>
      </c>
      <c r="CF493">
        <f>201445.5428</f>
        <v>201445.5428</v>
      </c>
      <c r="CG493">
        <f>205302.5683</f>
        <v>205302.56830000001</v>
      </c>
      <c r="CH493">
        <f>194896.9999</f>
        <v>194896.9999</v>
      </c>
      <c r="CI493">
        <f>210659.9194</f>
        <v>210659.91940000001</v>
      </c>
      <c r="CJ493">
        <f>220129.7698</f>
        <v>220129.76980000001</v>
      </c>
      <c r="CK493">
        <f>207928.1725</f>
        <v>207928.17249999999</v>
      </c>
      <c r="CL493">
        <f>177852.5593</f>
        <v>177852.55929999999</v>
      </c>
      <c r="CM493">
        <f>160423.2135</f>
        <v>160423.21350000001</v>
      </c>
      <c r="CN493">
        <f>134521.4653</f>
        <v>134521.46530000001</v>
      </c>
      <c r="CO493">
        <f>137833.4864</f>
        <v>137833.48639999999</v>
      </c>
      <c r="CP493">
        <f>148969.5181</f>
        <v>148969.51809999999</v>
      </c>
      <c r="CQ493">
        <f>114873.5386</f>
        <v>114873.5386</v>
      </c>
      <c r="CR493">
        <f>120148.0093</f>
        <v>120148.00930000001</v>
      </c>
      <c r="CS493">
        <f>139101.1925</f>
        <v>139101.1925</v>
      </c>
      <c r="CT493">
        <f>139451.7907</f>
        <v>139451.79070000001</v>
      </c>
      <c r="CU493">
        <f>135827.6503</f>
        <v>135827.65030000001</v>
      </c>
      <c r="CV493">
        <f>123856.8977</f>
        <v>123856.8977</v>
      </c>
      <c r="CW493">
        <f>119889.7322</f>
        <v>119889.7322</v>
      </c>
      <c r="CX493">
        <f>138192.9672</f>
        <v>138192.96720000001</v>
      </c>
      <c r="CY493">
        <f>144817.3904</f>
        <v>144817.3904</v>
      </c>
      <c r="CZ493">
        <f>137258.6004</f>
        <v>137258.6004</v>
      </c>
      <c r="DA493">
        <f>131376.1528</f>
        <v>131376.15280000001</v>
      </c>
      <c r="DB493">
        <f>108281.3526</f>
        <v>108281.3526</v>
      </c>
      <c r="DC493">
        <f>108978.5567</f>
        <v>108978.5567</v>
      </c>
      <c r="DD493">
        <f>142218.9406</f>
        <v>142218.9406</v>
      </c>
      <c r="DE493">
        <f>162675.0896</f>
        <v>162675.08960000001</v>
      </c>
      <c r="DF493">
        <f>171605.7267</f>
        <v>171605.7267</v>
      </c>
      <c r="DG493">
        <f>193301.2877</f>
        <v>193301.28769999999</v>
      </c>
      <c r="DH493">
        <f>213203.6886</f>
        <v>213203.68859999999</v>
      </c>
      <c r="DI493">
        <f>228443.7851</f>
        <v>228443.78510000001</v>
      </c>
      <c r="DJ493">
        <f>231784.0086</f>
        <v>231784.0086</v>
      </c>
      <c r="DK493">
        <f>241313.2396</f>
        <v>241313.2396</v>
      </c>
      <c r="DL493">
        <f>196375.0578</f>
        <v>196375.05780000001</v>
      </c>
      <c r="DM493">
        <f>188904.3887</f>
        <v>188904.38870000001</v>
      </c>
      <c r="DN493">
        <f>197551.3558</f>
        <v>197551.35579999999</v>
      </c>
      <c r="DO493">
        <f>187277.9949</f>
        <v>187277.99489999999</v>
      </c>
      <c r="DP493">
        <f>165304.573</f>
        <v>165304.573</v>
      </c>
      <c r="DQ493">
        <f>129195.8019</f>
        <v>129195.80190000001</v>
      </c>
      <c r="DR493">
        <f>134364.6661</f>
        <v>134364.6661</v>
      </c>
      <c r="DS493">
        <f>146081.4348</f>
        <v>146081.43479999999</v>
      </c>
      <c r="DT493">
        <f>138580.8402</f>
        <v>138580.84020000001</v>
      </c>
      <c r="DU493">
        <f>145891.8476</f>
        <v>145891.84760000001</v>
      </c>
    </row>
    <row r="494" spans="1:125" x14ac:dyDescent="0.25">
      <c r="A494" t="str">
        <f>"    Volkswagen AG"</f>
        <v xml:space="preserve">    Volkswagen AG</v>
      </c>
      <c r="B494" t="str">
        <f>"VOW GR Equity"</f>
        <v>VOW GR Equity</v>
      </c>
      <c r="C494" t="str">
        <f t="shared" si="33"/>
        <v>RR902</v>
      </c>
      <c r="D494" t="str">
        <f t="shared" si="34"/>
        <v>CUR_MKT_CAP</v>
      </c>
      <c r="E494" t="str">
        <f t="shared" si="35"/>
        <v>Dynamic</v>
      </c>
      <c r="F494">
        <f ca="1">IF(AND(ISNUMBER($F$991),$B$511=1),$F$991,HLOOKUP(INDIRECT(ADDRESS(2,COLUMN())),OFFSET($BN$2,0,0,ROW()-1,60),ROW()-1,FALSE))</f>
        <v>85018.961370000005</v>
      </c>
      <c r="G494">
        <f ca="1">IF(AND(ISNUMBER($G$991),$B$511=1),$G$991,HLOOKUP(INDIRECT(ADDRESS(2,COLUMN())),OFFSET($BN$2,0,0,ROW()-1,60),ROW()-1,FALSE))</f>
        <v>79735.823199999999</v>
      </c>
      <c r="H494">
        <f ca="1">IF(AND(ISNUMBER($H$991),$B$511=1),$H$991,HLOOKUP(INDIRECT(ADDRESS(2,COLUMN())),OFFSET($BN$2,0,0,ROW()-1,60),ROW()-1,FALSE))</f>
        <v>87330.232650000005</v>
      </c>
      <c r="I494">
        <f ca="1">IF(AND(ISNUMBER($I$991),$B$511=1),$I$991,HLOOKUP(INDIRECT(ADDRESS(2,COLUMN())),OFFSET($BN$2,0,0,ROW()-1,60),ROW()-1,FALSE))</f>
        <v>82901.026549999995</v>
      </c>
      <c r="J494">
        <f ca="1">IF(AND(ISNUMBER($J$991),$B$511=1),$J$991,HLOOKUP(INDIRECT(ADDRESS(2,COLUMN())),OFFSET($BN$2,0,0,ROW()-1,60),ROW()-1,FALSE))</f>
        <v>100040.0518</v>
      </c>
      <c r="K494">
        <f ca="1">IF(AND(ISNUMBER($K$991),$B$511=1),$K$991,HLOOKUP(INDIRECT(ADDRESS(2,COLUMN())),OFFSET($BN$2,0,0,ROW()-1,60),ROW()-1,FALSE))</f>
        <v>101110.4883</v>
      </c>
      <c r="L494">
        <f ca="1">IF(AND(ISNUMBER($L$991),$B$511=1),$L$991,HLOOKUP(INDIRECT(ADDRESS(2,COLUMN())),OFFSET($BN$2,0,0,ROW()-1,60),ROW()-1,FALSE))</f>
        <v>83266.208240000007</v>
      </c>
      <c r="M494">
        <f ca="1">IF(AND(ISNUMBER($M$991),$B$511=1),$M$991,HLOOKUP(INDIRECT(ADDRESS(2,COLUMN())),OFFSET($BN$2,0,0,ROW()-1,60),ROW()-1,FALSE))</f>
        <v>77206.491209999993</v>
      </c>
      <c r="N494">
        <f ca="1">IF(AND(ISNUMBER($N$991),$B$511=1),$N$991,HLOOKUP(INDIRECT(ADDRESS(2,COLUMN())),OFFSET($BN$2,0,0,ROW()-1,60),ROW()-1,FALSE))</f>
        <v>74180.257089999999</v>
      </c>
      <c r="O494">
        <f ca="1">IF(AND(ISNUMBER($O$991),$B$511=1),$O$991,HLOOKUP(INDIRECT(ADDRESS(2,COLUMN())),OFFSET($BN$2,0,0,ROW()-1,60),ROW()-1,FALSE))</f>
        <v>71562.479189999998</v>
      </c>
      <c r="P494">
        <f ca="1">IF(AND(ISNUMBER($P$991),$B$511=1),$P$991,HLOOKUP(INDIRECT(ADDRESS(2,COLUMN())),OFFSET($BN$2,0,0,ROW()-1,60),ROW()-1,FALSE))</f>
        <v>69600.383870000005</v>
      </c>
      <c r="Q494">
        <f ca="1">IF(AND(ISNUMBER($Q$991),$B$511=1),$Q$991,HLOOKUP(INDIRECT(ADDRESS(2,COLUMN())),OFFSET($BN$2,0,0,ROW()-1,60),ROW()-1,FALSE))</f>
        <v>64788.542959999999</v>
      </c>
      <c r="R494">
        <f ca="1">IF(AND(ISNUMBER($R$991),$B$511=1),$R$991,HLOOKUP(INDIRECT(ADDRESS(2,COLUMN())),OFFSET($BN$2,0,0,ROW()-1,60),ROW()-1,FALSE))</f>
        <v>69072.364839999995</v>
      </c>
      <c r="S494">
        <f ca="1">IF(AND(ISNUMBER($S$991),$B$511=1),$S$991,HLOOKUP(INDIRECT(ADDRESS(2,COLUMN())),OFFSET($BN$2,0,0,ROW()-1,60),ROW()-1,FALSE))</f>
        <v>75909.200259999998</v>
      </c>
      <c r="T494">
        <f ca="1">IF(AND(ISNUMBER($T$991),$B$511=1),$T$991,HLOOKUP(INDIRECT(ADDRESS(2,COLUMN())),OFFSET($BN$2,0,0,ROW()-1,60),ROW()-1,FALSE))</f>
        <v>55260.692759999998</v>
      </c>
      <c r="U494">
        <f ca="1">IF(AND(ISNUMBER($U$991),$B$511=1),$U$991,HLOOKUP(INDIRECT(ADDRESS(2,COLUMN())),OFFSET($BN$2,0,0,ROW()-1,60),ROW()-1,FALSE))</f>
        <v>110451.999</v>
      </c>
      <c r="V494">
        <f ca="1">IF(AND(ISNUMBER($V$991),$B$511=1),$V$991,HLOOKUP(INDIRECT(ADDRESS(2,COLUMN())),OFFSET($BN$2,0,0,ROW()-1,60),ROW()-1,FALSE))</f>
        <v>123797.73020000001</v>
      </c>
      <c r="W494">
        <f ca="1">IF(AND(ISNUMBER($W$991),$B$511=1),$W$991,HLOOKUP(INDIRECT(ADDRESS(2,COLUMN())),OFFSET($BN$2,0,0,ROW()-1,60),ROW()-1,FALSE))</f>
        <v>105159.41710000001</v>
      </c>
      <c r="X494">
        <f ca="1">IF(AND(ISNUMBER($X$991),$B$511=1),$X$991,HLOOKUP(INDIRECT(ADDRESS(2,COLUMN())),OFFSET($BN$2,0,0,ROW()-1,60),ROW()-1,FALSE))</f>
        <v>98319.333719999995</v>
      </c>
      <c r="Y494">
        <f ca="1">IF(AND(ISNUMBER($Y$991),$B$511=1),$Y$991,HLOOKUP(INDIRECT(ADDRESS(2,COLUMN())),OFFSET($BN$2,0,0,ROW()-1,60),ROW()-1,FALSE))</f>
        <v>123399.9056</v>
      </c>
      <c r="Z494">
        <f ca="1">IF(AND(ISNUMBER($Z$991),$B$511=1),$Z$991,HLOOKUP(INDIRECT(ADDRESS(2,COLUMN())),OFFSET($BN$2,0,0,ROW()-1,60),ROW()-1,FALSE))</f>
        <v>118881.78200000001</v>
      </c>
      <c r="AA494">
        <f ca="1">IF(AND(ISNUMBER($AA$991),$B$511=1),$AA$991,HLOOKUP(INDIRECT(ADDRESS(2,COLUMN())),OFFSET($BN$2,0,0,ROW()-1,60),ROW()-1,FALSE))</f>
        <v>128117.73</v>
      </c>
      <c r="AB494">
        <f ca="1">IF(AND(ISNUMBER($AB$991),$B$511=1),$AB$991,HLOOKUP(INDIRECT(ADDRESS(2,COLUMN())),OFFSET($BN$2,0,0,ROW()-1,60),ROW()-1,FALSE))</f>
        <v>107124.8556</v>
      </c>
      <c r="AC494">
        <f ca="1">IF(AND(ISNUMBER($AC$991),$B$511=1),$AC$991,HLOOKUP(INDIRECT(ADDRESS(2,COLUMN())),OFFSET($BN$2,0,0,ROW()-1,60),ROW()-1,FALSE))</f>
        <v>91913.945389999993</v>
      </c>
      <c r="AD494">
        <f ca="1">IF(AND(ISNUMBER($AD$991),$B$511=1),$AD$991,HLOOKUP(INDIRECT(ADDRESS(2,COLUMN())),OFFSET($BN$2,0,0,ROW()-1,60),ROW()-1,FALSE))</f>
        <v>89446.911810000005</v>
      </c>
      <c r="AE494">
        <f ca="1">IF(AND(ISNUMBER($AE$991),$B$511=1),$AE$991,HLOOKUP(INDIRECT(ADDRESS(2,COLUMN())),OFFSET($BN$2,0,0,ROW()-1,60),ROW()-1,FALSE))</f>
        <v>102227.1508</v>
      </c>
      <c r="AF494">
        <f ca="1">IF(AND(ISNUMBER($AF$991),$B$511=1),$AF$991,HLOOKUP(INDIRECT(ADDRESS(2,COLUMN())),OFFSET($BN$2,0,0,ROW()-1,60),ROW()-1,FALSE))</f>
        <v>80828.766310000006</v>
      </c>
      <c r="AG494">
        <f ca="1">IF(AND(ISNUMBER($AG$991),$B$511=1),$AG$991,HLOOKUP(INDIRECT(ADDRESS(2,COLUMN())),OFFSET($BN$2,0,0,ROW()-1,60),ROW()-1,FALSE))</f>
        <v>70854.716190000006</v>
      </c>
      <c r="AH494">
        <f ca="1">IF(AND(ISNUMBER($AH$991),$B$511=1),$AH$991,HLOOKUP(INDIRECT(ADDRESS(2,COLUMN())),OFFSET($BN$2,0,0,ROW()-1,60),ROW()-1,FALSE))</f>
        <v>77535.844849999994</v>
      </c>
      <c r="AI494">
        <f ca="1">IF(AND(ISNUMBER($AI$991),$B$511=1),$AI$991,HLOOKUP(INDIRECT(ADDRESS(2,COLUMN())),OFFSET($BN$2,0,0,ROW()-1,60),ROW()-1,FALSE))</f>
        <v>65162.995410000003</v>
      </c>
      <c r="AJ494">
        <f ca="1">IF(AND(ISNUMBER($AJ$991),$B$511=1),$AJ$991,HLOOKUP(INDIRECT(ADDRESS(2,COLUMN())),OFFSET($BN$2,0,0,ROW()-1,60),ROW()-1,FALSE))</f>
        <v>60272.102319999998</v>
      </c>
      <c r="AK494">
        <f ca="1">IF(AND(ISNUMBER($AK$991),$B$511=1),$AK$991,HLOOKUP(INDIRECT(ADDRESS(2,COLUMN())),OFFSET($BN$2,0,0,ROW()-1,60),ROW()-1,FALSE))</f>
        <v>89132.881429999994</v>
      </c>
      <c r="AL494">
        <f ca="1">IF(AND(ISNUMBER($AL$991),$B$511=1),$AL$991,HLOOKUP(INDIRECT(ADDRESS(2,COLUMN())),OFFSET($BN$2,0,0,ROW()-1,60),ROW()-1,FALSE))</f>
        <v>73002.271040000007</v>
      </c>
      <c r="AM494">
        <f ca="1">IF(AND(ISNUMBER($AM$991),$B$511=1),$AM$991,HLOOKUP(INDIRECT(ADDRESS(2,COLUMN())),OFFSET($BN$2,0,0,ROW()-1,60),ROW()-1,FALSE))</f>
        <v>68835.796400000007</v>
      </c>
      <c r="AN494">
        <f ca="1">IF(AND(ISNUMBER($AN$991),$B$511=1),$AN$991,HLOOKUP(INDIRECT(ADDRESS(2,COLUMN())),OFFSET($BN$2,0,0,ROW()-1,60),ROW()-1,FALSE))</f>
        <v>53012.016589999999</v>
      </c>
      <c r="AO494">
        <f ca="1">IF(AND(ISNUMBER($AO$991),$B$511=1),$AO$991,HLOOKUP(INDIRECT(ADDRESS(2,COLUMN())),OFFSET($BN$2,0,0,ROW()-1,60),ROW()-1,FALSE))</f>
        <v>40315.873780000002</v>
      </c>
      <c r="AP494">
        <f ca="1">IF(AND(ISNUMBER($AP$991),$B$511=1),$AP$991,HLOOKUP(INDIRECT(ADDRESS(2,COLUMN())),OFFSET($BN$2,0,0,ROW()-1,60),ROW()-1,FALSE))</f>
        <v>38259.515769999998</v>
      </c>
      <c r="AQ494">
        <f ca="1">IF(AND(ISNUMBER($AQ$991),$B$511=1),$AQ$991,HLOOKUP(INDIRECT(ADDRESS(2,COLUMN())),OFFSET($BN$2,0,0,ROW()-1,60),ROW()-1,FALSE))</f>
        <v>42491.811959999999</v>
      </c>
      <c r="AR494">
        <f ca="1">IF(AND(ISNUMBER($AR$991),$B$511=1),$AR$991,HLOOKUP(INDIRECT(ADDRESS(2,COLUMN())),OFFSET($BN$2,0,0,ROW()-1,60),ROW()-1,FALSE))</f>
        <v>60884.505799999999</v>
      </c>
      <c r="AS494">
        <f ca="1">IF(AND(ISNUMBER($AS$991),$B$511=1),$AS$991,HLOOKUP(INDIRECT(ADDRESS(2,COLUMN())),OFFSET($BN$2,0,0,ROW()-1,60),ROW()-1,FALSE))</f>
        <v>107291.7257</v>
      </c>
      <c r="AT494">
        <f ca="1">IF(AND(ISNUMBER($AT$991),$B$511=1),$AT$991,HLOOKUP(INDIRECT(ADDRESS(2,COLUMN())),OFFSET($BN$2,0,0,ROW()-1,60),ROW()-1,FALSE))</f>
        <v>95653.048949999997</v>
      </c>
      <c r="AU494">
        <f ca="1">IF(AND(ISNUMBER($AU$991),$B$511=1),$AU$991,HLOOKUP(INDIRECT(ADDRESS(2,COLUMN())),OFFSET($BN$2,0,0,ROW()-1,60),ROW()-1,FALSE))</f>
        <v>109708.5903</v>
      </c>
      <c r="AV494">
        <f ca="1">IF(AND(ISNUMBER($AV$991),$B$511=1),$AV$991,HLOOKUP(INDIRECT(ADDRESS(2,COLUMN())),OFFSET($BN$2,0,0,ROW()-1,60),ROW()-1,FALSE))</f>
        <v>128493.0551</v>
      </c>
      <c r="AW494">
        <f ca="1">IF(AND(ISNUMBER($AW$991),$B$511=1),$AW$991,HLOOKUP(INDIRECT(ADDRESS(2,COLUMN())),OFFSET($BN$2,0,0,ROW()-1,60),ROW()-1,FALSE))</f>
        <v>99045.473429999998</v>
      </c>
      <c r="AX494">
        <f ca="1">IF(AND(ISNUMBER($AX$991),$B$511=1),$AX$991,HLOOKUP(INDIRECT(ADDRESS(2,COLUMN())),OFFSET($BN$2,0,0,ROW()-1,60),ROW()-1,FALSE))</f>
        <v>102150.0526</v>
      </c>
      <c r="AY494">
        <f ca="1">IF(AND(ISNUMBER($AY$991),$B$511=1),$AY$991,HLOOKUP(INDIRECT(ADDRESS(2,COLUMN())),OFFSET($BN$2,0,0,ROW()-1,60),ROW()-1,FALSE))</f>
        <v>82312.029479999997</v>
      </c>
      <c r="AZ494">
        <f ca="1">IF(AND(ISNUMBER($AZ$991),$B$511=1),$AZ$991,HLOOKUP(INDIRECT(ADDRESS(2,COLUMN())),OFFSET($BN$2,0,0,ROW()-1,60),ROW()-1,FALSE))</f>
        <v>79549.68806</v>
      </c>
      <c r="BA494">
        <f ca="1">IF(AND(ISNUMBER($BA$991),$B$511=1),$BA$991,HLOOKUP(INDIRECT(ADDRESS(2,COLUMN())),OFFSET($BN$2,0,0,ROW()-1,60),ROW()-1,FALSE))</f>
        <v>56705.968549999998</v>
      </c>
      <c r="BB494">
        <f ca="1">IF(AND(ISNUMBER($BB$991),$B$511=1),$BB$991,HLOOKUP(INDIRECT(ADDRESS(2,COLUMN())),OFFSET($BN$2,0,0,ROW()-1,60),ROW()-1,FALSE))</f>
        <v>54012.817280000003</v>
      </c>
      <c r="BC494">
        <f ca="1">IF(AND(ISNUMBER($BC$991),$B$511=1),$BC$991,HLOOKUP(INDIRECT(ADDRESS(2,COLUMN())),OFFSET($BN$2,0,0,ROW()-1,60),ROW()-1,FALSE))</f>
        <v>40119.599770000001</v>
      </c>
      <c r="BD494">
        <f ca="1">IF(AND(ISNUMBER($BD$991),$B$511=1),$BD$991,HLOOKUP(INDIRECT(ADDRESS(2,COLUMN())),OFFSET($BN$2,0,0,ROW()-1,60),ROW()-1,FALSE))</f>
        <v>30421.001619999999</v>
      </c>
      <c r="BE494">
        <f ca="1">IF(AND(ISNUMBER($BE$991),$B$511=1),$BE$991,HLOOKUP(INDIRECT(ADDRESS(2,COLUMN())),OFFSET($BN$2,0,0,ROW()-1,60),ROW()-1,FALSE))</f>
        <v>24917.040400000002</v>
      </c>
      <c r="BF494">
        <f ca="1">IF(AND(ISNUMBER($BF$991),$B$511=1),$BF$991,HLOOKUP(INDIRECT(ADDRESS(2,COLUMN())),OFFSET($BN$2,0,0,ROW()-1,60),ROW()-1,FALSE))</f>
        <v>29947.574860000001</v>
      </c>
      <c r="BG494">
        <f ca="1">IF(AND(ISNUMBER($BG$991),$B$511=1),$BG$991,HLOOKUP(INDIRECT(ADDRESS(2,COLUMN())),OFFSET($BN$2,0,0,ROW()-1,60),ROW()-1,FALSE))</f>
        <v>21022.837790000001</v>
      </c>
      <c r="BH494">
        <f ca="1">IF(AND(ISNUMBER($BH$991),$B$511=1),$BH$991,HLOOKUP(INDIRECT(ADDRESS(2,COLUMN())),OFFSET($BN$2,0,0,ROW()-1,60),ROW()-1,FALSE))</f>
        <v>24583.69671</v>
      </c>
      <c r="BI494">
        <f ca="1">IF(AND(ISNUMBER($BI$991),$B$511=1),$BI$991,HLOOKUP(INDIRECT(ADDRESS(2,COLUMN())),OFFSET($BN$2,0,0,ROW()-1,60),ROW()-1,FALSE))</f>
        <v>18295.782879999999</v>
      </c>
      <c r="BJ494">
        <f ca="1">IF(AND(ISNUMBER($BJ$991),$B$511=1),$BJ$991,HLOOKUP(INDIRECT(ADDRESS(2,COLUMN())),OFFSET($BN$2,0,0,ROW()-1,60),ROW()-1,FALSE))</f>
        <v>19031.728770000002</v>
      </c>
      <c r="BK494">
        <f ca="1">IF(AND(ISNUMBER($BK$991),$B$511=1),$BK$991,HLOOKUP(INDIRECT(ADDRESS(2,COLUMN())),OFFSET($BN$2,0,0,ROW()-1,60),ROW()-1,FALSE))</f>
        <v>18069.753939999999</v>
      </c>
      <c r="BL494">
        <f ca="1">IF(AND(ISNUMBER($BL$991),$B$511=1),$BL$991,HLOOKUP(INDIRECT(ADDRESS(2,COLUMN())),OFFSET($BN$2,0,0,ROW()-1,60),ROW()-1,FALSE))</f>
        <v>15186.70492</v>
      </c>
      <c r="BM494">
        <f ca="1">IF(AND(ISNUMBER($BM$991),$B$511=1),$BM$991,HLOOKUP(INDIRECT(ADDRESS(2,COLUMN())),OFFSET($BN$2,0,0,ROW()-1,60),ROW()-1,FALSE))</f>
        <v>16572.633170000001</v>
      </c>
      <c r="BN494">
        <f>85018.96137</f>
        <v>85018.961370000005</v>
      </c>
      <c r="BO494">
        <f>79735.8232</f>
        <v>79735.823199999999</v>
      </c>
      <c r="BP494">
        <f>87330.23265</f>
        <v>87330.232650000005</v>
      </c>
      <c r="BQ494">
        <f>82901.02655</f>
        <v>82901.026549999995</v>
      </c>
      <c r="BR494">
        <f>100040.0518</f>
        <v>100040.0518</v>
      </c>
      <c r="BS494">
        <f>101110.4883</f>
        <v>101110.4883</v>
      </c>
      <c r="BT494">
        <f>83266.20824</f>
        <v>83266.208240000007</v>
      </c>
      <c r="BU494">
        <f>77206.49121</f>
        <v>77206.491209999993</v>
      </c>
      <c r="BV494">
        <f>74180.25709</f>
        <v>74180.257089999999</v>
      </c>
      <c r="BW494">
        <f>71562.47919</f>
        <v>71562.479189999998</v>
      </c>
      <c r="BX494">
        <f>69600.38387</f>
        <v>69600.383870000005</v>
      </c>
      <c r="BY494">
        <f>64788.54296</f>
        <v>64788.542959999999</v>
      </c>
      <c r="BZ494">
        <f>69072.36484</f>
        <v>69072.364839999995</v>
      </c>
      <c r="CA494">
        <f>75909.20026</f>
        <v>75909.200259999998</v>
      </c>
      <c r="CB494">
        <f>55260.69276</f>
        <v>55260.692759999998</v>
      </c>
      <c r="CC494">
        <f>110451.999</f>
        <v>110451.999</v>
      </c>
      <c r="CD494">
        <f>123797.7302</f>
        <v>123797.73020000001</v>
      </c>
      <c r="CE494">
        <f>105159.4171</f>
        <v>105159.41710000001</v>
      </c>
      <c r="CF494">
        <f>98319.33372</f>
        <v>98319.333719999995</v>
      </c>
      <c r="CG494">
        <f>123399.9056</f>
        <v>123399.9056</v>
      </c>
      <c r="CH494">
        <f>118881.782</f>
        <v>118881.78200000001</v>
      </c>
      <c r="CI494">
        <f>128117.73</f>
        <v>128117.73</v>
      </c>
      <c r="CJ494">
        <f>107124.8556</f>
        <v>107124.8556</v>
      </c>
      <c r="CK494">
        <f>91913.94539</f>
        <v>91913.945389999993</v>
      </c>
      <c r="CL494">
        <f>89446.91181</f>
        <v>89446.911810000005</v>
      </c>
      <c r="CM494">
        <f>102227.1508</f>
        <v>102227.1508</v>
      </c>
      <c r="CN494">
        <f>80828.76631</f>
        <v>80828.766310000006</v>
      </c>
      <c r="CO494">
        <f>70854.71619</f>
        <v>70854.716190000006</v>
      </c>
      <c r="CP494">
        <f>77535.84485</f>
        <v>77535.844849999994</v>
      </c>
      <c r="CQ494">
        <f>65162.99541</f>
        <v>65162.995410000003</v>
      </c>
      <c r="CR494">
        <f>60272.10232</f>
        <v>60272.102319999998</v>
      </c>
      <c r="CS494">
        <f>89132.88143</f>
        <v>89132.881429999994</v>
      </c>
      <c r="CT494">
        <f>73002.27104</f>
        <v>73002.271040000007</v>
      </c>
      <c r="CU494">
        <f>68835.7964</f>
        <v>68835.796400000007</v>
      </c>
      <c r="CV494">
        <f>53012.01659</f>
        <v>53012.016589999999</v>
      </c>
      <c r="CW494">
        <f>40315.87378</f>
        <v>40315.873780000002</v>
      </c>
      <c r="CX494">
        <f>38259.51577</f>
        <v>38259.515769999998</v>
      </c>
      <c r="CY494">
        <f>42491.81196</f>
        <v>42491.811959999999</v>
      </c>
      <c r="CZ494">
        <f>60884.5058</f>
        <v>60884.505799999999</v>
      </c>
      <c r="DA494">
        <f>107291.7257</f>
        <v>107291.7257</v>
      </c>
      <c r="DB494">
        <f>95653.04895</f>
        <v>95653.048949999997</v>
      </c>
      <c r="DC494">
        <f>109708.5903</f>
        <v>109708.5903</v>
      </c>
      <c r="DD494">
        <f>128493.0551</f>
        <v>128493.0551</v>
      </c>
      <c r="DE494">
        <f>99045.47343</f>
        <v>99045.473429999998</v>
      </c>
      <c r="DF494">
        <f>102150.0526</f>
        <v>102150.0526</v>
      </c>
      <c r="DG494">
        <f>82312.02948</f>
        <v>82312.029479999997</v>
      </c>
      <c r="DH494">
        <f>79549.68806</f>
        <v>79549.68806</v>
      </c>
      <c r="DI494">
        <f>56705.96855</f>
        <v>56705.968549999998</v>
      </c>
      <c r="DJ494">
        <f>54012.81728</f>
        <v>54012.817280000003</v>
      </c>
      <c r="DK494">
        <f>40119.59977</f>
        <v>40119.599770000001</v>
      </c>
      <c r="DL494">
        <f>30421.00162</f>
        <v>30421.001619999999</v>
      </c>
      <c r="DM494">
        <f>24917.0404</f>
        <v>24917.040400000002</v>
      </c>
      <c r="DN494">
        <f>29947.57486</f>
        <v>29947.574860000001</v>
      </c>
      <c r="DO494">
        <f>21022.83779</f>
        <v>21022.837790000001</v>
      </c>
      <c r="DP494">
        <f>24583.69671</f>
        <v>24583.69671</v>
      </c>
      <c r="DQ494">
        <f>18295.78288</f>
        <v>18295.782879999999</v>
      </c>
      <c r="DR494">
        <f>19031.72877</f>
        <v>19031.728770000002</v>
      </c>
      <c r="DS494">
        <f>18069.75394</f>
        <v>18069.753939999999</v>
      </c>
      <c r="DT494">
        <f>15186.70492</f>
        <v>15186.70492</v>
      </c>
      <c r="DU494">
        <f>16572.63317</f>
        <v>16572.633170000001</v>
      </c>
    </row>
    <row r="495" spans="1:125" x14ac:dyDescent="0.25">
      <c r="A495" t="str">
        <f>"    Yulon Motor Co Ltd"</f>
        <v xml:space="preserve">    Yulon Motor Co Ltd</v>
      </c>
      <c r="B495" t="str">
        <f>"2201 TT Equity"</f>
        <v>2201 TT Equity</v>
      </c>
      <c r="C495" t="str">
        <f t="shared" si="33"/>
        <v>RR902</v>
      </c>
      <c r="D495" t="str">
        <f t="shared" si="34"/>
        <v>CUR_MKT_CAP</v>
      </c>
      <c r="E495" t="str">
        <f t="shared" si="35"/>
        <v>Dynamic</v>
      </c>
      <c r="F495">
        <f ca="1">IF(AND(ISNUMBER($F$992),$B$511=1),$F$992,HLOOKUP(INDIRECT(ADDRESS(2,COLUMN())),OFFSET($BN$2,0,0,ROW()-1,60),ROW()-1,FALSE))</f>
        <v>969.86406390000002</v>
      </c>
      <c r="G495">
        <f ca="1">IF(AND(ISNUMBER($G$992),$B$511=1),$G$992,HLOOKUP(INDIRECT(ADDRESS(2,COLUMN())),OFFSET($BN$2,0,0,ROW()-1,60),ROW()-1,FALSE))</f>
        <v>937.33480710000003</v>
      </c>
      <c r="H495">
        <f ca="1">IF(AND(ISNUMBER($H$992),$B$511=1),$H$992,HLOOKUP(INDIRECT(ADDRESS(2,COLUMN())),OFFSET($BN$2,0,0,ROW()-1,60),ROW()-1,FALSE))</f>
        <v>1119.6444819999999</v>
      </c>
      <c r="I495">
        <f ca="1">IF(AND(ISNUMBER($I$992),$B$511=1),$I$992,HLOOKUP(INDIRECT(ADDRESS(2,COLUMN())),OFFSET($BN$2,0,0,ROW()-1,60),ROW()-1,FALSE))</f>
        <v>1089.830561</v>
      </c>
      <c r="J495">
        <f ca="1">IF(AND(ISNUMBER($J$992),$B$511=1),$J$992,HLOOKUP(INDIRECT(ADDRESS(2,COLUMN())),OFFSET($BN$2,0,0,ROW()-1,60),ROW()-1,FALSE))</f>
        <v>1221.160768</v>
      </c>
      <c r="K495">
        <f ca="1">IF(AND(ISNUMBER($K$992),$B$511=1),$K$992,HLOOKUP(INDIRECT(ADDRESS(2,COLUMN())),OFFSET($BN$2,0,0,ROW()-1,60),ROW()-1,FALSE))</f>
        <v>1280.3267989999999</v>
      </c>
      <c r="L495">
        <f ca="1">IF(AND(ISNUMBER($L$992),$B$511=1),$L$992,HLOOKUP(INDIRECT(ADDRESS(2,COLUMN())),OFFSET($BN$2,0,0,ROW()-1,60),ROW()-1,FALSE))</f>
        <v>1345.175025</v>
      </c>
      <c r="M495">
        <f ca="1">IF(AND(ISNUMBER($M$992),$B$511=1),$M$992,HLOOKUP(INDIRECT(ADDRESS(2,COLUMN())),OFFSET($BN$2,0,0,ROW()-1,60),ROW()-1,FALSE))</f>
        <v>1413.639514</v>
      </c>
      <c r="N495">
        <f ca="1">IF(AND(ISNUMBER($N$992),$B$511=1),$N$992,HLOOKUP(INDIRECT(ADDRESS(2,COLUMN())),OFFSET($BN$2,0,0,ROW()-1,60),ROW()-1,FALSE))</f>
        <v>1463.7958819999999</v>
      </c>
      <c r="O495">
        <f ca="1">IF(AND(ISNUMBER($O$992),$B$511=1),$O$992,HLOOKUP(INDIRECT(ADDRESS(2,COLUMN())),OFFSET($BN$2,0,0,ROW()-1,60),ROW()-1,FALSE))</f>
        <v>1301.338373</v>
      </c>
      <c r="P495">
        <f ca="1">IF(AND(ISNUMBER($P$992),$B$511=1),$P$992,HLOOKUP(INDIRECT(ADDRESS(2,COLUMN())),OFFSET($BN$2,0,0,ROW()-1,60),ROW()-1,FALSE))</f>
        <v>1384.9135140000001</v>
      </c>
      <c r="Q495">
        <f ca="1">IF(AND(ISNUMBER($Q$992),$B$511=1),$Q$992,HLOOKUP(INDIRECT(ADDRESS(2,COLUMN())),OFFSET($BN$2,0,0,ROW()-1,60),ROW()-1,FALSE))</f>
        <v>1333.189912</v>
      </c>
      <c r="R495">
        <f ca="1">IF(AND(ISNUMBER($R$992),$B$511=1),$R$992,HLOOKUP(INDIRECT(ADDRESS(2,COLUMN())),OFFSET($BN$2,0,0,ROW()-1,60),ROW()-1,FALSE))</f>
        <v>1526.845822</v>
      </c>
      <c r="S495">
        <f ca="1">IF(AND(ISNUMBER($S$992),$B$511=1),$S$992,HLOOKUP(INDIRECT(ADDRESS(2,COLUMN())),OFFSET($BN$2,0,0,ROW()-1,60),ROW()-1,FALSE))</f>
        <v>1443.13348</v>
      </c>
      <c r="T495">
        <f ca="1">IF(AND(ISNUMBER($T$992),$B$511=1),$T$992,HLOOKUP(INDIRECT(ADDRESS(2,COLUMN())),OFFSET($BN$2,0,0,ROW()-1,60),ROW()-1,FALSE))</f>
        <v>1403.4992179999999</v>
      </c>
      <c r="U495">
        <f ca="1">IF(AND(ISNUMBER($U$992),$B$511=1),$U$992,HLOOKUP(INDIRECT(ADDRESS(2,COLUMN())),OFFSET($BN$2,0,0,ROW()-1,60),ROW()-1,FALSE))</f>
        <v>1823.0553359999999</v>
      </c>
      <c r="V495">
        <f ca="1">IF(AND(ISNUMBER($V$992),$B$511=1),$V$992,HLOOKUP(INDIRECT(ADDRESS(2,COLUMN())),OFFSET($BN$2,0,0,ROW()-1,60),ROW()-1,FALSE))</f>
        <v>2151.5479049999999</v>
      </c>
      <c r="W495">
        <f ca="1">IF(AND(ISNUMBER($W$992),$B$511=1),$W$992,HLOOKUP(INDIRECT(ADDRESS(2,COLUMN())),OFFSET($BN$2,0,0,ROW()-1,60),ROW()-1,FALSE))</f>
        <v>2313.1906880000001</v>
      </c>
      <c r="X495">
        <f ca="1">IF(AND(ISNUMBER($X$992),$B$511=1),$X$992,HLOOKUP(INDIRECT(ADDRESS(2,COLUMN())),OFFSET($BN$2,0,0,ROW()-1,60),ROW()-1,FALSE))</f>
        <v>2352.8126910000001</v>
      </c>
      <c r="Y495">
        <f ca="1">IF(AND(ISNUMBER($Y$992),$B$511=1),$Y$992,HLOOKUP(INDIRECT(ADDRESS(2,COLUMN())),OFFSET($BN$2,0,0,ROW()-1,60),ROW()-1,FALSE))</f>
        <v>2559.2202280000001</v>
      </c>
      <c r="Z495">
        <f ca="1">IF(AND(ISNUMBER($Z$992),$B$511=1),$Z$992,HLOOKUP(INDIRECT(ADDRESS(2,COLUMN())),OFFSET($BN$2,0,0,ROW()-1,60),ROW()-1,FALSE))</f>
        <v>2597.947009</v>
      </c>
      <c r="AA495">
        <f ca="1">IF(AND(ISNUMBER($AA$992),$B$511=1),$AA$992,HLOOKUP(INDIRECT(ADDRESS(2,COLUMN())),OFFSET($BN$2,0,0,ROW()-1,60),ROW()-1,FALSE))</f>
        <v>2848.6327390000001</v>
      </c>
      <c r="AB495">
        <f ca="1">IF(AND(ISNUMBER($AB$992),$B$511=1),$AB$992,HLOOKUP(INDIRECT(ADDRESS(2,COLUMN())),OFFSET($BN$2,0,0,ROW()-1,60),ROW()-1,FALSE))</f>
        <v>2633.949329</v>
      </c>
      <c r="AC495">
        <f ca="1">IF(AND(ISNUMBER($AC$992),$B$511=1),$AC$992,HLOOKUP(INDIRECT(ADDRESS(2,COLUMN())),OFFSET($BN$2,0,0,ROW()-1,60),ROW()-1,FALSE))</f>
        <v>2518.5189839999998</v>
      </c>
      <c r="AD495">
        <f ca="1">IF(AND(ISNUMBER($AD$992),$B$511=1),$AD$992,HLOOKUP(INDIRECT(ADDRESS(2,COLUMN())),OFFSET($BN$2,0,0,ROW()-1,60),ROW()-1,FALSE))</f>
        <v>2814.7156709999999</v>
      </c>
      <c r="AE495">
        <f ca="1">IF(AND(ISNUMBER($AE$992),$B$511=1),$AE$992,HLOOKUP(INDIRECT(ADDRESS(2,COLUMN())),OFFSET($BN$2,0,0,ROW()-1,60),ROW()-1,FALSE))</f>
        <v>2975.6338329999999</v>
      </c>
      <c r="AF495">
        <f ca="1">IF(AND(ISNUMBER($AF$992),$B$511=1),$AF$992,HLOOKUP(INDIRECT(ADDRESS(2,COLUMN())),OFFSET($BN$2,0,0,ROW()-1,60),ROW()-1,FALSE))</f>
        <v>3164.3974010000002</v>
      </c>
      <c r="AG495">
        <f ca="1">IF(AND(ISNUMBER($AG$992),$B$511=1),$AG$992,HLOOKUP(INDIRECT(ADDRESS(2,COLUMN())),OFFSET($BN$2,0,0,ROW()-1,60),ROW()-1,FALSE))</f>
        <v>2761.913086</v>
      </c>
      <c r="AH495">
        <f ca="1">IF(AND(ISNUMBER($AH$992),$B$511=1),$AH$992,HLOOKUP(INDIRECT(ADDRESS(2,COLUMN())),OFFSET($BN$2,0,0,ROW()-1,60),ROW()-1,FALSE))</f>
        <v>3006.4964409999998</v>
      </c>
      <c r="AI495">
        <f ca="1">IF(AND(ISNUMBER($AI$992),$B$511=1),$AI$992,HLOOKUP(INDIRECT(ADDRESS(2,COLUMN())),OFFSET($BN$2,0,0,ROW()-1,60),ROW()-1,FALSE))</f>
        <v>2700.470229</v>
      </c>
      <c r="AJ495">
        <f ca="1">IF(AND(ISNUMBER($AJ$992),$B$511=1),$AJ$992,HLOOKUP(INDIRECT(ADDRESS(2,COLUMN())),OFFSET($BN$2,0,0,ROW()-1,60),ROW()-1,FALSE))</f>
        <v>2977.3147829999998</v>
      </c>
      <c r="AK495">
        <f ca="1">IF(AND(ISNUMBER($AK$992),$B$511=1),$AK$992,HLOOKUP(INDIRECT(ADDRESS(2,COLUMN())),OFFSET($BN$2,0,0,ROW()-1,60),ROW()-1,FALSE))</f>
        <v>3842.6385439999999</v>
      </c>
      <c r="AL495">
        <f ca="1">IF(AND(ISNUMBER($AL$992),$B$511=1),$AL$992,HLOOKUP(INDIRECT(ADDRESS(2,COLUMN())),OFFSET($BN$2,0,0,ROW()-1,60),ROW()-1,FALSE))</f>
        <v>2904.4940409999999</v>
      </c>
      <c r="AM495">
        <f ca="1">IF(AND(ISNUMBER($AM$992),$B$511=1),$AM$992,HLOOKUP(INDIRECT(ADDRESS(2,COLUMN())),OFFSET($BN$2,0,0,ROW()-1,60),ROW()-1,FALSE))</f>
        <v>3328.5029039999999</v>
      </c>
      <c r="AN495">
        <f ca="1">IF(AND(ISNUMBER($AN$992),$B$511=1),$AN$992,HLOOKUP(INDIRECT(ADDRESS(2,COLUMN())),OFFSET($BN$2,0,0,ROW()-1,60),ROW()-1,FALSE))</f>
        <v>2840.8058019999999</v>
      </c>
      <c r="AO495">
        <f ca="1">IF(AND(ISNUMBER($AO$992),$B$511=1),$AO$992,HLOOKUP(INDIRECT(ADDRESS(2,COLUMN())),OFFSET($BN$2,0,0,ROW()-1,60),ROW()-1,FALSE))</f>
        <v>1556.667917</v>
      </c>
      <c r="AP495">
        <f ca="1">IF(AND(ISNUMBER($AP$992),$B$511=1),$AP$992,HLOOKUP(INDIRECT(ADDRESS(2,COLUMN())),OFFSET($BN$2,0,0,ROW()-1,60),ROW()-1,FALSE))</f>
        <v>1743.283733</v>
      </c>
      <c r="AQ495">
        <f ca="1">IF(AND(ISNUMBER($AQ$992),$B$511=1),$AQ$992,HLOOKUP(INDIRECT(ADDRESS(2,COLUMN())),OFFSET($BN$2,0,0,ROW()-1,60),ROW()-1,FALSE))</f>
        <v>1851.3325850000001</v>
      </c>
      <c r="AR495">
        <f ca="1">IF(AND(ISNUMBER($AR$992),$B$511=1),$AR$992,HLOOKUP(INDIRECT(ADDRESS(2,COLUMN())),OFFSET($BN$2,0,0,ROW()-1,60),ROW()-1,FALSE))</f>
        <v>1805.0139650000001</v>
      </c>
      <c r="AS495">
        <f ca="1">IF(AND(ISNUMBER($AS$992),$B$511=1),$AS$992,HLOOKUP(INDIRECT(ADDRESS(2,COLUMN())),OFFSET($BN$2,0,0,ROW()-1,60),ROW()-1,FALSE))</f>
        <v>1493.3441539999999</v>
      </c>
      <c r="AT495">
        <f ca="1">IF(AND(ISNUMBER($AT$992),$B$511=1),$AT$992,HLOOKUP(INDIRECT(ADDRESS(2,COLUMN())),OFFSET($BN$2,0,0,ROW()-1,60),ROW()-1,FALSE))</f>
        <v>854.38675929999999</v>
      </c>
      <c r="AU495">
        <f ca="1">IF(AND(ISNUMBER($AU$992),$B$511=1),$AU$992,HLOOKUP(INDIRECT(ADDRESS(2,COLUMN())),OFFSET($BN$2,0,0,ROW()-1,60),ROW()-1,FALSE))</f>
        <v>674.67105509999999</v>
      </c>
      <c r="AV495">
        <f ca="1">IF(AND(ISNUMBER($AV$992),$B$511=1),$AV$992,HLOOKUP(INDIRECT(ADDRESS(2,COLUMN())),OFFSET($BN$2,0,0,ROW()-1,60),ROW()-1,FALSE))</f>
        <v>840.50506770000004</v>
      </c>
      <c r="AW495">
        <f ca="1">IF(AND(ISNUMBER($AW$992),$B$511=1),$AW$992,HLOOKUP(INDIRECT(ADDRESS(2,COLUMN())),OFFSET($BN$2,0,0,ROW()-1,60),ROW()-1,FALSE))</f>
        <v>1559.7075620000001</v>
      </c>
      <c r="AX495">
        <f ca="1">IF(AND(ISNUMBER($AX$992),$B$511=1),$AX$992,HLOOKUP(INDIRECT(ADDRESS(2,COLUMN())),OFFSET($BN$2,0,0,ROW()-1,60),ROW()-1,FALSE))</f>
        <v>2149.276206</v>
      </c>
      <c r="AY495">
        <f ca="1">IF(AND(ISNUMBER($AY$992),$B$511=1),$AY$992,HLOOKUP(INDIRECT(ADDRESS(2,COLUMN())),OFFSET($BN$2,0,0,ROW()-1,60),ROW()-1,FALSE))</f>
        <v>1416.7654439999999</v>
      </c>
      <c r="AZ495">
        <f ca="1">IF(AND(ISNUMBER($AZ$992),$B$511=1),$AZ$992,HLOOKUP(INDIRECT(ADDRESS(2,COLUMN())),OFFSET($BN$2,0,0,ROW()-1,60),ROW()-1,FALSE))</f>
        <v>1655.018967</v>
      </c>
      <c r="BA495">
        <f ca="1">IF(AND(ISNUMBER($BA$992),$B$511=1),$BA$992,HLOOKUP(INDIRECT(ADDRESS(2,COLUMN())),OFFSET($BN$2,0,0,ROW()-1,60),ROW()-1,FALSE))</f>
        <v>1782.1700920000001</v>
      </c>
      <c r="BB495">
        <f ca="1">IF(AND(ISNUMBER($BB$992),$B$511=1),$BB$992,HLOOKUP(INDIRECT(ADDRESS(2,COLUMN())),OFFSET($BN$2,0,0,ROW()-1,60),ROW()-1,FALSE))</f>
        <v>1613.0979830000001</v>
      </c>
      <c r="BC495">
        <f ca="1">IF(AND(ISNUMBER($BC$992),$B$511=1),$BC$992,HLOOKUP(INDIRECT(ADDRESS(2,COLUMN())),OFFSET($BN$2,0,0,ROW()-1,60),ROW()-1,FALSE))</f>
        <v>1737.743788</v>
      </c>
      <c r="BD495">
        <f ca="1">IF(AND(ISNUMBER($BD$992),$B$511=1),$BD$992,HLOOKUP(INDIRECT(ADDRESS(2,COLUMN())),OFFSET($BN$2,0,0,ROW()-1,60),ROW()-1,FALSE))</f>
        <v>1453.329158</v>
      </c>
      <c r="BE495">
        <f ca="1">IF(AND(ISNUMBER($BE$992),$B$511=1),$BE$992,HLOOKUP(INDIRECT(ADDRESS(2,COLUMN())),OFFSET($BN$2,0,0,ROW()-1,60),ROW()-1,FALSE))</f>
        <v>1694.914955</v>
      </c>
      <c r="BF495">
        <f ca="1">IF(AND(ISNUMBER($BF$992),$B$511=1),$BF$992,HLOOKUP(INDIRECT(ADDRESS(2,COLUMN())),OFFSET($BN$2,0,0,ROW()-1,60),ROW()-1,FALSE))</f>
        <v>1307.8051419999999</v>
      </c>
      <c r="BG495">
        <f ca="1">IF(AND(ISNUMBER($BG$992),$B$511=1),$BG$992,HLOOKUP(INDIRECT(ADDRESS(2,COLUMN())),OFFSET($BN$2,0,0,ROW()-1,60),ROW()-1,FALSE))</f>
        <v>1529.872333</v>
      </c>
      <c r="BH495">
        <f ca="1">IF(AND(ISNUMBER($BH$992),$B$511=1),$BH$992,HLOOKUP(INDIRECT(ADDRESS(2,COLUMN())),OFFSET($BN$2,0,0,ROW()-1,60),ROW()-1,FALSE))</f>
        <v>1413.1563719999999</v>
      </c>
      <c r="BI495">
        <f ca="1">IF(AND(ISNUMBER($BI$992),$B$511=1),$BI$992,HLOOKUP(INDIRECT(ADDRESS(2,COLUMN())),OFFSET($BN$2,0,0,ROW()-1,60),ROW()-1,FALSE))</f>
        <v>1609.4564459999999</v>
      </c>
      <c r="BJ495">
        <f ca="1">IF(AND(ISNUMBER($BJ$992),$B$511=1),$BJ$992,HLOOKUP(INDIRECT(ADDRESS(2,COLUMN())),OFFSET($BN$2,0,0,ROW()-1,60),ROW()-1,FALSE))</f>
        <v>1713.291076</v>
      </c>
      <c r="BK495">
        <f ca="1">IF(AND(ISNUMBER($BK$992),$B$511=1),$BK$992,HLOOKUP(INDIRECT(ADDRESS(2,COLUMN())),OFFSET($BN$2,0,0,ROW()-1,60),ROW()-1,FALSE))</f>
        <v>1615.6551959999999</v>
      </c>
      <c r="BL495">
        <f ca="1">IF(AND(ISNUMBER($BL$992),$B$511=1),$BL$992,HLOOKUP(INDIRECT(ADDRESS(2,COLUMN())),OFFSET($BN$2,0,0,ROW()-1,60),ROW()-1,FALSE))</f>
        <v>1466.2429890000001</v>
      </c>
      <c r="BM495">
        <f ca="1">IF(AND(ISNUMBER($BM$992),$B$511=1),$BM$992,HLOOKUP(INDIRECT(ADDRESS(2,COLUMN())),OFFSET($BN$2,0,0,ROW()-1,60),ROW()-1,FALSE))</f>
        <v>1510.3554039999999</v>
      </c>
      <c r="BN495">
        <f>969.8640639</f>
        <v>969.86406390000002</v>
      </c>
      <c r="BO495">
        <f>937.3348071</f>
        <v>937.33480710000003</v>
      </c>
      <c r="BP495">
        <f>1119.644482</f>
        <v>1119.6444819999999</v>
      </c>
      <c r="BQ495">
        <f>1089.830561</f>
        <v>1089.830561</v>
      </c>
      <c r="BR495">
        <f>1221.160768</f>
        <v>1221.160768</v>
      </c>
      <c r="BS495">
        <f>1280.326799</f>
        <v>1280.3267989999999</v>
      </c>
      <c r="BT495">
        <f>1345.175025</f>
        <v>1345.175025</v>
      </c>
      <c r="BU495">
        <f>1413.639514</f>
        <v>1413.639514</v>
      </c>
      <c r="BV495">
        <f>1463.795882</f>
        <v>1463.7958819999999</v>
      </c>
      <c r="BW495">
        <f>1301.338373</f>
        <v>1301.338373</v>
      </c>
      <c r="BX495">
        <f>1384.913514</f>
        <v>1384.9135140000001</v>
      </c>
      <c r="BY495">
        <f>1333.189912</f>
        <v>1333.189912</v>
      </c>
      <c r="BZ495">
        <f>1526.845822</f>
        <v>1526.845822</v>
      </c>
      <c r="CA495">
        <f>1443.13348</f>
        <v>1443.13348</v>
      </c>
      <c r="CB495">
        <f>1403.499218</f>
        <v>1403.4992179999999</v>
      </c>
      <c r="CC495">
        <f>1823.055336</f>
        <v>1823.0553359999999</v>
      </c>
      <c r="CD495">
        <f>2151.547905</f>
        <v>2151.5479049999999</v>
      </c>
      <c r="CE495">
        <f>2313.190688</f>
        <v>2313.1906880000001</v>
      </c>
      <c r="CF495">
        <f>2352.812691</f>
        <v>2352.8126910000001</v>
      </c>
      <c r="CG495">
        <f>2559.220228</f>
        <v>2559.2202280000001</v>
      </c>
      <c r="CH495">
        <f>2597.947009</f>
        <v>2597.947009</v>
      </c>
      <c r="CI495">
        <f>2848.632739</f>
        <v>2848.6327390000001</v>
      </c>
      <c r="CJ495">
        <f>2633.949329</f>
        <v>2633.949329</v>
      </c>
      <c r="CK495">
        <f>2518.518984</f>
        <v>2518.5189839999998</v>
      </c>
      <c r="CL495">
        <f>2814.715671</f>
        <v>2814.7156709999999</v>
      </c>
      <c r="CM495">
        <f>2975.633833</f>
        <v>2975.6338329999999</v>
      </c>
      <c r="CN495">
        <f>3164.397401</f>
        <v>3164.3974010000002</v>
      </c>
      <c r="CO495">
        <f>2761.913086</f>
        <v>2761.913086</v>
      </c>
      <c r="CP495">
        <f>3006.496441</f>
        <v>3006.4964409999998</v>
      </c>
      <c r="CQ495">
        <f>2700.470229</f>
        <v>2700.470229</v>
      </c>
      <c r="CR495">
        <f>2977.314783</f>
        <v>2977.3147829999998</v>
      </c>
      <c r="CS495">
        <f>3842.638544</f>
        <v>3842.6385439999999</v>
      </c>
      <c r="CT495">
        <f>2904.494041</f>
        <v>2904.4940409999999</v>
      </c>
      <c r="CU495">
        <f>3328.502904</f>
        <v>3328.5029039999999</v>
      </c>
      <c r="CV495">
        <f>2840.805802</f>
        <v>2840.8058019999999</v>
      </c>
      <c r="CW495">
        <f>1556.667917</f>
        <v>1556.667917</v>
      </c>
      <c r="CX495">
        <f>1743.283733</f>
        <v>1743.283733</v>
      </c>
      <c r="CY495">
        <f>1851.332585</f>
        <v>1851.3325850000001</v>
      </c>
      <c r="CZ495">
        <f>1805.013965</f>
        <v>1805.0139650000001</v>
      </c>
      <c r="DA495">
        <f>1493.344154</f>
        <v>1493.3441539999999</v>
      </c>
      <c r="DB495">
        <f>854.3867593</f>
        <v>854.38675929999999</v>
      </c>
      <c r="DC495">
        <f>674.6710551</f>
        <v>674.67105509999999</v>
      </c>
      <c r="DD495">
        <f>840.5050677</f>
        <v>840.50506770000004</v>
      </c>
      <c r="DE495">
        <f>1559.707562</f>
        <v>1559.7075620000001</v>
      </c>
      <c r="DF495">
        <f>2149.276206</f>
        <v>2149.276206</v>
      </c>
      <c r="DG495">
        <f>1416.765444</f>
        <v>1416.7654439999999</v>
      </c>
      <c r="DH495">
        <f>1655.018967</f>
        <v>1655.018967</v>
      </c>
      <c r="DI495">
        <f>1782.170092</f>
        <v>1782.1700920000001</v>
      </c>
      <c r="DJ495">
        <f>1613.097983</f>
        <v>1613.0979830000001</v>
      </c>
      <c r="DK495">
        <f>1737.743788</f>
        <v>1737.743788</v>
      </c>
      <c r="DL495">
        <f>1453.329158</f>
        <v>1453.329158</v>
      </c>
      <c r="DM495">
        <f>1694.914955</f>
        <v>1694.914955</v>
      </c>
      <c r="DN495">
        <f>1307.805142</f>
        <v>1307.8051419999999</v>
      </c>
      <c r="DO495">
        <f>1529.872333</f>
        <v>1529.872333</v>
      </c>
      <c r="DP495">
        <f>1413.156372</f>
        <v>1413.1563719999999</v>
      </c>
      <c r="DQ495">
        <f>1609.456446</f>
        <v>1609.4564459999999</v>
      </c>
      <c r="DR495">
        <f>1713.291076</f>
        <v>1713.291076</v>
      </c>
      <c r="DS495">
        <f>1615.655196</f>
        <v>1615.6551959999999</v>
      </c>
      <c r="DT495">
        <f>1466.242989</f>
        <v>1466.2429890000001</v>
      </c>
      <c r="DU495">
        <f>1510.355404</f>
        <v>1510.3554039999999</v>
      </c>
    </row>
    <row r="496" spans="1:125" x14ac:dyDescent="0.25">
      <c r="BN496" t="str">
        <f>""</f>
        <v/>
      </c>
      <c r="BO496" t="str">
        <f>""</f>
        <v/>
      </c>
      <c r="BP496" t="str">
        <f>""</f>
        <v/>
      </c>
      <c r="BQ496" t="str">
        <f>""</f>
        <v/>
      </c>
      <c r="BR496" t="str">
        <f>""</f>
        <v/>
      </c>
      <c r="BS496" t="str">
        <f>""</f>
        <v/>
      </c>
      <c r="BT496" t="str">
        <f>""</f>
        <v/>
      </c>
      <c r="BU496" t="str">
        <f>""</f>
        <v/>
      </c>
      <c r="BV496" t="str">
        <f>""</f>
        <v/>
      </c>
      <c r="BW496" t="str">
        <f>""</f>
        <v/>
      </c>
      <c r="BX496" t="str">
        <f>""</f>
        <v/>
      </c>
      <c r="BY496" t="str">
        <f>""</f>
        <v/>
      </c>
      <c r="BZ496" t="str">
        <f>""</f>
        <v/>
      </c>
      <c r="CA496" t="str">
        <f>""</f>
        <v/>
      </c>
      <c r="CB496" t="str">
        <f>""</f>
        <v/>
      </c>
      <c r="CC496" t="str">
        <f>""</f>
        <v/>
      </c>
      <c r="CD496" t="str">
        <f>""</f>
        <v/>
      </c>
      <c r="CE496" t="str">
        <f>""</f>
        <v/>
      </c>
      <c r="CF496" t="str">
        <f>""</f>
        <v/>
      </c>
      <c r="CG496" t="str">
        <f>""</f>
        <v/>
      </c>
      <c r="CH496" t="str">
        <f>""</f>
        <v/>
      </c>
      <c r="CI496" t="str">
        <f>""</f>
        <v/>
      </c>
      <c r="CJ496" t="str">
        <f>""</f>
        <v/>
      </c>
      <c r="CK496" t="str">
        <f>""</f>
        <v/>
      </c>
      <c r="CL496" t="str">
        <f>""</f>
        <v/>
      </c>
      <c r="CM496" t="str">
        <f>""</f>
        <v/>
      </c>
      <c r="CN496" t="str">
        <f>""</f>
        <v/>
      </c>
      <c r="CO496" t="str">
        <f>""</f>
        <v/>
      </c>
      <c r="CP496" t="str">
        <f>""</f>
        <v/>
      </c>
      <c r="CQ496" t="str">
        <f>""</f>
        <v/>
      </c>
      <c r="CR496" t="str">
        <f>""</f>
        <v/>
      </c>
      <c r="CS496" t="str">
        <f>""</f>
        <v/>
      </c>
      <c r="CT496" t="str">
        <f>""</f>
        <v/>
      </c>
      <c r="CU496" t="str">
        <f>""</f>
        <v/>
      </c>
      <c r="CV496" t="str">
        <f>""</f>
        <v/>
      </c>
      <c r="CW496" t="str">
        <f>""</f>
        <v/>
      </c>
      <c r="CX496" t="str">
        <f>""</f>
        <v/>
      </c>
      <c r="CY496" t="str">
        <f>""</f>
        <v/>
      </c>
      <c r="CZ496" t="str">
        <f>""</f>
        <v/>
      </c>
      <c r="DA496" t="str">
        <f>""</f>
        <v/>
      </c>
      <c r="DB496" t="str">
        <f>""</f>
        <v/>
      </c>
      <c r="DC496" t="str">
        <f>""</f>
        <v/>
      </c>
      <c r="DD496" t="str">
        <f>""</f>
        <v/>
      </c>
      <c r="DE496" t="str">
        <f>""</f>
        <v/>
      </c>
      <c r="DF496" t="str">
        <f>""</f>
        <v/>
      </c>
      <c r="DG496" t="str">
        <f>""</f>
        <v/>
      </c>
      <c r="DH496" t="str">
        <f>""</f>
        <v/>
      </c>
      <c r="DI496" t="str">
        <f>""</f>
        <v/>
      </c>
      <c r="DJ496" t="str">
        <f>""</f>
        <v/>
      </c>
      <c r="DK496" t="str">
        <f>""</f>
        <v/>
      </c>
      <c r="DL496" t="str">
        <f>""</f>
        <v/>
      </c>
      <c r="DM496" t="str">
        <f>""</f>
        <v/>
      </c>
      <c r="DN496" t="str">
        <f>""</f>
        <v/>
      </c>
      <c r="DO496" t="str">
        <f>""</f>
        <v/>
      </c>
      <c r="DP496" t="str">
        <f>""</f>
        <v/>
      </c>
      <c r="DQ496" t="str">
        <f>""</f>
        <v/>
      </c>
      <c r="DR496" t="str">
        <f>""</f>
        <v/>
      </c>
      <c r="DS496" t="str">
        <f>""</f>
        <v/>
      </c>
      <c r="DT496" t="str">
        <f>""</f>
        <v/>
      </c>
      <c r="DU496" t="str">
        <f>""</f>
        <v/>
      </c>
    </row>
    <row r="497" spans="1:125" x14ac:dyDescent="0.25">
      <c r="BN497" t="str">
        <f>""</f>
        <v/>
      </c>
      <c r="BO497" t="str">
        <f>""</f>
        <v/>
      </c>
      <c r="BP497" t="str">
        <f>""</f>
        <v/>
      </c>
      <c r="BQ497" t="str">
        <f>""</f>
        <v/>
      </c>
      <c r="BR497" t="str">
        <f>""</f>
        <v/>
      </c>
      <c r="BS497" t="str">
        <f>""</f>
        <v/>
      </c>
      <c r="BT497" t="str">
        <f>""</f>
        <v/>
      </c>
      <c r="BU497" t="str">
        <f>""</f>
        <v/>
      </c>
      <c r="BV497" t="str">
        <f>""</f>
        <v/>
      </c>
      <c r="BW497" t="str">
        <f>""</f>
        <v/>
      </c>
      <c r="BX497" t="str">
        <f>""</f>
        <v/>
      </c>
      <c r="BY497" t="str">
        <f>""</f>
        <v/>
      </c>
      <c r="BZ497" t="str">
        <f>""</f>
        <v/>
      </c>
      <c r="CA497" t="str">
        <f>""</f>
        <v/>
      </c>
      <c r="CB497" t="str">
        <f>""</f>
        <v/>
      </c>
      <c r="CC497" t="str">
        <f>""</f>
        <v/>
      </c>
      <c r="CD497" t="str">
        <f>""</f>
        <v/>
      </c>
      <c r="CE497" t="str">
        <f>""</f>
        <v/>
      </c>
      <c r="CF497" t="str">
        <f>""</f>
        <v/>
      </c>
      <c r="CG497" t="str">
        <f>""</f>
        <v/>
      </c>
      <c r="CH497" t="str">
        <f>""</f>
        <v/>
      </c>
      <c r="CI497" t="str">
        <f>""</f>
        <v/>
      </c>
      <c r="CJ497" t="str">
        <f>""</f>
        <v/>
      </c>
      <c r="CK497" t="str">
        <f>""</f>
        <v/>
      </c>
      <c r="CL497" t="str">
        <f>""</f>
        <v/>
      </c>
      <c r="CM497" t="str">
        <f>""</f>
        <v/>
      </c>
      <c r="CN497" t="str">
        <f>""</f>
        <v/>
      </c>
      <c r="CO497" t="str">
        <f>""</f>
        <v/>
      </c>
      <c r="CP497" t="str">
        <f>""</f>
        <v/>
      </c>
      <c r="CQ497" t="str">
        <f>""</f>
        <v/>
      </c>
      <c r="CR497" t="str">
        <f>""</f>
        <v/>
      </c>
      <c r="CS497" t="str">
        <f>""</f>
        <v/>
      </c>
      <c r="CT497" t="str">
        <f>""</f>
        <v/>
      </c>
      <c r="CU497" t="str">
        <f>""</f>
        <v/>
      </c>
      <c r="CV497" t="str">
        <f>""</f>
        <v/>
      </c>
      <c r="CW497" t="str">
        <f>""</f>
        <v/>
      </c>
      <c r="CX497" t="str">
        <f>""</f>
        <v/>
      </c>
      <c r="CY497" t="str">
        <f>""</f>
        <v/>
      </c>
      <c r="CZ497" t="str">
        <f>""</f>
        <v/>
      </c>
      <c r="DA497" t="str">
        <f>""</f>
        <v/>
      </c>
      <c r="DB497" t="str">
        <f>""</f>
        <v/>
      </c>
      <c r="DC497" t="str">
        <f>""</f>
        <v/>
      </c>
      <c r="DD497" t="str">
        <f>""</f>
        <v/>
      </c>
      <c r="DE497" t="str">
        <f>""</f>
        <v/>
      </c>
      <c r="DF497" t="str">
        <f>""</f>
        <v/>
      </c>
      <c r="DG497" t="str">
        <f>""</f>
        <v/>
      </c>
      <c r="DH497" t="str">
        <f>""</f>
        <v/>
      </c>
      <c r="DI497" t="str">
        <f>""</f>
        <v/>
      </c>
      <c r="DJ497" t="str">
        <f>""</f>
        <v/>
      </c>
      <c r="DK497" t="str">
        <f>""</f>
        <v/>
      </c>
      <c r="DL497" t="str">
        <f>""</f>
        <v/>
      </c>
      <c r="DM497" t="str">
        <f>""</f>
        <v/>
      </c>
      <c r="DN497" t="str">
        <f>""</f>
        <v/>
      </c>
      <c r="DO497" t="str">
        <f>""</f>
        <v/>
      </c>
      <c r="DP497" t="str">
        <f>""</f>
        <v/>
      </c>
      <c r="DQ497" t="str">
        <f>""</f>
        <v/>
      </c>
      <c r="DR497" t="str">
        <f>""</f>
        <v/>
      </c>
      <c r="DS497" t="str">
        <f>""</f>
        <v/>
      </c>
      <c r="DT497" t="str">
        <f>""</f>
        <v/>
      </c>
      <c r="DU497" t="str">
        <f>""</f>
        <v/>
      </c>
    </row>
    <row r="498" spans="1:125" x14ac:dyDescent="0.25">
      <c r="BN498" t="str">
        <f>""</f>
        <v/>
      </c>
      <c r="BO498" t="str">
        <f>""</f>
        <v/>
      </c>
      <c r="BP498" t="str">
        <f>""</f>
        <v/>
      </c>
      <c r="BQ498" t="str">
        <f>""</f>
        <v/>
      </c>
      <c r="BR498" t="str">
        <f>""</f>
        <v/>
      </c>
      <c r="BS498" t="str">
        <f>""</f>
        <v/>
      </c>
      <c r="BT498" t="str">
        <f>""</f>
        <v/>
      </c>
      <c r="BU498" t="str">
        <f>""</f>
        <v/>
      </c>
      <c r="BV498" t="str">
        <f>""</f>
        <v/>
      </c>
      <c r="BW498" t="str">
        <f>""</f>
        <v/>
      </c>
      <c r="BX498" t="str">
        <f>""</f>
        <v/>
      </c>
      <c r="BY498" t="str">
        <f>""</f>
        <v/>
      </c>
      <c r="BZ498" t="str">
        <f>""</f>
        <v/>
      </c>
      <c r="CA498" t="str">
        <f>""</f>
        <v/>
      </c>
      <c r="CB498" t="str">
        <f>""</f>
        <v/>
      </c>
      <c r="CC498" t="str">
        <f>""</f>
        <v/>
      </c>
      <c r="CD498" t="str">
        <f>""</f>
        <v/>
      </c>
      <c r="CE498" t="str">
        <f>""</f>
        <v/>
      </c>
      <c r="CF498" t="str">
        <f>""</f>
        <v/>
      </c>
      <c r="CG498" t="str">
        <f>""</f>
        <v/>
      </c>
      <c r="CH498" t="str">
        <f>""</f>
        <v/>
      </c>
      <c r="CI498" t="str">
        <f>""</f>
        <v/>
      </c>
      <c r="CJ498" t="str">
        <f>""</f>
        <v/>
      </c>
      <c r="CK498" t="str">
        <f>""</f>
        <v/>
      </c>
      <c r="CL498" t="str">
        <f>""</f>
        <v/>
      </c>
      <c r="CM498" t="str">
        <f>""</f>
        <v/>
      </c>
      <c r="CN498" t="str">
        <f>""</f>
        <v/>
      </c>
      <c r="CO498" t="str">
        <f>""</f>
        <v/>
      </c>
      <c r="CP498" t="str">
        <f>""</f>
        <v/>
      </c>
      <c r="CQ498" t="str">
        <f>""</f>
        <v/>
      </c>
      <c r="CR498" t="str">
        <f>""</f>
        <v/>
      </c>
      <c r="CS498" t="str">
        <f>""</f>
        <v/>
      </c>
      <c r="CT498" t="str">
        <f>""</f>
        <v/>
      </c>
      <c r="CU498" t="str">
        <f>""</f>
        <v/>
      </c>
      <c r="CV498" t="str">
        <f>""</f>
        <v/>
      </c>
      <c r="CW498" t="str">
        <f>""</f>
        <v/>
      </c>
      <c r="CX498" t="str">
        <f>""</f>
        <v/>
      </c>
      <c r="CY498" t="str">
        <f>""</f>
        <v/>
      </c>
      <c r="CZ498" t="str">
        <f>""</f>
        <v/>
      </c>
      <c r="DA498" t="str">
        <f>""</f>
        <v/>
      </c>
      <c r="DB498" t="str">
        <f>""</f>
        <v/>
      </c>
      <c r="DC498" t="str">
        <f>""</f>
        <v/>
      </c>
      <c r="DD498" t="str">
        <f>""</f>
        <v/>
      </c>
      <c r="DE498" t="str">
        <f>""</f>
        <v/>
      </c>
      <c r="DF498" t="str">
        <f>""</f>
        <v/>
      </c>
      <c r="DG498" t="str">
        <f>""</f>
        <v/>
      </c>
      <c r="DH498" t="str">
        <f>""</f>
        <v/>
      </c>
      <c r="DI498" t="str">
        <f>""</f>
        <v/>
      </c>
      <c r="DJ498" t="str">
        <f>""</f>
        <v/>
      </c>
      <c r="DK498" t="str">
        <f>""</f>
        <v/>
      </c>
      <c r="DL498" t="str">
        <f>""</f>
        <v/>
      </c>
      <c r="DM498" t="str">
        <f>""</f>
        <v/>
      </c>
      <c r="DN498" t="str">
        <f>""</f>
        <v/>
      </c>
      <c r="DO498" t="str">
        <f>""</f>
        <v/>
      </c>
      <c r="DP498" t="str">
        <f>""</f>
        <v/>
      </c>
      <c r="DQ498" t="str">
        <f>""</f>
        <v/>
      </c>
      <c r="DR498" t="str">
        <f>""</f>
        <v/>
      </c>
      <c r="DS498" t="str">
        <f>""</f>
        <v/>
      </c>
      <c r="DT498" t="str">
        <f>""</f>
        <v/>
      </c>
      <c r="DU498" t="str">
        <f>""</f>
        <v/>
      </c>
    </row>
    <row r="499" spans="1:125" x14ac:dyDescent="0.25">
      <c r="BN499" t="str">
        <f>""</f>
        <v/>
      </c>
      <c r="BO499" t="str">
        <f>""</f>
        <v/>
      </c>
      <c r="BP499" t="str">
        <f>""</f>
        <v/>
      </c>
      <c r="BQ499" t="str">
        <f>""</f>
        <v/>
      </c>
      <c r="BR499" t="str">
        <f>""</f>
        <v/>
      </c>
      <c r="BS499" t="str">
        <f>""</f>
        <v/>
      </c>
      <c r="BT499" t="str">
        <f>""</f>
        <v/>
      </c>
      <c r="BU499" t="str">
        <f>""</f>
        <v/>
      </c>
      <c r="BV499" t="str">
        <f>""</f>
        <v/>
      </c>
      <c r="BW499" t="str">
        <f>""</f>
        <v/>
      </c>
      <c r="BX499" t="str">
        <f>""</f>
        <v/>
      </c>
      <c r="BY499" t="str">
        <f>""</f>
        <v/>
      </c>
      <c r="BZ499" t="str">
        <f>""</f>
        <v/>
      </c>
      <c r="CA499" t="str">
        <f>""</f>
        <v/>
      </c>
      <c r="CB499" t="str">
        <f>""</f>
        <v/>
      </c>
      <c r="CC499" t="str">
        <f>""</f>
        <v/>
      </c>
      <c r="CD499" t="str">
        <f>""</f>
        <v/>
      </c>
      <c r="CE499" t="str">
        <f>""</f>
        <v/>
      </c>
      <c r="CF499" t="str">
        <f>""</f>
        <v/>
      </c>
      <c r="CG499" t="str">
        <f>""</f>
        <v/>
      </c>
      <c r="CH499" t="str">
        <f>""</f>
        <v/>
      </c>
      <c r="CI499" t="str">
        <f>""</f>
        <v/>
      </c>
      <c r="CJ499" t="str">
        <f>""</f>
        <v/>
      </c>
      <c r="CK499" t="str">
        <f>""</f>
        <v/>
      </c>
      <c r="CL499" t="str">
        <f>""</f>
        <v/>
      </c>
      <c r="CM499" t="str">
        <f>""</f>
        <v/>
      </c>
      <c r="CN499" t="str">
        <f>""</f>
        <v/>
      </c>
      <c r="CO499" t="str">
        <f>""</f>
        <v/>
      </c>
      <c r="CP499" t="str">
        <f>""</f>
        <v/>
      </c>
      <c r="CQ499" t="str">
        <f>""</f>
        <v/>
      </c>
      <c r="CR499" t="str">
        <f>""</f>
        <v/>
      </c>
      <c r="CS499" t="str">
        <f>""</f>
        <v/>
      </c>
      <c r="CT499" t="str">
        <f>""</f>
        <v/>
      </c>
      <c r="CU499" t="str">
        <f>""</f>
        <v/>
      </c>
      <c r="CV499" t="str">
        <f>""</f>
        <v/>
      </c>
      <c r="CW499" t="str">
        <f>""</f>
        <v/>
      </c>
      <c r="CX499" t="str">
        <f>""</f>
        <v/>
      </c>
      <c r="CY499" t="str">
        <f>""</f>
        <v/>
      </c>
      <c r="CZ499" t="str">
        <f>""</f>
        <v/>
      </c>
      <c r="DA499" t="str">
        <f>""</f>
        <v/>
      </c>
      <c r="DB499" t="str">
        <f>""</f>
        <v/>
      </c>
      <c r="DC499" t="str">
        <f>""</f>
        <v/>
      </c>
      <c r="DD499" t="str">
        <f>""</f>
        <v/>
      </c>
      <c r="DE499" t="str">
        <f>""</f>
        <v/>
      </c>
      <c r="DF499" t="str">
        <f>""</f>
        <v/>
      </c>
      <c r="DG499" t="str">
        <f>""</f>
        <v/>
      </c>
      <c r="DH499" t="str">
        <f>""</f>
        <v/>
      </c>
      <c r="DI499" t="str">
        <f>""</f>
        <v/>
      </c>
      <c r="DJ499" t="str">
        <f>""</f>
        <v/>
      </c>
      <c r="DK499" t="str">
        <f>""</f>
        <v/>
      </c>
      <c r="DL499" t="str">
        <f>""</f>
        <v/>
      </c>
      <c r="DM499" t="str">
        <f>""</f>
        <v/>
      </c>
      <c r="DN499" t="str">
        <f>""</f>
        <v/>
      </c>
      <c r="DO499" t="str">
        <f>""</f>
        <v/>
      </c>
      <c r="DP499" t="str">
        <f>""</f>
        <v/>
      </c>
      <c r="DQ499" t="str">
        <f>""</f>
        <v/>
      </c>
      <c r="DR499" t="str">
        <f>""</f>
        <v/>
      </c>
      <c r="DS499" t="str">
        <f>""</f>
        <v/>
      </c>
      <c r="DT499" t="str">
        <f>""</f>
        <v/>
      </c>
      <c r="DU499" t="str">
        <f>""</f>
        <v/>
      </c>
    </row>
    <row r="500" spans="1:125" x14ac:dyDescent="0.25">
      <c r="BN500" t="str">
        <f>""</f>
        <v/>
      </c>
      <c r="BO500" t="str">
        <f>""</f>
        <v/>
      </c>
      <c r="BP500" t="str">
        <f>""</f>
        <v/>
      </c>
      <c r="BQ500" t="str">
        <f>""</f>
        <v/>
      </c>
      <c r="BR500" t="str">
        <f>""</f>
        <v/>
      </c>
      <c r="BS500" t="str">
        <f>""</f>
        <v/>
      </c>
      <c r="BT500" t="str">
        <f>""</f>
        <v/>
      </c>
      <c r="BU500" t="str">
        <f>""</f>
        <v/>
      </c>
      <c r="BV500" t="str">
        <f>""</f>
        <v/>
      </c>
      <c r="BW500" t="str">
        <f>""</f>
        <v/>
      </c>
      <c r="BX500" t="str">
        <f>""</f>
        <v/>
      </c>
      <c r="BY500" t="str">
        <f>""</f>
        <v/>
      </c>
      <c r="BZ500" t="str">
        <f>""</f>
        <v/>
      </c>
      <c r="CA500" t="str">
        <f>""</f>
        <v/>
      </c>
      <c r="CB500" t="str">
        <f>""</f>
        <v/>
      </c>
      <c r="CC500" t="str">
        <f>""</f>
        <v/>
      </c>
      <c r="CD500" t="str">
        <f>""</f>
        <v/>
      </c>
      <c r="CE500" t="str">
        <f>""</f>
        <v/>
      </c>
      <c r="CF500" t="str">
        <f>""</f>
        <v/>
      </c>
      <c r="CG500" t="str">
        <f>""</f>
        <v/>
      </c>
      <c r="CH500" t="str">
        <f>""</f>
        <v/>
      </c>
      <c r="CI500" t="str">
        <f>""</f>
        <v/>
      </c>
      <c r="CJ500" t="str">
        <f>""</f>
        <v/>
      </c>
      <c r="CK500" t="str">
        <f>""</f>
        <v/>
      </c>
      <c r="CL500" t="str">
        <f>""</f>
        <v/>
      </c>
      <c r="CM500" t="str">
        <f>""</f>
        <v/>
      </c>
      <c r="CN500" t="str">
        <f>""</f>
        <v/>
      </c>
      <c r="CO500" t="str">
        <f>""</f>
        <v/>
      </c>
      <c r="CP500" t="str">
        <f>""</f>
        <v/>
      </c>
      <c r="CQ500" t="str">
        <f>""</f>
        <v/>
      </c>
      <c r="CR500" t="str">
        <f>""</f>
        <v/>
      </c>
      <c r="CS500" t="str">
        <f>""</f>
        <v/>
      </c>
      <c r="CT500" t="str">
        <f>""</f>
        <v/>
      </c>
      <c r="CU500" t="str">
        <f>""</f>
        <v/>
      </c>
      <c r="CV500" t="str">
        <f>""</f>
        <v/>
      </c>
      <c r="CW500" t="str">
        <f>""</f>
        <v/>
      </c>
      <c r="CX500" t="str">
        <f>""</f>
        <v/>
      </c>
      <c r="CY500" t="str">
        <f>""</f>
        <v/>
      </c>
      <c r="CZ500" t="str">
        <f>""</f>
        <v/>
      </c>
      <c r="DA500" t="str">
        <f>""</f>
        <v/>
      </c>
      <c r="DB500" t="str">
        <f>""</f>
        <v/>
      </c>
      <c r="DC500" t="str">
        <f>""</f>
        <v/>
      </c>
      <c r="DD500" t="str">
        <f>""</f>
        <v/>
      </c>
      <c r="DE500" t="str">
        <f>""</f>
        <v/>
      </c>
      <c r="DF500" t="str">
        <f>""</f>
        <v/>
      </c>
      <c r="DG500" t="str">
        <f>""</f>
        <v/>
      </c>
      <c r="DH500" t="str">
        <f>""</f>
        <v/>
      </c>
      <c r="DI500" t="str">
        <f>""</f>
        <v/>
      </c>
      <c r="DJ500" t="str">
        <f>""</f>
        <v/>
      </c>
      <c r="DK500" t="str">
        <f>""</f>
        <v/>
      </c>
      <c r="DL500" t="str">
        <f>""</f>
        <v/>
      </c>
      <c r="DM500" t="str">
        <f>""</f>
        <v/>
      </c>
      <c r="DN500" t="str">
        <f>""</f>
        <v/>
      </c>
      <c r="DO500" t="str">
        <f>""</f>
        <v/>
      </c>
      <c r="DP500" t="str">
        <f>""</f>
        <v/>
      </c>
      <c r="DQ500" t="str">
        <f>""</f>
        <v/>
      </c>
      <c r="DR500" t="str">
        <f>""</f>
        <v/>
      </c>
      <c r="DS500" t="str">
        <f>""</f>
        <v/>
      </c>
      <c r="DT500" t="str">
        <f>""</f>
        <v/>
      </c>
      <c r="DU500" t="str">
        <f>""</f>
        <v/>
      </c>
    </row>
    <row r="501" spans="1:125" x14ac:dyDescent="0.25">
      <c r="BN501" t="str">
        <f>""</f>
        <v/>
      </c>
      <c r="BO501" t="str">
        <f>""</f>
        <v/>
      </c>
      <c r="BP501" t="str">
        <f>""</f>
        <v/>
      </c>
      <c r="BQ501" t="str">
        <f>""</f>
        <v/>
      </c>
      <c r="BR501" t="str">
        <f>""</f>
        <v/>
      </c>
      <c r="BS501" t="str">
        <f>""</f>
        <v/>
      </c>
      <c r="BT501" t="str">
        <f>""</f>
        <v/>
      </c>
      <c r="BU501" t="str">
        <f>""</f>
        <v/>
      </c>
      <c r="BV501" t="str">
        <f>""</f>
        <v/>
      </c>
      <c r="BW501" t="str">
        <f>""</f>
        <v/>
      </c>
      <c r="BX501" t="str">
        <f>""</f>
        <v/>
      </c>
      <c r="BY501" t="str">
        <f>""</f>
        <v/>
      </c>
      <c r="BZ501" t="str">
        <f>""</f>
        <v/>
      </c>
      <c r="CA501" t="str">
        <f>""</f>
        <v/>
      </c>
      <c r="CB501" t="str">
        <f>""</f>
        <v/>
      </c>
      <c r="CC501" t="str">
        <f>""</f>
        <v/>
      </c>
      <c r="CD501" t="str">
        <f>""</f>
        <v/>
      </c>
      <c r="CE501" t="str">
        <f>""</f>
        <v/>
      </c>
      <c r="CF501" t="str">
        <f>""</f>
        <v/>
      </c>
      <c r="CG501" t="str">
        <f>""</f>
        <v/>
      </c>
      <c r="CH501" t="str">
        <f>""</f>
        <v/>
      </c>
      <c r="CI501" t="str">
        <f>""</f>
        <v/>
      </c>
      <c r="CJ501" t="str">
        <f>""</f>
        <v/>
      </c>
      <c r="CK501" t="str">
        <f>""</f>
        <v/>
      </c>
      <c r="CL501" t="str">
        <f>""</f>
        <v/>
      </c>
      <c r="CM501" t="str">
        <f>""</f>
        <v/>
      </c>
      <c r="CN501" t="str">
        <f>""</f>
        <v/>
      </c>
      <c r="CO501" t="str">
        <f>""</f>
        <v/>
      </c>
      <c r="CP501" t="str">
        <f>""</f>
        <v/>
      </c>
      <c r="CQ501" t="str">
        <f>""</f>
        <v/>
      </c>
      <c r="CR501" t="str">
        <f>""</f>
        <v/>
      </c>
      <c r="CS501" t="str">
        <f>""</f>
        <v/>
      </c>
      <c r="CT501" t="str">
        <f>""</f>
        <v/>
      </c>
      <c r="CU501" t="str">
        <f>""</f>
        <v/>
      </c>
      <c r="CV501" t="str">
        <f>""</f>
        <v/>
      </c>
      <c r="CW501" t="str">
        <f>""</f>
        <v/>
      </c>
      <c r="CX501" t="str">
        <f>""</f>
        <v/>
      </c>
      <c r="CY501" t="str">
        <f>""</f>
        <v/>
      </c>
      <c r="CZ501" t="str">
        <f>""</f>
        <v/>
      </c>
      <c r="DA501" t="str">
        <f>""</f>
        <v/>
      </c>
      <c r="DB501" t="str">
        <f>""</f>
        <v/>
      </c>
      <c r="DC501" t="str">
        <f>""</f>
        <v/>
      </c>
      <c r="DD501" t="str">
        <f>""</f>
        <v/>
      </c>
      <c r="DE501" t="str">
        <f>""</f>
        <v/>
      </c>
      <c r="DF501" t="str">
        <f>""</f>
        <v/>
      </c>
      <c r="DG501" t="str">
        <f>""</f>
        <v/>
      </c>
      <c r="DH501" t="str">
        <f>""</f>
        <v/>
      </c>
      <c r="DI501" t="str">
        <f>""</f>
        <v/>
      </c>
      <c r="DJ501" t="str">
        <f>""</f>
        <v/>
      </c>
      <c r="DK501" t="str">
        <f>""</f>
        <v/>
      </c>
      <c r="DL501" t="str">
        <f>""</f>
        <v/>
      </c>
      <c r="DM501" t="str">
        <f>""</f>
        <v/>
      </c>
      <c r="DN501" t="str">
        <f>""</f>
        <v/>
      </c>
      <c r="DO501" t="str">
        <f>""</f>
        <v/>
      </c>
      <c r="DP501" t="str">
        <f>""</f>
        <v/>
      </c>
      <c r="DQ501" t="str">
        <f>""</f>
        <v/>
      </c>
      <c r="DR501" t="str">
        <f>""</f>
        <v/>
      </c>
      <c r="DS501" t="str">
        <f>""</f>
        <v/>
      </c>
      <c r="DT501" t="str">
        <f>""</f>
        <v/>
      </c>
      <c r="DU501" t="str">
        <f>""</f>
        <v/>
      </c>
    </row>
    <row r="502" spans="1:125" x14ac:dyDescent="0.25">
      <c r="BN502" t="str">
        <f>""</f>
        <v/>
      </c>
      <c r="BO502" t="str">
        <f>""</f>
        <v/>
      </c>
      <c r="BP502" t="str">
        <f>""</f>
        <v/>
      </c>
      <c r="BQ502" t="str">
        <f>""</f>
        <v/>
      </c>
      <c r="BR502" t="str">
        <f>""</f>
        <v/>
      </c>
      <c r="BS502" t="str">
        <f>""</f>
        <v/>
      </c>
      <c r="BT502" t="str">
        <f>""</f>
        <v/>
      </c>
      <c r="BU502" t="str">
        <f>""</f>
        <v/>
      </c>
      <c r="BV502" t="str">
        <f>""</f>
        <v/>
      </c>
      <c r="BW502" t="str">
        <f>""</f>
        <v/>
      </c>
      <c r="BX502" t="str">
        <f>""</f>
        <v/>
      </c>
      <c r="BY502" t="str">
        <f>""</f>
        <v/>
      </c>
      <c r="BZ502" t="str">
        <f>""</f>
        <v/>
      </c>
      <c r="CA502" t="str">
        <f>""</f>
        <v/>
      </c>
      <c r="CB502" t="str">
        <f>""</f>
        <v/>
      </c>
      <c r="CC502" t="str">
        <f>""</f>
        <v/>
      </c>
      <c r="CD502" t="str">
        <f>""</f>
        <v/>
      </c>
      <c r="CE502" t="str">
        <f>""</f>
        <v/>
      </c>
      <c r="CF502" t="str">
        <f>""</f>
        <v/>
      </c>
      <c r="CG502" t="str">
        <f>""</f>
        <v/>
      </c>
      <c r="CH502" t="str">
        <f>""</f>
        <v/>
      </c>
      <c r="CI502" t="str">
        <f>""</f>
        <v/>
      </c>
      <c r="CJ502" t="str">
        <f>""</f>
        <v/>
      </c>
      <c r="CK502" t="str">
        <f>""</f>
        <v/>
      </c>
      <c r="CL502" t="str">
        <f>""</f>
        <v/>
      </c>
      <c r="CM502" t="str">
        <f>""</f>
        <v/>
      </c>
      <c r="CN502" t="str">
        <f>""</f>
        <v/>
      </c>
      <c r="CO502" t="str">
        <f>""</f>
        <v/>
      </c>
      <c r="CP502" t="str">
        <f>""</f>
        <v/>
      </c>
      <c r="CQ502" t="str">
        <f>""</f>
        <v/>
      </c>
      <c r="CR502" t="str">
        <f>""</f>
        <v/>
      </c>
      <c r="CS502" t="str">
        <f>""</f>
        <v/>
      </c>
      <c r="CT502" t="str">
        <f>""</f>
        <v/>
      </c>
      <c r="CU502" t="str">
        <f>""</f>
        <v/>
      </c>
      <c r="CV502" t="str">
        <f>""</f>
        <v/>
      </c>
      <c r="CW502" t="str">
        <f>""</f>
        <v/>
      </c>
      <c r="CX502" t="str">
        <f>""</f>
        <v/>
      </c>
      <c r="CY502" t="str">
        <f>""</f>
        <v/>
      </c>
      <c r="CZ502" t="str">
        <f>""</f>
        <v/>
      </c>
      <c r="DA502" t="str">
        <f>""</f>
        <v/>
      </c>
      <c r="DB502" t="str">
        <f>""</f>
        <v/>
      </c>
      <c r="DC502" t="str">
        <f>""</f>
        <v/>
      </c>
      <c r="DD502" t="str">
        <f>""</f>
        <v/>
      </c>
      <c r="DE502" t="str">
        <f>""</f>
        <v/>
      </c>
      <c r="DF502" t="str">
        <f>""</f>
        <v/>
      </c>
      <c r="DG502" t="str">
        <f>""</f>
        <v/>
      </c>
      <c r="DH502" t="str">
        <f>""</f>
        <v/>
      </c>
      <c r="DI502" t="str">
        <f>""</f>
        <v/>
      </c>
      <c r="DJ502" t="str">
        <f>""</f>
        <v/>
      </c>
      <c r="DK502" t="str">
        <f>""</f>
        <v/>
      </c>
      <c r="DL502" t="str">
        <f>""</f>
        <v/>
      </c>
      <c r="DM502" t="str">
        <f>""</f>
        <v/>
      </c>
      <c r="DN502" t="str">
        <f>""</f>
        <v/>
      </c>
      <c r="DO502" t="str">
        <f>""</f>
        <v/>
      </c>
      <c r="DP502" t="str">
        <f>""</f>
        <v/>
      </c>
      <c r="DQ502" t="str">
        <f>""</f>
        <v/>
      </c>
      <c r="DR502" t="str">
        <f>""</f>
        <v/>
      </c>
      <c r="DS502" t="str">
        <f>""</f>
        <v/>
      </c>
      <c r="DT502" t="str">
        <f>""</f>
        <v/>
      </c>
      <c r="DU502" t="str">
        <f>""</f>
        <v/>
      </c>
    </row>
    <row r="503" spans="1:125" x14ac:dyDescent="0.25">
      <c r="A503" t="str">
        <f t="shared" ref="A503:AF503" si="36">"~~~~~~~~~~"</f>
        <v>~~~~~~~~~~</v>
      </c>
      <c r="B503" t="str">
        <f t="shared" si="36"/>
        <v>~~~~~~~~~~</v>
      </c>
      <c r="C503" t="str">
        <f t="shared" si="36"/>
        <v>~~~~~~~~~~</v>
      </c>
      <c r="D503" t="str">
        <f t="shared" si="36"/>
        <v>~~~~~~~~~~</v>
      </c>
      <c r="E503" t="str">
        <f t="shared" si="36"/>
        <v>~~~~~~~~~~</v>
      </c>
      <c r="F503" t="str">
        <f t="shared" si="36"/>
        <v>~~~~~~~~~~</v>
      </c>
      <c r="G503" t="str">
        <f t="shared" si="36"/>
        <v>~~~~~~~~~~</v>
      </c>
      <c r="H503" t="str">
        <f t="shared" si="36"/>
        <v>~~~~~~~~~~</v>
      </c>
      <c r="I503" t="str">
        <f t="shared" si="36"/>
        <v>~~~~~~~~~~</v>
      </c>
      <c r="J503" t="str">
        <f t="shared" si="36"/>
        <v>~~~~~~~~~~</v>
      </c>
      <c r="K503" t="str">
        <f t="shared" si="36"/>
        <v>~~~~~~~~~~</v>
      </c>
      <c r="L503" t="str">
        <f t="shared" si="36"/>
        <v>~~~~~~~~~~</v>
      </c>
      <c r="M503" t="str">
        <f t="shared" si="36"/>
        <v>~~~~~~~~~~</v>
      </c>
      <c r="N503" t="str">
        <f t="shared" si="36"/>
        <v>~~~~~~~~~~</v>
      </c>
      <c r="O503" t="str">
        <f t="shared" si="36"/>
        <v>~~~~~~~~~~</v>
      </c>
      <c r="P503" t="str">
        <f t="shared" si="36"/>
        <v>~~~~~~~~~~</v>
      </c>
      <c r="Q503" t="str">
        <f t="shared" si="36"/>
        <v>~~~~~~~~~~</v>
      </c>
      <c r="R503" t="str">
        <f t="shared" si="36"/>
        <v>~~~~~~~~~~</v>
      </c>
      <c r="S503" t="str">
        <f t="shared" si="36"/>
        <v>~~~~~~~~~~</v>
      </c>
      <c r="T503" t="str">
        <f t="shared" si="36"/>
        <v>~~~~~~~~~~</v>
      </c>
      <c r="U503" t="str">
        <f t="shared" si="36"/>
        <v>~~~~~~~~~~</v>
      </c>
      <c r="V503" t="str">
        <f t="shared" si="36"/>
        <v>~~~~~~~~~~</v>
      </c>
      <c r="W503" t="str">
        <f t="shared" si="36"/>
        <v>~~~~~~~~~~</v>
      </c>
      <c r="X503" t="str">
        <f t="shared" si="36"/>
        <v>~~~~~~~~~~</v>
      </c>
      <c r="Y503" t="str">
        <f t="shared" si="36"/>
        <v>~~~~~~~~~~</v>
      </c>
      <c r="Z503" t="str">
        <f t="shared" si="36"/>
        <v>~~~~~~~~~~</v>
      </c>
      <c r="AA503" t="str">
        <f t="shared" si="36"/>
        <v>~~~~~~~~~~</v>
      </c>
      <c r="AB503" t="str">
        <f t="shared" si="36"/>
        <v>~~~~~~~~~~</v>
      </c>
      <c r="AC503" t="str">
        <f t="shared" si="36"/>
        <v>~~~~~~~~~~</v>
      </c>
      <c r="AD503" t="str">
        <f t="shared" si="36"/>
        <v>~~~~~~~~~~</v>
      </c>
      <c r="AE503" t="str">
        <f t="shared" si="36"/>
        <v>~~~~~~~~~~</v>
      </c>
      <c r="AF503" t="str">
        <f t="shared" si="36"/>
        <v>~~~~~~~~~~</v>
      </c>
      <c r="AG503" t="str">
        <f t="shared" ref="AG503:BM503" si="37">"~~~~~~~~~~"</f>
        <v>~~~~~~~~~~</v>
      </c>
      <c r="AH503" t="str">
        <f t="shared" si="37"/>
        <v>~~~~~~~~~~</v>
      </c>
      <c r="AI503" t="str">
        <f t="shared" si="37"/>
        <v>~~~~~~~~~~</v>
      </c>
      <c r="AJ503" t="str">
        <f t="shared" si="37"/>
        <v>~~~~~~~~~~</v>
      </c>
      <c r="AK503" t="str">
        <f t="shared" si="37"/>
        <v>~~~~~~~~~~</v>
      </c>
      <c r="AL503" t="str">
        <f t="shared" si="37"/>
        <v>~~~~~~~~~~</v>
      </c>
      <c r="AM503" t="str">
        <f t="shared" si="37"/>
        <v>~~~~~~~~~~</v>
      </c>
      <c r="AN503" t="str">
        <f t="shared" si="37"/>
        <v>~~~~~~~~~~</v>
      </c>
      <c r="AO503" t="str">
        <f t="shared" si="37"/>
        <v>~~~~~~~~~~</v>
      </c>
      <c r="AP503" t="str">
        <f t="shared" si="37"/>
        <v>~~~~~~~~~~</v>
      </c>
      <c r="AQ503" t="str">
        <f t="shared" si="37"/>
        <v>~~~~~~~~~~</v>
      </c>
      <c r="AR503" t="str">
        <f t="shared" si="37"/>
        <v>~~~~~~~~~~</v>
      </c>
      <c r="AS503" t="str">
        <f t="shared" si="37"/>
        <v>~~~~~~~~~~</v>
      </c>
      <c r="AT503" t="str">
        <f t="shared" si="37"/>
        <v>~~~~~~~~~~</v>
      </c>
      <c r="AU503" t="str">
        <f t="shared" si="37"/>
        <v>~~~~~~~~~~</v>
      </c>
      <c r="AV503" t="str">
        <f t="shared" si="37"/>
        <v>~~~~~~~~~~</v>
      </c>
      <c r="AW503" t="str">
        <f t="shared" si="37"/>
        <v>~~~~~~~~~~</v>
      </c>
      <c r="AX503" t="str">
        <f t="shared" si="37"/>
        <v>~~~~~~~~~~</v>
      </c>
      <c r="AY503" t="str">
        <f t="shared" si="37"/>
        <v>~~~~~~~~~~</v>
      </c>
      <c r="AZ503" t="str">
        <f t="shared" si="37"/>
        <v>~~~~~~~~~~</v>
      </c>
      <c r="BA503" t="str">
        <f t="shared" si="37"/>
        <v>~~~~~~~~~~</v>
      </c>
      <c r="BB503" t="str">
        <f t="shared" si="37"/>
        <v>~~~~~~~~~~</v>
      </c>
      <c r="BC503" t="str">
        <f t="shared" si="37"/>
        <v>~~~~~~~~~~</v>
      </c>
      <c r="BD503" t="str">
        <f t="shared" si="37"/>
        <v>~~~~~~~~~~</v>
      </c>
      <c r="BE503" t="str">
        <f t="shared" si="37"/>
        <v>~~~~~~~~~~</v>
      </c>
      <c r="BF503" t="str">
        <f t="shared" si="37"/>
        <v>~~~~~~~~~~</v>
      </c>
      <c r="BG503" t="str">
        <f t="shared" si="37"/>
        <v>~~~~~~~~~~</v>
      </c>
      <c r="BH503" t="str">
        <f t="shared" si="37"/>
        <v>~~~~~~~~~~</v>
      </c>
      <c r="BI503" t="str">
        <f t="shared" si="37"/>
        <v>~~~~~~~~~~</v>
      </c>
      <c r="BJ503" t="str">
        <f t="shared" si="37"/>
        <v>~~~~~~~~~~</v>
      </c>
      <c r="BK503" t="str">
        <f t="shared" si="37"/>
        <v>~~~~~~~~~~</v>
      </c>
      <c r="BL503" t="str">
        <f t="shared" si="37"/>
        <v>~~~~~~~~~~</v>
      </c>
      <c r="BM503" t="str">
        <f t="shared" si="37"/>
        <v>~~~~~~~~~~</v>
      </c>
      <c r="BN503" t="str">
        <f>""</f>
        <v/>
      </c>
      <c r="BO503" t="str">
        <f>""</f>
        <v/>
      </c>
      <c r="BP503" t="str">
        <f>""</f>
        <v/>
      </c>
      <c r="BQ503" t="str">
        <f>""</f>
        <v/>
      </c>
      <c r="BR503" t="str">
        <f>""</f>
        <v/>
      </c>
      <c r="BS503" t="str">
        <f>""</f>
        <v/>
      </c>
      <c r="BT503" t="str">
        <f>""</f>
        <v/>
      </c>
      <c r="BU503" t="str">
        <f>""</f>
        <v/>
      </c>
      <c r="BV503" t="str">
        <f>""</f>
        <v/>
      </c>
      <c r="BW503" t="str">
        <f>""</f>
        <v/>
      </c>
      <c r="BX503" t="str">
        <f>""</f>
        <v/>
      </c>
      <c r="BY503" t="str">
        <f>""</f>
        <v/>
      </c>
      <c r="BZ503" t="str">
        <f>""</f>
        <v/>
      </c>
      <c r="CA503" t="str">
        <f>""</f>
        <v/>
      </c>
      <c r="CB503" t="str">
        <f>""</f>
        <v/>
      </c>
      <c r="CC503" t="str">
        <f>""</f>
        <v/>
      </c>
      <c r="CD503" t="str">
        <f>""</f>
        <v/>
      </c>
      <c r="CE503" t="str">
        <f>""</f>
        <v/>
      </c>
      <c r="CF503" t="str">
        <f>""</f>
        <v/>
      </c>
      <c r="CG503" t="str">
        <f>""</f>
        <v/>
      </c>
      <c r="CH503" t="str">
        <f>""</f>
        <v/>
      </c>
      <c r="CI503" t="str">
        <f>""</f>
        <v/>
      </c>
      <c r="CJ503" t="str">
        <f>""</f>
        <v/>
      </c>
      <c r="CK503" t="str">
        <f>""</f>
        <v/>
      </c>
      <c r="CL503" t="str">
        <f>""</f>
        <v/>
      </c>
      <c r="CM503" t="str">
        <f>""</f>
        <v/>
      </c>
      <c r="CN503" t="str">
        <f>""</f>
        <v/>
      </c>
      <c r="CO503" t="str">
        <f>""</f>
        <v/>
      </c>
      <c r="CP503" t="str">
        <f>""</f>
        <v/>
      </c>
      <c r="CQ503" t="str">
        <f>""</f>
        <v/>
      </c>
      <c r="CR503" t="str">
        <f>""</f>
        <v/>
      </c>
      <c r="CS503" t="str">
        <f>""</f>
        <v/>
      </c>
      <c r="CT503" t="str">
        <f>""</f>
        <v/>
      </c>
      <c r="CU503" t="str">
        <f>""</f>
        <v/>
      </c>
      <c r="CV503" t="str">
        <f>""</f>
        <v/>
      </c>
      <c r="CW503" t="str">
        <f>""</f>
        <v/>
      </c>
      <c r="CX503" t="str">
        <f>""</f>
        <v/>
      </c>
      <c r="CY503" t="str">
        <f>""</f>
        <v/>
      </c>
      <c r="CZ503" t="str">
        <f>""</f>
        <v/>
      </c>
      <c r="DA503" t="str">
        <f>""</f>
        <v/>
      </c>
      <c r="DB503" t="str">
        <f>""</f>
        <v/>
      </c>
      <c r="DC503" t="str">
        <f>""</f>
        <v/>
      </c>
      <c r="DD503" t="str">
        <f>""</f>
        <v/>
      </c>
      <c r="DE503" t="str">
        <f>""</f>
        <v/>
      </c>
      <c r="DF503" t="str">
        <f>""</f>
        <v/>
      </c>
      <c r="DG503" t="str">
        <f>""</f>
        <v/>
      </c>
      <c r="DH503" t="str">
        <f>""</f>
        <v/>
      </c>
      <c r="DI503" t="str">
        <f>""</f>
        <v/>
      </c>
      <c r="DJ503" t="str">
        <f>""</f>
        <v/>
      </c>
      <c r="DK503" t="str">
        <f>""</f>
        <v/>
      </c>
      <c r="DL503" t="str">
        <f>""</f>
        <v/>
      </c>
      <c r="DM503" t="str">
        <f>""</f>
        <v/>
      </c>
      <c r="DN503" t="str">
        <f>""</f>
        <v/>
      </c>
      <c r="DO503" t="str">
        <f>""</f>
        <v/>
      </c>
      <c r="DP503" t="str">
        <f>""</f>
        <v/>
      </c>
      <c r="DQ503" t="str">
        <f>""</f>
        <v/>
      </c>
      <c r="DR503" t="str">
        <f>""</f>
        <v/>
      </c>
      <c r="DS503" t="str">
        <f>""</f>
        <v/>
      </c>
      <c r="DT503" t="str">
        <f>""</f>
        <v/>
      </c>
      <c r="DU503" t="str">
        <f>""</f>
        <v/>
      </c>
    </row>
    <row r="504" spans="1:125" x14ac:dyDescent="0.25">
      <c r="A504" t="str">
        <f>"All rows below have been added for reference by formula rows above."</f>
        <v>All rows below have been added for reference by formula rows above.</v>
      </c>
      <c r="BN504" t="str">
        <f>""</f>
        <v/>
      </c>
      <c r="BO504" t="str">
        <f>""</f>
        <v/>
      </c>
      <c r="BP504" t="str">
        <f>""</f>
        <v/>
      </c>
      <c r="BQ504" t="str">
        <f>""</f>
        <v/>
      </c>
      <c r="BR504" t="str">
        <f>""</f>
        <v/>
      </c>
      <c r="BS504" t="str">
        <f>""</f>
        <v/>
      </c>
      <c r="BT504" t="str">
        <f>""</f>
        <v/>
      </c>
      <c r="BU504" t="str">
        <f>""</f>
        <v/>
      </c>
      <c r="BV504" t="str">
        <f>""</f>
        <v/>
      </c>
      <c r="BW504" t="str">
        <f>""</f>
        <v/>
      </c>
      <c r="BX504" t="str">
        <f>""</f>
        <v/>
      </c>
      <c r="BY504" t="str">
        <f>""</f>
        <v/>
      </c>
      <c r="BZ504" t="str">
        <f>""</f>
        <v/>
      </c>
      <c r="CA504" t="str">
        <f>""</f>
        <v/>
      </c>
      <c r="CB504" t="str">
        <f>""</f>
        <v/>
      </c>
      <c r="CC504" t="str">
        <f>""</f>
        <v/>
      </c>
      <c r="CD504" t="str">
        <f>""</f>
        <v/>
      </c>
      <c r="CE504" t="str">
        <f>""</f>
        <v/>
      </c>
      <c r="CF504" t="str">
        <f>""</f>
        <v/>
      </c>
      <c r="CG504" t="str">
        <f>""</f>
        <v/>
      </c>
      <c r="CH504" t="str">
        <f>""</f>
        <v/>
      </c>
      <c r="CI504" t="str">
        <f>""</f>
        <v/>
      </c>
      <c r="CJ504" t="str">
        <f>""</f>
        <v/>
      </c>
      <c r="CK504" t="str">
        <f>""</f>
        <v/>
      </c>
      <c r="CL504" t="str">
        <f>""</f>
        <v/>
      </c>
      <c r="CM504" t="str">
        <f>""</f>
        <v/>
      </c>
      <c r="CN504" t="str">
        <f>""</f>
        <v/>
      </c>
      <c r="CO504" t="str">
        <f>""</f>
        <v/>
      </c>
      <c r="CP504" t="str">
        <f>""</f>
        <v/>
      </c>
      <c r="CQ504" t="str">
        <f>""</f>
        <v/>
      </c>
      <c r="CR504" t="str">
        <f>""</f>
        <v/>
      </c>
      <c r="CS504" t="str">
        <f>""</f>
        <v/>
      </c>
      <c r="CT504" t="str">
        <f>""</f>
        <v/>
      </c>
      <c r="CU504" t="str">
        <f>""</f>
        <v/>
      </c>
      <c r="CV504" t="str">
        <f>""</f>
        <v/>
      </c>
      <c r="CW504" t="str">
        <f>""</f>
        <v/>
      </c>
      <c r="CX504" t="str">
        <f>""</f>
        <v/>
      </c>
      <c r="CY504" t="str">
        <f>""</f>
        <v/>
      </c>
      <c r="CZ504" t="str">
        <f>""</f>
        <v/>
      </c>
      <c r="DA504" t="str">
        <f>""</f>
        <v/>
      </c>
      <c r="DB504" t="str">
        <f>""</f>
        <v/>
      </c>
      <c r="DC504" t="str">
        <f>""</f>
        <v/>
      </c>
      <c r="DD504" t="str">
        <f>""</f>
        <v/>
      </c>
      <c r="DE504" t="str">
        <f>""</f>
        <v/>
      </c>
      <c r="DF504" t="str">
        <f>""</f>
        <v/>
      </c>
      <c r="DG504" t="str">
        <f>""</f>
        <v/>
      </c>
      <c r="DH504" t="str">
        <f>""</f>
        <v/>
      </c>
      <c r="DI504" t="str">
        <f>""</f>
        <v/>
      </c>
      <c r="DJ504" t="str">
        <f>""</f>
        <v/>
      </c>
      <c r="DK504" t="str">
        <f>""</f>
        <v/>
      </c>
      <c r="DL504" t="str">
        <f>""</f>
        <v/>
      </c>
      <c r="DM504" t="str">
        <f>""</f>
        <v/>
      </c>
      <c r="DN504" t="str">
        <f>""</f>
        <v/>
      </c>
      <c r="DO504" t="str">
        <f>""</f>
        <v/>
      </c>
      <c r="DP504" t="str">
        <f>""</f>
        <v/>
      </c>
      <c r="DQ504" t="str">
        <f>""</f>
        <v/>
      </c>
      <c r="DR504" t="str">
        <f>""</f>
        <v/>
      </c>
      <c r="DS504" t="str">
        <f>""</f>
        <v/>
      </c>
      <c r="DT504" t="str">
        <f>""</f>
        <v/>
      </c>
      <c r="DU504" t="str">
        <f>""</f>
        <v/>
      </c>
    </row>
    <row r="505" spans="1:125" x14ac:dyDescent="0.25">
      <c r="A505">
        <f>RTD("bloomberg.ccyreader", "", "#track", "DBG", "BIHITX", "1.0","RepeatHit")</f>
        <v>0</v>
      </c>
      <c r="BN505" t="str">
        <f>""</f>
        <v/>
      </c>
      <c r="BO505" t="str">
        <f>""</f>
        <v/>
      </c>
      <c r="BP505" t="str">
        <f>""</f>
        <v/>
      </c>
      <c r="BQ505" t="str">
        <f>""</f>
        <v/>
      </c>
      <c r="BR505" t="str">
        <f>""</f>
        <v/>
      </c>
      <c r="BS505" t="str">
        <f>""</f>
        <v/>
      </c>
      <c r="BT505" t="str">
        <f>""</f>
        <v/>
      </c>
      <c r="BU505" t="str">
        <f>""</f>
        <v/>
      </c>
      <c r="BV505" t="str">
        <f>""</f>
        <v/>
      </c>
      <c r="BW505" t="str">
        <f>""</f>
        <v/>
      </c>
      <c r="BX505" t="str">
        <f>""</f>
        <v/>
      </c>
      <c r="BY505" t="str">
        <f>""</f>
        <v/>
      </c>
      <c r="BZ505" t="str">
        <f>""</f>
        <v/>
      </c>
      <c r="CA505" t="str">
        <f>""</f>
        <v/>
      </c>
      <c r="CB505" t="str">
        <f>""</f>
        <v/>
      </c>
      <c r="CC505" t="str">
        <f>""</f>
        <v/>
      </c>
      <c r="CD505" t="str">
        <f>""</f>
        <v/>
      </c>
      <c r="CE505" t="str">
        <f>""</f>
        <v/>
      </c>
      <c r="CF505" t="str">
        <f>""</f>
        <v/>
      </c>
      <c r="CG505" t="str">
        <f>""</f>
        <v/>
      </c>
      <c r="CH505" t="str">
        <f>""</f>
        <v/>
      </c>
      <c r="CI505" t="str">
        <f>""</f>
        <v/>
      </c>
      <c r="CJ505" t="str">
        <f>""</f>
        <v/>
      </c>
      <c r="CK505" t="str">
        <f>""</f>
        <v/>
      </c>
      <c r="CL505" t="str">
        <f>""</f>
        <v/>
      </c>
      <c r="CM505" t="str">
        <f>""</f>
        <v/>
      </c>
      <c r="CN505" t="str">
        <f>""</f>
        <v/>
      </c>
      <c r="CO505" t="str">
        <f>""</f>
        <v/>
      </c>
      <c r="CP505" t="str">
        <f>""</f>
        <v/>
      </c>
      <c r="CQ505" t="str">
        <f>""</f>
        <v/>
      </c>
      <c r="CR505" t="str">
        <f>""</f>
        <v/>
      </c>
      <c r="CS505" t="str">
        <f>""</f>
        <v/>
      </c>
      <c r="CT505" t="str">
        <f>""</f>
        <v/>
      </c>
      <c r="CU505" t="str">
        <f>""</f>
        <v/>
      </c>
      <c r="CV505" t="str">
        <f>""</f>
        <v/>
      </c>
      <c r="CW505" t="str">
        <f>""</f>
        <v/>
      </c>
      <c r="CX505" t="str">
        <f>""</f>
        <v/>
      </c>
      <c r="CY505" t="str">
        <f>""</f>
        <v/>
      </c>
      <c r="CZ505" t="str">
        <f>""</f>
        <v/>
      </c>
      <c r="DA505" t="str">
        <f>""</f>
        <v/>
      </c>
      <c r="DB505" t="str">
        <f>""</f>
        <v/>
      </c>
      <c r="DC505" t="str">
        <f>""</f>
        <v/>
      </c>
      <c r="DD505" t="str">
        <f>""</f>
        <v/>
      </c>
      <c r="DE505" t="str">
        <f>""</f>
        <v/>
      </c>
      <c r="DF505" t="str">
        <f>""</f>
        <v/>
      </c>
      <c r="DG505" t="str">
        <f>""</f>
        <v/>
      </c>
      <c r="DH505" t="str">
        <f>""</f>
        <v/>
      </c>
      <c r="DI505" t="str">
        <f>""</f>
        <v/>
      </c>
      <c r="DJ505" t="str">
        <f>""</f>
        <v/>
      </c>
      <c r="DK505" t="str">
        <f>""</f>
        <v/>
      </c>
      <c r="DL505" t="str">
        <f>""</f>
        <v/>
      </c>
      <c r="DM505" t="str">
        <f>""</f>
        <v/>
      </c>
      <c r="DN505" t="str">
        <f>""</f>
        <v/>
      </c>
      <c r="DO505" t="str">
        <f>""</f>
        <v/>
      </c>
      <c r="DP505" t="str">
        <f>""</f>
        <v/>
      </c>
      <c r="DQ505" t="str">
        <f>""</f>
        <v/>
      </c>
      <c r="DR505" t="str">
        <f>""</f>
        <v/>
      </c>
      <c r="DS505" t="str">
        <f>""</f>
        <v/>
      </c>
      <c r="DT505" t="str">
        <f>""</f>
        <v/>
      </c>
      <c r="DU505" t="str">
        <f>""</f>
        <v/>
      </c>
    </row>
    <row r="506" spans="1:125" x14ac:dyDescent="0.25">
      <c r="A506" t="str">
        <f>"Currency"</f>
        <v>Currency</v>
      </c>
      <c r="B506" t="str">
        <f>"USD"</f>
        <v>USD</v>
      </c>
      <c r="BN506" t="str">
        <f>""</f>
        <v/>
      </c>
      <c r="BO506" t="str">
        <f>""</f>
        <v/>
      </c>
      <c r="BP506" t="str">
        <f>""</f>
        <v/>
      </c>
      <c r="BQ506" t="str">
        <f>""</f>
        <v/>
      </c>
      <c r="BR506" t="str">
        <f>""</f>
        <v/>
      </c>
      <c r="BS506" t="str">
        <f>""</f>
        <v/>
      </c>
      <c r="BT506" t="str">
        <f>""</f>
        <v/>
      </c>
      <c r="BU506" t="str">
        <f>""</f>
        <v/>
      </c>
      <c r="BV506" t="str">
        <f>""</f>
        <v/>
      </c>
      <c r="BW506" t="str">
        <f>""</f>
        <v/>
      </c>
      <c r="BX506" t="str">
        <f>""</f>
        <v/>
      </c>
      <c r="BY506" t="str">
        <f>""</f>
        <v/>
      </c>
      <c r="BZ506" t="str">
        <f>""</f>
        <v/>
      </c>
      <c r="CA506" t="str">
        <f>""</f>
        <v/>
      </c>
      <c r="CB506" t="str">
        <f>""</f>
        <v/>
      </c>
      <c r="CC506" t="str">
        <f>""</f>
        <v/>
      </c>
      <c r="CD506" t="str">
        <f>""</f>
        <v/>
      </c>
      <c r="CE506" t="str">
        <f>""</f>
        <v/>
      </c>
      <c r="CF506" t="str">
        <f>""</f>
        <v/>
      </c>
      <c r="CG506" t="str">
        <f>""</f>
        <v/>
      </c>
      <c r="CH506" t="str">
        <f>""</f>
        <v/>
      </c>
      <c r="CI506" t="str">
        <f>""</f>
        <v/>
      </c>
      <c r="CJ506" t="str">
        <f>""</f>
        <v/>
      </c>
      <c r="CK506" t="str">
        <f>""</f>
        <v/>
      </c>
      <c r="CL506" t="str">
        <f>""</f>
        <v/>
      </c>
      <c r="CM506" t="str">
        <f>""</f>
        <v/>
      </c>
      <c r="CN506" t="str">
        <f>""</f>
        <v/>
      </c>
      <c r="CO506" t="str">
        <f>""</f>
        <v/>
      </c>
      <c r="CP506" t="str">
        <f>""</f>
        <v/>
      </c>
      <c r="CQ506" t="str">
        <f>""</f>
        <v/>
      </c>
      <c r="CR506" t="str">
        <f>""</f>
        <v/>
      </c>
      <c r="CS506" t="str">
        <f>""</f>
        <v/>
      </c>
      <c r="CT506" t="str">
        <f>""</f>
        <v/>
      </c>
      <c r="CU506" t="str">
        <f>""</f>
        <v/>
      </c>
      <c r="CV506" t="str">
        <f>""</f>
        <v/>
      </c>
      <c r="CW506" t="str">
        <f>""</f>
        <v/>
      </c>
      <c r="CX506" t="str">
        <f>""</f>
        <v/>
      </c>
      <c r="CY506" t="str">
        <f>""</f>
        <v/>
      </c>
      <c r="CZ506" t="str">
        <f>""</f>
        <v/>
      </c>
      <c r="DA506" t="str">
        <f>""</f>
        <v/>
      </c>
      <c r="DB506" t="str">
        <f>""</f>
        <v/>
      </c>
      <c r="DC506" t="str">
        <f>""</f>
        <v/>
      </c>
      <c r="DD506" t="str">
        <f>""</f>
        <v/>
      </c>
      <c r="DE506" t="str">
        <f>""</f>
        <v/>
      </c>
      <c r="DF506" t="str">
        <f>""</f>
        <v/>
      </c>
      <c r="DG506" t="str">
        <f>""</f>
        <v/>
      </c>
      <c r="DH506" t="str">
        <f>""</f>
        <v/>
      </c>
      <c r="DI506" t="str">
        <f>""</f>
        <v/>
      </c>
      <c r="DJ506" t="str">
        <f>""</f>
        <v/>
      </c>
      <c r="DK506" t="str">
        <f>""</f>
        <v/>
      </c>
      <c r="DL506" t="str">
        <f>""</f>
        <v/>
      </c>
      <c r="DM506" t="str">
        <f>""</f>
        <v/>
      </c>
      <c r="DN506" t="str">
        <f>""</f>
        <v/>
      </c>
      <c r="DO506" t="str">
        <f>""</f>
        <v/>
      </c>
      <c r="DP506" t="str">
        <f>""</f>
        <v/>
      </c>
      <c r="DQ506" t="str">
        <f>""</f>
        <v/>
      </c>
      <c r="DR506" t="str">
        <f>""</f>
        <v/>
      </c>
      <c r="DS506" t="str">
        <f>""</f>
        <v/>
      </c>
      <c r="DT506" t="str">
        <f>""</f>
        <v/>
      </c>
      <c r="DU506" t="str">
        <f>""</f>
        <v/>
      </c>
    </row>
    <row r="507" spans="1:125" x14ac:dyDescent="0.25">
      <c r="A507" t="str">
        <f>"Periodicity"</f>
        <v>Periodicity</v>
      </c>
      <c r="B507" t="str">
        <f>"CQ"</f>
        <v>CQ</v>
      </c>
      <c r="C507" t="str">
        <f>"AQ"</f>
        <v>AQ</v>
      </c>
      <c r="BN507" t="str">
        <f>""</f>
        <v/>
      </c>
      <c r="BO507" t="str">
        <f>""</f>
        <v/>
      </c>
      <c r="BP507" t="str">
        <f>""</f>
        <v/>
      </c>
      <c r="BQ507" t="str">
        <f>""</f>
        <v/>
      </c>
      <c r="BR507" t="str">
        <f>""</f>
        <v/>
      </c>
      <c r="BS507" t="str">
        <f>""</f>
        <v/>
      </c>
      <c r="BT507" t="str">
        <f>""</f>
        <v/>
      </c>
      <c r="BU507" t="str">
        <f>""</f>
        <v/>
      </c>
      <c r="BV507" t="str">
        <f>""</f>
        <v/>
      </c>
      <c r="BW507" t="str">
        <f>""</f>
        <v/>
      </c>
      <c r="BX507" t="str">
        <f>""</f>
        <v/>
      </c>
      <c r="BY507" t="str">
        <f>""</f>
        <v/>
      </c>
      <c r="BZ507" t="str">
        <f>""</f>
        <v/>
      </c>
      <c r="CA507" t="str">
        <f>""</f>
        <v/>
      </c>
      <c r="CB507" t="str">
        <f>""</f>
        <v/>
      </c>
      <c r="CC507" t="str">
        <f>""</f>
        <v/>
      </c>
      <c r="CD507" t="str">
        <f>""</f>
        <v/>
      </c>
      <c r="CE507" t="str">
        <f>""</f>
        <v/>
      </c>
      <c r="CF507" t="str">
        <f>""</f>
        <v/>
      </c>
      <c r="CG507" t="str">
        <f>""</f>
        <v/>
      </c>
      <c r="CH507" t="str">
        <f>""</f>
        <v/>
      </c>
      <c r="CI507" t="str">
        <f>""</f>
        <v/>
      </c>
      <c r="CJ507" t="str">
        <f>""</f>
        <v/>
      </c>
      <c r="CK507" t="str">
        <f>""</f>
        <v/>
      </c>
      <c r="CL507" t="str">
        <f>""</f>
        <v/>
      </c>
      <c r="CM507" t="str">
        <f>""</f>
        <v/>
      </c>
      <c r="CN507" t="str">
        <f>""</f>
        <v/>
      </c>
      <c r="CO507" t="str">
        <f>""</f>
        <v/>
      </c>
      <c r="CP507" t="str">
        <f>""</f>
        <v/>
      </c>
      <c r="CQ507" t="str">
        <f>""</f>
        <v/>
      </c>
      <c r="CR507" t="str">
        <f>""</f>
        <v/>
      </c>
      <c r="CS507" t="str">
        <f>""</f>
        <v/>
      </c>
      <c r="CT507" t="str">
        <f>""</f>
        <v/>
      </c>
      <c r="CU507" t="str">
        <f>""</f>
        <v/>
      </c>
      <c r="CV507" t="str">
        <f>""</f>
        <v/>
      </c>
      <c r="CW507" t="str">
        <f>""</f>
        <v/>
      </c>
      <c r="CX507" t="str">
        <f>""</f>
        <v/>
      </c>
      <c r="CY507" t="str">
        <f>""</f>
        <v/>
      </c>
      <c r="CZ507" t="str">
        <f>""</f>
        <v/>
      </c>
      <c r="DA507" t="str">
        <f>""</f>
        <v/>
      </c>
      <c r="DB507" t="str">
        <f>""</f>
        <v/>
      </c>
      <c r="DC507" t="str">
        <f>""</f>
        <v/>
      </c>
      <c r="DD507" t="str">
        <f>""</f>
        <v/>
      </c>
      <c r="DE507" t="str">
        <f>""</f>
        <v/>
      </c>
      <c r="DF507" t="str">
        <f>""</f>
        <v/>
      </c>
      <c r="DG507" t="str">
        <f>""</f>
        <v/>
      </c>
      <c r="DH507" t="str">
        <f>""</f>
        <v/>
      </c>
      <c r="DI507" t="str">
        <f>""</f>
        <v/>
      </c>
      <c r="DJ507" t="str">
        <f>""</f>
        <v/>
      </c>
      <c r="DK507" t="str">
        <f>""</f>
        <v/>
      </c>
      <c r="DL507" t="str">
        <f>""</f>
        <v/>
      </c>
      <c r="DM507" t="str">
        <f>""</f>
        <v/>
      </c>
      <c r="DN507" t="str">
        <f>""</f>
        <v/>
      </c>
      <c r="DO507" t="str">
        <f>""</f>
        <v/>
      </c>
      <c r="DP507" t="str">
        <f>""</f>
        <v/>
      </c>
      <c r="DQ507" t="str">
        <f>""</f>
        <v/>
      </c>
      <c r="DR507" t="str">
        <f>""</f>
        <v/>
      </c>
      <c r="DS507" t="str">
        <f>""</f>
        <v/>
      </c>
      <c r="DT507" t="str">
        <f>""</f>
        <v/>
      </c>
      <c r="DU507" t="str">
        <f>""</f>
        <v/>
      </c>
    </row>
    <row r="508" spans="1:125" x14ac:dyDescent="0.25">
      <c r="A508" t="str">
        <f>"Number of Periods"</f>
        <v>Number of Periods</v>
      </c>
      <c r="B508">
        <f>60</f>
        <v>60</v>
      </c>
      <c r="BN508" t="str">
        <f>""</f>
        <v/>
      </c>
      <c r="BO508" t="str">
        <f>""</f>
        <v/>
      </c>
      <c r="BP508" t="str">
        <f>""</f>
        <v/>
      </c>
      <c r="BQ508" t="str">
        <f>""</f>
        <v/>
      </c>
      <c r="BR508" t="str">
        <f>""</f>
        <v/>
      </c>
      <c r="BS508" t="str">
        <f>""</f>
        <v/>
      </c>
      <c r="BT508" t="str">
        <f>""</f>
        <v/>
      </c>
      <c r="BU508" t="str">
        <f>""</f>
        <v/>
      </c>
      <c r="BV508" t="str">
        <f>""</f>
        <v/>
      </c>
      <c r="BW508" t="str">
        <f>""</f>
        <v/>
      </c>
      <c r="BX508" t="str">
        <f>""</f>
        <v/>
      </c>
      <c r="BY508" t="str">
        <f>""</f>
        <v/>
      </c>
      <c r="BZ508" t="str">
        <f>""</f>
        <v/>
      </c>
      <c r="CA508" t="str">
        <f>""</f>
        <v/>
      </c>
      <c r="CB508" t="str">
        <f>""</f>
        <v/>
      </c>
      <c r="CC508" t="str">
        <f>""</f>
        <v/>
      </c>
      <c r="CD508" t="str">
        <f>""</f>
        <v/>
      </c>
      <c r="CE508" t="str">
        <f>""</f>
        <v/>
      </c>
      <c r="CF508" t="str">
        <f>""</f>
        <v/>
      </c>
      <c r="CG508" t="str">
        <f>""</f>
        <v/>
      </c>
      <c r="CH508" t="str">
        <f>""</f>
        <v/>
      </c>
      <c r="CI508" t="str">
        <f>""</f>
        <v/>
      </c>
      <c r="CJ508" t="str">
        <f>""</f>
        <v/>
      </c>
      <c r="CK508" t="str">
        <f>""</f>
        <v/>
      </c>
      <c r="CL508" t="str">
        <f>""</f>
        <v/>
      </c>
      <c r="CM508" t="str">
        <f>""</f>
        <v/>
      </c>
      <c r="CN508" t="str">
        <f>""</f>
        <v/>
      </c>
      <c r="CO508" t="str">
        <f>""</f>
        <v/>
      </c>
      <c r="CP508" t="str">
        <f>""</f>
        <v/>
      </c>
      <c r="CQ508" t="str">
        <f>""</f>
        <v/>
      </c>
      <c r="CR508" t="str">
        <f>""</f>
        <v/>
      </c>
      <c r="CS508" t="str">
        <f>""</f>
        <v/>
      </c>
      <c r="CT508" t="str">
        <f>""</f>
        <v/>
      </c>
      <c r="CU508" t="str">
        <f>""</f>
        <v/>
      </c>
      <c r="CV508" t="str">
        <f>""</f>
        <v/>
      </c>
      <c r="CW508" t="str">
        <f>""</f>
        <v/>
      </c>
      <c r="CX508" t="str">
        <f>""</f>
        <v/>
      </c>
      <c r="CY508" t="str">
        <f>""</f>
        <v/>
      </c>
      <c r="CZ508" t="str">
        <f>""</f>
        <v/>
      </c>
      <c r="DA508" t="str">
        <f>""</f>
        <v/>
      </c>
      <c r="DB508" t="str">
        <f>""</f>
        <v/>
      </c>
      <c r="DC508" t="str">
        <f>""</f>
        <v/>
      </c>
      <c r="DD508" t="str">
        <f>""</f>
        <v/>
      </c>
      <c r="DE508" t="str">
        <f>""</f>
        <v/>
      </c>
      <c r="DF508" t="str">
        <f>""</f>
        <v/>
      </c>
      <c r="DG508" t="str">
        <f>""</f>
        <v/>
      </c>
      <c r="DH508" t="str">
        <f>""</f>
        <v/>
      </c>
      <c r="DI508" t="str">
        <f>""</f>
        <v/>
      </c>
      <c r="DJ508" t="str">
        <f>""</f>
        <v/>
      </c>
      <c r="DK508" t="str">
        <f>""</f>
        <v/>
      </c>
      <c r="DL508" t="str">
        <f>""</f>
        <v/>
      </c>
      <c r="DM508" t="str">
        <f>""</f>
        <v/>
      </c>
      <c r="DN508" t="str">
        <f>""</f>
        <v/>
      </c>
      <c r="DO508" t="str">
        <f>""</f>
        <v/>
      </c>
      <c r="DP508" t="str">
        <f>""</f>
        <v/>
      </c>
      <c r="DQ508" t="str">
        <f>""</f>
        <v/>
      </c>
      <c r="DR508" t="str">
        <f>""</f>
        <v/>
      </c>
      <c r="DS508" t="str">
        <f>""</f>
        <v/>
      </c>
      <c r="DT508" t="str">
        <f>""</f>
        <v/>
      </c>
      <c r="DU508" t="str">
        <f>""</f>
        <v/>
      </c>
    </row>
    <row r="509" spans="1:125" x14ac:dyDescent="0.25">
      <c r="A509" t="str">
        <f>"Start Date"</f>
        <v>Start Date</v>
      </c>
      <c r="B509" t="str">
        <f>CONCATENATE("-",$B$508,$B$507)</f>
        <v>-60CQ</v>
      </c>
      <c r="C509" t="str">
        <f>CONCATENATE("-",$B$508,$C$507)</f>
        <v>-60AQ</v>
      </c>
      <c r="BN509" t="str">
        <f>""</f>
        <v/>
      </c>
      <c r="BO509" t="str">
        <f>""</f>
        <v/>
      </c>
      <c r="BP509" t="str">
        <f>""</f>
        <v/>
      </c>
      <c r="BQ509" t="str">
        <f>""</f>
        <v/>
      </c>
      <c r="BR509" t="str">
        <f>""</f>
        <v/>
      </c>
      <c r="BS509" t="str">
        <f>""</f>
        <v/>
      </c>
      <c r="BT509" t="str">
        <f>""</f>
        <v/>
      </c>
      <c r="BU509" t="str">
        <f>""</f>
        <v/>
      </c>
      <c r="BV509" t="str">
        <f>""</f>
        <v/>
      </c>
      <c r="BW509" t="str">
        <f>""</f>
        <v/>
      </c>
      <c r="BX509" t="str">
        <f>""</f>
        <v/>
      </c>
      <c r="BY509" t="str">
        <f>""</f>
        <v/>
      </c>
      <c r="BZ509" t="str">
        <f>""</f>
        <v/>
      </c>
      <c r="CA509" t="str">
        <f>""</f>
        <v/>
      </c>
      <c r="CB509" t="str">
        <f>""</f>
        <v/>
      </c>
      <c r="CC509" t="str">
        <f>""</f>
        <v/>
      </c>
      <c r="CD509" t="str">
        <f>""</f>
        <v/>
      </c>
      <c r="CE509" t="str">
        <f>""</f>
        <v/>
      </c>
      <c r="CF509" t="str">
        <f>""</f>
        <v/>
      </c>
      <c r="CG509" t="str">
        <f>""</f>
        <v/>
      </c>
      <c r="CH509" t="str">
        <f>""</f>
        <v/>
      </c>
      <c r="CI509" t="str">
        <f>""</f>
        <v/>
      </c>
      <c r="CJ509" t="str">
        <f>""</f>
        <v/>
      </c>
      <c r="CK509" t="str">
        <f>""</f>
        <v/>
      </c>
      <c r="CL509" t="str">
        <f>""</f>
        <v/>
      </c>
      <c r="CM509" t="str">
        <f>""</f>
        <v/>
      </c>
      <c r="CN509" t="str">
        <f>""</f>
        <v/>
      </c>
      <c r="CO509" t="str">
        <f>""</f>
        <v/>
      </c>
      <c r="CP509" t="str">
        <f>""</f>
        <v/>
      </c>
      <c r="CQ509" t="str">
        <f>""</f>
        <v/>
      </c>
      <c r="CR509" t="str">
        <f>""</f>
        <v/>
      </c>
      <c r="CS509" t="str">
        <f>""</f>
        <v/>
      </c>
      <c r="CT509" t="str">
        <f>""</f>
        <v/>
      </c>
      <c r="CU509" t="str">
        <f>""</f>
        <v/>
      </c>
      <c r="CV509" t="str">
        <f>""</f>
        <v/>
      </c>
      <c r="CW509" t="str">
        <f>""</f>
        <v/>
      </c>
      <c r="CX509" t="str">
        <f>""</f>
        <v/>
      </c>
      <c r="CY509" t="str">
        <f>""</f>
        <v/>
      </c>
      <c r="CZ509" t="str">
        <f>""</f>
        <v/>
      </c>
      <c r="DA509" t="str">
        <f>""</f>
        <v/>
      </c>
      <c r="DB509" t="str">
        <f>""</f>
        <v/>
      </c>
      <c r="DC509" t="str">
        <f>""</f>
        <v/>
      </c>
      <c r="DD509" t="str">
        <f>""</f>
        <v/>
      </c>
      <c r="DE509" t="str">
        <f>""</f>
        <v/>
      </c>
      <c r="DF509" t="str">
        <f>""</f>
        <v/>
      </c>
      <c r="DG509" t="str">
        <f>""</f>
        <v/>
      </c>
      <c r="DH509" t="str">
        <f>""</f>
        <v/>
      </c>
      <c r="DI509" t="str">
        <f>""</f>
        <v/>
      </c>
      <c r="DJ509" t="str">
        <f>""</f>
        <v/>
      </c>
      <c r="DK509" t="str">
        <f>""</f>
        <v/>
      </c>
      <c r="DL509" t="str">
        <f>""</f>
        <v/>
      </c>
      <c r="DM509" t="str">
        <f>""</f>
        <v/>
      </c>
      <c r="DN509" t="str">
        <f>""</f>
        <v/>
      </c>
      <c r="DO509" t="str">
        <f>""</f>
        <v/>
      </c>
      <c r="DP509" t="str">
        <f>""</f>
        <v/>
      </c>
      <c r="DQ509" t="str">
        <f>""</f>
        <v/>
      </c>
      <c r="DR509" t="str">
        <f>""</f>
        <v/>
      </c>
      <c r="DS509" t="str">
        <f>""</f>
        <v/>
      </c>
      <c r="DT509" t="str">
        <f>""</f>
        <v/>
      </c>
      <c r="DU509" t="str">
        <f>""</f>
        <v/>
      </c>
    </row>
    <row r="510" spans="1:125" x14ac:dyDescent="0.25">
      <c r="A510" t="str">
        <f>"End Date"</f>
        <v>End Date</v>
      </c>
      <c r="B510">
        <f ca="1">IF(TODAY()&lt;DATE(2019, 3,31),DATE(2019, 3,31),TODAY())</f>
        <v>43555</v>
      </c>
      <c r="BN510" t="str">
        <f>""</f>
        <v/>
      </c>
      <c r="BO510" t="str">
        <f>""</f>
        <v/>
      </c>
      <c r="BP510" t="str">
        <f>""</f>
        <v/>
      </c>
      <c r="BQ510" t="str">
        <f>""</f>
        <v/>
      </c>
      <c r="BR510" t="str">
        <f>""</f>
        <v/>
      </c>
      <c r="BS510" t="str">
        <f>""</f>
        <v/>
      </c>
      <c r="BT510" t="str">
        <f>""</f>
        <v/>
      </c>
      <c r="BU510" t="str">
        <f>""</f>
        <v/>
      </c>
      <c r="BV510" t="str">
        <f>""</f>
        <v/>
      </c>
      <c r="BW510" t="str">
        <f>""</f>
        <v/>
      </c>
      <c r="BX510" t="str">
        <f>""</f>
        <v/>
      </c>
      <c r="BY510" t="str">
        <f>""</f>
        <v/>
      </c>
      <c r="BZ510" t="str">
        <f>""</f>
        <v/>
      </c>
      <c r="CA510" t="str">
        <f>""</f>
        <v/>
      </c>
      <c r="CB510" t="str">
        <f>""</f>
        <v/>
      </c>
      <c r="CC510" t="str">
        <f>""</f>
        <v/>
      </c>
      <c r="CD510" t="str">
        <f>""</f>
        <v/>
      </c>
      <c r="CE510" t="str">
        <f>""</f>
        <v/>
      </c>
      <c r="CF510" t="str">
        <f>""</f>
        <v/>
      </c>
      <c r="CG510" t="str">
        <f>""</f>
        <v/>
      </c>
      <c r="CH510" t="str">
        <f>""</f>
        <v/>
      </c>
      <c r="CI510" t="str">
        <f>""</f>
        <v/>
      </c>
      <c r="CJ510" t="str">
        <f>""</f>
        <v/>
      </c>
      <c r="CK510" t="str">
        <f>""</f>
        <v/>
      </c>
      <c r="CL510" t="str">
        <f>""</f>
        <v/>
      </c>
      <c r="CM510" t="str">
        <f>""</f>
        <v/>
      </c>
      <c r="CN510" t="str">
        <f>""</f>
        <v/>
      </c>
      <c r="CO510" t="str">
        <f>""</f>
        <v/>
      </c>
      <c r="CP510" t="str">
        <f>""</f>
        <v/>
      </c>
      <c r="CQ510" t="str">
        <f>""</f>
        <v/>
      </c>
      <c r="CR510" t="str">
        <f>""</f>
        <v/>
      </c>
      <c r="CS510" t="str">
        <f>""</f>
        <v/>
      </c>
      <c r="CT510" t="str">
        <f>""</f>
        <v/>
      </c>
      <c r="CU510" t="str">
        <f>""</f>
        <v/>
      </c>
      <c r="CV510" t="str">
        <f>""</f>
        <v/>
      </c>
      <c r="CW510" t="str">
        <f>""</f>
        <v/>
      </c>
      <c r="CX510" t="str">
        <f>""</f>
        <v/>
      </c>
      <c r="CY510" t="str">
        <f>""</f>
        <v/>
      </c>
      <c r="CZ510" t="str">
        <f>""</f>
        <v/>
      </c>
      <c r="DA510" t="str">
        <f>""</f>
        <v/>
      </c>
      <c r="DB510" t="str">
        <f>""</f>
        <v/>
      </c>
      <c r="DC510" t="str">
        <f>""</f>
        <v/>
      </c>
      <c r="DD510" t="str">
        <f>""</f>
        <v/>
      </c>
      <c r="DE510" t="str">
        <f>""</f>
        <v/>
      </c>
      <c r="DF510" t="str">
        <f>""</f>
        <v/>
      </c>
      <c r="DG510" t="str">
        <f>""</f>
        <v/>
      </c>
      <c r="DH510" t="str">
        <f>""</f>
        <v/>
      </c>
      <c r="DI510" t="str">
        <f>""</f>
        <v/>
      </c>
      <c r="DJ510" t="str">
        <f>""</f>
        <v/>
      </c>
      <c r="DK510" t="str">
        <f>""</f>
        <v/>
      </c>
      <c r="DL510" t="str">
        <f>""</f>
        <v/>
      </c>
      <c r="DM510" t="str">
        <f>""</f>
        <v/>
      </c>
      <c r="DN510" t="str">
        <f>""</f>
        <v/>
      </c>
      <c r="DO510" t="str">
        <f>""</f>
        <v/>
      </c>
      <c r="DP510" t="str">
        <f>""</f>
        <v/>
      </c>
      <c r="DQ510" t="str">
        <f>""</f>
        <v/>
      </c>
      <c r="DR510" t="str">
        <f>""</f>
        <v/>
      </c>
      <c r="DS510" t="str">
        <f>""</f>
        <v/>
      </c>
      <c r="DT510" t="str">
        <f>""</f>
        <v/>
      </c>
      <c r="DU510" t="str">
        <f>""</f>
        <v/>
      </c>
    </row>
    <row r="511" spans="1:125" x14ac:dyDescent="0.25">
      <c r="A511" t="str">
        <f>"HeaderStatus"</f>
        <v>HeaderStatus</v>
      </c>
      <c r="B511">
        <f ca="1">$B$1012*$B$1020</f>
        <v>4</v>
      </c>
      <c r="BN511" t="str">
        <f>""</f>
        <v/>
      </c>
      <c r="BO511" t="str">
        <f>""</f>
        <v/>
      </c>
      <c r="BP511" t="str">
        <f>""</f>
        <v/>
      </c>
      <c r="BQ511" t="str">
        <f>""</f>
        <v/>
      </c>
      <c r="BR511" t="str">
        <f>""</f>
        <v/>
      </c>
      <c r="BS511" t="str">
        <f>""</f>
        <v/>
      </c>
      <c r="BT511" t="str">
        <f>""</f>
        <v/>
      </c>
      <c r="BU511" t="str">
        <f>""</f>
        <v/>
      </c>
      <c r="BV511" t="str">
        <f>""</f>
        <v/>
      </c>
      <c r="BW511" t="str">
        <f>""</f>
        <v/>
      </c>
      <c r="BX511" t="str">
        <f>""</f>
        <v/>
      </c>
      <c r="BY511" t="str">
        <f>""</f>
        <v/>
      </c>
      <c r="BZ511" t="str">
        <f>""</f>
        <v/>
      </c>
      <c r="CA511" t="str">
        <f>""</f>
        <v/>
      </c>
      <c r="CB511" t="str">
        <f>""</f>
        <v/>
      </c>
      <c r="CC511" t="str">
        <f>""</f>
        <v/>
      </c>
      <c r="CD511" t="str">
        <f>""</f>
        <v/>
      </c>
      <c r="CE511" t="str">
        <f>""</f>
        <v/>
      </c>
      <c r="CF511" t="str">
        <f>""</f>
        <v/>
      </c>
      <c r="CG511" t="str">
        <f>""</f>
        <v/>
      </c>
      <c r="CH511" t="str">
        <f>""</f>
        <v/>
      </c>
      <c r="CI511" t="str">
        <f>""</f>
        <v/>
      </c>
      <c r="CJ511" t="str">
        <f>""</f>
        <v/>
      </c>
      <c r="CK511" t="str">
        <f>""</f>
        <v/>
      </c>
      <c r="CL511" t="str">
        <f>""</f>
        <v/>
      </c>
      <c r="CM511" t="str">
        <f>""</f>
        <v/>
      </c>
      <c r="CN511" t="str">
        <f>""</f>
        <v/>
      </c>
      <c r="CO511" t="str">
        <f>""</f>
        <v/>
      </c>
      <c r="CP511" t="str">
        <f>""</f>
        <v/>
      </c>
      <c r="CQ511" t="str">
        <f>""</f>
        <v/>
      </c>
      <c r="CR511" t="str">
        <f>""</f>
        <v/>
      </c>
      <c r="CS511" t="str">
        <f>""</f>
        <v/>
      </c>
      <c r="CT511" t="str">
        <f>""</f>
        <v/>
      </c>
      <c r="CU511" t="str">
        <f>""</f>
        <v/>
      </c>
      <c r="CV511" t="str">
        <f>""</f>
        <v/>
      </c>
      <c r="CW511" t="str">
        <f>""</f>
        <v/>
      </c>
      <c r="CX511" t="str">
        <f>""</f>
        <v/>
      </c>
      <c r="CY511" t="str">
        <f>""</f>
        <v/>
      </c>
      <c r="CZ511" t="str">
        <f>""</f>
        <v/>
      </c>
      <c r="DA511" t="str">
        <f>""</f>
        <v/>
      </c>
      <c r="DB511" t="str">
        <f>""</f>
        <v/>
      </c>
      <c r="DC511" t="str">
        <f>""</f>
        <v/>
      </c>
      <c r="DD511" t="str">
        <f>""</f>
        <v/>
      </c>
      <c r="DE511" t="str">
        <f>""</f>
        <v/>
      </c>
      <c r="DF511" t="str">
        <f>""</f>
        <v/>
      </c>
      <c r="DG511" t="str">
        <f>""</f>
        <v/>
      </c>
      <c r="DH511" t="str">
        <f>""</f>
        <v/>
      </c>
      <c r="DI511" t="str">
        <f>""</f>
        <v/>
      </c>
      <c r="DJ511" t="str">
        <f>""</f>
        <v/>
      </c>
      <c r="DK511" t="str">
        <f>""</f>
        <v/>
      </c>
      <c r="DL511" t="str">
        <f>""</f>
        <v/>
      </c>
      <c r="DM511" t="str">
        <f>""</f>
        <v/>
      </c>
      <c r="DN511" t="str">
        <f>""</f>
        <v/>
      </c>
      <c r="DO511" t="str">
        <f>""</f>
        <v/>
      </c>
      <c r="DP511" t="str">
        <f>""</f>
        <v/>
      </c>
      <c r="DQ511" t="str">
        <f>""</f>
        <v/>
      </c>
      <c r="DR511" t="str">
        <f>""</f>
        <v/>
      </c>
      <c r="DS511" t="str">
        <f>""</f>
        <v/>
      </c>
      <c r="DT511" t="str">
        <f>""</f>
        <v/>
      </c>
      <c r="DU511" t="str">
        <f>""</f>
        <v/>
      </c>
    </row>
    <row r="512" spans="1:125" x14ac:dyDescent="0.25">
      <c r="BN512" t="str">
        <f>""</f>
        <v/>
      </c>
      <c r="BO512" t="str">
        <f>""</f>
        <v/>
      </c>
      <c r="BP512" t="str">
        <f>""</f>
        <v/>
      </c>
      <c r="BQ512" t="str">
        <f>""</f>
        <v/>
      </c>
      <c r="BR512" t="str">
        <f>""</f>
        <v/>
      </c>
      <c r="BS512" t="str">
        <f>""</f>
        <v/>
      </c>
      <c r="BT512" t="str">
        <f>""</f>
        <v/>
      </c>
      <c r="BU512" t="str">
        <f>""</f>
        <v/>
      </c>
      <c r="BV512" t="str">
        <f>""</f>
        <v/>
      </c>
      <c r="BW512" t="str">
        <f>""</f>
        <v/>
      </c>
      <c r="BX512" t="str">
        <f>""</f>
        <v/>
      </c>
      <c r="BY512" t="str">
        <f>""</f>
        <v/>
      </c>
      <c r="BZ512" t="str">
        <f>""</f>
        <v/>
      </c>
      <c r="CA512" t="str">
        <f>""</f>
        <v/>
      </c>
      <c r="CB512" t="str">
        <f>""</f>
        <v/>
      </c>
      <c r="CC512" t="str">
        <f>""</f>
        <v/>
      </c>
      <c r="CD512" t="str">
        <f>""</f>
        <v/>
      </c>
      <c r="CE512" t="str">
        <f>""</f>
        <v/>
      </c>
      <c r="CF512" t="str">
        <f>""</f>
        <v/>
      </c>
      <c r="CG512" t="str">
        <f>""</f>
        <v/>
      </c>
      <c r="CH512" t="str">
        <f>""</f>
        <v/>
      </c>
      <c r="CI512" t="str">
        <f>""</f>
        <v/>
      </c>
      <c r="CJ512" t="str">
        <f>""</f>
        <v/>
      </c>
      <c r="CK512" t="str">
        <f>""</f>
        <v/>
      </c>
      <c r="CL512" t="str">
        <f>""</f>
        <v/>
      </c>
      <c r="CM512" t="str">
        <f>""</f>
        <v/>
      </c>
      <c r="CN512" t="str">
        <f>""</f>
        <v/>
      </c>
      <c r="CO512" t="str">
        <f>""</f>
        <v/>
      </c>
      <c r="CP512" t="str">
        <f>""</f>
        <v/>
      </c>
      <c r="CQ512" t="str">
        <f>""</f>
        <v/>
      </c>
      <c r="CR512" t="str">
        <f>""</f>
        <v/>
      </c>
      <c r="CS512" t="str">
        <f>""</f>
        <v/>
      </c>
      <c r="CT512" t="str">
        <f>""</f>
        <v/>
      </c>
      <c r="CU512" t="str">
        <f>""</f>
        <v/>
      </c>
      <c r="CV512" t="str">
        <f>""</f>
        <v/>
      </c>
      <c r="CW512" t="str">
        <f>""</f>
        <v/>
      </c>
      <c r="CX512" t="str">
        <f>""</f>
        <v/>
      </c>
      <c r="CY512" t="str">
        <f>""</f>
        <v/>
      </c>
      <c r="CZ512" t="str">
        <f>""</f>
        <v/>
      </c>
      <c r="DA512" t="str">
        <f>""</f>
        <v/>
      </c>
      <c r="DB512" t="str">
        <f>""</f>
        <v/>
      </c>
      <c r="DC512" t="str">
        <f>""</f>
        <v/>
      </c>
      <c r="DD512" t="str">
        <f>""</f>
        <v/>
      </c>
      <c r="DE512" t="str">
        <f>""</f>
        <v/>
      </c>
      <c r="DF512" t="str">
        <f>""</f>
        <v/>
      </c>
      <c r="DG512" t="str">
        <f>""</f>
        <v/>
      </c>
      <c r="DH512" t="str">
        <f>""</f>
        <v/>
      </c>
      <c r="DI512" t="str">
        <f>""</f>
        <v/>
      </c>
      <c r="DJ512" t="str">
        <f>""</f>
        <v/>
      </c>
      <c r="DK512" t="str">
        <f>""</f>
        <v/>
      </c>
      <c r="DL512" t="str">
        <f>""</f>
        <v/>
      </c>
      <c r="DM512" t="str">
        <f>""</f>
        <v/>
      </c>
      <c r="DN512" t="str">
        <f>""</f>
        <v/>
      </c>
      <c r="DO512" t="str">
        <f>""</f>
        <v/>
      </c>
      <c r="DP512" t="str">
        <f>""</f>
        <v/>
      </c>
      <c r="DQ512" t="str">
        <f>""</f>
        <v/>
      </c>
      <c r="DR512" t="str">
        <f>""</f>
        <v/>
      </c>
      <c r="DS512" t="str">
        <f>""</f>
        <v/>
      </c>
      <c r="DT512" t="str">
        <f>""</f>
        <v/>
      </c>
      <c r="DU512" t="str">
        <f>""</f>
        <v/>
      </c>
    </row>
    <row r="513" spans="1:125" x14ac:dyDescent="0.25">
      <c r="A513" t="str">
        <f>$A$4</f>
        <v xml:space="preserve">    AUDI AG</v>
      </c>
      <c r="B513" t="str">
        <f>$B$4</f>
        <v>NSU GR Equity</v>
      </c>
      <c r="C513" t="str">
        <f>$C$4</f>
        <v>RR844</v>
      </c>
      <c r="D513" t="str">
        <f>$D$4</f>
        <v>T12M_DIL_EPS_CONT_OPS</v>
      </c>
      <c r="E513" t="str">
        <f>$E$4</f>
        <v>Dynamic</v>
      </c>
      <c r="F513" t="str">
        <f ca="1">_xll.BDH($B$4,$C$4,$B$509,$B$510,CONCATENATE("Per=",$B$507),"Dts=H","Dir=H",CONCATENATE("Points=",$B$508),"Sort=R","Days=A","Fill=B",CONCATENATE("FX=", $B$506) )</f>
        <v>#N/A Connection</v>
      </c>
      <c r="BN513" t="str">
        <f>""</f>
        <v/>
      </c>
      <c r="BO513" t="str">
        <f>""</f>
        <v/>
      </c>
      <c r="BP513" t="str">
        <f>""</f>
        <v/>
      </c>
      <c r="BQ513" t="str">
        <f>""</f>
        <v/>
      </c>
      <c r="BR513" t="str">
        <f>""</f>
        <v/>
      </c>
      <c r="BS513" t="str">
        <f>""</f>
        <v/>
      </c>
      <c r="BT513" t="str">
        <f>""</f>
        <v/>
      </c>
      <c r="BU513" t="str">
        <f>""</f>
        <v/>
      </c>
      <c r="BV513" t="str">
        <f>""</f>
        <v/>
      </c>
      <c r="BW513" t="str">
        <f>""</f>
        <v/>
      </c>
      <c r="BX513" t="str">
        <f>""</f>
        <v/>
      </c>
      <c r="BY513" t="str">
        <f>""</f>
        <v/>
      </c>
      <c r="BZ513" t="str">
        <f>""</f>
        <v/>
      </c>
      <c r="CA513" t="str">
        <f>""</f>
        <v/>
      </c>
      <c r="CB513" t="str">
        <f>""</f>
        <v/>
      </c>
      <c r="CC513" t="str">
        <f>""</f>
        <v/>
      </c>
      <c r="CD513" t="str">
        <f>""</f>
        <v/>
      </c>
      <c r="CE513" t="str">
        <f>""</f>
        <v/>
      </c>
      <c r="CF513" t="str">
        <f>""</f>
        <v/>
      </c>
      <c r="CG513" t="str">
        <f>""</f>
        <v/>
      </c>
      <c r="CH513" t="str">
        <f>""</f>
        <v/>
      </c>
      <c r="CI513" t="str">
        <f>""</f>
        <v/>
      </c>
      <c r="CJ513" t="str">
        <f>""</f>
        <v/>
      </c>
      <c r="CK513" t="str">
        <f>""</f>
        <v/>
      </c>
      <c r="CL513" t="str">
        <f>""</f>
        <v/>
      </c>
      <c r="CM513" t="str">
        <f>""</f>
        <v/>
      </c>
      <c r="CN513" t="str">
        <f>""</f>
        <v/>
      </c>
      <c r="CO513" t="str">
        <f>""</f>
        <v/>
      </c>
      <c r="CP513" t="str">
        <f>""</f>
        <v/>
      </c>
      <c r="CQ513" t="str">
        <f>""</f>
        <v/>
      </c>
      <c r="CR513" t="str">
        <f>""</f>
        <v/>
      </c>
      <c r="CS513" t="str">
        <f>""</f>
        <v/>
      </c>
      <c r="CT513" t="str">
        <f>""</f>
        <v/>
      </c>
      <c r="CU513" t="str">
        <f>""</f>
        <v/>
      </c>
      <c r="CV513" t="str">
        <f>""</f>
        <v/>
      </c>
      <c r="CW513" t="str">
        <f>""</f>
        <v/>
      </c>
      <c r="CX513" t="str">
        <f>""</f>
        <v/>
      </c>
      <c r="CY513" t="str">
        <f>""</f>
        <v/>
      </c>
      <c r="CZ513" t="str">
        <f>""</f>
        <v/>
      </c>
      <c r="DA513" t="str">
        <f>""</f>
        <v/>
      </c>
      <c r="DB513" t="str">
        <f>""</f>
        <v/>
      </c>
      <c r="DC513" t="str">
        <f>""</f>
        <v/>
      </c>
      <c r="DD513" t="str">
        <f>""</f>
        <v/>
      </c>
      <c r="DE513" t="str">
        <f>""</f>
        <v/>
      </c>
      <c r="DF513" t="str">
        <f>""</f>
        <v/>
      </c>
      <c r="DG513" t="str">
        <f>""</f>
        <v/>
      </c>
      <c r="DH513" t="str">
        <f>""</f>
        <v/>
      </c>
      <c r="DI513" t="str">
        <f>""</f>
        <v/>
      </c>
      <c r="DJ513" t="str">
        <f>""</f>
        <v/>
      </c>
      <c r="DK513" t="str">
        <f>""</f>
        <v/>
      </c>
      <c r="DL513" t="str">
        <f>""</f>
        <v/>
      </c>
      <c r="DM513" t="str">
        <f>""</f>
        <v/>
      </c>
      <c r="DN513" t="str">
        <f>""</f>
        <v/>
      </c>
      <c r="DO513" t="str">
        <f>""</f>
        <v/>
      </c>
      <c r="DP513" t="str">
        <f>""</f>
        <v/>
      </c>
      <c r="DQ513" t="str">
        <f>""</f>
        <v/>
      </c>
      <c r="DR513" t="str">
        <f>""</f>
        <v/>
      </c>
      <c r="DS513" t="str">
        <f>""</f>
        <v/>
      </c>
      <c r="DT513" t="str">
        <f>""</f>
        <v/>
      </c>
      <c r="DU513" t="str">
        <f>""</f>
        <v/>
      </c>
    </row>
    <row r="514" spans="1:125" x14ac:dyDescent="0.25">
      <c r="A514" t="str">
        <f>$A$5</f>
        <v xml:space="preserve">    Avtovaz PJSC</v>
      </c>
      <c r="B514" t="str">
        <f>$B$5</f>
        <v>AVAZ RM Equity</v>
      </c>
      <c r="C514" t="str">
        <f>$C$5</f>
        <v>RR844</v>
      </c>
      <c r="D514" t="str">
        <f>$D$5</f>
        <v>T12M_DIL_EPS_CONT_OPS</v>
      </c>
      <c r="E514" t="str">
        <f>$E$5</f>
        <v>Dynamic</v>
      </c>
      <c r="F514" t="str">
        <f ca="1">_xll.BDH($B$5,$C$5,$B$509,$B$510,CONCATENATE("Per=",$B$507),"Dts=H","Dir=H",CONCATENATE("Points=",$B$508),"Sort=R","Days=A","Fill=B",CONCATENATE("FX=", $B$506) )</f>
        <v>#N/A Connection</v>
      </c>
      <c r="BN514" t="str">
        <f>""</f>
        <v/>
      </c>
      <c r="BO514" t="str">
        <f>""</f>
        <v/>
      </c>
      <c r="BP514" t="str">
        <f>""</f>
        <v/>
      </c>
      <c r="BQ514" t="str">
        <f>""</f>
        <v/>
      </c>
      <c r="BR514" t="str">
        <f>""</f>
        <v/>
      </c>
      <c r="BS514" t="str">
        <f>""</f>
        <v/>
      </c>
      <c r="BT514" t="str">
        <f>""</f>
        <v/>
      </c>
      <c r="BU514" t="str">
        <f>""</f>
        <v/>
      </c>
      <c r="BV514" t="str">
        <f>""</f>
        <v/>
      </c>
      <c r="BW514" t="str">
        <f>""</f>
        <v/>
      </c>
      <c r="BX514" t="str">
        <f>""</f>
        <v/>
      </c>
      <c r="BY514" t="str">
        <f>""</f>
        <v/>
      </c>
      <c r="BZ514" t="str">
        <f>""</f>
        <v/>
      </c>
      <c r="CA514" t="str">
        <f>""</f>
        <v/>
      </c>
      <c r="CB514" t="str">
        <f>""</f>
        <v/>
      </c>
      <c r="CC514" t="str">
        <f>""</f>
        <v/>
      </c>
      <c r="CD514" t="str">
        <f>""</f>
        <v/>
      </c>
      <c r="CE514" t="str">
        <f>""</f>
        <v/>
      </c>
      <c r="CF514" t="str">
        <f>""</f>
        <v/>
      </c>
      <c r="CG514" t="str">
        <f>""</f>
        <v/>
      </c>
      <c r="CH514" t="str">
        <f>""</f>
        <v/>
      </c>
      <c r="CI514" t="str">
        <f>""</f>
        <v/>
      </c>
      <c r="CJ514" t="str">
        <f>""</f>
        <v/>
      </c>
      <c r="CK514" t="str">
        <f>""</f>
        <v/>
      </c>
      <c r="CL514" t="str">
        <f>""</f>
        <v/>
      </c>
      <c r="CM514" t="str">
        <f>""</f>
        <v/>
      </c>
      <c r="CN514" t="str">
        <f>""</f>
        <v/>
      </c>
      <c r="CO514" t="str">
        <f>""</f>
        <v/>
      </c>
      <c r="CP514" t="str">
        <f>""</f>
        <v/>
      </c>
      <c r="CQ514" t="str">
        <f>""</f>
        <v/>
      </c>
      <c r="CR514" t="str">
        <f>""</f>
        <v/>
      </c>
      <c r="CS514" t="str">
        <f>""</f>
        <v/>
      </c>
      <c r="CT514" t="str">
        <f>""</f>
        <v/>
      </c>
      <c r="CU514" t="str">
        <f>""</f>
        <v/>
      </c>
      <c r="CV514" t="str">
        <f>""</f>
        <v/>
      </c>
      <c r="CW514" t="str">
        <f>""</f>
        <v/>
      </c>
      <c r="CX514" t="str">
        <f>""</f>
        <v/>
      </c>
      <c r="CY514" t="str">
        <f>""</f>
        <v/>
      </c>
      <c r="CZ514" t="str">
        <f>""</f>
        <v/>
      </c>
      <c r="DA514" t="str">
        <f>""</f>
        <v/>
      </c>
      <c r="DB514" t="str">
        <f>""</f>
        <v/>
      </c>
      <c r="DC514" t="str">
        <f>""</f>
        <v/>
      </c>
      <c r="DD514" t="str">
        <f>""</f>
        <v/>
      </c>
      <c r="DE514" t="str">
        <f>""</f>
        <v/>
      </c>
      <c r="DF514" t="str">
        <f>""</f>
        <v/>
      </c>
      <c r="DG514" t="str">
        <f>""</f>
        <v/>
      </c>
      <c r="DH514" t="str">
        <f>""</f>
        <v/>
      </c>
      <c r="DI514" t="str">
        <f>""</f>
        <v/>
      </c>
      <c r="DJ514" t="str">
        <f>""</f>
        <v/>
      </c>
      <c r="DK514" t="str">
        <f>""</f>
        <v/>
      </c>
      <c r="DL514" t="str">
        <f>""</f>
        <v/>
      </c>
      <c r="DM514" t="str">
        <f>""</f>
        <v/>
      </c>
      <c r="DN514" t="str">
        <f>""</f>
        <v/>
      </c>
      <c r="DO514" t="str">
        <f>""</f>
        <v/>
      </c>
      <c r="DP514" t="str">
        <f>""</f>
        <v/>
      </c>
      <c r="DQ514" t="str">
        <f>""</f>
        <v/>
      </c>
      <c r="DR514" t="str">
        <f>""</f>
        <v/>
      </c>
      <c r="DS514" t="str">
        <f>""</f>
        <v/>
      </c>
      <c r="DT514" t="str">
        <f>""</f>
        <v/>
      </c>
      <c r="DU514" t="str">
        <f>""</f>
        <v/>
      </c>
    </row>
    <row r="515" spans="1:125" x14ac:dyDescent="0.25">
      <c r="A515" t="str">
        <f>$A$6</f>
        <v xml:space="preserve">    Bayerische Motoren Werke AG</v>
      </c>
      <c r="B515" t="str">
        <f>$B$6</f>
        <v>BMW GR Equity</v>
      </c>
      <c r="C515" t="str">
        <f>$C$6</f>
        <v>RR844</v>
      </c>
      <c r="D515" t="str">
        <f>$D$6</f>
        <v>T12M_DIL_EPS_CONT_OPS</v>
      </c>
      <c r="E515" t="str">
        <f>$E$6</f>
        <v>Dynamic</v>
      </c>
      <c r="F515" t="str">
        <f ca="1">_xll.BDH($B$6,$C$6,$B$509,$B$510,CONCATENATE("Per=",$B$507),"Dts=H","Dir=H",CONCATENATE("Points=",$B$508),"Sort=R","Days=A","Fill=B",CONCATENATE("FX=", $B$506) )</f>
        <v>#N/A Connection</v>
      </c>
      <c r="BN515" t="str">
        <f>""</f>
        <v/>
      </c>
      <c r="BO515" t="str">
        <f>""</f>
        <v/>
      </c>
      <c r="BP515" t="str">
        <f>""</f>
        <v/>
      </c>
      <c r="BQ515" t="str">
        <f>""</f>
        <v/>
      </c>
      <c r="BR515" t="str">
        <f>""</f>
        <v/>
      </c>
      <c r="BS515" t="str">
        <f>""</f>
        <v/>
      </c>
      <c r="BT515" t="str">
        <f>""</f>
        <v/>
      </c>
      <c r="BU515" t="str">
        <f>""</f>
        <v/>
      </c>
      <c r="BV515" t="str">
        <f>""</f>
        <v/>
      </c>
      <c r="BW515" t="str">
        <f>""</f>
        <v/>
      </c>
      <c r="BX515" t="str">
        <f>""</f>
        <v/>
      </c>
      <c r="BY515" t="str">
        <f>""</f>
        <v/>
      </c>
      <c r="BZ515" t="str">
        <f>""</f>
        <v/>
      </c>
      <c r="CA515" t="str">
        <f>""</f>
        <v/>
      </c>
      <c r="CB515" t="str">
        <f>""</f>
        <v/>
      </c>
      <c r="CC515" t="str">
        <f>""</f>
        <v/>
      </c>
      <c r="CD515" t="str">
        <f>""</f>
        <v/>
      </c>
      <c r="CE515" t="str">
        <f>""</f>
        <v/>
      </c>
      <c r="CF515" t="str">
        <f>""</f>
        <v/>
      </c>
      <c r="CG515" t="str">
        <f>""</f>
        <v/>
      </c>
      <c r="CH515" t="str">
        <f>""</f>
        <v/>
      </c>
      <c r="CI515" t="str">
        <f>""</f>
        <v/>
      </c>
      <c r="CJ515" t="str">
        <f>""</f>
        <v/>
      </c>
      <c r="CK515" t="str">
        <f>""</f>
        <v/>
      </c>
      <c r="CL515" t="str">
        <f>""</f>
        <v/>
      </c>
      <c r="CM515" t="str">
        <f>""</f>
        <v/>
      </c>
      <c r="CN515" t="str">
        <f>""</f>
        <v/>
      </c>
      <c r="CO515" t="str">
        <f>""</f>
        <v/>
      </c>
      <c r="CP515" t="str">
        <f>""</f>
        <v/>
      </c>
      <c r="CQ515" t="str">
        <f>""</f>
        <v/>
      </c>
      <c r="CR515" t="str">
        <f>""</f>
        <v/>
      </c>
      <c r="CS515" t="str">
        <f>""</f>
        <v/>
      </c>
      <c r="CT515" t="str">
        <f>""</f>
        <v/>
      </c>
      <c r="CU515" t="str">
        <f>""</f>
        <v/>
      </c>
      <c r="CV515" t="str">
        <f>""</f>
        <v/>
      </c>
      <c r="CW515" t="str">
        <f>""</f>
        <v/>
      </c>
      <c r="CX515" t="str">
        <f>""</f>
        <v/>
      </c>
      <c r="CY515" t="str">
        <f>""</f>
        <v/>
      </c>
      <c r="CZ515" t="str">
        <f>""</f>
        <v/>
      </c>
      <c r="DA515" t="str">
        <f>""</f>
        <v/>
      </c>
      <c r="DB515" t="str">
        <f>""</f>
        <v/>
      </c>
      <c r="DC515" t="str">
        <f>""</f>
        <v/>
      </c>
      <c r="DD515" t="str">
        <f>""</f>
        <v/>
      </c>
      <c r="DE515" t="str">
        <f>""</f>
        <v/>
      </c>
      <c r="DF515" t="str">
        <f>""</f>
        <v/>
      </c>
      <c r="DG515" t="str">
        <f>""</f>
        <v/>
      </c>
      <c r="DH515" t="str">
        <f>""</f>
        <v/>
      </c>
      <c r="DI515" t="str">
        <f>""</f>
        <v/>
      </c>
      <c r="DJ515" t="str">
        <f>""</f>
        <v/>
      </c>
      <c r="DK515" t="str">
        <f>""</f>
        <v/>
      </c>
      <c r="DL515" t="str">
        <f>""</f>
        <v/>
      </c>
      <c r="DM515" t="str">
        <f>""</f>
        <v/>
      </c>
      <c r="DN515" t="str">
        <f>""</f>
        <v/>
      </c>
      <c r="DO515" t="str">
        <f>""</f>
        <v/>
      </c>
      <c r="DP515" t="str">
        <f>""</f>
        <v/>
      </c>
      <c r="DQ515" t="str">
        <f>""</f>
        <v/>
      </c>
      <c r="DR515" t="str">
        <f>""</f>
        <v/>
      </c>
      <c r="DS515" t="str">
        <f>""</f>
        <v/>
      </c>
      <c r="DT515" t="str">
        <f>""</f>
        <v/>
      </c>
      <c r="DU515" t="str">
        <f>""</f>
        <v/>
      </c>
    </row>
    <row r="516" spans="1:125" x14ac:dyDescent="0.25">
      <c r="A516" t="str">
        <f>$A$7</f>
        <v xml:space="preserve">    Brilliance China Automotive Holdings Ltd</v>
      </c>
      <c r="B516" t="str">
        <f>$B$7</f>
        <v>1114 HK Equity</v>
      </c>
      <c r="C516" t="str">
        <f>$C$7</f>
        <v>RR844</v>
      </c>
      <c r="D516" t="str">
        <f>$D$7</f>
        <v>T12M_DIL_EPS_CONT_OPS</v>
      </c>
      <c r="E516" t="str">
        <f>$E$7</f>
        <v>Dynamic</v>
      </c>
      <c r="F516" t="str">
        <f ca="1">_xll.BDH($B$7,$C$7,$B$509,$B$510,CONCATENATE("Per=",$B$507),"Dts=H","Dir=H",CONCATENATE("Points=",$B$508),"Sort=R","Days=A","Fill=B",CONCATENATE("FX=", $B$506) )</f>
        <v>#N/A Connection</v>
      </c>
      <c r="BN516" t="str">
        <f>""</f>
        <v/>
      </c>
      <c r="BO516" t="str">
        <f>""</f>
        <v/>
      </c>
      <c r="BP516" t="str">
        <f>""</f>
        <v/>
      </c>
      <c r="BQ516" t="str">
        <f>""</f>
        <v/>
      </c>
      <c r="BR516" t="str">
        <f>""</f>
        <v/>
      </c>
      <c r="BS516" t="str">
        <f>""</f>
        <v/>
      </c>
      <c r="BT516" t="str">
        <f>""</f>
        <v/>
      </c>
      <c r="BU516" t="str">
        <f>""</f>
        <v/>
      </c>
      <c r="BV516" t="str">
        <f>""</f>
        <v/>
      </c>
      <c r="BW516" t="str">
        <f>""</f>
        <v/>
      </c>
      <c r="BX516" t="str">
        <f>""</f>
        <v/>
      </c>
      <c r="BY516" t="str">
        <f>""</f>
        <v/>
      </c>
      <c r="BZ516" t="str">
        <f>""</f>
        <v/>
      </c>
      <c r="CA516" t="str">
        <f>""</f>
        <v/>
      </c>
      <c r="CB516" t="str">
        <f>""</f>
        <v/>
      </c>
      <c r="CC516" t="str">
        <f>""</f>
        <v/>
      </c>
      <c r="CD516" t="str">
        <f>""</f>
        <v/>
      </c>
      <c r="CE516" t="str">
        <f>""</f>
        <v/>
      </c>
      <c r="CF516" t="str">
        <f>""</f>
        <v/>
      </c>
      <c r="CG516" t="str">
        <f>""</f>
        <v/>
      </c>
      <c r="CH516" t="str">
        <f>""</f>
        <v/>
      </c>
      <c r="CI516" t="str">
        <f>""</f>
        <v/>
      </c>
      <c r="CJ516" t="str">
        <f>""</f>
        <v/>
      </c>
      <c r="CK516" t="str">
        <f>""</f>
        <v/>
      </c>
      <c r="CL516" t="str">
        <f>""</f>
        <v/>
      </c>
      <c r="CM516" t="str">
        <f>""</f>
        <v/>
      </c>
      <c r="CN516" t="str">
        <f>""</f>
        <v/>
      </c>
      <c r="CO516" t="str">
        <f>""</f>
        <v/>
      </c>
      <c r="CP516" t="str">
        <f>""</f>
        <v/>
      </c>
      <c r="CQ516" t="str">
        <f>""</f>
        <v/>
      </c>
      <c r="CR516" t="str">
        <f>""</f>
        <v/>
      </c>
      <c r="CS516" t="str">
        <f>""</f>
        <v/>
      </c>
      <c r="CT516" t="str">
        <f>""</f>
        <v/>
      </c>
      <c r="CU516" t="str">
        <f>""</f>
        <v/>
      </c>
      <c r="CV516" t="str">
        <f>""</f>
        <v/>
      </c>
      <c r="CW516" t="str">
        <f>""</f>
        <v/>
      </c>
      <c r="CX516" t="str">
        <f>""</f>
        <v/>
      </c>
      <c r="CY516" t="str">
        <f>""</f>
        <v/>
      </c>
      <c r="CZ516" t="str">
        <f>""</f>
        <v/>
      </c>
      <c r="DA516" t="str">
        <f>""</f>
        <v/>
      </c>
      <c r="DB516" t="str">
        <f>""</f>
        <v/>
      </c>
      <c r="DC516" t="str">
        <f>""</f>
        <v/>
      </c>
      <c r="DD516" t="str">
        <f>""</f>
        <v/>
      </c>
      <c r="DE516" t="str">
        <f>""</f>
        <v/>
      </c>
      <c r="DF516" t="str">
        <f>""</f>
        <v/>
      </c>
      <c r="DG516" t="str">
        <f>""</f>
        <v/>
      </c>
      <c r="DH516" t="str">
        <f>""</f>
        <v/>
      </c>
      <c r="DI516" t="str">
        <f>""</f>
        <v/>
      </c>
      <c r="DJ516" t="str">
        <f>""</f>
        <v/>
      </c>
      <c r="DK516" t="str">
        <f>""</f>
        <v/>
      </c>
      <c r="DL516" t="str">
        <f>""</f>
        <v/>
      </c>
      <c r="DM516" t="str">
        <f>""</f>
        <v/>
      </c>
      <c r="DN516" t="str">
        <f>""</f>
        <v/>
      </c>
      <c r="DO516" t="str">
        <f>""</f>
        <v/>
      </c>
      <c r="DP516" t="str">
        <f>""</f>
        <v/>
      </c>
      <c r="DQ516" t="str">
        <f>""</f>
        <v/>
      </c>
      <c r="DR516" t="str">
        <f>""</f>
        <v/>
      </c>
      <c r="DS516" t="str">
        <f>""</f>
        <v/>
      </c>
      <c r="DT516" t="str">
        <f>""</f>
        <v/>
      </c>
      <c r="DU516" t="str">
        <f>""</f>
        <v/>
      </c>
    </row>
    <row r="517" spans="1:125" x14ac:dyDescent="0.25">
      <c r="A517" t="str">
        <f>$A$8</f>
        <v xml:space="preserve">    BYD Co Ltd</v>
      </c>
      <c r="B517" t="str">
        <f>$B$8</f>
        <v>1211 HK Equity</v>
      </c>
      <c r="C517" t="str">
        <f>$C$8</f>
        <v>RR844</v>
      </c>
      <c r="D517" t="str">
        <f>$D$8</f>
        <v>T12M_DIL_EPS_CONT_OPS</v>
      </c>
      <c r="E517" t="str">
        <f>$E$8</f>
        <v>Dynamic</v>
      </c>
      <c r="F517" t="str">
        <f ca="1">_xll.BDH($B$8,$C$8,$B$509,$B$510,CONCATENATE("Per=",$B$507),"Dts=H","Dir=H",CONCATENATE("Points=",$B$508),"Sort=R","Days=A","Fill=B",CONCATENATE("FX=", $B$506) )</f>
        <v>#N/A Connection</v>
      </c>
      <c r="BN517" t="str">
        <f>""</f>
        <v/>
      </c>
      <c r="BO517" t="str">
        <f>""</f>
        <v/>
      </c>
      <c r="BP517" t="str">
        <f>""</f>
        <v/>
      </c>
      <c r="BQ517" t="str">
        <f>""</f>
        <v/>
      </c>
      <c r="BR517" t="str">
        <f>""</f>
        <v/>
      </c>
      <c r="BS517" t="str">
        <f>""</f>
        <v/>
      </c>
      <c r="BT517" t="str">
        <f>""</f>
        <v/>
      </c>
      <c r="BU517" t="str">
        <f>""</f>
        <v/>
      </c>
      <c r="BV517" t="str">
        <f>""</f>
        <v/>
      </c>
      <c r="BW517" t="str">
        <f>""</f>
        <v/>
      </c>
      <c r="BX517" t="str">
        <f>""</f>
        <v/>
      </c>
      <c r="BY517" t="str">
        <f>""</f>
        <v/>
      </c>
      <c r="BZ517" t="str">
        <f>""</f>
        <v/>
      </c>
      <c r="CA517" t="str">
        <f>""</f>
        <v/>
      </c>
      <c r="CB517" t="str">
        <f>""</f>
        <v/>
      </c>
      <c r="CC517" t="str">
        <f>""</f>
        <v/>
      </c>
      <c r="CD517" t="str">
        <f>""</f>
        <v/>
      </c>
      <c r="CE517" t="str">
        <f>""</f>
        <v/>
      </c>
      <c r="CF517" t="str">
        <f>""</f>
        <v/>
      </c>
      <c r="CG517" t="str">
        <f>""</f>
        <v/>
      </c>
      <c r="CH517" t="str">
        <f>""</f>
        <v/>
      </c>
      <c r="CI517" t="str">
        <f>""</f>
        <v/>
      </c>
      <c r="CJ517" t="str">
        <f>""</f>
        <v/>
      </c>
      <c r="CK517" t="str">
        <f>""</f>
        <v/>
      </c>
      <c r="CL517" t="str">
        <f>""</f>
        <v/>
      </c>
      <c r="CM517" t="str">
        <f>""</f>
        <v/>
      </c>
      <c r="CN517" t="str">
        <f>""</f>
        <v/>
      </c>
      <c r="CO517" t="str">
        <f>""</f>
        <v/>
      </c>
      <c r="CP517" t="str">
        <f>""</f>
        <v/>
      </c>
      <c r="CQ517" t="str">
        <f>""</f>
        <v/>
      </c>
      <c r="CR517" t="str">
        <f>""</f>
        <v/>
      </c>
      <c r="CS517" t="str">
        <f>""</f>
        <v/>
      </c>
      <c r="CT517" t="str">
        <f>""</f>
        <v/>
      </c>
      <c r="CU517" t="str">
        <f>""</f>
        <v/>
      </c>
      <c r="CV517" t="str">
        <f>""</f>
        <v/>
      </c>
      <c r="CW517" t="str">
        <f>""</f>
        <v/>
      </c>
      <c r="CX517" t="str">
        <f>""</f>
        <v/>
      </c>
      <c r="CY517" t="str">
        <f>""</f>
        <v/>
      </c>
      <c r="CZ517" t="str">
        <f>""</f>
        <v/>
      </c>
      <c r="DA517" t="str">
        <f>""</f>
        <v/>
      </c>
      <c r="DB517" t="str">
        <f>""</f>
        <v/>
      </c>
      <c r="DC517" t="str">
        <f>""</f>
        <v/>
      </c>
      <c r="DD517" t="str">
        <f>""</f>
        <v/>
      </c>
      <c r="DE517" t="str">
        <f>""</f>
        <v/>
      </c>
      <c r="DF517" t="str">
        <f>""</f>
        <v/>
      </c>
      <c r="DG517" t="str">
        <f>""</f>
        <v/>
      </c>
      <c r="DH517" t="str">
        <f>""</f>
        <v/>
      </c>
      <c r="DI517" t="str">
        <f>""</f>
        <v/>
      </c>
      <c r="DJ517" t="str">
        <f>""</f>
        <v/>
      </c>
      <c r="DK517" t="str">
        <f>""</f>
        <v/>
      </c>
      <c r="DL517" t="str">
        <f>""</f>
        <v/>
      </c>
      <c r="DM517" t="str">
        <f>""</f>
        <v/>
      </c>
      <c r="DN517" t="str">
        <f>""</f>
        <v/>
      </c>
      <c r="DO517" t="str">
        <f>""</f>
        <v/>
      </c>
      <c r="DP517" t="str">
        <f>""</f>
        <v/>
      </c>
      <c r="DQ517" t="str">
        <f>""</f>
        <v/>
      </c>
      <c r="DR517" t="str">
        <f>""</f>
        <v/>
      </c>
      <c r="DS517" t="str">
        <f>""</f>
        <v/>
      </c>
      <c r="DT517" t="str">
        <f>""</f>
        <v/>
      </c>
      <c r="DU517" t="str">
        <f>""</f>
        <v/>
      </c>
    </row>
    <row r="518" spans="1:125" x14ac:dyDescent="0.25">
      <c r="A518" t="str">
        <f>$A$9</f>
        <v xml:space="preserve">    Chongqing Changan Automobile Co Ltd</v>
      </c>
      <c r="B518" t="str">
        <f>$B$9</f>
        <v>200625 CH Equity</v>
      </c>
      <c r="C518" t="str">
        <f>$C$9</f>
        <v>RR844</v>
      </c>
      <c r="D518" t="str">
        <f>$D$9</f>
        <v>T12M_DIL_EPS_CONT_OPS</v>
      </c>
      <c r="E518" t="str">
        <f>$E$9</f>
        <v>Dynamic</v>
      </c>
      <c r="F518" t="str">
        <f ca="1">_xll.BDH($B$9,$C$9,$B$509,$B$510,CONCATENATE("Per=",$B$507),"Dts=H","Dir=H",CONCATENATE("Points=",$B$508),"Sort=R","Days=A","Fill=B",CONCATENATE("FX=", $B$506) )</f>
        <v>#N/A Connection</v>
      </c>
      <c r="BN518" t="str">
        <f>""</f>
        <v/>
      </c>
      <c r="BO518" t="str">
        <f>""</f>
        <v/>
      </c>
      <c r="BP518" t="str">
        <f>""</f>
        <v/>
      </c>
      <c r="BQ518" t="str">
        <f>""</f>
        <v/>
      </c>
      <c r="BR518" t="str">
        <f>""</f>
        <v/>
      </c>
      <c r="BS518" t="str">
        <f>""</f>
        <v/>
      </c>
      <c r="BT518" t="str">
        <f>""</f>
        <v/>
      </c>
      <c r="BU518" t="str">
        <f>""</f>
        <v/>
      </c>
      <c r="BV518" t="str">
        <f>""</f>
        <v/>
      </c>
      <c r="BW518" t="str">
        <f>""</f>
        <v/>
      </c>
      <c r="BX518" t="str">
        <f>""</f>
        <v/>
      </c>
      <c r="BY518" t="str">
        <f>""</f>
        <v/>
      </c>
      <c r="BZ518" t="str">
        <f>""</f>
        <v/>
      </c>
      <c r="CA518" t="str">
        <f>""</f>
        <v/>
      </c>
      <c r="CB518" t="str">
        <f>""</f>
        <v/>
      </c>
      <c r="CC518" t="str">
        <f>""</f>
        <v/>
      </c>
      <c r="CD518" t="str">
        <f>""</f>
        <v/>
      </c>
      <c r="CE518" t="str">
        <f>""</f>
        <v/>
      </c>
      <c r="CF518" t="str">
        <f>""</f>
        <v/>
      </c>
      <c r="CG518" t="str">
        <f>""</f>
        <v/>
      </c>
      <c r="CH518" t="str">
        <f>""</f>
        <v/>
      </c>
      <c r="CI518" t="str">
        <f>""</f>
        <v/>
      </c>
      <c r="CJ518" t="str">
        <f>""</f>
        <v/>
      </c>
      <c r="CK518" t="str">
        <f>""</f>
        <v/>
      </c>
      <c r="CL518" t="str">
        <f>""</f>
        <v/>
      </c>
      <c r="CM518" t="str">
        <f>""</f>
        <v/>
      </c>
      <c r="CN518" t="str">
        <f>""</f>
        <v/>
      </c>
      <c r="CO518" t="str">
        <f>""</f>
        <v/>
      </c>
      <c r="CP518" t="str">
        <f>""</f>
        <v/>
      </c>
      <c r="CQ518" t="str">
        <f>""</f>
        <v/>
      </c>
      <c r="CR518" t="str">
        <f>""</f>
        <v/>
      </c>
      <c r="CS518" t="str">
        <f>""</f>
        <v/>
      </c>
      <c r="CT518" t="str">
        <f>""</f>
        <v/>
      </c>
      <c r="CU518" t="str">
        <f>""</f>
        <v/>
      </c>
      <c r="CV518" t="str">
        <f>""</f>
        <v/>
      </c>
      <c r="CW518" t="str">
        <f>""</f>
        <v/>
      </c>
      <c r="CX518" t="str">
        <f>""</f>
        <v/>
      </c>
      <c r="CY518" t="str">
        <f>""</f>
        <v/>
      </c>
      <c r="CZ518" t="str">
        <f>""</f>
        <v/>
      </c>
      <c r="DA518" t="str">
        <f>""</f>
        <v/>
      </c>
      <c r="DB518" t="str">
        <f>""</f>
        <v/>
      </c>
      <c r="DC518" t="str">
        <f>""</f>
        <v/>
      </c>
      <c r="DD518" t="str">
        <f>""</f>
        <v/>
      </c>
      <c r="DE518" t="str">
        <f>""</f>
        <v/>
      </c>
      <c r="DF518" t="str">
        <f>""</f>
        <v/>
      </c>
      <c r="DG518" t="str">
        <f>""</f>
        <v/>
      </c>
      <c r="DH518" t="str">
        <f>""</f>
        <v/>
      </c>
      <c r="DI518" t="str">
        <f>""</f>
        <v/>
      </c>
      <c r="DJ518" t="str">
        <f>""</f>
        <v/>
      </c>
      <c r="DK518" t="str">
        <f>""</f>
        <v/>
      </c>
      <c r="DL518" t="str">
        <f>""</f>
        <v/>
      </c>
      <c r="DM518" t="str">
        <f>""</f>
        <v/>
      </c>
      <c r="DN518" t="str">
        <f>""</f>
        <v/>
      </c>
      <c r="DO518" t="str">
        <f>""</f>
        <v/>
      </c>
      <c r="DP518" t="str">
        <f>""</f>
        <v/>
      </c>
      <c r="DQ518" t="str">
        <f>""</f>
        <v/>
      </c>
      <c r="DR518" t="str">
        <f>""</f>
        <v/>
      </c>
      <c r="DS518" t="str">
        <f>""</f>
        <v/>
      </c>
      <c r="DT518" t="str">
        <f>""</f>
        <v/>
      </c>
      <c r="DU518" t="str">
        <f>""</f>
        <v/>
      </c>
    </row>
    <row r="519" spans="1:125" x14ac:dyDescent="0.25">
      <c r="A519" t="str">
        <f>$A$10</f>
        <v xml:space="preserve">    Daihatsu Motor Co Ltd</v>
      </c>
      <c r="B519" t="str">
        <f>$B$10</f>
        <v>7262 JP Equity</v>
      </c>
      <c r="C519" t="str">
        <f>$C$10</f>
        <v>RR844</v>
      </c>
      <c r="D519" t="str">
        <f>$D$10</f>
        <v>T12M_DIL_EPS_CONT_OPS</v>
      </c>
      <c r="E519" t="str">
        <f>$E$10</f>
        <v>Dynamic</v>
      </c>
      <c r="F519" t="str">
        <f ca="1">_xll.BDH($B$10,$C$10,$B$509,$B$510,CONCATENATE("Per=",$B$507),"Dts=H","Dir=H",CONCATENATE("Points=",$B$508),"Sort=R","Days=A","Fill=B",CONCATENATE("FX=", $B$506) )</f>
        <v>#N/A Connection</v>
      </c>
      <c r="BN519" t="str">
        <f>""</f>
        <v/>
      </c>
      <c r="BO519" t="str">
        <f>""</f>
        <v/>
      </c>
      <c r="BP519" t="str">
        <f>""</f>
        <v/>
      </c>
      <c r="BQ519" t="str">
        <f>""</f>
        <v/>
      </c>
      <c r="BR519" t="str">
        <f>""</f>
        <v/>
      </c>
      <c r="BS519" t="str">
        <f>""</f>
        <v/>
      </c>
      <c r="BT519" t="str">
        <f>""</f>
        <v/>
      </c>
      <c r="BU519" t="str">
        <f>""</f>
        <v/>
      </c>
      <c r="BV519" t="str">
        <f>""</f>
        <v/>
      </c>
      <c r="BW519" t="str">
        <f>""</f>
        <v/>
      </c>
      <c r="BX519" t="str">
        <f>""</f>
        <v/>
      </c>
      <c r="BY519" t="str">
        <f>""</f>
        <v/>
      </c>
      <c r="BZ519" t="str">
        <f>""</f>
        <v/>
      </c>
      <c r="CA519" t="str">
        <f>""</f>
        <v/>
      </c>
      <c r="CB519" t="str">
        <f>""</f>
        <v/>
      </c>
      <c r="CC519" t="str">
        <f>""</f>
        <v/>
      </c>
      <c r="CD519" t="str">
        <f>""</f>
        <v/>
      </c>
      <c r="CE519" t="str">
        <f>""</f>
        <v/>
      </c>
      <c r="CF519" t="str">
        <f>""</f>
        <v/>
      </c>
      <c r="CG519" t="str">
        <f>""</f>
        <v/>
      </c>
      <c r="CH519" t="str">
        <f>""</f>
        <v/>
      </c>
      <c r="CI519" t="str">
        <f>""</f>
        <v/>
      </c>
      <c r="CJ519" t="str">
        <f>""</f>
        <v/>
      </c>
      <c r="CK519" t="str">
        <f>""</f>
        <v/>
      </c>
      <c r="CL519" t="str">
        <f>""</f>
        <v/>
      </c>
      <c r="CM519" t="str">
        <f>""</f>
        <v/>
      </c>
      <c r="CN519" t="str">
        <f>""</f>
        <v/>
      </c>
      <c r="CO519" t="str">
        <f>""</f>
        <v/>
      </c>
      <c r="CP519" t="str">
        <f>""</f>
        <v/>
      </c>
      <c r="CQ519" t="str">
        <f>""</f>
        <v/>
      </c>
      <c r="CR519" t="str">
        <f>""</f>
        <v/>
      </c>
      <c r="CS519" t="str">
        <f>""</f>
        <v/>
      </c>
      <c r="CT519" t="str">
        <f>""</f>
        <v/>
      </c>
      <c r="CU519" t="str">
        <f>""</f>
        <v/>
      </c>
      <c r="CV519" t="str">
        <f>""</f>
        <v/>
      </c>
      <c r="CW519" t="str">
        <f>""</f>
        <v/>
      </c>
      <c r="CX519" t="str">
        <f>""</f>
        <v/>
      </c>
      <c r="CY519" t="str">
        <f>""</f>
        <v/>
      </c>
      <c r="CZ519" t="str">
        <f>""</f>
        <v/>
      </c>
      <c r="DA519" t="str">
        <f>""</f>
        <v/>
      </c>
      <c r="DB519" t="str">
        <f>""</f>
        <v/>
      </c>
      <c r="DC519" t="str">
        <f>""</f>
        <v/>
      </c>
      <c r="DD519" t="str">
        <f>""</f>
        <v/>
      </c>
      <c r="DE519" t="str">
        <f>""</f>
        <v/>
      </c>
      <c r="DF519" t="str">
        <f>""</f>
        <v/>
      </c>
      <c r="DG519" t="str">
        <f>""</f>
        <v/>
      </c>
      <c r="DH519" t="str">
        <f>""</f>
        <v/>
      </c>
      <c r="DI519" t="str">
        <f>""</f>
        <v/>
      </c>
      <c r="DJ519" t="str">
        <f>""</f>
        <v/>
      </c>
      <c r="DK519" t="str">
        <f>""</f>
        <v/>
      </c>
      <c r="DL519" t="str">
        <f>""</f>
        <v/>
      </c>
      <c r="DM519" t="str">
        <f>""</f>
        <v/>
      </c>
      <c r="DN519" t="str">
        <f>""</f>
        <v/>
      </c>
      <c r="DO519" t="str">
        <f>""</f>
        <v/>
      </c>
      <c r="DP519" t="str">
        <f>""</f>
        <v/>
      </c>
      <c r="DQ519" t="str">
        <f>""</f>
        <v/>
      </c>
      <c r="DR519" t="str">
        <f>""</f>
        <v/>
      </c>
      <c r="DS519" t="str">
        <f>""</f>
        <v/>
      </c>
      <c r="DT519" t="str">
        <f>""</f>
        <v/>
      </c>
      <c r="DU519" t="str">
        <f>""</f>
        <v/>
      </c>
    </row>
    <row r="520" spans="1:125" x14ac:dyDescent="0.25">
      <c r="A520" t="str">
        <f>$A$11</f>
        <v xml:space="preserve">    Daimler AG</v>
      </c>
      <c r="B520" t="str">
        <f>$B$11</f>
        <v>DAI GR Equity</v>
      </c>
      <c r="C520" t="str">
        <f>$C$11</f>
        <v>RR844</v>
      </c>
      <c r="D520" t="str">
        <f>$D$11</f>
        <v>T12M_DIL_EPS_CONT_OPS</v>
      </c>
      <c r="E520" t="str">
        <f>$E$11</f>
        <v>Dynamic</v>
      </c>
      <c r="F520" t="str">
        <f ca="1">_xll.BDH($B$11,$C$11,$B$509,$B$510,CONCATENATE("Per=",$B$507),"Dts=H","Dir=H",CONCATENATE("Points=",$B$508),"Sort=R","Days=A","Fill=B",CONCATENATE("FX=", $B$506) )</f>
        <v>#N/A Connection</v>
      </c>
      <c r="BN520" t="str">
        <f>""</f>
        <v/>
      </c>
      <c r="BO520" t="str">
        <f>""</f>
        <v/>
      </c>
      <c r="BP520" t="str">
        <f>""</f>
        <v/>
      </c>
      <c r="BQ520" t="str">
        <f>""</f>
        <v/>
      </c>
      <c r="BR520" t="str">
        <f>""</f>
        <v/>
      </c>
      <c r="BS520" t="str">
        <f>""</f>
        <v/>
      </c>
      <c r="BT520" t="str">
        <f>""</f>
        <v/>
      </c>
      <c r="BU520" t="str">
        <f>""</f>
        <v/>
      </c>
      <c r="BV520" t="str">
        <f>""</f>
        <v/>
      </c>
      <c r="BW520" t="str">
        <f>""</f>
        <v/>
      </c>
      <c r="BX520" t="str">
        <f>""</f>
        <v/>
      </c>
      <c r="BY520" t="str">
        <f>""</f>
        <v/>
      </c>
      <c r="BZ520" t="str">
        <f>""</f>
        <v/>
      </c>
      <c r="CA520" t="str">
        <f>""</f>
        <v/>
      </c>
      <c r="CB520" t="str">
        <f>""</f>
        <v/>
      </c>
      <c r="CC520" t="str">
        <f>""</f>
        <v/>
      </c>
      <c r="CD520" t="str">
        <f>""</f>
        <v/>
      </c>
      <c r="CE520" t="str">
        <f>""</f>
        <v/>
      </c>
      <c r="CF520" t="str">
        <f>""</f>
        <v/>
      </c>
      <c r="CG520" t="str">
        <f>""</f>
        <v/>
      </c>
      <c r="CH520" t="str">
        <f>""</f>
        <v/>
      </c>
      <c r="CI520" t="str">
        <f>""</f>
        <v/>
      </c>
      <c r="CJ520" t="str">
        <f>""</f>
        <v/>
      </c>
      <c r="CK520" t="str">
        <f>""</f>
        <v/>
      </c>
      <c r="CL520" t="str">
        <f>""</f>
        <v/>
      </c>
      <c r="CM520" t="str">
        <f>""</f>
        <v/>
      </c>
      <c r="CN520" t="str">
        <f>""</f>
        <v/>
      </c>
      <c r="CO520" t="str">
        <f>""</f>
        <v/>
      </c>
      <c r="CP520" t="str">
        <f>""</f>
        <v/>
      </c>
      <c r="CQ520" t="str">
        <f>""</f>
        <v/>
      </c>
      <c r="CR520" t="str">
        <f>""</f>
        <v/>
      </c>
      <c r="CS520" t="str">
        <f>""</f>
        <v/>
      </c>
      <c r="CT520" t="str">
        <f>""</f>
        <v/>
      </c>
      <c r="CU520" t="str">
        <f>""</f>
        <v/>
      </c>
      <c r="CV520" t="str">
        <f>""</f>
        <v/>
      </c>
      <c r="CW520" t="str">
        <f>""</f>
        <v/>
      </c>
      <c r="CX520" t="str">
        <f>""</f>
        <v/>
      </c>
      <c r="CY520" t="str">
        <f>""</f>
        <v/>
      </c>
      <c r="CZ520" t="str">
        <f>""</f>
        <v/>
      </c>
      <c r="DA520" t="str">
        <f>""</f>
        <v/>
      </c>
      <c r="DB520" t="str">
        <f>""</f>
        <v/>
      </c>
      <c r="DC520" t="str">
        <f>""</f>
        <v/>
      </c>
      <c r="DD520" t="str">
        <f>""</f>
        <v/>
      </c>
      <c r="DE520" t="str">
        <f>""</f>
        <v/>
      </c>
      <c r="DF520" t="str">
        <f>""</f>
        <v/>
      </c>
      <c r="DG520" t="str">
        <f>""</f>
        <v/>
      </c>
      <c r="DH520" t="str">
        <f>""</f>
        <v/>
      </c>
      <c r="DI520" t="str">
        <f>""</f>
        <v/>
      </c>
      <c r="DJ520" t="str">
        <f>""</f>
        <v/>
      </c>
      <c r="DK520" t="str">
        <f>""</f>
        <v/>
      </c>
      <c r="DL520" t="str">
        <f>""</f>
        <v/>
      </c>
      <c r="DM520" t="str">
        <f>""</f>
        <v/>
      </c>
      <c r="DN520" t="str">
        <f>""</f>
        <v/>
      </c>
      <c r="DO520" t="str">
        <f>""</f>
        <v/>
      </c>
      <c r="DP520" t="str">
        <f>""</f>
        <v/>
      </c>
      <c r="DQ520" t="str">
        <f>""</f>
        <v/>
      </c>
      <c r="DR520" t="str">
        <f>""</f>
        <v/>
      </c>
      <c r="DS520" t="str">
        <f>""</f>
        <v/>
      </c>
      <c r="DT520" t="str">
        <f>""</f>
        <v/>
      </c>
      <c r="DU520" t="str">
        <f>""</f>
        <v/>
      </c>
    </row>
    <row r="521" spans="1:125" x14ac:dyDescent="0.25">
      <c r="A521" t="str">
        <f>$A$12</f>
        <v xml:space="preserve">    Dongfeng Motor Group Co Ltd</v>
      </c>
      <c r="B521" t="str">
        <f>$B$12</f>
        <v>489 HK Equity</v>
      </c>
      <c r="C521" t="str">
        <f>$C$12</f>
        <v>RR844</v>
      </c>
      <c r="D521" t="str">
        <f>$D$12</f>
        <v>T12M_DIL_EPS_CONT_OPS</v>
      </c>
      <c r="E521" t="str">
        <f>$E$12</f>
        <v>Dynamic</v>
      </c>
      <c r="F521" t="str">
        <f ca="1">_xll.BDH($B$12,$C$12,$B$509,$B$510,CONCATENATE("Per=",$B$507),"Dts=H","Dir=H",CONCATENATE("Points=",$B$508),"Sort=R","Days=A","Fill=B",CONCATENATE("FX=", $B$506) )</f>
        <v>#N/A Connection</v>
      </c>
      <c r="BN521" t="str">
        <f>""</f>
        <v/>
      </c>
      <c r="BO521" t="str">
        <f>""</f>
        <v/>
      </c>
      <c r="BP521" t="str">
        <f>""</f>
        <v/>
      </c>
      <c r="BQ521" t="str">
        <f>""</f>
        <v/>
      </c>
      <c r="BR521" t="str">
        <f>""</f>
        <v/>
      </c>
      <c r="BS521" t="str">
        <f>""</f>
        <v/>
      </c>
      <c r="BT521" t="str">
        <f>""</f>
        <v/>
      </c>
      <c r="BU521" t="str">
        <f>""</f>
        <v/>
      </c>
      <c r="BV521" t="str">
        <f>""</f>
        <v/>
      </c>
      <c r="BW521" t="str">
        <f>""</f>
        <v/>
      </c>
      <c r="BX521" t="str">
        <f>""</f>
        <v/>
      </c>
      <c r="BY521" t="str">
        <f>""</f>
        <v/>
      </c>
      <c r="BZ521" t="str">
        <f>""</f>
        <v/>
      </c>
      <c r="CA521" t="str">
        <f>""</f>
        <v/>
      </c>
      <c r="CB521" t="str">
        <f>""</f>
        <v/>
      </c>
      <c r="CC521" t="str">
        <f>""</f>
        <v/>
      </c>
      <c r="CD521" t="str">
        <f>""</f>
        <v/>
      </c>
      <c r="CE521" t="str">
        <f>""</f>
        <v/>
      </c>
      <c r="CF521" t="str">
        <f>""</f>
        <v/>
      </c>
      <c r="CG521" t="str">
        <f>""</f>
        <v/>
      </c>
      <c r="CH521" t="str">
        <f>""</f>
        <v/>
      </c>
      <c r="CI521" t="str">
        <f>""</f>
        <v/>
      </c>
      <c r="CJ521" t="str">
        <f>""</f>
        <v/>
      </c>
      <c r="CK521" t="str">
        <f>""</f>
        <v/>
      </c>
      <c r="CL521" t="str">
        <f>""</f>
        <v/>
      </c>
      <c r="CM521" t="str">
        <f>""</f>
        <v/>
      </c>
      <c r="CN521" t="str">
        <f>""</f>
        <v/>
      </c>
      <c r="CO521" t="str">
        <f>""</f>
        <v/>
      </c>
      <c r="CP521" t="str">
        <f>""</f>
        <v/>
      </c>
      <c r="CQ521" t="str">
        <f>""</f>
        <v/>
      </c>
      <c r="CR521" t="str">
        <f>""</f>
        <v/>
      </c>
      <c r="CS521" t="str">
        <f>""</f>
        <v/>
      </c>
      <c r="CT521" t="str">
        <f>""</f>
        <v/>
      </c>
      <c r="CU521" t="str">
        <f>""</f>
        <v/>
      </c>
      <c r="CV521" t="str">
        <f>""</f>
        <v/>
      </c>
      <c r="CW521" t="str">
        <f>""</f>
        <v/>
      </c>
      <c r="CX521" t="str">
        <f>""</f>
        <v/>
      </c>
      <c r="CY521" t="str">
        <f>""</f>
        <v/>
      </c>
      <c r="CZ521" t="str">
        <f>""</f>
        <v/>
      </c>
      <c r="DA521" t="str">
        <f>""</f>
        <v/>
      </c>
      <c r="DB521" t="str">
        <f>""</f>
        <v/>
      </c>
      <c r="DC521" t="str">
        <f>""</f>
        <v/>
      </c>
      <c r="DD521" t="str">
        <f>""</f>
        <v/>
      </c>
      <c r="DE521" t="str">
        <f>""</f>
        <v/>
      </c>
      <c r="DF521" t="str">
        <f>""</f>
        <v/>
      </c>
      <c r="DG521" t="str">
        <f>""</f>
        <v/>
      </c>
      <c r="DH521" t="str">
        <f>""</f>
        <v/>
      </c>
      <c r="DI521" t="str">
        <f>""</f>
        <v/>
      </c>
      <c r="DJ521" t="str">
        <f>""</f>
        <v/>
      </c>
      <c r="DK521" t="str">
        <f>""</f>
        <v/>
      </c>
      <c r="DL521" t="str">
        <f>""</f>
        <v/>
      </c>
      <c r="DM521" t="str">
        <f>""</f>
        <v/>
      </c>
      <c r="DN521" t="str">
        <f>""</f>
        <v/>
      </c>
      <c r="DO521" t="str">
        <f>""</f>
        <v/>
      </c>
      <c r="DP521" t="str">
        <f>""</f>
        <v/>
      </c>
      <c r="DQ521" t="str">
        <f>""</f>
        <v/>
      </c>
      <c r="DR521" t="str">
        <f>""</f>
        <v/>
      </c>
      <c r="DS521" t="str">
        <f>""</f>
        <v/>
      </c>
      <c r="DT521" t="str">
        <f>""</f>
        <v/>
      </c>
      <c r="DU521" t="str">
        <f>""</f>
        <v/>
      </c>
    </row>
    <row r="522" spans="1:125" x14ac:dyDescent="0.25">
      <c r="A522" t="str">
        <f>$A$13</f>
        <v xml:space="preserve">    DRB-Hicom Bhd</v>
      </c>
      <c r="B522" t="str">
        <f>$B$13</f>
        <v>DRB MK Equity</v>
      </c>
      <c r="C522" t="str">
        <f>$C$13</f>
        <v>RR844</v>
      </c>
      <c r="D522" t="str">
        <f>$D$13</f>
        <v>T12M_DIL_EPS_CONT_OPS</v>
      </c>
      <c r="E522" t="str">
        <f>$E$13</f>
        <v>Dynamic</v>
      </c>
      <c r="F522" t="str">
        <f ca="1">_xll.BDH($B$13,$C$13,$B$509,$B$510,CONCATENATE("Per=",$B$507),"Dts=H","Dir=H",CONCATENATE("Points=",$B$508),"Sort=R","Days=A","Fill=B",CONCATENATE("FX=", $B$506) )</f>
        <v>#N/A Connection</v>
      </c>
      <c r="BN522" t="str">
        <f>""</f>
        <v/>
      </c>
      <c r="BO522" t="str">
        <f>""</f>
        <v/>
      </c>
      <c r="BP522" t="str">
        <f>""</f>
        <v/>
      </c>
      <c r="BQ522" t="str">
        <f>""</f>
        <v/>
      </c>
      <c r="BR522" t="str">
        <f>""</f>
        <v/>
      </c>
      <c r="BS522" t="str">
        <f>""</f>
        <v/>
      </c>
      <c r="BT522" t="str">
        <f>""</f>
        <v/>
      </c>
      <c r="BU522" t="str">
        <f>""</f>
        <v/>
      </c>
      <c r="BV522" t="str">
        <f>""</f>
        <v/>
      </c>
      <c r="BW522" t="str">
        <f>""</f>
        <v/>
      </c>
      <c r="BX522" t="str">
        <f>""</f>
        <v/>
      </c>
      <c r="BY522" t="str">
        <f>""</f>
        <v/>
      </c>
      <c r="BZ522" t="str">
        <f>""</f>
        <v/>
      </c>
      <c r="CA522" t="str">
        <f>""</f>
        <v/>
      </c>
      <c r="CB522" t="str">
        <f>""</f>
        <v/>
      </c>
      <c r="CC522" t="str">
        <f>""</f>
        <v/>
      </c>
      <c r="CD522" t="str">
        <f>""</f>
        <v/>
      </c>
      <c r="CE522" t="str">
        <f>""</f>
        <v/>
      </c>
      <c r="CF522" t="str">
        <f>""</f>
        <v/>
      </c>
      <c r="CG522" t="str">
        <f>""</f>
        <v/>
      </c>
      <c r="CH522" t="str">
        <f>""</f>
        <v/>
      </c>
      <c r="CI522" t="str">
        <f>""</f>
        <v/>
      </c>
      <c r="CJ522" t="str">
        <f>""</f>
        <v/>
      </c>
      <c r="CK522" t="str">
        <f>""</f>
        <v/>
      </c>
      <c r="CL522" t="str">
        <f>""</f>
        <v/>
      </c>
      <c r="CM522" t="str">
        <f>""</f>
        <v/>
      </c>
      <c r="CN522" t="str">
        <f>""</f>
        <v/>
      </c>
      <c r="CO522" t="str">
        <f>""</f>
        <v/>
      </c>
      <c r="CP522" t="str">
        <f>""</f>
        <v/>
      </c>
      <c r="CQ522" t="str">
        <f>""</f>
        <v/>
      </c>
      <c r="CR522" t="str">
        <f>""</f>
        <v/>
      </c>
      <c r="CS522" t="str">
        <f>""</f>
        <v/>
      </c>
      <c r="CT522" t="str">
        <f>""</f>
        <v/>
      </c>
      <c r="CU522" t="str">
        <f>""</f>
        <v/>
      </c>
      <c r="CV522" t="str">
        <f>""</f>
        <v/>
      </c>
      <c r="CW522" t="str">
        <f>""</f>
        <v/>
      </c>
      <c r="CX522" t="str">
        <f>""</f>
        <v/>
      </c>
      <c r="CY522" t="str">
        <f>""</f>
        <v/>
      </c>
      <c r="CZ522" t="str">
        <f>""</f>
        <v/>
      </c>
      <c r="DA522" t="str">
        <f>""</f>
        <v/>
      </c>
      <c r="DB522" t="str">
        <f>""</f>
        <v/>
      </c>
      <c r="DC522" t="str">
        <f>""</f>
        <v/>
      </c>
      <c r="DD522" t="str">
        <f>""</f>
        <v/>
      </c>
      <c r="DE522" t="str">
        <f>""</f>
        <v/>
      </c>
      <c r="DF522" t="str">
        <f>""</f>
        <v/>
      </c>
      <c r="DG522" t="str">
        <f>""</f>
        <v/>
      </c>
      <c r="DH522" t="str">
        <f>""</f>
        <v/>
      </c>
      <c r="DI522" t="str">
        <f>""</f>
        <v/>
      </c>
      <c r="DJ522" t="str">
        <f>""</f>
        <v/>
      </c>
      <c r="DK522" t="str">
        <f>""</f>
        <v/>
      </c>
      <c r="DL522" t="str">
        <f>""</f>
        <v/>
      </c>
      <c r="DM522" t="str">
        <f>""</f>
        <v/>
      </c>
      <c r="DN522" t="str">
        <f>""</f>
        <v/>
      </c>
      <c r="DO522" t="str">
        <f>""</f>
        <v/>
      </c>
      <c r="DP522" t="str">
        <f>""</f>
        <v/>
      </c>
      <c r="DQ522" t="str">
        <f>""</f>
        <v/>
      </c>
      <c r="DR522" t="str">
        <f>""</f>
        <v/>
      </c>
      <c r="DS522" t="str">
        <f>""</f>
        <v/>
      </c>
      <c r="DT522" t="str">
        <f>""</f>
        <v/>
      </c>
      <c r="DU522" t="str">
        <f>""</f>
        <v/>
      </c>
    </row>
    <row r="523" spans="1:125" x14ac:dyDescent="0.25">
      <c r="A523" t="str">
        <f>$A$14</f>
        <v xml:space="preserve">    FAW CAR Co Ltd</v>
      </c>
      <c r="B523" t="str">
        <f>$B$14</f>
        <v>000800 CH Equity</v>
      </c>
      <c r="C523" t="str">
        <f>$C$14</f>
        <v>RR844</v>
      </c>
      <c r="D523" t="str">
        <f>$D$14</f>
        <v>T12M_DIL_EPS_CONT_OPS</v>
      </c>
      <c r="E523" t="str">
        <f>$E$14</f>
        <v>Dynamic</v>
      </c>
      <c r="F523" t="str">
        <f ca="1">_xll.BDH($B$14,$C$14,$B$509,$B$510,CONCATENATE("Per=",$B$507),"Dts=H","Dir=H",CONCATENATE("Points=",$B$508),"Sort=R","Days=A","Fill=B",CONCATENATE("FX=", $B$506) )</f>
        <v>#N/A Connection</v>
      </c>
      <c r="BN523" t="str">
        <f>""</f>
        <v/>
      </c>
      <c r="BO523" t="str">
        <f>""</f>
        <v/>
      </c>
      <c r="BP523" t="str">
        <f>""</f>
        <v/>
      </c>
      <c r="BQ523" t="str">
        <f>""</f>
        <v/>
      </c>
      <c r="BR523" t="str">
        <f>""</f>
        <v/>
      </c>
      <c r="BS523" t="str">
        <f>""</f>
        <v/>
      </c>
      <c r="BT523" t="str">
        <f>""</f>
        <v/>
      </c>
      <c r="BU523" t="str">
        <f>""</f>
        <v/>
      </c>
      <c r="BV523" t="str">
        <f>""</f>
        <v/>
      </c>
      <c r="BW523" t="str">
        <f>""</f>
        <v/>
      </c>
      <c r="BX523" t="str">
        <f>""</f>
        <v/>
      </c>
      <c r="BY523" t="str">
        <f>""</f>
        <v/>
      </c>
      <c r="BZ523" t="str">
        <f>""</f>
        <v/>
      </c>
      <c r="CA523" t="str">
        <f>""</f>
        <v/>
      </c>
      <c r="CB523" t="str">
        <f>""</f>
        <v/>
      </c>
      <c r="CC523" t="str">
        <f>""</f>
        <v/>
      </c>
      <c r="CD523" t="str">
        <f>""</f>
        <v/>
      </c>
      <c r="CE523" t="str">
        <f>""</f>
        <v/>
      </c>
      <c r="CF523" t="str">
        <f>""</f>
        <v/>
      </c>
      <c r="CG523" t="str">
        <f>""</f>
        <v/>
      </c>
      <c r="CH523" t="str">
        <f>""</f>
        <v/>
      </c>
      <c r="CI523" t="str">
        <f>""</f>
        <v/>
      </c>
      <c r="CJ523" t="str">
        <f>""</f>
        <v/>
      </c>
      <c r="CK523" t="str">
        <f>""</f>
        <v/>
      </c>
      <c r="CL523" t="str">
        <f>""</f>
        <v/>
      </c>
      <c r="CM523" t="str">
        <f>""</f>
        <v/>
      </c>
      <c r="CN523" t="str">
        <f>""</f>
        <v/>
      </c>
      <c r="CO523" t="str">
        <f>""</f>
        <v/>
      </c>
      <c r="CP523" t="str">
        <f>""</f>
        <v/>
      </c>
      <c r="CQ523" t="str">
        <f>""</f>
        <v/>
      </c>
      <c r="CR523" t="str">
        <f>""</f>
        <v/>
      </c>
      <c r="CS523" t="str">
        <f>""</f>
        <v/>
      </c>
      <c r="CT523" t="str">
        <f>""</f>
        <v/>
      </c>
      <c r="CU523" t="str">
        <f>""</f>
        <v/>
      </c>
      <c r="CV523" t="str">
        <f>""</f>
        <v/>
      </c>
      <c r="CW523" t="str">
        <f>""</f>
        <v/>
      </c>
      <c r="CX523" t="str">
        <f>""</f>
        <v/>
      </c>
      <c r="CY523" t="str">
        <f>""</f>
        <v/>
      </c>
      <c r="CZ523" t="str">
        <f>""</f>
        <v/>
      </c>
      <c r="DA523" t="str">
        <f>""</f>
        <v/>
      </c>
      <c r="DB523" t="str">
        <f>""</f>
        <v/>
      </c>
      <c r="DC523" t="str">
        <f>""</f>
        <v/>
      </c>
      <c r="DD523" t="str">
        <f>""</f>
        <v/>
      </c>
      <c r="DE523" t="str">
        <f>""</f>
        <v/>
      </c>
      <c r="DF523" t="str">
        <f>""</f>
        <v/>
      </c>
      <c r="DG523" t="str">
        <f>""</f>
        <v/>
      </c>
      <c r="DH523" t="str">
        <f>""</f>
        <v/>
      </c>
      <c r="DI523" t="str">
        <f>""</f>
        <v/>
      </c>
      <c r="DJ523" t="str">
        <f>""</f>
        <v/>
      </c>
      <c r="DK523" t="str">
        <f>""</f>
        <v/>
      </c>
      <c r="DL523" t="str">
        <f>""</f>
        <v/>
      </c>
      <c r="DM523" t="str">
        <f>""</f>
        <v/>
      </c>
      <c r="DN523" t="str">
        <f>""</f>
        <v/>
      </c>
      <c r="DO523" t="str">
        <f>""</f>
        <v/>
      </c>
      <c r="DP523" t="str">
        <f>""</f>
        <v/>
      </c>
      <c r="DQ523" t="str">
        <f>""</f>
        <v/>
      </c>
      <c r="DR523" t="str">
        <f>""</f>
        <v/>
      </c>
      <c r="DS523" t="str">
        <f>""</f>
        <v/>
      </c>
      <c r="DT523" t="str">
        <f>""</f>
        <v/>
      </c>
      <c r="DU523" t="str">
        <f>""</f>
        <v/>
      </c>
    </row>
    <row r="524" spans="1:125" x14ac:dyDescent="0.25">
      <c r="A524" t="str">
        <f>$A$15</f>
        <v xml:space="preserve">    Fiat Chrysler Automobiles NV</v>
      </c>
      <c r="B524" t="str">
        <f>$B$15</f>
        <v>FCAU US Equity</v>
      </c>
      <c r="C524" t="str">
        <f>$C$15</f>
        <v>RR844</v>
      </c>
      <c r="D524" t="str">
        <f>$D$15</f>
        <v>T12M_DIL_EPS_CONT_OPS</v>
      </c>
      <c r="E524" t="str">
        <f>$E$15</f>
        <v>Dynamic</v>
      </c>
      <c r="F524" t="str">
        <f ca="1">_xll.BDH($B$15,$C$15,$B$509,$B$510,CONCATENATE("Per=",$B$507),"Dts=H","Dir=H",CONCATENATE("Points=",$B$508),"Sort=R","Days=A","Fill=B",CONCATENATE("FX=", $B$506) )</f>
        <v>#N/A Connection</v>
      </c>
      <c r="BN524" t="str">
        <f>""</f>
        <v/>
      </c>
      <c r="BO524" t="str">
        <f>""</f>
        <v/>
      </c>
      <c r="BP524" t="str">
        <f>""</f>
        <v/>
      </c>
      <c r="BQ524" t="str">
        <f>""</f>
        <v/>
      </c>
      <c r="BR524" t="str">
        <f>""</f>
        <v/>
      </c>
      <c r="BS524" t="str">
        <f>""</f>
        <v/>
      </c>
      <c r="BT524" t="str">
        <f>""</f>
        <v/>
      </c>
      <c r="BU524" t="str">
        <f>""</f>
        <v/>
      </c>
      <c r="BV524" t="str">
        <f>""</f>
        <v/>
      </c>
      <c r="BW524" t="str">
        <f>""</f>
        <v/>
      </c>
      <c r="BX524" t="str">
        <f>""</f>
        <v/>
      </c>
      <c r="BY524" t="str">
        <f>""</f>
        <v/>
      </c>
      <c r="BZ524" t="str">
        <f>""</f>
        <v/>
      </c>
      <c r="CA524" t="str">
        <f>""</f>
        <v/>
      </c>
      <c r="CB524" t="str">
        <f>""</f>
        <v/>
      </c>
      <c r="CC524" t="str">
        <f>""</f>
        <v/>
      </c>
      <c r="CD524" t="str">
        <f>""</f>
        <v/>
      </c>
      <c r="CE524" t="str">
        <f>""</f>
        <v/>
      </c>
      <c r="CF524" t="str">
        <f>""</f>
        <v/>
      </c>
      <c r="CG524" t="str">
        <f>""</f>
        <v/>
      </c>
      <c r="CH524" t="str">
        <f>""</f>
        <v/>
      </c>
      <c r="CI524" t="str">
        <f>""</f>
        <v/>
      </c>
      <c r="CJ524" t="str">
        <f>""</f>
        <v/>
      </c>
      <c r="CK524" t="str">
        <f>""</f>
        <v/>
      </c>
      <c r="CL524" t="str">
        <f>""</f>
        <v/>
      </c>
      <c r="CM524" t="str">
        <f>""</f>
        <v/>
      </c>
      <c r="CN524" t="str">
        <f>""</f>
        <v/>
      </c>
      <c r="CO524" t="str">
        <f>""</f>
        <v/>
      </c>
      <c r="CP524" t="str">
        <f>""</f>
        <v/>
      </c>
      <c r="CQ524" t="str">
        <f>""</f>
        <v/>
      </c>
      <c r="CR524" t="str">
        <f>""</f>
        <v/>
      </c>
      <c r="CS524" t="str">
        <f>""</f>
        <v/>
      </c>
      <c r="CT524" t="str">
        <f>""</f>
        <v/>
      </c>
      <c r="CU524" t="str">
        <f>""</f>
        <v/>
      </c>
      <c r="CV524" t="str">
        <f>""</f>
        <v/>
      </c>
      <c r="CW524" t="str">
        <f>""</f>
        <v/>
      </c>
      <c r="CX524" t="str">
        <f>""</f>
        <v/>
      </c>
      <c r="CY524" t="str">
        <f>""</f>
        <v/>
      </c>
      <c r="CZ524" t="str">
        <f>""</f>
        <v/>
      </c>
      <c r="DA524" t="str">
        <f>""</f>
        <v/>
      </c>
      <c r="DB524" t="str">
        <f>""</f>
        <v/>
      </c>
      <c r="DC524" t="str">
        <f>""</f>
        <v/>
      </c>
      <c r="DD524" t="str">
        <f>""</f>
        <v/>
      </c>
      <c r="DE524" t="str">
        <f>""</f>
        <v/>
      </c>
      <c r="DF524" t="str">
        <f>""</f>
        <v/>
      </c>
      <c r="DG524" t="str">
        <f>""</f>
        <v/>
      </c>
      <c r="DH524" t="str">
        <f>""</f>
        <v/>
      </c>
      <c r="DI524" t="str">
        <f>""</f>
        <v/>
      </c>
      <c r="DJ524" t="str">
        <f>""</f>
        <v/>
      </c>
      <c r="DK524" t="str">
        <f>""</f>
        <v/>
      </c>
      <c r="DL524" t="str">
        <f>""</f>
        <v/>
      </c>
      <c r="DM524" t="str">
        <f>""</f>
        <v/>
      </c>
      <c r="DN524" t="str">
        <f>""</f>
        <v/>
      </c>
      <c r="DO524" t="str">
        <f>""</f>
        <v/>
      </c>
      <c r="DP524" t="str">
        <f>""</f>
        <v/>
      </c>
      <c r="DQ524" t="str">
        <f>""</f>
        <v/>
      </c>
      <c r="DR524" t="str">
        <f>""</f>
        <v/>
      </c>
      <c r="DS524" t="str">
        <f>""</f>
        <v/>
      </c>
      <c r="DT524" t="str">
        <f>""</f>
        <v/>
      </c>
      <c r="DU524" t="str">
        <f>""</f>
        <v/>
      </c>
    </row>
    <row r="525" spans="1:125" x14ac:dyDescent="0.25">
      <c r="A525" t="str">
        <f>$A$16</f>
        <v xml:space="preserve">    Ford Motor Co</v>
      </c>
      <c r="B525" t="str">
        <f>$B$16</f>
        <v>F US Equity</v>
      </c>
      <c r="C525" t="str">
        <f>$C$16</f>
        <v>RR844</v>
      </c>
      <c r="D525" t="str">
        <f>$D$16</f>
        <v>T12M_DIL_EPS_CONT_OPS</v>
      </c>
      <c r="E525" t="str">
        <f>$E$16</f>
        <v>Dynamic</v>
      </c>
      <c r="F525" t="str">
        <f ca="1">_xll.BDH($B$16,$C$16,$B$509,$B$510,CONCATENATE("Per=",$B$507),"Dts=H","Dir=H",CONCATENATE("Points=",$B$508),"Sort=R","Days=A","Fill=B",CONCATENATE("FX=", $B$506) )</f>
        <v>#N/A Connection</v>
      </c>
      <c r="BN525" t="str">
        <f>""</f>
        <v/>
      </c>
      <c r="BO525" t="str">
        <f>""</f>
        <v/>
      </c>
      <c r="BP525" t="str">
        <f>""</f>
        <v/>
      </c>
      <c r="BQ525" t="str">
        <f>""</f>
        <v/>
      </c>
      <c r="BR525" t="str">
        <f>""</f>
        <v/>
      </c>
      <c r="BS525" t="str">
        <f>""</f>
        <v/>
      </c>
      <c r="BT525" t="str">
        <f>""</f>
        <v/>
      </c>
      <c r="BU525" t="str">
        <f>""</f>
        <v/>
      </c>
      <c r="BV525" t="str">
        <f>""</f>
        <v/>
      </c>
      <c r="BW525" t="str">
        <f>""</f>
        <v/>
      </c>
      <c r="BX525" t="str">
        <f>""</f>
        <v/>
      </c>
      <c r="BY525" t="str">
        <f>""</f>
        <v/>
      </c>
      <c r="BZ525" t="str">
        <f>""</f>
        <v/>
      </c>
      <c r="CA525" t="str">
        <f>""</f>
        <v/>
      </c>
      <c r="CB525" t="str">
        <f>""</f>
        <v/>
      </c>
      <c r="CC525" t="str">
        <f>""</f>
        <v/>
      </c>
      <c r="CD525" t="str">
        <f>""</f>
        <v/>
      </c>
      <c r="CE525" t="str">
        <f>""</f>
        <v/>
      </c>
      <c r="CF525" t="str">
        <f>""</f>
        <v/>
      </c>
      <c r="CG525" t="str">
        <f>""</f>
        <v/>
      </c>
      <c r="CH525" t="str">
        <f>""</f>
        <v/>
      </c>
      <c r="CI525" t="str">
        <f>""</f>
        <v/>
      </c>
      <c r="CJ525" t="str">
        <f>""</f>
        <v/>
      </c>
      <c r="CK525" t="str">
        <f>""</f>
        <v/>
      </c>
      <c r="CL525" t="str">
        <f>""</f>
        <v/>
      </c>
      <c r="CM525" t="str">
        <f>""</f>
        <v/>
      </c>
      <c r="CN525" t="str">
        <f>""</f>
        <v/>
      </c>
      <c r="CO525" t="str">
        <f>""</f>
        <v/>
      </c>
      <c r="CP525" t="str">
        <f>""</f>
        <v/>
      </c>
      <c r="CQ525" t="str">
        <f>""</f>
        <v/>
      </c>
      <c r="CR525" t="str">
        <f>""</f>
        <v/>
      </c>
      <c r="CS525" t="str">
        <f>""</f>
        <v/>
      </c>
      <c r="CT525" t="str">
        <f>""</f>
        <v/>
      </c>
      <c r="CU525" t="str">
        <f>""</f>
        <v/>
      </c>
      <c r="CV525" t="str">
        <f>""</f>
        <v/>
      </c>
      <c r="CW525" t="str">
        <f>""</f>
        <v/>
      </c>
      <c r="CX525" t="str">
        <f>""</f>
        <v/>
      </c>
      <c r="CY525" t="str">
        <f>""</f>
        <v/>
      </c>
      <c r="CZ525" t="str">
        <f>""</f>
        <v/>
      </c>
      <c r="DA525" t="str">
        <f>""</f>
        <v/>
      </c>
      <c r="DB525" t="str">
        <f>""</f>
        <v/>
      </c>
      <c r="DC525" t="str">
        <f>""</f>
        <v/>
      </c>
      <c r="DD525" t="str">
        <f>""</f>
        <v/>
      </c>
      <c r="DE525" t="str">
        <f>""</f>
        <v/>
      </c>
      <c r="DF525" t="str">
        <f>""</f>
        <v/>
      </c>
      <c r="DG525" t="str">
        <f>""</f>
        <v/>
      </c>
      <c r="DH525" t="str">
        <f>""</f>
        <v/>
      </c>
      <c r="DI525" t="str">
        <f>""</f>
        <v/>
      </c>
      <c r="DJ525" t="str">
        <f>""</f>
        <v/>
      </c>
      <c r="DK525" t="str">
        <f>""</f>
        <v/>
      </c>
      <c r="DL525" t="str">
        <f>""</f>
        <v/>
      </c>
      <c r="DM525" t="str">
        <f>""</f>
        <v/>
      </c>
      <c r="DN525" t="str">
        <f>""</f>
        <v/>
      </c>
      <c r="DO525" t="str">
        <f>""</f>
        <v/>
      </c>
      <c r="DP525" t="str">
        <f>""</f>
        <v/>
      </c>
      <c r="DQ525" t="str">
        <f>""</f>
        <v/>
      </c>
      <c r="DR525" t="str">
        <f>""</f>
        <v/>
      </c>
      <c r="DS525" t="str">
        <f>""</f>
        <v/>
      </c>
      <c r="DT525" t="str">
        <f>""</f>
        <v/>
      </c>
      <c r="DU525" t="str">
        <f>""</f>
        <v/>
      </c>
    </row>
    <row r="526" spans="1:125" x14ac:dyDescent="0.25">
      <c r="A526" t="str">
        <f>$A$17</f>
        <v xml:space="preserve">    Ford Otomotiv Sanayi AS</v>
      </c>
      <c r="B526" t="str">
        <f>$B$17</f>
        <v>FROTOTRY EO Equity</v>
      </c>
      <c r="C526" t="str">
        <f>$C$17</f>
        <v>RR844</v>
      </c>
      <c r="D526" t="str">
        <f>$D$17</f>
        <v>T12M_DIL_EPS_CONT_OPS</v>
      </c>
      <c r="E526" t="str">
        <f>$E$17</f>
        <v>Dynamic</v>
      </c>
      <c r="F526" t="str">
        <f ca="1">_xll.BDH($B$17,$C$17,$B$509,$B$510,CONCATENATE("Per=",$B$507),"Dts=H","Dir=H",CONCATENATE("Points=",$B$508),"Sort=R","Days=A","Fill=B",CONCATENATE("FX=", $B$506) )</f>
        <v>#N/A Connection</v>
      </c>
      <c r="BN526" t="str">
        <f>""</f>
        <v/>
      </c>
      <c r="BO526" t="str">
        <f>""</f>
        <v/>
      </c>
      <c r="BP526" t="str">
        <f>""</f>
        <v/>
      </c>
      <c r="BQ526" t="str">
        <f>""</f>
        <v/>
      </c>
      <c r="BR526" t="str">
        <f>""</f>
        <v/>
      </c>
      <c r="BS526" t="str">
        <f>""</f>
        <v/>
      </c>
      <c r="BT526" t="str">
        <f>""</f>
        <v/>
      </c>
      <c r="BU526" t="str">
        <f>""</f>
        <v/>
      </c>
      <c r="BV526" t="str">
        <f>""</f>
        <v/>
      </c>
      <c r="BW526" t="str">
        <f>""</f>
        <v/>
      </c>
      <c r="BX526" t="str">
        <f>""</f>
        <v/>
      </c>
      <c r="BY526" t="str">
        <f>""</f>
        <v/>
      </c>
      <c r="BZ526" t="str">
        <f>""</f>
        <v/>
      </c>
      <c r="CA526" t="str">
        <f>""</f>
        <v/>
      </c>
      <c r="CB526" t="str">
        <f>""</f>
        <v/>
      </c>
      <c r="CC526" t="str">
        <f>""</f>
        <v/>
      </c>
      <c r="CD526" t="str">
        <f>""</f>
        <v/>
      </c>
      <c r="CE526" t="str">
        <f>""</f>
        <v/>
      </c>
      <c r="CF526" t="str">
        <f>""</f>
        <v/>
      </c>
      <c r="CG526" t="str">
        <f>""</f>
        <v/>
      </c>
      <c r="CH526" t="str">
        <f>""</f>
        <v/>
      </c>
      <c r="CI526" t="str">
        <f>""</f>
        <v/>
      </c>
      <c r="CJ526" t="str">
        <f>""</f>
        <v/>
      </c>
      <c r="CK526" t="str">
        <f>""</f>
        <v/>
      </c>
      <c r="CL526" t="str">
        <f>""</f>
        <v/>
      </c>
      <c r="CM526" t="str">
        <f>""</f>
        <v/>
      </c>
      <c r="CN526" t="str">
        <f>""</f>
        <v/>
      </c>
      <c r="CO526" t="str">
        <f>""</f>
        <v/>
      </c>
      <c r="CP526" t="str">
        <f>""</f>
        <v/>
      </c>
      <c r="CQ526" t="str">
        <f>""</f>
        <v/>
      </c>
      <c r="CR526" t="str">
        <f>""</f>
        <v/>
      </c>
      <c r="CS526" t="str">
        <f>""</f>
        <v/>
      </c>
      <c r="CT526" t="str">
        <f>""</f>
        <v/>
      </c>
      <c r="CU526" t="str">
        <f>""</f>
        <v/>
      </c>
      <c r="CV526" t="str">
        <f>""</f>
        <v/>
      </c>
      <c r="CW526" t="str">
        <f>""</f>
        <v/>
      </c>
      <c r="CX526" t="str">
        <f>""</f>
        <v/>
      </c>
      <c r="CY526" t="str">
        <f>""</f>
        <v/>
      </c>
      <c r="CZ526" t="str">
        <f>""</f>
        <v/>
      </c>
      <c r="DA526" t="str">
        <f>""</f>
        <v/>
      </c>
      <c r="DB526" t="str">
        <f>""</f>
        <v/>
      </c>
      <c r="DC526" t="str">
        <f>""</f>
        <v/>
      </c>
      <c r="DD526" t="str">
        <f>""</f>
        <v/>
      </c>
      <c r="DE526" t="str">
        <f>""</f>
        <v/>
      </c>
      <c r="DF526" t="str">
        <f>""</f>
        <v/>
      </c>
      <c r="DG526" t="str">
        <f>""</f>
        <v/>
      </c>
      <c r="DH526" t="str">
        <f>""</f>
        <v/>
      </c>
      <c r="DI526" t="str">
        <f>""</f>
        <v/>
      </c>
      <c r="DJ526" t="str">
        <f>""</f>
        <v/>
      </c>
      <c r="DK526" t="str">
        <f>""</f>
        <v/>
      </c>
      <c r="DL526" t="str">
        <f>""</f>
        <v/>
      </c>
      <c r="DM526" t="str">
        <f>""</f>
        <v/>
      </c>
      <c r="DN526" t="str">
        <f>""</f>
        <v/>
      </c>
      <c r="DO526" t="str">
        <f>""</f>
        <v/>
      </c>
      <c r="DP526" t="str">
        <f>""</f>
        <v/>
      </c>
      <c r="DQ526" t="str">
        <f>""</f>
        <v/>
      </c>
      <c r="DR526" t="str">
        <f>""</f>
        <v/>
      </c>
      <c r="DS526" t="str">
        <f>""</f>
        <v/>
      </c>
      <c r="DT526" t="str">
        <f>""</f>
        <v/>
      </c>
      <c r="DU526" t="str">
        <f>""</f>
        <v/>
      </c>
    </row>
    <row r="527" spans="1:125" x14ac:dyDescent="0.25">
      <c r="A527" t="str">
        <f>$A$18</f>
        <v xml:space="preserve">    GAZ PJSC</v>
      </c>
      <c r="B527" t="str">
        <f>$B$18</f>
        <v>GAZA RM Equity</v>
      </c>
      <c r="C527" t="str">
        <f>$C$18</f>
        <v>RR844</v>
      </c>
      <c r="D527" t="str">
        <f>$D$18</f>
        <v>T12M_DIL_EPS_CONT_OPS</v>
      </c>
      <c r="E527" t="str">
        <f>$E$18</f>
        <v>Dynamic</v>
      </c>
      <c r="F527" t="str">
        <f ca="1">_xll.BDH($B$18,$C$18,$B$509,$B$510,CONCATENATE("Per=",$B$507),"Dts=H","Dir=H",CONCATENATE("Points=",$B$508),"Sort=R","Days=A","Fill=B",CONCATENATE("FX=", $B$506) )</f>
        <v>#N/A Connection</v>
      </c>
      <c r="BN527" t="str">
        <f>""</f>
        <v/>
      </c>
      <c r="BO527" t="str">
        <f>""</f>
        <v/>
      </c>
      <c r="BP527" t="str">
        <f>""</f>
        <v/>
      </c>
      <c r="BQ527" t="str">
        <f>""</f>
        <v/>
      </c>
      <c r="BR527" t="str">
        <f>""</f>
        <v/>
      </c>
      <c r="BS527" t="str">
        <f>""</f>
        <v/>
      </c>
      <c r="BT527" t="str">
        <f>""</f>
        <v/>
      </c>
      <c r="BU527" t="str">
        <f>""</f>
        <v/>
      </c>
      <c r="BV527" t="str">
        <f>""</f>
        <v/>
      </c>
      <c r="BW527" t="str">
        <f>""</f>
        <v/>
      </c>
      <c r="BX527" t="str">
        <f>""</f>
        <v/>
      </c>
      <c r="BY527" t="str">
        <f>""</f>
        <v/>
      </c>
      <c r="BZ527" t="str">
        <f>""</f>
        <v/>
      </c>
      <c r="CA527" t="str">
        <f>""</f>
        <v/>
      </c>
      <c r="CB527" t="str">
        <f>""</f>
        <v/>
      </c>
      <c r="CC527" t="str">
        <f>""</f>
        <v/>
      </c>
      <c r="CD527" t="str">
        <f>""</f>
        <v/>
      </c>
      <c r="CE527" t="str">
        <f>""</f>
        <v/>
      </c>
      <c r="CF527" t="str">
        <f>""</f>
        <v/>
      </c>
      <c r="CG527" t="str">
        <f>""</f>
        <v/>
      </c>
      <c r="CH527" t="str">
        <f>""</f>
        <v/>
      </c>
      <c r="CI527" t="str">
        <f>""</f>
        <v/>
      </c>
      <c r="CJ527" t="str">
        <f>""</f>
        <v/>
      </c>
      <c r="CK527" t="str">
        <f>""</f>
        <v/>
      </c>
      <c r="CL527" t="str">
        <f>""</f>
        <v/>
      </c>
      <c r="CM527" t="str">
        <f>""</f>
        <v/>
      </c>
      <c r="CN527" t="str">
        <f>""</f>
        <v/>
      </c>
      <c r="CO527" t="str">
        <f>""</f>
        <v/>
      </c>
      <c r="CP527" t="str">
        <f>""</f>
        <v/>
      </c>
      <c r="CQ527" t="str">
        <f>""</f>
        <v/>
      </c>
      <c r="CR527" t="str">
        <f>""</f>
        <v/>
      </c>
      <c r="CS527" t="str">
        <f>""</f>
        <v/>
      </c>
      <c r="CT527" t="str">
        <f>""</f>
        <v/>
      </c>
      <c r="CU527" t="str">
        <f>""</f>
        <v/>
      </c>
      <c r="CV527" t="str">
        <f>""</f>
        <v/>
      </c>
      <c r="CW527" t="str">
        <f>""</f>
        <v/>
      </c>
      <c r="CX527" t="str">
        <f>""</f>
        <v/>
      </c>
      <c r="CY527" t="str">
        <f>""</f>
        <v/>
      </c>
      <c r="CZ527" t="str">
        <f>""</f>
        <v/>
      </c>
      <c r="DA527" t="str">
        <f>""</f>
        <v/>
      </c>
      <c r="DB527" t="str">
        <f>""</f>
        <v/>
      </c>
      <c r="DC527" t="str">
        <f>""</f>
        <v/>
      </c>
      <c r="DD527" t="str">
        <f>""</f>
        <v/>
      </c>
      <c r="DE527" t="str">
        <f>""</f>
        <v/>
      </c>
      <c r="DF527" t="str">
        <f>""</f>
        <v/>
      </c>
      <c r="DG527" t="str">
        <f>""</f>
        <v/>
      </c>
      <c r="DH527" t="str">
        <f>""</f>
        <v/>
      </c>
      <c r="DI527" t="str">
        <f>""</f>
        <v/>
      </c>
      <c r="DJ527" t="str">
        <f>""</f>
        <v/>
      </c>
      <c r="DK527" t="str">
        <f>""</f>
        <v/>
      </c>
      <c r="DL527" t="str">
        <f>""</f>
        <v/>
      </c>
      <c r="DM527" t="str">
        <f>""</f>
        <v/>
      </c>
      <c r="DN527" t="str">
        <f>""</f>
        <v/>
      </c>
      <c r="DO527" t="str">
        <f>""</f>
        <v/>
      </c>
      <c r="DP527" t="str">
        <f>""</f>
        <v/>
      </c>
      <c r="DQ527" t="str">
        <f>""</f>
        <v/>
      </c>
      <c r="DR527" t="str">
        <f>""</f>
        <v/>
      </c>
      <c r="DS527" t="str">
        <f>""</f>
        <v/>
      </c>
      <c r="DT527" t="str">
        <f>""</f>
        <v/>
      </c>
      <c r="DU527" t="str">
        <f>""</f>
        <v/>
      </c>
    </row>
    <row r="528" spans="1:125" x14ac:dyDescent="0.25">
      <c r="A528" t="str">
        <f>$A$19</f>
        <v xml:space="preserve">    Geely Automobile Holdings Ltd</v>
      </c>
      <c r="B528" t="str">
        <f>$B$19</f>
        <v>175 HK Equity</v>
      </c>
      <c r="C528" t="str">
        <f>$C$19</f>
        <v>RR844</v>
      </c>
      <c r="D528" t="str">
        <f>$D$19</f>
        <v>T12M_DIL_EPS_CONT_OPS</v>
      </c>
      <c r="E528" t="str">
        <f>$E$19</f>
        <v>Dynamic</v>
      </c>
      <c r="F528" t="str">
        <f ca="1">_xll.BDH($B$19,$C$19,$B$509,$B$510,CONCATENATE("Per=",$B$507),"Dts=H","Dir=H",CONCATENATE("Points=",$B$508),"Sort=R","Days=A","Fill=B",CONCATENATE("FX=", $B$506) )</f>
        <v>#N/A Connection</v>
      </c>
      <c r="BN528" t="str">
        <f>""</f>
        <v/>
      </c>
      <c r="BO528" t="str">
        <f>""</f>
        <v/>
      </c>
      <c r="BP528" t="str">
        <f>""</f>
        <v/>
      </c>
      <c r="BQ528" t="str">
        <f>""</f>
        <v/>
      </c>
      <c r="BR528" t="str">
        <f>""</f>
        <v/>
      </c>
      <c r="BS528" t="str">
        <f>""</f>
        <v/>
      </c>
      <c r="BT528" t="str">
        <f>""</f>
        <v/>
      </c>
      <c r="BU528" t="str">
        <f>""</f>
        <v/>
      </c>
      <c r="BV528" t="str">
        <f>""</f>
        <v/>
      </c>
      <c r="BW528" t="str">
        <f>""</f>
        <v/>
      </c>
      <c r="BX528" t="str">
        <f>""</f>
        <v/>
      </c>
      <c r="BY528" t="str">
        <f>""</f>
        <v/>
      </c>
      <c r="BZ528" t="str">
        <f>""</f>
        <v/>
      </c>
      <c r="CA528" t="str">
        <f>""</f>
        <v/>
      </c>
      <c r="CB528" t="str">
        <f>""</f>
        <v/>
      </c>
      <c r="CC528" t="str">
        <f>""</f>
        <v/>
      </c>
      <c r="CD528" t="str">
        <f>""</f>
        <v/>
      </c>
      <c r="CE528" t="str">
        <f>""</f>
        <v/>
      </c>
      <c r="CF528" t="str">
        <f>""</f>
        <v/>
      </c>
      <c r="CG528" t="str">
        <f>""</f>
        <v/>
      </c>
      <c r="CH528" t="str">
        <f>""</f>
        <v/>
      </c>
      <c r="CI528" t="str">
        <f>""</f>
        <v/>
      </c>
      <c r="CJ528" t="str">
        <f>""</f>
        <v/>
      </c>
      <c r="CK528" t="str">
        <f>""</f>
        <v/>
      </c>
      <c r="CL528" t="str">
        <f>""</f>
        <v/>
      </c>
      <c r="CM528" t="str">
        <f>""</f>
        <v/>
      </c>
      <c r="CN528" t="str">
        <f>""</f>
        <v/>
      </c>
      <c r="CO528" t="str">
        <f>""</f>
        <v/>
      </c>
      <c r="CP528" t="str">
        <f>""</f>
        <v/>
      </c>
      <c r="CQ528" t="str">
        <f>""</f>
        <v/>
      </c>
      <c r="CR528" t="str">
        <f>""</f>
        <v/>
      </c>
      <c r="CS528" t="str">
        <f>""</f>
        <v/>
      </c>
      <c r="CT528" t="str">
        <f>""</f>
        <v/>
      </c>
      <c r="CU528" t="str">
        <f>""</f>
        <v/>
      </c>
      <c r="CV528" t="str">
        <f>""</f>
        <v/>
      </c>
      <c r="CW528" t="str">
        <f>""</f>
        <v/>
      </c>
      <c r="CX528" t="str">
        <f>""</f>
        <v/>
      </c>
      <c r="CY528" t="str">
        <f>""</f>
        <v/>
      </c>
      <c r="CZ528" t="str">
        <f>""</f>
        <v/>
      </c>
      <c r="DA528" t="str">
        <f>""</f>
        <v/>
      </c>
      <c r="DB528" t="str">
        <f>""</f>
        <v/>
      </c>
      <c r="DC528" t="str">
        <f>""</f>
        <v/>
      </c>
      <c r="DD528" t="str">
        <f>""</f>
        <v/>
      </c>
      <c r="DE528" t="str">
        <f>""</f>
        <v/>
      </c>
      <c r="DF528" t="str">
        <f>""</f>
        <v/>
      </c>
      <c r="DG528" t="str">
        <f>""</f>
        <v/>
      </c>
      <c r="DH528" t="str">
        <f>""</f>
        <v/>
      </c>
      <c r="DI528" t="str">
        <f>""</f>
        <v/>
      </c>
      <c r="DJ528" t="str">
        <f>""</f>
        <v/>
      </c>
      <c r="DK528" t="str">
        <f>""</f>
        <v/>
      </c>
      <c r="DL528" t="str">
        <f>""</f>
        <v/>
      </c>
      <c r="DM528" t="str">
        <f>""</f>
        <v/>
      </c>
      <c r="DN528" t="str">
        <f>""</f>
        <v/>
      </c>
      <c r="DO528" t="str">
        <f>""</f>
        <v/>
      </c>
      <c r="DP528" t="str">
        <f>""</f>
        <v/>
      </c>
      <c r="DQ528" t="str">
        <f>""</f>
        <v/>
      </c>
      <c r="DR528" t="str">
        <f>""</f>
        <v/>
      </c>
      <c r="DS528" t="str">
        <f>""</f>
        <v/>
      </c>
      <c r="DT528" t="str">
        <f>""</f>
        <v/>
      </c>
      <c r="DU528" t="str">
        <f>""</f>
        <v/>
      </c>
    </row>
    <row r="529" spans="1:125" x14ac:dyDescent="0.25">
      <c r="A529" t="str">
        <f>$A$20</f>
        <v xml:space="preserve">    General Motors Co</v>
      </c>
      <c r="B529" t="str">
        <f>$B$20</f>
        <v>GM US Equity</v>
      </c>
      <c r="C529" t="str">
        <f>$C$20</f>
        <v>RR844</v>
      </c>
      <c r="D529" t="str">
        <f>$D$20</f>
        <v>T12M_DIL_EPS_CONT_OPS</v>
      </c>
      <c r="E529" t="str">
        <f>$E$20</f>
        <v>Dynamic</v>
      </c>
      <c r="F529" t="str">
        <f ca="1">_xll.BDH($B$20,$C$20,$B$509,$B$510,CONCATENATE("Per=",$B$507),"Dts=H","Dir=H",CONCATENATE("Points=",$B$508),"Sort=R","Days=A","Fill=B",CONCATENATE("FX=", $B$506) )</f>
        <v>#N/A Connection</v>
      </c>
      <c r="BN529" t="str">
        <f>""</f>
        <v/>
      </c>
      <c r="BO529" t="str">
        <f>""</f>
        <v/>
      </c>
      <c r="BP529" t="str">
        <f>""</f>
        <v/>
      </c>
      <c r="BQ529" t="str">
        <f>""</f>
        <v/>
      </c>
      <c r="BR529" t="str">
        <f>""</f>
        <v/>
      </c>
      <c r="BS529" t="str">
        <f>""</f>
        <v/>
      </c>
      <c r="BT529" t="str">
        <f>""</f>
        <v/>
      </c>
      <c r="BU529" t="str">
        <f>""</f>
        <v/>
      </c>
      <c r="BV529" t="str">
        <f>""</f>
        <v/>
      </c>
      <c r="BW529" t="str">
        <f>""</f>
        <v/>
      </c>
      <c r="BX529" t="str">
        <f>""</f>
        <v/>
      </c>
      <c r="BY529" t="str">
        <f>""</f>
        <v/>
      </c>
      <c r="BZ529" t="str">
        <f>""</f>
        <v/>
      </c>
      <c r="CA529" t="str">
        <f>""</f>
        <v/>
      </c>
      <c r="CB529" t="str">
        <f>""</f>
        <v/>
      </c>
      <c r="CC529" t="str">
        <f>""</f>
        <v/>
      </c>
      <c r="CD529" t="str">
        <f>""</f>
        <v/>
      </c>
      <c r="CE529" t="str">
        <f>""</f>
        <v/>
      </c>
      <c r="CF529" t="str">
        <f>""</f>
        <v/>
      </c>
      <c r="CG529" t="str">
        <f>""</f>
        <v/>
      </c>
      <c r="CH529" t="str">
        <f>""</f>
        <v/>
      </c>
      <c r="CI529" t="str">
        <f>""</f>
        <v/>
      </c>
      <c r="CJ529" t="str">
        <f>""</f>
        <v/>
      </c>
      <c r="CK529" t="str">
        <f>""</f>
        <v/>
      </c>
      <c r="CL529" t="str">
        <f>""</f>
        <v/>
      </c>
      <c r="CM529" t="str">
        <f>""</f>
        <v/>
      </c>
      <c r="CN529" t="str">
        <f>""</f>
        <v/>
      </c>
      <c r="CO529" t="str">
        <f>""</f>
        <v/>
      </c>
      <c r="CP529" t="str">
        <f>""</f>
        <v/>
      </c>
      <c r="CQ529" t="str">
        <f>""</f>
        <v/>
      </c>
      <c r="CR529" t="str">
        <f>""</f>
        <v/>
      </c>
      <c r="CS529" t="str">
        <f>""</f>
        <v/>
      </c>
      <c r="CT529" t="str">
        <f>""</f>
        <v/>
      </c>
      <c r="CU529" t="str">
        <f>""</f>
        <v/>
      </c>
      <c r="CV529" t="str">
        <f>""</f>
        <v/>
      </c>
      <c r="CW529" t="str">
        <f>""</f>
        <v/>
      </c>
      <c r="CX529" t="str">
        <f>""</f>
        <v/>
      </c>
      <c r="CY529" t="str">
        <f>""</f>
        <v/>
      </c>
      <c r="CZ529" t="str">
        <f>""</f>
        <v/>
      </c>
      <c r="DA529" t="str">
        <f>""</f>
        <v/>
      </c>
      <c r="DB529" t="str">
        <f>""</f>
        <v/>
      </c>
      <c r="DC529" t="str">
        <f>""</f>
        <v/>
      </c>
      <c r="DD529" t="str">
        <f>""</f>
        <v/>
      </c>
      <c r="DE529" t="str">
        <f>""</f>
        <v/>
      </c>
      <c r="DF529" t="str">
        <f>""</f>
        <v/>
      </c>
      <c r="DG529" t="str">
        <f>""</f>
        <v/>
      </c>
      <c r="DH529" t="str">
        <f>""</f>
        <v/>
      </c>
      <c r="DI529" t="str">
        <f>""</f>
        <v/>
      </c>
      <c r="DJ529" t="str">
        <f>""</f>
        <v/>
      </c>
      <c r="DK529" t="str">
        <f>""</f>
        <v/>
      </c>
      <c r="DL529" t="str">
        <f>""</f>
        <v/>
      </c>
      <c r="DM529" t="str">
        <f>""</f>
        <v/>
      </c>
      <c r="DN529" t="str">
        <f>""</f>
        <v/>
      </c>
      <c r="DO529" t="str">
        <f>""</f>
        <v/>
      </c>
      <c r="DP529" t="str">
        <f>""</f>
        <v/>
      </c>
      <c r="DQ529" t="str">
        <f>""</f>
        <v/>
      </c>
      <c r="DR529" t="str">
        <f>""</f>
        <v/>
      </c>
      <c r="DS529" t="str">
        <f>""</f>
        <v/>
      </c>
      <c r="DT529" t="str">
        <f>""</f>
        <v/>
      </c>
      <c r="DU529" t="str">
        <f>""</f>
        <v/>
      </c>
    </row>
    <row r="530" spans="1:125" x14ac:dyDescent="0.25">
      <c r="A530" t="str">
        <f>$A$21</f>
        <v xml:space="preserve">    Great Wall Motor Co Ltd</v>
      </c>
      <c r="B530" t="str">
        <f>$B$21</f>
        <v>2333 HK Equity</v>
      </c>
      <c r="C530" t="str">
        <f>$C$21</f>
        <v>RR844</v>
      </c>
      <c r="D530" t="str">
        <f>$D$21</f>
        <v>T12M_DIL_EPS_CONT_OPS</v>
      </c>
      <c r="E530" t="str">
        <f>$E$21</f>
        <v>Dynamic</v>
      </c>
      <c r="F530" t="str">
        <f ca="1">_xll.BDH($B$21,$C$21,$B$509,$B$510,CONCATENATE("Per=",$B$507),"Dts=H","Dir=H",CONCATENATE("Points=",$B$508),"Sort=R","Days=A","Fill=B",CONCATENATE("FX=", $B$506) )</f>
        <v>#N/A Connection</v>
      </c>
      <c r="BN530" t="str">
        <f>""</f>
        <v/>
      </c>
      <c r="BO530" t="str">
        <f>""</f>
        <v/>
      </c>
      <c r="BP530" t="str">
        <f>""</f>
        <v/>
      </c>
      <c r="BQ530" t="str">
        <f>""</f>
        <v/>
      </c>
      <c r="BR530" t="str">
        <f>""</f>
        <v/>
      </c>
      <c r="BS530" t="str">
        <f>""</f>
        <v/>
      </c>
      <c r="BT530" t="str">
        <f>""</f>
        <v/>
      </c>
      <c r="BU530" t="str">
        <f>""</f>
        <v/>
      </c>
      <c r="BV530" t="str">
        <f>""</f>
        <v/>
      </c>
      <c r="BW530" t="str">
        <f>""</f>
        <v/>
      </c>
      <c r="BX530" t="str">
        <f>""</f>
        <v/>
      </c>
      <c r="BY530" t="str">
        <f>""</f>
        <v/>
      </c>
      <c r="BZ530" t="str">
        <f>""</f>
        <v/>
      </c>
      <c r="CA530" t="str">
        <f>""</f>
        <v/>
      </c>
      <c r="CB530" t="str">
        <f>""</f>
        <v/>
      </c>
      <c r="CC530" t="str">
        <f>""</f>
        <v/>
      </c>
      <c r="CD530" t="str">
        <f>""</f>
        <v/>
      </c>
      <c r="CE530" t="str">
        <f>""</f>
        <v/>
      </c>
      <c r="CF530" t="str">
        <f>""</f>
        <v/>
      </c>
      <c r="CG530" t="str">
        <f>""</f>
        <v/>
      </c>
      <c r="CH530" t="str">
        <f>""</f>
        <v/>
      </c>
      <c r="CI530" t="str">
        <f>""</f>
        <v/>
      </c>
      <c r="CJ530" t="str">
        <f>""</f>
        <v/>
      </c>
      <c r="CK530" t="str">
        <f>""</f>
        <v/>
      </c>
      <c r="CL530" t="str">
        <f>""</f>
        <v/>
      </c>
      <c r="CM530" t="str">
        <f>""</f>
        <v/>
      </c>
      <c r="CN530" t="str">
        <f>""</f>
        <v/>
      </c>
      <c r="CO530" t="str">
        <f>""</f>
        <v/>
      </c>
      <c r="CP530" t="str">
        <f>""</f>
        <v/>
      </c>
      <c r="CQ530" t="str">
        <f>""</f>
        <v/>
      </c>
      <c r="CR530" t="str">
        <f>""</f>
        <v/>
      </c>
      <c r="CS530" t="str">
        <f>""</f>
        <v/>
      </c>
      <c r="CT530" t="str">
        <f>""</f>
        <v/>
      </c>
      <c r="CU530" t="str">
        <f>""</f>
        <v/>
      </c>
      <c r="CV530" t="str">
        <f>""</f>
        <v/>
      </c>
      <c r="CW530" t="str">
        <f>""</f>
        <v/>
      </c>
      <c r="CX530" t="str">
        <f>""</f>
        <v/>
      </c>
      <c r="CY530" t="str">
        <f>""</f>
        <v/>
      </c>
      <c r="CZ530" t="str">
        <f>""</f>
        <v/>
      </c>
      <c r="DA530" t="str">
        <f>""</f>
        <v/>
      </c>
      <c r="DB530" t="str">
        <f>""</f>
        <v/>
      </c>
      <c r="DC530" t="str">
        <f>""</f>
        <v/>
      </c>
      <c r="DD530" t="str">
        <f>""</f>
        <v/>
      </c>
      <c r="DE530" t="str">
        <f>""</f>
        <v/>
      </c>
      <c r="DF530" t="str">
        <f>""</f>
        <v/>
      </c>
      <c r="DG530" t="str">
        <f>""</f>
        <v/>
      </c>
      <c r="DH530" t="str">
        <f>""</f>
        <v/>
      </c>
      <c r="DI530" t="str">
        <f>""</f>
        <v/>
      </c>
      <c r="DJ530" t="str">
        <f>""</f>
        <v/>
      </c>
      <c r="DK530" t="str">
        <f>""</f>
        <v/>
      </c>
      <c r="DL530" t="str">
        <f>""</f>
        <v/>
      </c>
      <c r="DM530" t="str">
        <f>""</f>
        <v/>
      </c>
      <c r="DN530" t="str">
        <f>""</f>
        <v/>
      </c>
      <c r="DO530" t="str">
        <f>""</f>
        <v/>
      </c>
      <c r="DP530" t="str">
        <f>""</f>
        <v/>
      </c>
      <c r="DQ530" t="str">
        <f>""</f>
        <v/>
      </c>
      <c r="DR530" t="str">
        <f>""</f>
        <v/>
      </c>
      <c r="DS530" t="str">
        <f>""</f>
        <v/>
      </c>
      <c r="DT530" t="str">
        <f>""</f>
        <v/>
      </c>
      <c r="DU530" t="str">
        <f>""</f>
        <v/>
      </c>
    </row>
    <row r="531" spans="1:125" x14ac:dyDescent="0.25">
      <c r="A531" t="str">
        <f>$A$22</f>
        <v xml:space="preserve">    Guangzhou Automobile Group Co Ltd</v>
      </c>
      <c r="B531" t="str">
        <f>$B$22</f>
        <v>2238 HK Equity</v>
      </c>
      <c r="C531" t="str">
        <f>$C$22</f>
        <v>RR844</v>
      </c>
      <c r="D531" t="str">
        <f>$D$22</f>
        <v>T12M_DIL_EPS_CONT_OPS</v>
      </c>
      <c r="E531" t="str">
        <f>$E$22</f>
        <v>Dynamic</v>
      </c>
      <c r="F531" t="str">
        <f ca="1">_xll.BDH($B$22,$C$22,$B$509,$B$510,CONCATENATE("Per=",$B$507),"Dts=H","Dir=H",CONCATENATE("Points=",$B$508),"Sort=R","Days=A","Fill=B",CONCATENATE("FX=", $B$506) )</f>
        <v>#N/A Connection</v>
      </c>
      <c r="BN531" t="str">
        <f>""</f>
        <v/>
      </c>
      <c r="BO531" t="str">
        <f>""</f>
        <v/>
      </c>
      <c r="BP531" t="str">
        <f>""</f>
        <v/>
      </c>
      <c r="BQ531" t="str">
        <f>""</f>
        <v/>
      </c>
      <c r="BR531" t="str">
        <f>""</f>
        <v/>
      </c>
      <c r="BS531" t="str">
        <f>""</f>
        <v/>
      </c>
      <c r="BT531" t="str">
        <f>""</f>
        <v/>
      </c>
      <c r="BU531" t="str">
        <f>""</f>
        <v/>
      </c>
      <c r="BV531" t="str">
        <f>""</f>
        <v/>
      </c>
      <c r="BW531" t="str">
        <f>""</f>
        <v/>
      </c>
      <c r="BX531" t="str">
        <f>""</f>
        <v/>
      </c>
      <c r="BY531" t="str">
        <f>""</f>
        <v/>
      </c>
      <c r="BZ531" t="str">
        <f>""</f>
        <v/>
      </c>
      <c r="CA531" t="str">
        <f>""</f>
        <v/>
      </c>
      <c r="CB531" t="str">
        <f>""</f>
        <v/>
      </c>
      <c r="CC531" t="str">
        <f>""</f>
        <v/>
      </c>
      <c r="CD531" t="str">
        <f>""</f>
        <v/>
      </c>
      <c r="CE531" t="str">
        <f>""</f>
        <v/>
      </c>
      <c r="CF531" t="str">
        <f>""</f>
        <v/>
      </c>
      <c r="CG531" t="str">
        <f>""</f>
        <v/>
      </c>
      <c r="CH531" t="str">
        <f>""</f>
        <v/>
      </c>
      <c r="CI531" t="str">
        <f>""</f>
        <v/>
      </c>
      <c r="CJ531" t="str">
        <f>""</f>
        <v/>
      </c>
      <c r="CK531" t="str">
        <f>""</f>
        <v/>
      </c>
      <c r="CL531" t="str">
        <f>""</f>
        <v/>
      </c>
      <c r="CM531" t="str">
        <f>""</f>
        <v/>
      </c>
      <c r="CN531" t="str">
        <f>""</f>
        <v/>
      </c>
      <c r="CO531" t="str">
        <f>""</f>
        <v/>
      </c>
      <c r="CP531" t="str">
        <f>""</f>
        <v/>
      </c>
      <c r="CQ531" t="str">
        <f>""</f>
        <v/>
      </c>
      <c r="CR531" t="str">
        <f>""</f>
        <v/>
      </c>
      <c r="CS531" t="str">
        <f>""</f>
        <v/>
      </c>
      <c r="CT531" t="str">
        <f>""</f>
        <v/>
      </c>
      <c r="CU531" t="str">
        <f>""</f>
        <v/>
      </c>
      <c r="CV531" t="str">
        <f>""</f>
        <v/>
      </c>
      <c r="CW531" t="str">
        <f>""</f>
        <v/>
      </c>
      <c r="CX531" t="str">
        <f>""</f>
        <v/>
      </c>
      <c r="CY531" t="str">
        <f>""</f>
        <v/>
      </c>
      <c r="CZ531" t="str">
        <f>""</f>
        <v/>
      </c>
      <c r="DA531" t="str">
        <f>""</f>
        <v/>
      </c>
      <c r="DB531" t="str">
        <f>""</f>
        <v/>
      </c>
      <c r="DC531" t="str">
        <f>""</f>
        <v/>
      </c>
      <c r="DD531" t="str">
        <f>""</f>
        <v/>
      </c>
      <c r="DE531" t="str">
        <f>""</f>
        <v/>
      </c>
      <c r="DF531" t="str">
        <f>""</f>
        <v/>
      </c>
      <c r="DG531" t="str">
        <f>""</f>
        <v/>
      </c>
      <c r="DH531" t="str">
        <f>""</f>
        <v/>
      </c>
      <c r="DI531" t="str">
        <f>""</f>
        <v/>
      </c>
      <c r="DJ531" t="str">
        <f>""</f>
        <v/>
      </c>
      <c r="DK531" t="str">
        <f>""</f>
        <v/>
      </c>
      <c r="DL531" t="str">
        <f>""</f>
        <v/>
      </c>
      <c r="DM531" t="str">
        <f>""</f>
        <v/>
      </c>
      <c r="DN531" t="str">
        <f>""</f>
        <v/>
      </c>
      <c r="DO531" t="str">
        <f>""</f>
        <v/>
      </c>
      <c r="DP531" t="str">
        <f>""</f>
        <v/>
      </c>
      <c r="DQ531" t="str">
        <f>""</f>
        <v/>
      </c>
      <c r="DR531" t="str">
        <f>""</f>
        <v/>
      </c>
      <c r="DS531" t="str">
        <f>""</f>
        <v/>
      </c>
      <c r="DT531" t="str">
        <f>""</f>
        <v/>
      </c>
      <c r="DU531" t="str">
        <f>""</f>
        <v/>
      </c>
    </row>
    <row r="532" spans="1:125" x14ac:dyDescent="0.25">
      <c r="A532" t="str">
        <f>$A$23</f>
        <v xml:space="preserve">    Honda Motor Co Ltd</v>
      </c>
      <c r="B532" t="str">
        <f>$B$23</f>
        <v>7267 JP Equity</v>
      </c>
      <c r="C532" t="str">
        <f>$C$23</f>
        <v>RR844</v>
      </c>
      <c r="D532" t="str">
        <f>$D$23</f>
        <v>T12M_DIL_EPS_CONT_OPS</v>
      </c>
      <c r="E532" t="str">
        <f>$E$23</f>
        <v>Dynamic</v>
      </c>
      <c r="F532" t="str">
        <f ca="1">_xll.BDH($B$23,$C$23,$B$509,$B$510,CONCATENATE("Per=",$B$507),"Dts=H","Dir=H",CONCATENATE("Points=",$B$508),"Sort=R","Days=A","Fill=B",CONCATENATE("FX=", $B$506) )</f>
        <v>#N/A Connection</v>
      </c>
      <c r="BN532" t="str">
        <f>""</f>
        <v/>
      </c>
      <c r="BO532" t="str">
        <f>""</f>
        <v/>
      </c>
      <c r="BP532" t="str">
        <f>""</f>
        <v/>
      </c>
      <c r="BQ532" t="str">
        <f>""</f>
        <v/>
      </c>
      <c r="BR532" t="str">
        <f>""</f>
        <v/>
      </c>
      <c r="BS532" t="str">
        <f>""</f>
        <v/>
      </c>
      <c r="BT532" t="str">
        <f>""</f>
        <v/>
      </c>
      <c r="BU532" t="str">
        <f>""</f>
        <v/>
      </c>
      <c r="BV532" t="str">
        <f>""</f>
        <v/>
      </c>
      <c r="BW532" t="str">
        <f>""</f>
        <v/>
      </c>
      <c r="BX532" t="str">
        <f>""</f>
        <v/>
      </c>
      <c r="BY532" t="str">
        <f>""</f>
        <v/>
      </c>
      <c r="BZ532" t="str">
        <f>""</f>
        <v/>
      </c>
      <c r="CA532" t="str">
        <f>""</f>
        <v/>
      </c>
      <c r="CB532" t="str">
        <f>""</f>
        <v/>
      </c>
      <c r="CC532" t="str">
        <f>""</f>
        <v/>
      </c>
      <c r="CD532" t="str">
        <f>""</f>
        <v/>
      </c>
      <c r="CE532" t="str">
        <f>""</f>
        <v/>
      </c>
      <c r="CF532" t="str">
        <f>""</f>
        <v/>
      </c>
      <c r="CG532" t="str">
        <f>""</f>
        <v/>
      </c>
      <c r="CH532" t="str">
        <f>""</f>
        <v/>
      </c>
      <c r="CI532" t="str">
        <f>""</f>
        <v/>
      </c>
      <c r="CJ532" t="str">
        <f>""</f>
        <v/>
      </c>
      <c r="CK532" t="str">
        <f>""</f>
        <v/>
      </c>
      <c r="CL532" t="str">
        <f>""</f>
        <v/>
      </c>
      <c r="CM532" t="str">
        <f>""</f>
        <v/>
      </c>
      <c r="CN532" t="str">
        <f>""</f>
        <v/>
      </c>
      <c r="CO532" t="str">
        <f>""</f>
        <v/>
      </c>
      <c r="CP532" t="str">
        <f>""</f>
        <v/>
      </c>
      <c r="CQ532" t="str">
        <f>""</f>
        <v/>
      </c>
      <c r="CR532" t="str">
        <f>""</f>
        <v/>
      </c>
      <c r="CS532" t="str">
        <f>""</f>
        <v/>
      </c>
      <c r="CT532" t="str">
        <f>""</f>
        <v/>
      </c>
      <c r="CU532" t="str">
        <f>""</f>
        <v/>
      </c>
      <c r="CV532" t="str">
        <f>""</f>
        <v/>
      </c>
      <c r="CW532" t="str">
        <f>""</f>
        <v/>
      </c>
      <c r="CX532" t="str">
        <f>""</f>
        <v/>
      </c>
      <c r="CY532" t="str">
        <f>""</f>
        <v/>
      </c>
      <c r="CZ532" t="str">
        <f>""</f>
        <v/>
      </c>
      <c r="DA532" t="str">
        <f>""</f>
        <v/>
      </c>
      <c r="DB532" t="str">
        <f>""</f>
        <v/>
      </c>
      <c r="DC532" t="str">
        <f>""</f>
        <v/>
      </c>
      <c r="DD532" t="str">
        <f>""</f>
        <v/>
      </c>
      <c r="DE532" t="str">
        <f>""</f>
        <v/>
      </c>
      <c r="DF532" t="str">
        <f>""</f>
        <v/>
      </c>
      <c r="DG532" t="str">
        <f>""</f>
        <v/>
      </c>
      <c r="DH532" t="str">
        <f>""</f>
        <v/>
      </c>
      <c r="DI532" t="str">
        <f>""</f>
        <v/>
      </c>
      <c r="DJ532" t="str">
        <f>""</f>
        <v/>
      </c>
      <c r="DK532" t="str">
        <f>""</f>
        <v/>
      </c>
      <c r="DL532" t="str">
        <f>""</f>
        <v/>
      </c>
      <c r="DM532" t="str">
        <f>""</f>
        <v/>
      </c>
      <c r="DN532" t="str">
        <f>""</f>
        <v/>
      </c>
      <c r="DO532" t="str">
        <f>""</f>
        <v/>
      </c>
      <c r="DP532" t="str">
        <f>""</f>
        <v/>
      </c>
      <c r="DQ532" t="str">
        <f>""</f>
        <v/>
      </c>
      <c r="DR532" t="str">
        <f>""</f>
        <v/>
      </c>
      <c r="DS532" t="str">
        <f>""</f>
        <v/>
      </c>
      <c r="DT532" t="str">
        <f>""</f>
        <v/>
      </c>
      <c r="DU532" t="str">
        <f>""</f>
        <v/>
      </c>
    </row>
    <row r="533" spans="1:125" x14ac:dyDescent="0.25">
      <c r="A533" t="str">
        <f>$A$24</f>
        <v xml:space="preserve">    Hyundai Motor Co</v>
      </c>
      <c r="B533" t="str">
        <f>$B$24</f>
        <v>005380 KS Equity</v>
      </c>
      <c r="C533" t="str">
        <f>$C$24</f>
        <v>RR844</v>
      </c>
      <c r="D533" t="str">
        <f>$D$24</f>
        <v>T12M_DIL_EPS_CONT_OPS</v>
      </c>
      <c r="E533" t="str">
        <f>$E$24</f>
        <v>Dynamic</v>
      </c>
      <c r="F533" t="str">
        <f ca="1">_xll.BDH($B$24,$C$24,$B$509,$B$510,CONCATENATE("Per=",$B$507),"Dts=H","Dir=H",CONCATENATE("Points=",$B$508),"Sort=R","Days=A","Fill=B",CONCATENATE("FX=", $B$506) )</f>
        <v>#N/A Connection</v>
      </c>
      <c r="BN533" t="str">
        <f>""</f>
        <v/>
      </c>
      <c r="BO533" t="str">
        <f>""</f>
        <v/>
      </c>
      <c r="BP533" t="str">
        <f>""</f>
        <v/>
      </c>
      <c r="BQ533" t="str">
        <f>""</f>
        <v/>
      </c>
      <c r="BR533" t="str">
        <f>""</f>
        <v/>
      </c>
      <c r="BS533" t="str">
        <f>""</f>
        <v/>
      </c>
      <c r="BT533" t="str">
        <f>""</f>
        <v/>
      </c>
      <c r="BU533" t="str">
        <f>""</f>
        <v/>
      </c>
      <c r="BV533" t="str">
        <f>""</f>
        <v/>
      </c>
      <c r="BW533" t="str">
        <f>""</f>
        <v/>
      </c>
      <c r="BX533" t="str">
        <f>""</f>
        <v/>
      </c>
      <c r="BY533" t="str">
        <f>""</f>
        <v/>
      </c>
      <c r="BZ533" t="str">
        <f>""</f>
        <v/>
      </c>
      <c r="CA533" t="str">
        <f>""</f>
        <v/>
      </c>
      <c r="CB533" t="str">
        <f>""</f>
        <v/>
      </c>
      <c r="CC533" t="str">
        <f>""</f>
        <v/>
      </c>
      <c r="CD533" t="str">
        <f>""</f>
        <v/>
      </c>
      <c r="CE533" t="str">
        <f>""</f>
        <v/>
      </c>
      <c r="CF533" t="str">
        <f>""</f>
        <v/>
      </c>
      <c r="CG533" t="str">
        <f>""</f>
        <v/>
      </c>
      <c r="CH533" t="str">
        <f>""</f>
        <v/>
      </c>
      <c r="CI533" t="str">
        <f>""</f>
        <v/>
      </c>
      <c r="CJ533" t="str">
        <f>""</f>
        <v/>
      </c>
      <c r="CK533" t="str">
        <f>""</f>
        <v/>
      </c>
      <c r="CL533" t="str">
        <f>""</f>
        <v/>
      </c>
      <c r="CM533" t="str">
        <f>""</f>
        <v/>
      </c>
      <c r="CN533" t="str">
        <f>""</f>
        <v/>
      </c>
      <c r="CO533" t="str">
        <f>""</f>
        <v/>
      </c>
      <c r="CP533" t="str">
        <f>""</f>
        <v/>
      </c>
      <c r="CQ533" t="str">
        <f>""</f>
        <v/>
      </c>
      <c r="CR533" t="str">
        <f>""</f>
        <v/>
      </c>
      <c r="CS533" t="str">
        <f>""</f>
        <v/>
      </c>
      <c r="CT533" t="str">
        <f>""</f>
        <v/>
      </c>
      <c r="CU533" t="str">
        <f>""</f>
        <v/>
      </c>
      <c r="CV533" t="str">
        <f>""</f>
        <v/>
      </c>
      <c r="CW533" t="str">
        <f>""</f>
        <v/>
      </c>
      <c r="CX533" t="str">
        <f>""</f>
        <v/>
      </c>
      <c r="CY533" t="str">
        <f>""</f>
        <v/>
      </c>
      <c r="CZ533" t="str">
        <f>""</f>
        <v/>
      </c>
      <c r="DA533" t="str">
        <f>""</f>
        <v/>
      </c>
      <c r="DB533" t="str">
        <f>""</f>
        <v/>
      </c>
      <c r="DC533" t="str">
        <f>""</f>
        <v/>
      </c>
      <c r="DD533" t="str">
        <f>""</f>
        <v/>
      </c>
      <c r="DE533" t="str">
        <f>""</f>
        <v/>
      </c>
      <c r="DF533" t="str">
        <f>""</f>
        <v/>
      </c>
      <c r="DG533" t="str">
        <f>""</f>
        <v/>
      </c>
      <c r="DH533" t="str">
        <f>""</f>
        <v/>
      </c>
      <c r="DI533" t="str">
        <f>""</f>
        <v/>
      </c>
      <c r="DJ533" t="str">
        <f>""</f>
        <v/>
      </c>
      <c r="DK533" t="str">
        <f>""</f>
        <v/>
      </c>
      <c r="DL533" t="str">
        <f>""</f>
        <v/>
      </c>
      <c r="DM533" t="str">
        <f>""</f>
        <v/>
      </c>
      <c r="DN533" t="str">
        <f>""</f>
        <v/>
      </c>
      <c r="DO533" t="str">
        <f>""</f>
        <v/>
      </c>
      <c r="DP533" t="str">
        <f>""</f>
        <v/>
      </c>
      <c r="DQ533" t="str">
        <f>""</f>
        <v/>
      </c>
      <c r="DR533" t="str">
        <f>""</f>
        <v/>
      </c>
      <c r="DS533" t="str">
        <f>""</f>
        <v/>
      </c>
      <c r="DT533" t="str">
        <f>""</f>
        <v/>
      </c>
      <c r="DU533" t="str">
        <f>""</f>
        <v/>
      </c>
    </row>
    <row r="534" spans="1:125" x14ac:dyDescent="0.25">
      <c r="A534" t="str">
        <f>$A$25</f>
        <v xml:space="preserve">    Kia Motors Corp</v>
      </c>
      <c r="B534" t="str">
        <f>$B$25</f>
        <v>000270 KS Equity</v>
      </c>
      <c r="C534" t="str">
        <f>$C$25</f>
        <v>RR844</v>
      </c>
      <c r="D534" t="str">
        <f>$D$25</f>
        <v>T12M_DIL_EPS_CONT_OPS</v>
      </c>
      <c r="E534" t="str">
        <f>$E$25</f>
        <v>Dynamic</v>
      </c>
      <c r="F534" t="str">
        <f ca="1">_xll.BDH($B$25,$C$25,$B$509,$B$510,CONCATENATE("Per=",$B$507),"Dts=H","Dir=H",CONCATENATE("Points=",$B$508),"Sort=R","Days=A","Fill=B",CONCATENATE("FX=", $B$506) )</f>
        <v>#N/A Connection</v>
      </c>
      <c r="BN534" t="str">
        <f>""</f>
        <v/>
      </c>
      <c r="BO534" t="str">
        <f>""</f>
        <v/>
      </c>
      <c r="BP534" t="str">
        <f>""</f>
        <v/>
      </c>
      <c r="BQ534" t="str">
        <f>""</f>
        <v/>
      </c>
      <c r="BR534" t="str">
        <f>""</f>
        <v/>
      </c>
      <c r="BS534" t="str">
        <f>""</f>
        <v/>
      </c>
      <c r="BT534" t="str">
        <f>""</f>
        <v/>
      </c>
      <c r="BU534" t="str">
        <f>""</f>
        <v/>
      </c>
      <c r="BV534" t="str">
        <f>""</f>
        <v/>
      </c>
      <c r="BW534" t="str">
        <f>""</f>
        <v/>
      </c>
      <c r="BX534" t="str">
        <f>""</f>
        <v/>
      </c>
      <c r="BY534" t="str">
        <f>""</f>
        <v/>
      </c>
      <c r="BZ534" t="str">
        <f>""</f>
        <v/>
      </c>
      <c r="CA534" t="str">
        <f>""</f>
        <v/>
      </c>
      <c r="CB534" t="str">
        <f>""</f>
        <v/>
      </c>
      <c r="CC534" t="str">
        <f>""</f>
        <v/>
      </c>
      <c r="CD534" t="str">
        <f>""</f>
        <v/>
      </c>
      <c r="CE534" t="str">
        <f>""</f>
        <v/>
      </c>
      <c r="CF534" t="str">
        <f>""</f>
        <v/>
      </c>
      <c r="CG534" t="str">
        <f>""</f>
        <v/>
      </c>
      <c r="CH534" t="str">
        <f>""</f>
        <v/>
      </c>
      <c r="CI534" t="str">
        <f>""</f>
        <v/>
      </c>
      <c r="CJ534" t="str">
        <f>""</f>
        <v/>
      </c>
      <c r="CK534" t="str">
        <f>""</f>
        <v/>
      </c>
      <c r="CL534" t="str">
        <f>""</f>
        <v/>
      </c>
      <c r="CM534" t="str">
        <f>""</f>
        <v/>
      </c>
      <c r="CN534" t="str">
        <f>""</f>
        <v/>
      </c>
      <c r="CO534" t="str">
        <f>""</f>
        <v/>
      </c>
      <c r="CP534" t="str">
        <f>""</f>
        <v/>
      </c>
      <c r="CQ534" t="str">
        <f>""</f>
        <v/>
      </c>
      <c r="CR534" t="str">
        <f>""</f>
        <v/>
      </c>
      <c r="CS534" t="str">
        <f>""</f>
        <v/>
      </c>
      <c r="CT534" t="str">
        <f>""</f>
        <v/>
      </c>
      <c r="CU534" t="str">
        <f>""</f>
        <v/>
      </c>
      <c r="CV534" t="str">
        <f>""</f>
        <v/>
      </c>
      <c r="CW534" t="str">
        <f>""</f>
        <v/>
      </c>
      <c r="CX534" t="str">
        <f>""</f>
        <v/>
      </c>
      <c r="CY534" t="str">
        <f>""</f>
        <v/>
      </c>
      <c r="CZ534" t="str">
        <f>""</f>
        <v/>
      </c>
      <c r="DA534" t="str">
        <f>""</f>
        <v/>
      </c>
      <c r="DB534" t="str">
        <f>""</f>
        <v/>
      </c>
      <c r="DC534" t="str">
        <f>""</f>
        <v/>
      </c>
      <c r="DD534" t="str">
        <f>""</f>
        <v/>
      </c>
      <c r="DE534" t="str">
        <f>""</f>
        <v/>
      </c>
      <c r="DF534" t="str">
        <f>""</f>
        <v/>
      </c>
      <c r="DG534" t="str">
        <f>""</f>
        <v/>
      </c>
      <c r="DH534" t="str">
        <f>""</f>
        <v/>
      </c>
      <c r="DI534" t="str">
        <f>""</f>
        <v/>
      </c>
      <c r="DJ534" t="str">
        <f>""</f>
        <v/>
      </c>
      <c r="DK534" t="str">
        <f>""</f>
        <v/>
      </c>
      <c r="DL534" t="str">
        <f>""</f>
        <v/>
      </c>
      <c r="DM534" t="str">
        <f>""</f>
        <v/>
      </c>
      <c r="DN534" t="str">
        <f>""</f>
        <v/>
      </c>
      <c r="DO534" t="str">
        <f>""</f>
        <v/>
      </c>
      <c r="DP534" t="str">
        <f>""</f>
        <v/>
      </c>
      <c r="DQ534" t="str">
        <f>""</f>
        <v/>
      </c>
      <c r="DR534" t="str">
        <f>""</f>
        <v/>
      </c>
      <c r="DS534" t="str">
        <f>""</f>
        <v/>
      </c>
      <c r="DT534" t="str">
        <f>""</f>
        <v/>
      </c>
      <c r="DU534" t="str">
        <f>""</f>
        <v/>
      </c>
    </row>
    <row r="535" spans="1:125" x14ac:dyDescent="0.25">
      <c r="A535" t="str">
        <f>$A$26</f>
        <v xml:space="preserve">    Mazda Motor Corp</v>
      </c>
      <c r="B535" t="str">
        <f>$B$26</f>
        <v>7261 JP Equity</v>
      </c>
      <c r="C535" t="str">
        <f>$C$26</f>
        <v>RR844</v>
      </c>
      <c r="D535" t="str">
        <f>$D$26</f>
        <v>T12M_DIL_EPS_CONT_OPS</v>
      </c>
      <c r="E535" t="str">
        <f>$E$26</f>
        <v>Dynamic</v>
      </c>
      <c r="F535" t="str">
        <f ca="1">_xll.BDH($B$26,$C$26,$B$509,$B$510,CONCATENATE("Per=",$B$507),"Dts=H","Dir=H",CONCATENATE("Points=",$B$508),"Sort=R","Days=A","Fill=B",CONCATENATE("FX=", $B$506) )</f>
        <v>#N/A Connection</v>
      </c>
      <c r="BN535" t="str">
        <f>""</f>
        <v/>
      </c>
      <c r="BO535" t="str">
        <f>""</f>
        <v/>
      </c>
      <c r="BP535" t="str">
        <f>""</f>
        <v/>
      </c>
      <c r="BQ535" t="str">
        <f>""</f>
        <v/>
      </c>
      <c r="BR535" t="str">
        <f>""</f>
        <v/>
      </c>
      <c r="BS535" t="str">
        <f>""</f>
        <v/>
      </c>
      <c r="BT535" t="str">
        <f>""</f>
        <v/>
      </c>
      <c r="BU535" t="str">
        <f>""</f>
        <v/>
      </c>
      <c r="BV535" t="str">
        <f>""</f>
        <v/>
      </c>
      <c r="BW535" t="str">
        <f>""</f>
        <v/>
      </c>
      <c r="BX535" t="str">
        <f>""</f>
        <v/>
      </c>
      <c r="BY535" t="str">
        <f>""</f>
        <v/>
      </c>
      <c r="BZ535" t="str">
        <f>""</f>
        <v/>
      </c>
      <c r="CA535" t="str">
        <f>""</f>
        <v/>
      </c>
      <c r="CB535" t="str">
        <f>""</f>
        <v/>
      </c>
      <c r="CC535" t="str">
        <f>""</f>
        <v/>
      </c>
      <c r="CD535" t="str">
        <f>""</f>
        <v/>
      </c>
      <c r="CE535" t="str">
        <f>""</f>
        <v/>
      </c>
      <c r="CF535" t="str">
        <f>""</f>
        <v/>
      </c>
      <c r="CG535" t="str">
        <f>""</f>
        <v/>
      </c>
      <c r="CH535" t="str">
        <f>""</f>
        <v/>
      </c>
      <c r="CI535" t="str">
        <f>""</f>
        <v/>
      </c>
      <c r="CJ535" t="str">
        <f>""</f>
        <v/>
      </c>
      <c r="CK535" t="str">
        <f>""</f>
        <v/>
      </c>
      <c r="CL535" t="str">
        <f>""</f>
        <v/>
      </c>
      <c r="CM535" t="str">
        <f>""</f>
        <v/>
      </c>
      <c r="CN535" t="str">
        <f>""</f>
        <v/>
      </c>
      <c r="CO535" t="str">
        <f>""</f>
        <v/>
      </c>
      <c r="CP535" t="str">
        <f>""</f>
        <v/>
      </c>
      <c r="CQ535" t="str">
        <f>""</f>
        <v/>
      </c>
      <c r="CR535" t="str">
        <f>""</f>
        <v/>
      </c>
      <c r="CS535" t="str">
        <f>""</f>
        <v/>
      </c>
      <c r="CT535" t="str">
        <f>""</f>
        <v/>
      </c>
      <c r="CU535" t="str">
        <f>""</f>
        <v/>
      </c>
      <c r="CV535" t="str">
        <f>""</f>
        <v/>
      </c>
      <c r="CW535" t="str">
        <f>""</f>
        <v/>
      </c>
      <c r="CX535" t="str">
        <f>""</f>
        <v/>
      </c>
      <c r="CY535" t="str">
        <f>""</f>
        <v/>
      </c>
      <c r="CZ535" t="str">
        <f>""</f>
        <v/>
      </c>
      <c r="DA535" t="str">
        <f>""</f>
        <v/>
      </c>
      <c r="DB535" t="str">
        <f>""</f>
        <v/>
      </c>
      <c r="DC535" t="str">
        <f>""</f>
        <v/>
      </c>
      <c r="DD535" t="str">
        <f>""</f>
        <v/>
      </c>
      <c r="DE535" t="str">
        <f>""</f>
        <v/>
      </c>
      <c r="DF535" t="str">
        <f>""</f>
        <v/>
      </c>
      <c r="DG535" t="str">
        <f>""</f>
        <v/>
      </c>
      <c r="DH535" t="str">
        <f>""</f>
        <v/>
      </c>
      <c r="DI535" t="str">
        <f>""</f>
        <v/>
      </c>
      <c r="DJ535" t="str">
        <f>""</f>
        <v/>
      </c>
      <c r="DK535" t="str">
        <f>""</f>
        <v/>
      </c>
      <c r="DL535" t="str">
        <f>""</f>
        <v/>
      </c>
      <c r="DM535" t="str">
        <f>""</f>
        <v/>
      </c>
      <c r="DN535" t="str">
        <f>""</f>
        <v/>
      </c>
      <c r="DO535" t="str">
        <f>""</f>
        <v/>
      </c>
      <c r="DP535" t="str">
        <f>""</f>
        <v/>
      </c>
      <c r="DQ535" t="str">
        <f>""</f>
        <v/>
      </c>
      <c r="DR535" t="str">
        <f>""</f>
        <v/>
      </c>
      <c r="DS535" t="str">
        <f>""</f>
        <v/>
      </c>
      <c r="DT535" t="str">
        <f>""</f>
        <v/>
      </c>
      <c r="DU535" t="str">
        <f>""</f>
        <v/>
      </c>
    </row>
    <row r="536" spans="1:125" x14ac:dyDescent="0.25">
      <c r="A536" t="str">
        <f>$A$27</f>
        <v xml:space="preserve">    Mitsubishi Motors Corp</v>
      </c>
      <c r="B536" t="str">
        <f>$B$27</f>
        <v>7211 JP Equity</v>
      </c>
      <c r="C536" t="str">
        <f>$C$27</f>
        <v>RR844</v>
      </c>
      <c r="D536" t="str">
        <f>$D$27</f>
        <v>T12M_DIL_EPS_CONT_OPS</v>
      </c>
      <c r="E536" t="str">
        <f>$E$27</f>
        <v>Dynamic</v>
      </c>
      <c r="F536" t="str">
        <f ca="1">_xll.BDH($B$27,$C$27,$B$509,$B$510,CONCATENATE("Per=",$B$507),"Dts=H","Dir=H",CONCATENATE("Points=",$B$508),"Sort=R","Days=A","Fill=B",CONCATENATE("FX=", $B$506) )</f>
        <v>#N/A Connection</v>
      </c>
      <c r="BN536" t="str">
        <f>""</f>
        <v/>
      </c>
      <c r="BO536" t="str">
        <f>""</f>
        <v/>
      </c>
      <c r="BP536" t="str">
        <f>""</f>
        <v/>
      </c>
      <c r="BQ536" t="str">
        <f>""</f>
        <v/>
      </c>
      <c r="BR536" t="str">
        <f>""</f>
        <v/>
      </c>
      <c r="BS536" t="str">
        <f>""</f>
        <v/>
      </c>
      <c r="BT536" t="str">
        <f>""</f>
        <v/>
      </c>
      <c r="BU536" t="str">
        <f>""</f>
        <v/>
      </c>
      <c r="BV536" t="str">
        <f>""</f>
        <v/>
      </c>
      <c r="BW536" t="str">
        <f>""</f>
        <v/>
      </c>
      <c r="BX536" t="str">
        <f>""</f>
        <v/>
      </c>
      <c r="BY536" t="str">
        <f>""</f>
        <v/>
      </c>
      <c r="BZ536" t="str">
        <f>""</f>
        <v/>
      </c>
      <c r="CA536" t="str">
        <f>""</f>
        <v/>
      </c>
      <c r="CB536" t="str">
        <f>""</f>
        <v/>
      </c>
      <c r="CC536" t="str">
        <f>""</f>
        <v/>
      </c>
      <c r="CD536" t="str">
        <f>""</f>
        <v/>
      </c>
      <c r="CE536" t="str">
        <f>""</f>
        <v/>
      </c>
      <c r="CF536" t="str">
        <f>""</f>
        <v/>
      </c>
      <c r="CG536" t="str">
        <f>""</f>
        <v/>
      </c>
      <c r="CH536" t="str">
        <f>""</f>
        <v/>
      </c>
      <c r="CI536" t="str">
        <f>""</f>
        <v/>
      </c>
      <c r="CJ536" t="str">
        <f>""</f>
        <v/>
      </c>
      <c r="CK536" t="str">
        <f>""</f>
        <v/>
      </c>
      <c r="CL536" t="str">
        <f>""</f>
        <v/>
      </c>
      <c r="CM536" t="str">
        <f>""</f>
        <v/>
      </c>
      <c r="CN536" t="str">
        <f>""</f>
        <v/>
      </c>
      <c r="CO536" t="str">
        <f>""</f>
        <v/>
      </c>
      <c r="CP536" t="str">
        <f>""</f>
        <v/>
      </c>
      <c r="CQ536" t="str">
        <f>""</f>
        <v/>
      </c>
      <c r="CR536" t="str">
        <f>""</f>
        <v/>
      </c>
      <c r="CS536" t="str">
        <f>""</f>
        <v/>
      </c>
      <c r="CT536" t="str">
        <f>""</f>
        <v/>
      </c>
      <c r="CU536" t="str">
        <f>""</f>
        <v/>
      </c>
      <c r="CV536" t="str">
        <f>""</f>
        <v/>
      </c>
      <c r="CW536" t="str">
        <f>""</f>
        <v/>
      </c>
      <c r="CX536" t="str">
        <f>""</f>
        <v/>
      </c>
      <c r="CY536" t="str">
        <f>""</f>
        <v/>
      </c>
      <c r="CZ536" t="str">
        <f>""</f>
        <v/>
      </c>
      <c r="DA536" t="str">
        <f>""</f>
        <v/>
      </c>
      <c r="DB536" t="str">
        <f>""</f>
        <v/>
      </c>
      <c r="DC536" t="str">
        <f>""</f>
        <v/>
      </c>
      <c r="DD536" t="str">
        <f>""</f>
        <v/>
      </c>
      <c r="DE536" t="str">
        <f>""</f>
        <v/>
      </c>
      <c r="DF536" t="str">
        <f>""</f>
        <v/>
      </c>
      <c r="DG536" t="str">
        <f>""</f>
        <v/>
      </c>
      <c r="DH536" t="str">
        <f>""</f>
        <v/>
      </c>
      <c r="DI536" t="str">
        <f>""</f>
        <v/>
      </c>
      <c r="DJ536" t="str">
        <f>""</f>
        <v/>
      </c>
      <c r="DK536" t="str">
        <f>""</f>
        <v/>
      </c>
      <c r="DL536" t="str">
        <f>""</f>
        <v/>
      </c>
      <c r="DM536" t="str">
        <f>""</f>
        <v/>
      </c>
      <c r="DN536" t="str">
        <f>""</f>
        <v/>
      </c>
      <c r="DO536" t="str">
        <f>""</f>
        <v/>
      </c>
      <c r="DP536" t="str">
        <f>""</f>
        <v/>
      </c>
      <c r="DQ536" t="str">
        <f>""</f>
        <v/>
      </c>
      <c r="DR536" t="str">
        <f>""</f>
        <v/>
      </c>
      <c r="DS536" t="str">
        <f>""</f>
        <v/>
      </c>
      <c r="DT536" t="str">
        <f>""</f>
        <v/>
      </c>
      <c r="DU536" t="str">
        <f>""</f>
        <v/>
      </c>
    </row>
    <row r="537" spans="1:125" x14ac:dyDescent="0.25">
      <c r="A537" t="str">
        <f>$A$28</f>
        <v xml:space="preserve">    Nissan Motor Co Ltd</v>
      </c>
      <c r="B537" t="str">
        <f>$B$28</f>
        <v>7201 JP Equity</v>
      </c>
      <c r="C537" t="str">
        <f>$C$28</f>
        <v>RR844</v>
      </c>
      <c r="D537" t="str">
        <f>$D$28</f>
        <v>T12M_DIL_EPS_CONT_OPS</v>
      </c>
      <c r="E537" t="str">
        <f>$E$28</f>
        <v>Dynamic</v>
      </c>
      <c r="F537" t="str">
        <f ca="1">_xll.BDH($B$28,$C$28,$B$509,$B$510,CONCATENATE("Per=",$B$507),"Dts=H","Dir=H",CONCATENATE("Points=",$B$508),"Sort=R","Days=A","Fill=B",CONCATENATE("FX=", $B$506) )</f>
        <v>#N/A Connection</v>
      </c>
      <c r="BN537" t="str">
        <f>""</f>
        <v/>
      </c>
      <c r="BO537" t="str">
        <f>""</f>
        <v/>
      </c>
      <c r="BP537" t="str">
        <f>""</f>
        <v/>
      </c>
      <c r="BQ537" t="str">
        <f>""</f>
        <v/>
      </c>
      <c r="BR537" t="str">
        <f>""</f>
        <v/>
      </c>
      <c r="BS537" t="str">
        <f>""</f>
        <v/>
      </c>
      <c r="BT537" t="str">
        <f>""</f>
        <v/>
      </c>
      <c r="BU537" t="str">
        <f>""</f>
        <v/>
      </c>
      <c r="BV537" t="str">
        <f>""</f>
        <v/>
      </c>
      <c r="BW537" t="str">
        <f>""</f>
        <v/>
      </c>
      <c r="BX537" t="str">
        <f>""</f>
        <v/>
      </c>
      <c r="BY537" t="str">
        <f>""</f>
        <v/>
      </c>
      <c r="BZ537" t="str">
        <f>""</f>
        <v/>
      </c>
      <c r="CA537" t="str">
        <f>""</f>
        <v/>
      </c>
      <c r="CB537" t="str">
        <f>""</f>
        <v/>
      </c>
      <c r="CC537" t="str">
        <f>""</f>
        <v/>
      </c>
      <c r="CD537" t="str">
        <f>""</f>
        <v/>
      </c>
      <c r="CE537" t="str">
        <f>""</f>
        <v/>
      </c>
      <c r="CF537" t="str">
        <f>""</f>
        <v/>
      </c>
      <c r="CG537" t="str">
        <f>""</f>
        <v/>
      </c>
      <c r="CH537" t="str">
        <f>""</f>
        <v/>
      </c>
      <c r="CI537" t="str">
        <f>""</f>
        <v/>
      </c>
      <c r="CJ537" t="str">
        <f>""</f>
        <v/>
      </c>
      <c r="CK537" t="str">
        <f>""</f>
        <v/>
      </c>
      <c r="CL537" t="str">
        <f>""</f>
        <v/>
      </c>
      <c r="CM537" t="str">
        <f>""</f>
        <v/>
      </c>
      <c r="CN537" t="str">
        <f>""</f>
        <v/>
      </c>
      <c r="CO537" t="str">
        <f>""</f>
        <v/>
      </c>
      <c r="CP537" t="str">
        <f>""</f>
        <v/>
      </c>
      <c r="CQ537" t="str">
        <f>""</f>
        <v/>
      </c>
      <c r="CR537" t="str">
        <f>""</f>
        <v/>
      </c>
      <c r="CS537" t="str">
        <f>""</f>
        <v/>
      </c>
      <c r="CT537" t="str">
        <f>""</f>
        <v/>
      </c>
      <c r="CU537" t="str">
        <f>""</f>
        <v/>
      </c>
      <c r="CV537" t="str">
        <f>""</f>
        <v/>
      </c>
      <c r="CW537" t="str">
        <f>""</f>
        <v/>
      </c>
      <c r="CX537" t="str">
        <f>""</f>
        <v/>
      </c>
      <c r="CY537" t="str">
        <f>""</f>
        <v/>
      </c>
      <c r="CZ537" t="str">
        <f>""</f>
        <v/>
      </c>
      <c r="DA537" t="str">
        <f>""</f>
        <v/>
      </c>
      <c r="DB537" t="str">
        <f>""</f>
        <v/>
      </c>
      <c r="DC537" t="str">
        <f>""</f>
        <v/>
      </c>
      <c r="DD537" t="str">
        <f>""</f>
        <v/>
      </c>
      <c r="DE537" t="str">
        <f>""</f>
        <v/>
      </c>
      <c r="DF537" t="str">
        <f>""</f>
        <v/>
      </c>
      <c r="DG537" t="str">
        <f>""</f>
        <v/>
      </c>
      <c r="DH537" t="str">
        <f>""</f>
        <v/>
      </c>
      <c r="DI537" t="str">
        <f>""</f>
        <v/>
      </c>
      <c r="DJ537" t="str">
        <f>""</f>
        <v/>
      </c>
      <c r="DK537" t="str">
        <f>""</f>
        <v/>
      </c>
      <c r="DL537" t="str">
        <f>""</f>
        <v/>
      </c>
      <c r="DM537" t="str">
        <f>""</f>
        <v/>
      </c>
      <c r="DN537" t="str">
        <f>""</f>
        <v/>
      </c>
      <c r="DO537" t="str">
        <f>""</f>
        <v/>
      </c>
      <c r="DP537" t="str">
        <f>""</f>
        <v/>
      </c>
      <c r="DQ537" t="str">
        <f>""</f>
        <v/>
      </c>
      <c r="DR537" t="str">
        <f>""</f>
        <v/>
      </c>
      <c r="DS537" t="str">
        <f>""</f>
        <v/>
      </c>
      <c r="DT537" t="str">
        <f>""</f>
        <v/>
      </c>
      <c r="DU537" t="str">
        <f>""</f>
        <v/>
      </c>
    </row>
    <row r="538" spans="1:125" x14ac:dyDescent="0.25">
      <c r="A538" t="str">
        <f>$A$29</f>
        <v xml:space="preserve">    Peugeot SA</v>
      </c>
      <c r="B538" t="str">
        <f>$B$29</f>
        <v>UG FP Equity</v>
      </c>
      <c r="C538" t="str">
        <f>$C$29</f>
        <v>RR844</v>
      </c>
      <c r="D538" t="str">
        <f>$D$29</f>
        <v>T12M_DIL_EPS_CONT_OPS</v>
      </c>
      <c r="E538" t="str">
        <f>$E$29</f>
        <v>Dynamic</v>
      </c>
      <c r="F538" t="str">
        <f ca="1">_xll.BDH($B$29,$C$29,$B$509,$B$510,CONCATENATE("Per=",$B$507),"Dts=H","Dir=H",CONCATENATE("Points=",$B$508),"Sort=R","Days=A","Fill=B",CONCATENATE("FX=", $B$506) )</f>
        <v>#N/A Connection</v>
      </c>
      <c r="BN538" t="str">
        <f>""</f>
        <v/>
      </c>
      <c r="BO538" t="str">
        <f>""</f>
        <v/>
      </c>
      <c r="BP538" t="str">
        <f>""</f>
        <v/>
      </c>
      <c r="BQ538" t="str">
        <f>""</f>
        <v/>
      </c>
      <c r="BR538" t="str">
        <f>""</f>
        <v/>
      </c>
      <c r="BS538" t="str">
        <f>""</f>
        <v/>
      </c>
      <c r="BT538" t="str">
        <f>""</f>
        <v/>
      </c>
      <c r="BU538" t="str">
        <f>""</f>
        <v/>
      </c>
      <c r="BV538" t="str">
        <f>""</f>
        <v/>
      </c>
      <c r="BW538" t="str">
        <f>""</f>
        <v/>
      </c>
      <c r="BX538" t="str">
        <f>""</f>
        <v/>
      </c>
      <c r="BY538" t="str">
        <f>""</f>
        <v/>
      </c>
      <c r="BZ538" t="str">
        <f>""</f>
        <v/>
      </c>
      <c r="CA538" t="str">
        <f>""</f>
        <v/>
      </c>
      <c r="CB538" t="str">
        <f>""</f>
        <v/>
      </c>
      <c r="CC538" t="str">
        <f>""</f>
        <v/>
      </c>
      <c r="CD538" t="str">
        <f>""</f>
        <v/>
      </c>
      <c r="CE538" t="str">
        <f>""</f>
        <v/>
      </c>
      <c r="CF538" t="str">
        <f>""</f>
        <v/>
      </c>
      <c r="CG538" t="str">
        <f>""</f>
        <v/>
      </c>
      <c r="CH538" t="str">
        <f>""</f>
        <v/>
      </c>
      <c r="CI538" t="str">
        <f>""</f>
        <v/>
      </c>
      <c r="CJ538" t="str">
        <f>""</f>
        <v/>
      </c>
      <c r="CK538" t="str">
        <f>""</f>
        <v/>
      </c>
      <c r="CL538" t="str">
        <f>""</f>
        <v/>
      </c>
      <c r="CM538" t="str">
        <f>""</f>
        <v/>
      </c>
      <c r="CN538" t="str">
        <f>""</f>
        <v/>
      </c>
      <c r="CO538" t="str">
        <f>""</f>
        <v/>
      </c>
      <c r="CP538" t="str">
        <f>""</f>
        <v/>
      </c>
      <c r="CQ538" t="str">
        <f>""</f>
        <v/>
      </c>
      <c r="CR538" t="str">
        <f>""</f>
        <v/>
      </c>
      <c r="CS538" t="str">
        <f>""</f>
        <v/>
      </c>
      <c r="CT538" t="str">
        <f>""</f>
        <v/>
      </c>
      <c r="CU538" t="str">
        <f>""</f>
        <v/>
      </c>
      <c r="CV538" t="str">
        <f>""</f>
        <v/>
      </c>
      <c r="CW538" t="str">
        <f>""</f>
        <v/>
      </c>
      <c r="CX538" t="str">
        <f>""</f>
        <v/>
      </c>
      <c r="CY538" t="str">
        <f>""</f>
        <v/>
      </c>
      <c r="CZ538" t="str">
        <f>""</f>
        <v/>
      </c>
      <c r="DA538" t="str">
        <f>""</f>
        <v/>
      </c>
      <c r="DB538" t="str">
        <f>""</f>
        <v/>
      </c>
      <c r="DC538" t="str">
        <f>""</f>
        <v/>
      </c>
      <c r="DD538" t="str">
        <f>""</f>
        <v/>
      </c>
      <c r="DE538" t="str">
        <f>""</f>
        <v/>
      </c>
      <c r="DF538" t="str">
        <f>""</f>
        <v/>
      </c>
      <c r="DG538" t="str">
        <f>""</f>
        <v/>
      </c>
      <c r="DH538" t="str">
        <f>""</f>
        <v/>
      </c>
      <c r="DI538" t="str">
        <f>""</f>
        <v/>
      </c>
      <c r="DJ538" t="str">
        <f>""</f>
        <v/>
      </c>
      <c r="DK538" t="str">
        <f>""</f>
        <v/>
      </c>
      <c r="DL538" t="str">
        <f>""</f>
        <v/>
      </c>
      <c r="DM538" t="str">
        <f>""</f>
        <v/>
      </c>
      <c r="DN538" t="str">
        <f>""</f>
        <v/>
      </c>
      <c r="DO538" t="str">
        <f>""</f>
        <v/>
      </c>
      <c r="DP538" t="str">
        <f>""</f>
        <v/>
      </c>
      <c r="DQ538" t="str">
        <f>""</f>
        <v/>
      </c>
      <c r="DR538" t="str">
        <f>""</f>
        <v/>
      </c>
      <c r="DS538" t="str">
        <f>""</f>
        <v/>
      </c>
      <c r="DT538" t="str">
        <f>""</f>
        <v/>
      </c>
      <c r="DU538" t="str">
        <f>""</f>
        <v/>
      </c>
    </row>
    <row r="539" spans="1:125" x14ac:dyDescent="0.25">
      <c r="A539" t="str">
        <f>$A$30</f>
        <v xml:space="preserve">    Renault SA</v>
      </c>
      <c r="B539" t="str">
        <f>$B$30</f>
        <v>RNO FP Equity</v>
      </c>
      <c r="C539" t="str">
        <f>$C$30</f>
        <v>RR844</v>
      </c>
      <c r="D539" t="str">
        <f>$D$30</f>
        <v>T12M_DIL_EPS_CONT_OPS</v>
      </c>
      <c r="E539" t="str">
        <f>$E$30</f>
        <v>Dynamic</v>
      </c>
      <c r="F539" t="str">
        <f ca="1">_xll.BDH($B$30,$C$30,$B$509,$B$510,CONCATENATE("Per=",$B$507),"Dts=H","Dir=H",CONCATENATE("Points=",$B$508),"Sort=R","Days=A","Fill=B",CONCATENATE("FX=", $B$506) )</f>
        <v>#N/A Connection</v>
      </c>
      <c r="BN539" t="str">
        <f>""</f>
        <v/>
      </c>
      <c r="BO539" t="str">
        <f>""</f>
        <v/>
      </c>
      <c r="BP539" t="str">
        <f>""</f>
        <v/>
      </c>
      <c r="BQ539" t="str">
        <f>""</f>
        <v/>
      </c>
      <c r="BR539" t="str">
        <f>""</f>
        <v/>
      </c>
      <c r="BS539" t="str">
        <f>""</f>
        <v/>
      </c>
      <c r="BT539" t="str">
        <f>""</f>
        <v/>
      </c>
      <c r="BU539" t="str">
        <f>""</f>
        <v/>
      </c>
      <c r="BV539" t="str">
        <f>""</f>
        <v/>
      </c>
      <c r="BW539" t="str">
        <f>""</f>
        <v/>
      </c>
      <c r="BX539" t="str">
        <f>""</f>
        <v/>
      </c>
      <c r="BY539" t="str">
        <f>""</f>
        <v/>
      </c>
      <c r="BZ539" t="str">
        <f>""</f>
        <v/>
      </c>
      <c r="CA539" t="str">
        <f>""</f>
        <v/>
      </c>
      <c r="CB539" t="str">
        <f>""</f>
        <v/>
      </c>
      <c r="CC539" t="str">
        <f>""</f>
        <v/>
      </c>
      <c r="CD539" t="str">
        <f>""</f>
        <v/>
      </c>
      <c r="CE539" t="str">
        <f>""</f>
        <v/>
      </c>
      <c r="CF539" t="str">
        <f>""</f>
        <v/>
      </c>
      <c r="CG539" t="str">
        <f>""</f>
        <v/>
      </c>
      <c r="CH539" t="str">
        <f>""</f>
        <v/>
      </c>
      <c r="CI539" t="str">
        <f>""</f>
        <v/>
      </c>
      <c r="CJ539" t="str">
        <f>""</f>
        <v/>
      </c>
      <c r="CK539" t="str">
        <f>""</f>
        <v/>
      </c>
      <c r="CL539" t="str">
        <f>""</f>
        <v/>
      </c>
      <c r="CM539" t="str">
        <f>""</f>
        <v/>
      </c>
      <c r="CN539" t="str">
        <f>""</f>
        <v/>
      </c>
      <c r="CO539" t="str">
        <f>""</f>
        <v/>
      </c>
      <c r="CP539" t="str">
        <f>""</f>
        <v/>
      </c>
      <c r="CQ539" t="str">
        <f>""</f>
        <v/>
      </c>
      <c r="CR539" t="str">
        <f>""</f>
        <v/>
      </c>
      <c r="CS539" t="str">
        <f>""</f>
        <v/>
      </c>
      <c r="CT539" t="str">
        <f>""</f>
        <v/>
      </c>
      <c r="CU539" t="str">
        <f>""</f>
        <v/>
      </c>
      <c r="CV539" t="str">
        <f>""</f>
        <v/>
      </c>
      <c r="CW539" t="str">
        <f>""</f>
        <v/>
      </c>
      <c r="CX539" t="str">
        <f>""</f>
        <v/>
      </c>
      <c r="CY539" t="str">
        <f>""</f>
        <v/>
      </c>
      <c r="CZ539" t="str">
        <f>""</f>
        <v/>
      </c>
      <c r="DA539" t="str">
        <f>""</f>
        <v/>
      </c>
      <c r="DB539" t="str">
        <f>""</f>
        <v/>
      </c>
      <c r="DC539" t="str">
        <f>""</f>
        <v/>
      </c>
      <c r="DD539" t="str">
        <f>""</f>
        <v/>
      </c>
      <c r="DE539" t="str">
        <f>""</f>
        <v/>
      </c>
      <c r="DF539" t="str">
        <f>""</f>
        <v/>
      </c>
      <c r="DG539" t="str">
        <f>""</f>
        <v/>
      </c>
      <c r="DH539" t="str">
        <f>""</f>
        <v/>
      </c>
      <c r="DI539" t="str">
        <f>""</f>
        <v/>
      </c>
      <c r="DJ539" t="str">
        <f>""</f>
        <v/>
      </c>
      <c r="DK539" t="str">
        <f>""</f>
        <v/>
      </c>
      <c r="DL539" t="str">
        <f>""</f>
        <v/>
      </c>
      <c r="DM539" t="str">
        <f>""</f>
        <v/>
      </c>
      <c r="DN539" t="str">
        <f>""</f>
        <v/>
      </c>
      <c r="DO539" t="str">
        <f>""</f>
        <v/>
      </c>
      <c r="DP539" t="str">
        <f>""</f>
        <v/>
      </c>
      <c r="DQ539" t="str">
        <f>""</f>
        <v/>
      </c>
      <c r="DR539" t="str">
        <f>""</f>
        <v/>
      </c>
      <c r="DS539" t="str">
        <f>""</f>
        <v/>
      </c>
      <c r="DT539" t="str">
        <f>""</f>
        <v/>
      </c>
      <c r="DU539" t="str">
        <f>""</f>
        <v/>
      </c>
    </row>
    <row r="540" spans="1:125" x14ac:dyDescent="0.25">
      <c r="A540" t="str">
        <f>$A$31</f>
        <v xml:space="preserve">    SAIC Motor Corp Ltd</v>
      </c>
      <c r="B540" t="str">
        <f>$B$31</f>
        <v>600104 CH Equity</v>
      </c>
      <c r="C540" t="str">
        <f>$C$31</f>
        <v>RR844</v>
      </c>
      <c r="D540" t="str">
        <f>$D$31</f>
        <v>T12M_DIL_EPS_CONT_OPS</v>
      </c>
      <c r="E540" t="str">
        <f>$E$31</f>
        <v>Dynamic</v>
      </c>
      <c r="F540" t="str">
        <f ca="1">_xll.BDH($B$31,$C$31,$B$509,$B$510,CONCATENATE("Per=",$B$507),"Dts=H","Dir=H",CONCATENATE("Points=",$B$508),"Sort=R","Days=A","Fill=B",CONCATENATE("FX=", $B$506) )</f>
        <v>#N/A Connection</v>
      </c>
      <c r="BN540" t="str">
        <f>""</f>
        <v/>
      </c>
      <c r="BO540" t="str">
        <f>""</f>
        <v/>
      </c>
      <c r="BP540" t="str">
        <f>""</f>
        <v/>
      </c>
      <c r="BQ540" t="str">
        <f>""</f>
        <v/>
      </c>
      <c r="BR540" t="str">
        <f>""</f>
        <v/>
      </c>
      <c r="BS540" t="str">
        <f>""</f>
        <v/>
      </c>
      <c r="BT540" t="str">
        <f>""</f>
        <v/>
      </c>
      <c r="BU540" t="str">
        <f>""</f>
        <v/>
      </c>
      <c r="BV540" t="str">
        <f>""</f>
        <v/>
      </c>
      <c r="BW540" t="str">
        <f>""</f>
        <v/>
      </c>
      <c r="BX540" t="str">
        <f>""</f>
        <v/>
      </c>
      <c r="BY540" t="str">
        <f>""</f>
        <v/>
      </c>
      <c r="BZ540" t="str">
        <f>""</f>
        <v/>
      </c>
      <c r="CA540" t="str">
        <f>""</f>
        <v/>
      </c>
      <c r="CB540" t="str">
        <f>""</f>
        <v/>
      </c>
      <c r="CC540" t="str">
        <f>""</f>
        <v/>
      </c>
      <c r="CD540" t="str">
        <f>""</f>
        <v/>
      </c>
      <c r="CE540" t="str">
        <f>""</f>
        <v/>
      </c>
      <c r="CF540" t="str">
        <f>""</f>
        <v/>
      </c>
      <c r="CG540" t="str">
        <f>""</f>
        <v/>
      </c>
      <c r="CH540" t="str">
        <f>""</f>
        <v/>
      </c>
      <c r="CI540" t="str">
        <f>""</f>
        <v/>
      </c>
      <c r="CJ540" t="str">
        <f>""</f>
        <v/>
      </c>
      <c r="CK540" t="str">
        <f>""</f>
        <v/>
      </c>
      <c r="CL540" t="str">
        <f>""</f>
        <v/>
      </c>
      <c r="CM540" t="str">
        <f>""</f>
        <v/>
      </c>
      <c r="CN540" t="str">
        <f>""</f>
        <v/>
      </c>
      <c r="CO540" t="str">
        <f>""</f>
        <v/>
      </c>
      <c r="CP540" t="str">
        <f>""</f>
        <v/>
      </c>
      <c r="CQ540" t="str">
        <f>""</f>
        <v/>
      </c>
      <c r="CR540" t="str">
        <f>""</f>
        <v/>
      </c>
      <c r="CS540" t="str">
        <f>""</f>
        <v/>
      </c>
      <c r="CT540" t="str">
        <f>""</f>
        <v/>
      </c>
      <c r="CU540" t="str">
        <f>""</f>
        <v/>
      </c>
      <c r="CV540" t="str">
        <f>""</f>
        <v/>
      </c>
      <c r="CW540" t="str">
        <f>""</f>
        <v/>
      </c>
      <c r="CX540" t="str">
        <f>""</f>
        <v/>
      </c>
      <c r="CY540" t="str">
        <f>""</f>
        <v/>
      </c>
      <c r="CZ540" t="str">
        <f>""</f>
        <v/>
      </c>
      <c r="DA540" t="str">
        <f>""</f>
        <v/>
      </c>
      <c r="DB540" t="str">
        <f>""</f>
        <v/>
      </c>
      <c r="DC540" t="str">
        <f>""</f>
        <v/>
      </c>
      <c r="DD540" t="str">
        <f>""</f>
        <v/>
      </c>
      <c r="DE540" t="str">
        <f>""</f>
        <v/>
      </c>
      <c r="DF540" t="str">
        <f>""</f>
        <v/>
      </c>
      <c r="DG540" t="str">
        <f>""</f>
        <v/>
      </c>
      <c r="DH540" t="str">
        <f>""</f>
        <v/>
      </c>
      <c r="DI540" t="str">
        <f>""</f>
        <v/>
      </c>
      <c r="DJ540" t="str">
        <f>""</f>
        <v/>
      </c>
      <c r="DK540" t="str">
        <f>""</f>
        <v/>
      </c>
      <c r="DL540" t="str">
        <f>""</f>
        <v/>
      </c>
      <c r="DM540" t="str">
        <f>""</f>
        <v/>
      </c>
      <c r="DN540" t="str">
        <f>""</f>
        <v/>
      </c>
      <c r="DO540" t="str">
        <f>""</f>
        <v/>
      </c>
      <c r="DP540" t="str">
        <f>""</f>
        <v/>
      </c>
      <c r="DQ540" t="str">
        <f>""</f>
        <v/>
      </c>
      <c r="DR540" t="str">
        <f>""</f>
        <v/>
      </c>
      <c r="DS540" t="str">
        <f>""</f>
        <v/>
      </c>
      <c r="DT540" t="str">
        <f>""</f>
        <v/>
      </c>
      <c r="DU540" t="str">
        <f>""</f>
        <v/>
      </c>
    </row>
    <row r="541" spans="1:125" x14ac:dyDescent="0.25">
      <c r="A541" t="str">
        <f>$A$32</f>
        <v xml:space="preserve">    Sanyang Motor Co Ltd</v>
      </c>
      <c r="B541" t="str">
        <f>$B$32</f>
        <v>2206 TT Equity</v>
      </c>
      <c r="C541" t="str">
        <f>$C$32</f>
        <v>RR844</v>
      </c>
      <c r="D541" t="str">
        <f>$D$32</f>
        <v>T12M_DIL_EPS_CONT_OPS</v>
      </c>
      <c r="E541" t="str">
        <f>$E$32</f>
        <v>Dynamic</v>
      </c>
      <c r="F541" t="str">
        <f ca="1">_xll.BDH($B$32,$C$32,$B$509,$B$510,CONCATENATE("Per=",$B$507),"Dts=H","Dir=H",CONCATENATE("Points=",$B$508),"Sort=R","Days=A","Fill=B",CONCATENATE("FX=", $B$506) )</f>
        <v>#N/A Connection</v>
      </c>
      <c r="BN541" t="str">
        <f>""</f>
        <v/>
      </c>
      <c r="BO541" t="str">
        <f>""</f>
        <v/>
      </c>
      <c r="BP541" t="str">
        <f>""</f>
        <v/>
      </c>
      <c r="BQ541" t="str">
        <f>""</f>
        <v/>
      </c>
      <c r="BR541" t="str">
        <f>""</f>
        <v/>
      </c>
      <c r="BS541" t="str">
        <f>""</f>
        <v/>
      </c>
      <c r="BT541" t="str">
        <f>""</f>
        <v/>
      </c>
      <c r="BU541" t="str">
        <f>""</f>
        <v/>
      </c>
      <c r="BV541" t="str">
        <f>""</f>
        <v/>
      </c>
      <c r="BW541" t="str">
        <f>""</f>
        <v/>
      </c>
      <c r="BX541" t="str">
        <f>""</f>
        <v/>
      </c>
      <c r="BY541" t="str">
        <f>""</f>
        <v/>
      </c>
      <c r="BZ541" t="str">
        <f>""</f>
        <v/>
      </c>
      <c r="CA541" t="str">
        <f>""</f>
        <v/>
      </c>
      <c r="CB541" t="str">
        <f>""</f>
        <v/>
      </c>
      <c r="CC541" t="str">
        <f>""</f>
        <v/>
      </c>
      <c r="CD541" t="str">
        <f>""</f>
        <v/>
      </c>
      <c r="CE541" t="str">
        <f>""</f>
        <v/>
      </c>
      <c r="CF541" t="str">
        <f>""</f>
        <v/>
      </c>
      <c r="CG541" t="str">
        <f>""</f>
        <v/>
      </c>
      <c r="CH541" t="str">
        <f>""</f>
        <v/>
      </c>
      <c r="CI541" t="str">
        <f>""</f>
        <v/>
      </c>
      <c r="CJ541" t="str">
        <f>""</f>
        <v/>
      </c>
      <c r="CK541" t="str">
        <f>""</f>
        <v/>
      </c>
      <c r="CL541" t="str">
        <f>""</f>
        <v/>
      </c>
      <c r="CM541" t="str">
        <f>""</f>
        <v/>
      </c>
      <c r="CN541" t="str">
        <f>""</f>
        <v/>
      </c>
      <c r="CO541" t="str">
        <f>""</f>
        <v/>
      </c>
      <c r="CP541" t="str">
        <f>""</f>
        <v/>
      </c>
      <c r="CQ541" t="str">
        <f>""</f>
        <v/>
      </c>
      <c r="CR541" t="str">
        <f>""</f>
        <v/>
      </c>
      <c r="CS541" t="str">
        <f>""</f>
        <v/>
      </c>
      <c r="CT541" t="str">
        <f>""</f>
        <v/>
      </c>
      <c r="CU541" t="str">
        <f>""</f>
        <v/>
      </c>
      <c r="CV541" t="str">
        <f>""</f>
        <v/>
      </c>
      <c r="CW541" t="str">
        <f>""</f>
        <v/>
      </c>
      <c r="CX541" t="str">
        <f>""</f>
        <v/>
      </c>
      <c r="CY541" t="str">
        <f>""</f>
        <v/>
      </c>
      <c r="CZ541" t="str">
        <f>""</f>
        <v/>
      </c>
      <c r="DA541" t="str">
        <f>""</f>
        <v/>
      </c>
      <c r="DB541" t="str">
        <f>""</f>
        <v/>
      </c>
      <c r="DC541" t="str">
        <f>""</f>
        <v/>
      </c>
      <c r="DD541" t="str">
        <f>""</f>
        <v/>
      </c>
      <c r="DE541" t="str">
        <f>""</f>
        <v/>
      </c>
      <c r="DF541" t="str">
        <f>""</f>
        <v/>
      </c>
      <c r="DG541" t="str">
        <f>""</f>
        <v/>
      </c>
      <c r="DH541" t="str">
        <f>""</f>
        <v/>
      </c>
      <c r="DI541" t="str">
        <f>""</f>
        <v/>
      </c>
      <c r="DJ541" t="str">
        <f>""</f>
        <v/>
      </c>
      <c r="DK541" t="str">
        <f>""</f>
        <v/>
      </c>
      <c r="DL541" t="str">
        <f>""</f>
        <v/>
      </c>
      <c r="DM541" t="str">
        <f>""</f>
        <v/>
      </c>
      <c r="DN541" t="str">
        <f>""</f>
        <v/>
      </c>
      <c r="DO541" t="str">
        <f>""</f>
        <v/>
      </c>
      <c r="DP541" t="str">
        <f>""</f>
        <v/>
      </c>
      <c r="DQ541" t="str">
        <f>""</f>
        <v/>
      </c>
      <c r="DR541" t="str">
        <f>""</f>
        <v/>
      </c>
      <c r="DS541" t="str">
        <f>""</f>
        <v/>
      </c>
      <c r="DT541" t="str">
        <f>""</f>
        <v/>
      </c>
      <c r="DU541" t="str">
        <f>""</f>
        <v/>
      </c>
    </row>
    <row r="542" spans="1:125" x14ac:dyDescent="0.25">
      <c r="A542" t="str">
        <f>$A$33</f>
        <v xml:space="preserve">    Sollers PJSC</v>
      </c>
      <c r="B542" t="str">
        <f>$B$33</f>
        <v>SVAV RM Equity</v>
      </c>
      <c r="C542" t="str">
        <f>$C$33</f>
        <v>RR844</v>
      </c>
      <c r="D542" t="str">
        <f>$D$33</f>
        <v>T12M_DIL_EPS_CONT_OPS</v>
      </c>
      <c r="E542" t="str">
        <f>$E$33</f>
        <v>Dynamic</v>
      </c>
      <c r="F542" t="str">
        <f ca="1">_xll.BDH($B$33,$C$33,$B$509,$B$510,CONCATENATE("Per=",$B$507),"Dts=H","Dir=H",CONCATENATE("Points=",$B$508),"Sort=R","Days=A","Fill=B",CONCATENATE("FX=", $B$506) )</f>
        <v>#N/A Connection</v>
      </c>
      <c r="BN542" t="str">
        <f>""</f>
        <v/>
      </c>
      <c r="BO542" t="str">
        <f>""</f>
        <v/>
      </c>
      <c r="BP542" t="str">
        <f>""</f>
        <v/>
      </c>
      <c r="BQ542" t="str">
        <f>""</f>
        <v/>
      </c>
      <c r="BR542" t="str">
        <f>""</f>
        <v/>
      </c>
      <c r="BS542" t="str">
        <f>""</f>
        <v/>
      </c>
      <c r="BT542" t="str">
        <f>""</f>
        <v/>
      </c>
      <c r="BU542" t="str">
        <f>""</f>
        <v/>
      </c>
      <c r="BV542" t="str">
        <f>""</f>
        <v/>
      </c>
      <c r="BW542" t="str">
        <f>""</f>
        <v/>
      </c>
      <c r="BX542" t="str">
        <f>""</f>
        <v/>
      </c>
      <c r="BY542" t="str">
        <f>""</f>
        <v/>
      </c>
      <c r="BZ542" t="str">
        <f>""</f>
        <v/>
      </c>
      <c r="CA542" t="str">
        <f>""</f>
        <v/>
      </c>
      <c r="CB542" t="str">
        <f>""</f>
        <v/>
      </c>
      <c r="CC542" t="str">
        <f>""</f>
        <v/>
      </c>
      <c r="CD542" t="str">
        <f>""</f>
        <v/>
      </c>
      <c r="CE542" t="str">
        <f>""</f>
        <v/>
      </c>
      <c r="CF542" t="str">
        <f>""</f>
        <v/>
      </c>
      <c r="CG542" t="str">
        <f>""</f>
        <v/>
      </c>
      <c r="CH542" t="str">
        <f>""</f>
        <v/>
      </c>
      <c r="CI542" t="str">
        <f>""</f>
        <v/>
      </c>
      <c r="CJ542" t="str">
        <f>""</f>
        <v/>
      </c>
      <c r="CK542" t="str">
        <f>""</f>
        <v/>
      </c>
      <c r="CL542" t="str">
        <f>""</f>
        <v/>
      </c>
      <c r="CM542" t="str">
        <f>""</f>
        <v/>
      </c>
      <c r="CN542" t="str">
        <f>""</f>
        <v/>
      </c>
      <c r="CO542" t="str">
        <f>""</f>
        <v/>
      </c>
      <c r="CP542" t="str">
        <f>""</f>
        <v/>
      </c>
      <c r="CQ542" t="str">
        <f>""</f>
        <v/>
      </c>
      <c r="CR542" t="str">
        <f>""</f>
        <v/>
      </c>
      <c r="CS542" t="str">
        <f>""</f>
        <v/>
      </c>
      <c r="CT542" t="str">
        <f>""</f>
        <v/>
      </c>
      <c r="CU542" t="str">
        <f>""</f>
        <v/>
      </c>
      <c r="CV542" t="str">
        <f>""</f>
        <v/>
      </c>
      <c r="CW542" t="str">
        <f>""</f>
        <v/>
      </c>
      <c r="CX542" t="str">
        <f>""</f>
        <v/>
      </c>
      <c r="CY542" t="str">
        <f>""</f>
        <v/>
      </c>
      <c r="CZ542" t="str">
        <f>""</f>
        <v/>
      </c>
      <c r="DA542" t="str">
        <f>""</f>
        <v/>
      </c>
      <c r="DB542" t="str">
        <f>""</f>
        <v/>
      </c>
      <c r="DC542" t="str">
        <f>""</f>
        <v/>
      </c>
      <c r="DD542" t="str">
        <f>""</f>
        <v/>
      </c>
      <c r="DE542" t="str">
        <f>""</f>
        <v/>
      </c>
      <c r="DF542" t="str">
        <f>""</f>
        <v/>
      </c>
      <c r="DG542" t="str">
        <f>""</f>
        <v/>
      </c>
      <c r="DH542" t="str">
        <f>""</f>
        <v/>
      </c>
      <c r="DI542" t="str">
        <f>""</f>
        <v/>
      </c>
      <c r="DJ542" t="str">
        <f>""</f>
        <v/>
      </c>
      <c r="DK542" t="str">
        <f>""</f>
        <v/>
      </c>
      <c r="DL542" t="str">
        <f>""</f>
        <v/>
      </c>
      <c r="DM542" t="str">
        <f>""</f>
        <v/>
      </c>
      <c r="DN542" t="str">
        <f>""</f>
        <v/>
      </c>
      <c r="DO542" t="str">
        <f>""</f>
        <v/>
      </c>
      <c r="DP542" t="str">
        <f>""</f>
        <v/>
      </c>
      <c r="DQ542" t="str">
        <f>""</f>
        <v/>
      </c>
      <c r="DR542" t="str">
        <f>""</f>
        <v/>
      </c>
      <c r="DS542" t="str">
        <f>""</f>
        <v/>
      </c>
      <c r="DT542" t="str">
        <f>""</f>
        <v/>
      </c>
      <c r="DU542" t="str">
        <f>""</f>
        <v/>
      </c>
    </row>
    <row r="543" spans="1:125" x14ac:dyDescent="0.25">
      <c r="A543" t="str">
        <f>$A$34</f>
        <v xml:space="preserve">    Ssangyong Motor Co</v>
      </c>
      <c r="B543" t="str">
        <f>$B$34</f>
        <v>003620 KS Equity</v>
      </c>
      <c r="C543" t="str">
        <f>$C$34</f>
        <v>RR844</v>
      </c>
      <c r="D543" t="str">
        <f>$D$34</f>
        <v>T12M_DIL_EPS_CONT_OPS</v>
      </c>
      <c r="E543" t="str">
        <f>$E$34</f>
        <v>Dynamic</v>
      </c>
      <c r="F543" t="str">
        <f ca="1">_xll.BDH($B$34,$C$34,$B$509,$B$510,CONCATENATE("Per=",$B$507),"Dts=H","Dir=H",CONCATENATE("Points=",$B$508),"Sort=R","Days=A","Fill=B",CONCATENATE("FX=", $B$506) )</f>
        <v>#N/A Connection</v>
      </c>
      <c r="BN543" t="str">
        <f>""</f>
        <v/>
      </c>
      <c r="BO543" t="str">
        <f>""</f>
        <v/>
      </c>
      <c r="BP543" t="str">
        <f>""</f>
        <v/>
      </c>
      <c r="BQ543" t="str">
        <f>""</f>
        <v/>
      </c>
      <c r="BR543" t="str">
        <f>""</f>
        <v/>
      </c>
      <c r="BS543" t="str">
        <f>""</f>
        <v/>
      </c>
      <c r="BT543" t="str">
        <f>""</f>
        <v/>
      </c>
      <c r="BU543" t="str">
        <f>""</f>
        <v/>
      </c>
      <c r="BV543" t="str">
        <f>""</f>
        <v/>
      </c>
      <c r="BW543" t="str">
        <f>""</f>
        <v/>
      </c>
      <c r="BX543" t="str">
        <f>""</f>
        <v/>
      </c>
      <c r="BY543" t="str">
        <f>""</f>
        <v/>
      </c>
      <c r="BZ543" t="str">
        <f>""</f>
        <v/>
      </c>
      <c r="CA543" t="str">
        <f>""</f>
        <v/>
      </c>
      <c r="CB543" t="str">
        <f>""</f>
        <v/>
      </c>
      <c r="CC543" t="str">
        <f>""</f>
        <v/>
      </c>
      <c r="CD543" t="str">
        <f>""</f>
        <v/>
      </c>
      <c r="CE543" t="str">
        <f>""</f>
        <v/>
      </c>
      <c r="CF543" t="str">
        <f>""</f>
        <v/>
      </c>
      <c r="CG543" t="str">
        <f>""</f>
        <v/>
      </c>
      <c r="CH543" t="str">
        <f>""</f>
        <v/>
      </c>
      <c r="CI543" t="str">
        <f>""</f>
        <v/>
      </c>
      <c r="CJ543" t="str">
        <f>""</f>
        <v/>
      </c>
      <c r="CK543" t="str">
        <f>""</f>
        <v/>
      </c>
      <c r="CL543" t="str">
        <f>""</f>
        <v/>
      </c>
      <c r="CM543" t="str">
        <f>""</f>
        <v/>
      </c>
      <c r="CN543" t="str">
        <f>""</f>
        <v/>
      </c>
      <c r="CO543" t="str">
        <f>""</f>
        <v/>
      </c>
      <c r="CP543" t="str">
        <f>""</f>
        <v/>
      </c>
      <c r="CQ543" t="str">
        <f>""</f>
        <v/>
      </c>
      <c r="CR543" t="str">
        <f>""</f>
        <v/>
      </c>
      <c r="CS543" t="str">
        <f>""</f>
        <v/>
      </c>
      <c r="CT543" t="str">
        <f>""</f>
        <v/>
      </c>
      <c r="CU543" t="str">
        <f>""</f>
        <v/>
      </c>
      <c r="CV543" t="str">
        <f>""</f>
        <v/>
      </c>
      <c r="CW543" t="str">
        <f>""</f>
        <v/>
      </c>
      <c r="CX543" t="str">
        <f>""</f>
        <v/>
      </c>
      <c r="CY543" t="str">
        <f>""</f>
        <v/>
      </c>
      <c r="CZ543" t="str">
        <f>""</f>
        <v/>
      </c>
      <c r="DA543" t="str">
        <f>""</f>
        <v/>
      </c>
      <c r="DB543" t="str">
        <f>""</f>
        <v/>
      </c>
      <c r="DC543" t="str">
        <f>""</f>
        <v/>
      </c>
      <c r="DD543" t="str">
        <f>""</f>
        <v/>
      </c>
      <c r="DE543" t="str">
        <f>""</f>
        <v/>
      </c>
      <c r="DF543" t="str">
        <f>""</f>
        <v/>
      </c>
      <c r="DG543" t="str">
        <f>""</f>
        <v/>
      </c>
      <c r="DH543" t="str">
        <f>""</f>
        <v/>
      </c>
      <c r="DI543" t="str">
        <f>""</f>
        <v/>
      </c>
      <c r="DJ543" t="str">
        <f>""</f>
        <v/>
      </c>
      <c r="DK543" t="str">
        <f>""</f>
        <v/>
      </c>
      <c r="DL543" t="str">
        <f>""</f>
        <v/>
      </c>
      <c r="DM543" t="str">
        <f>""</f>
        <v/>
      </c>
      <c r="DN543" t="str">
        <f>""</f>
        <v/>
      </c>
      <c r="DO543" t="str">
        <f>""</f>
        <v/>
      </c>
      <c r="DP543" t="str">
        <f>""</f>
        <v/>
      </c>
      <c r="DQ543" t="str">
        <f>""</f>
        <v/>
      </c>
      <c r="DR543" t="str">
        <f>""</f>
        <v/>
      </c>
      <c r="DS543" t="str">
        <f>""</f>
        <v/>
      </c>
      <c r="DT543" t="str">
        <f>""</f>
        <v/>
      </c>
      <c r="DU543" t="str">
        <f>""</f>
        <v/>
      </c>
    </row>
    <row r="544" spans="1:125" x14ac:dyDescent="0.25">
      <c r="A544" t="str">
        <f>$A$35</f>
        <v xml:space="preserve">    Subaru Corp</v>
      </c>
      <c r="B544" t="str">
        <f>$B$35</f>
        <v>7270 JP Equity</v>
      </c>
      <c r="C544" t="str">
        <f>$C$35</f>
        <v>RR844</v>
      </c>
      <c r="D544" t="str">
        <f>$D$35</f>
        <v>T12M_DIL_EPS_CONT_OPS</v>
      </c>
      <c r="E544" t="str">
        <f>$E$35</f>
        <v>Dynamic</v>
      </c>
      <c r="F544" t="str">
        <f ca="1">_xll.BDH($B$35,$C$35,$B$509,$B$510,CONCATENATE("Per=",$B$507),"Dts=H","Dir=H",CONCATENATE("Points=",$B$508),"Sort=R","Days=A","Fill=B",CONCATENATE("FX=", $B$506) )</f>
        <v>#N/A Connection</v>
      </c>
      <c r="BN544" t="str">
        <f>""</f>
        <v/>
      </c>
      <c r="BO544" t="str">
        <f>""</f>
        <v/>
      </c>
      <c r="BP544" t="str">
        <f>""</f>
        <v/>
      </c>
      <c r="BQ544" t="str">
        <f>""</f>
        <v/>
      </c>
      <c r="BR544" t="str">
        <f>""</f>
        <v/>
      </c>
      <c r="BS544" t="str">
        <f>""</f>
        <v/>
      </c>
      <c r="BT544" t="str">
        <f>""</f>
        <v/>
      </c>
      <c r="BU544" t="str">
        <f>""</f>
        <v/>
      </c>
      <c r="BV544" t="str">
        <f>""</f>
        <v/>
      </c>
      <c r="BW544" t="str">
        <f>""</f>
        <v/>
      </c>
      <c r="BX544" t="str">
        <f>""</f>
        <v/>
      </c>
      <c r="BY544" t="str">
        <f>""</f>
        <v/>
      </c>
      <c r="BZ544" t="str">
        <f>""</f>
        <v/>
      </c>
      <c r="CA544" t="str">
        <f>""</f>
        <v/>
      </c>
      <c r="CB544" t="str">
        <f>""</f>
        <v/>
      </c>
      <c r="CC544" t="str">
        <f>""</f>
        <v/>
      </c>
      <c r="CD544" t="str">
        <f>""</f>
        <v/>
      </c>
      <c r="CE544" t="str">
        <f>""</f>
        <v/>
      </c>
      <c r="CF544" t="str">
        <f>""</f>
        <v/>
      </c>
      <c r="CG544" t="str">
        <f>""</f>
        <v/>
      </c>
      <c r="CH544" t="str">
        <f>""</f>
        <v/>
      </c>
      <c r="CI544" t="str">
        <f>""</f>
        <v/>
      </c>
      <c r="CJ544" t="str">
        <f>""</f>
        <v/>
      </c>
      <c r="CK544" t="str">
        <f>""</f>
        <v/>
      </c>
      <c r="CL544" t="str">
        <f>""</f>
        <v/>
      </c>
      <c r="CM544" t="str">
        <f>""</f>
        <v/>
      </c>
      <c r="CN544" t="str">
        <f>""</f>
        <v/>
      </c>
      <c r="CO544" t="str">
        <f>""</f>
        <v/>
      </c>
      <c r="CP544" t="str">
        <f>""</f>
        <v/>
      </c>
      <c r="CQ544" t="str">
        <f>""</f>
        <v/>
      </c>
      <c r="CR544" t="str">
        <f>""</f>
        <v/>
      </c>
      <c r="CS544" t="str">
        <f>""</f>
        <v/>
      </c>
      <c r="CT544" t="str">
        <f>""</f>
        <v/>
      </c>
      <c r="CU544" t="str">
        <f>""</f>
        <v/>
      </c>
      <c r="CV544" t="str">
        <f>""</f>
        <v/>
      </c>
      <c r="CW544" t="str">
        <f>""</f>
        <v/>
      </c>
      <c r="CX544" t="str">
        <f>""</f>
        <v/>
      </c>
      <c r="CY544" t="str">
        <f>""</f>
        <v/>
      </c>
      <c r="CZ544" t="str">
        <f>""</f>
        <v/>
      </c>
      <c r="DA544" t="str">
        <f>""</f>
        <v/>
      </c>
      <c r="DB544" t="str">
        <f>""</f>
        <v/>
      </c>
      <c r="DC544" t="str">
        <f>""</f>
        <v/>
      </c>
      <c r="DD544" t="str">
        <f>""</f>
        <v/>
      </c>
      <c r="DE544" t="str">
        <f>""</f>
        <v/>
      </c>
      <c r="DF544" t="str">
        <f>""</f>
        <v/>
      </c>
      <c r="DG544" t="str">
        <f>""</f>
        <v/>
      </c>
      <c r="DH544" t="str">
        <f>""</f>
        <v/>
      </c>
      <c r="DI544" t="str">
        <f>""</f>
        <v/>
      </c>
      <c r="DJ544" t="str">
        <f>""</f>
        <v/>
      </c>
      <c r="DK544" t="str">
        <f>""</f>
        <v/>
      </c>
      <c r="DL544" t="str">
        <f>""</f>
        <v/>
      </c>
      <c r="DM544" t="str">
        <f>""</f>
        <v/>
      </c>
      <c r="DN544" t="str">
        <f>""</f>
        <v/>
      </c>
      <c r="DO544" t="str">
        <f>""</f>
        <v/>
      </c>
      <c r="DP544" t="str">
        <f>""</f>
        <v/>
      </c>
      <c r="DQ544" t="str">
        <f>""</f>
        <v/>
      </c>
      <c r="DR544" t="str">
        <f>""</f>
        <v/>
      </c>
      <c r="DS544" t="str">
        <f>""</f>
        <v/>
      </c>
      <c r="DT544" t="str">
        <f>""</f>
        <v/>
      </c>
      <c r="DU544" t="str">
        <f>""</f>
        <v/>
      </c>
    </row>
    <row r="545" spans="1:125" x14ac:dyDescent="0.25">
      <c r="A545" t="str">
        <f>$A$36</f>
        <v xml:space="preserve">    Suzuki Motor Corp</v>
      </c>
      <c r="B545" t="str">
        <f>$B$36</f>
        <v>7269 JP Equity</v>
      </c>
      <c r="C545" t="str">
        <f>$C$36</f>
        <v>RR844</v>
      </c>
      <c r="D545" t="str">
        <f>$D$36</f>
        <v>T12M_DIL_EPS_CONT_OPS</v>
      </c>
      <c r="E545" t="str">
        <f>$E$36</f>
        <v>Dynamic</v>
      </c>
      <c r="F545" t="str">
        <f ca="1">_xll.BDH($B$36,$C$36,$B$509,$B$510,CONCATENATE("Per=",$B$507),"Dts=H","Dir=H",CONCATENATE("Points=",$B$508),"Sort=R","Days=A","Fill=B",CONCATENATE("FX=", $B$506) )</f>
        <v>#N/A Connection</v>
      </c>
      <c r="BN545" t="str">
        <f>""</f>
        <v/>
      </c>
      <c r="BO545" t="str">
        <f>""</f>
        <v/>
      </c>
      <c r="BP545" t="str">
        <f>""</f>
        <v/>
      </c>
      <c r="BQ545" t="str">
        <f>""</f>
        <v/>
      </c>
      <c r="BR545" t="str">
        <f>""</f>
        <v/>
      </c>
      <c r="BS545" t="str">
        <f>""</f>
        <v/>
      </c>
      <c r="BT545" t="str">
        <f>""</f>
        <v/>
      </c>
      <c r="BU545" t="str">
        <f>""</f>
        <v/>
      </c>
      <c r="BV545" t="str">
        <f>""</f>
        <v/>
      </c>
      <c r="BW545" t="str">
        <f>""</f>
        <v/>
      </c>
      <c r="BX545" t="str">
        <f>""</f>
        <v/>
      </c>
      <c r="BY545" t="str">
        <f>""</f>
        <v/>
      </c>
      <c r="BZ545" t="str">
        <f>""</f>
        <v/>
      </c>
      <c r="CA545" t="str">
        <f>""</f>
        <v/>
      </c>
      <c r="CB545" t="str">
        <f>""</f>
        <v/>
      </c>
      <c r="CC545" t="str">
        <f>""</f>
        <v/>
      </c>
      <c r="CD545" t="str">
        <f>""</f>
        <v/>
      </c>
      <c r="CE545" t="str">
        <f>""</f>
        <v/>
      </c>
      <c r="CF545" t="str">
        <f>""</f>
        <v/>
      </c>
      <c r="CG545" t="str">
        <f>""</f>
        <v/>
      </c>
      <c r="CH545" t="str">
        <f>""</f>
        <v/>
      </c>
      <c r="CI545" t="str">
        <f>""</f>
        <v/>
      </c>
      <c r="CJ545" t="str">
        <f>""</f>
        <v/>
      </c>
      <c r="CK545" t="str">
        <f>""</f>
        <v/>
      </c>
      <c r="CL545" t="str">
        <f>""</f>
        <v/>
      </c>
      <c r="CM545" t="str">
        <f>""</f>
        <v/>
      </c>
      <c r="CN545" t="str">
        <f>""</f>
        <v/>
      </c>
      <c r="CO545" t="str">
        <f>""</f>
        <v/>
      </c>
      <c r="CP545" t="str">
        <f>""</f>
        <v/>
      </c>
      <c r="CQ545" t="str">
        <f>""</f>
        <v/>
      </c>
      <c r="CR545" t="str">
        <f>""</f>
        <v/>
      </c>
      <c r="CS545" t="str">
        <f>""</f>
        <v/>
      </c>
      <c r="CT545" t="str">
        <f>""</f>
        <v/>
      </c>
      <c r="CU545" t="str">
        <f>""</f>
        <v/>
      </c>
      <c r="CV545" t="str">
        <f>""</f>
        <v/>
      </c>
      <c r="CW545" t="str">
        <f>""</f>
        <v/>
      </c>
      <c r="CX545" t="str">
        <f>""</f>
        <v/>
      </c>
      <c r="CY545" t="str">
        <f>""</f>
        <v/>
      </c>
      <c r="CZ545" t="str">
        <f>""</f>
        <v/>
      </c>
      <c r="DA545" t="str">
        <f>""</f>
        <v/>
      </c>
      <c r="DB545" t="str">
        <f>""</f>
        <v/>
      </c>
      <c r="DC545" t="str">
        <f>""</f>
        <v/>
      </c>
      <c r="DD545" t="str">
        <f>""</f>
        <v/>
      </c>
      <c r="DE545" t="str">
        <f>""</f>
        <v/>
      </c>
      <c r="DF545" t="str">
        <f>""</f>
        <v/>
      </c>
      <c r="DG545" t="str">
        <f>""</f>
        <v/>
      </c>
      <c r="DH545" t="str">
        <f>""</f>
        <v/>
      </c>
      <c r="DI545" t="str">
        <f>""</f>
        <v/>
      </c>
      <c r="DJ545" t="str">
        <f>""</f>
        <v/>
      </c>
      <c r="DK545" t="str">
        <f>""</f>
        <v/>
      </c>
      <c r="DL545" t="str">
        <f>""</f>
        <v/>
      </c>
      <c r="DM545" t="str">
        <f>""</f>
        <v/>
      </c>
      <c r="DN545" t="str">
        <f>""</f>
        <v/>
      </c>
      <c r="DO545" t="str">
        <f>""</f>
        <v/>
      </c>
      <c r="DP545" t="str">
        <f>""</f>
        <v/>
      </c>
      <c r="DQ545" t="str">
        <f>""</f>
        <v/>
      </c>
      <c r="DR545" t="str">
        <f>""</f>
        <v/>
      </c>
      <c r="DS545" t="str">
        <f>""</f>
        <v/>
      </c>
      <c r="DT545" t="str">
        <f>""</f>
        <v/>
      </c>
      <c r="DU545" t="str">
        <f>""</f>
        <v/>
      </c>
    </row>
    <row r="546" spans="1:125" x14ac:dyDescent="0.25">
      <c r="A546" t="str">
        <f>$A$37</f>
        <v xml:space="preserve">    Tata Motors Ltd</v>
      </c>
      <c r="B546" t="str">
        <f>$B$37</f>
        <v>TTMT IN Equity</v>
      </c>
      <c r="C546" t="str">
        <f>$C$37</f>
        <v>RR844</v>
      </c>
      <c r="D546" t="str">
        <f>$D$37</f>
        <v>T12M_DIL_EPS_CONT_OPS</v>
      </c>
      <c r="E546" t="str">
        <f>$E$37</f>
        <v>Dynamic</v>
      </c>
      <c r="F546" t="str">
        <f ca="1">_xll.BDH($B$37,$C$37,$B$509,$B$510,CONCATENATE("Per=",$B$507),"Dts=H","Dir=H",CONCATENATE("Points=",$B$508),"Sort=R","Days=A","Fill=B",CONCATENATE("FX=", $B$506) )</f>
        <v>#N/A Connection</v>
      </c>
      <c r="BN546" t="str">
        <f>""</f>
        <v/>
      </c>
      <c r="BO546" t="str">
        <f>""</f>
        <v/>
      </c>
      <c r="BP546" t="str">
        <f>""</f>
        <v/>
      </c>
      <c r="BQ546" t="str">
        <f>""</f>
        <v/>
      </c>
      <c r="BR546" t="str">
        <f>""</f>
        <v/>
      </c>
      <c r="BS546" t="str">
        <f>""</f>
        <v/>
      </c>
      <c r="BT546" t="str">
        <f>""</f>
        <v/>
      </c>
      <c r="BU546" t="str">
        <f>""</f>
        <v/>
      </c>
      <c r="BV546" t="str">
        <f>""</f>
        <v/>
      </c>
      <c r="BW546" t="str">
        <f>""</f>
        <v/>
      </c>
      <c r="BX546" t="str">
        <f>""</f>
        <v/>
      </c>
      <c r="BY546" t="str">
        <f>""</f>
        <v/>
      </c>
      <c r="BZ546" t="str">
        <f>""</f>
        <v/>
      </c>
      <c r="CA546" t="str">
        <f>""</f>
        <v/>
      </c>
      <c r="CB546" t="str">
        <f>""</f>
        <v/>
      </c>
      <c r="CC546" t="str">
        <f>""</f>
        <v/>
      </c>
      <c r="CD546" t="str">
        <f>""</f>
        <v/>
      </c>
      <c r="CE546" t="str">
        <f>""</f>
        <v/>
      </c>
      <c r="CF546" t="str">
        <f>""</f>
        <v/>
      </c>
      <c r="CG546" t="str">
        <f>""</f>
        <v/>
      </c>
      <c r="CH546" t="str">
        <f>""</f>
        <v/>
      </c>
      <c r="CI546" t="str">
        <f>""</f>
        <v/>
      </c>
      <c r="CJ546" t="str">
        <f>""</f>
        <v/>
      </c>
      <c r="CK546" t="str">
        <f>""</f>
        <v/>
      </c>
      <c r="CL546" t="str">
        <f>""</f>
        <v/>
      </c>
      <c r="CM546" t="str">
        <f>""</f>
        <v/>
      </c>
      <c r="CN546" t="str">
        <f>""</f>
        <v/>
      </c>
      <c r="CO546" t="str">
        <f>""</f>
        <v/>
      </c>
      <c r="CP546" t="str">
        <f>""</f>
        <v/>
      </c>
      <c r="CQ546" t="str">
        <f>""</f>
        <v/>
      </c>
      <c r="CR546" t="str">
        <f>""</f>
        <v/>
      </c>
      <c r="CS546" t="str">
        <f>""</f>
        <v/>
      </c>
      <c r="CT546" t="str">
        <f>""</f>
        <v/>
      </c>
      <c r="CU546" t="str">
        <f>""</f>
        <v/>
      </c>
      <c r="CV546" t="str">
        <f>""</f>
        <v/>
      </c>
      <c r="CW546" t="str">
        <f>""</f>
        <v/>
      </c>
      <c r="CX546" t="str">
        <f>""</f>
        <v/>
      </c>
      <c r="CY546" t="str">
        <f>""</f>
        <v/>
      </c>
      <c r="CZ546" t="str">
        <f>""</f>
        <v/>
      </c>
      <c r="DA546" t="str">
        <f>""</f>
        <v/>
      </c>
      <c r="DB546" t="str">
        <f>""</f>
        <v/>
      </c>
      <c r="DC546" t="str">
        <f>""</f>
        <v/>
      </c>
      <c r="DD546" t="str">
        <f>""</f>
        <v/>
      </c>
      <c r="DE546" t="str">
        <f>""</f>
        <v/>
      </c>
      <c r="DF546" t="str">
        <f>""</f>
        <v/>
      </c>
      <c r="DG546" t="str">
        <f>""</f>
        <v/>
      </c>
      <c r="DH546" t="str">
        <f>""</f>
        <v/>
      </c>
      <c r="DI546" t="str">
        <f>""</f>
        <v/>
      </c>
      <c r="DJ546" t="str">
        <f>""</f>
        <v/>
      </c>
      <c r="DK546" t="str">
        <f>""</f>
        <v/>
      </c>
      <c r="DL546" t="str">
        <f>""</f>
        <v/>
      </c>
      <c r="DM546" t="str">
        <f>""</f>
        <v/>
      </c>
      <c r="DN546" t="str">
        <f>""</f>
        <v/>
      </c>
      <c r="DO546" t="str">
        <f>""</f>
        <v/>
      </c>
      <c r="DP546" t="str">
        <f>""</f>
        <v/>
      </c>
      <c r="DQ546" t="str">
        <f>""</f>
        <v/>
      </c>
      <c r="DR546" t="str">
        <f>""</f>
        <v/>
      </c>
      <c r="DS546" t="str">
        <f>""</f>
        <v/>
      </c>
      <c r="DT546" t="str">
        <f>""</f>
        <v/>
      </c>
      <c r="DU546" t="str">
        <f>""</f>
        <v/>
      </c>
    </row>
    <row r="547" spans="1:125" x14ac:dyDescent="0.25">
      <c r="A547" t="str">
        <f>$A$38</f>
        <v xml:space="preserve">    Tesla Inc</v>
      </c>
      <c r="B547" t="str">
        <f>$B$38</f>
        <v>TSLA US Equity</v>
      </c>
      <c r="C547" t="str">
        <f>$C$38</f>
        <v>RR844</v>
      </c>
      <c r="D547" t="str">
        <f>$D$38</f>
        <v>T12M_DIL_EPS_CONT_OPS</v>
      </c>
      <c r="E547" t="str">
        <f>$E$38</f>
        <v>Dynamic</v>
      </c>
      <c r="F547" t="str">
        <f ca="1">_xll.BDH($B$38,$C$38,$B$509,$B$510,CONCATENATE("Per=",$B$507),"Dts=H","Dir=H",CONCATENATE("Points=",$B$508),"Sort=R","Days=A","Fill=B",CONCATENATE("FX=", $B$506) )</f>
        <v>#N/A Connection</v>
      </c>
      <c r="BN547" t="str">
        <f>""</f>
        <v/>
      </c>
      <c r="BO547" t="str">
        <f>""</f>
        <v/>
      </c>
      <c r="BP547" t="str">
        <f>""</f>
        <v/>
      </c>
      <c r="BQ547" t="str">
        <f>""</f>
        <v/>
      </c>
      <c r="BR547" t="str">
        <f>""</f>
        <v/>
      </c>
      <c r="BS547" t="str">
        <f>""</f>
        <v/>
      </c>
      <c r="BT547" t="str">
        <f>""</f>
        <v/>
      </c>
      <c r="BU547" t="str">
        <f>""</f>
        <v/>
      </c>
      <c r="BV547" t="str">
        <f>""</f>
        <v/>
      </c>
      <c r="BW547" t="str">
        <f>""</f>
        <v/>
      </c>
      <c r="BX547" t="str">
        <f>""</f>
        <v/>
      </c>
      <c r="BY547" t="str">
        <f>""</f>
        <v/>
      </c>
      <c r="BZ547" t="str">
        <f>""</f>
        <v/>
      </c>
      <c r="CA547" t="str">
        <f>""</f>
        <v/>
      </c>
      <c r="CB547" t="str">
        <f>""</f>
        <v/>
      </c>
      <c r="CC547" t="str">
        <f>""</f>
        <v/>
      </c>
      <c r="CD547" t="str">
        <f>""</f>
        <v/>
      </c>
      <c r="CE547" t="str">
        <f>""</f>
        <v/>
      </c>
      <c r="CF547" t="str">
        <f>""</f>
        <v/>
      </c>
      <c r="CG547" t="str">
        <f>""</f>
        <v/>
      </c>
      <c r="CH547" t="str">
        <f>""</f>
        <v/>
      </c>
      <c r="CI547" t="str">
        <f>""</f>
        <v/>
      </c>
      <c r="CJ547" t="str">
        <f>""</f>
        <v/>
      </c>
      <c r="CK547" t="str">
        <f>""</f>
        <v/>
      </c>
      <c r="CL547" t="str">
        <f>""</f>
        <v/>
      </c>
      <c r="CM547" t="str">
        <f>""</f>
        <v/>
      </c>
      <c r="CN547" t="str">
        <f>""</f>
        <v/>
      </c>
      <c r="CO547" t="str">
        <f>""</f>
        <v/>
      </c>
      <c r="CP547" t="str">
        <f>""</f>
        <v/>
      </c>
      <c r="CQ547" t="str">
        <f>""</f>
        <v/>
      </c>
      <c r="CR547" t="str">
        <f>""</f>
        <v/>
      </c>
      <c r="CS547" t="str">
        <f>""</f>
        <v/>
      </c>
      <c r="CT547" t="str">
        <f>""</f>
        <v/>
      </c>
      <c r="CU547" t="str">
        <f>""</f>
        <v/>
      </c>
      <c r="CV547" t="str">
        <f>""</f>
        <v/>
      </c>
      <c r="CW547" t="str">
        <f>""</f>
        <v/>
      </c>
      <c r="CX547" t="str">
        <f>""</f>
        <v/>
      </c>
      <c r="CY547" t="str">
        <f>""</f>
        <v/>
      </c>
      <c r="CZ547" t="str">
        <f>""</f>
        <v/>
      </c>
      <c r="DA547" t="str">
        <f>""</f>
        <v/>
      </c>
      <c r="DB547" t="str">
        <f>""</f>
        <v/>
      </c>
      <c r="DC547" t="str">
        <f>""</f>
        <v/>
      </c>
      <c r="DD547" t="str">
        <f>""</f>
        <v/>
      </c>
      <c r="DE547" t="str">
        <f>""</f>
        <v/>
      </c>
      <c r="DF547" t="str">
        <f>""</f>
        <v/>
      </c>
      <c r="DG547" t="str">
        <f>""</f>
        <v/>
      </c>
      <c r="DH547" t="str">
        <f>""</f>
        <v/>
      </c>
      <c r="DI547" t="str">
        <f>""</f>
        <v/>
      </c>
      <c r="DJ547" t="str">
        <f>""</f>
        <v/>
      </c>
      <c r="DK547" t="str">
        <f>""</f>
        <v/>
      </c>
      <c r="DL547" t="str">
        <f>""</f>
        <v/>
      </c>
      <c r="DM547" t="str">
        <f>""</f>
        <v/>
      </c>
      <c r="DN547" t="str">
        <f>""</f>
        <v/>
      </c>
      <c r="DO547" t="str">
        <f>""</f>
        <v/>
      </c>
      <c r="DP547" t="str">
        <f>""</f>
        <v/>
      </c>
      <c r="DQ547" t="str">
        <f>""</f>
        <v/>
      </c>
      <c r="DR547" t="str">
        <f>""</f>
        <v/>
      </c>
      <c r="DS547" t="str">
        <f>""</f>
        <v/>
      </c>
      <c r="DT547" t="str">
        <f>""</f>
        <v/>
      </c>
      <c r="DU547" t="str">
        <f>""</f>
        <v/>
      </c>
    </row>
    <row r="548" spans="1:125" x14ac:dyDescent="0.25">
      <c r="A548" t="str">
        <f>$A$39</f>
        <v xml:space="preserve">    Tianjin Faw Xiali Automobile Co Ltd</v>
      </c>
      <c r="B548" t="str">
        <f>$B$39</f>
        <v>000927 CH Equity</v>
      </c>
      <c r="C548" t="str">
        <f>$C$39</f>
        <v>RR844</v>
      </c>
      <c r="D548" t="str">
        <f>$D$39</f>
        <v>T12M_DIL_EPS_CONT_OPS</v>
      </c>
      <c r="E548" t="str">
        <f>$E$39</f>
        <v>Dynamic</v>
      </c>
      <c r="F548" t="str">
        <f ca="1">_xll.BDH($B$39,$C$39,$B$509,$B$510,CONCATENATE("Per=",$B$507),"Dts=H","Dir=H",CONCATENATE("Points=",$B$508),"Sort=R","Days=A","Fill=B",CONCATENATE("FX=", $B$506) )</f>
        <v>#N/A Connection</v>
      </c>
      <c r="BN548" t="str">
        <f>""</f>
        <v/>
      </c>
      <c r="BO548" t="str">
        <f>""</f>
        <v/>
      </c>
      <c r="BP548" t="str">
        <f>""</f>
        <v/>
      </c>
      <c r="BQ548" t="str">
        <f>""</f>
        <v/>
      </c>
      <c r="BR548" t="str">
        <f>""</f>
        <v/>
      </c>
      <c r="BS548" t="str">
        <f>""</f>
        <v/>
      </c>
      <c r="BT548" t="str">
        <f>""</f>
        <v/>
      </c>
      <c r="BU548" t="str">
        <f>""</f>
        <v/>
      </c>
      <c r="BV548" t="str">
        <f>""</f>
        <v/>
      </c>
      <c r="BW548" t="str">
        <f>""</f>
        <v/>
      </c>
      <c r="BX548" t="str">
        <f>""</f>
        <v/>
      </c>
      <c r="BY548" t="str">
        <f>""</f>
        <v/>
      </c>
      <c r="BZ548" t="str">
        <f>""</f>
        <v/>
      </c>
      <c r="CA548" t="str">
        <f>""</f>
        <v/>
      </c>
      <c r="CB548" t="str">
        <f>""</f>
        <v/>
      </c>
      <c r="CC548" t="str">
        <f>""</f>
        <v/>
      </c>
      <c r="CD548" t="str">
        <f>""</f>
        <v/>
      </c>
      <c r="CE548" t="str">
        <f>""</f>
        <v/>
      </c>
      <c r="CF548" t="str">
        <f>""</f>
        <v/>
      </c>
      <c r="CG548" t="str">
        <f>""</f>
        <v/>
      </c>
      <c r="CH548" t="str">
        <f>""</f>
        <v/>
      </c>
      <c r="CI548" t="str">
        <f>""</f>
        <v/>
      </c>
      <c r="CJ548" t="str">
        <f>""</f>
        <v/>
      </c>
      <c r="CK548" t="str">
        <f>""</f>
        <v/>
      </c>
      <c r="CL548" t="str">
        <f>""</f>
        <v/>
      </c>
      <c r="CM548" t="str">
        <f>""</f>
        <v/>
      </c>
      <c r="CN548" t="str">
        <f>""</f>
        <v/>
      </c>
      <c r="CO548" t="str">
        <f>""</f>
        <v/>
      </c>
      <c r="CP548" t="str">
        <f>""</f>
        <v/>
      </c>
      <c r="CQ548" t="str">
        <f>""</f>
        <v/>
      </c>
      <c r="CR548" t="str">
        <f>""</f>
        <v/>
      </c>
      <c r="CS548" t="str">
        <f>""</f>
        <v/>
      </c>
      <c r="CT548" t="str">
        <f>""</f>
        <v/>
      </c>
      <c r="CU548" t="str">
        <f>""</f>
        <v/>
      </c>
      <c r="CV548" t="str">
        <f>""</f>
        <v/>
      </c>
      <c r="CW548" t="str">
        <f>""</f>
        <v/>
      </c>
      <c r="CX548" t="str">
        <f>""</f>
        <v/>
      </c>
      <c r="CY548" t="str">
        <f>""</f>
        <v/>
      </c>
      <c r="CZ548" t="str">
        <f>""</f>
        <v/>
      </c>
      <c r="DA548" t="str">
        <f>""</f>
        <v/>
      </c>
      <c r="DB548" t="str">
        <f>""</f>
        <v/>
      </c>
      <c r="DC548" t="str">
        <f>""</f>
        <v/>
      </c>
      <c r="DD548" t="str">
        <f>""</f>
        <v/>
      </c>
      <c r="DE548" t="str">
        <f>""</f>
        <v/>
      </c>
      <c r="DF548" t="str">
        <f>""</f>
        <v/>
      </c>
      <c r="DG548" t="str">
        <f>""</f>
        <v/>
      </c>
      <c r="DH548" t="str">
        <f>""</f>
        <v/>
      </c>
      <c r="DI548" t="str">
        <f>""</f>
        <v/>
      </c>
      <c r="DJ548" t="str">
        <f>""</f>
        <v/>
      </c>
      <c r="DK548" t="str">
        <f>""</f>
        <v/>
      </c>
      <c r="DL548" t="str">
        <f>""</f>
        <v/>
      </c>
      <c r="DM548" t="str">
        <f>""</f>
        <v/>
      </c>
      <c r="DN548" t="str">
        <f>""</f>
        <v/>
      </c>
      <c r="DO548" t="str">
        <f>""</f>
        <v/>
      </c>
      <c r="DP548" t="str">
        <f>""</f>
        <v/>
      </c>
      <c r="DQ548" t="str">
        <f>""</f>
        <v/>
      </c>
      <c r="DR548" t="str">
        <f>""</f>
        <v/>
      </c>
      <c r="DS548" t="str">
        <f>""</f>
        <v/>
      </c>
      <c r="DT548" t="str">
        <f>""</f>
        <v/>
      </c>
      <c r="DU548" t="str">
        <f>""</f>
        <v/>
      </c>
    </row>
    <row r="549" spans="1:125" x14ac:dyDescent="0.25">
      <c r="A549" t="str">
        <f>$A$40</f>
        <v xml:space="preserve">    Tofas Turk Otomobil Fabrikasi AS</v>
      </c>
      <c r="B549" t="str">
        <f>$B$40</f>
        <v>TOASOTRY EO Equity</v>
      </c>
      <c r="C549" t="str">
        <f>$C$40</f>
        <v>RR844</v>
      </c>
      <c r="D549" t="str">
        <f>$D$40</f>
        <v>T12M_DIL_EPS_CONT_OPS</v>
      </c>
      <c r="E549" t="str">
        <f>$E$40</f>
        <v>Dynamic</v>
      </c>
      <c r="F549" t="str">
        <f ca="1">_xll.BDH($B$40,$C$40,$B$509,$B$510,CONCATENATE("Per=",$B$507),"Dts=H","Dir=H",CONCATENATE("Points=",$B$508),"Sort=R","Days=A","Fill=B",CONCATENATE("FX=", $B$506) )</f>
        <v>#N/A Connection</v>
      </c>
      <c r="BN549" t="str">
        <f>""</f>
        <v/>
      </c>
      <c r="BO549" t="str">
        <f>""</f>
        <v/>
      </c>
      <c r="BP549" t="str">
        <f>""</f>
        <v/>
      </c>
      <c r="BQ549" t="str">
        <f>""</f>
        <v/>
      </c>
      <c r="BR549" t="str">
        <f>""</f>
        <v/>
      </c>
      <c r="BS549" t="str">
        <f>""</f>
        <v/>
      </c>
      <c r="BT549" t="str">
        <f>""</f>
        <v/>
      </c>
      <c r="BU549" t="str">
        <f>""</f>
        <v/>
      </c>
      <c r="BV549" t="str">
        <f>""</f>
        <v/>
      </c>
      <c r="BW549" t="str">
        <f>""</f>
        <v/>
      </c>
      <c r="BX549" t="str">
        <f>""</f>
        <v/>
      </c>
      <c r="BY549" t="str">
        <f>""</f>
        <v/>
      </c>
      <c r="BZ549" t="str">
        <f>""</f>
        <v/>
      </c>
      <c r="CA549" t="str">
        <f>""</f>
        <v/>
      </c>
      <c r="CB549" t="str">
        <f>""</f>
        <v/>
      </c>
      <c r="CC549" t="str">
        <f>""</f>
        <v/>
      </c>
      <c r="CD549" t="str">
        <f>""</f>
        <v/>
      </c>
      <c r="CE549" t="str">
        <f>""</f>
        <v/>
      </c>
      <c r="CF549" t="str">
        <f>""</f>
        <v/>
      </c>
      <c r="CG549" t="str">
        <f>""</f>
        <v/>
      </c>
      <c r="CH549" t="str">
        <f>""</f>
        <v/>
      </c>
      <c r="CI549" t="str">
        <f>""</f>
        <v/>
      </c>
      <c r="CJ549" t="str">
        <f>""</f>
        <v/>
      </c>
      <c r="CK549" t="str">
        <f>""</f>
        <v/>
      </c>
      <c r="CL549" t="str">
        <f>""</f>
        <v/>
      </c>
      <c r="CM549" t="str">
        <f>""</f>
        <v/>
      </c>
      <c r="CN549" t="str">
        <f>""</f>
        <v/>
      </c>
      <c r="CO549" t="str">
        <f>""</f>
        <v/>
      </c>
      <c r="CP549" t="str">
        <f>""</f>
        <v/>
      </c>
      <c r="CQ549" t="str">
        <f>""</f>
        <v/>
      </c>
      <c r="CR549" t="str">
        <f>""</f>
        <v/>
      </c>
      <c r="CS549" t="str">
        <f>""</f>
        <v/>
      </c>
      <c r="CT549" t="str">
        <f>""</f>
        <v/>
      </c>
      <c r="CU549" t="str">
        <f>""</f>
        <v/>
      </c>
      <c r="CV549" t="str">
        <f>""</f>
        <v/>
      </c>
      <c r="CW549" t="str">
        <f>""</f>
        <v/>
      </c>
      <c r="CX549" t="str">
        <f>""</f>
        <v/>
      </c>
      <c r="CY549" t="str">
        <f>""</f>
        <v/>
      </c>
      <c r="CZ549" t="str">
        <f>""</f>
        <v/>
      </c>
      <c r="DA549" t="str">
        <f>""</f>
        <v/>
      </c>
      <c r="DB549" t="str">
        <f>""</f>
        <v/>
      </c>
      <c r="DC549" t="str">
        <f>""</f>
        <v/>
      </c>
      <c r="DD549" t="str">
        <f>""</f>
        <v/>
      </c>
      <c r="DE549" t="str">
        <f>""</f>
        <v/>
      </c>
      <c r="DF549" t="str">
        <f>""</f>
        <v/>
      </c>
      <c r="DG549" t="str">
        <f>""</f>
        <v/>
      </c>
      <c r="DH549" t="str">
        <f>""</f>
        <v/>
      </c>
      <c r="DI549" t="str">
        <f>""</f>
        <v/>
      </c>
      <c r="DJ549" t="str">
        <f>""</f>
        <v/>
      </c>
      <c r="DK549" t="str">
        <f>""</f>
        <v/>
      </c>
      <c r="DL549" t="str">
        <f>""</f>
        <v/>
      </c>
      <c r="DM549" t="str">
        <f>""</f>
        <v/>
      </c>
      <c r="DN549" t="str">
        <f>""</f>
        <v/>
      </c>
      <c r="DO549" t="str">
        <f>""</f>
        <v/>
      </c>
      <c r="DP549" t="str">
        <f>""</f>
        <v/>
      </c>
      <c r="DQ549" t="str">
        <f>""</f>
        <v/>
      </c>
      <c r="DR549" t="str">
        <f>""</f>
        <v/>
      </c>
      <c r="DS549" t="str">
        <f>""</f>
        <v/>
      </c>
      <c r="DT549" t="str">
        <f>""</f>
        <v/>
      </c>
      <c r="DU549" t="str">
        <f>""</f>
        <v/>
      </c>
    </row>
    <row r="550" spans="1:125" x14ac:dyDescent="0.25">
      <c r="A550" t="str">
        <f>$A$41</f>
        <v xml:space="preserve">    Toyota Motor Corp</v>
      </c>
      <c r="B550" t="str">
        <f>$B$41</f>
        <v>7203 JP Equity</v>
      </c>
      <c r="C550" t="str">
        <f>$C$41</f>
        <v>RR844</v>
      </c>
      <c r="D550" t="str">
        <f>$D$41</f>
        <v>T12M_DIL_EPS_CONT_OPS</v>
      </c>
      <c r="E550" t="str">
        <f>$E$41</f>
        <v>Dynamic</v>
      </c>
      <c r="F550" t="str">
        <f ca="1">_xll.BDH($B$41,$C$41,$B$509,$B$510,CONCATENATE("Per=",$B$507),"Dts=H","Dir=H",CONCATENATE("Points=",$B$508),"Sort=R","Days=A","Fill=B",CONCATENATE("FX=", $B$506) )</f>
        <v>#N/A Connection</v>
      </c>
      <c r="BN550" t="str">
        <f>""</f>
        <v/>
      </c>
      <c r="BO550" t="str">
        <f>""</f>
        <v/>
      </c>
      <c r="BP550" t="str">
        <f>""</f>
        <v/>
      </c>
      <c r="BQ550" t="str">
        <f>""</f>
        <v/>
      </c>
      <c r="BR550" t="str">
        <f>""</f>
        <v/>
      </c>
      <c r="BS550" t="str">
        <f>""</f>
        <v/>
      </c>
      <c r="BT550" t="str">
        <f>""</f>
        <v/>
      </c>
      <c r="BU550" t="str">
        <f>""</f>
        <v/>
      </c>
      <c r="BV550" t="str">
        <f>""</f>
        <v/>
      </c>
      <c r="BW550" t="str">
        <f>""</f>
        <v/>
      </c>
      <c r="BX550" t="str">
        <f>""</f>
        <v/>
      </c>
      <c r="BY550" t="str">
        <f>""</f>
        <v/>
      </c>
      <c r="BZ550" t="str">
        <f>""</f>
        <v/>
      </c>
      <c r="CA550" t="str">
        <f>""</f>
        <v/>
      </c>
      <c r="CB550" t="str">
        <f>""</f>
        <v/>
      </c>
      <c r="CC550" t="str">
        <f>""</f>
        <v/>
      </c>
      <c r="CD550" t="str">
        <f>""</f>
        <v/>
      </c>
      <c r="CE550" t="str">
        <f>""</f>
        <v/>
      </c>
      <c r="CF550" t="str">
        <f>""</f>
        <v/>
      </c>
      <c r="CG550" t="str">
        <f>""</f>
        <v/>
      </c>
      <c r="CH550" t="str">
        <f>""</f>
        <v/>
      </c>
      <c r="CI550" t="str">
        <f>""</f>
        <v/>
      </c>
      <c r="CJ550" t="str">
        <f>""</f>
        <v/>
      </c>
      <c r="CK550" t="str">
        <f>""</f>
        <v/>
      </c>
      <c r="CL550" t="str">
        <f>""</f>
        <v/>
      </c>
      <c r="CM550" t="str">
        <f>""</f>
        <v/>
      </c>
      <c r="CN550" t="str">
        <f>""</f>
        <v/>
      </c>
      <c r="CO550" t="str">
        <f>""</f>
        <v/>
      </c>
      <c r="CP550" t="str">
        <f>""</f>
        <v/>
      </c>
      <c r="CQ550" t="str">
        <f>""</f>
        <v/>
      </c>
      <c r="CR550" t="str">
        <f>""</f>
        <v/>
      </c>
      <c r="CS550" t="str">
        <f>""</f>
        <v/>
      </c>
      <c r="CT550" t="str">
        <f>""</f>
        <v/>
      </c>
      <c r="CU550" t="str">
        <f>""</f>
        <v/>
      </c>
      <c r="CV550" t="str">
        <f>""</f>
        <v/>
      </c>
      <c r="CW550" t="str">
        <f>""</f>
        <v/>
      </c>
      <c r="CX550" t="str">
        <f>""</f>
        <v/>
      </c>
      <c r="CY550" t="str">
        <f>""</f>
        <v/>
      </c>
      <c r="CZ550" t="str">
        <f>""</f>
        <v/>
      </c>
      <c r="DA550" t="str">
        <f>""</f>
        <v/>
      </c>
      <c r="DB550" t="str">
        <f>""</f>
        <v/>
      </c>
      <c r="DC550" t="str">
        <f>""</f>
        <v/>
      </c>
      <c r="DD550" t="str">
        <f>""</f>
        <v/>
      </c>
      <c r="DE550" t="str">
        <f>""</f>
        <v/>
      </c>
      <c r="DF550" t="str">
        <f>""</f>
        <v/>
      </c>
      <c r="DG550" t="str">
        <f>""</f>
        <v/>
      </c>
      <c r="DH550" t="str">
        <f>""</f>
        <v/>
      </c>
      <c r="DI550" t="str">
        <f>""</f>
        <v/>
      </c>
      <c r="DJ550" t="str">
        <f>""</f>
        <v/>
      </c>
      <c r="DK550" t="str">
        <f>""</f>
        <v/>
      </c>
      <c r="DL550" t="str">
        <f>""</f>
        <v/>
      </c>
      <c r="DM550" t="str">
        <f>""</f>
        <v/>
      </c>
      <c r="DN550" t="str">
        <f>""</f>
        <v/>
      </c>
      <c r="DO550" t="str">
        <f>""</f>
        <v/>
      </c>
      <c r="DP550" t="str">
        <f>""</f>
        <v/>
      </c>
      <c r="DQ550" t="str">
        <f>""</f>
        <v/>
      </c>
      <c r="DR550" t="str">
        <f>""</f>
        <v/>
      </c>
      <c r="DS550" t="str">
        <f>""</f>
        <v/>
      </c>
      <c r="DT550" t="str">
        <f>""</f>
        <v/>
      </c>
      <c r="DU550" t="str">
        <f>""</f>
        <v/>
      </c>
    </row>
    <row r="551" spans="1:125" x14ac:dyDescent="0.25">
      <c r="A551" t="str">
        <f>$A$42</f>
        <v xml:space="preserve">    Volkswagen AG</v>
      </c>
      <c r="B551" t="str">
        <f>$B$42</f>
        <v>VOW GR Equity</v>
      </c>
      <c r="C551" t="str">
        <f>$C$42</f>
        <v>RR844</v>
      </c>
      <c r="D551" t="str">
        <f>$D$42</f>
        <v>T12M_DIL_EPS_CONT_OPS</v>
      </c>
      <c r="E551" t="str">
        <f>$E$42</f>
        <v>Dynamic</v>
      </c>
      <c r="F551" t="str">
        <f ca="1">_xll.BDH($B$42,$C$42,$B$509,$B$510,CONCATENATE("Per=",$B$507),"Dts=H","Dir=H",CONCATENATE("Points=",$B$508),"Sort=R","Days=A","Fill=B",CONCATENATE("FX=", $B$506) )</f>
        <v>#N/A Connection</v>
      </c>
      <c r="BN551" t="str">
        <f>""</f>
        <v/>
      </c>
      <c r="BO551" t="str">
        <f>""</f>
        <v/>
      </c>
      <c r="BP551" t="str">
        <f>""</f>
        <v/>
      </c>
      <c r="BQ551" t="str">
        <f>""</f>
        <v/>
      </c>
      <c r="BR551" t="str">
        <f>""</f>
        <v/>
      </c>
      <c r="BS551" t="str">
        <f>""</f>
        <v/>
      </c>
      <c r="BT551" t="str">
        <f>""</f>
        <v/>
      </c>
      <c r="BU551" t="str">
        <f>""</f>
        <v/>
      </c>
      <c r="BV551" t="str">
        <f>""</f>
        <v/>
      </c>
      <c r="BW551" t="str">
        <f>""</f>
        <v/>
      </c>
      <c r="BX551" t="str">
        <f>""</f>
        <v/>
      </c>
      <c r="BY551" t="str">
        <f>""</f>
        <v/>
      </c>
      <c r="BZ551" t="str">
        <f>""</f>
        <v/>
      </c>
      <c r="CA551" t="str">
        <f>""</f>
        <v/>
      </c>
      <c r="CB551" t="str">
        <f>""</f>
        <v/>
      </c>
      <c r="CC551" t="str">
        <f>""</f>
        <v/>
      </c>
      <c r="CD551" t="str">
        <f>""</f>
        <v/>
      </c>
      <c r="CE551" t="str">
        <f>""</f>
        <v/>
      </c>
      <c r="CF551" t="str">
        <f>""</f>
        <v/>
      </c>
      <c r="CG551" t="str">
        <f>""</f>
        <v/>
      </c>
      <c r="CH551" t="str">
        <f>""</f>
        <v/>
      </c>
      <c r="CI551" t="str">
        <f>""</f>
        <v/>
      </c>
      <c r="CJ551" t="str">
        <f>""</f>
        <v/>
      </c>
      <c r="CK551" t="str">
        <f>""</f>
        <v/>
      </c>
      <c r="CL551" t="str">
        <f>""</f>
        <v/>
      </c>
      <c r="CM551" t="str">
        <f>""</f>
        <v/>
      </c>
      <c r="CN551" t="str">
        <f>""</f>
        <v/>
      </c>
      <c r="CO551" t="str">
        <f>""</f>
        <v/>
      </c>
      <c r="CP551" t="str">
        <f>""</f>
        <v/>
      </c>
      <c r="CQ551" t="str">
        <f>""</f>
        <v/>
      </c>
      <c r="CR551" t="str">
        <f>""</f>
        <v/>
      </c>
      <c r="CS551" t="str">
        <f>""</f>
        <v/>
      </c>
      <c r="CT551" t="str">
        <f>""</f>
        <v/>
      </c>
      <c r="CU551" t="str">
        <f>""</f>
        <v/>
      </c>
      <c r="CV551" t="str">
        <f>""</f>
        <v/>
      </c>
      <c r="CW551" t="str">
        <f>""</f>
        <v/>
      </c>
      <c r="CX551" t="str">
        <f>""</f>
        <v/>
      </c>
      <c r="CY551" t="str">
        <f>""</f>
        <v/>
      </c>
      <c r="CZ551" t="str">
        <f>""</f>
        <v/>
      </c>
      <c r="DA551" t="str">
        <f>""</f>
        <v/>
      </c>
      <c r="DB551" t="str">
        <f>""</f>
        <v/>
      </c>
      <c r="DC551" t="str">
        <f>""</f>
        <v/>
      </c>
      <c r="DD551" t="str">
        <f>""</f>
        <v/>
      </c>
      <c r="DE551" t="str">
        <f>""</f>
        <v/>
      </c>
      <c r="DF551" t="str">
        <f>""</f>
        <v/>
      </c>
      <c r="DG551" t="str">
        <f>""</f>
        <v/>
      </c>
      <c r="DH551" t="str">
        <f>""</f>
        <v/>
      </c>
      <c r="DI551" t="str">
        <f>""</f>
        <v/>
      </c>
      <c r="DJ551" t="str">
        <f>""</f>
        <v/>
      </c>
      <c r="DK551" t="str">
        <f>""</f>
        <v/>
      </c>
      <c r="DL551" t="str">
        <f>""</f>
        <v/>
      </c>
      <c r="DM551" t="str">
        <f>""</f>
        <v/>
      </c>
      <c r="DN551" t="str">
        <f>""</f>
        <v/>
      </c>
      <c r="DO551" t="str">
        <f>""</f>
        <v/>
      </c>
      <c r="DP551" t="str">
        <f>""</f>
        <v/>
      </c>
      <c r="DQ551" t="str">
        <f>""</f>
        <v/>
      </c>
      <c r="DR551" t="str">
        <f>""</f>
        <v/>
      </c>
      <c r="DS551" t="str">
        <f>""</f>
        <v/>
      </c>
      <c r="DT551" t="str">
        <f>""</f>
        <v/>
      </c>
      <c r="DU551" t="str">
        <f>""</f>
        <v/>
      </c>
    </row>
    <row r="552" spans="1:125" x14ac:dyDescent="0.25">
      <c r="A552" t="str">
        <f>$A$43</f>
        <v xml:space="preserve">    Yulon Motor Co Ltd</v>
      </c>
      <c r="B552" t="str">
        <f>$B$43</f>
        <v>2201 TT Equity</v>
      </c>
      <c r="C552" t="str">
        <f>$C$43</f>
        <v>RR844</v>
      </c>
      <c r="D552" t="str">
        <f>$D$43</f>
        <v>T12M_DIL_EPS_CONT_OPS</v>
      </c>
      <c r="E552" t="str">
        <f>$E$43</f>
        <v>Dynamic</v>
      </c>
      <c r="F552" t="str">
        <f ca="1">_xll.BDH($B$43,$C$43,$B$509,$B$510,CONCATENATE("Per=",$B$507),"Dts=H","Dir=H",CONCATENATE("Points=",$B$508),"Sort=R","Days=A","Fill=B",CONCATENATE("FX=", $B$506) )</f>
        <v>#N/A Connection</v>
      </c>
      <c r="BN552" t="str">
        <f>""</f>
        <v/>
      </c>
      <c r="BO552" t="str">
        <f>""</f>
        <v/>
      </c>
      <c r="BP552" t="str">
        <f>""</f>
        <v/>
      </c>
      <c r="BQ552" t="str">
        <f>""</f>
        <v/>
      </c>
      <c r="BR552" t="str">
        <f>""</f>
        <v/>
      </c>
      <c r="BS552" t="str">
        <f>""</f>
        <v/>
      </c>
      <c r="BT552" t="str">
        <f>""</f>
        <v/>
      </c>
      <c r="BU552" t="str">
        <f>""</f>
        <v/>
      </c>
      <c r="BV552" t="str">
        <f>""</f>
        <v/>
      </c>
      <c r="BW552" t="str">
        <f>""</f>
        <v/>
      </c>
      <c r="BX552" t="str">
        <f>""</f>
        <v/>
      </c>
      <c r="BY552" t="str">
        <f>""</f>
        <v/>
      </c>
      <c r="BZ552" t="str">
        <f>""</f>
        <v/>
      </c>
      <c r="CA552" t="str">
        <f>""</f>
        <v/>
      </c>
      <c r="CB552" t="str">
        <f>""</f>
        <v/>
      </c>
      <c r="CC552" t="str">
        <f>""</f>
        <v/>
      </c>
      <c r="CD552" t="str">
        <f>""</f>
        <v/>
      </c>
      <c r="CE552" t="str">
        <f>""</f>
        <v/>
      </c>
      <c r="CF552" t="str">
        <f>""</f>
        <v/>
      </c>
      <c r="CG552" t="str">
        <f>""</f>
        <v/>
      </c>
      <c r="CH552" t="str">
        <f>""</f>
        <v/>
      </c>
      <c r="CI552" t="str">
        <f>""</f>
        <v/>
      </c>
      <c r="CJ552" t="str">
        <f>""</f>
        <v/>
      </c>
      <c r="CK552" t="str">
        <f>""</f>
        <v/>
      </c>
      <c r="CL552" t="str">
        <f>""</f>
        <v/>
      </c>
      <c r="CM552" t="str">
        <f>""</f>
        <v/>
      </c>
      <c r="CN552" t="str">
        <f>""</f>
        <v/>
      </c>
      <c r="CO552" t="str">
        <f>""</f>
        <v/>
      </c>
      <c r="CP552" t="str">
        <f>""</f>
        <v/>
      </c>
      <c r="CQ552" t="str">
        <f>""</f>
        <v/>
      </c>
      <c r="CR552" t="str">
        <f>""</f>
        <v/>
      </c>
      <c r="CS552" t="str">
        <f>""</f>
        <v/>
      </c>
      <c r="CT552" t="str">
        <f>""</f>
        <v/>
      </c>
      <c r="CU552" t="str">
        <f>""</f>
        <v/>
      </c>
      <c r="CV552" t="str">
        <f>""</f>
        <v/>
      </c>
      <c r="CW552" t="str">
        <f>""</f>
        <v/>
      </c>
      <c r="CX552" t="str">
        <f>""</f>
        <v/>
      </c>
      <c r="CY552" t="str">
        <f>""</f>
        <v/>
      </c>
      <c r="CZ552" t="str">
        <f>""</f>
        <v/>
      </c>
      <c r="DA552" t="str">
        <f>""</f>
        <v/>
      </c>
      <c r="DB552" t="str">
        <f>""</f>
        <v/>
      </c>
      <c r="DC552" t="str">
        <f>""</f>
        <v/>
      </c>
      <c r="DD552" t="str">
        <f>""</f>
        <v/>
      </c>
      <c r="DE552" t="str">
        <f>""</f>
        <v/>
      </c>
      <c r="DF552" t="str">
        <f>""</f>
        <v/>
      </c>
      <c r="DG552" t="str">
        <f>""</f>
        <v/>
      </c>
      <c r="DH552" t="str">
        <f>""</f>
        <v/>
      </c>
      <c r="DI552" t="str">
        <f>""</f>
        <v/>
      </c>
      <c r="DJ552" t="str">
        <f>""</f>
        <v/>
      </c>
      <c r="DK552" t="str">
        <f>""</f>
        <v/>
      </c>
      <c r="DL552" t="str">
        <f>""</f>
        <v/>
      </c>
      <c r="DM552" t="str">
        <f>""</f>
        <v/>
      </c>
      <c r="DN552" t="str">
        <f>""</f>
        <v/>
      </c>
      <c r="DO552" t="str">
        <f>""</f>
        <v/>
      </c>
      <c r="DP552" t="str">
        <f>""</f>
        <v/>
      </c>
      <c r="DQ552" t="str">
        <f>""</f>
        <v/>
      </c>
      <c r="DR552" t="str">
        <f>""</f>
        <v/>
      </c>
      <c r="DS552" t="str">
        <f>""</f>
        <v/>
      </c>
      <c r="DT552" t="str">
        <f>""</f>
        <v/>
      </c>
      <c r="DU552" t="str">
        <f>""</f>
        <v/>
      </c>
    </row>
    <row r="553" spans="1:125" x14ac:dyDescent="0.25">
      <c r="A553" t="str">
        <f>$A$45</f>
        <v xml:space="preserve">    AUDI AG</v>
      </c>
      <c r="B553" t="str">
        <f>$B$45</f>
        <v>NSU GR Equity</v>
      </c>
      <c r="C553" t="str">
        <f>$C$45</f>
        <v>EZ019</v>
      </c>
      <c r="D553" t="str">
        <f>$D$45</f>
        <v>BEST_EEPS_CUR_YR</v>
      </c>
      <c r="E553" t="str">
        <f>$E$45</f>
        <v>Dynamic</v>
      </c>
      <c r="F553" t="str">
        <f ca="1">_xll.BDH($B$45,$C$45,$B$509,$B$510,CONCATENATE("Per=",$B$507),"Dts=H","Dir=H",CONCATENATE("Points=",$B$508),"Sort=R","Days=A","Fill=B",CONCATENATE("FX=", $B$506) )</f>
        <v>#N/A Connection</v>
      </c>
      <c r="BN553" t="str">
        <f>""</f>
        <v/>
      </c>
      <c r="BO553" t="str">
        <f>""</f>
        <v/>
      </c>
      <c r="BP553" t="str">
        <f>""</f>
        <v/>
      </c>
      <c r="BQ553" t="str">
        <f>""</f>
        <v/>
      </c>
      <c r="BR553" t="str">
        <f>""</f>
        <v/>
      </c>
      <c r="BS553" t="str">
        <f>""</f>
        <v/>
      </c>
      <c r="BT553" t="str">
        <f>""</f>
        <v/>
      </c>
      <c r="BU553" t="str">
        <f>""</f>
        <v/>
      </c>
      <c r="BV553" t="str">
        <f>""</f>
        <v/>
      </c>
      <c r="BW553" t="str">
        <f>""</f>
        <v/>
      </c>
      <c r="BX553" t="str">
        <f>""</f>
        <v/>
      </c>
      <c r="BY553" t="str">
        <f>""</f>
        <v/>
      </c>
      <c r="BZ553" t="str">
        <f>""</f>
        <v/>
      </c>
      <c r="CA553" t="str">
        <f>""</f>
        <v/>
      </c>
      <c r="CB553" t="str">
        <f>""</f>
        <v/>
      </c>
      <c r="CC553" t="str">
        <f>""</f>
        <v/>
      </c>
      <c r="CD553" t="str">
        <f>""</f>
        <v/>
      </c>
      <c r="CE553" t="str">
        <f>""</f>
        <v/>
      </c>
      <c r="CF553" t="str">
        <f>""</f>
        <v/>
      </c>
      <c r="CG553" t="str">
        <f>""</f>
        <v/>
      </c>
      <c r="CH553" t="str">
        <f>""</f>
        <v/>
      </c>
      <c r="CI553" t="str">
        <f>""</f>
        <v/>
      </c>
      <c r="CJ553" t="str">
        <f>""</f>
        <v/>
      </c>
      <c r="CK553" t="str">
        <f>""</f>
        <v/>
      </c>
      <c r="CL553" t="str">
        <f>""</f>
        <v/>
      </c>
      <c r="CM553" t="str">
        <f>""</f>
        <v/>
      </c>
      <c r="CN553" t="str">
        <f>""</f>
        <v/>
      </c>
      <c r="CO553" t="str">
        <f>""</f>
        <v/>
      </c>
      <c r="CP553" t="str">
        <f>""</f>
        <v/>
      </c>
      <c r="CQ553" t="str">
        <f>""</f>
        <v/>
      </c>
      <c r="CR553" t="str">
        <f>""</f>
        <v/>
      </c>
      <c r="CS553" t="str">
        <f>""</f>
        <v/>
      </c>
      <c r="CT553" t="str">
        <f>""</f>
        <v/>
      </c>
      <c r="CU553" t="str">
        <f>""</f>
        <v/>
      </c>
      <c r="CV553" t="str">
        <f>""</f>
        <v/>
      </c>
      <c r="CW553" t="str">
        <f>""</f>
        <v/>
      </c>
      <c r="CX553" t="str">
        <f>""</f>
        <v/>
      </c>
      <c r="CY553" t="str">
        <f>""</f>
        <v/>
      </c>
      <c r="CZ553" t="str">
        <f>""</f>
        <v/>
      </c>
      <c r="DA553" t="str">
        <f>""</f>
        <v/>
      </c>
      <c r="DB553" t="str">
        <f>""</f>
        <v/>
      </c>
      <c r="DC553" t="str">
        <f>""</f>
        <v/>
      </c>
      <c r="DD553" t="str">
        <f>""</f>
        <v/>
      </c>
      <c r="DE553" t="str">
        <f>""</f>
        <v/>
      </c>
      <c r="DF553" t="str">
        <f>""</f>
        <v/>
      </c>
      <c r="DG553" t="str">
        <f>""</f>
        <v/>
      </c>
      <c r="DH553" t="str">
        <f>""</f>
        <v/>
      </c>
      <c r="DI553" t="str">
        <f>""</f>
        <v/>
      </c>
      <c r="DJ553" t="str">
        <f>""</f>
        <v/>
      </c>
      <c r="DK553" t="str">
        <f>""</f>
        <v/>
      </c>
      <c r="DL553" t="str">
        <f>""</f>
        <v/>
      </c>
      <c r="DM553" t="str">
        <f>""</f>
        <v/>
      </c>
      <c r="DN553" t="str">
        <f>""</f>
        <v/>
      </c>
      <c r="DO553" t="str">
        <f>""</f>
        <v/>
      </c>
      <c r="DP553" t="str">
        <f>""</f>
        <v/>
      </c>
      <c r="DQ553" t="str">
        <f>""</f>
        <v/>
      </c>
      <c r="DR553" t="str">
        <f>""</f>
        <v/>
      </c>
      <c r="DS553" t="str">
        <f>""</f>
        <v/>
      </c>
      <c r="DT553" t="str">
        <f>""</f>
        <v/>
      </c>
      <c r="DU553" t="str">
        <f>""</f>
        <v/>
      </c>
    </row>
    <row r="554" spans="1:125" x14ac:dyDescent="0.25">
      <c r="A554" t="str">
        <f>$A$46</f>
        <v xml:space="preserve">    Avtovaz PJSC</v>
      </c>
      <c r="B554" t="str">
        <f>$B$46</f>
        <v>AVAZ RM Equity</v>
      </c>
      <c r="C554" t="str">
        <f>$C$46</f>
        <v>EZ019</v>
      </c>
      <c r="D554" t="str">
        <f>$D$46</f>
        <v>BEST_EEPS_CUR_YR</v>
      </c>
      <c r="E554" t="str">
        <f>$E$46</f>
        <v>Dynamic</v>
      </c>
      <c r="F554" t="str">
        <f ca="1">_xll.BDH($B$46,$C$46,$B$509,$B$510,CONCATENATE("Per=",$B$507),"Dts=H","Dir=H",CONCATENATE("Points=",$B$508),"Sort=R","Days=A","Fill=B",CONCATENATE("FX=", $B$506) )</f>
        <v>#N/A Connection</v>
      </c>
      <c r="BN554" t="str">
        <f>""</f>
        <v/>
      </c>
      <c r="BO554" t="str">
        <f>""</f>
        <v/>
      </c>
      <c r="BP554" t="str">
        <f>""</f>
        <v/>
      </c>
      <c r="BQ554" t="str">
        <f>""</f>
        <v/>
      </c>
      <c r="BR554" t="str">
        <f>""</f>
        <v/>
      </c>
      <c r="BS554" t="str">
        <f>""</f>
        <v/>
      </c>
      <c r="BT554" t="str">
        <f>""</f>
        <v/>
      </c>
      <c r="BU554" t="str">
        <f>""</f>
        <v/>
      </c>
      <c r="BV554" t="str">
        <f>""</f>
        <v/>
      </c>
      <c r="BW554" t="str">
        <f>""</f>
        <v/>
      </c>
      <c r="BX554" t="str">
        <f>""</f>
        <v/>
      </c>
      <c r="BY554" t="str">
        <f>""</f>
        <v/>
      </c>
      <c r="BZ554" t="str">
        <f>""</f>
        <v/>
      </c>
      <c r="CA554" t="str">
        <f>""</f>
        <v/>
      </c>
      <c r="CB554" t="str">
        <f>""</f>
        <v/>
      </c>
      <c r="CC554" t="str">
        <f>""</f>
        <v/>
      </c>
      <c r="CD554" t="str">
        <f>""</f>
        <v/>
      </c>
      <c r="CE554" t="str">
        <f>""</f>
        <v/>
      </c>
      <c r="CF554" t="str">
        <f>""</f>
        <v/>
      </c>
      <c r="CG554" t="str">
        <f>""</f>
        <v/>
      </c>
      <c r="CH554" t="str">
        <f>""</f>
        <v/>
      </c>
      <c r="CI554" t="str">
        <f>""</f>
        <v/>
      </c>
      <c r="CJ554" t="str">
        <f>""</f>
        <v/>
      </c>
      <c r="CK554" t="str">
        <f>""</f>
        <v/>
      </c>
      <c r="CL554" t="str">
        <f>""</f>
        <v/>
      </c>
      <c r="CM554" t="str">
        <f>""</f>
        <v/>
      </c>
      <c r="CN554" t="str">
        <f>""</f>
        <v/>
      </c>
      <c r="CO554" t="str">
        <f>""</f>
        <v/>
      </c>
      <c r="CP554" t="str">
        <f>""</f>
        <v/>
      </c>
      <c r="CQ554" t="str">
        <f>""</f>
        <v/>
      </c>
      <c r="CR554" t="str">
        <f>""</f>
        <v/>
      </c>
      <c r="CS554" t="str">
        <f>""</f>
        <v/>
      </c>
      <c r="CT554" t="str">
        <f>""</f>
        <v/>
      </c>
      <c r="CU554" t="str">
        <f>""</f>
        <v/>
      </c>
      <c r="CV554" t="str">
        <f>""</f>
        <v/>
      </c>
      <c r="CW554" t="str">
        <f>""</f>
        <v/>
      </c>
      <c r="CX554" t="str">
        <f>""</f>
        <v/>
      </c>
      <c r="CY554" t="str">
        <f>""</f>
        <v/>
      </c>
      <c r="CZ554" t="str">
        <f>""</f>
        <v/>
      </c>
      <c r="DA554" t="str">
        <f>""</f>
        <v/>
      </c>
      <c r="DB554" t="str">
        <f>""</f>
        <v/>
      </c>
      <c r="DC554" t="str">
        <f>""</f>
        <v/>
      </c>
      <c r="DD554" t="str">
        <f>""</f>
        <v/>
      </c>
      <c r="DE554" t="str">
        <f>""</f>
        <v/>
      </c>
      <c r="DF554" t="str">
        <f>""</f>
        <v/>
      </c>
      <c r="DG554" t="str">
        <f>""</f>
        <v/>
      </c>
      <c r="DH554" t="str">
        <f>""</f>
        <v/>
      </c>
      <c r="DI554" t="str">
        <f>""</f>
        <v/>
      </c>
      <c r="DJ554" t="str">
        <f>""</f>
        <v/>
      </c>
      <c r="DK554" t="str">
        <f>""</f>
        <v/>
      </c>
      <c r="DL554" t="str">
        <f>""</f>
        <v/>
      </c>
      <c r="DM554" t="str">
        <f>""</f>
        <v/>
      </c>
      <c r="DN554" t="str">
        <f>""</f>
        <v/>
      </c>
      <c r="DO554" t="str">
        <f>""</f>
        <v/>
      </c>
      <c r="DP554" t="str">
        <f>""</f>
        <v/>
      </c>
      <c r="DQ554" t="str">
        <f>""</f>
        <v/>
      </c>
      <c r="DR554" t="str">
        <f>""</f>
        <v/>
      </c>
      <c r="DS554" t="str">
        <f>""</f>
        <v/>
      </c>
      <c r="DT554" t="str">
        <f>""</f>
        <v/>
      </c>
      <c r="DU554" t="str">
        <f>""</f>
        <v/>
      </c>
    </row>
    <row r="555" spans="1:125" x14ac:dyDescent="0.25">
      <c r="A555" t="str">
        <f>$A$47</f>
        <v xml:space="preserve">    Bayerische Motoren Werke AG</v>
      </c>
      <c r="B555" t="str">
        <f>$B$47</f>
        <v>BMW GR Equity</v>
      </c>
      <c r="C555" t="str">
        <f>$C$47</f>
        <v>EZ019</v>
      </c>
      <c r="D555" t="str">
        <f>$D$47</f>
        <v>BEST_EEPS_CUR_YR</v>
      </c>
      <c r="E555" t="str">
        <f>$E$47</f>
        <v>Dynamic</v>
      </c>
      <c r="F555" t="str">
        <f ca="1">_xll.BDH($B$47,$C$47,$B$509,$B$510,CONCATENATE("Per=",$B$507),"Dts=H","Dir=H",CONCATENATE("Points=",$B$508),"Sort=R","Days=A","Fill=B",CONCATENATE("FX=", $B$506) )</f>
        <v>#N/A Connection</v>
      </c>
      <c r="BN555" t="str">
        <f>""</f>
        <v/>
      </c>
      <c r="BO555" t="str">
        <f>""</f>
        <v/>
      </c>
      <c r="BP555" t="str">
        <f>""</f>
        <v/>
      </c>
      <c r="BQ555" t="str">
        <f>""</f>
        <v/>
      </c>
      <c r="BR555" t="str">
        <f>""</f>
        <v/>
      </c>
      <c r="BS555" t="str">
        <f>""</f>
        <v/>
      </c>
      <c r="BT555" t="str">
        <f>""</f>
        <v/>
      </c>
      <c r="BU555" t="str">
        <f>""</f>
        <v/>
      </c>
      <c r="BV555" t="str">
        <f>""</f>
        <v/>
      </c>
      <c r="BW555" t="str">
        <f>""</f>
        <v/>
      </c>
      <c r="BX555" t="str">
        <f>""</f>
        <v/>
      </c>
      <c r="BY555" t="str">
        <f>""</f>
        <v/>
      </c>
      <c r="BZ555" t="str">
        <f>""</f>
        <v/>
      </c>
      <c r="CA555" t="str">
        <f>""</f>
        <v/>
      </c>
      <c r="CB555" t="str">
        <f>""</f>
        <v/>
      </c>
      <c r="CC555" t="str">
        <f>""</f>
        <v/>
      </c>
      <c r="CD555" t="str">
        <f>""</f>
        <v/>
      </c>
      <c r="CE555" t="str">
        <f>""</f>
        <v/>
      </c>
      <c r="CF555" t="str">
        <f>""</f>
        <v/>
      </c>
      <c r="CG555" t="str">
        <f>""</f>
        <v/>
      </c>
      <c r="CH555" t="str">
        <f>""</f>
        <v/>
      </c>
      <c r="CI555" t="str">
        <f>""</f>
        <v/>
      </c>
      <c r="CJ555" t="str">
        <f>""</f>
        <v/>
      </c>
      <c r="CK555" t="str">
        <f>""</f>
        <v/>
      </c>
      <c r="CL555" t="str">
        <f>""</f>
        <v/>
      </c>
      <c r="CM555" t="str">
        <f>""</f>
        <v/>
      </c>
      <c r="CN555" t="str">
        <f>""</f>
        <v/>
      </c>
      <c r="CO555" t="str">
        <f>""</f>
        <v/>
      </c>
      <c r="CP555" t="str">
        <f>""</f>
        <v/>
      </c>
      <c r="CQ555" t="str">
        <f>""</f>
        <v/>
      </c>
      <c r="CR555" t="str">
        <f>""</f>
        <v/>
      </c>
      <c r="CS555" t="str">
        <f>""</f>
        <v/>
      </c>
      <c r="CT555" t="str">
        <f>""</f>
        <v/>
      </c>
      <c r="CU555" t="str">
        <f>""</f>
        <v/>
      </c>
      <c r="CV555" t="str">
        <f>""</f>
        <v/>
      </c>
      <c r="CW555" t="str">
        <f>""</f>
        <v/>
      </c>
      <c r="CX555" t="str">
        <f>""</f>
        <v/>
      </c>
      <c r="CY555" t="str">
        <f>""</f>
        <v/>
      </c>
      <c r="CZ555" t="str">
        <f>""</f>
        <v/>
      </c>
      <c r="DA555" t="str">
        <f>""</f>
        <v/>
      </c>
      <c r="DB555" t="str">
        <f>""</f>
        <v/>
      </c>
      <c r="DC555" t="str">
        <f>""</f>
        <v/>
      </c>
      <c r="DD555" t="str">
        <f>""</f>
        <v/>
      </c>
      <c r="DE555" t="str">
        <f>""</f>
        <v/>
      </c>
      <c r="DF555" t="str">
        <f>""</f>
        <v/>
      </c>
      <c r="DG555" t="str">
        <f>""</f>
        <v/>
      </c>
      <c r="DH555" t="str">
        <f>""</f>
        <v/>
      </c>
      <c r="DI555" t="str">
        <f>""</f>
        <v/>
      </c>
      <c r="DJ555" t="str">
        <f>""</f>
        <v/>
      </c>
      <c r="DK555" t="str">
        <f>""</f>
        <v/>
      </c>
      <c r="DL555" t="str">
        <f>""</f>
        <v/>
      </c>
      <c r="DM555" t="str">
        <f>""</f>
        <v/>
      </c>
      <c r="DN555" t="str">
        <f>""</f>
        <v/>
      </c>
      <c r="DO555" t="str">
        <f>""</f>
        <v/>
      </c>
      <c r="DP555" t="str">
        <f>""</f>
        <v/>
      </c>
      <c r="DQ555" t="str">
        <f>""</f>
        <v/>
      </c>
      <c r="DR555" t="str">
        <f>""</f>
        <v/>
      </c>
      <c r="DS555" t="str">
        <f>""</f>
        <v/>
      </c>
      <c r="DT555" t="str">
        <f>""</f>
        <v/>
      </c>
      <c r="DU555" t="str">
        <f>""</f>
        <v/>
      </c>
    </row>
    <row r="556" spans="1:125" x14ac:dyDescent="0.25">
      <c r="A556" t="str">
        <f>$A$48</f>
        <v xml:space="preserve">    Brilliance China Automotive Holdings Ltd</v>
      </c>
      <c r="B556" t="str">
        <f>$B$48</f>
        <v>1114 HK Equity</v>
      </c>
      <c r="C556" t="str">
        <f>$C$48</f>
        <v>EZ019</v>
      </c>
      <c r="D556" t="str">
        <f>$D$48</f>
        <v>BEST_EEPS_CUR_YR</v>
      </c>
      <c r="E556" t="str">
        <f>$E$48</f>
        <v>Dynamic</v>
      </c>
      <c r="F556" t="str">
        <f ca="1">_xll.BDH($B$48,$C$48,$B$509,$B$510,CONCATENATE("Per=",$B$507),"Dts=H","Dir=H",CONCATENATE("Points=",$B$508),"Sort=R","Days=A","Fill=B",CONCATENATE("FX=", $B$506) )</f>
        <v>#N/A Connection</v>
      </c>
      <c r="BN556" t="str">
        <f>""</f>
        <v/>
      </c>
      <c r="BO556" t="str">
        <f>""</f>
        <v/>
      </c>
      <c r="BP556" t="str">
        <f>""</f>
        <v/>
      </c>
      <c r="BQ556" t="str">
        <f>""</f>
        <v/>
      </c>
      <c r="BR556" t="str">
        <f>""</f>
        <v/>
      </c>
      <c r="BS556" t="str">
        <f>""</f>
        <v/>
      </c>
      <c r="BT556" t="str">
        <f>""</f>
        <v/>
      </c>
      <c r="BU556" t="str">
        <f>""</f>
        <v/>
      </c>
      <c r="BV556" t="str">
        <f>""</f>
        <v/>
      </c>
      <c r="BW556" t="str">
        <f>""</f>
        <v/>
      </c>
      <c r="BX556" t="str">
        <f>""</f>
        <v/>
      </c>
      <c r="BY556" t="str">
        <f>""</f>
        <v/>
      </c>
      <c r="BZ556" t="str">
        <f>""</f>
        <v/>
      </c>
      <c r="CA556" t="str">
        <f>""</f>
        <v/>
      </c>
      <c r="CB556" t="str">
        <f>""</f>
        <v/>
      </c>
      <c r="CC556" t="str">
        <f>""</f>
        <v/>
      </c>
      <c r="CD556" t="str">
        <f>""</f>
        <v/>
      </c>
      <c r="CE556" t="str">
        <f>""</f>
        <v/>
      </c>
      <c r="CF556" t="str">
        <f>""</f>
        <v/>
      </c>
      <c r="CG556" t="str">
        <f>""</f>
        <v/>
      </c>
      <c r="CH556" t="str">
        <f>""</f>
        <v/>
      </c>
      <c r="CI556" t="str">
        <f>""</f>
        <v/>
      </c>
      <c r="CJ556" t="str">
        <f>""</f>
        <v/>
      </c>
      <c r="CK556" t="str">
        <f>""</f>
        <v/>
      </c>
      <c r="CL556" t="str">
        <f>""</f>
        <v/>
      </c>
      <c r="CM556" t="str">
        <f>""</f>
        <v/>
      </c>
      <c r="CN556" t="str">
        <f>""</f>
        <v/>
      </c>
      <c r="CO556" t="str">
        <f>""</f>
        <v/>
      </c>
      <c r="CP556" t="str">
        <f>""</f>
        <v/>
      </c>
      <c r="CQ556" t="str">
        <f>""</f>
        <v/>
      </c>
      <c r="CR556" t="str">
        <f>""</f>
        <v/>
      </c>
      <c r="CS556" t="str">
        <f>""</f>
        <v/>
      </c>
      <c r="CT556" t="str">
        <f>""</f>
        <v/>
      </c>
      <c r="CU556" t="str">
        <f>""</f>
        <v/>
      </c>
      <c r="CV556" t="str">
        <f>""</f>
        <v/>
      </c>
      <c r="CW556" t="str">
        <f>""</f>
        <v/>
      </c>
      <c r="CX556" t="str">
        <f>""</f>
        <v/>
      </c>
      <c r="CY556" t="str">
        <f>""</f>
        <v/>
      </c>
      <c r="CZ556" t="str">
        <f>""</f>
        <v/>
      </c>
      <c r="DA556" t="str">
        <f>""</f>
        <v/>
      </c>
      <c r="DB556" t="str">
        <f>""</f>
        <v/>
      </c>
      <c r="DC556" t="str">
        <f>""</f>
        <v/>
      </c>
      <c r="DD556" t="str">
        <f>""</f>
        <v/>
      </c>
      <c r="DE556" t="str">
        <f>""</f>
        <v/>
      </c>
      <c r="DF556" t="str">
        <f>""</f>
        <v/>
      </c>
      <c r="DG556" t="str">
        <f>""</f>
        <v/>
      </c>
      <c r="DH556" t="str">
        <f>""</f>
        <v/>
      </c>
      <c r="DI556" t="str">
        <f>""</f>
        <v/>
      </c>
      <c r="DJ556" t="str">
        <f>""</f>
        <v/>
      </c>
      <c r="DK556" t="str">
        <f>""</f>
        <v/>
      </c>
      <c r="DL556" t="str">
        <f>""</f>
        <v/>
      </c>
      <c r="DM556" t="str">
        <f>""</f>
        <v/>
      </c>
      <c r="DN556" t="str">
        <f>""</f>
        <v/>
      </c>
      <c r="DO556" t="str">
        <f>""</f>
        <v/>
      </c>
      <c r="DP556" t="str">
        <f>""</f>
        <v/>
      </c>
      <c r="DQ556" t="str">
        <f>""</f>
        <v/>
      </c>
      <c r="DR556" t="str">
        <f>""</f>
        <v/>
      </c>
      <c r="DS556" t="str">
        <f>""</f>
        <v/>
      </c>
      <c r="DT556" t="str">
        <f>""</f>
        <v/>
      </c>
      <c r="DU556" t="str">
        <f>""</f>
        <v/>
      </c>
    </row>
    <row r="557" spans="1:125" x14ac:dyDescent="0.25">
      <c r="A557" t="str">
        <f>$A$49</f>
        <v xml:space="preserve">    BYD Co Ltd</v>
      </c>
      <c r="B557" t="str">
        <f>$B$49</f>
        <v>1211 HK Equity</v>
      </c>
      <c r="C557" t="str">
        <f>$C$49</f>
        <v>EZ019</v>
      </c>
      <c r="D557" t="str">
        <f>$D$49</f>
        <v>BEST_EEPS_CUR_YR</v>
      </c>
      <c r="E557" t="str">
        <f>$E$49</f>
        <v>Dynamic</v>
      </c>
      <c r="F557" t="str">
        <f ca="1">_xll.BDH($B$49,$C$49,$B$509,$B$510,CONCATENATE("Per=",$B$507),"Dts=H","Dir=H",CONCATENATE("Points=",$B$508),"Sort=R","Days=A","Fill=B",CONCATENATE("FX=", $B$506) )</f>
        <v>#N/A Connection</v>
      </c>
      <c r="BN557" t="str">
        <f>""</f>
        <v/>
      </c>
      <c r="BO557" t="str">
        <f>""</f>
        <v/>
      </c>
      <c r="BP557" t="str">
        <f>""</f>
        <v/>
      </c>
      <c r="BQ557" t="str">
        <f>""</f>
        <v/>
      </c>
      <c r="BR557" t="str">
        <f>""</f>
        <v/>
      </c>
      <c r="BS557" t="str">
        <f>""</f>
        <v/>
      </c>
      <c r="BT557" t="str">
        <f>""</f>
        <v/>
      </c>
      <c r="BU557" t="str">
        <f>""</f>
        <v/>
      </c>
      <c r="BV557" t="str">
        <f>""</f>
        <v/>
      </c>
      <c r="BW557" t="str">
        <f>""</f>
        <v/>
      </c>
      <c r="BX557" t="str">
        <f>""</f>
        <v/>
      </c>
      <c r="BY557" t="str">
        <f>""</f>
        <v/>
      </c>
      <c r="BZ557" t="str">
        <f>""</f>
        <v/>
      </c>
      <c r="CA557" t="str">
        <f>""</f>
        <v/>
      </c>
      <c r="CB557" t="str">
        <f>""</f>
        <v/>
      </c>
      <c r="CC557" t="str">
        <f>""</f>
        <v/>
      </c>
      <c r="CD557" t="str">
        <f>""</f>
        <v/>
      </c>
      <c r="CE557" t="str">
        <f>""</f>
        <v/>
      </c>
      <c r="CF557" t="str">
        <f>""</f>
        <v/>
      </c>
      <c r="CG557" t="str">
        <f>""</f>
        <v/>
      </c>
      <c r="CH557" t="str">
        <f>""</f>
        <v/>
      </c>
      <c r="CI557" t="str">
        <f>""</f>
        <v/>
      </c>
      <c r="CJ557" t="str">
        <f>""</f>
        <v/>
      </c>
      <c r="CK557" t="str">
        <f>""</f>
        <v/>
      </c>
      <c r="CL557" t="str">
        <f>""</f>
        <v/>
      </c>
      <c r="CM557" t="str">
        <f>""</f>
        <v/>
      </c>
      <c r="CN557" t="str">
        <f>""</f>
        <v/>
      </c>
      <c r="CO557" t="str">
        <f>""</f>
        <v/>
      </c>
      <c r="CP557" t="str">
        <f>""</f>
        <v/>
      </c>
      <c r="CQ557" t="str">
        <f>""</f>
        <v/>
      </c>
      <c r="CR557" t="str">
        <f>""</f>
        <v/>
      </c>
      <c r="CS557" t="str">
        <f>""</f>
        <v/>
      </c>
      <c r="CT557" t="str">
        <f>""</f>
        <v/>
      </c>
      <c r="CU557" t="str">
        <f>""</f>
        <v/>
      </c>
      <c r="CV557" t="str">
        <f>""</f>
        <v/>
      </c>
      <c r="CW557" t="str">
        <f>""</f>
        <v/>
      </c>
      <c r="CX557" t="str">
        <f>""</f>
        <v/>
      </c>
      <c r="CY557" t="str">
        <f>""</f>
        <v/>
      </c>
      <c r="CZ557" t="str">
        <f>""</f>
        <v/>
      </c>
      <c r="DA557" t="str">
        <f>""</f>
        <v/>
      </c>
      <c r="DB557" t="str">
        <f>""</f>
        <v/>
      </c>
      <c r="DC557" t="str">
        <f>""</f>
        <v/>
      </c>
      <c r="DD557" t="str">
        <f>""</f>
        <v/>
      </c>
      <c r="DE557" t="str">
        <f>""</f>
        <v/>
      </c>
      <c r="DF557" t="str">
        <f>""</f>
        <v/>
      </c>
      <c r="DG557" t="str">
        <f>""</f>
        <v/>
      </c>
      <c r="DH557" t="str">
        <f>""</f>
        <v/>
      </c>
      <c r="DI557" t="str">
        <f>""</f>
        <v/>
      </c>
      <c r="DJ557" t="str">
        <f>""</f>
        <v/>
      </c>
      <c r="DK557" t="str">
        <f>""</f>
        <v/>
      </c>
      <c r="DL557" t="str">
        <f>""</f>
        <v/>
      </c>
      <c r="DM557" t="str">
        <f>""</f>
        <v/>
      </c>
      <c r="DN557" t="str">
        <f>""</f>
        <v/>
      </c>
      <c r="DO557" t="str">
        <f>""</f>
        <v/>
      </c>
      <c r="DP557" t="str">
        <f>""</f>
        <v/>
      </c>
      <c r="DQ557" t="str">
        <f>""</f>
        <v/>
      </c>
      <c r="DR557" t="str">
        <f>""</f>
        <v/>
      </c>
      <c r="DS557" t="str">
        <f>""</f>
        <v/>
      </c>
      <c r="DT557" t="str">
        <f>""</f>
        <v/>
      </c>
      <c r="DU557" t="str">
        <f>""</f>
        <v/>
      </c>
    </row>
    <row r="558" spans="1:125" x14ac:dyDescent="0.25">
      <c r="A558" t="str">
        <f>$A$50</f>
        <v xml:space="preserve">    Chongqing Changan Automobile Co Ltd</v>
      </c>
      <c r="B558" t="str">
        <f>$B$50</f>
        <v>200625 CH Equity</v>
      </c>
      <c r="C558" t="str">
        <f>$C$50</f>
        <v>EZ019</v>
      </c>
      <c r="D558" t="str">
        <f>$D$50</f>
        <v>BEST_EEPS_CUR_YR</v>
      </c>
      <c r="E558" t="str">
        <f>$E$50</f>
        <v>Dynamic</v>
      </c>
      <c r="F558" t="str">
        <f ca="1">_xll.BDH($B$50,$C$50,$B$509,$B$510,CONCATENATE("Per=",$B$507),"Dts=H","Dir=H",CONCATENATE("Points=",$B$508),"Sort=R","Days=A","Fill=B",CONCATENATE("FX=", $B$506) )</f>
        <v>#N/A Connection</v>
      </c>
      <c r="BN558" t="str">
        <f>""</f>
        <v/>
      </c>
      <c r="BO558" t="str">
        <f>""</f>
        <v/>
      </c>
      <c r="BP558" t="str">
        <f>""</f>
        <v/>
      </c>
      <c r="BQ558" t="str">
        <f>""</f>
        <v/>
      </c>
      <c r="BR558" t="str">
        <f>""</f>
        <v/>
      </c>
      <c r="BS558" t="str">
        <f>""</f>
        <v/>
      </c>
      <c r="BT558" t="str">
        <f>""</f>
        <v/>
      </c>
      <c r="BU558" t="str">
        <f>""</f>
        <v/>
      </c>
      <c r="BV558" t="str">
        <f>""</f>
        <v/>
      </c>
      <c r="BW558" t="str">
        <f>""</f>
        <v/>
      </c>
      <c r="BX558" t="str">
        <f>""</f>
        <v/>
      </c>
      <c r="BY558" t="str">
        <f>""</f>
        <v/>
      </c>
      <c r="BZ558" t="str">
        <f>""</f>
        <v/>
      </c>
      <c r="CA558" t="str">
        <f>""</f>
        <v/>
      </c>
      <c r="CB558" t="str">
        <f>""</f>
        <v/>
      </c>
      <c r="CC558" t="str">
        <f>""</f>
        <v/>
      </c>
      <c r="CD558" t="str">
        <f>""</f>
        <v/>
      </c>
      <c r="CE558" t="str">
        <f>""</f>
        <v/>
      </c>
      <c r="CF558" t="str">
        <f>""</f>
        <v/>
      </c>
      <c r="CG558" t="str">
        <f>""</f>
        <v/>
      </c>
      <c r="CH558" t="str">
        <f>""</f>
        <v/>
      </c>
      <c r="CI558" t="str">
        <f>""</f>
        <v/>
      </c>
      <c r="CJ558" t="str">
        <f>""</f>
        <v/>
      </c>
      <c r="CK558" t="str">
        <f>""</f>
        <v/>
      </c>
      <c r="CL558" t="str">
        <f>""</f>
        <v/>
      </c>
      <c r="CM558" t="str">
        <f>""</f>
        <v/>
      </c>
      <c r="CN558" t="str">
        <f>""</f>
        <v/>
      </c>
      <c r="CO558" t="str">
        <f>""</f>
        <v/>
      </c>
      <c r="CP558" t="str">
        <f>""</f>
        <v/>
      </c>
      <c r="CQ558" t="str">
        <f>""</f>
        <v/>
      </c>
      <c r="CR558" t="str">
        <f>""</f>
        <v/>
      </c>
      <c r="CS558" t="str">
        <f>""</f>
        <v/>
      </c>
      <c r="CT558" t="str">
        <f>""</f>
        <v/>
      </c>
      <c r="CU558" t="str">
        <f>""</f>
        <v/>
      </c>
      <c r="CV558" t="str">
        <f>""</f>
        <v/>
      </c>
      <c r="CW558" t="str">
        <f>""</f>
        <v/>
      </c>
      <c r="CX558" t="str">
        <f>""</f>
        <v/>
      </c>
      <c r="CY558" t="str">
        <f>""</f>
        <v/>
      </c>
      <c r="CZ558" t="str">
        <f>""</f>
        <v/>
      </c>
      <c r="DA558" t="str">
        <f>""</f>
        <v/>
      </c>
      <c r="DB558" t="str">
        <f>""</f>
        <v/>
      </c>
      <c r="DC558" t="str">
        <f>""</f>
        <v/>
      </c>
      <c r="DD558" t="str">
        <f>""</f>
        <v/>
      </c>
      <c r="DE558" t="str">
        <f>""</f>
        <v/>
      </c>
      <c r="DF558" t="str">
        <f>""</f>
        <v/>
      </c>
      <c r="DG558" t="str">
        <f>""</f>
        <v/>
      </c>
      <c r="DH558" t="str">
        <f>""</f>
        <v/>
      </c>
      <c r="DI558" t="str">
        <f>""</f>
        <v/>
      </c>
      <c r="DJ558" t="str">
        <f>""</f>
        <v/>
      </c>
      <c r="DK558" t="str">
        <f>""</f>
        <v/>
      </c>
      <c r="DL558" t="str">
        <f>""</f>
        <v/>
      </c>
      <c r="DM558" t="str">
        <f>""</f>
        <v/>
      </c>
      <c r="DN558" t="str">
        <f>""</f>
        <v/>
      </c>
      <c r="DO558" t="str">
        <f>""</f>
        <v/>
      </c>
      <c r="DP558" t="str">
        <f>""</f>
        <v/>
      </c>
      <c r="DQ558" t="str">
        <f>""</f>
        <v/>
      </c>
      <c r="DR558" t="str">
        <f>""</f>
        <v/>
      </c>
      <c r="DS558" t="str">
        <f>""</f>
        <v/>
      </c>
      <c r="DT558" t="str">
        <f>""</f>
        <v/>
      </c>
      <c r="DU558" t="str">
        <f>""</f>
        <v/>
      </c>
    </row>
    <row r="559" spans="1:125" x14ac:dyDescent="0.25">
      <c r="A559" t="str">
        <f>$A$51</f>
        <v xml:space="preserve">    Daihatsu Motor Co Ltd</v>
      </c>
      <c r="B559" t="str">
        <f>$B$51</f>
        <v>7262 JP Equity</v>
      </c>
      <c r="C559" t="str">
        <f>$C$51</f>
        <v>EZ019</v>
      </c>
      <c r="D559" t="str">
        <f>$D$51</f>
        <v>BEST_EEPS_CUR_YR</v>
      </c>
      <c r="E559" t="str">
        <f>$E$51</f>
        <v>Dynamic</v>
      </c>
      <c r="F559" t="str">
        <f ca="1">_xll.BDH($B$51,$C$51,$B$509,$B$510,CONCATENATE("Per=",$B$507),"Dts=H","Dir=H",CONCATENATE("Points=",$B$508),"Sort=R","Days=A","Fill=B",CONCATENATE("FX=", $B$506) )</f>
        <v>#N/A Connection</v>
      </c>
      <c r="BN559" t="str">
        <f>""</f>
        <v/>
      </c>
      <c r="BO559" t="str">
        <f>""</f>
        <v/>
      </c>
      <c r="BP559" t="str">
        <f>""</f>
        <v/>
      </c>
      <c r="BQ559" t="str">
        <f>""</f>
        <v/>
      </c>
      <c r="BR559" t="str">
        <f>""</f>
        <v/>
      </c>
      <c r="BS559" t="str">
        <f>""</f>
        <v/>
      </c>
      <c r="BT559" t="str">
        <f>""</f>
        <v/>
      </c>
      <c r="BU559" t="str">
        <f>""</f>
        <v/>
      </c>
      <c r="BV559" t="str">
        <f>""</f>
        <v/>
      </c>
      <c r="BW559" t="str">
        <f>""</f>
        <v/>
      </c>
      <c r="BX559" t="str">
        <f>""</f>
        <v/>
      </c>
      <c r="BY559" t="str">
        <f>""</f>
        <v/>
      </c>
      <c r="BZ559" t="str">
        <f>""</f>
        <v/>
      </c>
      <c r="CA559" t="str">
        <f>""</f>
        <v/>
      </c>
      <c r="CB559" t="str">
        <f>""</f>
        <v/>
      </c>
      <c r="CC559" t="str">
        <f>""</f>
        <v/>
      </c>
      <c r="CD559" t="str">
        <f>""</f>
        <v/>
      </c>
      <c r="CE559" t="str">
        <f>""</f>
        <v/>
      </c>
      <c r="CF559" t="str">
        <f>""</f>
        <v/>
      </c>
      <c r="CG559" t="str">
        <f>""</f>
        <v/>
      </c>
      <c r="CH559" t="str">
        <f>""</f>
        <v/>
      </c>
      <c r="CI559" t="str">
        <f>""</f>
        <v/>
      </c>
      <c r="CJ559" t="str">
        <f>""</f>
        <v/>
      </c>
      <c r="CK559" t="str">
        <f>""</f>
        <v/>
      </c>
      <c r="CL559" t="str">
        <f>""</f>
        <v/>
      </c>
      <c r="CM559" t="str">
        <f>""</f>
        <v/>
      </c>
      <c r="CN559" t="str">
        <f>""</f>
        <v/>
      </c>
      <c r="CO559" t="str">
        <f>""</f>
        <v/>
      </c>
      <c r="CP559" t="str">
        <f>""</f>
        <v/>
      </c>
      <c r="CQ559" t="str">
        <f>""</f>
        <v/>
      </c>
      <c r="CR559" t="str">
        <f>""</f>
        <v/>
      </c>
      <c r="CS559" t="str">
        <f>""</f>
        <v/>
      </c>
      <c r="CT559" t="str">
        <f>""</f>
        <v/>
      </c>
      <c r="CU559" t="str">
        <f>""</f>
        <v/>
      </c>
      <c r="CV559" t="str">
        <f>""</f>
        <v/>
      </c>
      <c r="CW559" t="str">
        <f>""</f>
        <v/>
      </c>
      <c r="CX559" t="str">
        <f>""</f>
        <v/>
      </c>
      <c r="CY559" t="str">
        <f>""</f>
        <v/>
      </c>
      <c r="CZ559" t="str">
        <f>""</f>
        <v/>
      </c>
      <c r="DA559" t="str">
        <f>""</f>
        <v/>
      </c>
      <c r="DB559" t="str">
        <f>""</f>
        <v/>
      </c>
      <c r="DC559" t="str">
        <f>""</f>
        <v/>
      </c>
      <c r="DD559" t="str">
        <f>""</f>
        <v/>
      </c>
      <c r="DE559" t="str">
        <f>""</f>
        <v/>
      </c>
      <c r="DF559" t="str">
        <f>""</f>
        <v/>
      </c>
      <c r="DG559" t="str">
        <f>""</f>
        <v/>
      </c>
      <c r="DH559" t="str">
        <f>""</f>
        <v/>
      </c>
      <c r="DI559" t="str">
        <f>""</f>
        <v/>
      </c>
      <c r="DJ559" t="str">
        <f>""</f>
        <v/>
      </c>
      <c r="DK559" t="str">
        <f>""</f>
        <v/>
      </c>
      <c r="DL559" t="str">
        <f>""</f>
        <v/>
      </c>
      <c r="DM559" t="str">
        <f>""</f>
        <v/>
      </c>
      <c r="DN559" t="str">
        <f>""</f>
        <v/>
      </c>
      <c r="DO559" t="str">
        <f>""</f>
        <v/>
      </c>
      <c r="DP559" t="str">
        <f>""</f>
        <v/>
      </c>
      <c r="DQ559" t="str">
        <f>""</f>
        <v/>
      </c>
      <c r="DR559" t="str">
        <f>""</f>
        <v/>
      </c>
      <c r="DS559" t="str">
        <f>""</f>
        <v/>
      </c>
      <c r="DT559" t="str">
        <f>""</f>
        <v/>
      </c>
      <c r="DU559" t="str">
        <f>""</f>
        <v/>
      </c>
    </row>
    <row r="560" spans="1:125" x14ac:dyDescent="0.25">
      <c r="A560" t="str">
        <f>$A$52</f>
        <v xml:space="preserve">    Daimler AG</v>
      </c>
      <c r="B560" t="str">
        <f>$B$52</f>
        <v>DAI GR Equity</v>
      </c>
      <c r="C560" t="str">
        <f>$C$52</f>
        <v>EZ019</v>
      </c>
      <c r="D560" t="str">
        <f>$D$52</f>
        <v>BEST_EEPS_CUR_YR</v>
      </c>
      <c r="E560" t="str">
        <f>$E$52</f>
        <v>Dynamic</v>
      </c>
      <c r="F560" t="str">
        <f ca="1">_xll.BDH($B$52,$C$52,$B$509,$B$510,CONCATENATE("Per=",$B$507),"Dts=H","Dir=H",CONCATENATE("Points=",$B$508),"Sort=R","Days=A","Fill=B",CONCATENATE("FX=", $B$506) )</f>
        <v>#N/A Connection</v>
      </c>
      <c r="BN560" t="str">
        <f>""</f>
        <v/>
      </c>
      <c r="BO560" t="str">
        <f>""</f>
        <v/>
      </c>
      <c r="BP560" t="str">
        <f>""</f>
        <v/>
      </c>
      <c r="BQ560" t="str">
        <f>""</f>
        <v/>
      </c>
      <c r="BR560" t="str">
        <f>""</f>
        <v/>
      </c>
      <c r="BS560" t="str">
        <f>""</f>
        <v/>
      </c>
      <c r="BT560" t="str">
        <f>""</f>
        <v/>
      </c>
      <c r="BU560" t="str">
        <f>""</f>
        <v/>
      </c>
      <c r="BV560" t="str">
        <f>""</f>
        <v/>
      </c>
      <c r="BW560" t="str">
        <f>""</f>
        <v/>
      </c>
      <c r="BX560" t="str">
        <f>""</f>
        <v/>
      </c>
      <c r="BY560" t="str">
        <f>""</f>
        <v/>
      </c>
      <c r="BZ560" t="str">
        <f>""</f>
        <v/>
      </c>
      <c r="CA560" t="str">
        <f>""</f>
        <v/>
      </c>
      <c r="CB560" t="str">
        <f>""</f>
        <v/>
      </c>
      <c r="CC560" t="str">
        <f>""</f>
        <v/>
      </c>
      <c r="CD560" t="str">
        <f>""</f>
        <v/>
      </c>
      <c r="CE560" t="str">
        <f>""</f>
        <v/>
      </c>
      <c r="CF560" t="str">
        <f>""</f>
        <v/>
      </c>
      <c r="CG560" t="str">
        <f>""</f>
        <v/>
      </c>
      <c r="CH560" t="str">
        <f>""</f>
        <v/>
      </c>
      <c r="CI560" t="str">
        <f>""</f>
        <v/>
      </c>
      <c r="CJ560" t="str">
        <f>""</f>
        <v/>
      </c>
      <c r="CK560" t="str">
        <f>""</f>
        <v/>
      </c>
      <c r="CL560" t="str">
        <f>""</f>
        <v/>
      </c>
      <c r="CM560" t="str">
        <f>""</f>
        <v/>
      </c>
      <c r="CN560" t="str">
        <f>""</f>
        <v/>
      </c>
      <c r="CO560" t="str">
        <f>""</f>
        <v/>
      </c>
      <c r="CP560" t="str">
        <f>""</f>
        <v/>
      </c>
      <c r="CQ560" t="str">
        <f>""</f>
        <v/>
      </c>
      <c r="CR560" t="str">
        <f>""</f>
        <v/>
      </c>
      <c r="CS560" t="str">
        <f>""</f>
        <v/>
      </c>
      <c r="CT560" t="str">
        <f>""</f>
        <v/>
      </c>
      <c r="CU560" t="str">
        <f>""</f>
        <v/>
      </c>
      <c r="CV560" t="str">
        <f>""</f>
        <v/>
      </c>
      <c r="CW560" t="str">
        <f>""</f>
        <v/>
      </c>
      <c r="CX560" t="str">
        <f>""</f>
        <v/>
      </c>
      <c r="CY560" t="str">
        <f>""</f>
        <v/>
      </c>
      <c r="CZ560" t="str">
        <f>""</f>
        <v/>
      </c>
      <c r="DA560" t="str">
        <f>""</f>
        <v/>
      </c>
      <c r="DB560" t="str">
        <f>""</f>
        <v/>
      </c>
      <c r="DC560" t="str">
        <f>""</f>
        <v/>
      </c>
      <c r="DD560" t="str">
        <f>""</f>
        <v/>
      </c>
      <c r="DE560" t="str">
        <f>""</f>
        <v/>
      </c>
      <c r="DF560" t="str">
        <f>""</f>
        <v/>
      </c>
      <c r="DG560" t="str">
        <f>""</f>
        <v/>
      </c>
      <c r="DH560" t="str">
        <f>""</f>
        <v/>
      </c>
      <c r="DI560" t="str">
        <f>""</f>
        <v/>
      </c>
      <c r="DJ560" t="str">
        <f>""</f>
        <v/>
      </c>
      <c r="DK560" t="str">
        <f>""</f>
        <v/>
      </c>
      <c r="DL560" t="str">
        <f>""</f>
        <v/>
      </c>
      <c r="DM560" t="str">
        <f>""</f>
        <v/>
      </c>
      <c r="DN560" t="str">
        <f>""</f>
        <v/>
      </c>
      <c r="DO560" t="str">
        <f>""</f>
        <v/>
      </c>
      <c r="DP560" t="str">
        <f>""</f>
        <v/>
      </c>
      <c r="DQ560" t="str">
        <f>""</f>
        <v/>
      </c>
      <c r="DR560" t="str">
        <f>""</f>
        <v/>
      </c>
      <c r="DS560" t="str">
        <f>""</f>
        <v/>
      </c>
      <c r="DT560" t="str">
        <f>""</f>
        <v/>
      </c>
      <c r="DU560" t="str">
        <f>""</f>
        <v/>
      </c>
    </row>
    <row r="561" spans="1:125" x14ac:dyDescent="0.25">
      <c r="A561" t="str">
        <f>$A$53</f>
        <v xml:space="preserve">    Dongfeng Motor Group Co Ltd</v>
      </c>
      <c r="B561" t="str">
        <f>$B$53</f>
        <v>489 HK Equity</v>
      </c>
      <c r="C561" t="str">
        <f>$C$53</f>
        <v>EZ019</v>
      </c>
      <c r="D561" t="str">
        <f>$D$53</f>
        <v>BEST_EEPS_CUR_YR</v>
      </c>
      <c r="E561" t="str">
        <f>$E$53</f>
        <v>Dynamic</v>
      </c>
      <c r="F561" t="str">
        <f ca="1">_xll.BDH($B$53,$C$53,$B$509,$B$510,CONCATENATE("Per=",$B$507),"Dts=H","Dir=H",CONCATENATE("Points=",$B$508),"Sort=R","Days=A","Fill=B",CONCATENATE("FX=", $B$506) )</f>
        <v>#N/A Connection</v>
      </c>
      <c r="BN561" t="str">
        <f>""</f>
        <v/>
      </c>
      <c r="BO561" t="str">
        <f>""</f>
        <v/>
      </c>
      <c r="BP561" t="str">
        <f>""</f>
        <v/>
      </c>
      <c r="BQ561" t="str">
        <f>""</f>
        <v/>
      </c>
      <c r="BR561" t="str">
        <f>""</f>
        <v/>
      </c>
      <c r="BS561" t="str">
        <f>""</f>
        <v/>
      </c>
      <c r="BT561" t="str">
        <f>""</f>
        <v/>
      </c>
      <c r="BU561" t="str">
        <f>""</f>
        <v/>
      </c>
      <c r="BV561" t="str">
        <f>""</f>
        <v/>
      </c>
      <c r="BW561" t="str">
        <f>""</f>
        <v/>
      </c>
      <c r="BX561" t="str">
        <f>""</f>
        <v/>
      </c>
      <c r="BY561" t="str">
        <f>""</f>
        <v/>
      </c>
      <c r="BZ561" t="str">
        <f>""</f>
        <v/>
      </c>
      <c r="CA561" t="str">
        <f>""</f>
        <v/>
      </c>
      <c r="CB561" t="str">
        <f>""</f>
        <v/>
      </c>
      <c r="CC561" t="str">
        <f>""</f>
        <v/>
      </c>
      <c r="CD561" t="str">
        <f>""</f>
        <v/>
      </c>
      <c r="CE561" t="str">
        <f>""</f>
        <v/>
      </c>
      <c r="CF561" t="str">
        <f>""</f>
        <v/>
      </c>
      <c r="CG561" t="str">
        <f>""</f>
        <v/>
      </c>
      <c r="CH561" t="str">
        <f>""</f>
        <v/>
      </c>
      <c r="CI561" t="str">
        <f>""</f>
        <v/>
      </c>
      <c r="CJ561" t="str">
        <f>""</f>
        <v/>
      </c>
      <c r="CK561" t="str">
        <f>""</f>
        <v/>
      </c>
      <c r="CL561" t="str">
        <f>""</f>
        <v/>
      </c>
      <c r="CM561" t="str">
        <f>""</f>
        <v/>
      </c>
      <c r="CN561" t="str">
        <f>""</f>
        <v/>
      </c>
      <c r="CO561" t="str">
        <f>""</f>
        <v/>
      </c>
      <c r="CP561" t="str">
        <f>""</f>
        <v/>
      </c>
      <c r="CQ561" t="str">
        <f>""</f>
        <v/>
      </c>
      <c r="CR561" t="str">
        <f>""</f>
        <v/>
      </c>
      <c r="CS561" t="str">
        <f>""</f>
        <v/>
      </c>
      <c r="CT561" t="str">
        <f>""</f>
        <v/>
      </c>
      <c r="CU561" t="str">
        <f>""</f>
        <v/>
      </c>
      <c r="CV561" t="str">
        <f>""</f>
        <v/>
      </c>
      <c r="CW561" t="str">
        <f>""</f>
        <v/>
      </c>
      <c r="CX561" t="str">
        <f>""</f>
        <v/>
      </c>
      <c r="CY561" t="str">
        <f>""</f>
        <v/>
      </c>
      <c r="CZ561" t="str">
        <f>""</f>
        <v/>
      </c>
      <c r="DA561" t="str">
        <f>""</f>
        <v/>
      </c>
      <c r="DB561" t="str">
        <f>""</f>
        <v/>
      </c>
      <c r="DC561" t="str">
        <f>""</f>
        <v/>
      </c>
      <c r="DD561" t="str">
        <f>""</f>
        <v/>
      </c>
      <c r="DE561" t="str">
        <f>""</f>
        <v/>
      </c>
      <c r="DF561" t="str">
        <f>""</f>
        <v/>
      </c>
      <c r="DG561" t="str">
        <f>""</f>
        <v/>
      </c>
      <c r="DH561" t="str">
        <f>""</f>
        <v/>
      </c>
      <c r="DI561" t="str">
        <f>""</f>
        <v/>
      </c>
      <c r="DJ561" t="str">
        <f>""</f>
        <v/>
      </c>
      <c r="DK561" t="str">
        <f>""</f>
        <v/>
      </c>
      <c r="DL561" t="str">
        <f>""</f>
        <v/>
      </c>
      <c r="DM561" t="str">
        <f>""</f>
        <v/>
      </c>
      <c r="DN561" t="str">
        <f>""</f>
        <v/>
      </c>
      <c r="DO561" t="str">
        <f>""</f>
        <v/>
      </c>
      <c r="DP561" t="str">
        <f>""</f>
        <v/>
      </c>
      <c r="DQ561" t="str">
        <f>""</f>
        <v/>
      </c>
      <c r="DR561" t="str">
        <f>""</f>
        <v/>
      </c>
      <c r="DS561" t="str">
        <f>""</f>
        <v/>
      </c>
      <c r="DT561" t="str">
        <f>""</f>
        <v/>
      </c>
      <c r="DU561" t="str">
        <f>""</f>
        <v/>
      </c>
    </row>
    <row r="562" spans="1:125" x14ac:dyDescent="0.25">
      <c r="A562" t="str">
        <f>$A$54</f>
        <v xml:space="preserve">    DRB-Hicom Bhd</v>
      </c>
      <c r="B562" t="str">
        <f>$B$54</f>
        <v>DRB MK Equity</v>
      </c>
      <c r="C562" t="str">
        <f>$C$54</f>
        <v>EZ019</v>
      </c>
      <c r="D562" t="str">
        <f>$D$54</f>
        <v>BEST_EEPS_CUR_YR</v>
      </c>
      <c r="E562" t="str">
        <f>$E$54</f>
        <v>Dynamic</v>
      </c>
      <c r="F562" t="str">
        <f ca="1">_xll.BDH($B$54,$C$54,$B$509,$B$510,CONCATENATE("Per=",$B$507),"Dts=H","Dir=H",CONCATENATE("Points=",$B$508),"Sort=R","Days=A","Fill=B",CONCATENATE("FX=", $B$506) )</f>
        <v>#N/A Connection</v>
      </c>
      <c r="BN562" t="str">
        <f>""</f>
        <v/>
      </c>
      <c r="BO562" t="str">
        <f>""</f>
        <v/>
      </c>
      <c r="BP562" t="str">
        <f>""</f>
        <v/>
      </c>
      <c r="BQ562" t="str">
        <f>""</f>
        <v/>
      </c>
      <c r="BR562" t="str">
        <f>""</f>
        <v/>
      </c>
      <c r="BS562" t="str">
        <f>""</f>
        <v/>
      </c>
      <c r="BT562" t="str">
        <f>""</f>
        <v/>
      </c>
      <c r="BU562" t="str">
        <f>""</f>
        <v/>
      </c>
      <c r="BV562" t="str">
        <f>""</f>
        <v/>
      </c>
      <c r="BW562" t="str">
        <f>""</f>
        <v/>
      </c>
      <c r="BX562" t="str">
        <f>""</f>
        <v/>
      </c>
      <c r="BY562" t="str">
        <f>""</f>
        <v/>
      </c>
      <c r="BZ562" t="str">
        <f>""</f>
        <v/>
      </c>
      <c r="CA562" t="str">
        <f>""</f>
        <v/>
      </c>
      <c r="CB562" t="str">
        <f>""</f>
        <v/>
      </c>
      <c r="CC562" t="str">
        <f>""</f>
        <v/>
      </c>
      <c r="CD562" t="str">
        <f>""</f>
        <v/>
      </c>
      <c r="CE562" t="str">
        <f>""</f>
        <v/>
      </c>
      <c r="CF562" t="str">
        <f>""</f>
        <v/>
      </c>
      <c r="CG562" t="str">
        <f>""</f>
        <v/>
      </c>
      <c r="CH562" t="str">
        <f>""</f>
        <v/>
      </c>
      <c r="CI562" t="str">
        <f>""</f>
        <v/>
      </c>
      <c r="CJ562" t="str">
        <f>""</f>
        <v/>
      </c>
      <c r="CK562" t="str">
        <f>""</f>
        <v/>
      </c>
      <c r="CL562" t="str">
        <f>""</f>
        <v/>
      </c>
      <c r="CM562" t="str">
        <f>""</f>
        <v/>
      </c>
      <c r="CN562" t="str">
        <f>""</f>
        <v/>
      </c>
      <c r="CO562" t="str">
        <f>""</f>
        <v/>
      </c>
      <c r="CP562" t="str">
        <f>""</f>
        <v/>
      </c>
      <c r="CQ562" t="str">
        <f>""</f>
        <v/>
      </c>
      <c r="CR562" t="str">
        <f>""</f>
        <v/>
      </c>
      <c r="CS562" t="str">
        <f>""</f>
        <v/>
      </c>
      <c r="CT562" t="str">
        <f>""</f>
        <v/>
      </c>
      <c r="CU562" t="str">
        <f>""</f>
        <v/>
      </c>
      <c r="CV562" t="str">
        <f>""</f>
        <v/>
      </c>
      <c r="CW562" t="str">
        <f>""</f>
        <v/>
      </c>
      <c r="CX562" t="str">
        <f>""</f>
        <v/>
      </c>
      <c r="CY562" t="str">
        <f>""</f>
        <v/>
      </c>
      <c r="CZ562" t="str">
        <f>""</f>
        <v/>
      </c>
      <c r="DA562" t="str">
        <f>""</f>
        <v/>
      </c>
      <c r="DB562" t="str">
        <f>""</f>
        <v/>
      </c>
      <c r="DC562" t="str">
        <f>""</f>
        <v/>
      </c>
      <c r="DD562" t="str">
        <f>""</f>
        <v/>
      </c>
      <c r="DE562" t="str">
        <f>""</f>
        <v/>
      </c>
      <c r="DF562" t="str">
        <f>""</f>
        <v/>
      </c>
      <c r="DG562" t="str">
        <f>""</f>
        <v/>
      </c>
      <c r="DH562" t="str">
        <f>""</f>
        <v/>
      </c>
      <c r="DI562" t="str">
        <f>""</f>
        <v/>
      </c>
      <c r="DJ562" t="str">
        <f>""</f>
        <v/>
      </c>
      <c r="DK562" t="str">
        <f>""</f>
        <v/>
      </c>
      <c r="DL562" t="str">
        <f>""</f>
        <v/>
      </c>
      <c r="DM562" t="str">
        <f>""</f>
        <v/>
      </c>
      <c r="DN562" t="str">
        <f>""</f>
        <v/>
      </c>
      <c r="DO562" t="str">
        <f>""</f>
        <v/>
      </c>
      <c r="DP562" t="str">
        <f>""</f>
        <v/>
      </c>
      <c r="DQ562" t="str">
        <f>""</f>
        <v/>
      </c>
      <c r="DR562" t="str">
        <f>""</f>
        <v/>
      </c>
      <c r="DS562" t="str">
        <f>""</f>
        <v/>
      </c>
      <c r="DT562" t="str">
        <f>""</f>
        <v/>
      </c>
      <c r="DU562" t="str">
        <f>""</f>
        <v/>
      </c>
    </row>
    <row r="563" spans="1:125" x14ac:dyDescent="0.25">
      <c r="A563" t="str">
        <f>$A$55</f>
        <v xml:space="preserve">    FAW CAR Co Ltd</v>
      </c>
      <c r="B563" t="str">
        <f>$B$55</f>
        <v>000800 CH Equity</v>
      </c>
      <c r="C563" t="str">
        <f>$C$55</f>
        <v>EZ019</v>
      </c>
      <c r="D563" t="str">
        <f>$D$55</f>
        <v>BEST_EEPS_CUR_YR</v>
      </c>
      <c r="E563" t="str">
        <f>$E$55</f>
        <v>Dynamic</v>
      </c>
      <c r="F563" t="str">
        <f ca="1">_xll.BDH($B$55,$C$55,$B$509,$B$510,CONCATENATE("Per=",$B$507),"Dts=H","Dir=H",CONCATENATE("Points=",$B$508),"Sort=R","Days=A","Fill=B",CONCATENATE("FX=", $B$506) )</f>
        <v>#N/A Connection</v>
      </c>
      <c r="BN563" t="str">
        <f>""</f>
        <v/>
      </c>
      <c r="BO563" t="str">
        <f>""</f>
        <v/>
      </c>
      <c r="BP563" t="str">
        <f>""</f>
        <v/>
      </c>
      <c r="BQ563" t="str">
        <f>""</f>
        <v/>
      </c>
      <c r="BR563" t="str">
        <f>""</f>
        <v/>
      </c>
      <c r="BS563" t="str">
        <f>""</f>
        <v/>
      </c>
      <c r="BT563" t="str">
        <f>""</f>
        <v/>
      </c>
      <c r="BU563" t="str">
        <f>""</f>
        <v/>
      </c>
      <c r="BV563" t="str">
        <f>""</f>
        <v/>
      </c>
      <c r="BW563" t="str">
        <f>""</f>
        <v/>
      </c>
      <c r="BX563" t="str">
        <f>""</f>
        <v/>
      </c>
      <c r="BY563" t="str">
        <f>""</f>
        <v/>
      </c>
      <c r="BZ563" t="str">
        <f>""</f>
        <v/>
      </c>
      <c r="CA563" t="str">
        <f>""</f>
        <v/>
      </c>
      <c r="CB563" t="str">
        <f>""</f>
        <v/>
      </c>
      <c r="CC563" t="str">
        <f>""</f>
        <v/>
      </c>
      <c r="CD563" t="str">
        <f>""</f>
        <v/>
      </c>
      <c r="CE563" t="str">
        <f>""</f>
        <v/>
      </c>
      <c r="CF563" t="str">
        <f>""</f>
        <v/>
      </c>
      <c r="CG563" t="str">
        <f>""</f>
        <v/>
      </c>
      <c r="CH563" t="str">
        <f>""</f>
        <v/>
      </c>
      <c r="CI563" t="str">
        <f>""</f>
        <v/>
      </c>
      <c r="CJ563" t="str">
        <f>""</f>
        <v/>
      </c>
      <c r="CK563" t="str">
        <f>""</f>
        <v/>
      </c>
      <c r="CL563" t="str">
        <f>""</f>
        <v/>
      </c>
      <c r="CM563" t="str">
        <f>""</f>
        <v/>
      </c>
      <c r="CN563" t="str">
        <f>""</f>
        <v/>
      </c>
      <c r="CO563" t="str">
        <f>""</f>
        <v/>
      </c>
      <c r="CP563" t="str">
        <f>""</f>
        <v/>
      </c>
      <c r="CQ563" t="str">
        <f>""</f>
        <v/>
      </c>
      <c r="CR563" t="str">
        <f>""</f>
        <v/>
      </c>
      <c r="CS563" t="str">
        <f>""</f>
        <v/>
      </c>
      <c r="CT563" t="str">
        <f>""</f>
        <v/>
      </c>
      <c r="CU563" t="str">
        <f>""</f>
        <v/>
      </c>
      <c r="CV563" t="str">
        <f>""</f>
        <v/>
      </c>
      <c r="CW563" t="str">
        <f>""</f>
        <v/>
      </c>
      <c r="CX563" t="str">
        <f>""</f>
        <v/>
      </c>
      <c r="CY563" t="str">
        <f>""</f>
        <v/>
      </c>
      <c r="CZ563" t="str">
        <f>""</f>
        <v/>
      </c>
      <c r="DA563" t="str">
        <f>""</f>
        <v/>
      </c>
      <c r="DB563" t="str">
        <f>""</f>
        <v/>
      </c>
      <c r="DC563" t="str">
        <f>""</f>
        <v/>
      </c>
      <c r="DD563" t="str">
        <f>""</f>
        <v/>
      </c>
      <c r="DE563" t="str">
        <f>""</f>
        <v/>
      </c>
      <c r="DF563" t="str">
        <f>""</f>
        <v/>
      </c>
      <c r="DG563" t="str">
        <f>""</f>
        <v/>
      </c>
      <c r="DH563" t="str">
        <f>""</f>
        <v/>
      </c>
      <c r="DI563" t="str">
        <f>""</f>
        <v/>
      </c>
      <c r="DJ563" t="str">
        <f>""</f>
        <v/>
      </c>
      <c r="DK563" t="str">
        <f>""</f>
        <v/>
      </c>
      <c r="DL563" t="str">
        <f>""</f>
        <v/>
      </c>
      <c r="DM563" t="str">
        <f>""</f>
        <v/>
      </c>
      <c r="DN563" t="str">
        <f>""</f>
        <v/>
      </c>
      <c r="DO563" t="str">
        <f>""</f>
        <v/>
      </c>
      <c r="DP563" t="str">
        <f>""</f>
        <v/>
      </c>
      <c r="DQ563" t="str">
        <f>""</f>
        <v/>
      </c>
      <c r="DR563" t="str">
        <f>""</f>
        <v/>
      </c>
      <c r="DS563" t="str">
        <f>""</f>
        <v/>
      </c>
      <c r="DT563" t="str">
        <f>""</f>
        <v/>
      </c>
      <c r="DU563" t="str">
        <f>""</f>
        <v/>
      </c>
    </row>
    <row r="564" spans="1:125" x14ac:dyDescent="0.25">
      <c r="A564" t="str">
        <f>$A$56</f>
        <v xml:space="preserve">    Fiat Chrysler Automobiles NV</v>
      </c>
      <c r="B564" t="str">
        <f>$B$56</f>
        <v>FCAU US Equity</v>
      </c>
      <c r="C564" t="str">
        <f>$C$56</f>
        <v>EZ019</v>
      </c>
      <c r="D564" t="str">
        <f>$D$56</f>
        <v>BEST_EEPS_CUR_YR</v>
      </c>
      <c r="E564" t="str">
        <f>$E$56</f>
        <v>Dynamic</v>
      </c>
      <c r="F564" t="str">
        <f ca="1">_xll.BDH($B$56,$C$56,$B$509,$B$510,CONCATENATE("Per=",$B$507),"Dts=H","Dir=H",CONCATENATE("Points=",$B$508),"Sort=R","Days=A","Fill=B",CONCATENATE("FX=", $B$506) )</f>
        <v>#N/A Connection</v>
      </c>
      <c r="BN564" t="str">
        <f>""</f>
        <v/>
      </c>
      <c r="BO564" t="str">
        <f>""</f>
        <v/>
      </c>
      <c r="BP564" t="str">
        <f>""</f>
        <v/>
      </c>
      <c r="BQ564" t="str">
        <f>""</f>
        <v/>
      </c>
      <c r="BR564" t="str">
        <f>""</f>
        <v/>
      </c>
      <c r="BS564" t="str">
        <f>""</f>
        <v/>
      </c>
      <c r="BT564" t="str">
        <f>""</f>
        <v/>
      </c>
      <c r="BU564" t="str">
        <f>""</f>
        <v/>
      </c>
      <c r="BV564" t="str">
        <f>""</f>
        <v/>
      </c>
      <c r="BW564" t="str">
        <f>""</f>
        <v/>
      </c>
      <c r="BX564" t="str">
        <f>""</f>
        <v/>
      </c>
      <c r="BY564" t="str">
        <f>""</f>
        <v/>
      </c>
      <c r="BZ564" t="str">
        <f>""</f>
        <v/>
      </c>
      <c r="CA564" t="str">
        <f>""</f>
        <v/>
      </c>
      <c r="CB564" t="str">
        <f>""</f>
        <v/>
      </c>
      <c r="CC564" t="str">
        <f>""</f>
        <v/>
      </c>
      <c r="CD564" t="str">
        <f>""</f>
        <v/>
      </c>
      <c r="CE564" t="str">
        <f>""</f>
        <v/>
      </c>
      <c r="CF564" t="str">
        <f>""</f>
        <v/>
      </c>
      <c r="CG564" t="str">
        <f>""</f>
        <v/>
      </c>
      <c r="CH564" t="str">
        <f>""</f>
        <v/>
      </c>
      <c r="CI564" t="str">
        <f>""</f>
        <v/>
      </c>
      <c r="CJ564" t="str">
        <f>""</f>
        <v/>
      </c>
      <c r="CK564" t="str">
        <f>""</f>
        <v/>
      </c>
      <c r="CL564" t="str">
        <f>""</f>
        <v/>
      </c>
      <c r="CM564" t="str">
        <f>""</f>
        <v/>
      </c>
      <c r="CN564" t="str">
        <f>""</f>
        <v/>
      </c>
      <c r="CO564" t="str">
        <f>""</f>
        <v/>
      </c>
      <c r="CP564" t="str">
        <f>""</f>
        <v/>
      </c>
      <c r="CQ564" t="str">
        <f>""</f>
        <v/>
      </c>
      <c r="CR564" t="str">
        <f>""</f>
        <v/>
      </c>
      <c r="CS564" t="str">
        <f>""</f>
        <v/>
      </c>
      <c r="CT564" t="str">
        <f>""</f>
        <v/>
      </c>
      <c r="CU564" t="str">
        <f>""</f>
        <v/>
      </c>
      <c r="CV564" t="str">
        <f>""</f>
        <v/>
      </c>
      <c r="CW564" t="str">
        <f>""</f>
        <v/>
      </c>
      <c r="CX564" t="str">
        <f>""</f>
        <v/>
      </c>
      <c r="CY564" t="str">
        <f>""</f>
        <v/>
      </c>
      <c r="CZ564" t="str">
        <f>""</f>
        <v/>
      </c>
      <c r="DA564" t="str">
        <f>""</f>
        <v/>
      </c>
      <c r="DB564" t="str">
        <f>""</f>
        <v/>
      </c>
      <c r="DC564" t="str">
        <f>""</f>
        <v/>
      </c>
      <c r="DD564" t="str">
        <f>""</f>
        <v/>
      </c>
      <c r="DE564" t="str">
        <f>""</f>
        <v/>
      </c>
      <c r="DF564" t="str">
        <f>""</f>
        <v/>
      </c>
      <c r="DG564" t="str">
        <f>""</f>
        <v/>
      </c>
      <c r="DH564" t="str">
        <f>""</f>
        <v/>
      </c>
      <c r="DI564" t="str">
        <f>""</f>
        <v/>
      </c>
      <c r="DJ564" t="str">
        <f>""</f>
        <v/>
      </c>
      <c r="DK564" t="str">
        <f>""</f>
        <v/>
      </c>
      <c r="DL564" t="str">
        <f>""</f>
        <v/>
      </c>
      <c r="DM564" t="str">
        <f>""</f>
        <v/>
      </c>
      <c r="DN564" t="str">
        <f>""</f>
        <v/>
      </c>
      <c r="DO564" t="str">
        <f>""</f>
        <v/>
      </c>
      <c r="DP564" t="str">
        <f>""</f>
        <v/>
      </c>
      <c r="DQ564" t="str">
        <f>""</f>
        <v/>
      </c>
      <c r="DR564" t="str">
        <f>""</f>
        <v/>
      </c>
      <c r="DS564" t="str">
        <f>""</f>
        <v/>
      </c>
      <c r="DT564" t="str">
        <f>""</f>
        <v/>
      </c>
      <c r="DU564" t="str">
        <f>""</f>
        <v/>
      </c>
    </row>
    <row r="565" spans="1:125" x14ac:dyDescent="0.25">
      <c r="A565" t="str">
        <f>$A$57</f>
        <v xml:space="preserve">    Ford Motor Co</v>
      </c>
      <c r="B565" t="str">
        <f>$B$57</f>
        <v>F US Equity</v>
      </c>
      <c r="C565" t="str">
        <f>$C$57</f>
        <v>EZ019</v>
      </c>
      <c r="D565" t="str">
        <f>$D$57</f>
        <v>BEST_EEPS_CUR_YR</v>
      </c>
      <c r="E565" t="str">
        <f>$E$57</f>
        <v>Dynamic</v>
      </c>
      <c r="F565" t="str">
        <f ca="1">_xll.BDH($B$57,$C$57,$B$509,$B$510,CONCATENATE("Per=",$B$507),"Dts=H","Dir=H",CONCATENATE("Points=",$B$508),"Sort=R","Days=A","Fill=B",CONCATENATE("FX=", $B$506) )</f>
        <v>#N/A Connection</v>
      </c>
      <c r="BN565" t="str">
        <f>""</f>
        <v/>
      </c>
      <c r="BO565" t="str">
        <f>""</f>
        <v/>
      </c>
      <c r="BP565" t="str">
        <f>""</f>
        <v/>
      </c>
      <c r="BQ565" t="str">
        <f>""</f>
        <v/>
      </c>
      <c r="BR565" t="str">
        <f>""</f>
        <v/>
      </c>
      <c r="BS565" t="str">
        <f>""</f>
        <v/>
      </c>
      <c r="BT565" t="str">
        <f>""</f>
        <v/>
      </c>
      <c r="BU565" t="str">
        <f>""</f>
        <v/>
      </c>
      <c r="BV565" t="str">
        <f>""</f>
        <v/>
      </c>
      <c r="BW565" t="str">
        <f>""</f>
        <v/>
      </c>
      <c r="BX565" t="str">
        <f>""</f>
        <v/>
      </c>
      <c r="BY565" t="str">
        <f>""</f>
        <v/>
      </c>
      <c r="BZ565" t="str">
        <f>""</f>
        <v/>
      </c>
      <c r="CA565" t="str">
        <f>""</f>
        <v/>
      </c>
      <c r="CB565" t="str">
        <f>""</f>
        <v/>
      </c>
      <c r="CC565" t="str">
        <f>""</f>
        <v/>
      </c>
      <c r="CD565" t="str">
        <f>""</f>
        <v/>
      </c>
      <c r="CE565" t="str">
        <f>""</f>
        <v/>
      </c>
      <c r="CF565" t="str">
        <f>""</f>
        <v/>
      </c>
      <c r="CG565" t="str">
        <f>""</f>
        <v/>
      </c>
      <c r="CH565" t="str">
        <f>""</f>
        <v/>
      </c>
      <c r="CI565" t="str">
        <f>""</f>
        <v/>
      </c>
      <c r="CJ565" t="str">
        <f>""</f>
        <v/>
      </c>
      <c r="CK565" t="str">
        <f>""</f>
        <v/>
      </c>
      <c r="CL565" t="str">
        <f>""</f>
        <v/>
      </c>
      <c r="CM565" t="str">
        <f>""</f>
        <v/>
      </c>
      <c r="CN565" t="str">
        <f>""</f>
        <v/>
      </c>
      <c r="CO565" t="str">
        <f>""</f>
        <v/>
      </c>
      <c r="CP565" t="str">
        <f>""</f>
        <v/>
      </c>
      <c r="CQ565" t="str">
        <f>""</f>
        <v/>
      </c>
      <c r="CR565" t="str">
        <f>""</f>
        <v/>
      </c>
      <c r="CS565" t="str">
        <f>""</f>
        <v/>
      </c>
      <c r="CT565" t="str">
        <f>""</f>
        <v/>
      </c>
      <c r="CU565" t="str">
        <f>""</f>
        <v/>
      </c>
      <c r="CV565" t="str">
        <f>""</f>
        <v/>
      </c>
      <c r="CW565" t="str">
        <f>""</f>
        <v/>
      </c>
      <c r="CX565" t="str">
        <f>""</f>
        <v/>
      </c>
      <c r="CY565" t="str">
        <f>""</f>
        <v/>
      </c>
      <c r="CZ565" t="str">
        <f>""</f>
        <v/>
      </c>
      <c r="DA565" t="str">
        <f>""</f>
        <v/>
      </c>
      <c r="DB565" t="str">
        <f>""</f>
        <v/>
      </c>
      <c r="DC565" t="str">
        <f>""</f>
        <v/>
      </c>
      <c r="DD565" t="str">
        <f>""</f>
        <v/>
      </c>
      <c r="DE565" t="str">
        <f>""</f>
        <v/>
      </c>
      <c r="DF565" t="str">
        <f>""</f>
        <v/>
      </c>
      <c r="DG565" t="str">
        <f>""</f>
        <v/>
      </c>
      <c r="DH565" t="str">
        <f>""</f>
        <v/>
      </c>
      <c r="DI565" t="str">
        <f>""</f>
        <v/>
      </c>
      <c r="DJ565" t="str">
        <f>""</f>
        <v/>
      </c>
      <c r="DK565" t="str">
        <f>""</f>
        <v/>
      </c>
      <c r="DL565" t="str">
        <f>""</f>
        <v/>
      </c>
      <c r="DM565" t="str">
        <f>""</f>
        <v/>
      </c>
      <c r="DN565" t="str">
        <f>""</f>
        <v/>
      </c>
      <c r="DO565" t="str">
        <f>""</f>
        <v/>
      </c>
      <c r="DP565" t="str">
        <f>""</f>
        <v/>
      </c>
      <c r="DQ565" t="str">
        <f>""</f>
        <v/>
      </c>
      <c r="DR565" t="str">
        <f>""</f>
        <v/>
      </c>
      <c r="DS565" t="str">
        <f>""</f>
        <v/>
      </c>
      <c r="DT565" t="str">
        <f>""</f>
        <v/>
      </c>
      <c r="DU565" t="str">
        <f>""</f>
        <v/>
      </c>
    </row>
    <row r="566" spans="1:125" x14ac:dyDescent="0.25">
      <c r="A566" t="str">
        <f>$A$58</f>
        <v xml:space="preserve">    Ford Otomotiv Sanayi AS</v>
      </c>
      <c r="B566" t="str">
        <f>$B$58</f>
        <v>FROTOTRY EO Equity</v>
      </c>
      <c r="C566" t="str">
        <f>$C$58</f>
        <v>EZ019</v>
      </c>
      <c r="D566" t="str">
        <f>$D$58</f>
        <v>BEST_EEPS_CUR_YR</v>
      </c>
      <c r="E566" t="str">
        <f>$E$58</f>
        <v>Dynamic</v>
      </c>
      <c r="F566" t="str">
        <f ca="1">_xll.BDH($B$58,$C$58,$B$509,$B$510,CONCATENATE("Per=",$B$507),"Dts=H","Dir=H",CONCATENATE("Points=",$B$508),"Sort=R","Days=A","Fill=B",CONCATENATE("FX=", $B$506) )</f>
        <v>#N/A Connection</v>
      </c>
      <c r="BN566" t="str">
        <f>""</f>
        <v/>
      </c>
      <c r="BO566" t="str">
        <f>""</f>
        <v/>
      </c>
      <c r="BP566" t="str">
        <f>""</f>
        <v/>
      </c>
      <c r="BQ566" t="str">
        <f>""</f>
        <v/>
      </c>
      <c r="BR566" t="str">
        <f>""</f>
        <v/>
      </c>
      <c r="BS566" t="str">
        <f>""</f>
        <v/>
      </c>
      <c r="BT566" t="str">
        <f>""</f>
        <v/>
      </c>
      <c r="BU566" t="str">
        <f>""</f>
        <v/>
      </c>
      <c r="BV566" t="str">
        <f>""</f>
        <v/>
      </c>
      <c r="BW566" t="str">
        <f>""</f>
        <v/>
      </c>
      <c r="BX566" t="str">
        <f>""</f>
        <v/>
      </c>
      <c r="BY566" t="str">
        <f>""</f>
        <v/>
      </c>
      <c r="BZ566" t="str">
        <f>""</f>
        <v/>
      </c>
      <c r="CA566" t="str">
        <f>""</f>
        <v/>
      </c>
      <c r="CB566" t="str">
        <f>""</f>
        <v/>
      </c>
      <c r="CC566" t="str">
        <f>""</f>
        <v/>
      </c>
      <c r="CD566" t="str">
        <f>""</f>
        <v/>
      </c>
      <c r="CE566" t="str">
        <f>""</f>
        <v/>
      </c>
      <c r="CF566" t="str">
        <f>""</f>
        <v/>
      </c>
      <c r="CG566" t="str">
        <f>""</f>
        <v/>
      </c>
      <c r="CH566" t="str">
        <f>""</f>
        <v/>
      </c>
      <c r="CI566" t="str">
        <f>""</f>
        <v/>
      </c>
      <c r="CJ566" t="str">
        <f>""</f>
        <v/>
      </c>
      <c r="CK566" t="str">
        <f>""</f>
        <v/>
      </c>
      <c r="CL566" t="str">
        <f>""</f>
        <v/>
      </c>
      <c r="CM566" t="str">
        <f>""</f>
        <v/>
      </c>
      <c r="CN566" t="str">
        <f>""</f>
        <v/>
      </c>
      <c r="CO566" t="str">
        <f>""</f>
        <v/>
      </c>
      <c r="CP566" t="str">
        <f>""</f>
        <v/>
      </c>
      <c r="CQ566" t="str">
        <f>""</f>
        <v/>
      </c>
      <c r="CR566" t="str">
        <f>""</f>
        <v/>
      </c>
      <c r="CS566" t="str">
        <f>""</f>
        <v/>
      </c>
      <c r="CT566" t="str">
        <f>""</f>
        <v/>
      </c>
      <c r="CU566" t="str">
        <f>""</f>
        <v/>
      </c>
      <c r="CV566" t="str">
        <f>""</f>
        <v/>
      </c>
      <c r="CW566" t="str">
        <f>""</f>
        <v/>
      </c>
      <c r="CX566" t="str">
        <f>""</f>
        <v/>
      </c>
      <c r="CY566" t="str">
        <f>""</f>
        <v/>
      </c>
      <c r="CZ566" t="str">
        <f>""</f>
        <v/>
      </c>
      <c r="DA566" t="str">
        <f>""</f>
        <v/>
      </c>
      <c r="DB566" t="str">
        <f>""</f>
        <v/>
      </c>
      <c r="DC566" t="str">
        <f>""</f>
        <v/>
      </c>
      <c r="DD566" t="str">
        <f>""</f>
        <v/>
      </c>
      <c r="DE566" t="str">
        <f>""</f>
        <v/>
      </c>
      <c r="DF566" t="str">
        <f>""</f>
        <v/>
      </c>
      <c r="DG566" t="str">
        <f>""</f>
        <v/>
      </c>
      <c r="DH566" t="str">
        <f>""</f>
        <v/>
      </c>
      <c r="DI566" t="str">
        <f>""</f>
        <v/>
      </c>
      <c r="DJ566" t="str">
        <f>""</f>
        <v/>
      </c>
      <c r="DK566" t="str">
        <f>""</f>
        <v/>
      </c>
      <c r="DL566" t="str">
        <f>""</f>
        <v/>
      </c>
      <c r="DM566" t="str">
        <f>""</f>
        <v/>
      </c>
      <c r="DN566" t="str">
        <f>""</f>
        <v/>
      </c>
      <c r="DO566" t="str">
        <f>""</f>
        <v/>
      </c>
      <c r="DP566" t="str">
        <f>""</f>
        <v/>
      </c>
      <c r="DQ566" t="str">
        <f>""</f>
        <v/>
      </c>
      <c r="DR566" t="str">
        <f>""</f>
        <v/>
      </c>
      <c r="DS566" t="str">
        <f>""</f>
        <v/>
      </c>
      <c r="DT566" t="str">
        <f>""</f>
        <v/>
      </c>
      <c r="DU566" t="str">
        <f>""</f>
        <v/>
      </c>
    </row>
    <row r="567" spans="1:125" x14ac:dyDescent="0.25">
      <c r="A567" t="str">
        <f>$A$59</f>
        <v xml:space="preserve">    GAZ PJSC</v>
      </c>
      <c r="B567" t="str">
        <f>$B$59</f>
        <v>GAZA RM Equity</v>
      </c>
      <c r="C567" t="str">
        <f>$C$59</f>
        <v>EZ019</v>
      </c>
      <c r="D567" t="str">
        <f>$D$59</f>
        <v>BEST_EEPS_CUR_YR</v>
      </c>
      <c r="E567" t="str">
        <f>$E$59</f>
        <v>Dynamic</v>
      </c>
      <c r="F567" t="str">
        <f ca="1">_xll.BDH($B$59,$C$59,$B$509,$B$510,CONCATENATE("Per=",$B$507),"Dts=H","Dir=H",CONCATENATE("Points=",$B$508),"Sort=R","Days=A","Fill=B",CONCATENATE("FX=", $B$506) )</f>
        <v>#N/A Connection</v>
      </c>
      <c r="BN567" t="str">
        <f>""</f>
        <v/>
      </c>
      <c r="BO567" t="str">
        <f>""</f>
        <v/>
      </c>
      <c r="BP567" t="str">
        <f>""</f>
        <v/>
      </c>
      <c r="BQ567" t="str">
        <f>""</f>
        <v/>
      </c>
      <c r="BR567" t="str">
        <f>""</f>
        <v/>
      </c>
      <c r="BS567" t="str">
        <f>""</f>
        <v/>
      </c>
      <c r="BT567" t="str">
        <f>""</f>
        <v/>
      </c>
      <c r="BU567" t="str">
        <f>""</f>
        <v/>
      </c>
      <c r="BV567" t="str">
        <f>""</f>
        <v/>
      </c>
      <c r="BW567" t="str">
        <f>""</f>
        <v/>
      </c>
      <c r="BX567" t="str">
        <f>""</f>
        <v/>
      </c>
      <c r="BY567" t="str">
        <f>""</f>
        <v/>
      </c>
      <c r="BZ567" t="str">
        <f>""</f>
        <v/>
      </c>
      <c r="CA567" t="str">
        <f>""</f>
        <v/>
      </c>
      <c r="CB567" t="str">
        <f>""</f>
        <v/>
      </c>
      <c r="CC567" t="str">
        <f>""</f>
        <v/>
      </c>
      <c r="CD567" t="str">
        <f>""</f>
        <v/>
      </c>
      <c r="CE567" t="str">
        <f>""</f>
        <v/>
      </c>
      <c r="CF567" t="str">
        <f>""</f>
        <v/>
      </c>
      <c r="CG567" t="str">
        <f>""</f>
        <v/>
      </c>
      <c r="CH567" t="str">
        <f>""</f>
        <v/>
      </c>
      <c r="CI567" t="str">
        <f>""</f>
        <v/>
      </c>
      <c r="CJ567" t="str">
        <f>""</f>
        <v/>
      </c>
      <c r="CK567" t="str">
        <f>""</f>
        <v/>
      </c>
      <c r="CL567" t="str">
        <f>""</f>
        <v/>
      </c>
      <c r="CM567" t="str">
        <f>""</f>
        <v/>
      </c>
      <c r="CN567" t="str">
        <f>""</f>
        <v/>
      </c>
      <c r="CO567" t="str">
        <f>""</f>
        <v/>
      </c>
      <c r="CP567" t="str">
        <f>""</f>
        <v/>
      </c>
      <c r="CQ567" t="str">
        <f>""</f>
        <v/>
      </c>
      <c r="CR567" t="str">
        <f>""</f>
        <v/>
      </c>
      <c r="CS567" t="str">
        <f>""</f>
        <v/>
      </c>
      <c r="CT567" t="str">
        <f>""</f>
        <v/>
      </c>
      <c r="CU567" t="str">
        <f>""</f>
        <v/>
      </c>
      <c r="CV567" t="str">
        <f>""</f>
        <v/>
      </c>
      <c r="CW567" t="str">
        <f>""</f>
        <v/>
      </c>
      <c r="CX567" t="str">
        <f>""</f>
        <v/>
      </c>
      <c r="CY567" t="str">
        <f>""</f>
        <v/>
      </c>
      <c r="CZ567" t="str">
        <f>""</f>
        <v/>
      </c>
      <c r="DA567" t="str">
        <f>""</f>
        <v/>
      </c>
      <c r="DB567" t="str">
        <f>""</f>
        <v/>
      </c>
      <c r="DC567" t="str">
        <f>""</f>
        <v/>
      </c>
      <c r="DD567" t="str">
        <f>""</f>
        <v/>
      </c>
      <c r="DE567" t="str">
        <f>""</f>
        <v/>
      </c>
      <c r="DF567" t="str">
        <f>""</f>
        <v/>
      </c>
      <c r="DG567" t="str">
        <f>""</f>
        <v/>
      </c>
      <c r="DH567" t="str">
        <f>""</f>
        <v/>
      </c>
      <c r="DI567" t="str">
        <f>""</f>
        <v/>
      </c>
      <c r="DJ567" t="str">
        <f>""</f>
        <v/>
      </c>
      <c r="DK567" t="str">
        <f>""</f>
        <v/>
      </c>
      <c r="DL567" t="str">
        <f>""</f>
        <v/>
      </c>
      <c r="DM567" t="str">
        <f>""</f>
        <v/>
      </c>
      <c r="DN567" t="str">
        <f>""</f>
        <v/>
      </c>
      <c r="DO567" t="str">
        <f>""</f>
        <v/>
      </c>
      <c r="DP567" t="str">
        <f>""</f>
        <v/>
      </c>
      <c r="DQ567" t="str">
        <f>""</f>
        <v/>
      </c>
      <c r="DR567" t="str">
        <f>""</f>
        <v/>
      </c>
      <c r="DS567" t="str">
        <f>""</f>
        <v/>
      </c>
      <c r="DT567" t="str">
        <f>""</f>
        <v/>
      </c>
      <c r="DU567" t="str">
        <f>""</f>
        <v/>
      </c>
    </row>
    <row r="568" spans="1:125" x14ac:dyDescent="0.25">
      <c r="A568" t="str">
        <f>$A$60</f>
        <v xml:space="preserve">    Geely Automobile Holdings Ltd</v>
      </c>
      <c r="B568" t="str">
        <f>$B$60</f>
        <v>175 HK Equity</v>
      </c>
      <c r="C568" t="str">
        <f>$C$60</f>
        <v>EZ019</v>
      </c>
      <c r="D568" t="str">
        <f>$D$60</f>
        <v>BEST_EEPS_CUR_YR</v>
      </c>
      <c r="E568" t="str">
        <f>$E$60</f>
        <v>Dynamic</v>
      </c>
      <c r="F568" t="str">
        <f ca="1">_xll.BDH($B$60,$C$60,$B$509,$B$510,CONCATENATE("Per=",$B$507),"Dts=H","Dir=H",CONCATENATE("Points=",$B$508),"Sort=R","Days=A","Fill=B",CONCATENATE("FX=", $B$506) )</f>
        <v>#N/A Connection</v>
      </c>
      <c r="BN568" t="str">
        <f>""</f>
        <v/>
      </c>
      <c r="BO568" t="str">
        <f>""</f>
        <v/>
      </c>
      <c r="BP568" t="str">
        <f>""</f>
        <v/>
      </c>
      <c r="BQ568" t="str">
        <f>""</f>
        <v/>
      </c>
      <c r="BR568" t="str">
        <f>""</f>
        <v/>
      </c>
      <c r="BS568" t="str">
        <f>""</f>
        <v/>
      </c>
      <c r="BT568" t="str">
        <f>""</f>
        <v/>
      </c>
      <c r="BU568" t="str">
        <f>""</f>
        <v/>
      </c>
      <c r="BV568" t="str">
        <f>""</f>
        <v/>
      </c>
      <c r="BW568" t="str">
        <f>""</f>
        <v/>
      </c>
      <c r="BX568" t="str">
        <f>""</f>
        <v/>
      </c>
      <c r="BY568" t="str">
        <f>""</f>
        <v/>
      </c>
      <c r="BZ568" t="str">
        <f>""</f>
        <v/>
      </c>
      <c r="CA568" t="str">
        <f>""</f>
        <v/>
      </c>
      <c r="CB568" t="str">
        <f>""</f>
        <v/>
      </c>
      <c r="CC568" t="str">
        <f>""</f>
        <v/>
      </c>
      <c r="CD568" t="str">
        <f>""</f>
        <v/>
      </c>
      <c r="CE568" t="str">
        <f>""</f>
        <v/>
      </c>
      <c r="CF568" t="str">
        <f>""</f>
        <v/>
      </c>
      <c r="CG568" t="str">
        <f>""</f>
        <v/>
      </c>
      <c r="CH568" t="str">
        <f>""</f>
        <v/>
      </c>
      <c r="CI568" t="str">
        <f>""</f>
        <v/>
      </c>
      <c r="CJ568" t="str">
        <f>""</f>
        <v/>
      </c>
      <c r="CK568" t="str">
        <f>""</f>
        <v/>
      </c>
      <c r="CL568" t="str">
        <f>""</f>
        <v/>
      </c>
      <c r="CM568" t="str">
        <f>""</f>
        <v/>
      </c>
      <c r="CN568" t="str">
        <f>""</f>
        <v/>
      </c>
      <c r="CO568" t="str">
        <f>""</f>
        <v/>
      </c>
      <c r="CP568" t="str">
        <f>""</f>
        <v/>
      </c>
      <c r="CQ568" t="str">
        <f>""</f>
        <v/>
      </c>
      <c r="CR568" t="str">
        <f>""</f>
        <v/>
      </c>
      <c r="CS568" t="str">
        <f>""</f>
        <v/>
      </c>
      <c r="CT568" t="str">
        <f>""</f>
        <v/>
      </c>
      <c r="CU568" t="str">
        <f>""</f>
        <v/>
      </c>
      <c r="CV568" t="str">
        <f>""</f>
        <v/>
      </c>
      <c r="CW568" t="str">
        <f>""</f>
        <v/>
      </c>
      <c r="CX568" t="str">
        <f>""</f>
        <v/>
      </c>
      <c r="CY568" t="str">
        <f>""</f>
        <v/>
      </c>
      <c r="CZ568" t="str">
        <f>""</f>
        <v/>
      </c>
      <c r="DA568" t="str">
        <f>""</f>
        <v/>
      </c>
      <c r="DB568" t="str">
        <f>""</f>
        <v/>
      </c>
      <c r="DC568" t="str">
        <f>""</f>
        <v/>
      </c>
      <c r="DD568" t="str">
        <f>""</f>
        <v/>
      </c>
      <c r="DE568" t="str">
        <f>""</f>
        <v/>
      </c>
      <c r="DF568" t="str">
        <f>""</f>
        <v/>
      </c>
      <c r="DG568" t="str">
        <f>""</f>
        <v/>
      </c>
      <c r="DH568" t="str">
        <f>""</f>
        <v/>
      </c>
      <c r="DI568" t="str">
        <f>""</f>
        <v/>
      </c>
      <c r="DJ568" t="str">
        <f>""</f>
        <v/>
      </c>
      <c r="DK568" t="str">
        <f>""</f>
        <v/>
      </c>
      <c r="DL568" t="str">
        <f>""</f>
        <v/>
      </c>
      <c r="DM568" t="str">
        <f>""</f>
        <v/>
      </c>
      <c r="DN568" t="str">
        <f>""</f>
        <v/>
      </c>
      <c r="DO568" t="str">
        <f>""</f>
        <v/>
      </c>
      <c r="DP568" t="str">
        <f>""</f>
        <v/>
      </c>
      <c r="DQ568" t="str">
        <f>""</f>
        <v/>
      </c>
      <c r="DR568" t="str">
        <f>""</f>
        <v/>
      </c>
      <c r="DS568" t="str">
        <f>""</f>
        <v/>
      </c>
      <c r="DT568" t="str">
        <f>""</f>
        <v/>
      </c>
      <c r="DU568" t="str">
        <f>""</f>
        <v/>
      </c>
    </row>
    <row r="569" spans="1:125" x14ac:dyDescent="0.25">
      <c r="A569" t="str">
        <f>$A$61</f>
        <v xml:space="preserve">    General Motors Co</v>
      </c>
      <c r="B569" t="str">
        <f>$B$61</f>
        <v>GM US Equity</v>
      </c>
      <c r="C569" t="str">
        <f>$C$61</f>
        <v>EZ019</v>
      </c>
      <c r="D569" t="str">
        <f>$D$61</f>
        <v>BEST_EEPS_CUR_YR</v>
      </c>
      <c r="E569" t="str">
        <f>$E$61</f>
        <v>Dynamic</v>
      </c>
      <c r="F569" t="str">
        <f ca="1">_xll.BDH($B$61,$C$61,$B$509,$B$510,CONCATENATE("Per=",$B$507),"Dts=H","Dir=H",CONCATENATE("Points=",$B$508),"Sort=R","Days=A","Fill=B",CONCATENATE("FX=", $B$506) )</f>
        <v>#N/A Connection</v>
      </c>
      <c r="BN569" t="str">
        <f>""</f>
        <v/>
      </c>
      <c r="BO569" t="str">
        <f>""</f>
        <v/>
      </c>
      <c r="BP569" t="str">
        <f>""</f>
        <v/>
      </c>
      <c r="BQ569" t="str">
        <f>""</f>
        <v/>
      </c>
      <c r="BR569" t="str">
        <f>""</f>
        <v/>
      </c>
      <c r="BS569" t="str">
        <f>""</f>
        <v/>
      </c>
      <c r="BT569" t="str">
        <f>""</f>
        <v/>
      </c>
      <c r="BU569" t="str">
        <f>""</f>
        <v/>
      </c>
      <c r="BV569" t="str">
        <f>""</f>
        <v/>
      </c>
      <c r="BW569" t="str">
        <f>""</f>
        <v/>
      </c>
      <c r="BX569" t="str">
        <f>""</f>
        <v/>
      </c>
      <c r="BY569" t="str">
        <f>""</f>
        <v/>
      </c>
      <c r="BZ569" t="str">
        <f>""</f>
        <v/>
      </c>
      <c r="CA569" t="str">
        <f>""</f>
        <v/>
      </c>
      <c r="CB569" t="str">
        <f>""</f>
        <v/>
      </c>
      <c r="CC569" t="str">
        <f>""</f>
        <v/>
      </c>
      <c r="CD569" t="str">
        <f>""</f>
        <v/>
      </c>
      <c r="CE569" t="str">
        <f>""</f>
        <v/>
      </c>
      <c r="CF569" t="str">
        <f>""</f>
        <v/>
      </c>
      <c r="CG569" t="str">
        <f>""</f>
        <v/>
      </c>
      <c r="CH569" t="str">
        <f>""</f>
        <v/>
      </c>
      <c r="CI569" t="str">
        <f>""</f>
        <v/>
      </c>
      <c r="CJ569" t="str">
        <f>""</f>
        <v/>
      </c>
      <c r="CK569" t="str">
        <f>""</f>
        <v/>
      </c>
      <c r="CL569" t="str">
        <f>""</f>
        <v/>
      </c>
      <c r="CM569" t="str">
        <f>""</f>
        <v/>
      </c>
      <c r="CN569" t="str">
        <f>""</f>
        <v/>
      </c>
      <c r="CO569" t="str">
        <f>""</f>
        <v/>
      </c>
      <c r="CP569" t="str">
        <f>""</f>
        <v/>
      </c>
      <c r="CQ569" t="str">
        <f>""</f>
        <v/>
      </c>
      <c r="CR569" t="str">
        <f>""</f>
        <v/>
      </c>
      <c r="CS569" t="str">
        <f>""</f>
        <v/>
      </c>
      <c r="CT569" t="str">
        <f>""</f>
        <v/>
      </c>
      <c r="CU569" t="str">
        <f>""</f>
        <v/>
      </c>
      <c r="CV569" t="str">
        <f>""</f>
        <v/>
      </c>
      <c r="CW569" t="str">
        <f>""</f>
        <v/>
      </c>
      <c r="CX569" t="str">
        <f>""</f>
        <v/>
      </c>
      <c r="CY569" t="str">
        <f>""</f>
        <v/>
      </c>
      <c r="CZ569" t="str">
        <f>""</f>
        <v/>
      </c>
      <c r="DA569" t="str">
        <f>""</f>
        <v/>
      </c>
      <c r="DB569" t="str">
        <f>""</f>
        <v/>
      </c>
      <c r="DC569" t="str">
        <f>""</f>
        <v/>
      </c>
      <c r="DD569" t="str">
        <f>""</f>
        <v/>
      </c>
      <c r="DE569" t="str">
        <f>""</f>
        <v/>
      </c>
      <c r="DF569" t="str">
        <f>""</f>
        <v/>
      </c>
      <c r="DG569" t="str">
        <f>""</f>
        <v/>
      </c>
      <c r="DH569" t="str">
        <f>""</f>
        <v/>
      </c>
      <c r="DI569" t="str">
        <f>""</f>
        <v/>
      </c>
      <c r="DJ569" t="str">
        <f>""</f>
        <v/>
      </c>
      <c r="DK569" t="str">
        <f>""</f>
        <v/>
      </c>
      <c r="DL569" t="str">
        <f>""</f>
        <v/>
      </c>
      <c r="DM569" t="str">
        <f>""</f>
        <v/>
      </c>
      <c r="DN569" t="str">
        <f>""</f>
        <v/>
      </c>
      <c r="DO569" t="str">
        <f>""</f>
        <v/>
      </c>
      <c r="DP569" t="str">
        <f>""</f>
        <v/>
      </c>
      <c r="DQ569" t="str">
        <f>""</f>
        <v/>
      </c>
      <c r="DR569" t="str">
        <f>""</f>
        <v/>
      </c>
      <c r="DS569" t="str">
        <f>""</f>
        <v/>
      </c>
      <c r="DT569" t="str">
        <f>""</f>
        <v/>
      </c>
      <c r="DU569" t="str">
        <f>""</f>
        <v/>
      </c>
    </row>
    <row r="570" spans="1:125" x14ac:dyDescent="0.25">
      <c r="A570" t="str">
        <f>$A$62</f>
        <v xml:space="preserve">    Great Wall Motor Co Ltd</v>
      </c>
      <c r="B570" t="str">
        <f>$B$62</f>
        <v>2333 HK Equity</v>
      </c>
      <c r="C570" t="str">
        <f>$C$62</f>
        <v>EZ019</v>
      </c>
      <c r="D570" t="str">
        <f>$D$62</f>
        <v>BEST_EEPS_CUR_YR</v>
      </c>
      <c r="E570" t="str">
        <f>$E$62</f>
        <v>Dynamic</v>
      </c>
      <c r="F570" t="str">
        <f ca="1">_xll.BDH($B$62,$C$62,$B$509,$B$510,CONCATENATE("Per=",$B$507),"Dts=H","Dir=H",CONCATENATE("Points=",$B$508),"Sort=R","Days=A","Fill=B",CONCATENATE("FX=", $B$506) )</f>
        <v>#N/A Connection</v>
      </c>
      <c r="BN570" t="str">
        <f>""</f>
        <v/>
      </c>
      <c r="BO570" t="str">
        <f>""</f>
        <v/>
      </c>
      <c r="BP570" t="str">
        <f>""</f>
        <v/>
      </c>
      <c r="BQ570" t="str">
        <f>""</f>
        <v/>
      </c>
      <c r="BR570" t="str">
        <f>""</f>
        <v/>
      </c>
      <c r="BS570" t="str">
        <f>""</f>
        <v/>
      </c>
      <c r="BT570" t="str">
        <f>""</f>
        <v/>
      </c>
      <c r="BU570" t="str">
        <f>""</f>
        <v/>
      </c>
      <c r="BV570" t="str">
        <f>""</f>
        <v/>
      </c>
      <c r="BW570" t="str">
        <f>""</f>
        <v/>
      </c>
      <c r="BX570" t="str">
        <f>""</f>
        <v/>
      </c>
      <c r="BY570" t="str">
        <f>""</f>
        <v/>
      </c>
      <c r="BZ570" t="str">
        <f>""</f>
        <v/>
      </c>
      <c r="CA570" t="str">
        <f>""</f>
        <v/>
      </c>
      <c r="CB570" t="str">
        <f>""</f>
        <v/>
      </c>
      <c r="CC570" t="str">
        <f>""</f>
        <v/>
      </c>
      <c r="CD570" t="str">
        <f>""</f>
        <v/>
      </c>
      <c r="CE570" t="str">
        <f>""</f>
        <v/>
      </c>
      <c r="CF570" t="str">
        <f>""</f>
        <v/>
      </c>
      <c r="CG570" t="str">
        <f>""</f>
        <v/>
      </c>
      <c r="CH570" t="str">
        <f>""</f>
        <v/>
      </c>
      <c r="CI570" t="str">
        <f>""</f>
        <v/>
      </c>
      <c r="CJ570" t="str">
        <f>""</f>
        <v/>
      </c>
      <c r="CK570" t="str">
        <f>""</f>
        <v/>
      </c>
      <c r="CL570" t="str">
        <f>""</f>
        <v/>
      </c>
      <c r="CM570" t="str">
        <f>""</f>
        <v/>
      </c>
      <c r="CN570" t="str">
        <f>""</f>
        <v/>
      </c>
      <c r="CO570" t="str">
        <f>""</f>
        <v/>
      </c>
      <c r="CP570" t="str">
        <f>""</f>
        <v/>
      </c>
      <c r="CQ570" t="str">
        <f>""</f>
        <v/>
      </c>
      <c r="CR570" t="str">
        <f>""</f>
        <v/>
      </c>
      <c r="CS570" t="str">
        <f>""</f>
        <v/>
      </c>
      <c r="CT570" t="str">
        <f>""</f>
        <v/>
      </c>
      <c r="CU570" t="str">
        <f>""</f>
        <v/>
      </c>
      <c r="CV570" t="str">
        <f>""</f>
        <v/>
      </c>
      <c r="CW570" t="str">
        <f>""</f>
        <v/>
      </c>
      <c r="CX570" t="str">
        <f>""</f>
        <v/>
      </c>
      <c r="CY570" t="str">
        <f>""</f>
        <v/>
      </c>
      <c r="CZ570" t="str">
        <f>""</f>
        <v/>
      </c>
      <c r="DA570" t="str">
        <f>""</f>
        <v/>
      </c>
      <c r="DB570" t="str">
        <f>""</f>
        <v/>
      </c>
      <c r="DC570" t="str">
        <f>""</f>
        <v/>
      </c>
      <c r="DD570" t="str">
        <f>""</f>
        <v/>
      </c>
      <c r="DE570" t="str">
        <f>""</f>
        <v/>
      </c>
      <c r="DF570" t="str">
        <f>""</f>
        <v/>
      </c>
      <c r="DG570" t="str">
        <f>""</f>
        <v/>
      </c>
      <c r="DH570" t="str">
        <f>""</f>
        <v/>
      </c>
      <c r="DI570" t="str">
        <f>""</f>
        <v/>
      </c>
      <c r="DJ570" t="str">
        <f>""</f>
        <v/>
      </c>
      <c r="DK570" t="str">
        <f>""</f>
        <v/>
      </c>
      <c r="DL570" t="str">
        <f>""</f>
        <v/>
      </c>
      <c r="DM570" t="str">
        <f>""</f>
        <v/>
      </c>
      <c r="DN570" t="str">
        <f>""</f>
        <v/>
      </c>
      <c r="DO570" t="str">
        <f>""</f>
        <v/>
      </c>
      <c r="DP570" t="str">
        <f>""</f>
        <v/>
      </c>
      <c r="DQ570" t="str">
        <f>""</f>
        <v/>
      </c>
      <c r="DR570" t="str">
        <f>""</f>
        <v/>
      </c>
      <c r="DS570" t="str">
        <f>""</f>
        <v/>
      </c>
      <c r="DT570" t="str">
        <f>""</f>
        <v/>
      </c>
      <c r="DU570" t="str">
        <f>""</f>
        <v/>
      </c>
    </row>
    <row r="571" spans="1:125" x14ac:dyDescent="0.25">
      <c r="A571" t="str">
        <f>$A$63</f>
        <v xml:space="preserve">    Guangzhou Automobile Group Co Ltd</v>
      </c>
      <c r="B571" t="str">
        <f>$B$63</f>
        <v>2238 HK Equity</v>
      </c>
      <c r="C571" t="str">
        <f>$C$63</f>
        <v>EZ019</v>
      </c>
      <c r="D571" t="str">
        <f>$D$63</f>
        <v>BEST_EEPS_CUR_YR</v>
      </c>
      <c r="E571" t="str">
        <f>$E$63</f>
        <v>Dynamic</v>
      </c>
      <c r="F571" t="str">
        <f ca="1">_xll.BDH($B$63,$C$63,$B$509,$B$510,CONCATENATE("Per=",$B$507),"Dts=H","Dir=H",CONCATENATE("Points=",$B$508),"Sort=R","Days=A","Fill=B",CONCATENATE("FX=", $B$506) )</f>
        <v>#N/A Connection</v>
      </c>
      <c r="BN571" t="str">
        <f>""</f>
        <v/>
      </c>
      <c r="BO571" t="str">
        <f>""</f>
        <v/>
      </c>
      <c r="BP571" t="str">
        <f>""</f>
        <v/>
      </c>
      <c r="BQ571" t="str">
        <f>""</f>
        <v/>
      </c>
      <c r="BR571" t="str">
        <f>""</f>
        <v/>
      </c>
      <c r="BS571" t="str">
        <f>""</f>
        <v/>
      </c>
      <c r="BT571" t="str">
        <f>""</f>
        <v/>
      </c>
      <c r="BU571" t="str">
        <f>""</f>
        <v/>
      </c>
      <c r="BV571" t="str">
        <f>""</f>
        <v/>
      </c>
      <c r="BW571" t="str">
        <f>""</f>
        <v/>
      </c>
      <c r="BX571" t="str">
        <f>""</f>
        <v/>
      </c>
      <c r="BY571" t="str">
        <f>""</f>
        <v/>
      </c>
      <c r="BZ571" t="str">
        <f>""</f>
        <v/>
      </c>
      <c r="CA571" t="str">
        <f>""</f>
        <v/>
      </c>
      <c r="CB571" t="str">
        <f>""</f>
        <v/>
      </c>
      <c r="CC571" t="str">
        <f>""</f>
        <v/>
      </c>
      <c r="CD571" t="str">
        <f>""</f>
        <v/>
      </c>
      <c r="CE571" t="str">
        <f>""</f>
        <v/>
      </c>
      <c r="CF571" t="str">
        <f>""</f>
        <v/>
      </c>
      <c r="CG571" t="str">
        <f>""</f>
        <v/>
      </c>
      <c r="CH571" t="str">
        <f>""</f>
        <v/>
      </c>
      <c r="CI571" t="str">
        <f>""</f>
        <v/>
      </c>
      <c r="CJ571" t="str">
        <f>""</f>
        <v/>
      </c>
      <c r="CK571" t="str">
        <f>""</f>
        <v/>
      </c>
      <c r="CL571" t="str">
        <f>""</f>
        <v/>
      </c>
      <c r="CM571" t="str">
        <f>""</f>
        <v/>
      </c>
      <c r="CN571" t="str">
        <f>""</f>
        <v/>
      </c>
      <c r="CO571" t="str">
        <f>""</f>
        <v/>
      </c>
      <c r="CP571" t="str">
        <f>""</f>
        <v/>
      </c>
      <c r="CQ571" t="str">
        <f>""</f>
        <v/>
      </c>
      <c r="CR571" t="str">
        <f>""</f>
        <v/>
      </c>
      <c r="CS571" t="str">
        <f>""</f>
        <v/>
      </c>
      <c r="CT571" t="str">
        <f>""</f>
        <v/>
      </c>
      <c r="CU571" t="str">
        <f>""</f>
        <v/>
      </c>
      <c r="CV571" t="str">
        <f>""</f>
        <v/>
      </c>
      <c r="CW571" t="str">
        <f>""</f>
        <v/>
      </c>
      <c r="CX571" t="str">
        <f>""</f>
        <v/>
      </c>
      <c r="CY571" t="str">
        <f>""</f>
        <v/>
      </c>
      <c r="CZ571" t="str">
        <f>""</f>
        <v/>
      </c>
      <c r="DA571" t="str">
        <f>""</f>
        <v/>
      </c>
      <c r="DB571" t="str">
        <f>""</f>
        <v/>
      </c>
      <c r="DC571" t="str">
        <f>""</f>
        <v/>
      </c>
      <c r="DD571" t="str">
        <f>""</f>
        <v/>
      </c>
      <c r="DE571" t="str">
        <f>""</f>
        <v/>
      </c>
      <c r="DF571" t="str">
        <f>""</f>
        <v/>
      </c>
      <c r="DG571" t="str">
        <f>""</f>
        <v/>
      </c>
      <c r="DH571" t="str">
        <f>""</f>
        <v/>
      </c>
      <c r="DI571" t="str">
        <f>""</f>
        <v/>
      </c>
      <c r="DJ571" t="str">
        <f>""</f>
        <v/>
      </c>
      <c r="DK571" t="str">
        <f>""</f>
        <v/>
      </c>
      <c r="DL571" t="str">
        <f>""</f>
        <v/>
      </c>
      <c r="DM571" t="str">
        <f>""</f>
        <v/>
      </c>
      <c r="DN571" t="str">
        <f>""</f>
        <v/>
      </c>
      <c r="DO571" t="str">
        <f>""</f>
        <v/>
      </c>
      <c r="DP571" t="str">
        <f>""</f>
        <v/>
      </c>
      <c r="DQ571" t="str">
        <f>""</f>
        <v/>
      </c>
      <c r="DR571" t="str">
        <f>""</f>
        <v/>
      </c>
      <c r="DS571" t="str">
        <f>""</f>
        <v/>
      </c>
      <c r="DT571" t="str">
        <f>""</f>
        <v/>
      </c>
      <c r="DU571" t="str">
        <f>""</f>
        <v/>
      </c>
    </row>
    <row r="572" spans="1:125" x14ac:dyDescent="0.25">
      <c r="A572" t="str">
        <f>$A$64</f>
        <v xml:space="preserve">    Honda Motor Co Ltd</v>
      </c>
      <c r="B572" t="str">
        <f>$B$64</f>
        <v>7267 JP Equity</v>
      </c>
      <c r="C572" t="str">
        <f>$C$64</f>
        <v>EZ019</v>
      </c>
      <c r="D572" t="str">
        <f>$D$64</f>
        <v>BEST_EEPS_CUR_YR</v>
      </c>
      <c r="E572" t="str">
        <f>$E$64</f>
        <v>Dynamic</v>
      </c>
      <c r="F572" t="str">
        <f ca="1">_xll.BDH($B$64,$C$64,$B$509,$B$510,CONCATENATE("Per=",$B$507),"Dts=H","Dir=H",CONCATENATE("Points=",$B$508),"Sort=R","Days=A","Fill=B",CONCATENATE("FX=", $B$506) )</f>
        <v>#N/A Connection</v>
      </c>
      <c r="BN572" t="str">
        <f>""</f>
        <v/>
      </c>
      <c r="BO572" t="str">
        <f>""</f>
        <v/>
      </c>
      <c r="BP572" t="str">
        <f>""</f>
        <v/>
      </c>
      <c r="BQ572" t="str">
        <f>""</f>
        <v/>
      </c>
      <c r="BR572" t="str">
        <f>""</f>
        <v/>
      </c>
      <c r="BS572" t="str">
        <f>""</f>
        <v/>
      </c>
      <c r="BT572" t="str">
        <f>""</f>
        <v/>
      </c>
      <c r="BU572" t="str">
        <f>""</f>
        <v/>
      </c>
      <c r="BV572" t="str">
        <f>""</f>
        <v/>
      </c>
      <c r="BW572" t="str">
        <f>""</f>
        <v/>
      </c>
      <c r="BX572" t="str">
        <f>""</f>
        <v/>
      </c>
      <c r="BY572" t="str">
        <f>""</f>
        <v/>
      </c>
      <c r="BZ572" t="str">
        <f>""</f>
        <v/>
      </c>
      <c r="CA572" t="str">
        <f>""</f>
        <v/>
      </c>
      <c r="CB572" t="str">
        <f>""</f>
        <v/>
      </c>
      <c r="CC572" t="str">
        <f>""</f>
        <v/>
      </c>
      <c r="CD572" t="str">
        <f>""</f>
        <v/>
      </c>
      <c r="CE572" t="str">
        <f>""</f>
        <v/>
      </c>
      <c r="CF572" t="str">
        <f>""</f>
        <v/>
      </c>
      <c r="CG572" t="str">
        <f>""</f>
        <v/>
      </c>
      <c r="CH572" t="str">
        <f>""</f>
        <v/>
      </c>
      <c r="CI572" t="str">
        <f>""</f>
        <v/>
      </c>
      <c r="CJ572" t="str">
        <f>""</f>
        <v/>
      </c>
      <c r="CK572" t="str">
        <f>""</f>
        <v/>
      </c>
      <c r="CL572" t="str">
        <f>""</f>
        <v/>
      </c>
      <c r="CM572" t="str">
        <f>""</f>
        <v/>
      </c>
      <c r="CN572" t="str">
        <f>""</f>
        <v/>
      </c>
      <c r="CO572" t="str">
        <f>""</f>
        <v/>
      </c>
      <c r="CP572" t="str">
        <f>""</f>
        <v/>
      </c>
      <c r="CQ572" t="str">
        <f>""</f>
        <v/>
      </c>
      <c r="CR572" t="str">
        <f>""</f>
        <v/>
      </c>
      <c r="CS572" t="str">
        <f>""</f>
        <v/>
      </c>
      <c r="CT572" t="str">
        <f>""</f>
        <v/>
      </c>
      <c r="CU572" t="str">
        <f>""</f>
        <v/>
      </c>
      <c r="CV572" t="str">
        <f>""</f>
        <v/>
      </c>
      <c r="CW572" t="str">
        <f>""</f>
        <v/>
      </c>
      <c r="CX572" t="str">
        <f>""</f>
        <v/>
      </c>
      <c r="CY572" t="str">
        <f>""</f>
        <v/>
      </c>
      <c r="CZ572" t="str">
        <f>""</f>
        <v/>
      </c>
      <c r="DA572" t="str">
        <f>""</f>
        <v/>
      </c>
      <c r="DB572" t="str">
        <f>""</f>
        <v/>
      </c>
      <c r="DC572" t="str">
        <f>""</f>
        <v/>
      </c>
      <c r="DD572" t="str">
        <f>""</f>
        <v/>
      </c>
      <c r="DE572" t="str">
        <f>""</f>
        <v/>
      </c>
      <c r="DF572" t="str">
        <f>""</f>
        <v/>
      </c>
      <c r="DG572" t="str">
        <f>""</f>
        <v/>
      </c>
      <c r="DH572" t="str">
        <f>""</f>
        <v/>
      </c>
      <c r="DI572" t="str">
        <f>""</f>
        <v/>
      </c>
      <c r="DJ572" t="str">
        <f>""</f>
        <v/>
      </c>
      <c r="DK572" t="str">
        <f>""</f>
        <v/>
      </c>
      <c r="DL572" t="str">
        <f>""</f>
        <v/>
      </c>
      <c r="DM572" t="str">
        <f>""</f>
        <v/>
      </c>
      <c r="DN572" t="str">
        <f>""</f>
        <v/>
      </c>
      <c r="DO572" t="str">
        <f>""</f>
        <v/>
      </c>
      <c r="DP572" t="str">
        <f>""</f>
        <v/>
      </c>
      <c r="DQ572" t="str">
        <f>""</f>
        <v/>
      </c>
      <c r="DR572" t="str">
        <f>""</f>
        <v/>
      </c>
      <c r="DS572" t="str">
        <f>""</f>
        <v/>
      </c>
      <c r="DT572" t="str">
        <f>""</f>
        <v/>
      </c>
      <c r="DU572" t="str">
        <f>""</f>
        <v/>
      </c>
    </row>
    <row r="573" spans="1:125" x14ac:dyDescent="0.25">
      <c r="A573" t="str">
        <f>$A$65</f>
        <v xml:space="preserve">    Hyundai Motor Co</v>
      </c>
      <c r="B573" t="str">
        <f>$B$65</f>
        <v>005380 KS Equity</v>
      </c>
      <c r="C573" t="str">
        <f>$C$65</f>
        <v>EZ019</v>
      </c>
      <c r="D573" t="str">
        <f>$D$65</f>
        <v>BEST_EEPS_CUR_YR</v>
      </c>
      <c r="E573" t="str">
        <f>$E$65</f>
        <v>Dynamic</v>
      </c>
      <c r="F573" t="str">
        <f ca="1">_xll.BDH($B$65,$C$65,$B$509,$B$510,CONCATENATE("Per=",$B$507),"Dts=H","Dir=H",CONCATENATE("Points=",$B$508),"Sort=R","Days=A","Fill=B",CONCATENATE("FX=", $B$506) )</f>
        <v>#N/A Connection</v>
      </c>
      <c r="BN573" t="str">
        <f>""</f>
        <v/>
      </c>
      <c r="BO573" t="str">
        <f>""</f>
        <v/>
      </c>
      <c r="BP573" t="str">
        <f>""</f>
        <v/>
      </c>
      <c r="BQ573" t="str">
        <f>""</f>
        <v/>
      </c>
      <c r="BR573" t="str">
        <f>""</f>
        <v/>
      </c>
      <c r="BS573" t="str">
        <f>""</f>
        <v/>
      </c>
      <c r="BT573" t="str">
        <f>""</f>
        <v/>
      </c>
      <c r="BU573" t="str">
        <f>""</f>
        <v/>
      </c>
      <c r="BV573" t="str">
        <f>""</f>
        <v/>
      </c>
      <c r="BW573" t="str">
        <f>""</f>
        <v/>
      </c>
      <c r="BX573" t="str">
        <f>""</f>
        <v/>
      </c>
      <c r="BY573" t="str">
        <f>""</f>
        <v/>
      </c>
      <c r="BZ573" t="str">
        <f>""</f>
        <v/>
      </c>
      <c r="CA573" t="str">
        <f>""</f>
        <v/>
      </c>
      <c r="CB573" t="str">
        <f>""</f>
        <v/>
      </c>
      <c r="CC573" t="str">
        <f>""</f>
        <v/>
      </c>
      <c r="CD573" t="str">
        <f>""</f>
        <v/>
      </c>
      <c r="CE573" t="str">
        <f>""</f>
        <v/>
      </c>
      <c r="CF573" t="str">
        <f>""</f>
        <v/>
      </c>
      <c r="CG573" t="str">
        <f>""</f>
        <v/>
      </c>
      <c r="CH573" t="str">
        <f>""</f>
        <v/>
      </c>
      <c r="CI573" t="str">
        <f>""</f>
        <v/>
      </c>
      <c r="CJ573" t="str">
        <f>""</f>
        <v/>
      </c>
      <c r="CK573" t="str">
        <f>""</f>
        <v/>
      </c>
      <c r="CL573" t="str">
        <f>""</f>
        <v/>
      </c>
      <c r="CM573" t="str">
        <f>""</f>
        <v/>
      </c>
      <c r="CN573" t="str">
        <f>""</f>
        <v/>
      </c>
      <c r="CO573" t="str">
        <f>""</f>
        <v/>
      </c>
      <c r="CP573" t="str">
        <f>""</f>
        <v/>
      </c>
      <c r="CQ573" t="str">
        <f>""</f>
        <v/>
      </c>
      <c r="CR573" t="str">
        <f>""</f>
        <v/>
      </c>
      <c r="CS573" t="str">
        <f>""</f>
        <v/>
      </c>
      <c r="CT573" t="str">
        <f>""</f>
        <v/>
      </c>
      <c r="CU573" t="str">
        <f>""</f>
        <v/>
      </c>
      <c r="CV573" t="str">
        <f>""</f>
        <v/>
      </c>
      <c r="CW573" t="str">
        <f>""</f>
        <v/>
      </c>
      <c r="CX573" t="str">
        <f>""</f>
        <v/>
      </c>
      <c r="CY573" t="str">
        <f>""</f>
        <v/>
      </c>
      <c r="CZ573" t="str">
        <f>""</f>
        <v/>
      </c>
      <c r="DA573" t="str">
        <f>""</f>
        <v/>
      </c>
      <c r="DB573" t="str">
        <f>""</f>
        <v/>
      </c>
      <c r="DC573" t="str">
        <f>""</f>
        <v/>
      </c>
      <c r="DD573" t="str">
        <f>""</f>
        <v/>
      </c>
      <c r="DE573" t="str">
        <f>""</f>
        <v/>
      </c>
      <c r="DF573" t="str">
        <f>""</f>
        <v/>
      </c>
      <c r="DG573" t="str">
        <f>""</f>
        <v/>
      </c>
      <c r="DH573" t="str">
        <f>""</f>
        <v/>
      </c>
      <c r="DI573" t="str">
        <f>""</f>
        <v/>
      </c>
      <c r="DJ573" t="str">
        <f>""</f>
        <v/>
      </c>
      <c r="DK573" t="str">
        <f>""</f>
        <v/>
      </c>
      <c r="DL573" t="str">
        <f>""</f>
        <v/>
      </c>
      <c r="DM573" t="str">
        <f>""</f>
        <v/>
      </c>
      <c r="DN573" t="str">
        <f>""</f>
        <v/>
      </c>
      <c r="DO573" t="str">
        <f>""</f>
        <v/>
      </c>
      <c r="DP573" t="str">
        <f>""</f>
        <v/>
      </c>
      <c r="DQ573" t="str">
        <f>""</f>
        <v/>
      </c>
      <c r="DR573" t="str">
        <f>""</f>
        <v/>
      </c>
      <c r="DS573" t="str">
        <f>""</f>
        <v/>
      </c>
      <c r="DT573" t="str">
        <f>""</f>
        <v/>
      </c>
      <c r="DU573" t="str">
        <f>""</f>
        <v/>
      </c>
    </row>
    <row r="574" spans="1:125" x14ac:dyDescent="0.25">
      <c r="A574" t="str">
        <f>$A$66</f>
        <v xml:space="preserve">    Kia Motors Corp</v>
      </c>
      <c r="B574" t="str">
        <f>$B$66</f>
        <v>000270 KS Equity</v>
      </c>
      <c r="C574" t="str">
        <f>$C$66</f>
        <v>EZ019</v>
      </c>
      <c r="D574" t="str">
        <f>$D$66</f>
        <v>BEST_EEPS_CUR_YR</v>
      </c>
      <c r="E574" t="str">
        <f>$E$66</f>
        <v>Dynamic</v>
      </c>
      <c r="F574" t="str">
        <f ca="1">_xll.BDH($B$66,$C$66,$B$509,$B$510,CONCATENATE("Per=",$B$507),"Dts=H","Dir=H",CONCATENATE("Points=",$B$508),"Sort=R","Days=A","Fill=B",CONCATENATE("FX=", $B$506) )</f>
        <v>#N/A Connection</v>
      </c>
      <c r="BN574" t="str">
        <f>""</f>
        <v/>
      </c>
      <c r="BO574" t="str">
        <f>""</f>
        <v/>
      </c>
      <c r="BP574" t="str">
        <f>""</f>
        <v/>
      </c>
      <c r="BQ574" t="str">
        <f>""</f>
        <v/>
      </c>
      <c r="BR574" t="str">
        <f>""</f>
        <v/>
      </c>
      <c r="BS574" t="str">
        <f>""</f>
        <v/>
      </c>
      <c r="BT574" t="str">
        <f>""</f>
        <v/>
      </c>
      <c r="BU574" t="str">
        <f>""</f>
        <v/>
      </c>
      <c r="BV574" t="str">
        <f>""</f>
        <v/>
      </c>
      <c r="BW574" t="str">
        <f>""</f>
        <v/>
      </c>
      <c r="BX574" t="str">
        <f>""</f>
        <v/>
      </c>
      <c r="BY574" t="str">
        <f>""</f>
        <v/>
      </c>
      <c r="BZ574" t="str">
        <f>""</f>
        <v/>
      </c>
      <c r="CA574" t="str">
        <f>""</f>
        <v/>
      </c>
      <c r="CB574" t="str">
        <f>""</f>
        <v/>
      </c>
      <c r="CC574" t="str">
        <f>""</f>
        <v/>
      </c>
      <c r="CD574" t="str">
        <f>""</f>
        <v/>
      </c>
      <c r="CE574" t="str">
        <f>""</f>
        <v/>
      </c>
      <c r="CF574" t="str">
        <f>""</f>
        <v/>
      </c>
      <c r="CG574" t="str">
        <f>""</f>
        <v/>
      </c>
      <c r="CH574" t="str">
        <f>""</f>
        <v/>
      </c>
      <c r="CI574" t="str">
        <f>""</f>
        <v/>
      </c>
      <c r="CJ574" t="str">
        <f>""</f>
        <v/>
      </c>
      <c r="CK574" t="str">
        <f>""</f>
        <v/>
      </c>
      <c r="CL574" t="str">
        <f>""</f>
        <v/>
      </c>
      <c r="CM574" t="str">
        <f>""</f>
        <v/>
      </c>
      <c r="CN574" t="str">
        <f>""</f>
        <v/>
      </c>
      <c r="CO574" t="str">
        <f>""</f>
        <v/>
      </c>
      <c r="CP574" t="str">
        <f>""</f>
        <v/>
      </c>
      <c r="CQ574" t="str">
        <f>""</f>
        <v/>
      </c>
      <c r="CR574" t="str">
        <f>""</f>
        <v/>
      </c>
      <c r="CS574" t="str">
        <f>""</f>
        <v/>
      </c>
      <c r="CT574" t="str">
        <f>""</f>
        <v/>
      </c>
      <c r="CU574" t="str">
        <f>""</f>
        <v/>
      </c>
      <c r="CV574" t="str">
        <f>""</f>
        <v/>
      </c>
      <c r="CW574" t="str">
        <f>""</f>
        <v/>
      </c>
      <c r="CX574" t="str">
        <f>""</f>
        <v/>
      </c>
      <c r="CY574" t="str">
        <f>""</f>
        <v/>
      </c>
      <c r="CZ574" t="str">
        <f>""</f>
        <v/>
      </c>
      <c r="DA574" t="str">
        <f>""</f>
        <v/>
      </c>
      <c r="DB574" t="str">
        <f>""</f>
        <v/>
      </c>
      <c r="DC574" t="str">
        <f>""</f>
        <v/>
      </c>
      <c r="DD574" t="str">
        <f>""</f>
        <v/>
      </c>
      <c r="DE574" t="str">
        <f>""</f>
        <v/>
      </c>
      <c r="DF574" t="str">
        <f>""</f>
        <v/>
      </c>
      <c r="DG574" t="str">
        <f>""</f>
        <v/>
      </c>
      <c r="DH574" t="str">
        <f>""</f>
        <v/>
      </c>
      <c r="DI574" t="str">
        <f>""</f>
        <v/>
      </c>
      <c r="DJ574" t="str">
        <f>""</f>
        <v/>
      </c>
      <c r="DK574" t="str">
        <f>""</f>
        <v/>
      </c>
      <c r="DL574" t="str">
        <f>""</f>
        <v/>
      </c>
      <c r="DM574" t="str">
        <f>""</f>
        <v/>
      </c>
      <c r="DN574" t="str">
        <f>""</f>
        <v/>
      </c>
      <c r="DO574" t="str">
        <f>""</f>
        <v/>
      </c>
      <c r="DP574" t="str">
        <f>""</f>
        <v/>
      </c>
      <c r="DQ574" t="str">
        <f>""</f>
        <v/>
      </c>
      <c r="DR574" t="str">
        <f>""</f>
        <v/>
      </c>
      <c r="DS574" t="str">
        <f>""</f>
        <v/>
      </c>
      <c r="DT574" t="str">
        <f>""</f>
        <v/>
      </c>
      <c r="DU574" t="str">
        <f>""</f>
        <v/>
      </c>
    </row>
    <row r="575" spans="1:125" x14ac:dyDescent="0.25">
      <c r="A575" t="str">
        <f>$A$67</f>
        <v xml:space="preserve">    Mazda Motor Corp</v>
      </c>
      <c r="B575" t="str">
        <f>$B$67</f>
        <v>7261 JP Equity</v>
      </c>
      <c r="C575" t="str">
        <f>$C$67</f>
        <v>EZ019</v>
      </c>
      <c r="D575" t="str">
        <f>$D$67</f>
        <v>BEST_EEPS_CUR_YR</v>
      </c>
      <c r="E575" t="str">
        <f>$E$67</f>
        <v>Dynamic</v>
      </c>
      <c r="F575" t="str">
        <f ca="1">_xll.BDH($B$67,$C$67,$B$509,$B$510,CONCATENATE("Per=",$B$507),"Dts=H","Dir=H",CONCATENATE("Points=",$B$508),"Sort=R","Days=A","Fill=B",CONCATENATE("FX=", $B$506) )</f>
        <v>#N/A Connection</v>
      </c>
      <c r="BN575" t="str">
        <f>""</f>
        <v/>
      </c>
      <c r="BO575" t="str">
        <f>""</f>
        <v/>
      </c>
      <c r="BP575" t="str">
        <f>""</f>
        <v/>
      </c>
      <c r="BQ575" t="str">
        <f>""</f>
        <v/>
      </c>
      <c r="BR575" t="str">
        <f>""</f>
        <v/>
      </c>
      <c r="BS575" t="str">
        <f>""</f>
        <v/>
      </c>
      <c r="BT575" t="str">
        <f>""</f>
        <v/>
      </c>
      <c r="BU575" t="str">
        <f>""</f>
        <v/>
      </c>
      <c r="BV575" t="str">
        <f>""</f>
        <v/>
      </c>
      <c r="BW575" t="str">
        <f>""</f>
        <v/>
      </c>
      <c r="BX575" t="str">
        <f>""</f>
        <v/>
      </c>
      <c r="BY575" t="str">
        <f>""</f>
        <v/>
      </c>
      <c r="BZ575" t="str">
        <f>""</f>
        <v/>
      </c>
      <c r="CA575" t="str">
        <f>""</f>
        <v/>
      </c>
      <c r="CB575" t="str">
        <f>""</f>
        <v/>
      </c>
      <c r="CC575" t="str">
        <f>""</f>
        <v/>
      </c>
      <c r="CD575" t="str">
        <f>""</f>
        <v/>
      </c>
      <c r="CE575" t="str">
        <f>""</f>
        <v/>
      </c>
      <c r="CF575" t="str">
        <f>""</f>
        <v/>
      </c>
      <c r="CG575" t="str">
        <f>""</f>
        <v/>
      </c>
      <c r="CH575" t="str">
        <f>""</f>
        <v/>
      </c>
      <c r="CI575" t="str">
        <f>""</f>
        <v/>
      </c>
      <c r="CJ575" t="str">
        <f>""</f>
        <v/>
      </c>
      <c r="CK575" t="str">
        <f>""</f>
        <v/>
      </c>
      <c r="CL575" t="str">
        <f>""</f>
        <v/>
      </c>
      <c r="CM575" t="str">
        <f>""</f>
        <v/>
      </c>
      <c r="CN575" t="str">
        <f>""</f>
        <v/>
      </c>
      <c r="CO575" t="str">
        <f>""</f>
        <v/>
      </c>
      <c r="CP575" t="str">
        <f>""</f>
        <v/>
      </c>
      <c r="CQ575" t="str">
        <f>""</f>
        <v/>
      </c>
      <c r="CR575" t="str">
        <f>""</f>
        <v/>
      </c>
      <c r="CS575" t="str">
        <f>""</f>
        <v/>
      </c>
      <c r="CT575" t="str">
        <f>""</f>
        <v/>
      </c>
      <c r="CU575" t="str">
        <f>""</f>
        <v/>
      </c>
      <c r="CV575" t="str">
        <f>""</f>
        <v/>
      </c>
      <c r="CW575" t="str">
        <f>""</f>
        <v/>
      </c>
      <c r="CX575" t="str">
        <f>""</f>
        <v/>
      </c>
      <c r="CY575" t="str">
        <f>""</f>
        <v/>
      </c>
      <c r="CZ575" t="str">
        <f>""</f>
        <v/>
      </c>
      <c r="DA575" t="str">
        <f>""</f>
        <v/>
      </c>
      <c r="DB575" t="str">
        <f>""</f>
        <v/>
      </c>
      <c r="DC575" t="str">
        <f>""</f>
        <v/>
      </c>
      <c r="DD575" t="str">
        <f>""</f>
        <v/>
      </c>
      <c r="DE575" t="str">
        <f>""</f>
        <v/>
      </c>
      <c r="DF575" t="str">
        <f>""</f>
        <v/>
      </c>
      <c r="DG575" t="str">
        <f>""</f>
        <v/>
      </c>
      <c r="DH575" t="str">
        <f>""</f>
        <v/>
      </c>
      <c r="DI575" t="str">
        <f>""</f>
        <v/>
      </c>
      <c r="DJ575" t="str">
        <f>""</f>
        <v/>
      </c>
      <c r="DK575" t="str">
        <f>""</f>
        <v/>
      </c>
      <c r="DL575" t="str">
        <f>""</f>
        <v/>
      </c>
      <c r="DM575" t="str">
        <f>""</f>
        <v/>
      </c>
      <c r="DN575" t="str">
        <f>""</f>
        <v/>
      </c>
      <c r="DO575" t="str">
        <f>""</f>
        <v/>
      </c>
      <c r="DP575" t="str">
        <f>""</f>
        <v/>
      </c>
      <c r="DQ575" t="str">
        <f>""</f>
        <v/>
      </c>
      <c r="DR575" t="str">
        <f>""</f>
        <v/>
      </c>
      <c r="DS575" t="str">
        <f>""</f>
        <v/>
      </c>
      <c r="DT575" t="str">
        <f>""</f>
        <v/>
      </c>
      <c r="DU575" t="str">
        <f>""</f>
        <v/>
      </c>
    </row>
    <row r="576" spans="1:125" x14ac:dyDescent="0.25">
      <c r="A576" t="str">
        <f>$A$68</f>
        <v xml:space="preserve">    Mitsubishi Motors Corp</v>
      </c>
      <c r="B576" t="str">
        <f>$B$68</f>
        <v>7211 JP Equity</v>
      </c>
      <c r="C576" t="str">
        <f>$C$68</f>
        <v>EZ019</v>
      </c>
      <c r="D576" t="str">
        <f>$D$68</f>
        <v>BEST_EEPS_CUR_YR</v>
      </c>
      <c r="E576" t="str">
        <f>$E$68</f>
        <v>Dynamic</v>
      </c>
      <c r="F576" t="str">
        <f ca="1">_xll.BDH($B$68,$C$68,$B$509,$B$510,CONCATENATE("Per=",$B$507),"Dts=H","Dir=H",CONCATENATE("Points=",$B$508),"Sort=R","Days=A","Fill=B",CONCATENATE("FX=", $B$506) )</f>
        <v>#N/A Connection</v>
      </c>
      <c r="BN576" t="str">
        <f>""</f>
        <v/>
      </c>
      <c r="BO576" t="str">
        <f>""</f>
        <v/>
      </c>
      <c r="BP576" t="str">
        <f>""</f>
        <v/>
      </c>
      <c r="BQ576" t="str">
        <f>""</f>
        <v/>
      </c>
      <c r="BR576" t="str">
        <f>""</f>
        <v/>
      </c>
      <c r="BS576" t="str">
        <f>""</f>
        <v/>
      </c>
      <c r="BT576" t="str">
        <f>""</f>
        <v/>
      </c>
      <c r="BU576" t="str">
        <f>""</f>
        <v/>
      </c>
      <c r="BV576" t="str">
        <f>""</f>
        <v/>
      </c>
      <c r="BW576" t="str">
        <f>""</f>
        <v/>
      </c>
      <c r="BX576" t="str">
        <f>""</f>
        <v/>
      </c>
      <c r="BY576" t="str">
        <f>""</f>
        <v/>
      </c>
      <c r="BZ576" t="str">
        <f>""</f>
        <v/>
      </c>
      <c r="CA576" t="str">
        <f>""</f>
        <v/>
      </c>
      <c r="CB576" t="str">
        <f>""</f>
        <v/>
      </c>
      <c r="CC576" t="str">
        <f>""</f>
        <v/>
      </c>
      <c r="CD576" t="str">
        <f>""</f>
        <v/>
      </c>
      <c r="CE576" t="str">
        <f>""</f>
        <v/>
      </c>
      <c r="CF576" t="str">
        <f>""</f>
        <v/>
      </c>
      <c r="CG576" t="str">
        <f>""</f>
        <v/>
      </c>
      <c r="CH576" t="str">
        <f>""</f>
        <v/>
      </c>
      <c r="CI576" t="str">
        <f>""</f>
        <v/>
      </c>
      <c r="CJ576" t="str">
        <f>""</f>
        <v/>
      </c>
      <c r="CK576" t="str">
        <f>""</f>
        <v/>
      </c>
      <c r="CL576" t="str">
        <f>""</f>
        <v/>
      </c>
      <c r="CM576" t="str">
        <f>""</f>
        <v/>
      </c>
      <c r="CN576" t="str">
        <f>""</f>
        <v/>
      </c>
      <c r="CO576" t="str">
        <f>""</f>
        <v/>
      </c>
      <c r="CP576" t="str">
        <f>""</f>
        <v/>
      </c>
      <c r="CQ576" t="str">
        <f>""</f>
        <v/>
      </c>
      <c r="CR576" t="str">
        <f>""</f>
        <v/>
      </c>
      <c r="CS576" t="str">
        <f>""</f>
        <v/>
      </c>
      <c r="CT576" t="str">
        <f>""</f>
        <v/>
      </c>
      <c r="CU576" t="str">
        <f>""</f>
        <v/>
      </c>
      <c r="CV576" t="str">
        <f>""</f>
        <v/>
      </c>
      <c r="CW576" t="str">
        <f>""</f>
        <v/>
      </c>
      <c r="CX576" t="str">
        <f>""</f>
        <v/>
      </c>
      <c r="CY576" t="str">
        <f>""</f>
        <v/>
      </c>
      <c r="CZ576" t="str">
        <f>""</f>
        <v/>
      </c>
      <c r="DA576" t="str">
        <f>""</f>
        <v/>
      </c>
      <c r="DB576" t="str">
        <f>""</f>
        <v/>
      </c>
      <c r="DC576" t="str">
        <f>""</f>
        <v/>
      </c>
      <c r="DD576" t="str">
        <f>""</f>
        <v/>
      </c>
      <c r="DE576" t="str">
        <f>""</f>
        <v/>
      </c>
      <c r="DF576" t="str">
        <f>""</f>
        <v/>
      </c>
      <c r="DG576" t="str">
        <f>""</f>
        <v/>
      </c>
      <c r="DH576" t="str">
        <f>""</f>
        <v/>
      </c>
      <c r="DI576" t="str">
        <f>""</f>
        <v/>
      </c>
      <c r="DJ576" t="str">
        <f>""</f>
        <v/>
      </c>
      <c r="DK576" t="str">
        <f>""</f>
        <v/>
      </c>
      <c r="DL576" t="str">
        <f>""</f>
        <v/>
      </c>
      <c r="DM576" t="str">
        <f>""</f>
        <v/>
      </c>
      <c r="DN576" t="str">
        <f>""</f>
        <v/>
      </c>
      <c r="DO576" t="str">
        <f>""</f>
        <v/>
      </c>
      <c r="DP576" t="str">
        <f>""</f>
        <v/>
      </c>
      <c r="DQ576" t="str">
        <f>""</f>
        <v/>
      </c>
      <c r="DR576" t="str">
        <f>""</f>
        <v/>
      </c>
      <c r="DS576" t="str">
        <f>""</f>
        <v/>
      </c>
      <c r="DT576" t="str">
        <f>""</f>
        <v/>
      </c>
      <c r="DU576" t="str">
        <f>""</f>
        <v/>
      </c>
    </row>
    <row r="577" spans="1:125" x14ac:dyDescent="0.25">
      <c r="A577" t="str">
        <f>$A$69</f>
        <v xml:space="preserve">    Nissan Motor Co Ltd</v>
      </c>
      <c r="B577" t="str">
        <f>$B$69</f>
        <v>7201 JP Equity</v>
      </c>
      <c r="C577" t="str">
        <f>$C$69</f>
        <v>EZ019</v>
      </c>
      <c r="D577" t="str">
        <f>$D$69</f>
        <v>BEST_EEPS_CUR_YR</v>
      </c>
      <c r="E577" t="str">
        <f>$E$69</f>
        <v>Dynamic</v>
      </c>
      <c r="F577" t="str">
        <f ca="1">_xll.BDH($B$69,$C$69,$B$509,$B$510,CONCATENATE("Per=",$B$507),"Dts=H","Dir=H",CONCATENATE("Points=",$B$508),"Sort=R","Days=A","Fill=B",CONCATENATE("FX=", $B$506) )</f>
        <v>#N/A Connection</v>
      </c>
      <c r="BN577" t="str">
        <f>""</f>
        <v/>
      </c>
      <c r="BO577" t="str">
        <f>""</f>
        <v/>
      </c>
      <c r="BP577" t="str">
        <f>""</f>
        <v/>
      </c>
      <c r="BQ577" t="str">
        <f>""</f>
        <v/>
      </c>
      <c r="BR577" t="str">
        <f>""</f>
        <v/>
      </c>
      <c r="BS577" t="str">
        <f>""</f>
        <v/>
      </c>
      <c r="BT577" t="str">
        <f>""</f>
        <v/>
      </c>
      <c r="BU577" t="str">
        <f>""</f>
        <v/>
      </c>
      <c r="BV577" t="str">
        <f>""</f>
        <v/>
      </c>
      <c r="BW577" t="str">
        <f>""</f>
        <v/>
      </c>
      <c r="BX577" t="str">
        <f>""</f>
        <v/>
      </c>
      <c r="BY577" t="str">
        <f>""</f>
        <v/>
      </c>
      <c r="BZ577" t="str">
        <f>""</f>
        <v/>
      </c>
      <c r="CA577" t="str">
        <f>""</f>
        <v/>
      </c>
      <c r="CB577" t="str">
        <f>""</f>
        <v/>
      </c>
      <c r="CC577" t="str">
        <f>""</f>
        <v/>
      </c>
      <c r="CD577" t="str">
        <f>""</f>
        <v/>
      </c>
      <c r="CE577" t="str">
        <f>""</f>
        <v/>
      </c>
      <c r="CF577" t="str">
        <f>""</f>
        <v/>
      </c>
      <c r="CG577" t="str">
        <f>""</f>
        <v/>
      </c>
      <c r="CH577" t="str">
        <f>""</f>
        <v/>
      </c>
      <c r="CI577" t="str">
        <f>""</f>
        <v/>
      </c>
      <c r="CJ577" t="str">
        <f>""</f>
        <v/>
      </c>
      <c r="CK577" t="str">
        <f>""</f>
        <v/>
      </c>
      <c r="CL577" t="str">
        <f>""</f>
        <v/>
      </c>
      <c r="CM577" t="str">
        <f>""</f>
        <v/>
      </c>
      <c r="CN577" t="str">
        <f>""</f>
        <v/>
      </c>
      <c r="CO577" t="str">
        <f>""</f>
        <v/>
      </c>
      <c r="CP577" t="str">
        <f>""</f>
        <v/>
      </c>
      <c r="CQ577" t="str">
        <f>""</f>
        <v/>
      </c>
      <c r="CR577" t="str">
        <f>""</f>
        <v/>
      </c>
      <c r="CS577" t="str">
        <f>""</f>
        <v/>
      </c>
      <c r="CT577" t="str">
        <f>""</f>
        <v/>
      </c>
      <c r="CU577" t="str">
        <f>""</f>
        <v/>
      </c>
      <c r="CV577" t="str">
        <f>""</f>
        <v/>
      </c>
      <c r="CW577" t="str">
        <f>""</f>
        <v/>
      </c>
      <c r="CX577" t="str">
        <f>""</f>
        <v/>
      </c>
      <c r="CY577" t="str">
        <f>""</f>
        <v/>
      </c>
      <c r="CZ577" t="str">
        <f>""</f>
        <v/>
      </c>
      <c r="DA577" t="str">
        <f>""</f>
        <v/>
      </c>
      <c r="DB577" t="str">
        <f>""</f>
        <v/>
      </c>
      <c r="DC577" t="str">
        <f>""</f>
        <v/>
      </c>
      <c r="DD577" t="str">
        <f>""</f>
        <v/>
      </c>
      <c r="DE577" t="str">
        <f>""</f>
        <v/>
      </c>
      <c r="DF577" t="str">
        <f>""</f>
        <v/>
      </c>
      <c r="DG577" t="str">
        <f>""</f>
        <v/>
      </c>
      <c r="DH577" t="str">
        <f>""</f>
        <v/>
      </c>
      <c r="DI577" t="str">
        <f>""</f>
        <v/>
      </c>
      <c r="DJ577" t="str">
        <f>""</f>
        <v/>
      </c>
      <c r="DK577" t="str">
        <f>""</f>
        <v/>
      </c>
      <c r="DL577" t="str">
        <f>""</f>
        <v/>
      </c>
      <c r="DM577" t="str">
        <f>""</f>
        <v/>
      </c>
      <c r="DN577" t="str">
        <f>""</f>
        <v/>
      </c>
      <c r="DO577" t="str">
        <f>""</f>
        <v/>
      </c>
      <c r="DP577" t="str">
        <f>""</f>
        <v/>
      </c>
      <c r="DQ577" t="str">
        <f>""</f>
        <v/>
      </c>
      <c r="DR577" t="str">
        <f>""</f>
        <v/>
      </c>
      <c r="DS577" t="str">
        <f>""</f>
        <v/>
      </c>
      <c r="DT577" t="str">
        <f>""</f>
        <v/>
      </c>
      <c r="DU577" t="str">
        <f>""</f>
        <v/>
      </c>
    </row>
    <row r="578" spans="1:125" x14ac:dyDescent="0.25">
      <c r="A578" t="str">
        <f>$A$70</f>
        <v xml:space="preserve">    Peugeot SA</v>
      </c>
      <c r="B578" t="str">
        <f>$B$70</f>
        <v>UG FP Equity</v>
      </c>
      <c r="C578" t="str">
        <f>$C$70</f>
        <v>EZ019</v>
      </c>
      <c r="D578" t="str">
        <f>$D$70</f>
        <v>BEST_EEPS_CUR_YR</v>
      </c>
      <c r="E578" t="str">
        <f>$E$70</f>
        <v>Dynamic</v>
      </c>
      <c r="F578" t="str">
        <f ca="1">_xll.BDH($B$70,$C$70,$B$509,$B$510,CONCATENATE("Per=",$B$507),"Dts=H","Dir=H",CONCATENATE("Points=",$B$508),"Sort=R","Days=A","Fill=B",CONCATENATE("FX=", $B$506) )</f>
        <v>#N/A Connection</v>
      </c>
      <c r="BN578" t="str">
        <f>""</f>
        <v/>
      </c>
      <c r="BO578" t="str">
        <f>""</f>
        <v/>
      </c>
      <c r="BP578" t="str">
        <f>""</f>
        <v/>
      </c>
      <c r="BQ578" t="str">
        <f>""</f>
        <v/>
      </c>
      <c r="BR578" t="str">
        <f>""</f>
        <v/>
      </c>
      <c r="BS578" t="str">
        <f>""</f>
        <v/>
      </c>
      <c r="BT578" t="str">
        <f>""</f>
        <v/>
      </c>
      <c r="BU578" t="str">
        <f>""</f>
        <v/>
      </c>
      <c r="BV578" t="str">
        <f>""</f>
        <v/>
      </c>
      <c r="BW578" t="str">
        <f>""</f>
        <v/>
      </c>
      <c r="BX578" t="str">
        <f>""</f>
        <v/>
      </c>
      <c r="BY578" t="str">
        <f>""</f>
        <v/>
      </c>
      <c r="BZ578" t="str">
        <f>""</f>
        <v/>
      </c>
      <c r="CA578" t="str">
        <f>""</f>
        <v/>
      </c>
      <c r="CB578" t="str">
        <f>""</f>
        <v/>
      </c>
      <c r="CC578" t="str">
        <f>""</f>
        <v/>
      </c>
      <c r="CD578" t="str">
        <f>""</f>
        <v/>
      </c>
      <c r="CE578" t="str">
        <f>""</f>
        <v/>
      </c>
      <c r="CF578" t="str">
        <f>""</f>
        <v/>
      </c>
      <c r="CG578" t="str">
        <f>""</f>
        <v/>
      </c>
      <c r="CH578" t="str">
        <f>""</f>
        <v/>
      </c>
      <c r="CI578" t="str">
        <f>""</f>
        <v/>
      </c>
      <c r="CJ578" t="str">
        <f>""</f>
        <v/>
      </c>
      <c r="CK578" t="str">
        <f>""</f>
        <v/>
      </c>
      <c r="CL578" t="str">
        <f>""</f>
        <v/>
      </c>
      <c r="CM578" t="str">
        <f>""</f>
        <v/>
      </c>
      <c r="CN578" t="str">
        <f>""</f>
        <v/>
      </c>
      <c r="CO578" t="str">
        <f>""</f>
        <v/>
      </c>
      <c r="CP578" t="str">
        <f>""</f>
        <v/>
      </c>
      <c r="CQ578" t="str">
        <f>""</f>
        <v/>
      </c>
      <c r="CR578" t="str">
        <f>""</f>
        <v/>
      </c>
      <c r="CS578" t="str">
        <f>""</f>
        <v/>
      </c>
      <c r="CT578" t="str">
        <f>""</f>
        <v/>
      </c>
      <c r="CU578" t="str">
        <f>""</f>
        <v/>
      </c>
      <c r="CV578" t="str">
        <f>""</f>
        <v/>
      </c>
      <c r="CW578" t="str">
        <f>""</f>
        <v/>
      </c>
      <c r="CX578" t="str">
        <f>""</f>
        <v/>
      </c>
      <c r="CY578" t="str">
        <f>""</f>
        <v/>
      </c>
      <c r="CZ578" t="str">
        <f>""</f>
        <v/>
      </c>
      <c r="DA578" t="str">
        <f>""</f>
        <v/>
      </c>
      <c r="DB578" t="str">
        <f>""</f>
        <v/>
      </c>
      <c r="DC578" t="str">
        <f>""</f>
        <v/>
      </c>
      <c r="DD578" t="str">
        <f>""</f>
        <v/>
      </c>
      <c r="DE578" t="str">
        <f>""</f>
        <v/>
      </c>
      <c r="DF578" t="str">
        <f>""</f>
        <v/>
      </c>
      <c r="DG578" t="str">
        <f>""</f>
        <v/>
      </c>
      <c r="DH578" t="str">
        <f>""</f>
        <v/>
      </c>
      <c r="DI578" t="str">
        <f>""</f>
        <v/>
      </c>
      <c r="DJ578" t="str">
        <f>""</f>
        <v/>
      </c>
      <c r="DK578" t="str">
        <f>""</f>
        <v/>
      </c>
      <c r="DL578" t="str">
        <f>""</f>
        <v/>
      </c>
      <c r="DM578" t="str">
        <f>""</f>
        <v/>
      </c>
      <c r="DN578" t="str">
        <f>""</f>
        <v/>
      </c>
      <c r="DO578" t="str">
        <f>""</f>
        <v/>
      </c>
      <c r="DP578" t="str">
        <f>""</f>
        <v/>
      </c>
      <c r="DQ578" t="str">
        <f>""</f>
        <v/>
      </c>
      <c r="DR578" t="str">
        <f>""</f>
        <v/>
      </c>
      <c r="DS578" t="str">
        <f>""</f>
        <v/>
      </c>
      <c r="DT578" t="str">
        <f>""</f>
        <v/>
      </c>
      <c r="DU578" t="str">
        <f>""</f>
        <v/>
      </c>
    </row>
    <row r="579" spans="1:125" x14ac:dyDescent="0.25">
      <c r="A579" t="str">
        <f>$A$71</f>
        <v xml:space="preserve">    Renault SA</v>
      </c>
      <c r="B579" t="str">
        <f>$B$71</f>
        <v>RNO FP Equity</v>
      </c>
      <c r="C579" t="str">
        <f>$C$71</f>
        <v>EZ019</v>
      </c>
      <c r="D579" t="str">
        <f>$D$71</f>
        <v>BEST_EEPS_CUR_YR</v>
      </c>
      <c r="E579" t="str">
        <f>$E$71</f>
        <v>Dynamic</v>
      </c>
      <c r="F579" t="str">
        <f ca="1">_xll.BDH($B$71,$C$71,$B$509,$B$510,CONCATENATE("Per=",$B$507),"Dts=H","Dir=H",CONCATENATE("Points=",$B$508),"Sort=R","Days=A","Fill=B",CONCATENATE("FX=", $B$506) )</f>
        <v>#N/A Connection</v>
      </c>
      <c r="BN579" t="str">
        <f>""</f>
        <v/>
      </c>
      <c r="BO579" t="str">
        <f>""</f>
        <v/>
      </c>
      <c r="BP579" t="str">
        <f>""</f>
        <v/>
      </c>
      <c r="BQ579" t="str">
        <f>""</f>
        <v/>
      </c>
      <c r="BR579" t="str">
        <f>""</f>
        <v/>
      </c>
      <c r="BS579" t="str">
        <f>""</f>
        <v/>
      </c>
      <c r="BT579" t="str">
        <f>""</f>
        <v/>
      </c>
      <c r="BU579" t="str">
        <f>""</f>
        <v/>
      </c>
      <c r="BV579" t="str">
        <f>""</f>
        <v/>
      </c>
      <c r="BW579" t="str">
        <f>""</f>
        <v/>
      </c>
      <c r="BX579" t="str">
        <f>""</f>
        <v/>
      </c>
      <c r="BY579" t="str">
        <f>""</f>
        <v/>
      </c>
      <c r="BZ579" t="str">
        <f>""</f>
        <v/>
      </c>
      <c r="CA579" t="str">
        <f>""</f>
        <v/>
      </c>
      <c r="CB579" t="str">
        <f>""</f>
        <v/>
      </c>
      <c r="CC579" t="str">
        <f>""</f>
        <v/>
      </c>
      <c r="CD579" t="str">
        <f>""</f>
        <v/>
      </c>
      <c r="CE579" t="str">
        <f>""</f>
        <v/>
      </c>
      <c r="CF579" t="str">
        <f>""</f>
        <v/>
      </c>
      <c r="CG579" t="str">
        <f>""</f>
        <v/>
      </c>
      <c r="CH579" t="str">
        <f>""</f>
        <v/>
      </c>
      <c r="CI579" t="str">
        <f>""</f>
        <v/>
      </c>
      <c r="CJ579" t="str">
        <f>""</f>
        <v/>
      </c>
      <c r="CK579" t="str">
        <f>""</f>
        <v/>
      </c>
      <c r="CL579" t="str">
        <f>""</f>
        <v/>
      </c>
      <c r="CM579" t="str">
        <f>""</f>
        <v/>
      </c>
      <c r="CN579" t="str">
        <f>""</f>
        <v/>
      </c>
      <c r="CO579" t="str">
        <f>""</f>
        <v/>
      </c>
      <c r="CP579" t="str">
        <f>""</f>
        <v/>
      </c>
      <c r="CQ579" t="str">
        <f>""</f>
        <v/>
      </c>
      <c r="CR579" t="str">
        <f>""</f>
        <v/>
      </c>
      <c r="CS579" t="str">
        <f>""</f>
        <v/>
      </c>
      <c r="CT579" t="str">
        <f>""</f>
        <v/>
      </c>
      <c r="CU579" t="str">
        <f>""</f>
        <v/>
      </c>
      <c r="CV579" t="str">
        <f>""</f>
        <v/>
      </c>
      <c r="CW579" t="str">
        <f>""</f>
        <v/>
      </c>
      <c r="CX579" t="str">
        <f>""</f>
        <v/>
      </c>
      <c r="CY579" t="str">
        <f>""</f>
        <v/>
      </c>
      <c r="CZ579" t="str">
        <f>""</f>
        <v/>
      </c>
      <c r="DA579" t="str">
        <f>""</f>
        <v/>
      </c>
      <c r="DB579" t="str">
        <f>""</f>
        <v/>
      </c>
      <c r="DC579" t="str">
        <f>""</f>
        <v/>
      </c>
      <c r="DD579" t="str">
        <f>""</f>
        <v/>
      </c>
      <c r="DE579" t="str">
        <f>""</f>
        <v/>
      </c>
      <c r="DF579" t="str">
        <f>""</f>
        <v/>
      </c>
      <c r="DG579" t="str">
        <f>""</f>
        <v/>
      </c>
      <c r="DH579" t="str">
        <f>""</f>
        <v/>
      </c>
      <c r="DI579" t="str">
        <f>""</f>
        <v/>
      </c>
      <c r="DJ579" t="str">
        <f>""</f>
        <v/>
      </c>
      <c r="DK579" t="str">
        <f>""</f>
        <v/>
      </c>
      <c r="DL579" t="str">
        <f>""</f>
        <v/>
      </c>
      <c r="DM579" t="str">
        <f>""</f>
        <v/>
      </c>
      <c r="DN579" t="str">
        <f>""</f>
        <v/>
      </c>
      <c r="DO579" t="str">
        <f>""</f>
        <v/>
      </c>
      <c r="DP579" t="str">
        <f>""</f>
        <v/>
      </c>
      <c r="DQ579" t="str">
        <f>""</f>
        <v/>
      </c>
      <c r="DR579" t="str">
        <f>""</f>
        <v/>
      </c>
      <c r="DS579" t="str">
        <f>""</f>
        <v/>
      </c>
      <c r="DT579" t="str">
        <f>""</f>
        <v/>
      </c>
      <c r="DU579" t="str">
        <f>""</f>
        <v/>
      </c>
    </row>
    <row r="580" spans="1:125" x14ac:dyDescent="0.25">
      <c r="A580" t="str">
        <f>$A$72</f>
        <v xml:space="preserve">    SAIC Motor Corp Ltd</v>
      </c>
      <c r="B580" t="str">
        <f>$B$72</f>
        <v>600104 CH Equity</v>
      </c>
      <c r="C580" t="str">
        <f>$C$72</f>
        <v>EZ019</v>
      </c>
      <c r="D580" t="str">
        <f>$D$72</f>
        <v>BEST_EEPS_CUR_YR</v>
      </c>
      <c r="E580" t="str">
        <f>$E$72</f>
        <v>Dynamic</v>
      </c>
      <c r="F580" t="str">
        <f ca="1">_xll.BDH($B$72,$C$72,$B$509,$B$510,CONCATENATE("Per=",$B$507),"Dts=H","Dir=H",CONCATENATE("Points=",$B$508),"Sort=R","Days=A","Fill=B",CONCATENATE("FX=", $B$506) )</f>
        <v>#N/A Connection</v>
      </c>
      <c r="BN580" t="str">
        <f>""</f>
        <v/>
      </c>
      <c r="BO580" t="str">
        <f>""</f>
        <v/>
      </c>
      <c r="BP580" t="str">
        <f>""</f>
        <v/>
      </c>
      <c r="BQ580" t="str">
        <f>""</f>
        <v/>
      </c>
      <c r="BR580" t="str">
        <f>""</f>
        <v/>
      </c>
      <c r="BS580" t="str">
        <f>""</f>
        <v/>
      </c>
      <c r="BT580" t="str">
        <f>""</f>
        <v/>
      </c>
      <c r="BU580" t="str">
        <f>""</f>
        <v/>
      </c>
      <c r="BV580" t="str">
        <f>""</f>
        <v/>
      </c>
      <c r="BW580" t="str">
        <f>""</f>
        <v/>
      </c>
      <c r="BX580" t="str">
        <f>""</f>
        <v/>
      </c>
      <c r="BY580" t="str">
        <f>""</f>
        <v/>
      </c>
      <c r="BZ580" t="str">
        <f>""</f>
        <v/>
      </c>
      <c r="CA580" t="str">
        <f>""</f>
        <v/>
      </c>
      <c r="CB580" t="str">
        <f>""</f>
        <v/>
      </c>
      <c r="CC580" t="str">
        <f>""</f>
        <v/>
      </c>
      <c r="CD580" t="str">
        <f>""</f>
        <v/>
      </c>
      <c r="CE580" t="str">
        <f>""</f>
        <v/>
      </c>
      <c r="CF580" t="str">
        <f>""</f>
        <v/>
      </c>
      <c r="CG580" t="str">
        <f>""</f>
        <v/>
      </c>
      <c r="CH580" t="str">
        <f>""</f>
        <v/>
      </c>
      <c r="CI580" t="str">
        <f>""</f>
        <v/>
      </c>
      <c r="CJ580" t="str">
        <f>""</f>
        <v/>
      </c>
      <c r="CK580" t="str">
        <f>""</f>
        <v/>
      </c>
      <c r="CL580" t="str">
        <f>""</f>
        <v/>
      </c>
      <c r="CM580" t="str">
        <f>""</f>
        <v/>
      </c>
      <c r="CN580" t="str">
        <f>""</f>
        <v/>
      </c>
      <c r="CO580" t="str">
        <f>""</f>
        <v/>
      </c>
      <c r="CP580" t="str">
        <f>""</f>
        <v/>
      </c>
      <c r="CQ580" t="str">
        <f>""</f>
        <v/>
      </c>
      <c r="CR580" t="str">
        <f>""</f>
        <v/>
      </c>
      <c r="CS580" t="str">
        <f>""</f>
        <v/>
      </c>
      <c r="CT580" t="str">
        <f>""</f>
        <v/>
      </c>
      <c r="CU580" t="str">
        <f>""</f>
        <v/>
      </c>
      <c r="CV580" t="str">
        <f>""</f>
        <v/>
      </c>
      <c r="CW580" t="str">
        <f>""</f>
        <v/>
      </c>
      <c r="CX580" t="str">
        <f>""</f>
        <v/>
      </c>
      <c r="CY580" t="str">
        <f>""</f>
        <v/>
      </c>
      <c r="CZ580" t="str">
        <f>""</f>
        <v/>
      </c>
      <c r="DA580" t="str">
        <f>""</f>
        <v/>
      </c>
      <c r="DB580" t="str">
        <f>""</f>
        <v/>
      </c>
      <c r="DC580" t="str">
        <f>""</f>
        <v/>
      </c>
      <c r="DD580" t="str">
        <f>""</f>
        <v/>
      </c>
      <c r="DE580" t="str">
        <f>""</f>
        <v/>
      </c>
      <c r="DF580" t="str">
        <f>""</f>
        <v/>
      </c>
      <c r="DG580" t="str">
        <f>""</f>
        <v/>
      </c>
      <c r="DH580" t="str">
        <f>""</f>
        <v/>
      </c>
      <c r="DI580" t="str">
        <f>""</f>
        <v/>
      </c>
      <c r="DJ580" t="str">
        <f>""</f>
        <v/>
      </c>
      <c r="DK580" t="str">
        <f>""</f>
        <v/>
      </c>
      <c r="DL580" t="str">
        <f>""</f>
        <v/>
      </c>
      <c r="DM580" t="str">
        <f>""</f>
        <v/>
      </c>
      <c r="DN580" t="str">
        <f>""</f>
        <v/>
      </c>
      <c r="DO580" t="str">
        <f>""</f>
        <v/>
      </c>
      <c r="DP580" t="str">
        <f>""</f>
        <v/>
      </c>
      <c r="DQ580" t="str">
        <f>""</f>
        <v/>
      </c>
      <c r="DR580" t="str">
        <f>""</f>
        <v/>
      </c>
      <c r="DS580" t="str">
        <f>""</f>
        <v/>
      </c>
      <c r="DT580" t="str">
        <f>""</f>
        <v/>
      </c>
      <c r="DU580" t="str">
        <f>""</f>
        <v/>
      </c>
    </row>
    <row r="581" spans="1:125" x14ac:dyDescent="0.25">
      <c r="A581" t="str">
        <f>$A$73</f>
        <v xml:space="preserve">    Sanyang Motor Co Ltd</v>
      </c>
      <c r="B581" t="str">
        <f>$B$73</f>
        <v>2206 TT Equity</v>
      </c>
      <c r="C581" t="str">
        <f>$C$73</f>
        <v>EZ019</v>
      </c>
      <c r="D581" t="str">
        <f>$D$73</f>
        <v>BEST_EEPS_CUR_YR</v>
      </c>
      <c r="E581" t="str">
        <f>$E$73</f>
        <v>Dynamic</v>
      </c>
      <c r="F581" t="str">
        <f ca="1">_xll.BDH($B$73,$C$73,$B$509,$B$510,CONCATENATE("Per=",$B$507),"Dts=H","Dir=H",CONCATENATE("Points=",$B$508),"Sort=R","Days=A","Fill=B",CONCATENATE("FX=", $B$506) )</f>
        <v>#N/A Connection</v>
      </c>
      <c r="BN581" t="str">
        <f>""</f>
        <v/>
      </c>
      <c r="BO581" t="str">
        <f>""</f>
        <v/>
      </c>
      <c r="BP581" t="str">
        <f>""</f>
        <v/>
      </c>
      <c r="BQ581" t="str">
        <f>""</f>
        <v/>
      </c>
      <c r="BR581" t="str">
        <f>""</f>
        <v/>
      </c>
      <c r="BS581" t="str">
        <f>""</f>
        <v/>
      </c>
      <c r="BT581" t="str">
        <f>""</f>
        <v/>
      </c>
      <c r="BU581" t="str">
        <f>""</f>
        <v/>
      </c>
      <c r="BV581" t="str">
        <f>""</f>
        <v/>
      </c>
      <c r="BW581" t="str">
        <f>""</f>
        <v/>
      </c>
      <c r="BX581" t="str">
        <f>""</f>
        <v/>
      </c>
      <c r="BY581" t="str">
        <f>""</f>
        <v/>
      </c>
      <c r="BZ581" t="str">
        <f>""</f>
        <v/>
      </c>
      <c r="CA581" t="str">
        <f>""</f>
        <v/>
      </c>
      <c r="CB581" t="str">
        <f>""</f>
        <v/>
      </c>
      <c r="CC581" t="str">
        <f>""</f>
        <v/>
      </c>
      <c r="CD581" t="str">
        <f>""</f>
        <v/>
      </c>
      <c r="CE581" t="str">
        <f>""</f>
        <v/>
      </c>
      <c r="CF581" t="str">
        <f>""</f>
        <v/>
      </c>
      <c r="CG581" t="str">
        <f>""</f>
        <v/>
      </c>
      <c r="CH581" t="str">
        <f>""</f>
        <v/>
      </c>
      <c r="CI581" t="str">
        <f>""</f>
        <v/>
      </c>
      <c r="CJ581" t="str">
        <f>""</f>
        <v/>
      </c>
      <c r="CK581" t="str">
        <f>""</f>
        <v/>
      </c>
      <c r="CL581" t="str">
        <f>""</f>
        <v/>
      </c>
      <c r="CM581" t="str">
        <f>""</f>
        <v/>
      </c>
      <c r="CN581" t="str">
        <f>""</f>
        <v/>
      </c>
      <c r="CO581" t="str">
        <f>""</f>
        <v/>
      </c>
      <c r="CP581" t="str">
        <f>""</f>
        <v/>
      </c>
      <c r="CQ581" t="str">
        <f>""</f>
        <v/>
      </c>
      <c r="CR581" t="str">
        <f>""</f>
        <v/>
      </c>
      <c r="CS581" t="str">
        <f>""</f>
        <v/>
      </c>
      <c r="CT581" t="str">
        <f>""</f>
        <v/>
      </c>
      <c r="CU581" t="str">
        <f>""</f>
        <v/>
      </c>
      <c r="CV581" t="str">
        <f>""</f>
        <v/>
      </c>
      <c r="CW581" t="str">
        <f>""</f>
        <v/>
      </c>
      <c r="CX581" t="str">
        <f>""</f>
        <v/>
      </c>
      <c r="CY581" t="str">
        <f>""</f>
        <v/>
      </c>
      <c r="CZ581" t="str">
        <f>""</f>
        <v/>
      </c>
      <c r="DA581" t="str">
        <f>""</f>
        <v/>
      </c>
      <c r="DB581" t="str">
        <f>""</f>
        <v/>
      </c>
      <c r="DC581" t="str">
        <f>""</f>
        <v/>
      </c>
      <c r="DD581" t="str">
        <f>""</f>
        <v/>
      </c>
      <c r="DE581" t="str">
        <f>""</f>
        <v/>
      </c>
      <c r="DF581" t="str">
        <f>""</f>
        <v/>
      </c>
      <c r="DG581" t="str">
        <f>""</f>
        <v/>
      </c>
      <c r="DH581" t="str">
        <f>""</f>
        <v/>
      </c>
      <c r="DI581" t="str">
        <f>""</f>
        <v/>
      </c>
      <c r="DJ581" t="str">
        <f>""</f>
        <v/>
      </c>
      <c r="DK581" t="str">
        <f>""</f>
        <v/>
      </c>
      <c r="DL581" t="str">
        <f>""</f>
        <v/>
      </c>
      <c r="DM581" t="str">
        <f>""</f>
        <v/>
      </c>
      <c r="DN581" t="str">
        <f>""</f>
        <v/>
      </c>
      <c r="DO581" t="str">
        <f>""</f>
        <v/>
      </c>
      <c r="DP581" t="str">
        <f>""</f>
        <v/>
      </c>
      <c r="DQ581" t="str">
        <f>""</f>
        <v/>
      </c>
      <c r="DR581" t="str">
        <f>""</f>
        <v/>
      </c>
      <c r="DS581" t="str">
        <f>""</f>
        <v/>
      </c>
      <c r="DT581" t="str">
        <f>""</f>
        <v/>
      </c>
      <c r="DU581" t="str">
        <f>""</f>
        <v/>
      </c>
    </row>
    <row r="582" spans="1:125" x14ac:dyDescent="0.25">
      <c r="A582" t="str">
        <f>$A$74</f>
        <v xml:space="preserve">    Sollers PJSC</v>
      </c>
      <c r="B582" t="str">
        <f>$B$74</f>
        <v>SVAV RM Equity</v>
      </c>
      <c r="C582" t="str">
        <f>$C$74</f>
        <v>EZ019</v>
      </c>
      <c r="D582" t="str">
        <f>$D$74</f>
        <v>BEST_EEPS_CUR_YR</v>
      </c>
      <c r="E582" t="str">
        <f>$E$74</f>
        <v>Dynamic</v>
      </c>
      <c r="F582" t="str">
        <f ca="1">_xll.BDH($B$74,$C$74,$B$509,$B$510,CONCATENATE("Per=",$B$507),"Dts=H","Dir=H",CONCATENATE("Points=",$B$508),"Sort=R","Days=A","Fill=B",CONCATENATE("FX=", $B$506) )</f>
        <v>#N/A Connection</v>
      </c>
      <c r="BN582" t="str">
        <f>""</f>
        <v/>
      </c>
      <c r="BO582" t="str">
        <f>""</f>
        <v/>
      </c>
      <c r="BP582" t="str">
        <f>""</f>
        <v/>
      </c>
      <c r="BQ582" t="str">
        <f>""</f>
        <v/>
      </c>
      <c r="BR582" t="str">
        <f>""</f>
        <v/>
      </c>
      <c r="BS582" t="str">
        <f>""</f>
        <v/>
      </c>
      <c r="BT582" t="str">
        <f>""</f>
        <v/>
      </c>
      <c r="BU582" t="str">
        <f>""</f>
        <v/>
      </c>
      <c r="BV582" t="str">
        <f>""</f>
        <v/>
      </c>
      <c r="BW582" t="str">
        <f>""</f>
        <v/>
      </c>
      <c r="BX582" t="str">
        <f>""</f>
        <v/>
      </c>
      <c r="BY582" t="str">
        <f>""</f>
        <v/>
      </c>
      <c r="BZ582" t="str">
        <f>""</f>
        <v/>
      </c>
      <c r="CA582" t="str">
        <f>""</f>
        <v/>
      </c>
      <c r="CB582" t="str">
        <f>""</f>
        <v/>
      </c>
      <c r="CC582" t="str">
        <f>""</f>
        <v/>
      </c>
      <c r="CD582" t="str">
        <f>""</f>
        <v/>
      </c>
      <c r="CE582" t="str">
        <f>""</f>
        <v/>
      </c>
      <c r="CF582" t="str">
        <f>""</f>
        <v/>
      </c>
      <c r="CG582" t="str">
        <f>""</f>
        <v/>
      </c>
      <c r="CH582" t="str">
        <f>""</f>
        <v/>
      </c>
      <c r="CI582" t="str">
        <f>""</f>
        <v/>
      </c>
      <c r="CJ582" t="str">
        <f>""</f>
        <v/>
      </c>
      <c r="CK582" t="str">
        <f>""</f>
        <v/>
      </c>
      <c r="CL582" t="str">
        <f>""</f>
        <v/>
      </c>
      <c r="CM582" t="str">
        <f>""</f>
        <v/>
      </c>
      <c r="CN582" t="str">
        <f>""</f>
        <v/>
      </c>
      <c r="CO582" t="str">
        <f>""</f>
        <v/>
      </c>
      <c r="CP582" t="str">
        <f>""</f>
        <v/>
      </c>
      <c r="CQ582" t="str">
        <f>""</f>
        <v/>
      </c>
      <c r="CR582" t="str">
        <f>""</f>
        <v/>
      </c>
      <c r="CS582" t="str">
        <f>""</f>
        <v/>
      </c>
      <c r="CT582" t="str">
        <f>""</f>
        <v/>
      </c>
      <c r="CU582" t="str">
        <f>""</f>
        <v/>
      </c>
      <c r="CV582" t="str">
        <f>""</f>
        <v/>
      </c>
      <c r="CW582" t="str">
        <f>""</f>
        <v/>
      </c>
      <c r="CX582" t="str">
        <f>""</f>
        <v/>
      </c>
      <c r="CY582" t="str">
        <f>""</f>
        <v/>
      </c>
      <c r="CZ582" t="str">
        <f>""</f>
        <v/>
      </c>
      <c r="DA582" t="str">
        <f>""</f>
        <v/>
      </c>
      <c r="DB582" t="str">
        <f>""</f>
        <v/>
      </c>
      <c r="DC582" t="str">
        <f>""</f>
        <v/>
      </c>
      <c r="DD582" t="str">
        <f>""</f>
        <v/>
      </c>
      <c r="DE582" t="str">
        <f>""</f>
        <v/>
      </c>
      <c r="DF582" t="str">
        <f>""</f>
        <v/>
      </c>
      <c r="DG582" t="str">
        <f>""</f>
        <v/>
      </c>
      <c r="DH582" t="str">
        <f>""</f>
        <v/>
      </c>
      <c r="DI582" t="str">
        <f>""</f>
        <v/>
      </c>
      <c r="DJ582" t="str">
        <f>""</f>
        <v/>
      </c>
      <c r="DK582" t="str">
        <f>""</f>
        <v/>
      </c>
      <c r="DL582" t="str">
        <f>""</f>
        <v/>
      </c>
      <c r="DM582" t="str">
        <f>""</f>
        <v/>
      </c>
      <c r="DN582" t="str">
        <f>""</f>
        <v/>
      </c>
      <c r="DO582" t="str">
        <f>""</f>
        <v/>
      </c>
      <c r="DP582" t="str">
        <f>""</f>
        <v/>
      </c>
      <c r="DQ582" t="str">
        <f>""</f>
        <v/>
      </c>
      <c r="DR582" t="str">
        <f>""</f>
        <v/>
      </c>
      <c r="DS582" t="str">
        <f>""</f>
        <v/>
      </c>
      <c r="DT582" t="str">
        <f>""</f>
        <v/>
      </c>
      <c r="DU582" t="str">
        <f>""</f>
        <v/>
      </c>
    </row>
    <row r="583" spans="1:125" x14ac:dyDescent="0.25">
      <c r="A583" t="str">
        <f>$A$75</f>
        <v xml:space="preserve">    Ssangyong Motor Co</v>
      </c>
      <c r="B583" t="str">
        <f>$B$75</f>
        <v>003620 KS Equity</v>
      </c>
      <c r="C583" t="str">
        <f>$C$75</f>
        <v>EZ019</v>
      </c>
      <c r="D583" t="str">
        <f>$D$75</f>
        <v>BEST_EEPS_CUR_YR</v>
      </c>
      <c r="E583" t="str">
        <f>$E$75</f>
        <v>Dynamic</v>
      </c>
      <c r="F583" t="str">
        <f ca="1">_xll.BDH($B$75,$C$75,$B$509,$B$510,CONCATENATE("Per=",$B$507),"Dts=H","Dir=H",CONCATENATE("Points=",$B$508),"Sort=R","Days=A","Fill=B",CONCATENATE("FX=", $B$506) )</f>
        <v>#N/A Connection</v>
      </c>
      <c r="BN583" t="str">
        <f>""</f>
        <v/>
      </c>
      <c r="BO583" t="str">
        <f>""</f>
        <v/>
      </c>
      <c r="BP583" t="str">
        <f>""</f>
        <v/>
      </c>
      <c r="BQ583" t="str">
        <f>""</f>
        <v/>
      </c>
      <c r="BR583" t="str">
        <f>""</f>
        <v/>
      </c>
      <c r="BS583" t="str">
        <f>""</f>
        <v/>
      </c>
      <c r="BT583" t="str">
        <f>""</f>
        <v/>
      </c>
      <c r="BU583" t="str">
        <f>""</f>
        <v/>
      </c>
      <c r="BV583" t="str">
        <f>""</f>
        <v/>
      </c>
      <c r="BW583" t="str">
        <f>""</f>
        <v/>
      </c>
      <c r="BX583" t="str">
        <f>""</f>
        <v/>
      </c>
      <c r="BY583" t="str">
        <f>""</f>
        <v/>
      </c>
      <c r="BZ583" t="str">
        <f>""</f>
        <v/>
      </c>
      <c r="CA583" t="str">
        <f>""</f>
        <v/>
      </c>
      <c r="CB583" t="str">
        <f>""</f>
        <v/>
      </c>
      <c r="CC583" t="str">
        <f>""</f>
        <v/>
      </c>
      <c r="CD583" t="str">
        <f>""</f>
        <v/>
      </c>
      <c r="CE583" t="str">
        <f>""</f>
        <v/>
      </c>
      <c r="CF583" t="str">
        <f>""</f>
        <v/>
      </c>
      <c r="CG583" t="str">
        <f>""</f>
        <v/>
      </c>
      <c r="CH583" t="str">
        <f>""</f>
        <v/>
      </c>
      <c r="CI583" t="str">
        <f>""</f>
        <v/>
      </c>
      <c r="CJ583" t="str">
        <f>""</f>
        <v/>
      </c>
      <c r="CK583" t="str">
        <f>""</f>
        <v/>
      </c>
      <c r="CL583" t="str">
        <f>""</f>
        <v/>
      </c>
      <c r="CM583" t="str">
        <f>""</f>
        <v/>
      </c>
      <c r="CN583" t="str">
        <f>""</f>
        <v/>
      </c>
      <c r="CO583" t="str">
        <f>""</f>
        <v/>
      </c>
      <c r="CP583" t="str">
        <f>""</f>
        <v/>
      </c>
      <c r="CQ583" t="str">
        <f>""</f>
        <v/>
      </c>
      <c r="CR583" t="str">
        <f>""</f>
        <v/>
      </c>
      <c r="CS583" t="str">
        <f>""</f>
        <v/>
      </c>
      <c r="CT583" t="str">
        <f>""</f>
        <v/>
      </c>
      <c r="CU583" t="str">
        <f>""</f>
        <v/>
      </c>
      <c r="CV583" t="str">
        <f>""</f>
        <v/>
      </c>
      <c r="CW583" t="str">
        <f>""</f>
        <v/>
      </c>
      <c r="CX583" t="str">
        <f>""</f>
        <v/>
      </c>
      <c r="CY583" t="str">
        <f>""</f>
        <v/>
      </c>
      <c r="CZ583" t="str">
        <f>""</f>
        <v/>
      </c>
      <c r="DA583" t="str">
        <f>""</f>
        <v/>
      </c>
      <c r="DB583" t="str">
        <f>""</f>
        <v/>
      </c>
      <c r="DC583" t="str">
        <f>""</f>
        <v/>
      </c>
      <c r="DD583" t="str">
        <f>""</f>
        <v/>
      </c>
      <c r="DE583" t="str">
        <f>""</f>
        <v/>
      </c>
      <c r="DF583" t="str">
        <f>""</f>
        <v/>
      </c>
      <c r="DG583" t="str">
        <f>""</f>
        <v/>
      </c>
      <c r="DH583" t="str">
        <f>""</f>
        <v/>
      </c>
      <c r="DI583" t="str">
        <f>""</f>
        <v/>
      </c>
      <c r="DJ583" t="str">
        <f>""</f>
        <v/>
      </c>
      <c r="DK583" t="str">
        <f>""</f>
        <v/>
      </c>
      <c r="DL583" t="str">
        <f>""</f>
        <v/>
      </c>
      <c r="DM583" t="str">
        <f>""</f>
        <v/>
      </c>
      <c r="DN583" t="str">
        <f>""</f>
        <v/>
      </c>
      <c r="DO583" t="str">
        <f>""</f>
        <v/>
      </c>
      <c r="DP583" t="str">
        <f>""</f>
        <v/>
      </c>
      <c r="DQ583" t="str">
        <f>""</f>
        <v/>
      </c>
      <c r="DR583" t="str">
        <f>""</f>
        <v/>
      </c>
      <c r="DS583" t="str">
        <f>""</f>
        <v/>
      </c>
      <c r="DT583" t="str">
        <f>""</f>
        <v/>
      </c>
      <c r="DU583" t="str">
        <f>""</f>
        <v/>
      </c>
    </row>
    <row r="584" spans="1:125" x14ac:dyDescent="0.25">
      <c r="A584" t="str">
        <f>$A$76</f>
        <v xml:space="preserve">    Subaru Corp</v>
      </c>
      <c r="B584" t="str">
        <f>$B$76</f>
        <v>7270 JP Equity</v>
      </c>
      <c r="C584" t="str">
        <f>$C$76</f>
        <v>EZ019</v>
      </c>
      <c r="D584" t="str">
        <f>$D$76</f>
        <v>BEST_EEPS_CUR_YR</v>
      </c>
      <c r="E584" t="str">
        <f>$E$76</f>
        <v>Dynamic</v>
      </c>
      <c r="F584" t="str">
        <f ca="1">_xll.BDH($B$76,$C$76,$B$509,$B$510,CONCATENATE("Per=",$B$507),"Dts=H","Dir=H",CONCATENATE("Points=",$B$508),"Sort=R","Days=A","Fill=B",CONCATENATE("FX=", $B$506) )</f>
        <v>#N/A Connection</v>
      </c>
      <c r="BN584" t="str">
        <f>""</f>
        <v/>
      </c>
      <c r="BO584" t="str">
        <f>""</f>
        <v/>
      </c>
      <c r="BP584" t="str">
        <f>""</f>
        <v/>
      </c>
      <c r="BQ584" t="str">
        <f>""</f>
        <v/>
      </c>
      <c r="BR584" t="str">
        <f>""</f>
        <v/>
      </c>
      <c r="BS584" t="str">
        <f>""</f>
        <v/>
      </c>
      <c r="BT584" t="str">
        <f>""</f>
        <v/>
      </c>
      <c r="BU584" t="str">
        <f>""</f>
        <v/>
      </c>
      <c r="BV584" t="str">
        <f>""</f>
        <v/>
      </c>
      <c r="BW584" t="str">
        <f>""</f>
        <v/>
      </c>
      <c r="BX584" t="str">
        <f>""</f>
        <v/>
      </c>
      <c r="BY584" t="str">
        <f>""</f>
        <v/>
      </c>
      <c r="BZ584" t="str">
        <f>""</f>
        <v/>
      </c>
      <c r="CA584" t="str">
        <f>""</f>
        <v/>
      </c>
      <c r="CB584" t="str">
        <f>""</f>
        <v/>
      </c>
      <c r="CC584" t="str">
        <f>""</f>
        <v/>
      </c>
      <c r="CD584" t="str">
        <f>""</f>
        <v/>
      </c>
      <c r="CE584" t="str">
        <f>""</f>
        <v/>
      </c>
      <c r="CF584" t="str">
        <f>""</f>
        <v/>
      </c>
      <c r="CG584" t="str">
        <f>""</f>
        <v/>
      </c>
      <c r="CH584" t="str">
        <f>""</f>
        <v/>
      </c>
      <c r="CI584" t="str">
        <f>""</f>
        <v/>
      </c>
      <c r="CJ584" t="str">
        <f>""</f>
        <v/>
      </c>
      <c r="CK584" t="str">
        <f>""</f>
        <v/>
      </c>
      <c r="CL584" t="str">
        <f>""</f>
        <v/>
      </c>
      <c r="CM584" t="str">
        <f>""</f>
        <v/>
      </c>
      <c r="CN584" t="str">
        <f>""</f>
        <v/>
      </c>
      <c r="CO584" t="str">
        <f>""</f>
        <v/>
      </c>
      <c r="CP584" t="str">
        <f>""</f>
        <v/>
      </c>
      <c r="CQ584" t="str">
        <f>""</f>
        <v/>
      </c>
      <c r="CR584" t="str">
        <f>""</f>
        <v/>
      </c>
      <c r="CS584" t="str">
        <f>""</f>
        <v/>
      </c>
      <c r="CT584" t="str">
        <f>""</f>
        <v/>
      </c>
      <c r="CU584" t="str">
        <f>""</f>
        <v/>
      </c>
      <c r="CV584" t="str">
        <f>""</f>
        <v/>
      </c>
      <c r="CW584" t="str">
        <f>""</f>
        <v/>
      </c>
      <c r="CX584" t="str">
        <f>""</f>
        <v/>
      </c>
      <c r="CY584" t="str">
        <f>""</f>
        <v/>
      </c>
      <c r="CZ584" t="str">
        <f>""</f>
        <v/>
      </c>
      <c r="DA584" t="str">
        <f>""</f>
        <v/>
      </c>
      <c r="DB584" t="str">
        <f>""</f>
        <v/>
      </c>
      <c r="DC584" t="str">
        <f>""</f>
        <v/>
      </c>
      <c r="DD584" t="str">
        <f>""</f>
        <v/>
      </c>
      <c r="DE584" t="str">
        <f>""</f>
        <v/>
      </c>
      <c r="DF584" t="str">
        <f>""</f>
        <v/>
      </c>
      <c r="DG584" t="str">
        <f>""</f>
        <v/>
      </c>
      <c r="DH584" t="str">
        <f>""</f>
        <v/>
      </c>
      <c r="DI584" t="str">
        <f>""</f>
        <v/>
      </c>
      <c r="DJ584" t="str">
        <f>""</f>
        <v/>
      </c>
      <c r="DK584" t="str">
        <f>""</f>
        <v/>
      </c>
      <c r="DL584" t="str">
        <f>""</f>
        <v/>
      </c>
      <c r="DM584" t="str">
        <f>""</f>
        <v/>
      </c>
      <c r="DN584" t="str">
        <f>""</f>
        <v/>
      </c>
      <c r="DO584" t="str">
        <f>""</f>
        <v/>
      </c>
      <c r="DP584" t="str">
        <f>""</f>
        <v/>
      </c>
      <c r="DQ584" t="str">
        <f>""</f>
        <v/>
      </c>
      <c r="DR584" t="str">
        <f>""</f>
        <v/>
      </c>
      <c r="DS584" t="str">
        <f>""</f>
        <v/>
      </c>
      <c r="DT584" t="str">
        <f>""</f>
        <v/>
      </c>
      <c r="DU584" t="str">
        <f>""</f>
        <v/>
      </c>
    </row>
    <row r="585" spans="1:125" x14ac:dyDescent="0.25">
      <c r="A585" t="str">
        <f>$A$77</f>
        <v xml:space="preserve">    Suzuki Motor Corp</v>
      </c>
      <c r="B585" t="str">
        <f>$B$77</f>
        <v>7269 JP Equity</v>
      </c>
      <c r="C585" t="str">
        <f>$C$77</f>
        <v>EZ019</v>
      </c>
      <c r="D585" t="str">
        <f>$D$77</f>
        <v>BEST_EEPS_CUR_YR</v>
      </c>
      <c r="E585" t="str">
        <f>$E$77</f>
        <v>Dynamic</v>
      </c>
      <c r="F585" t="str">
        <f ca="1">_xll.BDH($B$77,$C$77,$B$509,$B$510,CONCATENATE("Per=",$B$507),"Dts=H","Dir=H",CONCATENATE("Points=",$B$508),"Sort=R","Days=A","Fill=B",CONCATENATE("FX=", $B$506) )</f>
        <v>#N/A Connection</v>
      </c>
      <c r="BN585" t="str">
        <f>""</f>
        <v/>
      </c>
      <c r="BO585" t="str">
        <f>""</f>
        <v/>
      </c>
      <c r="BP585" t="str">
        <f>""</f>
        <v/>
      </c>
      <c r="BQ585" t="str">
        <f>""</f>
        <v/>
      </c>
      <c r="BR585" t="str">
        <f>""</f>
        <v/>
      </c>
      <c r="BS585" t="str">
        <f>""</f>
        <v/>
      </c>
      <c r="BT585" t="str">
        <f>""</f>
        <v/>
      </c>
      <c r="BU585" t="str">
        <f>""</f>
        <v/>
      </c>
      <c r="BV585" t="str">
        <f>""</f>
        <v/>
      </c>
      <c r="BW585" t="str">
        <f>""</f>
        <v/>
      </c>
      <c r="BX585" t="str">
        <f>""</f>
        <v/>
      </c>
      <c r="BY585" t="str">
        <f>""</f>
        <v/>
      </c>
      <c r="BZ585" t="str">
        <f>""</f>
        <v/>
      </c>
      <c r="CA585" t="str">
        <f>""</f>
        <v/>
      </c>
      <c r="CB585" t="str">
        <f>""</f>
        <v/>
      </c>
      <c r="CC585" t="str">
        <f>""</f>
        <v/>
      </c>
      <c r="CD585" t="str">
        <f>""</f>
        <v/>
      </c>
      <c r="CE585" t="str">
        <f>""</f>
        <v/>
      </c>
      <c r="CF585" t="str">
        <f>""</f>
        <v/>
      </c>
      <c r="CG585" t="str">
        <f>""</f>
        <v/>
      </c>
      <c r="CH585" t="str">
        <f>""</f>
        <v/>
      </c>
      <c r="CI585" t="str">
        <f>""</f>
        <v/>
      </c>
      <c r="CJ585" t="str">
        <f>""</f>
        <v/>
      </c>
      <c r="CK585" t="str">
        <f>""</f>
        <v/>
      </c>
      <c r="CL585" t="str">
        <f>""</f>
        <v/>
      </c>
      <c r="CM585" t="str">
        <f>""</f>
        <v/>
      </c>
      <c r="CN585" t="str">
        <f>""</f>
        <v/>
      </c>
      <c r="CO585" t="str">
        <f>""</f>
        <v/>
      </c>
      <c r="CP585" t="str">
        <f>""</f>
        <v/>
      </c>
      <c r="CQ585" t="str">
        <f>""</f>
        <v/>
      </c>
      <c r="CR585" t="str">
        <f>""</f>
        <v/>
      </c>
      <c r="CS585" t="str">
        <f>""</f>
        <v/>
      </c>
      <c r="CT585" t="str">
        <f>""</f>
        <v/>
      </c>
      <c r="CU585" t="str">
        <f>""</f>
        <v/>
      </c>
      <c r="CV585" t="str">
        <f>""</f>
        <v/>
      </c>
      <c r="CW585" t="str">
        <f>""</f>
        <v/>
      </c>
      <c r="CX585" t="str">
        <f>""</f>
        <v/>
      </c>
      <c r="CY585" t="str">
        <f>""</f>
        <v/>
      </c>
      <c r="CZ585" t="str">
        <f>""</f>
        <v/>
      </c>
      <c r="DA585" t="str">
        <f>""</f>
        <v/>
      </c>
      <c r="DB585" t="str">
        <f>""</f>
        <v/>
      </c>
      <c r="DC585" t="str">
        <f>""</f>
        <v/>
      </c>
      <c r="DD585" t="str">
        <f>""</f>
        <v/>
      </c>
      <c r="DE585" t="str">
        <f>""</f>
        <v/>
      </c>
      <c r="DF585" t="str">
        <f>""</f>
        <v/>
      </c>
      <c r="DG585" t="str">
        <f>""</f>
        <v/>
      </c>
      <c r="DH585" t="str">
        <f>""</f>
        <v/>
      </c>
      <c r="DI585" t="str">
        <f>""</f>
        <v/>
      </c>
      <c r="DJ585" t="str">
        <f>""</f>
        <v/>
      </c>
      <c r="DK585" t="str">
        <f>""</f>
        <v/>
      </c>
      <c r="DL585" t="str">
        <f>""</f>
        <v/>
      </c>
      <c r="DM585" t="str">
        <f>""</f>
        <v/>
      </c>
      <c r="DN585" t="str">
        <f>""</f>
        <v/>
      </c>
      <c r="DO585" t="str">
        <f>""</f>
        <v/>
      </c>
      <c r="DP585" t="str">
        <f>""</f>
        <v/>
      </c>
      <c r="DQ585" t="str">
        <f>""</f>
        <v/>
      </c>
      <c r="DR585" t="str">
        <f>""</f>
        <v/>
      </c>
      <c r="DS585" t="str">
        <f>""</f>
        <v/>
      </c>
      <c r="DT585" t="str">
        <f>""</f>
        <v/>
      </c>
      <c r="DU585" t="str">
        <f>""</f>
        <v/>
      </c>
    </row>
    <row r="586" spans="1:125" x14ac:dyDescent="0.25">
      <c r="A586" t="str">
        <f>$A$78</f>
        <v xml:space="preserve">    Tata Motors Ltd</v>
      </c>
      <c r="B586" t="str">
        <f>$B$78</f>
        <v>TTMT IN Equity</v>
      </c>
      <c r="C586" t="str">
        <f>$C$78</f>
        <v>EZ019</v>
      </c>
      <c r="D586" t="str">
        <f>$D$78</f>
        <v>BEST_EEPS_CUR_YR</v>
      </c>
      <c r="E586" t="str">
        <f>$E$78</f>
        <v>Dynamic</v>
      </c>
      <c r="F586" t="str">
        <f ca="1">_xll.BDH($B$78,$C$78,$B$509,$B$510,CONCATENATE("Per=",$B$507),"Dts=H","Dir=H",CONCATENATE("Points=",$B$508),"Sort=R","Days=A","Fill=B",CONCATENATE("FX=", $B$506) )</f>
        <v>#N/A Connection</v>
      </c>
      <c r="BN586" t="str">
        <f>""</f>
        <v/>
      </c>
      <c r="BO586" t="str">
        <f>""</f>
        <v/>
      </c>
      <c r="BP586" t="str">
        <f>""</f>
        <v/>
      </c>
      <c r="BQ586" t="str">
        <f>""</f>
        <v/>
      </c>
      <c r="BR586" t="str">
        <f>""</f>
        <v/>
      </c>
      <c r="BS586" t="str">
        <f>""</f>
        <v/>
      </c>
      <c r="BT586" t="str">
        <f>""</f>
        <v/>
      </c>
      <c r="BU586" t="str">
        <f>""</f>
        <v/>
      </c>
      <c r="BV586" t="str">
        <f>""</f>
        <v/>
      </c>
      <c r="BW586" t="str">
        <f>""</f>
        <v/>
      </c>
      <c r="BX586" t="str">
        <f>""</f>
        <v/>
      </c>
      <c r="BY586" t="str">
        <f>""</f>
        <v/>
      </c>
      <c r="BZ586" t="str">
        <f>""</f>
        <v/>
      </c>
      <c r="CA586" t="str">
        <f>""</f>
        <v/>
      </c>
      <c r="CB586" t="str">
        <f>""</f>
        <v/>
      </c>
      <c r="CC586" t="str">
        <f>""</f>
        <v/>
      </c>
      <c r="CD586" t="str">
        <f>""</f>
        <v/>
      </c>
      <c r="CE586" t="str">
        <f>""</f>
        <v/>
      </c>
      <c r="CF586" t="str">
        <f>""</f>
        <v/>
      </c>
      <c r="CG586" t="str">
        <f>""</f>
        <v/>
      </c>
      <c r="CH586" t="str">
        <f>""</f>
        <v/>
      </c>
      <c r="CI586" t="str">
        <f>""</f>
        <v/>
      </c>
      <c r="CJ586" t="str">
        <f>""</f>
        <v/>
      </c>
      <c r="CK586" t="str">
        <f>""</f>
        <v/>
      </c>
      <c r="CL586" t="str">
        <f>""</f>
        <v/>
      </c>
      <c r="CM586" t="str">
        <f>""</f>
        <v/>
      </c>
      <c r="CN586" t="str">
        <f>""</f>
        <v/>
      </c>
      <c r="CO586" t="str">
        <f>""</f>
        <v/>
      </c>
      <c r="CP586" t="str">
        <f>""</f>
        <v/>
      </c>
      <c r="CQ586" t="str">
        <f>""</f>
        <v/>
      </c>
      <c r="CR586" t="str">
        <f>""</f>
        <v/>
      </c>
      <c r="CS586" t="str">
        <f>""</f>
        <v/>
      </c>
      <c r="CT586" t="str">
        <f>""</f>
        <v/>
      </c>
      <c r="CU586" t="str">
        <f>""</f>
        <v/>
      </c>
      <c r="CV586" t="str">
        <f>""</f>
        <v/>
      </c>
      <c r="CW586" t="str">
        <f>""</f>
        <v/>
      </c>
      <c r="CX586" t="str">
        <f>""</f>
        <v/>
      </c>
      <c r="CY586" t="str">
        <f>""</f>
        <v/>
      </c>
      <c r="CZ586" t="str">
        <f>""</f>
        <v/>
      </c>
      <c r="DA586" t="str">
        <f>""</f>
        <v/>
      </c>
      <c r="DB586" t="str">
        <f>""</f>
        <v/>
      </c>
      <c r="DC586" t="str">
        <f>""</f>
        <v/>
      </c>
      <c r="DD586" t="str">
        <f>""</f>
        <v/>
      </c>
      <c r="DE586" t="str">
        <f>""</f>
        <v/>
      </c>
      <c r="DF586" t="str">
        <f>""</f>
        <v/>
      </c>
      <c r="DG586" t="str">
        <f>""</f>
        <v/>
      </c>
      <c r="DH586" t="str">
        <f>""</f>
        <v/>
      </c>
      <c r="DI586" t="str">
        <f>""</f>
        <v/>
      </c>
      <c r="DJ586" t="str">
        <f>""</f>
        <v/>
      </c>
      <c r="DK586" t="str">
        <f>""</f>
        <v/>
      </c>
      <c r="DL586" t="str">
        <f>""</f>
        <v/>
      </c>
      <c r="DM586" t="str">
        <f>""</f>
        <v/>
      </c>
      <c r="DN586" t="str">
        <f>""</f>
        <v/>
      </c>
      <c r="DO586" t="str">
        <f>""</f>
        <v/>
      </c>
      <c r="DP586" t="str">
        <f>""</f>
        <v/>
      </c>
      <c r="DQ586" t="str">
        <f>""</f>
        <v/>
      </c>
      <c r="DR586" t="str">
        <f>""</f>
        <v/>
      </c>
      <c r="DS586" t="str">
        <f>""</f>
        <v/>
      </c>
      <c r="DT586" t="str">
        <f>""</f>
        <v/>
      </c>
      <c r="DU586" t="str">
        <f>""</f>
        <v/>
      </c>
    </row>
    <row r="587" spans="1:125" x14ac:dyDescent="0.25">
      <c r="A587" t="str">
        <f>$A$79</f>
        <v xml:space="preserve">    Tesla Inc</v>
      </c>
      <c r="B587" t="str">
        <f>$B$79</f>
        <v>TSLA US Equity</v>
      </c>
      <c r="C587" t="str">
        <f>$C$79</f>
        <v>EZ019</v>
      </c>
      <c r="D587" t="str">
        <f>$D$79</f>
        <v>BEST_EEPS_CUR_YR</v>
      </c>
      <c r="E587" t="str">
        <f>$E$79</f>
        <v>Dynamic</v>
      </c>
      <c r="F587" t="str">
        <f ca="1">_xll.BDH($B$79,$C$79,$B$509,$B$510,CONCATENATE("Per=",$B$507),"Dts=H","Dir=H",CONCATENATE("Points=",$B$508),"Sort=R","Days=A","Fill=B",CONCATENATE("FX=", $B$506) )</f>
        <v>#N/A Connection</v>
      </c>
      <c r="BN587" t="str">
        <f>""</f>
        <v/>
      </c>
      <c r="BO587" t="str">
        <f>""</f>
        <v/>
      </c>
      <c r="BP587" t="str">
        <f>""</f>
        <v/>
      </c>
      <c r="BQ587" t="str">
        <f>""</f>
        <v/>
      </c>
      <c r="BR587" t="str">
        <f>""</f>
        <v/>
      </c>
      <c r="BS587" t="str">
        <f>""</f>
        <v/>
      </c>
      <c r="BT587" t="str">
        <f>""</f>
        <v/>
      </c>
      <c r="BU587" t="str">
        <f>""</f>
        <v/>
      </c>
      <c r="BV587" t="str">
        <f>""</f>
        <v/>
      </c>
      <c r="BW587" t="str">
        <f>""</f>
        <v/>
      </c>
      <c r="BX587" t="str">
        <f>""</f>
        <v/>
      </c>
      <c r="BY587" t="str">
        <f>""</f>
        <v/>
      </c>
      <c r="BZ587" t="str">
        <f>""</f>
        <v/>
      </c>
      <c r="CA587" t="str">
        <f>""</f>
        <v/>
      </c>
      <c r="CB587" t="str">
        <f>""</f>
        <v/>
      </c>
      <c r="CC587" t="str">
        <f>""</f>
        <v/>
      </c>
      <c r="CD587" t="str">
        <f>""</f>
        <v/>
      </c>
      <c r="CE587" t="str">
        <f>""</f>
        <v/>
      </c>
      <c r="CF587" t="str">
        <f>""</f>
        <v/>
      </c>
      <c r="CG587" t="str">
        <f>""</f>
        <v/>
      </c>
      <c r="CH587" t="str">
        <f>""</f>
        <v/>
      </c>
      <c r="CI587" t="str">
        <f>""</f>
        <v/>
      </c>
      <c r="CJ587" t="str">
        <f>""</f>
        <v/>
      </c>
      <c r="CK587" t="str">
        <f>""</f>
        <v/>
      </c>
      <c r="CL587" t="str">
        <f>""</f>
        <v/>
      </c>
      <c r="CM587" t="str">
        <f>""</f>
        <v/>
      </c>
      <c r="CN587" t="str">
        <f>""</f>
        <v/>
      </c>
      <c r="CO587" t="str">
        <f>""</f>
        <v/>
      </c>
      <c r="CP587" t="str">
        <f>""</f>
        <v/>
      </c>
      <c r="CQ587" t="str">
        <f>""</f>
        <v/>
      </c>
      <c r="CR587" t="str">
        <f>""</f>
        <v/>
      </c>
      <c r="CS587" t="str">
        <f>""</f>
        <v/>
      </c>
      <c r="CT587" t="str">
        <f>""</f>
        <v/>
      </c>
      <c r="CU587" t="str">
        <f>""</f>
        <v/>
      </c>
      <c r="CV587" t="str">
        <f>""</f>
        <v/>
      </c>
      <c r="CW587" t="str">
        <f>""</f>
        <v/>
      </c>
      <c r="CX587" t="str">
        <f>""</f>
        <v/>
      </c>
      <c r="CY587" t="str">
        <f>""</f>
        <v/>
      </c>
      <c r="CZ587" t="str">
        <f>""</f>
        <v/>
      </c>
      <c r="DA587" t="str">
        <f>""</f>
        <v/>
      </c>
      <c r="DB587" t="str">
        <f>""</f>
        <v/>
      </c>
      <c r="DC587" t="str">
        <f>""</f>
        <v/>
      </c>
      <c r="DD587" t="str">
        <f>""</f>
        <v/>
      </c>
      <c r="DE587" t="str">
        <f>""</f>
        <v/>
      </c>
      <c r="DF587" t="str">
        <f>""</f>
        <v/>
      </c>
      <c r="DG587" t="str">
        <f>""</f>
        <v/>
      </c>
      <c r="DH587" t="str">
        <f>""</f>
        <v/>
      </c>
      <c r="DI587" t="str">
        <f>""</f>
        <v/>
      </c>
      <c r="DJ587" t="str">
        <f>""</f>
        <v/>
      </c>
      <c r="DK587" t="str">
        <f>""</f>
        <v/>
      </c>
      <c r="DL587" t="str">
        <f>""</f>
        <v/>
      </c>
      <c r="DM587" t="str">
        <f>""</f>
        <v/>
      </c>
      <c r="DN587" t="str">
        <f>""</f>
        <v/>
      </c>
      <c r="DO587" t="str">
        <f>""</f>
        <v/>
      </c>
      <c r="DP587" t="str">
        <f>""</f>
        <v/>
      </c>
      <c r="DQ587" t="str">
        <f>""</f>
        <v/>
      </c>
      <c r="DR587" t="str">
        <f>""</f>
        <v/>
      </c>
      <c r="DS587" t="str">
        <f>""</f>
        <v/>
      </c>
      <c r="DT587" t="str">
        <f>""</f>
        <v/>
      </c>
      <c r="DU587" t="str">
        <f>""</f>
        <v/>
      </c>
    </row>
    <row r="588" spans="1:125" x14ac:dyDescent="0.25">
      <c r="A588" t="str">
        <f>$A$80</f>
        <v xml:space="preserve">    Tianjin Faw Xiali Automobile Co Ltd</v>
      </c>
      <c r="B588" t="str">
        <f>$B$80</f>
        <v>000927 CH Equity</v>
      </c>
      <c r="C588" t="str">
        <f>$C$80</f>
        <v>EZ019</v>
      </c>
      <c r="D588" t="str">
        <f>$D$80</f>
        <v>BEST_EEPS_CUR_YR</v>
      </c>
      <c r="E588" t="str">
        <f>$E$80</f>
        <v>Dynamic</v>
      </c>
      <c r="F588" t="str">
        <f ca="1">_xll.BDH($B$80,$C$80,$B$509,$B$510,CONCATENATE("Per=",$B$507),"Dts=H","Dir=H",CONCATENATE("Points=",$B$508),"Sort=R","Days=A","Fill=B",CONCATENATE("FX=", $B$506) )</f>
        <v>#N/A Connection</v>
      </c>
      <c r="BN588" t="str">
        <f>""</f>
        <v/>
      </c>
      <c r="BO588" t="str">
        <f>""</f>
        <v/>
      </c>
      <c r="BP588" t="str">
        <f>""</f>
        <v/>
      </c>
      <c r="BQ588" t="str">
        <f>""</f>
        <v/>
      </c>
      <c r="BR588" t="str">
        <f>""</f>
        <v/>
      </c>
      <c r="BS588" t="str">
        <f>""</f>
        <v/>
      </c>
      <c r="BT588" t="str">
        <f>""</f>
        <v/>
      </c>
      <c r="BU588" t="str">
        <f>""</f>
        <v/>
      </c>
      <c r="BV588" t="str">
        <f>""</f>
        <v/>
      </c>
      <c r="BW588" t="str">
        <f>""</f>
        <v/>
      </c>
      <c r="BX588" t="str">
        <f>""</f>
        <v/>
      </c>
      <c r="BY588" t="str">
        <f>""</f>
        <v/>
      </c>
      <c r="BZ588" t="str">
        <f>""</f>
        <v/>
      </c>
      <c r="CA588" t="str">
        <f>""</f>
        <v/>
      </c>
      <c r="CB588" t="str">
        <f>""</f>
        <v/>
      </c>
      <c r="CC588" t="str">
        <f>""</f>
        <v/>
      </c>
      <c r="CD588" t="str">
        <f>""</f>
        <v/>
      </c>
      <c r="CE588" t="str">
        <f>""</f>
        <v/>
      </c>
      <c r="CF588" t="str">
        <f>""</f>
        <v/>
      </c>
      <c r="CG588" t="str">
        <f>""</f>
        <v/>
      </c>
      <c r="CH588" t="str">
        <f>""</f>
        <v/>
      </c>
      <c r="CI588" t="str">
        <f>""</f>
        <v/>
      </c>
      <c r="CJ588" t="str">
        <f>""</f>
        <v/>
      </c>
      <c r="CK588" t="str">
        <f>""</f>
        <v/>
      </c>
      <c r="CL588" t="str">
        <f>""</f>
        <v/>
      </c>
      <c r="CM588" t="str">
        <f>""</f>
        <v/>
      </c>
      <c r="CN588" t="str">
        <f>""</f>
        <v/>
      </c>
      <c r="CO588" t="str">
        <f>""</f>
        <v/>
      </c>
      <c r="CP588" t="str">
        <f>""</f>
        <v/>
      </c>
      <c r="CQ588" t="str">
        <f>""</f>
        <v/>
      </c>
      <c r="CR588" t="str">
        <f>""</f>
        <v/>
      </c>
      <c r="CS588" t="str">
        <f>""</f>
        <v/>
      </c>
      <c r="CT588" t="str">
        <f>""</f>
        <v/>
      </c>
      <c r="CU588" t="str">
        <f>""</f>
        <v/>
      </c>
      <c r="CV588" t="str">
        <f>""</f>
        <v/>
      </c>
      <c r="CW588" t="str">
        <f>""</f>
        <v/>
      </c>
      <c r="CX588" t="str">
        <f>""</f>
        <v/>
      </c>
      <c r="CY588" t="str">
        <f>""</f>
        <v/>
      </c>
      <c r="CZ588" t="str">
        <f>""</f>
        <v/>
      </c>
      <c r="DA588" t="str">
        <f>""</f>
        <v/>
      </c>
      <c r="DB588" t="str">
        <f>""</f>
        <v/>
      </c>
      <c r="DC588" t="str">
        <f>""</f>
        <v/>
      </c>
      <c r="DD588" t="str">
        <f>""</f>
        <v/>
      </c>
      <c r="DE588" t="str">
        <f>""</f>
        <v/>
      </c>
      <c r="DF588" t="str">
        <f>""</f>
        <v/>
      </c>
      <c r="DG588" t="str">
        <f>""</f>
        <v/>
      </c>
      <c r="DH588" t="str">
        <f>""</f>
        <v/>
      </c>
      <c r="DI588" t="str">
        <f>""</f>
        <v/>
      </c>
      <c r="DJ588" t="str">
        <f>""</f>
        <v/>
      </c>
      <c r="DK588" t="str">
        <f>""</f>
        <v/>
      </c>
      <c r="DL588" t="str">
        <f>""</f>
        <v/>
      </c>
      <c r="DM588" t="str">
        <f>""</f>
        <v/>
      </c>
      <c r="DN588" t="str">
        <f>""</f>
        <v/>
      </c>
      <c r="DO588" t="str">
        <f>""</f>
        <v/>
      </c>
      <c r="DP588" t="str">
        <f>""</f>
        <v/>
      </c>
      <c r="DQ588" t="str">
        <f>""</f>
        <v/>
      </c>
      <c r="DR588" t="str">
        <f>""</f>
        <v/>
      </c>
      <c r="DS588" t="str">
        <f>""</f>
        <v/>
      </c>
      <c r="DT588" t="str">
        <f>""</f>
        <v/>
      </c>
      <c r="DU588" t="str">
        <f>""</f>
        <v/>
      </c>
    </row>
    <row r="589" spans="1:125" x14ac:dyDescent="0.25">
      <c r="A589" t="str">
        <f>$A$81</f>
        <v xml:space="preserve">    Tofas Turk Otomobil Fabrikasi AS</v>
      </c>
      <c r="B589" t="str">
        <f>$B$81</f>
        <v>TOASOTRY EO Equity</v>
      </c>
      <c r="C589" t="str">
        <f>$C$81</f>
        <v>EZ019</v>
      </c>
      <c r="D589" t="str">
        <f>$D$81</f>
        <v>BEST_EEPS_CUR_YR</v>
      </c>
      <c r="E589" t="str">
        <f>$E$81</f>
        <v>Dynamic</v>
      </c>
      <c r="F589" t="str">
        <f ca="1">_xll.BDH($B$81,$C$81,$B$509,$B$510,CONCATENATE("Per=",$B$507),"Dts=H","Dir=H",CONCATENATE("Points=",$B$508),"Sort=R","Days=A","Fill=B",CONCATENATE("FX=", $B$506) )</f>
        <v>#N/A Connection</v>
      </c>
      <c r="BN589" t="str">
        <f>""</f>
        <v/>
      </c>
      <c r="BO589" t="str">
        <f>""</f>
        <v/>
      </c>
      <c r="BP589" t="str">
        <f>""</f>
        <v/>
      </c>
      <c r="BQ589" t="str">
        <f>""</f>
        <v/>
      </c>
      <c r="BR589" t="str">
        <f>""</f>
        <v/>
      </c>
      <c r="BS589" t="str">
        <f>""</f>
        <v/>
      </c>
      <c r="BT589" t="str">
        <f>""</f>
        <v/>
      </c>
      <c r="BU589" t="str">
        <f>""</f>
        <v/>
      </c>
      <c r="BV589" t="str">
        <f>""</f>
        <v/>
      </c>
      <c r="BW589" t="str">
        <f>""</f>
        <v/>
      </c>
      <c r="BX589" t="str">
        <f>""</f>
        <v/>
      </c>
      <c r="BY589" t="str">
        <f>""</f>
        <v/>
      </c>
      <c r="BZ589" t="str">
        <f>""</f>
        <v/>
      </c>
      <c r="CA589" t="str">
        <f>""</f>
        <v/>
      </c>
      <c r="CB589" t="str">
        <f>""</f>
        <v/>
      </c>
      <c r="CC589" t="str">
        <f>""</f>
        <v/>
      </c>
      <c r="CD589" t="str">
        <f>""</f>
        <v/>
      </c>
      <c r="CE589" t="str">
        <f>""</f>
        <v/>
      </c>
      <c r="CF589" t="str">
        <f>""</f>
        <v/>
      </c>
      <c r="CG589" t="str">
        <f>""</f>
        <v/>
      </c>
      <c r="CH589" t="str">
        <f>""</f>
        <v/>
      </c>
      <c r="CI589" t="str">
        <f>""</f>
        <v/>
      </c>
      <c r="CJ589" t="str">
        <f>""</f>
        <v/>
      </c>
      <c r="CK589" t="str">
        <f>""</f>
        <v/>
      </c>
      <c r="CL589" t="str">
        <f>""</f>
        <v/>
      </c>
      <c r="CM589" t="str">
        <f>""</f>
        <v/>
      </c>
      <c r="CN589" t="str">
        <f>""</f>
        <v/>
      </c>
      <c r="CO589" t="str">
        <f>""</f>
        <v/>
      </c>
      <c r="CP589" t="str">
        <f>""</f>
        <v/>
      </c>
      <c r="CQ589" t="str">
        <f>""</f>
        <v/>
      </c>
      <c r="CR589" t="str">
        <f>""</f>
        <v/>
      </c>
      <c r="CS589" t="str">
        <f>""</f>
        <v/>
      </c>
      <c r="CT589" t="str">
        <f>""</f>
        <v/>
      </c>
      <c r="CU589" t="str">
        <f>""</f>
        <v/>
      </c>
      <c r="CV589" t="str">
        <f>""</f>
        <v/>
      </c>
      <c r="CW589" t="str">
        <f>""</f>
        <v/>
      </c>
      <c r="CX589" t="str">
        <f>""</f>
        <v/>
      </c>
      <c r="CY589" t="str">
        <f>""</f>
        <v/>
      </c>
      <c r="CZ589" t="str">
        <f>""</f>
        <v/>
      </c>
      <c r="DA589" t="str">
        <f>""</f>
        <v/>
      </c>
      <c r="DB589" t="str">
        <f>""</f>
        <v/>
      </c>
      <c r="DC589" t="str">
        <f>""</f>
        <v/>
      </c>
      <c r="DD589" t="str">
        <f>""</f>
        <v/>
      </c>
      <c r="DE589" t="str">
        <f>""</f>
        <v/>
      </c>
      <c r="DF589" t="str">
        <f>""</f>
        <v/>
      </c>
      <c r="DG589" t="str">
        <f>""</f>
        <v/>
      </c>
      <c r="DH589" t="str">
        <f>""</f>
        <v/>
      </c>
      <c r="DI589" t="str">
        <f>""</f>
        <v/>
      </c>
      <c r="DJ589" t="str">
        <f>""</f>
        <v/>
      </c>
      <c r="DK589" t="str">
        <f>""</f>
        <v/>
      </c>
      <c r="DL589" t="str">
        <f>""</f>
        <v/>
      </c>
      <c r="DM589" t="str">
        <f>""</f>
        <v/>
      </c>
      <c r="DN589" t="str">
        <f>""</f>
        <v/>
      </c>
      <c r="DO589" t="str">
        <f>""</f>
        <v/>
      </c>
      <c r="DP589" t="str">
        <f>""</f>
        <v/>
      </c>
      <c r="DQ589" t="str">
        <f>""</f>
        <v/>
      </c>
      <c r="DR589" t="str">
        <f>""</f>
        <v/>
      </c>
      <c r="DS589" t="str">
        <f>""</f>
        <v/>
      </c>
      <c r="DT589" t="str">
        <f>""</f>
        <v/>
      </c>
      <c r="DU589" t="str">
        <f>""</f>
        <v/>
      </c>
    </row>
    <row r="590" spans="1:125" x14ac:dyDescent="0.25">
      <c r="A590" t="str">
        <f>$A$82</f>
        <v xml:space="preserve">    Toyota Motor Corp</v>
      </c>
      <c r="B590" t="str">
        <f>$B$82</f>
        <v>7203 JP Equity</v>
      </c>
      <c r="C590" t="str">
        <f>$C$82</f>
        <v>EZ019</v>
      </c>
      <c r="D590" t="str">
        <f>$D$82</f>
        <v>BEST_EEPS_CUR_YR</v>
      </c>
      <c r="E590" t="str">
        <f>$E$82</f>
        <v>Dynamic</v>
      </c>
      <c r="F590" t="str">
        <f ca="1">_xll.BDH($B$82,$C$82,$B$509,$B$510,CONCATENATE("Per=",$B$507),"Dts=H","Dir=H",CONCATENATE("Points=",$B$508),"Sort=R","Days=A","Fill=B",CONCATENATE("FX=", $B$506) )</f>
        <v>#N/A Connection</v>
      </c>
      <c r="BN590" t="str">
        <f>""</f>
        <v/>
      </c>
      <c r="BO590" t="str">
        <f>""</f>
        <v/>
      </c>
      <c r="BP590" t="str">
        <f>""</f>
        <v/>
      </c>
      <c r="BQ590" t="str">
        <f>""</f>
        <v/>
      </c>
      <c r="BR590" t="str">
        <f>""</f>
        <v/>
      </c>
      <c r="BS590" t="str">
        <f>""</f>
        <v/>
      </c>
      <c r="BT590" t="str">
        <f>""</f>
        <v/>
      </c>
      <c r="BU590" t="str">
        <f>""</f>
        <v/>
      </c>
      <c r="BV590" t="str">
        <f>""</f>
        <v/>
      </c>
      <c r="BW590" t="str">
        <f>""</f>
        <v/>
      </c>
      <c r="BX590" t="str">
        <f>""</f>
        <v/>
      </c>
      <c r="BY590" t="str">
        <f>""</f>
        <v/>
      </c>
      <c r="BZ590" t="str">
        <f>""</f>
        <v/>
      </c>
      <c r="CA590" t="str">
        <f>""</f>
        <v/>
      </c>
      <c r="CB590" t="str">
        <f>""</f>
        <v/>
      </c>
      <c r="CC590" t="str">
        <f>""</f>
        <v/>
      </c>
      <c r="CD590" t="str">
        <f>""</f>
        <v/>
      </c>
      <c r="CE590" t="str">
        <f>""</f>
        <v/>
      </c>
      <c r="CF590" t="str">
        <f>""</f>
        <v/>
      </c>
      <c r="CG590" t="str">
        <f>""</f>
        <v/>
      </c>
      <c r="CH590" t="str">
        <f>""</f>
        <v/>
      </c>
      <c r="CI590" t="str">
        <f>""</f>
        <v/>
      </c>
      <c r="CJ590" t="str">
        <f>""</f>
        <v/>
      </c>
      <c r="CK590" t="str">
        <f>""</f>
        <v/>
      </c>
      <c r="CL590" t="str">
        <f>""</f>
        <v/>
      </c>
      <c r="CM590" t="str">
        <f>""</f>
        <v/>
      </c>
      <c r="CN590" t="str">
        <f>""</f>
        <v/>
      </c>
      <c r="CO590" t="str">
        <f>""</f>
        <v/>
      </c>
      <c r="CP590" t="str">
        <f>""</f>
        <v/>
      </c>
      <c r="CQ590" t="str">
        <f>""</f>
        <v/>
      </c>
      <c r="CR590" t="str">
        <f>""</f>
        <v/>
      </c>
      <c r="CS590" t="str">
        <f>""</f>
        <v/>
      </c>
      <c r="CT590" t="str">
        <f>""</f>
        <v/>
      </c>
      <c r="CU590" t="str">
        <f>""</f>
        <v/>
      </c>
      <c r="CV590" t="str">
        <f>""</f>
        <v/>
      </c>
      <c r="CW590" t="str">
        <f>""</f>
        <v/>
      </c>
      <c r="CX590" t="str">
        <f>""</f>
        <v/>
      </c>
      <c r="CY590" t="str">
        <f>""</f>
        <v/>
      </c>
      <c r="CZ590" t="str">
        <f>""</f>
        <v/>
      </c>
      <c r="DA590" t="str">
        <f>""</f>
        <v/>
      </c>
      <c r="DB590" t="str">
        <f>""</f>
        <v/>
      </c>
      <c r="DC590" t="str">
        <f>""</f>
        <v/>
      </c>
      <c r="DD590" t="str">
        <f>""</f>
        <v/>
      </c>
      <c r="DE590" t="str">
        <f>""</f>
        <v/>
      </c>
      <c r="DF590" t="str">
        <f>""</f>
        <v/>
      </c>
      <c r="DG590" t="str">
        <f>""</f>
        <v/>
      </c>
      <c r="DH590" t="str">
        <f>""</f>
        <v/>
      </c>
      <c r="DI590" t="str">
        <f>""</f>
        <v/>
      </c>
      <c r="DJ590" t="str">
        <f>""</f>
        <v/>
      </c>
      <c r="DK590" t="str">
        <f>""</f>
        <v/>
      </c>
      <c r="DL590" t="str">
        <f>""</f>
        <v/>
      </c>
      <c r="DM590" t="str">
        <f>""</f>
        <v/>
      </c>
      <c r="DN590" t="str">
        <f>""</f>
        <v/>
      </c>
      <c r="DO590" t="str">
        <f>""</f>
        <v/>
      </c>
      <c r="DP590" t="str">
        <f>""</f>
        <v/>
      </c>
      <c r="DQ590" t="str">
        <f>""</f>
        <v/>
      </c>
      <c r="DR590" t="str">
        <f>""</f>
        <v/>
      </c>
      <c r="DS590" t="str">
        <f>""</f>
        <v/>
      </c>
      <c r="DT590" t="str">
        <f>""</f>
        <v/>
      </c>
      <c r="DU590" t="str">
        <f>""</f>
        <v/>
      </c>
    </row>
    <row r="591" spans="1:125" x14ac:dyDescent="0.25">
      <c r="A591" t="str">
        <f>$A$83</f>
        <v xml:space="preserve">    Volkswagen AG</v>
      </c>
      <c r="B591" t="str">
        <f>$B$83</f>
        <v>VOW GR Equity</v>
      </c>
      <c r="C591" t="str">
        <f>$C$83</f>
        <v>EZ019</v>
      </c>
      <c r="D591" t="str">
        <f>$D$83</f>
        <v>BEST_EEPS_CUR_YR</v>
      </c>
      <c r="E591" t="str">
        <f>$E$83</f>
        <v>Dynamic</v>
      </c>
      <c r="F591" t="str">
        <f ca="1">_xll.BDH($B$83,$C$83,$B$509,$B$510,CONCATENATE("Per=",$B$507),"Dts=H","Dir=H",CONCATENATE("Points=",$B$508),"Sort=R","Days=A","Fill=B",CONCATENATE("FX=", $B$506) )</f>
        <v>#N/A Connection</v>
      </c>
      <c r="BN591" t="str">
        <f>""</f>
        <v/>
      </c>
      <c r="BO591" t="str">
        <f>""</f>
        <v/>
      </c>
      <c r="BP591" t="str">
        <f>""</f>
        <v/>
      </c>
      <c r="BQ591" t="str">
        <f>""</f>
        <v/>
      </c>
      <c r="BR591" t="str">
        <f>""</f>
        <v/>
      </c>
      <c r="BS591" t="str">
        <f>""</f>
        <v/>
      </c>
      <c r="BT591" t="str">
        <f>""</f>
        <v/>
      </c>
      <c r="BU591" t="str">
        <f>""</f>
        <v/>
      </c>
      <c r="BV591" t="str">
        <f>""</f>
        <v/>
      </c>
      <c r="BW591" t="str">
        <f>""</f>
        <v/>
      </c>
      <c r="BX591" t="str">
        <f>""</f>
        <v/>
      </c>
      <c r="BY591" t="str">
        <f>""</f>
        <v/>
      </c>
      <c r="BZ591" t="str">
        <f>""</f>
        <v/>
      </c>
      <c r="CA591" t="str">
        <f>""</f>
        <v/>
      </c>
      <c r="CB591" t="str">
        <f>""</f>
        <v/>
      </c>
      <c r="CC591" t="str">
        <f>""</f>
        <v/>
      </c>
      <c r="CD591" t="str">
        <f>""</f>
        <v/>
      </c>
      <c r="CE591" t="str">
        <f>""</f>
        <v/>
      </c>
      <c r="CF591" t="str">
        <f>""</f>
        <v/>
      </c>
      <c r="CG591" t="str">
        <f>""</f>
        <v/>
      </c>
      <c r="CH591" t="str">
        <f>""</f>
        <v/>
      </c>
      <c r="CI591" t="str">
        <f>""</f>
        <v/>
      </c>
      <c r="CJ591" t="str">
        <f>""</f>
        <v/>
      </c>
      <c r="CK591" t="str">
        <f>""</f>
        <v/>
      </c>
      <c r="CL591" t="str">
        <f>""</f>
        <v/>
      </c>
      <c r="CM591" t="str">
        <f>""</f>
        <v/>
      </c>
      <c r="CN591" t="str">
        <f>""</f>
        <v/>
      </c>
      <c r="CO591" t="str">
        <f>""</f>
        <v/>
      </c>
      <c r="CP591" t="str">
        <f>""</f>
        <v/>
      </c>
      <c r="CQ591" t="str">
        <f>""</f>
        <v/>
      </c>
      <c r="CR591" t="str">
        <f>""</f>
        <v/>
      </c>
      <c r="CS591" t="str">
        <f>""</f>
        <v/>
      </c>
      <c r="CT591" t="str">
        <f>""</f>
        <v/>
      </c>
      <c r="CU591" t="str">
        <f>""</f>
        <v/>
      </c>
      <c r="CV591" t="str">
        <f>""</f>
        <v/>
      </c>
      <c r="CW591" t="str">
        <f>""</f>
        <v/>
      </c>
      <c r="CX591" t="str">
        <f>""</f>
        <v/>
      </c>
      <c r="CY591" t="str">
        <f>""</f>
        <v/>
      </c>
      <c r="CZ591" t="str">
        <f>""</f>
        <v/>
      </c>
      <c r="DA591" t="str">
        <f>""</f>
        <v/>
      </c>
      <c r="DB591" t="str">
        <f>""</f>
        <v/>
      </c>
      <c r="DC591" t="str">
        <f>""</f>
        <v/>
      </c>
      <c r="DD591" t="str">
        <f>""</f>
        <v/>
      </c>
      <c r="DE591" t="str">
        <f>""</f>
        <v/>
      </c>
      <c r="DF591" t="str">
        <f>""</f>
        <v/>
      </c>
      <c r="DG591" t="str">
        <f>""</f>
        <v/>
      </c>
      <c r="DH591" t="str">
        <f>""</f>
        <v/>
      </c>
      <c r="DI591" t="str">
        <f>""</f>
        <v/>
      </c>
      <c r="DJ591" t="str">
        <f>""</f>
        <v/>
      </c>
      <c r="DK591" t="str">
        <f>""</f>
        <v/>
      </c>
      <c r="DL591" t="str">
        <f>""</f>
        <v/>
      </c>
      <c r="DM591" t="str">
        <f>""</f>
        <v/>
      </c>
      <c r="DN591" t="str">
        <f>""</f>
        <v/>
      </c>
      <c r="DO591" t="str">
        <f>""</f>
        <v/>
      </c>
      <c r="DP591" t="str">
        <f>""</f>
        <v/>
      </c>
      <c r="DQ591" t="str">
        <f>""</f>
        <v/>
      </c>
      <c r="DR591" t="str">
        <f>""</f>
        <v/>
      </c>
      <c r="DS591" t="str">
        <f>""</f>
        <v/>
      </c>
      <c r="DT591" t="str">
        <f>""</f>
        <v/>
      </c>
      <c r="DU591" t="str">
        <f>""</f>
        <v/>
      </c>
    </row>
    <row r="592" spans="1:125" x14ac:dyDescent="0.25">
      <c r="A592" t="str">
        <f>$A$84</f>
        <v xml:space="preserve">    Yulon Motor Co Ltd</v>
      </c>
      <c r="B592" t="str">
        <f>$B$84</f>
        <v>2201 TT Equity</v>
      </c>
      <c r="C592" t="str">
        <f>$C$84</f>
        <v>EZ019</v>
      </c>
      <c r="D592" t="str">
        <f>$D$84</f>
        <v>BEST_EEPS_CUR_YR</v>
      </c>
      <c r="E592" t="str">
        <f>$E$84</f>
        <v>Dynamic</v>
      </c>
      <c r="F592" t="str">
        <f ca="1">_xll.BDH($B$84,$C$84,$B$509,$B$510,CONCATENATE("Per=",$B$507),"Dts=H","Dir=H",CONCATENATE("Points=",$B$508),"Sort=R","Days=A","Fill=B",CONCATENATE("FX=", $B$506) )</f>
        <v>#N/A Connection</v>
      </c>
      <c r="BN592" t="str">
        <f>""</f>
        <v/>
      </c>
      <c r="BO592" t="str">
        <f>""</f>
        <v/>
      </c>
      <c r="BP592" t="str">
        <f>""</f>
        <v/>
      </c>
      <c r="BQ592" t="str">
        <f>""</f>
        <v/>
      </c>
      <c r="BR592" t="str">
        <f>""</f>
        <v/>
      </c>
      <c r="BS592" t="str">
        <f>""</f>
        <v/>
      </c>
      <c r="BT592" t="str">
        <f>""</f>
        <v/>
      </c>
      <c r="BU592" t="str">
        <f>""</f>
        <v/>
      </c>
      <c r="BV592" t="str">
        <f>""</f>
        <v/>
      </c>
      <c r="BW592" t="str">
        <f>""</f>
        <v/>
      </c>
      <c r="BX592" t="str">
        <f>""</f>
        <v/>
      </c>
      <c r="BY592" t="str">
        <f>""</f>
        <v/>
      </c>
      <c r="BZ592" t="str">
        <f>""</f>
        <v/>
      </c>
      <c r="CA592" t="str">
        <f>""</f>
        <v/>
      </c>
      <c r="CB592" t="str">
        <f>""</f>
        <v/>
      </c>
      <c r="CC592" t="str">
        <f>""</f>
        <v/>
      </c>
      <c r="CD592" t="str">
        <f>""</f>
        <v/>
      </c>
      <c r="CE592" t="str">
        <f>""</f>
        <v/>
      </c>
      <c r="CF592" t="str">
        <f>""</f>
        <v/>
      </c>
      <c r="CG592" t="str">
        <f>""</f>
        <v/>
      </c>
      <c r="CH592" t="str">
        <f>""</f>
        <v/>
      </c>
      <c r="CI592" t="str">
        <f>""</f>
        <v/>
      </c>
      <c r="CJ592" t="str">
        <f>""</f>
        <v/>
      </c>
      <c r="CK592" t="str">
        <f>""</f>
        <v/>
      </c>
      <c r="CL592" t="str">
        <f>""</f>
        <v/>
      </c>
      <c r="CM592" t="str">
        <f>""</f>
        <v/>
      </c>
      <c r="CN592" t="str">
        <f>""</f>
        <v/>
      </c>
      <c r="CO592" t="str">
        <f>""</f>
        <v/>
      </c>
      <c r="CP592" t="str">
        <f>""</f>
        <v/>
      </c>
      <c r="CQ592" t="str">
        <f>""</f>
        <v/>
      </c>
      <c r="CR592" t="str">
        <f>""</f>
        <v/>
      </c>
      <c r="CS592" t="str">
        <f>""</f>
        <v/>
      </c>
      <c r="CT592" t="str">
        <f>""</f>
        <v/>
      </c>
      <c r="CU592" t="str">
        <f>""</f>
        <v/>
      </c>
      <c r="CV592" t="str">
        <f>""</f>
        <v/>
      </c>
      <c r="CW592" t="str">
        <f>""</f>
        <v/>
      </c>
      <c r="CX592" t="str">
        <f>""</f>
        <v/>
      </c>
      <c r="CY592" t="str">
        <f>""</f>
        <v/>
      </c>
      <c r="CZ592" t="str">
        <f>""</f>
        <v/>
      </c>
      <c r="DA592" t="str">
        <f>""</f>
        <v/>
      </c>
      <c r="DB592" t="str">
        <f>""</f>
        <v/>
      </c>
      <c r="DC592" t="str">
        <f>""</f>
        <v/>
      </c>
      <c r="DD592" t="str">
        <f>""</f>
        <v/>
      </c>
      <c r="DE592" t="str">
        <f>""</f>
        <v/>
      </c>
      <c r="DF592" t="str">
        <f>""</f>
        <v/>
      </c>
      <c r="DG592" t="str">
        <f>""</f>
        <v/>
      </c>
      <c r="DH592" t="str">
        <f>""</f>
        <v/>
      </c>
      <c r="DI592" t="str">
        <f>""</f>
        <v/>
      </c>
      <c r="DJ592" t="str">
        <f>""</f>
        <v/>
      </c>
      <c r="DK592" t="str">
        <f>""</f>
        <v/>
      </c>
      <c r="DL592" t="str">
        <f>""</f>
        <v/>
      </c>
      <c r="DM592" t="str">
        <f>""</f>
        <v/>
      </c>
      <c r="DN592" t="str">
        <f>""</f>
        <v/>
      </c>
      <c r="DO592" t="str">
        <f>""</f>
        <v/>
      </c>
      <c r="DP592" t="str">
        <f>""</f>
        <v/>
      </c>
      <c r="DQ592" t="str">
        <f>""</f>
        <v/>
      </c>
      <c r="DR592" t="str">
        <f>""</f>
        <v/>
      </c>
      <c r="DS592" t="str">
        <f>""</f>
        <v/>
      </c>
      <c r="DT592" t="str">
        <f>""</f>
        <v/>
      </c>
      <c r="DU592" t="str">
        <f>""</f>
        <v/>
      </c>
    </row>
    <row r="593" spans="1:125" x14ac:dyDescent="0.25">
      <c r="A593" t="str">
        <f>$A$86</f>
        <v xml:space="preserve">    AUDI AG</v>
      </c>
      <c r="B593" t="str">
        <f>$B$86</f>
        <v>NSU GR Equity</v>
      </c>
      <c r="C593" t="str">
        <f>$C$86</f>
        <v>EZ021</v>
      </c>
      <c r="D593" t="str">
        <f>$D$86</f>
        <v>BEST_EPS_NXT_YR</v>
      </c>
      <c r="E593" t="str">
        <f>$E$86</f>
        <v>Dynamic</v>
      </c>
      <c r="F593" t="str">
        <f ca="1">_xll.BDH($B$86,$C$86,$B$509,$B$510,CONCATENATE("Per=",$B$507),"Dts=H","Dir=H",CONCATENATE("Points=",$B$508),"Sort=R","Days=A","Fill=B",CONCATENATE("FX=", $B$506) )</f>
        <v>#N/A Connection</v>
      </c>
      <c r="BN593" t="str">
        <f>""</f>
        <v/>
      </c>
      <c r="BO593" t="str">
        <f>""</f>
        <v/>
      </c>
      <c r="BP593" t="str">
        <f>""</f>
        <v/>
      </c>
      <c r="BQ593" t="str">
        <f>""</f>
        <v/>
      </c>
      <c r="BR593" t="str">
        <f>""</f>
        <v/>
      </c>
      <c r="BS593" t="str">
        <f>""</f>
        <v/>
      </c>
      <c r="BT593" t="str">
        <f>""</f>
        <v/>
      </c>
      <c r="BU593" t="str">
        <f>""</f>
        <v/>
      </c>
      <c r="BV593" t="str">
        <f>""</f>
        <v/>
      </c>
      <c r="BW593" t="str">
        <f>""</f>
        <v/>
      </c>
      <c r="BX593" t="str">
        <f>""</f>
        <v/>
      </c>
      <c r="BY593" t="str">
        <f>""</f>
        <v/>
      </c>
      <c r="BZ593" t="str">
        <f>""</f>
        <v/>
      </c>
      <c r="CA593" t="str">
        <f>""</f>
        <v/>
      </c>
      <c r="CB593" t="str">
        <f>""</f>
        <v/>
      </c>
      <c r="CC593" t="str">
        <f>""</f>
        <v/>
      </c>
      <c r="CD593" t="str">
        <f>""</f>
        <v/>
      </c>
      <c r="CE593" t="str">
        <f>""</f>
        <v/>
      </c>
      <c r="CF593" t="str">
        <f>""</f>
        <v/>
      </c>
      <c r="CG593" t="str">
        <f>""</f>
        <v/>
      </c>
      <c r="CH593" t="str">
        <f>""</f>
        <v/>
      </c>
      <c r="CI593" t="str">
        <f>""</f>
        <v/>
      </c>
      <c r="CJ593" t="str">
        <f>""</f>
        <v/>
      </c>
      <c r="CK593" t="str">
        <f>""</f>
        <v/>
      </c>
      <c r="CL593" t="str">
        <f>""</f>
        <v/>
      </c>
      <c r="CM593" t="str">
        <f>""</f>
        <v/>
      </c>
      <c r="CN593" t="str">
        <f>""</f>
        <v/>
      </c>
      <c r="CO593" t="str">
        <f>""</f>
        <v/>
      </c>
      <c r="CP593" t="str">
        <f>""</f>
        <v/>
      </c>
      <c r="CQ593" t="str">
        <f>""</f>
        <v/>
      </c>
      <c r="CR593" t="str">
        <f>""</f>
        <v/>
      </c>
      <c r="CS593" t="str">
        <f>""</f>
        <v/>
      </c>
      <c r="CT593" t="str">
        <f>""</f>
        <v/>
      </c>
      <c r="CU593" t="str">
        <f>""</f>
        <v/>
      </c>
      <c r="CV593" t="str">
        <f>""</f>
        <v/>
      </c>
      <c r="CW593" t="str">
        <f>""</f>
        <v/>
      </c>
      <c r="CX593" t="str">
        <f>""</f>
        <v/>
      </c>
      <c r="CY593" t="str">
        <f>""</f>
        <v/>
      </c>
      <c r="CZ593" t="str">
        <f>""</f>
        <v/>
      </c>
      <c r="DA593" t="str">
        <f>""</f>
        <v/>
      </c>
      <c r="DB593" t="str">
        <f>""</f>
        <v/>
      </c>
      <c r="DC593" t="str">
        <f>""</f>
        <v/>
      </c>
      <c r="DD593" t="str">
        <f>""</f>
        <v/>
      </c>
      <c r="DE593" t="str">
        <f>""</f>
        <v/>
      </c>
      <c r="DF593" t="str">
        <f>""</f>
        <v/>
      </c>
      <c r="DG593" t="str">
        <f>""</f>
        <v/>
      </c>
      <c r="DH593" t="str">
        <f>""</f>
        <v/>
      </c>
      <c r="DI593" t="str">
        <f>""</f>
        <v/>
      </c>
      <c r="DJ593" t="str">
        <f>""</f>
        <v/>
      </c>
      <c r="DK593" t="str">
        <f>""</f>
        <v/>
      </c>
      <c r="DL593" t="str">
        <f>""</f>
        <v/>
      </c>
      <c r="DM593" t="str">
        <f>""</f>
        <v/>
      </c>
      <c r="DN593" t="str">
        <f>""</f>
        <v/>
      </c>
      <c r="DO593" t="str">
        <f>""</f>
        <v/>
      </c>
      <c r="DP593" t="str">
        <f>""</f>
        <v/>
      </c>
      <c r="DQ593" t="str">
        <f>""</f>
        <v/>
      </c>
      <c r="DR593" t="str">
        <f>""</f>
        <v/>
      </c>
      <c r="DS593" t="str">
        <f>""</f>
        <v/>
      </c>
      <c r="DT593" t="str">
        <f>""</f>
        <v/>
      </c>
      <c r="DU593" t="str">
        <f>""</f>
        <v/>
      </c>
    </row>
    <row r="594" spans="1:125" x14ac:dyDescent="0.25">
      <c r="A594" t="str">
        <f>$A$87</f>
        <v xml:space="preserve">    Avtovaz PJSC</v>
      </c>
      <c r="B594" t="str">
        <f>$B$87</f>
        <v>AVAZ RM Equity</v>
      </c>
      <c r="C594" t="str">
        <f>$C$87</f>
        <v>EZ021</v>
      </c>
      <c r="D594" t="str">
        <f>$D$87</f>
        <v>BEST_EPS_NXT_YR</v>
      </c>
      <c r="E594" t="str">
        <f>$E$87</f>
        <v>Dynamic</v>
      </c>
      <c r="F594" t="str">
        <f ca="1">_xll.BDH($B$87,$C$87,$B$509,$B$510,CONCATENATE("Per=",$B$507),"Dts=H","Dir=H",CONCATENATE("Points=",$B$508),"Sort=R","Days=A","Fill=B",CONCATENATE("FX=", $B$506) )</f>
        <v>#N/A Connection</v>
      </c>
      <c r="BN594" t="str">
        <f>""</f>
        <v/>
      </c>
      <c r="BO594" t="str">
        <f>""</f>
        <v/>
      </c>
      <c r="BP594" t="str">
        <f>""</f>
        <v/>
      </c>
      <c r="BQ594" t="str">
        <f>""</f>
        <v/>
      </c>
      <c r="BR594" t="str">
        <f>""</f>
        <v/>
      </c>
      <c r="BS594" t="str">
        <f>""</f>
        <v/>
      </c>
      <c r="BT594" t="str">
        <f>""</f>
        <v/>
      </c>
      <c r="BU594" t="str">
        <f>""</f>
        <v/>
      </c>
      <c r="BV594" t="str">
        <f>""</f>
        <v/>
      </c>
      <c r="BW594" t="str">
        <f>""</f>
        <v/>
      </c>
      <c r="BX594" t="str">
        <f>""</f>
        <v/>
      </c>
      <c r="BY594" t="str">
        <f>""</f>
        <v/>
      </c>
      <c r="BZ594" t="str">
        <f>""</f>
        <v/>
      </c>
      <c r="CA594" t="str">
        <f>""</f>
        <v/>
      </c>
      <c r="CB594" t="str">
        <f>""</f>
        <v/>
      </c>
      <c r="CC594" t="str">
        <f>""</f>
        <v/>
      </c>
      <c r="CD594" t="str">
        <f>""</f>
        <v/>
      </c>
      <c r="CE594" t="str">
        <f>""</f>
        <v/>
      </c>
      <c r="CF594" t="str">
        <f>""</f>
        <v/>
      </c>
      <c r="CG594" t="str">
        <f>""</f>
        <v/>
      </c>
      <c r="CH594" t="str">
        <f>""</f>
        <v/>
      </c>
      <c r="CI594" t="str">
        <f>""</f>
        <v/>
      </c>
      <c r="CJ594" t="str">
        <f>""</f>
        <v/>
      </c>
      <c r="CK594" t="str">
        <f>""</f>
        <v/>
      </c>
      <c r="CL594" t="str">
        <f>""</f>
        <v/>
      </c>
      <c r="CM594" t="str">
        <f>""</f>
        <v/>
      </c>
      <c r="CN594" t="str">
        <f>""</f>
        <v/>
      </c>
      <c r="CO594" t="str">
        <f>""</f>
        <v/>
      </c>
      <c r="CP594" t="str">
        <f>""</f>
        <v/>
      </c>
      <c r="CQ594" t="str">
        <f>""</f>
        <v/>
      </c>
      <c r="CR594" t="str">
        <f>""</f>
        <v/>
      </c>
      <c r="CS594" t="str">
        <f>""</f>
        <v/>
      </c>
      <c r="CT594" t="str">
        <f>""</f>
        <v/>
      </c>
      <c r="CU594" t="str">
        <f>""</f>
        <v/>
      </c>
      <c r="CV594" t="str">
        <f>""</f>
        <v/>
      </c>
      <c r="CW594" t="str">
        <f>""</f>
        <v/>
      </c>
      <c r="CX594" t="str">
        <f>""</f>
        <v/>
      </c>
      <c r="CY594" t="str">
        <f>""</f>
        <v/>
      </c>
      <c r="CZ594" t="str">
        <f>""</f>
        <v/>
      </c>
      <c r="DA594" t="str">
        <f>""</f>
        <v/>
      </c>
      <c r="DB594" t="str">
        <f>""</f>
        <v/>
      </c>
      <c r="DC594" t="str">
        <f>""</f>
        <v/>
      </c>
      <c r="DD594" t="str">
        <f>""</f>
        <v/>
      </c>
      <c r="DE594" t="str">
        <f>""</f>
        <v/>
      </c>
      <c r="DF594" t="str">
        <f>""</f>
        <v/>
      </c>
      <c r="DG594" t="str">
        <f>""</f>
        <v/>
      </c>
      <c r="DH594" t="str">
        <f>""</f>
        <v/>
      </c>
      <c r="DI594" t="str">
        <f>""</f>
        <v/>
      </c>
      <c r="DJ594" t="str">
        <f>""</f>
        <v/>
      </c>
      <c r="DK594" t="str">
        <f>""</f>
        <v/>
      </c>
      <c r="DL594" t="str">
        <f>""</f>
        <v/>
      </c>
      <c r="DM594" t="str">
        <f>""</f>
        <v/>
      </c>
      <c r="DN594" t="str">
        <f>""</f>
        <v/>
      </c>
      <c r="DO594" t="str">
        <f>""</f>
        <v/>
      </c>
      <c r="DP594" t="str">
        <f>""</f>
        <v/>
      </c>
      <c r="DQ594" t="str">
        <f>""</f>
        <v/>
      </c>
      <c r="DR594" t="str">
        <f>""</f>
        <v/>
      </c>
      <c r="DS594" t="str">
        <f>""</f>
        <v/>
      </c>
      <c r="DT594" t="str">
        <f>""</f>
        <v/>
      </c>
      <c r="DU594" t="str">
        <f>""</f>
        <v/>
      </c>
    </row>
    <row r="595" spans="1:125" x14ac:dyDescent="0.25">
      <c r="A595" t="str">
        <f>$A$88</f>
        <v xml:space="preserve">    Bayerische Motoren Werke AG</v>
      </c>
      <c r="B595" t="str">
        <f>$B$88</f>
        <v>BMW GR Equity</v>
      </c>
      <c r="C595" t="str">
        <f>$C$88</f>
        <v>EZ021</v>
      </c>
      <c r="D595" t="str">
        <f>$D$88</f>
        <v>BEST_EPS_NXT_YR</v>
      </c>
      <c r="E595" t="str">
        <f>$E$88</f>
        <v>Dynamic</v>
      </c>
      <c r="F595" t="str">
        <f ca="1">_xll.BDH($B$88,$C$88,$B$509,$B$510,CONCATENATE("Per=",$B$507),"Dts=H","Dir=H",CONCATENATE("Points=",$B$508),"Sort=R","Days=A","Fill=B",CONCATENATE("FX=", $B$506) )</f>
        <v>#N/A Connection</v>
      </c>
      <c r="BN595" t="str">
        <f>""</f>
        <v/>
      </c>
      <c r="BO595" t="str">
        <f>""</f>
        <v/>
      </c>
      <c r="BP595" t="str">
        <f>""</f>
        <v/>
      </c>
      <c r="BQ595" t="str">
        <f>""</f>
        <v/>
      </c>
      <c r="BR595" t="str">
        <f>""</f>
        <v/>
      </c>
      <c r="BS595" t="str">
        <f>""</f>
        <v/>
      </c>
      <c r="BT595" t="str">
        <f>""</f>
        <v/>
      </c>
      <c r="BU595" t="str">
        <f>""</f>
        <v/>
      </c>
      <c r="BV595" t="str">
        <f>""</f>
        <v/>
      </c>
      <c r="BW595" t="str">
        <f>""</f>
        <v/>
      </c>
      <c r="BX595" t="str">
        <f>""</f>
        <v/>
      </c>
      <c r="BY595" t="str">
        <f>""</f>
        <v/>
      </c>
      <c r="BZ595" t="str">
        <f>""</f>
        <v/>
      </c>
      <c r="CA595" t="str">
        <f>""</f>
        <v/>
      </c>
      <c r="CB595" t="str">
        <f>""</f>
        <v/>
      </c>
      <c r="CC595" t="str">
        <f>""</f>
        <v/>
      </c>
      <c r="CD595" t="str">
        <f>""</f>
        <v/>
      </c>
      <c r="CE595" t="str">
        <f>""</f>
        <v/>
      </c>
      <c r="CF595" t="str">
        <f>""</f>
        <v/>
      </c>
      <c r="CG595" t="str">
        <f>""</f>
        <v/>
      </c>
      <c r="CH595" t="str">
        <f>""</f>
        <v/>
      </c>
      <c r="CI595" t="str">
        <f>""</f>
        <v/>
      </c>
      <c r="CJ595" t="str">
        <f>""</f>
        <v/>
      </c>
      <c r="CK595" t="str">
        <f>""</f>
        <v/>
      </c>
      <c r="CL595" t="str">
        <f>""</f>
        <v/>
      </c>
      <c r="CM595" t="str">
        <f>""</f>
        <v/>
      </c>
      <c r="CN595" t="str">
        <f>""</f>
        <v/>
      </c>
      <c r="CO595" t="str">
        <f>""</f>
        <v/>
      </c>
      <c r="CP595" t="str">
        <f>""</f>
        <v/>
      </c>
      <c r="CQ595" t="str">
        <f>""</f>
        <v/>
      </c>
      <c r="CR595" t="str">
        <f>""</f>
        <v/>
      </c>
      <c r="CS595" t="str">
        <f>""</f>
        <v/>
      </c>
      <c r="CT595" t="str">
        <f>""</f>
        <v/>
      </c>
      <c r="CU595" t="str">
        <f>""</f>
        <v/>
      </c>
      <c r="CV595" t="str">
        <f>""</f>
        <v/>
      </c>
      <c r="CW595" t="str">
        <f>""</f>
        <v/>
      </c>
      <c r="CX595" t="str">
        <f>""</f>
        <v/>
      </c>
      <c r="CY595" t="str">
        <f>""</f>
        <v/>
      </c>
      <c r="CZ595" t="str">
        <f>""</f>
        <v/>
      </c>
      <c r="DA595" t="str">
        <f>""</f>
        <v/>
      </c>
      <c r="DB595" t="str">
        <f>""</f>
        <v/>
      </c>
      <c r="DC595" t="str">
        <f>""</f>
        <v/>
      </c>
      <c r="DD595" t="str">
        <f>""</f>
        <v/>
      </c>
      <c r="DE595" t="str">
        <f>""</f>
        <v/>
      </c>
      <c r="DF595" t="str">
        <f>""</f>
        <v/>
      </c>
      <c r="DG595" t="str">
        <f>""</f>
        <v/>
      </c>
      <c r="DH595" t="str">
        <f>""</f>
        <v/>
      </c>
      <c r="DI595" t="str">
        <f>""</f>
        <v/>
      </c>
      <c r="DJ595" t="str">
        <f>""</f>
        <v/>
      </c>
      <c r="DK595" t="str">
        <f>""</f>
        <v/>
      </c>
      <c r="DL595" t="str">
        <f>""</f>
        <v/>
      </c>
      <c r="DM595" t="str">
        <f>""</f>
        <v/>
      </c>
      <c r="DN595" t="str">
        <f>""</f>
        <v/>
      </c>
      <c r="DO595" t="str">
        <f>""</f>
        <v/>
      </c>
      <c r="DP595" t="str">
        <f>""</f>
        <v/>
      </c>
      <c r="DQ595" t="str">
        <f>""</f>
        <v/>
      </c>
      <c r="DR595" t="str">
        <f>""</f>
        <v/>
      </c>
      <c r="DS595" t="str">
        <f>""</f>
        <v/>
      </c>
      <c r="DT595" t="str">
        <f>""</f>
        <v/>
      </c>
      <c r="DU595" t="str">
        <f>""</f>
        <v/>
      </c>
    </row>
    <row r="596" spans="1:125" x14ac:dyDescent="0.25">
      <c r="A596" t="str">
        <f>$A$89</f>
        <v xml:space="preserve">    Brilliance China Automotive Holdings Ltd</v>
      </c>
      <c r="B596" t="str">
        <f>$B$89</f>
        <v>1114 HK Equity</v>
      </c>
      <c r="C596" t="str">
        <f>$C$89</f>
        <v>EZ021</v>
      </c>
      <c r="D596" t="str">
        <f>$D$89</f>
        <v>BEST_EPS_NXT_YR</v>
      </c>
      <c r="E596" t="str">
        <f>$E$89</f>
        <v>Dynamic</v>
      </c>
      <c r="F596" t="str">
        <f ca="1">_xll.BDH($B$89,$C$89,$B$509,$B$510,CONCATENATE("Per=",$B$507),"Dts=H","Dir=H",CONCATENATE("Points=",$B$508),"Sort=R","Days=A","Fill=B",CONCATENATE("FX=", $B$506) )</f>
        <v>#N/A Connection</v>
      </c>
      <c r="BN596" t="str">
        <f>""</f>
        <v/>
      </c>
      <c r="BO596" t="str">
        <f>""</f>
        <v/>
      </c>
      <c r="BP596" t="str">
        <f>""</f>
        <v/>
      </c>
      <c r="BQ596" t="str">
        <f>""</f>
        <v/>
      </c>
      <c r="BR596" t="str">
        <f>""</f>
        <v/>
      </c>
      <c r="BS596" t="str">
        <f>""</f>
        <v/>
      </c>
      <c r="BT596" t="str">
        <f>""</f>
        <v/>
      </c>
      <c r="BU596" t="str">
        <f>""</f>
        <v/>
      </c>
      <c r="BV596" t="str">
        <f>""</f>
        <v/>
      </c>
      <c r="BW596" t="str">
        <f>""</f>
        <v/>
      </c>
      <c r="BX596" t="str">
        <f>""</f>
        <v/>
      </c>
      <c r="BY596" t="str">
        <f>""</f>
        <v/>
      </c>
      <c r="BZ596" t="str">
        <f>""</f>
        <v/>
      </c>
      <c r="CA596" t="str">
        <f>""</f>
        <v/>
      </c>
      <c r="CB596" t="str">
        <f>""</f>
        <v/>
      </c>
      <c r="CC596" t="str">
        <f>""</f>
        <v/>
      </c>
      <c r="CD596" t="str">
        <f>""</f>
        <v/>
      </c>
      <c r="CE596" t="str">
        <f>""</f>
        <v/>
      </c>
      <c r="CF596" t="str">
        <f>""</f>
        <v/>
      </c>
      <c r="CG596" t="str">
        <f>""</f>
        <v/>
      </c>
      <c r="CH596" t="str">
        <f>""</f>
        <v/>
      </c>
      <c r="CI596" t="str">
        <f>""</f>
        <v/>
      </c>
      <c r="CJ596" t="str">
        <f>""</f>
        <v/>
      </c>
      <c r="CK596" t="str">
        <f>""</f>
        <v/>
      </c>
      <c r="CL596" t="str">
        <f>""</f>
        <v/>
      </c>
      <c r="CM596" t="str">
        <f>""</f>
        <v/>
      </c>
      <c r="CN596" t="str">
        <f>""</f>
        <v/>
      </c>
      <c r="CO596" t="str">
        <f>""</f>
        <v/>
      </c>
      <c r="CP596" t="str">
        <f>""</f>
        <v/>
      </c>
      <c r="CQ596" t="str">
        <f>""</f>
        <v/>
      </c>
      <c r="CR596" t="str">
        <f>""</f>
        <v/>
      </c>
      <c r="CS596" t="str">
        <f>""</f>
        <v/>
      </c>
      <c r="CT596" t="str">
        <f>""</f>
        <v/>
      </c>
      <c r="CU596" t="str">
        <f>""</f>
        <v/>
      </c>
      <c r="CV596" t="str">
        <f>""</f>
        <v/>
      </c>
      <c r="CW596" t="str">
        <f>""</f>
        <v/>
      </c>
      <c r="CX596" t="str">
        <f>""</f>
        <v/>
      </c>
      <c r="CY596" t="str">
        <f>""</f>
        <v/>
      </c>
      <c r="CZ596" t="str">
        <f>""</f>
        <v/>
      </c>
      <c r="DA596" t="str">
        <f>""</f>
        <v/>
      </c>
      <c r="DB596" t="str">
        <f>""</f>
        <v/>
      </c>
      <c r="DC596" t="str">
        <f>""</f>
        <v/>
      </c>
      <c r="DD596" t="str">
        <f>""</f>
        <v/>
      </c>
      <c r="DE596" t="str">
        <f>""</f>
        <v/>
      </c>
      <c r="DF596" t="str">
        <f>""</f>
        <v/>
      </c>
      <c r="DG596" t="str">
        <f>""</f>
        <v/>
      </c>
      <c r="DH596" t="str">
        <f>""</f>
        <v/>
      </c>
      <c r="DI596" t="str">
        <f>""</f>
        <v/>
      </c>
      <c r="DJ596" t="str">
        <f>""</f>
        <v/>
      </c>
      <c r="DK596" t="str">
        <f>""</f>
        <v/>
      </c>
      <c r="DL596" t="str">
        <f>""</f>
        <v/>
      </c>
      <c r="DM596" t="str">
        <f>""</f>
        <v/>
      </c>
      <c r="DN596" t="str">
        <f>""</f>
        <v/>
      </c>
      <c r="DO596" t="str">
        <f>""</f>
        <v/>
      </c>
      <c r="DP596" t="str">
        <f>""</f>
        <v/>
      </c>
      <c r="DQ596" t="str">
        <f>""</f>
        <v/>
      </c>
      <c r="DR596" t="str">
        <f>""</f>
        <v/>
      </c>
      <c r="DS596" t="str">
        <f>""</f>
        <v/>
      </c>
      <c r="DT596" t="str">
        <f>""</f>
        <v/>
      </c>
      <c r="DU596" t="str">
        <f>""</f>
        <v/>
      </c>
    </row>
    <row r="597" spans="1:125" x14ac:dyDescent="0.25">
      <c r="A597" t="str">
        <f>$A$90</f>
        <v xml:space="preserve">    BYD Co Ltd</v>
      </c>
      <c r="B597" t="str">
        <f>$B$90</f>
        <v>1211 HK Equity</v>
      </c>
      <c r="C597" t="str">
        <f>$C$90</f>
        <v>EZ021</v>
      </c>
      <c r="D597" t="str">
        <f>$D$90</f>
        <v>BEST_EPS_NXT_YR</v>
      </c>
      <c r="E597" t="str">
        <f>$E$90</f>
        <v>Dynamic</v>
      </c>
      <c r="F597" t="str">
        <f ca="1">_xll.BDH($B$90,$C$90,$B$509,$B$510,CONCATENATE("Per=",$B$507),"Dts=H","Dir=H",CONCATENATE("Points=",$B$508),"Sort=R","Days=A","Fill=B",CONCATENATE("FX=", $B$506) )</f>
        <v>#N/A Connection</v>
      </c>
      <c r="BN597" t="str">
        <f>""</f>
        <v/>
      </c>
      <c r="BO597" t="str">
        <f>""</f>
        <v/>
      </c>
      <c r="BP597" t="str">
        <f>""</f>
        <v/>
      </c>
      <c r="BQ597" t="str">
        <f>""</f>
        <v/>
      </c>
      <c r="BR597" t="str">
        <f>""</f>
        <v/>
      </c>
      <c r="BS597" t="str">
        <f>""</f>
        <v/>
      </c>
      <c r="BT597" t="str">
        <f>""</f>
        <v/>
      </c>
      <c r="BU597" t="str">
        <f>""</f>
        <v/>
      </c>
      <c r="BV597" t="str">
        <f>""</f>
        <v/>
      </c>
      <c r="BW597" t="str">
        <f>""</f>
        <v/>
      </c>
      <c r="BX597" t="str">
        <f>""</f>
        <v/>
      </c>
      <c r="BY597" t="str">
        <f>""</f>
        <v/>
      </c>
      <c r="BZ597" t="str">
        <f>""</f>
        <v/>
      </c>
      <c r="CA597" t="str">
        <f>""</f>
        <v/>
      </c>
      <c r="CB597" t="str">
        <f>""</f>
        <v/>
      </c>
      <c r="CC597" t="str">
        <f>""</f>
        <v/>
      </c>
      <c r="CD597" t="str">
        <f>""</f>
        <v/>
      </c>
      <c r="CE597" t="str">
        <f>""</f>
        <v/>
      </c>
      <c r="CF597" t="str">
        <f>""</f>
        <v/>
      </c>
      <c r="CG597" t="str">
        <f>""</f>
        <v/>
      </c>
      <c r="CH597" t="str">
        <f>""</f>
        <v/>
      </c>
      <c r="CI597" t="str">
        <f>""</f>
        <v/>
      </c>
      <c r="CJ597" t="str">
        <f>""</f>
        <v/>
      </c>
      <c r="CK597" t="str">
        <f>""</f>
        <v/>
      </c>
      <c r="CL597" t="str">
        <f>""</f>
        <v/>
      </c>
      <c r="CM597" t="str">
        <f>""</f>
        <v/>
      </c>
      <c r="CN597" t="str">
        <f>""</f>
        <v/>
      </c>
      <c r="CO597" t="str">
        <f>""</f>
        <v/>
      </c>
      <c r="CP597" t="str">
        <f>""</f>
        <v/>
      </c>
      <c r="CQ597" t="str">
        <f>""</f>
        <v/>
      </c>
      <c r="CR597" t="str">
        <f>""</f>
        <v/>
      </c>
      <c r="CS597" t="str">
        <f>""</f>
        <v/>
      </c>
      <c r="CT597" t="str">
        <f>""</f>
        <v/>
      </c>
      <c r="CU597" t="str">
        <f>""</f>
        <v/>
      </c>
      <c r="CV597" t="str">
        <f>""</f>
        <v/>
      </c>
      <c r="CW597" t="str">
        <f>""</f>
        <v/>
      </c>
      <c r="CX597" t="str">
        <f>""</f>
        <v/>
      </c>
      <c r="CY597" t="str">
        <f>""</f>
        <v/>
      </c>
      <c r="CZ597" t="str">
        <f>""</f>
        <v/>
      </c>
      <c r="DA597" t="str">
        <f>""</f>
        <v/>
      </c>
      <c r="DB597" t="str">
        <f>""</f>
        <v/>
      </c>
      <c r="DC597" t="str">
        <f>""</f>
        <v/>
      </c>
      <c r="DD597" t="str">
        <f>""</f>
        <v/>
      </c>
      <c r="DE597" t="str">
        <f>""</f>
        <v/>
      </c>
      <c r="DF597" t="str">
        <f>""</f>
        <v/>
      </c>
      <c r="DG597" t="str">
        <f>""</f>
        <v/>
      </c>
      <c r="DH597" t="str">
        <f>""</f>
        <v/>
      </c>
      <c r="DI597" t="str">
        <f>""</f>
        <v/>
      </c>
      <c r="DJ597" t="str">
        <f>""</f>
        <v/>
      </c>
      <c r="DK597" t="str">
        <f>""</f>
        <v/>
      </c>
      <c r="DL597" t="str">
        <f>""</f>
        <v/>
      </c>
      <c r="DM597" t="str">
        <f>""</f>
        <v/>
      </c>
      <c r="DN597" t="str">
        <f>""</f>
        <v/>
      </c>
      <c r="DO597" t="str">
        <f>""</f>
        <v/>
      </c>
      <c r="DP597" t="str">
        <f>""</f>
        <v/>
      </c>
      <c r="DQ597" t="str">
        <f>""</f>
        <v/>
      </c>
      <c r="DR597" t="str">
        <f>""</f>
        <v/>
      </c>
      <c r="DS597" t="str">
        <f>""</f>
        <v/>
      </c>
      <c r="DT597" t="str">
        <f>""</f>
        <v/>
      </c>
      <c r="DU597" t="str">
        <f>""</f>
        <v/>
      </c>
    </row>
    <row r="598" spans="1:125" x14ac:dyDescent="0.25">
      <c r="A598" t="str">
        <f>$A$91</f>
        <v xml:space="preserve">    Chongqing Changan Automobile Co Ltd</v>
      </c>
      <c r="B598" t="str">
        <f>$B$91</f>
        <v>200625 CH Equity</v>
      </c>
      <c r="C598" t="str">
        <f>$C$91</f>
        <v>EZ021</v>
      </c>
      <c r="D598" t="str">
        <f>$D$91</f>
        <v>BEST_EPS_NXT_YR</v>
      </c>
      <c r="E598" t="str">
        <f>$E$91</f>
        <v>Dynamic</v>
      </c>
      <c r="F598" t="str">
        <f ca="1">_xll.BDH($B$91,$C$91,$B$509,$B$510,CONCATENATE("Per=",$B$507),"Dts=H","Dir=H",CONCATENATE("Points=",$B$508),"Sort=R","Days=A","Fill=B",CONCATENATE("FX=", $B$506) )</f>
        <v>#N/A Connection</v>
      </c>
      <c r="BN598" t="str">
        <f>""</f>
        <v/>
      </c>
      <c r="BO598" t="str">
        <f>""</f>
        <v/>
      </c>
      <c r="BP598" t="str">
        <f>""</f>
        <v/>
      </c>
      <c r="BQ598" t="str">
        <f>""</f>
        <v/>
      </c>
      <c r="BR598" t="str">
        <f>""</f>
        <v/>
      </c>
      <c r="BS598" t="str">
        <f>""</f>
        <v/>
      </c>
      <c r="BT598" t="str">
        <f>""</f>
        <v/>
      </c>
      <c r="BU598" t="str">
        <f>""</f>
        <v/>
      </c>
      <c r="BV598" t="str">
        <f>""</f>
        <v/>
      </c>
      <c r="BW598" t="str">
        <f>""</f>
        <v/>
      </c>
      <c r="BX598" t="str">
        <f>""</f>
        <v/>
      </c>
      <c r="BY598" t="str">
        <f>""</f>
        <v/>
      </c>
      <c r="BZ598" t="str">
        <f>""</f>
        <v/>
      </c>
      <c r="CA598" t="str">
        <f>""</f>
        <v/>
      </c>
      <c r="CB598" t="str">
        <f>""</f>
        <v/>
      </c>
      <c r="CC598" t="str">
        <f>""</f>
        <v/>
      </c>
      <c r="CD598" t="str">
        <f>""</f>
        <v/>
      </c>
      <c r="CE598" t="str">
        <f>""</f>
        <v/>
      </c>
      <c r="CF598" t="str">
        <f>""</f>
        <v/>
      </c>
      <c r="CG598" t="str">
        <f>""</f>
        <v/>
      </c>
      <c r="CH598" t="str">
        <f>""</f>
        <v/>
      </c>
      <c r="CI598" t="str">
        <f>""</f>
        <v/>
      </c>
      <c r="CJ598" t="str">
        <f>""</f>
        <v/>
      </c>
      <c r="CK598" t="str">
        <f>""</f>
        <v/>
      </c>
      <c r="CL598" t="str">
        <f>""</f>
        <v/>
      </c>
      <c r="CM598" t="str">
        <f>""</f>
        <v/>
      </c>
      <c r="CN598" t="str">
        <f>""</f>
        <v/>
      </c>
      <c r="CO598" t="str">
        <f>""</f>
        <v/>
      </c>
      <c r="CP598" t="str">
        <f>""</f>
        <v/>
      </c>
      <c r="CQ598" t="str">
        <f>""</f>
        <v/>
      </c>
      <c r="CR598" t="str">
        <f>""</f>
        <v/>
      </c>
      <c r="CS598" t="str">
        <f>""</f>
        <v/>
      </c>
      <c r="CT598" t="str">
        <f>""</f>
        <v/>
      </c>
      <c r="CU598" t="str">
        <f>""</f>
        <v/>
      </c>
      <c r="CV598" t="str">
        <f>""</f>
        <v/>
      </c>
      <c r="CW598" t="str">
        <f>""</f>
        <v/>
      </c>
      <c r="CX598" t="str">
        <f>""</f>
        <v/>
      </c>
      <c r="CY598" t="str">
        <f>""</f>
        <v/>
      </c>
      <c r="CZ598" t="str">
        <f>""</f>
        <v/>
      </c>
      <c r="DA598" t="str">
        <f>""</f>
        <v/>
      </c>
      <c r="DB598" t="str">
        <f>""</f>
        <v/>
      </c>
      <c r="DC598" t="str">
        <f>""</f>
        <v/>
      </c>
      <c r="DD598" t="str">
        <f>""</f>
        <v/>
      </c>
      <c r="DE598" t="str">
        <f>""</f>
        <v/>
      </c>
      <c r="DF598" t="str">
        <f>""</f>
        <v/>
      </c>
      <c r="DG598" t="str">
        <f>""</f>
        <v/>
      </c>
      <c r="DH598" t="str">
        <f>""</f>
        <v/>
      </c>
      <c r="DI598" t="str">
        <f>""</f>
        <v/>
      </c>
      <c r="DJ598" t="str">
        <f>""</f>
        <v/>
      </c>
      <c r="DK598" t="str">
        <f>""</f>
        <v/>
      </c>
      <c r="DL598" t="str">
        <f>""</f>
        <v/>
      </c>
      <c r="DM598" t="str">
        <f>""</f>
        <v/>
      </c>
      <c r="DN598" t="str">
        <f>""</f>
        <v/>
      </c>
      <c r="DO598" t="str">
        <f>""</f>
        <v/>
      </c>
      <c r="DP598" t="str">
        <f>""</f>
        <v/>
      </c>
      <c r="DQ598" t="str">
        <f>""</f>
        <v/>
      </c>
      <c r="DR598" t="str">
        <f>""</f>
        <v/>
      </c>
      <c r="DS598" t="str">
        <f>""</f>
        <v/>
      </c>
      <c r="DT598" t="str">
        <f>""</f>
        <v/>
      </c>
      <c r="DU598" t="str">
        <f>""</f>
        <v/>
      </c>
    </row>
    <row r="599" spans="1:125" x14ac:dyDescent="0.25">
      <c r="A599" t="str">
        <f>$A$92</f>
        <v xml:space="preserve">    Daihatsu Motor Co Ltd</v>
      </c>
      <c r="B599" t="str">
        <f>$B$92</f>
        <v>7262 JP Equity</v>
      </c>
      <c r="C599" t="str">
        <f>$C$92</f>
        <v>EZ021</v>
      </c>
      <c r="D599" t="str">
        <f>$D$92</f>
        <v>BEST_EPS_NXT_YR</v>
      </c>
      <c r="E599" t="str">
        <f>$E$92</f>
        <v>Dynamic</v>
      </c>
      <c r="F599" t="str">
        <f ca="1">_xll.BDH($B$92,$C$92,$B$509,$B$510,CONCATENATE("Per=",$B$507),"Dts=H","Dir=H",CONCATENATE("Points=",$B$508),"Sort=R","Days=A","Fill=B",CONCATENATE("FX=", $B$506) )</f>
        <v>#N/A Connection</v>
      </c>
      <c r="BN599" t="str">
        <f>""</f>
        <v/>
      </c>
      <c r="BO599" t="str">
        <f>""</f>
        <v/>
      </c>
      <c r="BP599" t="str">
        <f>""</f>
        <v/>
      </c>
      <c r="BQ599" t="str">
        <f>""</f>
        <v/>
      </c>
      <c r="BR599" t="str">
        <f>""</f>
        <v/>
      </c>
      <c r="BS599" t="str">
        <f>""</f>
        <v/>
      </c>
      <c r="BT599" t="str">
        <f>""</f>
        <v/>
      </c>
      <c r="BU599" t="str">
        <f>""</f>
        <v/>
      </c>
      <c r="BV599" t="str">
        <f>""</f>
        <v/>
      </c>
      <c r="BW599" t="str">
        <f>""</f>
        <v/>
      </c>
      <c r="BX599" t="str">
        <f>""</f>
        <v/>
      </c>
      <c r="BY599" t="str">
        <f>""</f>
        <v/>
      </c>
      <c r="BZ599" t="str">
        <f>""</f>
        <v/>
      </c>
      <c r="CA599" t="str">
        <f>""</f>
        <v/>
      </c>
      <c r="CB599" t="str">
        <f>""</f>
        <v/>
      </c>
      <c r="CC599" t="str">
        <f>""</f>
        <v/>
      </c>
      <c r="CD599" t="str">
        <f>""</f>
        <v/>
      </c>
      <c r="CE599" t="str">
        <f>""</f>
        <v/>
      </c>
      <c r="CF599" t="str">
        <f>""</f>
        <v/>
      </c>
      <c r="CG599" t="str">
        <f>""</f>
        <v/>
      </c>
      <c r="CH599" t="str">
        <f>""</f>
        <v/>
      </c>
      <c r="CI599" t="str">
        <f>""</f>
        <v/>
      </c>
      <c r="CJ599" t="str">
        <f>""</f>
        <v/>
      </c>
      <c r="CK599" t="str">
        <f>""</f>
        <v/>
      </c>
      <c r="CL599" t="str">
        <f>""</f>
        <v/>
      </c>
      <c r="CM599" t="str">
        <f>""</f>
        <v/>
      </c>
      <c r="CN599" t="str">
        <f>""</f>
        <v/>
      </c>
      <c r="CO599" t="str">
        <f>""</f>
        <v/>
      </c>
      <c r="CP599" t="str">
        <f>""</f>
        <v/>
      </c>
      <c r="CQ599" t="str">
        <f>""</f>
        <v/>
      </c>
      <c r="CR599" t="str">
        <f>""</f>
        <v/>
      </c>
      <c r="CS599" t="str">
        <f>""</f>
        <v/>
      </c>
      <c r="CT599" t="str">
        <f>""</f>
        <v/>
      </c>
      <c r="CU599" t="str">
        <f>""</f>
        <v/>
      </c>
      <c r="CV599" t="str">
        <f>""</f>
        <v/>
      </c>
      <c r="CW599" t="str">
        <f>""</f>
        <v/>
      </c>
      <c r="CX599" t="str">
        <f>""</f>
        <v/>
      </c>
      <c r="CY599" t="str">
        <f>""</f>
        <v/>
      </c>
      <c r="CZ599" t="str">
        <f>""</f>
        <v/>
      </c>
      <c r="DA599" t="str">
        <f>""</f>
        <v/>
      </c>
      <c r="DB599" t="str">
        <f>""</f>
        <v/>
      </c>
      <c r="DC599" t="str">
        <f>""</f>
        <v/>
      </c>
      <c r="DD599" t="str">
        <f>""</f>
        <v/>
      </c>
      <c r="DE599" t="str">
        <f>""</f>
        <v/>
      </c>
      <c r="DF599" t="str">
        <f>""</f>
        <v/>
      </c>
      <c r="DG599" t="str">
        <f>""</f>
        <v/>
      </c>
      <c r="DH599" t="str">
        <f>""</f>
        <v/>
      </c>
      <c r="DI599" t="str">
        <f>""</f>
        <v/>
      </c>
      <c r="DJ599" t="str">
        <f>""</f>
        <v/>
      </c>
      <c r="DK599" t="str">
        <f>""</f>
        <v/>
      </c>
      <c r="DL599" t="str">
        <f>""</f>
        <v/>
      </c>
      <c r="DM599" t="str">
        <f>""</f>
        <v/>
      </c>
      <c r="DN599" t="str">
        <f>""</f>
        <v/>
      </c>
      <c r="DO599" t="str">
        <f>""</f>
        <v/>
      </c>
      <c r="DP599" t="str">
        <f>""</f>
        <v/>
      </c>
      <c r="DQ599" t="str">
        <f>""</f>
        <v/>
      </c>
      <c r="DR599" t="str">
        <f>""</f>
        <v/>
      </c>
      <c r="DS599" t="str">
        <f>""</f>
        <v/>
      </c>
      <c r="DT599" t="str">
        <f>""</f>
        <v/>
      </c>
      <c r="DU599" t="str">
        <f>""</f>
        <v/>
      </c>
    </row>
    <row r="600" spans="1:125" x14ac:dyDescent="0.25">
      <c r="A600" t="str">
        <f>$A$93</f>
        <v xml:space="preserve">    Daimler AG</v>
      </c>
      <c r="B600" t="str">
        <f>$B$93</f>
        <v>DAI GR Equity</v>
      </c>
      <c r="C600" t="str">
        <f>$C$93</f>
        <v>EZ021</v>
      </c>
      <c r="D600" t="str">
        <f>$D$93</f>
        <v>BEST_EPS_NXT_YR</v>
      </c>
      <c r="E600" t="str">
        <f>$E$93</f>
        <v>Dynamic</v>
      </c>
      <c r="F600" t="str">
        <f ca="1">_xll.BDH($B$93,$C$93,$B$509,$B$510,CONCATENATE("Per=",$B$507),"Dts=H","Dir=H",CONCATENATE("Points=",$B$508),"Sort=R","Days=A","Fill=B",CONCATENATE("FX=", $B$506) )</f>
        <v>#N/A Connection</v>
      </c>
      <c r="BN600" t="str">
        <f>""</f>
        <v/>
      </c>
      <c r="BO600" t="str">
        <f>""</f>
        <v/>
      </c>
      <c r="BP600" t="str">
        <f>""</f>
        <v/>
      </c>
      <c r="BQ600" t="str">
        <f>""</f>
        <v/>
      </c>
      <c r="BR600" t="str">
        <f>""</f>
        <v/>
      </c>
      <c r="BS600" t="str">
        <f>""</f>
        <v/>
      </c>
      <c r="BT600" t="str">
        <f>""</f>
        <v/>
      </c>
      <c r="BU600" t="str">
        <f>""</f>
        <v/>
      </c>
      <c r="BV600" t="str">
        <f>""</f>
        <v/>
      </c>
      <c r="BW600" t="str">
        <f>""</f>
        <v/>
      </c>
      <c r="BX600" t="str">
        <f>""</f>
        <v/>
      </c>
      <c r="BY600" t="str">
        <f>""</f>
        <v/>
      </c>
      <c r="BZ600" t="str">
        <f>""</f>
        <v/>
      </c>
      <c r="CA600" t="str">
        <f>""</f>
        <v/>
      </c>
      <c r="CB600" t="str">
        <f>""</f>
        <v/>
      </c>
      <c r="CC600" t="str">
        <f>""</f>
        <v/>
      </c>
      <c r="CD600" t="str">
        <f>""</f>
        <v/>
      </c>
      <c r="CE600" t="str">
        <f>""</f>
        <v/>
      </c>
      <c r="CF600" t="str">
        <f>""</f>
        <v/>
      </c>
      <c r="CG600" t="str">
        <f>""</f>
        <v/>
      </c>
      <c r="CH600" t="str">
        <f>""</f>
        <v/>
      </c>
      <c r="CI600" t="str">
        <f>""</f>
        <v/>
      </c>
      <c r="CJ600" t="str">
        <f>""</f>
        <v/>
      </c>
      <c r="CK600" t="str">
        <f>""</f>
        <v/>
      </c>
      <c r="CL600" t="str">
        <f>""</f>
        <v/>
      </c>
      <c r="CM600" t="str">
        <f>""</f>
        <v/>
      </c>
      <c r="CN600" t="str">
        <f>""</f>
        <v/>
      </c>
      <c r="CO600" t="str">
        <f>""</f>
        <v/>
      </c>
      <c r="CP600" t="str">
        <f>""</f>
        <v/>
      </c>
      <c r="CQ600" t="str">
        <f>""</f>
        <v/>
      </c>
      <c r="CR600" t="str">
        <f>""</f>
        <v/>
      </c>
      <c r="CS600" t="str">
        <f>""</f>
        <v/>
      </c>
      <c r="CT600" t="str">
        <f>""</f>
        <v/>
      </c>
      <c r="CU600" t="str">
        <f>""</f>
        <v/>
      </c>
      <c r="CV600" t="str">
        <f>""</f>
        <v/>
      </c>
      <c r="CW600" t="str">
        <f>""</f>
        <v/>
      </c>
      <c r="CX600" t="str">
        <f>""</f>
        <v/>
      </c>
      <c r="CY600" t="str">
        <f>""</f>
        <v/>
      </c>
      <c r="CZ600" t="str">
        <f>""</f>
        <v/>
      </c>
      <c r="DA600" t="str">
        <f>""</f>
        <v/>
      </c>
      <c r="DB600" t="str">
        <f>""</f>
        <v/>
      </c>
      <c r="DC600" t="str">
        <f>""</f>
        <v/>
      </c>
      <c r="DD600" t="str">
        <f>""</f>
        <v/>
      </c>
      <c r="DE600" t="str">
        <f>""</f>
        <v/>
      </c>
      <c r="DF600" t="str">
        <f>""</f>
        <v/>
      </c>
      <c r="DG600" t="str">
        <f>""</f>
        <v/>
      </c>
      <c r="DH600" t="str">
        <f>""</f>
        <v/>
      </c>
      <c r="DI600" t="str">
        <f>""</f>
        <v/>
      </c>
      <c r="DJ600" t="str">
        <f>""</f>
        <v/>
      </c>
      <c r="DK600" t="str">
        <f>""</f>
        <v/>
      </c>
      <c r="DL600" t="str">
        <f>""</f>
        <v/>
      </c>
      <c r="DM600" t="str">
        <f>""</f>
        <v/>
      </c>
      <c r="DN600" t="str">
        <f>""</f>
        <v/>
      </c>
      <c r="DO600" t="str">
        <f>""</f>
        <v/>
      </c>
      <c r="DP600" t="str">
        <f>""</f>
        <v/>
      </c>
      <c r="DQ600" t="str">
        <f>""</f>
        <v/>
      </c>
      <c r="DR600" t="str">
        <f>""</f>
        <v/>
      </c>
      <c r="DS600" t="str">
        <f>""</f>
        <v/>
      </c>
      <c r="DT600" t="str">
        <f>""</f>
        <v/>
      </c>
      <c r="DU600" t="str">
        <f>""</f>
        <v/>
      </c>
    </row>
    <row r="601" spans="1:125" x14ac:dyDescent="0.25">
      <c r="A601" t="str">
        <f>$A$94</f>
        <v xml:space="preserve">    Dongfeng Motor Group Co Ltd</v>
      </c>
      <c r="B601" t="str">
        <f>$B$94</f>
        <v>489 HK Equity</v>
      </c>
      <c r="C601" t="str">
        <f>$C$94</f>
        <v>EZ021</v>
      </c>
      <c r="D601" t="str">
        <f>$D$94</f>
        <v>BEST_EPS_NXT_YR</v>
      </c>
      <c r="E601" t="str">
        <f>$E$94</f>
        <v>Dynamic</v>
      </c>
      <c r="F601" t="str">
        <f ca="1">_xll.BDH($B$94,$C$94,$B$509,$B$510,CONCATENATE("Per=",$B$507),"Dts=H","Dir=H",CONCATENATE("Points=",$B$508),"Sort=R","Days=A","Fill=B",CONCATENATE("FX=", $B$506) )</f>
        <v>#N/A Connection</v>
      </c>
      <c r="BN601" t="str">
        <f>""</f>
        <v/>
      </c>
      <c r="BO601" t="str">
        <f>""</f>
        <v/>
      </c>
      <c r="BP601" t="str">
        <f>""</f>
        <v/>
      </c>
      <c r="BQ601" t="str">
        <f>""</f>
        <v/>
      </c>
      <c r="BR601" t="str">
        <f>""</f>
        <v/>
      </c>
      <c r="BS601" t="str">
        <f>""</f>
        <v/>
      </c>
      <c r="BT601" t="str">
        <f>""</f>
        <v/>
      </c>
      <c r="BU601" t="str">
        <f>""</f>
        <v/>
      </c>
      <c r="BV601" t="str">
        <f>""</f>
        <v/>
      </c>
      <c r="BW601" t="str">
        <f>""</f>
        <v/>
      </c>
      <c r="BX601" t="str">
        <f>""</f>
        <v/>
      </c>
      <c r="BY601" t="str">
        <f>""</f>
        <v/>
      </c>
      <c r="BZ601" t="str">
        <f>""</f>
        <v/>
      </c>
      <c r="CA601" t="str">
        <f>""</f>
        <v/>
      </c>
      <c r="CB601" t="str">
        <f>""</f>
        <v/>
      </c>
      <c r="CC601" t="str">
        <f>""</f>
        <v/>
      </c>
      <c r="CD601" t="str">
        <f>""</f>
        <v/>
      </c>
      <c r="CE601" t="str">
        <f>""</f>
        <v/>
      </c>
      <c r="CF601" t="str">
        <f>""</f>
        <v/>
      </c>
      <c r="CG601" t="str">
        <f>""</f>
        <v/>
      </c>
      <c r="CH601" t="str">
        <f>""</f>
        <v/>
      </c>
      <c r="CI601" t="str">
        <f>""</f>
        <v/>
      </c>
      <c r="CJ601" t="str">
        <f>""</f>
        <v/>
      </c>
      <c r="CK601" t="str">
        <f>""</f>
        <v/>
      </c>
      <c r="CL601" t="str">
        <f>""</f>
        <v/>
      </c>
      <c r="CM601" t="str">
        <f>""</f>
        <v/>
      </c>
      <c r="CN601" t="str">
        <f>""</f>
        <v/>
      </c>
      <c r="CO601" t="str">
        <f>""</f>
        <v/>
      </c>
      <c r="CP601" t="str">
        <f>""</f>
        <v/>
      </c>
      <c r="CQ601" t="str">
        <f>""</f>
        <v/>
      </c>
      <c r="CR601" t="str">
        <f>""</f>
        <v/>
      </c>
      <c r="CS601" t="str">
        <f>""</f>
        <v/>
      </c>
      <c r="CT601" t="str">
        <f>""</f>
        <v/>
      </c>
      <c r="CU601" t="str">
        <f>""</f>
        <v/>
      </c>
      <c r="CV601" t="str">
        <f>""</f>
        <v/>
      </c>
      <c r="CW601" t="str">
        <f>""</f>
        <v/>
      </c>
      <c r="CX601" t="str">
        <f>""</f>
        <v/>
      </c>
      <c r="CY601" t="str">
        <f>""</f>
        <v/>
      </c>
      <c r="CZ601" t="str">
        <f>""</f>
        <v/>
      </c>
      <c r="DA601" t="str">
        <f>""</f>
        <v/>
      </c>
      <c r="DB601" t="str">
        <f>""</f>
        <v/>
      </c>
      <c r="DC601" t="str">
        <f>""</f>
        <v/>
      </c>
      <c r="DD601" t="str">
        <f>""</f>
        <v/>
      </c>
      <c r="DE601" t="str">
        <f>""</f>
        <v/>
      </c>
      <c r="DF601" t="str">
        <f>""</f>
        <v/>
      </c>
      <c r="DG601" t="str">
        <f>""</f>
        <v/>
      </c>
      <c r="DH601" t="str">
        <f>""</f>
        <v/>
      </c>
      <c r="DI601" t="str">
        <f>""</f>
        <v/>
      </c>
      <c r="DJ601" t="str">
        <f>""</f>
        <v/>
      </c>
      <c r="DK601" t="str">
        <f>""</f>
        <v/>
      </c>
      <c r="DL601" t="str">
        <f>""</f>
        <v/>
      </c>
      <c r="DM601" t="str">
        <f>""</f>
        <v/>
      </c>
      <c r="DN601" t="str">
        <f>""</f>
        <v/>
      </c>
      <c r="DO601" t="str">
        <f>""</f>
        <v/>
      </c>
      <c r="DP601" t="str">
        <f>""</f>
        <v/>
      </c>
      <c r="DQ601" t="str">
        <f>""</f>
        <v/>
      </c>
      <c r="DR601" t="str">
        <f>""</f>
        <v/>
      </c>
      <c r="DS601" t="str">
        <f>""</f>
        <v/>
      </c>
      <c r="DT601" t="str">
        <f>""</f>
        <v/>
      </c>
      <c r="DU601" t="str">
        <f>""</f>
        <v/>
      </c>
    </row>
    <row r="602" spans="1:125" x14ac:dyDescent="0.25">
      <c r="A602" t="str">
        <f>$A$95</f>
        <v xml:space="preserve">    DRB-Hicom Bhd</v>
      </c>
      <c r="B602" t="str">
        <f>$B$95</f>
        <v>DRB MK Equity</v>
      </c>
      <c r="C602" t="str">
        <f>$C$95</f>
        <v>EZ021</v>
      </c>
      <c r="D602" t="str">
        <f>$D$95</f>
        <v>BEST_EPS_NXT_YR</v>
      </c>
      <c r="E602" t="str">
        <f>$E$95</f>
        <v>Dynamic</v>
      </c>
      <c r="F602" t="str">
        <f ca="1">_xll.BDH($B$95,$C$95,$B$509,$B$510,CONCATENATE("Per=",$B$507),"Dts=H","Dir=H",CONCATENATE("Points=",$B$508),"Sort=R","Days=A","Fill=B",CONCATENATE("FX=", $B$506) )</f>
        <v>#N/A Connection</v>
      </c>
      <c r="BN602" t="str">
        <f>""</f>
        <v/>
      </c>
      <c r="BO602" t="str">
        <f>""</f>
        <v/>
      </c>
      <c r="BP602" t="str">
        <f>""</f>
        <v/>
      </c>
      <c r="BQ602" t="str">
        <f>""</f>
        <v/>
      </c>
      <c r="BR602" t="str">
        <f>""</f>
        <v/>
      </c>
      <c r="BS602" t="str">
        <f>""</f>
        <v/>
      </c>
      <c r="BT602" t="str">
        <f>""</f>
        <v/>
      </c>
      <c r="BU602" t="str">
        <f>""</f>
        <v/>
      </c>
      <c r="BV602" t="str">
        <f>""</f>
        <v/>
      </c>
      <c r="BW602" t="str">
        <f>""</f>
        <v/>
      </c>
      <c r="BX602" t="str">
        <f>""</f>
        <v/>
      </c>
      <c r="BY602" t="str">
        <f>""</f>
        <v/>
      </c>
      <c r="BZ602" t="str">
        <f>""</f>
        <v/>
      </c>
      <c r="CA602" t="str">
        <f>""</f>
        <v/>
      </c>
      <c r="CB602" t="str">
        <f>""</f>
        <v/>
      </c>
      <c r="CC602" t="str">
        <f>""</f>
        <v/>
      </c>
      <c r="CD602" t="str">
        <f>""</f>
        <v/>
      </c>
      <c r="CE602" t="str">
        <f>""</f>
        <v/>
      </c>
      <c r="CF602" t="str">
        <f>""</f>
        <v/>
      </c>
      <c r="CG602" t="str">
        <f>""</f>
        <v/>
      </c>
      <c r="CH602" t="str">
        <f>""</f>
        <v/>
      </c>
      <c r="CI602" t="str">
        <f>""</f>
        <v/>
      </c>
      <c r="CJ602" t="str">
        <f>""</f>
        <v/>
      </c>
      <c r="CK602" t="str">
        <f>""</f>
        <v/>
      </c>
      <c r="CL602" t="str">
        <f>""</f>
        <v/>
      </c>
      <c r="CM602" t="str">
        <f>""</f>
        <v/>
      </c>
      <c r="CN602" t="str">
        <f>""</f>
        <v/>
      </c>
      <c r="CO602" t="str">
        <f>""</f>
        <v/>
      </c>
      <c r="CP602" t="str">
        <f>""</f>
        <v/>
      </c>
      <c r="CQ602" t="str">
        <f>""</f>
        <v/>
      </c>
      <c r="CR602" t="str">
        <f>""</f>
        <v/>
      </c>
      <c r="CS602" t="str">
        <f>""</f>
        <v/>
      </c>
      <c r="CT602" t="str">
        <f>""</f>
        <v/>
      </c>
      <c r="CU602" t="str">
        <f>""</f>
        <v/>
      </c>
      <c r="CV602" t="str">
        <f>""</f>
        <v/>
      </c>
      <c r="CW602" t="str">
        <f>""</f>
        <v/>
      </c>
      <c r="CX602" t="str">
        <f>""</f>
        <v/>
      </c>
      <c r="CY602" t="str">
        <f>""</f>
        <v/>
      </c>
      <c r="CZ602" t="str">
        <f>""</f>
        <v/>
      </c>
      <c r="DA602" t="str">
        <f>""</f>
        <v/>
      </c>
      <c r="DB602" t="str">
        <f>""</f>
        <v/>
      </c>
      <c r="DC602" t="str">
        <f>""</f>
        <v/>
      </c>
      <c r="DD602" t="str">
        <f>""</f>
        <v/>
      </c>
      <c r="DE602" t="str">
        <f>""</f>
        <v/>
      </c>
      <c r="DF602" t="str">
        <f>""</f>
        <v/>
      </c>
      <c r="DG602" t="str">
        <f>""</f>
        <v/>
      </c>
      <c r="DH602" t="str">
        <f>""</f>
        <v/>
      </c>
      <c r="DI602" t="str">
        <f>""</f>
        <v/>
      </c>
      <c r="DJ602" t="str">
        <f>""</f>
        <v/>
      </c>
      <c r="DK602" t="str">
        <f>""</f>
        <v/>
      </c>
      <c r="DL602" t="str">
        <f>""</f>
        <v/>
      </c>
      <c r="DM602" t="str">
        <f>""</f>
        <v/>
      </c>
      <c r="DN602" t="str">
        <f>""</f>
        <v/>
      </c>
      <c r="DO602" t="str">
        <f>""</f>
        <v/>
      </c>
      <c r="DP602" t="str">
        <f>""</f>
        <v/>
      </c>
      <c r="DQ602" t="str">
        <f>""</f>
        <v/>
      </c>
      <c r="DR602" t="str">
        <f>""</f>
        <v/>
      </c>
      <c r="DS602" t="str">
        <f>""</f>
        <v/>
      </c>
      <c r="DT602" t="str">
        <f>""</f>
        <v/>
      </c>
      <c r="DU602" t="str">
        <f>""</f>
        <v/>
      </c>
    </row>
    <row r="603" spans="1:125" x14ac:dyDescent="0.25">
      <c r="A603" t="str">
        <f>$A$96</f>
        <v xml:space="preserve">    FAW CAR Co Ltd</v>
      </c>
      <c r="B603" t="str">
        <f>$B$96</f>
        <v>000800 CH Equity</v>
      </c>
      <c r="C603" t="str">
        <f>$C$96</f>
        <v>EZ021</v>
      </c>
      <c r="D603" t="str">
        <f>$D$96</f>
        <v>BEST_EPS_NXT_YR</v>
      </c>
      <c r="E603" t="str">
        <f>$E$96</f>
        <v>Dynamic</v>
      </c>
      <c r="F603" t="str">
        <f ca="1">_xll.BDH($B$96,$C$96,$B$509,$B$510,CONCATENATE("Per=",$B$507),"Dts=H","Dir=H",CONCATENATE("Points=",$B$508),"Sort=R","Days=A","Fill=B",CONCATENATE("FX=", $B$506) )</f>
        <v>#N/A Connection</v>
      </c>
      <c r="BN603" t="str">
        <f>""</f>
        <v/>
      </c>
      <c r="BO603" t="str">
        <f>""</f>
        <v/>
      </c>
      <c r="BP603" t="str">
        <f>""</f>
        <v/>
      </c>
      <c r="BQ603" t="str">
        <f>""</f>
        <v/>
      </c>
      <c r="BR603" t="str">
        <f>""</f>
        <v/>
      </c>
      <c r="BS603" t="str">
        <f>""</f>
        <v/>
      </c>
      <c r="BT603" t="str">
        <f>""</f>
        <v/>
      </c>
      <c r="BU603" t="str">
        <f>""</f>
        <v/>
      </c>
      <c r="BV603" t="str">
        <f>""</f>
        <v/>
      </c>
      <c r="BW603" t="str">
        <f>""</f>
        <v/>
      </c>
      <c r="BX603" t="str">
        <f>""</f>
        <v/>
      </c>
      <c r="BY603" t="str">
        <f>""</f>
        <v/>
      </c>
      <c r="BZ603" t="str">
        <f>""</f>
        <v/>
      </c>
      <c r="CA603" t="str">
        <f>""</f>
        <v/>
      </c>
      <c r="CB603" t="str">
        <f>""</f>
        <v/>
      </c>
      <c r="CC603" t="str">
        <f>""</f>
        <v/>
      </c>
      <c r="CD603" t="str">
        <f>""</f>
        <v/>
      </c>
      <c r="CE603" t="str">
        <f>""</f>
        <v/>
      </c>
      <c r="CF603" t="str">
        <f>""</f>
        <v/>
      </c>
      <c r="CG603" t="str">
        <f>""</f>
        <v/>
      </c>
      <c r="CH603" t="str">
        <f>""</f>
        <v/>
      </c>
      <c r="CI603" t="str">
        <f>""</f>
        <v/>
      </c>
      <c r="CJ603" t="str">
        <f>""</f>
        <v/>
      </c>
      <c r="CK603" t="str">
        <f>""</f>
        <v/>
      </c>
      <c r="CL603" t="str">
        <f>""</f>
        <v/>
      </c>
      <c r="CM603" t="str">
        <f>""</f>
        <v/>
      </c>
      <c r="CN603" t="str">
        <f>""</f>
        <v/>
      </c>
      <c r="CO603" t="str">
        <f>""</f>
        <v/>
      </c>
      <c r="CP603" t="str">
        <f>""</f>
        <v/>
      </c>
      <c r="CQ603" t="str">
        <f>""</f>
        <v/>
      </c>
      <c r="CR603" t="str">
        <f>""</f>
        <v/>
      </c>
      <c r="CS603" t="str">
        <f>""</f>
        <v/>
      </c>
      <c r="CT603" t="str">
        <f>""</f>
        <v/>
      </c>
      <c r="CU603" t="str">
        <f>""</f>
        <v/>
      </c>
      <c r="CV603" t="str">
        <f>""</f>
        <v/>
      </c>
      <c r="CW603" t="str">
        <f>""</f>
        <v/>
      </c>
      <c r="CX603" t="str">
        <f>""</f>
        <v/>
      </c>
      <c r="CY603" t="str">
        <f>""</f>
        <v/>
      </c>
      <c r="CZ603" t="str">
        <f>""</f>
        <v/>
      </c>
      <c r="DA603" t="str">
        <f>""</f>
        <v/>
      </c>
      <c r="DB603" t="str">
        <f>""</f>
        <v/>
      </c>
      <c r="DC603" t="str">
        <f>""</f>
        <v/>
      </c>
      <c r="DD603" t="str">
        <f>""</f>
        <v/>
      </c>
      <c r="DE603" t="str">
        <f>""</f>
        <v/>
      </c>
      <c r="DF603" t="str">
        <f>""</f>
        <v/>
      </c>
      <c r="DG603" t="str">
        <f>""</f>
        <v/>
      </c>
      <c r="DH603" t="str">
        <f>""</f>
        <v/>
      </c>
      <c r="DI603" t="str">
        <f>""</f>
        <v/>
      </c>
      <c r="DJ603" t="str">
        <f>""</f>
        <v/>
      </c>
      <c r="DK603" t="str">
        <f>""</f>
        <v/>
      </c>
      <c r="DL603" t="str">
        <f>""</f>
        <v/>
      </c>
      <c r="DM603" t="str">
        <f>""</f>
        <v/>
      </c>
      <c r="DN603" t="str">
        <f>""</f>
        <v/>
      </c>
      <c r="DO603" t="str">
        <f>""</f>
        <v/>
      </c>
      <c r="DP603" t="str">
        <f>""</f>
        <v/>
      </c>
      <c r="DQ603" t="str">
        <f>""</f>
        <v/>
      </c>
      <c r="DR603" t="str">
        <f>""</f>
        <v/>
      </c>
      <c r="DS603" t="str">
        <f>""</f>
        <v/>
      </c>
      <c r="DT603" t="str">
        <f>""</f>
        <v/>
      </c>
      <c r="DU603" t="str">
        <f>""</f>
        <v/>
      </c>
    </row>
    <row r="604" spans="1:125" x14ac:dyDescent="0.25">
      <c r="A604" t="str">
        <f>$A$97</f>
        <v xml:space="preserve">    Fiat Chrysler Automobiles NV</v>
      </c>
      <c r="B604" t="str">
        <f>$B$97</f>
        <v>FCAU US Equity</v>
      </c>
      <c r="C604" t="str">
        <f>$C$97</f>
        <v>EZ021</v>
      </c>
      <c r="D604" t="str">
        <f>$D$97</f>
        <v>BEST_EPS_NXT_YR</v>
      </c>
      <c r="E604" t="str">
        <f>$E$97</f>
        <v>Dynamic</v>
      </c>
      <c r="F604" t="str">
        <f ca="1">_xll.BDH($B$97,$C$97,$B$509,$B$510,CONCATENATE("Per=",$B$507),"Dts=H","Dir=H",CONCATENATE("Points=",$B$508),"Sort=R","Days=A","Fill=B",CONCATENATE("FX=", $B$506) )</f>
        <v>#N/A Connection</v>
      </c>
      <c r="BN604" t="str">
        <f>""</f>
        <v/>
      </c>
      <c r="BO604" t="str">
        <f>""</f>
        <v/>
      </c>
      <c r="BP604" t="str">
        <f>""</f>
        <v/>
      </c>
      <c r="BQ604" t="str">
        <f>""</f>
        <v/>
      </c>
      <c r="BR604" t="str">
        <f>""</f>
        <v/>
      </c>
      <c r="BS604" t="str">
        <f>""</f>
        <v/>
      </c>
      <c r="BT604" t="str">
        <f>""</f>
        <v/>
      </c>
      <c r="BU604" t="str">
        <f>""</f>
        <v/>
      </c>
      <c r="BV604" t="str">
        <f>""</f>
        <v/>
      </c>
      <c r="BW604" t="str">
        <f>""</f>
        <v/>
      </c>
      <c r="BX604" t="str">
        <f>""</f>
        <v/>
      </c>
      <c r="BY604" t="str">
        <f>""</f>
        <v/>
      </c>
      <c r="BZ604" t="str">
        <f>""</f>
        <v/>
      </c>
      <c r="CA604" t="str">
        <f>""</f>
        <v/>
      </c>
      <c r="CB604" t="str">
        <f>""</f>
        <v/>
      </c>
      <c r="CC604" t="str">
        <f>""</f>
        <v/>
      </c>
      <c r="CD604" t="str">
        <f>""</f>
        <v/>
      </c>
      <c r="CE604" t="str">
        <f>""</f>
        <v/>
      </c>
      <c r="CF604" t="str">
        <f>""</f>
        <v/>
      </c>
      <c r="CG604" t="str">
        <f>""</f>
        <v/>
      </c>
      <c r="CH604" t="str">
        <f>""</f>
        <v/>
      </c>
      <c r="CI604" t="str">
        <f>""</f>
        <v/>
      </c>
      <c r="CJ604" t="str">
        <f>""</f>
        <v/>
      </c>
      <c r="CK604" t="str">
        <f>""</f>
        <v/>
      </c>
      <c r="CL604" t="str">
        <f>""</f>
        <v/>
      </c>
      <c r="CM604" t="str">
        <f>""</f>
        <v/>
      </c>
      <c r="CN604" t="str">
        <f>""</f>
        <v/>
      </c>
      <c r="CO604" t="str">
        <f>""</f>
        <v/>
      </c>
      <c r="CP604" t="str">
        <f>""</f>
        <v/>
      </c>
      <c r="CQ604" t="str">
        <f>""</f>
        <v/>
      </c>
      <c r="CR604" t="str">
        <f>""</f>
        <v/>
      </c>
      <c r="CS604" t="str">
        <f>""</f>
        <v/>
      </c>
      <c r="CT604" t="str">
        <f>""</f>
        <v/>
      </c>
      <c r="CU604" t="str">
        <f>""</f>
        <v/>
      </c>
      <c r="CV604" t="str">
        <f>""</f>
        <v/>
      </c>
      <c r="CW604" t="str">
        <f>""</f>
        <v/>
      </c>
      <c r="CX604" t="str">
        <f>""</f>
        <v/>
      </c>
      <c r="CY604" t="str">
        <f>""</f>
        <v/>
      </c>
      <c r="CZ604" t="str">
        <f>""</f>
        <v/>
      </c>
      <c r="DA604" t="str">
        <f>""</f>
        <v/>
      </c>
      <c r="DB604" t="str">
        <f>""</f>
        <v/>
      </c>
      <c r="DC604" t="str">
        <f>""</f>
        <v/>
      </c>
      <c r="DD604" t="str">
        <f>""</f>
        <v/>
      </c>
      <c r="DE604" t="str">
        <f>""</f>
        <v/>
      </c>
      <c r="DF604" t="str">
        <f>""</f>
        <v/>
      </c>
      <c r="DG604" t="str">
        <f>""</f>
        <v/>
      </c>
      <c r="DH604" t="str">
        <f>""</f>
        <v/>
      </c>
      <c r="DI604" t="str">
        <f>""</f>
        <v/>
      </c>
      <c r="DJ604" t="str">
        <f>""</f>
        <v/>
      </c>
      <c r="DK604" t="str">
        <f>""</f>
        <v/>
      </c>
      <c r="DL604" t="str">
        <f>""</f>
        <v/>
      </c>
      <c r="DM604" t="str">
        <f>""</f>
        <v/>
      </c>
      <c r="DN604" t="str">
        <f>""</f>
        <v/>
      </c>
      <c r="DO604" t="str">
        <f>""</f>
        <v/>
      </c>
      <c r="DP604" t="str">
        <f>""</f>
        <v/>
      </c>
      <c r="DQ604" t="str">
        <f>""</f>
        <v/>
      </c>
      <c r="DR604" t="str">
        <f>""</f>
        <v/>
      </c>
      <c r="DS604" t="str">
        <f>""</f>
        <v/>
      </c>
      <c r="DT604" t="str">
        <f>""</f>
        <v/>
      </c>
      <c r="DU604" t="str">
        <f>""</f>
        <v/>
      </c>
    </row>
    <row r="605" spans="1:125" x14ac:dyDescent="0.25">
      <c r="A605" t="str">
        <f>$A$98</f>
        <v xml:space="preserve">    Ford Motor Co</v>
      </c>
      <c r="B605" t="str">
        <f>$B$98</f>
        <v>F US Equity</v>
      </c>
      <c r="C605" t="str">
        <f>$C$98</f>
        <v>EZ021</v>
      </c>
      <c r="D605" t="str">
        <f>$D$98</f>
        <v>BEST_EPS_NXT_YR</v>
      </c>
      <c r="E605" t="str">
        <f>$E$98</f>
        <v>Dynamic</v>
      </c>
      <c r="F605" t="str">
        <f ca="1">_xll.BDH($B$98,$C$98,$B$509,$B$510,CONCATENATE("Per=",$B$507),"Dts=H","Dir=H",CONCATENATE("Points=",$B$508),"Sort=R","Days=A","Fill=B",CONCATENATE("FX=", $B$506) )</f>
        <v>#N/A Connection</v>
      </c>
      <c r="BN605" t="str">
        <f>""</f>
        <v/>
      </c>
      <c r="BO605" t="str">
        <f>""</f>
        <v/>
      </c>
      <c r="BP605" t="str">
        <f>""</f>
        <v/>
      </c>
      <c r="BQ605" t="str">
        <f>""</f>
        <v/>
      </c>
      <c r="BR605" t="str">
        <f>""</f>
        <v/>
      </c>
      <c r="BS605" t="str">
        <f>""</f>
        <v/>
      </c>
      <c r="BT605" t="str">
        <f>""</f>
        <v/>
      </c>
      <c r="BU605" t="str">
        <f>""</f>
        <v/>
      </c>
      <c r="BV605" t="str">
        <f>""</f>
        <v/>
      </c>
      <c r="BW605" t="str">
        <f>""</f>
        <v/>
      </c>
      <c r="BX605" t="str">
        <f>""</f>
        <v/>
      </c>
      <c r="BY605" t="str">
        <f>""</f>
        <v/>
      </c>
      <c r="BZ605" t="str">
        <f>""</f>
        <v/>
      </c>
      <c r="CA605" t="str">
        <f>""</f>
        <v/>
      </c>
      <c r="CB605" t="str">
        <f>""</f>
        <v/>
      </c>
      <c r="CC605" t="str">
        <f>""</f>
        <v/>
      </c>
      <c r="CD605" t="str">
        <f>""</f>
        <v/>
      </c>
      <c r="CE605" t="str">
        <f>""</f>
        <v/>
      </c>
      <c r="CF605" t="str">
        <f>""</f>
        <v/>
      </c>
      <c r="CG605" t="str">
        <f>""</f>
        <v/>
      </c>
      <c r="CH605" t="str">
        <f>""</f>
        <v/>
      </c>
      <c r="CI605" t="str">
        <f>""</f>
        <v/>
      </c>
      <c r="CJ605" t="str">
        <f>""</f>
        <v/>
      </c>
      <c r="CK605" t="str">
        <f>""</f>
        <v/>
      </c>
      <c r="CL605" t="str">
        <f>""</f>
        <v/>
      </c>
      <c r="CM605" t="str">
        <f>""</f>
        <v/>
      </c>
      <c r="CN605" t="str">
        <f>""</f>
        <v/>
      </c>
      <c r="CO605" t="str">
        <f>""</f>
        <v/>
      </c>
      <c r="CP605" t="str">
        <f>""</f>
        <v/>
      </c>
      <c r="CQ605" t="str">
        <f>""</f>
        <v/>
      </c>
      <c r="CR605" t="str">
        <f>""</f>
        <v/>
      </c>
      <c r="CS605" t="str">
        <f>""</f>
        <v/>
      </c>
      <c r="CT605" t="str">
        <f>""</f>
        <v/>
      </c>
      <c r="CU605" t="str">
        <f>""</f>
        <v/>
      </c>
      <c r="CV605" t="str">
        <f>""</f>
        <v/>
      </c>
      <c r="CW605" t="str">
        <f>""</f>
        <v/>
      </c>
      <c r="CX605" t="str">
        <f>""</f>
        <v/>
      </c>
      <c r="CY605" t="str">
        <f>""</f>
        <v/>
      </c>
      <c r="CZ605" t="str">
        <f>""</f>
        <v/>
      </c>
      <c r="DA605" t="str">
        <f>""</f>
        <v/>
      </c>
      <c r="DB605" t="str">
        <f>""</f>
        <v/>
      </c>
      <c r="DC605" t="str">
        <f>""</f>
        <v/>
      </c>
      <c r="DD605" t="str">
        <f>""</f>
        <v/>
      </c>
      <c r="DE605" t="str">
        <f>""</f>
        <v/>
      </c>
      <c r="DF605" t="str">
        <f>""</f>
        <v/>
      </c>
      <c r="DG605" t="str">
        <f>""</f>
        <v/>
      </c>
      <c r="DH605" t="str">
        <f>""</f>
        <v/>
      </c>
      <c r="DI605" t="str">
        <f>""</f>
        <v/>
      </c>
      <c r="DJ605" t="str">
        <f>""</f>
        <v/>
      </c>
      <c r="DK605" t="str">
        <f>""</f>
        <v/>
      </c>
      <c r="DL605" t="str">
        <f>""</f>
        <v/>
      </c>
      <c r="DM605" t="str">
        <f>""</f>
        <v/>
      </c>
      <c r="DN605" t="str">
        <f>""</f>
        <v/>
      </c>
      <c r="DO605" t="str">
        <f>""</f>
        <v/>
      </c>
      <c r="DP605" t="str">
        <f>""</f>
        <v/>
      </c>
      <c r="DQ605" t="str">
        <f>""</f>
        <v/>
      </c>
      <c r="DR605" t="str">
        <f>""</f>
        <v/>
      </c>
      <c r="DS605" t="str">
        <f>""</f>
        <v/>
      </c>
      <c r="DT605" t="str">
        <f>""</f>
        <v/>
      </c>
      <c r="DU605" t="str">
        <f>""</f>
        <v/>
      </c>
    </row>
    <row r="606" spans="1:125" x14ac:dyDescent="0.25">
      <c r="A606" t="str">
        <f>$A$99</f>
        <v xml:space="preserve">    Ford Otomotiv Sanayi AS</v>
      </c>
      <c r="B606" t="str">
        <f>$B$99</f>
        <v>FROTOTRY EO Equity</v>
      </c>
      <c r="C606" t="str">
        <f>$C$99</f>
        <v>EZ021</v>
      </c>
      <c r="D606" t="str">
        <f>$D$99</f>
        <v>BEST_EPS_NXT_YR</v>
      </c>
      <c r="E606" t="str">
        <f>$E$99</f>
        <v>Dynamic</v>
      </c>
      <c r="F606" t="str">
        <f ca="1">_xll.BDH($B$99,$C$99,$B$509,$B$510,CONCATENATE("Per=",$B$507),"Dts=H","Dir=H",CONCATENATE("Points=",$B$508),"Sort=R","Days=A","Fill=B",CONCATENATE("FX=", $B$506) )</f>
        <v>#N/A Connection</v>
      </c>
      <c r="BN606" t="str">
        <f>""</f>
        <v/>
      </c>
      <c r="BO606" t="str">
        <f>""</f>
        <v/>
      </c>
      <c r="BP606" t="str">
        <f>""</f>
        <v/>
      </c>
      <c r="BQ606" t="str">
        <f>""</f>
        <v/>
      </c>
      <c r="BR606" t="str">
        <f>""</f>
        <v/>
      </c>
      <c r="BS606" t="str">
        <f>""</f>
        <v/>
      </c>
      <c r="BT606" t="str">
        <f>""</f>
        <v/>
      </c>
      <c r="BU606" t="str">
        <f>""</f>
        <v/>
      </c>
      <c r="BV606" t="str">
        <f>""</f>
        <v/>
      </c>
      <c r="BW606" t="str">
        <f>""</f>
        <v/>
      </c>
      <c r="BX606" t="str">
        <f>""</f>
        <v/>
      </c>
      <c r="BY606" t="str">
        <f>""</f>
        <v/>
      </c>
      <c r="BZ606" t="str">
        <f>""</f>
        <v/>
      </c>
      <c r="CA606" t="str">
        <f>""</f>
        <v/>
      </c>
      <c r="CB606" t="str">
        <f>""</f>
        <v/>
      </c>
      <c r="CC606" t="str">
        <f>""</f>
        <v/>
      </c>
      <c r="CD606" t="str">
        <f>""</f>
        <v/>
      </c>
      <c r="CE606" t="str">
        <f>""</f>
        <v/>
      </c>
      <c r="CF606" t="str">
        <f>""</f>
        <v/>
      </c>
      <c r="CG606" t="str">
        <f>""</f>
        <v/>
      </c>
      <c r="CH606" t="str">
        <f>""</f>
        <v/>
      </c>
      <c r="CI606" t="str">
        <f>""</f>
        <v/>
      </c>
      <c r="CJ606" t="str">
        <f>""</f>
        <v/>
      </c>
      <c r="CK606" t="str">
        <f>""</f>
        <v/>
      </c>
      <c r="CL606" t="str">
        <f>""</f>
        <v/>
      </c>
      <c r="CM606" t="str">
        <f>""</f>
        <v/>
      </c>
      <c r="CN606" t="str">
        <f>""</f>
        <v/>
      </c>
      <c r="CO606" t="str">
        <f>""</f>
        <v/>
      </c>
      <c r="CP606" t="str">
        <f>""</f>
        <v/>
      </c>
      <c r="CQ606" t="str">
        <f>""</f>
        <v/>
      </c>
      <c r="CR606" t="str">
        <f>""</f>
        <v/>
      </c>
      <c r="CS606" t="str">
        <f>""</f>
        <v/>
      </c>
      <c r="CT606" t="str">
        <f>""</f>
        <v/>
      </c>
      <c r="CU606" t="str">
        <f>""</f>
        <v/>
      </c>
      <c r="CV606" t="str">
        <f>""</f>
        <v/>
      </c>
      <c r="CW606" t="str">
        <f>""</f>
        <v/>
      </c>
      <c r="CX606" t="str">
        <f>""</f>
        <v/>
      </c>
      <c r="CY606" t="str">
        <f>""</f>
        <v/>
      </c>
      <c r="CZ606" t="str">
        <f>""</f>
        <v/>
      </c>
      <c r="DA606" t="str">
        <f>""</f>
        <v/>
      </c>
      <c r="DB606" t="str">
        <f>""</f>
        <v/>
      </c>
      <c r="DC606" t="str">
        <f>""</f>
        <v/>
      </c>
      <c r="DD606" t="str">
        <f>""</f>
        <v/>
      </c>
      <c r="DE606" t="str">
        <f>""</f>
        <v/>
      </c>
      <c r="DF606" t="str">
        <f>""</f>
        <v/>
      </c>
      <c r="DG606" t="str">
        <f>""</f>
        <v/>
      </c>
      <c r="DH606" t="str">
        <f>""</f>
        <v/>
      </c>
      <c r="DI606" t="str">
        <f>""</f>
        <v/>
      </c>
      <c r="DJ606" t="str">
        <f>""</f>
        <v/>
      </c>
      <c r="DK606" t="str">
        <f>""</f>
        <v/>
      </c>
      <c r="DL606" t="str">
        <f>""</f>
        <v/>
      </c>
      <c r="DM606" t="str">
        <f>""</f>
        <v/>
      </c>
      <c r="DN606" t="str">
        <f>""</f>
        <v/>
      </c>
      <c r="DO606" t="str">
        <f>""</f>
        <v/>
      </c>
      <c r="DP606" t="str">
        <f>""</f>
        <v/>
      </c>
      <c r="DQ606" t="str">
        <f>""</f>
        <v/>
      </c>
      <c r="DR606" t="str">
        <f>""</f>
        <v/>
      </c>
      <c r="DS606" t="str">
        <f>""</f>
        <v/>
      </c>
      <c r="DT606" t="str">
        <f>""</f>
        <v/>
      </c>
      <c r="DU606" t="str">
        <f>""</f>
        <v/>
      </c>
    </row>
    <row r="607" spans="1:125" x14ac:dyDescent="0.25">
      <c r="A607" t="str">
        <f>$A$100</f>
        <v xml:space="preserve">    GAZ PJSC</v>
      </c>
      <c r="B607" t="str">
        <f>$B$100</f>
        <v>GAZA RM Equity</v>
      </c>
      <c r="C607" t="str">
        <f>$C$100</f>
        <v>EZ021</v>
      </c>
      <c r="D607" t="str">
        <f>$D$100</f>
        <v>BEST_EPS_NXT_YR</v>
      </c>
      <c r="E607" t="str">
        <f>$E$100</f>
        <v>Dynamic</v>
      </c>
      <c r="F607" t="str">
        <f ca="1">_xll.BDH($B$100,$C$100,$B$509,$B$510,CONCATENATE("Per=",$B$507),"Dts=H","Dir=H",CONCATENATE("Points=",$B$508),"Sort=R","Days=A","Fill=B",CONCATENATE("FX=", $B$506) )</f>
        <v>#N/A Connection</v>
      </c>
      <c r="BN607" t="str">
        <f>""</f>
        <v/>
      </c>
      <c r="BO607" t="str">
        <f>""</f>
        <v/>
      </c>
      <c r="BP607" t="str">
        <f>""</f>
        <v/>
      </c>
      <c r="BQ607" t="str">
        <f>""</f>
        <v/>
      </c>
      <c r="BR607" t="str">
        <f>""</f>
        <v/>
      </c>
      <c r="BS607" t="str">
        <f>""</f>
        <v/>
      </c>
      <c r="BT607" t="str">
        <f>""</f>
        <v/>
      </c>
      <c r="BU607" t="str">
        <f>""</f>
        <v/>
      </c>
      <c r="BV607" t="str">
        <f>""</f>
        <v/>
      </c>
      <c r="BW607" t="str">
        <f>""</f>
        <v/>
      </c>
      <c r="BX607" t="str">
        <f>""</f>
        <v/>
      </c>
      <c r="BY607" t="str">
        <f>""</f>
        <v/>
      </c>
      <c r="BZ607" t="str">
        <f>""</f>
        <v/>
      </c>
      <c r="CA607" t="str">
        <f>""</f>
        <v/>
      </c>
      <c r="CB607" t="str">
        <f>""</f>
        <v/>
      </c>
      <c r="CC607" t="str">
        <f>""</f>
        <v/>
      </c>
      <c r="CD607" t="str">
        <f>""</f>
        <v/>
      </c>
      <c r="CE607" t="str">
        <f>""</f>
        <v/>
      </c>
      <c r="CF607" t="str">
        <f>""</f>
        <v/>
      </c>
      <c r="CG607" t="str">
        <f>""</f>
        <v/>
      </c>
      <c r="CH607" t="str">
        <f>""</f>
        <v/>
      </c>
      <c r="CI607" t="str">
        <f>""</f>
        <v/>
      </c>
      <c r="CJ607" t="str">
        <f>""</f>
        <v/>
      </c>
      <c r="CK607" t="str">
        <f>""</f>
        <v/>
      </c>
      <c r="CL607" t="str">
        <f>""</f>
        <v/>
      </c>
      <c r="CM607" t="str">
        <f>""</f>
        <v/>
      </c>
      <c r="CN607" t="str">
        <f>""</f>
        <v/>
      </c>
      <c r="CO607" t="str">
        <f>""</f>
        <v/>
      </c>
      <c r="CP607" t="str">
        <f>""</f>
        <v/>
      </c>
      <c r="CQ607" t="str">
        <f>""</f>
        <v/>
      </c>
      <c r="CR607" t="str">
        <f>""</f>
        <v/>
      </c>
      <c r="CS607" t="str">
        <f>""</f>
        <v/>
      </c>
      <c r="CT607" t="str">
        <f>""</f>
        <v/>
      </c>
      <c r="CU607" t="str">
        <f>""</f>
        <v/>
      </c>
      <c r="CV607" t="str">
        <f>""</f>
        <v/>
      </c>
      <c r="CW607" t="str">
        <f>""</f>
        <v/>
      </c>
      <c r="CX607" t="str">
        <f>""</f>
        <v/>
      </c>
      <c r="CY607" t="str">
        <f>""</f>
        <v/>
      </c>
      <c r="CZ607" t="str">
        <f>""</f>
        <v/>
      </c>
      <c r="DA607" t="str">
        <f>""</f>
        <v/>
      </c>
      <c r="DB607" t="str">
        <f>""</f>
        <v/>
      </c>
      <c r="DC607" t="str">
        <f>""</f>
        <v/>
      </c>
      <c r="DD607" t="str">
        <f>""</f>
        <v/>
      </c>
      <c r="DE607" t="str">
        <f>""</f>
        <v/>
      </c>
      <c r="DF607" t="str">
        <f>""</f>
        <v/>
      </c>
      <c r="DG607" t="str">
        <f>""</f>
        <v/>
      </c>
      <c r="DH607" t="str">
        <f>""</f>
        <v/>
      </c>
      <c r="DI607" t="str">
        <f>""</f>
        <v/>
      </c>
      <c r="DJ607" t="str">
        <f>""</f>
        <v/>
      </c>
      <c r="DK607" t="str">
        <f>""</f>
        <v/>
      </c>
      <c r="DL607" t="str">
        <f>""</f>
        <v/>
      </c>
      <c r="DM607" t="str">
        <f>""</f>
        <v/>
      </c>
      <c r="DN607" t="str">
        <f>""</f>
        <v/>
      </c>
      <c r="DO607" t="str">
        <f>""</f>
        <v/>
      </c>
      <c r="DP607" t="str">
        <f>""</f>
        <v/>
      </c>
      <c r="DQ607" t="str">
        <f>""</f>
        <v/>
      </c>
      <c r="DR607" t="str">
        <f>""</f>
        <v/>
      </c>
      <c r="DS607" t="str">
        <f>""</f>
        <v/>
      </c>
      <c r="DT607" t="str">
        <f>""</f>
        <v/>
      </c>
      <c r="DU607" t="str">
        <f>""</f>
        <v/>
      </c>
    </row>
    <row r="608" spans="1:125" x14ac:dyDescent="0.25">
      <c r="A608" t="str">
        <f>$A$101</f>
        <v xml:space="preserve">    Geely Automobile Holdings Ltd</v>
      </c>
      <c r="B608" t="str">
        <f>$B$101</f>
        <v>175 HK Equity</v>
      </c>
      <c r="C608" t="str">
        <f>$C$101</f>
        <v>EZ021</v>
      </c>
      <c r="D608" t="str">
        <f>$D$101</f>
        <v>BEST_EPS_NXT_YR</v>
      </c>
      <c r="E608" t="str">
        <f>$E$101</f>
        <v>Dynamic</v>
      </c>
      <c r="F608" t="str">
        <f ca="1">_xll.BDH($B$101,$C$101,$B$509,$B$510,CONCATENATE("Per=",$B$507),"Dts=H","Dir=H",CONCATENATE("Points=",$B$508),"Sort=R","Days=A","Fill=B",CONCATENATE("FX=", $B$506) )</f>
        <v>#N/A Connection</v>
      </c>
      <c r="BN608" t="str">
        <f>""</f>
        <v/>
      </c>
      <c r="BO608" t="str">
        <f>""</f>
        <v/>
      </c>
      <c r="BP608" t="str">
        <f>""</f>
        <v/>
      </c>
      <c r="BQ608" t="str">
        <f>""</f>
        <v/>
      </c>
      <c r="BR608" t="str">
        <f>""</f>
        <v/>
      </c>
      <c r="BS608" t="str">
        <f>""</f>
        <v/>
      </c>
      <c r="BT608" t="str">
        <f>""</f>
        <v/>
      </c>
      <c r="BU608" t="str">
        <f>""</f>
        <v/>
      </c>
      <c r="BV608" t="str">
        <f>""</f>
        <v/>
      </c>
      <c r="BW608" t="str">
        <f>""</f>
        <v/>
      </c>
      <c r="BX608" t="str">
        <f>""</f>
        <v/>
      </c>
      <c r="BY608" t="str">
        <f>""</f>
        <v/>
      </c>
      <c r="BZ608" t="str">
        <f>""</f>
        <v/>
      </c>
      <c r="CA608" t="str">
        <f>""</f>
        <v/>
      </c>
      <c r="CB608" t="str">
        <f>""</f>
        <v/>
      </c>
      <c r="CC608" t="str">
        <f>""</f>
        <v/>
      </c>
      <c r="CD608" t="str">
        <f>""</f>
        <v/>
      </c>
      <c r="CE608" t="str">
        <f>""</f>
        <v/>
      </c>
      <c r="CF608" t="str">
        <f>""</f>
        <v/>
      </c>
      <c r="CG608" t="str">
        <f>""</f>
        <v/>
      </c>
      <c r="CH608" t="str">
        <f>""</f>
        <v/>
      </c>
      <c r="CI608" t="str">
        <f>""</f>
        <v/>
      </c>
      <c r="CJ608" t="str">
        <f>""</f>
        <v/>
      </c>
      <c r="CK608" t="str">
        <f>""</f>
        <v/>
      </c>
      <c r="CL608" t="str">
        <f>""</f>
        <v/>
      </c>
      <c r="CM608" t="str">
        <f>""</f>
        <v/>
      </c>
      <c r="CN608" t="str">
        <f>""</f>
        <v/>
      </c>
      <c r="CO608" t="str">
        <f>""</f>
        <v/>
      </c>
      <c r="CP608" t="str">
        <f>""</f>
        <v/>
      </c>
      <c r="CQ608" t="str">
        <f>""</f>
        <v/>
      </c>
      <c r="CR608" t="str">
        <f>""</f>
        <v/>
      </c>
      <c r="CS608" t="str">
        <f>""</f>
        <v/>
      </c>
      <c r="CT608" t="str">
        <f>""</f>
        <v/>
      </c>
      <c r="CU608" t="str">
        <f>""</f>
        <v/>
      </c>
      <c r="CV608" t="str">
        <f>""</f>
        <v/>
      </c>
      <c r="CW608" t="str">
        <f>""</f>
        <v/>
      </c>
      <c r="CX608" t="str">
        <f>""</f>
        <v/>
      </c>
      <c r="CY608" t="str">
        <f>""</f>
        <v/>
      </c>
      <c r="CZ608" t="str">
        <f>""</f>
        <v/>
      </c>
      <c r="DA608" t="str">
        <f>""</f>
        <v/>
      </c>
      <c r="DB608" t="str">
        <f>""</f>
        <v/>
      </c>
      <c r="DC608" t="str">
        <f>""</f>
        <v/>
      </c>
      <c r="DD608" t="str">
        <f>""</f>
        <v/>
      </c>
      <c r="DE608" t="str">
        <f>""</f>
        <v/>
      </c>
      <c r="DF608" t="str">
        <f>""</f>
        <v/>
      </c>
      <c r="DG608" t="str">
        <f>""</f>
        <v/>
      </c>
      <c r="DH608" t="str">
        <f>""</f>
        <v/>
      </c>
      <c r="DI608" t="str">
        <f>""</f>
        <v/>
      </c>
      <c r="DJ608" t="str">
        <f>""</f>
        <v/>
      </c>
      <c r="DK608" t="str">
        <f>""</f>
        <v/>
      </c>
      <c r="DL608" t="str">
        <f>""</f>
        <v/>
      </c>
      <c r="DM608" t="str">
        <f>""</f>
        <v/>
      </c>
      <c r="DN608" t="str">
        <f>""</f>
        <v/>
      </c>
      <c r="DO608" t="str">
        <f>""</f>
        <v/>
      </c>
      <c r="DP608" t="str">
        <f>""</f>
        <v/>
      </c>
      <c r="DQ608" t="str">
        <f>""</f>
        <v/>
      </c>
      <c r="DR608" t="str">
        <f>""</f>
        <v/>
      </c>
      <c r="DS608" t="str">
        <f>""</f>
        <v/>
      </c>
      <c r="DT608" t="str">
        <f>""</f>
        <v/>
      </c>
      <c r="DU608" t="str">
        <f>""</f>
        <v/>
      </c>
    </row>
    <row r="609" spans="1:125" x14ac:dyDescent="0.25">
      <c r="A609" t="str">
        <f>$A$102</f>
        <v xml:space="preserve">    General Motors Co</v>
      </c>
      <c r="B609" t="str">
        <f>$B$102</f>
        <v>GM US Equity</v>
      </c>
      <c r="C609" t="str">
        <f>$C$102</f>
        <v>EZ021</v>
      </c>
      <c r="D609" t="str">
        <f>$D$102</f>
        <v>BEST_EPS_NXT_YR</v>
      </c>
      <c r="E609" t="str">
        <f>$E$102</f>
        <v>Dynamic</v>
      </c>
      <c r="F609" t="str">
        <f ca="1">_xll.BDH($B$102,$C$102,$B$509,$B$510,CONCATENATE("Per=",$B$507),"Dts=H","Dir=H",CONCATENATE("Points=",$B$508),"Sort=R","Days=A","Fill=B",CONCATENATE("FX=", $B$506) )</f>
        <v>#N/A Connection</v>
      </c>
      <c r="BN609" t="str">
        <f>""</f>
        <v/>
      </c>
      <c r="BO609" t="str">
        <f>""</f>
        <v/>
      </c>
      <c r="BP609" t="str">
        <f>""</f>
        <v/>
      </c>
      <c r="BQ609" t="str">
        <f>""</f>
        <v/>
      </c>
      <c r="BR609" t="str">
        <f>""</f>
        <v/>
      </c>
      <c r="BS609" t="str">
        <f>""</f>
        <v/>
      </c>
      <c r="BT609" t="str">
        <f>""</f>
        <v/>
      </c>
      <c r="BU609" t="str">
        <f>""</f>
        <v/>
      </c>
      <c r="BV609" t="str">
        <f>""</f>
        <v/>
      </c>
      <c r="BW609" t="str">
        <f>""</f>
        <v/>
      </c>
      <c r="BX609" t="str">
        <f>""</f>
        <v/>
      </c>
      <c r="BY609" t="str">
        <f>""</f>
        <v/>
      </c>
      <c r="BZ609" t="str">
        <f>""</f>
        <v/>
      </c>
      <c r="CA609" t="str">
        <f>""</f>
        <v/>
      </c>
      <c r="CB609" t="str">
        <f>""</f>
        <v/>
      </c>
      <c r="CC609" t="str">
        <f>""</f>
        <v/>
      </c>
      <c r="CD609" t="str">
        <f>""</f>
        <v/>
      </c>
      <c r="CE609" t="str">
        <f>""</f>
        <v/>
      </c>
      <c r="CF609" t="str">
        <f>""</f>
        <v/>
      </c>
      <c r="CG609" t="str">
        <f>""</f>
        <v/>
      </c>
      <c r="CH609" t="str">
        <f>""</f>
        <v/>
      </c>
      <c r="CI609" t="str">
        <f>""</f>
        <v/>
      </c>
      <c r="CJ609" t="str">
        <f>""</f>
        <v/>
      </c>
      <c r="CK609" t="str">
        <f>""</f>
        <v/>
      </c>
      <c r="CL609" t="str">
        <f>""</f>
        <v/>
      </c>
      <c r="CM609" t="str">
        <f>""</f>
        <v/>
      </c>
      <c r="CN609" t="str">
        <f>""</f>
        <v/>
      </c>
      <c r="CO609" t="str">
        <f>""</f>
        <v/>
      </c>
      <c r="CP609" t="str">
        <f>""</f>
        <v/>
      </c>
      <c r="CQ609" t="str">
        <f>""</f>
        <v/>
      </c>
      <c r="CR609" t="str">
        <f>""</f>
        <v/>
      </c>
      <c r="CS609" t="str">
        <f>""</f>
        <v/>
      </c>
      <c r="CT609" t="str">
        <f>""</f>
        <v/>
      </c>
      <c r="CU609" t="str">
        <f>""</f>
        <v/>
      </c>
      <c r="CV609" t="str">
        <f>""</f>
        <v/>
      </c>
      <c r="CW609" t="str">
        <f>""</f>
        <v/>
      </c>
      <c r="CX609" t="str">
        <f>""</f>
        <v/>
      </c>
      <c r="CY609" t="str">
        <f>""</f>
        <v/>
      </c>
      <c r="CZ609" t="str">
        <f>""</f>
        <v/>
      </c>
      <c r="DA609" t="str">
        <f>""</f>
        <v/>
      </c>
      <c r="DB609" t="str">
        <f>""</f>
        <v/>
      </c>
      <c r="DC609" t="str">
        <f>""</f>
        <v/>
      </c>
      <c r="DD609" t="str">
        <f>""</f>
        <v/>
      </c>
      <c r="DE609" t="str">
        <f>""</f>
        <v/>
      </c>
      <c r="DF609" t="str">
        <f>""</f>
        <v/>
      </c>
      <c r="DG609" t="str">
        <f>""</f>
        <v/>
      </c>
      <c r="DH609" t="str">
        <f>""</f>
        <v/>
      </c>
      <c r="DI609" t="str">
        <f>""</f>
        <v/>
      </c>
      <c r="DJ609" t="str">
        <f>""</f>
        <v/>
      </c>
      <c r="DK609" t="str">
        <f>""</f>
        <v/>
      </c>
      <c r="DL609" t="str">
        <f>""</f>
        <v/>
      </c>
      <c r="DM609" t="str">
        <f>""</f>
        <v/>
      </c>
      <c r="DN609" t="str">
        <f>""</f>
        <v/>
      </c>
      <c r="DO609" t="str">
        <f>""</f>
        <v/>
      </c>
      <c r="DP609" t="str">
        <f>""</f>
        <v/>
      </c>
      <c r="DQ609" t="str">
        <f>""</f>
        <v/>
      </c>
      <c r="DR609" t="str">
        <f>""</f>
        <v/>
      </c>
      <c r="DS609" t="str">
        <f>""</f>
        <v/>
      </c>
      <c r="DT609" t="str">
        <f>""</f>
        <v/>
      </c>
      <c r="DU609" t="str">
        <f>""</f>
        <v/>
      </c>
    </row>
    <row r="610" spans="1:125" x14ac:dyDescent="0.25">
      <c r="A610" t="str">
        <f>$A$103</f>
        <v xml:space="preserve">    Great Wall Motor Co Ltd</v>
      </c>
      <c r="B610" t="str">
        <f>$B$103</f>
        <v>2333 HK Equity</v>
      </c>
      <c r="C610" t="str">
        <f>$C$103</f>
        <v>EZ021</v>
      </c>
      <c r="D610" t="str">
        <f>$D$103</f>
        <v>BEST_EPS_NXT_YR</v>
      </c>
      <c r="E610" t="str">
        <f>$E$103</f>
        <v>Dynamic</v>
      </c>
      <c r="F610" t="str">
        <f ca="1">_xll.BDH($B$103,$C$103,$B$509,$B$510,CONCATENATE("Per=",$B$507),"Dts=H","Dir=H",CONCATENATE("Points=",$B$508),"Sort=R","Days=A","Fill=B",CONCATENATE("FX=", $B$506) )</f>
        <v>#N/A Connection</v>
      </c>
      <c r="BN610" t="str">
        <f>""</f>
        <v/>
      </c>
      <c r="BO610" t="str">
        <f>""</f>
        <v/>
      </c>
      <c r="BP610" t="str">
        <f>""</f>
        <v/>
      </c>
      <c r="BQ610" t="str">
        <f>""</f>
        <v/>
      </c>
      <c r="BR610" t="str">
        <f>""</f>
        <v/>
      </c>
      <c r="BS610" t="str">
        <f>""</f>
        <v/>
      </c>
      <c r="BT610" t="str">
        <f>""</f>
        <v/>
      </c>
      <c r="BU610" t="str">
        <f>""</f>
        <v/>
      </c>
      <c r="BV610" t="str">
        <f>""</f>
        <v/>
      </c>
      <c r="BW610" t="str">
        <f>""</f>
        <v/>
      </c>
      <c r="BX610" t="str">
        <f>""</f>
        <v/>
      </c>
      <c r="BY610" t="str">
        <f>""</f>
        <v/>
      </c>
      <c r="BZ610" t="str">
        <f>""</f>
        <v/>
      </c>
      <c r="CA610" t="str">
        <f>""</f>
        <v/>
      </c>
      <c r="CB610" t="str">
        <f>""</f>
        <v/>
      </c>
      <c r="CC610" t="str">
        <f>""</f>
        <v/>
      </c>
      <c r="CD610" t="str">
        <f>""</f>
        <v/>
      </c>
      <c r="CE610" t="str">
        <f>""</f>
        <v/>
      </c>
      <c r="CF610" t="str">
        <f>""</f>
        <v/>
      </c>
      <c r="CG610" t="str">
        <f>""</f>
        <v/>
      </c>
      <c r="CH610" t="str">
        <f>""</f>
        <v/>
      </c>
      <c r="CI610" t="str">
        <f>""</f>
        <v/>
      </c>
      <c r="CJ610" t="str">
        <f>""</f>
        <v/>
      </c>
      <c r="CK610" t="str">
        <f>""</f>
        <v/>
      </c>
      <c r="CL610" t="str">
        <f>""</f>
        <v/>
      </c>
      <c r="CM610" t="str">
        <f>""</f>
        <v/>
      </c>
      <c r="CN610" t="str">
        <f>""</f>
        <v/>
      </c>
      <c r="CO610" t="str">
        <f>""</f>
        <v/>
      </c>
      <c r="CP610" t="str">
        <f>""</f>
        <v/>
      </c>
      <c r="CQ610" t="str">
        <f>""</f>
        <v/>
      </c>
      <c r="CR610" t="str">
        <f>""</f>
        <v/>
      </c>
      <c r="CS610" t="str">
        <f>""</f>
        <v/>
      </c>
      <c r="CT610" t="str">
        <f>""</f>
        <v/>
      </c>
      <c r="CU610" t="str">
        <f>""</f>
        <v/>
      </c>
      <c r="CV610" t="str">
        <f>""</f>
        <v/>
      </c>
      <c r="CW610" t="str">
        <f>""</f>
        <v/>
      </c>
      <c r="CX610" t="str">
        <f>""</f>
        <v/>
      </c>
      <c r="CY610" t="str">
        <f>""</f>
        <v/>
      </c>
      <c r="CZ610" t="str">
        <f>""</f>
        <v/>
      </c>
      <c r="DA610" t="str">
        <f>""</f>
        <v/>
      </c>
      <c r="DB610" t="str">
        <f>""</f>
        <v/>
      </c>
      <c r="DC610" t="str">
        <f>""</f>
        <v/>
      </c>
      <c r="DD610" t="str">
        <f>""</f>
        <v/>
      </c>
      <c r="DE610" t="str">
        <f>""</f>
        <v/>
      </c>
      <c r="DF610" t="str">
        <f>""</f>
        <v/>
      </c>
      <c r="DG610" t="str">
        <f>""</f>
        <v/>
      </c>
      <c r="DH610" t="str">
        <f>""</f>
        <v/>
      </c>
      <c r="DI610" t="str">
        <f>""</f>
        <v/>
      </c>
      <c r="DJ610" t="str">
        <f>""</f>
        <v/>
      </c>
      <c r="DK610" t="str">
        <f>""</f>
        <v/>
      </c>
      <c r="DL610" t="str">
        <f>""</f>
        <v/>
      </c>
      <c r="DM610" t="str">
        <f>""</f>
        <v/>
      </c>
      <c r="DN610" t="str">
        <f>""</f>
        <v/>
      </c>
      <c r="DO610" t="str">
        <f>""</f>
        <v/>
      </c>
      <c r="DP610" t="str">
        <f>""</f>
        <v/>
      </c>
      <c r="DQ610" t="str">
        <f>""</f>
        <v/>
      </c>
      <c r="DR610" t="str">
        <f>""</f>
        <v/>
      </c>
      <c r="DS610" t="str">
        <f>""</f>
        <v/>
      </c>
      <c r="DT610" t="str">
        <f>""</f>
        <v/>
      </c>
      <c r="DU610" t="str">
        <f>""</f>
        <v/>
      </c>
    </row>
    <row r="611" spans="1:125" x14ac:dyDescent="0.25">
      <c r="A611" t="str">
        <f>$A$104</f>
        <v xml:space="preserve">    Guangzhou Automobile Group Co Ltd</v>
      </c>
      <c r="B611" t="str">
        <f>$B$104</f>
        <v>2238 HK Equity</v>
      </c>
      <c r="C611" t="str">
        <f>$C$104</f>
        <v>EZ021</v>
      </c>
      <c r="D611" t="str">
        <f>$D$104</f>
        <v>BEST_EPS_NXT_YR</v>
      </c>
      <c r="E611" t="str">
        <f>$E$104</f>
        <v>Dynamic</v>
      </c>
      <c r="F611" t="str">
        <f ca="1">_xll.BDH($B$104,$C$104,$B$509,$B$510,CONCATENATE("Per=",$B$507),"Dts=H","Dir=H",CONCATENATE("Points=",$B$508),"Sort=R","Days=A","Fill=B",CONCATENATE("FX=", $B$506) )</f>
        <v>#N/A Connection</v>
      </c>
      <c r="BN611" t="str">
        <f>""</f>
        <v/>
      </c>
      <c r="BO611" t="str">
        <f>""</f>
        <v/>
      </c>
      <c r="BP611" t="str">
        <f>""</f>
        <v/>
      </c>
      <c r="BQ611" t="str">
        <f>""</f>
        <v/>
      </c>
      <c r="BR611" t="str">
        <f>""</f>
        <v/>
      </c>
      <c r="BS611" t="str">
        <f>""</f>
        <v/>
      </c>
      <c r="BT611" t="str">
        <f>""</f>
        <v/>
      </c>
      <c r="BU611" t="str">
        <f>""</f>
        <v/>
      </c>
      <c r="BV611" t="str">
        <f>""</f>
        <v/>
      </c>
      <c r="BW611" t="str">
        <f>""</f>
        <v/>
      </c>
      <c r="BX611" t="str">
        <f>""</f>
        <v/>
      </c>
      <c r="BY611" t="str">
        <f>""</f>
        <v/>
      </c>
      <c r="BZ611" t="str">
        <f>""</f>
        <v/>
      </c>
      <c r="CA611" t="str">
        <f>""</f>
        <v/>
      </c>
      <c r="CB611" t="str">
        <f>""</f>
        <v/>
      </c>
      <c r="CC611" t="str">
        <f>""</f>
        <v/>
      </c>
      <c r="CD611" t="str">
        <f>""</f>
        <v/>
      </c>
      <c r="CE611" t="str">
        <f>""</f>
        <v/>
      </c>
      <c r="CF611" t="str">
        <f>""</f>
        <v/>
      </c>
      <c r="CG611" t="str">
        <f>""</f>
        <v/>
      </c>
      <c r="CH611" t="str">
        <f>""</f>
        <v/>
      </c>
      <c r="CI611" t="str">
        <f>""</f>
        <v/>
      </c>
      <c r="CJ611" t="str">
        <f>""</f>
        <v/>
      </c>
      <c r="CK611" t="str">
        <f>""</f>
        <v/>
      </c>
      <c r="CL611" t="str">
        <f>""</f>
        <v/>
      </c>
      <c r="CM611" t="str">
        <f>""</f>
        <v/>
      </c>
      <c r="CN611" t="str">
        <f>""</f>
        <v/>
      </c>
      <c r="CO611" t="str">
        <f>""</f>
        <v/>
      </c>
      <c r="CP611" t="str">
        <f>""</f>
        <v/>
      </c>
      <c r="CQ611" t="str">
        <f>""</f>
        <v/>
      </c>
      <c r="CR611" t="str">
        <f>""</f>
        <v/>
      </c>
      <c r="CS611" t="str">
        <f>""</f>
        <v/>
      </c>
      <c r="CT611" t="str">
        <f>""</f>
        <v/>
      </c>
      <c r="CU611" t="str">
        <f>""</f>
        <v/>
      </c>
      <c r="CV611" t="str">
        <f>""</f>
        <v/>
      </c>
      <c r="CW611" t="str">
        <f>""</f>
        <v/>
      </c>
      <c r="CX611" t="str">
        <f>""</f>
        <v/>
      </c>
      <c r="CY611" t="str">
        <f>""</f>
        <v/>
      </c>
      <c r="CZ611" t="str">
        <f>""</f>
        <v/>
      </c>
      <c r="DA611" t="str">
        <f>""</f>
        <v/>
      </c>
      <c r="DB611" t="str">
        <f>""</f>
        <v/>
      </c>
      <c r="DC611" t="str">
        <f>""</f>
        <v/>
      </c>
      <c r="DD611" t="str">
        <f>""</f>
        <v/>
      </c>
      <c r="DE611" t="str">
        <f>""</f>
        <v/>
      </c>
      <c r="DF611" t="str">
        <f>""</f>
        <v/>
      </c>
      <c r="DG611" t="str">
        <f>""</f>
        <v/>
      </c>
      <c r="DH611" t="str">
        <f>""</f>
        <v/>
      </c>
      <c r="DI611" t="str">
        <f>""</f>
        <v/>
      </c>
      <c r="DJ611" t="str">
        <f>""</f>
        <v/>
      </c>
      <c r="DK611" t="str">
        <f>""</f>
        <v/>
      </c>
      <c r="DL611" t="str">
        <f>""</f>
        <v/>
      </c>
      <c r="DM611" t="str">
        <f>""</f>
        <v/>
      </c>
      <c r="DN611" t="str">
        <f>""</f>
        <v/>
      </c>
      <c r="DO611" t="str">
        <f>""</f>
        <v/>
      </c>
      <c r="DP611" t="str">
        <f>""</f>
        <v/>
      </c>
      <c r="DQ611" t="str">
        <f>""</f>
        <v/>
      </c>
      <c r="DR611" t="str">
        <f>""</f>
        <v/>
      </c>
      <c r="DS611" t="str">
        <f>""</f>
        <v/>
      </c>
      <c r="DT611" t="str">
        <f>""</f>
        <v/>
      </c>
      <c r="DU611" t="str">
        <f>""</f>
        <v/>
      </c>
    </row>
    <row r="612" spans="1:125" x14ac:dyDescent="0.25">
      <c r="A612" t="str">
        <f>$A$105</f>
        <v xml:space="preserve">    Honda Motor Co Ltd</v>
      </c>
      <c r="B612" t="str">
        <f>$B$105</f>
        <v>7267 JP Equity</v>
      </c>
      <c r="C612" t="str">
        <f>$C$105</f>
        <v>EZ021</v>
      </c>
      <c r="D612" t="str">
        <f>$D$105</f>
        <v>BEST_EPS_NXT_YR</v>
      </c>
      <c r="E612" t="str">
        <f>$E$105</f>
        <v>Dynamic</v>
      </c>
      <c r="F612" t="str">
        <f ca="1">_xll.BDH($B$105,$C$105,$B$509,$B$510,CONCATENATE("Per=",$B$507),"Dts=H","Dir=H",CONCATENATE("Points=",$B$508),"Sort=R","Days=A","Fill=B",CONCATENATE("FX=", $B$506) )</f>
        <v>#N/A Connection</v>
      </c>
      <c r="BN612" t="str">
        <f>""</f>
        <v/>
      </c>
      <c r="BO612" t="str">
        <f>""</f>
        <v/>
      </c>
      <c r="BP612" t="str">
        <f>""</f>
        <v/>
      </c>
      <c r="BQ612" t="str">
        <f>""</f>
        <v/>
      </c>
      <c r="BR612" t="str">
        <f>""</f>
        <v/>
      </c>
      <c r="BS612" t="str">
        <f>""</f>
        <v/>
      </c>
      <c r="BT612" t="str">
        <f>""</f>
        <v/>
      </c>
      <c r="BU612" t="str">
        <f>""</f>
        <v/>
      </c>
      <c r="BV612" t="str">
        <f>""</f>
        <v/>
      </c>
      <c r="BW612" t="str">
        <f>""</f>
        <v/>
      </c>
      <c r="BX612" t="str">
        <f>""</f>
        <v/>
      </c>
      <c r="BY612" t="str">
        <f>""</f>
        <v/>
      </c>
      <c r="BZ612" t="str">
        <f>""</f>
        <v/>
      </c>
      <c r="CA612" t="str">
        <f>""</f>
        <v/>
      </c>
      <c r="CB612" t="str">
        <f>""</f>
        <v/>
      </c>
      <c r="CC612" t="str">
        <f>""</f>
        <v/>
      </c>
      <c r="CD612" t="str">
        <f>""</f>
        <v/>
      </c>
      <c r="CE612" t="str">
        <f>""</f>
        <v/>
      </c>
      <c r="CF612" t="str">
        <f>""</f>
        <v/>
      </c>
      <c r="CG612" t="str">
        <f>""</f>
        <v/>
      </c>
      <c r="CH612" t="str">
        <f>""</f>
        <v/>
      </c>
      <c r="CI612" t="str">
        <f>""</f>
        <v/>
      </c>
      <c r="CJ612" t="str">
        <f>""</f>
        <v/>
      </c>
      <c r="CK612" t="str">
        <f>""</f>
        <v/>
      </c>
      <c r="CL612" t="str">
        <f>""</f>
        <v/>
      </c>
      <c r="CM612" t="str">
        <f>""</f>
        <v/>
      </c>
      <c r="CN612" t="str">
        <f>""</f>
        <v/>
      </c>
      <c r="CO612" t="str">
        <f>""</f>
        <v/>
      </c>
      <c r="CP612" t="str">
        <f>""</f>
        <v/>
      </c>
      <c r="CQ612" t="str">
        <f>""</f>
        <v/>
      </c>
      <c r="CR612" t="str">
        <f>""</f>
        <v/>
      </c>
      <c r="CS612" t="str">
        <f>""</f>
        <v/>
      </c>
      <c r="CT612" t="str">
        <f>""</f>
        <v/>
      </c>
      <c r="CU612" t="str">
        <f>""</f>
        <v/>
      </c>
      <c r="CV612" t="str">
        <f>""</f>
        <v/>
      </c>
      <c r="CW612" t="str">
        <f>""</f>
        <v/>
      </c>
      <c r="CX612" t="str">
        <f>""</f>
        <v/>
      </c>
      <c r="CY612" t="str">
        <f>""</f>
        <v/>
      </c>
      <c r="CZ612" t="str">
        <f>""</f>
        <v/>
      </c>
      <c r="DA612" t="str">
        <f>""</f>
        <v/>
      </c>
      <c r="DB612" t="str">
        <f>""</f>
        <v/>
      </c>
      <c r="DC612" t="str">
        <f>""</f>
        <v/>
      </c>
      <c r="DD612" t="str">
        <f>""</f>
        <v/>
      </c>
      <c r="DE612" t="str">
        <f>""</f>
        <v/>
      </c>
      <c r="DF612" t="str">
        <f>""</f>
        <v/>
      </c>
      <c r="DG612" t="str">
        <f>""</f>
        <v/>
      </c>
      <c r="DH612" t="str">
        <f>""</f>
        <v/>
      </c>
      <c r="DI612" t="str">
        <f>""</f>
        <v/>
      </c>
      <c r="DJ612" t="str">
        <f>""</f>
        <v/>
      </c>
      <c r="DK612" t="str">
        <f>""</f>
        <v/>
      </c>
      <c r="DL612" t="str">
        <f>""</f>
        <v/>
      </c>
      <c r="DM612" t="str">
        <f>""</f>
        <v/>
      </c>
      <c r="DN612" t="str">
        <f>""</f>
        <v/>
      </c>
      <c r="DO612" t="str">
        <f>""</f>
        <v/>
      </c>
      <c r="DP612" t="str">
        <f>""</f>
        <v/>
      </c>
      <c r="DQ612" t="str">
        <f>""</f>
        <v/>
      </c>
      <c r="DR612" t="str">
        <f>""</f>
        <v/>
      </c>
      <c r="DS612" t="str">
        <f>""</f>
        <v/>
      </c>
      <c r="DT612" t="str">
        <f>""</f>
        <v/>
      </c>
      <c r="DU612" t="str">
        <f>""</f>
        <v/>
      </c>
    </row>
    <row r="613" spans="1:125" x14ac:dyDescent="0.25">
      <c r="A613" t="str">
        <f>$A$106</f>
        <v xml:space="preserve">    Hyundai Motor Co</v>
      </c>
      <c r="B613" t="str">
        <f>$B$106</f>
        <v>005380 KS Equity</v>
      </c>
      <c r="C613" t="str">
        <f>$C$106</f>
        <v>EZ021</v>
      </c>
      <c r="D613" t="str">
        <f>$D$106</f>
        <v>BEST_EPS_NXT_YR</v>
      </c>
      <c r="E613" t="str">
        <f>$E$106</f>
        <v>Dynamic</v>
      </c>
      <c r="F613" t="str">
        <f ca="1">_xll.BDH($B$106,$C$106,$B$509,$B$510,CONCATENATE("Per=",$B$507),"Dts=H","Dir=H",CONCATENATE("Points=",$B$508),"Sort=R","Days=A","Fill=B",CONCATENATE("FX=", $B$506) )</f>
        <v>#N/A Connection</v>
      </c>
      <c r="BN613" t="str">
        <f>""</f>
        <v/>
      </c>
      <c r="BO613" t="str">
        <f>""</f>
        <v/>
      </c>
      <c r="BP613" t="str">
        <f>""</f>
        <v/>
      </c>
      <c r="BQ613" t="str">
        <f>""</f>
        <v/>
      </c>
      <c r="BR613" t="str">
        <f>""</f>
        <v/>
      </c>
      <c r="BS613" t="str">
        <f>""</f>
        <v/>
      </c>
      <c r="BT613" t="str">
        <f>""</f>
        <v/>
      </c>
      <c r="BU613" t="str">
        <f>""</f>
        <v/>
      </c>
      <c r="BV613" t="str">
        <f>""</f>
        <v/>
      </c>
      <c r="BW613" t="str">
        <f>""</f>
        <v/>
      </c>
      <c r="BX613" t="str">
        <f>""</f>
        <v/>
      </c>
      <c r="BY613" t="str">
        <f>""</f>
        <v/>
      </c>
      <c r="BZ613" t="str">
        <f>""</f>
        <v/>
      </c>
      <c r="CA613" t="str">
        <f>""</f>
        <v/>
      </c>
      <c r="CB613" t="str">
        <f>""</f>
        <v/>
      </c>
      <c r="CC613" t="str">
        <f>""</f>
        <v/>
      </c>
      <c r="CD613" t="str">
        <f>""</f>
        <v/>
      </c>
      <c r="CE613" t="str">
        <f>""</f>
        <v/>
      </c>
      <c r="CF613" t="str">
        <f>""</f>
        <v/>
      </c>
      <c r="CG613" t="str">
        <f>""</f>
        <v/>
      </c>
      <c r="CH613" t="str">
        <f>""</f>
        <v/>
      </c>
      <c r="CI613" t="str">
        <f>""</f>
        <v/>
      </c>
      <c r="CJ613" t="str">
        <f>""</f>
        <v/>
      </c>
      <c r="CK613" t="str">
        <f>""</f>
        <v/>
      </c>
      <c r="CL613" t="str">
        <f>""</f>
        <v/>
      </c>
      <c r="CM613" t="str">
        <f>""</f>
        <v/>
      </c>
      <c r="CN613" t="str">
        <f>""</f>
        <v/>
      </c>
      <c r="CO613" t="str">
        <f>""</f>
        <v/>
      </c>
      <c r="CP613" t="str">
        <f>""</f>
        <v/>
      </c>
      <c r="CQ613" t="str">
        <f>""</f>
        <v/>
      </c>
      <c r="CR613" t="str">
        <f>""</f>
        <v/>
      </c>
      <c r="CS613" t="str">
        <f>""</f>
        <v/>
      </c>
      <c r="CT613" t="str">
        <f>""</f>
        <v/>
      </c>
      <c r="CU613" t="str">
        <f>""</f>
        <v/>
      </c>
      <c r="CV613" t="str">
        <f>""</f>
        <v/>
      </c>
      <c r="CW613" t="str">
        <f>""</f>
        <v/>
      </c>
      <c r="CX613" t="str">
        <f>""</f>
        <v/>
      </c>
      <c r="CY613" t="str">
        <f>""</f>
        <v/>
      </c>
      <c r="CZ613" t="str">
        <f>""</f>
        <v/>
      </c>
      <c r="DA613" t="str">
        <f>""</f>
        <v/>
      </c>
      <c r="DB613" t="str">
        <f>""</f>
        <v/>
      </c>
      <c r="DC613" t="str">
        <f>""</f>
        <v/>
      </c>
      <c r="DD613" t="str">
        <f>""</f>
        <v/>
      </c>
      <c r="DE613" t="str">
        <f>""</f>
        <v/>
      </c>
      <c r="DF613" t="str">
        <f>""</f>
        <v/>
      </c>
      <c r="DG613" t="str">
        <f>""</f>
        <v/>
      </c>
      <c r="DH613" t="str">
        <f>""</f>
        <v/>
      </c>
      <c r="DI613" t="str">
        <f>""</f>
        <v/>
      </c>
      <c r="DJ613" t="str">
        <f>""</f>
        <v/>
      </c>
      <c r="DK613" t="str">
        <f>""</f>
        <v/>
      </c>
      <c r="DL613" t="str">
        <f>""</f>
        <v/>
      </c>
      <c r="DM613" t="str">
        <f>""</f>
        <v/>
      </c>
      <c r="DN613" t="str">
        <f>""</f>
        <v/>
      </c>
      <c r="DO613" t="str">
        <f>""</f>
        <v/>
      </c>
      <c r="DP613" t="str">
        <f>""</f>
        <v/>
      </c>
      <c r="DQ613" t="str">
        <f>""</f>
        <v/>
      </c>
      <c r="DR613" t="str">
        <f>""</f>
        <v/>
      </c>
      <c r="DS613" t="str">
        <f>""</f>
        <v/>
      </c>
      <c r="DT613" t="str">
        <f>""</f>
        <v/>
      </c>
      <c r="DU613" t="str">
        <f>""</f>
        <v/>
      </c>
    </row>
    <row r="614" spans="1:125" x14ac:dyDescent="0.25">
      <c r="A614" t="str">
        <f>$A$107</f>
        <v xml:space="preserve">    Kia Motors Corp</v>
      </c>
      <c r="B614" t="str">
        <f>$B$107</f>
        <v>000270 KS Equity</v>
      </c>
      <c r="C614" t="str">
        <f>$C$107</f>
        <v>EZ021</v>
      </c>
      <c r="D614" t="str">
        <f>$D$107</f>
        <v>BEST_EPS_NXT_YR</v>
      </c>
      <c r="E614" t="str">
        <f>$E$107</f>
        <v>Dynamic</v>
      </c>
      <c r="F614" t="str">
        <f ca="1">_xll.BDH($B$107,$C$107,$B$509,$B$510,CONCATENATE("Per=",$B$507),"Dts=H","Dir=H",CONCATENATE("Points=",$B$508),"Sort=R","Days=A","Fill=B",CONCATENATE("FX=", $B$506) )</f>
        <v>#N/A Connection</v>
      </c>
      <c r="BN614" t="str">
        <f>""</f>
        <v/>
      </c>
      <c r="BO614" t="str">
        <f>""</f>
        <v/>
      </c>
      <c r="BP614" t="str">
        <f>""</f>
        <v/>
      </c>
      <c r="BQ614" t="str">
        <f>""</f>
        <v/>
      </c>
      <c r="BR614" t="str">
        <f>""</f>
        <v/>
      </c>
      <c r="BS614" t="str">
        <f>""</f>
        <v/>
      </c>
      <c r="BT614" t="str">
        <f>""</f>
        <v/>
      </c>
      <c r="BU614" t="str">
        <f>""</f>
        <v/>
      </c>
      <c r="BV614" t="str">
        <f>""</f>
        <v/>
      </c>
      <c r="BW614" t="str">
        <f>""</f>
        <v/>
      </c>
      <c r="BX614" t="str">
        <f>""</f>
        <v/>
      </c>
      <c r="BY614" t="str">
        <f>""</f>
        <v/>
      </c>
      <c r="BZ614" t="str">
        <f>""</f>
        <v/>
      </c>
      <c r="CA614" t="str">
        <f>""</f>
        <v/>
      </c>
      <c r="CB614" t="str">
        <f>""</f>
        <v/>
      </c>
      <c r="CC614" t="str">
        <f>""</f>
        <v/>
      </c>
      <c r="CD614" t="str">
        <f>""</f>
        <v/>
      </c>
      <c r="CE614" t="str">
        <f>""</f>
        <v/>
      </c>
      <c r="CF614" t="str">
        <f>""</f>
        <v/>
      </c>
      <c r="CG614" t="str">
        <f>""</f>
        <v/>
      </c>
      <c r="CH614" t="str">
        <f>""</f>
        <v/>
      </c>
      <c r="CI614" t="str">
        <f>""</f>
        <v/>
      </c>
      <c r="CJ614" t="str">
        <f>""</f>
        <v/>
      </c>
      <c r="CK614" t="str">
        <f>""</f>
        <v/>
      </c>
      <c r="CL614" t="str">
        <f>""</f>
        <v/>
      </c>
      <c r="CM614" t="str">
        <f>""</f>
        <v/>
      </c>
      <c r="CN614" t="str">
        <f>""</f>
        <v/>
      </c>
      <c r="CO614" t="str">
        <f>""</f>
        <v/>
      </c>
      <c r="CP614" t="str">
        <f>""</f>
        <v/>
      </c>
      <c r="CQ614" t="str">
        <f>""</f>
        <v/>
      </c>
      <c r="CR614" t="str">
        <f>""</f>
        <v/>
      </c>
      <c r="CS614" t="str">
        <f>""</f>
        <v/>
      </c>
      <c r="CT614" t="str">
        <f>""</f>
        <v/>
      </c>
      <c r="CU614" t="str">
        <f>""</f>
        <v/>
      </c>
      <c r="CV614" t="str">
        <f>""</f>
        <v/>
      </c>
      <c r="CW614" t="str">
        <f>""</f>
        <v/>
      </c>
      <c r="CX614" t="str">
        <f>""</f>
        <v/>
      </c>
      <c r="CY614" t="str">
        <f>""</f>
        <v/>
      </c>
      <c r="CZ614" t="str">
        <f>""</f>
        <v/>
      </c>
      <c r="DA614" t="str">
        <f>""</f>
        <v/>
      </c>
      <c r="DB614" t="str">
        <f>""</f>
        <v/>
      </c>
      <c r="DC614" t="str">
        <f>""</f>
        <v/>
      </c>
      <c r="DD614" t="str">
        <f>""</f>
        <v/>
      </c>
      <c r="DE614" t="str">
        <f>""</f>
        <v/>
      </c>
      <c r="DF614" t="str">
        <f>""</f>
        <v/>
      </c>
      <c r="DG614" t="str">
        <f>""</f>
        <v/>
      </c>
      <c r="DH614" t="str">
        <f>""</f>
        <v/>
      </c>
      <c r="DI614" t="str">
        <f>""</f>
        <v/>
      </c>
      <c r="DJ614" t="str">
        <f>""</f>
        <v/>
      </c>
      <c r="DK614" t="str">
        <f>""</f>
        <v/>
      </c>
      <c r="DL614" t="str">
        <f>""</f>
        <v/>
      </c>
      <c r="DM614" t="str">
        <f>""</f>
        <v/>
      </c>
      <c r="DN614" t="str">
        <f>""</f>
        <v/>
      </c>
      <c r="DO614" t="str">
        <f>""</f>
        <v/>
      </c>
      <c r="DP614" t="str">
        <f>""</f>
        <v/>
      </c>
      <c r="DQ614" t="str">
        <f>""</f>
        <v/>
      </c>
      <c r="DR614" t="str">
        <f>""</f>
        <v/>
      </c>
      <c r="DS614" t="str">
        <f>""</f>
        <v/>
      </c>
      <c r="DT614" t="str">
        <f>""</f>
        <v/>
      </c>
      <c r="DU614" t="str">
        <f>""</f>
        <v/>
      </c>
    </row>
    <row r="615" spans="1:125" x14ac:dyDescent="0.25">
      <c r="A615" t="str">
        <f>$A$108</f>
        <v xml:space="preserve">    Mazda Motor Corp</v>
      </c>
      <c r="B615" t="str">
        <f>$B$108</f>
        <v>7261 JP Equity</v>
      </c>
      <c r="C615" t="str">
        <f>$C$108</f>
        <v>EZ021</v>
      </c>
      <c r="D615" t="str">
        <f>$D$108</f>
        <v>BEST_EPS_NXT_YR</v>
      </c>
      <c r="E615" t="str">
        <f>$E$108</f>
        <v>Dynamic</v>
      </c>
      <c r="F615" t="str">
        <f ca="1">_xll.BDH($B$108,$C$108,$B$509,$B$510,CONCATENATE("Per=",$B$507),"Dts=H","Dir=H",CONCATENATE("Points=",$B$508),"Sort=R","Days=A","Fill=B",CONCATENATE("FX=", $B$506) )</f>
        <v>#N/A Connection</v>
      </c>
      <c r="BN615" t="str">
        <f>""</f>
        <v/>
      </c>
      <c r="BO615" t="str">
        <f>""</f>
        <v/>
      </c>
      <c r="BP615" t="str">
        <f>""</f>
        <v/>
      </c>
      <c r="BQ615" t="str">
        <f>""</f>
        <v/>
      </c>
      <c r="BR615" t="str">
        <f>""</f>
        <v/>
      </c>
      <c r="BS615" t="str">
        <f>""</f>
        <v/>
      </c>
      <c r="BT615" t="str">
        <f>""</f>
        <v/>
      </c>
      <c r="BU615" t="str">
        <f>""</f>
        <v/>
      </c>
      <c r="BV615" t="str">
        <f>""</f>
        <v/>
      </c>
      <c r="BW615" t="str">
        <f>""</f>
        <v/>
      </c>
      <c r="BX615" t="str">
        <f>""</f>
        <v/>
      </c>
      <c r="BY615" t="str">
        <f>""</f>
        <v/>
      </c>
      <c r="BZ615" t="str">
        <f>""</f>
        <v/>
      </c>
      <c r="CA615" t="str">
        <f>""</f>
        <v/>
      </c>
      <c r="CB615" t="str">
        <f>""</f>
        <v/>
      </c>
      <c r="CC615" t="str">
        <f>""</f>
        <v/>
      </c>
      <c r="CD615" t="str">
        <f>""</f>
        <v/>
      </c>
      <c r="CE615" t="str">
        <f>""</f>
        <v/>
      </c>
      <c r="CF615" t="str">
        <f>""</f>
        <v/>
      </c>
      <c r="CG615" t="str">
        <f>""</f>
        <v/>
      </c>
      <c r="CH615" t="str">
        <f>""</f>
        <v/>
      </c>
      <c r="CI615" t="str">
        <f>""</f>
        <v/>
      </c>
      <c r="CJ615" t="str">
        <f>""</f>
        <v/>
      </c>
      <c r="CK615" t="str">
        <f>""</f>
        <v/>
      </c>
      <c r="CL615" t="str">
        <f>""</f>
        <v/>
      </c>
      <c r="CM615" t="str">
        <f>""</f>
        <v/>
      </c>
      <c r="CN615" t="str">
        <f>""</f>
        <v/>
      </c>
      <c r="CO615" t="str">
        <f>""</f>
        <v/>
      </c>
      <c r="CP615" t="str">
        <f>""</f>
        <v/>
      </c>
      <c r="CQ615" t="str">
        <f>""</f>
        <v/>
      </c>
      <c r="CR615" t="str">
        <f>""</f>
        <v/>
      </c>
      <c r="CS615" t="str">
        <f>""</f>
        <v/>
      </c>
      <c r="CT615" t="str">
        <f>""</f>
        <v/>
      </c>
      <c r="CU615" t="str">
        <f>""</f>
        <v/>
      </c>
      <c r="CV615" t="str">
        <f>""</f>
        <v/>
      </c>
      <c r="CW615" t="str">
        <f>""</f>
        <v/>
      </c>
      <c r="CX615" t="str">
        <f>""</f>
        <v/>
      </c>
      <c r="CY615" t="str">
        <f>""</f>
        <v/>
      </c>
      <c r="CZ615" t="str">
        <f>""</f>
        <v/>
      </c>
      <c r="DA615" t="str">
        <f>""</f>
        <v/>
      </c>
      <c r="DB615" t="str">
        <f>""</f>
        <v/>
      </c>
      <c r="DC615" t="str">
        <f>""</f>
        <v/>
      </c>
      <c r="DD615" t="str">
        <f>""</f>
        <v/>
      </c>
      <c r="DE615" t="str">
        <f>""</f>
        <v/>
      </c>
      <c r="DF615" t="str">
        <f>""</f>
        <v/>
      </c>
      <c r="DG615" t="str">
        <f>""</f>
        <v/>
      </c>
      <c r="DH615" t="str">
        <f>""</f>
        <v/>
      </c>
      <c r="DI615" t="str">
        <f>""</f>
        <v/>
      </c>
      <c r="DJ615" t="str">
        <f>""</f>
        <v/>
      </c>
      <c r="DK615" t="str">
        <f>""</f>
        <v/>
      </c>
      <c r="DL615" t="str">
        <f>""</f>
        <v/>
      </c>
      <c r="DM615" t="str">
        <f>""</f>
        <v/>
      </c>
      <c r="DN615" t="str">
        <f>""</f>
        <v/>
      </c>
      <c r="DO615" t="str">
        <f>""</f>
        <v/>
      </c>
      <c r="DP615" t="str">
        <f>""</f>
        <v/>
      </c>
      <c r="DQ615" t="str">
        <f>""</f>
        <v/>
      </c>
      <c r="DR615" t="str">
        <f>""</f>
        <v/>
      </c>
      <c r="DS615" t="str">
        <f>""</f>
        <v/>
      </c>
      <c r="DT615" t="str">
        <f>""</f>
        <v/>
      </c>
      <c r="DU615" t="str">
        <f>""</f>
        <v/>
      </c>
    </row>
    <row r="616" spans="1:125" x14ac:dyDescent="0.25">
      <c r="A616" t="str">
        <f>$A$109</f>
        <v xml:space="preserve">    Mitsubishi Motors Corp</v>
      </c>
      <c r="B616" t="str">
        <f>$B$109</f>
        <v>7211 JP Equity</v>
      </c>
      <c r="C616" t="str">
        <f>$C$109</f>
        <v>EZ021</v>
      </c>
      <c r="D616" t="str">
        <f>$D$109</f>
        <v>BEST_EPS_NXT_YR</v>
      </c>
      <c r="E616" t="str">
        <f>$E$109</f>
        <v>Dynamic</v>
      </c>
      <c r="F616" t="str">
        <f ca="1">_xll.BDH($B$109,$C$109,$B$509,$B$510,CONCATENATE("Per=",$B$507),"Dts=H","Dir=H",CONCATENATE("Points=",$B$508),"Sort=R","Days=A","Fill=B",CONCATENATE("FX=", $B$506) )</f>
        <v>#N/A Connection</v>
      </c>
      <c r="BN616" t="str">
        <f>""</f>
        <v/>
      </c>
      <c r="BO616" t="str">
        <f>""</f>
        <v/>
      </c>
      <c r="BP616" t="str">
        <f>""</f>
        <v/>
      </c>
      <c r="BQ616" t="str">
        <f>""</f>
        <v/>
      </c>
      <c r="BR616" t="str">
        <f>""</f>
        <v/>
      </c>
      <c r="BS616" t="str">
        <f>""</f>
        <v/>
      </c>
      <c r="BT616" t="str">
        <f>""</f>
        <v/>
      </c>
      <c r="BU616" t="str">
        <f>""</f>
        <v/>
      </c>
      <c r="BV616" t="str">
        <f>""</f>
        <v/>
      </c>
      <c r="BW616" t="str">
        <f>""</f>
        <v/>
      </c>
      <c r="BX616" t="str">
        <f>""</f>
        <v/>
      </c>
      <c r="BY616" t="str">
        <f>""</f>
        <v/>
      </c>
      <c r="BZ616" t="str">
        <f>""</f>
        <v/>
      </c>
      <c r="CA616" t="str">
        <f>""</f>
        <v/>
      </c>
      <c r="CB616" t="str">
        <f>""</f>
        <v/>
      </c>
      <c r="CC616" t="str">
        <f>""</f>
        <v/>
      </c>
      <c r="CD616" t="str">
        <f>""</f>
        <v/>
      </c>
      <c r="CE616" t="str">
        <f>""</f>
        <v/>
      </c>
      <c r="CF616" t="str">
        <f>""</f>
        <v/>
      </c>
      <c r="CG616" t="str">
        <f>""</f>
        <v/>
      </c>
      <c r="CH616" t="str">
        <f>""</f>
        <v/>
      </c>
      <c r="CI616" t="str">
        <f>""</f>
        <v/>
      </c>
      <c r="CJ616" t="str">
        <f>""</f>
        <v/>
      </c>
      <c r="CK616" t="str">
        <f>""</f>
        <v/>
      </c>
      <c r="CL616" t="str">
        <f>""</f>
        <v/>
      </c>
      <c r="CM616" t="str">
        <f>""</f>
        <v/>
      </c>
      <c r="CN616" t="str">
        <f>""</f>
        <v/>
      </c>
      <c r="CO616" t="str">
        <f>""</f>
        <v/>
      </c>
      <c r="CP616" t="str">
        <f>""</f>
        <v/>
      </c>
      <c r="CQ616" t="str">
        <f>""</f>
        <v/>
      </c>
      <c r="CR616" t="str">
        <f>""</f>
        <v/>
      </c>
      <c r="CS616" t="str">
        <f>""</f>
        <v/>
      </c>
      <c r="CT616" t="str">
        <f>""</f>
        <v/>
      </c>
      <c r="CU616" t="str">
        <f>""</f>
        <v/>
      </c>
      <c r="CV616" t="str">
        <f>""</f>
        <v/>
      </c>
      <c r="CW616" t="str">
        <f>""</f>
        <v/>
      </c>
      <c r="CX616" t="str">
        <f>""</f>
        <v/>
      </c>
      <c r="CY616" t="str">
        <f>""</f>
        <v/>
      </c>
      <c r="CZ616" t="str">
        <f>""</f>
        <v/>
      </c>
      <c r="DA616" t="str">
        <f>""</f>
        <v/>
      </c>
      <c r="DB616" t="str">
        <f>""</f>
        <v/>
      </c>
      <c r="DC616" t="str">
        <f>""</f>
        <v/>
      </c>
      <c r="DD616" t="str">
        <f>""</f>
        <v/>
      </c>
      <c r="DE616" t="str">
        <f>""</f>
        <v/>
      </c>
      <c r="DF616" t="str">
        <f>""</f>
        <v/>
      </c>
      <c r="DG616" t="str">
        <f>""</f>
        <v/>
      </c>
      <c r="DH616" t="str">
        <f>""</f>
        <v/>
      </c>
      <c r="DI616" t="str">
        <f>""</f>
        <v/>
      </c>
      <c r="DJ616" t="str">
        <f>""</f>
        <v/>
      </c>
      <c r="DK616" t="str">
        <f>""</f>
        <v/>
      </c>
      <c r="DL616" t="str">
        <f>""</f>
        <v/>
      </c>
      <c r="DM616" t="str">
        <f>""</f>
        <v/>
      </c>
      <c r="DN616" t="str">
        <f>""</f>
        <v/>
      </c>
      <c r="DO616" t="str">
        <f>""</f>
        <v/>
      </c>
      <c r="DP616" t="str">
        <f>""</f>
        <v/>
      </c>
      <c r="DQ616" t="str">
        <f>""</f>
        <v/>
      </c>
      <c r="DR616" t="str">
        <f>""</f>
        <v/>
      </c>
      <c r="DS616" t="str">
        <f>""</f>
        <v/>
      </c>
      <c r="DT616" t="str">
        <f>""</f>
        <v/>
      </c>
      <c r="DU616" t="str">
        <f>""</f>
        <v/>
      </c>
    </row>
    <row r="617" spans="1:125" x14ac:dyDescent="0.25">
      <c r="A617" t="str">
        <f>$A$110</f>
        <v xml:space="preserve">    Nissan Motor Co Ltd</v>
      </c>
      <c r="B617" t="str">
        <f>$B$110</f>
        <v>7201 JP Equity</v>
      </c>
      <c r="C617" t="str">
        <f>$C$110</f>
        <v>EZ021</v>
      </c>
      <c r="D617" t="str">
        <f>$D$110</f>
        <v>BEST_EPS_NXT_YR</v>
      </c>
      <c r="E617" t="str">
        <f>$E$110</f>
        <v>Dynamic</v>
      </c>
      <c r="F617" t="str">
        <f ca="1">_xll.BDH($B$110,$C$110,$B$509,$B$510,CONCATENATE("Per=",$B$507),"Dts=H","Dir=H",CONCATENATE("Points=",$B$508),"Sort=R","Days=A","Fill=B",CONCATENATE("FX=", $B$506) )</f>
        <v>#N/A Connection</v>
      </c>
      <c r="BN617" t="str">
        <f>""</f>
        <v/>
      </c>
      <c r="BO617" t="str">
        <f>""</f>
        <v/>
      </c>
      <c r="BP617" t="str">
        <f>""</f>
        <v/>
      </c>
      <c r="BQ617" t="str">
        <f>""</f>
        <v/>
      </c>
      <c r="BR617" t="str">
        <f>""</f>
        <v/>
      </c>
      <c r="BS617" t="str">
        <f>""</f>
        <v/>
      </c>
      <c r="BT617" t="str">
        <f>""</f>
        <v/>
      </c>
      <c r="BU617" t="str">
        <f>""</f>
        <v/>
      </c>
      <c r="BV617" t="str">
        <f>""</f>
        <v/>
      </c>
      <c r="BW617" t="str">
        <f>""</f>
        <v/>
      </c>
      <c r="BX617" t="str">
        <f>""</f>
        <v/>
      </c>
      <c r="BY617" t="str">
        <f>""</f>
        <v/>
      </c>
      <c r="BZ617" t="str">
        <f>""</f>
        <v/>
      </c>
      <c r="CA617" t="str">
        <f>""</f>
        <v/>
      </c>
      <c r="CB617" t="str">
        <f>""</f>
        <v/>
      </c>
      <c r="CC617" t="str">
        <f>""</f>
        <v/>
      </c>
      <c r="CD617" t="str">
        <f>""</f>
        <v/>
      </c>
      <c r="CE617" t="str">
        <f>""</f>
        <v/>
      </c>
      <c r="CF617" t="str">
        <f>""</f>
        <v/>
      </c>
      <c r="CG617" t="str">
        <f>""</f>
        <v/>
      </c>
      <c r="CH617" t="str">
        <f>""</f>
        <v/>
      </c>
      <c r="CI617" t="str">
        <f>""</f>
        <v/>
      </c>
      <c r="CJ617" t="str">
        <f>""</f>
        <v/>
      </c>
      <c r="CK617" t="str">
        <f>""</f>
        <v/>
      </c>
      <c r="CL617" t="str">
        <f>""</f>
        <v/>
      </c>
      <c r="CM617" t="str">
        <f>""</f>
        <v/>
      </c>
      <c r="CN617" t="str">
        <f>""</f>
        <v/>
      </c>
      <c r="CO617" t="str">
        <f>""</f>
        <v/>
      </c>
      <c r="CP617" t="str">
        <f>""</f>
        <v/>
      </c>
      <c r="CQ617" t="str">
        <f>""</f>
        <v/>
      </c>
      <c r="CR617" t="str">
        <f>""</f>
        <v/>
      </c>
      <c r="CS617" t="str">
        <f>""</f>
        <v/>
      </c>
      <c r="CT617" t="str">
        <f>""</f>
        <v/>
      </c>
      <c r="CU617" t="str">
        <f>""</f>
        <v/>
      </c>
      <c r="CV617" t="str">
        <f>""</f>
        <v/>
      </c>
      <c r="CW617" t="str">
        <f>""</f>
        <v/>
      </c>
      <c r="CX617" t="str">
        <f>""</f>
        <v/>
      </c>
      <c r="CY617" t="str">
        <f>""</f>
        <v/>
      </c>
      <c r="CZ617" t="str">
        <f>""</f>
        <v/>
      </c>
      <c r="DA617" t="str">
        <f>""</f>
        <v/>
      </c>
      <c r="DB617" t="str">
        <f>""</f>
        <v/>
      </c>
      <c r="DC617" t="str">
        <f>""</f>
        <v/>
      </c>
      <c r="DD617" t="str">
        <f>""</f>
        <v/>
      </c>
      <c r="DE617" t="str">
        <f>""</f>
        <v/>
      </c>
      <c r="DF617" t="str">
        <f>""</f>
        <v/>
      </c>
      <c r="DG617" t="str">
        <f>""</f>
        <v/>
      </c>
      <c r="DH617" t="str">
        <f>""</f>
        <v/>
      </c>
      <c r="DI617" t="str">
        <f>""</f>
        <v/>
      </c>
      <c r="DJ617" t="str">
        <f>""</f>
        <v/>
      </c>
      <c r="DK617" t="str">
        <f>""</f>
        <v/>
      </c>
      <c r="DL617" t="str">
        <f>""</f>
        <v/>
      </c>
      <c r="DM617" t="str">
        <f>""</f>
        <v/>
      </c>
      <c r="DN617" t="str">
        <f>""</f>
        <v/>
      </c>
      <c r="DO617" t="str">
        <f>""</f>
        <v/>
      </c>
      <c r="DP617" t="str">
        <f>""</f>
        <v/>
      </c>
      <c r="DQ617" t="str">
        <f>""</f>
        <v/>
      </c>
      <c r="DR617" t="str">
        <f>""</f>
        <v/>
      </c>
      <c r="DS617" t="str">
        <f>""</f>
        <v/>
      </c>
      <c r="DT617" t="str">
        <f>""</f>
        <v/>
      </c>
      <c r="DU617" t="str">
        <f>""</f>
        <v/>
      </c>
    </row>
    <row r="618" spans="1:125" x14ac:dyDescent="0.25">
      <c r="A618" t="str">
        <f>$A$111</f>
        <v xml:space="preserve">    Peugeot SA</v>
      </c>
      <c r="B618" t="str">
        <f>$B$111</f>
        <v>UG FP Equity</v>
      </c>
      <c r="C618" t="str">
        <f>$C$111</f>
        <v>EZ021</v>
      </c>
      <c r="D618" t="str">
        <f>$D$111</f>
        <v>BEST_EPS_NXT_YR</v>
      </c>
      <c r="E618" t="str">
        <f>$E$111</f>
        <v>Dynamic</v>
      </c>
      <c r="F618" t="str">
        <f ca="1">_xll.BDH($B$111,$C$111,$B$509,$B$510,CONCATENATE("Per=",$B$507),"Dts=H","Dir=H",CONCATENATE("Points=",$B$508),"Sort=R","Days=A","Fill=B",CONCATENATE("FX=", $B$506) )</f>
        <v>#N/A Connection</v>
      </c>
      <c r="BN618" t="str">
        <f>""</f>
        <v/>
      </c>
      <c r="BO618" t="str">
        <f>""</f>
        <v/>
      </c>
      <c r="BP618" t="str">
        <f>""</f>
        <v/>
      </c>
      <c r="BQ618" t="str">
        <f>""</f>
        <v/>
      </c>
      <c r="BR618" t="str">
        <f>""</f>
        <v/>
      </c>
      <c r="BS618" t="str">
        <f>""</f>
        <v/>
      </c>
      <c r="BT618" t="str">
        <f>""</f>
        <v/>
      </c>
      <c r="BU618" t="str">
        <f>""</f>
        <v/>
      </c>
      <c r="BV618" t="str">
        <f>""</f>
        <v/>
      </c>
      <c r="BW618" t="str">
        <f>""</f>
        <v/>
      </c>
      <c r="BX618" t="str">
        <f>""</f>
        <v/>
      </c>
      <c r="BY618" t="str">
        <f>""</f>
        <v/>
      </c>
      <c r="BZ618" t="str">
        <f>""</f>
        <v/>
      </c>
      <c r="CA618" t="str">
        <f>""</f>
        <v/>
      </c>
      <c r="CB618" t="str">
        <f>""</f>
        <v/>
      </c>
      <c r="CC618" t="str">
        <f>""</f>
        <v/>
      </c>
      <c r="CD618" t="str">
        <f>""</f>
        <v/>
      </c>
      <c r="CE618" t="str">
        <f>""</f>
        <v/>
      </c>
      <c r="CF618" t="str">
        <f>""</f>
        <v/>
      </c>
      <c r="CG618" t="str">
        <f>""</f>
        <v/>
      </c>
      <c r="CH618" t="str">
        <f>""</f>
        <v/>
      </c>
      <c r="CI618" t="str">
        <f>""</f>
        <v/>
      </c>
      <c r="CJ618" t="str">
        <f>""</f>
        <v/>
      </c>
      <c r="CK618" t="str">
        <f>""</f>
        <v/>
      </c>
      <c r="CL618" t="str">
        <f>""</f>
        <v/>
      </c>
      <c r="CM618" t="str">
        <f>""</f>
        <v/>
      </c>
      <c r="CN618" t="str">
        <f>""</f>
        <v/>
      </c>
      <c r="CO618" t="str">
        <f>""</f>
        <v/>
      </c>
      <c r="CP618" t="str">
        <f>""</f>
        <v/>
      </c>
      <c r="CQ618" t="str">
        <f>""</f>
        <v/>
      </c>
      <c r="CR618" t="str">
        <f>""</f>
        <v/>
      </c>
      <c r="CS618" t="str">
        <f>""</f>
        <v/>
      </c>
      <c r="CT618" t="str">
        <f>""</f>
        <v/>
      </c>
      <c r="CU618" t="str">
        <f>""</f>
        <v/>
      </c>
      <c r="CV618" t="str">
        <f>""</f>
        <v/>
      </c>
      <c r="CW618" t="str">
        <f>""</f>
        <v/>
      </c>
      <c r="CX618" t="str">
        <f>""</f>
        <v/>
      </c>
      <c r="CY618" t="str">
        <f>""</f>
        <v/>
      </c>
      <c r="CZ618" t="str">
        <f>""</f>
        <v/>
      </c>
      <c r="DA618" t="str">
        <f>""</f>
        <v/>
      </c>
      <c r="DB618" t="str">
        <f>""</f>
        <v/>
      </c>
      <c r="DC618" t="str">
        <f>""</f>
        <v/>
      </c>
      <c r="DD618" t="str">
        <f>""</f>
        <v/>
      </c>
      <c r="DE618" t="str">
        <f>""</f>
        <v/>
      </c>
      <c r="DF618" t="str">
        <f>""</f>
        <v/>
      </c>
      <c r="DG618" t="str">
        <f>""</f>
        <v/>
      </c>
      <c r="DH618" t="str">
        <f>""</f>
        <v/>
      </c>
      <c r="DI618" t="str">
        <f>""</f>
        <v/>
      </c>
      <c r="DJ618" t="str">
        <f>""</f>
        <v/>
      </c>
      <c r="DK618" t="str">
        <f>""</f>
        <v/>
      </c>
      <c r="DL618" t="str">
        <f>""</f>
        <v/>
      </c>
      <c r="DM618" t="str">
        <f>""</f>
        <v/>
      </c>
      <c r="DN618" t="str">
        <f>""</f>
        <v/>
      </c>
      <c r="DO618" t="str">
        <f>""</f>
        <v/>
      </c>
      <c r="DP618" t="str">
        <f>""</f>
        <v/>
      </c>
      <c r="DQ618" t="str">
        <f>""</f>
        <v/>
      </c>
      <c r="DR618" t="str">
        <f>""</f>
        <v/>
      </c>
      <c r="DS618" t="str">
        <f>""</f>
        <v/>
      </c>
      <c r="DT618" t="str">
        <f>""</f>
        <v/>
      </c>
      <c r="DU618" t="str">
        <f>""</f>
        <v/>
      </c>
    </row>
    <row r="619" spans="1:125" x14ac:dyDescent="0.25">
      <c r="A619" t="str">
        <f>$A$112</f>
        <v xml:space="preserve">    Renault SA</v>
      </c>
      <c r="B619" t="str">
        <f>$B$112</f>
        <v>RNO FP Equity</v>
      </c>
      <c r="C619" t="str">
        <f>$C$112</f>
        <v>EZ021</v>
      </c>
      <c r="D619" t="str">
        <f>$D$112</f>
        <v>BEST_EPS_NXT_YR</v>
      </c>
      <c r="E619" t="str">
        <f>$E$112</f>
        <v>Dynamic</v>
      </c>
      <c r="F619" t="str">
        <f ca="1">_xll.BDH($B$112,$C$112,$B$509,$B$510,CONCATENATE("Per=",$B$507),"Dts=H","Dir=H",CONCATENATE("Points=",$B$508),"Sort=R","Days=A","Fill=B",CONCATENATE("FX=", $B$506) )</f>
        <v>#N/A Connection</v>
      </c>
      <c r="BN619" t="str">
        <f>""</f>
        <v/>
      </c>
      <c r="BO619" t="str">
        <f>""</f>
        <v/>
      </c>
      <c r="BP619" t="str">
        <f>""</f>
        <v/>
      </c>
      <c r="BQ619" t="str">
        <f>""</f>
        <v/>
      </c>
      <c r="BR619" t="str">
        <f>""</f>
        <v/>
      </c>
      <c r="BS619" t="str">
        <f>""</f>
        <v/>
      </c>
      <c r="BT619" t="str">
        <f>""</f>
        <v/>
      </c>
      <c r="BU619" t="str">
        <f>""</f>
        <v/>
      </c>
      <c r="BV619" t="str">
        <f>""</f>
        <v/>
      </c>
      <c r="BW619" t="str">
        <f>""</f>
        <v/>
      </c>
      <c r="BX619" t="str">
        <f>""</f>
        <v/>
      </c>
      <c r="BY619" t="str">
        <f>""</f>
        <v/>
      </c>
      <c r="BZ619" t="str">
        <f>""</f>
        <v/>
      </c>
      <c r="CA619" t="str">
        <f>""</f>
        <v/>
      </c>
      <c r="CB619" t="str">
        <f>""</f>
        <v/>
      </c>
      <c r="CC619" t="str">
        <f>""</f>
        <v/>
      </c>
      <c r="CD619" t="str">
        <f>""</f>
        <v/>
      </c>
      <c r="CE619" t="str">
        <f>""</f>
        <v/>
      </c>
      <c r="CF619" t="str">
        <f>""</f>
        <v/>
      </c>
      <c r="CG619" t="str">
        <f>""</f>
        <v/>
      </c>
      <c r="CH619" t="str">
        <f>""</f>
        <v/>
      </c>
      <c r="CI619" t="str">
        <f>""</f>
        <v/>
      </c>
      <c r="CJ619" t="str">
        <f>""</f>
        <v/>
      </c>
      <c r="CK619" t="str">
        <f>""</f>
        <v/>
      </c>
      <c r="CL619" t="str">
        <f>""</f>
        <v/>
      </c>
      <c r="CM619" t="str">
        <f>""</f>
        <v/>
      </c>
      <c r="CN619" t="str">
        <f>""</f>
        <v/>
      </c>
      <c r="CO619" t="str">
        <f>""</f>
        <v/>
      </c>
      <c r="CP619" t="str">
        <f>""</f>
        <v/>
      </c>
      <c r="CQ619" t="str">
        <f>""</f>
        <v/>
      </c>
      <c r="CR619" t="str">
        <f>""</f>
        <v/>
      </c>
      <c r="CS619" t="str">
        <f>""</f>
        <v/>
      </c>
      <c r="CT619" t="str">
        <f>""</f>
        <v/>
      </c>
      <c r="CU619" t="str">
        <f>""</f>
        <v/>
      </c>
      <c r="CV619" t="str">
        <f>""</f>
        <v/>
      </c>
      <c r="CW619" t="str">
        <f>""</f>
        <v/>
      </c>
      <c r="CX619" t="str">
        <f>""</f>
        <v/>
      </c>
      <c r="CY619" t="str">
        <f>""</f>
        <v/>
      </c>
      <c r="CZ619" t="str">
        <f>""</f>
        <v/>
      </c>
      <c r="DA619" t="str">
        <f>""</f>
        <v/>
      </c>
      <c r="DB619" t="str">
        <f>""</f>
        <v/>
      </c>
      <c r="DC619" t="str">
        <f>""</f>
        <v/>
      </c>
      <c r="DD619" t="str">
        <f>""</f>
        <v/>
      </c>
      <c r="DE619" t="str">
        <f>""</f>
        <v/>
      </c>
      <c r="DF619" t="str">
        <f>""</f>
        <v/>
      </c>
      <c r="DG619" t="str">
        <f>""</f>
        <v/>
      </c>
      <c r="DH619" t="str">
        <f>""</f>
        <v/>
      </c>
      <c r="DI619" t="str">
        <f>""</f>
        <v/>
      </c>
      <c r="DJ619" t="str">
        <f>""</f>
        <v/>
      </c>
      <c r="DK619" t="str">
        <f>""</f>
        <v/>
      </c>
      <c r="DL619" t="str">
        <f>""</f>
        <v/>
      </c>
      <c r="DM619" t="str">
        <f>""</f>
        <v/>
      </c>
      <c r="DN619" t="str">
        <f>""</f>
        <v/>
      </c>
      <c r="DO619" t="str">
        <f>""</f>
        <v/>
      </c>
      <c r="DP619" t="str">
        <f>""</f>
        <v/>
      </c>
      <c r="DQ619" t="str">
        <f>""</f>
        <v/>
      </c>
      <c r="DR619" t="str">
        <f>""</f>
        <v/>
      </c>
      <c r="DS619" t="str">
        <f>""</f>
        <v/>
      </c>
      <c r="DT619" t="str">
        <f>""</f>
        <v/>
      </c>
      <c r="DU619" t="str">
        <f>""</f>
        <v/>
      </c>
    </row>
    <row r="620" spans="1:125" x14ac:dyDescent="0.25">
      <c r="A620" t="str">
        <f>$A$113</f>
        <v xml:space="preserve">    SAIC Motor Corp Ltd</v>
      </c>
      <c r="B620" t="str">
        <f>$B$113</f>
        <v>600104 CH Equity</v>
      </c>
      <c r="C620" t="str">
        <f>$C$113</f>
        <v>EZ021</v>
      </c>
      <c r="D620" t="str">
        <f>$D$113</f>
        <v>BEST_EPS_NXT_YR</v>
      </c>
      <c r="E620" t="str">
        <f>$E$113</f>
        <v>Dynamic</v>
      </c>
      <c r="F620" t="str">
        <f ca="1">_xll.BDH($B$113,$C$113,$B$509,$B$510,CONCATENATE("Per=",$B$507),"Dts=H","Dir=H",CONCATENATE("Points=",$B$508),"Sort=R","Days=A","Fill=B",CONCATENATE("FX=", $B$506) )</f>
        <v>#N/A Connection</v>
      </c>
      <c r="BN620" t="str">
        <f>""</f>
        <v/>
      </c>
      <c r="BO620" t="str">
        <f>""</f>
        <v/>
      </c>
      <c r="BP620" t="str">
        <f>""</f>
        <v/>
      </c>
      <c r="BQ620" t="str">
        <f>""</f>
        <v/>
      </c>
      <c r="BR620" t="str">
        <f>""</f>
        <v/>
      </c>
      <c r="BS620" t="str">
        <f>""</f>
        <v/>
      </c>
      <c r="BT620" t="str">
        <f>""</f>
        <v/>
      </c>
      <c r="BU620" t="str">
        <f>""</f>
        <v/>
      </c>
      <c r="BV620" t="str">
        <f>""</f>
        <v/>
      </c>
      <c r="BW620" t="str">
        <f>""</f>
        <v/>
      </c>
      <c r="BX620" t="str">
        <f>""</f>
        <v/>
      </c>
      <c r="BY620" t="str">
        <f>""</f>
        <v/>
      </c>
      <c r="BZ620" t="str">
        <f>""</f>
        <v/>
      </c>
      <c r="CA620" t="str">
        <f>""</f>
        <v/>
      </c>
      <c r="CB620" t="str">
        <f>""</f>
        <v/>
      </c>
      <c r="CC620" t="str">
        <f>""</f>
        <v/>
      </c>
      <c r="CD620" t="str">
        <f>""</f>
        <v/>
      </c>
      <c r="CE620" t="str">
        <f>""</f>
        <v/>
      </c>
      <c r="CF620" t="str">
        <f>""</f>
        <v/>
      </c>
      <c r="CG620" t="str">
        <f>""</f>
        <v/>
      </c>
      <c r="CH620" t="str">
        <f>""</f>
        <v/>
      </c>
      <c r="CI620" t="str">
        <f>""</f>
        <v/>
      </c>
      <c r="CJ620" t="str">
        <f>""</f>
        <v/>
      </c>
      <c r="CK620" t="str">
        <f>""</f>
        <v/>
      </c>
      <c r="CL620" t="str">
        <f>""</f>
        <v/>
      </c>
      <c r="CM620" t="str">
        <f>""</f>
        <v/>
      </c>
      <c r="CN620" t="str">
        <f>""</f>
        <v/>
      </c>
      <c r="CO620" t="str">
        <f>""</f>
        <v/>
      </c>
      <c r="CP620" t="str">
        <f>""</f>
        <v/>
      </c>
      <c r="CQ620" t="str">
        <f>""</f>
        <v/>
      </c>
      <c r="CR620" t="str">
        <f>""</f>
        <v/>
      </c>
      <c r="CS620" t="str">
        <f>""</f>
        <v/>
      </c>
      <c r="CT620" t="str">
        <f>""</f>
        <v/>
      </c>
      <c r="CU620" t="str">
        <f>""</f>
        <v/>
      </c>
      <c r="CV620" t="str">
        <f>""</f>
        <v/>
      </c>
      <c r="CW620" t="str">
        <f>""</f>
        <v/>
      </c>
      <c r="CX620" t="str">
        <f>""</f>
        <v/>
      </c>
      <c r="CY620" t="str">
        <f>""</f>
        <v/>
      </c>
      <c r="CZ620" t="str">
        <f>""</f>
        <v/>
      </c>
      <c r="DA620" t="str">
        <f>""</f>
        <v/>
      </c>
      <c r="DB620" t="str">
        <f>""</f>
        <v/>
      </c>
      <c r="DC620" t="str">
        <f>""</f>
        <v/>
      </c>
      <c r="DD620" t="str">
        <f>""</f>
        <v/>
      </c>
      <c r="DE620" t="str">
        <f>""</f>
        <v/>
      </c>
      <c r="DF620" t="str">
        <f>""</f>
        <v/>
      </c>
      <c r="DG620" t="str">
        <f>""</f>
        <v/>
      </c>
      <c r="DH620" t="str">
        <f>""</f>
        <v/>
      </c>
      <c r="DI620" t="str">
        <f>""</f>
        <v/>
      </c>
      <c r="DJ620" t="str">
        <f>""</f>
        <v/>
      </c>
      <c r="DK620" t="str">
        <f>""</f>
        <v/>
      </c>
      <c r="DL620" t="str">
        <f>""</f>
        <v/>
      </c>
      <c r="DM620" t="str">
        <f>""</f>
        <v/>
      </c>
      <c r="DN620" t="str">
        <f>""</f>
        <v/>
      </c>
      <c r="DO620" t="str">
        <f>""</f>
        <v/>
      </c>
      <c r="DP620" t="str">
        <f>""</f>
        <v/>
      </c>
      <c r="DQ620" t="str">
        <f>""</f>
        <v/>
      </c>
      <c r="DR620" t="str">
        <f>""</f>
        <v/>
      </c>
      <c r="DS620" t="str">
        <f>""</f>
        <v/>
      </c>
      <c r="DT620" t="str">
        <f>""</f>
        <v/>
      </c>
      <c r="DU620" t="str">
        <f>""</f>
        <v/>
      </c>
    </row>
    <row r="621" spans="1:125" x14ac:dyDescent="0.25">
      <c r="A621" t="str">
        <f>$A$114</f>
        <v xml:space="preserve">    Sanyang Motor Co Ltd</v>
      </c>
      <c r="B621" t="str">
        <f>$B$114</f>
        <v>2206 TT Equity</v>
      </c>
      <c r="C621" t="str">
        <f>$C$114</f>
        <v>EZ021</v>
      </c>
      <c r="D621" t="str">
        <f>$D$114</f>
        <v>BEST_EPS_NXT_YR</v>
      </c>
      <c r="E621" t="str">
        <f>$E$114</f>
        <v>Dynamic</v>
      </c>
      <c r="F621" t="str">
        <f ca="1">_xll.BDH($B$114,$C$114,$B$509,$B$510,CONCATENATE("Per=",$B$507),"Dts=H","Dir=H",CONCATENATE("Points=",$B$508),"Sort=R","Days=A","Fill=B",CONCATENATE("FX=", $B$506) )</f>
        <v>#N/A Connection</v>
      </c>
      <c r="BN621" t="str">
        <f>""</f>
        <v/>
      </c>
      <c r="BO621" t="str">
        <f>""</f>
        <v/>
      </c>
      <c r="BP621" t="str">
        <f>""</f>
        <v/>
      </c>
      <c r="BQ621" t="str">
        <f>""</f>
        <v/>
      </c>
      <c r="BR621" t="str">
        <f>""</f>
        <v/>
      </c>
      <c r="BS621" t="str">
        <f>""</f>
        <v/>
      </c>
      <c r="BT621" t="str">
        <f>""</f>
        <v/>
      </c>
      <c r="BU621" t="str">
        <f>""</f>
        <v/>
      </c>
      <c r="BV621" t="str">
        <f>""</f>
        <v/>
      </c>
      <c r="BW621" t="str">
        <f>""</f>
        <v/>
      </c>
      <c r="BX621" t="str">
        <f>""</f>
        <v/>
      </c>
      <c r="BY621" t="str">
        <f>""</f>
        <v/>
      </c>
      <c r="BZ621" t="str">
        <f>""</f>
        <v/>
      </c>
      <c r="CA621" t="str">
        <f>""</f>
        <v/>
      </c>
      <c r="CB621" t="str">
        <f>""</f>
        <v/>
      </c>
      <c r="CC621" t="str">
        <f>""</f>
        <v/>
      </c>
      <c r="CD621" t="str">
        <f>""</f>
        <v/>
      </c>
      <c r="CE621" t="str">
        <f>""</f>
        <v/>
      </c>
      <c r="CF621" t="str">
        <f>""</f>
        <v/>
      </c>
      <c r="CG621" t="str">
        <f>""</f>
        <v/>
      </c>
      <c r="CH621" t="str">
        <f>""</f>
        <v/>
      </c>
      <c r="CI621" t="str">
        <f>""</f>
        <v/>
      </c>
      <c r="CJ621" t="str">
        <f>""</f>
        <v/>
      </c>
      <c r="CK621" t="str">
        <f>""</f>
        <v/>
      </c>
      <c r="CL621" t="str">
        <f>""</f>
        <v/>
      </c>
      <c r="CM621" t="str">
        <f>""</f>
        <v/>
      </c>
      <c r="CN621" t="str">
        <f>""</f>
        <v/>
      </c>
      <c r="CO621" t="str">
        <f>""</f>
        <v/>
      </c>
      <c r="CP621" t="str">
        <f>""</f>
        <v/>
      </c>
      <c r="CQ621" t="str">
        <f>""</f>
        <v/>
      </c>
      <c r="CR621" t="str">
        <f>""</f>
        <v/>
      </c>
      <c r="CS621" t="str">
        <f>""</f>
        <v/>
      </c>
      <c r="CT621" t="str">
        <f>""</f>
        <v/>
      </c>
      <c r="CU621" t="str">
        <f>""</f>
        <v/>
      </c>
      <c r="CV621" t="str">
        <f>""</f>
        <v/>
      </c>
      <c r="CW621" t="str">
        <f>""</f>
        <v/>
      </c>
      <c r="CX621" t="str">
        <f>""</f>
        <v/>
      </c>
      <c r="CY621" t="str">
        <f>""</f>
        <v/>
      </c>
      <c r="CZ621" t="str">
        <f>""</f>
        <v/>
      </c>
      <c r="DA621" t="str">
        <f>""</f>
        <v/>
      </c>
      <c r="DB621" t="str">
        <f>""</f>
        <v/>
      </c>
      <c r="DC621" t="str">
        <f>""</f>
        <v/>
      </c>
      <c r="DD621" t="str">
        <f>""</f>
        <v/>
      </c>
      <c r="DE621" t="str">
        <f>""</f>
        <v/>
      </c>
      <c r="DF621" t="str">
        <f>""</f>
        <v/>
      </c>
      <c r="DG621" t="str">
        <f>""</f>
        <v/>
      </c>
      <c r="DH621" t="str">
        <f>""</f>
        <v/>
      </c>
      <c r="DI621" t="str">
        <f>""</f>
        <v/>
      </c>
      <c r="DJ621" t="str">
        <f>""</f>
        <v/>
      </c>
      <c r="DK621" t="str">
        <f>""</f>
        <v/>
      </c>
      <c r="DL621" t="str">
        <f>""</f>
        <v/>
      </c>
      <c r="DM621" t="str">
        <f>""</f>
        <v/>
      </c>
      <c r="DN621" t="str">
        <f>""</f>
        <v/>
      </c>
      <c r="DO621" t="str">
        <f>""</f>
        <v/>
      </c>
      <c r="DP621" t="str">
        <f>""</f>
        <v/>
      </c>
      <c r="DQ621" t="str">
        <f>""</f>
        <v/>
      </c>
      <c r="DR621" t="str">
        <f>""</f>
        <v/>
      </c>
      <c r="DS621" t="str">
        <f>""</f>
        <v/>
      </c>
      <c r="DT621" t="str">
        <f>""</f>
        <v/>
      </c>
      <c r="DU621" t="str">
        <f>""</f>
        <v/>
      </c>
    </row>
    <row r="622" spans="1:125" x14ac:dyDescent="0.25">
      <c r="A622" t="str">
        <f>$A$115</f>
        <v xml:space="preserve">    Sollers PJSC</v>
      </c>
      <c r="B622" t="str">
        <f>$B$115</f>
        <v>SVAV RM Equity</v>
      </c>
      <c r="C622" t="str">
        <f>$C$115</f>
        <v>EZ021</v>
      </c>
      <c r="D622" t="str">
        <f>$D$115</f>
        <v>BEST_EPS_NXT_YR</v>
      </c>
      <c r="E622" t="str">
        <f>$E$115</f>
        <v>Dynamic</v>
      </c>
      <c r="F622" t="str">
        <f ca="1">_xll.BDH($B$115,$C$115,$B$509,$B$510,CONCATENATE("Per=",$B$507),"Dts=H","Dir=H",CONCATENATE("Points=",$B$508),"Sort=R","Days=A","Fill=B",CONCATENATE("FX=", $B$506) )</f>
        <v>#N/A Connection</v>
      </c>
      <c r="BN622" t="str">
        <f>""</f>
        <v/>
      </c>
      <c r="BO622" t="str">
        <f>""</f>
        <v/>
      </c>
      <c r="BP622" t="str">
        <f>""</f>
        <v/>
      </c>
      <c r="BQ622" t="str">
        <f>""</f>
        <v/>
      </c>
      <c r="BR622" t="str">
        <f>""</f>
        <v/>
      </c>
      <c r="BS622" t="str">
        <f>""</f>
        <v/>
      </c>
      <c r="BT622" t="str">
        <f>""</f>
        <v/>
      </c>
      <c r="BU622" t="str">
        <f>""</f>
        <v/>
      </c>
      <c r="BV622" t="str">
        <f>""</f>
        <v/>
      </c>
      <c r="BW622" t="str">
        <f>""</f>
        <v/>
      </c>
      <c r="BX622" t="str">
        <f>""</f>
        <v/>
      </c>
      <c r="BY622" t="str">
        <f>""</f>
        <v/>
      </c>
      <c r="BZ622" t="str">
        <f>""</f>
        <v/>
      </c>
      <c r="CA622" t="str">
        <f>""</f>
        <v/>
      </c>
      <c r="CB622" t="str">
        <f>""</f>
        <v/>
      </c>
      <c r="CC622" t="str">
        <f>""</f>
        <v/>
      </c>
      <c r="CD622" t="str">
        <f>""</f>
        <v/>
      </c>
      <c r="CE622" t="str">
        <f>""</f>
        <v/>
      </c>
      <c r="CF622" t="str">
        <f>""</f>
        <v/>
      </c>
      <c r="CG622" t="str">
        <f>""</f>
        <v/>
      </c>
      <c r="CH622" t="str">
        <f>""</f>
        <v/>
      </c>
      <c r="CI622" t="str">
        <f>""</f>
        <v/>
      </c>
      <c r="CJ622" t="str">
        <f>""</f>
        <v/>
      </c>
      <c r="CK622" t="str">
        <f>""</f>
        <v/>
      </c>
      <c r="CL622" t="str">
        <f>""</f>
        <v/>
      </c>
      <c r="CM622" t="str">
        <f>""</f>
        <v/>
      </c>
      <c r="CN622" t="str">
        <f>""</f>
        <v/>
      </c>
      <c r="CO622" t="str">
        <f>""</f>
        <v/>
      </c>
      <c r="CP622" t="str">
        <f>""</f>
        <v/>
      </c>
      <c r="CQ622" t="str">
        <f>""</f>
        <v/>
      </c>
      <c r="CR622" t="str">
        <f>""</f>
        <v/>
      </c>
      <c r="CS622" t="str">
        <f>""</f>
        <v/>
      </c>
      <c r="CT622" t="str">
        <f>""</f>
        <v/>
      </c>
      <c r="CU622" t="str">
        <f>""</f>
        <v/>
      </c>
      <c r="CV622" t="str">
        <f>""</f>
        <v/>
      </c>
      <c r="CW622" t="str">
        <f>""</f>
        <v/>
      </c>
      <c r="CX622" t="str">
        <f>""</f>
        <v/>
      </c>
      <c r="CY622" t="str">
        <f>""</f>
        <v/>
      </c>
      <c r="CZ622" t="str">
        <f>""</f>
        <v/>
      </c>
      <c r="DA622" t="str">
        <f>""</f>
        <v/>
      </c>
      <c r="DB622" t="str">
        <f>""</f>
        <v/>
      </c>
      <c r="DC622" t="str">
        <f>""</f>
        <v/>
      </c>
      <c r="DD622" t="str">
        <f>""</f>
        <v/>
      </c>
      <c r="DE622" t="str">
        <f>""</f>
        <v/>
      </c>
      <c r="DF622" t="str">
        <f>""</f>
        <v/>
      </c>
      <c r="DG622" t="str">
        <f>""</f>
        <v/>
      </c>
      <c r="DH622" t="str">
        <f>""</f>
        <v/>
      </c>
      <c r="DI622" t="str">
        <f>""</f>
        <v/>
      </c>
      <c r="DJ622" t="str">
        <f>""</f>
        <v/>
      </c>
      <c r="DK622" t="str">
        <f>""</f>
        <v/>
      </c>
      <c r="DL622" t="str">
        <f>""</f>
        <v/>
      </c>
      <c r="DM622" t="str">
        <f>""</f>
        <v/>
      </c>
      <c r="DN622" t="str">
        <f>""</f>
        <v/>
      </c>
      <c r="DO622" t="str">
        <f>""</f>
        <v/>
      </c>
      <c r="DP622" t="str">
        <f>""</f>
        <v/>
      </c>
      <c r="DQ622" t="str">
        <f>""</f>
        <v/>
      </c>
      <c r="DR622" t="str">
        <f>""</f>
        <v/>
      </c>
      <c r="DS622" t="str">
        <f>""</f>
        <v/>
      </c>
      <c r="DT622" t="str">
        <f>""</f>
        <v/>
      </c>
      <c r="DU622" t="str">
        <f>""</f>
        <v/>
      </c>
    </row>
    <row r="623" spans="1:125" x14ac:dyDescent="0.25">
      <c r="A623" t="str">
        <f>$A$116</f>
        <v xml:space="preserve">    Ssangyong Motor Co</v>
      </c>
      <c r="B623" t="str">
        <f>$B$116</f>
        <v>003620 KS Equity</v>
      </c>
      <c r="C623" t="str">
        <f>$C$116</f>
        <v>EZ021</v>
      </c>
      <c r="D623" t="str">
        <f>$D$116</f>
        <v>BEST_EPS_NXT_YR</v>
      </c>
      <c r="E623" t="str">
        <f>$E$116</f>
        <v>Dynamic</v>
      </c>
      <c r="F623" t="str">
        <f ca="1">_xll.BDH($B$116,$C$116,$B$509,$B$510,CONCATENATE("Per=",$B$507),"Dts=H","Dir=H",CONCATENATE("Points=",$B$508),"Sort=R","Days=A","Fill=B",CONCATENATE("FX=", $B$506) )</f>
        <v>#N/A Connection</v>
      </c>
      <c r="BN623" t="str">
        <f>""</f>
        <v/>
      </c>
      <c r="BO623" t="str">
        <f>""</f>
        <v/>
      </c>
      <c r="BP623" t="str">
        <f>""</f>
        <v/>
      </c>
      <c r="BQ623" t="str">
        <f>""</f>
        <v/>
      </c>
      <c r="BR623" t="str">
        <f>""</f>
        <v/>
      </c>
      <c r="BS623" t="str">
        <f>""</f>
        <v/>
      </c>
      <c r="BT623" t="str">
        <f>""</f>
        <v/>
      </c>
      <c r="BU623" t="str">
        <f>""</f>
        <v/>
      </c>
      <c r="BV623" t="str">
        <f>""</f>
        <v/>
      </c>
      <c r="BW623" t="str">
        <f>""</f>
        <v/>
      </c>
      <c r="BX623" t="str">
        <f>""</f>
        <v/>
      </c>
      <c r="BY623" t="str">
        <f>""</f>
        <v/>
      </c>
      <c r="BZ623" t="str">
        <f>""</f>
        <v/>
      </c>
      <c r="CA623" t="str">
        <f>""</f>
        <v/>
      </c>
      <c r="CB623" t="str">
        <f>""</f>
        <v/>
      </c>
      <c r="CC623" t="str">
        <f>""</f>
        <v/>
      </c>
      <c r="CD623" t="str">
        <f>""</f>
        <v/>
      </c>
      <c r="CE623" t="str">
        <f>""</f>
        <v/>
      </c>
      <c r="CF623" t="str">
        <f>""</f>
        <v/>
      </c>
      <c r="CG623" t="str">
        <f>""</f>
        <v/>
      </c>
      <c r="CH623" t="str">
        <f>""</f>
        <v/>
      </c>
      <c r="CI623" t="str">
        <f>""</f>
        <v/>
      </c>
      <c r="CJ623" t="str">
        <f>""</f>
        <v/>
      </c>
      <c r="CK623" t="str">
        <f>""</f>
        <v/>
      </c>
      <c r="CL623" t="str">
        <f>""</f>
        <v/>
      </c>
      <c r="CM623" t="str">
        <f>""</f>
        <v/>
      </c>
      <c r="CN623" t="str">
        <f>""</f>
        <v/>
      </c>
      <c r="CO623" t="str">
        <f>""</f>
        <v/>
      </c>
      <c r="CP623" t="str">
        <f>""</f>
        <v/>
      </c>
      <c r="CQ623" t="str">
        <f>""</f>
        <v/>
      </c>
      <c r="CR623" t="str">
        <f>""</f>
        <v/>
      </c>
      <c r="CS623" t="str">
        <f>""</f>
        <v/>
      </c>
      <c r="CT623" t="str">
        <f>""</f>
        <v/>
      </c>
      <c r="CU623" t="str">
        <f>""</f>
        <v/>
      </c>
      <c r="CV623" t="str">
        <f>""</f>
        <v/>
      </c>
      <c r="CW623" t="str">
        <f>""</f>
        <v/>
      </c>
      <c r="CX623" t="str">
        <f>""</f>
        <v/>
      </c>
      <c r="CY623" t="str">
        <f>""</f>
        <v/>
      </c>
      <c r="CZ623" t="str">
        <f>""</f>
        <v/>
      </c>
      <c r="DA623" t="str">
        <f>""</f>
        <v/>
      </c>
      <c r="DB623" t="str">
        <f>""</f>
        <v/>
      </c>
      <c r="DC623" t="str">
        <f>""</f>
        <v/>
      </c>
      <c r="DD623" t="str">
        <f>""</f>
        <v/>
      </c>
      <c r="DE623" t="str">
        <f>""</f>
        <v/>
      </c>
      <c r="DF623" t="str">
        <f>""</f>
        <v/>
      </c>
      <c r="DG623" t="str">
        <f>""</f>
        <v/>
      </c>
      <c r="DH623" t="str">
        <f>""</f>
        <v/>
      </c>
      <c r="DI623" t="str">
        <f>""</f>
        <v/>
      </c>
      <c r="DJ623" t="str">
        <f>""</f>
        <v/>
      </c>
      <c r="DK623" t="str">
        <f>""</f>
        <v/>
      </c>
      <c r="DL623" t="str">
        <f>""</f>
        <v/>
      </c>
      <c r="DM623" t="str">
        <f>""</f>
        <v/>
      </c>
      <c r="DN623" t="str">
        <f>""</f>
        <v/>
      </c>
      <c r="DO623" t="str">
        <f>""</f>
        <v/>
      </c>
      <c r="DP623" t="str">
        <f>""</f>
        <v/>
      </c>
      <c r="DQ623" t="str">
        <f>""</f>
        <v/>
      </c>
      <c r="DR623" t="str">
        <f>""</f>
        <v/>
      </c>
      <c r="DS623" t="str">
        <f>""</f>
        <v/>
      </c>
      <c r="DT623" t="str">
        <f>""</f>
        <v/>
      </c>
      <c r="DU623" t="str">
        <f>""</f>
        <v/>
      </c>
    </row>
    <row r="624" spans="1:125" x14ac:dyDescent="0.25">
      <c r="A624" t="str">
        <f>$A$117</f>
        <v xml:space="preserve">    Subaru Corp</v>
      </c>
      <c r="B624" t="str">
        <f>$B$117</f>
        <v>7270 JP Equity</v>
      </c>
      <c r="C624" t="str">
        <f>$C$117</f>
        <v>EZ021</v>
      </c>
      <c r="D624" t="str">
        <f>$D$117</f>
        <v>BEST_EPS_NXT_YR</v>
      </c>
      <c r="E624" t="str">
        <f>$E$117</f>
        <v>Dynamic</v>
      </c>
      <c r="F624" t="str">
        <f ca="1">_xll.BDH($B$117,$C$117,$B$509,$B$510,CONCATENATE("Per=",$B$507),"Dts=H","Dir=H",CONCATENATE("Points=",$B$508),"Sort=R","Days=A","Fill=B",CONCATENATE("FX=", $B$506) )</f>
        <v>#N/A Connection</v>
      </c>
      <c r="BN624" t="str">
        <f>""</f>
        <v/>
      </c>
      <c r="BO624" t="str">
        <f>""</f>
        <v/>
      </c>
      <c r="BP624" t="str">
        <f>""</f>
        <v/>
      </c>
      <c r="BQ624" t="str">
        <f>""</f>
        <v/>
      </c>
      <c r="BR624" t="str">
        <f>""</f>
        <v/>
      </c>
      <c r="BS624" t="str">
        <f>""</f>
        <v/>
      </c>
      <c r="BT624" t="str">
        <f>""</f>
        <v/>
      </c>
      <c r="BU624" t="str">
        <f>""</f>
        <v/>
      </c>
      <c r="BV624" t="str">
        <f>""</f>
        <v/>
      </c>
      <c r="BW624" t="str">
        <f>""</f>
        <v/>
      </c>
      <c r="BX624" t="str">
        <f>""</f>
        <v/>
      </c>
      <c r="BY624" t="str">
        <f>""</f>
        <v/>
      </c>
      <c r="BZ624" t="str">
        <f>""</f>
        <v/>
      </c>
      <c r="CA624" t="str">
        <f>""</f>
        <v/>
      </c>
      <c r="CB624" t="str">
        <f>""</f>
        <v/>
      </c>
      <c r="CC624" t="str">
        <f>""</f>
        <v/>
      </c>
      <c r="CD624" t="str">
        <f>""</f>
        <v/>
      </c>
      <c r="CE624" t="str">
        <f>""</f>
        <v/>
      </c>
      <c r="CF624" t="str">
        <f>""</f>
        <v/>
      </c>
      <c r="CG624" t="str">
        <f>""</f>
        <v/>
      </c>
      <c r="CH624" t="str">
        <f>""</f>
        <v/>
      </c>
      <c r="CI624" t="str">
        <f>""</f>
        <v/>
      </c>
      <c r="CJ624" t="str">
        <f>""</f>
        <v/>
      </c>
      <c r="CK624" t="str">
        <f>""</f>
        <v/>
      </c>
      <c r="CL624" t="str">
        <f>""</f>
        <v/>
      </c>
      <c r="CM624" t="str">
        <f>""</f>
        <v/>
      </c>
      <c r="CN624" t="str">
        <f>""</f>
        <v/>
      </c>
      <c r="CO624" t="str">
        <f>""</f>
        <v/>
      </c>
      <c r="CP624" t="str">
        <f>""</f>
        <v/>
      </c>
      <c r="CQ624" t="str">
        <f>""</f>
        <v/>
      </c>
      <c r="CR624" t="str">
        <f>""</f>
        <v/>
      </c>
      <c r="CS624" t="str">
        <f>""</f>
        <v/>
      </c>
      <c r="CT624" t="str">
        <f>""</f>
        <v/>
      </c>
      <c r="CU624" t="str">
        <f>""</f>
        <v/>
      </c>
      <c r="CV624" t="str">
        <f>""</f>
        <v/>
      </c>
      <c r="CW624" t="str">
        <f>""</f>
        <v/>
      </c>
      <c r="CX624" t="str">
        <f>""</f>
        <v/>
      </c>
      <c r="CY624" t="str">
        <f>""</f>
        <v/>
      </c>
      <c r="CZ624" t="str">
        <f>""</f>
        <v/>
      </c>
      <c r="DA624" t="str">
        <f>""</f>
        <v/>
      </c>
      <c r="DB624" t="str">
        <f>""</f>
        <v/>
      </c>
      <c r="DC624" t="str">
        <f>""</f>
        <v/>
      </c>
      <c r="DD624" t="str">
        <f>""</f>
        <v/>
      </c>
      <c r="DE624" t="str">
        <f>""</f>
        <v/>
      </c>
      <c r="DF624" t="str">
        <f>""</f>
        <v/>
      </c>
      <c r="DG624" t="str">
        <f>""</f>
        <v/>
      </c>
      <c r="DH624" t="str">
        <f>""</f>
        <v/>
      </c>
      <c r="DI624" t="str">
        <f>""</f>
        <v/>
      </c>
      <c r="DJ624" t="str">
        <f>""</f>
        <v/>
      </c>
      <c r="DK624" t="str">
        <f>""</f>
        <v/>
      </c>
      <c r="DL624" t="str">
        <f>""</f>
        <v/>
      </c>
      <c r="DM624" t="str">
        <f>""</f>
        <v/>
      </c>
      <c r="DN624" t="str">
        <f>""</f>
        <v/>
      </c>
      <c r="DO624" t="str">
        <f>""</f>
        <v/>
      </c>
      <c r="DP624" t="str">
        <f>""</f>
        <v/>
      </c>
      <c r="DQ624" t="str">
        <f>""</f>
        <v/>
      </c>
      <c r="DR624" t="str">
        <f>""</f>
        <v/>
      </c>
      <c r="DS624" t="str">
        <f>""</f>
        <v/>
      </c>
      <c r="DT624" t="str">
        <f>""</f>
        <v/>
      </c>
      <c r="DU624" t="str">
        <f>""</f>
        <v/>
      </c>
    </row>
    <row r="625" spans="1:125" x14ac:dyDescent="0.25">
      <c r="A625" t="str">
        <f>$A$118</f>
        <v xml:space="preserve">    Suzuki Motor Corp</v>
      </c>
      <c r="B625" t="str">
        <f>$B$118</f>
        <v>7269 JP Equity</v>
      </c>
      <c r="C625" t="str">
        <f>$C$118</f>
        <v>EZ021</v>
      </c>
      <c r="D625" t="str">
        <f>$D$118</f>
        <v>BEST_EPS_NXT_YR</v>
      </c>
      <c r="E625" t="str">
        <f>$E$118</f>
        <v>Dynamic</v>
      </c>
      <c r="F625" t="str">
        <f ca="1">_xll.BDH($B$118,$C$118,$B$509,$B$510,CONCATENATE("Per=",$B$507),"Dts=H","Dir=H",CONCATENATE("Points=",$B$508),"Sort=R","Days=A","Fill=B",CONCATENATE("FX=", $B$506) )</f>
        <v>#N/A Connection</v>
      </c>
      <c r="BN625" t="str">
        <f>""</f>
        <v/>
      </c>
      <c r="BO625" t="str">
        <f>""</f>
        <v/>
      </c>
      <c r="BP625" t="str">
        <f>""</f>
        <v/>
      </c>
      <c r="BQ625" t="str">
        <f>""</f>
        <v/>
      </c>
      <c r="BR625" t="str">
        <f>""</f>
        <v/>
      </c>
      <c r="BS625" t="str">
        <f>""</f>
        <v/>
      </c>
      <c r="BT625" t="str">
        <f>""</f>
        <v/>
      </c>
      <c r="BU625" t="str">
        <f>""</f>
        <v/>
      </c>
      <c r="BV625" t="str">
        <f>""</f>
        <v/>
      </c>
      <c r="BW625" t="str">
        <f>""</f>
        <v/>
      </c>
      <c r="BX625" t="str">
        <f>""</f>
        <v/>
      </c>
      <c r="BY625" t="str">
        <f>""</f>
        <v/>
      </c>
      <c r="BZ625" t="str">
        <f>""</f>
        <v/>
      </c>
      <c r="CA625" t="str">
        <f>""</f>
        <v/>
      </c>
      <c r="CB625" t="str">
        <f>""</f>
        <v/>
      </c>
      <c r="CC625" t="str">
        <f>""</f>
        <v/>
      </c>
      <c r="CD625" t="str">
        <f>""</f>
        <v/>
      </c>
      <c r="CE625" t="str">
        <f>""</f>
        <v/>
      </c>
      <c r="CF625" t="str">
        <f>""</f>
        <v/>
      </c>
      <c r="CG625" t="str">
        <f>""</f>
        <v/>
      </c>
      <c r="CH625" t="str">
        <f>""</f>
        <v/>
      </c>
      <c r="CI625" t="str">
        <f>""</f>
        <v/>
      </c>
      <c r="CJ625" t="str">
        <f>""</f>
        <v/>
      </c>
      <c r="CK625" t="str">
        <f>""</f>
        <v/>
      </c>
      <c r="CL625" t="str">
        <f>""</f>
        <v/>
      </c>
      <c r="CM625" t="str">
        <f>""</f>
        <v/>
      </c>
      <c r="CN625" t="str">
        <f>""</f>
        <v/>
      </c>
      <c r="CO625" t="str">
        <f>""</f>
        <v/>
      </c>
      <c r="CP625" t="str">
        <f>""</f>
        <v/>
      </c>
      <c r="CQ625" t="str">
        <f>""</f>
        <v/>
      </c>
      <c r="CR625" t="str">
        <f>""</f>
        <v/>
      </c>
      <c r="CS625" t="str">
        <f>""</f>
        <v/>
      </c>
      <c r="CT625" t="str">
        <f>""</f>
        <v/>
      </c>
      <c r="CU625" t="str">
        <f>""</f>
        <v/>
      </c>
      <c r="CV625" t="str">
        <f>""</f>
        <v/>
      </c>
      <c r="CW625" t="str">
        <f>""</f>
        <v/>
      </c>
      <c r="CX625" t="str">
        <f>""</f>
        <v/>
      </c>
      <c r="CY625" t="str">
        <f>""</f>
        <v/>
      </c>
      <c r="CZ625" t="str">
        <f>""</f>
        <v/>
      </c>
      <c r="DA625" t="str">
        <f>""</f>
        <v/>
      </c>
      <c r="DB625" t="str">
        <f>""</f>
        <v/>
      </c>
      <c r="DC625" t="str">
        <f>""</f>
        <v/>
      </c>
      <c r="DD625" t="str">
        <f>""</f>
        <v/>
      </c>
      <c r="DE625" t="str">
        <f>""</f>
        <v/>
      </c>
      <c r="DF625" t="str">
        <f>""</f>
        <v/>
      </c>
      <c r="DG625" t="str">
        <f>""</f>
        <v/>
      </c>
      <c r="DH625" t="str">
        <f>""</f>
        <v/>
      </c>
      <c r="DI625" t="str">
        <f>""</f>
        <v/>
      </c>
      <c r="DJ625" t="str">
        <f>""</f>
        <v/>
      </c>
      <c r="DK625" t="str">
        <f>""</f>
        <v/>
      </c>
      <c r="DL625" t="str">
        <f>""</f>
        <v/>
      </c>
      <c r="DM625" t="str">
        <f>""</f>
        <v/>
      </c>
      <c r="DN625" t="str">
        <f>""</f>
        <v/>
      </c>
      <c r="DO625" t="str">
        <f>""</f>
        <v/>
      </c>
      <c r="DP625" t="str">
        <f>""</f>
        <v/>
      </c>
      <c r="DQ625" t="str">
        <f>""</f>
        <v/>
      </c>
      <c r="DR625" t="str">
        <f>""</f>
        <v/>
      </c>
      <c r="DS625" t="str">
        <f>""</f>
        <v/>
      </c>
      <c r="DT625" t="str">
        <f>""</f>
        <v/>
      </c>
      <c r="DU625" t="str">
        <f>""</f>
        <v/>
      </c>
    </row>
    <row r="626" spans="1:125" x14ac:dyDescent="0.25">
      <c r="A626" t="str">
        <f>$A$119</f>
        <v xml:space="preserve">    Tata Motors Ltd</v>
      </c>
      <c r="B626" t="str">
        <f>$B$119</f>
        <v>TTMT IN Equity</v>
      </c>
      <c r="C626" t="str">
        <f>$C$119</f>
        <v>EZ021</v>
      </c>
      <c r="D626" t="str">
        <f>$D$119</f>
        <v>BEST_EPS_NXT_YR</v>
      </c>
      <c r="E626" t="str">
        <f>$E$119</f>
        <v>Dynamic</v>
      </c>
      <c r="F626" t="str">
        <f ca="1">_xll.BDH($B$119,$C$119,$B$509,$B$510,CONCATENATE("Per=",$B$507),"Dts=H","Dir=H",CONCATENATE("Points=",$B$508),"Sort=R","Days=A","Fill=B",CONCATENATE("FX=", $B$506) )</f>
        <v>#N/A Connection</v>
      </c>
      <c r="BN626" t="str">
        <f>""</f>
        <v/>
      </c>
      <c r="BO626" t="str">
        <f>""</f>
        <v/>
      </c>
      <c r="BP626" t="str">
        <f>""</f>
        <v/>
      </c>
      <c r="BQ626" t="str">
        <f>""</f>
        <v/>
      </c>
      <c r="BR626" t="str">
        <f>""</f>
        <v/>
      </c>
      <c r="BS626" t="str">
        <f>""</f>
        <v/>
      </c>
      <c r="BT626" t="str">
        <f>""</f>
        <v/>
      </c>
      <c r="BU626" t="str">
        <f>""</f>
        <v/>
      </c>
      <c r="BV626" t="str">
        <f>""</f>
        <v/>
      </c>
      <c r="BW626" t="str">
        <f>""</f>
        <v/>
      </c>
      <c r="BX626" t="str">
        <f>""</f>
        <v/>
      </c>
      <c r="BY626" t="str">
        <f>""</f>
        <v/>
      </c>
      <c r="BZ626" t="str">
        <f>""</f>
        <v/>
      </c>
      <c r="CA626" t="str">
        <f>""</f>
        <v/>
      </c>
      <c r="CB626" t="str">
        <f>""</f>
        <v/>
      </c>
      <c r="CC626" t="str">
        <f>""</f>
        <v/>
      </c>
      <c r="CD626" t="str">
        <f>""</f>
        <v/>
      </c>
      <c r="CE626" t="str">
        <f>""</f>
        <v/>
      </c>
      <c r="CF626" t="str">
        <f>""</f>
        <v/>
      </c>
      <c r="CG626" t="str">
        <f>""</f>
        <v/>
      </c>
      <c r="CH626" t="str">
        <f>""</f>
        <v/>
      </c>
      <c r="CI626" t="str">
        <f>""</f>
        <v/>
      </c>
      <c r="CJ626" t="str">
        <f>""</f>
        <v/>
      </c>
      <c r="CK626" t="str">
        <f>""</f>
        <v/>
      </c>
      <c r="CL626" t="str">
        <f>""</f>
        <v/>
      </c>
      <c r="CM626" t="str">
        <f>""</f>
        <v/>
      </c>
      <c r="CN626" t="str">
        <f>""</f>
        <v/>
      </c>
      <c r="CO626" t="str">
        <f>""</f>
        <v/>
      </c>
      <c r="CP626" t="str">
        <f>""</f>
        <v/>
      </c>
      <c r="CQ626" t="str">
        <f>""</f>
        <v/>
      </c>
      <c r="CR626" t="str">
        <f>""</f>
        <v/>
      </c>
      <c r="CS626" t="str">
        <f>""</f>
        <v/>
      </c>
      <c r="CT626" t="str">
        <f>""</f>
        <v/>
      </c>
      <c r="CU626" t="str">
        <f>""</f>
        <v/>
      </c>
      <c r="CV626" t="str">
        <f>""</f>
        <v/>
      </c>
      <c r="CW626" t="str">
        <f>""</f>
        <v/>
      </c>
      <c r="CX626" t="str">
        <f>""</f>
        <v/>
      </c>
      <c r="CY626" t="str">
        <f>""</f>
        <v/>
      </c>
      <c r="CZ626" t="str">
        <f>""</f>
        <v/>
      </c>
      <c r="DA626" t="str">
        <f>""</f>
        <v/>
      </c>
      <c r="DB626" t="str">
        <f>""</f>
        <v/>
      </c>
      <c r="DC626" t="str">
        <f>""</f>
        <v/>
      </c>
      <c r="DD626" t="str">
        <f>""</f>
        <v/>
      </c>
      <c r="DE626" t="str">
        <f>""</f>
        <v/>
      </c>
      <c r="DF626" t="str">
        <f>""</f>
        <v/>
      </c>
      <c r="DG626" t="str">
        <f>""</f>
        <v/>
      </c>
      <c r="DH626" t="str">
        <f>""</f>
        <v/>
      </c>
      <c r="DI626" t="str">
        <f>""</f>
        <v/>
      </c>
      <c r="DJ626" t="str">
        <f>""</f>
        <v/>
      </c>
      <c r="DK626" t="str">
        <f>""</f>
        <v/>
      </c>
      <c r="DL626" t="str">
        <f>""</f>
        <v/>
      </c>
      <c r="DM626" t="str">
        <f>""</f>
        <v/>
      </c>
      <c r="DN626" t="str">
        <f>""</f>
        <v/>
      </c>
      <c r="DO626" t="str">
        <f>""</f>
        <v/>
      </c>
      <c r="DP626" t="str">
        <f>""</f>
        <v/>
      </c>
      <c r="DQ626" t="str">
        <f>""</f>
        <v/>
      </c>
      <c r="DR626" t="str">
        <f>""</f>
        <v/>
      </c>
      <c r="DS626" t="str">
        <f>""</f>
        <v/>
      </c>
      <c r="DT626" t="str">
        <f>""</f>
        <v/>
      </c>
      <c r="DU626" t="str">
        <f>""</f>
        <v/>
      </c>
    </row>
    <row r="627" spans="1:125" x14ac:dyDescent="0.25">
      <c r="A627" t="str">
        <f>$A$120</f>
        <v xml:space="preserve">    Tesla Inc</v>
      </c>
      <c r="B627" t="str">
        <f>$B$120</f>
        <v>TSLA US Equity</v>
      </c>
      <c r="C627" t="str">
        <f>$C$120</f>
        <v>EZ021</v>
      </c>
      <c r="D627" t="str">
        <f>$D$120</f>
        <v>BEST_EPS_NXT_YR</v>
      </c>
      <c r="E627" t="str">
        <f>$E$120</f>
        <v>Dynamic</v>
      </c>
      <c r="F627" t="str">
        <f ca="1">_xll.BDH($B$120,$C$120,$B$509,$B$510,CONCATENATE("Per=",$B$507),"Dts=H","Dir=H",CONCATENATE("Points=",$B$508),"Sort=R","Days=A","Fill=B",CONCATENATE("FX=", $B$506) )</f>
        <v>#N/A Connection</v>
      </c>
      <c r="BN627" t="str">
        <f>""</f>
        <v/>
      </c>
      <c r="BO627" t="str">
        <f>""</f>
        <v/>
      </c>
      <c r="BP627" t="str">
        <f>""</f>
        <v/>
      </c>
      <c r="BQ627" t="str">
        <f>""</f>
        <v/>
      </c>
      <c r="BR627" t="str">
        <f>""</f>
        <v/>
      </c>
      <c r="BS627" t="str">
        <f>""</f>
        <v/>
      </c>
      <c r="BT627" t="str">
        <f>""</f>
        <v/>
      </c>
      <c r="BU627" t="str">
        <f>""</f>
        <v/>
      </c>
      <c r="BV627" t="str">
        <f>""</f>
        <v/>
      </c>
      <c r="BW627" t="str">
        <f>""</f>
        <v/>
      </c>
      <c r="BX627" t="str">
        <f>""</f>
        <v/>
      </c>
      <c r="BY627" t="str">
        <f>""</f>
        <v/>
      </c>
      <c r="BZ627" t="str">
        <f>""</f>
        <v/>
      </c>
      <c r="CA627" t="str">
        <f>""</f>
        <v/>
      </c>
      <c r="CB627" t="str">
        <f>""</f>
        <v/>
      </c>
      <c r="CC627" t="str">
        <f>""</f>
        <v/>
      </c>
      <c r="CD627" t="str">
        <f>""</f>
        <v/>
      </c>
      <c r="CE627" t="str">
        <f>""</f>
        <v/>
      </c>
      <c r="CF627" t="str">
        <f>""</f>
        <v/>
      </c>
      <c r="CG627" t="str">
        <f>""</f>
        <v/>
      </c>
      <c r="CH627" t="str">
        <f>""</f>
        <v/>
      </c>
      <c r="CI627" t="str">
        <f>""</f>
        <v/>
      </c>
      <c r="CJ627" t="str">
        <f>""</f>
        <v/>
      </c>
      <c r="CK627" t="str">
        <f>""</f>
        <v/>
      </c>
      <c r="CL627" t="str">
        <f>""</f>
        <v/>
      </c>
      <c r="CM627" t="str">
        <f>""</f>
        <v/>
      </c>
      <c r="CN627" t="str">
        <f>""</f>
        <v/>
      </c>
      <c r="CO627" t="str">
        <f>""</f>
        <v/>
      </c>
      <c r="CP627" t="str">
        <f>""</f>
        <v/>
      </c>
      <c r="CQ627" t="str">
        <f>""</f>
        <v/>
      </c>
      <c r="CR627" t="str">
        <f>""</f>
        <v/>
      </c>
      <c r="CS627" t="str">
        <f>""</f>
        <v/>
      </c>
      <c r="CT627" t="str">
        <f>""</f>
        <v/>
      </c>
      <c r="CU627" t="str">
        <f>""</f>
        <v/>
      </c>
      <c r="CV627" t="str">
        <f>""</f>
        <v/>
      </c>
      <c r="CW627" t="str">
        <f>""</f>
        <v/>
      </c>
      <c r="CX627" t="str">
        <f>""</f>
        <v/>
      </c>
      <c r="CY627" t="str">
        <f>""</f>
        <v/>
      </c>
      <c r="CZ627" t="str">
        <f>""</f>
        <v/>
      </c>
      <c r="DA627" t="str">
        <f>""</f>
        <v/>
      </c>
      <c r="DB627" t="str">
        <f>""</f>
        <v/>
      </c>
      <c r="DC627" t="str">
        <f>""</f>
        <v/>
      </c>
      <c r="DD627" t="str">
        <f>""</f>
        <v/>
      </c>
      <c r="DE627" t="str">
        <f>""</f>
        <v/>
      </c>
      <c r="DF627" t="str">
        <f>""</f>
        <v/>
      </c>
      <c r="DG627" t="str">
        <f>""</f>
        <v/>
      </c>
      <c r="DH627" t="str">
        <f>""</f>
        <v/>
      </c>
      <c r="DI627" t="str">
        <f>""</f>
        <v/>
      </c>
      <c r="DJ627" t="str">
        <f>""</f>
        <v/>
      </c>
      <c r="DK627" t="str">
        <f>""</f>
        <v/>
      </c>
      <c r="DL627" t="str">
        <f>""</f>
        <v/>
      </c>
      <c r="DM627" t="str">
        <f>""</f>
        <v/>
      </c>
      <c r="DN627" t="str">
        <f>""</f>
        <v/>
      </c>
      <c r="DO627" t="str">
        <f>""</f>
        <v/>
      </c>
      <c r="DP627" t="str">
        <f>""</f>
        <v/>
      </c>
      <c r="DQ627" t="str">
        <f>""</f>
        <v/>
      </c>
      <c r="DR627" t="str">
        <f>""</f>
        <v/>
      </c>
      <c r="DS627" t="str">
        <f>""</f>
        <v/>
      </c>
      <c r="DT627" t="str">
        <f>""</f>
        <v/>
      </c>
      <c r="DU627" t="str">
        <f>""</f>
        <v/>
      </c>
    </row>
    <row r="628" spans="1:125" x14ac:dyDescent="0.25">
      <c r="A628" t="str">
        <f>$A$121</f>
        <v xml:space="preserve">    Tianjin Faw Xiali Automobile Co Ltd</v>
      </c>
      <c r="B628" t="str">
        <f>$B$121</f>
        <v>000927 CH Equity</v>
      </c>
      <c r="C628" t="str">
        <f>$C$121</f>
        <v>EZ021</v>
      </c>
      <c r="D628" t="str">
        <f>$D$121</f>
        <v>BEST_EPS_NXT_YR</v>
      </c>
      <c r="E628" t="str">
        <f>$E$121</f>
        <v>Dynamic</v>
      </c>
      <c r="F628" t="str">
        <f ca="1">_xll.BDH($B$121,$C$121,$B$509,$B$510,CONCATENATE("Per=",$B$507),"Dts=H","Dir=H",CONCATENATE("Points=",$B$508),"Sort=R","Days=A","Fill=B",CONCATENATE("FX=", $B$506) )</f>
        <v>#N/A Connection</v>
      </c>
      <c r="BN628" t="str">
        <f>""</f>
        <v/>
      </c>
      <c r="BO628" t="str">
        <f>""</f>
        <v/>
      </c>
      <c r="BP628" t="str">
        <f>""</f>
        <v/>
      </c>
      <c r="BQ628" t="str">
        <f>""</f>
        <v/>
      </c>
      <c r="BR628" t="str">
        <f>""</f>
        <v/>
      </c>
      <c r="BS628" t="str">
        <f>""</f>
        <v/>
      </c>
      <c r="BT628" t="str">
        <f>""</f>
        <v/>
      </c>
      <c r="BU628" t="str">
        <f>""</f>
        <v/>
      </c>
      <c r="BV628" t="str">
        <f>""</f>
        <v/>
      </c>
      <c r="BW628" t="str">
        <f>""</f>
        <v/>
      </c>
      <c r="BX628" t="str">
        <f>""</f>
        <v/>
      </c>
      <c r="BY628" t="str">
        <f>""</f>
        <v/>
      </c>
      <c r="BZ628" t="str">
        <f>""</f>
        <v/>
      </c>
      <c r="CA628" t="str">
        <f>""</f>
        <v/>
      </c>
      <c r="CB628" t="str">
        <f>""</f>
        <v/>
      </c>
      <c r="CC628" t="str">
        <f>""</f>
        <v/>
      </c>
      <c r="CD628" t="str">
        <f>""</f>
        <v/>
      </c>
      <c r="CE628" t="str">
        <f>""</f>
        <v/>
      </c>
      <c r="CF628" t="str">
        <f>""</f>
        <v/>
      </c>
      <c r="CG628" t="str">
        <f>""</f>
        <v/>
      </c>
      <c r="CH628" t="str">
        <f>""</f>
        <v/>
      </c>
      <c r="CI628" t="str">
        <f>""</f>
        <v/>
      </c>
      <c r="CJ628" t="str">
        <f>""</f>
        <v/>
      </c>
      <c r="CK628" t="str">
        <f>""</f>
        <v/>
      </c>
      <c r="CL628" t="str">
        <f>""</f>
        <v/>
      </c>
      <c r="CM628" t="str">
        <f>""</f>
        <v/>
      </c>
      <c r="CN628" t="str">
        <f>""</f>
        <v/>
      </c>
      <c r="CO628" t="str">
        <f>""</f>
        <v/>
      </c>
      <c r="CP628" t="str">
        <f>""</f>
        <v/>
      </c>
      <c r="CQ628" t="str">
        <f>""</f>
        <v/>
      </c>
      <c r="CR628" t="str">
        <f>""</f>
        <v/>
      </c>
      <c r="CS628" t="str">
        <f>""</f>
        <v/>
      </c>
      <c r="CT628" t="str">
        <f>""</f>
        <v/>
      </c>
      <c r="CU628" t="str">
        <f>""</f>
        <v/>
      </c>
      <c r="CV628" t="str">
        <f>""</f>
        <v/>
      </c>
      <c r="CW628" t="str">
        <f>""</f>
        <v/>
      </c>
      <c r="CX628" t="str">
        <f>""</f>
        <v/>
      </c>
      <c r="CY628" t="str">
        <f>""</f>
        <v/>
      </c>
      <c r="CZ628" t="str">
        <f>""</f>
        <v/>
      </c>
      <c r="DA628" t="str">
        <f>""</f>
        <v/>
      </c>
      <c r="DB628" t="str">
        <f>""</f>
        <v/>
      </c>
      <c r="DC628" t="str">
        <f>""</f>
        <v/>
      </c>
      <c r="DD628" t="str">
        <f>""</f>
        <v/>
      </c>
      <c r="DE628" t="str">
        <f>""</f>
        <v/>
      </c>
      <c r="DF628" t="str">
        <f>""</f>
        <v/>
      </c>
      <c r="DG628" t="str">
        <f>""</f>
        <v/>
      </c>
      <c r="DH628" t="str">
        <f>""</f>
        <v/>
      </c>
      <c r="DI628" t="str">
        <f>""</f>
        <v/>
      </c>
      <c r="DJ628" t="str">
        <f>""</f>
        <v/>
      </c>
      <c r="DK628" t="str">
        <f>""</f>
        <v/>
      </c>
      <c r="DL628" t="str">
        <f>""</f>
        <v/>
      </c>
      <c r="DM628" t="str">
        <f>""</f>
        <v/>
      </c>
      <c r="DN628" t="str">
        <f>""</f>
        <v/>
      </c>
      <c r="DO628" t="str">
        <f>""</f>
        <v/>
      </c>
      <c r="DP628" t="str">
        <f>""</f>
        <v/>
      </c>
      <c r="DQ628" t="str">
        <f>""</f>
        <v/>
      </c>
      <c r="DR628" t="str">
        <f>""</f>
        <v/>
      </c>
      <c r="DS628" t="str">
        <f>""</f>
        <v/>
      </c>
      <c r="DT628" t="str">
        <f>""</f>
        <v/>
      </c>
      <c r="DU628" t="str">
        <f>""</f>
        <v/>
      </c>
    </row>
    <row r="629" spans="1:125" x14ac:dyDescent="0.25">
      <c r="A629" t="str">
        <f>$A$122</f>
        <v xml:space="preserve">    Tofas Turk Otomobil Fabrikasi AS</v>
      </c>
      <c r="B629" t="str">
        <f>$B$122</f>
        <v>TOASOTRY EO Equity</v>
      </c>
      <c r="C629" t="str">
        <f>$C$122</f>
        <v>EZ021</v>
      </c>
      <c r="D629" t="str">
        <f>$D$122</f>
        <v>BEST_EPS_NXT_YR</v>
      </c>
      <c r="E629" t="str">
        <f>$E$122</f>
        <v>Dynamic</v>
      </c>
      <c r="F629" t="str">
        <f ca="1">_xll.BDH($B$122,$C$122,$B$509,$B$510,CONCATENATE("Per=",$B$507),"Dts=H","Dir=H",CONCATENATE("Points=",$B$508),"Sort=R","Days=A","Fill=B",CONCATENATE("FX=", $B$506) )</f>
        <v>#N/A Connection</v>
      </c>
      <c r="BN629" t="str">
        <f>""</f>
        <v/>
      </c>
      <c r="BO629" t="str">
        <f>""</f>
        <v/>
      </c>
      <c r="BP629" t="str">
        <f>""</f>
        <v/>
      </c>
      <c r="BQ629" t="str">
        <f>""</f>
        <v/>
      </c>
      <c r="BR629" t="str">
        <f>""</f>
        <v/>
      </c>
      <c r="BS629" t="str">
        <f>""</f>
        <v/>
      </c>
      <c r="BT629" t="str">
        <f>""</f>
        <v/>
      </c>
      <c r="BU629" t="str">
        <f>""</f>
        <v/>
      </c>
      <c r="BV629" t="str">
        <f>""</f>
        <v/>
      </c>
      <c r="BW629" t="str">
        <f>""</f>
        <v/>
      </c>
      <c r="BX629" t="str">
        <f>""</f>
        <v/>
      </c>
      <c r="BY629" t="str">
        <f>""</f>
        <v/>
      </c>
      <c r="BZ629" t="str">
        <f>""</f>
        <v/>
      </c>
      <c r="CA629" t="str">
        <f>""</f>
        <v/>
      </c>
      <c r="CB629" t="str">
        <f>""</f>
        <v/>
      </c>
      <c r="CC629" t="str">
        <f>""</f>
        <v/>
      </c>
      <c r="CD629" t="str">
        <f>""</f>
        <v/>
      </c>
      <c r="CE629" t="str">
        <f>""</f>
        <v/>
      </c>
      <c r="CF629" t="str">
        <f>""</f>
        <v/>
      </c>
      <c r="CG629" t="str">
        <f>""</f>
        <v/>
      </c>
      <c r="CH629" t="str">
        <f>""</f>
        <v/>
      </c>
      <c r="CI629" t="str">
        <f>""</f>
        <v/>
      </c>
      <c r="CJ629" t="str">
        <f>""</f>
        <v/>
      </c>
      <c r="CK629" t="str">
        <f>""</f>
        <v/>
      </c>
      <c r="CL629" t="str">
        <f>""</f>
        <v/>
      </c>
      <c r="CM629" t="str">
        <f>""</f>
        <v/>
      </c>
      <c r="CN629" t="str">
        <f>""</f>
        <v/>
      </c>
      <c r="CO629" t="str">
        <f>""</f>
        <v/>
      </c>
      <c r="CP629" t="str">
        <f>""</f>
        <v/>
      </c>
      <c r="CQ629" t="str">
        <f>""</f>
        <v/>
      </c>
      <c r="CR629" t="str">
        <f>""</f>
        <v/>
      </c>
      <c r="CS629" t="str">
        <f>""</f>
        <v/>
      </c>
      <c r="CT629" t="str">
        <f>""</f>
        <v/>
      </c>
      <c r="CU629" t="str">
        <f>""</f>
        <v/>
      </c>
      <c r="CV629" t="str">
        <f>""</f>
        <v/>
      </c>
      <c r="CW629" t="str">
        <f>""</f>
        <v/>
      </c>
      <c r="CX629" t="str">
        <f>""</f>
        <v/>
      </c>
      <c r="CY629" t="str">
        <f>""</f>
        <v/>
      </c>
      <c r="CZ629" t="str">
        <f>""</f>
        <v/>
      </c>
      <c r="DA629" t="str">
        <f>""</f>
        <v/>
      </c>
      <c r="DB629" t="str">
        <f>""</f>
        <v/>
      </c>
      <c r="DC629" t="str">
        <f>""</f>
        <v/>
      </c>
      <c r="DD629" t="str">
        <f>""</f>
        <v/>
      </c>
      <c r="DE629" t="str">
        <f>""</f>
        <v/>
      </c>
      <c r="DF629" t="str">
        <f>""</f>
        <v/>
      </c>
      <c r="DG629" t="str">
        <f>""</f>
        <v/>
      </c>
      <c r="DH629" t="str">
        <f>""</f>
        <v/>
      </c>
      <c r="DI629" t="str">
        <f>""</f>
        <v/>
      </c>
      <c r="DJ629" t="str">
        <f>""</f>
        <v/>
      </c>
      <c r="DK629" t="str">
        <f>""</f>
        <v/>
      </c>
      <c r="DL629" t="str">
        <f>""</f>
        <v/>
      </c>
      <c r="DM629" t="str">
        <f>""</f>
        <v/>
      </c>
      <c r="DN629" t="str">
        <f>""</f>
        <v/>
      </c>
      <c r="DO629" t="str">
        <f>""</f>
        <v/>
      </c>
      <c r="DP629" t="str">
        <f>""</f>
        <v/>
      </c>
      <c r="DQ629" t="str">
        <f>""</f>
        <v/>
      </c>
      <c r="DR629" t="str">
        <f>""</f>
        <v/>
      </c>
      <c r="DS629" t="str">
        <f>""</f>
        <v/>
      </c>
      <c r="DT629" t="str">
        <f>""</f>
        <v/>
      </c>
      <c r="DU629" t="str">
        <f>""</f>
        <v/>
      </c>
    </row>
    <row r="630" spans="1:125" x14ac:dyDescent="0.25">
      <c r="A630" t="str">
        <f>$A$123</f>
        <v xml:space="preserve">    Toyota Motor Corp</v>
      </c>
      <c r="B630" t="str">
        <f>$B$123</f>
        <v>7203 JP Equity</v>
      </c>
      <c r="C630" t="str">
        <f>$C$123</f>
        <v>EZ021</v>
      </c>
      <c r="D630" t="str">
        <f>$D$123</f>
        <v>BEST_EPS_NXT_YR</v>
      </c>
      <c r="E630" t="str">
        <f>$E$123</f>
        <v>Dynamic</v>
      </c>
      <c r="F630" t="str">
        <f ca="1">_xll.BDH($B$123,$C$123,$B$509,$B$510,CONCATENATE("Per=",$B$507),"Dts=H","Dir=H",CONCATENATE("Points=",$B$508),"Sort=R","Days=A","Fill=B",CONCATENATE("FX=", $B$506) )</f>
        <v>#N/A Connection</v>
      </c>
      <c r="BN630" t="str">
        <f>""</f>
        <v/>
      </c>
      <c r="BO630" t="str">
        <f>""</f>
        <v/>
      </c>
      <c r="BP630" t="str">
        <f>""</f>
        <v/>
      </c>
      <c r="BQ630" t="str">
        <f>""</f>
        <v/>
      </c>
      <c r="BR630" t="str">
        <f>""</f>
        <v/>
      </c>
      <c r="BS630" t="str">
        <f>""</f>
        <v/>
      </c>
      <c r="BT630" t="str">
        <f>""</f>
        <v/>
      </c>
      <c r="BU630" t="str">
        <f>""</f>
        <v/>
      </c>
      <c r="BV630" t="str">
        <f>""</f>
        <v/>
      </c>
      <c r="BW630" t="str">
        <f>""</f>
        <v/>
      </c>
      <c r="BX630" t="str">
        <f>""</f>
        <v/>
      </c>
      <c r="BY630" t="str">
        <f>""</f>
        <v/>
      </c>
      <c r="BZ630" t="str">
        <f>""</f>
        <v/>
      </c>
      <c r="CA630" t="str">
        <f>""</f>
        <v/>
      </c>
      <c r="CB630" t="str">
        <f>""</f>
        <v/>
      </c>
      <c r="CC630" t="str">
        <f>""</f>
        <v/>
      </c>
      <c r="CD630" t="str">
        <f>""</f>
        <v/>
      </c>
      <c r="CE630" t="str">
        <f>""</f>
        <v/>
      </c>
      <c r="CF630" t="str">
        <f>""</f>
        <v/>
      </c>
      <c r="CG630" t="str">
        <f>""</f>
        <v/>
      </c>
      <c r="CH630" t="str">
        <f>""</f>
        <v/>
      </c>
      <c r="CI630" t="str">
        <f>""</f>
        <v/>
      </c>
      <c r="CJ630" t="str">
        <f>""</f>
        <v/>
      </c>
      <c r="CK630" t="str">
        <f>""</f>
        <v/>
      </c>
      <c r="CL630" t="str">
        <f>""</f>
        <v/>
      </c>
      <c r="CM630" t="str">
        <f>""</f>
        <v/>
      </c>
      <c r="CN630" t="str">
        <f>""</f>
        <v/>
      </c>
      <c r="CO630" t="str">
        <f>""</f>
        <v/>
      </c>
      <c r="CP630" t="str">
        <f>""</f>
        <v/>
      </c>
      <c r="CQ630" t="str">
        <f>""</f>
        <v/>
      </c>
      <c r="CR630" t="str">
        <f>""</f>
        <v/>
      </c>
      <c r="CS630" t="str">
        <f>""</f>
        <v/>
      </c>
      <c r="CT630" t="str">
        <f>""</f>
        <v/>
      </c>
      <c r="CU630" t="str">
        <f>""</f>
        <v/>
      </c>
      <c r="CV630" t="str">
        <f>""</f>
        <v/>
      </c>
      <c r="CW630" t="str">
        <f>""</f>
        <v/>
      </c>
      <c r="CX630" t="str">
        <f>""</f>
        <v/>
      </c>
      <c r="CY630" t="str">
        <f>""</f>
        <v/>
      </c>
      <c r="CZ630" t="str">
        <f>""</f>
        <v/>
      </c>
      <c r="DA630" t="str">
        <f>""</f>
        <v/>
      </c>
      <c r="DB630" t="str">
        <f>""</f>
        <v/>
      </c>
      <c r="DC630" t="str">
        <f>""</f>
        <v/>
      </c>
      <c r="DD630" t="str">
        <f>""</f>
        <v/>
      </c>
      <c r="DE630" t="str">
        <f>""</f>
        <v/>
      </c>
      <c r="DF630" t="str">
        <f>""</f>
        <v/>
      </c>
      <c r="DG630" t="str">
        <f>""</f>
        <v/>
      </c>
      <c r="DH630" t="str">
        <f>""</f>
        <v/>
      </c>
      <c r="DI630" t="str">
        <f>""</f>
        <v/>
      </c>
      <c r="DJ630" t="str">
        <f>""</f>
        <v/>
      </c>
      <c r="DK630" t="str">
        <f>""</f>
        <v/>
      </c>
      <c r="DL630" t="str">
        <f>""</f>
        <v/>
      </c>
      <c r="DM630" t="str">
        <f>""</f>
        <v/>
      </c>
      <c r="DN630" t="str">
        <f>""</f>
        <v/>
      </c>
      <c r="DO630" t="str">
        <f>""</f>
        <v/>
      </c>
      <c r="DP630" t="str">
        <f>""</f>
        <v/>
      </c>
      <c r="DQ630" t="str">
        <f>""</f>
        <v/>
      </c>
      <c r="DR630" t="str">
        <f>""</f>
        <v/>
      </c>
      <c r="DS630" t="str">
        <f>""</f>
        <v/>
      </c>
      <c r="DT630" t="str">
        <f>""</f>
        <v/>
      </c>
      <c r="DU630" t="str">
        <f>""</f>
        <v/>
      </c>
    </row>
    <row r="631" spans="1:125" x14ac:dyDescent="0.25">
      <c r="A631" t="str">
        <f>$A$124</f>
        <v xml:space="preserve">    Volkswagen AG</v>
      </c>
      <c r="B631" t="str">
        <f>$B$124</f>
        <v>VOW GR Equity</v>
      </c>
      <c r="C631" t="str">
        <f>$C$124</f>
        <v>EZ021</v>
      </c>
      <c r="D631" t="str">
        <f>$D$124</f>
        <v>BEST_EPS_NXT_YR</v>
      </c>
      <c r="E631" t="str">
        <f>$E$124</f>
        <v>Dynamic</v>
      </c>
      <c r="F631" t="str">
        <f ca="1">_xll.BDH($B$124,$C$124,$B$509,$B$510,CONCATENATE("Per=",$B$507),"Dts=H","Dir=H",CONCATENATE("Points=",$B$508),"Sort=R","Days=A","Fill=B",CONCATENATE("FX=", $B$506) )</f>
        <v>#N/A Connection</v>
      </c>
      <c r="BN631" t="str">
        <f>""</f>
        <v/>
      </c>
      <c r="BO631" t="str">
        <f>""</f>
        <v/>
      </c>
      <c r="BP631" t="str">
        <f>""</f>
        <v/>
      </c>
      <c r="BQ631" t="str">
        <f>""</f>
        <v/>
      </c>
      <c r="BR631" t="str">
        <f>""</f>
        <v/>
      </c>
      <c r="BS631" t="str">
        <f>""</f>
        <v/>
      </c>
      <c r="BT631" t="str">
        <f>""</f>
        <v/>
      </c>
      <c r="BU631" t="str">
        <f>""</f>
        <v/>
      </c>
      <c r="BV631" t="str">
        <f>""</f>
        <v/>
      </c>
      <c r="BW631" t="str">
        <f>""</f>
        <v/>
      </c>
      <c r="BX631" t="str">
        <f>""</f>
        <v/>
      </c>
      <c r="BY631" t="str">
        <f>""</f>
        <v/>
      </c>
      <c r="BZ631" t="str">
        <f>""</f>
        <v/>
      </c>
      <c r="CA631" t="str">
        <f>""</f>
        <v/>
      </c>
      <c r="CB631" t="str">
        <f>""</f>
        <v/>
      </c>
      <c r="CC631" t="str">
        <f>""</f>
        <v/>
      </c>
      <c r="CD631" t="str">
        <f>""</f>
        <v/>
      </c>
      <c r="CE631" t="str">
        <f>""</f>
        <v/>
      </c>
      <c r="CF631" t="str">
        <f>""</f>
        <v/>
      </c>
      <c r="CG631" t="str">
        <f>""</f>
        <v/>
      </c>
      <c r="CH631" t="str">
        <f>""</f>
        <v/>
      </c>
      <c r="CI631" t="str">
        <f>""</f>
        <v/>
      </c>
      <c r="CJ631" t="str">
        <f>""</f>
        <v/>
      </c>
      <c r="CK631" t="str">
        <f>""</f>
        <v/>
      </c>
      <c r="CL631" t="str">
        <f>""</f>
        <v/>
      </c>
      <c r="CM631" t="str">
        <f>""</f>
        <v/>
      </c>
      <c r="CN631" t="str">
        <f>""</f>
        <v/>
      </c>
      <c r="CO631" t="str">
        <f>""</f>
        <v/>
      </c>
      <c r="CP631" t="str">
        <f>""</f>
        <v/>
      </c>
      <c r="CQ631" t="str">
        <f>""</f>
        <v/>
      </c>
      <c r="CR631" t="str">
        <f>""</f>
        <v/>
      </c>
      <c r="CS631" t="str">
        <f>""</f>
        <v/>
      </c>
      <c r="CT631" t="str">
        <f>""</f>
        <v/>
      </c>
      <c r="CU631" t="str">
        <f>""</f>
        <v/>
      </c>
      <c r="CV631" t="str">
        <f>""</f>
        <v/>
      </c>
      <c r="CW631" t="str">
        <f>""</f>
        <v/>
      </c>
      <c r="CX631" t="str">
        <f>""</f>
        <v/>
      </c>
      <c r="CY631" t="str">
        <f>""</f>
        <v/>
      </c>
      <c r="CZ631" t="str">
        <f>""</f>
        <v/>
      </c>
      <c r="DA631" t="str">
        <f>""</f>
        <v/>
      </c>
      <c r="DB631" t="str">
        <f>""</f>
        <v/>
      </c>
      <c r="DC631" t="str">
        <f>""</f>
        <v/>
      </c>
      <c r="DD631" t="str">
        <f>""</f>
        <v/>
      </c>
      <c r="DE631" t="str">
        <f>""</f>
        <v/>
      </c>
      <c r="DF631" t="str">
        <f>""</f>
        <v/>
      </c>
      <c r="DG631" t="str">
        <f>""</f>
        <v/>
      </c>
      <c r="DH631" t="str">
        <f>""</f>
        <v/>
      </c>
      <c r="DI631" t="str">
        <f>""</f>
        <v/>
      </c>
      <c r="DJ631" t="str">
        <f>""</f>
        <v/>
      </c>
      <c r="DK631" t="str">
        <f>""</f>
        <v/>
      </c>
      <c r="DL631" t="str">
        <f>""</f>
        <v/>
      </c>
      <c r="DM631" t="str">
        <f>""</f>
        <v/>
      </c>
      <c r="DN631" t="str">
        <f>""</f>
        <v/>
      </c>
      <c r="DO631" t="str">
        <f>""</f>
        <v/>
      </c>
      <c r="DP631" t="str">
        <f>""</f>
        <v/>
      </c>
      <c r="DQ631" t="str">
        <f>""</f>
        <v/>
      </c>
      <c r="DR631" t="str">
        <f>""</f>
        <v/>
      </c>
      <c r="DS631" t="str">
        <f>""</f>
        <v/>
      </c>
      <c r="DT631" t="str">
        <f>""</f>
        <v/>
      </c>
      <c r="DU631" t="str">
        <f>""</f>
        <v/>
      </c>
    </row>
    <row r="632" spans="1:125" x14ac:dyDescent="0.25">
      <c r="A632" t="str">
        <f>$A$125</f>
        <v xml:space="preserve">    Yulon Motor Co Ltd</v>
      </c>
      <c r="B632" t="str">
        <f>$B$125</f>
        <v>2201 TT Equity</v>
      </c>
      <c r="C632" t="str">
        <f>$C$125</f>
        <v>EZ021</v>
      </c>
      <c r="D632" t="str">
        <f>$D$125</f>
        <v>BEST_EPS_NXT_YR</v>
      </c>
      <c r="E632" t="str">
        <f>$E$125</f>
        <v>Dynamic</v>
      </c>
      <c r="F632" t="str">
        <f ca="1">_xll.BDH($B$125,$C$125,$B$509,$B$510,CONCATENATE("Per=",$B$507),"Dts=H","Dir=H",CONCATENATE("Points=",$B$508),"Sort=R","Days=A","Fill=B",CONCATENATE("FX=", $B$506) )</f>
        <v>#N/A Connection</v>
      </c>
      <c r="BN632" t="str">
        <f>""</f>
        <v/>
      </c>
      <c r="BO632" t="str">
        <f>""</f>
        <v/>
      </c>
      <c r="BP632" t="str">
        <f>""</f>
        <v/>
      </c>
      <c r="BQ632" t="str">
        <f>""</f>
        <v/>
      </c>
      <c r="BR632" t="str">
        <f>""</f>
        <v/>
      </c>
      <c r="BS632" t="str">
        <f>""</f>
        <v/>
      </c>
      <c r="BT632" t="str">
        <f>""</f>
        <v/>
      </c>
      <c r="BU632" t="str">
        <f>""</f>
        <v/>
      </c>
      <c r="BV632" t="str">
        <f>""</f>
        <v/>
      </c>
      <c r="BW632" t="str">
        <f>""</f>
        <v/>
      </c>
      <c r="BX632" t="str">
        <f>""</f>
        <v/>
      </c>
      <c r="BY632" t="str">
        <f>""</f>
        <v/>
      </c>
      <c r="BZ632" t="str">
        <f>""</f>
        <v/>
      </c>
      <c r="CA632" t="str">
        <f>""</f>
        <v/>
      </c>
      <c r="CB632" t="str">
        <f>""</f>
        <v/>
      </c>
      <c r="CC632" t="str">
        <f>""</f>
        <v/>
      </c>
      <c r="CD632" t="str">
        <f>""</f>
        <v/>
      </c>
      <c r="CE632" t="str">
        <f>""</f>
        <v/>
      </c>
      <c r="CF632" t="str">
        <f>""</f>
        <v/>
      </c>
      <c r="CG632" t="str">
        <f>""</f>
        <v/>
      </c>
      <c r="CH632" t="str">
        <f>""</f>
        <v/>
      </c>
      <c r="CI632" t="str">
        <f>""</f>
        <v/>
      </c>
      <c r="CJ632" t="str">
        <f>""</f>
        <v/>
      </c>
      <c r="CK632" t="str">
        <f>""</f>
        <v/>
      </c>
      <c r="CL632" t="str">
        <f>""</f>
        <v/>
      </c>
      <c r="CM632" t="str">
        <f>""</f>
        <v/>
      </c>
      <c r="CN632" t="str">
        <f>""</f>
        <v/>
      </c>
      <c r="CO632" t="str">
        <f>""</f>
        <v/>
      </c>
      <c r="CP632" t="str">
        <f>""</f>
        <v/>
      </c>
      <c r="CQ632" t="str">
        <f>""</f>
        <v/>
      </c>
      <c r="CR632" t="str">
        <f>""</f>
        <v/>
      </c>
      <c r="CS632" t="str">
        <f>""</f>
        <v/>
      </c>
      <c r="CT632" t="str">
        <f>""</f>
        <v/>
      </c>
      <c r="CU632" t="str">
        <f>""</f>
        <v/>
      </c>
      <c r="CV632" t="str">
        <f>""</f>
        <v/>
      </c>
      <c r="CW632" t="str">
        <f>""</f>
        <v/>
      </c>
      <c r="CX632" t="str">
        <f>""</f>
        <v/>
      </c>
      <c r="CY632" t="str">
        <f>""</f>
        <v/>
      </c>
      <c r="CZ632" t="str">
        <f>""</f>
        <v/>
      </c>
      <c r="DA632" t="str">
        <f>""</f>
        <v/>
      </c>
      <c r="DB632" t="str">
        <f>""</f>
        <v/>
      </c>
      <c r="DC632" t="str">
        <f>""</f>
        <v/>
      </c>
      <c r="DD632" t="str">
        <f>""</f>
        <v/>
      </c>
      <c r="DE632" t="str">
        <f>""</f>
        <v/>
      </c>
      <c r="DF632" t="str">
        <f>""</f>
        <v/>
      </c>
      <c r="DG632" t="str">
        <f>""</f>
        <v/>
      </c>
      <c r="DH632" t="str">
        <f>""</f>
        <v/>
      </c>
      <c r="DI632" t="str">
        <f>""</f>
        <v/>
      </c>
      <c r="DJ632" t="str">
        <f>""</f>
        <v/>
      </c>
      <c r="DK632" t="str">
        <f>""</f>
        <v/>
      </c>
      <c r="DL632" t="str">
        <f>""</f>
        <v/>
      </c>
      <c r="DM632" t="str">
        <f>""</f>
        <v/>
      </c>
      <c r="DN632" t="str">
        <f>""</f>
        <v/>
      </c>
      <c r="DO632" t="str">
        <f>""</f>
        <v/>
      </c>
      <c r="DP632" t="str">
        <f>""</f>
        <v/>
      </c>
      <c r="DQ632" t="str">
        <f>""</f>
        <v/>
      </c>
      <c r="DR632" t="str">
        <f>""</f>
        <v/>
      </c>
      <c r="DS632" t="str">
        <f>""</f>
        <v/>
      </c>
      <c r="DT632" t="str">
        <f>""</f>
        <v/>
      </c>
      <c r="DU632" t="str">
        <f>""</f>
        <v/>
      </c>
    </row>
    <row r="633" spans="1:125" x14ac:dyDescent="0.25">
      <c r="A633" t="str">
        <f>$A$127</f>
        <v xml:space="preserve">    AUDI AG</v>
      </c>
      <c r="B633" t="str">
        <f>$B$127</f>
        <v>NSU GR Equity</v>
      </c>
      <c r="C633" t="str">
        <f>$C$127</f>
        <v>RR841</v>
      </c>
      <c r="D633" t="str">
        <f>$D$127</f>
        <v>TRAIL_12M_EBITDA</v>
      </c>
      <c r="E633" t="str">
        <f>$E$127</f>
        <v>Dynamic</v>
      </c>
      <c r="F633" t="str">
        <f ca="1">_xll.BDH($B$127,$C$127,$B$509,$B$510,CONCATENATE("Per=",$B$507),"Dts=H","Dir=H",CONCATENATE("Points=",$B$508),"Sort=R","Days=A","Fill=B",CONCATENATE("FX=", $B$506) )</f>
        <v>#N/A Connection</v>
      </c>
      <c r="BN633" t="str">
        <f>""</f>
        <v/>
      </c>
      <c r="BO633" t="str">
        <f>""</f>
        <v/>
      </c>
      <c r="BP633" t="str">
        <f>""</f>
        <v/>
      </c>
      <c r="BQ633" t="str">
        <f>""</f>
        <v/>
      </c>
      <c r="BR633" t="str">
        <f>""</f>
        <v/>
      </c>
      <c r="BS633" t="str">
        <f>""</f>
        <v/>
      </c>
      <c r="BT633" t="str">
        <f>""</f>
        <v/>
      </c>
      <c r="BU633" t="str">
        <f>""</f>
        <v/>
      </c>
      <c r="BV633" t="str">
        <f>""</f>
        <v/>
      </c>
      <c r="BW633" t="str">
        <f>""</f>
        <v/>
      </c>
      <c r="BX633" t="str">
        <f>""</f>
        <v/>
      </c>
      <c r="BY633" t="str">
        <f>""</f>
        <v/>
      </c>
      <c r="BZ633" t="str">
        <f>""</f>
        <v/>
      </c>
      <c r="CA633" t="str">
        <f>""</f>
        <v/>
      </c>
      <c r="CB633" t="str">
        <f>""</f>
        <v/>
      </c>
      <c r="CC633" t="str">
        <f>""</f>
        <v/>
      </c>
      <c r="CD633" t="str">
        <f>""</f>
        <v/>
      </c>
      <c r="CE633" t="str">
        <f>""</f>
        <v/>
      </c>
      <c r="CF633" t="str">
        <f>""</f>
        <v/>
      </c>
      <c r="CG633" t="str">
        <f>""</f>
        <v/>
      </c>
      <c r="CH633" t="str">
        <f>""</f>
        <v/>
      </c>
      <c r="CI633" t="str">
        <f>""</f>
        <v/>
      </c>
      <c r="CJ633" t="str">
        <f>""</f>
        <v/>
      </c>
      <c r="CK633" t="str">
        <f>""</f>
        <v/>
      </c>
      <c r="CL633" t="str">
        <f>""</f>
        <v/>
      </c>
      <c r="CM633" t="str">
        <f>""</f>
        <v/>
      </c>
      <c r="CN633" t="str">
        <f>""</f>
        <v/>
      </c>
      <c r="CO633" t="str">
        <f>""</f>
        <v/>
      </c>
      <c r="CP633" t="str">
        <f>""</f>
        <v/>
      </c>
      <c r="CQ633" t="str">
        <f>""</f>
        <v/>
      </c>
      <c r="CR633" t="str">
        <f>""</f>
        <v/>
      </c>
      <c r="CS633" t="str">
        <f>""</f>
        <v/>
      </c>
      <c r="CT633" t="str">
        <f>""</f>
        <v/>
      </c>
      <c r="CU633" t="str">
        <f>""</f>
        <v/>
      </c>
      <c r="CV633" t="str">
        <f>""</f>
        <v/>
      </c>
      <c r="CW633" t="str">
        <f>""</f>
        <v/>
      </c>
      <c r="CX633" t="str">
        <f>""</f>
        <v/>
      </c>
      <c r="CY633" t="str">
        <f>""</f>
        <v/>
      </c>
      <c r="CZ633" t="str">
        <f>""</f>
        <v/>
      </c>
      <c r="DA633" t="str">
        <f>""</f>
        <v/>
      </c>
      <c r="DB633" t="str">
        <f>""</f>
        <v/>
      </c>
      <c r="DC633" t="str">
        <f>""</f>
        <v/>
      </c>
      <c r="DD633" t="str">
        <f>""</f>
        <v/>
      </c>
      <c r="DE633" t="str">
        <f>""</f>
        <v/>
      </c>
      <c r="DF633" t="str">
        <f>""</f>
        <v/>
      </c>
      <c r="DG633" t="str">
        <f>""</f>
        <v/>
      </c>
      <c r="DH633" t="str">
        <f>""</f>
        <v/>
      </c>
      <c r="DI633" t="str">
        <f>""</f>
        <v/>
      </c>
      <c r="DJ633" t="str">
        <f>""</f>
        <v/>
      </c>
      <c r="DK633" t="str">
        <f>""</f>
        <v/>
      </c>
      <c r="DL633" t="str">
        <f>""</f>
        <v/>
      </c>
      <c r="DM633" t="str">
        <f>""</f>
        <v/>
      </c>
      <c r="DN633" t="str">
        <f>""</f>
        <v/>
      </c>
      <c r="DO633" t="str">
        <f>""</f>
        <v/>
      </c>
      <c r="DP633" t="str">
        <f>""</f>
        <v/>
      </c>
      <c r="DQ633" t="str">
        <f>""</f>
        <v/>
      </c>
      <c r="DR633" t="str">
        <f>""</f>
        <v/>
      </c>
      <c r="DS633" t="str">
        <f>""</f>
        <v/>
      </c>
      <c r="DT633" t="str">
        <f>""</f>
        <v/>
      </c>
      <c r="DU633" t="str">
        <f>""</f>
        <v/>
      </c>
    </row>
    <row r="634" spans="1:125" x14ac:dyDescent="0.25">
      <c r="A634" t="str">
        <f>$A$128</f>
        <v xml:space="preserve">    Avtovaz PJSC</v>
      </c>
      <c r="B634" t="str">
        <f>$B$128</f>
        <v>AVAZ RM Equity</v>
      </c>
      <c r="C634" t="str">
        <f>$C$128</f>
        <v>RR841</v>
      </c>
      <c r="D634" t="str">
        <f>$D$128</f>
        <v>TRAIL_12M_EBITDA</v>
      </c>
      <c r="E634" t="str">
        <f>$E$128</f>
        <v>Dynamic</v>
      </c>
      <c r="F634" t="str">
        <f ca="1">_xll.BDH($B$128,$C$128,$B$509,$B$510,CONCATENATE("Per=",$B$507),"Dts=H","Dir=H",CONCATENATE("Points=",$B$508),"Sort=R","Days=A","Fill=B",CONCATENATE("FX=", $B$506) )</f>
        <v>#N/A Connection</v>
      </c>
      <c r="BN634" t="str">
        <f>""</f>
        <v/>
      </c>
      <c r="BO634" t="str">
        <f>""</f>
        <v/>
      </c>
      <c r="BP634" t="str">
        <f>""</f>
        <v/>
      </c>
      <c r="BQ634" t="str">
        <f>""</f>
        <v/>
      </c>
      <c r="BR634" t="str">
        <f>""</f>
        <v/>
      </c>
      <c r="BS634" t="str">
        <f>""</f>
        <v/>
      </c>
      <c r="BT634" t="str">
        <f>""</f>
        <v/>
      </c>
      <c r="BU634" t="str">
        <f>""</f>
        <v/>
      </c>
      <c r="BV634" t="str">
        <f>""</f>
        <v/>
      </c>
      <c r="BW634" t="str">
        <f>""</f>
        <v/>
      </c>
      <c r="BX634" t="str">
        <f>""</f>
        <v/>
      </c>
      <c r="BY634" t="str">
        <f>""</f>
        <v/>
      </c>
      <c r="BZ634" t="str">
        <f>""</f>
        <v/>
      </c>
      <c r="CA634" t="str">
        <f>""</f>
        <v/>
      </c>
      <c r="CB634" t="str">
        <f>""</f>
        <v/>
      </c>
      <c r="CC634" t="str">
        <f>""</f>
        <v/>
      </c>
      <c r="CD634" t="str">
        <f>""</f>
        <v/>
      </c>
      <c r="CE634" t="str">
        <f>""</f>
        <v/>
      </c>
      <c r="CF634" t="str">
        <f>""</f>
        <v/>
      </c>
      <c r="CG634" t="str">
        <f>""</f>
        <v/>
      </c>
      <c r="CH634" t="str">
        <f>""</f>
        <v/>
      </c>
      <c r="CI634" t="str">
        <f>""</f>
        <v/>
      </c>
      <c r="CJ634" t="str">
        <f>""</f>
        <v/>
      </c>
      <c r="CK634" t="str">
        <f>""</f>
        <v/>
      </c>
      <c r="CL634" t="str">
        <f>""</f>
        <v/>
      </c>
      <c r="CM634" t="str">
        <f>""</f>
        <v/>
      </c>
      <c r="CN634" t="str">
        <f>""</f>
        <v/>
      </c>
      <c r="CO634" t="str">
        <f>""</f>
        <v/>
      </c>
      <c r="CP634" t="str">
        <f>""</f>
        <v/>
      </c>
      <c r="CQ634" t="str">
        <f>""</f>
        <v/>
      </c>
      <c r="CR634" t="str">
        <f>""</f>
        <v/>
      </c>
      <c r="CS634" t="str">
        <f>""</f>
        <v/>
      </c>
      <c r="CT634" t="str">
        <f>""</f>
        <v/>
      </c>
      <c r="CU634" t="str">
        <f>""</f>
        <v/>
      </c>
      <c r="CV634" t="str">
        <f>""</f>
        <v/>
      </c>
      <c r="CW634" t="str">
        <f>""</f>
        <v/>
      </c>
      <c r="CX634" t="str">
        <f>""</f>
        <v/>
      </c>
      <c r="CY634" t="str">
        <f>""</f>
        <v/>
      </c>
      <c r="CZ634" t="str">
        <f>""</f>
        <v/>
      </c>
      <c r="DA634" t="str">
        <f>""</f>
        <v/>
      </c>
      <c r="DB634" t="str">
        <f>""</f>
        <v/>
      </c>
      <c r="DC634" t="str">
        <f>""</f>
        <v/>
      </c>
      <c r="DD634" t="str">
        <f>""</f>
        <v/>
      </c>
      <c r="DE634" t="str">
        <f>""</f>
        <v/>
      </c>
      <c r="DF634" t="str">
        <f>""</f>
        <v/>
      </c>
      <c r="DG634" t="str">
        <f>""</f>
        <v/>
      </c>
      <c r="DH634" t="str">
        <f>""</f>
        <v/>
      </c>
      <c r="DI634" t="str">
        <f>""</f>
        <v/>
      </c>
      <c r="DJ634" t="str">
        <f>""</f>
        <v/>
      </c>
      <c r="DK634" t="str">
        <f>""</f>
        <v/>
      </c>
      <c r="DL634" t="str">
        <f>""</f>
        <v/>
      </c>
      <c r="DM634" t="str">
        <f>""</f>
        <v/>
      </c>
      <c r="DN634" t="str">
        <f>""</f>
        <v/>
      </c>
      <c r="DO634" t="str">
        <f>""</f>
        <v/>
      </c>
      <c r="DP634" t="str">
        <f>""</f>
        <v/>
      </c>
      <c r="DQ634" t="str">
        <f>""</f>
        <v/>
      </c>
      <c r="DR634" t="str">
        <f>""</f>
        <v/>
      </c>
      <c r="DS634" t="str">
        <f>""</f>
        <v/>
      </c>
      <c r="DT634" t="str">
        <f>""</f>
        <v/>
      </c>
      <c r="DU634" t="str">
        <f>""</f>
        <v/>
      </c>
    </row>
    <row r="635" spans="1:125" x14ac:dyDescent="0.25">
      <c r="A635" t="str">
        <f>$A$129</f>
        <v xml:space="preserve">    Bayerische Motoren Werke AG</v>
      </c>
      <c r="B635" t="str">
        <f>$B$129</f>
        <v>BMW GR Equity</v>
      </c>
      <c r="C635" t="str">
        <f>$C$129</f>
        <v>RR841</v>
      </c>
      <c r="D635" t="str">
        <f>$D$129</f>
        <v>TRAIL_12M_EBITDA</v>
      </c>
      <c r="E635" t="str">
        <f>$E$129</f>
        <v>Dynamic</v>
      </c>
      <c r="F635" t="str">
        <f ca="1">_xll.BDH($B$129,$C$129,$B$509,$B$510,CONCATENATE("Per=",$B$507),"Dts=H","Dir=H",CONCATENATE("Points=",$B$508),"Sort=R","Days=A","Fill=B",CONCATENATE("FX=", $B$506) )</f>
        <v>#N/A Connection</v>
      </c>
      <c r="BN635" t="str">
        <f>""</f>
        <v/>
      </c>
      <c r="BO635" t="str">
        <f>""</f>
        <v/>
      </c>
      <c r="BP635" t="str">
        <f>""</f>
        <v/>
      </c>
      <c r="BQ635" t="str">
        <f>""</f>
        <v/>
      </c>
      <c r="BR635" t="str">
        <f>""</f>
        <v/>
      </c>
      <c r="BS635" t="str">
        <f>""</f>
        <v/>
      </c>
      <c r="BT635" t="str">
        <f>""</f>
        <v/>
      </c>
      <c r="BU635" t="str">
        <f>""</f>
        <v/>
      </c>
      <c r="BV635" t="str">
        <f>""</f>
        <v/>
      </c>
      <c r="BW635" t="str">
        <f>""</f>
        <v/>
      </c>
      <c r="BX635" t="str">
        <f>""</f>
        <v/>
      </c>
      <c r="BY635" t="str">
        <f>""</f>
        <v/>
      </c>
      <c r="BZ635" t="str">
        <f>""</f>
        <v/>
      </c>
      <c r="CA635" t="str">
        <f>""</f>
        <v/>
      </c>
      <c r="CB635" t="str">
        <f>""</f>
        <v/>
      </c>
      <c r="CC635" t="str">
        <f>""</f>
        <v/>
      </c>
      <c r="CD635" t="str">
        <f>""</f>
        <v/>
      </c>
      <c r="CE635" t="str">
        <f>""</f>
        <v/>
      </c>
      <c r="CF635" t="str">
        <f>""</f>
        <v/>
      </c>
      <c r="CG635" t="str">
        <f>""</f>
        <v/>
      </c>
      <c r="CH635" t="str">
        <f>""</f>
        <v/>
      </c>
      <c r="CI635" t="str">
        <f>""</f>
        <v/>
      </c>
      <c r="CJ635" t="str">
        <f>""</f>
        <v/>
      </c>
      <c r="CK635" t="str">
        <f>""</f>
        <v/>
      </c>
      <c r="CL635" t="str">
        <f>""</f>
        <v/>
      </c>
      <c r="CM635" t="str">
        <f>""</f>
        <v/>
      </c>
      <c r="CN635" t="str">
        <f>""</f>
        <v/>
      </c>
      <c r="CO635" t="str">
        <f>""</f>
        <v/>
      </c>
      <c r="CP635" t="str">
        <f>""</f>
        <v/>
      </c>
      <c r="CQ635" t="str">
        <f>""</f>
        <v/>
      </c>
      <c r="CR635" t="str">
        <f>""</f>
        <v/>
      </c>
      <c r="CS635" t="str">
        <f>""</f>
        <v/>
      </c>
      <c r="CT635" t="str">
        <f>""</f>
        <v/>
      </c>
      <c r="CU635" t="str">
        <f>""</f>
        <v/>
      </c>
      <c r="CV635" t="str">
        <f>""</f>
        <v/>
      </c>
      <c r="CW635" t="str">
        <f>""</f>
        <v/>
      </c>
      <c r="CX635" t="str">
        <f>""</f>
        <v/>
      </c>
      <c r="CY635" t="str">
        <f>""</f>
        <v/>
      </c>
      <c r="CZ635" t="str">
        <f>""</f>
        <v/>
      </c>
      <c r="DA635" t="str">
        <f>""</f>
        <v/>
      </c>
      <c r="DB635" t="str">
        <f>""</f>
        <v/>
      </c>
      <c r="DC635" t="str">
        <f>""</f>
        <v/>
      </c>
      <c r="DD635" t="str">
        <f>""</f>
        <v/>
      </c>
      <c r="DE635" t="str">
        <f>""</f>
        <v/>
      </c>
      <c r="DF635" t="str">
        <f>""</f>
        <v/>
      </c>
      <c r="DG635" t="str">
        <f>""</f>
        <v/>
      </c>
      <c r="DH635" t="str">
        <f>""</f>
        <v/>
      </c>
      <c r="DI635" t="str">
        <f>""</f>
        <v/>
      </c>
      <c r="DJ635" t="str">
        <f>""</f>
        <v/>
      </c>
      <c r="DK635" t="str">
        <f>""</f>
        <v/>
      </c>
      <c r="DL635" t="str">
        <f>""</f>
        <v/>
      </c>
      <c r="DM635" t="str">
        <f>""</f>
        <v/>
      </c>
      <c r="DN635" t="str">
        <f>""</f>
        <v/>
      </c>
      <c r="DO635" t="str">
        <f>""</f>
        <v/>
      </c>
      <c r="DP635" t="str">
        <f>""</f>
        <v/>
      </c>
      <c r="DQ635" t="str">
        <f>""</f>
        <v/>
      </c>
      <c r="DR635" t="str">
        <f>""</f>
        <v/>
      </c>
      <c r="DS635" t="str">
        <f>""</f>
        <v/>
      </c>
      <c r="DT635" t="str">
        <f>""</f>
        <v/>
      </c>
      <c r="DU635" t="str">
        <f>""</f>
        <v/>
      </c>
    </row>
    <row r="636" spans="1:125" x14ac:dyDescent="0.25">
      <c r="A636" t="str">
        <f>$A$130</f>
        <v xml:space="preserve">    Brilliance China Automotive Holdings Ltd</v>
      </c>
      <c r="B636" t="str">
        <f>$B$130</f>
        <v>1114 HK Equity</v>
      </c>
      <c r="C636" t="str">
        <f>$C$130</f>
        <v>RR841</v>
      </c>
      <c r="D636" t="str">
        <f>$D$130</f>
        <v>TRAIL_12M_EBITDA</v>
      </c>
      <c r="E636" t="str">
        <f>$E$130</f>
        <v>Dynamic</v>
      </c>
      <c r="F636" t="str">
        <f ca="1">_xll.BDH($B$130,$C$130,$B$509,$B$510,CONCATENATE("Per=",$B$507),"Dts=H","Dir=H",CONCATENATE("Points=",$B$508),"Sort=R","Days=A","Fill=B",CONCATENATE("FX=", $B$506) )</f>
        <v>#N/A Connection</v>
      </c>
      <c r="BN636" t="str">
        <f>""</f>
        <v/>
      </c>
      <c r="BO636" t="str">
        <f>""</f>
        <v/>
      </c>
      <c r="BP636" t="str">
        <f>""</f>
        <v/>
      </c>
      <c r="BQ636" t="str">
        <f>""</f>
        <v/>
      </c>
      <c r="BR636" t="str">
        <f>""</f>
        <v/>
      </c>
      <c r="BS636" t="str">
        <f>""</f>
        <v/>
      </c>
      <c r="BT636" t="str">
        <f>""</f>
        <v/>
      </c>
      <c r="BU636" t="str">
        <f>""</f>
        <v/>
      </c>
      <c r="BV636" t="str">
        <f>""</f>
        <v/>
      </c>
      <c r="BW636" t="str">
        <f>""</f>
        <v/>
      </c>
      <c r="BX636" t="str">
        <f>""</f>
        <v/>
      </c>
      <c r="BY636" t="str">
        <f>""</f>
        <v/>
      </c>
      <c r="BZ636" t="str">
        <f>""</f>
        <v/>
      </c>
      <c r="CA636" t="str">
        <f>""</f>
        <v/>
      </c>
      <c r="CB636" t="str">
        <f>""</f>
        <v/>
      </c>
      <c r="CC636" t="str">
        <f>""</f>
        <v/>
      </c>
      <c r="CD636" t="str">
        <f>""</f>
        <v/>
      </c>
      <c r="CE636" t="str">
        <f>""</f>
        <v/>
      </c>
      <c r="CF636" t="str">
        <f>""</f>
        <v/>
      </c>
      <c r="CG636" t="str">
        <f>""</f>
        <v/>
      </c>
      <c r="CH636" t="str">
        <f>""</f>
        <v/>
      </c>
      <c r="CI636" t="str">
        <f>""</f>
        <v/>
      </c>
      <c r="CJ636" t="str">
        <f>""</f>
        <v/>
      </c>
      <c r="CK636" t="str">
        <f>""</f>
        <v/>
      </c>
      <c r="CL636" t="str">
        <f>""</f>
        <v/>
      </c>
      <c r="CM636" t="str">
        <f>""</f>
        <v/>
      </c>
      <c r="CN636" t="str">
        <f>""</f>
        <v/>
      </c>
      <c r="CO636" t="str">
        <f>""</f>
        <v/>
      </c>
      <c r="CP636" t="str">
        <f>""</f>
        <v/>
      </c>
      <c r="CQ636" t="str">
        <f>""</f>
        <v/>
      </c>
      <c r="CR636" t="str">
        <f>""</f>
        <v/>
      </c>
      <c r="CS636" t="str">
        <f>""</f>
        <v/>
      </c>
      <c r="CT636" t="str">
        <f>""</f>
        <v/>
      </c>
      <c r="CU636" t="str">
        <f>""</f>
        <v/>
      </c>
      <c r="CV636" t="str">
        <f>""</f>
        <v/>
      </c>
      <c r="CW636" t="str">
        <f>""</f>
        <v/>
      </c>
      <c r="CX636" t="str">
        <f>""</f>
        <v/>
      </c>
      <c r="CY636" t="str">
        <f>""</f>
        <v/>
      </c>
      <c r="CZ636" t="str">
        <f>""</f>
        <v/>
      </c>
      <c r="DA636" t="str">
        <f>""</f>
        <v/>
      </c>
      <c r="DB636" t="str">
        <f>""</f>
        <v/>
      </c>
      <c r="DC636" t="str">
        <f>""</f>
        <v/>
      </c>
      <c r="DD636" t="str">
        <f>""</f>
        <v/>
      </c>
      <c r="DE636" t="str">
        <f>""</f>
        <v/>
      </c>
      <c r="DF636" t="str">
        <f>""</f>
        <v/>
      </c>
      <c r="DG636" t="str">
        <f>""</f>
        <v/>
      </c>
      <c r="DH636" t="str">
        <f>""</f>
        <v/>
      </c>
      <c r="DI636" t="str">
        <f>""</f>
        <v/>
      </c>
      <c r="DJ636" t="str">
        <f>""</f>
        <v/>
      </c>
      <c r="DK636" t="str">
        <f>""</f>
        <v/>
      </c>
      <c r="DL636" t="str">
        <f>""</f>
        <v/>
      </c>
      <c r="DM636" t="str">
        <f>""</f>
        <v/>
      </c>
      <c r="DN636" t="str">
        <f>""</f>
        <v/>
      </c>
      <c r="DO636" t="str">
        <f>""</f>
        <v/>
      </c>
      <c r="DP636" t="str">
        <f>""</f>
        <v/>
      </c>
      <c r="DQ636" t="str">
        <f>""</f>
        <v/>
      </c>
      <c r="DR636" t="str">
        <f>""</f>
        <v/>
      </c>
      <c r="DS636" t="str">
        <f>""</f>
        <v/>
      </c>
      <c r="DT636" t="str">
        <f>""</f>
        <v/>
      </c>
      <c r="DU636" t="str">
        <f>""</f>
        <v/>
      </c>
    </row>
    <row r="637" spans="1:125" x14ac:dyDescent="0.25">
      <c r="A637" t="str">
        <f>$A$131</f>
        <v xml:space="preserve">    BYD Co Ltd</v>
      </c>
      <c r="B637" t="str">
        <f>$B$131</f>
        <v>1211 HK Equity</v>
      </c>
      <c r="C637" t="str">
        <f>$C$131</f>
        <v>RR841</v>
      </c>
      <c r="D637" t="str">
        <f>$D$131</f>
        <v>TRAIL_12M_EBITDA</v>
      </c>
      <c r="E637" t="str">
        <f>$E$131</f>
        <v>Dynamic</v>
      </c>
      <c r="F637" t="str">
        <f ca="1">_xll.BDH($B$131,$C$131,$B$509,$B$510,CONCATENATE("Per=",$B$507),"Dts=H","Dir=H",CONCATENATE("Points=",$B$508),"Sort=R","Days=A","Fill=B",CONCATENATE("FX=", $B$506) )</f>
        <v>#N/A Connection</v>
      </c>
      <c r="BN637" t="str">
        <f>""</f>
        <v/>
      </c>
      <c r="BO637" t="str">
        <f>""</f>
        <v/>
      </c>
      <c r="BP637" t="str">
        <f>""</f>
        <v/>
      </c>
      <c r="BQ637" t="str">
        <f>""</f>
        <v/>
      </c>
      <c r="BR637" t="str">
        <f>""</f>
        <v/>
      </c>
      <c r="BS637" t="str">
        <f>""</f>
        <v/>
      </c>
      <c r="BT637" t="str">
        <f>""</f>
        <v/>
      </c>
      <c r="BU637" t="str">
        <f>""</f>
        <v/>
      </c>
      <c r="BV637" t="str">
        <f>""</f>
        <v/>
      </c>
      <c r="BW637" t="str">
        <f>""</f>
        <v/>
      </c>
      <c r="BX637" t="str">
        <f>""</f>
        <v/>
      </c>
      <c r="BY637" t="str">
        <f>""</f>
        <v/>
      </c>
      <c r="BZ637" t="str">
        <f>""</f>
        <v/>
      </c>
      <c r="CA637" t="str">
        <f>""</f>
        <v/>
      </c>
      <c r="CB637" t="str">
        <f>""</f>
        <v/>
      </c>
      <c r="CC637" t="str">
        <f>""</f>
        <v/>
      </c>
      <c r="CD637" t="str">
        <f>""</f>
        <v/>
      </c>
      <c r="CE637" t="str">
        <f>""</f>
        <v/>
      </c>
      <c r="CF637" t="str">
        <f>""</f>
        <v/>
      </c>
      <c r="CG637" t="str">
        <f>""</f>
        <v/>
      </c>
      <c r="CH637" t="str">
        <f>""</f>
        <v/>
      </c>
      <c r="CI637" t="str">
        <f>""</f>
        <v/>
      </c>
      <c r="CJ637" t="str">
        <f>""</f>
        <v/>
      </c>
      <c r="CK637" t="str">
        <f>""</f>
        <v/>
      </c>
      <c r="CL637" t="str">
        <f>""</f>
        <v/>
      </c>
      <c r="CM637" t="str">
        <f>""</f>
        <v/>
      </c>
      <c r="CN637" t="str">
        <f>""</f>
        <v/>
      </c>
      <c r="CO637" t="str">
        <f>""</f>
        <v/>
      </c>
      <c r="CP637" t="str">
        <f>""</f>
        <v/>
      </c>
      <c r="CQ637" t="str">
        <f>""</f>
        <v/>
      </c>
      <c r="CR637" t="str">
        <f>""</f>
        <v/>
      </c>
      <c r="CS637" t="str">
        <f>""</f>
        <v/>
      </c>
      <c r="CT637" t="str">
        <f>""</f>
        <v/>
      </c>
      <c r="CU637" t="str">
        <f>""</f>
        <v/>
      </c>
      <c r="CV637" t="str">
        <f>""</f>
        <v/>
      </c>
      <c r="CW637" t="str">
        <f>""</f>
        <v/>
      </c>
      <c r="CX637" t="str">
        <f>""</f>
        <v/>
      </c>
      <c r="CY637" t="str">
        <f>""</f>
        <v/>
      </c>
      <c r="CZ637" t="str">
        <f>""</f>
        <v/>
      </c>
      <c r="DA637" t="str">
        <f>""</f>
        <v/>
      </c>
      <c r="DB637" t="str">
        <f>""</f>
        <v/>
      </c>
      <c r="DC637" t="str">
        <f>""</f>
        <v/>
      </c>
      <c r="DD637" t="str">
        <f>""</f>
        <v/>
      </c>
      <c r="DE637" t="str">
        <f>""</f>
        <v/>
      </c>
      <c r="DF637" t="str">
        <f>""</f>
        <v/>
      </c>
      <c r="DG637" t="str">
        <f>""</f>
        <v/>
      </c>
      <c r="DH637" t="str">
        <f>""</f>
        <v/>
      </c>
      <c r="DI637" t="str">
        <f>""</f>
        <v/>
      </c>
      <c r="DJ637" t="str">
        <f>""</f>
        <v/>
      </c>
      <c r="DK637" t="str">
        <f>""</f>
        <v/>
      </c>
      <c r="DL637" t="str">
        <f>""</f>
        <v/>
      </c>
      <c r="DM637" t="str">
        <f>""</f>
        <v/>
      </c>
      <c r="DN637" t="str">
        <f>""</f>
        <v/>
      </c>
      <c r="DO637" t="str">
        <f>""</f>
        <v/>
      </c>
      <c r="DP637" t="str">
        <f>""</f>
        <v/>
      </c>
      <c r="DQ637" t="str">
        <f>""</f>
        <v/>
      </c>
      <c r="DR637" t="str">
        <f>""</f>
        <v/>
      </c>
      <c r="DS637" t="str">
        <f>""</f>
        <v/>
      </c>
      <c r="DT637" t="str">
        <f>""</f>
        <v/>
      </c>
      <c r="DU637" t="str">
        <f>""</f>
        <v/>
      </c>
    </row>
    <row r="638" spans="1:125" x14ac:dyDescent="0.25">
      <c r="A638" t="str">
        <f>$A$132</f>
        <v xml:space="preserve">    Chongqing Changan Automobile Co Ltd</v>
      </c>
      <c r="B638" t="str">
        <f>$B$132</f>
        <v>200625 CH Equity</v>
      </c>
      <c r="C638" t="str">
        <f>$C$132</f>
        <v>RR841</v>
      </c>
      <c r="D638" t="str">
        <f>$D$132</f>
        <v>TRAIL_12M_EBITDA</v>
      </c>
      <c r="E638" t="str">
        <f>$E$132</f>
        <v>Dynamic</v>
      </c>
      <c r="F638" t="str">
        <f ca="1">_xll.BDH($B$132,$C$132,$B$509,$B$510,CONCATENATE("Per=",$B$507),"Dts=H","Dir=H",CONCATENATE("Points=",$B$508),"Sort=R","Days=A","Fill=B",CONCATENATE("FX=", $B$506) )</f>
        <v>#N/A Connection</v>
      </c>
      <c r="BN638" t="str">
        <f>""</f>
        <v/>
      </c>
      <c r="BO638" t="str">
        <f>""</f>
        <v/>
      </c>
      <c r="BP638" t="str">
        <f>""</f>
        <v/>
      </c>
      <c r="BQ638" t="str">
        <f>""</f>
        <v/>
      </c>
      <c r="BR638" t="str">
        <f>""</f>
        <v/>
      </c>
      <c r="BS638" t="str">
        <f>""</f>
        <v/>
      </c>
      <c r="BT638" t="str">
        <f>""</f>
        <v/>
      </c>
      <c r="BU638" t="str">
        <f>""</f>
        <v/>
      </c>
      <c r="BV638" t="str">
        <f>""</f>
        <v/>
      </c>
      <c r="BW638" t="str">
        <f>""</f>
        <v/>
      </c>
      <c r="BX638" t="str">
        <f>""</f>
        <v/>
      </c>
      <c r="BY638" t="str">
        <f>""</f>
        <v/>
      </c>
      <c r="BZ638" t="str">
        <f>""</f>
        <v/>
      </c>
      <c r="CA638" t="str">
        <f>""</f>
        <v/>
      </c>
      <c r="CB638" t="str">
        <f>""</f>
        <v/>
      </c>
      <c r="CC638" t="str">
        <f>""</f>
        <v/>
      </c>
      <c r="CD638" t="str">
        <f>""</f>
        <v/>
      </c>
      <c r="CE638" t="str">
        <f>""</f>
        <v/>
      </c>
      <c r="CF638" t="str">
        <f>""</f>
        <v/>
      </c>
      <c r="CG638" t="str">
        <f>""</f>
        <v/>
      </c>
      <c r="CH638" t="str">
        <f>""</f>
        <v/>
      </c>
      <c r="CI638" t="str">
        <f>""</f>
        <v/>
      </c>
      <c r="CJ638" t="str">
        <f>""</f>
        <v/>
      </c>
      <c r="CK638" t="str">
        <f>""</f>
        <v/>
      </c>
      <c r="CL638" t="str">
        <f>""</f>
        <v/>
      </c>
      <c r="CM638" t="str">
        <f>""</f>
        <v/>
      </c>
      <c r="CN638" t="str">
        <f>""</f>
        <v/>
      </c>
      <c r="CO638" t="str">
        <f>""</f>
        <v/>
      </c>
      <c r="CP638" t="str">
        <f>""</f>
        <v/>
      </c>
      <c r="CQ638" t="str">
        <f>""</f>
        <v/>
      </c>
      <c r="CR638" t="str">
        <f>""</f>
        <v/>
      </c>
      <c r="CS638" t="str">
        <f>""</f>
        <v/>
      </c>
      <c r="CT638" t="str">
        <f>""</f>
        <v/>
      </c>
      <c r="CU638" t="str">
        <f>""</f>
        <v/>
      </c>
      <c r="CV638" t="str">
        <f>""</f>
        <v/>
      </c>
      <c r="CW638" t="str">
        <f>""</f>
        <v/>
      </c>
      <c r="CX638" t="str">
        <f>""</f>
        <v/>
      </c>
      <c r="CY638" t="str">
        <f>""</f>
        <v/>
      </c>
      <c r="CZ638" t="str">
        <f>""</f>
        <v/>
      </c>
      <c r="DA638" t="str">
        <f>""</f>
        <v/>
      </c>
      <c r="DB638" t="str">
        <f>""</f>
        <v/>
      </c>
      <c r="DC638" t="str">
        <f>""</f>
        <v/>
      </c>
      <c r="DD638" t="str">
        <f>""</f>
        <v/>
      </c>
      <c r="DE638" t="str">
        <f>""</f>
        <v/>
      </c>
      <c r="DF638" t="str">
        <f>""</f>
        <v/>
      </c>
      <c r="DG638" t="str">
        <f>""</f>
        <v/>
      </c>
      <c r="DH638" t="str">
        <f>""</f>
        <v/>
      </c>
      <c r="DI638" t="str">
        <f>""</f>
        <v/>
      </c>
      <c r="DJ638" t="str">
        <f>""</f>
        <v/>
      </c>
      <c r="DK638" t="str">
        <f>""</f>
        <v/>
      </c>
      <c r="DL638" t="str">
        <f>""</f>
        <v/>
      </c>
      <c r="DM638" t="str">
        <f>""</f>
        <v/>
      </c>
      <c r="DN638" t="str">
        <f>""</f>
        <v/>
      </c>
      <c r="DO638" t="str">
        <f>""</f>
        <v/>
      </c>
      <c r="DP638" t="str">
        <f>""</f>
        <v/>
      </c>
      <c r="DQ638" t="str">
        <f>""</f>
        <v/>
      </c>
      <c r="DR638" t="str">
        <f>""</f>
        <v/>
      </c>
      <c r="DS638" t="str">
        <f>""</f>
        <v/>
      </c>
      <c r="DT638" t="str">
        <f>""</f>
        <v/>
      </c>
      <c r="DU638" t="str">
        <f>""</f>
        <v/>
      </c>
    </row>
    <row r="639" spans="1:125" x14ac:dyDescent="0.25">
      <c r="A639" t="str">
        <f>$A$133</f>
        <v xml:space="preserve">    Daihatsu Motor Co Ltd</v>
      </c>
      <c r="B639" t="str">
        <f>$B$133</f>
        <v>7262 JP Equity</v>
      </c>
      <c r="C639" t="str">
        <f>$C$133</f>
        <v>RR841</v>
      </c>
      <c r="D639" t="str">
        <f>$D$133</f>
        <v>TRAIL_12M_EBITDA</v>
      </c>
      <c r="E639" t="str">
        <f>$E$133</f>
        <v>Dynamic</v>
      </c>
      <c r="F639" t="str">
        <f ca="1">_xll.BDH($B$133,$C$133,$B$509,$B$510,CONCATENATE("Per=",$B$507),"Dts=H","Dir=H",CONCATENATE("Points=",$B$508),"Sort=R","Days=A","Fill=B",CONCATENATE("FX=", $B$506) )</f>
        <v>#N/A Connection</v>
      </c>
      <c r="BN639" t="str">
        <f>""</f>
        <v/>
      </c>
      <c r="BO639" t="str">
        <f>""</f>
        <v/>
      </c>
      <c r="BP639" t="str">
        <f>""</f>
        <v/>
      </c>
      <c r="BQ639" t="str">
        <f>""</f>
        <v/>
      </c>
      <c r="BR639" t="str">
        <f>""</f>
        <v/>
      </c>
      <c r="BS639" t="str">
        <f>""</f>
        <v/>
      </c>
      <c r="BT639" t="str">
        <f>""</f>
        <v/>
      </c>
      <c r="BU639" t="str">
        <f>""</f>
        <v/>
      </c>
      <c r="BV639" t="str">
        <f>""</f>
        <v/>
      </c>
      <c r="BW639" t="str">
        <f>""</f>
        <v/>
      </c>
      <c r="BX639" t="str">
        <f>""</f>
        <v/>
      </c>
      <c r="BY639" t="str">
        <f>""</f>
        <v/>
      </c>
      <c r="BZ639" t="str">
        <f>""</f>
        <v/>
      </c>
      <c r="CA639" t="str">
        <f>""</f>
        <v/>
      </c>
      <c r="CB639" t="str">
        <f>""</f>
        <v/>
      </c>
      <c r="CC639" t="str">
        <f>""</f>
        <v/>
      </c>
      <c r="CD639" t="str">
        <f>""</f>
        <v/>
      </c>
      <c r="CE639" t="str">
        <f>""</f>
        <v/>
      </c>
      <c r="CF639" t="str">
        <f>""</f>
        <v/>
      </c>
      <c r="CG639" t="str">
        <f>""</f>
        <v/>
      </c>
      <c r="CH639" t="str">
        <f>""</f>
        <v/>
      </c>
      <c r="CI639" t="str">
        <f>""</f>
        <v/>
      </c>
      <c r="CJ639" t="str">
        <f>""</f>
        <v/>
      </c>
      <c r="CK639" t="str">
        <f>""</f>
        <v/>
      </c>
      <c r="CL639" t="str">
        <f>""</f>
        <v/>
      </c>
      <c r="CM639" t="str">
        <f>""</f>
        <v/>
      </c>
      <c r="CN639" t="str">
        <f>""</f>
        <v/>
      </c>
      <c r="CO639" t="str">
        <f>""</f>
        <v/>
      </c>
      <c r="CP639" t="str">
        <f>""</f>
        <v/>
      </c>
      <c r="CQ639" t="str">
        <f>""</f>
        <v/>
      </c>
      <c r="CR639" t="str">
        <f>""</f>
        <v/>
      </c>
      <c r="CS639" t="str">
        <f>""</f>
        <v/>
      </c>
      <c r="CT639" t="str">
        <f>""</f>
        <v/>
      </c>
      <c r="CU639" t="str">
        <f>""</f>
        <v/>
      </c>
      <c r="CV639" t="str">
        <f>""</f>
        <v/>
      </c>
      <c r="CW639" t="str">
        <f>""</f>
        <v/>
      </c>
      <c r="CX639" t="str">
        <f>""</f>
        <v/>
      </c>
      <c r="CY639" t="str">
        <f>""</f>
        <v/>
      </c>
      <c r="CZ639" t="str">
        <f>""</f>
        <v/>
      </c>
      <c r="DA639" t="str">
        <f>""</f>
        <v/>
      </c>
      <c r="DB639" t="str">
        <f>""</f>
        <v/>
      </c>
      <c r="DC639" t="str">
        <f>""</f>
        <v/>
      </c>
      <c r="DD639" t="str">
        <f>""</f>
        <v/>
      </c>
      <c r="DE639" t="str">
        <f>""</f>
        <v/>
      </c>
      <c r="DF639" t="str">
        <f>""</f>
        <v/>
      </c>
      <c r="DG639" t="str">
        <f>""</f>
        <v/>
      </c>
      <c r="DH639" t="str">
        <f>""</f>
        <v/>
      </c>
      <c r="DI639" t="str">
        <f>""</f>
        <v/>
      </c>
      <c r="DJ639" t="str">
        <f>""</f>
        <v/>
      </c>
      <c r="DK639" t="str">
        <f>""</f>
        <v/>
      </c>
      <c r="DL639" t="str">
        <f>""</f>
        <v/>
      </c>
      <c r="DM639" t="str">
        <f>""</f>
        <v/>
      </c>
      <c r="DN639" t="str">
        <f>""</f>
        <v/>
      </c>
      <c r="DO639" t="str">
        <f>""</f>
        <v/>
      </c>
      <c r="DP639" t="str">
        <f>""</f>
        <v/>
      </c>
      <c r="DQ639" t="str">
        <f>""</f>
        <v/>
      </c>
      <c r="DR639" t="str">
        <f>""</f>
        <v/>
      </c>
      <c r="DS639" t="str">
        <f>""</f>
        <v/>
      </c>
      <c r="DT639" t="str">
        <f>""</f>
        <v/>
      </c>
      <c r="DU639" t="str">
        <f>""</f>
        <v/>
      </c>
    </row>
    <row r="640" spans="1:125" x14ac:dyDescent="0.25">
      <c r="A640" t="str">
        <f>$A$134</f>
        <v xml:space="preserve">    Daimler AG</v>
      </c>
      <c r="B640" t="str">
        <f>$B$134</f>
        <v>DAI GR Equity</v>
      </c>
      <c r="C640" t="str">
        <f>$C$134</f>
        <v>RR841</v>
      </c>
      <c r="D640" t="str">
        <f>$D$134</f>
        <v>TRAIL_12M_EBITDA</v>
      </c>
      <c r="E640" t="str">
        <f>$E$134</f>
        <v>Dynamic</v>
      </c>
      <c r="F640" t="str">
        <f ca="1">_xll.BDH($B$134,$C$134,$B$509,$B$510,CONCATENATE("Per=",$B$507),"Dts=H","Dir=H",CONCATENATE("Points=",$B$508),"Sort=R","Days=A","Fill=B",CONCATENATE("FX=", $B$506) )</f>
        <v>#N/A Connection</v>
      </c>
      <c r="BN640" t="str">
        <f>""</f>
        <v/>
      </c>
      <c r="BO640" t="str">
        <f>""</f>
        <v/>
      </c>
      <c r="BP640" t="str">
        <f>""</f>
        <v/>
      </c>
      <c r="BQ640" t="str">
        <f>""</f>
        <v/>
      </c>
      <c r="BR640" t="str">
        <f>""</f>
        <v/>
      </c>
      <c r="BS640" t="str">
        <f>""</f>
        <v/>
      </c>
      <c r="BT640" t="str">
        <f>""</f>
        <v/>
      </c>
      <c r="BU640" t="str">
        <f>""</f>
        <v/>
      </c>
      <c r="BV640" t="str">
        <f>""</f>
        <v/>
      </c>
      <c r="BW640" t="str">
        <f>""</f>
        <v/>
      </c>
      <c r="BX640" t="str">
        <f>""</f>
        <v/>
      </c>
      <c r="BY640" t="str">
        <f>""</f>
        <v/>
      </c>
      <c r="BZ640" t="str">
        <f>""</f>
        <v/>
      </c>
      <c r="CA640" t="str">
        <f>""</f>
        <v/>
      </c>
      <c r="CB640" t="str">
        <f>""</f>
        <v/>
      </c>
      <c r="CC640" t="str">
        <f>""</f>
        <v/>
      </c>
      <c r="CD640" t="str">
        <f>""</f>
        <v/>
      </c>
      <c r="CE640" t="str">
        <f>""</f>
        <v/>
      </c>
      <c r="CF640" t="str">
        <f>""</f>
        <v/>
      </c>
      <c r="CG640" t="str">
        <f>""</f>
        <v/>
      </c>
      <c r="CH640" t="str">
        <f>""</f>
        <v/>
      </c>
      <c r="CI640" t="str">
        <f>""</f>
        <v/>
      </c>
      <c r="CJ640" t="str">
        <f>""</f>
        <v/>
      </c>
      <c r="CK640" t="str">
        <f>""</f>
        <v/>
      </c>
      <c r="CL640" t="str">
        <f>""</f>
        <v/>
      </c>
      <c r="CM640" t="str">
        <f>""</f>
        <v/>
      </c>
      <c r="CN640" t="str">
        <f>""</f>
        <v/>
      </c>
      <c r="CO640" t="str">
        <f>""</f>
        <v/>
      </c>
      <c r="CP640" t="str">
        <f>""</f>
        <v/>
      </c>
      <c r="CQ640" t="str">
        <f>""</f>
        <v/>
      </c>
      <c r="CR640" t="str">
        <f>""</f>
        <v/>
      </c>
      <c r="CS640" t="str">
        <f>""</f>
        <v/>
      </c>
      <c r="CT640" t="str">
        <f>""</f>
        <v/>
      </c>
      <c r="CU640" t="str">
        <f>""</f>
        <v/>
      </c>
      <c r="CV640" t="str">
        <f>""</f>
        <v/>
      </c>
      <c r="CW640" t="str">
        <f>""</f>
        <v/>
      </c>
      <c r="CX640" t="str">
        <f>""</f>
        <v/>
      </c>
      <c r="CY640" t="str">
        <f>""</f>
        <v/>
      </c>
      <c r="CZ640" t="str">
        <f>""</f>
        <v/>
      </c>
      <c r="DA640" t="str">
        <f>""</f>
        <v/>
      </c>
      <c r="DB640" t="str">
        <f>""</f>
        <v/>
      </c>
      <c r="DC640" t="str">
        <f>""</f>
        <v/>
      </c>
      <c r="DD640" t="str">
        <f>""</f>
        <v/>
      </c>
      <c r="DE640" t="str">
        <f>""</f>
        <v/>
      </c>
      <c r="DF640" t="str">
        <f>""</f>
        <v/>
      </c>
      <c r="DG640" t="str">
        <f>""</f>
        <v/>
      </c>
      <c r="DH640" t="str">
        <f>""</f>
        <v/>
      </c>
      <c r="DI640" t="str">
        <f>""</f>
        <v/>
      </c>
      <c r="DJ640" t="str">
        <f>""</f>
        <v/>
      </c>
      <c r="DK640" t="str">
        <f>""</f>
        <v/>
      </c>
      <c r="DL640" t="str">
        <f>""</f>
        <v/>
      </c>
      <c r="DM640" t="str">
        <f>""</f>
        <v/>
      </c>
      <c r="DN640" t="str">
        <f>""</f>
        <v/>
      </c>
      <c r="DO640" t="str">
        <f>""</f>
        <v/>
      </c>
      <c r="DP640" t="str">
        <f>""</f>
        <v/>
      </c>
      <c r="DQ640" t="str">
        <f>""</f>
        <v/>
      </c>
      <c r="DR640" t="str">
        <f>""</f>
        <v/>
      </c>
      <c r="DS640" t="str">
        <f>""</f>
        <v/>
      </c>
      <c r="DT640" t="str">
        <f>""</f>
        <v/>
      </c>
      <c r="DU640" t="str">
        <f>""</f>
        <v/>
      </c>
    </row>
    <row r="641" spans="1:125" x14ac:dyDescent="0.25">
      <c r="A641" t="str">
        <f>$A$135</f>
        <v xml:space="preserve">    Dongfeng Motor Group Co Ltd</v>
      </c>
      <c r="B641" t="str">
        <f>$B$135</f>
        <v>489 HK Equity</v>
      </c>
      <c r="C641" t="str">
        <f>$C$135</f>
        <v>RR841</v>
      </c>
      <c r="D641" t="str">
        <f>$D$135</f>
        <v>TRAIL_12M_EBITDA</v>
      </c>
      <c r="E641" t="str">
        <f>$E$135</f>
        <v>Dynamic</v>
      </c>
      <c r="F641" t="str">
        <f ca="1">_xll.BDH($B$135,$C$135,$B$509,$B$510,CONCATENATE("Per=",$B$507),"Dts=H","Dir=H",CONCATENATE("Points=",$B$508),"Sort=R","Days=A","Fill=B",CONCATENATE("FX=", $B$506) )</f>
        <v>#N/A Connection</v>
      </c>
      <c r="BN641" t="str">
        <f>""</f>
        <v/>
      </c>
      <c r="BO641" t="str">
        <f>""</f>
        <v/>
      </c>
      <c r="BP641" t="str">
        <f>""</f>
        <v/>
      </c>
      <c r="BQ641" t="str">
        <f>""</f>
        <v/>
      </c>
      <c r="BR641" t="str">
        <f>""</f>
        <v/>
      </c>
      <c r="BS641" t="str">
        <f>""</f>
        <v/>
      </c>
      <c r="BT641" t="str">
        <f>""</f>
        <v/>
      </c>
      <c r="BU641" t="str">
        <f>""</f>
        <v/>
      </c>
      <c r="BV641" t="str">
        <f>""</f>
        <v/>
      </c>
      <c r="BW641" t="str">
        <f>""</f>
        <v/>
      </c>
      <c r="BX641" t="str">
        <f>""</f>
        <v/>
      </c>
      <c r="BY641" t="str">
        <f>""</f>
        <v/>
      </c>
      <c r="BZ641" t="str">
        <f>""</f>
        <v/>
      </c>
      <c r="CA641" t="str">
        <f>""</f>
        <v/>
      </c>
      <c r="CB641" t="str">
        <f>""</f>
        <v/>
      </c>
      <c r="CC641" t="str">
        <f>""</f>
        <v/>
      </c>
      <c r="CD641" t="str">
        <f>""</f>
        <v/>
      </c>
      <c r="CE641" t="str">
        <f>""</f>
        <v/>
      </c>
      <c r="CF641" t="str">
        <f>""</f>
        <v/>
      </c>
      <c r="CG641" t="str">
        <f>""</f>
        <v/>
      </c>
      <c r="CH641" t="str">
        <f>""</f>
        <v/>
      </c>
      <c r="CI641" t="str">
        <f>""</f>
        <v/>
      </c>
      <c r="CJ641" t="str">
        <f>""</f>
        <v/>
      </c>
      <c r="CK641" t="str">
        <f>""</f>
        <v/>
      </c>
      <c r="CL641" t="str">
        <f>""</f>
        <v/>
      </c>
      <c r="CM641" t="str">
        <f>""</f>
        <v/>
      </c>
      <c r="CN641" t="str">
        <f>""</f>
        <v/>
      </c>
      <c r="CO641" t="str">
        <f>""</f>
        <v/>
      </c>
      <c r="CP641" t="str">
        <f>""</f>
        <v/>
      </c>
      <c r="CQ641" t="str">
        <f>""</f>
        <v/>
      </c>
      <c r="CR641" t="str">
        <f>""</f>
        <v/>
      </c>
      <c r="CS641" t="str">
        <f>""</f>
        <v/>
      </c>
      <c r="CT641" t="str">
        <f>""</f>
        <v/>
      </c>
      <c r="CU641" t="str">
        <f>""</f>
        <v/>
      </c>
      <c r="CV641" t="str">
        <f>""</f>
        <v/>
      </c>
      <c r="CW641" t="str">
        <f>""</f>
        <v/>
      </c>
      <c r="CX641" t="str">
        <f>""</f>
        <v/>
      </c>
      <c r="CY641" t="str">
        <f>""</f>
        <v/>
      </c>
      <c r="CZ641" t="str">
        <f>""</f>
        <v/>
      </c>
      <c r="DA641" t="str">
        <f>""</f>
        <v/>
      </c>
      <c r="DB641" t="str">
        <f>""</f>
        <v/>
      </c>
      <c r="DC641" t="str">
        <f>""</f>
        <v/>
      </c>
      <c r="DD641" t="str">
        <f>""</f>
        <v/>
      </c>
      <c r="DE641" t="str">
        <f>""</f>
        <v/>
      </c>
      <c r="DF641" t="str">
        <f>""</f>
        <v/>
      </c>
      <c r="DG641" t="str">
        <f>""</f>
        <v/>
      </c>
      <c r="DH641" t="str">
        <f>""</f>
        <v/>
      </c>
      <c r="DI641" t="str">
        <f>""</f>
        <v/>
      </c>
      <c r="DJ641" t="str">
        <f>""</f>
        <v/>
      </c>
      <c r="DK641" t="str">
        <f>""</f>
        <v/>
      </c>
      <c r="DL641" t="str">
        <f>""</f>
        <v/>
      </c>
      <c r="DM641" t="str">
        <f>""</f>
        <v/>
      </c>
      <c r="DN641" t="str">
        <f>""</f>
        <v/>
      </c>
      <c r="DO641" t="str">
        <f>""</f>
        <v/>
      </c>
      <c r="DP641" t="str">
        <f>""</f>
        <v/>
      </c>
      <c r="DQ641" t="str">
        <f>""</f>
        <v/>
      </c>
      <c r="DR641" t="str">
        <f>""</f>
        <v/>
      </c>
      <c r="DS641" t="str">
        <f>""</f>
        <v/>
      </c>
      <c r="DT641" t="str">
        <f>""</f>
        <v/>
      </c>
      <c r="DU641" t="str">
        <f>""</f>
        <v/>
      </c>
    </row>
    <row r="642" spans="1:125" x14ac:dyDescent="0.25">
      <c r="A642" t="str">
        <f>$A$136</f>
        <v xml:space="preserve">    DRB-Hicom Bhd</v>
      </c>
      <c r="B642" t="str">
        <f>$B$136</f>
        <v>DRB MK Equity</v>
      </c>
      <c r="C642" t="str">
        <f>$C$136</f>
        <v>RR841</v>
      </c>
      <c r="D642" t="str">
        <f>$D$136</f>
        <v>TRAIL_12M_EBITDA</v>
      </c>
      <c r="E642" t="str">
        <f>$E$136</f>
        <v>Dynamic</v>
      </c>
      <c r="F642" t="str">
        <f ca="1">_xll.BDH($B$136,$C$136,$B$509,$B$510,CONCATENATE("Per=",$B$507),"Dts=H","Dir=H",CONCATENATE("Points=",$B$508),"Sort=R","Days=A","Fill=B",CONCATENATE("FX=", $B$506) )</f>
        <v>#N/A Connection</v>
      </c>
      <c r="BN642" t="str">
        <f>""</f>
        <v/>
      </c>
      <c r="BO642" t="str">
        <f>""</f>
        <v/>
      </c>
      <c r="BP642" t="str">
        <f>""</f>
        <v/>
      </c>
      <c r="BQ642" t="str">
        <f>""</f>
        <v/>
      </c>
      <c r="BR642" t="str">
        <f>""</f>
        <v/>
      </c>
      <c r="BS642" t="str">
        <f>""</f>
        <v/>
      </c>
      <c r="BT642" t="str">
        <f>""</f>
        <v/>
      </c>
      <c r="BU642" t="str">
        <f>""</f>
        <v/>
      </c>
      <c r="BV642" t="str">
        <f>""</f>
        <v/>
      </c>
      <c r="BW642" t="str">
        <f>""</f>
        <v/>
      </c>
      <c r="BX642" t="str">
        <f>""</f>
        <v/>
      </c>
      <c r="BY642" t="str">
        <f>""</f>
        <v/>
      </c>
      <c r="BZ642" t="str">
        <f>""</f>
        <v/>
      </c>
      <c r="CA642" t="str">
        <f>""</f>
        <v/>
      </c>
      <c r="CB642" t="str">
        <f>""</f>
        <v/>
      </c>
      <c r="CC642" t="str">
        <f>""</f>
        <v/>
      </c>
      <c r="CD642" t="str">
        <f>""</f>
        <v/>
      </c>
      <c r="CE642" t="str">
        <f>""</f>
        <v/>
      </c>
      <c r="CF642" t="str">
        <f>""</f>
        <v/>
      </c>
      <c r="CG642" t="str">
        <f>""</f>
        <v/>
      </c>
      <c r="CH642" t="str">
        <f>""</f>
        <v/>
      </c>
      <c r="CI642" t="str">
        <f>""</f>
        <v/>
      </c>
      <c r="CJ642" t="str">
        <f>""</f>
        <v/>
      </c>
      <c r="CK642" t="str">
        <f>""</f>
        <v/>
      </c>
      <c r="CL642" t="str">
        <f>""</f>
        <v/>
      </c>
      <c r="CM642" t="str">
        <f>""</f>
        <v/>
      </c>
      <c r="CN642" t="str">
        <f>""</f>
        <v/>
      </c>
      <c r="CO642" t="str">
        <f>""</f>
        <v/>
      </c>
      <c r="CP642" t="str">
        <f>""</f>
        <v/>
      </c>
      <c r="CQ642" t="str">
        <f>""</f>
        <v/>
      </c>
      <c r="CR642" t="str">
        <f>""</f>
        <v/>
      </c>
      <c r="CS642" t="str">
        <f>""</f>
        <v/>
      </c>
      <c r="CT642" t="str">
        <f>""</f>
        <v/>
      </c>
      <c r="CU642" t="str">
        <f>""</f>
        <v/>
      </c>
      <c r="CV642" t="str">
        <f>""</f>
        <v/>
      </c>
      <c r="CW642" t="str">
        <f>""</f>
        <v/>
      </c>
      <c r="CX642" t="str">
        <f>""</f>
        <v/>
      </c>
      <c r="CY642" t="str">
        <f>""</f>
        <v/>
      </c>
      <c r="CZ642" t="str">
        <f>""</f>
        <v/>
      </c>
      <c r="DA642" t="str">
        <f>""</f>
        <v/>
      </c>
      <c r="DB642" t="str">
        <f>""</f>
        <v/>
      </c>
      <c r="DC642" t="str">
        <f>""</f>
        <v/>
      </c>
      <c r="DD642" t="str">
        <f>""</f>
        <v/>
      </c>
      <c r="DE642" t="str">
        <f>""</f>
        <v/>
      </c>
      <c r="DF642" t="str">
        <f>""</f>
        <v/>
      </c>
      <c r="DG642" t="str">
        <f>""</f>
        <v/>
      </c>
      <c r="DH642" t="str">
        <f>""</f>
        <v/>
      </c>
      <c r="DI642" t="str">
        <f>""</f>
        <v/>
      </c>
      <c r="DJ642" t="str">
        <f>""</f>
        <v/>
      </c>
      <c r="DK642" t="str">
        <f>""</f>
        <v/>
      </c>
      <c r="DL642" t="str">
        <f>""</f>
        <v/>
      </c>
      <c r="DM642" t="str">
        <f>""</f>
        <v/>
      </c>
      <c r="DN642" t="str">
        <f>""</f>
        <v/>
      </c>
      <c r="DO642" t="str">
        <f>""</f>
        <v/>
      </c>
      <c r="DP642" t="str">
        <f>""</f>
        <v/>
      </c>
      <c r="DQ642" t="str">
        <f>""</f>
        <v/>
      </c>
      <c r="DR642" t="str">
        <f>""</f>
        <v/>
      </c>
      <c r="DS642" t="str">
        <f>""</f>
        <v/>
      </c>
      <c r="DT642" t="str">
        <f>""</f>
        <v/>
      </c>
      <c r="DU642" t="str">
        <f>""</f>
        <v/>
      </c>
    </row>
    <row r="643" spans="1:125" x14ac:dyDescent="0.25">
      <c r="A643" t="str">
        <f>$A$137</f>
        <v xml:space="preserve">    FAW CAR Co Ltd</v>
      </c>
      <c r="B643" t="str">
        <f>$B$137</f>
        <v>000800 CH Equity</v>
      </c>
      <c r="C643" t="str">
        <f>$C$137</f>
        <v>RR841</v>
      </c>
      <c r="D643" t="str">
        <f>$D$137</f>
        <v>TRAIL_12M_EBITDA</v>
      </c>
      <c r="E643" t="str">
        <f>$E$137</f>
        <v>Dynamic</v>
      </c>
      <c r="F643" t="str">
        <f ca="1">_xll.BDH($B$137,$C$137,$B$509,$B$510,CONCATENATE("Per=",$B$507),"Dts=H","Dir=H",CONCATENATE("Points=",$B$508),"Sort=R","Days=A","Fill=B",CONCATENATE("FX=", $B$506) )</f>
        <v>#N/A Connection</v>
      </c>
      <c r="BN643" t="str">
        <f>""</f>
        <v/>
      </c>
      <c r="BO643" t="str">
        <f>""</f>
        <v/>
      </c>
      <c r="BP643" t="str">
        <f>""</f>
        <v/>
      </c>
      <c r="BQ643" t="str">
        <f>""</f>
        <v/>
      </c>
      <c r="BR643" t="str">
        <f>""</f>
        <v/>
      </c>
      <c r="BS643" t="str">
        <f>""</f>
        <v/>
      </c>
      <c r="BT643" t="str">
        <f>""</f>
        <v/>
      </c>
      <c r="BU643" t="str">
        <f>""</f>
        <v/>
      </c>
      <c r="BV643" t="str">
        <f>""</f>
        <v/>
      </c>
      <c r="BW643" t="str">
        <f>""</f>
        <v/>
      </c>
      <c r="BX643" t="str">
        <f>""</f>
        <v/>
      </c>
      <c r="BY643" t="str">
        <f>""</f>
        <v/>
      </c>
      <c r="BZ643" t="str">
        <f>""</f>
        <v/>
      </c>
      <c r="CA643" t="str">
        <f>""</f>
        <v/>
      </c>
      <c r="CB643" t="str">
        <f>""</f>
        <v/>
      </c>
      <c r="CC643" t="str">
        <f>""</f>
        <v/>
      </c>
      <c r="CD643" t="str">
        <f>""</f>
        <v/>
      </c>
      <c r="CE643" t="str">
        <f>""</f>
        <v/>
      </c>
      <c r="CF643" t="str">
        <f>""</f>
        <v/>
      </c>
      <c r="CG643" t="str">
        <f>""</f>
        <v/>
      </c>
      <c r="CH643" t="str">
        <f>""</f>
        <v/>
      </c>
      <c r="CI643" t="str">
        <f>""</f>
        <v/>
      </c>
      <c r="CJ643" t="str">
        <f>""</f>
        <v/>
      </c>
      <c r="CK643" t="str">
        <f>""</f>
        <v/>
      </c>
      <c r="CL643" t="str">
        <f>""</f>
        <v/>
      </c>
      <c r="CM643" t="str">
        <f>""</f>
        <v/>
      </c>
      <c r="CN643" t="str">
        <f>""</f>
        <v/>
      </c>
      <c r="CO643" t="str">
        <f>""</f>
        <v/>
      </c>
      <c r="CP643" t="str">
        <f>""</f>
        <v/>
      </c>
      <c r="CQ643" t="str">
        <f>""</f>
        <v/>
      </c>
      <c r="CR643" t="str">
        <f>""</f>
        <v/>
      </c>
      <c r="CS643" t="str">
        <f>""</f>
        <v/>
      </c>
      <c r="CT643" t="str">
        <f>""</f>
        <v/>
      </c>
      <c r="CU643" t="str">
        <f>""</f>
        <v/>
      </c>
      <c r="CV643" t="str">
        <f>""</f>
        <v/>
      </c>
      <c r="CW643" t="str">
        <f>""</f>
        <v/>
      </c>
      <c r="CX643" t="str">
        <f>""</f>
        <v/>
      </c>
      <c r="CY643" t="str">
        <f>""</f>
        <v/>
      </c>
      <c r="CZ643" t="str">
        <f>""</f>
        <v/>
      </c>
      <c r="DA643" t="str">
        <f>""</f>
        <v/>
      </c>
      <c r="DB643" t="str">
        <f>""</f>
        <v/>
      </c>
      <c r="DC643" t="str">
        <f>""</f>
        <v/>
      </c>
      <c r="DD643" t="str">
        <f>""</f>
        <v/>
      </c>
      <c r="DE643" t="str">
        <f>""</f>
        <v/>
      </c>
      <c r="DF643" t="str">
        <f>""</f>
        <v/>
      </c>
      <c r="DG643" t="str">
        <f>""</f>
        <v/>
      </c>
      <c r="DH643" t="str">
        <f>""</f>
        <v/>
      </c>
      <c r="DI643" t="str">
        <f>""</f>
        <v/>
      </c>
      <c r="DJ643" t="str">
        <f>""</f>
        <v/>
      </c>
      <c r="DK643" t="str">
        <f>""</f>
        <v/>
      </c>
      <c r="DL643" t="str">
        <f>""</f>
        <v/>
      </c>
      <c r="DM643" t="str">
        <f>""</f>
        <v/>
      </c>
      <c r="DN643" t="str">
        <f>""</f>
        <v/>
      </c>
      <c r="DO643" t="str">
        <f>""</f>
        <v/>
      </c>
      <c r="DP643" t="str">
        <f>""</f>
        <v/>
      </c>
      <c r="DQ643" t="str">
        <f>""</f>
        <v/>
      </c>
      <c r="DR643" t="str">
        <f>""</f>
        <v/>
      </c>
      <c r="DS643" t="str">
        <f>""</f>
        <v/>
      </c>
      <c r="DT643" t="str">
        <f>""</f>
        <v/>
      </c>
      <c r="DU643" t="str">
        <f>""</f>
        <v/>
      </c>
    </row>
    <row r="644" spans="1:125" x14ac:dyDescent="0.25">
      <c r="A644" t="str">
        <f>$A$138</f>
        <v xml:space="preserve">    Fiat Chrysler Automobiles NV</v>
      </c>
      <c r="B644" t="str">
        <f>$B$138</f>
        <v>FCAU US Equity</v>
      </c>
      <c r="C644" t="str">
        <f>$C$138</f>
        <v>RR841</v>
      </c>
      <c r="D644" t="str">
        <f>$D$138</f>
        <v>TRAIL_12M_EBITDA</v>
      </c>
      <c r="E644" t="str">
        <f>$E$138</f>
        <v>Dynamic</v>
      </c>
      <c r="F644" t="str">
        <f ca="1">_xll.BDH($B$138,$C$138,$B$509,$B$510,CONCATENATE("Per=",$B$507),"Dts=H","Dir=H",CONCATENATE("Points=",$B$508),"Sort=R","Days=A","Fill=B",CONCATENATE("FX=", $B$506) )</f>
        <v>#N/A Connection</v>
      </c>
      <c r="BN644" t="str">
        <f>""</f>
        <v/>
      </c>
      <c r="BO644" t="str">
        <f>""</f>
        <v/>
      </c>
      <c r="BP644" t="str">
        <f>""</f>
        <v/>
      </c>
      <c r="BQ644" t="str">
        <f>""</f>
        <v/>
      </c>
      <c r="BR644" t="str">
        <f>""</f>
        <v/>
      </c>
      <c r="BS644" t="str">
        <f>""</f>
        <v/>
      </c>
      <c r="BT644" t="str">
        <f>""</f>
        <v/>
      </c>
      <c r="BU644" t="str">
        <f>""</f>
        <v/>
      </c>
      <c r="BV644" t="str">
        <f>""</f>
        <v/>
      </c>
      <c r="BW644" t="str">
        <f>""</f>
        <v/>
      </c>
      <c r="BX644" t="str">
        <f>""</f>
        <v/>
      </c>
      <c r="BY644" t="str">
        <f>""</f>
        <v/>
      </c>
      <c r="BZ644" t="str">
        <f>""</f>
        <v/>
      </c>
      <c r="CA644" t="str">
        <f>""</f>
        <v/>
      </c>
      <c r="CB644" t="str">
        <f>""</f>
        <v/>
      </c>
      <c r="CC644" t="str">
        <f>""</f>
        <v/>
      </c>
      <c r="CD644" t="str">
        <f>""</f>
        <v/>
      </c>
      <c r="CE644" t="str">
        <f>""</f>
        <v/>
      </c>
      <c r="CF644" t="str">
        <f>""</f>
        <v/>
      </c>
      <c r="CG644" t="str">
        <f>""</f>
        <v/>
      </c>
      <c r="CH644" t="str">
        <f>""</f>
        <v/>
      </c>
      <c r="CI644" t="str">
        <f>""</f>
        <v/>
      </c>
      <c r="CJ644" t="str">
        <f>""</f>
        <v/>
      </c>
      <c r="CK644" t="str">
        <f>""</f>
        <v/>
      </c>
      <c r="CL644" t="str">
        <f>""</f>
        <v/>
      </c>
      <c r="CM644" t="str">
        <f>""</f>
        <v/>
      </c>
      <c r="CN644" t="str">
        <f>""</f>
        <v/>
      </c>
      <c r="CO644" t="str">
        <f>""</f>
        <v/>
      </c>
      <c r="CP644" t="str">
        <f>""</f>
        <v/>
      </c>
      <c r="CQ644" t="str">
        <f>""</f>
        <v/>
      </c>
      <c r="CR644" t="str">
        <f>""</f>
        <v/>
      </c>
      <c r="CS644" t="str">
        <f>""</f>
        <v/>
      </c>
      <c r="CT644" t="str">
        <f>""</f>
        <v/>
      </c>
      <c r="CU644" t="str">
        <f>""</f>
        <v/>
      </c>
      <c r="CV644" t="str">
        <f>""</f>
        <v/>
      </c>
      <c r="CW644" t="str">
        <f>""</f>
        <v/>
      </c>
      <c r="CX644" t="str">
        <f>""</f>
        <v/>
      </c>
      <c r="CY644" t="str">
        <f>""</f>
        <v/>
      </c>
      <c r="CZ644" t="str">
        <f>""</f>
        <v/>
      </c>
      <c r="DA644" t="str">
        <f>""</f>
        <v/>
      </c>
      <c r="DB644" t="str">
        <f>""</f>
        <v/>
      </c>
      <c r="DC644" t="str">
        <f>""</f>
        <v/>
      </c>
      <c r="DD644" t="str">
        <f>""</f>
        <v/>
      </c>
      <c r="DE644" t="str">
        <f>""</f>
        <v/>
      </c>
      <c r="DF644" t="str">
        <f>""</f>
        <v/>
      </c>
      <c r="DG644" t="str">
        <f>""</f>
        <v/>
      </c>
      <c r="DH644" t="str">
        <f>""</f>
        <v/>
      </c>
      <c r="DI644" t="str">
        <f>""</f>
        <v/>
      </c>
      <c r="DJ644" t="str">
        <f>""</f>
        <v/>
      </c>
      <c r="DK644" t="str">
        <f>""</f>
        <v/>
      </c>
      <c r="DL644" t="str">
        <f>""</f>
        <v/>
      </c>
      <c r="DM644" t="str">
        <f>""</f>
        <v/>
      </c>
      <c r="DN644" t="str">
        <f>""</f>
        <v/>
      </c>
      <c r="DO644" t="str">
        <f>""</f>
        <v/>
      </c>
      <c r="DP644" t="str">
        <f>""</f>
        <v/>
      </c>
      <c r="DQ644" t="str">
        <f>""</f>
        <v/>
      </c>
      <c r="DR644" t="str">
        <f>""</f>
        <v/>
      </c>
      <c r="DS644" t="str">
        <f>""</f>
        <v/>
      </c>
      <c r="DT644" t="str">
        <f>""</f>
        <v/>
      </c>
      <c r="DU644" t="str">
        <f>""</f>
        <v/>
      </c>
    </row>
    <row r="645" spans="1:125" x14ac:dyDescent="0.25">
      <c r="A645" t="str">
        <f>$A$139</f>
        <v xml:space="preserve">    Ford Motor Co</v>
      </c>
      <c r="B645" t="str">
        <f>$B$139</f>
        <v>F US Equity</v>
      </c>
      <c r="C645" t="str">
        <f>$C$139</f>
        <v>RR841</v>
      </c>
      <c r="D645" t="str">
        <f>$D$139</f>
        <v>TRAIL_12M_EBITDA</v>
      </c>
      <c r="E645" t="str">
        <f>$E$139</f>
        <v>Dynamic</v>
      </c>
      <c r="F645" t="str">
        <f ca="1">_xll.BDH($B$139,$C$139,$B$509,$B$510,CONCATENATE("Per=",$B$507),"Dts=H","Dir=H",CONCATENATE("Points=",$B$508),"Sort=R","Days=A","Fill=B",CONCATENATE("FX=", $B$506) )</f>
        <v>#N/A Connection</v>
      </c>
      <c r="BN645" t="str">
        <f>""</f>
        <v/>
      </c>
      <c r="BO645" t="str">
        <f>""</f>
        <v/>
      </c>
      <c r="BP645" t="str">
        <f>""</f>
        <v/>
      </c>
      <c r="BQ645" t="str">
        <f>""</f>
        <v/>
      </c>
      <c r="BR645" t="str">
        <f>""</f>
        <v/>
      </c>
      <c r="BS645" t="str">
        <f>""</f>
        <v/>
      </c>
      <c r="BT645" t="str">
        <f>""</f>
        <v/>
      </c>
      <c r="BU645" t="str">
        <f>""</f>
        <v/>
      </c>
      <c r="BV645" t="str">
        <f>""</f>
        <v/>
      </c>
      <c r="BW645" t="str">
        <f>""</f>
        <v/>
      </c>
      <c r="BX645" t="str">
        <f>""</f>
        <v/>
      </c>
      <c r="BY645" t="str">
        <f>""</f>
        <v/>
      </c>
      <c r="BZ645" t="str">
        <f>""</f>
        <v/>
      </c>
      <c r="CA645" t="str">
        <f>""</f>
        <v/>
      </c>
      <c r="CB645" t="str">
        <f>""</f>
        <v/>
      </c>
      <c r="CC645" t="str">
        <f>""</f>
        <v/>
      </c>
      <c r="CD645" t="str">
        <f>""</f>
        <v/>
      </c>
      <c r="CE645" t="str">
        <f>""</f>
        <v/>
      </c>
      <c r="CF645" t="str">
        <f>""</f>
        <v/>
      </c>
      <c r="CG645" t="str">
        <f>""</f>
        <v/>
      </c>
      <c r="CH645" t="str">
        <f>""</f>
        <v/>
      </c>
      <c r="CI645" t="str">
        <f>""</f>
        <v/>
      </c>
      <c r="CJ645" t="str">
        <f>""</f>
        <v/>
      </c>
      <c r="CK645" t="str">
        <f>""</f>
        <v/>
      </c>
      <c r="CL645" t="str">
        <f>""</f>
        <v/>
      </c>
      <c r="CM645" t="str">
        <f>""</f>
        <v/>
      </c>
      <c r="CN645" t="str">
        <f>""</f>
        <v/>
      </c>
      <c r="CO645" t="str">
        <f>""</f>
        <v/>
      </c>
      <c r="CP645" t="str">
        <f>""</f>
        <v/>
      </c>
      <c r="CQ645" t="str">
        <f>""</f>
        <v/>
      </c>
      <c r="CR645" t="str">
        <f>""</f>
        <v/>
      </c>
      <c r="CS645" t="str">
        <f>""</f>
        <v/>
      </c>
      <c r="CT645" t="str">
        <f>""</f>
        <v/>
      </c>
      <c r="CU645" t="str">
        <f>""</f>
        <v/>
      </c>
      <c r="CV645" t="str">
        <f>""</f>
        <v/>
      </c>
      <c r="CW645" t="str">
        <f>""</f>
        <v/>
      </c>
      <c r="CX645" t="str">
        <f>""</f>
        <v/>
      </c>
      <c r="CY645" t="str">
        <f>""</f>
        <v/>
      </c>
      <c r="CZ645" t="str">
        <f>""</f>
        <v/>
      </c>
      <c r="DA645" t="str">
        <f>""</f>
        <v/>
      </c>
      <c r="DB645" t="str">
        <f>""</f>
        <v/>
      </c>
      <c r="DC645" t="str">
        <f>""</f>
        <v/>
      </c>
      <c r="DD645" t="str">
        <f>""</f>
        <v/>
      </c>
      <c r="DE645" t="str">
        <f>""</f>
        <v/>
      </c>
      <c r="DF645" t="str">
        <f>""</f>
        <v/>
      </c>
      <c r="DG645" t="str">
        <f>""</f>
        <v/>
      </c>
      <c r="DH645" t="str">
        <f>""</f>
        <v/>
      </c>
      <c r="DI645" t="str">
        <f>""</f>
        <v/>
      </c>
      <c r="DJ645" t="str">
        <f>""</f>
        <v/>
      </c>
      <c r="DK645" t="str">
        <f>""</f>
        <v/>
      </c>
      <c r="DL645" t="str">
        <f>""</f>
        <v/>
      </c>
      <c r="DM645" t="str">
        <f>""</f>
        <v/>
      </c>
      <c r="DN645" t="str">
        <f>""</f>
        <v/>
      </c>
      <c r="DO645" t="str">
        <f>""</f>
        <v/>
      </c>
      <c r="DP645" t="str">
        <f>""</f>
        <v/>
      </c>
      <c r="DQ645" t="str">
        <f>""</f>
        <v/>
      </c>
      <c r="DR645" t="str">
        <f>""</f>
        <v/>
      </c>
      <c r="DS645" t="str">
        <f>""</f>
        <v/>
      </c>
      <c r="DT645" t="str">
        <f>""</f>
        <v/>
      </c>
      <c r="DU645" t="str">
        <f>""</f>
        <v/>
      </c>
    </row>
    <row r="646" spans="1:125" x14ac:dyDescent="0.25">
      <c r="A646" t="str">
        <f>$A$140</f>
        <v xml:space="preserve">    Ford Otomotiv Sanayi AS</v>
      </c>
      <c r="B646" t="str">
        <f>$B$140</f>
        <v>FROTOTRY EO Equity</v>
      </c>
      <c r="C646" t="str">
        <f>$C$140</f>
        <v>RR841</v>
      </c>
      <c r="D646" t="str">
        <f>$D$140</f>
        <v>TRAIL_12M_EBITDA</v>
      </c>
      <c r="E646" t="str">
        <f>$E$140</f>
        <v>Dynamic</v>
      </c>
      <c r="F646" t="str">
        <f ca="1">_xll.BDH($B$140,$C$140,$B$509,$B$510,CONCATENATE("Per=",$B$507),"Dts=H","Dir=H",CONCATENATE("Points=",$B$508),"Sort=R","Days=A","Fill=B",CONCATENATE("FX=", $B$506) )</f>
        <v>#N/A Connection</v>
      </c>
      <c r="BN646" t="str">
        <f>""</f>
        <v/>
      </c>
      <c r="BO646" t="str">
        <f>""</f>
        <v/>
      </c>
      <c r="BP646" t="str">
        <f>""</f>
        <v/>
      </c>
      <c r="BQ646" t="str">
        <f>""</f>
        <v/>
      </c>
      <c r="BR646" t="str">
        <f>""</f>
        <v/>
      </c>
      <c r="BS646" t="str">
        <f>""</f>
        <v/>
      </c>
      <c r="BT646" t="str">
        <f>""</f>
        <v/>
      </c>
      <c r="BU646" t="str">
        <f>""</f>
        <v/>
      </c>
      <c r="BV646" t="str">
        <f>""</f>
        <v/>
      </c>
      <c r="BW646" t="str">
        <f>""</f>
        <v/>
      </c>
      <c r="BX646" t="str">
        <f>""</f>
        <v/>
      </c>
      <c r="BY646" t="str">
        <f>""</f>
        <v/>
      </c>
      <c r="BZ646" t="str">
        <f>""</f>
        <v/>
      </c>
      <c r="CA646" t="str">
        <f>""</f>
        <v/>
      </c>
      <c r="CB646" t="str">
        <f>""</f>
        <v/>
      </c>
      <c r="CC646" t="str">
        <f>""</f>
        <v/>
      </c>
      <c r="CD646" t="str">
        <f>""</f>
        <v/>
      </c>
      <c r="CE646" t="str">
        <f>""</f>
        <v/>
      </c>
      <c r="CF646" t="str">
        <f>""</f>
        <v/>
      </c>
      <c r="CG646" t="str">
        <f>""</f>
        <v/>
      </c>
      <c r="CH646" t="str">
        <f>""</f>
        <v/>
      </c>
      <c r="CI646" t="str">
        <f>""</f>
        <v/>
      </c>
      <c r="CJ646" t="str">
        <f>""</f>
        <v/>
      </c>
      <c r="CK646" t="str">
        <f>""</f>
        <v/>
      </c>
      <c r="CL646" t="str">
        <f>""</f>
        <v/>
      </c>
      <c r="CM646" t="str">
        <f>""</f>
        <v/>
      </c>
      <c r="CN646" t="str">
        <f>""</f>
        <v/>
      </c>
      <c r="CO646" t="str">
        <f>""</f>
        <v/>
      </c>
      <c r="CP646" t="str">
        <f>""</f>
        <v/>
      </c>
      <c r="CQ646" t="str">
        <f>""</f>
        <v/>
      </c>
      <c r="CR646" t="str">
        <f>""</f>
        <v/>
      </c>
      <c r="CS646" t="str">
        <f>""</f>
        <v/>
      </c>
      <c r="CT646" t="str">
        <f>""</f>
        <v/>
      </c>
      <c r="CU646" t="str">
        <f>""</f>
        <v/>
      </c>
      <c r="CV646" t="str">
        <f>""</f>
        <v/>
      </c>
      <c r="CW646" t="str">
        <f>""</f>
        <v/>
      </c>
      <c r="CX646" t="str">
        <f>""</f>
        <v/>
      </c>
      <c r="CY646" t="str">
        <f>""</f>
        <v/>
      </c>
      <c r="CZ646" t="str">
        <f>""</f>
        <v/>
      </c>
      <c r="DA646" t="str">
        <f>""</f>
        <v/>
      </c>
      <c r="DB646" t="str">
        <f>""</f>
        <v/>
      </c>
      <c r="DC646" t="str">
        <f>""</f>
        <v/>
      </c>
      <c r="DD646" t="str">
        <f>""</f>
        <v/>
      </c>
      <c r="DE646" t="str">
        <f>""</f>
        <v/>
      </c>
      <c r="DF646" t="str">
        <f>""</f>
        <v/>
      </c>
      <c r="DG646" t="str">
        <f>""</f>
        <v/>
      </c>
      <c r="DH646" t="str">
        <f>""</f>
        <v/>
      </c>
      <c r="DI646" t="str">
        <f>""</f>
        <v/>
      </c>
      <c r="DJ646" t="str">
        <f>""</f>
        <v/>
      </c>
      <c r="DK646" t="str">
        <f>""</f>
        <v/>
      </c>
      <c r="DL646" t="str">
        <f>""</f>
        <v/>
      </c>
      <c r="DM646" t="str">
        <f>""</f>
        <v/>
      </c>
      <c r="DN646" t="str">
        <f>""</f>
        <v/>
      </c>
      <c r="DO646" t="str">
        <f>""</f>
        <v/>
      </c>
      <c r="DP646" t="str">
        <f>""</f>
        <v/>
      </c>
      <c r="DQ646" t="str">
        <f>""</f>
        <v/>
      </c>
      <c r="DR646" t="str">
        <f>""</f>
        <v/>
      </c>
      <c r="DS646" t="str">
        <f>""</f>
        <v/>
      </c>
      <c r="DT646" t="str">
        <f>""</f>
        <v/>
      </c>
      <c r="DU646" t="str">
        <f>""</f>
        <v/>
      </c>
    </row>
    <row r="647" spans="1:125" x14ac:dyDescent="0.25">
      <c r="A647" t="str">
        <f>$A$141</f>
        <v xml:space="preserve">    GAZ PJSC</v>
      </c>
      <c r="B647" t="str">
        <f>$B$141</f>
        <v>GAZA RM Equity</v>
      </c>
      <c r="C647" t="str">
        <f>$C$141</f>
        <v>RR841</v>
      </c>
      <c r="D647" t="str">
        <f>$D$141</f>
        <v>TRAIL_12M_EBITDA</v>
      </c>
      <c r="E647" t="str">
        <f>$E$141</f>
        <v>Dynamic</v>
      </c>
      <c r="F647" t="str">
        <f ca="1">_xll.BDH($B$141,$C$141,$B$509,$B$510,CONCATENATE("Per=",$B$507),"Dts=H","Dir=H",CONCATENATE("Points=",$B$508),"Sort=R","Days=A","Fill=B",CONCATENATE("FX=", $B$506) )</f>
        <v>#N/A Connection</v>
      </c>
      <c r="BN647" t="str">
        <f>""</f>
        <v/>
      </c>
      <c r="BO647" t="str">
        <f>""</f>
        <v/>
      </c>
      <c r="BP647" t="str">
        <f>""</f>
        <v/>
      </c>
      <c r="BQ647" t="str">
        <f>""</f>
        <v/>
      </c>
      <c r="BR647" t="str">
        <f>""</f>
        <v/>
      </c>
      <c r="BS647" t="str">
        <f>""</f>
        <v/>
      </c>
      <c r="BT647" t="str">
        <f>""</f>
        <v/>
      </c>
      <c r="BU647" t="str">
        <f>""</f>
        <v/>
      </c>
      <c r="BV647" t="str">
        <f>""</f>
        <v/>
      </c>
      <c r="BW647" t="str">
        <f>""</f>
        <v/>
      </c>
      <c r="BX647" t="str">
        <f>""</f>
        <v/>
      </c>
      <c r="BY647" t="str">
        <f>""</f>
        <v/>
      </c>
      <c r="BZ647" t="str">
        <f>""</f>
        <v/>
      </c>
      <c r="CA647" t="str">
        <f>""</f>
        <v/>
      </c>
      <c r="CB647" t="str">
        <f>""</f>
        <v/>
      </c>
      <c r="CC647" t="str">
        <f>""</f>
        <v/>
      </c>
      <c r="CD647" t="str">
        <f>""</f>
        <v/>
      </c>
      <c r="CE647" t="str">
        <f>""</f>
        <v/>
      </c>
      <c r="CF647" t="str">
        <f>""</f>
        <v/>
      </c>
      <c r="CG647" t="str">
        <f>""</f>
        <v/>
      </c>
      <c r="CH647" t="str">
        <f>""</f>
        <v/>
      </c>
      <c r="CI647" t="str">
        <f>""</f>
        <v/>
      </c>
      <c r="CJ647" t="str">
        <f>""</f>
        <v/>
      </c>
      <c r="CK647" t="str">
        <f>""</f>
        <v/>
      </c>
      <c r="CL647" t="str">
        <f>""</f>
        <v/>
      </c>
      <c r="CM647" t="str">
        <f>""</f>
        <v/>
      </c>
      <c r="CN647" t="str">
        <f>""</f>
        <v/>
      </c>
      <c r="CO647" t="str">
        <f>""</f>
        <v/>
      </c>
      <c r="CP647" t="str">
        <f>""</f>
        <v/>
      </c>
      <c r="CQ647" t="str">
        <f>""</f>
        <v/>
      </c>
      <c r="CR647" t="str">
        <f>""</f>
        <v/>
      </c>
      <c r="CS647" t="str">
        <f>""</f>
        <v/>
      </c>
      <c r="CT647" t="str">
        <f>""</f>
        <v/>
      </c>
      <c r="CU647" t="str">
        <f>""</f>
        <v/>
      </c>
      <c r="CV647" t="str">
        <f>""</f>
        <v/>
      </c>
      <c r="CW647" t="str">
        <f>""</f>
        <v/>
      </c>
      <c r="CX647" t="str">
        <f>""</f>
        <v/>
      </c>
      <c r="CY647" t="str">
        <f>""</f>
        <v/>
      </c>
      <c r="CZ647" t="str">
        <f>""</f>
        <v/>
      </c>
      <c r="DA647" t="str">
        <f>""</f>
        <v/>
      </c>
      <c r="DB647" t="str">
        <f>""</f>
        <v/>
      </c>
      <c r="DC647" t="str">
        <f>""</f>
        <v/>
      </c>
      <c r="DD647" t="str">
        <f>""</f>
        <v/>
      </c>
      <c r="DE647" t="str">
        <f>""</f>
        <v/>
      </c>
      <c r="DF647" t="str">
        <f>""</f>
        <v/>
      </c>
      <c r="DG647" t="str">
        <f>""</f>
        <v/>
      </c>
      <c r="DH647" t="str">
        <f>""</f>
        <v/>
      </c>
      <c r="DI647" t="str">
        <f>""</f>
        <v/>
      </c>
      <c r="DJ647" t="str">
        <f>""</f>
        <v/>
      </c>
      <c r="DK647" t="str">
        <f>""</f>
        <v/>
      </c>
      <c r="DL647" t="str">
        <f>""</f>
        <v/>
      </c>
      <c r="DM647" t="str">
        <f>""</f>
        <v/>
      </c>
      <c r="DN647" t="str">
        <f>""</f>
        <v/>
      </c>
      <c r="DO647" t="str">
        <f>""</f>
        <v/>
      </c>
      <c r="DP647" t="str">
        <f>""</f>
        <v/>
      </c>
      <c r="DQ647" t="str">
        <f>""</f>
        <v/>
      </c>
      <c r="DR647" t="str">
        <f>""</f>
        <v/>
      </c>
      <c r="DS647" t="str">
        <f>""</f>
        <v/>
      </c>
      <c r="DT647" t="str">
        <f>""</f>
        <v/>
      </c>
      <c r="DU647" t="str">
        <f>""</f>
        <v/>
      </c>
    </row>
    <row r="648" spans="1:125" x14ac:dyDescent="0.25">
      <c r="A648" t="str">
        <f>$A$142</f>
        <v xml:space="preserve">    Geely Automobile Holdings Ltd</v>
      </c>
      <c r="B648" t="str">
        <f>$B$142</f>
        <v>175 HK Equity</v>
      </c>
      <c r="C648" t="str">
        <f>$C$142</f>
        <v>RR841</v>
      </c>
      <c r="D648" t="str">
        <f>$D$142</f>
        <v>TRAIL_12M_EBITDA</v>
      </c>
      <c r="E648" t="str">
        <f>$E$142</f>
        <v>Dynamic</v>
      </c>
      <c r="F648" t="str">
        <f ca="1">_xll.BDH($B$142,$C$142,$B$509,$B$510,CONCATENATE("Per=",$B$507),"Dts=H","Dir=H",CONCATENATE("Points=",$B$508),"Sort=R","Days=A","Fill=B",CONCATENATE("FX=", $B$506) )</f>
        <v>#N/A Connection</v>
      </c>
      <c r="BN648" t="str">
        <f>""</f>
        <v/>
      </c>
      <c r="BO648" t="str">
        <f>""</f>
        <v/>
      </c>
      <c r="BP648" t="str">
        <f>""</f>
        <v/>
      </c>
      <c r="BQ648" t="str">
        <f>""</f>
        <v/>
      </c>
      <c r="BR648" t="str">
        <f>""</f>
        <v/>
      </c>
      <c r="BS648" t="str">
        <f>""</f>
        <v/>
      </c>
      <c r="BT648" t="str">
        <f>""</f>
        <v/>
      </c>
      <c r="BU648" t="str">
        <f>""</f>
        <v/>
      </c>
      <c r="BV648" t="str">
        <f>""</f>
        <v/>
      </c>
      <c r="BW648" t="str">
        <f>""</f>
        <v/>
      </c>
      <c r="BX648" t="str">
        <f>""</f>
        <v/>
      </c>
      <c r="BY648" t="str">
        <f>""</f>
        <v/>
      </c>
      <c r="BZ648" t="str">
        <f>""</f>
        <v/>
      </c>
      <c r="CA648" t="str">
        <f>""</f>
        <v/>
      </c>
      <c r="CB648" t="str">
        <f>""</f>
        <v/>
      </c>
      <c r="CC648" t="str">
        <f>""</f>
        <v/>
      </c>
      <c r="CD648" t="str">
        <f>""</f>
        <v/>
      </c>
      <c r="CE648" t="str">
        <f>""</f>
        <v/>
      </c>
      <c r="CF648" t="str">
        <f>""</f>
        <v/>
      </c>
      <c r="CG648" t="str">
        <f>""</f>
        <v/>
      </c>
      <c r="CH648" t="str">
        <f>""</f>
        <v/>
      </c>
      <c r="CI648" t="str">
        <f>""</f>
        <v/>
      </c>
      <c r="CJ648" t="str">
        <f>""</f>
        <v/>
      </c>
      <c r="CK648" t="str">
        <f>""</f>
        <v/>
      </c>
      <c r="CL648" t="str">
        <f>""</f>
        <v/>
      </c>
      <c r="CM648" t="str">
        <f>""</f>
        <v/>
      </c>
      <c r="CN648" t="str">
        <f>""</f>
        <v/>
      </c>
      <c r="CO648" t="str">
        <f>""</f>
        <v/>
      </c>
      <c r="CP648" t="str">
        <f>""</f>
        <v/>
      </c>
      <c r="CQ648" t="str">
        <f>""</f>
        <v/>
      </c>
      <c r="CR648" t="str">
        <f>""</f>
        <v/>
      </c>
      <c r="CS648" t="str">
        <f>""</f>
        <v/>
      </c>
      <c r="CT648" t="str">
        <f>""</f>
        <v/>
      </c>
      <c r="CU648" t="str">
        <f>""</f>
        <v/>
      </c>
      <c r="CV648" t="str">
        <f>""</f>
        <v/>
      </c>
      <c r="CW648" t="str">
        <f>""</f>
        <v/>
      </c>
      <c r="CX648" t="str">
        <f>""</f>
        <v/>
      </c>
      <c r="CY648" t="str">
        <f>""</f>
        <v/>
      </c>
      <c r="CZ648" t="str">
        <f>""</f>
        <v/>
      </c>
      <c r="DA648" t="str">
        <f>""</f>
        <v/>
      </c>
      <c r="DB648" t="str">
        <f>""</f>
        <v/>
      </c>
      <c r="DC648" t="str">
        <f>""</f>
        <v/>
      </c>
      <c r="DD648" t="str">
        <f>""</f>
        <v/>
      </c>
      <c r="DE648" t="str">
        <f>""</f>
        <v/>
      </c>
      <c r="DF648" t="str">
        <f>""</f>
        <v/>
      </c>
      <c r="DG648" t="str">
        <f>""</f>
        <v/>
      </c>
      <c r="DH648" t="str">
        <f>""</f>
        <v/>
      </c>
      <c r="DI648" t="str">
        <f>""</f>
        <v/>
      </c>
      <c r="DJ648" t="str">
        <f>""</f>
        <v/>
      </c>
      <c r="DK648" t="str">
        <f>""</f>
        <v/>
      </c>
      <c r="DL648" t="str">
        <f>""</f>
        <v/>
      </c>
      <c r="DM648" t="str">
        <f>""</f>
        <v/>
      </c>
      <c r="DN648" t="str">
        <f>""</f>
        <v/>
      </c>
      <c r="DO648" t="str">
        <f>""</f>
        <v/>
      </c>
      <c r="DP648" t="str">
        <f>""</f>
        <v/>
      </c>
      <c r="DQ648" t="str">
        <f>""</f>
        <v/>
      </c>
      <c r="DR648" t="str">
        <f>""</f>
        <v/>
      </c>
      <c r="DS648" t="str">
        <f>""</f>
        <v/>
      </c>
      <c r="DT648" t="str">
        <f>""</f>
        <v/>
      </c>
      <c r="DU648" t="str">
        <f>""</f>
        <v/>
      </c>
    </row>
    <row r="649" spans="1:125" x14ac:dyDescent="0.25">
      <c r="A649" t="str">
        <f>$A$143</f>
        <v xml:space="preserve">    General Motors Co</v>
      </c>
      <c r="B649" t="str">
        <f>$B$143</f>
        <v>GM US Equity</v>
      </c>
      <c r="C649" t="str">
        <f>$C$143</f>
        <v>RR841</v>
      </c>
      <c r="D649" t="str">
        <f>$D$143</f>
        <v>TRAIL_12M_EBITDA</v>
      </c>
      <c r="E649" t="str">
        <f>$E$143</f>
        <v>Dynamic</v>
      </c>
      <c r="F649" t="str">
        <f ca="1">_xll.BDH($B$143,$C$143,$B$509,$B$510,CONCATENATE("Per=",$B$507),"Dts=H","Dir=H",CONCATENATE("Points=",$B$508),"Sort=R","Days=A","Fill=B",CONCATENATE("FX=", $B$506) )</f>
        <v>#N/A Connection</v>
      </c>
      <c r="BN649" t="str">
        <f>""</f>
        <v/>
      </c>
      <c r="BO649" t="str">
        <f>""</f>
        <v/>
      </c>
      <c r="BP649" t="str">
        <f>""</f>
        <v/>
      </c>
      <c r="BQ649" t="str">
        <f>""</f>
        <v/>
      </c>
      <c r="BR649" t="str">
        <f>""</f>
        <v/>
      </c>
      <c r="BS649" t="str">
        <f>""</f>
        <v/>
      </c>
      <c r="BT649" t="str">
        <f>""</f>
        <v/>
      </c>
      <c r="BU649" t="str">
        <f>""</f>
        <v/>
      </c>
      <c r="BV649" t="str">
        <f>""</f>
        <v/>
      </c>
      <c r="BW649" t="str">
        <f>""</f>
        <v/>
      </c>
      <c r="BX649" t="str">
        <f>""</f>
        <v/>
      </c>
      <c r="BY649" t="str">
        <f>""</f>
        <v/>
      </c>
      <c r="BZ649" t="str">
        <f>""</f>
        <v/>
      </c>
      <c r="CA649" t="str">
        <f>""</f>
        <v/>
      </c>
      <c r="CB649" t="str">
        <f>""</f>
        <v/>
      </c>
      <c r="CC649" t="str">
        <f>""</f>
        <v/>
      </c>
      <c r="CD649" t="str">
        <f>""</f>
        <v/>
      </c>
      <c r="CE649" t="str">
        <f>""</f>
        <v/>
      </c>
      <c r="CF649" t="str">
        <f>""</f>
        <v/>
      </c>
      <c r="CG649" t="str">
        <f>""</f>
        <v/>
      </c>
      <c r="CH649" t="str">
        <f>""</f>
        <v/>
      </c>
      <c r="CI649" t="str">
        <f>""</f>
        <v/>
      </c>
      <c r="CJ649" t="str">
        <f>""</f>
        <v/>
      </c>
      <c r="CK649" t="str">
        <f>""</f>
        <v/>
      </c>
      <c r="CL649" t="str">
        <f>""</f>
        <v/>
      </c>
      <c r="CM649" t="str">
        <f>""</f>
        <v/>
      </c>
      <c r="CN649" t="str">
        <f>""</f>
        <v/>
      </c>
      <c r="CO649" t="str">
        <f>""</f>
        <v/>
      </c>
      <c r="CP649" t="str">
        <f>""</f>
        <v/>
      </c>
      <c r="CQ649" t="str">
        <f>""</f>
        <v/>
      </c>
      <c r="CR649" t="str">
        <f>""</f>
        <v/>
      </c>
      <c r="CS649" t="str">
        <f>""</f>
        <v/>
      </c>
      <c r="CT649" t="str">
        <f>""</f>
        <v/>
      </c>
      <c r="CU649" t="str">
        <f>""</f>
        <v/>
      </c>
      <c r="CV649" t="str">
        <f>""</f>
        <v/>
      </c>
      <c r="CW649" t="str">
        <f>""</f>
        <v/>
      </c>
      <c r="CX649" t="str">
        <f>""</f>
        <v/>
      </c>
      <c r="CY649" t="str">
        <f>""</f>
        <v/>
      </c>
      <c r="CZ649" t="str">
        <f>""</f>
        <v/>
      </c>
      <c r="DA649" t="str">
        <f>""</f>
        <v/>
      </c>
      <c r="DB649" t="str">
        <f>""</f>
        <v/>
      </c>
      <c r="DC649" t="str">
        <f>""</f>
        <v/>
      </c>
      <c r="DD649" t="str">
        <f>""</f>
        <v/>
      </c>
      <c r="DE649" t="str">
        <f>""</f>
        <v/>
      </c>
      <c r="DF649" t="str">
        <f>""</f>
        <v/>
      </c>
      <c r="DG649" t="str">
        <f>""</f>
        <v/>
      </c>
      <c r="DH649" t="str">
        <f>""</f>
        <v/>
      </c>
      <c r="DI649" t="str">
        <f>""</f>
        <v/>
      </c>
      <c r="DJ649" t="str">
        <f>""</f>
        <v/>
      </c>
      <c r="DK649" t="str">
        <f>""</f>
        <v/>
      </c>
      <c r="DL649" t="str">
        <f>""</f>
        <v/>
      </c>
      <c r="DM649" t="str">
        <f>""</f>
        <v/>
      </c>
      <c r="DN649" t="str">
        <f>""</f>
        <v/>
      </c>
      <c r="DO649" t="str">
        <f>""</f>
        <v/>
      </c>
      <c r="DP649" t="str">
        <f>""</f>
        <v/>
      </c>
      <c r="DQ649" t="str">
        <f>""</f>
        <v/>
      </c>
      <c r="DR649" t="str">
        <f>""</f>
        <v/>
      </c>
      <c r="DS649" t="str">
        <f>""</f>
        <v/>
      </c>
      <c r="DT649" t="str">
        <f>""</f>
        <v/>
      </c>
      <c r="DU649" t="str">
        <f>""</f>
        <v/>
      </c>
    </row>
    <row r="650" spans="1:125" x14ac:dyDescent="0.25">
      <c r="A650" t="str">
        <f>$A$144</f>
        <v xml:space="preserve">    Great Wall Motor Co Ltd</v>
      </c>
      <c r="B650" t="str">
        <f>$B$144</f>
        <v>2333 HK Equity</v>
      </c>
      <c r="C650" t="str">
        <f>$C$144</f>
        <v>RR841</v>
      </c>
      <c r="D650" t="str">
        <f>$D$144</f>
        <v>TRAIL_12M_EBITDA</v>
      </c>
      <c r="E650" t="str">
        <f>$E$144</f>
        <v>Dynamic</v>
      </c>
      <c r="F650" t="str">
        <f ca="1">_xll.BDH($B$144,$C$144,$B$509,$B$510,CONCATENATE("Per=",$B$507),"Dts=H","Dir=H",CONCATENATE("Points=",$B$508),"Sort=R","Days=A","Fill=B",CONCATENATE("FX=", $B$506) )</f>
        <v>#N/A Connection</v>
      </c>
      <c r="BN650" t="str">
        <f>""</f>
        <v/>
      </c>
      <c r="BO650" t="str">
        <f>""</f>
        <v/>
      </c>
      <c r="BP650" t="str">
        <f>""</f>
        <v/>
      </c>
      <c r="BQ650" t="str">
        <f>""</f>
        <v/>
      </c>
      <c r="BR650" t="str">
        <f>""</f>
        <v/>
      </c>
      <c r="BS650" t="str">
        <f>""</f>
        <v/>
      </c>
      <c r="BT650" t="str">
        <f>""</f>
        <v/>
      </c>
      <c r="BU650" t="str">
        <f>""</f>
        <v/>
      </c>
      <c r="BV650" t="str">
        <f>""</f>
        <v/>
      </c>
      <c r="BW650" t="str">
        <f>""</f>
        <v/>
      </c>
      <c r="BX650" t="str">
        <f>""</f>
        <v/>
      </c>
      <c r="BY650" t="str">
        <f>""</f>
        <v/>
      </c>
      <c r="BZ650" t="str">
        <f>""</f>
        <v/>
      </c>
      <c r="CA650" t="str">
        <f>""</f>
        <v/>
      </c>
      <c r="CB650" t="str">
        <f>""</f>
        <v/>
      </c>
      <c r="CC650" t="str">
        <f>""</f>
        <v/>
      </c>
      <c r="CD650" t="str">
        <f>""</f>
        <v/>
      </c>
      <c r="CE650" t="str">
        <f>""</f>
        <v/>
      </c>
      <c r="CF650" t="str">
        <f>""</f>
        <v/>
      </c>
      <c r="CG650" t="str">
        <f>""</f>
        <v/>
      </c>
      <c r="CH650" t="str">
        <f>""</f>
        <v/>
      </c>
      <c r="CI650" t="str">
        <f>""</f>
        <v/>
      </c>
      <c r="CJ650" t="str">
        <f>""</f>
        <v/>
      </c>
      <c r="CK650" t="str">
        <f>""</f>
        <v/>
      </c>
      <c r="CL650" t="str">
        <f>""</f>
        <v/>
      </c>
      <c r="CM650" t="str">
        <f>""</f>
        <v/>
      </c>
      <c r="CN650" t="str">
        <f>""</f>
        <v/>
      </c>
      <c r="CO650" t="str">
        <f>""</f>
        <v/>
      </c>
      <c r="CP650" t="str">
        <f>""</f>
        <v/>
      </c>
      <c r="CQ650" t="str">
        <f>""</f>
        <v/>
      </c>
      <c r="CR650" t="str">
        <f>""</f>
        <v/>
      </c>
      <c r="CS650" t="str">
        <f>""</f>
        <v/>
      </c>
      <c r="CT650" t="str">
        <f>""</f>
        <v/>
      </c>
      <c r="CU650" t="str">
        <f>""</f>
        <v/>
      </c>
      <c r="CV650" t="str">
        <f>""</f>
        <v/>
      </c>
      <c r="CW650" t="str">
        <f>""</f>
        <v/>
      </c>
      <c r="CX650" t="str">
        <f>""</f>
        <v/>
      </c>
      <c r="CY650" t="str">
        <f>""</f>
        <v/>
      </c>
      <c r="CZ650" t="str">
        <f>""</f>
        <v/>
      </c>
      <c r="DA650" t="str">
        <f>""</f>
        <v/>
      </c>
      <c r="DB650" t="str">
        <f>""</f>
        <v/>
      </c>
      <c r="DC650" t="str">
        <f>""</f>
        <v/>
      </c>
      <c r="DD650" t="str">
        <f>""</f>
        <v/>
      </c>
      <c r="DE650" t="str">
        <f>""</f>
        <v/>
      </c>
      <c r="DF650" t="str">
        <f>""</f>
        <v/>
      </c>
      <c r="DG650" t="str">
        <f>""</f>
        <v/>
      </c>
      <c r="DH650" t="str">
        <f>""</f>
        <v/>
      </c>
      <c r="DI650" t="str">
        <f>""</f>
        <v/>
      </c>
      <c r="DJ650" t="str">
        <f>""</f>
        <v/>
      </c>
      <c r="DK650" t="str">
        <f>""</f>
        <v/>
      </c>
      <c r="DL650" t="str">
        <f>""</f>
        <v/>
      </c>
      <c r="DM650" t="str">
        <f>""</f>
        <v/>
      </c>
      <c r="DN650" t="str">
        <f>""</f>
        <v/>
      </c>
      <c r="DO650" t="str">
        <f>""</f>
        <v/>
      </c>
      <c r="DP650" t="str">
        <f>""</f>
        <v/>
      </c>
      <c r="DQ650" t="str">
        <f>""</f>
        <v/>
      </c>
      <c r="DR650" t="str">
        <f>""</f>
        <v/>
      </c>
      <c r="DS650" t="str">
        <f>""</f>
        <v/>
      </c>
      <c r="DT650" t="str">
        <f>""</f>
        <v/>
      </c>
      <c r="DU650" t="str">
        <f>""</f>
        <v/>
      </c>
    </row>
    <row r="651" spans="1:125" x14ac:dyDescent="0.25">
      <c r="A651" t="str">
        <f>$A$145</f>
        <v xml:space="preserve">    Guangzhou Automobile Group Co Ltd</v>
      </c>
      <c r="B651" t="str">
        <f>$B$145</f>
        <v>2238 HK Equity</v>
      </c>
      <c r="C651" t="str">
        <f>$C$145</f>
        <v>RR841</v>
      </c>
      <c r="D651" t="str">
        <f>$D$145</f>
        <v>TRAIL_12M_EBITDA</v>
      </c>
      <c r="E651" t="str">
        <f>$E$145</f>
        <v>Dynamic</v>
      </c>
      <c r="F651" t="str">
        <f ca="1">_xll.BDH($B$145,$C$145,$B$509,$B$510,CONCATENATE("Per=",$B$507),"Dts=H","Dir=H",CONCATENATE("Points=",$B$508),"Sort=R","Days=A","Fill=B",CONCATENATE("FX=", $B$506) )</f>
        <v>#N/A Connection</v>
      </c>
      <c r="BN651" t="str">
        <f>""</f>
        <v/>
      </c>
      <c r="BO651" t="str">
        <f>""</f>
        <v/>
      </c>
      <c r="BP651" t="str">
        <f>""</f>
        <v/>
      </c>
      <c r="BQ651" t="str">
        <f>""</f>
        <v/>
      </c>
      <c r="BR651" t="str">
        <f>""</f>
        <v/>
      </c>
      <c r="BS651" t="str">
        <f>""</f>
        <v/>
      </c>
      <c r="BT651" t="str">
        <f>""</f>
        <v/>
      </c>
      <c r="BU651" t="str">
        <f>""</f>
        <v/>
      </c>
      <c r="BV651" t="str">
        <f>""</f>
        <v/>
      </c>
      <c r="BW651" t="str">
        <f>""</f>
        <v/>
      </c>
      <c r="BX651" t="str">
        <f>""</f>
        <v/>
      </c>
      <c r="BY651" t="str">
        <f>""</f>
        <v/>
      </c>
      <c r="BZ651" t="str">
        <f>""</f>
        <v/>
      </c>
      <c r="CA651" t="str">
        <f>""</f>
        <v/>
      </c>
      <c r="CB651" t="str">
        <f>""</f>
        <v/>
      </c>
      <c r="CC651" t="str">
        <f>""</f>
        <v/>
      </c>
      <c r="CD651" t="str">
        <f>""</f>
        <v/>
      </c>
      <c r="CE651" t="str">
        <f>""</f>
        <v/>
      </c>
      <c r="CF651" t="str">
        <f>""</f>
        <v/>
      </c>
      <c r="CG651" t="str">
        <f>""</f>
        <v/>
      </c>
      <c r="CH651" t="str">
        <f>""</f>
        <v/>
      </c>
      <c r="CI651" t="str">
        <f>""</f>
        <v/>
      </c>
      <c r="CJ651" t="str">
        <f>""</f>
        <v/>
      </c>
      <c r="CK651" t="str">
        <f>""</f>
        <v/>
      </c>
      <c r="CL651" t="str">
        <f>""</f>
        <v/>
      </c>
      <c r="CM651" t="str">
        <f>""</f>
        <v/>
      </c>
      <c r="CN651" t="str">
        <f>""</f>
        <v/>
      </c>
      <c r="CO651" t="str">
        <f>""</f>
        <v/>
      </c>
      <c r="CP651" t="str">
        <f>""</f>
        <v/>
      </c>
      <c r="CQ651" t="str">
        <f>""</f>
        <v/>
      </c>
      <c r="CR651" t="str">
        <f>""</f>
        <v/>
      </c>
      <c r="CS651" t="str">
        <f>""</f>
        <v/>
      </c>
      <c r="CT651" t="str">
        <f>""</f>
        <v/>
      </c>
      <c r="CU651" t="str">
        <f>""</f>
        <v/>
      </c>
      <c r="CV651" t="str">
        <f>""</f>
        <v/>
      </c>
      <c r="CW651" t="str">
        <f>""</f>
        <v/>
      </c>
      <c r="CX651" t="str">
        <f>""</f>
        <v/>
      </c>
      <c r="CY651" t="str">
        <f>""</f>
        <v/>
      </c>
      <c r="CZ651" t="str">
        <f>""</f>
        <v/>
      </c>
      <c r="DA651" t="str">
        <f>""</f>
        <v/>
      </c>
      <c r="DB651" t="str">
        <f>""</f>
        <v/>
      </c>
      <c r="DC651" t="str">
        <f>""</f>
        <v/>
      </c>
      <c r="DD651" t="str">
        <f>""</f>
        <v/>
      </c>
      <c r="DE651" t="str">
        <f>""</f>
        <v/>
      </c>
      <c r="DF651" t="str">
        <f>""</f>
        <v/>
      </c>
      <c r="DG651" t="str">
        <f>""</f>
        <v/>
      </c>
      <c r="DH651" t="str">
        <f>""</f>
        <v/>
      </c>
      <c r="DI651" t="str">
        <f>""</f>
        <v/>
      </c>
      <c r="DJ651" t="str">
        <f>""</f>
        <v/>
      </c>
      <c r="DK651" t="str">
        <f>""</f>
        <v/>
      </c>
      <c r="DL651" t="str">
        <f>""</f>
        <v/>
      </c>
      <c r="DM651" t="str">
        <f>""</f>
        <v/>
      </c>
      <c r="DN651" t="str">
        <f>""</f>
        <v/>
      </c>
      <c r="DO651" t="str">
        <f>""</f>
        <v/>
      </c>
      <c r="DP651" t="str">
        <f>""</f>
        <v/>
      </c>
      <c r="DQ651" t="str">
        <f>""</f>
        <v/>
      </c>
      <c r="DR651" t="str">
        <f>""</f>
        <v/>
      </c>
      <c r="DS651" t="str">
        <f>""</f>
        <v/>
      </c>
      <c r="DT651" t="str">
        <f>""</f>
        <v/>
      </c>
      <c r="DU651" t="str">
        <f>""</f>
        <v/>
      </c>
    </row>
    <row r="652" spans="1:125" x14ac:dyDescent="0.25">
      <c r="A652" t="str">
        <f>$A$146</f>
        <v xml:space="preserve">    Honda Motor Co Ltd</v>
      </c>
      <c r="B652" t="str">
        <f>$B$146</f>
        <v>7267 JP Equity</v>
      </c>
      <c r="C652" t="str">
        <f>$C$146</f>
        <v>RR841</v>
      </c>
      <c r="D652" t="str">
        <f>$D$146</f>
        <v>TRAIL_12M_EBITDA</v>
      </c>
      <c r="E652" t="str">
        <f>$E$146</f>
        <v>Dynamic</v>
      </c>
      <c r="F652" t="str">
        <f ca="1">_xll.BDH($B$146,$C$146,$B$509,$B$510,CONCATENATE("Per=",$B$507),"Dts=H","Dir=H",CONCATENATE("Points=",$B$508),"Sort=R","Days=A","Fill=B",CONCATENATE("FX=", $B$506) )</f>
        <v>#N/A Connection</v>
      </c>
      <c r="BN652" t="str">
        <f>""</f>
        <v/>
      </c>
      <c r="BO652" t="str">
        <f>""</f>
        <v/>
      </c>
      <c r="BP652" t="str">
        <f>""</f>
        <v/>
      </c>
      <c r="BQ652" t="str">
        <f>""</f>
        <v/>
      </c>
      <c r="BR652" t="str">
        <f>""</f>
        <v/>
      </c>
      <c r="BS652" t="str">
        <f>""</f>
        <v/>
      </c>
      <c r="BT652" t="str">
        <f>""</f>
        <v/>
      </c>
      <c r="BU652" t="str">
        <f>""</f>
        <v/>
      </c>
      <c r="BV652" t="str">
        <f>""</f>
        <v/>
      </c>
      <c r="BW652" t="str">
        <f>""</f>
        <v/>
      </c>
      <c r="BX652" t="str">
        <f>""</f>
        <v/>
      </c>
      <c r="BY652" t="str">
        <f>""</f>
        <v/>
      </c>
      <c r="BZ652" t="str">
        <f>""</f>
        <v/>
      </c>
      <c r="CA652" t="str">
        <f>""</f>
        <v/>
      </c>
      <c r="CB652" t="str">
        <f>""</f>
        <v/>
      </c>
      <c r="CC652" t="str">
        <f>""</f>
        <v/>
      </c>
      <c r="CD652" t="str">
        <f>""</f>
        <v/>
      </c>
      <c r="CE652" t="str">
        <f>""</f>
        <v/>
      </c>
      <c r="CF652" t="str">
        <f>""</f>
        <v/>
      </c>
      <c r="CG652" t="str">
        <f>""</f>
        <v/>
      </c>
      <c r="CH652" t="str">
        <f>""</f>
        <v/>
      </c>
      <c r="CI652" t="str">
        <f>""</f>
        <v/>
      </c>
      <c r="CJ652" t="str">
        <f>""</f>
        <v/>
      </c>
      <c r="CK652" t="str">
        <f>""</f>
        <v/>
      </c>
      <c r="CL652" t="str">
        <f>""</f>
        <v/>
      </c>
      <c r="CM652" t="str">
        <f>""</f>
        <v/>
      </c>
      <c r="CN652" t="str">
        <f>""</f>
        <v/>
      </c>
      <c r="CO652" t="str">
        <f>""</f>
        <v/>
      </c>
      <c r="CP652" t="str">
        <f>""</f>
        <v/>
      </c>
      <c r="CQ652" t="str">
        <f>""</f>
        <v/>
      </c>
      <c r="CR652" t="str">
        <f>""</f>
        <v/>
      </c>
      <c r="CS652" t="str">
        <f>""</f>
        <v/>
      </c>
      <c r="CT652" t="str">
        <f>""</f>
        <v/>
      </c>
      <c r="CU652" t="str">
        <f>""</f>
        <v/>
      </c>
      <c r="CV652" t="str">
        <f>""</f>
        <v/>
      </c>
      <c r="CW652" t="str">
        <f>""</f>
        <v/>
      </c>
      <c r="CX652" t="str">
        <f>""</f>
        <v/>
      </c>
      <c r="CY652" t="str">
        <f>""</f>
        <v/>
      </c>
      <c r="CZ652" t="str">
        <f>""</f>
        <v/>
      </c>
      <c r="DA652" t="str">
        <f>""</f>
        <v/>
      </c>
      <c r="DB652" t="str">
        <f>""</f>
        <v/>
      </c>
      <c r="DC652" t="str">
        <f>""</f>
        <v/>
      </c>
      <c r="DD652" t="str">
        <f>""</f>
        <v/>
      </c>
      <c r="DE652" t="str">
        <f>""</f>
        <v/>
      </c>
      <c r="DF652" t="str">
        <f>""</f>
        <v/>
      </c>
      <c r="DG652" t="str">
        <f>""</f>
        <v/>
      </c>
      <c r="DH652" t="str">
        <f>""</f>
        <v/>
      </c>
      <c r="DI652" t="str">
        <f>""</f>
        <v/>
      </c>
      <c r="DJ652" t="str">
        <f>""</f>
        <v/>
      </c>
      <c r="DK652" t="str">
        <f>""</f>
        <v/>
      </c>
      <c r="DL652" t="str">
        <f>""</f>
        <v/>
      </c>
      <c r="DM652" t="str">
        <f>""</f>
        <v/>
      </c>
      <c r="DN652" t="str">
        <f>""</f>
        <v/>
      </c>
      <c r="DO652" t="str">
        <f>""</f>
        <v/>
      </c>
      <c r="DP652" t="str">
        <f>""</f>
        <v/>
      </c>
      <c r="DQ652" t="str">
        <f>""</f>
        <v/>
      </c>
      <c r="DR652" t="str">
        <f>""</f>
        <v/>
      </c>
      <c r="DS652" t="str">
        <f>""</f>
        <v/>
      </c>
      <c r="DT652" t="str">
        <f>""</f>
        <v/>
      </c>
      <c r="DU652" t="str">
        <f>""</f>
        <v/>
      </c>
    </row>
    <row r="653" spans="1:125" x14ac:dyDescent="0.25">
      <c r="A653" t="str">
        <f>$A$147</f>
        <v xml:space="preserve">    Hyundai Motor Co</v>
      </c>
      <c r="B653" t="str">
        <f>$B$147</f>
        <v>005380 KS Equity</v>
      </c>
      <c r="C653" t="str">
        <f>$C$147</f>
        <v>RR841</v>
      </c>
      <c r="D653" t="str">
        <f>$D$147</f>
        <v>TRAIL_12M_EBITDA</v>
      </c>
      <c r="E653" t="str">
        <f>$E$147</f>
        <v>Dynamic</v>
      </c>
      <c r="F653" t="str">
        <f ca="1">_xll.BDH($B$147,$C$147,$B$509,$B$510,CONCATENATE("Per=",$B$507),"Dts=H","Dir=H",CONCATENATE("Points=",$B$508),"Sort=R","Days=A","Fill=B",CONCATENATE("FX=", $B$506) )</f>
        <v>#N/A Connection</v>
      </c>
      <c r="BN653" t="str">
        <f>""</f>
        <v/>
      </c>
      <c r="BO653" t="str">
        <f>""</f>
        <v/>
      </c>
      <c r="BP653" t="str">
        <f>""</f>
        <v/>
      </c>
      <c r="BQ653" t="str">
        <f>""</f>
        <v/>
      </c>
      <c r="BR653" t="str">
        <f>""</f>
        <v/>
      </c>
      <c r="BS653" t="str">
        <f>""</f>
        <v/>
      </c>
      <c r="BT653" t="str">
        <f>""</f>
        <v/>
      </c>
      <c r="BU653" t="str">
        <f>""</f>
        <v/>
      </c>
      <c r="BV653" t="str">
        <f>""</f>
        <v/>
      </c>
      <c r="BW653" t="str">
        <f>""</f>
        <v/>
      </c>
      <c r="BX653" t="str">
        <f>""</f>
        <v/>
      </c>
      <c r="BY653" t="str">
        <f>""</f>
        <v/>
      </c>
      <c r="BZ653" t="str">
        <f>""</f>
        <v/>
      </c>
      <c r="CA653" t="str">
        <f>""</f>
        <v/>
      </c>
      <c r="CB653" t="str">
        <f>""</f>
        <v/>
      </c>
      <c r="CC653" t="str">
        <f>""</f>
        <v/>
      </c>
      <c r="CD653" t="str">
        <f>""</f>
        <v/>
      </c>
      <c r="CE653" t="str">
        <f>""</f>
        <v/>
      </c>
      <c r="CF653" t="str">
        <f>""</f>
        <v/>
      </c>
      <c r="CG653" t="str">
        <f>""</f>
        <v/>
      </c>
      <c r="CH653" t="str">
        <f>""</f>
        <v/>
      </c>
      <c r="CI653" t="str">
        <f>""</f>
        <v/>
      </c>
      <c r="CJ653" t="str">
        <f>""</f>
        <v/>
      </c>
      <c r="CK653" t="str">
        <f>""</f>
        <v/>
      </c>
      <c r="CL653" t="str">
        <f>""</f>
        <v/>
      </c>
      <c r="CM653" t="str">
        <f>""</f>
        <v/>
      </c>
      <c r="CN653" t="str">
        <f>""</f>
        <v/>
      </c>
      <c r="CO653" t="str">
        <f>""</f>
        <v/>
      </c>
      <c r="CP653" t="str">
        <f>""</f>
        <v/>
      </c>
      <c r="CQ653" t="str">
        <f>""</f>
        <v/>
      </c>
      <c r="CR653" t="str">
        <f>""</f>
        <v/>
      </c>
      <c r="CS653" t="str">
        <f>""</f>
        <v/>
      </c>
      <c r="CT653" t="str">
        <f>""</f>
        <v/>
      </c>
      <c r="CU653" t="str">
        <f>""</f>
        <v/>
      </c>
      <c r="CV653" t="str">
        <f>""</f>
        <v/>
      </c>
      <c r="CW653" t="str">
        <f>""</f>
        <v/>
      </c>
      <c r="CX653" t="str">
        <f>""</f>
        <v/>
      </c>
      <c r="CY653" t="str">
        <f>""</f>
        <v/>
      </c>
      <c r="CZ653" t="str">
        <f>""</f>
        <v/>
      </c>
      <c r="DA653" t="str">
        <f>""</f>
        <v/>
      </c>
      <c r="DB653" t="str">
        <f>""</f>
        <v/>
      </c>
      <c r="DC653" t="str">
        <f>""</f>
        <v/>
      </c>
      <c r="DD653" t="str">
        <f>""</f>
        <v/>
      </c>
      <c r="DE653" t="str">
        <f>""</f>
        <v/>
      </c>
      <c r="DF653" t="str">
        <f>""</f>
        <v/>
      </c>
      <c r="DG653" t="str">
        <f>""</f>
        <v/>
      </c>
      <c r="DH653" t="str">
        <f>""</f>
        <v/>
      </c>
      <c r="DI653" t="str">
        <f>""</f>
        <v/>
      </c>
      <c r="DJ653" t="str">
        <f>""</f>
        <v/>
      </c>
      <c r="DK653" t="str">
        <f>""</f>
        <v/>
      </c>
      <c r="DL653" t="str">
        <f>""</f>
        <v/>
      </c>
      <c r="DM653" t="str">
        <f>""</f>
        <v/>
      </c>
      <c r="DN653" t="str">
        <f>""</f>
        <v/>
      </c>
      <c r="DO653" t="str">
        <f>""</f>
        <v/>
      </c>
      <c r="DP653" t="str">
        <f>""</f>
        <v/>
      </c>
      <c r="DQ653" t="str">
        <f>""</f>
        <v/>
      </c>
      <c r="DR653" t="str">
        <f>""</f>
        <v/>
      </c>
      <c r="DS653" t="str">
        <f>""</f>
        <v/>
      </c>
      <c r="DT653" t="str">
        <f>""</f>
        <v/>
      </c>
      <c r="DU653" t="str">
        <f>""</f>
        <v/>
      </c>
    </row>
    <row r="654" spans="1:125" x14ac:dyDescent="0.25">
      <c r="A654" t="str">
        <f>$A$148</f>
        <v xml:space="preserve">    Kia Motors Corp</v>
      </c>
      <c r="B654" t="str">
        <f>$B$148</f>
        <v>000270 KS Equity</v>
      </c>
      <c r="C654" t="str">
        <f>$C$148</f>
        <v>RR841</v>
      </c>
      <c r="D654" t="str">
        <f>$D$148</f>
        <v>TRAIL_12M_EBITDA</v>
      </c>
      <c r="E654" t="str">
        <f>$E$148</f>
        <v>Dynamic</v>
      </c>
      <c r="F654" t="str">
        <f ca="1">_xll.BDH($B$148,$C$148,$B$509,$B$510,CONCATENATE("Per=",$B$507),"Dts=H","Dir=H",CONCATENATE("Points=",$B$508),"Sort=R","Days=A","Fill=B",CONCATENATE("FX=", $B$506) )</f>
        <v>#N/A Connection</v>
      </c>
      <c r="BN654" t="str">
        <f>""</f>
        <v/>
      </c>
      <c r="BO654" t="str">
        <f>""</f>
        <v/>
      </c>
      <c r="BP654" t="str">
        <f>""</f>
        <v/>
      </c>
      <c r="BQ654" t="str">
        <f>""</f>
        <v/>
      </c>
      <c r="BR654" t="str">
        <f>""</f>
        <v/>
      </c>
      <c r="BS654" t="str">
        <f>""</f>
        <v/>
      </c>
      <c r="BT654" t="str">
        <f>""</f>
        <v/>
      </c>
      <c r="BU654" t="str">
        <f>""</f>
        <v/>
      </c>
      <c r="BV654" t="str">
        <f>""</f>
        <v/>
      </c>
      <c r="BW654" t="str">
        <f>""</f>
        <v/>
      </c>
      <c r="BX654" t="str">
        <f>""</f>
        <v/>
      </c>
      <c r="BY654" t="str">
        <f>""</f>
        <v/>
      </c>
      <c r="BZ654" t="str">
        <f>""</f>
        <v/>
      </c>
      <c r="CA654" t="str">
        <f>""</f>
        <v/>
      </c>
      <c r="CB654" t="str">
        <f>""</f>
        <v/>
      </c>
      <c r="CC654" t="str">
        <f>""</f>
        <v/>
      </c>
      <c r="CD654" t="str">
        <f>""</f>
        <v/>
      </c>
      <c r="CE654" t="str">
        <f>""</f>
        <v/>
      </c>
      <c r="CF654" t="str">
        <f>""</f>
        <v/>
      </c>
      <c r="CG654" t="str">
        <f>""</f>
        <v/>
      </c>
      <c r="CH654" t="str">
        <f>""</f>
        <v/>
      </c>
      <c r="CI654" t="str">
        <f>""</f>
        <v/>
      </c>
      <c r="CJ654" t="str">
        <f>""</f>
        <v/>
      </c>
      <c r="CK654" t="str">
        <f>""</f>
        <v/>
      </c>
      <c r="CL654" t="str">
        <f>""</f>
        <v/>
      </c>
      <c r="CM654" t="str">
        <f>""</f>
        <v/>
      </c>
      <c r="CN654" t="str">
        <f>""</f>
        <v/>
      </c>
      <c r="CO654" t="str">
        <f>""</f>
        <v/>
      </c>
      <c r="CP654" t="str">
        <f>""</f>
        <v/>
      </c>
      <c r="CQ654" t="str">
        <f>""</f>
        <v/>
      </c>
      <c r="CR654" t="str">
        <f>""</f>
        <v/>
      </c>
      <c r="CS654" t="str">
        <f>""</f>
        <v/>
      </c>
      <c r="CT654" t="str">
        <f>""</f>
        <v/>
      </c>
      <c r="CU654" t="str">
        <f>""</f>
        <v/>
      </c>
      <c r="CV654" t="str">
        <f>""</f>
        <v/>
      </c>
      <c r="CW654" t="str">
        <f>""</f>
        <v/>
      </c>
      <c r="CX654" t="str">
        <f>""</f>
        <v/>
      </c>
      <c r="CY654" t="str">
        <f>""</f>
        <v/>
      </c>
      <c r="CZ654" t="str">
        <f>""</f>
        <v/>
      </c>
      <c r="DA654" t="str">
        <f>""</f>
        <v/>
      </c>
      <c r="DB654" t="str">
        <f>""</f>
        <v/>
      </c>
      <c r="DC654" t="str">
        <f>""</f>
        <v/>
      </c>
      <c r="DD654" t="str">
        <f>""</f>
        <v/>
      </c>
      <c r="DE654" t="str">
        <f>""</f>
        <v/>
      </c>
      <c r="DF654" t="str">
        <f>""</f>
        <v/>
      </c>
      <c r="DG654" t="str">
        <f>""</f>
        <v/>
      </c>
      <c r="DH654" t="str">
        <f>""</f>
        <v/>
      </c>
      <c r="DI654" t="str">
        <f>""</f>
        <v/>
      </c>
      <c r="DJ654" t="str">
        <f>""</f>
        <v/>
      </c>
      <c r="DK654" t="str">
        <f>""</f>
        <v/>
      </c>
      <c r="DL654" t="str">
        <f>""</f>
        <v/>
      </c>
      <c r="DM654" t="str">
        <f>""</f>
        <v/>
      </c>
      <c r="DN654" t="str">
        <f>""</f>
        <v/>
      </c>
      <c r="DO654" t="str">
        <f>""</f>
        <v/>
      </c>
      <c r="DP654" t="str">
        <f>""</f>
        <v/>
      </c>
      <c r="DQ654" t="str">
        <f>""</f>
        <v/>
      </c>
      <c r="DR654" t="str">
        <f>""</f>
        <v/>
      </c>
      <c r="DS654" t="str">
        <f>""</f>
        <v/>
      </c>
      <c r="DT654" t="str">
        <f>""</f>
        <v/>
      </c>
      <c r="DU654" t="str">
        <f>""</f>
        <v/>
      </c>
    </row>
    <row r="655" spans="1:125" x14ac:dyDescent="0.25">
      <c r="A655" t="str">
        <f>$A$149</f>
        <v xml:space="preserve">    Mazda Motor Corp</v>
      </c>
      <c r="B655" t="str">
        <f>$B$149</f>
        <v>7261 JP Equity</v>
      </c>
      <c r="C655" t="str">
        <f>$C$149</f>
        <v>RR841</v>
      </c>
      <c r="D655" t="str">
        <f>$D$149</f>
        <v>TRAIL_12M_EBITDA</v>
      </c>
      <c r="E655" t="str">
        <f>$E$149</f>
        <v>Dynamic</v>
      </c>
      <c r="F655" t="str">
        <f ca="1">_xll.BDH($B$149,$C$149,$B$509,$B$510,CONCATENATE("Per=",$B$507),"Dts=H","Dir=H",CONCATENATE("Points=",$B$508),"Sort=R","Days=A","Fill=B",CONCATENATE("FX=", $B$506) )</f>
        <v>#N/A Connection</v>
      </c>
      <c r="BN655" t="str">
        <f>""</f>
        <v/>
      </c>
      <c r="BO655" t="str">
        <f>""</f>
        <v/>
      </c>
      <c r="BP655" t="str">
        <f>""</f>
        <v/>
      </c>
      <c r="BQ655" t="str">
        <f>""</f>
        <v/>
      </c>
      <c r="BR655" t="str">
        <f>""</f>
        <v/>
      </c>
      <c r="BS655" t="str">
        <f>""</f>
        <v/>
      </c>
      <c r="BT655" t="str">
        <f>""</f>
        <v/>
      </c>
      <c r="BU655" t="str">
        <f>""</f>
        <v/>
      </c>
      <c r="BV655" t="str">
        <f>""</f>
        <v/>
      </c>
      <c r="BW655" t="str">
        <f>""</f>
        <v/>
      </c>
      <c r="BX655" t="str">
        <f>""</f>
        <v/>
      </c>
      <c r="BY655" t="str">
        <f>""</f>
        <v/>
      </c>
      <c r="BZ655" t="str">
        <f>""</f>
        <v/>
      </c>
      <c r="CA655" t="str">
        <f>""</f>
        <v/>
      </c>
      <c r="CB655" t="str">
        <f>""</f>
        <v/>
      </c>
      <c r="CC655" t="str">
        <f>""</f>
        <v/>
      </c>
      <c r="CD655" t="str">
        <f>""</f>
        <v/>
      </c>
      <c r="CE655" t="str">
        <f>""</f>
        <v/>
      </c>
      <c r="CF655" t="str">
        <f>""</f>
        <v/>
      </c>
      <c r="CG655" t="str">
        <f>""</f>
        <v/>
      </c>
      <c r="CH655" t="str">
        <f>""</f>
        <v/>
      </c>
      <c r="CI655" t="str">
        <f>""</f>
        <v/>
      </c>
      <c r="CJ655" t="str">
        <f>""</f>
        <v/>
      </c>
      <c r="CK655" t="str">
        <f>""</f>
        <v/>
      </c>
      <c r="CL655" t="str">
        <f>""</f>
        <v/>
      </c>
      <c r="CM655" t="str">
        <f>""</f>
        <v/>
      </c>
      <c r="CN655" t="str">
        <f>""</f>
        <v/>
      </c>
      <c r="CO655" t="str">
        <f>""</f>
        <v/>
      </c>
      <c r="CP655" t="str">
        <f>""</f>
        <v/>
      </c>
      <c r="CQ655" t="str">
        <f>""</f>
        <v/>
      </c>
      <c r="CR655" t="str">
        <f>""</f>
        <v/>
      </c>
      <c r="CS655" t="str">
        <f>""</f>
        <v/>
      </c>
      <c r="CT655" t="str">
        <f>""</f>
        <v/>
      </c>
      <c r="CU655" t="str">
        <f>""</f>
        <v/>
      </c>
      <c r="CV655" t="str">
        <f>""</f>
        <v/>
      </c>
      <c r="CW655" t="str">
        <f>""</f>
        <v/>
      </c>
      <c r="CX655" t="str">
        <f>""</f>
        <v/>
      </c>
      <c r="CY655" t="str">
        <f>""</f>
        <v/>
      </c>
      <c r="CZ655" t="str">
        <f>""</f>
        <v/>
      </c>
      <c r="DA655" t="str">
        <f>""</f>
        <v/>
      </c>
      <c r="DB655" t="str">
        <f>""</f>
        <v/>
      </c>
      <c r="DC655" t="str">
        <f>""</f>
        <v/>
      </c>
      <c r="DD655" t="str">
        <f>""</f>
        <v/>
      </c>
      <c r="DE655" t="str">
        <f>""</f>
        <v/>
      </c>
      <c r="DF655" t="str">
        <f>""</f>
        <v/>
      </c>
      <c r="DG655" t="str">
        <f>""</f>
        <v/>
      </c>
      <c r="DH655" t="str">
        <f>""</f>
        <v/>
      </c>
      <c r="DI655" t="str">
        <f>""</f>
        <v/>
      </c>
      <c r="DJ655" t="str">
        <f>""</f>
        <v/>
      </c>
      <c r="DK655" t="str">
        <f>""</f>
        <v/>
      </c>
      <c r="DL655" t="str">
        <f>""</f>
        <v/>
      </c>
      <c r="DM655" t="str">
        <f>""</f>
        <v/>
      </c>
      <c r="DN655" t="str">
        <f>""</f>
        <v/>
      </c>
      <c r="DO655" t="str">
        <f>""</f>
        <v/>
      </c>
      <c r="DP655" t="str">
        <f>""</f>
        <v/>
      </c>
      <c r="DQ655" t="str">
        <f>""</f>
        <v/>
      </c>
      <c r="DR655" t="str">
        <f>""</f>
        <v/>
      </c>
      <c r="DS655" t="str">
        <f>""</f>
        <v/>
      </c>
      <c r="DT655" t="str">
        <f>""</f>
        <v/>
      </c>
      <c r="DU655" t="str">
        <f>""</f>
        <v/>
      </c>
    </row>
    <row r="656" spans="1:125" x14ac:dyDescent="0.25">
      <c r="A656" t="str">
        <f>$A$150</f>
        <v xml:space="preserve">    Mitsubishi Motors Corp</v>
      </c>
      <c r="B656" t="str">
        <f>$B$150</f>
        <v>7211 JP Equity</v>
      </c>
      <c r="C656" t="str">
        <f>$C$150</f>
        <v>RR841</v>
      </c>
      <c r="D656" t="str">
        <f>$D$150</f>
        <v>TRAIL_12M_EBITDA</v>
      </c>
      <c r="E656" t="str">
        <f>$E$150</f>
        <v>Dynamic</v>
      </c>
      <c r="F656" t="str">
        <f ca="1">_xll.BDH($B$150,$C$150,$B$509,$B$510,CONCATENATE("Per=",$B$507),"Dts=H","Dir=H",CONCATENATE("Points=",$B$508),"Sort=R","Days=A","Fill=B",CONCATENATE("FX=", $B$506) )</f>
        <v>#N/A Connection</v>
      </c>
      <c r="BN656" t="str">
        <f>""</f>
        <v/>
      </c>
      <c r="BO656" t="str">
        <f>""</f>
        <v/>
      </c>
      <c r="BP656" t="str">
        <f>""</f>
        <v/>
      </c>
      <c r="BQ656" t="str">
        <f>""</f>
        <v/>
      </c>
      <c r="BR656" t="str">
        <f>""</f>
        <v/>
      </c>
      <c r="BS656" t="str">
        <f>""</f>
        <v/>
      </c>
      <c r="BT656" t="str">
        <f>""</f>
        <v/>
      </c>
      <c r="BU656" t="str">
        <f>""</f>
        <v/>
      </c>
      <c r="BV656" t="str">
        <f>""</f>
        <v/>
      </c>
      <c r="BW656" t="str">
        <f>""</f>
        <v/>
      </c>
      <c r="BX656" t="str">
        <f>""</f>
        <v/>
      </c>
      <c r="BY656" t="str">
        <f>""</f>
        <v/>
      </c>
      <c r="BZ656" t="str">
        <f>""</f>
        <v/>
      </c>
      <c r="CA656" t="str">
        <f>""</f>
        <v/>
      </c>
      <c r="CB656" t="str">
        <f>""</f>
        <v/>
      </c>
      <c r="CC656" t="str">
        <f>""</f>
        <v/>
      </c>
      <c r="CD656" t="str">
        <f>""</f>
        <v/>
      </c>
      <c r="CE656" t="str">
        <f>""</f>
        <v/>
      </c>
      <c r="CF656" t="str">
        <f>""</f>
        <v/>
      </c>
      <c r="CG656" t="str">
        <f>""</f>
        <v/>
      </c>
      <c r="CH656" t="str">
        <f>""</f>
        <v/>
      </c>
      <c r="CI656" t="str">
        <f>""</f>
        <v/>
      </c>
      <c r="CJ656" t="str">
        <f>""</f>
        <v/>
      </c>
      <c r="CK656" t="str">
        <f>""</f>
        <v/>
      </c>
      <c r="CL656" t="str">
        <f>""</f>
        <v/>
      </c>
      <c r="CM656" t="str">
        <f>""</f>
        <v/>
      </c>
      <c r="CN656" t="str">
        <f>""</f>
        <v/>
      </c>
      <c r="CO656" t="str">
        <f>""</f>
        <v/>
      </c>
      <c r="CP656" t="str">
        <f>""</f>
        <v/>
      </c>
      <c r="CQ656" t="str">
        <f>""</f>
        <v/>
      </c>
      <c r="CR656" t="str">
        <f>""</f>
        <v/>
      </c>
      <c r="CS656" t="str">
        <f>""</f>
        <v/>
      </c>
      <c r="CT656" t="str">
        <f>""</f>
        <v/>
      </c>
      <c r="CU656" t="str">
        <f>""</f>
        <v/>
      </c>
      <c r="CV656" t="str">
        <f>""</f>
        <v/>
      </c>
      <c r="CW656" t="str">
        <f>""</f>
        <v/>
      </c>
      <c r="CX656" t="str">
        <f>""</f>
        <v/>
      </c>
      <c r="CY656" t="str">
        <f>""</f>
        <v/>
      </c>
      <c r="CZ656" t="str">
        <f>""</f>
        <v/>
      </c>
      <c r="DA656" t="str">
        <f>""</f>
        <v/>
      </c>
      <c r="DB656" t="str">
        <f>""</f>
        <v/>
      </c>
      <c r="DC656" t="str">
        <f>""</f>
        <v/>
      </c>
      <c r="DD656" t="str">
        <f>""</f>
        <v/>
      </c>
      <c r="DE656" t="str">
        <f>""</f>
        <v/>
      </c>
      <c r="DF656" t="str">
        <f>""</f>
        <v/>
      </c>
      <c r="DG656" t="str">
        <f>""</f>
        <v/>
      </c>
      <c r="DH656" t="str">
        <f>""</f>
        <v/>
      </c>
      <c r="DI656" t="str">
        <f>""</f>
        <v/>
      </c>
      <c r="DJ656" t="str">
        <f>""</f>
        <v/>
      </c>
      <c r="DK656" t="str">
        <f>""</f>
        <v/>
      </c>
      <c r="DL656" t="str">
        <f>""</f>
        <v/>
      </c>
      <c r="DM656" t="str">
        <f>""</f>
        <v/>
      </c>
      <c r="DN656" t="str">
        <f>""</f>
        <v/>
      </c>
      <c r="DO656" t="str">
        <f>""</f>
        <v/>
      </c>
      <c r="DP656" t="str">
        <f>""</f>
        <v/>
      </c>
      <c r="DQ656" t="str">
        <f>""</f>
        <v/>
      </c>
      <c r="DR656" t="str">
        <f>""</f>
        <v/>
      </c>
      <c r="DS656" t="str">
        <f>""</f>
        <v/>
      </c>
      <c r="DT656" t="str">
        <f>""</f>
        <v/>
      </c>
      <c r="DU656" t="str">
        <f>""</f>
        <v/>
      </c>
    </row>
    <row r="657" spans="1:125" x14ac:dyDescent="0.25">
      <c r="A657" t="str">
        <f>$A$151</f>
        <v xml:space="preserve">    Nissan Motor Co Ltd</v>
      </c>
      <c r="B657" t="str">
        <f>$B$151</f>
        <v>7201 JP Equity</v>
      </c>
      <c r="C657" t="str">
        <f>$C$151</f>
        <v>RR841</v>
      </c>
      <c r="D657" t="str">
        <f>$D$151</f>
        <v>TRAIL_12M_EBITDA</v>
      </c>
      <c r="E657" t="str">
        <f>$E$151</f>
        <v>Dynamic</v>
      </c>
      <c r="F657" t="str">
        <f ca="1">_xll.BDH($B$151,$C$151,$B$509,$B$510,CONCATENATE("Per=",$B$507),"Dts=H","Dir=H",CONCATENATE("Points=",$B$508),"Sort=R","Days=A","Fill=B",CONCATENATE("FX=", $B$506) )</f>
        <v>#N/A Connection</v>
      </c>
      <c r="BN657" t="str">
        <f>""</f>
        <v/>
      </c>
      <c r="BO657" t="str">
        <f>""</f>
        <v/>
      </c>
      <c r="BP657" t="str">
        <f>""</f>
        <v/>
      </c>
      <c r="BQ657" t="str">
        <f>""</f>
        <v/>
      </c>
      <c r="BR657" t="str">
        <f>""</f>
        <v/>
      </c>
      <c r="BS657" t="str">
        <f>""</f>
        <v/>
      </c>
      <c r="BT657" t="str">
        <f>""</f>
        <v/>
      </c>
      <c r="BU657" t="str">
        <f>""</f>
        <v/>
      </c>
      <c r="BV657" t="str">
        <f>""</f>
        <v/>
      </c>
      <c r="BW657" t="str">
        <f>""</f>
        <v/>
      </c>
      <c r="BX657" t="str">
        <f>""</f>
        <v/>
      </c>
      <c r="BY657" t="str">
        <f>""</f>
        <v/>
      </c>
      <c r="BZ657" t="str">
        <f>""</f>
        <v/>
      </c>
      <c r="CA657" t="str">
        <f>""</f>
        <v/>
      </c>
      <c r="CB657" t="str">
        <f>""</f>
        <v/>
      </c>
      <c r="CC657" t="str">
        <f>""</f>
        <v/>
      </c>
      <c r="CD657" t="str">
        <f>""</f>
        <v/>
      </c>
      <c r="CE657" t="str">
        <f>""</f>
        <v/>
      </c>
      <c r="CF657" t="str">
        <f>""</f>
        <v/>
      </c>
      <c r="CG657" t="str">
        <f>""</f>
        <v/>
      </c>
      <c r="CH657" t="str">
        <f>""</f>
        <v/>
      </c>
      <c r="CI657" t="str">
        <f>""</f>
        <v/>
      </c>
      <c r="CJ657" t="str">
        <f>""</f>
        <v/>
      </c>
      <c r="CK657" t="str">
        <f>""</f>
        <v/>
      </c>
      <c r="CL657" t="str">
        <f>""</f>
        <v/>
      </c>
      <c r="CM657" t="str">
        <f>""</f>
        <v/>
      </c>
      <c r="CN657" t="str">
        <f>""</f>
        <v/>
      </c>
      <c r="CO657" t="str">
        <f>""</f>
        <v/>
      </c>
      <c r="CP657" t="str">
        <f>""</f>
        <v/>
      </c>
      <c r="CQ657" t="str">
        <f>""</f>
        <v/>
      </c>
      <c r="CR657" t="str">
        <f>""</f>
        <v/>
      </c>
      <c r="CS657" t="str">
        <f>""</f>
        <v/>
      </c>
      <c r="CT657" t="str">
        <f>""</f>
        <v/>
      </c>
      <c r="CU657" t="str">
        <f>""</f>
        <v/>
      </c>
      <c r="CV657" t="str">
        <f>""</f>
        <v/>
      </c>
      <c r="CW657" t="str">
        <f>""</f>
        <v/>
      </c>
      <c r="CX657" t="str">
        <f>""</f>
        <v/>
      </c>
      <c r="CY657" t="str">
        <f>""</f>
        <v/>
      </c>
      <c r="CZ657" t="str">
        <f>""</f>
        <v/>
      </c>
      <c r="DA657" t="str">
        <f>""</f>
        <v/>
      </c>
      <c r="DB657" t="str">
        <f>""</f>
        <v/>
      </c>
      <c r="DC657" t="str">
        <f>""</f>
        <v/>
      </c>
      <c r="DD657" t="str">
        <f>""</f>
        <v/>
      </c>
      <c r="DE657" t="str">
        <f>""</f>
        <v/>
      </c>
      <c r="DF657" t="str">
        <f>""</f>
        <v/>
      </c>
      <c r="DG657" t="str">
        <f>""</f>
        <v/>
      </c>
      <c r="DH657" t="str">
        <f>""</f>
        <v/>
      </c>
      <c r="DI657" t="str">
        <f>""</f>
        <v/>
      </c>
      <c r="DJ657" t="str">
        <f>""</f>
        <v/>
      </c>
      <c r="DK657" t="str">
        <f>""</f>
        <v/>
      </c>
      <c r="DL657" t="str">
        <f>""</f>
        <v/>
      </c>
      <c r="DM657" t="str">
        <f>""</f>
        <v/>
      </c>
      <c r="DN657" t="str">
        <f>""</f>
        <v/>
      </c>
      <c r="DO657" t="str">
        <f>""</f>
        <v/>
      </c>
      <c r="DP657" t="str">
        <f>""</f>
        <v/>
      </c>
      <c r="DQ657" t="str">
        <f>""</f>
        <v/>
      </c>
      <c r="DR657" t="str">
        <f>""</f>
        <v/>
      </c>
      <c r="DS657" t="str">
        <f>""</f>
        <v/>
      </c>
      <c r="DT657" t="str">
        <f>""</f>
        <v/>
      </c>
      <c r="DU657" t="str">
        <f>""</f>
        <v/>
      </c>
    </row>
    <row r="658" spans="1:125" x14ac:dyDescent="0.25">
      <c r="A658" t="str">
        <f>$A$152</f>
        <v xml:space="preserve">    Peugeot SA</v>
      </c>
      <c r="B658" t="str">
        <f>$B$152</f>
        <v>UG FP Equity</v>
      </c>
      <c r="C658" t="str">
        <f>$C$152</f>
        <v>RR841</v>
      </c>
      <c r="D658" t="str">
        <f>$D$152</f>
        <v>TRAIL_12M_EBITDA</v>
      </c>
      <c r="E658" t="str">
        <f>$E$152</f>
        <v>Dynamic</v>
      </c>
      <c r="F658" t="str">
        <f ca="1">_xll.BDH($B$152,$C$152,$B$509,$B$510,CONCATENATE("Per=",$B$507),"Dts=H","Dir=H",CONCATENATE("Points=",$B$508),"Sort=R","Days=A","Fill=B",CONCATENATE("FX=", $B$506) )</f>
        <v>#N/A Connection</v>
      </c>
      <c r="BN658" t="str">
        <f>""</f>
        <v/>
      </c>
      <c r="BO658" t="str">
        <f>""</f>
        <v/>
      </c>
      <c r="BP658" t="str">
        <f>""</f>
        <v/>
      </c>
      <c r="BQ658" t="str">
        <f>""</f>
        <v/>
      </c>
      <c r="BR658" t="str">
        <f>""</f>
        <v/>
      </c>
      <c r="BS658" t="str">
        <f>""</f>
        <v/>
      </c>
      <c r="BT658" t="str">
        <f>""</f>
        <v/>
      </c>
      <c r="BU658" t="str">
        <f>""</f>
        <v/>
      </c>
      <c r="BV658" t="str">
        <f>""</f>
        <v/>
      </c>
      <c r="BW658" t="str">
        <f>""</f>
        <v/>
      </c>
      <c r="BX658" t="str">
        <f>""</f>
        <v/>
      </c>
      <c r="BY658" t="str">
        <f>""</f>
        <v/>
      </c>
      <c r="BZ658" t="str">
        <f>""</f>
        <v/>
      </c>
      <c r="CA658" t="str">
        <f>""</f>
        <v/>
      </c>
      <c r="CB658" t="str">
        <f>""</f>
        <v/>
      </c>
      <c r="CC658" t="str">
        <f>""</f>
        <v/>
      </c>
      <c r="CD658" t="str">
        <f>""</f>
        <v/>
      </c>
      <c r="CE658" t="str">
        <f>""</f>
        <v/>
      </c>
      <c r="CF658" t="str">
        <f>""</f>
        <v/>
      </c>
      <c r="CG658" t="str">
        <f>""</f>
        <v/>
      </c>
      <c r="CH658" t="str">
        <f>""</f>
        <v/>
      </c>
      <c r="CI658" t="str">
        <f>""</f>
        <v/>
      </c>
      <c r="CJ658" t="str">
        <f>""</f>
        <v/>
      </c>
      <c r="CK658" t="str">
        <f>""</f>
        <v/>
      </c>
      <c r="CL658" t="str">
        <f>""</f>
        <v/>
      </c>
      <c r="CM658" t="str">
        <f>""</f>
        <v/>
      </c>
      <c r="CN658" t="str">
        <f>""</f>
        <v/>
      </c>
      <c r="CO658" t="str">
        <f>""</f>
        <v/>
      </c>
      <c r="CP658" t="str">
        <f>""</f>
        <v/>
      </c>
      <c r="CQ658" t="str">
        <f>""</f>
        <v/>
      </c>
      <c r="CR658" t="str">
        <f>""</f>
        <v/>
      </c>
      <c r="CS658" t="str">
        <f>""</f>
        <v/>
      </c>
      <c r="CT658" t="str">
        <f>""</f>
        <v/>
      </c>
      <c r="CU658" t="str">
        <f>""</f>
        <v/>
      </c>
      <c r="CV658" t="str">
        <f>""</f>
        <v/>
      </c>
      <c r="CW658" t="str">
        <f>""</f>
        <v/>
      </c>
      <c r="CX658" t="str">
        <f>""</f>
        <v/>
      </c>
      <c r="CY658" t="str">
        <f>""</f>
        <v/>
      </c>
      <c r="CZ658" t="str">
        <f>""</f>
        <v/>
      </c>
      <c r="DA658" t="str">
        <f>""</f>
        <v/>
      </c>
      <c r="DB658" t="str">
        <f>""</f>
        <v/>
      </c>
      <c r="DC658" t="str">
        <f>""</f>
        <v/>
      </c>
      <c r="DD658" t="str">
        <f>""</f>
        <v/>
      </c>
      <c r="DE658" t="str">
        <f>""</f>
        <v/>
      </c>
      <c r="DF658" t="str">
        <f>""</f>
        <v/>
      </c>
      <c r="DG658" t="str">
        <f>""</f>
        <v/>
      </c>
      <c r="DH658" t="str">
        <f>""</f>
        <v/>
      </c>
      <c r="DI658" t="str">
        <f>""</f>
        <v/>
      </c>
      <c r="DJ658" t="str">
        <f>""</f>
        <v/>
      </c>
      <c r="DK658" t="str">
        <f>""</f>
        <v/>
      </c>
      <c r="DL658" t="str">
        <f>""</f>
        <v/>
      </c>
      <c r="DM658" t="str">
        <f>""</f>
        <v/>
      </c>
      <c r="DN658" t="str">
        <f>""</f>
        <v/>
      </c>
      <c r="DO658" t="str">
        <f>""</f>
        <v/>
      </c>
      <c r="DP658" t="str">
        <f>""</f>
        <v/>
      </c>
      <c r="DQ658" t="str">
        <f>""</f>
        <v/>
      </c>
      <c r="DR658" t="str">
        <f>""</f>
        <v/>
      </c>
      <c r="DS658" t="str">
        <f>""</f>
        <v/>
      </c>
      <c r="DT658" t="str">
        <f>""</f>
        <v/>
      </c>
      <c r="DU658" t="str">
        <f>""</f>
        <v/>
      </c>
    </row>
    <row r="659" spans="1:125" x14ac:dyDescent="0.25">
      <c r="A659" t="str">
        <f>$A$153</f>
        <v xml:space="preserve">    Renault SA</v>
      </c>
      <c r="B659" t="str">
        <f>$B$153</f>
        <v>RNO FP Equity</v>
      </c>
      <c r="C659" t="str">
        <f>$C$153</f>
        <v>RR841</v>
      </c>
      <c r="D659" t="str">
        <f>$D$153</f>
        <v>TRAIL_12M_EBITDA</v>
      </c>
      <c r="E659" t="str">
        <f>$E$153</f>
        <v>Dynamic</v>
      </c>
      <c r="F659" t="str">
        <f ca="1">_xll.BDH($B$153,$C$153,$B$509,$B$510,CONCATENATE("Per=",$B$507),"Dts=H","Dir=H",CONCATENATE("Points=",$B$508),"Sort=R","Days=A","Fill=B",CONCATENATE("FX=", $B$506) )</f>
        <v>#N/A Connection</v>
      </c>
      <c r="BN659" t="str">
        <f>""</f>
        <v/>
      </c>
      <c r="BO659" t="str">
        <f>""</f>
        <v/>
      </c>
      <c r="BP659" t="str">
        <f>""</f>
        <v/>
      </c>
      <c r="BQ659" t="str">
        <f>""</f>
        <v/>
      </c>
      <c r="BR659" t="str">
        <f>""</f>
        <v/>
      </c>
      <c r="BS659" t="str">
        <f>""</f>
        <v/>
      </c>
      <c r="BT659" t="str">
        <f>""</f>
        <v/>
      </c>
      <c r="BU659" t="str">
        <f>""</f>
        <v/>
      </c>
      <c r="BV659" t="str">
        <f>""</f>
        <v/>
      </c>
      <c r="BW659" t="str">
        <f>""</f>
        <v/>
      </c>
      <c r="BX659" t="str">
        <f>""</f>
        <v/>
      </c>
      <c r="BY659" t="str">
        <f>""</f>
        <v/>
      </c>
      <c r="BZ659" t="str">
        <f>""</f>
        <v/>
      </c>
      <c r="CA659" t="str">
        <f>""</f>
        <v/>
      </c>
      <c r="CB659" t="str">
        <f>""</f>
        <v/>
      </c>
      <c r="CC659" t="str">
        <f>""</f>
        <v/>
      </c>
      <c r="CD659" t="str">
        <f>""</f>
        <v/>
      </c>
      <c r="CE659" t="str">
        <f>""</f>
        <v/>
      </c>
      <c r="CF659" t="str">
        <f>""</f>
        <v/>
      </c>
      <c r="CG659" t="str">
        <f>""</f>
        <v/>
      </c>
      <c r="CH659" t="str">
        <f>""</f>
        <v/>
      </c>
      <c r="CI659" t="str">
        <f>""</f>
        <v/>
      </c>
      <c r="CJ659" t="str">
        <f>""</f>
        <v/>
      </c>
      <c r="CK659" t="str">
        <f>""</f>
        <v/>
      </c>
      <c r="CL659" t="str">
        <f>""</f>
        <v/>
      </c>
      <c r="CM659" t="str">
        <f>""</f>
        <v/>
      </c>
      <c r="CN659" t="str">
        <f>""</f>
        <v/>
      </c>
      <c r="CO659" t="str">
        <f>""</f>
        <v/>
      </c>
      <c r="CP659" t="str">
        <f>""</f>
        <v/>
      </c>
      <c r="CQ659" t="str">
        <f>""</f>
        <v/>
      </c>
      <c r="CR659" t="str">
        <f>""</f>
        <v/>
      </c>
      <c r="CS659" t="str">
        <f>""</f>
        <v/>
      </c>
      <c r="CT659" t="str">
        <f>""</f>
        <v/>
      </c>
      <c r="CU659" t="str">
        <f>""</f>
        <v/>
      </c>
      <c r="CV659" t="str">
        <f>""</f>
        <v/>
      </c>
      <c r="CW659" t="str">
        <f>""</f>
        <v/>
      </c>
      <c r="CX659" t="str">
        <f>""</f>
        <v/>
      </c>
      <c r="CY659" t="str">
        <f>""</f>
        <v/>
      </c>
      <c r="CZ659" t="str">
        <f>""</f>
        <v/>
      </c>
      <c r="DA659" t="str">
        <f>""</f>
        <v/>
      </c>
      <c r="DB659" t="str">
        <f>""</f>
        <v/>
      </c>
      <c r="DC659" t="str">
        <f>""</f>
        <v/>
      </c>
      <c r="DD659" t="str">
        <f>""</f>
        <v/>
      </c>
      <c r="DE659" t="str">
        <f>""</f>
        <v/>
      </c>
      <c r="DF659" t="str">
        <f>""</f>
        <v/>
      </c>
      <c r="DG659" t="str">
        <f>""</f>
        <v/>
      </c>
      <c r="DH659" t="str">
        <f>""</f>
        <v/>
      </c>
      <c r="DI659" t="str">
        <f>""</f>
        <v/>
      </c>
      <c r="DJ659" t="str">
        <f>""</f>
        <v/>
      </c>
      <c r="DK659" t="str">
        <f>""</f>
        <v/>
      </c>
      <c r="DL659" t="str">
        <f>""</f>
        <v/>
      </c>
      <c r="DM659" t="str">
        <f>""</f>
        <v/>
      </c>
      <c r="DN659" t="str">
        <f>""</f>
        <v/>
      </c>
      <c r="DO659" t="str">
        <f>""</f>
        <v/>
      </c>
      <c r="DP659" t="str">
        <f>""</f>
        <v/>
      </c>
      <c r="DQ659" t="str">
        <f>""</f>
        <v/>
      </c>
      <c r="DR659" t="str">
        <f>""</f>
        <v/>
      </c>
      <c r="DS659" t="str">
        <f>""</f>
        <v/>
      </c>
      <c r="DT659" t="str">
        <f>""</f>
        <v/>
      </c>
      <c r="DU659" t="str">
        <f>""</f>
        <v/>
      </c>
    </row>
    <row r="660" spans="1:125" x14ac:dyDescent="0.25">
      <c r="A660" t="str">
        <f>$A$154</f>
        <v xml:space="preserve">    SAIC Motor Corp Ltd</v>
      </c>
      <c r="B660" t="str">
        <f>$B$154</f>
        <v>600104 CH Equity</v>
      </c>
      <c r="C660" t="str">
        <f>$C$154</f>
        <v>RR841</v>
      </c>
      <c r="D660" t="str">
        <f>$D$154</f>
        <v>TRAIL_12M_EBITDA</v>
      </c>
      <c r="E660" t="str">
        <f>$E$154</f>
        <v>Dynamic</v>
      </c>
      <c r="F660" t="str">
        <f ca="1">_xll.BDH($B$154,$C$154,$B$509,$B$510,CONCATENATE("Per=",$B$507),"Dts=H","Dir=H",CONCATENATE("Points=",$B$508),"Sort=R","Days=A","Fill=B",CONCATENATE("FX=", $B$506) )</f>
        <v>#N/A Connection</v>
      </c>
      <c r="BN660" t="str">
        <f>""</f>
        <v/>
      </c>
      <c r="BO660" t="str">
        <f>""</f>
        <v/>
      </c>
      <c r="BP660" t="str">
        <f>""</f>
        <v/>
      </c>
      <c r="BQ660" t="str">
        <f>""</f>
        <v/>
      </c>
      <c r="BR660" t="str">
        <f>""</f>
        <v/>
      </c>
      <c r="BS660" t="str">
        <f>""</f>
        <v/>
      </c>
      <c r="BT660" t="str">
        <f>""</f>
        <v/>
      </c>
      <c r="BU660" t="str">
        <f>""</f>
        <v/>
      </c>
      <c r="BV660" t="str">
        <f>""</f>
        <v/>
      </c>
      <c r="BW660" t="str">
        <f>""</f>
        <v/>
      </c>
      <c r="BX660" t="str">
        <f>""</f>
        <v/>
      </c>
      <c r="BY660" t="str">
        <f>""</f>
        <v/>
      </c>
      <c r="BZ660" t="str">
        <f>""</f>
        <v/>
      </c>
      <c r="CA660" t="str">
        <f>""</f>
        <v/>
      </c>
      <c r="CB660" t="str">
        <f>""</f>
        <v/>
      </c>
      <c r="CC660" t="str">
        <f>""</f>
        <v/>
      </c>
      <c r="CD660" t="str">
        <f>""</f>
        <v/>
      </c>
      <c r="CE660" t="str">
        <f>""</f>
        <v/>
      </c>
      <c r="CF660" t="str">
        <f>""</f>
        <v/>
      </c>
      <c r="CG660" t="str">
        <f>""</f>
        <v/>
      </c>
      <c r="CH660" t="str">
        <f>""</f>
        <v/>
      </c>
      <c r="CI660" t="str">
        <f>""</f>
        <v/>
      </c>
      <c r="CJ660" t="str">
        <f>""</f>
        <v/>
      </c>
      <c r="CK660" t="str">
        <f>""</f>
        <v/>
      </c>
      <c r="CL660" t="str">
        <f>""</f>
        <v/>
      </c>
      <c r="CM660" t="str">
        <f>""</f>
        <v/>
      </c>
      <c r="CN660" t="str">
        <f>""</f>
        <v/>
      </c>
      <c r="CO660" t="str">
        <f>""</f>
        <v/>
      </c>
      <c r="CP660" t="str">
        <f>""</f>
        <v/>
      </c>
      <c r="CQ660" t="str">
        <f>""</f>
        <v/>
      </c>
      <c r="CR660" t="str">
        <f>""</f>
        <v/>
      </c>
      <c r="CS660" t="str">
        <f>""</f>
        <v/>
      </c>
      <c r="CT660" t="str">
        <f>""</f>
        <v/>
      </c>
      <c r="CU660" t="str">
        <f>""</f>
        <v/>
      </c>
      <c r="CV660" t="str">
        <f>""</f>
        <v/>
      </c>
      <c r="CW660" t="str">
        <f>""</f>
        <v/>
      </c>
      <c r="CX660" t="str">
        <f>""</f>
        <v/>
      </c>
      <c r="CY660" t="str">
        <f>""</f>
        <v/>
      </c>
      <c r="CZ660" t="str">
        <f>""</f>
        <v/>
      </c>
      <c r="DA660" t="str">
        <f>""</f>
        <v/>
      </c>
      <c r="DB660" t="str">
        <f>""</f>
        <v/>
      </c>
      <c r="DC660" t="str">
        <f>""</f>
        <v/>
      </c>
      <c r="DD660" t="str">
        <f>""</f>
        <v/>
      </c>
      <c r="DE660" t="str">
        <f>""</f>
        <v/>
      </c>
      <c r="DF660" t="str">
        <f>""</f>
        <v/>
      </c>
      <c r="DG660" t="str">
        <f>""</f>
        <v/>
      </c>
      <c r="DH660" t="str">
        <f>""</f>
        <v/>
      </c>
      <c r="DI660" t="str">
        <f>""</f>
        <v/>
      </c>
      <c r="DJ660" t="str">
        <f>""</f>
        <v/>
      </c>
      <c r="DK660" t="str">
        <f>""</f>
        <v/>
      </c>
      <c r="DL660" t="str">
        <f>""</f>
        <v/>
      </c>
      <c r="DM660" t="str">
        <f>""</f>
        <v/>
      </c>
      <c r="DN660" t="str">
        <f>""</f>
        <v/>
      </c>
      <c r="DO660" t="str">
        <f>""</f>
        <v/>
      </c>
      <c r="DP660" t="str">
        <f>""</f>
        <v/>
      </c>
      <c r="DQ660" t="str">
        <f>""</f>
        <v/>
      </c>
      <c r="DR660" t="str">
        <f>""</f>
        <v/>
      </c>
      <c r="DS660" t="str">
        <f>""</f>
        <v/>
      </c>
      <c r="DT660" t="str">
        <f>""</f>
        <v/>
      </c>
      <c r="DU660" t="str">
        <f>""</f>
        <v/>
      </c>
    </row>
    <row r="661" spans="1:125" x14ac:dyDescent="0.25">
      <c r="A661" t="str">
        <f>$A$155</f>
        <v xml:space="preserve">    Sanyang Motor Co Ltd</v>
      </c>
      <c r="B661" t="str">
        <f>$B$155</f>
        <v>2206 TT Equity</v>
      </c>
      <c r="C661" t="str">
        <f>$C$155</f>
        <v>RR841</v>
      </c>
      <c r="D661" t="str">
        <f>$D$155</f>
        <v>TRAIL_12M_EBITDA</v>
      </c>
      <c r="E661" t="str">
        <f>$E$155</f>
        <v>Dynamic</v>
      </c>
      <c r="F661" t="str">
        <f ca="1">_xll.BDH($B$155,$C$155,$B$509,$B$510,CONCATENATE("Per=",$B$507),"Dts=H","Dir=H",CONCATENATE("Points=",$B$508),"Sort=R","Days=A","Fill=B",CONCATENATE("FX=", $B$506) )</f>
        <v>#N/A Connection</v>
      </c>
      <c r="BN661" t="str">
        <f>""</f>
        <v/>
      </c>
      <c r="BO661" t="str">
        <f>""</f>
        <v/>
      </c>
      <c r="BP661" t="str">
        <f>""</f>
        <v/>
      </c>
      <c r="BQ661" t="str">
        <f>""</f>
        <v/>
      </c>
      <c r="BR661" t="str">
        <f>""</f>
        <v/>
      </c>
      <c r="BS661" t="str">
        <f>""</f>
        <v/>
      </c>
      <c r="BT661" t="str">
        <f>""</f>
        <v/>
      </c>
      <c r="BU661" t="str">
        <f>""</f>
        <v/>
      </c>
      <c r="BV661" t="str">
        <f>""</f>
        <v/>
      </c>
      <c r="BW661" t="str">
        <f>""</f>
        <v/>
      </c>
      <c r="BX661" t="str">
        <f>""</f>
        <v/>
      </c>
      <c r="BY661" t="str">
        <f>""</f>
        <v/>
      </c>
      <c r="BZ661" t="str">
        <f>""</f>
        <v/>
      </c>
      <c r="CA661" t="str">
        <f>""</f>
        <v/>
      </c>
      <c r="CB661" t="str">
        <f>""</f>
        <v/>
      </c>
      <c r="CC661" t="str">
        <f>""</f>
        <v/>
      </c>
      <c r="CD661" t="str">
        <f>""</f>
        <v/>
      </c>
      <c r="CE661" t="str">
        <f>""</f>
        <v/>
      </c>
      <c r="CF661" t="str">
        <f>""</f>
        <v/>
      </c>
      <c r="CG661" t="str">
        <f>""</f>
        <v/>
      </c>
      <c r="CH661" t="str">
        <f>""</f>
        <v/>
      </c>
      <c r="CI661" t="str">
        <f>""</f>
        <v/>
      </c>
      <c r="CJ661" t="str">
        <f>""</f>
        <v/>
      </c>
      <c r="CK661" t="str">
        <f>""</f>
        <v/>
      </c>
      <c r="CL661" t="str">
        <f>""</f>
        <v/>
      </c>
      <c r="CM661" t="str">
        <f>""</f>
        <v/>
      </c>
      <c r="CN661" t="str">
        <f>""</f>
        <v/>
      </c>
      <c r="CO661" t="str">
        <f>""</f>
        <v/>
      </c>
      <c r="CP661" t="str">
        <f>""</f>
        <v/>
      </c>
      <c r="CQ661" t="str">
        <f>""</f>
        <v/>
      </c>
      <c r="CR661" t="str">
        <f>""</f>
        <v/>
      </c>
      <c r="CS661" t="str">
        <f>""</f>
        <v/>
      </c>
      <c r="CT661" t="str">
        <f>""</f>
        <v/>
      </c>
      <c r="CU661" t="str">
        <f>""</f>
        <v/>
      </c>
      <c r="CV661" t="str">
        <f>""</f>
        <v/>
      </c>
      <c r="CW661" t="str">
        <f>""</f>
        <v/>
      </c>
      <c r="CX661" t="str">
        <f>""</f>
        <v/>
      </c>
      <c r="CY661" t="str">
        <f>""</f>
        <v/>
      </c>
      <c r="CZ661" t="str">
        <f>""</f>
        <v/>
      </c>
      <c r="DA661" t="str">
        <f>""</f>
        <v/>
      </c>
      <c r="DB661" t="str">
        <f>""</f>
        <v/>
      </c>
      <c r="DC661" t="str">
        <f>""</f>
        <v/>
      </c>
      <c r="DD661" t="str">
        <f>""</f>
        <v/>
      </c>
      <c r="DE661" t="str">
        <f>""</f>
        <v/>
      </c>
      <c r="DF661" t="str">
        <f>""</f>
        <v/>
      </c>
      <c r="DG661" t="str">
        <f>""</f>
        <v/>
      </c>
      <c r="DH661" t="str">
        <f>""</f>
        <v/>
      </c>
      <c r="DI661" t="str">
        <f>""</f>
        <v/>
      </c>
      <c r="DJ661" t="str">
        <f>""</f>
        <v/>
      </c>
      <c r="DK661" t="str">
        <f>""</f>
        <v/>
      </c>
      <c r="DL661" t="str">
        <f>""</f>
        <v/>
      </c>
      <c r="DM661" t="str">
        <f>""</f>
        <v/>
      </c>
      <c r="DN661" t="str">
        <f>""</f>
        <v/>
      </c>
      <c r="DO661" t="str">
        <f>""</f>
        <v/>
      </c>
      <c r="DP661" t="str">
        <f>""</f>
        <v/>
      </c>
      <c r="DQ661" t="str">
        <f>""</f>
        <v/>
      </c>
      <c r="DR661" t="str">
        <f>""</f>
        <v/>
      </c>
      <c r="DS661" t="str">
        <f>""</f>
        <v/>
      </c>
      <c r="DT661" t="str">
        <f>""</f>
        <v/>
      </c>
      <c r="DU661" t="str">
        <f>""</f>
        <v/>
      </c>
    </row>
    <row r="662" spans="1:125" x14ac:dyDescent="0.25">
      <c r="A662" t="str">
        <f>$A$156</f>
        <v xml:space="preserve">    Sollers PJSC</v>
      </c>
      <c r="B662" t="str">
        <f>$B$156</f>
        <v>SVAV RM Equity</v>
      </c>
      <c r="C662" t="str">
        <f>$C$156</f>
        <v>RR841</v>
      </c>
      <c r="D662" t="str">
        <f>$D$156</f>
        <v>TRAIL_12M_EBITDA</v>
      </c>
      <c r="E662" t="str">
        <f>$E$156</f>
        <v>Dynamic</v>
      </c>
      <c r="F662" t="str">
        <f ca="1">_xll.BDH($B$156,$C$156,$B$509,$B$510,CONCATENATE("Per=",$B$507),"Dts=H","Dir=H",CONCATENATE("Points=",$B$508),"Sort=R","Days=A","Fill=B",CONCATENATE("FX=", $B$506) )</f>
        <v>#N/A Connection</v>
      </c>
      <c r="BN662" t="str">
        <f>""</f>
        <v/>
      </c>
      <c r="BO662" t="str">
        <f>""</f>
        <v/>
      </c>
      <c r="BP662" t="str">
        <f>""</f>
        <v/>
      </c>
      <c r="BQ662" t="str">
        <f>""</f>
        <v/>
      </c>
      <c r="BR662" t="str">
        <f>""</f>
        <v/>
      </c>
      <c r="BS662" t="str">
        <f>""</f>
        <v/>
      </c>
      <c r="BT662" t="str">
        <f>""</f>
        <v/>
      </c>
      <c r="BU662" t="str">
        <f>""</f>
        <v/>
      </c>
      <c r="BV662" t="str">
        <f>""</f>
        <v/>
      </c>
      <c r="BW662" t="str">
        <f>""</f>
        <v/>
      </c>
      <c r="BX662" t="str">
        <f>""</f>
        <v/>
      </c>
      <c r="BY662" t="str">
        <f>""</f>
        <v/>
      </c>
      <c r="BZ662" t="str">
        <f>""</f>
        <v/>
      </c>
      <c r="CA662" t="str">
        <f>""</f>
        <v/>
      </c>
      <c r="CB662" t="str">
        <f>""</f>
        <v/>
      </c>
      <c r="CC662" t="str">
        <f>""</f>
        <v/>
      </c>
      <c r="CD662" t="str">
        <f>""</f>
        <v/>
      </c>
      <c r="CE662" t="str">
        <f>""</f>
        <v/>
      </c>
      <c r="CF662" t="str">
        <f>""</f>
        <v/>
      </c>
      <c r="CG662" t="str">
        <f>""</f>
        <v/>
      </c>
      <c r="CH662" t="str">
        <f>""</f>
        <v/>
      </c>
      <c r="CI662" t="str">
        <f>""</f>
        <v/>
      </c>
      <c r="CJ662" t="str">
        <f>""</f>
        <v/>
      </c>
      <c r="CK662" t="str">
        <f>""</f>
        <v/>
      </c>
      <c r="CL662" t="str">
        <f>""</f>
        <v/>
      </c>
      <c r="CM662" t="str">
        <f>""</f>
        <v/>
      </c>
      <c r="CN662" t="str">
        <f>""</f>
        <v/>
      </c>
      <c r="CO662" t="str">
        <f>""</f>
        <v/>
      </c>
      <c r="CP662" t="str">
        <f>""</f>
        <v/>
      </c>
      <c r="CQ662" t="str">
        <f>""</f>
        <v/>
      </c>
      <c r="CR662" t="str">
        <f>""</f>
        <v/>
      </c>
      <c r="CS662" t="str">
        <f>""</f>
        <v/>
      </c>
      <c r="CT662" t="str">
        <f>""</f>
        <v/>
      </c>
      <c r="CU662" t="str">
        <f>""</f>
        <v/>
      </c>
      <c r="CV662" t="str">
        <f>""</f>
        <v/>
      </c>
      <c r="CW662" t="str">
        <f>""</f>
        <v/>
      </c>
      <c r="CX662" t="str">
        <f>""</f>
        <v/>
      </c>
      <c r="CY662" t="str">
        <f>""</f>
        <v/>
      </c>
      <c r="CZ662" t="str">
        <f>""</f>
        <v/>
      </c>
      <c r="DA662" t="str">
        <f>""</f>
        <v/>
      </c>
      <c r="DB662" t="str">
        <f>""</f>
        <v/>
      </c>
      <c r="DC662" t="str">
        <f>""</f>
        <v/>
      </c>
      <c r="DD662" t="str">
        <f>""</f>
        <v/>
      </c>
      <c r="DE662" t="str">
        <f>""</f>
        <v/>
      </c>
      <c r="DF662" t="str">
        <f>""</f>
        <v/>
      </c>
      <c r="DG662" t="str">
        <f>""</f>
        <v/>
      </c>
      <c r="DH662" t="str">
        <f>""</f>
        <v/>
      </c>
      <c r="DI662" t="str">
        <f>""</f>
        <v/>
      </c>
      <c r="DJ662" t="str">
        <f>""</f>
        <v/>
      </c>
      <c r="DK662" t="str">
        <f>""</f>
        <v/>
      </c>
      <c r="DL662" t="str">
        <f>""</f>
        <v/>
      </c>
      <c r="DM662" t="str">
        <f>""</f>
        <v/>
      </c>
      <c r="DN662" t="str">
        <f>""</f>
        <v/>
      </c>
      <c r="DO662" t="str">
        <f>""</f>
        <v/>
      </c>
      <c r="DP662" t="str">
        <f>""</f>
        <v/>
      </c>
      <c r="DQ662" t="str">
        <f>""</f>
        <v/>
      </c>
      <c r="DR662" t="str">
        <f>""</f>
        <v/>
      </c>
      <c r="DS662" t="str">
        <f>""</f>
        <v/>
      </c>
      <c r="DT662" t="str">
        <f>""</f>
        <v/>
      </c>
      <c r="DU662" t="str">
        <f>""</f>
        <v/>
      </c>
    </row>
    <row r="663" spans="1:125" x14ac:dyDescent="0.25">
      <c r="A663" t="str">
        <f>$A$157</f>
        <v xml:space="preserve">    Ssangyong Motor Co</v>
      </c>
      <c r="B663" t="str">
        <f>$B$157</f>
        <v>003620 KS Equity</v>
      </c>
      <c r="C663" t="str">
        <f>$C$157</f>
        <v>RR841</v>
      </c>
      <c r="D663" t="str">
        <f>$D$157</f>
        <v>TRAIL_12M_EBITDA</v>
      </c>
      <c r="E663" t="str">
        <f>$E$157</f>
        <v>Dynamic</v>
      </c>
      <c r="F663" t="str">
        <f ca="1">_xll.BDH($B$157,$C$157,$B$509,$B$510,CONCATENATE("Per=",$B$507),"Dts=H","Dir=H",CONCATENATE("Points=",$B$508),"Sort=R","Days=A","Fill=B",CONCATENATE("FX=", $B$506) )</f>
        <v>#N/A Connection</v>
      </c>
      <c r="BN663" t="str">
        <f>""</f>
        <v/>
      </c>
      <c r="BO663" t="str">
        <f>""</f>
        <v/>
      </c>
      <c r="BP663" t="str">
        <f>""</f>
        <v/>
      </c>
      <c r="BQ663" t="str">
        <f>""</f>
        <v/>
      </c>
      <c r="BR663" t="str">
        <f>""</f>
        <v/>
      </c>
      <c r="BS663" t="str">
        <f>""</f>
        <v/>
      </c>
      <c r="BT663" t="str">
        <f>""</f>
        <v/>
      </c>
      <c r="BU663" t="str">
        <f>""</f>
        <v/>
      </c>
      <c r="BV663" t="str">
        <f>""</f>
        <v/>
      </c>
      <c r="BW663" t="str">
        <f>""</f>
        <v/>
      </c>
      <c r="BX663" t="str">
        <f>""</f>
        <v/>
      </c>
      <c r="BY663" t="str">
        <f>""</f>
        <v/>
      </c>
      <c r="BZ663" t="str">
        <f>""</f>
        <v/>
      </c>
      <c r="CA663" t="str">
        <f>""</f>
        <v/>
      </c>
      <c r="CB663" t="str">
        <f>""</f>
        <v/>
      </c>
      <c r="CC663" t="str">
        <f>""</f>
        <v/>
      </c>
      <c r="CD663" t="str">
        <f>""</f>
        <v/>
      </c>
      <c r="CE663" t="str">
        <f>""</f>
        <v/>
      </c>
      <c r="CF663" t="str">
        <f>""</f>
        <v/>
      </c>
      <c r="CG663" t="str">
        <f>""</f>
        <v/>
      </c>
      <c r="CH663" t="str">
        <f>""</f>
        <v/>
      </c>
      <c r="CI663" t="str">
        <f>""</f>
        <v/>
      </c>
      <c r="CJ663" t="str">
        <f>""</f>
        <v/>
      </c>
      <c r="CK663" t="str">
        <f>""</f>
        <v/>
      </c>
      <c r="CL663" t="str">
        <f>""</f>
        <v/>
      </c>
      <c r="CM663" t="str">
        <f>""</f>
        <v/>
      </c>
      <c r="CN663" t="str">
        <f>""</f>
        <v/>
      </c>
      <c r="CO663" t="str">
        <f>""</f>
        <v/>
      </c>
      <c r="CP663" t="str">
        <f>""</f>
        <v/>
      </c>
      <c r="CQ663" t="str">
        <f>""</f>
        <v/>
      </c>
      <c r="CR663" t="str">
        <f>""</f>
        <v/>
      </c>
      <c r="CS663" t="str">
        <f>""</f>
        <v/>
      </c>
      <c r="CT663" t="str">
        <f>""</f>
        <v/>
      </c>
      <c r="CU663" t="str">
        <f>""</f>
        <v/>
      </c>
      <c r="CV663" t="str">
        <f>""</f>
        <v/>
      </c>
      <c r="CW663" t="str">
        <f>""</f>
        <v/>
      </c>
      <c r="CX663" t="str">
        <f>""</f>
        <v/>
      </c>
      <c r="CY663" t="str">
        <f>""</f>
        <v/>
      </c>
      <c r="CZ663" t="str">
        <f>""</f>
        <v/>
      </c>
      <c r="DA663" t="str">
        <f>""</f>
        <v/>
      </c>
      <c r="DB663" t="str">
        <f>""</f>
        <v/>
      </c>
      <c r="DC663" t="str">
        <f>""</f>
        <v/>
      </c>
      <c r="DD663" t="str">
        <f>""</f>
        <v/>
      </c>
      <c r="DE663" t="str">
        <f>""</f>
        <v/>
      </c>
      <c r="DF663" t="str">
        <f>""</f>
        <v/>
      </c>
      <c r="DG663" t="str">
        <f>""</f>
        <v/>
      </c>
      <c r="DH663" t="str">
        <f>""</f>
        <v/>
      </c>
      <c r="DI663" t="str">
        <f>""</f>
        <v/>
      </c>
      <c r="DJ663" t="str">
        <f>""</f>
        <v/>
      </c>
      <c r="DK663" t="str">
        <f>""</f>
        <v/>
      </c>
      <c r="DL663" t="str">
        <f>""</f>
        <v/>
      </c>
      <c r="DM663" t="str">
        <f>""</f>
        <v/>
      </c>
      <c r="DN663" t="str">
        <f>""</f>
        <v/>
      </c>
      <c r="DO663" t="str">
        <f>""</f>
        <v/>
      </c>
      <c r="DP663" t="str">
        <f>""</f>
        <v/>
      </c>
      <c r="DQ663" t="str">
        <f>""</f>
        <v/>
      </c>
      <c r="DR663" t="str">
        <f>""</f>
        <v/>
      </c>
      <c r="DS663" t="str">
        <f>""</f>
        <v/>
      </c>
      <c r="DT663" t="str">
        <f>""</f>
        <v/>
      </c>
      <c r="DU663" t="str">
        <f>""</f>
        <v/>
      </c>
    </row>
    <row r="664" spans="1:125" x14ac:dyDescent="0.25">
      <c r="A664" t="str">
        <f>$A$158</f>
        <v xml:space="preserve">    Subaru Corp</v>
      </c>
      <c r="B664" t="str">
        <f>$B$158</f>
        <v>7270 JP Equity</v>
      </c>
      <c r="C664" t="str">
        <f>$C$158</f>
        <v>RR841</v>
      </c>
      <c r="D664" t="str">
        <f>$D$158</f>
        <v>TRAIL_12M_EBITDA</v>
      </c>
      <c r="E664" t="str">
        <f>$E$158</f>
        <v>Dynamic</v>
      </c>
      <c r="F664" t="str">
        <f ca="1">_xll.BDH($B$158,$C$158,$B$509,$B$510,CONCATENATE("Per=",$B$507),"Dts=H","Dir=H",CONCATENATE("Points=",$B$508),"Sort=R","Days=A","Fill=B",CONCATENATE("FX=", $B$506) )</f>
        <v>#N/A Connection</v>
      </c>
      <c r="BN664" t="str">
        <f>""</f>
        <v/>
      </c>
      <c r="BO664" t="str">
        <f>""</f>
        <v/>
      </c>
      <c r="BP664" t="str">
        <f>""</f>
        <v/>
      </c>
      <c r="BQ664" t="str">
        <f>""</f>
        <v/>
      </c>
      <c r="BR664" t="str">
        <f>""</f>
        <v/>
      </c>
      <c r="BS664" t="str">
        <f>""</f>
        <v/>
      </c>
      <c r="BT664" t="str">
        <f>""</f>
        <v/>
      </c>
      <c r="BU664" t="str">
        <f>""</f>
        <v/>
      </c>
      <c r="BV664" t="str">
        <f>""</f>
        <v/>
      </c>
      <c r="BW664" t="str">
        <f>""</f>
        <v/>
      </c>
      <c r="BX664" t="str">
        <f>""</f>
        <v/>
      </c>
      <c r="BY664" t="str">
        <f>""</f>
        <v/>
      </c>
      <c r="BZ664" t="str">
        <f>""</f>
        <v/>
      </c>
      <c r="CA664" t="str">
        <f>""</f>
        <v/>
      </c>
      <c r="CB664" t="str">
        <f>""</f>
        <v/>
      </c>
      <c r="CC664" t="str">
        <f>""</f>
        <v/>
      </c>
      <c r="CD664" t="str">
        <f>""</f>
        <v/>
      </c>
      <c r="CE664" t="str">
        <f>""</f>
        <v/>
      </c>
      <c r="CF664" t="str">
        <f>""</f>
        <v/>
      </c>
      <c r="CG664" t="str">
        <f>""</f>
        <v/>
      </c>
      <c r="CH664" t="str">
        <f>""</f>
        <v/>
      </c>
      <c r="CI664" t="str">
        <f>""</f>
        <v/>
      </c>
      <c r="CJ664" t="str">
        <f>""</f>
        <v/>
      </c>
      <c r="CK664" t="str">
        <f>""</f>
        <v/>
      </c>
      <c r="CL664" t="str">
        <f>""</f>
        <v/>
      </c>
      <c r="CM664" t="str">
        <f>""</f>
        <v/>
      </c>
      <c r="CN664" t="str">
        <f>""</f>
        <v/>
      </c>
      <c r="CO664" t="str">
        <f>""</f>
        <v/>
      </c>
      <c r="CP664" t="str">
        <f>""</f>
        <v/>
      </c>
      <c r="CQ664" t="str">
        <f>""</f>
        <v/>
      </c>
      <c r="CR664" t="str">
        <f>""</f>
        <v/>
      </c>
      <c r="CS664" t="str">
        <f>""</f>
        <v/>
      </c>
      <c r="CT664" t="str">
        <f>""</f>
        <v/>
      </c>
      <c r="CU664" t="str">
        <f>""</f>
        <v/>
      </c>
      <c r="CV664" t="str">
        <f>""</f>
        <v/>
      </c>
      <c r="CW664" t="str">
        <f>""</f>
        <v/>
      </c>
      <c r="CX664" t="str">
        <f>""</f>
        <v/>
      </c>
      <c r="CY664" t="str">
        <f>""</f>
        <v/>
      </c>
      <c r="CZ664" t="str">
        <f>""</f>
        <v/>
      </c>
      <c r="DA664" t="str">
        <f>""</f>
        <v/>
      </c>
      <c r="DB664" t="str">
        <f>""</f>
        <v/>
      </c>
      <c r="DC664" t="str">
        <f>""</f>
        <v/>
      </c>
      <c r="DD664" t="str">
        <f>""</f>
        <v/>
      </c>
      <c r="DE664" t="str">
        <f>""</f>
        <v/>
      </c>
      <c r="DF664" t="str">
        <f>""</f>
        <v/>
      </c>
      <c r="DG664" t="str">
        <f>""</f>
        <v/>
      </c>
      <c r="DH664" t="str">
        <f>""</f>
        <v/>
      </c>
      <c r="DI664" t="str">
        <f>""</f>
        <v/>
      </c>
      <c r="DJ664" t="str">
        <f>""</f>
        <v/>
      </c>
      <c r="DK664" t="str">
        <f>""</f>
        <v/>
      </c>
      <c r="DL664" t="str">
        <f>""</f>
        <v/>
      </c>
      <c r="DM664" t="str">
        <f>""</f>
        <v/>
      </c>
      <c r="DN664" t="str">
        <f>""</f>
        <v/>
      </c>
      <c r="DO664" t="str">
        <f>""</f>
        <v/>
      </c>
      <c r="DP664" t="str">
        <f>""</f>
        <v/>
      </c>
      <c r="DQ664" t="str">
        <f>""</f>
        <v/>
      </c>
      <c r="DR664" t="str">
        <f>""</f>
        <v/>
      </c>
      <c r="DS664" t="str">
        <f>""</f>
        <v/>
      </c>
      <c r="DT664" t="str">
        <f>""</f>
        <v/>
      </c>
      <c r="DU664" t="str">
        <f>""</f>
        <v/>
      </c>
    </row>
    <row r="665" spans="1:125" x14ac:dyDescent="0.25">
      <c r="A665" t="str">
        <f>$A$159</f>
        <v xml:space="preserve">    Suzuki Motor Corp</v>
      </c>
      <c r="B665" t="str">
        <f>$B$159</f>
        <v>7269 JP Equity</v>
      </c>
      <c r="C665" t="str">
        <f>$C$159</f>
        <v>RR841</v>
      </c>
      <c r="D665" t="str">
        <f>$D$159</f>
        <v>TRAIL_12M_EBITDA</v>
      </c>
      <c r="E665" t="str">
        <f>$E$159</f>
        <v>Dynamic</v>
      </c>
      <c r="F665" t="str">
        <f ca="1">_xll.BDH($B$159,$C$159,$B$509,$B$510,CONCATENATE("Per=",$B$507),"Dts=H","Dir=H",CONCATENATE("Points=",$B$508),"Sort=R","Days=A","Fill=B",CONCATENATE("FX=", $B$506) )</f>
        <v>#N/A Connection</v>
      </c>
      <c r="BN665" t="str">
        <f>""</f>
        <v/>
      </c>
      <c r="BO665" t="str">
        <f>""</f>
        <v/>
      </c>
      <c r="BP665" t="str">
        <f>""</f>
        <v/>
      </c>
      <c r="BQ665" t="str">
        <f>""</f>
        <v/>
      </c>
      <c r="BR665" t="str">
        <f>""</f>
        <v/>
      </c>
      <c r="BS665" t="str">
        <f>""</f>
        <v/>
      </c>
      <c r="BT665" t="str">
        <f>""</f>
        <v/>
      </c>
      <c r="BU665" t="str">
        <f>""</f>
        <v/>
      </c>
      <c r="BV665" t="str">
        <f>""</f>
        <v/>
      </c>
      <c r="BW665" t="str">
        <f>""</f>
        <v/>
      </c>
      <c r="BX665" t="str">
        <f>""</f>
        <v/>
      </c>
      <c r="BY665" t="str">
        <f>""</f>
        <v/>
      </c>
      <c r="BZ665" t="str">
        <f>""</f>
        <v/>
      </c>
      <c r="CA665" t="str">
        <f>""</f>
        <v/>
      </c>
      <c r="CB665" t="str">
        <f>""</f>
        <v/>
      </c>
      <c r="CC665" t="str">
        <f>""</f>
        <v/>
      </c>
      <c r="CD665" t="str">
        <f>""</f>
        <v/>
      </c>
      <c r="CE665" t="str">
        <f>""</f>
        <v/>
      </c>
      <c r="CF665" t="str">
        <f>""</f>
        <v/>
      </c>
      <c r="CG665" t="str">
        <f>""</f>
        <v/>
      </c>
      <c r="CH665" t="str">
        <f>""</f>
        <v/>
      </c>
      <c r="CI665" t="str">
        <f>""</f>
        <v/>
      </c>
      <c r="CJ665" t="str">
        <f>""</f>
        <v/>
      </c>
      <c r="CK665" t="str">
        <f>""</f>
        <v/>
      </c>
      <c r="CL665" t="str">
        <f>""</f>
        <v/>
      </c>
      <c r="CM665" t="str">
        <f>""</f>
        <v/>
      </c>
      <c r="CN665" t="str">
        <f>""</f>
        <v/>
      </c>
      <c r="CO665" t="str">
        <f>""</f>
        <v/>
      </c>
      <c r="CP665" t="str">
        <f>""</f>
        <v/>
      </c>
      <c r="CQ665" t="str">
        <f>""</f>
        <v/>
      </c>
      <c r="CR665" t="str">
        <f>""</f>
        <v/>
      </c>
      <c r="CS665" t="str">
        <f>""</f>
        <v/>
      </c>
      <c r="CT665" t="str">
        <f>""</f>
        <v/>
      </c>
      <c r="CU665" t="str">
        <f>""</f>
        <v/>
      </c>
      <c r="CV665" t="str">
        <f>""</f>
        <v/>
      </c>
      <c r="CW665" t="str">
        <f>""</f>
        <v/>
      </c>
      <c r="CX665" t="str">
        <f>""</f>
        <v/>
      </c>
      <c r="CY665" t="str">
        <f>""</f>
        <v/>
      </c>
      <c r="CZ665" t="str">
        <f>""</f>
        <v/>
      </c>
      <c r="DA665" t="str">
        <f>""</f>
        <v/>
      </c>
      <c r="DB665" t="str">
        <f>""</f>
        <v/>
      </c>
      <c r="DC665" t="str">
        <f>""</f>
        <v/>
      </c>
      <c r="DD665" t="str">
        <f>""</f>
        <v/>
      </c>
      <c r="DE665" t="str">
        <f>""</f>
        <v/>
      </c>
      <c r="DF665" t="str">
        <f>""</f>
        <v/>
      </c>
      <c r="DG665" t="str">
        <f>""</f>
        <v/>
      </c>
      <c r="DH665" t="str">
        <f>""</f>
        <v/>
      </c>
      <c r="DI665" t="str">
        <f>""</f>
        <v/>
      </c>
      <c r="DJ665" t="str">
        <f>""</f>
        <v/>
      </c>
      <c r="DK665" t="str">
        <f>""</f>
        <v/>
      </c>
      <c r="DL665" t="str">
        <f>""</f>
        <v/>
      </c>
      <c r="DM665" t="str">
        <f>""</f>
        <v/>
      </c>
      <c r="DN665" t="str">
        <f>""</f>
        <v/>
      </c>
      <c r="DO665" t="str">
        <f>""</f>
        <v/>
      </c>
      <c r="DP665" t="str">
        <f>""</f>
        <v/>
      </c>
      <c r="DQ665" t="str">
        <f>""</f>
        <v/>
      </c>
      <c r="DR665" t="str">
        <f>""</f>
        <v/>
      </c>
      <c r="DS665" t="str">
        <f>""</f>
        <v/>
      </c>
      <c r="DT665" t="str">
        <f>""</f>
        <v/>
      </c>
      <c r="DU665" t="str">
        <f>""</f>
        <v/>
      </c>
    </row>
    <row r="666" spans="1:125" x14ac:dyDescent="0.25">
      <c r="A666" t="str">
        <f>$A$160</f>
        <v xml:space="preserve">    Tata Motors Ltd</v>
      </c>
      <c r="B666" t="str">
        <f>$B$160</f>
        <v>TTMT IN Equity</v>
      </c>
      <c r="C666" t="str">
        <f>$C$160</f>
        <v>RR841</v>
      </c>
      <c r="D666" t="str">
        <f>$D$160</f>
        <v>TRAIL_12M_EBITDA</v>
      </c>
      <c r="E666" t="str">
        <f>$E$160</f>
        <v>Dynamic</v>
      </c>
      <c r="F666" t="str">
        <f ca="1">_xll.BDH($B$160,$C$160,$B$509,$B$510,CONCATENATE("Per=",$B$507),"Dts=H","Dir=H",CONCATENATE("Points=",$B$508),"Sort=R","Days=A","Fill=B",CONCATENATE("FX=", $B$506) )</f>
        <v>#N/A Connection</v>
      </c>
      <c r="BN666" t="str">
        <f>""</f>
        <v/>
      </c>
      <c r="BO666" t="str">
        <f>""</f>
        <v/>
      </c>
      <c r="BP666" t="str">
        <f>""</f>
        <v/>
      </c>
      <c r="BQ666" t="str">
        <f>""</f>
        <v/>
      </c>
      <c r="BR666" t="str">
        <f>""</f>
        <v/>
      </c>
      <c r="BS666" t="str">
        <f>""</f>
        <v/>
      </c>
      <c r="BT666" t="str">
        <f>""</f>
        <v/>
      </c>
      <c r="BU666" t="str">
        <f>""</f>
        <v/>
      </c>
      <c r="BV666" t="str">
        <f>""</f>
        <v/>
      </c>
      <c r="BW666" t="str">
        <f>""</f>
        <v/>
      </c>
      <c r="BX666" t="str">
        <f>""</f>
        <v/>
      </c>
      <c r="BY666" t="str">
        <f>""</f>
        <v/>
      </c>
      <c r="BZ666" t="str">
        <f>""</f>
        <v/>
      </c>
      <c r="CA666" t="str">
        <f>""</f>
        <v/>
      </c>
      <c r="CB666" t="str">
        <f>""</f>
        <v/>
      </c>
      <c r="CC666" t="str">
        <f>""</f>
        <v/>
      </c>
      <c r="CD666" t="str">
        <f>""</f>
        <v/>
      </c>
      <c r="CE666" t="str">
        <f>""</f>
        <v/>
      </c>
      <c r="CF666" t="str">
        <f>""</f>
        <v/>
      </c>
      <c r="CG666" t="str">
        <f>""</f>
        <v/>
      </c>
      <c r="CH666" t="str">
        <f>""</f>
        <v/>
      </c>
      <c r="CI666" t="str">
        <f>""</f>
        <v/>
      </c>
      <c r="CJ666" t="str">
        <f>""</f>
        <v/>
      </c>
      <c r="CK666" t="str">
        <f>""</f>
        <v/>
      </c>
      <c r="CL666" t="str">
        <f>""</f>
        <v/>
      </c>
      <c r="CM666" t="str">
        <f>""</f>
        <v/>
      </c>
      <c r="CN666" t="str">
        <f>""</f>
        <v/>
      </c>
      <c r="CO666" t="str">
        <f>""</f>
        <v/>
      </c>
      <c r="CP666" t="str">
        <f>""</f>
        <v/>
      </c>
      <c r="CQ666" t="str">
        <f>""</f>
        <v/>
      </c>
      <c r="CR666" t="str">
        <f>""</f>
        <v/>
      </c>
      <c r="CS666" t="str">
        <f>""</f>
        <v/>
      </c>
      <c r="CT666" t="str">
        <f>""</f>
        <v/>
      </c>
      <c r="CU666" t="str">
        <f>""</f>
        <v/>
      </c>
      <c r="CV666" t="str">
        <f>""</f>
        <v/>
      </c>
      <c r="CW666" t="str">
        <f>""</f>
        <v/>
      </c>
      <c r="CX666" t="str">
        <f>""</f>
        <v/>
      </c>
      <c r="CY666" t="str">
        <f>""</f>
        <v/>
      </c>
      <c r="CZ666" t="str">
        <f>""</f>
        <v/>
      </c>
      <c r="DA666" t="str">
        <f>""</f>
        <v/>
      </c>
      <c r="DB666" t="str">
        <f>""</f>
        <v/>
      </c>
      <c r="DC666" t="str">
        <f>""</f>
        <v/>
      </c>
      <c r="DD666" t="str">
        <f>""</f>
        <v/>
      </c>
      <c r="DE666" t="str">
        <f>""</f>
        <v/>
      </c>
      <c r="DF666" t="str">
        <f>""</f>
        <v/>
      </c>
      <c r="DG666" t="str">
        <f>""</f>
        <v/>
      </c>
      <c r="DH666" t="str">
        <f>""</f>
        <v/>
      </c>
      <c r="DI666" t="str">
        <f>""</f>
        <v/>
      </c>
      <c r="DJ666" t="str">
        <f>""</f>
        <v/>
      </c>
      <c r="DK666" t="str">
        <f>""</f>
        <v/>
      </c>
      <c r="DL666" t="str">
        <f>""</f>
        <v/>
      </c>
      <c r="DM666" t="str">
        <f>""</f>
        <v/>
      </c>
      <c r="DN666" t="str">
        <f>""</f>
        <v/>
      </c>
      <c r="DO666" t="str">
        <f>""</f>
        <v/>
      </c>
      <c r="DP666" t="str">
        <f>""</f>
        <v/>
      </c>
      <c r="DQ666" t="str">
        <f>""</f>
        <v/>
      </c>
      <c r="DR666" t="str">
        <f>""</f>
        <v/>
      </c>
      <c r="DS666" t="str">
        <f>""</f>
        <v/>
      </c>
      <c r="DT666" t="str">
        <f>""</f>
        <v/>
      </c>
      <c r="DU666" t="str">
        <f>""</f>
        <v/>
      </c>
    </row>
    <row r="667" spans="1:125" x14ac:dyDescent="0.25">
      <c r="A667" t="str">
        <f>$A$161</f>
        <v xml:space="preserve">    Tesla Inc</v>
      </c>
      <c r="B667" t="str">
        <f>$B$161</f>
        <v>TSLA US Equity</v>
      </c>
      <c r="C667" t="str">
        <f>$C$161</f>
        <v>RR841</v>
      </c>
      <c r="D667" t="str">
        <f>$D$161</f>
        <v>TRAIL_12M_EBITDA</v>
      </c>
      <c r="E667" t="str">
        <f>$E$161</f>
        <v>Dynamic</v>
      </c>
      <c r="F667" t="str">
        <f ca="1">_xll.BDH($B$161,$C$161,$B$509,$B$510,CONCATENATE("Per=",$B$507),"Dts=H","Dir=H",CONCATENATE("Points=",$B$508),"Sort=R","Days=A","Fill=B",CONCATENATE("FX=", $B$506) )</f>
        <v>#N/A Connection</v>
      </c>
      <c r="BN667" t="str">
        <f>""</f>
        <v/>
      </c>
      <c r="BO667" t="str">
        <f>""</f>
        <v/>
      </c>
      <c r="BP667" t="str">
        <f>""</f>
        <v/>
      </c>
      <c r="BQ667" t="str">
        <f>""</f>
        <v/>
      </c>
      <c r="BR667" t="str">
        <f>""</f>
        <v/>
      </c>
      <c r="BS667" t="str">
        <f>""</f>
        <v/>
      </c>
      <c r="BT667" t="str">
        <f>""</f>
        <v/>
      </c>
      <c r="BU667" t="str">
        <f>""</f>
        <v/>
      </c>
      <c r="BV667" t="str">
        <f>""</f>
        <v/>
      </c>
      <c r="BW667" t="str">
        <f>""</f>
        <v/>
      </c>
      <c r="BX667" t="str">
        <f>""</f>
        <v/>
      </c>
      <c r="BY667" t="str">
        <f>""</f>
        <v/>
      </c>
      <c r="BZ667" t="str">
        <f>""</f>
        <v/>
      </c>
      <c r="CA667" t="str">
        <f>""</f>
        <v/>
      </c>
      <c r="CB667" t="str">
        <f>""</f>
        <v/>
      </c>
      <c r="CC667" t="str">
        <f>""</f>
        <v/>
      </c>
      <c r="CD667" t="str">
        <f>""</f>
        <v/>
      </c>
      <c r="CE667" t="str">
        <f>""</f>
        <v/>
      </c>
      <c r="CF667" t="str">
        <f>""</f>
        <v/>
      </c>
      <c r="CG667" t="str">
        <f>""</f>
        <v/>
      </c>
      <c r="CH667" t="str">
        <f>""</f>
        <v/>
      </c>
      <c r="CI667" t="str">
        <f>""</f>
        <v/>
      </c>
      <c r="CJ667" t="str">
        <f>""</f>
        <v/>
      </c>
      <c r="CK667" t="str">
        <f>""</f>
        <v/>
      </c>
      <c r="CL667" t="str">
        <f>""</f>
        <v/>
      </c>
      <c r="CM667" t="str">
        <f>""</f>
        <v/>
      </c>
      <c r="CN667" t="str">
        <f>""</f>
        <v/>
      </c>
      <c r="CO667" t="str">
        <f>""</f>
        <v/>
      </c>
      <c r="CP667" t="str">
        <f>""</f>
        <v/>
      </c>
      <c r="CQ667" t="str">
        <f>""</f>
        <v/>
      </c>
      <c r="CR667" t="str">
        <f>""</f>
        <v/>
      </c>
      <c r="CS667" t="str">
        <f>""</f>
        <v/>
      </c>
      <c r="CT667" t="str">
        <f>""</f>
        <v/>
      </c>
      <c r="CU667" t="str">
        <f>""</f>
        <v/>
      </c>
      <c r="CV667" t="str">
        <f>""</f>
        <v/>
      </c>
      <c r="CW667" t="str">
        <f>""</f>
        <v/>
      </c>
      <c r="CX667" t="str">
        <f>""</f>
        <v/>
      </c>
      <c r="CY667" t="str">
        <f>""</f>
        <v/>
      </c>
      <c r="CZ667" t="str">
        <f>""</f>
        <v/>
      </c>
      <c r="DA667" t="str">
        <f>""</f>
        <v/>
      </c>
      <c r="DB667" t="str">
        <f>""</f>
        <v/>
      </c>
      <c r="DC667" t="str">
        <f>""</f>
        <v/>
      </c>
      <c r="DD667" t="str">
        <f>""</f>
        <v/>
      </c>
      <c r="DE667" t="str">
        <f>""</f>
        <v/>
      </c>
      <c r="DF667" t="str">
        <f>""</f>
        <v/>
      </c>
      <c r="DG667" t="str">
        <f>""</f>
        <v/>
      </c>
      <c r="DH667" t="str">
        <f>""</f>
        <v/>
      </c>
      <c r="DI667" t="str">
        <f>""</f>
        <v/>
      </c>
      <c r="DJ667" t="str">
        <f>""</f>
        <v/>
      </c>
      <c r="DK667" t="str">
        <f>""</f>
        <v/>
      </c>
      <c r="DL667" t="str">
        <f>""</f>
        <v/>
      </c>
      <c r="DM667" t="str">
        <f>""</f>
        <v/>
      </c>
      <c r="DN667" t="str">
        <f>""</f>
        <v/>
      </c>
      <c r="DO667" t="str">
        <f>""</f>
        <v/>
      </c>
      <c r="DP667" t="str">
        <f>""</f>
        <v/>
      </c>
      <c r="DQ667" t="str">
        <f>""</f>
        <v/>
      </c>
      <c r="DR667" t="str">
        <f>""</f>
        <v/>
      </c>
      <c r="DS667" t="str">
        <f>""</f>
        <v/>
      </c>
      <c r="DT667" t="str">
        <f>""</f>
        <v/>
      </c>
      <c r="DU667" t="str">
        <f>""</f>
        <v/>
      </c>
    </row>
    <row r="668" spans="1:125" x14ac:dyDescent="0.25">
      <c r="A668" t="str">
        <f>$A$162</f>
        <v xml:space="preserve">    Tianjin Faw Xiali Automobile Co Ltd</v>
      </c>
      <c r="B668" t="str">
        <f>$B$162</f>
        <v>000927 CH Equity</v>
      </c>
      <c r="C668" t="str">
        <f>$C$162</f>
        <v>RR841</v>
      </c>
      <c r="D668" t="str">
        <f>$D$162</f>
        <v>TRAIL_12M_EBITDA</v>
      </c>
      <c r="E668" t="str">
        <f>$E$162</f>
        <v>Dynamic</v>
      </c>
      <c r="F668" t="str">
        <f ca="1">_xll.BDH($B$162,$C$162,$B$509,$B$510,CONCATENATE("Per=",$B$507),"Dts=H","Dir=H",CONCATENATE("Points=",$B$508),"Sort=R","Days=A","Fill=B",CONCATENATE("FX=", $B$506) )</f>
        <v>#N/A Connection</v>
      </c>
      <c r="BN668" t="str">
        <f>""</f>
        <v/>
      </c>
      <c r="BO668" t="str">
        <f>""</f>
        <v/>
      </c>
      <c r="BP668" t="str">
        <f>""</f>
        <v/>
      </c>
      <c r="BQ668" t="str">
        <f>""</f>
        <v/>
      </c>
      <c r="BR668" t="str">
        <f>""</f>
        <v/>
      </c>
      <c r="BS668" t="str">
        <f>""</f>
        <v/>
      </c>
      <c r="BT668" t="str">
        <f>""</f>
        <v/>
      </c>
      <c r="BU668" t="str">
        <f>""</f>
        <v/>
      </c>
      <c r="BV668" t="str">
        <f>""</f>
        <v/>
      </c>
      <c r="BW668" t="str">
        <f>""</f>
        <v/>
      </c>
      <c r="BX668" t="str">
        <f>""</f>
        <v/>
      </c>
      <c r="BY668" t="str">
        <f>""</f>
        <v/>
      </c>
      <c r="BZ668" t="str">
        <f>""</f>
        <v/>
      </c>
      <c r="CA668" t="str">
        <f>""</f>
        <v/>
      </c>
      <c r="CB668" t="str">
        <f>""</f>
        <v/>
      </c>
      <c r="CC668" t="str">
        <f>""</f>
        <v/>
      </c>
      <c r="CD668" t="str">
        <f>""</f>
        <v/>
      </c>
      <c r="CE668" t="str">
        <f>""</f>
        <v/>
      </c>
      <c r="CF668" t="str">
        <f>""</f>
        <v/>
      </c>
      <c r="CG668" t="str">
        <f>""</f>
        <v/>
      </c>
      <c r="CH668" t="str">
        <f>""</f>
        <v/>
      </c>
      <c r="CI668" t="str">
        <f>""</f>
        <v/>
      </c>
      <c r="CJ668" t="str">
        <f>""</f>
        <v/>
      </c>
      <c r="CK668" t="str">
        <f>""</f>
        <v/>
      </c>
      <c r="CL668" t="str">
        <f>""</f>
        <v/>
      </c>
      <c r="CM668" t="str">
        <f>""</f>
        <v/>
      </c>
      <c r="CN668" t="str">
        <f>""</f>
        <v/>
      </c>
      <c r="CO668" t="str">
        <f>""</f>
        <v/>
      </c>
      <c r="CP668" t="str">
        <f>""</f>
        <v/>
      </c>
      <c r="CQ668" t="str">
        <f>""</f>
        <v/>
      </c>
      <c r="CR668" t="str">
        <f>""</f>
        <v/>
      </c>
      <c r="CS668" t="str">
        <f>""</f>
        <v/>
      </c>
      <c r="CT668" t="str">
        <f>""</f>
        <v/>
      </c>
      <c r="CU668" t="str">
        <f>""</f>
        <v/>
      </c>
      <c r="CV668" t="str">
        <f>""</f>
        <v/>
      </c>
      <c r="CW668" t="str">
        <f>""</f>
        <v/>
      </c>
      <c r="CX668" t="str">
        <f>""</f>
        <v/>
      </c>
      <c r="CY668" t="str">
        <f>""</f>
        <v/>
      </c>
      <c r="CZ668" t="str">
        <f>""</f>
        <v/>
      </c>
      <c r="DA668" t="str">
        <f>""</f>
        <v/>
      </c>
      <c r="DB668" t="str">
        <f>""</f>
        <v/>
      </c>
      <c r="DC668" t="str">
        <f>""</f>
        <v/>
      </c>
      <c r="DD668" t="str">
        <f>""</f>
        <v/>
      </c>
      <c r="DE668" t="str">
        <f>""</f>
        <v/>
      </c>
      <c r="DF668" t="str">
        <f>""</f>
        <v/>
      </c>
      <c r="DG668" t="str">
        <f>""</f>
        <v/>
      </c>
      <c r="DH668" t="str">
        <f>""</f>
        <v/>
      </c>
      <c r="DI668" t="str">
        <f>""</f>
        <v/>
      </c>
      <c r="DJ668" t="str">
        <f>""</f>
        <v/>
      </c>
      <c r="DK668" t="str">
        <f>""</f>
        <v/>
      </c>
      <c r="DL668" t="str">
        <f>""</f>
        <v/>
      </c>
      <c r="DM668" t="str">
        <f>""</f>
        <v/>
      </c>
      <c r="DN668" t="str">
        <f>""</f>
        <v/>
      </c>
      <c r="DO668" t="str">
        <f>""</f>
        <v/>
      </c>
      <c r="DP668" t="str">
        <f>""</f>
        <v/>
      </c>
      <c r="DQ668" t="str">
        <f>""</f>
        <v/>
      </c>
      <c r="DR668" t="str">
        <f>""</f>
        <v/>
      </c>
      <c r="DS668" t="str">
        <f>""</f>
        <v/>
      </c>
      <c r="DT668" t="str">
        <f>""</f>
        <v/>
      </c>
      <c r="DU668" t="str">
        <f>""</f>
        <v/>
      </c>
    </row>
    <row r="669" spans="1:125" x14ac:dyDescent="0.25">
      <c r="A669" t="str">
        <f>$A$163</f>
        <v xml:space="preserve">    Tofas Turk Otomobil Fabrikasi AS</v>
      </c>
      <c r="B669" t="str">
        <f>$B$163</f>
        <v>TOASOTRY EO Equity</v>
      </c>
      <c r="C669" t="str">
        <f>$C$163</f>
        <v>RR841</v>
      </c>
      <c r="D669" t="str">
        <f>$D$163</f>
        <v>TRAIL_12M_EBITDA</v>
      </c>
      <c r="E669" t="str">
        <f>$E$163</f>
        <v>Dynamic</v>
      </c>
      <c r="F669" t="str">
        <f ca="1">_xll.BDH($B$163,$C$163,$B$509,$B$510,CONCATENATE("Per=",$B$507),"Dts=H","Dir=H",CONCATENATE("Points=",$B$508),"Sort=R","Days=A","Fill=B",CONCATENATE("FX=", $B$506) )</f>
        <v>#N/A Connection</v>
      </c>
      <c r="BN669" t="str">
        <f>""</f>
        <v/>
      </c>
      <c r="BO669" t="str">
        <f>""</f>
        <v/>
      </c>
      <c r="BP669" t="str">
        <f>""</f>
        <v/>
      </c>
      <c r="BQ669" t="str">
        <f>""</f>
        <v/>
      </c>
      <c r="BR669" t="str">
        <f>""</f>
        <v/>
      </c>
      <c r="BS669" t="str">
        <f>""</f>
        <v/>
      </c>
      <c r="BT669" t="str">
        <f>""</f>
        <v/>
      </c>
      <c r="BU669" t="str">
        <f>""</f>
        <v/>
      </c>
      <c r="BV669" t="str">
        <f>""</f>
        <v/>
      </c>
      <c r="BW669" t="str">
        <f>""</f>
        <v/>
      </c>
      <c r="BX669" t="str">
        <f>""</f>
        <v/>
      </c>
      <c r="BY669" t="str">
        <f>""</f>
        <v/>
      </c>
      <c r="BZ669" t="str">
        <f>""</f>
        <v/>
      </c>
      <c r="CA669" t="str">
        <f>""</f>
        <v/>
      </c>
      <c r="CB669" t="str">
        <f>""</f>
        <v/>
      </c>
      <c r="CC669" t="str">
        <f>""</f>
        <v/>
      </c>
      <c r="CD669" t="str">
        <f>""</f>
        <v/>
      </c>
      <c r="CE669" t="str">
        <f>""</f>
        <v/>
      </c>
      <c r="CF669" t="str">
        <f>""</f>
        <v/>
      </c>
      <c r="CG669" t="str">
        <f>""</f>
        <v/>
      </c>
      <c r="CH669" t="str">
        <f>""</f>
        <v/>
      </c>
      <c r="CI669" t="str">
        <f>""</f>
        <v/>
      </c>
      <c r="CJ669" t="str">
        <f>""</f>
        <v/>
      </c>
      <c r="CK669" t="str">
        <f>""</f>
        <v/>
      </c>
      <c r="CL669" t="str">
        <f>""</f>
        <v/>
      </c>
      <c r="CM669" t="str">
        <f>""</f>
        <v/>
      </c>
      <c r="CN669" t="str">
        <f>""</f>
        <v/>
      </c>
      <c r="CO669" t="str">
        <f>""</f>
        <v/>
      </c>
      <c r="CP669" t="str">
        <f>""</f>
        <v/>
      </c>
      <c r="CQ669" t="str">
        <f>""</f>
        <v/>
      </c>
      <c r="CR669" t="str">
        <f>""</f>
        <v/>
      </c>
      <c r="CS669" t="str">
        <f>""</f>
        <v/>
      </c>
      <c r="CT669" t="str">
        <f>""</f>
        <v/>
      </c>
      <c r="CU669" t="str">
        <f>""</f>
        <v/>
      </c>
      <c r="CV669" t="str">
        <f>""</f>
        <v/>
      </c>
      <c r="CW669" t="str">
        <f>""</f>
        <v/>
      </c>
      <c r="CX669" t="str">
        <f>""</f>
        <v/>
      </c>
      <c r="CY669" t="str">
        <f>""</f>
        <v/>
      </c>
      <c r="CZ669" t="str">
        <f>""</f>
        <v/>
      </c>
      <c r="DA669" t="str">
        <f>""</f>
        <v/>
      </c>
      <c r="DB669" t="str">
        <f>""</f>
        <v/>
      </c>
      <c r="DC669" t="str">
        <f>""</f>
        <v/>
      </c>
      <c r="DD669" t="str">
        <f>""</f>
        <v/>
      </c>
      <c r="DE669" t="str">
        <f>""</f>
        <v/>
      </c>
      <c r="DF669" t="str">
        <f>""</f>
        <v/>
      </c>
      <c r="DG669" t="str">
        <f>""</f>
        <v/>
      </c>
      <c r="DH669" t="str">
        <f>""</f>
        <v/>
      </c>
      <c r="DI669" t="str">
        <f>""</f>
        <v/>
      </c>
      <c r="DJ669" t="str">
        <f>""</f>
        <v/>
      </c>
      <c r="DK669" t="str">
        <f>""</f>
        <v/>
      </c>
      <c r="DL669" t="str">
        <f>""</f>
        <v/>
      </c>
      <c r="DM669" t="str">
        <f>""</f>
        <v/>
      </c>
      <c r="DN669" t="str">
        <f>""</f>
        <v/>
      </c>
      <c r="DO669" t="str">
        <f>""</f>
        <v/>
      </c>
      <c r="DP669" t="str">
        <f>""</f>
        <v/>
      </c>
      <c r="DQ669" t="str">
        <f>""</f>
        <v/>
      </c>
      <c r="DR669" t="str">
        <f>""</f>
        <v/>
      </c>
      <c r="DS669" t="str">
        <f>""</f>
        <v/>
      </c>
      <c r="DT669" t="str">
        <f>""</f>
        <v/>
      </c>
      <c r="DU669" t="str">
        <f>""</f>
        <v/>
      </c>
    </row>
    <row r="670" spans="1:125" x14ac:dyDescent="0.25">
      <c r="A670" t="str">
        <f>$A$164</f>
        <v xml:space="preserve">    Toyota Motor Corp</v>
      </c>
      <c r="B670" t="str">
        <f>$B$164</f>
        <v>7203 JP Equity</v>
      </c>
      <c r="C670" t="str">
        <f>$C$164</f>
        <v>RR841</v>
      </c>
      <c r="D670" t="str">
        <f>$D$164</f>
        <v>TRAIL_12M_EBITDA</v>
      </c>
      <c r="E670" t="str">
        <f>$E$164</f>
        <v>Dynamic</v>
      </c>
      <c r="F670" t="str">
        <f ca="1">_xll.BDH($B$164,$C$164,$B$509,$B$510,CONCATENATE("Per=",$B$507),"Dts=H","Dir=H",CONCATENATE("Points=",$B$508),"Sort=R","Days=A","Fill=B",CONCATENATE("FX=", $B$506) )</f>
        <v>#N/A Connection</v>
      </c>
      <c r="BN670" t="str">
        <f>""</f>
        <v/>
      </c>
      <c r="BO670" t="str">
        <f>""</f>
        <v/>
      </c>
      <c r="BP670" t="str">
        <f>""</f>
        <v/>
      </c>
      <c r="BQ670" t="str">
        <f>""</f>
        <v/>
      </c>
      <c r="BR670" t="str">
        <f>""</f>
        <v/>
      </c>
      <c r="BS670" t="str">
        <f>""</f>
        <v/>
      </c>
      <c r="BT670" t="str">
        <f>""</f>
        <v/>
      </c>
      <c r="BU670" t="str">
        <f>""</f>
        <v/>
      </c>
      <c r="BV670" t="str">
        <f>""</f>
        <v/>
      </c>
      <c r="BW670" t="str">
        <f>""</f>
        <v/>
      </c>
      <c r="BX670" t="str">
        <f>""</f>
        <v/>
      </c>
      <c r="BY670" t="str">
        <f>""</f>
        <v/>
      </c>
      <c r="BZ670" t="str">
        <f>""</f>
        <v/>
      </c>
      <c r="CA670" t="str">
        <f>""</f>
        <v/>
      </c>
      <c r="CB670" t="str">
        <f>""</f>
        <v/>
      </c>
      <c r="CC670" t="str">
        <f>""</f>
        <v/>
      </c>
      <c r="CD670" t="str">
        <f>""</f>
        <v/>
      </c>
      <c r="CE670" t="str">
        <f>""</f>
        <v/>
      </c>
      <c r="CF670" t="str">
        <f>""</f>
        <v/>
      </c>
      <c r="CG670" t="str">
        <f>""</f>
        <v/>
      </c>
      <c r="CH670" t="str">
        <f>""</f>
        <v/>
      </c>
      <c r="CI670" t="str">
        <f>""</f>
        <v/>
      </c>
      <c r="CJ670" t="str">
        <f>""</f>
        <v/>
      </c>
      <c r="CK670" t="str">
        <f>""</f>
        <v/>
      </c>
      <c r="CL670" t="str">
        <f>""</f>
        <v/>
      </c>
      <c r="CM670" t="str">
        <f>""</f>
        <v/>
      </c>
      <c r="CN670" t="str">
        <f>""</f>
        <v/>
      </c>
      <c r="CO670" t="str">
        <f>""</f>
        <v/>
      </c>
      <c r="CP670" t="str">
        <f>""</f>
        <v/>
      </c>
      <c r="CQ670" t="str">
        <f>""</f>
        <v/>
      </c>
      <c r="CR670" t="str">
        <f>""</f>
        <v/>
      </c>
      <c r="CS670" t="str">
        <f>""</f>
        <v/>
      </c>
      <c r="CT670" t="str">
        <f>""</f>
        <v/>
      </c>
      <c r="CU670" t="str">
        <f>""</f>
        <v/>
      </c>
      <c r="CV670" t="str">
        <f>""</f>
        <v/>
      </c>
      <c r="CW670" t="str">
        <f>""</f>
        <v/>
      </c>
      <c r="CX670" t="str">
        <f>""</f>
        <v/>
      </c>
      <c r="CY670" t="str">
        <f>""</f>
        <v/>
      </c>
      <c r="CZ670" t="str">
        <f>""</f>
        <v/>
      </c>
      <c r="DA670" t="str">
        <f>""</f>
        <v/>
      </c>
      <c r="DB670" t="str">
        <f>""</f>
        <v/>
      </c>
      <c r="DC670" t="str">
        <f>""</f>
        <v/>
      </c>
      <c r="DD670" t="str">
        <f>""</f>
        <v/>
      </c>
      <c r="DE670" t="str">
        <f>""</f>
        <v/>
      </c>
      <c r="DF670" t="str">
        <f>""</f>
        <v/>
      </c>
      <c r="DG670" t="str">
        <f>""</f>
        <v/>
      </c>
      <c r="DH670" t="str">
        <f>""</f>
        <v/>
      </c>
      <c r="DI670" t="str">
        <f>""</f>
        <v/>
      </c>
      <c r="DJ670" t="str">
        <f>""</f>
        <v/>
      </c>
      <c r="DK670" t="str">
        <f>""</f>
        <v/>
      </c>
      <c r="DL670" t="str">
        <f>""</f>
        <v/>
      </c>
      <c r="DM670" t="str">
        <f>""</f>
        <v/>
      </c>
      <c r="DN670" t="str">
        <f>""</f>
        <v/>
      </c>
      <c r="DO670" t="str">
        <f>""</f>
        <v/>
      </c>
      <c r="DP670" t="str">
        <f>""</f>
        <v/>
      </c>
      <c r="DQ670" t="str">
        <f>""</f>
        <v/>
      </c>
      <c r="DR670" t="str">
        <f>""</f>
        <v/>
      </c>
      <c r="DS670" t="str">
        <f>""</f>
        <v/>
      </c>
      <c r="DT670" t="str">
        <f>""</f>
        <v/>
      </c>
      <c r="DU670" t="str">
        <f>""</f>
        <v/>
      </c>
    </row>
    <row r="671" spans="1:125" x14ac:dyDescent="0.25">
      <c r="A671" t="str">
        <f>$A$165</f>
        <v xml:space="preserve">    Volkswagen AG</v>
      </c>
      <c r="B671" t="str">
        <f>$B$165</f>
        <v>VOW GR Equity</v>
      </c>
      <c r="C671" t="str">
        <f>$C$165</f>
        <v>RR841</v>
      </c>
      <c r="D671" t="str">
        <f>$D$165</f>
        <v>TRAIL_12M_EBITDA</v>
      </c>
      <c r="E671" t="str">
        <f>$E$165</f>
        <v>Dynamic</v>
      </c>
      <c r="F671" t="str">
        <f ca="1">_xll.BDH($B$165,$C$165,$B$509,$B$510,CONCATENATE("Per=",$B$507),"Dts=H","Dir=H",CONCATENATE("Points=",$B$508),"Sort=R","Days=A","Fill=B",CONCATENATE("FX=", $B$506) )</f>
        <v>#N/A Connection</v>
      </c>
      <c r="BN671" t="str">
        <f>""</f>
        <v/>
      </c>
      <c r="BO671" t="str">
        <f>""</f>
        <v/>
      </c>
      <c r="BP671" t="str">
        <f>""</f>
        <v/>
      </c>
      <c r="BQ671" t="str">
        <f>""</f>
        <v/>
      </c>
      <c r="BR671" t="str">
        <f>""</f>
        <v/>
      </c>
      <c r="BS671" t="str">
        <f>""</f>
        <v/>
      </c>
      <c r="BT671" t="str">
        <f>""</f>
        <v/>
      </c>
      <c r="BU671" t="str">
        <f>""</f>
        <v/>
      </c>
      <c r="BV671" t="str">
        <f>""</f>
        <v/>
      </c>
      <c r="BW671" t="str">
        <f>""</f>
        <v/>
      </c>
      <c r="BX671" t="str">
        <f>""</f>
        <v/>
      </c>
      <c r="BY671" t="str">
        <f>""</f>
        <v/>
      </c>
      <c r="BZ671" t="str">
        <f>""</f>
        <v/>
      </c>
      <c r="CA671" t="str">
        <f>""</f>
        <v/>
      </c>
      <c r="CB671" t="str">
        <f>""</f>
        <v/>
      </c>
      <c r="CC671" t="str">
        <f>""</f>
        <v/>
      </c>
      <c r="CD671" t="str">
        <f>""</f>
        <v/>
      </c>
      <c r="CE671" t="str">
        <f>""</f>
        <v/>
      </c>
      <c r="CF671" t="str">
        <f>""</f>
        <v/>
      </c>
      <c r="CG671" t="str">
        <f>""</f>
        <v/>
      </c>
      <c r="CH671" t="str">
        <f>""</f>
        <v/>
      </c>
      <c r="CI671" t="str">
        <f>""</f>
        <v/>
      </c>
      <c r="CJ671" t="str">
        <f>""</f>
        <v/>
      </c>
      <c r="CK671" t="str">
        <f>""</f>
        <v/>
      </c>
      <c r="CL671" t="str">
        <f>""</f>
        <v/>
      </c>
      <c r="CM671" t="str">
        <f>""</f>
        <v/>
      </c>
      <c r="CN671" t="str">
        <f>""</f>
        <v/>
      </c>
      <c r="CO671" t="str">
        <f>""</f>
        <v/>
      </c>
      <c r="CP671" t="str">
        <f>""</f>
        <v/>
      </c>
      <c r="CQ671" t="str">
        <f>""</f>
        <v/>
      </c>
      <c r="CR671" t="str">
        <f>""</f>
        <v/>
      </c>
      <c r="CS671" t="str">
        <f>""</f>
        <v/>
      </c>
      <c r="CT671" t="str">
        <f>""</f>
        <v/>
      </c>
      <c r="CU671" t="str">
        <f>""</f>
        <v/>
      </c>
      <c r="CV671" t="str">
        <f>""</f>
        <v/>
      </c>
      <c r="CW671" t="str">
        <f>""</f>
        <v/>
      </c>
      <c r="CX671" t="str">
        <f>""</f>
        <v/>
      </c>
      <c r="CY671" t="str">
        <f>""</f>
        <v/>
      </c>
      <c r="CZ671" t="str">
        <f>""</f>
        <v/>
      </c>
      <c r="DA671" t="str">
        <f>""</f>
        <v/>
      </c>
      <c r="DB671" t="str">
        <f>""</f>
        <v/>
      </c>
      <c r="DC671" t="str">
        <f>""</f>
        <v/>
      </c>
      <c r="DD671" t="str">
        <f>""</f>
        <v/>
      </c>
      <c r="DE671" t="str">
        <f>""</f>
        <v/>
      </c>
      <c r="DF671" t="str">
        <f>""</f>
        <v/>
      </c>
      <c r="DG671" t="str">
        <f>""</f>
        <v/>
      </c>
      <c r="DH671" t="str">
        <f>""</f>
        <v/>
      </c>
      <c r="DI671" t="str">
        <f>""</f>
        <v/>
      </c>
      <c r="DJ671" t="str">
        <f>""</f>
        <v/>
      </c>
      <c r="DK671" t="str">
        <f>""</f>
        <v/>
      </c>
      <c r="DL671" t="str">
        <f>""</f>
        <v/>
      </c>
      <c r="DM671" t="str">
        <f>""</f>
        <v/>
      </c>
      <c r="DN671" t="str">
        <f>""</f>
        <v/>
      </c>
      <c r="DO671" t="str">
        <f>""</f>
        <v/>
      </c>
      <c r="DP671" t="str">
        <f>""</f>
        <v/>
      </c>
      <c r="DQ671" t="str">
        <f>""</f>
        <v/>
      </c>
      <c r="DR671" t="str">
        <f>""</f>
        <v/>
      </c>
      <c r="DS671" t="str">
        <f>""</f>
        <v/>
      </c>
      <c r="DT671" t="str">
        <f>""</f>
        <v/>
      </c>
      <c r="DU671" t="str">
        <f>""</f>
        <v/>
      </c>
    </row>
    <row r="672" spans="1:125" x14ac:dyDescent="0.25">
      <c r="A672" t="str">
        <f>$A$166</f>
        <v xml:space="preserve">    Yulon Motor Co Ltd</v>
      </c>
      <c r="B672" t="str">
        <f>$B$166</f>
        <v>2201 TT Equity</v>
      </c>
      <c r="C672" t="str">
        <f>$C$166</f>
        <v>RR841</v>
      </c>
      <c r="D672" t="str">
        <f>$D$166</f>
        <v>TRAIL_12M_EBITDA</v>
      </c>
      <c r="E672" t="str">
        <f>$E$166</f>
        <v>Dynamic</v>
      </c>
      <c r="F672" t="str">
        <f ca="1">_xll.BDH($B$166,$C$166,$B$509,$B$510,CONCATENATE("Per=",$B$507),"Dts=H","Dir=H",CONCATENATE("Points=",$B$508),"Sort=R","Days=A","Fill=B",CONCATENATE("FX=", $B$506) )</f>
        <v>#N/A Connection</v>
      </c>
      <c r="BN672" t="str">
        <f>""</f>
        <v/>
      </c>
      <c r="BO672" t="str">
        <f>""</f>
        <v/>
      </c>
      <c r="BP672" t="str">
        <f>""</f>
        <v/>
      </c>
      <c r="BQ672" t="str">
        <f>""</f>
        <v/>
      </c>
      <c r="BR672" t="str">
        <f>""</f>
        <v/>
      </c>
      <c r="BS672" t="str">
        <f>""</f>
        <v/>
      </c>
      <c r="BT672" t="str">
        <f>""</f>
        <v/>
      </c>
      <c r="BU672" t="str">
        <f>""</f>
        <v/>
      </c>
      <c r="BV672" t="str">
        <f>""</f>
        <v/>
      </c>
      <c r="BW672" t="str">
        <f>""</f>
        <v/>
      </c>
      <c r="BX672" t="str">
        <f>""</f>
        <v/>
      </c>
      <c r="BY672" t="str">
        <f>""</f>
        <v/>
      </c>
      <c r="BZ672" t="str">
        <f>""</f>
        <v/>
      </c>
      <c r="CA672" t="str">
        <f>""</f>
        <v/>
      </c>
      <c r="CB672" t="str">
        <f>""</f>
        <v/>
      </c>
      <c r="CC672" t="str">
        <f>""</f>
        <v/>
      </c>
      <c r="CD672" t="str">
        <f>""</f>
        <v/>
      </c>
      <c r="CE672" t="str">
        <f>""</f>
        <v/>
      </c>
      <c r="CF672" t="str">
        <f>""</f>
        <v/>
      </c>
      <c r="CG672" t="str">
        <f>""</f>
        <v/>
      </c>
      <c r="CH672" t="str">
        <f>""</f>
        <v/>
      </c>
      <c r="CI672" t="str">
        <f>""</f>
        <v/>
      </c>
      <c r="CJ672" t="str">
        <f>""</f>
        <v/>
      </c>
      <c r="CK672" t="str">
        <f>""</f>
        <v/>
      </c>
      <c r="CL672" t="str">
        <f>""</f>
        <v/>
      </c>
      <c r="CM672" t="str">
        <f>""</f>
        <v/>
      </c>
      <c r="CN672" t="str">
        <f>""</f>
        <v/>
      </c>
      <c r="CO672" t="str">
        <f>""</f>
        <v/>
      </c>
      <c r="CP672" t="str">
        <f>""</f>
        <v/>
      </c>
      <c r="CQ672" t="str">
        <f>""</f>
        <v/>
      </c>
      <c r="CR672" t="str">
        <f>""</f>
        <v/>
      </c>
      <c r="CS672" t="str">
        <f>""</f>
        <v/>
      </c>
      <c r="CT672" t="str">
        <f>""</f>
        <v/>
      </c>
      <c r="CU672" t="str">
        <f>""</f>
        <v/>
      </c>
      <c r="CV672" t="str">
        <f>""</f>
        <v/>
      </c>
      <c r="CW672" t="str">
        <f>""</f>
        <v/>
      </c>
      <c r="CX672" t="str">
        <f>""</f>
        <v/>
      </c>
      <c r="CY672" t="str">
        <f>""</f>
        <v/>
      </c>
      <c r="CZ672" t="str">
        <f>""</f>
        <v/>
      </c>
      <c r="DA672" t="str">
        <f>""</f>
        <v/>
      </c>
      <c r="DB672" t="str">
        <f>""</f>
        <v/>
      </c>
      <c r="DC672" t="str">
        <f>""</f>
        <v/>
      </c>
      <c r="DD672" t="str">
        <f>""</f>
        <v/>
      </c>
      <c r="DE672" t="str">
        <f>""</f>
        <v/>
      </c>
      <c r="DF672" t="str">
        <f>""</f>
        <v/>
      </c>
      <c r="DG672" t="str">
        <f>""</f>
        <v/>
      </c>
      <c r="DH672" t="str">
        <f>""</f>
        <v/>
      </c>
      <c r="DI672" t="str">
        <f>""</f>
        <v/>
      </c>
      <c r="DJ672" t="str">
        <f>""</f>
        <v/>
      </c>
      <c r="DK672" t="str">
        <f>""</f>
        <v/>
      </c>
      <c r="DL672" t="str">
        <f>""</f>
        <v/>
      </c>
      <c r="DM672" t="str">
        <f>""</f>
        <v/>
      </c>
      <c r="DN672" t="str">
        <f>""</f>
        <v/>
      </c>
      <c r="DO672" t="str">
        <f>""</f>
        <v/>
      </c>
      <c r="DP672" t="str">
        <f>""</f>
        <v/>
      </c>
      <c r="DQ672" t="str">
        <f>""</f>
        <v/>
      </c>
      <c r="DR672" t="str">
        <f>""</f>
        <v/>
      </c>
      <c r="DS672" t="str">
        <f>""</f>
        <v/>
      </c>
      <c r="DT672" t="str">
        <f>""</f>
        <v/>
      </c>
      <c r="DU672" t="str">
        <f>""</f>
        <v/>
      </c>
    </row>
    <row r="673" spans="1:125" x14ac:dyDescent="0.25">
      <c r="A673" t="str">
        <f>$A$168</f>
        <v xml:space="preserve">    AUDI AG</v>
      </c>
      <c r="B673" t="str">
        <f>$B$168</f>
        <v>NSU GR Equity</v>
      </c>
      <c r="C673" t="str">
        <f>$C$168</f>
        <v>RR800</v>
      </c>
      <c r="D673" t="str">
        <f>$D$168</f>
        <v>TRAIL_12M_NET_SALES</v>
      </c>
      <c r="E673" t="str">
        <f>$E$168</f>
        <v>Dynamic</v>
      </c>
      <c r="F673" t="str">
        <f ca="1">_xll.BDH($B$168,$C$168,$B$509,$B$510,CONCATENATE("Per=",$B$507),"Dts=H","Dir=H",CONCATENATE("Points=",$B$508),"Sort=R","Days=A","Fill=B",CONCATENATE("FX=", $B$506) )</f>
        <v>#N/A Connection</v>
      </c>
      <c r="BN673" t="str">
        <f>""</f>
        <v/>
      </c>
      <c r="BO673" t="str">
        <f>""</f>
        <v/>
      </c>
      <c r="BP673" t="str">
        <f>""</f>
        <v/>
      </c>
      <c r="BQ673" t="str">
        <f>""</f>
        <v/>
      </c>
      <c r="BR673" t="str">
        <f>""</f>
        <v/>
      </c>
      <c r="BS673" t="str">
        <f>""</f>
        <v/>
      </c>
      <c r="BT673" t="str">
        <f>""</f>
        <v/>
      </c>
      <c r="BU673" t="str">
        <f>""</f>
        <v/>
      </c>
      <c r="BV673" t="str">
        <f>""</f>
        <v/>
      </c>
      <c r="BW673" t="str">
        <f>""</f>
        <v/>
      </c>
      <c r="BX673" t="str">
        <f>""</f>
        <v/>
      </c>
      <c r="BY673" t="str">
        <f>""</f>
        <v/>
      </c>
      <c r="BZ673" t="str">
        <f>""</f>
        <v/>
      </c>
      <c r="CA673" t="str">
        <f>""</f>
        <v/>
      </c>
      <c r="CB673" t="str">
        <f>""</f>
        <v/>
      </c>
      <c r="CC673" t="str">
        <f>""</f>
        <v/>
      </c>
      <c r="CD673" t="str">
        <f>""</f>
        <v/>
      </c>
      <c r="CE673" t="str">
        <f>""</f>
        <v/>
      </c>
      <c r="CF673" t="str">
        <f>""</f>
        <v/>
      </c>
      <c r="CG673" t="str">
        <f>""</f>
        <v/>
      </c>
      <c r="CH673" t="str">
        <f>""</f>
        <v/>
      </c>
      <c r="CI673" t="str">
        <f>""</f>
        <v/>
      </c>
      <c r="CJ673" t="str">
        <f>""</f>
        <v/>
      </c>
      <c r="CK673" t="str">
        <f>""</f>
        <v/>
      </c>
      <c r="CL673" t="str">
        <f>""</f>
        <v/>
      </c>
      <c r="CM673" t="str">
        <f>""</f>
        <v/>
      </c>
      <c r="CN673" t="str">
        <f>""</f>
        <v/>
      </c>
      <c r="CO673" t="str">
        <f>""</f>
        <v/>
      </c>
      <c r="CP673" t="str">
        <f>""</f>
        <v/>
      </c>
      <c r="CQ673" t="str">
        <f>""</f>
        <v/>
      </c>
      <c r="CR673" t="str">
        <f>""</f>
        <v/>
      </c>
      <c r="CS673" t="str">
        <f>""</f>
        <v/>
      </c>
      <c r="CT673" t="str">
        <f>""</f>
        <v/>
      </c>
      <c r="CU673" t="str">
        <f>""</f>
        <v/>
      </c>
      <c r="CV673" t="str">
        <f>""</f>
        <v/>
      </c>
      <c r="CW673" t="str">
        <f>""</f>
        <v/>
      </c>
      <c r="CX673" t="str">
        <f>""</f>
        <v/>
      </c>
      <c r="CY673" t="str">
        <f>""</f>
        <v/>
      </c>
      <c r="CZ673" t="str">
        <f>""</f>
        <v/>
      </c>
      <c r="DA673" t="str">
        <f>""</f>
        <v/>
      </c>
      <c r="DB673" t="str">
        <f>""</f>
        <v/>
      </c>
      <c r="DC673" t="str">
        <f>""</f>
        <v/>
      </c>
      <c r="DD673" t="str">
        <f>""</f>
        <v/>
      </c>
      <c r="DE673" t="str">
        <f>""</f>
        <v/>
      </c>
      <c r="DF673" t="str">
        <f>""</f>
        <v/>
      </c>
      <c r="DG673" t="str">
        <f>""</f>
        <v/>
      </c>
      <c r="DH673" t="str">
        <f>""</f>
        <v/>
      </c>
      <c r="DI673" t="str">
        <f>""</f>
        <v/>
      </c>
      <c r="DJ673" t="str">
        <f>""</f>
        <v/>
      </c>
      <c r="DK673" t="str">
        <f>""</f>
        <v/>
      </c>
      <c r="DL673" t="str">
        <f>""</f>
        <v/>
      </c>
      <c r="DM673" t="str">
        <f>""</f>
        <v/>
      </c>
      <c r="DN673" t="str">
        <f>""</f>
        <v/>
      </c>
      <c r="DO673" t="str">
        <f>""</f>
        <v/>
      </c>
      <c r="DP673" t="str">
        <f>""</f>
        <v/>
      </c>
      <c r="DQ673" t="str">
        <f>""</f>
        <v/>
      </c>
      <c r="DR673" t="str">
        <f>""</f>
        <v/>
      </c>
      <c r="DS673" t="str">
        <f>""</f>
        <v/>
      </c>
      <c r="DT673" t="str">
        <f>""</f>
        <v/>
      </c>
      <c r="DU673" t="str">
        <f>""</f>
        <v/>
      </c>
    </row>
    <row r="674" spans="1:125" x14ac:dyDescent="0.25">
      <c r="A674" t="str">
        <f>$A$169</f>
        <v xml:space="preserve">    Avtovaz PJSC</v>
      </c>
      <c r="B674" t="str">
        <f>$B$169</f>
        <v>AVAZ RM Equity</v>
      </c>
      <c r="C674" t="str">
        <f>$C$169</f>
        <v>RR800</v>
      </c>
      <c r="D674" t="str">
        <f>$D$169</f>
        <v>TRAIL_12M_NET_SALES</v>
      </c>
      <c r="E674" t="str">
        <f>$E$169</f>
        <v>Dynamic</v>
      </c>
      <c r="F674" t="str">
        <f ca="1">_xll.BDH($B$169,$C$169,$B$509,$B$510,CONCATENATE("Per=",$B$507),"Dts=H","Dir=H",CONCATENATE("Points=",$B$508),"Sort=R","Days=A","Fill=B",CONCATENATE("FX=", $B$506) )</f>
        <v>#N/A Connection</v>
      </c>
      <c r="BN674" t="str">
        <f>""</f>
        <v/>
      </c>
      <c r="BO674" t="str">
        <f>""</f>
        <v/>
      </c>
      <c r="BP674" t="str">
        <f>""</f>
        <v/>
      </c>
      <c r="BQ674" t="str">
        <f>""</f>
        <v/>
      </c>
      <c r="BR674" t="str">
        <f>""</f>
        <v/>
      </c>
      <c r="BS674" t="str">
        <f>""</f>
        <v/>
      </c>
      <c r="BT674" t="str">
        <f>""</f>
        <v/>
      </c>
      <c r="BU674" t="str">
        <f>""</f>
        <v/>
      </c>
      <c r="BV674" t="str">
        <f>""</f>
        <v/>
      </c>
      <c r="BW674" t="str">
        <f>""</f>
        <v/>
      </c>
      <c r="BX674" t="str">
        <f>""</f>
        <v/>
      </c>
      <c r="BY674" t="str">
        <f>""</f>
        <v/>
      </c>
      <c r="BZ674" t="str">
        <f>""</f>
        <v/>
      </c>
      <c r="CA674" t="str">
        <f>""</f>
        <v/>
      </c>
      <c r="CB674" t="str">
        <f>""</f>
        <v/>
      </c>
      <c r="CC674" t="str">
        <f>""</f>
        <v/>
      </c>
      <c r="CD674" t="str">
        <f>""</f>
        <v/>
      </c>
      <c r="CE674" t="str">
        <f>""</f>
        <v/>
      </c>
      <c r="CF674" t="str">
        <f>""</f>
        <v/>
      </c>
      <c r="CG674" t="str">
        <f>""</f>
        <v/>
      </c>
      <c r="CH674" t="str">
        <f>""</f>
        <v/>
      </c>
      <c r="CI674" t="str">
        <f>""</f>
        <v/>
      </c>
      <c r="CJ674" t="str">
        <f>""</f>
        <v/>
      </c>
      <c r="CK674" t="str">
        <f>""</f>
        <v/>
      </c>
      <c r="CL674" t="str">
        <f>""</f>
        <v/>
      </c>
      <c r="CM674" t="str">
        <f>""</f>
        <v/>
      </c>
      <c r="CN674" t="str">
        <f>""</f>
        <v/>
      </c>
      <c r="CO674" t="str">
        <f>""</f>
        <v/>
      </c>
      <c r="CP674" t="str">
        <f>""</f>
        <v/>
      </c>
      <c r="CQ674" t="str">
        <f>""</f>
        <v/>
      </c>
      <c r="CR674" t="str">
        <f>""</f>
        <v/>
      </c>
      <c r="CS674" t="str">
        <f>""</f>
        <v/>
      </c>
      <c r="CT674" t="str">
        <f>""</f>
        <v/>
      </c>
      <c r="CU674" t="str">
        <f>""</f>
        <v/>
      </c>
      <c r="CV674" t="str">
        <f>""</f>
        <v/>
      </c>
      <c r="CW674" t="str">
        <f>""</f>
        <v/>
      </c>
      <c r="CX674" t="str">
        <f>""</f>
        <v/>
      </c>
      <c r="CY674" t="str">
        <f>""</f>
        <v/>
      </c>
      <c r="CZ674" t="str">
        <f>""</f>
        <v/>
      </c>
      <c r="DA674" t="str">
        <f>""</f>
        <v/>
      </c>
      <c r="DB674" t="str">
        <f>""</f>
        <v/>
      </c>
      <c r="DC674" t="str">
        <f>""</f>
        <v/>
      </c>
      <c r="DD674" t="str">
        <f>""</f>
        <v/>
      </c>
      <c r="DE674" t="str">
        <f>""</f>
        <v/>
      </c>
      <c r="DF674" t="str">
        <f>""</f>
        <v/>
      </c>
      <c r="DG674" t="str">
        <f>""</f>
        <v/>
      </c>
      <c r="DH674" t="str">
        <f>""</f>
        <v/>
      </c>
      <c r="DI674" t="str">
        <f>""</f>
        <v/>
      </c>
      <c r="DJ674" t="str">
        <f>""</f>
        <v/>
      </c>
      <c r="DK674" t="str">
        <f>""</f>
        <v/>
      </c>
      <c r="DL674" t="str">
        <f>""</f>
        <v/>
      </c>
      <c r="DM674" t="str">
        <f>""</f>
        <v/>
      </c>
      <c r="DN674" t="str">
        <f>""</f>
        <v/>
      </c>
      <c r="DO674" t="str">
        <f>""</f>
        <v/>
      </c>
      <c r="DP674" t="str">
        <f>""</f>
        <v/>
      </c>
      <c r="DQ674" t="str">
        <f>""</f>
        <v/>
      </c>
      <c r="DR674" t="str">
        <f>""</f>
        <v/>
      </c>
      <c r="DS674" t="str">
        <f>""</f>
        <v/>
      </c>
      <c r="DT674" t="str">
        <f>""</f>
        <v/>
      </c>
      <c r="DU674" t="str">
        <f>""</f>
        <v/>
      </c>
    </row>
    <row r="675" spans="1:125" x14ac:dyDescent="0.25">
      <c r="A675" t="str">
        <f>$A$170</f>
        <v xml:space="preserve">    Bayerische Motoren Werke AG</v>
      </c>
      <c r="B675" t="str">
        <f>$B$170</f>
        <v>BMW GR Equity</v>
      </c>
      <c r="C675" t="str">
        <f>$C$170</f>
        <v>RR800</v>
      </c>
      <c r="D675" t="str">
        <f>$D$170</f>
        <v>TRAIL_12M_NET_SALES</v>
      </c>
      <c r="E675" t="str">
        <f>$E$170</f>
        <v>Dynamic</v>
      </c>
      <c r="F675" t="str">
        <f ca="1">_xll.BDH($B$170,$C$170,$B$509,$B$510,CONCATENATE("Per=",$B$507),"Dts=H","Dir=H",CONCATENATE("Points=",$B$508),"Sort=R","Days=A","Fill=B",CONCATENATE("FX=", $B$506) )</f>
        <v>#N/A Connection</v>
      </c>
      <c r="BN675" t="str">
        <f>""</f>
        <v/>
      </c>
      <c r="BO675" t="str">
        <f>""</f>
        <v/>
      </c>
      <c r="BP675" t="str">
        <f>""</f>
        <v/>
      </c>
      <c r="BQ675" t="str">
        <f>""</f>
        <v/>
      </c>
      <c r="BR675" t="str">
        <f>""</f>
        <v/>
      </c>
      <c r="BS675" t="str">
        <f>""</f>
        <v/>
      </c>
      <c r="BT675" t="str">
        <f>""</f>
        <v/>
      </c>
      <c r="BU675" t="str">
        <f>""</f>
        <v/>
      </c>
      <c r="BV675" t="str">
        <f>""</f>
        <v/>
      </c>
      <c r="BW675" t="str">
        <f>""</f>
        <v/>
      </c>
      <c r="BX675" t="str">
        <f>""</f>
        <v/>
      </c>
      <c r="BY675" t="str">
        <f>""</f>
        <v/>
      </c>
      <c r="BZ675" t="str">
        <f>""</f>
        <v/>
      </c>
      <c r="CA675" t="str">
        <f>""</f>
        <v/>
      </c>
      <c r="CB675" t="str">
        <f>""</f>
        <v/>
      </c>
      <c r="CC675" t="str">
        <f>""</f>
        <v/>
      </c>
      <c r="CD675" t="str">
        <f>""</f>
        <v/>
      </c>
      <c r="CE675" t="str">
        <f>""</f>
        <v/>
      </c>
      <c r="CF675" t="str">
        <f>""</f>
        <v/>
      </c>
      <c r="CG675" t="str">
        <f>""</f>
        <v/>
      </c>
      <c r="CH675" t="str">
        <f>""</f>
        <v/>
      </c>
      <c r="CI675" t="str">
        <f>""</f>
        <v/>
      </c>
      <c r="CJ675" t="str">
        <f>""</f>
        <v/>
      </c>
      <c r="CK675" t="str">
        <f>""</f>
        <v/>
      </c>
      <c r="CL675" t="str">
        <f>""</f>
        <v/>
      </c>
      <c r="CM675" t="str">
        <f>""</f>
        <v/>
      </c>
      <c r="CN675" t="str">
        <f>""</f>
        <v/>
      </c>
      <c r="CO675" t="str">
        <f>""</f>
        <v/>
      </c>
      <c r="CP675" t="str">
        <f>""</f>
        <v/>
      </c>
      <c r="CQ675" t="str">
        <f>""</f>
        <v/>
      </c>
      <c r="CR675" t="str">
        <f>""</f>
        <v/>
      </c>
      <c r="CS675" t="str">
        <f>""</f>
        <v/>
      </c>
      <c r="CT675" t="str">
        <f>""</f>
        <v/>
      </c>
      <c r="CU675" t="str">
        <f>""</f>
        <v/>
      </c>
      <c r="CV675" t="str">
        <f>""</f>
        <v/>
      </c>
      <c r="CW675" t="str">
        <f>""</f>
        <v/>
      </c>
      <c r="CX675" t="str">
        <f>""</f>
        <v/>
      </c>
      <c r="CY675" t="str">
        <f>""</f>
        <v/>
      </c>
      <c r="CZ675" t="str">
        <f>""</f>
        <v/>
      </c>
      <c r="DA675" t="str">
        <f>""</f>
        <v/>
      </c>
      <c r="DB675" t="str">
        <f>""</f>
        <v/>
      </c>
      <c r="DC675" t="str">
        <f>""</f>
        <v/>
      </c>
      <c r="DD675" t="str">
        <f>""</f>
        <v/>
      </c>
      <c r="DE675" t="str">
        <f>""</f>
        <v/>
      </c>
      <c r="DF675" t="str">
        <f>""</f>
        <v/>
      </c>
      <c r="DG675" t="str">
        <f>""</f>
        <v/>
      </c>
      <c r="DH675" t="str">
        <f>""</f>
        <v/>
      </c>
      <c r="DI675" t="str">
        <f>""</f>
        <v/>
      </c>
      <c r="DJ675" t="str">
        <f>""</f>
        <v/>
      </c>
      <c r="DK675" t="str">
        <f>""</f>
        <v/>
      </c>
      <c r="DL675" t="str">
        <f>""</f>
        <v/>
      </c>
      <c r="DM675" t="str">
        <f>""</f>
        <v/>
      </c>
      <c r="DN675" t="str">
        <f>""</f>
        <v/>
      </c>
      <c r="DO675" t="str">
        <f>""</f>
        <v/>
      </c>
      <c r="DP675" t="str">
        <f>""</f>
        <v/>
      </c>
      <c r="DQ675" t="str">
        <f>""</f>
        <v/>
      </c>
      <c r="DR675" t="str">
        <f>""</f>
        <v/>
      </c>
      <c r="DS675" t="str">
        <f>""</f>
        <v/>
      </c>
      <c r="DT675" t="str">
        <f>""</f>
        <v/>
      </c>
      <c r="DU675" t="str">
        <f>""</f>
        <v/>
      </c>
    </row>
    <row r="676" spans="1:125" x14ac:dyDescent="0.25">
      <c r="A676" t="str">
        <f>$A$171</f>
        <v xml:space="preserve">    Brilliance China Automotive Holdings Ltd</v>
      </c>
      <c r="B676" t="str">
        <f>$B$171</f>
        <v>1114 HK Equity</v>
      </c>
      <c r="C676" t="str">
        <f>$C$171</f>
        <v>RR800</v>
      </c>
      <c r="D676" t="str">
        <f>$D$171</f>
        <v>TRAIL_12M_NET_SALES</v>
      </c>
      <c r="E676" t="str">
        <f>$E$171</f>
        <v>Dynamic</v>
      </c>
      <c r="F676" t="str">
        <f ca="1">_xll.BDH($B$171,$C$171,$B$509,$B$510,CONCATENATE("Per=",$B$507),"Dts=H","Dir=H",CONCATENATE("Points=",$B$508),"Sort=R","Days=A","Fill=B",CONCATENATE("FX=", $B$506) )</f>
        <v>#N/A Connection</v>
      </c>
      <c r="BN676" t="str">
        <f>""</f>
        <v/>
      </c>
      <c r="BO676" t="str">
        <f>""</f>
        <v/>
      </c>
      <c r="BP676" t="str">
        <f>""</f>
        <v/>
      </c>
      <c r="BQ676" t="str">
        <f>""</f>
        <v/>
      </c>
      <c r="BR676" t="str">
        <f>""</f>
        <v/>
      </c>
      <c r="BS676" t="str">
        <f>""</f>
        <v/>
      </c>
      <c r="BT676" t="str">
        <f>""</f>
        <v/>
      </c>
      <c r="BU676" t="str">
        <f>""</f>
        <v/>
      </c>
      <c r="BV676" t="str">
        <f>""</f>
        <v/>
      </c>
      <c r="BW676" t="str">
        <f>""</f>
        <v/>
      </c>
      <c r="BX676" t="str">
        <f>""</f>
        <v/>
      </c>
      <c r="BY676" t="str">
        <f>""</f>
        <v/>
      </c>
      <c r="BZ676" t="str">
        <f>""</f>
        <v/>
      </c>
      <c r="CA676" t="str">
        <f>""</f>
        <v/>
      </c>
      <c r="CB676" t="str">
        <f>""</f>
        <v/>
      </c>
      <c r="CC676" t="str">
        <f>""</f>
        <v/>
      </c>
      <c r="CD676" t="str">
        <f>""</f>
        <v/>
      </c>
      <c r="CE676" t="str">
        <f>""</f>
        <v/>
      </c>
      <c r="CF676" t="str">
        <f>""</f>
        <v/>
      </c>
      <c r="CG676" t="str">
        <f>""</f>
        <v/>
      </c>
      <c r="CH676" t="str">
        <f>""</f>
        <v/>
      </c>
      <c r="CI676" t="str">
        <f>""</f>
        <v/>
      </c>
      <c r="CJ676" t="str">
        <f>""</f>
        <v/>
      </c>
      <c r="CK676" t="str">
        <f>""</f>
        <v/>
      </c>
      <c r="CL676" t="str">
        <f>""</f>
        <v/>
      </c>
      <c r="CM676" t="str">
        <f>""</f>
        <v/>
      </c>
      <c r="CN676" t="str">
        <f>""</f>
        <v/>
      </c>
      <c r="CO676" t="str">
        <f>""</f>
        <v/>
      </c>
      <c r="CP676" t="str">
        <f>""</f>
        <v/>
      </c>
      <c r="CQ676" t="str">
        <f>""</f>
        <v/>
      </c>
      <c r="CR676" t="str">
        <f>""</f>
        <v/>
      </c>
      <c r="CS676" t="str">
        <f>""</f>
        <v/>
      </c>
      <c r="CT676" t="str">
        <f>""</f>
        <v/>
      </c>
      <c r="CU676" t="str">
        <f>""</f>
        <v/>
      </c>
      <c r="CV676" t="str">
        <f>""</f>
        <v/>
      </c>
      <c r="CW676" t="str">
        <f>""</f>
        <v/>
      </c>
      <c r="CX676" t="str">
        <f>""</f>
        <v/>
      </c>
      <c r="CY676" t="str">
        <f>""</f>
        <v/>
      </c>
      <c r="CZ676" t="str">
        <f>""</f>
        <v/>
      </c>
      <c r="DA676" t="str">
        <f>""</f>
        <v/>
      </c>
      <c r="DB676" t="str">
        <f>""</f>
        <v/>
      </c>
      <c r="DC676" t="str">
        <f>""</f>
        <v/>
      </c>
      <c r="DD676" t="str">
        <f>""</f>
        <v/>
      </c>
      <c r="DE676" t="str">
        <f>""</f>
        <v/>
      </c>
      <c r="DF676" t="str">
        <f>""</f>
        <v/>
      </c>
      <c r="DG676" t="str">
        <f>""</f>
        <v/>
      </c>
      <c r="DH676" t="str">
        <f>""</f>
        <v/>
      </c>
      <c r="DI676" t="str">
        <f>""</f>
        <v/>
      </c>
      <c r="DJ676" t="str">
        <f>""</f>
        <v/>
      </c>
      <c r="DK676" t="str">
        <f>""</f>
        <v/>
      </c>
      <c r="DL676" t="str">
        <f>""</f>
        <v/>
      </c>
      <c r="DM676" t="str">
        <f>""</f>
        <v/>
      </c>
      <c r="DN676" t="str">
        <f>""</f>
        <v/>
      </c>
      <c r="DO676" t="str">
        <f>""</f>
        <v/>
      </c>
      <c r="DP676" t="str">
        <f>""</f>
        <v/>
      </c>
      <c r="DQ676" t="str">
        <f>""</f>
        <v/>
      </c>
      <c r="DR676" t="str">
        <f>""</f>
        <v/>
      </c>
      <c r="DS676" t="str">
        <f>""</f>
        <v/>
      </c>
      <c r="DT676" t="str">
        <f>""</f>
        <v/>
      </c>
      <c r="DU676" t="str">
        <f>""</f>
        <v/>
      </c>
    </row>
    <row r="677" spans="1:125" x14ac:dyDescent="0.25">
      <c r="A677" t="str">
        <f>$A$172</f>
        <v xml:space="preserve">    BYD Co Ltd</v>
      </c>
      <c r="B677" t="str">
        <f>$B$172</f>
        <v>1211 HK Equity</v>
      </c>
      <c r="C677" t="str">
        <f>$C$172</f>
        <v>RR800</v>
      </c>
      <c r="D677" t="str">
        <f>$D$172</f>
        <v>TRAIL_12M_NET_SALES</v>
      </c>
      <c r="E677" t="str">
        <f>$E$172</f>
        <v>Dynamic</v>
      </c>
      <c r="F677" t="str">
        <f ca="1">_xll.BDH($B$172,$C$172,$B$509,$B$510,CONCATENATE("Per=",$B$507),"Dts=H","Dir=H",CONCATENATE("Points=",$B$508),"Sort=R","Days=A","Fill=B",CONCATENATE("FX=", $B$506) )</f>
        <v>#N/A Connection</v>
      </c>
      <c r="BN677" t="str">
        <f>""</f>
        <v/>
      </c>
      <c r="BO677" t="str">
        <f>""</f>
        <v/>
      </c>
      <c r="BP677" t="str">
        <f>""</f>
        <v/>
      </c>
      <c r="BQ677" t="str">
        <f>""</f>
        <v/>
      </c>
      <c r="BR677" t="str">
        <f>""</f>
        <v/>
      </c>
      <c r="BS677" t="str">
        <f>""</f>
        <v/>
      </c>
      <c r="BT677" t="str">
        <f>""</f>
        <v/>
      </c>
      <c r="BU677" t="str">
        <f>""</f>
        <v/>
      </c>
      <c r="BV677" t="str">
        <f>""</f>
        <v/>
      </c>
      <c r="BW677" t="str">
        <f>""</f>
        <v/>
      </c>
      <c r="BX677" t="str">
        <f>""</f>
        <v/>
      </c>
      <c r="BY677" t="str">
        <f>""</f>
        <v/>
      </c>
      <c r="BZ677" t="str">
        <f>""</f>
        <v/>
      </c>
      <c r="CA677" t="str">
        <f>""</f>
        <v/>
      </c>
      <c r="CB677" t="str">
        <f>""</f>
        <v/>
      </c>
      <c r="CC677" t="str">
        <f>""</f>
        <v/>
      </c>
      <c r="CD677" t="str">
        <f>""</f>
        <v/>
      </c>
      <c r="CE677" t="str">
        <f>""</f>
        <v/>
      </c>
      <c r="CF677" t="str">
        <f>""</f>
        <v/>
      </c>
      <c r="CG677" t="str">
        <f>""</f>
        <v/>
      </c>
      <c r="CH677" t="str">
        <f>""</f>
        <v/>
      </c>
      <c r="CI677" t="str">
        <f>""</f>
        <v/>
      </c>
      <c r="CJ677" t="str">
        <f>""</f>
        <v/>
      </c>
      <c r="CK677" t="str">
        <f>""</f>
        <v/>
      </c>
      <c r="CL677" t="str">
        <f>""</f>
        <v/>
      </c>
      <c r="CM677" t="str">
        <f>""</f>
        <v/>
      </c>
      <c r="CN677" t="str">
        <f>""</f>
        <v/>
      </c>
      <c r="CO677" t="str">
        <f>""</f>
        <v/>
      </c>
      <c r="CP677" t="str">
        <f>""</f>
        <v/>
      </c>
      <c r="CQ677" t="str">
        <f>""</f>
        <v/>
      </c>
      <c r="CR677" t="str">
        <f>""</f>
        <v/>
      </c>
      <c r="CS677" t="str">
        <f>""</f>
        <v/>
      </c>
      <c r="CT677" t="str">
        <f>""</f>
        <v/>
      </c>
      <c r="CU677" t="str">
        <f>""</f>
        <v/>
      </c>
      <c r="CV677" t="str">
        <f>""</f>
        <v/>
      </c>
      <c r="CW677" t="str">
        <f>""</f>
        <v/>
      </c>
      <c r="CX677" t="str">
        <f>""</f>
        <v/>
      </c>
      <c r="CY677" t="str">
        <f>""</f>
        <v/>
      </c>
      <c r="CZ677" t="str">
        <f>""</f>
        <v/>
      </c>
      <c r="DA677" t="str">
        <f>""</f>
        <v/>
      </c>
      <c r="DB677" t="str">
        <f>""</f>
        <v/>
      </c>
      <c r="DC677" t="str">
        <f>""</f>
        <v/>
      </c>
      <c r="DD677" t="str">
        <f>""</f>
        <v/>
      </c>
      <c r="DE677" t="str">
        <f>""</f>
        <v/>
      </c>
      <c r="DF677" t="str">
        <f>""</f>
        <v/>
      </c>
      <c r="DG677" t="str">
        <f>""</f>
        <v/>
      </c>
      <c r="DH677" t="str">
        <f>""</f>
        <v/>
      </c>
      <c r="DI677" t="str">
        <f>""</f>
        <v/>
      </c>
      <c r="DJ677" t="str">
        <f>""</f>
        <v/>
      </c>
      <c r="DK677" t="str">
        <f>""</f>
        <v/>
      </c>
      <c r="DL677" t="str">
        <f>""</f>
        <v/>
      </c>
      <c r="DM677" t="str">
        <f>""</f>
        <v/>
      </c>
      <c r="DN677" t="str">
        <f>""</f>
        <v/>
      </c>
      <c r="DO677" t="str">
        <f>""</f>
        <v/>
      </c>
      <c r="DP677" t="str">
        <f>""</f>
        <v/>
      </c>
      <c r="DQ677" t="str">
        <f>""</f>
        <v/>
      </c>
      <c r="DR677" t="str">
        <f>""</f>
        <v/>
      </c>
      <c r="DS677" t="str">
        <f>""</f>
        <v/>
      </c>
      <c r="DT677" t="str">
        <f>""</f>
        <v/>
      </c>
      <c r="DU677" t="str">
        <f>""</f>
        <v/>
      </c>
    </row>
    <row r="678" spans="1:125" x14ac:dyDescent="0.25">
      <c r="A678" t="str">
        <f>$A$173</f>
        <v xml:space="preserve">    Chongqing Changan Automobile Co Ltd</v>
      </c>
      <c r="B678" t="str">
        <f>$B$173</f>
        <v>200625 CH Equity</v>
      </c>
      <c r="C678" t="str">
        <f>$C$173</f>
        <v>RR800</v>
      </c>
      <c r="D678" t="str">
        <f>$D$173</f>
        <v>TRAIL_12M_NET_SALES</v>
      </c>
      <c r="E678" t="str">
        <f>$E$173</f>
        <v>Dynamic</v>
      </c>
      <c r="F678" t="str">
        <f ca="1">_xll.BDH($B$173,$C$173,$B$509,$B$510,CONCATENATE("Per=",$B$507),"Dts=H","Dir=H",CONCATENATE("Points=",$B$508),"Sort=R","Days=A","Fill=B",CONCATENATE("FX=", $B$506) )</f>
        <v>#N/A Connection</v>
      </c>
      <c r="BN678" t="str">
        <f>""</f>
        <v/>
      </c>
      <c r="BO678" t="str">
        <f>""</f>
        <v/>
      </c>
      <c r="BP678" t="str">
        <f>""</f>
        <v/>
      </c>
      <c r="BQ678" t="str">
        <f>""</f>
        <v/>
      </c>
      <c r="BR678" t="str">
        <f>""</f>
        <v/>
      </c>
      <c r="BS678" t="str">
        <f>""</f>
        <v/>
      </c>
      <c r="BT678" t="str">
        <f>""</f>
        <v/>
      </c>
      <c r="BU678" t="str">
        <f>""</f>
        <v/>
      </c>
      <c r="BV678" t="str">
        <f>""</f>
        <v/>
      </c>
      <c r="BW678" t="str">
        <f>""</f>
        <v/>
      </c>
      <c r="BX678" t="str">
        <f>""</f>
        <v/>
      </c>
      <c r="BY678" t="str">
        <f>""</f>
        <v/>
      </c>
      <c r="BZ678" t="str">
        <f>""</f>
        <v/>
      </c>
      <c r="CA678" t="str">
        <f>""</f>
        <v/>
      </c>
      <c r="CB678" t="str">
        <f>""</f>
        <v/>
      </c>
      <c r="CC678" t="str">
        <f>""</f>
        <v/>
      </c>
      <c r="CD678" t="str">
        <f>""</f>
        <v/>
      </c>
      <c r="CE678" t="str">
        <f>""</f>
        <v/>
      </c>
      <c r="CF678" t="str">
        <f>""</f>
        <v/>
      </c>
      <c r="CG678" t="str">
        <f>""</f>
        <v/>
      </c>
      <c r="CH678" t="str">
        <f>""</f>
        <v/>
      </c>
      <c r="CI678" t="str">
        <f>""</f>
        <v/>
      </c>
      <c r="CJ678" t="str">
        <f>""</f>
        <v/>
      </c>
      <c r="CK678" t="str">
        <f>""</f>
        <v/>
      </c>
      <c r="CL678" t="str">
        <f>""</f>
        <v/>
      </c>
      <c r="CM678" t="str">
        <f>""</f>
        <v/>
      </c>
      <c r="CN678" t="str">
        <f>""</f>
        <v/>
      </c>
      <c r="CO678" t="str">
        <f>""</f>
        <v/>
      </c>
      <c r="CP678" t="str">
        <f>""</f>
        <v/>
      </c>
      <c r="CQ678" t="str">
        <f>""</f>
        <v/>
      </c>
      <c r="CR678" t="str">
        <f>""</f>
        <v/>
      </c>
      <c r="CS678" t="str">
        <f>""</f>
        <v/>
      </c>
      <c r="CT678" t="str">
        <f>""</f>
        <v/>
      </c>
      <c r="CU678" t="str">
        <f>""</f>
        <v/>
      </c>
      <c r="CV678" t="str">
        <f>""</f>
        <v/>
      </c>
      <c r="CW678" t="str">
        <f>""</f>
        <v/>
      </c>
      <c r="CX678" t="str">
        <f>""</f>
        <v/>
      </c>
      <c r="CY678" t="str">
        <f>""</f>
        <v/>
      </c>
      <c r="CZ678" t="str">
        <f>""</f>
        <v/>
      </c>
      <c r="DA678" t="str">
        <f>""</f>
        <v/>
      </c>
      <c r="DB678" t="str">
        <f>""</f>
        <v/>
      </c>
      <c r="DC678" t="str">
        <f>""</f>
        <v/>
      </c>
      <c r="DD678" t="str">
        <f>""</f>
        <v/>
      </c>
      <c r="DE678" t="str">
        <f>""</f>
        <v/>
      </c>
      <c r="DF678" t="str">
        <f>""</f>
        <v/>
      </c>
      <c r="DG678" t="str">
        <f>""</f>
        <v/>
      </c>
      <c r="DH678" t="str">
        <f>""</f>
        <v/>
      </c>
      <c r="DI678" t="str">
        <f>""</f>
        <v/>
      </c>
      <c r="DJ678" t="str">
        <f>""</f>
        <v/>
      </c>
      <c r="DK678" t="str">
        <f>""</f>
        <v/>
      </c>
      <c r="DL678" t="str">
        <f>""</f>
        <v/>
      </c>
      <c r="DM678" t="str">
        <f>""</f>
        <v/>
      </c>
      <c r="DN678" t="str">
        <f>""</f>
        <v/>
      </c>
      <c r="DO678" t="str">
        <f>""</f>
        <v/>
      </c>
      <c r="DP678" t="str">
        <f>""</f>
        <v/>
      </c>
      <c r="DQ678" t="str">
        <f>""</f>
        <v/>
      </c>
      <c r="DR678" t="str">
        <f>""</f>
        <v/>
      </c>
      <c r="DS678" t="str">
        <f>""</f>
        <v/>
      </c>
      <c r="DT678" t="str">
        <f>""</f>
        <v/>
      </c>
      <c r="DU678" t="str">
        <f>""</f>
        <v/>
      </c>
    </row>
    <row r="679" spans="1:125" x14ac:dyDescent="0.25">
      <c r="A679" t="str">
        <f>$A$174</f>
        <v xml:space="preserve">    Daihatsu Motor Co Ltd</v>
      </c>
      <c r="B679" t="str">
        <f>$B$174</f>
        <v>7262 JP Equity</v>
      </c>
      <c r="C679" t="str">
        <f>$C$174</f>
        <v>RR800</v>
      </c>
      <c r="D679" t="str">
        <f>$D$174</f>
        <v>TRAIL_12M_NET_SALES</v>
      </c>
      <c r="E679" t="str">
        <f>$E$174</f>
        <v>Dynamic</v>
      </c>
      <c r="F679" t="str">
        <f ca="1">_xll.BDH($B$174,$C$174,$B$509,$B$510,CONCATENATE("Per=",$B$507),"Dts=H","Dir=H",CONCATENATE("Points=",$B$508),"Sort=R","Days=A","Fill=B",CONCATENATE("FX=", $B$506) )</f>
        <v>#N/A Connection</v>
      </c>
      <c r="BN679" t="str">
        <f>""</f>
        <v/>
      </c>
      <c r="BO679" t="str">
        <f>""</f>
        <v/>
      </c>
      <c r="BP679" t="str">
        <f>""</f>
        <v/>
      </c>
      <c r="BQ679" t="str">
        <f>""</f>
        <v/>
      </c>
      <c r="BR679" t="str">
        <f>""</f>
        <v/>
      </c>
      <c r="BS679" t="str">
        <f>""</f>
        <v/>
      </c>
      <c r="BT679" t="str">
        <f>""</f>
        <v/>
      </c>
      <c r="BU679" t="str">
        <f>""</f>
        <v/>
      </c>
      <c r="BV679" t="str">
        <f>""</f>
        <v/>
      </c>
      <c r="BW679" t="str">
        <f>""</f>
        <v/>
      </c>
      <c r="BX679" t="str">
        <f>""</f>
        <v/>
      </c>
      <c r="BY679" t="str">
        <f>""</f>
        <v/>
      </c>
      <c r="BZ679" t="str">
        <f>""</f>
        <v/>
      </c>
      <c r="CA679" t="str">
        <f>""</f>
        <v/>
      </c>
      <c r="CB679" t="str">
        <f>""</f>
        <v/>
      </c>
      <c r="CC679" t="str">
        <f>""</f>
        <v/>
      </c>
      <c r="CD679" t="str">
        <f>""</f>
        <v/>
      </c>
      <c r="CE679" t="str">
        <f>""</f>
        <v/>
      </c>
      <c r="CF679" t="str">
        <f>""</f>
        <v/>
      </c>
      <c r="CG679" t="str">
        <f>""</f>
        <v/>
      </c>
      <c r="CH679" t="str">
        <f>""</f>
        <v/>
      </c>
      <c r="CI679" t="str">
        <f>""</f>
        <v/>
      </c>
      <c r="CJ679" t="str">
        <f>""</f>
        <v/>
      </c>
      <c r="CK679" t="str">
        <f>""</f>
        <v/>
      </c>
      <c r="CL679" t="str">
        <f>""</f>
        <v/>
      </c>
      <c r="CM679" t="str">
        <f>""</f>
        <v/>
      </c>
      <c r="CN679" t="str">
        <f>""</f>
        <v/>
      </c>
      <c r="CO679" t="str">
        <f>""</f>
        <v/>
      </c>
      <c r="CP679" t="str">
        <f>""</f>
        <v/>
      </c>
      <c r="CQ679" t="str">
        <f>""</f>
        <v/>
      </c>
      <c r="CR679" t="str">
        <f>""</f>
        <v/>
      </c>
      <c r="CS679" t="str">
        <f>""</f>
        <v/>
      </c>
      <c r="CT679" t="str">
        <f>""</f>
        <v/>
      </c>
      <c r="CU679" t="str">
        <f>""</f>
        <v/>
      </c>
      <c r="CV679" t="str">
        <f>""</f>
        <v/>
      </c>
      <c r="CW679" t="str">
        <f>""</f>
        <v/>
      </c>
      <c r="CX679" t="str">
        <f>""</f>
        <v/>
      </c>
      <c r="CY679" t="str">
        <f>""</f>
        <v/>
      </c>
      <c r="CZ679" t="str">
        <f>""</f>
        <v/>
      </c>
      <c r="DA679" t="str">
        <f>""</f>
        <v/>
      </c>
      <c r="DB679" t="str">
        <f>""</f>
        <v/>
      </c>
      <c r="DC679" t="str">
        <f>""</f>
        <v/>
      </c>
      <c r="DD679" t="str">
        <f>""</f>
        <v/>
      </c>
      <c r="DE679" t="str">
        <f>""</f>
        <v/>
      </c>
      <c r="DF679" t="str">
        <f>""</f>
        <v/>
      </c>
      <c r="DG679" t="str">
        <f>""</f>
        <v/>
      </c>
      <c r="DH679" t="str">
        <f>""</f>
        <v/>
      </c>
      <c r="DI679" t="str">
        <f>""</f>
        <v/>
      </c>
      <c r="DJ679" t="str">
        <f>""</f>
        <v/>
      </c>
      <c r="DK679" t="str">
        <f>""</f>
        <v/>
      </c>
      <c r="DL679" t="str">
        <f>""</f>
        <v/>
      </c>
      <c r="DM679" t="str">
        <f>""</f>
        <v/>
      </c>
      <c r="DN679" t="str">
        <f>""</f>
        <v/>
      </c>
      <c r="DO679" t="str">
        <f>""</f>
        <v/>
      </c>
      <c r="DP679" t="str">
        <f>""</f>
        <v/>
      </c>
      <c r="DQ679" t="str">
        <f>""</f>
        <v/>
      </c>
      <c r="DR679" t="str">
        <f>""</f>
        <v/>
      </c>
      <c r="DS679" t="str">
        <f>""</f>
        <v/>
      </c>
      <c r="DT679" t="str">
        <f>""</f>
        <v/>
      </c>
      <c r="DU679" t="str">
        <f>""</f>
        <v/>
      </c>
    </row>
    <row r="680" spans="1:125" x14ac:dyDescent="0.25">
      <c r="A680" t="str">
        <f>$A$175</f>
        <v xml:space="preserve">    Daimler AG</v>
      </c>
      <c r="B680" t="str">
        <f>$B$175</f>
        <v>DAI GR Equity</v>
      </c>
      <c r="C680" t="str">
        <f>$C$175</f>
        <v>RR800</v>
      </c>
      <c r="D680" t="str">
        <f>$D$175</f>
        <v>TRAIL_12M_NET_SALES</v>
      </c>
      <c r="E680" t="str">
        <f>$E$175</f>
        <v>Dynamic</v>
      </c>
      <c r="F680" t="str">
        <f ca="1">_xll.BDH($B$175,$C$175,$B$509,$B$510,CONCATENATE("Per=",$B$507),"Dts=H","Dir=H",CONCATENATE("Points=",$B$508),"Sort=R","Days=A","Fill=B",CONCATENATE("FX=", $B$506) )</f>
        <v>#N/A Connection</v>
      </c>
      <c r="BN680" t="str">
        <f>""</f>
        <v/>
      </c>
      <c r="BO680" t="str">
        <f>""</f>
        <v/>
      </c>
      <c r="BP680" t="str">
        <f>""</f>
        <v/>
      </c>
      <c r="BQ680" t="str">
        <f>""</f>
        <v/>
      </c>
      <c r="BR680" t="str">
        <f>""</f>
        <v/>
      </c>
      <c r="BS680" t="str">
        <f>""</f>
        <v/>
      </c>
      <c r="BT680" t="str">
        <f>""</f>
        <v/>
      </c>
      <c r="BU680" t="str">
        <f>""</f>
        <v/>
      </c>
      <c r="BV680" t="str">
        <f>""</f>
        <v/>
      </c>
      <c r="BW680" t="str">
        <f>""</f>
        <v/>
      </c>
      <c r="BX680" t="str">
        <f>""</f>
        <v/>
      </c>
      <c r="BY680" t="str">
        <f>""</f>
        <v/>
      </c>
      <c r="BZ680" t="str">
        <f>""</f>
        <v/>
      </c>
      <c r="CA680" t="str">
        <f>""</f>
        <v/>
      </c>
      <c r="CB680" t="str">
        <f>""</f>
        <v/>
      </c>
      <c r="CC680" t="str">
        <f>""</f>
        <v/>
      </c>
      <c r="CD680" t="str">
        <f>""</f>
        <v/>
      </c>
      <c r="CE680" t="str">
        <f>""</f>
        <v/>
      </c>
      <c r="CF680" t="str">
        <f>""</f>
        <v/>
      </c>
      <c r="CG680" t="str">
        <f>""</f>
        <v/>
      </c>
      <c r="CH680" t="str">
        <f>""</f>
        <v/>
      </c>
      <c r="CI680" t="str">
        <f>""</f>
        <v/>
      </c>
      <c r="CJ680" t="str">
        <f>""</f>
        <v/>
      </c>
      <c r="CK680" t="str">
        <f>""</f>
        <v/>
      </c>
      <c r="CL680" t="str">
        <f>""</f>
        <v/>
      </c>
      <c r="CM680" t="str">
        <f>""</f>
        <v/>
      </c>
      <c r="CN680" t="str">
        <f>""</f>
        <v/>
      </c>
      <c r="CO680" t="str">
        <f>""</f>
        <v/>
      </c>
      <c r="CP680" t="str">
        <f>""</f>
        <v/>
      </c>
      <c r="CQ680" t="str">
        <f>""</f>
        <v/>
      </c>
      <c r="CR680" t="str">
        <f>""</f>
        <v/>
      </c>
      <c r="CS680" t="str">
        <f>""</f>
        <v/>
      </c>
      <c r="CT680" t="str">
        <f>""</f>
        <v/>
      </c>
      <c r="CU680" t="str">
        <f>""</f>
        <v/>
      </c>
      <c r="CV680" t="str">
        <f>""</f>
        <v/>
      </c>
      <c r="CW680" t="str">
        <f>""</f>
        <v/>
      </c>
      <c r="CX680" t="str">
        <f>""</f>
        <v/>
      </c>
      <c r="CY680" t="str">
        <f>""</f>
        <v/>
      </c>
      <c r="CZ680" t="str">
        <f>""</f>
        <v/>
      </c>
      <c r="DA680" t="str">
        <f>""</f>
        <v/>
      </c>
      <c r="DB680" t="str">
        <f>""</f>
        <v/>
      </c>
      <c r="DC680" t="str">
        <f>""</f>
        <v/>
      </c>
      <c r="DD680" t="str">
        <f>""</f>
        <v/>
      </c>
      <c r="DE680" t="str">
        <f>""</f>
        <v/>
      </c>
      <c r="DF680" t="str">
        <f>""</f>
        <v/>
      </c>
      <c r="DG680" t="str">
        <f>""</f>
        <v/>
      </c>
      <c r="DH680" t="str">
        <f>""</f>
        <v/>
      </c>
      <c r="DI680" t="str">
        <f>""</f>
        <v/>
      </c>
      <c r="DJ680" t="str">
        <f>""</f>
        <v/>
      </c>
      <c r="DK680" t="str">
        <f>""</f>
        <v/>
      </c>
      <c r="DL680" t="str">
        <f>""</f>
        <v/>
      </c>
      <c r="DM680" t="str">
        <f>""</f>
        <v/>
      </c>
      <c r="DN680" t="str">
        <f>""</f>
        <v/>
      </c>
      <c r="DO680" t="str">
        <f>""</f>
        <v/>
      </c>
      <c r="DP680" t="str">
        <f>""</f>
        <v/>
      </c>
      <c r="DQ680" t="str">
        <f>""</f>
        <v/>
      </c>
      <c r="DR680" t="str">
        <f>""</f>
        <v/>
      </c>
      <c r="DS680" t="str">
        <f>""</f>
        <v/>
      </c>
      <c r="DT680" t="str">
        <f>""</f>
        <v/>
      </c>
      <c r="DU680" t="str">
        <f>""</f>
        <v/>
      </c>
    </row>
    <row r="681" spans="1:125" x14ac:dyDescent="0.25">
      <c r="A681" t="str">
        <f>$A$176</f>
        <v xml:space="preserve">    Dongfeng Motor Group Co Ltd</v>
      </c>
      <c r="B681" t="str">
        <f>$B$176</f>
        <v>489 HK Equity</v>
      </c>
      <c r="C681" t="str">
        <f>$C$176</f>
        <v>RR800</v>
      </c>
      <c r="D681" t="str">
        <f>$D$176</f>
        <v>TRAIL_12M_NET_SALES</v>
      </c>
      <c r="E681" t="str">
        <f>$E$176</f>
        <v>Dynamic</v>
      </c>
      <c r="F681" t="str">
        <f ca="1">_xll.BDH($B$176,$C$176,$B$509,$B$510,CONCATENATE("Per=",$B$507),"Dts=H","Dir=H",CONCATENATE("Points=",$B$508),"Sort=R","Days=A","Fill=B",CONCATENATE("FX=", $B$506) )</f>
        <v>#N/A Connection</v>
      </c>
      <c r="BN681" t="str">
        <f>""</f>
        <v/>
      </c>
      <c r="BO681" t="str">
        <f>""</f>
        <v/>
      </c>
      <c r="BP681" t="str">
        <f>""</f>
        <v/>
      </c>
      <c r="BQ681" t="str">
        <f>""</f>
        <v/>
      </c>
      <c r="BR681" t="str">
        <f>""</f>
        <v/>
      </c>
      <c r="BS681" t="str">
        <f>""</f>
        <v/>
      </c>
      <c r="BT681" t="str">
        <f>""</f>
        <v/>
      </c>
      <c r="BU681" t="str">
        <f>""</f>
        <v/>
      </c>
      <c r="BV681" t="str">
        <f>""</f>
        <v/>
      </c>
      <c r="BW681" t="str">
        <f>""</f>
        <v/>
      </c>
      <c r="BX681" t="str">
        <f>""</f>
        <v/>
      </c>
      <c r="BY681" t="str">
        <f>""</f>
        <v/>
      </c>
      <c r="BZ681" t="str">
        <f>""</f>
        <v/>
      </c>
      <c r="CA681" t="str">
        <f>""</f>
        <v/>
      </c>
      <c r="CB681" t="str">
        <f>""</f>
        <v/>
      </c>
      <c r="CC681" t="str">
        <f>""</f>
        <v/>
      </c>
      <c r="CD681" t="str">
        <f>""</f>
        <v/>
      </c>
      <c r="CE681" t="str">
        <f>""</f>
        <v/>
      </c>
      <c r="CF681" t="str">
        <f>""</f>
        <v/>
      </c>
      <c r="CG681" t="str">
        <f>""</f>
        <v/>
      </c>
      <c r="CH681" t="str">
        <f>""</f>
        <v/>
      </c>
      <c r="CI681" t="str">
        <f>""</f>
        <v/>
      </c>
      <c r="CJ681" t="str">
        <f>""</f>
        <v/>
      </c>
      <c r="CK681" t="str">
        <f>""</f>
        <v/>
      </c>
      <c r="CL681" t="str">
        <f>""</f>
        <v/>
      </c>
      <c r="CM681" t="str">
        <f>""</f>
        <v/>
      </c>
      <c r="CN681" t="str">
        <f>""</f>
        <v/>
      </c>
      <c r="CO681" t="str">
        <f>""</f>
        <v/>
      </c>
      <c r="CP681" t="str">
        <f>""</f>
        <v/>
      </c>
      <c r="CQ681" t="str">
        <f>""</f>
        <v/>
      </c>
      <c r="CR681" t="str">
        <f>""</f>
        <v/>
      </c>
      <c r="CS681" t="str">
        <f>""</f>
        <v/>
      </c>
      <c r="CT681" t="str">
        <f>""</f>
        <v/>
      </c>
      <c r="CU681" t="str">
        <f>""</f>
        <v/>
      </c>
      <c r="CV681" t="str">
        <f>""</f>
        <v/>
      </c>
      <c r="CW681" t="str">
        <f>""</f>
        <v/>
      </c>
      <c r="CX681" t="str">
        <f>""</f>
        <v/>
      </c>
      <c r="CY681" t="str">
        <f>""</f>
        <v/>
      </c>
      <c r="CZ681" t="str">
        <f>""</f>
        <v/>
      </c>
      <c r="DA681" t="str">
        <f>""</f>
        <v/>
      </c>
      <c r="DB681" t="str">
        <f>""</f>
        <v/>
      </c>
      <c r="DC681" t="str">
        <f>""</f>
        <v/>
      </c>
      <c r="DD681" t="str">
        <f>""</f>
        <v/>
      </c>
      <c r="DE681" t="str">
        <f>""</f>
        <v/>
      </c>
      <c r="DF681" t="str">
        <f>""</f>
        <v/>
      </c>
      <c r="DG681" t="str">
        <f>""</f>
        <v/>
      </c>
      <c r="DH681" t="str">
        <f>""</f>
        <v/>
      </c>
      <c r="DI681" t="str">
        <f>""</f>
        <v/>
      </c>
      <c r="DJ681" t="str">
        <f>""</f>
        <v/>
      </c>
      <c r="DK681" t="str">
        <f>""</f>
        <v/>
      </c>
      <c r="DL681" t="str">
        <f>""</f>
        <v/>
      </c>
      <c r="DM681" t="str">
        <f>""</f>
        <v/>
      </c>
      <c r="DN681" t="str">
        <f>""</f>
        <v/>
      </c>
      <c r="DO681" t="str">
        <f>""</f>
        <v/>
      </c>
      <c r="DP681" t="str">
        <f>""</f>
        <v/>
      </c>
      <c r="DQ681" t="str">
        <f>""</f>
        <v/>
      </c>
      <c r="DR681" t="str">
        <f>""</f>
        <v/>
      </c>
      <c r="DS681" t="str">
        <f>""</f>
        <v/>
      </c>
      <c r="DT681" t="str">
        <f>""</f>
        <v/>
      </c>
      <c r="DU681" t="str">
        <f>""</f>
        <v/>
      </c>
    </row>
    <row r="682" spans="1:125" x14ac:dyDescent="0.25">
      <c r="A682" t="str">
        <f>$A$177</f>
        <v xml:space="preserve">    DRB-Hicom Bhd</v>
      </c>
      <c r="B682" t="str">
        <f>$B$177</f>
        <v>DRB MK Equity</v>
      </c>
      <c r="C682" t="str">
        <f>$C$177</f>
        <v>RR800</v>
      </c>
      <c r="D682" t="str">
        <f>$D$177</f>
        <v>TRAIL_12M_NET_SALES</v>
      </c>
      <c r="E682" t="str">
        <f>$E$177</f>
        <v>Dynamic</v>
      </c>
      <c r="F682" t="str">
        <f ca="1">_xll.BDH($B$177,$C$177,$B$509,$B$510,CONCATENATE("Per=",$B$507),"Dts=H","Dir=H",CONCATENATE("Points=",$B$508),"Sort=R","Days=A","Fill=B",CONCATENATE("FX=", $B$506) )</f>
        <v>#N/A Connection</v>
      </c>
      <c r="BN682" t="str">
        <f>""</f>
        <v/>
      </c>
      <c r="BO682" t="str">
        <f>""</f>
        <v/>
      </c>
      <c r="BP682" t="str">
        <f>""</f>
        <v/>
      </c>
      <c r="BQ682" t="str">
        <f>""</f>
        <v/>
      </c>
      <c r="BR682" t="str">
        <f>""</f>
        <v/>
      </c>
      <c r="BS682" t="str">
        <f>""</f>
        <v/>
      </c>
      <c r="BT682" t="str">
        <f>""</f>
        <v/>
      </c>
      <c r="BU682" t="str">
        <f>""</f>
        <v/>
      </c>
      <c r="BV682" t="str">
        <f>""</f>
        <v/>
      </c>
      <c r="BW682" t="str">
        <f>""</f>
        <v/>
      </c>
      <c r="BX682" t="str">
        <f>""</f>
        <v/>
      </c>
      <c r="BY682" t="str">
        <f>""</f>
        <v/>
      </c>
      <c r="BZ682" t="str">
        <f>""</f>
        <v/>
      </c>
      <c r="CA682" t="str">
        <f>""</f>
        <v/>
      </c>
      <c r="CB682" t="str">
        <f>""</f>
        <v/>
      </c>
      <c r="CC682" t="str">
        <f>""</f>
        <v/>
      </c>
      <c r="CD682" t="str">
        <f>""</f>
        <v/>
      </c>
      <c r="CE682" t="str">
        <f>""</f>
        <v/>
      </c>
      <c r="CF682" t="str">
        <f>""</f>
        <v/>
      </c>
      <c r="CG682" t="str">
        <f>""</f>
        <v/>
      </c>
      <c r="CH682" t="str">
        <f>""</f>
        <v/>
      </c>
      <c r="CI682" t="str">
        <f>""</f>
        <v/>
      </c>
      <c r="CJ682" t="str">
        <f>""</f>
        <v/>
      </c>
      <c r="CK682" t="str">
        <f>""</f>
        <v/>
      </c>
      <c r="CL682" t="str">
        <f>""</f>
        <v/>
      </c>
      <c r="CM682" t="str">
        <f>""</f>
        <v/>
      </c>
      <c r="CN682" t="str">
        <f>""</f>
        <v/>
      </c>
      <c r="CO682" t="str">
        <f>""</f>
        <v/>
      </c>
      <c r="CP682" t="str">
        <f>""</f>
        <v/>
      </c>
      <c r="CQ682" t="str">
        <f>""</f>
        <v/>
      </c>
      <c r="CR682" t="str">
        <f>""</f>
        <v/>
      </c>
      <c r="CS682" t="str">
        <f>""</f>
        <v/>
      </c>
      <c r="CT682" t="str">
        <f>""</f>
        <v/>
      </c>
      <c r="CU682" t="str">
        <f>""</f>
        <v/>
      </c>
      <c r="CV682" t="str">
        <f>""</f>
        <v/>
      </c>
      <c r="CW682" t="str">
        <f>""</f>
        <v/>
      </c>
      <c r="CX682" t="str">
        <f>""</f>
        <v/>
      </c>
      <c r="CY682" t="str">
        <f>""</f>
        <v/>
      </c>
      <c r="CZ682" t="str">
        <f>""</f>
        <v/>
      </c>
      <c r="DA682" t="str">
        <f>""</f>
        <v/>
      </c>
      <c r="DB682" t="str">
        <f>""</f>
        <v/>
      </c>
      <c r="DC682" t="str">
        <f>""</f>
        <v/>
      </c>
      <c r="DD682" t="str">
        <f>""</f>
        <v/>
      </c>
      <c r="DE682" t="str">
        <f>""</f>
        <v/>
      </c>
      <c r="DF682" t="str">
        <f>""</f>
        <v/>
      </c>
      <c r="DG682" t="str">
        <f>""</f>
        <v/>
      </c>
      <c r="DH682" t="str">
        <f>""</f>
        <v/>
      </c>
      <c r="DI682" t="str">
        <f>""</f>
        <v/>
      </c>
      <c r="DJ682" t="str">
        <f>""</f>
        <v/>
      </c>
      <c r="DK682" t="str">
        <f>""</f>
        <v/>
      </c>
      <c r="DL682" t="str">
        <f>""</f>
        <v/>
      </c>
      <c r="DM682" t="str">
        <f>""</f>
        <v/>
      </c>
      <c r="DN682" t="str">
        <f>""</f>
        <v/>
      </c>
      <c r="DO682" t="str">
        <f>""</f>
        <v/>
      </c>
      <c r="DP682" t="str">
        <f>""</f>
        <v/>
      </c>
      <c r="DQ682" t="str">
        <f>""</f>
        <v/>
      </c>
      <c r="DR682" t="str">
        <f>""</f>
        <v/>
      </c>
      <c r="DS682" t="str">
        <f>""</f>
        <v/>
      </c>
      <c r="DT682" t="str">
        <f>""</f>
        <v/>
      </c>
      <c r="DU682" t="str">
        <f>""</f>
        <v/>
      </c>
    </row>
    <row r="683" spans="1:125" x14ac:dyDescent="0.25">
      <c r="A683" t="str">
        <f>$A$178</f>
        <v xml:space="preserve">    FAW CAR Co Ltd</v>
      </c>
      <c r="B683" t="str">
        <f>$B$178</f>
        <v>000800 CH Equity</v>
      </c>
      <c r="C683" t="str">
        <f>$C$178</f>
        <v>RR800</v>
      </c>
      <c r="D683" t="str">
        <f>$D$178</f>
        <v>TRAIL_12M_NET_SALES</v>
      </c>
      <c r="E683" t="str">
        <f>$E$178</f>
        <v>Dynamic</v>
      </c>
      <c r="F683" t="str">
        <f ca="1">_xll.BDH($B$178,$C$178,$B$509,$B$510,CONCATENATE("Per=",$B$507),"Dts=H","Dir=H",CONCATENATE("Points=",$B$508),"Sort=R","Days=A","Fill=B",CONCATENATE("FX=", $B$506) )</f>
        <v>#N/A Connection</v>
      </c>
      <c r="BN683" t="str">
        <f>""</f>
        <v/>
      </c>
      <c r="BO683" t="str">
        <f>""</f>
        <v/>
      </c>
      <c r="BP683" t="str">
        <f>""</f>
        <v/>
      </c>
      <c r="BQ683" t="str">
        <f>""</f>
        <v/>
      </c>
      <c r="BR683" t="str">
        <f>""</f>
        <v/>
      </c>
      <c r="BS683" t="str">
        <f>""</f>
        <v/>
      </c>
      <c r="BT683" t="str">
        <f>""</f>
        <v/>
      </c>
      <c r="BU683" t="str">
        <f>""</f>
        <v/>
      </c>
      <c r="BV683" t="str">
        <f>""</f>
        <v/>
      </c>
      <c r="BW683" t="str">
        <f>""</f>
        <v/>
      </c>
      <c r="BX683" t="str">
        <f>""</f>
        <v/>
      </c>
      <c r="BY683" t="str">
        <f>""</f>
        <v/>
      </c>
      <c r="BZ683" t="str">
        <f>""</f>
        <v/>
      </c>
      <c r="CA683" t="str">
        <f>""</f>
        <v/>
      </c>
      <c r="CB683" t="str">
        <f>""</f>
        <v/>
      </c>
      <c r="CC683" t="str">
        <f>""</f>
        <v/>
      </c>
      <c r="CD683" t="str">
        <f>""</f>
        <v/>
      </c>
      <c r="CE683" t="str">
        <f>""</f>
        <v/>
      </c>
      <c r="CF683" t="str">
        <f>""</f>
        <v/>
      </c>
      <c r="CG683" t="str">
        <f>""</f>
        <v/>
      </c>
      <c r="CH683" t="str">
        <f>""</f>
        <v/>
      </c>
      <c r="CI683" t="str">
        <f>""</f>
        <v/>
      </c>
      <c r="CJ683" t="str">
        <f>""</f>
        <v/>
      </c>
      <c r="CK683" t="str">
        <f>""</f>
        <v/>
      </c>
      <c r="CL683" t="str">
        <f>""</f>
        <v/>
      </c>
      <c r="CM683" t="str">
        <f>""</f>
        <v/>
      </c>
      <c r="CN683" t="str">
        <f>""</f>
        <v/>
      </c>
      <c r="CO683" t="str">
        <f>""</f>
        <v/>
      </c>
      <c r="CP683" t="str">
        <f>""</f>
        <v/>
      </c>
      <c r="CQ683" t="str">
        <f>""</f>
        <v/>
      </c>
      <c r="CR683" t="str">
        <f>""</f>
        <v/>
      </c>
      <c r="CS683" t="str">
        <f>""</f>
        <v/>
      </c>
      <c r="CT683" t="str">
        <f>""</f>
        <v/>
      </c>
      <c r="CU683" t="str">
        <f>""</f>
        <v/>
      </c>
      <c r="CV683" t="str">
        <f>""</f>
        <v/>
      </c>
      <c r="CW683" t="str">
        <f>""</f>
        <v/>
      </c>
      <c r="CX683" t="str">
        <f>""</f>
        <v/>
      </c>
      <c r="CY683" t="str">
        <f>""</f>
        <v/>
      </c>
      <c r="CZ683" t="str">
        <f>""</f>
        <v/>
      </c>
      <c r="DA683" t="str">
        <f>""</f>
        <v/>
      </c>
      <c r="DB683" t="str">
        <f>""</f>
        <v/>
      </c>
      <c r="DC683" t="str">
        <f>""</f>
        <v/>
      </c>
      <c r="DD683" t="str">
        <f>""</f>
        <v/>
      </c>
      <c r="DE683" t="str">
        <f>""</f>
        <v/>
      </c>
      <c r="DF683" t="str">
        <f>""</f>
        <v/>
      </c>
      <c r="DG683" t="str">
        <f>""</f>
        <v/>
      </c>
      <c r="DH683" t="str">
        <f>""</f>
        <v/>
      </c>
      <c r="DI683" t="str">
        <f>""</f>
        <v/>
      </c>
      <c r="DJ683" t="str">
        <f>""</f>
        <v/>
      </c>
      <c r="DK683" t="str">
        <f>""</f>
        <v/>
      </c>
      <c r="DL683" t="str">
        <f>""</f>
        <v/>
      </c>
      <c r="DM683" t="str">
        <f>""</f>
        <v/>
      </c>
      <c r="DN683" t="str">
        <f>""</f>
        <v/>
      </c>
      <c r="DO683" t="str">
        <f>""</f>
        <v/>
      </c>
      <c r="DP683" t="str">
        <f>""</f>
        <v/>
      </c>
      <c r="DQ683" t="str">
        <f>""</f>
        <v/>
      </c>
      <c r="DR683" t="str">
        <f>""</f>
        <v/>
      </c>
      <c r="DS683" t="str">
        <f>""</f>
        <v/>
      </c>
      <c r="DT683" t="str">
        <f>""</f>
        <v/>
      </c>
      <c r="DU683" t="str">
        <f>""</f>
        <v/>
      </c>
    </row>
    <row r="684" spans="1:125" x14ac:dyDescent="0.25">
      <c r="A684" t="str">
        <f>$A$179</f>
        <v xml:space="preserve">    Fiat Chrysler Automobiles NV</v>
      </c>
      <c r="B684" t="str">
        <f>$B$179</f>
        <v>FCAU US Equity</v>
      </c>
      <c r="C684" t="str">
        <f>$C$179</f>
        <v>RR800</v>
      </c>
      <c r="D684" t="str">
        <f>$D$179</f>
        <v>TRAIL_12M_NET_SALES</v>
      </c>
      <c r="E684" t="str">
        <f>$E$179</f>
        <v>Dynamic</v>
      </c>
      <c r="F684" t="str">
        <f ca="1">_xll.BDH($B$179,$C$179,$B$509,$B$510,CONCATENATE("Per=",$B$507),"Dts=H","Dir=H",CONCATENATE("Points=",$B$508),"Sort=R","Days=A","Fill=B",CONCATENATE("FX=", $B$506) )</f>
        <v>#N/A Connection</v>
      </c>
      <c r="BN684" t="str">
        <f>""</f>
        <v/>
      </c>
      <c r="BO684" t="str">
        <f>""</f>
        <v/>
      </c>
      <c r="BP684" t="str">
        <f>""</f>
        <v/>
      </c>
      <c r="BQ684" t="str">
        <f>""</f>
        <v/>
      </c>
      <c r="BR684" t="str">
        <f>""</f>
        <v/>
      </c>
      <c r="BS684" t="str">
        <f>""</f>
        <v/>
      </c>
      <c r="BT684" t="str">
        <f>""</f>
        <v/>
      </c>
      <c r="BU684" t="str">
        <f>""</f>
        <v/>
      </c>
      <c r="BV684" t="str">
        <f>""</f>
        <v/>
      </c>
      <c r="BW684" t="str">
        <f>""</f>
        <v/>
      </c>
      <c r="BX684" t="str">
        <f>""</f>
        <v/>
      </c>
      <c r="BY684" t="str">
        <f>""</f>
        <v/>
      </c>
      <c r="BZ684" t="str">
        <f>""</f>
        <v/>
      </c>
      <c r="CA684" t="str">
        <f>""</f>
        <v/>
      </c>
      <c r="CB684" t="str">
        <f>""</f>
        <v/>
      </c>
      <c r="CC684" t="str">
        <f>""</f>
        <v/>
      </c>
      <c r="CD684" t="str">
        <f>""</f>
        <v/>
      </c>
      <c r="CE684" t="str">
        <f>""</f>
        <v/>
      </c>
      <c r="CF684" t="str">
        <f>""</f>
        <v/>
      </c>
      <c r="CG684" t="str">
        <f>""</f>
        <v/>
      </c>
      <c r="CH684" t="str">
        <f>""</f>
        <v/>
      </c>
      <c r="CI684" t="str">
        <f>""</f>
        <v/>
      </c>
      <c r="CJ684" t="str">
        <f>""</f>
        <v/>
      </c>
      <c r="CK684" t="str">
        <f>""</f>
        <v/>
      </c>
      <c r="CL684" t="str">
        <f>""</f>
        <v/>
      </c>
      <c r="CM684" t="str">
        <f>""</f>
        <v/>
      </c>
      <c r="CN684" t="str">
        <f>""</f>
        <v/>
      </c>
      <c r="CO684" t="str">
        <f>""</f>
        <v/>
      </c>
      <c r="CP684" t="str">
        <f>""</f>
        <v/>
      </c>
      <c r="CQ684" t="str">
        <f>""</f>
        <v/>
      </c>
      <c r="CR684" t="str">
        <f>""</f>
        <v/>
      </c>
      <c r="CS684" t="str">
        <f>""</f>
        <v/>
      </c>
      <c r="CT684" t="str">
        <f>""</f>
        <v/>
      </c>
      <c r="CU684" t="str">
        <f>""</f>
        <v/>
      </c>
      <c r="CV684" t="str">
        <f>""</f>
        <v/>
      </c>
      <c r="CW684" t="str">
        <f>""</f>
        <v/>
      </c>
      <c r="CX684" t="str">
        <f>""</f>
        <v/>
      </c>
      <c r="CY684" t="str">
        <f>""</f>
        <v/>
      </c>
      <c r="CZ684" t="str">
        <f>""</f>
        <v/>
      </c>
      <c r="DA684" t="str">
        <f>""</f>
        <v/>
      </c>
      <c r="DB684" t="str">
        <f>""</f>
        <v/>
      </c>
      <c r="DC684" t="str">
        <f>""</f>
        <v/>
      </c>
      <c r="DD684" t="str">
        <f>""</f>
        <v/>
      </c>
      <c r="DE684" t="str">
        <f>""</f>
        <v/>
      </c>
      <c r="DF684" t="str">
        <f>""</f>
        <v/>
      </c>
      <c r="DG684" t="str">
        <f>""</f>
        <v/>
      </c>
      <c r="DH684" t="str">
        <f>""</f>
        <v/>
      </c>
      <c r="DI684" t="str">
        <f>""</f>
        <v/>
      </c>
      <c r="DJ684" t="str">
        <f>""</f>
        <v/>
      </c>
      <c r="DK684" t="str">
        <f>""</f>
        <v/>
      </c>
      <c r="DL684" t="str">
        <f>""</f>
        <v/>
      </c>
      <c r="DM684" t="str">
        <f>""</f>
        <v/>
      </c>
      <c r="DN684" t="str">
        <f>""</f>
        <v/>
      </c>
      <c r="DO684" t="str">
        <f>""</f>
        <v/>
      </c>
      <c r="DP684" t="str">
        <f>""</f>
        <v/>
      </c>
      <c r="DQ684" t="str">
        <f>""</f>
        <v/>
      </c>
      <c r="DR684" t="str">
        <f>""</f>
        <v/>
      </c>
      <c r="DS684" t="str">
        <f>""</f>
        <v/>
      </c>
      <c r="DT684" t="str">
        <f>""</f>
        <v/>
      </c>
      <c r="DU684" t="str">
        <f>""</f>
        <v/>
      </c>
    </row>
    <row r="685" spans="1:125" x14ac:dyDescent="0.25">
      <c r="A685" t="str">
        <f>$A$180</f>
        <v xml:space="preserve">    Ford Motor Co</v>
      </c>
      <c r="B685" t="str">
        <f>$B$180</f>
        <v>F US Equity</v>
      </c>
      <c r="C685" t="str">
        <f>$C$180</f>
        <v>RR800</v>
      </c>
      <c r="D685" t="str">
        <f>$D$180</f>
        <v>TRAIL_12M_NET_SALES</v>
      </c>
      <c r="E685" t="str">
        <f>$E$180</f>
        <v>Dynamic</v>
      </c>
      <c r="F685" t="str">
        <f ca="1">_xll.BDH($B$180,$C$180,$B$509,$B$510,CONCATENATE("Per=",$B$507),"Dts=H","Dir=H",CONCATENATE("Points=",$B$508),"Sort=R","Days=A","Fill=B",CONCATENATE("FX=", $B$506) )</f>
        <v>#N/A Connection</v>
      </c>
      <c r="BN685" t="str">
        <f>""</f>
        <v/>
      </c>
      <c r="BO685" t="str">
        <f>""</f>
        <v/>
      </c>
      <c r="BP685" t="str">
        <f>""</f>
        <v/>
      </c>
      <c r="BQ685" t="str">
        <f>""</f>
        <v/>
      </c>
      <c r="BR685" t="str">
        <f>""</f>
        <v/>
      </c>
      <c r="BS685" t="str">
        <f>""</f>
        <v/>
      </c>
      <c r="BT685" t="str">
        <f>""</f>
        <v/>
      </c>
      <c r="BU685" t="str">
        <f>""</f>
        <v/>
      </c>
      <c r="BV685" t="str">
        <f>""</f>
        <v/>
      </c>
      <c r="BW685" t="str">
        <f>""</f>
        <v/>
      </c>
      <c r="BX685" t="str">
        <f>""</f>
        <v/>
      </c>
      <c r="BY685" t="str">
        <f>""</f>
        <v/>
      </c>
      <c r="BZ685" t="str">
        <f>""</f>
        <v/>
      </c>
      <c r="CA685" t="str">
        <f>""</f>
        <v/>
      </c>
      <c r="CB685" t="str">
        <f>""</f>
        <v/>
      </c>
      <c r="CC685" t="str">
        <f>""</f>
        <v/>
      </c>
      <c r="CD685" t="str">
        <f>""</f>
        <v/>
      </c>
      <c r="CE685" t="str">
        <f>""</f>
        <v/>
      </c>
      <c r="CF685" t="str">
        <f>""</f>
        <v/>
      </c>
      <c r="CG685" t="str">
        <f>""</f>
        <v/>
      </c>
      <c r="CH685" t="str">
        <f>""</f>
        <v/>
      </c>
      <c r="CI685" t="str">
        <f>""</f>
        <v/>
      </c>
      <c r="CJ685" t="str">
        <f>""</f>
        <v/>
      </c>
      <c r="CK685" t="str">
        <f>""</f>
        <v/>
      </c>
      <c r="CL685" t="str">
        <f>""</f>
        <v/>
      </c>
      <c r="CM685" t="str">
        <f>""</f>
        <v/>
      </c>
      <c r="CN685" t="str">
        <f>""</f>
        <v/>
      </c>
      <c r="CO685" t="str">
        <f>""</f>
        <v/>
      </c>
      <c r="CP685" t="str">
        <f>""</f>
        <v/>
      </c>
      <c r="CQ685" t="str">
        <f>""</f>
        <v/>
      </c>
      <c r="CR685" t="str">
        <f>""</f>
        <v/>
      </c>
      <c r="CS685" t="str">
        <f>""</f>
        <v/>
      </c>
      <c r="CT685" t="str">
        <f>""</f>
        <v/>
      </c>
      <c r="CU685" t="str">
        <f>""</f>
        <v/>
      </c>
      <c r="CV685" t="str">
        <f>""</f>
        <v/>
      </c>
      <c r="CW685" t="str">
        <f>""</f>
        <v/>
      </c>
      <c r="CX685" t="str">
        <f>""</f>
        <v/>
      </c>
      <c r="CY685" t="str">
        <f>""</f>
        <v/>
      </c>
      <c r="CZ685" t="str">
        <f>""</f>
        <v/>
      </c>
      <c r="DA685" t="str">
        <f>""</f>
        <v/>
      </c>
      <c r="DB685" t="str">
        <f>""</f>
        <v/>
      </c>
      <c r="DC685" t="str">
        <f>""</f>
        <v/>
      </c>
      <c r="DD685" t="str">
        <f>""</f>
        <v/>
      </c>
      <c r="DE685" t="str">
        <f>""</f>
        <v/>
      </c>
      <c r="DF685" t="str">
        <f>""</f>
        <v/>
      </c>
      <c r="DG685" t="str">
        <f>""</f>
        <v/>
      </c>
      <c r="DH685" t="str">
        <f>""</f>
        <v/>
      </c>
      <c r="DI685" t="str">
        <f>""</f>
        <v/>
      </c>
      <c r="DJ685" t="str">
        <f>""</f>
        <v/>
      </c>
      <c r="DK685" t="str">
        <f>""</f>
        <v/>
      </c>
      <c r="DL685" t="str">
        <f>""</f>
        <v/>
      </c>
      <c r="DM685" t="str">
        <f>""</f>
        <v/>
      </c>
      <c r="DN685" t="str">
        <f>""</f>
        <v/>
      </c>
      <c r="DO685" t="str">
        <f>""</f>
        <v/>
      </c>
      <c r="DP685" t="str">
        <f>""</f>
        <v/>
      </c>
      <c r="DQ685" t="str">
        <f>""</f>
        <v/>
      </c>
      <c r="DR685" t="str">
        <f>""</f>
        <v/>
      </c>
      <c r="DS685" t="str">
        <f>""</f>
        <v/>
      </c>
      <c r="DT685" t="str">
        <f>""</f>
        <v/>
      </c>
      <c r="DU685" t="str">
        <f>""</f>
        <v/>
      </c>
    </row>
    <row r="686" spans="1:125" x14ac:dyDescent="0.25">
      <c r="A686" t="str">
        <f>$A$181</f>
        <v xml:space="preserve">    Ford Otomotiv Sanayi AS</v>
      </c>
      <c r="B686" t="str">
        <f>$B$181</f>
        <v>FROTOTRY EO Equity</v>
      </c>
      <c r="C686" t="str">
        <f>$C$181</f>
        <v>RR800</v>
      </c>
      <c r="D686" t="str">
        <f>$D$181</f>
        <v>TRAIL_12M_NET_SALES</v>
      </c>
      <c r="E686" t="str">
        <f>$E$181</f>
        <v>Dynamic</v>
      </c>
      <c r="F686" t="str">
        <f ca="1">_xll.BDH($B$181,$C$181,$B$509,$B$510,CONCATENATE("Per=",$B$507),"Dts=H","Dir=H",CONCATENATE("Points=",$B$508),"Sort=R","Days=A","Fill=B",CONCATENATE("FX=", $B$506) )</f>
        <v>#N/A Connection</v>
      </c>
      <c r="BN686" t="str">
        <f>""</f>
        <v/>
      </c>
      <c r="BO686" t="str">
        <f>""</f>
        <v/>
      </c>
      <c r="BP686" t="str">
        <f>""</f>
        <v/>
      </c>
      <c r="BQ686" t="str">
        <f>""</f>
        <v/>
      </c>
      <c r="BR686" t="str">
        <f>""</f>
        <v/>
      </c>
      <c r="BS686" t="str">
        <f>""</f>
        <v/>
      </c>
      <c r="BT686" t="str">
        <f>""</f>
        <v/>
      </c>
      <c r="BU686" t="str">
        <f>""</f>
        <v/>
      </c>
      <c r="BV686" t="str">
        <f>""</f>
        <v/>
      </c>
      <c r="BW686" t="str">
        <f>""</f>
        <v/>
      </c>
      <c r="BX686" t="str">
        <f>""</f>
        <v/>
      </c>
      <c r="BY686" t="str">
        <f>""</f>
        <v/>
      </c>
      <c r="BZ686" t="str">
        <f>""</f>
        <v/>
      </c>
      <c r="CA686" t="str">
        <f>""</f>
        <v/>
      </c>
      <c r="CB686" t="str">
        <f>""</f>
        <v/>
      </c>
      <c r="CC686" t="str">
        <f>""</f>
        <v/>
      </c>
      <c r="CD686" t="str">
        <f>""</f>
        <v/>
      </c>
      <c r="CE686" t="str">
        <f>""</f>
        <v/>
      </c>
      <c r="CF686" t="str">
        <f>""</f>
        <v/>
      </c>
      <c r="CG686" t="str">
        <f>""</f>
        <v/>
      </c>
      <c r="CH686" t="str">
        <f>""</f>
        <v/>
      </c>
      <c r="CI686" t="str">
        <f>""</f>
        <v/>
      </c>
      <c r="CJ686" t="str">
        <f>""</f>
        <v/>
      </c>
      <c r="CK686" t="str">
        <f>""</f>
        <v/>
      </c>
      <c r="CL686" t="str">
        <f>""</f>
        <v/>
      </c>
      <c r="CM686" t="str">
        <f>""</f>
        <v/>
      </c>
      <c r="CN686" t="str">
        <f>""</f>
        <v/>
      </c>
      <c r="CO686" t="str">
        <f>""</f>
        <v/>
      </c>
      <c r="CP686" t="str">
        <f>""</f>
        <v/>
      </c>
      <c r="CQ686" t="str">
        <f>""</f>
        <v/>
      </c>
      <c r="CR686" t="str">
        <f>""</f>
        <v/>
      </c>
      <c r="CS686" t="str">
        <f>""</f>
        <v/>
      </c>
      <c r="CT686" t="str">
        <f>""</f>
        <v/>
      </c>
      <c r="CU686" t="str">
        <f>""</f>
        <v/>
      </c>
      <c r="CV686" t="str">
        <f>""</f>
        <v/>
      </c>
      <c r="CW686" t="str">
        <f>""</f>
        <v/>
      </c>
      <c r="CX686" t="str">
        <f>""</f>
        <v/>
      </c>
      <c r="CY686" t="str">
        <f>""</f>
        <v/>
      </c>
      <c r="CZ686" t="str">
        <f>""</f>
        <v/>
      </c>
      <c r="DA686" t="str">
        <f>""</f>
        <v/>
      </c>
      <c r="DB686" t="str">
        <f>""</f>
        <v/>
      </c>
      <c r="DC686" t="str">
        <f>""</f>
        <v/>
      </c>
      <c r="DD686" t="str">
        <f>""</f>
        <v/>
      </c>
      <c r="DE686" t="str">
        <f>""</f>
        <v/>
      </c>
      <c r="DF686" t="str">
        <f>""</f>
        <v/>
      </c>
      <c r="DG686" t="str">
        <f>""</f>
        <v/>
      </c>
      <c r="DH686" t="str">
        <f>""</f>
        <v/>
      </c>
      <c r="DI686" t="str">
        <f>""</f>
        <v/>
      </c>
      <c r="DJ686" t="str">
        <f>""</f>
        <v/>
      </c>
      <c r="DK686" t="str">
        <f>""</f>
        <v/>
      </c>
      <c r="DL686" t="str">
        <f>""</f>
        <v/>
      </c>
      <c r="DM686" t="str">
        <f>""</f>
        <v/>
      </c>
      <c r="DN686" t="str">
        <f>""</f>
        <v/>
      </c>
      <c r="DO686" t="str">
        <f>""</f>
        <v/>
      </c>
      <c r="DP686" t="str">
        <f>""</f>
        <v/>
      </c>
      <c r="DQ686" t="str">
        <f>""</f>
        <v/>
      </c>
      <c r="DR686" t="str">
        <f>""</f>
        <v/>
      </c>
      <c r="DS686" t="str">
        <f>""</f>
        <v/>
      </c>
      <c r="DT686" t="str">
        <f>""</f>
        <v/>
      </c>
      <c r="DU686" t="str">
        <f>""</f>
        <v/>
      </c>
    </row>
    <row r="687" spans="1:125" x14ac:dyDescent="0.25">
      <c r="A687" t="str">
        <f>$A$182</f>
        <v xml:space="preserve">    GAZ PJSC</v>
      </c>
      <c r="B687" t="str">
        <f>$B$182</f>
        <v>GAZA RM Equity</v>
      </c>
      <c r="C687" t="str">
        <f>$C$182</f>
        <v>RR800</v>
      </c>
      <c r="D687" t="str">
        <f>$D$182</f>
        <v>TRAIL_12M_NET_SALES</v>
      </c>
      <c r="E687" t="str">
        <f>$E$182</f>
        <v>Dynamic</v>
      </c>
      <c r="F687" t="str">
        <f ca="1">_xll.BDH($B$182,$C$182,$B$509,$B$510,CONCATENATE("Per=",$B$507),"Dts=H","Dir=H",CONCATENATE("Points=",$B$508),"Sort=R","Days=A","Fill=B",CONCATENATE("FX=", $B$506) )</f>
        <v>#N/A Connection</v>
      </c>
      <c r="BN687" t="str">
        <f>""</f>
        <v/>
      </c>
      <c r="BO687" t="str">
        <f>""</f>
        <v/>
      </c>
      <c r="BP687" t="str">
        <f>""</f>
        <v/>
      </c>
      <c r="BQ687" t="str">
        <f>""</f>
        <v/>
      </c>
      <c r="BR687" t="str">
        <f>""</f>
        <v/>
      </c>
      <c r="BS687" t="str">
        <f>""</f>
        <v/>
      </c>
      <c r="BT687" t="str">
        <f>""</f>
        <v/>
      </c>
      <c r="BU687" t="str">
        <f>""</f>
        <v/>
      </c>
      <c r="BV687" t="str">
        <f>""</f>
        <v/>
      </c>
      <c r="BW687" t="str">
        <f>""</f>
        <v/>
      </c>
      <c r="BX687" t="str">
        <f>""</f>
        <v/>
      </c>
      <c r="BY687" t="str">
        <f>""</f>
        <v/>
      </c>
      <c r="BZ687" t="str">
        <f>""</f>
        <v/>
      </c>
      <c r="CA687" t="str">
        <f>""</f>
        <v/>
      </c>
      <c r="CB687" t="str">
        <f>""</f>
        <v/>
      </c>
      <c r="CC687" t="str">
        <f>""</f>
        <v/>
      </c>
      <c r="CD687" t="str">
        <f>""</f>
        <v/>
      </c>
      <c r="CE687" t="str">
        <f>""</f>
        <v/>
      </c>
      <c r="CF687" t="str">
        <f>""</f>
        <v/>
      </c>
      <c r="CG687" t="str">
        <f>""</f>
        <v/>
      </c>
      <c r="CH687" t="str">
        <f>""</f>
        <v/>
      </c>
      <c r="CI687" t="str">
        <f>""</f>
        <v/>
      </c>
      <c r="CJ687" t="str">
        <f>""</f>
        <v/>
      </c>
      <c r="CK687" t="str">
        <f>""</f>
        <v/>
      </c>
      <c r="CL687" t="str">
        <f>""</f>
        <v/>
      </c>
      <c r="CM687" t="str">
        <f>""</f>
        <v/>
      </c>
      <c r="CN687" t="str">
        <f>""</f>
        <v/>
      </c>
      <c r="CO687" t="str">
        <f>""</f>
        <v/>
      </c>
      <c r="CP687" t="str">
        <f>""</f>
        <v/>
      </c>
      <c r="CQ687" t="str">
        <f>""</f>
        <v/>
      </c>
      <c r="CR687" t="str">
        <f>""</f>
        <v/>
      </c>
      <c r="CS687" t="str">
        <f>""</f>
        <v/>
      </c>
      <c r="CT687" t="str">
        <f>""</f>
        <v/>
      </c>
      <c r="CU687" t="str">
        <f>""</f>
        <v/>
      </c>
      <c r="CV687" t="str">
        <f>""</f>
        <v/>
      </c>
      <c r="CW687" t="str">
        <f>""</f>
        <v/>
      </c>
      <c r="CX687" t="str">
        <f>""</f>
        <v/>
      </c>
      <c r="CY687" t="str">
        <f>""</f>
        <v/>
      </c>
      <c r="CZ687" t="str">
        <f>""</f>
        <v/>
      </c>
      <c r="DA687" t="str">
        <f>""</f>
        <v/>
      </c>
      <c r="DB687" t="str">
        <f>""</f>
        <v/>
      </c>
      <c r="DC687" t="str">
        <f>""</f>
        <v/>
      </c>
      <c r="DD687" t="str">
        <f>""</f>
        <v/>
      </c>
      <c r="DE687" t="str">
        <f>""</f>
        <v/>
      </c>
      <c r="DF687" t="str">
        <f>""</f>
        <v/>
      </c>
      <c r="DG687" t="str">
        <f>""</f>
        <v/>
      </c>
      <c r="DH687" t="str">
        <f>""</f>
        <v/>
      </c>
      <c r="DI687" t="str">
        <f>""</f>
        <v/>
      </c>
      <c r="DJ687" t="str">
        <f>""</f>
        <v/>
      </c>
      <c r="DK687" t="str">
        <f>""</f>
        <v/>
      </c>
      <c r="DL687" t="str">
        <f>""</f>
        <v/>
      </c>
      <c r="DM687" t="str">
        <f>""</f>
        <v/>
      </c>
      <c r="DN687" t="str">
        <f>""</f>
        <v/>
      </c>
      <c r="DO687" t="str">
        <f>""</f>
        <v/>
      </c>
      <c r="DP687" t="str">
        <f>""</f>
        <v/>
      </c>
      <c r="DQ687" t="str">
        <f>""</f>
        <v/>
      </c>
      <c r="DR687" t="str">
        <f>""</f>
        <v/>
      </c>
      <c r="DS687" t="str">
        <f>""</f>
        <v/>
      </c>
      <c r="DT687" t="str">
        <f>""</f>
        <v/>
      </c>
      <c r="DU687" t="str">
        <f>""</f>
        <v/>
      </c>
    </row>
    <row r="688" spans="1:125" x14ac:dyDescent="0.25">
      <c r="A688" t="str">
        <f>$A$183</f>
        <v xml:space="preserve">    Geely Automobile Holdings Ltd</v>
      </c>
      <c r="B688" t="str">
        <f>$B$183</f>
        <v>175 HK Equity</v>
      </c>
      <c r="C688" t="str">
        <f>$C$183</f>
        <v>RR800</v>
      </c>
      <c r="D688" t="str">
        <f>$D$183</f>
        <v>TRAIL_12M_NET_SALES</v>
      </c>
      <c r="E688" t="str">
        <f>$E$183</f>
        <v>Dynamic</v>
      </c>
      <c r="F688" t="str">
        <f ca="1">_xll.BDH($B$183,$C$183,$B$509,$B$510,CONCATENATE("Per=",$B$507),"Dts=H","Dir=H",CONCATENATE("Points=",$B$508),"Sort=R","Days=A","Fill=B",CONCATENATE("FX=", $B$506) )</f>
        <v>#N/A Connection</v>
      </c>
      <c r="BN688" t="str">
        <f>""</f>
        <v/>
      </c>
      <c r="BO688" t="str">
        <f>""</f>
        <v/>
      </c>
      <c r="BP688" t="str">
        <f>""</f>
        <v/>
      </c>
      <c r="BQ688" t="str">
        <f>""</f>
        <v/>
      </c>
      <c r="BR688" t="str">
        <f>""</f>
        <v/>
      </c>
      <c r="BS688" t="str">
        <f>""</f>
        <v/>
      </c>
      <c r="BT688" t="str">
        <f>""</f>
        <v/>
      </c>
      <c r="BU688" t="str">
        <f>""</f>
        <v/>
      </c>
      <c r="BV688" t="str">
        <f>""</f>
        <v/>
      </c>
      <c r="BW688" t="str">
        <f>""</f>
        <v/>
      </c>
      <c r="BX688" t="str">
        <f>""</f>
        <v/>
      </c>
      <c r="BY688" t="str">
        <f>""</f>
        <v/>
      </c>
      <c r="BZ688" t="str">
        <f>""</f>
        <v/>
      </c>
      <c r="CA688" t="str">
        <f>""</f>
        <v/>
      </c>
      <c r="CB688" t="str">
        <f>""</f>
        <v/>
      </c>
      <c r="CC688" t="str">
        <f>""</f>
        <v/>
      </c>
      <c r="CD688" t="str">
        <f>""</f>
        <v/>
      </c>
      <c r="CE688" t="str">
        <f>""</f>
        <v/>
      </c>
      <c r="CF688" t="str">
        <f>""</f>
        <v/>
      </c>
      <c r="CG688" t="str">
        <f>""</f>
        <v/>
      </c>
      <c r="CH688" t="str">
        <f>""</f>
        <v/>
      </c>
      <c r="CI688" t="str">
        <f>""</f>
        <v/>
      </c>
      <c r="CJ688" t="str">
        <f>""</f>
        <v/>
      </c>
      <c r="CK688" t="str">
        <f>""</f>
        <v/>
      </c>
      <c r="CL688" t="str">
        <f>""</f>
        <v/>
      </c>
      <c r="CM688" t="str">
        <f>""</f>
        <v/>
      </c>
      <c r="CN688" t="str">
        <f>""</f>
        <v/>
      </c>
      <c r="CO688" t="str">
        <f>""</f>
        <v/>
      </c>
      <c r="CP688" t="str">
        <f>""</f>
        <v/>
      </c>
      <c r="CQ688" t="str">
        <f>""</f>
        <v/>
      </c>
      <c r="CR688" t="str">
        <f>""</f>
        <v/>
      </c>
      <c r="CS688" t="str">
        <f>""</f>
        <v/>
      </c>
      <c r="CT688" t="str">
        <f>""</f>
        <v/>
      </c>
      <c r="CU688" t="str">
        <f>""</f>
        <v/>
      </c>
      <c r="CV688" t="str">
        <f>""</f>
        <v/>
      </c>
      <c r="CW688" t="str">
        <f>""</f>
        <v/>
      </c>
      <c r="CX688" t="str">
        <f>""</f>
        <v/>
      </c>
      <c r="CY688" t="str">
        <f>""</f>
        <v/>
      </c>
      <c r="CZ688" t="str">
        <f>""</f>
        <v/>
      </c>
      <c r="DA688" t="str">
        <f>""</f>
        <v/>
      </c>
      <c r="DB688" t="str">
        <f>""</f>
        <v/>
      </c>
      <c r="DC688" t="str">
        <f>""</f>
        <v/>
      </c>
      <c r="DD688" t="str">
        <f>""</f>
        <v/>
      </c>
      <c r="DE688" t="str">
        <f>""</f>
        <v/>
      </c>
      <c r="DF688" t="str">
        <f>""</f>
        <v/>
      </c>
      <c r="DG688" t="str">
        <f>""</f>
        <v/>
      </c>
      <c r="DH688" t="str">
        <f>""</f>
        <v/>
      </c>
      <c r="DI688" t="str">
        <f>""</f>
        <v/>
      </c>
      <c r="DJ688" t="str">
        <f>""</f>
        <v/>
      </c>
      <c r="DK688" t="str">
        <f>""</f>
        <v/>
      </c>
      <c r="DL688" t="str">
        <f>""</f>
        <v/>
      </c>
      <c r="DM688" t="str">
        <f>""</f>
        <v/>
      </c>
      <c r="DN688" t="str">
        <f>""</f>
        <v/>
      </c>
      <c r="DO688" t="str">
        <f>""</f>
        <v/>
      </c>
      <c r="DP688" t="str">
        <f>""</f>
        <v/>
      </c>
      <c r="DQ688" t="str">
        <f>""</f>
        <v/>
      </c>
      <c r="DR688" t="str">
        <f>""</f>
        <v/>
      </c>
      <c r="DS688" t="str">
        <f>""</f>
        <v/>
      </c>
      <c r="DT688" t="str">
        <f>""</f>
        <v/>
      </c>
      <c r="DU688" t="str">
        <f>""</f>
        <v/>
      </c>
    </row>
    <row r="689" spans="1:125" x14ac:dyDescent="0.25">
      <c r="A689" t="str">
        <f>$A$184</f>
        <v xml:space="preserve">    General Motors Co</v>
      </c>
      <c r="B689" t="str">
        <f>$B$184</f>
        <v>GM US Equity</v>
      </c>
      <c r="C689" t="str">
        <f>$C$184</f>
        <v>RR800</v>
      </c>
      <c r="D689" t="str">
        <f>$D$184</f>
        <v>TRAIL_12M_NET_SALES</v>
      </c>
      <c r="E689" t="str">
        <f>$E$184</f>
        <v>Dynamic</v>
      </c>
      <c r="F689" t="str">
        <f ca="1">_xll.BDH($B$184,$C$184,$B$509,$B$510,CONCATENATE("Per=",$B$507),"Dts=H","Dir=H",CONCATENATE("Points=",$B$508),"Sort=R","Days=A","Fill=B",CONCATENATE("FX=", $B$506) )</f>
        <v>#N/A Connection</v>
      </c>
      <c r="BN689" t="str">
        <f>""</f>
        <v/>
      </c>
      <c r="BO689" t="str">
        <f>""</f>
        <v/>
      </c>
      <c r="BP689" t="str">
        <f>""</f>
        <v/>
      </c>
      <c r="BQ689" t="str">
        <f>""</f>
        <v/>
      </c>
      <c r="BR689" t="str">
        <f>""</f>
        <v/>
      </c>
      <c r="BS689" t="str">
        <f>""</f>
        <v/>
      </c>
      <c r="BT689" t="str">
        <f>""</f>
        <v/>
      </c>
      <c r="BU689" t="str">
        <f>""</f>
        <v/>
      </c>
      <c r="BV689" t="str">
        <f>""</f>
        <v/>
      </c>
      <c r="BW689" t="str">
        <f>""</f>
        <v/>
      </c>
      <c r="BX689" t="str">
        <f>""</f>
        <v/>
      </c>
      <c r="BY689" t="str">
        <f>""</f>
        <v/>
      </c>
      <c r="BZ689" t="str">
        <f>""</f>
        <v/>
      </c>
      <c r="CA689" t="str">
        <f>""</f>
        <v/>
      </c>
      <c r="CB689" t="str">
        <f>""</f>
        <v/>
      </c>
      <c r="CC689" t="str">
        <f>""</f>
        <v/>
      </c>
      <c r="CD689" t="str">
        <f>""</f>
        <v/>
      </c>
      <c r="CE689" t="str">
        <f>""</f>
        <v/>
      </c>
      <c r="CF689" t="str">
        <f>""</f>
        <v/>
      </c>
      <c r="CG689" t="str">
        <f>""</f>
        <v/>
      </c>
      <c r="CH689" t="str">
        <f>""</f>
        <v/>
      </c>
      <c r="CI689" t="str">
        <f>""</f>
        <v/>
      </c>
      <c r="CJ689" t="str">
        <f>""</f>
        <v/>
      </c>
      <c r="CK689" t="str">
        <f>""</f>
        <v/>
      </c>
      <c r="CL689" t="str">
        <f>""</f>
        <v/>
      </c>
      <c r="CM689" t="str">
        <f>""</f>
        <v/>
      </c>
      <c r="CN689" t="str">
        <f>""</f>
        <v/>
      </c>
      <c r="CO689" t="str">
        <f>""</f>
        <v/>
      </c>
      <c r="CP689" t="str">
        <f>""</f>
        <v/>
      </c>
      <c r="CQ689" t="str">
        <f>""</f>
        <v/>
      </c>
      <c r="CR689" t="str">
        <f>""</f>
        <v/>
      </c>
      <c r="CS689" t="str">
        <f>""</f>
        <v/>
      </c>
      <c r="CT689" t="str">
        <f>""</f>
        <v/>
      </c>
      <c r="CU689" t="str">
        <f>""</f>
        <v/>
      </c>
      <c r="CV689" t="str">
        <f>""</f>
        <v/>
      </c>
      <c r="CW689" t="str">
        <f>""</f>
        <v/>
      </c>
      <c r="CX689" t="str">
        <f>""</f>
        <v/>
      </c>
      <c r="CY689" t="str">
        <f>""</f>
        <v/>
      </c>
      <c r="CZ689" t="str">
        <f>""</f>
        <v/>
      </c>
      <c r="DA689" t="str">
        <f>""</f>
        <v/>
      </c>
      <c r="DB689" t="str">
        <f>""</f>
        <v/>
      </c>
      <c r="DC689" t="str">
        <f>""</f>
        <v/>
      </c>
      <c r="DD689" t="str">
        <f>""</f>
        <v/>
      </c>
      <c r="DE689" t="str">
        <f>""</f>
        <v/>
      </c>
      <c r="DF689" t="str">
        <f>""</f>
        <v/>
      </c>
      <c r="DG689" t="str">
        <f>""</f>
        <v/>
      </c>
      <c r="DH689" t="str">
        <f>""</f>
        <v/>
      </c>
      <c r="DI689" t="str">
        <f>""</f>
        <v/>
      </c>
      <c r="DJ689" t="str">
        <f>""</f>
        <v/>
      </c>
      <c r="DK689" t="str">
        <f>""</f>
        <v/>
      </c>
      <c r="DL689" t="str">
        <f>""</f>
        <v/>
      </c>
      <c r="DM689" t="str">
        <f>""</f>
        <v/>
      </c>
      <c r="DN689" t="str">
        <f>""</f>
        <v/>
      </c>
      <c r="DO689" t="str">
        <f>""</f>
        <v/>
      </c>
      <c r="DP689" t="str">
        <f>""</f>
        <v/>
      </c>
      <c r="DQ689" t="str">
        <f>""</f>
        <v/>
      </c>
      <c r="DR689" t="str">
        <f>""</f>
        <v/>
      </c>
      <c r="DS689" t="str">
        <f>""</f>
        <v/>
      </c>
      <c r="DT689" t="str">
        <f>""</f>
        <v/>
      </c>
      <c r="DU689" t="str">
        <f>""</f>
        <v/>
      </c>
    </row>
    <row r="690" spans="1:125" x14ac:dyDescent="0.25">
      <c r="A690" t="str">
        <f>$A$185</f>
        <v xml:space="preserve">    Great Wall Motor Co Ltd</v>
      </c>
      <c r="B690" t="str">
        <f>$B$185</f>
        <v>2333 HK Equity</v>
      </c>
      <c r="C690" t="str">
        <f>$C$185</f>
        <v>RR800</v>
      </c>
      <c r="D690" t="str">
        <f>$D$185</f>
        <v>TRAIL_12M_NET_SALES</v>
      </c>
      <c r="E690" t="str">
        <f>$E$185</f>
        <v>Dynamic</v>
      </c>
      <c r="F690" t="str">
        <f ca="1">_xll.BDH($B$185,$C$185,$B$509,$B$510,CONCATENATE("Per=",$B$507),"Dts=H","Dir=H",CONCATENATE("Points=",$B$508),"Sort=R","Days=A","Fill=B",CONCATENATE("FX=", $B$506) )</f>
        <v>#N/A Connection</v>
      </c>
      <c r="BN690" t="str">
        <f>""</f>
        <v/>
      </c>
      <c r="BO690" t="str">
        <f>""</f>
        <v/>
      </c>
      <c r="BP690" t="str">
        <f>""</f>
        <v/>
      </c>
      <c r="BQ690" t="str">
        <f>""</f>
        <v/>
      </c>
      <c r="BR690" t="str">
        <f>""</f>
        <v/>
      </c>
      <c r="BS690" t="str">
        <f>""</f>
        <v/>
      </c>
      <c r="BT690" t="str">
        <f>""</f>
        <v/>
      </c>
      <c r="BU690" t="str">
        <f>""</f>
        <v/>
      </c>
      <c r="BV690" t="str">
        <f>""</f>
        <v/>
      </c>
      <c r="BW690" t="str">
        <f>""</f>
        <v/>
      </c>
      <c r="BX690" t="str">
        <f>""</f>
        <v/>
      </c>
      <c r="BY690" t="str">
        <f>""</f>
        <v/>
      </c>
      <c r="BZ690" t="str">
        <f>""</f>
        <v/>
      </c>
      <c r="CA690" t="str">
        <f>""</f>
        <v/>
      </c>
      <c r="CB690" t="str">
        <f>""</f>
        <v/>
      </c>
      <c r="CC690" t="str">
        <f>""</f>
        <v/>
      </c>
      <c r="CD690" t="str">
        <f>""</f>
        <v/>
      </c>
      <c r="CE690" t="str">
        <f>""</f>
        <v/>
      </c>
      <c r="CF690" t="str">
        <f>""</f>
        <v/>
      </c>
      <c r="CG690" t="str">
        <f>""</f>
        <v/>
      </c>
      <c r="CH690" t="str">
        <f>""</f>
        <v/>
      </c>
      <c r="CI690" t="str">
        <f>""</f>
        <v/>
      </c>
      <c r="CJ690" t="str">
        <f>""</f>
        <v/>
      </c>
      <c r="CK690" t="str">
        <f>""</f>
        <v/>
      </c>
      <c r="CL690" t="str">
        <f>""</f>
        <v/>
      </c>
      <c r="CM690" t="str">
        <f>""</f>
        <v/>
      </c>
      <c r="CN690" t="str">
        <f>""</f>
        <v/>
      </c>
      <c r="CO690" t="str">
        <f>""</f>
        <v/>
      </c>
      <c r="CP690" t="str">
        <f>""</f>
        <v/>
      </c>
      <c r="CQ690" t="str">
        <f>""</f>
        <v/>
      </c>
      <c r="CR690" t="str">
        <f>""</f>
        <v/>
      </c>
      <c r="CS690" t="str">
        <f>""</f>
        <v/>
      </c>
      <c r="CT690" t="str">
        <f>""</f>
        <v/>
      </c>
      <c r="CU690" t="str">
        <f>""</f>
        <v/>
      </c>
      <c r="CV690" t="str">
        <f>""</f>
        <v/>
      </c>
      <c r="CW690" t="str">
        <f>""</f>
        <v/>
      </c>
      <c r="CX690" t="str">
        <f>""</f>
        <v/>
      </c>
      <c r="CY690" t="str">
        <f>""</f>
        <v/>
      </c>
      <c r="CZ690" t="str">
        <f>""</f>
        <v/>
      </c>
      <c r="DA690" t="str">
        <f>""</f>
        <v/>
      </c>
      <c r="DB690" t="str">
        <f>""</f>
        <v/>
      </c>
      <c r="DC690" t="str">
        <f>""</f>
        <v/>
      </c>
      <c r="DD690" t="str">
        <f>""</f>
        <v/>
      </c>
      <c r="DE690" t="str">
        <f>""</f>
        <v/>
      </c>
      <c r="DF690" t="str">
        <f>""</f>
        <v/>
      </c>
      <c r="DG690" t="str">
        <f>""</f>
        <v/>
      </c>
      <c r="DH690" t="str">
        <f>""</f>
        <v/>
      </c>
      <c r="DI690" t="str">
        <f>""</f>
        <v/>
      </c>
      <c r="DJ690" t="str">
        <f>""</f>
        <v/>
      </c>
      <c r="DK690" t="str">
        <f>""</f>
        <v/>
      </c>
      <c r="DL690" t="str">
        <f>""</f>
        <v/>
      </c>
      <c r="DM690" t="str">
        <f>""</f>
        <v/>
      </c>
      <c r="DN690" t="str">
        <f>""</f>
        <v/>
      </c>
      <c r="DO690" t="str">
        <f>""</f>
        <v/>
      </c>
      <c r="DP690" t="str">
        <f>""</f>
        <v/>
      </c>
      <c r="DQ690" t="str">
        <f>""</f>
        <v/>
      </c>
      <c r="DR690" t="str">
        <f>""</f>
        <v/>
      </c>
      <c r="DS690" t="str">
        <f>""</f>
        <v/>
      </c>
      <c r="DT690" t="str">
        <f>""</f>
        <v/>
      </c>
      <c r="DU690" t="str">
        <f>""</f>
        <v/>
      </c>
    </row>
    <row r="691" spans="1:125" x14ac:dyDescent="0.25">
      <c r="A691" t="str">
        <f>$A$186</f>
        <v xml:space="preserve">    Guangzhou Automobile Group Co Ltd</v>
      </c>
      <c r="B691" t="str">
        <f>$B$186</f>
        <v>2238 HK Equity</v>
      </c>
      <c r="C691" t="str">
        <f>$C$186</f>
        <v>RR800</v>
      </c>
      <c r="D691" t="str">
        <f>$D$186</f>
        <v>TRAIL_12M_NET_SALES</v>
      </c>
      <c r="E691" t="str">
        <f>$E$186</f>
        <v>Dynamic</v>
      </c>
      <c r="F691" t="str">
        <f ca="1">_xll.BDH($B$186,$C$186,$B$509,$B$510,CONCATENATE("Per=",$B$507),"Dts=H","Dir=H",CONCATENATE("Points=",$B$508),"Sort=R","Days=A","Fill=B",CONCATENATE("FX=", $B$506) )</f>
        <v>#N/A Connection</v>
      </c>
      <c r="BN691" t="str">
        <f>""</f>
        <v/>
      </c>
      <c r="BO691" t="str">
        <f>""</f>
        <v/>
      </c>
      <c r="BP691" t="str">
        <f>""</f>
        <v/>
      </c>
      <c r="BQ691" t="str">
        <f>""</f>
        <v/>
      </c>
      <c r="BR691" t="str">
        <f>""</f>
        <v/>
      </c>
      <c r="BS691" t="str">
        <f>""</f>
        <v/>
      </c>
      <c r="BT691" t="str">
        <f>""</f>
        <v/>
      </c>
      <c r="BU691" t="str">
        <f>""</f>
        <v/>
      </c>
      <c r="BV691" t="str">
        <f>""</f>
        <v/>
      </c>
      <c r="BW691" t="str">
        <f>""</f>
        <v/>
      </c>
      <c r="BX691" t="str">
        <f>""</f>
        <v/>
      </c>
      <c r="BY691" t="str">
        <f>""</f>
        <v/>
      </c>
      <c r="BZ691" t="str">
        <f>""</f>
        <v/>
      </c>
      <c r="CA691" t="str">
        <f>""</f>
        <v/>
      </c>
      <c r="CB691" t="str">
        <f>""</f>
        <v/>
      </c>
      <c r="CC691" t="str">
        <f>""</f>
        <v/>
      </c>
      <c r="CD691" t="str">
        <f>""</f>
        <v/>
      </c>
      <c r="CE691" t="str">
        <f>""</f>
        <v/>
      </c>
      <c r="CF691" t="str">
        <f>""</f>
        <v/>
      </c>
      <c r="CG691" t="str">
        <f>""</f>
        <v/>
      </c>
      <c r="CH691" t="str">
        <f>""</f>
        <v/>
      </c>
      <c r="CI691" t="str">
        <f>""</f>
        <v/>
      </c>
      <c r="CJ691" t="str">
        <f>""</f>
        <v/>
      </c>
      <c r="CK691" t="str">
        <f>""</f>
        <v/>
      </c>
      <c r="CL691" t="str">
        <f>""</f>
        <v/>
      </c>
      <c r="CM691" t="str">
        <f>""</f>
        <v/>
      </c>
      <c r="CN691" t="str">
        <f>""</f>
        <v/>
      </c>
      <c r="CO691" t="str">
        <f>""</f>
        <v/>
      </c>
      <c r="CP691" t="str">
        <f>""</f>
        <v/>
      </c>
      <c r="CQ691" t="str">
        <f>""</f>
        <v/>
      </c>
      <c r="CR691" t="str">
        <f>""</f>
        <v/>
      </c>
      <c r="CS691" t="str">
        <f>""</f>
        <v/>
      </c>
      <c r="CT691" t="str">
        <f>""</f>
        <v/>
      </c>
      <c r="CU691" t="str">
        <f>""</f>
        <v/>
      </c>
      <c r="CV691" t="str">
        <f>""</f>
        <v/>
      </c>
      <c r="CW691" t="str">
        <f>""</f>
        <v/>
      </c>
      <c r="CX691" t="str">
        <f>""</f>
        <v/>
      </c>
      <c r="CY691" t="str">
        <f>""</f>
        <v/>
      </c>
      <c r="CZ691" t="str">
        <f>""</f>
        <v/>
      </c>
      <c r="DA691" t="str">
        <f>""</f>
        <v/>
      </c>
      <c r="DB691" t="str">
        <f>""</f>
        <v/>
      </c>
      <c r="DC691" t="str">
        <f>""</f>
        <v/>
      </c>
      <c r="DD691" t="str">
        <f>""</f>
        <v/>
      </c>
      <c r="DE691" t="str">
        <f>""</f>
        <v/>
      </c>
      <c r="DF691" t="str">
        <f>""</f>
        <v/>
      </c>
      <c r="DG691" t="str">
        <f>""</f>
        <v/>
      </c>
      <c r="DH691" t="str">
        <f>""</f>
        <v/>
      </c>
      <c r="DI691" t="str">
        <f>""</f>
        <v/>
      </c>
      <c r="DJ691" t="str">
        <f>""</f>
        <v/>
      </c>
      <c r="DK691" t="str">
        <f>""</f>
        <v/>
      </c>
      <c r="DL691" t="str">
        <f>""</f>
        <v/>
      </c>
      <c r="DM691" t="str">
        <f>""</f>
        <v/>
      </c>
      <c r="DN691" t="str">
        <f>""</f>
        <v/>
      </c>
      <c r="DO691" t="str">
        <f>""</f>
        <v/>
      </c>
      <c r="DP691" t="str">
        <f>""</f>
        <v/>
      </c>
      <c r="DQ691" t="str">
        <f>""</f>
        <v/>
      </c>
      <c r="DR691" t="str">
        <f>""</f>
        <v/>
      </c>
      <c r="DS691" t="str">
        <f>""</f>
        <v/>
      </c>
      <c r="DT691" t="str">
        <f>""</f>
        <v/>
      </c>
      <c r="DU691" t="str">
        <f>""</f>
        <v/>
      </c>
    </row>
    <row r="692" spans="1:125" x14ac:dyDescent="0.25">
      <c r="A692" t="str">
        <f>$A$187</f>
        <v xml:space="preserve">    Honda Motor Co Ltd</v>
      </c>
      <c r="B692" t="str">
        <f>$B$187</f>
        <v>7267 JP Equity</v>
      </c>
      <c r="C692" t="str">
        <f>$C$187</f>
        <v>RR800</v>
      </c>
      <c r="D692" t="str">
        <f>$D$187</f>
        <v>TRAIL_12M_NET_SALES</v>
      </c>
      <c r="E692" t="str">
        <f>$E$187</f>
        <v>Dynamic</v>
      </c>
      <c r="F692" t="str">
        <f ca="1">_xll.BDH($B$187,$C$187,$B$509,$B$510,CONCATENATE("Per=",$B$507),"Dts=H","Dir=H",CONCATENATE("Points=",$B$508),"Sort=R","Days=A","Fill=B",CONCATENATE("FX=", $B$506) )</f>
        <v>#N/A Connection</v>
      </c>
      <c r="BN692" t="str">
        <f>""</f>
        <v/>
      </c>
      <c r="BO692" t="str">
        <f>""</f>
        <v/>
      </c>
      <c r="BP692" t="str">
        <f>""</f>
        <v/>
      </c>
      <c r="BQ692" t="str">
        <f>""</f>
        <v/>
      </c>
      <c r="BR692" t="str">
        <f>""</f>
        <v/>
      </c>
      <c r="BS692" t="str">
        <f>""</f>
        <v/>
      </c>
      <c r="BT692" t="str">
        <f>""</f>
        <v/>
      </c>
      <c r="BU692" t="str">
        <f>""</f>
        <v/>
      </c>
      <c r="BV692" t="str">
        <f>""</f>
        <v/>
      </c>
      <c r="BW692" t="str">
        <f>""</f>
        <v/>
      </c>
      <c r="BX692" t="str">
        <f>""</f>
        <v/>
      </c>
      <c r="BY692" t="str">
        <f>""</f>
        <v/>
      </c>
      <c r="BZ692" t="str">
        <f>""</f>
        <v/>
      </c>
      <c r="CA692" t="str">
        <f>""</f>
        <v/>
      </c>
      <c r="CB692" t="str">
        <f>""</f>
        <v/>
      </c>
      <c r="CC692" t="str">
        <f>""</f>
        <v/>
      </c>
      <c r="CD692" t="str">
        <f>""</f>
        <v/>
      </c>
      <c r="CE692" t="str">
        <f>""</f>
        <v/>
      </c>
      <c r="CF692" t="str">
        <f>""</f>
        <v/>
      </c>
      <c r="CG692" t="str">
        <f>""</f>
        <v/>
      </c>
      <c r="CH692" t="str">
        <f>""</f>
        <v/>
      </c>
      <c r="CI692" t="str">
        <f>""</f>
        <v/>
      </c>
      <c r="CJ692" t="str">
        <f>""</f>
        <v/>
      </c>
      <c r="CK692" t="str">
        <f>""</f>
        <v/>
      </c>
      <c r="CL692" t="str">
        <f>""</f>
        <v/>
      </c>
      <c r="CM692" t="str">
        <f>""</f>
        <v/>
      </c>
      <c r="CN692" t="str">
        <f>""</f>
        <v/>
      </c>
      <c r="CO692" t="str">
        <f>""</f>
        <v/>
      </c>
      <c r="CP692" t="str">
        <f>""</f>
        <v/>
      </c>
      <c r="CQ692" t="str">
        <f>""</f>
        <v/>
      </c>
      <c r="CR692" t="str">
        <f>""</f>
        <v/>
      </c>
      <c r="CS692" t="str">
        <f>""</f>
        <v/>
      </c>
      <c r="CT692" t="str">
        <f>""</f>
        <v/>
      </c>
      <c r="CU692" t="str">
        <f>""</f>
        <v/>
      </c>
      <c r="CV692" t="str">
        <f>""</f>
        <v/>
      </c>
      <c r="CW692" t="str">
        <f>""</f>
        <v/>
      </c>
      <c r="CX692" t="str">
        <f>""</f>
        <v/>
      </c>
      <c r="CY692" t="str">
        <f>""</f>
        <v/>
      </c>
      <c r="CZ692" t="str">
        <f>""</f>
        <v/>
      </c>
      <c r="DA692" t="str">
        <f>""</f>
        <v/>
      </c>
      <c r="DB692" t="str">
        <f>""</f>
        <v/>
      </c>
      <c r="DC692" t="str">
        <f>""</f>
        <v/>
      </c>
      <c r="DD692" t="str">
        <f>""</f>
        <v/>
      </c>
      <c r="DE692" t="str">
        <f>""</f>
        <v/>
      </c>
      <c r="DF692" t="str">
        <f>""</f>
        <v/>
      </c>
      <c r="DG692" t="str">
        <f>""</f>
        <v/>
      </c>
      <c r="DH692" t="str">
        <f>""</f>
        <v/>
      </c>
      <c r="DI692" t="str">
        <f>""</f>
        <v/>
      </c>
      <c r="DJ692" t="str">
        <f>""</f>
        <v/>
      </c>
      <c r="DK692" t="str">
        <f>""</f>
        <v/>
      </c>
      <c r="DL692" t="str">
        <f>""</f>
        <v/>
      </c>
      <c r="DM692" t="str">
        <f>""</f>
        <v/>
      </c>
      <c r="DN692" t="str">
        <f>""</f>
        <v/>
      </c>
      <c r="DO692" t="str">
        <f>""</f>
        <v/>
      </c>
      <c r="DP692" t="str">
        <f>""</f>
        <v/>
      </c>
      <c r="DQ692" t="str">
        <f>""</f>
        <v/>
      </c>
      <c r="DR692" t="str">
        <f>""</f>
        <v/>
      </c>
      <c r="DS692" t="str">
        <f>""</f>
        <v/>
      </c>
      <c r="DT692" t="str">
        <f>""</f>
        <v/>
      </c>
      <c r="DU692" t="str">
        <f>""</f>
        <v/>
      </c>
    </row>
    <row r="693" spans="1:125" x14ac:dyDescent="0.25">
      <c r="A693" t="str">
        <f>$A$188</f>
        <v xml:space="preserve">    Hyundai Motor Co</v>
      </c>
      <c r="B693" t="str">
        <f>$B$188</f>
        <v>005380 KS Equity</v>
      </c>
      <c r="C693" t="str">
        <f>$C$188</f>
        <v>RR800</v>
      </c>
      <c r="D693" t="str">
        <f>$D$188</f>
        <v>TRAIL_12M_NET_SALES</v>
      </c>
      <c r="E693" t="str">
        <f>$E$188</f>
        <v>Dynamic</v>
      </c>
      <c r="F693" t="str">
        <f ca="1">_xll.BDH($B$188,$C$188,$B$509,$B$510,CONCATENATE("Per=",$B$507),"Dts=H","Dir=H",CONCATENATE("Points=",$B$508),"Sort=R","Days=A","Fill=B",CONCATENATE("FX=", $B$506) )</f>
        <v>#N/A Connection</v>
      </c>
      <c r="BN693" t="str">
        <f>""</f>
        <v/>
      </c>
      <c r="BO693" t="str">
        <f>""</f>
        <v/>
      </c>
      <c r="BP693" t="str">
        <f>""</f>
        <v/>
      </c>
      <c r="BQ693" t="str">
        <f>""</f>
        <v/>
      </c>
      <c r="BR693" t="str">
        <f>""</f>
        <v/>
      </c>
      <c r="BS693" t="str">
        <f>""</f>
        <v/>
      </c>
      <c r="BT693" t="str">
        <f>""</f>
        <v/>
      </c>
      <c r="BU693" t="str">
        <f>""</f>
        <v/>
      </c>
      <c r="BV693" t="str">
        <f>""</f>
        <v/>
      </c>
      <c r="BW693" t="str">
        <f>""</f>
        <v/>
      </c>
      <c r="BX693" t="str">
        <f>""</f>
        <v/>
      </c>
      <c r="BY693" t="str">
        <f>""</f>
        <v/>
      </c>
      <c r="BZ693" t="str">
        <f>""</f>
        <v/>
      </c>
      <c r="CA693" t="str">
        <f>""</f>
        <v/>
      </c>
      <c r="CB693" t="str">
        <f>""</f>
        <v/>
      </c>
      <c r="CC693" t="str">
        <f>""</f>
        <v/>
      </c>
      <c r="CD693" t="str">
        <f>""</f>
        <v/>
      </c>
      <c r="CE693" t="str">
        <f>""</f>
        <v/>
      </c>
      <c r="CF693" t="str">
        <f>""</f>
        <v/>
      </c>
      <c r="CG693" t="str">
        <f>""</f>
        <v/>
      </c>
      <c r="CH693" t="str">
        <f>""</f>
        <v/>
      </c>
      <c r="CI693" t="str">
        <f>""</f>
        <v/>
      </c>
      <c r="CJ693" t="str">
        <f>""</f>
        <v/>
      </c>
      <c r="CK693" t="str">
        <f>""</f>
        <v/>
      </c>
      <c r="CL693" t="str">
        <f>""</f>
        <v/>
      </c>
      <c r="CM693" t="str">
        <f>""</f>
        <v/>
      </c>
      <c r="CN693" t="str">
        <f>""</f>
        <v/>
      </c>
      <c r="CO693" t="str">
        <f>""</f>
        <v/>
      </c>
      <c r="CP693" t="str">
        <f>""</f>
        <v/>
      </c>
      <c r="CQ693" t="str">
        <f>""</f>
        <v/>
      </c>
      <c r="CR693" t="str">
        <f>""</f>
        <v/>
      </c>
      <c r="CS693" t="str">
        <f>""</f>
        <v/>
      </c>
      <c r="CT693" t="str">
        <f>""</f>
        <v/>
      </c>
      <c r="CU693" t="str">
        <f>""</f>
        <v/>
      </c>
      <c r="CV693" t="str">
        <f>""</f>
        <v/>
      </c>
      <c r="CW693" t="str">
        <f>""</f>
        <v/>
      </c>
      <c r="CX693" t="str">
        <f>""</f>
        <v/>
      </c>
      <c r="CY693" t="str">
        <f>""</f>
        <v/>
      </c>
      <c r="CZ693" t="str">
        <f>""</f>
        <v/>
      </c>
      <c r="DA693" t="str">
        <f>""</f>
        <v/>
      </c>
      <c r="DB693" t="str">
        <f>""</f>
        <v/>
      </c>
      <c r="DC693" t="str">
        <f>""</f>
        <v/>
      </c>
      <c r="DD693" t="str">
        <f>""</f>
        <v/>
      </c>
      <c r="DE693" t="str">
        <f>""</f>
        <v/>
      </c>
      <c r="DF693" t="str">
        <f>""</f>
        <v/>
      </c>
      <c r="DG693" t="str">
        <f>""</f>
        <v/>
      </c>
      <c r="DH693" t="str">
        <f>""</f>
        <v/>
      </c>
      <c r="DI693" t="str">
        <f>""</f>
        <v/>
      </c>
      <c r="DJ693" t="str">
        <f>""</f>
        <v/>
      </c>
      <c r="DK693" t="str">
        <f>""</f>
        <v/>
      </c>
      <c r="DL693" t="str">
        <f>""</f>
        <v/>
      </c>
      <c r="DM693" t="str">
        <f>""</f>
        <v/>
      </c>
      <c r="DN693" t="str">
        <f>""</f>
        <v/>
      </c>
      <c r="DO693" t="str">
        <f>""</f>
        <v/>
      </c>
      <c r="DP693" t="str">
        <f>""</f>
        <v/>
      </c>
      <c r="DQ693" t="str">
        <f>""</f>
        <v/>
      </c>
      <c r="DR693" t="str">
        <f>""</f>
        <v/>
      </c>
      <c r="DS693" t="str">
        <f>""</f>
        <v/>
      </c>
      <c r="DT693" t="str">
        <f>""</f>
        <v/>
      </c>
      <c r="DU693" t="str">
        <f>""</f>
        <v/>
      </c>
    </row>
    <row r="694" spans="1:125" x14ac:dyDescent="0.25">
      <c r="A694" t="str">
        <f>$A$189</f>
        <v xml:space="preserve">    Kia Motors Corp</v>
      </c>
      <c r="B694" t="str">
        <f>$B$189</f>
        <v>000270 KS Equity</v>
      </c>
      <c r="C694" t="str">
        <f>$C$189</f>
        <v>RR800</v>
      </c>
      <c r="D694" t="str">
        <f>$D$189</f>
        <v>TRAIL_12M_NET_SALES</v>
      </c>
      <c r="E694" t="str">
        <f>$E$189</f>
        <v>Dynamic</v>
      </c>
      <c r="F694" t="str">
        <f ca="1">_xll.BDH($B$189,$C$189,$B$509,$B$510,CONCATENATE("Per=",$B$507),"Dts=H","Dir=H",CONCATENATE("Points=",$B$508),"Sort=R","Days=A","Fill=B",CONCATENATE("FX=", $B$506) )</f>
        <v>#N/A Connection</v>
      </c>
      <c r="BN694" t="str">
        <f>""</f>
        <v/>
      </c>
      <c r="BO694" t="str">
        <f>""</f>
        <v/>
      </c>
      <c r="BP694" t="str">
        <f>""</f>
        <v/>
      </c>
      <c r="BQ694" t="str">
        <f>""</f>
        <v/>
      </c>
      <c r="BR694" t="str">
        <f>""</f>
        <v/>
      </c>
      <c r="BS694" t="str">
        <f>""</f>
        <v/>
      </c>
      <c r="BT694" t="str">
        <f>""</f>
        <v/>
      </c>
      <c r="BU694" t="str">
        <f>""</f>
        <v/>
      </c>
      <c r="BV694" t="str">
        <f>""</f>
        <v/>
      </c>
      <c r="BW694" t="str">
        <f>""</f>
        <v/>
      </c>
      <c r="BX694" t="str">
        <f>""</f>
        <v/>
      </c>
      <c r="BY694" t="str">
        <f>""</f>
        <v/>
      </c>
      <c r="BZ694" t="str">
        <f>""</f>
        <v/>
      </c>
      <c r="CA694" t="str">
        <f>""</f>
        <v/>
      </c>
      <c r="CB694" t="str">
        <f>""</f>
        <v/>
      </c>
      <c r="CC694" t="str">
        <f>""</f>
        <v/>
      </c>
      <c r="CD694" t="str">
        <f>""</f>
        <v/>
      </c>
      <c r="CE694" t="str">
        <f>""</f>
        <v/>
      </c>
      <c r="CF694" t="str">
        <f>""</f>
        <v/>
      </c>
      <c r="CG694" t="str">
        <f>""</f>
        <v/>
      </c>
      <c r="CH694" t="str">
        <f>""</f>
        <v/>
      </c>
      <c r="CI694" t="str">
        <f>""</f>
        <v/>
      </c>
      <c r="CJ694" t="str">
        <f>""</f>
        <v/>
      </c>
      <c r="CK694" t="str">
        <f>""</f>
        <v/>
      </c>
      <c r="CL694" t="str">
        <f>""</f>
        <v/>
      </c>
      <c r="CM694" t="str">
        <f>""</f>
        <v/>
      </c>
      <c r="CN694" t="str">
        <f>""</f>
        <v/>
      </c>
      <c r="CO694" t="str">
        <f>""</f>
        <v/>
      </c>
      <c r="CP694" t="str">
        <f>""</f>
        <v/>
      </c>
      <c r="CQ694" t="str">
        <f>""</f>
        <v/>
      </c>
      <c r="CR694" t="str">
        <f>""</f>
        <v/>
      </c>
      <c r="CS694" t="str">
        <f>""</f>
        <v/>
      </c>
      <c r="CT694" t="str">
        <f>""</f>
        <v/>
      </c>
      <c r="CU694" t="str">
        <f>""</f>
        <v/>
      </c>
      <c r="CV694" t="str">
        <f>""</f>
        <v/>
      </c>
      <c r="CW694" t="str">
        <f>""</f>
        <v/>
      </c>
      <c r="CX694" t="str">
        <f>""</f>
        <v/>
      </c>
      <c r="CY694" t="str">
        <f>""</f>
        <v/>
      </c>
      <c r="CZ694" t="str">
        <f>""</f>
        <v/>
      </c>
      <c r="DA694" t="str">
        <f>""</f>
        <v/>
      </c>
      <c r="DB694" t="str">
        <f>""</f>
        <v/>
      </c>
      <c r="DC694" t="str">
        <f>""</f>
        <v/>
      </c>
      <c r="DD694" t="str">
        <f>""</f>
        <v/>
      </c>
      <c r="DE694" t="str">
        <f>""</f>
        <v/>
      </c>
      <c r="DF694" t="str">
        <f>""</f>
        <v/>
      </c>
      <c r="DG694" t="str">
        <f>""</f>
        <v/>
      </c>
      <c r="DH694" t="str">
        <f>""</f>
        <v/>
      </c>
      <c r="DI694" t="str">
        <f>""</f>
        <v/>
      </c>
      <c r="DJ694" t="str">
        <f>""</f>
        <v/>
      </c>
      <c r="DK694" t="str">
        <f>""</f>
        <v/>
      </c>
      <c r="DL694" t="str">
        <f>""</f>
        <v/>
      </c>
      <c r="DM694" t="str">
        <f>""</f>
        <v/>
      </c>
      <c r="DN694" t="str">
        <f>""</f>
        <v/>
      </c>
      <c r="DO694" t="str">
        <f>""</f>
        <v/>
      </c>
      <c r="DP694" t="str">
        <f>""</f>
        <v/>
      </c>
      <c r="DQ694" t="str">
        <f>""</f>
        <v/>
      </c>
      <c r="DR694" t="str">
        <f>""</f>
        <v/>
      </c>
      <c r="DS694" t="str">
        <f>""</f>
        <v/>
      </c>
      <c r="DT694" t="str">
        <f>""</f>
        <v/>
      </c>
      <c r="DU694" t="str">
        <f>""</f>
        <v/>
      </c>
    </row>
    <row r="695" spans="1:125" x14ac:dyDescent="0.25">
      <c r="A695" t="str">
        <f>$A$190</f>
        <v xml:space="preserve">    Mazda Motor Corp</v>
      </c>
      <c r="B695" t="str">
        <f>$B$190</f>
        <v>7261 JP Equity</v>
      </c>
      <c r="C695" t="str">
        <f>$C$190</f>
        <v>RR800</v>
      </c>
      <c r="D695" t="str">
        <f>$D$190</f>
        <v>TRAIL_12M_NET_SALES</v>
      </c>
      <c r="E695" t="str">
        <f>$E$190</f>
        <v>Dynamic</v>
      </c>
      <c r="F695" t="str">
        <f ca="1">_xll.BDH($B$190,$C$190,$B$509,$B$510,CONCATENATE("Per=",$B$507),"Dts=H","Dir=H",CONCATENATE("Points=",$B$508),"Sort=R","Days=A","Fill=B",CONCATENATE("FX=", $B$506) )</f>
        <v>#N/A Connection</v>
      </c>
      <c r="BN695" t="str">
        <f>""</f>
        <v/>
      </c>
      <c r="BO695" t="str">
        <f>""</f>
        <v/>
      </c>
      <c r="BP695" t="str">
        <f>""</f>
        <v/>
      </c>
      <c r="BQ695" t="str">
        <f>""</f>
        <v/>
      </c>
      <c r="BR695" t="str">
        <f>""</f>
        <v/>
      </c>
      <c r="BS695" t="str">
        <f>""</f>
        <v/>
      </c>
      <c r="BT695" t="str">
        <f>""</f>
        <v/>
      </c>
      <c r="BU695" t="str">
        <f>""</f>
        <v/>
      </c>
      <c r="BV695" t="str">
        <f>""</f>
        <v/>
      </c>
      <c r="BW695" t="str">
        <f>""</f>
        <v/>
      </c>
      <c r="BX695" t="str">
        <f>""</f>
        <v/>
      </c>
      <c r="BY695" t="str">
        <f>""</f>
        <v/>
      </c>
      <c r="BZ695" t="str">
        <f>""</f>
        <v/>
      </c>
      <c r="CA695" t="str">
        <f>""</f>
        <v/>
      </c>
      <c r="CB695" t="str">
        <f>""</f>
        <v/>
      </c>
      <c r="CC695" t="str">
        <f>""</f>
        <v/>
      </c>
      <c r="CD695" t="str">
        <f>""</f>
        <v/>
      </c>
      <c r="CE695" t="str">
        <f>""</f>
        <v/>
      </c>
      <c r="CF695" t="str">
        <f>""</f>
        <v/>
      </c>
      <c r="CG695" t="str">
        <f>""</f>
        <v/>
      </c>
      <c r="CH695" t="str">
        <f>""</f>
        <v/>
      </c>
      <c r="CI695" t="str">
        <f>""</f>
        <v/>
      </c>
      <c r="CJ695" t="str">
        <f>""</f>
        <v/>
      </c>
      <c r="CK695" t="str">
        <f>""</f>
        <v/>
      </c>
      <c r="CL695" t="str">
        <f>""</f>
        <v/>
      </c>
      <c r="CM695" t="str">
        <f>""</f>
        <v/>
      </c>
      <c r="CN695" t="str">
        <f>""</f>
        <v/>
      </c>
      <c r="CO695" t="str">
        <f>""</f>
        <v/>
      </c>
      <c r="CP695" t="str">
        <f>""</f>
        <v/>
      </c>
      <c r="CQ695" t="str">
        <f>""</f>
        <v/>
      </c>
      <c r="CR695" t="str">
        <f>""</f>
        <v/>
      </c>
      <c r="CS695" t="str">
        <f>""</f>
        <v/>
      </c>
      <c r="CT695" t="str">
        <f>""</f>
        <v/>
      </c>
      <c r="CU695" t="str">
        <f>""</f>
        <v/>
      </c>
      <c r="CV695" t="str">
        <f>""</f>
        <v/>
      </c>
      <c r="CW695" t="str">
        <f>""</f>
        <v/>
      </c>
      <c r="CX695" t="str">
        <f>""</f>
        <v/>
      </c>
      <c r="CY695" t="str">
        <f>""</f>
        <v/>
      </c>
      <c r="CZ695" t="str">
        <f>""</f>
        <v/>
      </c>
      <c r="DA695" t="str">
        <f>""</f>
        <v/>
      </c>
      <c r="DB695" t="str">
        <f>""</f>
        <v/>
      </c>
      <c r="DC695" t="str">
        <f>""</f>
        <v/>
      </c>
      <c r="DD695" t="str">
        <f>""</f>
        <v/>
      </c>
      <c r="DE695" t="str">
        <f>""</f>
        <v/>
      </c>
      <c r="DF695" t="str">
        <f>""</f>
        <v/>
      </c>
      <c r="DG695" t="str">
        <f>""</f>
        <v/>
      </c>
      <c r="DH695" t="str">
        <f>""</f>
        <v/>
      </c>
      <c r="DI695" t="str">
        <f>""</f>
        <v/>
      </c>
      <c r="DJ695" t="str">
        <f>""</f>
        <v/>
      </c>
      <c r="DK695" t="str">
        <f>""</f>
        <v/>
      </c>
      <c r="DL695" t="str">
        <f>""</f>
        <v/>
      </c>
      <c r="DM695" t="str">
        <f>""</f>
        <v/>
      </c>
      <c r="DN695" t="str">
        <f>""</f>
        <v/>
      </c>
      <c r="DO695" t="str">
        <f>""</f>
        <v/>
      </c>
      <c r="DP695" t="str">
        <f>""</f>
        <v/>
      </c>
      <c r="DQ695" t="str">
        <f>""</f>
        <v/>
      </c>
      <c r="DR695" t="str">
        <f>""</f>
        <v/>
      </c>
      <c r="DS695" t="str">
        <f>""</f>
        <v/>
      </c>
      <c r="DT695" t="str">
        <f>""</f>
        <v/>
      </c>
      <c r="DU695" t="str">
        <f>""</f>
        <v/>
      </c>
    </row>
    <row r="696" spans="1:125" x14ac:dyDescent="0.25">
      <c r="A696" t="str">
        <f>$A$191</f>
        <v xml:space="preserve">    Mitsubishi Motors Corp</v>
      </c>
      <c r="B696" t="str">
        <f>$B$191</f>
        <v>7211 JP Equity</v>
      </c>
      <c r="C696" t="str">
        <f>$C$191</f>
        <v>RR800</v>
      </c>
      <c r="D696" t="str">
        <f>$D$191</f>
        <v>TRAIL_12M_NET_SALES</v>
      </c>
      <c r="E696" t="str">
        <f>$E$191</f>
        <v>Dynamic</v>
      </c>
      <c r="F696" t="str">
        <f ca="1">_xll.BDH($B$191,$C$191,$B$509,$B$510,CONCATENATE("Per=",$B$507),"Dts=H","Dir=H",CONCATENATE("Points=",$B$508),"Sort=R","Days=A","Fill=B",CONCATENATE("FX=", $B$506) )</f>
        <v>#N/A Connection</v>
      </c>
      <c r="BN696" t="str">
        <f>""</f>
        <v/>
      </c>
      <c r="BO696" t="str">
        <f>""</f>
        <v/>
      </c>
      <c r="BP696" t="str">
        <f>""</f>
        <v/>
      </c>
      <c r="BQ696" t="str">
        <f>""</f>
        <v/>
      </c>
      <c r="BR696" t="str">
        <f>""</f>
        <v/>
      </c>
      <c r="BS696" t="str">
        <f>""</f>
        <v/>
      </c>
      <c r="BT696" t="str">
        <f>""</f>
        <v/>
      </c>
      <c r="BU696" t="str">
        <f>""</f>
        <v/>
      </c>
      <c r="BV696" t="str">
        <f>""</f>
        <v/>
      </c>
      <c r="BW696" t="str">
        <f>""</f>
        <v/>
      </c>
      <c r="BX696" t="str">
        <f>""</f>
        <v/>
      </c>
      <c r="BY696" t="str">
        <f>""</f>
        <v/>
      </c>
      <c r="BZ696" t="str">
        <f>""</f>
        <v/>
      </c>
      <c r="CA696" t="str">
        <f>""</f>
        <v/>
      </c>
      <c r="CB696" t="str">
        <f>""</f>
        <v/>
      </c>
      <c r="CC696" t="str">
        <f>""</f>
        <v/>
      </c>
      <c r="CD696" t="str">
        <f>""</f>
        <v/>
      </c>
      <c r="CE696" t="str">
        <f>""</f>
        <v/>
      </c>
      <c r="CF696" t="str">
        <f>""</f>
        <v/>
      </c>
      <c r="CG696" t="str">
        <f>""</f>
        <v/>
      </c>
      <c r="CH696" t="str">
        <f>""</f>
        <v/>
      </c>
      <c r="CI696" t="str">
        <f>""</f>
        <v/>
      </c>
      <c r="CJ696" t="str">
        <f>""</f>
        <v/>
      </c>
      <c r="CK696" t="str">
        <f>""</f>
        <v/>
      </c>
      <c r="CL696" t="str">
        <f>""</f>
        <v/>
      </c>
      <c r="CM696" t="str">
        <f>""</f>
        <v/>
      </c>
      <c r="CN696" t="str">
        <f>""</f>
        <v/>
      </c>
      <c r="CO696" t="str">
        <f>""</f>
        <v/>
      </c>
      <c r="CP696" t="str">
        <f>""</f>
        <v/>
      </c>
      <c r="CQ696" t="str">
        <f>""</f>
        <v/>
      </c>
      <c r="CR696" t="str">
        <f>""</f>
        <v/>
      </c>
      <c r="CS696" t="str">
        <f>""</f>
        <v/>
      </c>
      <c r="CT696" t="str">
        <f>""</f>
        <v/>
      </c>
      <c r="CU696" t="str">
        <f>""</f>
        <v/>
      </c>
      <c r="CV696" t="str">
        <f>""</f>
        <v/>
      </c>
      <c r="CW696" t="str">
        <f>""</f>
        <v/>
      </c>
      <c r="CX696" t="str">
        <f>""</f>
        <v/>
      </c>
      <c r="CY696" t="str">
        <f>""</f>
        <v/>
      </c>
      <c r="CZ696" t="str">
        <f>""</f>
        <v/>
      </c>
      <c r="DA696" t="str">
        <f>""</f>
        <v/>
      </c>
      <c r="DB696" t="str">
        <f>""</f>
        <v/>
      </c>
      <c r="DC696" t="str">
        <f>""</f>
        <v/>
      </c>
      <c r="DD696" t="str">
        <f>""</f>
        <v/>
      </c>
      <c r="DE696" t="str">
        <f>""</f>
        <v/>
      </c>
      <c r="DF696" t="str">
        <f>""</f>
        <v/>
      </c>
      <c r="DG696" t="str">
        <f>""</f>
        <v/>
      </c>
      <c r="DH696" t="str">
        <f>""</f>
        <v/>
      </c>
      <c r="DI696" t="str">
        <f>""</f>
        <v/>
      </c>
      <c r="DJ696" t="str">
        <f>""</f>
        <v/>
      </c>
      <c r="DK696" t="str">
        <f>""</f>
        <v/>
      </c>
      <c r="DL696" t="str">
        <f>""</f>
        <v/>
      </c>
      <c r="DM696" t="str">
        <f>""</f>
        <v/>
      </c>
      <c r="DN696" t="str">
        <f>""</f>
        <v/>
      </c>
      <c r="DO696" t="str">
        <f>""</f>
        <v/>
      </c>
      <c r="DP696" t="str">
        <f>""</f>
        <v/>
      </c>
      <c r="DQ696" t="str">
        <f>""</f>
        <v/>
      </c>
      <c r="DR696" t="str">
        <f>""</f>
        <v/>
      </c>
      <c r="DS696" t="str">
        <f>""</f>
        <v/>
      </c>
      <c r="DT696" t="str">
        <f>""</f>
        <v/>
      </c>
      <c r="DU696" t="str">
        <f>""</f>
        <v/>
      </c>
    </row>
    <row r="697" spans="1:125" x14ac:dyDescent="0.25">
      <c r="A697" t="str">
        <f>$A$192</f>
        <v xml:space="preserve">    Nissan Motor Co Ltd</v>
      </c>
      <c r="B697" t="str">
        <f>$B$192</f>
        <v>7201 JP Equity</v>
      </c>
      <c r="C697" t="str">
        <f>$C$192</f>
        <v>RR800</v>
      </c>
      <c r="D697" t="str">
        <f>$D$192</f>
        <v>TRAIL_12M_NET_SALES</v>
      </c>
      <c r="E697" t="str">
        <f>$E$192</f>
        <v>Dynamic</v>
      </c>
      <c r="F697" t="str">
        <f ca="1">_xll.BDH($B$192,$C$192,$B$509,$B$510,CONCATENATE("Per=",$B$507),"Dts=H","Dir=H",CONCATENATE("Points=",$B$508),"Sort=R","Days=A","Fill=B",CONCATENATE("FX=", $B$506) )</f>
        <v>#N/A Connection</v>
      </c>
      <c r="BN697" t="str">
        <f>""</f>
        <v/>
      </c>
      <c r="BO697" t="str">
        <f>""</f>
        <v/>
      </c>
      <c r="BP697" t="str">
        <f>""</f>
        <v/>
      </c>
      <c r="BQ697" t="str">
        <f>""</f>
        <v/>
      </c>
      <c r="BR697" t="str">
        <f>""</f>
        <v/>
      </c>
      <c r="BS697" t="str">
        <f>""</f>
        <v/>
      </c>
      <c r="BT697" t="str">
        <f>""</f>
        <v/>
      </c>
      <c r="BU697" t="str">
        <f>""</f>
        <v/>
      </c>
      <c r="BV697" t="str">
        <f>""</f>
        <v/>
      </c>
      <c r="BW697" t="str">
        <f>""</f>
        <v/>
      </c>
      <c r="BX697" t="str">
        <f>""</f>
        <v/>
      </c>
      <c r="BY697" t="str">
        <f>""</f>
        <v/>
      </c>
      <c r="BZ697" t="str">
        <f>""</f>
        <v/>
      </c>
      <c r="CA697" t="str">
        <f>""</f>
        <v/>
      </c>
      <c r="CB697" t="str">
        <f>""</f>
        <v/>
      </c>
      <c r="CC697" t="str">
        <f>""</f>
        <v/>
      </c>
      <c r="CD697" t="str">
        <f>""</f>
        <v/>
      </c>
      <c r="CE697" t="str">
        <f>""</f>
        <v/>
      </c>
      <c r="CF697" t="str">
        <f>""</f>
        <v/>
      </c>
      <c r="CG697" t="str">
        <f>""</f>
        <v/>
      </c>
      <c r="CH697" t="str">
        <f>""</f>
        <v/>
      </c>
      <c r="CI697" t="str">
        <f>""</f>
        <v/>
      </c>
      <c r="CJ697" t="str">
        <f>""</f>
        <v/>
      </c>
      <c r="CK697" t="str">
        <f>""</f>
        <v/>
      </c>
      <c r="CL697" t="str">
        <f>""</f>
        <v/>
      </c>
      <c r="CM697" t="str">
        <f>""</f>
        <v/>
      </c>
      <c r="CN697" t="str">
        <f>""</f>
        <v/>
      </c>
      <c r="CO697" t="str">
        <f>""</f>
        <v/>
      </c>
      <c r="CP697" t="str">
        <f>""</f>
        <v/>
      </c>
      <c r="CQ697" t="str">
        <f>""</f>
        <v/>
      </c>
      <c r="CR697" t="str">
        <f>""</f>
        <v/>
      </c>
      <c r="CS697" t="str">
        <f>""</f>
        <v/>
      </c>
      <c r="CT697" t="str">
        <f>""</f>
        <v/>
      </c>
      <c r="CU697" t="str">
        <f>""</f>
        <v/>
      </c>
      <c r="CV697" t="str">
        <f>""</f>
        <v/>
      </c>
      <c r="CW697" t="str">
        <f>""</f>
        <v/>
      </c>
      <c r="CX697" t="str">
        <f>""</f>
        <v/>
      </c>
      <c r="CY697" t="str">
        <f>""</f>
        <v/>
      </c>
      <c r="CZ697" t="str">
        <f>""</f>
        <v/>
      </c>
      <c r="DA697" t="str">
        <f>""</f>
        <v/>
      </c>
      <c r="DB697" t="str">
        <f>""</f>
        <v/>
      </c>
      <c r="DC697" t="str">
        <f>""</f>
        <v/>
      </c>
      <c r="DD697" t="str">
        <f>""</f>
        <v/>
      </c>
      <c r="DE697" t="str">
        <f>""</f>
        <v/>
      </c>
      <c r="DF697" t="str">
        <f>""</f>
        <v/>
      </c>
      <c r="DG697" t="str">
        <f>""</f>
        <v/>
      </c>
      <c r="DH697" t="str">
        <f>""</f>
        <v/>
      </c>
      <c r="DI697" t="str">
        <f>""</f>
        <v/>
      </c>
      <c r="DJ697" t="str">
        <f>""</f>
        <v/>
      </c>
      <c r="DK697" t="str">
        <f>""</f>
        <v/>
      </c>
      <c r="DL697" t="str">
        <f>""</f>
        <v/>
      </c>
      <c r="DM697" t="str">
        <f>""</f>
        <v/>
      </c>
      <c r="DN697" t="str">
        <f>""</f>
        <v/>
      </c>
      <c r="DO697" t="str">
        <f>""</f>
        <v/>
      </c>
      <c r="DP697" t="str">
        <f>""</f>
        <v/>
      </c>
      <c r="DQ697" t="str">
        <f>""</f>
        <v/>
      </c>
      <c r="DR697" t="str">
        <f>""</f>
        <v/>
      </c>
      <c r="DS697" t="str">
        <f>""</f>
        <v/>
      </c>
      <c r="DT697" t="str">
        <f>""</f>
        <v/>
      </c>
      <c r="DU697" t="str">
        <f>""</f>
        <v/>
      </c>
    </row>
    <row r="698" spans="1:125" x14ac:dyDescent="0.25">
      <c r="A698" t="str">
        <f>$A$193</f>
        <v xml:space="preserve">    Peugeot SA</v>
      </c>
      <c r="B698" t="str">
        <f>$B$193</f>
        <v>UG FP Equity</v>
      </c>
      <c r="C698" t="str">
        <f>$C$193</f>
        <v>RR800</v>
      </c>
      <c r="D698" t="str">
        <f>$D$193</f>
        <v>TRAIL_12M_NET_SALES</v>
      </c>
      <c r="E698" t="str">
        <f>$E$193</f>
        <v>Dynamic</v>
      </c>
      <c r="F698" t="str">
        <f ca="1">_xll.BDH($B$193,$C$193,$B$509,$B$510,CONCATENATE("Per=",$B$507),"Dts=H","Dir=H",CONCATENATE("Points=",$B$508),"Sort=R","Days=A","Fill=B",CONCATENATE("FX=", $B$506) )</f>
        <v>#N/A Connection</v>
      </c>
      <c r="BN698" t="str">
        <f>""</f>
        <v/>
      </c>
      <c r="BO698" t="str">
        <f>""</f>
        <v/>
      </c>
      <c r="BP698" t="str">
        <f>""</f>
        <v/>
      </c>
      <c r="BQ698" t="str">
        <f>""</f>
        <v/>
      </c>
      <c r="BR698" t="str">
        <f>""</f>
        <v/>
      </c>
      <c r="BS698" t="str">
        <f>""</f>
        <v/>
      </c>
      <c r="BT698" t="str">
        <f>""</f>
        <v/>
      </c>
      <c r="BU698" t="str">
        <f>""</f>
        <v/>
      </c>
      <c r="BV698" t="str">
        <f>""</f>
        <v/>
      </c>
      <c r="BW698" t="str">
        <f>""</f>
        <v/>
      </c>
      <c r="BX698" t="str">
        <f>""</f>
        <v/>
      </c>
      <c r="BY698" t="str">
        <f>""</f>
        <v/>
      </c>
      <c r="BZ698" t="str">
        <f>""</f>
        <v/>
      </c>
      <c r="CA698" t="str">
        <f>""</f>
        <v/>
      </c>
      <c r="CB698" t="str">
        <f>""</f>
        <v/>
      </c>
      <c r="CC698" t="str">
        <f>""</f>
        <v/>
      </c>
      <c r="CD698" t="str">
        <f>""</f>
        <v/>
      </c>
      <c r="CE698" t="str">
        <f>""</f>
        <v/>
      </c>
      <c r="CF698" t="str">
        <f>""</f>
        <v/>
      </c>
      <c r="CG698" t="str">
        <f>""</f>
        <v/>
      </c>
      <c r="CH698" t="str">
        <f>""</f>
        <v/>
      </c>
      <c r="CI698" t="str">
        <f>""</f>
        <v/>
      </c>
      <c r="CJ698" t="str">
        <f>""</f>
        <v/>
      </c>
      <c r="CK698" t="str">
        <f>""</f>
        <v/>
      </c>
      <c r="CL698" t="str">
        <f>""</f>
        <v/>
      </c>
      <c r="CM698" t="str">
        <f>""</f>
        <v/>
      </c>
      <c r="CN698" t="str">
        <f>""</f>
        <v/>
      </c>
      <c r="CO698" t="str">
        <f>""</f>
        <v/>
      </c>
      <c r="CP698" t="str">
        <f>""</f>
        <v/>
      </c>
      <c r="CQ698" t="str">
        <f>""</f>
        <v/>
      </c>
      <c r="CR698" t="str">
        <f>""</f>
        <v/>
      </c>
      <c r="CS698" t="str">
        <f>""</f>
        <v/>
      </c>
      <c r="CT698" t="str">
        <f>""</f>
        <v/>
      </c>
      <c r="CU698" t="str">
        <f>""</f>
        <v/>
      </c>
      <c r="CV698" t="str">
        <f>""</f>
        <v/>
      </c>
      <c r="CW698" t="str">
        <f>""</f>
        <v/>
      </c>
      <c r="CX698" t="str">
        <f>""</f>
        <v/>
      </c>
      <c r="CY698" t="str">
        <f>""</f>
        <v/>
      </c>
      <c r="CZ698" t="str">
        <f>""</f>
        <v/>
      </c>
      <c r="DA698" t="str">
        <f>""</f>
        <v/>
      </c>
      <c r="DB698" t="str">
        <f>""</f>
        <v/>
      </c>
      <c r="DC698" t="str">
        <f>""</f>
        <v/>
      </c>
      <c r="DD698" t="str">
        <f>""</f>
        <v/>
      </c>
      <c r="DE698" t="str">
        <f>""</f>
        <v/>
      </c>
      <c r="DF698" t="str">
        <f>""</f>
        <v/>
      </c>
      <c r="DG698" t="str">
        <f>""</f>
        <v/>
      </c>
      <c r="DH698" t="str">
        <f>""</f>
        <v/>
      </c>
      <c r="DI698" t="str">
        <f>""</f>
        <v/>
      </c>
      <c r="DJ698" t="str">
        <f>""</f>
        <v/>
      </c>
      <c r="DK698" t="str">
        <f>""</f>
        <v/>
      </c>
      <c r="DL698" t="str">
        <f>""</f>
        <v/>
      </c>
      <c r="DM698" t="str">
        <f>""</f>
        <v/>
      </c>
      <c r="DN698" t="str">
        <f>""</f>
        <v/>
      </c>
      <c r="DO698" t="str">
        <f>""</f>
        <v/>
      </c>
      <c r="DP698" t="str">
        <f>""</f>
        <v/>
      </c>
      <c r="DQ698" t="str">
        <f>""</f>
        <v/>
      </c>
      <c r="DR698" t="str">
        <f>""</f>
        <v/>
      </c>
      <c r="DS698" t="str">
        <f>""</f>
        <v/>
      </c>
      <c r="DT698" t="str">
        <f>""</f>
        <v/>
      </c>
      <c r="DU698" t="str">
        <f>""</f>
        <v/>
      </c>
    </row>
    <row r="699" spans="1:125" x14ac:dyDescent="0.25">
      <c r="A699" t="str">
        <f>$A$194</f>
        <v xml:space="preserve">    Renault SA</v>
      </c>
      <c r="B699" t="str">
        <f>$B$194</f>
        <v>RNO FP Equity</v>
      </c>
      <c r="C699" t="str">
        <f>$C$194</f>
        <v>RR800</v>
      </c>
      <c r="D699" t="str">
        <f>$D$194</f>
        <v>TRAIL_12M_NET_SALES</v>
      </c>
      <c r="E699" t="str">
        <f>$E$194</f>
        <v>Dynamic</v>
      </c>
      <c r="F699" t="str">
        <f ca="1">_xll.BDH($B$194,$C$194,$B$509,$B$510,CONCATENATE("Per=",$B$507),"Dts=H","Dir=H",CONCATENATE("Points=",$B$508),"Sort=R","Days=A","Fill=B",CONCATENATE("FX=", $B$506) )</f>
        <v>#N/A Connection</v>
      </c>
      <c r="BN699" t="str">
        <f>""</f>
        <v/>
      </c>
      <c r="BO699" t="str">
        <f>""</f>
        <v/>
      </c>
      <c r="BP699" t="str">
        <f>""</f>
        <v/>
      </c>
      <c r="BQ699" t="str">
        <f>""</f>
        <v/>
      </c>
      <c r="BR699" t="str">
        <f>""</f>
        <v/>
      </c>
      <c r="BS699" t="str">
        <f>""</f>
        <v/>
      </c>
      <c r="BT699" t="str">
        <f>""</f>
        <v/>
      </c>
      <c r="BU699" t="str">
        <f>""</f>
        <v/>
      </c>
      <c r="BV699" t="str">
        <f>""</f>
        <v/>
      </c>
      <c r="BW699" t="str">
        <f>""</f>
        <v/>
      </c>
      <c r="BX699" t="str">
        <f>""</f>
        <v/>
      </c>
      <c r="BY699" t="str">
        <f>""</f>
        <v/>
      </c>
      <c r="BZ699" t="str">
        <f>""</f>
        <v/>
      </c>
      <c r="CA699" t="str">
        <f>""</f>
        <v/>
      </c>
      <c r="CB699" t="str">
        <f>""</f>
        <v/>
      </c>
      <c r="CC699" t="str">
        <f>""</f>
        <v/>
      </c>
      <c r="CD699" t="str">
        <f>""</f>
        <v/>
      </c>
      <c r="CE699" t="str">
        <f>""</f>
        <v/>
      </c>
      <c r="CF699" t="str">
        <f>""</f>
        <v/>
      </c>
      <c r="CG699" t="str">
        <f>""</f>
        <v/>
      </c>
      <c r="CH699" t="str">
        <f>""</f>
        <v/>
      </c>
      <c r="CI699" t="str">
        <f>""</f>
        <v/>
      </c>
      <c r="CJ699" t="str">
        <f>""</f>
        <v/>
      </c>
      <c r="CK699" t="str">
        <f>""</f>
        <v/>
      </c>
      <c r="CL699" t="str">
        <f>""</f>
        <v/>
      </c>
      <c r="CM699" t="str">
        <f>""</f>
        <v/>
      </c>
      <c r="CN699" t="str">
        <f>""</f>
        <v/>
      </c>
      <c r="CO699" t="str">
        <f>""</f>
        <v/>
      </c>
      <c r="CP699" t="str">
        <f>""</f>
        <v/>
      </c>
      <c r="CQ699" t="str">
        <f>""</f>
        <v/>
      </c>
      <c r="CR699" t="str">
        <f>""</f>
        <v/>
      </c>
      <c r="CS699" t="str">
        <f>""</f>
        <v/>
      </c>
      <c r="CT699" t="str">
        <f>""</f>
        <v/>
      </c>
      <c r="CU699" t="str">
        <f>""</f>
        <v/>
      </c>
      <c r="CV699" t="str">
        <f>""</f>
        <v/>
      </c>
      <c r="CW699" t="str">
        <f>""</f>
        <v/>
      </c>
      <c r="CX699" t="str">
        <f>""</f>
        <v/>
      </c>
      <c r="CY699" t="str">
        <f>""</f>
        <v/>
      </c>
      <c r="CZ699" t="str">
        <f>""</f>
        <v/>
      </c>
      <c r="DA699" t="str">
        <f>""</f>
        <v/>
      </c>
      <c r="DB699" t="str">
        <f>""</f>
        <v/>
      </c>
      <c r="DC699" t="str">
        <f>""</f>
        <v/>
      </c>
      <c r="DD699" t="str">
        <f>""</f>
        <v/>
      </c>
      <c r="DE699" t="str">
        <f>""</f>
        <v/>
      </c>
      <c r="DF699" t="str">
        <f>""</f>
        <v/>
      </c>
      <c r="DG699" t="str">
        <f>""</f>
        <v/>
      </c>
      <c r="DH699" t="str">
        <f>""</f>
        <v/>
      </c>
      <c r="DI699" t="str">
        <f>""</f>
        <v/>
      </c>
      <c r="DJ699" t="str">
        <f>""</f>
        <v/>
      </c>
      <c r="DK699" t="str">
        <f>""</f>
        <v/>
      </c>
      <c r="DL699" t="str">
        <f>""</f>
        <v/>
      </c>
      <c r="DM699" t="str">
        <f>""</f>
        <v/>
      </c>
      <c r="DN699" t="str">
        <f>""</f>
        <v/>
      </c>
      <c r="DO699" t="str">
        <f>""</f>
        <v/>
      </c>
      <c r="DP699" t="str">
        <f>""</f>
        <v/>
      </c>
      <c r="DQ699" t="str">
        <f>""</f>
        <v/>
      </c>
      <c r="DR699" t="str">
        <f>""</f>
        <v/>
      </c>
      <c r="DS699" t="str">
        <f>""</f>
        <v/>
      </c>
      <c r="DT699" t="str">
        <f>""</f>
        <v/>
      </c>
      <c r="DU699" t="str">
        <f>""</f>
        <v/>
      </c>
    </row>
    <row r="700" spans="1:125" x14ac:dyDescent="0.25">
      <c r="A700" t="str">
        <f>$A$195</f>
        <v xml:space="preserve">    SAIC Motor Corp Ltd</v>
      </c>
      <c r="B700" t="str">
        <f>$B$195</f>
        <v>600104 CH Equity</v>
      </c>
      <c r="C700" t="str">
        <f>$C$195</f>
        <v>RR800</v>
      </c>
      <c r="D700" t="str">
        <f>$D$195</f>
        <v>TRAIL_12M_NET_SALES</v>
      </c>
      <c r="E700" t="str">
        <f>$E$195</f>
        <v>Dynamic</v>
      </c>
      <c r="F700" t="str">
        <f ca="1">_xll.BDH($B$195,$C$195,$B$509,$B$510,CONCATENATE("Per=",$B$507),"Dts=H","Dir=H",CONCATENATE("Points=",$B$508),"Sort=R","Days=A","Fill=B",CONCATENATE("FX=", $B$506) )</f>
        <v>#N/A Connection</v>
      </c>
      <c r="BN700" t="str">
        <f>""</f>
        <v/>
      </c>
      <c r="BO700" t="str">
        <f>""</f>
        <v/>
      </c>
      <c r="BP700" t="str">
        <f>""</f>
        <v/>
      </c>
      <c r="BQ700" t="str">
        <f>""</f>
        <v/>
      </c>
      <c r="BR700" t="str">
        <f>""</f>
        <v/>
      </c>
      <c r="BS700" t="str">
        <f>""</f>
        <v/>
      </c>
      <c r="BT700" t="str">
        <f>""</f>
        <v/>
      </c>
      <c r="BU700" t="str">
        <f>""</f>
        <v/>
      </c>
      <c r="BV700" t="str">
        <f>""</f>
        <v/>
      </c>
      <c r="BW700" t="str">
        <f>""</f>
        <v/>
      </c>
      <c r="BX700" t="str">
        <f>""</f>
        <v/>
      </c>
      <c r="BY700" t="str">
        <f>""</f>
        <v/>
      </c>
      <c r="BZ700" t="str">
        <f>""</f>
        <v/>
      </c>
      <c r="CA700" t="str">
        <f>""</f>
        <v/>
      </c>
      <c r="CB700" t="str">
        <f>""</f>
        <v/>
      </c>
      <c r="CC700" t="str">
        <f>""</f>
        <v/>
      </c>
      <c r="CD700" t="str">
        <f>""</f>
        <v/>
      </c>
      <c r="CE700" t="str">
        <f>""</f>
        <v/>
      </c>
      <c r="CF700" t="str">
        <f>""</f>
        <v/>
      </c>
      <c r="CG700" t="str">
        <f>""</f>
        <v/>
      </c>
      <c r="CH700" t="str">
        <f>""</f>
        <v/>
      </c>
      <c r="CI700" t="str">
        <f>""</f>
        <v/>
      </c>
      <c r="CJ700" t="str">
        <f>""</f>
        <v/>
      </c>
      <c r="CK700" t="str">
        <f>""</f>
        <v/>
      </c>
      <c r="CL700" t="str">
        <f>""</f>
        <v/>
      </c>
      <c r="CM700" t="str">
        <f>""</f>
        <v/>
      </c>
      <c r="CN700" t="str">
        <f>""</f>
        <v/>
      </c>
      <c r="CO700" t="str">
        <f>""</f>
        <v/>
      </c>
      <c r="CP700" t="str">
        <f>""</f>
        <v/>
      </c>
      <c r="CQ700" t="str">
        <f>""</f>
        <v/>
      </c>
      <c r="CR700" t="str">
        <f>""</f>
        <v/>
      </c>
      <c r="CS700" t="str">
        <f>""</f>
        <v/>
      </c>
      <c r="CT700" t="str">
        <f>""</f>
        <v/>
      </c>
      <c r="CU700" t="str">
        <f>""</f>
        <v/>
      </c>
      <c r="CV700" t="str">
        <f>""</f>
        <v/>
      </c>
      <c r="CW700" t="str">
        <f>""</f>
        <v/>
      </c>
      <c r="CX700" t="str">
        <f>""</f>
        <v/>
      </c>
      <c r="CY700" t="str">
        <f>""</f>
        <v/>
      </c>
      <c r="CZ700" t="str">
        <f>""</f>
        <v/>
      </c>
      <c r="DA700" t="str">
        <f>""</f>
        <v/>
      </c>
      <c r="DB700" t="str">
        <f>""</f>
        <v/>
      </c>
      <c r="DC700" t="str">
        <f>""</f>
        <v/>
      </c>
      <c r="DD700" t="str">
        <f>""</f>
        <v/>
      </c>
      <c r="DE700" t="str">
        <f>""</f>
        <v/>
      </c>
      <c r="DF700" t="str">
        <f>""</f>
        <v/>
      </c>
      <c r="DG700" t="str">
        <f>""</f>
        <v/>
      </c>
      <c r="DH700" t="str">
        <f>""</f>
        <v/>
      </c>
      <c r="DI700" t="str">
        <f>""</f>
        <v/>
      </c>
      <c r="DJ700" t="str">
        <f>""</f>
        <v/>
      </c>
      <c r="DK700" t="str">
        <f>""</f>
        <v/>
      </c>
      <c r="DL700" t="str">
        <f>""</f>
        <v/>
      </c>
      <c r="DM700" t="str">
        <f>""</f>
        <v/>
      </c>
      <c r="DN700" t="str">
        <f>""</f>
        <v/>
      </c>
      <c r="DO700" t="str">
        <f>""</f>
        <v/>
      </c>
      <c r="DP700" t="str">
        <f>""</f>
        <v/>
      </c>
      <c r="DQ700" t="str">
        <f>""</f>
        <v/>
      </c>
      <c r="DR700" t="str">
        <f>""</f>
        <v/>
      </c>
      <c r="DS700" t="str">
        <f>""</f>
        <v/>
      </c>
      <c r="DT700" t="str">
        <f>""</f>
        <v/>
      </c>
      <c r="DU700" t="str">
        <f>""</f>
        <v/>
      </c>
    </row>
    <row r="701" spans="1:125" x14ac:dyDescent="0.25">
      <c r="A701" t="str">
        <f>$A$196</f>
        <v xml:space="preserve">    Sanyang Motor Co Ltd</v>
      </c>
      <c r="B701" t="str">
        <f>$B$196</f>
        <v>2206 TT Equity</v>
      </c>
      <c r="C701" t="str">
        <f>$C$196</f>
        <v>RR800</v>
      </c>
      <c r="D701" t="str">
        <f>$D$196</f>
        <v>TRAIL_12M_NET_SALES</v>
      </c>
      <c r="E701" t="str">
        <f>$E$196</f>
        <v>Dynamic</v>
      </c>
      <c r="F701" t="str">
        <f ca="1">_xll.BDH($B$196,$C$196,$B$509,$B$510,CONCATENATE("Per=",$B$507),"Dts=H","Dir=H",CONCATENATE("Points=",$B$508),"Sort=R","Days=A","Fill=B",CONCATENATE("FX=", $B$506) )</f>
        <v>#N/A Connection</v>
      </c>
      <c r="BN701" t="str">
        <f>""</f>
        <v/>
      </c>
      <c r="BO701" t="str">
        <f>""</f>
        <v/>
      </c>
      <c r="BP701" t="str">
        <f>""</f>
        <v/>
      </c>
      <c r="BQ701" t="str">
        <f>""</f>
        <v/>
      </c>
      <c r="BR701" t="str">
        <f>""</f>
        <v/>
      </c>
      <c r="BS701" t="str">
        <f>""</f>
        <v/>
      </c>
      <c r="BT701" t="str">
        <f>""</f>
        <v/>
      </c>
      <c r="BU701" t="str">
        <f>""</f>
        <v/>
      </c>
      <c r="BV701" t="str">
        <f>""</f>
        <v/>
      </c>
      <c r="BW701" t="str">
        <f>""</f>
        <v/>
      </c>
      <c r="BX701" t="str">
        <f>""</f>
        <v/>
      </c>
      <c r="BY701" t="str">
        <f>""</f>
        <v/>
      </c>
      <c r="BZ701" t="str">
        <f>""</f>
        <v/>
      </c>
      <c r="CA701" t="str">
        <f>""</f>
        <v/>
      </c>
      <c r="CB701" t="str">
        <f>""</f>
        <v/>
      </c>
      <c r="CC701" t="str">
        <f>""</f>
        <v/>
      </c>
      <c r="CD701" t="str">
        <f>""</f>
        <v/>
      </c>
      <c r="CE701" t="str">
        <f>""</f>
        <v/>
      </c>
      <c r="CF701" t="str">
        <f>""</f>
        <v/>
      </c>
      <c r="CG701" t="str">
        <f>""</f>
        <v/>
      </c>
      <c r="CH701" t="str">
        <f>""</f>
        <v/>
      </c>
      <c r="CI701" t="str">
        <f>""</f>
        <v/>
      </c>
      <c r="CJ701" t="str">
        <f>""</f>
        <v/>
      </c>
      <c r="CK701" t="str">
        <f>""</f>
        <v/>
      </c>
      <c r="CL701" t="str">
        <f>""</f>
        <v/>
      </c>
      <c r="CM701" t="str">
        <f>""</f>
        <v/>
      </c>
      <c r="CN701" t="str">
        <f>""</f>
        <v/>
      </c>
      <c r="CO701" t="str">
        <f>""</f>
        <v/>
      </c>
      <c r="CP701" t="str">
        <f>""</f>
        <v/>
      </c>
      <c r="CQ701" t="str">
        <f>""</f>
        <v/>
      </c>
      <c r="CR701" t="str">
        <f>""</f>
        <v/>
      </c>
      <c r="CS701" t="str">
        <f>""</f>
        <v/>
      </c>
      <c r="CT701" t="str">
        <f>""</f>
        <v/>
      </c>
      <c r="CU701" t="str">
        <f>""</f>
        <v/>
      </c>
      <c r="CV701" t="str">
        <f>""</f>
        <v/>
      </c>
      <c r="CW701" t="str">
        <f>""</f>
        <v/>
      </c>
      <c r="CX701" t="str">
        <f>""</f>
        <v/>
      </c>
      <c r="CY701" t="str">
        <f>""</f>
        <v/>
      </c>
      <c r="CZ701" t="str">
        <f>""</f>
        <v/>
      </c>
      <c r="DA701" t="str">
        <f>""</f>
        <v/>
      </c>
      <c r="DB701" t="str">
        <f>""</f>
        <v/>
      </c>
      <c r="DC701" t="str">
        <f>""</f>
        <v/>
      </c>
      <c r="DD701" t="str">
        <f>""</f>
        <v/>
      </c>
      <c r="DE701" t="str">
        <f>""</f>
        <v/>
      </c>
      <c r="DF701" t="str">
        <f>""</f>
        <v/>
      </c>
      <c r="DG701" t="str">
        <f>""</f>
        <v/>
      </c>
      <c r="DH701" t="str">
        <f>""</f>
        <v/>
      </c>
      <c r="DI701" t="str">
        <f>""</f>
        <v/>
      </c>
      <c r="DJ701" t="str">
        <f>""</f>
        <v/>
      </c>
      <c r="DK701" t="str">
        <f>""</f>
        <v/>
      </c>
      <c r="DL701" t="str">
        <f>""</f>
        <v/>
      </c>
      <c r="DM701" t="str">
        <f>""</f>
        <v/>
      </c>
      <c r="DN701" t="str">
        <f>""</f>
        <v/>
      </c>
      <c r="DO701" t="str">
        <f>""</f>
        <v/>
      </c>
      <c r="DP701" t="str">
        <f>""</f>
        <v/>
      </c>
      <c r="DQ701" t="str">
        <f>""</f>
        <v/>
      </c>
      <c r="DR701" t="str">
        <f>""</f>
        <v/>
      </c>
      <c r="DS701" t="str">
        <f>""</f>
        <v/>
      </c>
      <c r="DT701" t="str">
        <f>""</f>
        <v/>
      </c>
      <c r="DU701" t="str">
        <f>""</f>
        <v/>
      </c>
    </row>
    <row r="702" spans="1:125" x14ac:dyDescent="0.25">
      <c r="A702" t="str">
        <f>$A$197</f>
        <v xml:space="preserve">    Sollers PJSC</v>
      </c>
      <c r="B702" t="str">
        <f>$B$197</f>
        <v>SVAV RM Equity</v>
      </c>
      <c r="C702" t="str">
        <f>$C$197</f>
        <v>RR800</v>
      </c>
      <c r="D702" t="str">
        <f>$D$197</f>
        <v>TRAIL_12M_NET_SALES</v>
      </c>
      <c r="E702" t="str">
        <f>$E$197</f>
        <v>Dynamic</v>
      </c>
      <c r="F702" t="str">
        <f ca="1">_xll.BDH($B$197,$C$197,$B$509,$B$510,CONCATENATE("Per=",$B$507),"Dts=H","Dir=H",CONCATENATE("Points=",$B$508),"Sort=R","Days=A","Fill=B",CONCATENATE("FX=", $B$506) )</f>
        <v>#N/A Connection</v>
      </c>
      <c r="BN702" t="str">
        <f>""</f>
        <v/>
      </c>
      <c r="BO702" t="str">
        <f>""</f>
        <v/>
      </c>
      <c r="BP702" t="str">
        <f>""</f>
        <v/>
      </c>
      <c r="BQ702" t="str">
        <f>""</f>
        <v/>
      </c>
      <c r="BR702" t="str">
        <f>""</f>
        <v/>
      </c>
      <c r="BS702" t="str">
        <f>""</f>
        <v/>
      </c>
      <c r="BT702" t="str">
        <f>""</f>
        <v/>
      </c>
      <c r="BU702" t="str">
        <f>""</f>
        <v/>
      </c>
      <c r="BV702" t="str">
        <f>""</f>
        <v/>
      </c>
      <c r="BW702" t="str">
        <f>""</f>
        <v/>
      </c>
      <c r="BX702" t="str">
        <f>""</f>
        <v/>
      </c>
      <c r="BY702" t="str">
        <f>""</f>
        <v/>
      </c>
      <c r="BZ702" t="str">
        <f>""</f>
        <v/>
      </c>
      <c r="CA702" t="str">
        <f>""</f>
        <v/>
      </c>
      <c r="CB702" t="str">
        <f>""</f>
        <v/>
      </c>
      <c r="CC702" t="str">
        <f>""</f>
        <v/>
      </c>
      <c r="CD702" t="str">
        <f>""</f>
        <v/>
      </c>
      <c r="CE702" t="str">
        <f>""</f>
        <v/>
      </c>
      <c r="CF702" t="str">
        <f>""</f>
        <v/>
      </c>
      <c r="CG702" t="str">
        <f>""</f>
        <v/>
      </c>
      <c r="CH702" t="str">
        <f>""</f>
        <v/>
      </c>
      <c r="CI702" t="str">
        <f>""</f>
        <v/>
      </c>
      <c r="CJ702" t="str">
        <f>""</f>
        <v/>
      </c>
      <c r="CK702" t="str">
        <f>""</f>
        <v/>
      </c>
      <c r="CL702" t="str">
        <f>""</f>
        <v/>
      </c>
      <c r="CM702" t="str">
        <f>""</f>
        <v/>
      </c>
      <c r="CN702" t="str">
        <f>""</f>
        <v/>
      </c>
      <c r="CO702" t="str">
        <f>""</f>
        <v/>
      </c>
      <c r="CP702" t="str">
        <f>""</f>
        <v/>
      </c>
      <c r="CQ702" t="str">
        <f>""</f>
        <v/>
      </c>
      <c r="CR702" t="str">
        <f>""</f>
        <v/>
      </c>
      <c r="CS702" t="str">
        <f>""</f>
        <v/>
      </c>
      <c r="CT702" t="str">
        <f>""</f>
        <v/>
      </c>
      <c r="CU702" t="str">
        <f>""</f>
        <v/>
      </c>
      <c r="CV702" t="str">
        <f>""</f>
        <v/>
      </c>
      <c r="CW702" t="str">
        <f>""</f>
        <v/>
      </c>
      <c r="CX702" t="str">
        <f>""</f>
        <v/>
      </c>
      <c r="CY702" t="str">
        <f>""</f>
        <v/>
      </c>
      <c r="CZ702" t="str">
        <f>""</f>
        <v/>
      </c>
      <c r="DA702" t="str">
        <f>""</f>
        <v/>
      </c>
      <c r="DB702" t="str">
        <f>""</f>
        <v/>
      </c>
      <c r="DC702" t="str">
        <f>""</f>
        <v/>
      </c>
      <c r="DD702" t="str">
        <f>""</f>
        <v/>
      </c>
      <c r="DE702" t="str">
        <f>""</f>
        <v/>
      </c>
      <c r="DF702" t="str">
        <f>""</f>
        <v/>
      </c>
      <c r="DG702" t="str">
        <f>""</f>
        <v/>
      </c>
      <c r="DH702" t="str">
        <f>""</f>
        <v/>
      </c>
      <c r="DI702" t="str">
        <f>""</f>
        <v/>
      </c>
      <c r="DJ702" t="str">
        <f>""</f>
        <v/>
      </c>
      <c r="DK702" t="str">
        <f>""</f>
        <v/>
      </c>
      <c r="DL702" t="str">
        <f>""</f>
        <v/>
      </c>
      <c r="DM702" t="str">
        <f>""</f>
        <v/>
      </c>
      <c r="DN702" t="str">
        <f>""</f>
        <v/>
      </c>
      <c r="DO702" t="str">
        <f>""</f>
        <v/>
      </c>
      <c r="DP702" t="str">
        <f>""</f>
        <v/>
      </c>
      <c r="DQ702" t="str">
        <f>""</f>
        <v/>
      </c>
      <c r="DR702" t="str">
        <f>""</f>
        <v/>
      </c>
      <c r="DS702" t="str">
        <f>""</f>
        <v/>
      </c>
      <c r="DT702" t="str">
        <f>""</f>
        <v/>
      </c>
      <c r="DU702" t="str">
        <f>""</f>
        <v/>
      </c>
    </row>
    <row r="703" spans="1:125" x14ac:dyDescent="0.25">
      <c r="A703" t="str">
        <f>$A$198</f>
        <v xml:space="preserve">    Ssangyong Motor Co</v>
      </c>
      <c r="B703" t="str">
        <f>$B$198</f>
        <v>003620 KS Equity</v>
      </c>
      <c r="C703" t="str">
        <f>$C$198</f>
        <v>RR800</v>
      </c>
      <c r="D703" t="str">
        <f>$D$198</f>
        <v>TRAIL_12M_NET_SALES</v>
      </c>
      <c r="E703" t="str">
        <f>$E$198</f>
        <v>Dynamic</v>
      </c>
      <c r="F703" t="str">
        <f ca="1">_xll.BDH($B$198,$C$198,$B$509,$B$510,CONCATENATE("Per=",$B$507),"Dts=H","Dir=H",CONCATENATE("Points=",$B$508),"Sort=R","Days=A","Fill=B",CONCATENATE("FX=", $B$506) )</f>
        <v>#N/A Connection</v>
      </c>
      <c r="BN703" t="str">
        <f>""</f>
        <v/>
      </c>
      <c r="BO703" t="str">
        <f>""</f>
        <v/>
      </c>
      <c r="BP703" t="str">
        <f>""</f>
        <v/>
      </c>
      <c r="BQ703" t="str">
        <f>""</f>
        <v/>
      </c>
      <c r="BR703" t="str">
        <f>""</f>
        <v/>
      </c>
      <c r="BS703" t="str">
        <f>""</f>
        <v/>
      </c>
      <c r="BT703" t="str">
        <f>""</f>
        <v/>
      </c>
      <c r="BU703" t="str">
        <f>""</f>
        <v/>
      </c>
      <c r="BV703" t="str">
        <f>""</f>
        <v/>
      </c>
      <c r="BW703" t="str">
        <f>""</f>
        <v/>
      </c>
      <c r="BX703" t="str">
        <f>""</f>
        <v/>
      </c>
      <c r="BY703" t="str">
        <f>""</f>
        <v/>
      </c>
      <c r="BZ703" t="str">
        <f>""</f>
        <v/>
      </c>
      <c r="CA703" t="str">
        <f>""</f>
        <v/>
      </c>
      <c r="CB703" t="str">
        <f>""</f>
        <v/>
      </c>
      <c r="CC703" t="str">
        <f>""</f>
        <v/>
      </c>
      <c r="CD703" t="str">
        <f>""</f>
        <v/>
      </c>
      <c r="CE703" t="str">
        <f>""</f>
        <v/>
      </c>
      <c r="CF703" t="str">
        <f>""</f>
        <v/>
      </c>
      <c r="CG703" t="str">
        <f>""</f>
        <v/>
      </c>
      <c r="CH703" t="str">
        <f>""</f>
        <v/>
      </c>
      <c r="CI703" t="str">
        <f>""</f>
        <v/>
      </c>
      <c r="CJ703" t="str">
        <f>""</f>
        <v/>
      </c>
      <c r="CK703" t="str">
        <f>""</f>
        <v/>
      </c>
      <c r="CL703" t="str">
        <f>""</f>
        <v/>
      </c>
      <c r="CM703" t="str">
        <f>""</f>
        <v/>
      </c>
      <c r="CN703" t="str">
        <f>""</f>
        <v/>
      </c>
      <c r="CO703" t="str">
        <f>""</f>
        <v/>
      </c>
      <c r="CP703" t="str">
        <f>""</f>
        <v/>
      </c>
      <c r="CQ703" t="str">
        <f>""</f>
        <v/>
      </c>
      <c r="CR703" t="str">
        <f>""</f>
        <v/>
      </c>
      <c r="CS703" t="str">
        <f>""</f>
        <v/>
      </c>
      <c r="CT703" t="str">
        <f>""</f>
        <v/>
      </c>
      <c r="CU703" t="str">
        <f>""</f>
        <v/>
      </c>
      <c r="CV703" t="str">
        <f>""</f>
        <v/>
      </c>
      <c r="CW703" t="str">
        <f>""</f>
        <v/>
      </c>
      <c r="CX703" t="str">
        <f>""</f>
        <v/>
      </c>
      <c r="CY703" t="str">
        <f>""</f>
        <v/>
      </c>
      <c r="CZ703" t="str">
        <f>""</f>
        <v/>
      </c>
      <c r="DA703" t="str">
        <f>""</f>
        <v/>
      </c>
      <c r="DB703" t="str">
        <f>""</f>
        <v/>
      </c>
      <c r="DC703" t="str">
        <f>""</f>
        <v/>
      </c>
      <c r="DD703" t="str">
        <f>""</f>
        <v/>
      </c>
      <c r="DE703" t="str">
        <f>""</f>
        <v/>
      </c>
      <c r="DF703" t="str">
        <f>""</f>
        <v/>
      </c>
      <c r="DG703" t="str">
        <f>""</f>
        <v/>
      </c>
      <c r="DH703" t="str">
        <f>""</f>
        <v/>
      </c>
      <c r="DI703" t="str">
        <f>""</f>
        <v/>
      </c>
      <c r="DJ703" t="str">
        <f>""</f>
        <v/>
      </c>
      <c r="DK703" t="str">
        <f>""</f>
        <v/>
      </c>
      <c r="DL703" t="str">
        <f>""</f>
        <v/>
      </c>
      <c r="DM703" t="str">
        <f>""</f>
        <v/>
      </c>
      <c r="DN703" t="str">
        <f>""</f>
        <v/>
      </c>
      <c r="DO703" t="str">
        <f>""</f>
        <v/>
      </c>
      <c r="DP703" t="str">
        <f>""</f>
        <v/>
      </c>
      <c r="DQ703" t="str">
        <f>""</f>
        <v/>
      </c>
      <c r="DR703" t="str">
        <f>""</f>
        <v/>
      </c>
      <c r="DS703" t="str">
        <f>""</f>
        <v/>
      </c>
      <c r="DT703" t="str">
        <f>""</f>
        <v/>
      </c>
      <c r="DU703" t="str">
        <f>""</f>
        <v/>
      </c>
    </row>
    <row r="704" spans="1:125" x14ac:dyDescent="0.25">
      <c r="A704" t="str">
        <f>$A$199</f>
        <v xml:space="preserve">    Subaru Corp</v>
      </c>
      <c r="B704" t="str">
        <f>$B$199</f>
        <v>7270 JP Equity</v>
      </c>
      <c r="C704" t="str">
        <f>$C$199</f>
        <v>RR800</v>
      </c>
      <c r="D704" t="str">
        <f>$D$199</f>
        <v>TRAIL_12M_NET_SALES</v>
      </c>
      <c r="E704" t="str">
        <f>$E$199</f>
        <v>Dynamic</v>
      </c>
      <c r="F704" t="str">
        <f ca="1">_xll.BDH($B$199,$C$199,$B$509,$B$510,CONCATENATE("Per=",$B$507),"Dts=H","Dir=H",CONCATENATE("Points=",$B$508),"Sort=R","Days=A","Fill=B",CONCATENATE("FX=", $B$506) )</f>
        <v>#N/A Connection</v>
      </c>
      <c r="BN704" t="str">
        <f>""</f>
        <v/>
      </c>
      <c r="BO704" t="str">
        <f>""</f>
        <v/>
      </c>
      <c r="BP704" t="str">
        <f>""</f>
        <v/>
      </c>
      <c r="BQ704" t="str">
        <f>""</f>
        <v/>
      </c>
      <c r="BR704" t="str">
        <f>""</f>
        <v/>
      </c>
      <c r="BS704" t="str">
        <f>""</f>
        <v/>
      </c>
      <c r="BT704" t="str">
        <f>""</f>
        <v/>
      </c>
      <c r="BU704" t="str">
        <f>""</f>
        <v/>
      </c>
      <c r="BV704" t="str">
        <f>""</f>
        <v/>
      </c>
      <c r="BW704" t="str">
        <f>""</f>
        <v/>
      </c>
      <c r="BX704" t="str">
        <f>""</f>
        <v/>
      </c>
      <c r="BY704" t="str">
        <f>""</f>
        <v/>
      </c>
      <c r="BZ704" t="str">
        <f>""</f>
        <v/>
      </c>
      <c r="CA704" t="str">
        <f>""</f>
        <v/>
      </c>
      <c r="CB704" t="str">
        <f>""</f>
        <v/>
      </c>
      <c r="CC704" t="str">
        <f>""</f>
        <v/>
      </c>
      <c r="CD704" t="str">
        <f>""</f>
        <v/>
      </c>
      <c r="CE704" t="str">
        <f>""</f>
        <v/>
      </c>
      <c r="CF704" t="str">
        <f>""</f>
        <v/>
      </c>
      <c r="CG704" t="str">
        <f>""</f>
        <v/>
      </c>
      <c r="CH704" t="str">
        <f>""</f>
        <v/>
      </c>
      <c r="CI704" t="str">
        <f>""</f>
        <v/>
      </c>
      <c r="CJ704" t="str">
        <f>""</f>
        <v/>
      </c>
      <c r="CK704" t="str">
        <f>""</f>
        <v/>
      </c>
      <c r="CL704" t="str">
        <f>""</f>
        <v/>
      </c>
      <c r="CM704" t="str">
        <f>""</f>
        <v/>
      </c>
      <c r="CN704" t="str">
        <f>""</f>
        <v/>
      </c>
      <c r="CO704" t="str">
        <f>""</f>
        <v/>
      </c>
      <c r="CP704" t="str">
        <f>""</f>
        <v/>
      </c>
      <c r="CQ704" t="str">
        <f>""</f>
        <v/>
      </c>
      <c r="CR704" t="str">
        <f>""</f>
        <v/>
      </c>
      <c r="CS704" t="str">
        <f>""</f>
        <v/>
      </c>
      <c r="CT704" t="str">
        <f>""</f>
        <v/>
      </c>
      <c r="CU704" t="str">
        <f>""</f>
        <v/>
      </c>
      <c r="CV704" t="str">
        <f>""</f>
        <v/>
      </c>
      <c r="CW704" t="str">
        <f>""</f>
        <v/>
      </c>
      <c r="CX704" t="str">
        <f>""</f>
        <v/>
      </c>
      <c r="CY704" t="str">
        <f>""</f>
        <v/>
      </c>
      <c r="CZ704" t="str">
        <f>""</f>
        <v/>
      </c>
      <c r="DA704" t="str">
        <f>""</f>
        <v/>
      </c>
      <c r="DB704" t="str">
        <f>""</f>
        <v/>
      </c>
      <c r="DC704" t="str">
        <f>""</f>
        <v/>
      </c>
      <c r="DD704" t="str">
        <f>""</f>
        <v/>
      </c>
      <c r="DE704" t="str">
        <f>""</f>
        <v/>
      </c>
      <c r="DF704" t="str">
        <f>""</f>
        <v/>
      </c>
      <c r="DG704" t="str">
        <f>""</f>
        <v/>
      </c>
      <c r="DH704" t="str">
        <f>""</f>
        <v/>
      </c>
      <c r="DI704" t="str">
        <f>""</f>
        <v/>
      </c>
      <c r="DJ704" t="str">
        <f>""</f>
        <v/>
      </c>
      <c r="DK704" t="str">
        <f>""</f>
        <v/>
      </c>
      <c r="DL704" t="str">
        <f>""</f>
        <v/>
      </c>
      <c r="DM704" t="str">
        <f>""</f>
        <v/>
      </c>
      <c r="DN704" t="str">
        <f>""</f>
        <v/>
      </c>
      <c r="DO704" t="str">
        <f>""</f>
        <v/>
      </c>
      <c r="DP704" t="str">
        <f>""</f>
        <v/>
      </c>
      <c r="DQ704" t="str">
        <f>""</f>
        <v/>
      </c>
      <c r="DR704" t="str">
        <f>""</f>
        <v/>
      </c>
      <c r="DS704" t="str">
        <f>""</f>
        <v/>
      </c>
      <c r="DT704" t="str">
        <f>""</f>
        <v/>
      </c>
      <c r="DU704" t="str">
        <f>""</f>
        <v/>
      </c>
    </row>
    <row r="705" spans="1:125" x14ac:dyDescent="0.25">
      <c r="A705" t="str">
        <f>$A$200</f>
        <v xml:space="preserve">    Suzuki Motor Corp</v>
      </c>
      <c r="B705" t="str">
        <f>$B$200</f>
        <v>7269 JP Equity</v>
      </c>
      <c r="C705" t="str">
        <f>$C$200</f>
        <v>RR800</v>
      </c>
      <c r="D705" t="str">
        <f>$D$200</f>
        <v>TRAIL_12M_NET_SALES</v>
      </c>
      <c r="E705" t="str">
        <f>$E$200</f>
        <v>Dynamic</v>
      </c>
      <c r="F705" t="str">
        <f ca="1">_xll.BDH($B$200,$C$200,$B$509,$B$510,CONCATENATE("Per=",$B$507),"Dts=H","Dir=H",CONCATENATE("Points=",$B$508),"Sort=R","Days=A","Fill=B",CONCATENATE("FX=", $B$506) )</f>
        <v>#N/A Connection</v>
      </c>
      <c r="BN705" t="str">
        <f>""</f>
        <v/>
      </c>
      <c r="BO705" t="str">
        <f>""</f>
        <v/>
      </c>
      <c r="BP705" t="str">
        <f>""</f>
        <v/>
      </c>
      <c r="BQ705" t="str">
        <f>""</f>
        <v/>
      </c>
      <c r="BR705" t="str">
        <f>""</f>
        <v/>
      </c>
      <c r="BS705" t="str">
        <f>""</f>
        <v/>
      </c>
      <c r="BT705" t="str">
        <f>""</f>
        <v/>
      </c>
      <c r="BU705" t="str">
        <f>""</f>
        <v/>
      </c>
      <c r="BV705" t="str">
        <f>""</f>
        <v/>
      </c>
      <c r="BW705" t="str">
        <f>""</f>
        <v/>
      </c>
      <c r="BX705" t="str">
        <f>""</f>
        <v/>
      </c>
      <c r="BY705" t="str">
        <f>""</f>
        <v/>
      </c>
      <c r="BZ705" t="str">
        <f>""</f>
        <v/>
      </c>
      <c r="CA705" t="str">
        <f>""</f>
        <v/>
      </c>
      <c r="CB705" t="str">
        <f>""</f>
        <v/>
      </c>
      <c r="CC705" t="str">
        <f>""</f>
        <v/>
      </c>
      <c r="CD705" t="str">
        <f>""</f>
        <v/>
      </c>
      <c r="CE705" t="str">
        <f>""</f>
        <v/>
      </c>
      <c r="CF705" t="str">
        <f>""</f>
        <v/>
      </c>
      <c r="CG705" t="str">
        <f>""</f>
        <v/>
      </c>
      <c r="CH705" t="str">
        <f>""</f>
        <v/>
      </c>
      <c r="CI705" t="str">
        <f>""</f>
        <v/>
      </c>
      <c r="CJ705" t="str">
        <f>""</f>
        <v/>
      </c>
      <c r="CK705" t="str">
        <f>""</f>
        <v/>
      </c>
      <c r="CL705" t="str">
        <f>""</f>
        <v/>
      </c>
      <c r="CM705" t="str">
        <f>""</f>
        <v/>
      </c>
      <c r="CN705" t="str">
        <f>""</f>
        <v/>
      </c>
      <c r="CO705" t="str">
        <f>""</f>
        <v/>
      </c>
      <c r="CP705" t="str">
        <f>""</f>
        <v/>
      </c>
      <c r="CQ705" t="str">
        <f>""</f>
        <v/>
      </c>
      <c r="CR705" t="str">
        <f>""</f>
        <v/>
      </c>
      <c r="CS705" t="str">
        <f>""</f>
        <v/>
      </c>
      <c r="CT705" t="str">
        <f>""</f>
        <v/>
      </c>
      <c r="CU705" t="str">
        <f>""</f>
        <v/>
      </c>
      <c r="CV705" t="str">
        <f>""</f>
        <v/>
      </c>
      <c r="CW705" t="str">
        <f>""</f>
        <v/>
      </c>
      <c r="CX705" t="str">
        <f>""</f>
        <v/>
      </c>
      <c r="CY705" t="str">
        <f>""</f>
        <v/>
      </c>
      <c r="CZ705" t="str">
        <f>""</f>
        <v/>
      </c>
      <c r="DA705" t="str">
        <f>""</f>
        <v/>
      </c>
      <c r="DB705" t="str">
        <f>""</f>
        <v/>
      </c>
      <c r="DC705" t="str">
        <f>""</f>
        <v/>
      </c>
      <c r="DD705" t="str">
        <f>""</f>
        <v/>
      </c>
      <c r="DE705" t="str">
        <f>""</f>
        <v/>
      </c>
      <c r="DF705" t="str">
        <f>""</f>
        <v/>
      </c>
      <c r="DG705" t="str">
        <f>""</f>
        <v/>
      </c>
      <c r="DH705" t="str">
        <f>""</f>
        <v/>
      </c>
      <c r="DI705" t="str">
        <f>""</f>
        <v/>
      </c>
      <c r="DJ705" t="str">
        <f>""</f>
        <v/>
      </c>
      <c r="DK705" t="str">
        <f>""</f>
        <v/>
      </c>
      <c r="DL705" t="str">
        <f>""</f>
        <v/>
      </c>
      <c r="DM705" t="str">
        <f>""</f>
        <v/>
      </c>
      <c r="DN705" t="str">
        <f>""</f>
        <v/>
      </c>
      <c r="DO705" t="str">
        <f>""</f>
        <v/>
      </c>
      <c r="DP705" t="str">
        <f>""</f>
        <v/>
      </c>
      <c r="DQ705" t="str">
        <f>""</f>
        <v/>
      </c>
      <c r="DR705" t="str">
        <f>""</f>
        <v/>
      </c>
      <c r="DS705" t="str">
        <f>""</f>
        <v/>
      </c>
      <c r="DT705" t="str">
        <f>""</f>
        <v/>
      </c>
      <c r="DU705" t="str">
        <f>""</f>
        <v/>
      </c>
    </row>
    <row r="706" spans="1:125" x14ac:dyDescent="0.25">
      <c r="A706" t="str">
        <f>$A$201</f>
        <v xml:space="preserve">    Tata Motors Ltd</v>
      </c>
      <c r="B706" t="str">
        <f>$B$201</f>
        <v>TTMT IN Equity</v>
      </c>
      <c r="C706" t="str">
        <f>$C$201</f>
        <v>RR800</v>
      </c>
      <c r="D706" t="str">
        <f>$D$201</f>
        <v>TRAIL_12M_NET_SALES</v>
      </c>
      <c r="E706" t="str">
        <f>$E$201</f>
        <v>Dynamic</v>
      </c>
      <c r="F706" t="str">
        <f ca="1">_xll.BDH($B$201,$C$201,$B$509,$B$510,CONCATENATE("Per=",$B$507),"Dts=H","Dir=H",CONCATENATE("Points=",$B$508),"Sort=R","Days=A","Fill=B",CONCATENATE("FX=", $B$506) )</f>
        <v>#N/A Connection</v>
      </c>
      <c r="BN706" t="str">
        <f>""</f>
        <v/>
      </c>
      <c r="BO706" t="str">
        <f>""</f>
        <v/>
      </c>
      <c r="BP706" t="str">
        <f>""</f>
        <v/>
      </c>
      <c r="BQ706" t="str">
        <f>""</f>
        <v/>
      </c>
      <c r="BR706" t="str">
        <f>""</f>
        <v/>
      </c>
      <c r="BS706" t="str">
        <f>""</f>
        <v/>
      </c>
      <c r="BT706" t="str">
        <f>""</f>
        <v/>
      </c>
      <c r="BU706" t="str">
        <f>""</f>
        <v/>
      </c>
      <c r="BV706" t="str">
        <f>""</f>
        <v/>
      </c>
      <c r="BW706" t="str">
        <f>""</f>
        <v/>
      </c>
      <c r="BX706" t="str">
        <f>""</f>
        <v/>
      </c>
      <c r="BY706" t="str">
        <f>""</f>
        <v/>
      </c>
      <c r="BZ706" t="str">
        <f>""</f>
        <v/>
      </c>
      <c r="CA706" t="str">
        <f>""</f>
        <v/>
      </c>
      <c r="CB706" t="str">
        <f>""</f>
        <v/>
      </c>
      <c r="CC706" t="str">
        <f>""</f>
        <v/>
      </c>
      <c r="CD706" t="str">
        <f>""</f>
        <v/>
      </c>
      <c r="CE706" t="str">
        <f>""</f>
        <v/>
      </c>
      <c r="CF706" t="str">
        <f>""</f>
        <v/>
      </c>
      <c r="CG706" t="str">
        <f>""</f>
        <v/>
      </c>
      <c r="CH706" t="str">
        <f>""</f>
        <v/>
      </c>
      <c r="CI706" t="str">
        <f>""</f>
        <v/>
      </c>
      <c r="CJ706" t="str">
        <f>""</f>
        <v/>
      </c>
      <c r="CK706" t="str">
        <f>""</f>
        <v/>
      </c>
      <c r="CL706" t="str">
        <f>""</f>
        <v/>
      </c>
      <c r="CM706" t="str">
        <f>""</f>
        <v/>
      </c>
      <c r="CN706" t="str">
        <f>""</f>
        <v/>
      </c>
      <c r="CO706" t="str">
        <f>""</f>
        <v/>
      </c>
      <c r="CP706" t="str">
        <f>""</f>
        <v/>
      </c>
      <c r="CQ706" t="str">
        <f>""</f>
        <v/>
      </c>
      <c r="CR706" t="str">
        <f>""</f>
        <v/>
      </c>
      <c r="CS706" t="str">
        <f>""</f>
        <v/>
      </c>
      <c r="CT706" t="str">
        <f>""</f>
        <v/>
      </c>
      <c r="CU706" t="str">
        <f>""</f>
        <v/>
      </c>
      <c r="CV706" t="str">
        <f>""</f>
        <v/>
      </c>
      <c r="CW706" t="str">
        <f>""</f>
        <v/>
      </c>
      <c r="CX706" t="str">
        <f>""</f>
        <v/>
      </c>
      <c r="CY706" t="str">
        <f>""</f>
        <v/>
      </c>
      <c r="CZ706" t="str">
        <f>""</f>
        <v/>
      </c>
      <c r="DA706" t="str">
        <f>""</f>
        <v/>
      </c>
      <c r="DB706" t="str">
        <f>""</f>
        <v/>
      </c>
      <c r="DC706" t="str">
        <f>""</f>
        <v/>
      </c>
      <c r="DD706" t="str">
        <f>""</f>
        <v/>
      </c>
      <c r="DE706" t="str">
        <f>""</f>
        <v/>
      </c>
      <c r="DF706" t="str">
        <f>""</f>
        <v/>
      </c>
      <c r="DG706" t="str">
        <f>""</f>
        <v/>
      </c>
      <c r="DH706" t="str">
        <f>""</f>
        <v/>
      </c>
      <c r="DI706" t="str">
        <f>""</f>
        <v/>
      </c>
      <c r="DJ706" t="str">
        <f>""</f>
        <v/>
      </c>
      <c r="DK706" t="str">
        <f>""</f>
        <v/>
      </c>
      <c r="DL706" t="str">
        <f>""</f>
        <v/>
      </c>
      <c r="DM706" t="str">
        <f>""</f>
        <v/>
      </c>
      <c r="DN706" t="str">
        <f>""</f>
        <v/>
      </c>
      <c r="DO706" t="str">
        <f>""</f>
        <v/>
      </c>
      <c r="DP706" t="str">
        <f>""</f>
        <v/>
      </c>
      <c r="DQ706" t="str">
        <f>""</f>
        <v/>
      </c>
      <c r="DR706" t="str">
        <f>""</f>
        <v/>
      </c>
      <c r="DS706" t="str">
        <f>""</f>
        <v/>
      </c>
      <c r="DT706" t="str">
        <f>""</f>
        <v/>
      </c>
      <c r="DU706" t="str">
        <f>""</f>
        <v/>
      </c>
    </row>
    <row r="707" spans="1:125" x14ac:dyDescent="0.25">
      <c r="A707" t="str">
        <f>$A$202</f>
        <v xml:space="preserve">    Tesla Inc</v>
      </c>
      <c r="B707" t="str">
        <f>$B$202</f>
        <v>TSLA US Equity</v>
      </c>
      <c r="C707" t="str">
        <f>$C$202</f>
        <v>RR800</v>
      </c>
      <c r="D707" t="str">
        <f>$D$202</f>
        <v>TRAIL_12M_NET_SALES</v>
      </c>
      <c r="E707" t="str">
        <f>$E$202</f>
        <v>Dynamic</v>
      </c>
      <c r="F707" t="str">
        <f ca="1">_xll.BDH($B$202,$C$202,$B$509,$B$510,CONCATENATE("Per=",$B$507),"Dts=H","Dir=H",CONCATENATE("Points=",$B$508),"Sort=R","Days=A","Fill=B",CONCATENATE("FX=", $B$506) )</f>
        <v>#N/A Connection</v>
      </c>
      <c r="BN707" t="str">
        <f>""</f>
        <v/>
      </c>
      <c r="BO707" t="str">
        <f>""</f>
        <v/>
      </c>
      <c r="BP707" t="str">
        <f>""</f>
        <v/>
      </c>
      <c r="BQ707" t="str">
        <f>""</f>
        <v/>
      </c>
      <c r="BR707" t="str">
        <f>""</f>
        <v/>
      </c>
      <c r="BS707" t="str">
        <f>""</f>
        <v/>
      </c>
      <c r="BT707" t="str">
        <f>""</f>
        <v/>
      </c>
      <c r="BU707" t="str">
        <f>""</f>
        <v/>
      </c>
      <c r="BV707" t="str">
        <f>""</f>
        <v/>
      </c>
      <c r="BW707" t="str">
        <f>""</f>
        <v/>
      </c>
      <c r="BX707" t="str">
        <f>""</f>
        <v/>
      </c>
      <c r="BY707" t="str">
        <f>""</f>
        <v/>
      </c>
      <c r="BZ707" t="str">
        <f>""</f>
        <v/>
      </c>
      <c r="CA707" t="str">
        <f>""</f>
        <v/>
      </c>
      <c r="CB707" t="str">
        <f>""</f>
        <v/>
      </c>
      <c r="CC707" t="str">
        <f>""</f>
        <v/>
      </c>
      <c r="CD707" t="str">
        <f>""</f>
        <v/>
      </c>
      <c r="CE707" t="str">
        <f>""</f>
        <v/>
      </c>
      <c r="CF707" t="str">
        <f>""</f>
        <v/>
      </c>
      <c r="CG707" t="str">
        <f>""</f>
        <v/>
      </c>
      <c r="CH707" t="str">
        <f>""</f>
        <v/>
      </c>
      <c r="CI707" t="str">
        <f>""</f>
        <v/>
      </c>
      <c r="CJ707" t="str">
        <f>""</f>
        <v/>
      </c>
      <c r="CK707" t="str">
        <f>""</f>
        <v/>
      </c>
      <c r="CL707" t="str">
        <f>""</f>
        <v/>
      </c>
      <c r="CM707" t="str">
        <f>""</f>
        <v/>
      </c>
      <c r="CN707" t="str">
        <f>""</f>
        <v/>
      </c>
      <c r="CO707" t="str">
        <f>""</f>
        <v/>
      </c>
      <c r="CP707" t="str">
        <f>""</f>
        <v/>
      </c>
      <c r="CQ707" t="str">
        <f>""</f>
        <v/>
      </c>
      <c r="CR707" t="str">
        <f>""</f>
        <v/>
      </c>
      <c r="CS707" t="str">
        <f>""</f>
        <v/>
      </c>
      <c r="CT707" t="str">
        <f>""</f>
        <v/>
      </c>
      <c r="CU707" t="str">
        <f>""</f>
        <v/>
      </c>
      <c r="CV707" t="str">
        <f>""</f>
        <v/>
      </c>
      <c r="CW707" t="str">
        <f>""</f>
        <v/>
      </c>
      <c r="CX707" t="str">
        <f>""</f>
        <v/>
      </c>
      <c r="CY707" t="str">
        <f>""</f>
        <v/>
      </c>
      <c r="CZ707" t="str">
        <f>""</f>
        <v/>
      </c>
      <c r="DA707" t="str">
        <f>""</f>
        <v/>
      </c>
      <c r="DB707" t="str">
        <f>""</f>
        <v/>
      </c>
      <c r="DC707" t="str">
        <f>""</f>
        <v/>
      </c>
      <c r="DD707" t="str">
        <f>""</f>
        <v/>
      </c>
      <c r="DE707" t="str">
        <f>""</f>
        <v/>
      </c>
      <c r="DF707" t="str">
        <f>""</f>
        <v/>
      </c>
      <c r="DG707" t="str">
        <f>""</f>
        <v/>
      </c>
      <c r="DH707" t="str">
        <f>""</f>
        <v/>
      </c>
      <c r="DI707" t="str">
        <f>""</f>
        <v/>
      </c>
      <c r="DJ707" t="str">
        <f>""</f>
        <v/>
      </c>
      <c r="DK707" t="str">
        <f>""</f>
        <v/>
      </c>
      <c r="DL707" t="str">
        <f>""</f>
        <v/>
      </c>
      <c r="DM707" t="str">
        <f>""</f>
        <v/>
      </c>
      <c r="DN707" t="str">
        <f>""</f>
        <v/>
      </c>
      <c r="DO707" t="str">
        <f>""</f>
        <v/>
      </c>
      <c r="DP707" t="str">
        <f>""</f>
        <v/>
      </c>
      <c r="DQ707" t="str">
        <f>""</f>
        <v/>
      </c>
      <c r="DR707" t="str">
        <f>""</f>
        <v/>
      </c>
      <c r="DS707" t="str">
        <f>""</f>
        <v/>
      </c>
      <c r="DT707" t="str">
        <f>""</f>
        <v/>
      </c>
      <c r="DU707" t="str">
        <f>""</f>
        <v/>
      </c>
    </row>
    <row r="708" spans="1:125" x14ac:dyDescent="0.25">
      <c r="A708" t="str">
        <f>$A$203</f>
        <v xml:space="preserve">    Tianjin Faw Xiali Automobile Co Ltd</v>
      </c>
      <c r="B708" t="str">
        <f>$B$203</f>
        <v>000927 CH Equity</v>
      </c>
      <c r="C708" t="str">
        <f>$C$203</f>
        <v>RR800</v>
      </c>
      <c r="D708" t="str">
        <f>$D$203</f>
        <v>TRAIL_12M_NET_SALES</v>
      </c>
      <c r="E708" t="str">
        <f>$E$203</f>
        <v>Dynamic</v>
      </c>
      <c r="F708" t="str">
        <f ca="1">_xll.BDH($B$203,$C$203,$B$509,$B$510,CONCATENATE("Per=",$B$507),"Dts=H","Dir=H",CONCATENATE("Points=",$B$508),"Sort=R","Days=A","Fill=B",CONCATENATE("FX=", $B$506) )</f>
        <v>#N/A Connection</v>
      </c>
      <c r="BN708" t="str">
        <f>""</f>
        <v/>
      </c>
      <c r="BO708" t="str">
        <f>""</f>
        <v/>
      </c>
      <c r="BP708" t="str">
        <f>""</f>
        <v/>
      </c>
      <c r="BQ708" t="str">
        <f>""</f>
        <v/>
      </c>
      <c r="BR708" t="str">
        <f>""</f>
        <v/>
      </c>
      <c r="BS708" t="str">
        <f>""</f>
        <v/>
      </c>
      <c r="BT708" t="str">
        <f>""</f>
        <v/>
      </c>
      <c r="BU708" t="str">
        <f>""</f>
        <v/>
      </c>
      <c r="BV708" t="str">
        <f>""</f>
        <v/>
      </c>
      <c r="BW708" t="str">
        <f>""</f>
        <v/>
      </c>
      <c r="BX708" t="str">
        <f>""</f>
        <v/>
      </c>
      <c r="BY708" t="str">
        <f>""</f>
        <v/>
      </c>
      <c r="BZ708" t="str">
        <f>""</f>
        <v/>
      </c>
      <c r="CA708" t="str">
        <f>""</f>
        <v/>
      </c>
      <c r="CB708" t="str">
        <f>""</f>
        <v/>
      </c>
      <c r="CC708" t="str">
        <f>""</f>
        <v/>
      </c>
      <c r="CD708" t="str">
        <f>""</f>
        <v/>
      </c>
      <c r="CE708" t="str">
        <f>""</f>
        <v/>
      </c>
      <c r="CF708" t="str">
        <f>""</f>
        <v/>
      </c>
      <c r="CG708" t="str">
        <f>""</f>
        <v/>
      </c>
      <c r="CH708" t="str">
        <f>""</f>
        <v/>
      </c>
      <c r="CI708" t="str">
        <f>""</f>
        <v/>
      </c>
      <c r="CJ708" t="str">
        <f>""</f>
        <v/>
      </c>
      <c r="CK708" t="str">
        <f>""</f>
        <v/>
      </c>
      <c r="CL708" t="str">
        <f>""</f>
        <v/>
      </c>
      <c r="CM708" t="str">
        <f>""</f>
        <v/>
      </c>
      <c r="CN708" t="str">
        <f>""</f>
        <v/>
      </c>
      <c r="CO708" t="str">
        <f>""</f>
        <v/>
      </c>
      <c r="CP708" t="str">
        <f>""</f>
        <v/>
      </c>
      <c r="CQ708" t="str">
        <f>""</f>
        <v/>
      </c>
      <c r="CR708" t="str">
        <f>""</f>
        <v/>
      </c>
      <c r="CS708" t="str">
        <f>""</f>
        <v/>
      </c>
      <c r="CT708" t="str">
        <f>""</f>
        <v/>
      </c>
      <c r="CU708" t="str">
        <f>""</f>
        <v/>
      </c>
      <c r="CV708" t="str">
        <f>""</f>
        <v/>
      </c>
      <c r="CW708" t="str">
        <f>""</f>
        <v/>
      </c>
      <c r="CX708" t="str">
        <f>""</f>
        <v/>
      </c>
      <c r="CY708" t="str">
        <f>""</f>
        <v/>
      </c>
      <c r="CZ708" t="str">
        <f>""</f>
        <v/>
      </c>
      <c r="DA708" t="str">
        <f>""</f>
        <v/>
      </c>
      <c r="DB708" t="str">
        <f>""</f>
        <v/>
      </c>
      <c r="DC708" t="str">
        <f>""</f>
        <v/>
      </c>
      <c r="DD708" t="str">
        <f>""</f>
        <v/>
      </c>
      <c r="DE708" t="str">
        <f>""</f>
        <v/>
      </c>
      <c r="DF708" t="str">
        <f>""</f>
        <v/>
      </c>
      <c r="DG708" t="str">
        <f>""</f>
        <v/>
      </c>
      <c r="DH708" t="str">
        <f>""</f>
        <v/>
      </c>
      <c r="DI708" t="str">
        <f>""</f>
        <v/>
      </c>
      <c r="DJ708" t="str">
        <f>""</f>
        <v/>
      </c>
      <c r="DK708" t="str">
        <f>""</f>
        <v/>
      </c>
      <c r="DL708" t="str">
        <f>""</f>
        <v/>
      </c>
      <c r="DM708" t="str">
        <f>""</f>
        <v/>
      </c>
      <c r="DN708" t="str">
        <f>""</f>
        <v/>
      </c>
      <c r="DO708" t="str">
        <f>""</f>
        <v/>
      </c>
      <c r="DP708" t="str">
        <f>""</f>
        <v/>
      </c>
      <c r="DQ708" t="str">
        <f>""</f>
        <v/>
      </c>
      <c r="DR708" t="str">
        <f>""</f>
        <v/>
      </c>
      <c r="DS708" t="str">
        <f>""</f>
        <v/>
      </c>
      <c r="DT708" t="str">
        <f>""</f>
        <v/>
      </c>
      <c r="DU708" t="str">
        <f>""</f>
        <v/>
      </c>
    </row>
    <row r="709" spans="1:125" x14ac:dyDescent="0.25">
      <c r="A709" t="str">
        <f>$A$204</f>
        <v xml:space="preserve">    Tofas Turk Otomobil Fabrikasi AS</v>
      </c>
      <c r="B709" t="str">
        <f>$B$204</f>
        <v>TOASOTRY EO Equity</v>
      </c>
      <c r="C709" t="str">
        <f>$C$204</f>
        <v>RR800</v>
      </c>
      <c r="D709" t="str">
        <f>$D$204</f>
        <v>TRAIL_12M_NET_SALES</v>
      </c>
      <c r="E709" t="str">
        <f>$E$204</f>
        <v>Dynamic</v>
      </c>
      <c r="F709" t="str">
        <f ca="1">_xll.BDH($B$204,$C$204,$B$509,$B$510,CONCATENATE("Per=",$B$507),"Dts=H","Dir=H",CONCATENATE("Points=",$B$508),"Sort=R","Days=A","Fill=B",CONCATENATE("FX=", $B$506) )</f>
        <v>#N/A Connection</v>
      </c>
      <c r="BN709" t="str">
        <f>""</f>
        <v/>
      </c>
      <c r="BO709" t="str">
        <f>""</f>
        <v/>
      </c>
      <c r="BP709" t="str">
        <f>""</f>
        <v/>
      </c>
      <c r="BQ709" t="str">
        <f>""</f>
        <v/>
      </c>
      <c r="BR709" t="str">
        <f>""</f>
        <v/>
      </c>
      <c r="BS709" t="str">
        <f>""</f>
        <v/>
      </c>
      <c r="BT709" t="str">
        <f>""</f>
        <v/>
      </c>
      <c r="BU709" t="str">
        <f>""</f>
        <v/>
      </c>
      <c r="BV709" t="str">
        <f>""</f>
        <v/>
      </c>
      <c r="BW709" t="str">
        <f>""</f>
        <v/>
      </c>
      <c r="BX709" t="str">
        <f>""</f>
        <v/>
      </c>
      <c r="BY709" t="str">
        <f>""</f>
        <v/>
      </c>
      <c r="BZ709" t="str">
        <f>""</f>
        <v/>
      </c>
      <c r="CA709" t="str">
        <f>""</f>
        <v/>
      </c>
      <c r="CB709" t="str">
        <f>""</f>
        <v/>
      </c>
      <c r="CC709" t="str">
        <f>""</f>
        <v/>
      </c>
      <c r="CD709" t="str">
        <f>""</f>
        <v/>
      </c>
      <c r="CE709" t="str">
        <f>""</f>
        <v/>
      </c>
      <c r="CF709" t="str">
        <f>""</f>
        <v/>
      </c>
      <c r="CG709" t="str">
        <f>""</f>
        <v/>
      </c>
      <c r="CH709" t="str">
        <f>""</f>
        <v/>
      </c>
      <c r="CI709" t="str">
        <f>""</f>
        <v/>
      </c>
      <c r="CJ709" t="str">
        <f>""</f>
        <v/>
      </c>
      <c r="CK709" t="str">
        <f>""</f>
        <v/>
      </c>
      <c r="CL709" t="str">
        <f>""</f>
        <v/>
      </c>
      <c r="CM709" t="str">
        <f>""</f>
        <v/>
      </c>
      <c r="CN709" t="str">
        <f>""</f>
        <v/>
      </c>
      <c r="CO709" t="str">
        <f>""</f>
        <v/>
      </c>
      <c r="CP709" t="str">
        <f>""</f>
        <v/>
      </c>
      <c r="CQ709" t="str">
        <f>""</f>
        <v/>
      </c>
      <c r="CR709" t="str">
        <f>""</f>
        <v/>
      </c>
      <c r="CS709" t="str">
        <f>""</f>
        <v/>
      </c>
      <c r="CT709" t="str">
        <f>""</f>
        <v/>
      </c>
      <c r="CU709" t="str">
        <f>""</f>
        <v/>
      </c>
      <c r="CV709" t="str">
        <f>""</f>
        <v/>
      </c>
      <c r="CW709" t="str">
        <f>""</f>
        <v/>
      </c>
      <c r="CX709" t="str">
        <f>""</f>
        <v/>
      </c>
      <c r="CY709" t="str">
        <f>""</f>
        <v/>
      </c>
      <c r="CZ709" t="str">
        <f>""</f>
        <v/>
      </c>
      <c r="DA709" t="str">
        <f>""</f>
        <v/>
      </c>
      <c r="DB709" t="str">
        <f>""</f>
        <v/>
      </c>
      <c r="DC709" t="str">
        <f>""</f>
        <v/>
      </c>
      <c r="DD709" t="str">
        <f>""</f>
        <v/>
      </c>
      <c r="DE709" t="str">
        <f>""</f>
        <v/>
      </c>
      <c r="DF709" t="str">
        <f>""</f>
        <v/>
      </c>
      <c r="DG709" t="str">
        <f>""</f>
        <v/>
      </c>
      <c r="DH709" t="str">
        <f>""</f>
        <v/>
      </c>
      <c r="DI709" t="str">
        <f>""</f>
        <v/>
      </c>
      <c r="DJ709" t="str">
        <f>""</f>
        <v/>
      </c>
      <c r="DK709" t="str">
        <f>""</f>
        <v/>
      </c>
      <c r="DL709" t="str">
        <f>""</f>
        <v/>
      </c>
      <c r="DM709" t="str">
        <f>""</f>
        <v/>
      </c>
      <c r="DN709" t="str">
        <f>""</f>
        <v/>
      </c>
      <c r="DO709" t="str">
        <f>""</f>
        <v/>
      </c>
      <c r="DP709" t="str">
        <f>""</f>
        <v/>
      </c>
      <c r="DQ709" t="str">
        <f>""</f>
        <v/>
      </c>
      <c r="DR709" t="str">
        <f>""</f>
        <v/>
      </c>
      <c r="DS709" t="str">
        <f>""</f>
        <v/>
      </c>
      <c r="DT709" t="str">
        <f>""</f>
        <v/>
      </c>
      <c r="DU709" t="str">
        <f>""</f>
        <v/>
      </c>
    </row>
    <row r="710" spans="1:125" x14ac:dyDescent="0.25">
      <c r="A710" t="str">
        <f>$A$205</f>
        <v xml:space="preserve">    Toyota Motor Corp</v>
      </c>
      <c r="B710" t="str">
        <f>$B$205</f>
        <v>7203 JP Equity</v>
      </c>
      <c r="C710" t="str">
        <f>$C$205</f>
        <v>RR800</v>
      </c>
      <c r="D710" t="str">
        <f>$D$205</f>
        <v>TRAIL_12M_NET_SALES</v>
      </c>
      <c r="E710" t="str">
        <f>$E$205</f>
        <v>Dynamic</v>
      </c>
      <c r="F710" t="str">
        <f ca="1">_xll.BDH($B$205,$C$205,$B$509,$B$510,CONCATENATE("Per=",$B$507),"Dts=H","Dir=H",CONCATENATE("Points=",$B$508),"Sort=R","Days=A","Fill=B",CONCATENATE("FX=", $B$506) )</f>
        <v>#N/A Connection</v>
      </c>
      <c r="BN710" t="str">
        <f>""</f>
        <v/>
      </c>
      <c r="BO710" t="str">
        <f>""</f>
        <v/>
      </c>
      <c r="BP710" t="str">
        <f>""</f>
        <v/>
      </c>
      <c r="BQ710" t="str">
        <f>""</f>
        <v/>
      </c>
      <c r="BR710" t="str">
        <f>""</f>
        <v/>
      </c>
      <c r="BS710" t="str">
        <f>""</f>
        <v/>
      </c>
      <c r="BT710" t="str">
        <f>""</f>
        <v/>
      </c>
      <c r="BU710" t="str">
        <f>""</f>
        <v/>
      </c>
      <c r="BV710" t="str">
        <f>""</f>
        <v/>
      </c>
      <c r="BW710" t="str">
        <f>""</f>
        <v/>
      </c>
      <c r="BX710" t="str">
        <f>""</f>
        <v/>
      </c>
      <c r="BY710" t="str">
        <f>""</f>
        <v/>
      </c>
      <c r="BZ710" t="str">
        <f>""</f>
        <v/>
      </c>
      <c r="CA710" t="str">
        <f>""</f>
        <v/>
      </c>
      <c r="CB710" t="str">
        <f>""</f>
        <v/>
      </c>
      <c r="CC710" t="str">
        <f>""</f>
        <v/>
      </c>
      <c r="CD710" t="str">
        <f>""</f>
        <v/>
      </c>
      <c r="CE710" t="str">
        <f>""</f>
        <v/>
      </c>
      <c r="CF710" t="str">
        <f>""</f>
        <v/>
      </c>
      <c r="CG710" t="str">
        <f>""</f>
        <v/>
      </c>
      <c r="CH710" t="str">
        <f>""</f>
        <v/>
      </c>
      <c r="CI710" t="str">
        <f>""</f>
        <v/>
      </c>
      <c r="CJ710" t="str">
        <f>""</f>
        <v/>
      </c>
      <c r="CK710" t="str">
        <f>""</f>
        <v/>
      </c>
      <c r="CL710" t="str">
        <f>""</f>
        <v/>
      </c>
      <c r="CM710" t="str">
        <f>""</f>
        <v/>
      </c>
      <c r="CN710" t="str">
        <f>""</f>
        <v/>
      </c>
      <c r="CO710" t="str">
        <f>""</f>
        <v/>
      </c>
      <c r="CP710" t="str">
        <f>""</f>
        <v/>
      </c>
      <c r="CQ710" t="str">
        <f>""</f>
        <v/>
      </c>
      <c r="CR710" t="str">
        <f>""</f>
        <v/>
      </c>
      <c r="CS710" t="str">
        <f>""</f>
        <v/>
      </c>
      <c r="CT710" t="str">
        <f>""</f>
        <v/>
      </c>
      <c r="CU710" t="str">
        <f>""</f>
        <v/>
      </c>
      <c r="CV710" t="str">
        <f>""</f>
        <v/>
      </c>
      <c r="CW710" t="str">
        <f>""</f>
        <v/>
      </c>
      <c r="CX710" t="str">
        <f>""</f>
        <v/>
      </c>
      <c r="CY710" t="str">
        <f>""</f>
        <v/>
      </c>
      <c r="CZ710" t="str">
        <f>""</f>
        <v/>
      </c>
      <c r="DA710" t="str">
        <f>""</f>
        <v/>
      </c>
      <c r="DB710" t="str">
        <f>""</f>
        <v/>
      </c>
      <c r="DC710" t="str">
        <f>""</f>
        <v/>
      </c>
      <c r="DD710" t="str">
        <f>""</f>
        <v/>
      </c>
      <c r="DE710" t="str">
        <f>""</f>
        <v/>
      </c>
      <c r="DF710" t="str">
        <f>""</f>
        <v/>
      </c>
      <c r="DG710" t="str">
        <f>""</f>
        <v/>
      </c>
      <c r="DH710" t="str">
        <f>""</f>
        <v/>
      </c>
      <c r="DI710" t="str">
        <f>""</f>
        <v/>
      </c>
      <c r="DJ710" t="str">
        <f>""</f>
        <v/>
      </c>
      <c r="DK710" t="str">
        <f>""</f>
        <v/>
      </c>
      <c r="DL710" t="str">
        <f>""</f>
        <v/>
      </c>
      <c r="DM710" t="str">
        <f>""</f>
        <v/>
      </c>
      <c r="DN710" t="str">
        <f>""</f>
        <v/>
      </c>
      <c r="DO710" t="str">
        <f>""</f>
        <v/>
      </c>
      <c r="DP710" t="str">
        <f>""</f>
        <v/>
      </c>
      <c r="DQ710" t="str">
        <f>""</f>
        <v/>
      </c>
      <c r="DR710" t="str">
        <f>""</f>
        <v/>
      </c>
      <c r="DS710" t="str">
        <f>""</f>
        <v/>
      </c>
      <c r="DT710" t="str">
        <f>""</f>
        <v/>
      </c>
      <c r="DU710" t="str">
        <f>""</f>
        <v/>
      </c>
    </row>
    <row r="711" spans="1:125" x14ac:dyDescent="0.25">
      <c r="A711" t="str">
        <f>$A$206</f>
        <v xml:space="preserve">    Volkswagen AG</v>
      </c>
      <c r="B711" t="str">
        <f>$B$206</f>
        <v>VOW GR Equity</v>
      </c>
      <c r="C711" t="str">
        <f>$C$206</f>
        <v>RR800</v>
      </c>
      <c r="D711" t="str">
        <f>$D$206</f>
        <v>TRAIL_12M_NET_SALES</v>
      </c>
      <c r="E711" t="str">
        <f>$E$206</f>
        <v>Dynamic</v>
      </c>
      <c r="F711" t="str">
        <f ca="1">_xll.BDH($B$206,$C$206,$B$509,$B$510,CONCATENATE("Per=",$B$507),"Dts=H","Dir=H",CONCATENATE("Points=",$B$508),"Sort=R","Days=A","Fill=B",CONCATENATE("FX=", $B$506) )</f>
        <v>#N/A Connection</v>
      </c>
      <c r="BN711" t="str">
        <f>""</f>
        <v/>
      </c>
      <c r="BO711" t="str">
        <f>""</f>
        <v/>
      </c>
      <c r="BP711" t="str">
        <f>""</f>
        <v/>
      </c>
      <c r="BQ711" t="str">
        <f>""</f>
        <v/>
      </c>
      <c r="BR711" t="str">
        <f>""</f>
        <v/>
      </c>
      <c r="BS711" t="str">
        <f>""</f>
        <v/>
      </c>
      <c r="BT711" t="str">
        <f>""</f>
        <v/>
      </c>
      <c r="BU711" t="str">
        <f>""</f>
        <v/>
      </c>
      <c r="BV711" t="str">
        <f>""</f>
        <v/>
      </c>
      <c r="BW711" t="str">
        <f>""</f>
        <v/>
      </c>
      <c r="BX711" t="str">
        <f>""</f>
        <v/>
      </c>
      <c r="BY711" t="str">
        <f>""</f>
        <v/>
      </c>
      <c r="BZ711" t="str">
        <f>""</f>
        <v/>
      </c>
      <c r="CA711" t="str">
        <f>""</f>
        <v/>
      </c>
      <c r="CB711" t="str">
        <f>""</f>
        <v/>
      </c>
      <c r="CC711" t="str">
        <f>""</f>
        <v/>
      </c>
      <c r="CD711" t="str">
        <f>""</f>
        <v/>
      </c>
      <c r="CE711" t="str">
        <f>""</f>
        <v/>
      </c>
      <c r="CF711" t="str">
        <f>""</f>
        <v/>
      </c>
      <c r="CG711" t="str">
        <f>""</f>
        <v/>
      </c>
      <c r="CH711" t="str">
        <f>""</f>
        <v/>
      </c>
      <c r="CI711" t="str">
        <f>""</f>
        <v/>
      </c>
      <c r="CJ711" t="str">
        <f>""</f>
        <v/>
      </c>
      <c r="CK711" t="str">
        <f>""</f>
        <v/>
      </c>
      <c r="CL711" t="str">
        <f>""</f>
        <v/>
      </c>
      <c r="CM711" t="str">
        <f>""</f>
        <v/>
      </c>
      <c r="CN711" t="str">
        <f>""</f>
        <v/>
      </c>
      <c r="CO711" t="str">
        <f>""</f>
        <v/>
      </c>
      <c r="CP711" t="str">
        <f>""</f>
        <v/>
      </c>
      <c r="CQ711" t="str">
        <f>""</f>
        <v/>
      </c>
      <c r="CR711" t="str">
        <f>""</f>
        <v/>
      </c>
      <c r="CS711" t="str">
        <f>""</f>
        <v/>
      </c>
      <c r="CT711" t="str">
        <f>""</f>
        <v/>
      </c>
      <c r="CU711" t="str">
        <f>""</f>
        <v/>
      </c>
      <c r="CV711" t="str">
        <f>""</f>
        <v/>
      </c>
      <c r="CW711" t="str">
        <f>""</f>
        <v/>
      </c>
      <c r="CX711" t="str">
        <f>""</f>
        <v/>
      </c>
      <c r="CY711" t="str">
        <f>""</f>
        <v/>
      </c>
      <c r="CZ711" t="str">
        <f>""</f>
        <v/>
      </c>
      <c r="DA711" t="str">
        <f>""</f>
        <v/>
      </c>
      <c r="DB711" t="str">
        <f>""</f>
        <v/>
      </c>
      <c r="DC711" t="str">
        <f>""</f>
        <v/>
      </c>
      <c r="DD711" t="str">
        <f>""</f>
        <v/>
      </c>
      <c r="DE711" t="str">
        <f>""</f>
        <v/>
      </c>
      <c r="DF711" t="str">
        <f>""</f>
        <v/>
      </c>
      <c r="DG711" t="str">
        <f>""</f>
        <v/>
      </c>
      <c r="DH711" t="str">
        <f>""</f>
        <v/>
      </c>
      <c r="DI711" t="str">
        <f>""</f>
        <v/>
      </c>
      <c r="DJ711" t="str">
        <f>""</f>
        <v/>
      </c>
      <c r="DK711" t="str">
        <f>""</f>
        <v/>
      </c>
      <c r="DL711" t="str">
        <f>""</f>
        <v/>
      </c>
      <c r="DM711" t="str">
        <f>""</f>
        <v/>
      </c>
      <c r="DN711" t="str">
        <f>""</f>
        <v/>
      </c>
      <c r="DO711" t="str">
        <f>""</f>
        <v/>
      </c>
      <c r="DP711" t="str">
        <f>""</f>
        <v/>
      </c>
      <c r="DQ711" t="str">
        <f>""</f>
        <v/>
      </c>
      <c r="DR711" t="str">
        <f>""</f>
        <v/>
      </c>
      <c r="DS711" t="str">
        <f>""</f>
        <v/>
      </c>
      <c r="DT711" t="str">
        <f>""</f>
        <v/>
      </c>
      <c r="DU711" t="str">
        <f>""</f>
        <v/>
      </c>
    </row>
    <row r="712" spans="1:125" x14ac:dyDescent="0.25">
      <c r="A712" t="str">
        <f>$A$207</f>
        <v xml:space="preserve">    Yulon Motor Co Ltd</v>
      </c>
      <c r="B712" t="str">
        <f>$B$207</f>
        <v>2201 TT Equity</v>
      </c>
      <c r="C712" t="str">
        <f>$C$207</f>
        <v>RR800</v>
      </c>
      <c r="D712" t="str">
        <f>$D$207</f>
        <v>TRAIL_12M_NET_SALES</v>
      </c>
      <c r="E712" t="str">
        <f>$E$207</f>
        <v>Dynamic</v>
      </c>
      <c r="F712" t="str">
        <f ca="1">_xll.BDH($B$207,$C$207,$B$509,$B$510,CONCATENATE("Per=",$B$507),"Dts=H","Dir=H",CONCATENATE("Points=",$B$508),"Sort=R","Days=A","Fill=B",CONCATENATE("FX=", $B$506) )</f>
        <v>#N/A Connection</v>
      </c>
      <c r="BN712" t="str">
        <f>""</f>
        <v/>
      </c>
      <c r="BO712" t="str">
        <f>""</f>
        <v/>
      </c>
      <c r="BP712" t="str">
        <f>""</f>
        <v/>
      </c>
      <c r="BQ712" t="str">
        <f>""</f>
        <v/>
      </c>
      <c r="BR712" t="str">
        <f>""</f>
        <v/>
      </c>
      <c r="BS712" t="str">
        <f>""</f>
        <v/>
      </c>
      <c r="BT712" t="str">
        <f>""</f>
        <v/>
      </c>
      <c r="BU712" t="str">
        <f>""</f>
        <v/>
      </c>
      <c r="BV712" t="str">
        <f>""</f>
        <v/>
      </c>
      <c r="BW712" t="str">
        <f>""</f>
        <v/>
      </c>
      <c r="BX712" t="str">
        <f>""</f>
        <v/>
      </c>
      <c r="BY712" t="str">
        <f>""</f>
        <v/>
      </c>
      <c r="BZ712" t="str">
        <f>""</f>
        <v/>
      </c>
      <c r="CA712" t="str">
        <f>""</f>
        <v/>
      </c>
      <c r="CB712" t="str">
        <f>""</f>
        <v/>
      </c>
      <c r="CC712" t="str">
        <f>""</f>
        <v/>
      </c>
      <c r="CD712" t="str">
        <f>""</f>
        <v/>
      </c>
      <c r="CE712" t="str">
        <f>""</f>
        <v/>
      </c>
      <c r="CF712" t="str">
        <f>""</f>
        <v/>
      </c>
      <c r="CG712" t="str">
        <f>""</f>
        <v/>
      </c>
      <c r="CH712" t="str">
        <f>""</f>
        <v/>
      </c>
      <c r="CI712" t="str">
        <f>""</f>
        <v/>
      </c>
      <c r="CJ712" t="str">
        <f>""</f>
        <v/>
      </c>
      <c r="CK712" t="str">
        <f>""</f>
        <v/>
      </c>
      <c r="CL712" t="str">
        <f>""</f>
        <v/>
      </c>
      <c r="CM712" t="str">
        <f>""</f>
        <v/>
      </c>
      <c r="CN712" t="str">
        <f>""</f>
        <v/>
      </c>
      <c r="CO712" t="str">
        <f>""</f>
        <v/>
      </c>
      <c r="CP712" t="str">
        <f>""</f>
        <v/>
      </c>
      <c r="CQ712" t="str">
        <f>""</f>
        <v/>
      </c>
      <c r="CR712" t="str">
        <f>""</f>
        <v/>
      </c>
      <c r="CS712" t="str">
        <f>""</f>
        <v/>
      </c>
      <c r="CT712" t="str">
        <f>""</f>
        <v/>
      </c>
      <c r="CU712" t="str">
        <f>""</f>
        <v/>
      </c>
      <c r="CV712" t="str">
        <f>""</f>
        <v/>
      </c>
      <c r="CW712" t="str">
        <f>""</f>
        <v/>
      </c>
      <c r="CX712" t="str">
        <f>""</f>
        <v/>
      </c>
      <c r="CY712" t="str">
        <f>""</f>
        <v/>
      </c>
      <c r="CZ712" t="str">
        <f>""</f>
        <v/>
      </c>
      <c r="DA712" t="str">
        <f>""</f>
        <v/>
      </c>
      <c r="DB712" t="str">
        <f>""</f>
        <v/>
      </c>
      <c r="DC712" t="str">
        <f>""</f>
        <v/>
      </c>
      <c r="DD712" t="str">
        <f>""</f>
        <v/>
      </c>
      <c r="DE712" t="str">
        <f>""</f>
        <v/>
      </c>
      <c r="DF712" t="str">
        <f>""</f>
        <v/>
      </c>
      <c r="DG712" t="str">
        <f>""</f>
        <v/>
      </c>
      <c r="DH712" t="str">
        <f>""</f>
        <v/>
      </c>
      <c r="DI712" t="str">
        <f>""</f>
        <v/>
      </c>
      <c r="DJ712" t="str">
        <f>""</f>
        <v/>
      </c>
      <c r="DK712" t="str">
        <f>""</f>
        <v/>
      </c>
      <c r="DL712" t="str">
        <f>""</f>
        <v/>
      </c>
      <c r="DM712" t="str">
        <f>""</f>
        <v/>
      </c>
      <c r="DN712" t="str">
        <f>""</f>
        <v/>
      </c>
      <c r="DO712" t="str">
        <f>""</f>
        <v/>
      </c>
      <c r="DP712" t="str">
        <f>""</f>
        <v/>
      </c>
      <c r="DQ712" t="str">
        <f>""</f>
        <v/>
      </c>
      <c r="DR712" t="str">
        <f>""</f>
        <v/>
      </c>
      <c r="DS712" t="str">
        <f>""</f>
        <v/>
      </c>
      <c r="DT712" t="str">
        <f>""</f>
        <v/>
      </c>
      <c r="DU712" t="str">
        <f>""</f>
        <v/>
      </c>
    </row>
    <row r="713" spans="1:125" x14ac:dyDescent="0.25">
      <c r="A713" t="str">
        <f>$A$209</f>
        <v xml:space="preserve">    AUDI AG</v>
      </c>
      <c r="B713" t="str">
        <f>$B$209</f>
        <v>NSU GR Equity</v>
      </c>
      <c r="C713" t="str">
        <f>$C$209</f>
        <v>RR843</v>
      </c>
      <c r="D713" t="str">
        <f>$D$209</f>
        <v>TRAIL_12M_FREE_CASH_FLOW</v>
      </c>
      <c r="E713" t="str">
        <f>$E$209</f>
        <v>Dynamic</v>
      </c>
      <c r="F713" t="str">
        <f ca="1">_xll.BDH($B$209,$C$209,$B$509,$B$510,CONCATENATE("Per=",$B$507),"Dts=H","Dir=H",CONCATENATE("Points=",$B$508),"Sort=R","Days=A","Fill=B",CONCATENATE("FX=", $B$506) )</f>
        <v>#N/A Connection</v>
      </c>
      <c r="BN713" t="str">
        <f>""</f>
        <v/>
      </c>
      <c r="BO713" t="str">
        <f>""</f>
        <v/>
      </c>
      <c r="BP713" t="str">
        <f>""</f>
        <v/>
      </c>
      <c r="BQ713" t="str">
        <f>""</f>
        <v/>
      </c>
      <c r="BR713" t="str">
        <f>""</f>
        <v/>
      </c>
      <c r="BS713" t="str">
        <f>""</f>
        <v/>
      </c>
      <c r="BT713" t="str">
        <f>""</f>
        <v/>
      </c>
      <c r="BU713" t="str">
        <f>""</f>
        <v/>
      </c>
      <c r="BV713" t="str">
        <f>""</f>
        <v/>
      </c>
      <c r="BW713" t="str">
        <f>""</f>
        <v/>
      </c>
      <c r="BX713" t="str">
        <f>""</f>
        <v/>
      </c>
      <c r="BY713" t="str">
        <f>""</f>
        <v/>
      </c>
      <c r="BZ713" t="str">
        <f>""</f>
        <v/>
      </c>
      <c r="CA713" t="str">
        <f>""</f>
        <v/>
      </c>
      <c r="CB713" t="str">
        <f>""</f>
        <v/>
      </c>
      <c r="CC713" t="str">
        <f>""</f>
        <v/>
      </c>
      <c r="CD713" t="str">
        <f>""</f>
        <v/>
      </c>
      <c r="CE713" t="str">
        <f>""</f>
        <v/>
      </c>
      <c r="CF713" t="str">
        <f>""</f>
        <v/>
      </c>
      <c r="CG713" t="str">
        <f>""</f>
        <v/>
      </c>
      <c r="CH713" t="str">
        <f>""</f>
        <v/>
      </c>
      <c r="CI713" t="str">
        <f>""</f>
        <v/>
      </c>
      <c r="CJ713" t="str">
        <f>""</f>
        <v/>
      </c>
      <c r="CK713" t="str">
        <f>""</f>
        <v/>
      </c>
      <c r="CL713" t="str">
        <f>""</f>
        <v/>
      </c>
      <c r="CM713" t="str">
        <f>""</f>
        <v/>
      </c>
      <c r="CN713" t="str">
        <f>""</f>
        <v/>
      </c>
      <c r="CO713" t="str">
        <f>""</f>
        <v/>
      </c>
      <c r="CP713" t="str">
        <f>""</f>
        <v/>
      </c>
      <c r="CQ713" t="str">
        <f>""</f>
        <v/>
      </c>
      <c r="CR713" t="str">
        <f>""</f>
        <v/>
      </c>
      <c r="CS713" t="str">
        <f>""</f>
        <v/>
      </c>
      <c r="CT713" t="str">
        <f>""</f>
        <v/>
      </c>
      <c r="CU713" t="str">
        <f>""</f>
        <v/>
      </c>
      <c r="CV713" t="str">
        <f>""</f>
        <v/>
      </c>
      <c r="CW713" t="str">
        <f>""</f>
        <v/>
      </c>
      <c r="CX713" t="str">
        <f>""</f>
        <v/>
      </c>
      <c r="CY713" t="str">
        <f>""</f>
        <v/>
      </c>
      <c r="CZ713" t="str">
        <f>""</f>
        <v/>
      </c>
      <c r="DA713" t="str">
        <f>""</f>
        <v/>
      </c>
      <c r="DB713" t="str">
        <f>""</f>
        <v/>
      </c>
      <c r="DC713" t="str">
        <f>""</f>
        <v/>
      </c>
      <c r="DD713" t="str">
        <f>""</f>
        <v/>
      </c>
      <c r="DE713" t="str">
        <f>""</f>
        <v/>
      </c>
      <c r="DF713" t="str">
        <f>""</f>
        <v/>
      </c>
      <c r="DG713" t="str">
        <f>""</f>
        <v/>
      </c>
      <c r="DH713" t="str">
        <f>""</f>
        <v/>
      </c>
      <c r="DI713" t="str">
        <f>""</f>
        <v/>
      </c>
      <c r="DJ713" t="str">
        <f>""</f>
        <v/>
      </c>
      <c r="DK713" t="str">
        <f>""</f>
        <v/>
      </c>
      <c r="DL713" t="str">
        <f>""</f>
        <v/>
      </c>
      <c r="DM713" t="str">
        <f>""</f>
        <v/>
      </c>
      <c r="DN713" t="str">
        <f>""</f>
        <v/>
      </c>
      <c r="DO713" t="str">
        <f>""</f>
        <v/>
      </c>
      <c r="DP713" t="str">
        <f>""</f>
        <v/>
      </c>
      <c r="DQ713" t="str">
        <f>""</f>
        <v/>
      </c>
      <c r="DR713" t="str">
        <f>""</f>
        <v/>
      </c>
      <c r="DS713" t="str">
        <f>""</f>
        <v/>
      </c>
      <c r="DT713" t="str">
        <f>""</f>
        <v/>
      </c>
      <c r="DU713" t="str">
        <f>""</f>
        <v/>
      </c>
    </row>
    <row r="714" spans="1:125" x14ac:dyDescent="0.25">
      <c r="A714" t="str">
        <f>$A$210</f>
        <v xml:space="preserve">    Avtovaz PJSC</v>
      </c>
      <c r="B714" t="str">
        <f>$B$210</f>
        <v>AVAZ RM Equity</v>
      </c>
      <c r="C714" t="str">
        <f>$C$210</f>
        <v>RR843</v>
      </c>
      <c r="D714" t="str">
        <f>$D$210</f>
        <v>TRAIL_12M_FREE_CASH_FLOW</v>
      </c>
      <c r="E714" t="str">
        <f>$E$210</f>
        <v>Dynamic</v>
      </c>
      <c r="F714" t="str">
        <f ca="1">_xll.BDH($B$210,$C$210,$B$509,$B$510,CONCATENATE("Per=",$B$507),"Dts=H","Dir=H",CONCATENATE("Points=",$B$508),"Sort=R","Days=A","Fill=B",CONCATENATE("FX=", $B$506) )</f>
        <v>#N/A Connection</v>
      </c>
      <c r="BN714" t="str">
        <f>""</f>
        <v/>
      </c>
      <c r="BO714" t="str">
        <f>""</f>
        <v/>
      </c>
      <c r="BP714" t="str">
        <f>""</f>
        <v/>
      </c>
      <c r="BQ714" t="str">
        <f>""</f>
        <v/>
      </c>
      <c r="BR714" t="str">
        <f>""</f>
        <v/>
      </c>
      <c r="BS714" t="str">
        <f>""</f>
        <v/>
      </c>
      <c r="BT714" t="str">
        <f>""</f>
        <v/>
      </c>
      <c r="BU714" t="str">
        <f>""</f>
        <v/>
      </c>
      <c r="BV714" t="str">
        <f>""</f>
        <v/>
      </c>
      <c r="BW714" t="str">
        <f>""</f>
        <v/>
      </c>
      <c r="BX714" t="str">
        <f>""</f>
        <v/>
      </c>
      <c r="BY714" t="str">
        <f>""</f>
        <v/>
      </c>
      <c r="BZ714" t="str">
        <f>""</f>
        <v/>
      </c>
      <c r="CA714" t="str">
        <f>""</f>
        <v/>
      </c>
      <c r="CB714" t="str">
        <f>""</f>
        <v/>
      </c>
      <c r="CC714" t="str">
        <f>""</f>
        <v/>
      </c>
      <c r="CD714" t="str">
        <f>""</f>
        <v/>
      </c>
      <c r="CE714" t="str">
        <f>""</f>
        <v/>
      </c>
      <c r="CF714" t="str">
        <f>""</f>
        <v/>
      </c>
      <c r="CG714" t="str">
        <f>""</f>
        <v/>
      </c>
      <c r="CH714" t="str">
        <f>""</f>
        <v/>
      </c>
      <c r="CI714" t="str">
        <f>""</f>
        <v/>
      </c>
      <c r="CJ714" t="str">
        <f>""</f>
        <v/>
      </c>
      <c r="CK714" t="str">
        <f>""</f>
        <v/>
      </c>
      <c r="CL714" t="str">
        <f>""</f>
        <v/>
      </c>
      <c r="CM714" t="str">
        <f>""</f>
        <v/>
      </c>
      <c r="CN714" t="str">
        <f>""</f>
        <v/>
      </c>
      <c r="CO714" t="str">
        <f>""</f>
        <v/>
      </c>
      <c r="CP714" t="str">
        <f>""</f>
        <v/>
      </c>
      <c r="CQ714" t="str">
        <f>""</f>
        <v/>
      </c>
      <c r="CR714" t="str">
        <f>""</f>
        <v/>
      </c>
      <c r="CS714" t="str">
        <f>""</f>
        <v/>
      </c>
      <c r="CT714" t="str">
        <f>""</f>
        <v/>
      </c>
      <c r="CU714" t="str">
        <f>""</f>
        <v/>
      </c>
      <c r="CV714" t="str">
        <f>""</f>
        <v/>
      </c>
      <c r="CW714" t="str">
        <f>""</f>
        <v/>
      </c>
      <c r="CX714" t="str">
        <f>""</f>
        <v/>
      </c>
      <c r="CY714" t="str">
        <f>""</f>
        <v/>
      </c>
      <c r="CZ714" t="str">
        <f>""</f>
        <v/>
      </c>
      <c r="DA714" t="str">
        <f>""</f>
        <v/>
      </c>
      <c r="DB714" t="str">
        <f>""</f>
        <v/>
      </c>
      <c r="DC714" t="str">
        <f>""</f>
        <v/>
      </c>
      <c r="DD714" t="str">
        <f>""</f>
        <v/>
      </c>
      <c r="DE714" t="str">
        <f>""</f>
        <v/>
      </c>
      <c r="DF714" t="str">
        <f>""</f>
        <v/>
      </c>
      <c r="DG714" t="str">
        <f>""</f>
        <v/>
      </c>
      <c r="DH714" t="str">
        <f>""</f>
        <v/>
      </c>
      <c r="DI714" t="str">
        <f>""</f>
        <v/>
      </c>
      <c r="DJ714" t="str">
        <f>""</f>
        <v/>
      </c>
      <c r="DK714" t="str">
        <f>""</f>
        <v/>
      </c>
      <c r="DL714" t="str">
        <f>""</f>
        <v/>
      </c>
      <c r="DM714" t="str">
        <f>""</f>
        <v/>
      </c>
      <c r="DN714" t="str">
        <f>""</f>
        <v/>
      </c>
      <c r="DO714" t="str">
        <f>""</f>
        <v/>
      </c>
      <c r="DP714" t="str">
        <f>""</f>
        <v/>
      </c>
      <c r="DQ714" t="str">
        <f>""</f>
        <v/>
      </c>
      <c r="DR714" t="str">
        <f>""</f>
        <v/>
      </c>
      <c r="DS714" t="str">
        <f>""</f>
        <v/>
      </c>
      <c r="DT714" t="str">
        <f>""</f>
        <v/>
      </c>
      <c r="DU714" t="str">
        <f>""</f>
        <v/>
      </c>
    </row>
    <row r="715" spans="1:125" x14ac:dyDescent="0.25">
      <c r="A715" t="str">
        <f>$A$211</f>
        <v xml:space="preserve">    Bayerische Motoren Werke AG</v>
      </c>
      <c r="B715" t="str">
        <f>$B$211</f>
        <v>BMW GR Equity</v>
      </c>
      <c r="C715" t="str">
        <f>$C$211</f>
        <v>RR843</v>
      </c>
      <c r="D715" t="str">
        <f>$D$211</f>
        <v>TRAIL_12M_FREE_CASH_FLOW</v>
      </c>
      <c r="E715" t="str">
        <f>$E$211</f>
        <v>Dynamic</v>
      </c>
      <c r="F715" t="str">
        <f ca="1">_xll.BDH($B$211,$C$211,$B$509,$B$510,CONCATENATE("Per=",$B$507),"Dts=H","Dir=H",CONCATENATE("Points=",$B$508),"Sort=R","Days=A","Fill=B",CONCATENATE("FX=", $B$506) )</f>
        <v>#N/A Connection</v>
      </c>
      <c r="BN715" t="str">
        <f>""</f>
        <v/>
      </c>
      <c r="BO715" t="str">
        <f>""</f>
        <v/>
      </c>
      <c r="BP715" t="str">
        <f>""</f>
        <v/>
      </c>
      <c r="BQ715" t="str">
        <f>""</f>
        <v/>
      </c>
      <c r="BR715" t="str">
        <f>""</f>
        <v/>
      </c>
      <c r="BS715" t="str">
        <f>""</f>
        <v/>
      </c>
      <c r="BT715" t="str">
        <f>""</f>
        <v/>
      </c>
      <c r="BU715" t="str">
        <f>""</f>
        <v/>
      </c>
      <c r="BV715" t="str">
        <f>""</f>
        <v/>
      </c>
      <c r="BW715" t="str">
        <f>""</f>
        <v/>
      </c>
      <c r="BX715" t="str">
        <f>""</f>
        <v/>
      </c>
      <c r="BY715" t="str">
        <f>""</f>
        <v/>
      </c>
      <c r="BZ715" t="str">
        <f>""</f>
        <v/>
      </c>
      <c r="CA715" t="str">
        <f>""</f>
        <v/>
      </c>
      <c r="CB715" t="str">
        <f>""</f>
        <v/>
      </c>
      <c r="CC715" t="str">
        <f>""</f>
        <v/>
      </c>
      <c r="CD715" t="str">
        <f>""</f>
        <v/>
      </c>
      <c r="CE715" t="str">
        <f>""</f>
        <v/>
      </c>
      <c r="CF715" t="str">
        <f>""</f>
        <v/>
      </c>
      <c r="CG715" t="str">
        <f>""</f>
        <v/>
      </c>
      <c r="CH715" t="str">
        <f>""</f>
        <v/>
      </c>
      <c r="CI715" t="str">
        <f>""</f>
        <v/>
      </c>
      <c r="CJ715" t="str">
        <f>""</f>
        <v/>
      </c>
      <c r="CK715" t="str">
        <f>""</f>
        <v/>
      </c>
      <c r="CL715" t="str">
        <f>""</f>
        <v/>
      </c>
      <c r="CM715" t="str">
        <f>""</f>
        <v/>
      </c>
      <c r="CN715" t="str">
        <f>""</f>
        <v/>
      </c>
      <c r="CO715" t="str">
        <f>""</f>
        <v/>
      </c>
      <c r="CP715" t="str">
        <f>""</f>
        <v/>
      </c>
      <c r="CQ715" t="str">
        <f>""</f>
        <v/>
      </c>
      <c r="CR715" t="str">
        <f>""</f>
        <v/>
      </c>
      <c r="CS715" t="str">
        <f>""</f>
        <v/>
      </c>
      <c r="CT715" t="str">
        <f>""</f>
        <v/>
      </c>
      <c r="CU715" t="str">
        <f>""</f>
        <v/>
      </c>
      <c r="CV715" t="str">
        <f>""</f>
        <v/>
      </c>
      <c r="CW715" t="str">
        <f>""</f>
        <v/>
      </c>
      <c r="CX715" t="str">
        <f>""</f>
        <v/>
      </c>
      <c r="CY715" t="str">
        <f>""</f>
        <v/>
      </c>
      <c r="CZ715" t="str">
        <f>""</f>
        <v/>
      </c>
      <c r="DA715" t="str">
        <f>""</f>
        <v/>
      </c>
      <c r="DB715" t="str">
        <f>""</f>
        <v/>
      </c>
      <c r="DC715" t="str">
        <f>""</f>
        <v/>
      </c>
      <c r="DD715" t="str">
        <f>""</f>
        <v/>
      </c>
      <c r="DE715" t="str">
        <f>""</f>
        <v/>
      </c>
      <c r="DF715" t="str">
        <f>""</f>
        <v/>
      </c>
      <c r="DG715" t="str">
        <f>""</f>
        <v/>
      </c>
      <c r="DH715" t="str">
        <f>""</f>
        <v/>
      </c>
      <c r="DI715" t="str">
        <f>""</f>
        <v/>
      </c>
      <c r="DJ715" t="str">
        <f>""</f>
        <v/>
      </c>
      <c r="DK715" t="str">
        <f>""</f>
        <v/>
      </c>
      <c r="DL715" t="str">
        <f>""</f>
        <v/>
      </c>
      <c r="DM715" t="str">
        <f>""</f>
        <v/>
      </c>
      <c r="DN715" t="str">
        <f>""</f>
        <v/>
      </c>
      <c r="DO715" t="str">
        <f>""</f>
        <v/>
      </c>
      <c r="DP715" t="str">
        <f>""</f>
        <v/>
      </c>
      <c r="DQ715" t="str">
        <f>""</f>
        <v/>
      </c>
      <c r="DR715" t="str">
        <f>""</f>
        <v/>
      </c>
      <c r="DS715" t="str">
        <f>""</f>
        <v/>
      </c>
      <c r="DT715" t="str">
        <f>""</f>
        <v/>
      </c>
      <c r="DU715" t="str">
        <f>""</f>
        <v/>
      </c>
    </row>
    <row r="716" spans="1:125" x14ac:dyDescent="0.25">
      <c r="A716" t="str">
        <f>$A$212</f>
        <v xml:space="preserve">    Brilliance China Automotive Holdings Ltd</v>
      </c>
      <c r="B716" t="str">
        <f>$B$212</f>
        <v>1114 HK Equity</v>
      </c>
      <c r="C716" t="str">
        <f>$C$212</f>
        <v>RR843</v>
      </c>
      <c r="D716" t="str">
        <f>$D$212</f>
        <v>TRAIL_12M_FREE_CASH_FLOW</v>
      </c>
      <c r="E716" t="str">
        <f>$E$212</f>
        <v>Dynamic</v>
      </c>
      <c r="F716" t="str">
        <f ca="1">_xll.BDH($B$212,$C$212,$B$509,$B$510,CONCATENATE("Per=",$B$507),"Dts=H","Dir=H",CONCATENATE("Points=",$B$508),"Sort=R","Days=A","Fill=B",CONCATENATE("FX=", $B$506) )</f>
        <v>#N/A Connection</v>
      </c>
      <c r="BN716" t="str">
        <f>""</f>
        <v/>
      </c>
      <c r="BO716" t="str">
        <f>""</f>
        <v/>
      </c>
      <c r="BP716" t="str">
        <f>""</f>
        <v/>
      </c>
      <c r="BQ716" t="str">
        <f>""</f>
        <v/>
      </c>
      <c r="BR716" t="str">
        <f>""</f>
        <v/>
      </c>
      <c r="BS716" t="str">
        <f>""</f>
        <v/>
      </c>
      <c r="BT716" t="str">
        <f>""</f>
        <v/>
      </c>
      <c r="BU716" t="str">
        <f>""</f>
        <v/>
      </c>
      <c r="BV716" t="str">
        <f>""</f>
        <v/>
      </c>
      <c r="BW716" t="str">
        <f>""</f>
        <v/>
      </c>
      <c r="BX716" t="str">
        <f>""</f>
        <v/>
      </c>
      <c r="BY716" t="str">
        <f>""</f>
        <v/>
      </c>
      <c r="BZ716" t="str">
        <f>""</f>
        <v/>
      </c>
      <c r="CA716" t="str">
        <f>""</f>
        <v/>
      </c>
      <c r="CB716" t="str">
        <f>""</f>
        <v/>
      </c>
      <c r="CC716" t="str">
        <f>""</f>
        <v/>
      </c>
      <c r="CD716" t="str">
        <f>""</f>
        <v/>
      </c>
      <c r="CE716" t="str">
        <f>""</f>
        <v/>
      </c>
      <c r="CF716" t="str">
        <f>""</f>
        <v/>
      </c>
      <c r="CG716" t="str">
        <f>""</f>
        <v/>
      </c>
      <c r="CH716" t="str">
        <f>""</f>
        <v/>
      </c>
      <c r="CI716" t="str">
        <f>""</f>
        <v/>
      </c>
      <c r="CJ716" t="str">
        <f>""</f>
        <v/>
      </c>
      <c r="CK716" t="str">
        <f>""</f>
        <v/>
      </c>
      <c r="CL716" t="str">
        <f>""</f>
        <v/>
      </c>
      <c r="CM716" t="str">
        <f>""</f>
        <v/>
      </c>
      <c r="CN716" t="str">
        <f>""</f>
        <v/>
      </c>
      <c r="CO716" t="str">
        <f>""</f>
        <v/>
      </c>
      <c r="CP716" t="str">
        <f>""</f>
        <v/>
      </c>
      <c r="CQ716" t="str">
        <f>""</f>
        <v/>
      </c>
      <c r="CR716" t="str">
        <f>""</f>
        <v/>
      </c>
      <c r="CS716" t="str">
        <f>""</f>
        <v/>
      </c>
      <c r="CT716" t="str">
        <f>""</f>
        <v/>
      </c>
      <c r="CU716" t="str">
        <f>""</f>
        <v/>
      </c>
      <c r="CV716" t="str">
        <f>""</f>
        <v/>
      </c>
      <c r="CW716" t="str">
        <f>""</f>
        <v/>
      </c>
      <c r="CX716" t="str">
        <f>""</f>
        <v/>
      </c>
      <c r="CY716" t="str">
        <f>""</f>
        <v/>
      </c>
      <c r="CZ716" t="str">
        <f>""</f>
        <v/>
      </c>
      <c r="DA716" t="str">
        <f>""</f>
        <v/>
      </c>
      <c r="DB716" t="str">
        <f>""</f>
        <v/>
      </c>
      <c r="DC716" t="str">
        <f>""</f>
        <v/>
      </c>
      <c r="DD716" t="str">
        <f>""</f>
        <v/>
      </c>
      <c r="DE716" t="str">
        <f>""</f>
        <v/>
      </c>
      <c r="DF716" t="str">
        <f>""</f>
        <v/>
      </c>
      <c r="DG716" t="str">
        <f>""</f>
        <v/>
      </c>
      <c r="DH716" t="str">
        <f>""</f>
        <v/>
      </c>
      <c r="DI716" t="str">
        <f>""</f>
        <v/>
      </c>
      <c r="DJ716" t="str">
        <f>""</f>
        <v/>
      </c>
      <c r="DK716" t="str">
        <f>""</f>
        <v/>
      </c>
      <c r="DL716" t="str">
        <f>""</f>
        <v/>
      </c>
      <c r="DM716" t="str">
        <f>""</f>
        <v/>
      </c>
      <c r="DN716" t="str">
        <f>""</f>
        <v/>
      </c>
      <c r="DO716" t="str">
        <f>""</f>
        <v/>
      </c>
      <c r="DP716" t="str">
        <f>""</f>
        <v/>
      </c>
      <c r="DQ716" t="str">
        <f>""</f>
        <v/>
      </c>
      <c r="DR716" t="str">
        <f>""</f>
        <v/>
      </c>
      <c r="DS716" t="str">
        <f>""</f>
        <v/>
      </c>
      <c r="DT716" t="str">
        <f>""</f>
        <v/>
      </c>
      <c r="DU716" t="str">
        <f>""</f>
        <v/>
      </c>
    </row>
    <row r="717" spans="1:125" x14ac:dyDescent="0.25">
      <c r="A717" t="str">
        <f>$A$213</f>
        <v xml:space="preserve">    BYD Co Ltd</v>
      </c>
      <c r="B717" t="str">
        <f>$B$213</f>
        <v>1211 HK Equity</v>
      </c>
      <c r="C717" t="str">
        <f>$C$213</f>
        <v>RR843</v>
      </c>
      <c r="D717" t="str">
        <f>$D$213</f>
        <v>TRAIL_12M_FREE_CASH_FLOW</v>
      </c>
      <c r="E717" t="str">
        <f>$E$213</f>
        <v>Dynamic</v>
      </c>
      <c r="F717" t="str">
        <f ca="1">_xll.BDH($B$213,$C$213,$B$509,$B$510,CONCATENATE("Per=",$B$507),"Dts=H","Dir=H",CONCATENATE("Points=",$B$508),"Sort=R","Days=A","Fill=B",CONCATENATE("FX=", $B$506) )</f>
        <v>#N/A Connection</v>
      </c>
      <c r="BN717" t="str">
        <f>""</f>
        <v/>
      </c>
      <c r="BO717" t="str">
        <f>""</f>
        <v/>
      </c>
      <c r="BP717" t="str">
        <f>""</f>
        <v/>
      </c>
      <c r="BQ717" t="str">
        <f>""</f>
        <v/>
      </c>
      <c r="BR717" t="str">
        <f>""</f>
        <v/>
      </c>
      <c r="BS717" t="str">
        <f>""</f>
        <v/>
      </c>
      <c r="BT717" t="str">
        <f>""</f>
        <v/>
      </c>
      <c r="BU717" t="str">
        <f>""</f>
        <v/>
      </c>
      <c r="BV717" t="str">
        <f>""</f>
        <v/>
      </c>
      <c r="BW717" t="str">
        <f>""</f>
        <v/>
      </c>
      <c r="BX717" t="str">
        <f>""</f>
        <v/>
      </c>
      <c r="BY717" t="str">
        <f>""</f>
        <v/>
      </c>
      <c r="BZ717" t="str">
        <f>""</f>
        <v/>
      </c>
      <c r="CA717" t="str">
        <f>""</f>
        <v/>
      </c>
      <c r="CB717" t="str">
        <f>""</f>
        <v/>
      </c>
      <c r="CC717" t="str">
        <f>""</f>
        <v/>
      </c>
      <c r="CD717" t="str">
        <f>""</f>
        <v/>
      </c>
      <c r="CE717" t="str">
        <f>""</f>
        <v/>
      </c>
      <c r="CF717" t="str">
        <f>""</f>
        <v/>
      </c>
      <c r="CG717" t="str">
        <f>""</f>
        <v/>
      </c>
      <c r="CH717" t="str">
        <f>""</f>
        <v/>
      </c>
      <c r="CI717" t="str">
        <f>""</f>
        <v/>
      </c>
      <c r="CJ717" t="str">
        <f>""</f>
        <v/>
      </c>
      <c r="CK717" t="str">
        <f>""</f>
        <v/>
      </c>
      <c r="CL717" t="str">
        <f>""</f>
        <v/>
      </c>
      <c r="CM717" t="str">
        <f>""</f>
        <v/>
      </c>
      <c r="CN717" t="str">
        <f>""</f>
        <v/>
      </c>
      <c r="CO717" t="str">
        <f>""</f>
        <v/>
      </c>
      <c r="CP717" t="str">
        <f>""</f>
        <v/>
      </c>
      <c r="CQ717" t="str">
        <f>""</f>
        <v/>
      </c>
      <c r="CR717" t="str">
        <f>""</f>
        <v/>
      </c>
      <c r="CS717" t="str">
        <f>""</f>
        <v/>
      </c>
      <c r="CT717" t="str">
        <f>""</f>
        <v/>
      </c>
      <c r="CU717" t="str">
        <f>""</f>
        <v/>
      </c>
      <c r="CV717" t="str">
        <f>""</f>
        <v/>
      </c>
      <c r="CW717" t="str">
        <f>""</f>
        <v/>
      </c>
      <c r="CX717" t="str">
        <f>""</f>
        <v/>
      </c>
      <c r="CY717" t="str">
        <f>""</f>
        <v/>
      </c>
      <c r="CZ717" t="str">
        <f>""</f>
        <v/>
      </c>
      <c r="DA717" t="str">
        <f>""</f>
        <v/>
      </c>
      <c r="DB717" t="str">
        <f>""</f>
        <v/>
      </c>
      <c r="DC717" t="str">
        <f>""</f>
        <v/>
      </c>
      <c r="DD717" t="str">
        <f>""</f>
        <v/>
      </c>
      <c r="DE717" t="str">
        <f>""</f>
        <v/>
      </c>
      <c r="DF717" t="str">
        <f>""</f>
        <v/>
      </c>
      <c r="DG717" t="str">
        <f>""</f>
        <v/>
      </c>
      <c r="DH717" t="str">
        <f>""</f>
        <v/>
      </c>
      <c r="DI717" t="str">
        <f>""</f>
        <v/>
      </c>
      <c r="DJ717" t="str">
        <f>""</f>
        <v/>
      </c>
      <c r="DK717" t="str">
        <f>""</f>
        <v/>
      </c>
      <c r="DL717" t="str">
        <f>""</f>
        <v/>
      </c>
      <c r="DM717" t="str">
        <f>""</f>
        <v/>
      </c>
      <c r="DN717" t="str">
        <f>""</f>
        <v/>
      </c>
      <c r="DO717" t="str">
        <f>""</f>
        <v/>
      </c>
      <c r="DP717" t="str">
        <f>""</f>
        <v/>
      </c>
      <c r="DQ717" t="str">
        <f>""</f>
        <v/>
      </c>
      <c r="DR717" t="str">
        <f>""</f>
        <v/>
      </c>
      <c r="DS717" t="str">
        <f>""</f>
        <v/>
      </c>
      <c r="DT717" t="str">
        <f>""</f>
        <v/>
      </c>
      <c r="DU717" t="str">
        <f>""</f>
        <v/>
      </c>
    </row>
    <row r="718" spans="1:125" x14ac:dyDescent="0.25">
      <c r="A718" t="str">
        <f>$A$214</f>
        <v xml:space="preserve">    Chongqing Changan Automobile Co Ltd</v>
      </c>
      <c r="B718" t="str">
        <f>$B$214</f>
        <v>200625 CH Equity</v>
      </c>
      <c r="C718" t="str">
        <f>$C$214</f>
        <v>RR843</v>
      </c>
      <c r="D718" t="str">
        <f>$D$214</f>
        <v>TRAIL_12M_FREE_CASH_FLOW</v>
      </c>
      <c r="E718" t="str">
        <f>$E$214</f>
        <v>Dynamic</v>
      </c>
      <c r="F718" t="str">
        <f ca="1">_xll.BDH($B$214,$C$214,$B$509,$B$510,CONCATENATE("Per=",$B$507),"Dts=H","Dir=H",CONCATENATE("Points=",$B$508),"Sort=R","Days=A","Fill=B",CONCATENATE("FX=", $B$506) )</f>
        <v>#N/A Connection</v>
      </c>
      <c r="BN718" t="str">
        <f>""</f>
        <v/>
      </c>
      <c r="BO718" t="str">
        <f>""</f>
        <v/>
      </c>
      <c r="BP718" t="str">
        <f>""</f>
        <v/>
      </c>
      <c r="BQ718" t="str">
        <f>""</f>
        <v/>
      </c>
      <c r="BR718" t="str">
        <f>""</f>
        <v/>
      </c>
      <c r="BS718" t="str">
        <f>""</f>
        <v/>
      </c>
      <c r="BT718" t="str">
        <f>""</f>
        <v/>
      </c>
      <c r="BU718" t="str">
        <f>""</f>
        <v/>
      </c>
      <c r="BV718" t="str">
        <f>""</f>
        <v/>
      </c>
      <c r="BW718" t="str">
        <f>""</f>
        <v/>
      </c>
      <c r="BX718" t="str">
        <f>""</f>
        <v/>
      </c>
      <c r="BY718" t="str">
        <f>""</f>
        <v/>
      </c>
      <c r="BZ718" t="str">
        <f>""</f>
        <v/>
      </c>
      <c r="CA718" t="str">
        <f>""</f>
        <v/>
      </c>
      <c r="CB718" t="str">
        <f>""</f>
        <v/>
      </c>
      <c r="CC718" t="str">
        <f>""</f>
        <v/>
      </c>
      <c r="CD718" t="str">
        <f>""</f>
        <v/>
      </c>
      <c r="CE718" t="str">
        <f>""</f>
        <v/>
      </c>
      <c r="CF718" t="str">
        <f>""</f>
        <v/>
      </c>
      <c r="CG718" t="str">
        <f>""</f>
        <v/>
      </c>
      <c r="CH718" t="str">
        <f>""</f>
        <v/>
      </c>
      <c r="CI718" t="str">
        <f>""</f>
        <v/>
      </c>
      <c r="CJ718" t="str">
        <f>""</f>
        <v/>
      </c>
      <c r="CK718" t="str">
        <f>""</f>
        <v/>
      </c>
      <c r="CL718" t="str">
        <f>""</f>
        <v/>
      </c>
      <c r="CM718" t="str">
        <f>""</f>
        <v/>
      </c>
      <c r="CN718" t="str">
        <f>""</f>
        <v/>
      </c>
      <c r="CO718" t="str">
        <f>""</f>
        <v/>
      </c>
      <c r="CP718" t="str">
        <f>""</f>
        <v/>
      </c>
      <c r="CQ718" t="str">
        <f>""</f>
        <v/>
      </c>
      <c r="CR718" t="str">
        <f>""</f>
        <v/>
      </c>
      <c r="CS718" t="str">
        <f>""</f>
        <v/>
      </c>
      <c r="CT718" t="str">
        <f>""</f>
        <v/>
      </c>
      <c r="CU718" t="str">
        <f>""</f>
        <v/>
      </c>
      <c r="CV718" t="str">
        <f>""</f>
        <v/>
      </c>
      <c r="CW718" t="str">
        <f>""</f>
        <v/>
      </c>
      <c r="CX718" t="str">
        <f>""</f>
        <v/>
      </c>
      <c r="CY718" t="str">
        <f>""</f>
        <v/>
      </c>
      <c r="CZ718" t="str">
        <f>""</f>
        <v/>
      </c>
      <c r="DA718" t="str">
        <f>""</f>
        <v/>
      </c>
      <c r="DB718" t="str">
        <f>""</f>
        <v/>
      </c>
      <c r="DC718" t="str">
        <f>""</f>
        <v/>
      </c>
      <c r="DD718" t="str">
        <f>""</f>
        <v/>
      </c>
      <c r="DE718" t="str">
        <f>""</f>
        <v/>
      </c>
      <c r="DF718" t="str">
        <f>""</f>
        <v/>
      </c>
      <c r="DG718" t="str">
        <f>""</f>
        <v/>
      </c>
      <c r="DH718" t="str">
        <f>""</f>
        <v/>
      </c>
      <c r="DI718" t="str">
        <f>""</f>
        <v/>
      </c>
      <c r="DJ718" t="str">
        <f>""</f>
        <v/>
      </c>
      <c r="DK718" t="str">
        <f>""</f>
        <v/>
      </c>
      <c r="DL718" t="str">
        <f>""</f>
        <v/>
      </c>
      <c r="DM718" t="str">
        <f>""</f>
        <v/>
      </c>
      <c r="DN718" t="str">
        <f>""</f>
        <v/>
      </c>
      <c r="DO718" t="str">
        <f>""</f>
        <v/>
      </c>
      <c r="DP718" t="str">
        <f>""</f>
        <v/>
      </c>
      <c r="DQ718" t="str">
        <f>""</f>
        <v/>
      </c>
      <c r="DR718" t="str">
        <f>""</f>
        <v/>
      </c>
      <c r="DS718" t="str">
        <f>""</f>
        <v/>
      </c>
      <c r="DT718" t="str">
        <f>""</f>
        <v/>
      </c>
      <c r="DU718" t="str">
        <f>""</f>
        <v/>
      </c>
    </row>
    <row r="719" spans="1:125" x14ac:dyDescent="0.25">
      <c r="A719" t="str">
        <f>$A$215</f>
        <v xml:space="preserve">    Daihatsu Motor Co Ltd</v>
      </c>
      <c r="B719" t="str">
        <f>$B$215</f>
        <v>7262 JP Equity</v>
      </c>
      <c r="C719" t="str">
        <f>$C$215</f>
        <v>RR843</v>
      </c>
      <c r="D719" t="str">
        <f>$D$215</f>
        <v>TRAIL_12M_FREE_CASH_FLOW</v>
      </c>
      <c r="E719" t="str">
        <f>$E$215</f>
        <v>Dynamic</v>
      </c>
      <c r="F719" t="str">
        <f ca="1">_xll.BDH($B$215,$C$215,$B$509,$B$510,CONCATENATE("Per=",$B$507),"Dts=H","Dir=H",CONCATENATE("Points=",$B$508),"Sort=R","Days=A","Fill=B",CONCATENATE("FX=", $B$506) )</f>
        <v>#N/A Connection</v>
      </c>
      <c r="BN719" t="str">
        <f>""</f>
        <v/>
      </c>
      <c r="BO719" t="str">
        <f>""</f>
        <v/>
      </c>
      <c r="BP719" t="str">
        <f>""</f>
        <v/>
      </c>
      <c r="BQ719" t="str">
        <f>""</f>
        <v/>
      </c>
      <c r="BR719" t="str">
        <f>""</f>
        <v/>
      </c>
      <c r="BS719" t="str">
        <f>""</f>
        <v/>
      </c>
      <c r="BT719" t="str">
        <f>""</f>
        <v/>
      </c>
      <c r="BU719" t="str">
        <f>""</f>
        <v/>
      </c>
      <c r="BV719" t="str">
        <f>""</f>
        <v/>
      </c>
      <c r="BW719" t="str">
        <f>""</f>
        <v/>
      </c>
      <c r="BX719" t="str">
        <f>""</f>
        <v/>
      </c>
      <c r="BY719" t="str">
        <f>""</f>
        <v/>
      </c>
      <c r="BZ719" t="str">
        <f>""</f>
        <v/>
      </c>
      <c r="CA719" t="str">
        <f>""</f>
        <v/>
      </c>
      <c r="CB719" t="str">
        <f>""</f>
        <v/>
      </c>
      <c r="CC719" t="str">
        <f>""</f>
        <v/>
      </c>
      <c r="CD719" t="str">
        <f>""</f>
        <v/>
      </c>
      <c r="CE719" t="str">
        <f>""</f>
        <v/>
      </c>
      <c r="CF719" t="str">
        <f>""</f>
        <v/>
      </c>
      <c r="CG719" t="str">
        <f>""</f>
        <v/>
      </c>
      <c r="CH719" t="str">
        <f>""</f>
        <v/>
      </c>
      <c r="CI719" t="str">
        <f>""</f>
        <v/>
      </c>
      <c r="CJ719" t="str">
        <f>""</f>
        <v/>
      </c>
      <c r="CK719" t="str">
        <f>""</f>
        <v/>
      </c>
      <c r="CL719" t="str">
        <f>""</f>
        <v/>
      </c>
      <c r="CM719" t="str">
        <f>""</f>
        <v/>
      </c>
      <c r="CN719" t="str">
        <f>""</f>
        <v/>
      </c>
      <c r="CO719" t="str">
        <f>""</f>
        <v/>
      </c>
      <c r="CP719" t="str">
        <f>""</f>
        <v/>
      </c>
      <c r="CQ719" t="str">
        <f>""</f>
        <v/>
      </c>
      <c r="CR719" t="str">
        <f>""</f>
        <v/>
      </c>
      <c r="CS719" t="str">
        <f>""</f>
        <v/>
      </c>
      <c r="CT719" t="str">
        <f>""</f>
        <v/>
      </c>
      <c r="CU719" t="str">
        <f>""</f>
        <v/>
      </c>
      <c r="CV719" t="str">
        <f>""</f>
        <v/>
      </c>
      <c r="CW719" t="str">
        <f>""</f>
        <v/>
      </c>
      <c r="CX719" t="str">
        <f>""</f>
        <v/>
      </c>
      <c r="CY719" t="str">
        <f>""</f>
        <v/>
      </c>
      <c r="CZ719" t="str">
        <f>""</f>
        <v/>
      </c>
      <c r="DA719" t="str">
        <f>""</f>
        <v/>
      </c>
      <c r="DB719" t="str">
        <f>""</f>
        <v/>
      </c>
      <c r="DC719" t="str">
        <f>""</f>
        <v/>
      </c>
      <c r="DD719" t="str">
        <f>""</f>
        <v/>
      </c>
      <c r="DE719" t="str">
        <f>""</f>
        <v/>
      </c>
      <c r="DF719" t="str">
        <f>""</f>
        <v/>
      </c>
      <c r="DG719" t="str">
        <f>""</f>
        <v/>
      </c>
      <c r="DH719" t="str">
        <f>""</f>
        <v/>
      </c>
      <c r="DI719" t="str">
        <f>""</f>
        <v/>
      </c>
      <c r="DJ719" t="str">
        <f>""</f>
        <v/>
      </c>
      <c r="DK719" t="str">
        <f>""</f>
        <v/>
      </c>
      <c r="DL719" t="str">
        <f>""</f>
        <v/>
      </c>
      <c r="DM719" t="str">
        <f>""</f>
        <v/>
      </c>
      <c r="DN719" t="str">
        <f>""</f>
        <v/>
      </c>
      <c r="DO719" t="str">
        <f>""</f>
        <v/>
      </c>
      <c r="DP719" t="str">
        <f>""</f>
        <v/>
      </c>
      <c r="DQ719" t="str">
        <f>""</f>
        <v/>
      </c>
      <c r="DR719" t="str">
        <f>""</f>
        <v/>
      </c>
      <c r="DS719" t="str">
        <f>""</f>
        <v/>
      </c>
      <c r="DT719" t="str">
        <f>""</f>
        <v/>
      </c>
      <c r="DU719" t="str">
        <f>""</f>
        <v/>
      </c>
    </row>
    <row r="720" spans="1:125" x14ac:dyDescent="0.25">
      <c r="A720" t="str">
        <f>$A$216</f>
        <v xml:space="preserve">    Daimler AG</v>
      </c>
      <c r="B720" t="str">
        <f>$B$216</f>
        <v>DAI GR Equity</v>
      </c>
      <c r="C720" t="str">
        <f>$C$216</f>
        <v>RR843</v>
      </c>
      <c r="D720" t="str">
        <f>$D$216</f>
        <v>TRAIL_12M_FREE_CASH_FLOW</v>
      </c>
      <c r="E720" t="str">
        <f>$E$216</f>
        <v>Dynamic</v>
      </c>
      <c r="F720" t="str">
        <f ca="1">_xll.BDH($B$216,$C$216,$B$509,$B$510,CONCATENATE("Per=",$B$507),"Dts=H","Dir=H",CONCATENATE("Points=",$B$508),"Sort=R","Days=A","Fill=B",CONCATENATE("FX=", $B$506) )</f>
        <v>#N/A Connection</v>
      </c>
      <c r="BN720" t="str">
        <f>""</f>
        <v/>
      </c>
      <c r="BO720" t="str">
        <f>""</f>
        <v/>
      </c>
      <c r="BP720" t="str">
        <f>""</f>
        <v/>
      </c>
      <c r="BQ720" t="str">
        <f>""</f>
        <v/>
      </c>
      <c r="BR720" t="str">
        <f>""</f>
        <v/>
      </c>
      <c r="BS720" t="str">
        <f>""</f>
        <v/>
      </c>
      <c r="BT720" t="str">
        <f>""</f>
        <v/>
      </c>
      <c r="BU720" t="str">
        <f>""</f>
        <v/>
      </c>
      <c r="BV720" t="str">
        <f>""</f>
        <v/>
      </c>
      <c r="BW720" t="str">
        <f>""</f>
        <v/>
      </c>
      <c r="BX720" t="str">
        <f>""</f>
        <v/>
      </c>
      <c r="BY720" t="str">
        <f>""</f>
        <v/>
      </c>
      <c r="BZ720" t="str">
        <f>""</f>
        <v/>
      </c>
      <c r="CA720" t="str">
        <f>""</f>
        <v/>
      </c>
      <c r="CB720" t="str">
        <f>""</f>
        <v/>
      </c>
      <c r="CC720" t="str">
        <f>""</f>
        <v/>
      </c>
      <c r="CD720" t="str">
        <f>""</f>
        <v/>
      </c>
      <c r="CE720" t="str">
        <f>""</f>
        <v/>
      </c>
      <c r="CF720" t="str">
        <f>""</f>
        <v/>
      </c>
      <c r="CG720" t="str">
        <f>""</f>
        <v/>
      </c>
      <c r="CH720" t="str">
        <f>""</f>
        <v/>
      </c>
      <c r="CI720" t="str">
        <f>""</f>
        <v/>
      </c>
      <c r="CJ720" t="str">
        <f>""</f>
        <v/>
      </c>
      <c r="CK720" t="str">
        <f>""</f>
        <v/>
      </c>
      <c r="CL720" t="str">
        <f>""</f>
        <v/>
      </c>
      <c r="CM720" t="str">
        <f>""</f>
        <v/>
      </c>
      <c r="CN720" t="str">
        <f>""</f>
        <v/>
      </c>
      <c r="CO720" t="str">
        <f>""</f>
        <v/>
      </c>
      <c r="CP720" t="str">
        <f>""</f>
        <v/>
      </c>
      <c r="CQ720" t="str">
        <f>""</f>
        <v/>
      </c>
      <c r="CR720" t="str">
        <f>""</f>
        <v/>
      </c>
      <c r="CS720" t="str">
        <f>""</f>
        <v/>
      </c>
      <c r="CT720" t="str">
        <f>""</f>
        <v/>
      </c>
      <c r="CU720" t="str">
        <f>""</f>
        <v/>
      </c>
      <c r="CV720" t="str">
        <f>""</f>
        <v/>
      </c>
      <c r="CW720" t="str">
        <f>""</f>
        <v/>
      </c>
      <c r="CX720" t="str">
        <f>""</f>
        <v/>
      </c>
      <c r="CY720" t="str">
        <f>""</f>
        <v/>
      </c>
      <c r="CZ720" t="str">
        <f>""</f>
        <v/>
      </c>
      <c r="DA720" t="str">
        <f>""</f>
        <v/>
      </c>
      <c r="DB720" t="str">
        <f>""</f>
        <v/>
      </c>
      <c r="DC720" t="str">
        <f>""</f>
        <v/>
      </c>
      <c r="DD720" t="str">
        <f>""</f>
        <v/>
      </c>
      <c r="DE720" t="str">
        <f>""</f>
        <v/>
      </c>
      <c r="DF720" t="str">
        <f>""</f>
        <v/>
      </c>
      <c r="DG720" t="str">
        <f>""</f>
        <v/>
      </c>
      <c r="DH720" t="str">
        <f>""</f>
        <v/>
      </c>
      <c r="DI720" t="str">
        <f>""</f>
        <v/>
      </c>
      <c r="DJ720" t="str">
        <f>""</f>
        <v/>
      </c>
      <c r="DK720" t="str">
        <f>""</f>
        <v/>
      </c>
      <c r="DL720" t="str">
        <f>""</f>
        <v/>
      </c>
      <c r="DM720" t="str">
        <f>""</f>
        <v/>
      </c>
      <c r="DN720" t="str">
        <f>""</f>
        <v/>
      </c>
      <c r="DO720" t="str">
        <f>""</f>
        <v/>
      </c>
      <c r="DP720" t="str">
        <f>""</f>
        <v/>
      </c>
      <c r="DQ720" t="str">
        <f>""</f>
        <v/>
      </c>
      <c r="DR720" t="str">
        <f>""</f>
        <v/>
      </c>
      <c r="DS720" t="str">
        <f>""</f>
        <v/>
      </c>
      <c r="DT720" t="str">
        <f>""</f>
        <v/>
      </c>
      <c r="DU720" t="str">
        <f>""</f>
        <v/>
      </c>
    </row>
    <row r="721" spans="1:125" x14ac:dyDescent="0.25">
      <c r="A721" t="str">
        <f>$A$217</f>
        <v xml:space="preserve">    Dongfeng Motor Group Co Ltd</v>
      </c>
      <c r="B721" t="str">
        <f>$B$217</f>
        <v>489 HK Equity</v>
      </c>
      <c r="C721" t="str">
        <f>$C$217</f>
        <v>RR843</v>
      </c>
      <c r="D721" t="str">
        <f>$D$217</f>
        <v>TRAIL_12M_FREE_CASH_FLOW</v>
      </c>
      <c r="E721" t="str">
        <f>$E$217</f>
        <v>Dynamic</v>
      </c>
      <c r="F721" t="str">
        <f ca="1">_xll.BDH($B$217,$C$217,$B$509,$B$510,CONCATENATE("Per=",$B$507),"Dts=H","Dir=H",CONCATENATE("Points=",$B$508),"Sort=R","Days=A","Fill=B",CONCATENATE("FX=", $B$506) )</f>
        <v>#N/A Connection</v>
      </c>
      <c r="BN721" t="str">
        <f>""</f>
        <v/>
      </c>
      <c r="BO721" t="str">
        <f>""</f>
        <v/>
      </c>
      <c r="BP721" t="str">
        <f>""</f>
        <v/>
      </c>
      <c r="BQ721" t="str">
        <f>""</f>
        <v/>
      </c>
      <c r="BR721" t="str">
        <f>""</f>
        <v/>
      </c>
      <c r="BS721" t="str">
        <f>""</f>
        <v/>
      </c>
      <c r="BT721" t="str">
        <f>""</f>
        <v/>
      </c>
      <c r="BU721" t="str">
        <f>""</f>
        <v/>
      </c>
      <c r="BV721" t="str">
        <f>""</f>
        <v/>
      </c>
      <c r="BW721" t="str">
        <f>""</f>
        <v/>
      </c>
      <c r="BX721" t="str">
        <f>""</f>
        <v/>
      </c>
      <c r="BY721" t="str">
        <f>""</f>
        <v/>
      </c>
      <c r="BZ721" t="str">
        <f>""</f>
        <v/>
      </c>
      <c r="CA721" t="str">
        <f>""</f>
        <v/>
      </c>
      <c r="CB721" t="str">
        <f>""</f>
        <v/>
      </c>
      <c r="CC721" t="str">
        <f>""</f>
        <v/>
      </c>
      <c r="CD721" t="str">
        <f>""</f>
        <v/>
      </c>
      <c r="CE721" t="str">
        <f>""</f>
        <v/>
      </c>
      <c r="CF721" t="str">
        <f>""</f>
        <v/>
      </c>
      <c r="CG721" t="str">
        <f>""</f>
        <v/>
      </c>
      <c r="CH721" t="str">
        <f>""</f>
        <v/>
      </c>
      <c r="CI721" t="str">
        <f>""</f>
        <v/>
      </c>
      <c r="CJ721" t="str">
        <f>""</f>
        <v/>
      </c>
      <c r="CK721" t="str">
        <f>""</f>
        <v/>
      </c>
      <c r="CL721" t="str">
        <f>""</f>
        <v/>
      </c>
      <c r="CM721" t="str">
        <f>""</f>
        <v/>
      </c>
      <c r="CN721" t="str">
        <f>""</f>
        <v/>
      </c>
      <c r="CO721" t="str">
        <f>""</f>
        <v/>
      </c>
      <c r="CP721" t="str">
        <f>""</f>
        <v/>
      </c>
      <c r="CQ721" t="str">
        <f>""</f>
        <v/>
      </c>
      <c r="CR721" t="str">
        <f>""</f>
        <v/>
      </c>
      <c r="CS721" t="str">
        <f>""</f>
        <v/>
      </c>
      <c r="CT721" t="str">
        <f>""</f>
        <v/>
      </c>
      <c r="CU721" t="str">
        <f>""</f>
        <v/>
      </c>
      <c r="CV721" t="str">
        <f>""</f>
        <v/>
      </c>
      <c r="CW721" t="str">
        <f>""</f>
        <v/>
      </c>
      <c r="CX721" t="str">
        <f>""</f>
        <v/>
      </c>
      <c r="CY721" t="str">
        <f>""</f>
        <v/>
      </c>
      <c r="CZ721" t="str">
        <f>""</f>
        <v/>
      </c>
      <c r="DA721" t="str">
        <f>""</f>
        <v/>
      </c>
      <c r="DB721" t="str">
        <f>""</f>
        <v/>
      </c>
      <c r="DC721" t="str">
        <f>""</f>
        <v/>
      </c>
      <c r="DD721" t="str">
        <f>""</f>
        <v/>
      </c>
      <c r="DE721" t="str">
        <f>""</f>
        <v/>
      </c>
      <c r="DF721" t="str">
        <f>""</f>
        <v/>
      </c>
      <c r="DG721" t="str">
        <f>""</f>
        <v/>
      </c>
      <c r="DH721" t="str">
        <f>""</f>
        <v/>
      </c>
      <c r="DI721" t="str">
        <f>""</f>
        <v/>
      </c>
      <c r="DJ721" t="str">
        <f>""</f>
        <v/>
      </c>
      <c r="DK721" t="str">
        <f>""</f>
        <v/>
      </c>
      <c r="DL721" t="str">
        <f>""</f>
        <v/>
      </c>
      <c r="DM721" t="str">
        <f>""</f>
        <v/>
      </c>
      <c r="DN721" t="str">
        <f>""</f>
        <v/>
      </c>
      <c r="DO721" t="str">
        <f>""</f>
        <v/>
      </c>
      <c r="DP721" t="str">
        <f>""</f>
        <v/>
      </c>
      <c r="DQ721" t="str">
        <f>""</f>
        <v/>
      </c>
      <c r="DR721" t="str">
        <f>""</f>
        <v/>
      </c>
      <c r="DS721" t="str">
        <f>""</f>
        <v/>
      </c>
      <c r="DT721" t="str">
        <f>""</f>
        <v/>
      </c>
      <c r="DU721" t="str">
        <f>""</f>
        <v/>
      </c>
    </row>
    <row r="722" spans="1:125" x14ac:dyDescent="0.25">
      <c r="A722" t="str">
        <f>$A$218</f>
        <v xml:space="preserve">    DRB-Hicom Bhd</v>
      </c>
      <c r="B722" t="str">
        <f>$B$218</f>
        <v>DRB MK Equity</v>
      </c>
      <c r="C722" t="str">
        <f>$C$218</f>
        <v>RR843</v>
      </c>
      <c r="D722" t="str">
        <f>$D$218</f>
        <v>TRAIL_12M_FREE_CASH_FLOW</v>
      </c>
      <c r="E722" t="str">
        <f>$E$218</f>
        <v>Dynamic</v>
      </c>
      <c r="F722" t="str">
        <f ca="1">_xll.BDH($B$218,$C$218,$B$509,$B$510,CONCATENATE("Per=",$B$507),"Dts=H","Dir=H",CONCATENATE("Points=",$B$508),"Sort=R","Days=A","Fill=B",CONCATENATE("FX=", $B$506) )</f>
        <v>#N/A Connection</v>
      </c>
      <c r="BN722" t="str">
        <f>""</f>
        <v/>
      </c>
      <c r="BO722" t="str">
        <f>""</f>
        <v/>
      </c>
      <c r="BP722" t="str">
        <f>""</f>
        <v/>
      </c>
      <c r="BQ722" t="str">
        <f>""</f>
        <v/>
      </c>
      <c r="BR722" t="str">
        <f>""</f>
        <v/>
      </c>
      <c r="BS722" t="str">
        <f>""</f>
        <v/>
      </c>
      <c r="BT722" t="str">
        <f>""</f>
        <v/>
      </c>
      <c r="BU722" t="str">
        <f>""</f>
        <v/>
      </c>
      <c r="BV722" t="str">
        <f>""</f>
        <v/>
      </c>
      <c r="BW722" t="str">
        <f>""</f>
        <v/>
      </c>
      <c r="BX722" t="str">
        <f>""</f>
        <v/>
      </c>
      <c r="BY722" t="str">
        <f>""</f>
        <v/>
      </c>
      <c r="BZ722" t="str">
        <f>""</f>
        <v/>
      </c>
      <c r="CA722" t="str">
        <f>""</f>
        <v/>
      </c>
      <c r="CB722" t="str">
        <f>""</f>
        <v/>
      </c>
      <c r="CC722" t="str">
        <f>""</f>
        <v/>
      </c>
      <c r="CD722" t="str">
        <f>""</f>
        <v/>
      </c>
      <c r="CE722" t="str">
        <f>""</f>
        <v/>
      </c>
      <c r="CF722" t="str">
        <f>""</f>
        <v/>
      </c>
      <c r="CG722" t="str">
        <f>""</f>
        <v/>
      </c>
      <c r="CH722" t="str">
        <f>""</f>
        <v/>
      </c>
      <c r="CI722" t="str">
        <f>""</f>
        <v/>
      </c>
      <c r="CJ722" t="str">
        <f>""</f>
        <v/>
      </c>
      <c r="CK722" t="str">
        <f>""</f>
        <v/>
      </c>
      <c r="CL722" t="str">
        <f>""</f>
        <v/>
      </c>
      <c r="CM722" t="str">
        <f>""</f>
        <v/>
      </c>
      <c r="CN722" t="str">
        <f>""</f>
        <v/>
      </c>
      <c r="CO722" t="str">
        <f>""</f>
        <v/>
      </c>
      <c r="CP722" t="str">
        <f>""</f>
        <v/>
      </c>
      <c r="CQ722" t="str">
        <f>""</f>
        <v/>
      </c>
      <c r="CR722" t="str">
        <f>""</f>
        <v/>
      </c>
      <c r="CS722" t="str">
        <f>""</f>
        <v/>
      </c>
      <c r="CT722" t="str">
        <f>""</f>
        <v/>
      </c>
      <c r="CU722" t="str">
        <f>""</f>
        <v/>
      </c>
      <c r="CV722" t="str">
        <f>""</f>
        <v/>
      </c>
      <c r="CW722" t="str">
        <f>""</f>
        <v/>
      </c>
      <c r="CX722" t="str">
        <f>""</f>
        <v/>
      </c>
      <c r="CY722" t="str">
        <f>""</f>
        <v/>
      </c>
      <c r="CZ722" t="str">
        <f>""</f>
        <v/>
      </c>
      <c r="DA722" t="str">
        <f>""</f>
        <v/>
      </c>
      <c r="DB722" t="str">
        <f>""</f>
        <v/>
      </c>
      <c r="DC722" t="str">
        <f>""</f>
        <v/>
      </c>
      <c r="DD722" t="str">
        <f>""</f>
        <v/>
      </c>
      <c r="DE722" t="str">
        <f>""</f>
        <v/>
      </c>
      <c r="DF722" t="str">
        <f>""</f>
        <v/>
      </c>
      <c r="DG722" t="str">
        <f>""</f>
        <v/>
      </c>
      <c r="DH722" t="str">
        <f>""</f>
        <v/>
      </c>
      <c r="DI722" t="str">
        <f>""</f>
        <v/>
      </c>
      <c r="DJ722" t="str">
        <f>""</f>
        <v/>
      </c>
      <c r="DK722" t="str">
        <f>""</f>
        <v/>
      </c>
      <c r="DL722" t="str">
        <f>""</f>
        <v/>
      </c>
      <c r="DM722" t="str">
        <f>""</f>
        <v/>
      </c>
      <c r="DN722" t="str">
        <f>""</f>
        <v/>
      </c>
      <c r="DO722" t="str">
        <f>""</f>
        <v/>
      </c>
      <c r="DP722" t="str">
        <f>""</f>
        <v/>
      </c>
      <c r="DQ722" t="str">
        <f>""</f>
        <v/>
      </c>
      <c r="DR722" t="str">
        <f>""</f>
        <v/>
      </c>
      <c r="DS722" t="str">
        <f>""</f>
        <v/>
      </c>
      <c r="DT722" t="str">
        <f>""</f>
        <v/>
      </c>
      <c r="DU722" t="str">
        <f>""</f>
        <v/>
      </c>
    </row>
    <row r="723" spans="1:125" x14ac:dyDescent="0.25">
      <c r="A723" t="str">
        <f>$A$219</f>
        <v xml:space="preserve">    FAW CAR Co Ltd</v>
      </c>
      <c r="B723" t="str">
        <f>$B$219</f>
        <v>000800 CH Equity</v>
      </c>
      <c r="C723" t="str">
        <f>$C$219</f>
        <v>RR843</v>
      </c>
      <c r="D723" t="str">
        <f>$D$219</f>
        <v>TRAIL_12M_FREE_CASH_FLOW</v>
      </c>
      <c r="E723" t="str">
        <f>$E$219</f>
        <v>Dynamic</v>
      </c>
      <c r="F723" t="str">
        <f ca="1">_xll.BDH($B$219,$C$219,$B$509,$B$510,CONCATENATE("Per=",$B$507),"Dts=H","Dir=H",CONCATENATE("Points=",$B$508),"Sort=R","Days=A","Fill=B",CONCATENATE("FX=", $B$506) )</f>
        <v>#N/A Connection</v>
      </c>
      <c r="BN723" t="str">
        <f>""</f>
        <v/>
      </c>
      <c r="BO723" t="str">
        <f>""</f>
        <v/>
      </c>
      <c r="BP723" t="str">
        <f>""</f>
        <v/>
      </c>
      <c r="BQ723" t="str">
        <f>""</f>
        <v/>
      </c>
      <c r="BR723" t="str">
        <f>""</f>
        <v/>
      </c>
      <c r="BS723" t="str">
        <f>""</f>
        <v/>
      </c>
      <c r="BT723" t="str">
        <f>""</f>
        <v/>
      </c>
      <c r="BU723" t="str">
        <f>""</f>
        <v/>
      </c>
      <c r="BV723" t="str">
        <f>""</f>
        <v/>
      </c>
      <c r="BW723" t="str">
        <f>""</f>
        <v/>
      </c>
      <c r="BX723" t="str">
        <f>""</f>
        <v/>
      </c>
      <c r="BY723" t="str">
        <f>""</f>
        <v/>
      </c>
      <c r="BZ723" t="str">
        <f>""</f>
        <v/>
      </c>
      <c r="CA723" t="str">
        <f>""</f>
        <v/>
      </c>
      <c r="CB723" t="str">
        <f>""</f>
        <v/>
      </c>
      <c r="CC723" t="str">
        <f>""</f>
        <v/>
      </c>
      <c r="CD723" t="str">
        <f>""</f>
        <v/>
      </c>
      <c r="CE723" t="str">
        <f>""</f>
        <v/>
      </c>
      <c r="CF723" t="str">
        <f>""</f>
        <v/>
      </c>
      <c r="CG723" t="str">
        <f>""</f>
        <v/>
      </c>
      <c r="CH723" t="str">
        <f>""</f>
        <v/>
      </c>
      <c r="CI723" t="str">
        <f>""</f>
        <v/>
      </c>
      <c r="CJ723" t="str">
        <f>""</f>
        <v/>
      </c>
      <c r="CK723" t="str">
        <f>""</f>
        <v/>
      </c>
      <c r="CL723" t="str">
        <f>""</f>
        <v/>
      </c>
      <c r="CM723" t="str">
        <f>""</f>
        <v/>
      </c>
      <c r="CN723" t="str">
        <f>""</f>
        <v/>
      </c>
      <c r="CO723" t="str">
        <f>""</f>
        <v/>
      </c>
      <c r="CP723" t="str">
        <f>""</f>
        <v/>
      </c>
      <c r="CQ723" t="str">
        <f>""</f>
        <v/>
      </c>
      <c r="CR723" t="str">
        <f>""</f>
        <v/>
      </c>
      <c r="CS723" t="str">
        <f>""</f>
        <v/>
      </c>
      <c r="CT723" t="str">
        <f>""</f>
        <v/>
      </c>
      <c r="CU723" t="str">
        <f>""</f>
        <v/>
      </c>
      <c r="CV723" t="str">
        <f>""</f>
        <v/>
      </c>
      <c r="CW723" t="str">
        <f>""</f>
        <v/>
      </c>
      <c r="CX723" t="str">
        <f>""</f>
        <v/>
      </c>
      <c r="CY723" t="str">
        <f>""</f>
        <v/>
      </c>
      <c r="CZ723" t="str">
        <f>""</f>
        <v/>
      </c>
      <c r="DA723" t="str">
        <f>""</f>
        <v/>
      </c>
      <c r="DB723" t="str">
        <f>""</f>
        <v/>
      </c>
      <c r="DC723" t="str">
        <f>""</f>
        <v/>
      </c>
      <c r="DD723" t="str">
        <f>""</f>
        <v/>
      </c>
      <c r="DE723" t="str">
        <f>""</f>
        <v/>
      </c>
      <c r="DF723" t="str">
        <f>""</f>
        <v/>
      </c>
      <c r="DG723" t="str">
        <f>""</f>
        <v/>
      </c>
      <c r="DH723" t="str">
        <f>""</f>
        <v/>
      </c>
      <c r="DI723" t="str">
        <f>""</f>
        <v/>
      </c>
      <c r="DJ723" t="str">
        <f>""</f>
        <v/>
      </c>
      <c r="DK723" t="str">
        <f>""</f>
        <v/>
      </c>
      <c r="DL723" t="str">
        <f>""</f>
        <v/>
      </c>
      <c r="DM723" t="str">
        <f>""</f>
        <v/>
      </c>
      <c r="DN723" t="str">
        <f>""</f>
        <v/>
      </c>
      <c r="DO723" t="str">
        <f>""</f>
        <v/>
      </c>
      <c r="DP723" t="str">
        <f>""</f>
        <v/>
      </c>
      <c r="DQ723" t="str">
        <f>""</f>
        <v/>
      </c>
      <c r="DR723" t="str">
        <f>""</f>
        <v/>
      </c>
      <c r="DS723" t="str">
        <f>""</f>
        <v/>
      </c>
      <c r="DT723" t="str">
        <f>""</f>
        <v/>
      </c>
      <c r="DU723" t="str">
        <f>""</f>
        <v/>
      </c>
    </row>
    <row r="724" spans="1:125" x14ac:dyDescent="0.25">
      <c r="A724" t="str">
        <f>$A$220</f>
        <v xml:space="preserve">    Fiat Chrysler Automobiles NV</v>
      </c>
      <c r="B724" t="str">
        <f>$B$220</f>
        <v>FCAU US Equity</v>
      </c>
      <c r="C724" t="str">
        <f>$C$220</f>
        <v>RR843</v>
      </c>
      <c r="D724" t="str">
        <f>$D$220</f>
        <v>TRAIL_12M_FREE_CASH_FLOW</v>
      </c>
      <c r="E724" t="str">
        <f>$E$220</f>
        <v>Dynamic</v>
      </c>
      <c r="F724" t="str">
        <f ca="1">_xll.BDH($B$220,$C$220,$B$509,$B$510,CONCATENATE("Per=",$B$507),"Dts=H","Dir=H",CONCATENATE("Points=",$B$508),"Sort=R","Days=A","Fill=B",CONCATENATE("FX=", $B$506) )</f>
        <v>#N/A Connection</v>
      </c>
      <c r="BN724" t="str">
        <f>""</f>
        <v/>
      </c>
      <c r="BO724" t="str">
        <f>""</f>
        <v/>
      </c>
      <c r="BP724" t="str">
        <f>""</f>
        <v/>
      </c>
      <c r="BQ724" t="str">
        <f>""</f>
        <v/>
      </c>
      <c r="BR724" t="str">
        <f>""</f>
        <v/>
      </c>
      <c r="BS724" t="str">
        <f>""</f>
        <v/>
      </c>
      <c r="BT724" t="str">
        <f>""</f>
        <v/>
      </c>
      <c r="BU724" t="str">
        <f>""</f>
        <v/>
      </c>
      <c r="BV724" t="str">
        <f>""</f>
        <v/>
      </c>
      <c r="BW724" t="str">
        <f>""</f>
        <v/>
      </c>
      <c r="BX724" t="str">
        <f>""</f>
        <v/>
      </c>
      <c r="BY724" t="str">
        <f>""</f>
        <v/>
      </c>
      <c r="BZ724" t="str">
        <f>""</f>
        <v/>
      </c>
      <c r="CA724" t="str">
        <f>""</f>
        <v/>
      </c>
      <c r="CB724" t="str">
        <f>""</f>
        <v/>
      </c>
      <c r="CC724" t="str">
        <f>""</f>
        <v/>
      </c>
      <c r="CD724" t="str">
        <f>""</f>
        <v/>
      </c>
      <c r="CE724" t="str">
        <f>""</f>
        <v/>
      </c>
      <c r="CF724" t="str">
        <f>""</f>
        <v/>
      </c>
      <c r="CG724" t="str">
        <f>""</f>
        <v/>
      </c>
      <c r="CH724" t="str">
        <f>""</f>
        <v/>
      </c>
      <c r="CI724" t="str">
        <f>""</f>
        <v/>
      </c>
      <c r="CJ724" t="str">
        <f>""</f>
        <v/>
      </c>
      <c r="CK724" t="str">
        <f>""</f>
        <v/>
      </c>
      <c r="CL724" t="str">
        <f>""</f>
        <v/>
      </c>
      <c r="CM724" t="str">
        <f>""</f>
        <v/>
      </c>
      <c r="CN724" t="str">
        <f>""</f>
        <v/>
      </c>
      <c r="CO724" t="str">
        <f>""</f>
        <v/>
      </c>
      <c r="CP724" t="str">
        <f>""</f>
        <v/>
      </c>
      <c r="CQ724" t="str">
        <f>""</f>
        <v/>
      </c>
      <c r="CR724" t="str">
        <f>""</f>
        <v/>
      </c>
      <c r="CS724" t="str">
        <f>""</f>
        <v/>
      </c>
      <c r="CT724" t="str">
        <f>""</f>
        <v/>
      </c>
      <c r="CU724" t="str">
        <f>""</f>
        <v/>
      </c>
      <c r="CV724" t="str">
        <f>""</f>
        <v/>
      </c>
      <c r="CW724" t="str">
        <f>""</f>
        <v/>
      </c>
      <c r="CX724" t="str">
        <f>""</f>
        <v/>
      </c>
      <c r="CY724" t="str">
        <f>""</f>
        <v/>
      </c>
      <c r="CZ724" t="str">
        <f>""</f>
        <v/>
      </c>
      <c r="DA724" t="str">
        <f>""</f>
        <v/>
      </c>
      <c r="DB724" t="str">
        <f>""</f>
        <v/>
      </c>
      <c r="DC724" t="str">
        <f>""</f>
        <v/>
      </c>
      <c r="DD724" t="str">
        <f>""</f>
        <v/>
      </c>
      <c r="DE724" t="str">
        <f>""</f>
        <v/>
      </c>
      <c r="DF724" t="str">
        <f>""</f>
        <v/>
      </c>
      <c r="DG724" t="str">
        <f>""</f>
        <v/>
      </c>
      <c r="DH724" t="str">
        <f>""</f>
        <v/>
      </c>
      <c r="DI724" t="str">
        <f>""</f>
        <v/>
      </c>
      <c r="DJ724" t="str">
        <f>""</f>
        <v/>
      </c>
      <c r="DK724" t="str">
        <f>""</f>
        <v/>
      </c>
      <c r="DL724" t="str">
        <f>""</f>
        <v/>
      </c>
      <c r="DM724" t="str">
        <f>""</f>
        <v/>
      </c>
      <c r="DN724" t="str">
        <f>""</f>
        <v/>
      </c>
      <c r="DO724" t="str">
        <f>""</f>
        <v/>
      </c>
      <c r="DP724" t="str">
        <f>""</f>
        <v/>
      </c>
      <c r="DQ724" t="str">
        <f>""</f>
        <v/>
      </c>
      <c r="DR724" t="str">
        <f>""</f>
        <v/>
      </c>
      <c r="DS724" t="str">
        <f>""</f>
        <v/>
      </c>
      <c r="DT724" t="str">
        <f>""</f>
        <v/>
      </c>
      <c r="DU724" t="str">
        <f>""</f>
        <v/>
      </c>
    </row>
    <row r="725" spans="1:125" x14ac:dyDescent="0.25">
      <c r="A725" t="str">
        <f>$A$221</f>
        <v xml:space="preserve">    Ford Motor Co</v>
      </c>
      <c r="B725" t="str">
        <f>$B$221</f>
        <v>F US Equity</v>
      </c>
      <c r="C725" t="str">
        <f>$C$221</f>
        <v>RR843</v>
      </c>
      <c r="D725" t="str">
        <f>$D$221</f>
        <v>TRAIL_12M_FREE_CASH_FLOW</v>
      </c>
      <c r="E725" t="str">
        <f>$E$221</f>
        <v>Dynamic</v>
      </c>
      <c r="F725" t="str">
        <f ca="1">_xll.BDH($B$221,$C$221,$B$509,$B$510,CONCATENATE("Per=",$B$507),"Dts=H","Dir=H",CONCATENATE("Points=",$B$508),"Sort=R","Days=A","Fill=B",CONCATENATE("FX=", $B$506) )</f>
        <v>#N/A Connection</v>
      </c>
      <c r="BN725" t="str">
        <f>""</f>
        <v/>
      </c>
      <c r="BO725" t="str">
        <f>""</f>
        <v/>
      </c>
      <c r="BP725" t="str">
        <f>""</f>
        <v/>
      </c>
      <c r="BQ725" t="str">
        <f>""</f>
        <v/>
      </c>
      <c r="BR725" t="str">
        <f>""</f>
        <v/>
      </c>
      <c r="BS725" t="str">
        <f>""</f>
        <v/>
      </c>
      <c r="BT725" t="str">
        <f>""</f>
        <v/>
      </c>
      <c r="BU725" t="str">
        <f>""</f>
        <v/>
      </c>
      <c r="BV725" t="str">
        <f>""</f>
        <v/>
      </c>
      <c r="BW725" t="str">
        <f>""</f>
        <v/>
      </c>
      <c r="BX725" t="str">
        <f>""</f>
        <v/>
      </c>
      <c r="BY725" t="str">
        <f>""</f>
        <v/>
      </c>
      <c r="BZ725" t="str">
        <f>""</f>
        <v/>
      </c>
      <c r="CA725" t="str">
        <f>""</f>
        <v/>
      </c>
      <c r="CB725" t="str">
        <f>""</f>
        <v/>
      </c>
      <c r="CC725" t="str">
        <f>""</f>
        <v/>
      </c>
      <c r="CD725" t="str">
        <f>""</f>
        <v/>
      </c>
      <c r="CE725" t="str">
        <f>""</f>
        <v/>
      </c>
      <c r="CF725" t="str">
        <f>""</f>
        <v/>
      </c>
      <c r="CG725" t="str">
        <f>""</f>
        <v/>
      </c>
      <c r="CH725" t="str">
        <f>""</f>
        <v/>
      </c>
      <c r="CI725" t="str">
        <f>""</f>
        <v/>
      </c>
      <c r="CJ725" t="str">
        <f>""</f>
        <v/>
      </c>
      <c r="CK725" t="str">
        <f>""</f>
        <v/>
      </c>
      <c r="CL725" t="str">
        <f>""</f>
        <v/>
      </c>
      <c r="CM725" t="str">
        <f>""</f>
        <v/>
      </c>
      <c r="CN725" t="str">
        <f>""</f>
        <v/>
      </c>
      <c r="CO725" t="str">
        <f>""</f>
        <v/>
      </c>
      <c r="CP725" t="str">
        <f>""</f>
        <v/>
      </c>
      <c r="CQ725" t="str">
        <f>""</f>
        <v/>
      </c>
      <c r="CR725" t="str">
        <f>""</f>
        <v/>
      </c>
      <c r="CS725" t="str">
        <f>""</f>
        <v/>
      </c>
      <c r="CT725" t="str">
        <f>""</f>
        <v/>
      </c>
      <c r="CU725" t="str">
        <f>""</f>
        <v/>
      </c>
      <c r="CV725" t="str">
        <f>""</f>
        <v/>
      </c>
      <c r="CW725" t="str">
        <f>""</f>
        <v/>
      </c>
      <c r="CX725" t="str">
        <f>""</f>
        <v/>
      </c>
      <c r="CY725" t="str">
        <f>""</f>
        <v/>
      </c>
      <c r="CZ725" t="str">
        <f>""</f>
        <v/>
      </c>
      <c r="DA725" t="str">
        <f>""</f>
        <v/>
      </c>
      <c r="DB725" t="str">
        <f>""</f>
        <v/>
      </c>
      <c r="DC725" t="str">
        <f>""</f>
        <v/>
      </c>
      <c r="DD725" t="str">
        <f>""</f>
        <v/>
      </c>
      <c r="DE725" t="str">
        <f>""</f>
        <v/>
      </c>
      <c r="DF725" t="str">
        <f>""</f>
        <v/>
      </c>
      <c r="DG725" t="str">
        <f>""</f>
        <v/>
      </c>
      <c r="DH725" t="str">
        <f>""</f>
        <v/>
      </c>
      <c r="DI725" t="str">
        <f>""</f>
        <v/>
      </c>
      <c r="DJ725" t="str">
        <f>""</f>
        <v/>
      </c>
      <c r="DK725" t="str">
        <f>""</f>
        <v/>
      </c>
      <c r="DL725" t="str">
        <f>""</f>
        <v/>
      </c>
      <c r="DM725" t="str">
        <f>""</f>
        <v/>
      </c>
      <c r="DN725" t="str">
        <f>""</f>
        <v/>
      </c>
      <c r="DO725" t="str">
        <f>""</f>
        <v/>
      </c>
      <c r="DP725" t="str">
        <f>""</f>
        <v/>
      </c>
      <c r="DQ725" t="str">
        <f>""</f>
        <v/>
      </c>
      <c r="DR725" t="str">
        <f>""</f>
        <v/>
      </c>
      <c r="DS725" t="str">
        <f>""</f>
        <v/>
      </c>
      <c r="DT725" t="str">
        <f>""</f>
        <v/>
      </c>
      <c r="DU725" t="str">
        <f>""</f>
        <v/>
      </c>
    </row>
    <row r="726" spans="1:125" x14ac:dyDescent="0.25">
      <c r="A726" t="str">
        <f>$A$222</f>
        <v xml:space="preserve">    Ford Otomotiv Sanayi AS</v>
      </c>
      <c r="B726" t="str">
        <f>$B$222</f>
        <v>FROTOTRY EO Equity</v>
      </c>
      <c r="C726" t="str">
        <f>$C$222</f>
        <v>RR843</v>
      </c>
      <c r="D726" t="str">
        <f>$D$222</f>
        <v>TRAIL_12M_FREE_CASH_FLOW</v>
      </c>
      <c r="E726" t="str">
        <f>$E$222</f>
        <v>Dynamic</v>
      </c>
      <c r="F726" t="str">
        <f ca="1">_xll.BDH($B$222,$C$222,$B$509,$B$510,CONCATENATE("Per=",$B$507),"Dts=H","Dir=H",CONCATENATE("Points=",$B$508),"Sort=R","Days=A","Fill=B",CONCATENATE("FX=", $B$506) )</f>
        <v>#N/A Connection</v>
      </c>
      <c r="BN726" t="str">
        <f>""</f>
        <v/>
      </c>
      <c r="BO726" t="str">
        <f>""</f>
        <v/>
      </c>
      <c r="BP726" t="str">
        <f>""</f>
        <v/>
      </c>
      <c r="BQ726" t="str">
        <f>""</f>
        <v/>
      </c>
      <c r="BR726" t="str">
        <f>""</f>
        <v/>
      </c>
      <c r="BS726" t="str">
        <f>""</f>
        <v/>
      </c>
      <c r="BT726" t="str">
        <f>""</f>
        <v/>
      </c>
      <c r="BU726" t="str">
        <f>""</f>
        <v/>
      </c>
      <c r="BV726" t="str">
        <f>""</f>
        <v/>
      </c>
      <c r="BW726" t="str">
        <f>""</f>
        <v/>
      </c>
      <c r="BX726" t="str">
        <f>""</f>
        <v/>
      </c>
      <c r="BY726" t="str">
        <f>""</f>
        <v/>
      </c>
      <c r="BZ726" t="str">
        <f>""</f>
        <v/>
      </c>
      <c r="CA726" t="str">
        <f>""</f>
        <v/>
      </c>
      <c r="CB726" t="str">
        <f>""</f>
        <v/>
      </c>
      <c r="CC726" t="str">
        <f>""</f>
        <v/>
      </c>
      <c r="CD726" t="str">
        <f>""</f>
        <v/>
      </c>
      <c r="CE726" t="str">
        <f>""</f>
        <v/>
      </c>
      <c r="CF726" t="str">
        <f>""</f>
        <v/>
      </c>
      <c r="CG726" t="str">
        <f>""</f>
        <v/>
      </c>
      <c r="CH726" t="str">
        <f>""</f>
        <v/>
      </c>
      <c r="CI726" t="str">
        <f>""</f>
        <v/>
      </c>
      <c r="CJ726" t="str">
        <f>""</f>
        <v/>
      </c>
      <c r="CK726" t="str">
        <f>""</f>
        <v/>
      </c>
      <c r="CL726" t="str">
        <f>""</f>
        <v/>
      </c>
      <c r="CM726" t="str">
        <f>""</f>
        <v/>
      </c>
      <c r="CN726" t="str">
        <f>""</f>
        <v/>
      </c>
      <c r="CO726" t="str">
        <f>""</f>
        <v/>
      </c>
      <c r="CP726" t="str">
        <f>""</f>
        <v/>
      </c>
      <c r="CQ726" t="str">
        <f>""</f>
        <v/>
      </c>
      <c r="CR726" t="str">
        <f>""</f>
        <v/>
      </c>
      <c r="CS726" t="str">
        <f>""</f>
        <v/>
      </c>
      <c r="CT726" t="str">
        <f>""</f>
        <v/>
      </c>
      <c r="CU726" t="str">
        <f>""</f>
        <v/>
      </c>
      <c r="CV726" t="str">
        <f>""</f>
        <v/>
      </c>
      <c r="CW726" t="str">
        <f>""</f>
        <v/>
      </c>
      <c r="CX726" t="str">
        <f>""</f>
        <v/>
      </c>
      <c r="CY726" t="str">
        <f>""</f>
        <v/>
      </c>
      <c r="CZ726" t="str">
        <f>""</f>
        <v/>
      </c>
      <c r="DA726" t="str">
        <f>""</f>
        <v/>
      </c>
      <c r="DB726" t="str">
        <f>""</f>
        <v/>
      </c>
      <c r="DC726" t="str">
        <f>""</f>
        <v/>
      </c>
      <c r="DD726" t="str">
        <f>""</f>
        <v/>
      </c>
      <c r="DE726" t="str">
        <f>""</f>
        <v/>
      </c>
      <c r="DF726" t="str">
        <f>""</f>
        <v/>
      </c>
      <c r="DG726" t="str">
        <f>""</f>
        <v/>
      </c>
      <c r="DH726" t="str">
        <f>""</f>
        <v/>
      </c>
      <c r="DI726" t="str">
        <f>""</f>
        <v/>
      </c>
      <c r="DJ726" t="str">
        <f>""</f>
        <v/>
      </c>
      <c r="DK726" t="str">
        <f>""</f>
        <v/>
      </c>
      <c r="DL726" t="str">
        <f>""</f>
        <v/>
      </c>
      <c r="DM726" t="str">
        <f>""</f>
        <v/>
      </c>
      <c r="DN726" t="str">
        <f>""</f>
        <v/>
      </c>
      <c r="DO726" t="str">
        <f>""</f>
        <v/>
      </c>
      <c r="DP726" t="str">
        <f>""</f>
        <v/>
      </c>
      <c r="DQ726" t="str">
        <f>""</f>
        <v/>
      </c>
      <c r="DR726" t="str">
        <f>""</f>
        <v/>
      </c>
      <c r="DS726" t="str">
        <f>""</f>
        <v/>
      </c>
      <c r="DT726" t="str">
        <f>""</f>
        <v/>
      </c>
      <c r="DU726" t="str">
        <f>""</f>
        <v/>
      </c>
    </row>
    <row r="727" spans="1:125" x14ac:dyDescent="0.25">
      <c r="A727" t="str">
        <f>$A$223</f>
        <v xml:space="preserve">    GAZ PJSC</v>
      </c>
      <c r="B727" t="str">
        <f>$B$223</f>
        <v>GAZA RM Equity</v>
      </c>
      <c r="C727" t="str">
        <f>$C$223</f>
        <v>RR843</v>
      </c>
      <c r="D727" t="str">
        <f>$D$223</f>
        <v>TRAIL_12M_FREE_CASH_FLOW</v>
      </c>
      <c r="E727" t="str">
        <f>$E$223</f>
        <v>Dynamic</v>
      </c>
      <c r="F727" t="str">
        <f ca="1">_xll.BDH($B$223,$C$223,$B$509,$B$510,CONCATENATE("Per=",$B$507),"Dts=H","Dir=H",CONCATENATE("Points=",$B$508),"Sort=R","Days=A","Fill=B",CONCATENATE("FX=", $B$506) )</f>
        <v>#N/A Connection</v>
      </c>
      <c r="BN727" t="str">
        <f>""</f>
        <v/>
      </c>
      <c r="BO727" t="str">
        <f>""</f>
        <v/>
      </c>
      <c r="BP727" t="str">
        <f>""</f>
        <v/>
      </c>
      <c r="BQ727" t="str">
        <f>""</f>
        <v/>
      </c>
      <c r="BR727" t="str">
        <f>""</f>
        <v/>
      </c>
      <c r="BS727" t="str">
        <f>""</f>
        <v/>
      </c>
      <c r="BT727" t="str">
        <f>""</f>
        <v/>
      </c>
      <c r="BU727" t="str">
        <f>""</f>
        <v/>
      </c>
      <c r="BV727" t="str">
        <f>""</f>
        <v/>
      </c>
      <c r="BW727" t="str">
        <f>""</f>
        <v/>
      </c>
      <c r="BX727" t="str">
        <f>""</f>
        <v/>
      </c>
      <c r="BY727" t="str">
        <f>""</f>
        <v/>
      </c>
      <c r="BZ727" t="str">
        <f>""</f>
        <v/>
      </c>
      <c r="CA727" t="str">
        <f>""</f>
        <v/>
      </c>
      <c r="CB727" t="str">
        <f>""</f>
        <v/>
      </c>
      <c r="CC727" t="str">
        <f>""</f>
        <v/>
      </c>
      <c r="CD727" t="str">
        <f>""</f>
        <v/>
      </c>
      <c r="CE727" t="str">
        <f>""</f>
        <v/>
      </c>
      <c r="CF727" t="str">
        <f>""</f>
        <v/>
      </c>
      <c r="CG727" t="str">
        <f>""</f>
        <v/>
      </c>
      <c r="CH727" t="str">
        <f>""</f>
        <v/>
      </c>
      <c r="CI727" t="str">
        <f>""</f>
        <v/>
      </c>
      <c r="CJ727" t="str">
        <f>""</f>
        <v/>
      </c>
      <c r="CK727" t="str">
        <f>""</f>
        <v/>
      </c>
      <c r="CL727" t="str">
        <f>""</f>
        <v/>
      </c>
      <c r="CM727" t="str">
        <f>""</f>
        <v/>
      </c>
      <c r="CN727" t="str">
        <f>""</f>
        <v/>
      </c>
      <c r="CO727" t="str">
        <f>""</f>
        <v/>
      </c>
      <c r="CP727" t="str">
        <f>""</f>
        <v/>
      </c>
      <c r="CQ727" t="str">
        <f>""</f>
        <v/>
      </c>
      <c r="CR727" t="str">
        <f>""</f>
        <v/>
      </c>
      <c r="CS727" t="str">
        <f>""</f>
        <v/>
      </c>
      <c r="CT727" t="str">
        <f>""</f>
        <v/>
      </c>
      <c r="CU727" t="str">
        <f>""</f>
        <v/>
      </c>
      <c r="CV727" t="str">
        <f>""</f>
        <v/>
      </c>
      <c r="CW727" t="str">
        <f>""</f>
        <v/>
      </c>
      <c r="CX727" t="str">
        <f>""</f>
        <v/>
      </c>
      <c r="CY727" t="str">
        <f>""</f>
        <v/>
      </c>
      <c r="CZ727" t="str">
        <f>""</f>
        <v/>
      </c>
      <c r="DA727" t="str">
        <f>""</f>
        <v/>
      </c>
      <c r="DB727" t="str">
        <f>""</f>
        <v/>
      </c>
      <c r="DC727" t="str">
        <f>""</f>
        <v/>
      </c>
      <c r="DD727" t="str">
        <f>""</f>
        <v/>
      </c>
      <c r="DE727" t="str">
        <f>""</f>
        <v/>
      </c>
      <c r="DF727" t="str">
        <f>""</f>
        <v/>
      </c>
      <c r="DG727" t="str">
        <f>""</f>
        <v/>
      </c>
      <c r="DH727" t="str">
        <f>""</f>
        <v/>
      </c>
      <c r="DI727" t="str">
        <f>""</f>
        <v/>
      </c>
      <c r="DJ727" t="str">
        <f>""</f>
        <v/>
      </c>
      <c r="DK727" t="str">
        <f>""</f>
        <v/>
      </c>
      <c r="DL727" t="str">
        <f>""</f>
        <v/>
      </c>
      <c r="DM727" t="str">
        <f>""</f>
        <v/>
      </c>
      <c r="DN727" t="str">
        <f>""</f>
        <v/>
      </c>
      <c r="DO727" t="str">
        <f>""</f>
        <v/>
      </c>
      <c r="DP727" t="str">
        <f>""</f>
        <v/>
      </c>
      <c r="DQ727" t="str">
        <f>""</f>
        <v/>
      </c>
      <c r="DR727" t="str">
        <f>""</f>
        <v/>
      </c>
      <c r="DS727" t="str">
        <f>""</f>
        <v/>
      </c>
      <c r="DT727" t="str">
        <f>""</f>
        <v/>
      </c>
      <c r="DU727" t="str">
        <f>""</f>
        <v/>
      </c>
    </row>
    <row r="728" spans="1:125" x14ac:dyDescent="0.25">
      <c r="A728" t="str">
        <f>$A$224</f>
        <v xml:space="preserve">    Geely Automobile Holdings Ltd</v>
      </c>
      <c r="B728" t="str">
        <f>$B$224</f>
        <v>175 HK Equity</v>
      </c>
      <c r="C728" t="str">
        <f>$C$224</f>
        <v>RR843</v>
      </c>
      <c r="D728" t="str">
        <f>$D$224</f>
        <v>TRAIL_12M_FREE_CASH_FLOW</v>
      </c>
      <c r="E728" t="str">
        <f>$E$224</f>
        <v>Dynamic</v>
      </c>
      <c r="F728" t="str">
        <f ca="1">_xll.BDH($B$224,$C$224,$B$509,$B$510,CONCATENATE("Per=",$B$507),"Dts=H","Dir=H",CONCATENATE("Points=",$B$508),"Sort=R","Days=A","Fill=B",CONCATENATE("FX=", $B$506) )</f>
        <v>#N/A Connection</v>
      </c>
      <c r="BN728" t="str">
        <f>""</f>
        <v/>
      </c>
      <c r="BO728" t="str">
        <f>""</f>
        <v/>
      </c>
      <c r="BP728" t="str">
        <f>""</f>
        <v/>
      </c>
      <c r="BQ728" t="str">
        <f>""</f>
        <v/>
      </c>
      <c r="BR728" t="str">
        <f>""</f>
        <v/>
      </c>
      <c r="BS728" t="str">
        <f>""</f>
        <v/>
      </c>
      <c r="BT728" t="str">
        <f>""</f>
        <v/>
      </c>
      <c r="BU728" t="str">
        <f>""</f>
        <v/>
      </c>
      <c r="BV728" t="str">
        <f>""</f>
        <v/>
      </c>
      <c r="BW728" t="str">
        <f>""</f>
        <v/>
      </c>
      <c r="BX728" t="str">
        <f>""</f>
        <v/>
      </c>
      <c r="BY728" t="str">
        <f>""</f>
        <v/>
      </c>
      <c r="BZ728" t="str">
        <f>""</f>
        <v/>
      </c>
      <c r="CA728" t="str">
        <f>""</f>
        <v/>
      </c>
      <c r="CB728" t="str">
        <f>""</f>
        <v/>
      </c>
      <c r="CC728" t="str">
        <f>""</f>
        <v/>
      </c>
      <c r="CD728" t="str">
        <f>""</f>
        <v/>
      </c>
      <c r="CE728" t="str">
        <f>""</f>
        <v/>
      </c>
      <c r="CF728" t="str">
        <f>""</f>
        <v/>
      </c>
      <c r="CG728" t="str">
        <f>""</f>
        <v/>
      </c>
      <c r="CH728" t="str">
        <f>""</f>
        <v/>
      </c>
      <c r="CI728" t="str">
        <f>""</f>
        <v/>
      </c>
      <c r="CJ728" t="str">
        <f>""</f>
        <v/>
      </c>
      <c r="CK728" t="str">
        <f>""</f>
        <v/>
      </c>
      <c r="CL728" t="str">
        <f>""</f>
        <v/>
      </c>
      <c r="CM728" t="str">
        <f>""</f>
        <v/>
      </c>
      <c r="CN728" t="str">
        <f>""</f>
        <v/>
      </c>
      <c r="CO728" t="str">
        <f>""</f>
        <v/>
      </c>
      <c r="CP728" t="str">
        <f>""</f>
        <v/>
      </c>
      <c r="CQ728" t="str">
        <f>""</f>
        <v/>
      </c>
      <c r="CR728" t="str">
        <f>""</f>
        <v/>
      </c>
      <c r="CS728" t="str">
        <f>""</f>
        <v/>
      </c>
      <c r="CT728" t="str">
        <f>""</f>
        <v/>
      </c>
      <c r="CU728" t="str">
        <f>""</f>
        <v/>
      </c>
      <c r="CV728" t="str">
        <f>""</f>
        <v/>
      </c>
      <c r="CW728" t="str">
        <f>""</f>
        <v/>
      </c>
      <c r="CX728" t="str">
        <f>""</f>
        <v/>
      </c>
      <c r="CY728" t="str">
        <f>""</f>
        <v/>
      </c>
      <c r="CZ728" t="str">
        <f>""</f>
        <v/>
      </c>
      <c r="DA728" t="str">
        <f>""</f>
        <v/>
      </c>
      <c r="DB728" t="str">
        <f>""</f>
        <v/>
      </c>
      <c r="DC728" t="str">
        <f>""</f>
        <v/>
      </c>
      <c r="DD728" t="str">
        <f>""</f>
        <v/>
      </c>
      <c r="DE728" t="str">
        <f>""</f>
        <v/>
      </c>
      <c r="DF728" t="str">
        <f>""</f>
        <v/>
      </c>
      <c r="DG728" t="str">
        <f>""</f>
        <v/>
      </c>
      <c r="DH728" t="str">
        <f>""</f>
        <v/>
      </c>
      <c r="DI728" t="str">
        <f>""</f>
        <v/>
      </c>
      <c r="DJ728" t="str">
        <f>""</f>
        <v/>
      </c>
      <c r="DK728" t="str">
        <f>""</f>
        <v/>
      </c>
      <c r="DL728" t="str">
        <f>""</f>
        <v/>
      </c>
      <c r="DM728" t="str">
        <f>""</f>
        <v/>
      </c>
      <c r="DN728" t="str">
        <f>""</f>
        <v/>
      </c>
      <c r="DO728" t="str">
        <f>""</f>
        <v/>
      </c>
      <c r="DP728" t="str">
        <f>""</f>
        <v/>
      </c>
      <c r="DQ728" t="str">
        <f>""</f>
        <v/>
      </c>
      <c r="DR728" t="str">
        <f>""</f>
        <v/>
      </c>
      <c r="DS728" t="str">
        <f>""</f>
        <v/>
      </c>
      <c r="DT728" t="str">
        <f>""</f>
        <v/>
      </c>
      <c r="DU728" t="str">
        <f>""</f>
        <v/>
      </c>
    </row>
    <row r="729" spans="1:125" x14ac:dyDescent="0.25">
      <c r="A729" t="str">
        <f>$A$225</f>
        <v xml:space="preserve">    General Motors Co</v>
      </c>
      <c r="B729" t="str">
        <f>$B$225</f>
        <v>GM US Equity</v>
      </c>
      <c r="C729" t="str">
        <f>$C$225</f>
        <v>RR843</v>
      </c>
      <c r="D729" t="str">
        <f>$D$225</f>
        <v>TRAIL_12M_FREE_CASH_FLOW</v>
      </c>
      <c r="E729" t="str">
        <f>$E$225</f>
        <v>Dynamic</v>
      </c>
      <c r="F729" t="str">
        <f ca="1">_xll.BDH($B$225,$C$225,$B$509,$B$510,CONCATENATE("Per=",$B$507),"Dts=H","Dir=H",CONCATENATE("Points=",$B$508),"Sort=R","Days=A","Fill=B",CONCATENATE("FX=", $B$506) )</f>
        <v>#N/A Connection</v>
      </c>
      <c r="BN729" t="str">
        <f>""</f>
        <v/>
      </c>
      <c r="BO729" t="str">
        <f>""</f>
        <v/>
      </c>
      <c r="BP729" t="str">
        <f>""</f>
        <v/>
      </c>
      <c r="BQ729" t="str">
        <f>""</f>
        <v/>
      </c>
      <c r="BR729" t="str">
        <f>""</f>
        <v/>
      </c>
      <c r="BS729" t="str">
        <f>""</f>
        <v/>
      </c>
      <c r="BT729" t="str">
        <f>""</f>
        <v/>
      </c>
      <c r="BU729" t="str">
        <f>""</f>
        <v/>
      </c>
      <c r="BV729" t="str">
        <f>""</f>
        <v/>
      </c>
      <c r="BW729" t="str">
        <f>""</f>
        <v/>
      </c>
      <c r="BX729" t="str">
        <f>""</f>
        <v/>
      </c>
      <c r="BY729" t="str">
        <f>""</f>
        <v/>
      </c>
      <c r="BZ729" t="str">
        <f>""</f>
        <v/>
      </c>
      <c r="CA729" t="str">
        <f>""</f>
        <v/>
      </c>
      <c r="CB729" t="str">
        <f>""</f>
        <v/>
      </c>
      <c r="CC729" t="str">
        <f>""</f>
        <v/>
      </c>
      <c r="CD729" t="str">
        <f>""</f>
        <v/>
      </c>
      <c r="CE729" t="str">
        <f>""</f>
        <v/>
      </c>
      <c r="CF729" t="str">
        <f>""</f>
        <v/>
      </c>
      <c r="CG729" t="str">
        <f>""</f>
        <v/>
      </c>
      <c r="CH729" t="str">
        <f>""</f>
        <v/>
      </c>
      <c r="CI729" t="str">
        <f>""</f>
        <v/>
      </c>
      <c r="CJ729" t="str">
        <f>""</f>
        <v/>
      </c>
      <c r="CK729" t="str">
        <f>""</f>
        <v/>
      </c>
      <c r="CL729" t="str">
        <f>""</f>
        <v/>
      </c>
      <c r="CM729" t="str">
        <f>""</f>
        <v/>
      </c>
      <c r="CN729" t="str">
        <f>""</f>
        <v/>
      </c>
      <c r="CO729" t="str">
        <f>""</f>
        <v/>
      </c>
      <c r="CP729" t="str">
        <f>""</f>
        <v/>
      </c>
      <c r="CQ729" t="str">
        <f>""</f>
        <v/>
      </c>
      <c r="CR729" t="str">
        <f>""</f>
        <v/>
      </c>
      <c r="CS729" t="str">
        <f>""</f>
        <v/>
      </c>
      <c r="CT729" t="str">
        <f>""</f>
        <v/>
      </c>
      <c r="CU729" t="str">
        <f>""</f>
        <v/>
      </c>
      <c r="CV729" t="str">
        <f>""</f>
        <v/>
      </c>
      <c r="CW729" t="str">
        <f>""</f>
        <v/>
      </c>
      <c r="CX729" t="str">
        <f>""</f>
        <v/>
      </c>
      <c r="CY729" t="str">
        <f>""</f>
        <v/>
      </c>
      <c r="CZ729" t="str">
        <f>""</f>
        <v/>
      </c>
      <c r="DA729" t="str">
        <f>""</f>
        <v/>
      </c>
      <c r="DB729" t="str">
        <f>""</f>
        <v/>
      </c>
      <c r="DC729" t="str">
        <f>""</f>
        <v/>
      </c>
      <c r="DD729" t="str">
        <f>""</f>
        <v/>
      </c>
      <c r="DE729" t="str">
        <f>""</f>
        <v/>
      </c>
      <c r="DF729" t="str">
        <f>""</f>
        <v/>
      </c>
      <c r="DG729" t="str">
        <f>""</f>
        <v/>
      </c>
      <c r="DH729" t="str">
        <f>""</f>
        <v/>
      </c>
      <c r="DI729" t="str">
        <f>""</f>
        <v/>
      </c>
      <c r="DJ729" t="str">
        <f>""</f>
        <v/>
      </c>
      <c r="DK729" t="str">
        <f>""</f>
        <v/>
      </c>
      <c r="DL729" t="str">
        <f>""</f>
        <v/>
      </c>
      <c r="DM729" t="str">
        <f>""</f>
        <v/>
      </c>
      <c r="DN729" t="str">
        <f>""</f>
        <v/>
      </c>
      <c r="DO729" t="str">
        <f>""</f>
        <v/>
      </c>
      <c r="DP729" t="str">
        <f>""</f>
        <v/>
      </c>
      <c r="DQ729" t="str">
        <f>""</f>
        <v/>
      </c>
      <c r="DR729" t="str">
        <f>""</f>
        <v/>
      </c>
      <c r="DS729" t="str">
        <f>""</f>
        <v/>
      </c>
      <c r="DT729" t="str">
        <f>""</f>
        <v/>
      </c>
      <c r="DU729" t="str">
        <f>""</f>
        <v/>
      </c>
    </row>
    <row r="730" spans="1:125" x14ac:dyDescent="0.25">
      <c r="A730" t="str">
        <f>$A$226</f>
        <v xml:space="preserve">    Great Wall Motor Co Ltd</v>
      </c>
      <c r="B730" t="str">
        <f>$B$226</f>
        <v>2333 HK Equity</v>
      </c>
      <c r="C730" t="str">
        <f>$C$226</f>
        <v>RR843</v>
      </c>
      <c r="D730" t="str">
        <f>$D$226</f>
        <v>TRAIL_12M_FREE_CASH_FLOW</v>
      </c>
      <c r="E730" t="str">
        <f>$E$226</f>
        <v>Dynamic</v>
      </c>
      <c r="F730" t="str">
        <f ca="1">_xll.BDH($B$226,$C$226,$B$509,$B$510,CONCATENATE("Per=",$B$507),"Dts=H","Dir=H",CONCATENATE("Points=",$B$508),"Sort=R","Days=A","Fill=B",CONCATENATE("FX=", $B$506) )</f>
        <v>#N/A Connection</v>
      </c>
      <c r="BN730" t="str">
        <f>""</f>
        <v/>
      </c>
      <c r="BO730" t="str">
        <f>""</f>
        <v/>
      </c>
      <c r="BP730" t="str">
        <f>""</f>
        <v/>
      </c>
      <c r="BQ730" t="str">
        <f>""</f>
        <v/>
      </c>
      <c r="BR730" t="str">
        <f>""</f>
        <v/>
      </c>
      <c r="BS730" t="str">
        <f>""</f>
        <v/>
      </c>
      <c r="BT730" t="str">
        <f>""</f>
        <v/>
      </c>
      <c r="BU730" t="str">
        <f>""</f>
        <v/>
      </c>
      <c r="BV730" t="str">
        <f>""</f>
        <v/>
      </c>
      <c r="BW730" t="str">
        <f>""</f>
        <v/>
      </c>
      <c r="BX730" t="str">
        <f>""</f>
        <v/>
      </c>
      <c r="BY730" t="str">
        <f>""</f>
        <v/>
      </c>
      <c r="BZ730" t="str">
        <f>""</f>
        <v/>
      </c>
      <c r="CA730" t="str">
        <f>""</f>
        <v/>
      </c>
      <c r="CB730" t="str">
        <f>""</f>
        <v/>
      </c>
      <c r="CC730" t="str">
        <f>""</f>
        <v/>
      </c>
      <c r="CD730" t="str">
        <f>""</f>
        <v/>
      </c>
      <c r="CE730" t="str">
        <f>""</f>
        <v/>
      </c>
      <c r="CF730" t="str">
        <f>""</f>
        <v/>
      </c>
      <c r="CG730" t="str">
        <f>""</f>
        <v/>
      </c>
      <c r="CH730" t="str">
        <f>""</f>
        <v/>
      </c>
      <c r="CI730" t="str">
        <f>""</f>
        <v/>
      </c>
      <c r="CJ730" t="str">
        <f>""</f>
        <v/>
      </c>
      <c r="CK730" t="str">
        <f>""</f>
        <v/>
      </c>
      <c r="CL730" t="str">
        <f>""</f>
        <v/>
      </c>
      <c r="CM730" t="str">
        <f>""</f>
        <v/>
      </c>
      <c r="CN730" t="str">
        <f>""</f>
        <v/>
      </c>
      <c r="CO730" t="str">
        <f>""</f>
        <v/>
      </c>
      <c r="CP730" t="str">
        <f>""</f>
        <v/>
      </c>
      <c r="CQ730" t="str">
        <f>""</f>
        <v/>
      </c>
      <c r="CR730" t="str">
        <f>""</f>
        <v/>
      </c>
      <c r="CS730" t="str">
        <f>""</f>
        <v/>
      </c>
      <c r="CT730" t="str">
        <f>""</f>
        <v/>
      </c>
      <c r="CU730" t="str">
        <f>""</f>
        <v/>
      </c>
      <c r="CV730" t="str">
        <f>""</f>
        <v/>
      </c>
      <c r="CW730" t="str">
        <f>""</f>
        <v/>
      </c>
      <c r="CX730" t="str">
        <f>""</f>
        <v/>
      </c>
      <c r="CY730" t="str">
        <f>""</f>
        <v/>
      </c>
      <c r="CZ730" t="str">
        <f>""</f>
        <v/>
      </c>
      <c r="DA730" t="str">
        <f>""</f>
        <v/>
      </c>
      <c r="DB730" t="str">
        <f>""</f>
        <v/>
      </c>
      <c r="DC730" t="str">
        <f>""</f>
        <v/>
      </c>
      <c r="DD730" t="str">
        <f>""</f>
        <v/>
      </c>
      <c r="DE730" t="str">
        <f>""</f>
        <v/>
      </c>
      <c r="DF730" t="str">
        <f>""</f>
        <v/>
      </c>
      <c r="DG730" t="str">
        <f>""</f>
        <v/>
      </c>
      <c r="DH730" t="str">
        <f>""</f>
        <v/>
      </c>
      <c r="DI730" t="str">
        <f>""</f>
        <v/>
      </c>
      <c r="DJ730" t="str">
        <f>""</f>
        <v/>
      </c>
      <c r="DK730" t="str">
        <f>""</f>
        <v/>
      </c>
      <c r="DL730" t="str">
        <f>""</f>
        <v/>
      </c>
      <c r="DM730" t="str">
        <f>""</f>
        <v/>
      </c>
      <c r="DN730" t="str">
        <f>""</f>
        <v/>
      </c>
      <c r="DO730" t="str">
        <f>""</f>
        <v/>
      </c>
      <c r="DP730" t="str">
        <f>""</f>
        <v/>
      </c>
      <c r="DQ730" t="str">
        <f>""</f>
        <v/>
      </c>
      <c r="DR730" t="str">
        <f>""</f>
        <v/>
      </c>
      <c r="DS730" t="str">
        <f>""</f>
        <v/>
      </c>
      <c r="DT730" t="str">
        <f>""</f>
        <v/>
      </c>
      <c r="DU730" t="str">
        <f>""</f>
        <v/>
      </c>
    </row>
    <row r="731" spans="1:125" x14ac:dyDescent="0.25">
      <c r="A731" t="str">
        <f>$A$227</f>
        <v xml:space="preserve">    Guangzhou Automobile Group Co Ltd</v>
      </c>
      <c r="B731" t="str">
        <f>$B$227</f>
        <v>2238 HK Equity</v>
      </c>
      <c r="C731" t="str">
        <f>$C$227</f>
        <v>RR843</v>
      </c>
      <c r="D731" t="str">
        <f>$D$227</f>
        <v>TRAIL_12M_FREE_CASH_FLOW</v>
      </c>
      <c r="E731" t="str">
        <f>$E$227</f>
        <v>Dynamic</v>
      </c>
      <c r="F731" t="str">
        <f ca="1">_xll.BDH($B$227,$C$227,$B$509,$B$510,CONCATENATE("Per=",$B$507),"Dts=H","Dir=H",CONCATENATE("Points=",$B$508),"Sort=R","Days=A","Fill=B",CONCATENATE("FX=", $B$506) )</f>
        <v>#N/A Connection</v>
      </c>
      <c r="BN731" t="str">
        <f>""</f>
        <v/>
      </c>
      <c r="BO731" t="str">
        <f>""</f>
        <v/>
      </c>
      <c r="BP731" t="str">
        <f>""</f>
        <v/>
      </c>
      <c r="BQ731" t="str">
        <f>""</f>
        <v/>
      </c>
      <c r="BR731" t="str">
        <f>""</f>
        <v/>
      </c>
      <c r="BS731" t="str">
        <f>""</f>
        <v/>
      </c>
      <c r="BT731" t="str">
        <f>""</f>
        <v/>
      </c>
      <c r="BU731" t="str">
        <f>""</f>
        <v/>
      </c>
      <c r="BV731" t="str">
        <f>""</f>
        <v/>
      </c>
      <c r="BW731" t="str">
        <f>""</f>
        <v/>
      </c>
      <c r="BX731" t="str">
        <f>""</f>
        <v/>
      </c>
      <c r="BY731" t="str">
        <f>""</f>
        <v/>
      </c>
      <c r="BZ731" t="str">
        <f>""</f>
        <v/>
      </c>
      <c r="CA731" t="str">
        <f>""</f>
        <v/>
      </c>
      <c r="CB731" t="str">
        <f>""</f>
        <v/>
      </c>
      <c r="CC731" t="str">
        <f>""</f>
        <v/>
      </c>
      <c r="CD731" t="str">
        <f>""</f>
        <v/>
      </c>
      <c r="CE731" t="str">
        <f>""</f>
        <v/>
      </c>
      <c r="CF731" t="str">
        <f>""</f>
        <v/>
      </c>
      <c r="CG731" t="str">
        <f>""</f>
        <v/>
      </c>
      <c r="CH731" t="str">
        <f>""</f>
        <v/>
      </c>
      <c r="CI731" t="str">
        <f>""</f>
        <v/>
      </c>
      <c r="CJ731" t="str">
        <f>""</f>
        <v/>
      </c>
      <c r="CK731" t="str">
        <f>""</f>
        <v/>
      </c>
      <c r="CL731" t="str">
        <f>""</f>
        <v/>
      </c>
      <c r="CM731" t="str">
        <f>""</f>
        <v/>
      </c>
      <c r="CN731" t="str">
        <f>""</f>
        <v/>
      </c>
      <c r="CO731" t="str">
        <f>""</f>
        <v/>
      </c>
      <c r="CP731" t="str">
        <f>""</f>
        <v/>
      </c>
      <c r="CQ731" t="str">
        <f>""</f>
        <v/>
      </c>
      <c r="CR731" t="str">
        <f>""</f>
        <v/>
      </c>
      <c r="CS731" t="str">
        <f>""</f>
        <v/>
      </c>
      <c r="CT731" t="str">
        <f>""</f>
        <v/>
      </c>
      <c r="CU731" t="str">
        <f>""</f>
        <v/>
      </c>
      <c r="CV731" t="str">
        <f>""</f>
        <v/>
      </c>
      <c r="CW731" t="str">
        <f>""</f>
        <v/>
      </c>
      <c r="CX731" t="str">
        <f>""</f>
        <v/>
      </c>
      <c r="CY731" t="str">
        <f>""</f>
        <v/>
      </c>
      <c r="CZ731" t="str">
        <f>""</f>
        <v/>
      </c>
      <c r="DA731" t="str">
        <f>""</f>
        <v/>
      </c>
      <c r="DB731" t="str">
        <f>""</f>
        <v/>
      </c>
      <c r="DC731" t="str">
        <f>""</f>
        <v/>
      </c>
      <c r="DD731" t="str">
        <f>""</f>
        <v/>
      </c>
      <c r="DE731" t="str">
        <f>""</f>
        <v/>
      </c>
      <c r="DF731" t="str">
        <f>""</f>
        <v/>
      </c>
      <c r="DG731" t="str">
        <f>""</f>
        <v/>
      </c>
      <c r="DH731" t="str">
        <f>""</f>
        <v/>
      </c>
      <c r="DI731" t="str">
        <f>""</f>
        <v/>
      </c>
      <c r="DJ731" t="str">
        <f>""</f>
        <v/>
      </c>
      <c r="DK731" t="str">
        <f>""</f>
        <v/>
      </c>
      <c r="DL731" t="str">
        <f>""</f>
        <v/>
      </c>
      <c r="DM731" t="str">
        <f>""</f>
        <v/>
      </c>
      <c r="DN731" t="str">
        <f>""</f>
        <v/>
      </c>
      <c r="DO731" t="str">
        <f>""</f>
        <v/>
      </c>
      <c r="DP731" t="str">
        <f>""</f>
        <v/>
      </c>
      <c r="DQ731" t="str">
        <f>""</f>
        <v/>
      </c>
      <c r="DR731" t="str">
        <f>""</f>
        <v/>
      </c>
      <c r="DS731" t="str">
        <f>""</f>
        <v/>
      </c>
      <c r="DT731" t="str">
        <f>""</f>
        <v/>
      </c>
      <c r="DU731" t="str">
        <f>""</f>
        <v/>
      </c>
    </row>
    <row r="732" spans="1:125" x14ac:dyDescent="0.25">
      <c r="A732" t="str">
        <f>$A$228</f>
        <v xml:space="preserve">    Honda Motor Co Ltd</v>
      </c>
      <c r="B732" t="str">
        <f>$B$228</f>
        <v>7267 JP Equity</v>
      </c>
      <c r="C732" t="str">
        <f>$C$228</f>
        <v>RR843</v>
      </c>
      <c r="D732" t="str">
        <f>$D$228</f>
        <v>TRAIL_12M_FREE_CASH_FLOW</v>
      </c>
      <c r="E732" t="str">
        <f>$E$228</f>
        <v>Dynamic</v>
      </c>
      <c r="F732" t="str">
        <f ca="1">_xll.BDH($B$228,$C$228,$B$509,$B$510,CONCATENATE("Per=",$B$507),"Dts=H","Dir=H",CONCATENATE("Points=",$B$508),"Sort=R","Days=A","Fill=B",CONCATENATE("FX=", $B$506) )</f>
        <v>#N/A Connection</v>
      </c>
      <c r="BN732" t="str">
        <f>""</f>
        <v/>
      </c>
      <c r="BO732" t="str">
        <f>""</f>
        <v/>
      </c>
      <c r="BP732" t="str">
        <f>""</f>
        <v/>
      </c>
      <c r="BQ732" t="str">
        <f>""</f>
        <v/>
      </c>
      <c r="BR732" t="str">
        <f>""</f>
        <v/>
      </c>
      <c r="BS732" t="str">
        <f>""</f>
        <v/>
      </c>
      <c r="BT732" t="str">
        <f>""</f>
        <v/>
      </c>
      <c r="BU732" t="str">
        <f>""</f>
        <v/>
      </c>
      <c r="BV732" t="str">
        <f>""</f>
        <v/>
      </c>
      <c r="BW732" t="str">
        <f>""</f>
        <v/>
      </c>
      <c r="BX732" t="str">
        <f>""</f>
        <v/>
      </c>
      <c r="BY732" t="str">
        <f>""</f>
        <v/>
      </c>
      <c r="BZ732" t="str">
        <f>""</f>
        <v/>
      </c>
      <c r="CA732" t="str">
        <f>""</f>
        <v/>
      </c>
      <c r="CB732" t="str">
        <f>""</f>
        <v/>
      </c>
      <c r="CC732" t="str">
        <f>""</f>
        <v/>
      </c>
      <c r="CD732" t="str">
        <f>""</f>
        <v/>
      </c>
      <c r="CE732" t="str">
        <f>""</f>
        <v/>
      </c>
      <c r="CF732" t="str">
        <f>""</f>
        <v/>
      </c>
      <c r="CG732" t="str">
        <f>""</f>
        <v/>
      </c>
      <c r="CH732" t="str">
        <f>""</f>
        <v/>
      </c>
      <c r="CI732" t="str">
        <f>""</f>
        <v/>
      </c>
      <c r="CJ732" t="str">
        <f>""</f>
        <v/>
      </c>
      <c r="CK732" t="str">
        <f>""</f>
        <v/>
      </c>
      <c r="CL732" t="str">
        <f>""</f>
        <v/>
      </c>
      <c r="CM732" t="str">
        <f>""</f>
        <v/>
      </c>
      <c r="CN732" t="str">
        <f>""</f>
        <v/>
      </c>
      <c r="CO732" t="str">
        <f>""</f>
        <v/>
      </c>
      <c r="CP732" t="str">
        <f>""</f>
        <v/>
      </c>
      <c r="CQ732" t="str">
        <f>""</f>
        <v/>
      </c>
      <c r="CR732" t="str">
        <f>""</f>
        <v/>
      </c>
      <c r="CS732" t="str">
        <f>""</f>
        <v/>
      </c>
      <c r="CT732" t="str">
        <f>""</f>
        <v/>
      </c>
      <c r="CU732" t="str">
        <f>""</f>
        <v/>
      </c>
      <c r="CV732" t="str">
        <f>""</f>
        <v/>
      </c>
      <c r="CW732" t="str">
        <f>""</f>
        <v/>
      </c>
      <c r="CX732" t="str">
        <f>""</f>
        <v/>
      </c>
      <c r="CY732" t="str">
        <f>""</f>
        <v/>
      </c>
      <c r="CZ732" t="str">
        <f>""</f>
        <v/>
      </c>
      <c r="DA732" t="str">
        <f>""</f>
        <v/>
      </c>
      <c r="DB732" t="str">
        <f>""</f>
        <v/>
      </c>
      <c r="DC732" t="str">
        <f>""</f>
        <v/>
      </c>
      <c r="DD732" t="str">
        <f>""</f>
        <v/>
      </c>
      <c r="DE732" t="str">
        <f>""</f>
        <v/>
      </c>
      <c r="DF732" t="str">
        <f>""</f>
        <v/>
      </c>
      <c r="DG732" t="str">
        <f>""</f>
        <v/>
      </c>
      <c r="DH732" t="str">
        <f>""</f>
        <v/>
      </c>
      <c r="DI732" t="str">
        <f>""</f>
        <v/>
      </c>
      <c r="DJ732" t="str">
        <f>""</f>
        <v/>
      </c>
      <c r="DK732" t="str">
        <f>""</f>
        <v/>
      </c>
      <c r="DL732" t="str">
        <f>""</f>
        <v/>
      </c>
      <c r="DM732" t="str">
        <f>""</f>
        <v/>
      </c>
      <c r="DN732" t="str">
        <f>""</f>
        <v/>
      </c>
      <c r="DO732" t="str">
        <f>""</f>
        <v/>
      </c>
      <c r="DP732" t="str">
        <f>""</f>
        <v/>
      </c>
      <c r="DQ732" t="str">
        <f>""</f>
        <v/>
      </c>
      <c r="DR732" t="str">
        <f>""</f>
        <v/>
      </c>
      <c r="DS732" t="str">
        <f>""</f>
        <v/>
      </c>
      <c r="DT732" t="str">
        <f>""</f>
        <v/>
      </c>
      <c r="DU732" t="str">
        <f>""</f>
        <v/>
      </c>
    </row>
    <row r="733" spans="1:125" x14ac:dyDescent="0.25">
      <c r="A733" t="str">
        <f>$A$229</f>
        <v xml:space="preserve">    Hyundai Motor Co</v>
      </c>
      <c r="B733" t="str">
        <f>$B$229</f>
        <v>005380 KS Equity</v>
      </c>
      <c r="C733" t="str">
        <f>$C$229</f>
        <v>RR843</v>
      </c>
      <c r="D733" t="str">
        <f>$D$229</f>
        <v>TRAIL_12M_FREE_CASH_FLOW</v>
      </c>
      <c r="E733" t="str">
        <f>$E$229</f>
        <v>Dynamic</v>
      </c>
      <c r="F733" t="str">
        <f ca="1">_xll.BDH($B$229,$C$229,$B$509,$B$510,CONCATENATE("Per=",$B$507),"Dts=H","Dir=H",CONCATENATE("Points=",$B$508),"Sort=R","Days=A","Fill=B",CONCATENATE("FX=", $B$506) )</f>
        <v>#N/A Connection</v>
      </c>
      <c r="BN733" t="str">
        <f>""</f>
        <v/>
      </c>
      <c r="BO733" t="str">
        <f>""</f>
        <v/>
      </c>
      <c r="BP733" t="str">
        <f>""</f>
        <v/>
      </c>
      <c r="BQ733" t="str">
        <f>""</f>
        <v/>
      </c>
      <c r="BR733" t="str">
        <f>""</f>
        <v/>
      </c>
      <c r="BS733" t="str">
        <f>""</f>
        <v/>
      </c>
      <c r="BT733" t="str">
        <f>""</f>
        <v/>
      </c>
      <c r="BU733" t="str">
        <f>""</f>
        <v/>
      </c>
      <c r="BV733" t="str">
        <f>""</f>
        <v/>
      </c>
      <c r="BW733" t="str">
        <f>""</f>
        <v/>
      </c>
      <c r="BX733" t="str">
        <f>""</f>
        <v/>
      </c>
      <c r="BY733" t="str">
        <f>""</f>
        <v/>
      </c>
      <c r="BZ733" t="str">
        <f>""</f>
        <v/>
      </c>
      <c r="CA733" t="str">
        <f>""</f>
        <v/>
      </c>
      <c r="CB733" t="str">
        <f>""</f>
        <v/>
      </c>
      <c r="CC733" t="str">
        <f>""</f>
        <v/>
      </c>
      <c r="CD733" t="str">
        <f>""</f>
        <v/>
      </c>
      <c r="CE733" t="str">
        <f>""</f>
        <v/>
      </c>
      <c r="CF733" t="str">
        <f>""</f>
        <v/>
      </c>
      <c r="CG733" t="str">
        <f>""</f>
        <v/>
      </c>
      <c r="CH733" t="str">
        <f>""</f>
        <v/>
      </c>
      <c r="CI733" t="str">
        <f>""</f>
        <v/>
      </c>
      <c r="CJ733" t="str">
        <f>""</f>
        <v/>
      </c>
      <c r="CK733" t="str">
        <f>""</f>
        <v/>
      </c>
      <c r="CL733" t="str">
        <f>""</f>
        <v/>
      </c>
      <c r="CM733" t="str">
        <f>""</f>
        <v/>
      </c>
      <c r="CN733" t="str">
        <f>""</f>
        <v/>
      </c>
      <c r="CO733" t="str">
        <f>""</f>
        <v/>
      </c>
      <c r="CP733" t="str">
        <f>""</f>
        <v/>
      </c>
      <c r="CQ733" t="str">
        <f>""</f>
        <v/>
      </c>
      <c r="CR733" t="str">
        <f>""</f>
        <v/>
      </c>
      <c r="CS733" t="str">
        <f>""</f>
        <v/>
      </c>
      <c r="CT733" t="str">
        <f>""</f>
        <v/>
      </c>
      <c r="CU733" t="str">
        <f>""</f>
        <v/>
      </c>
      <c r="CV733" t="str">
        <f>""</f>
        <v/>
      </c>
      <c r="CW733" t="str">
        <f>""</f>
        <v/>
      </c>
      <c r="CX733" t="str">
        <f>""</f>
        <v/>
      </c>
      <c r="CY733" t="str">
        <f>""</f>
        <v/>
      </c>
      <c r="CZ733" t="str">
        <f>""</f>
        <v/>
      </c>
      <c r="DA733" t="str">
        <f>""</f>
        <v/>
      </c>
      <c r="DB733" t="str">
        <f>""</f>
        <v/>
      </c>
      <c r="DC733" t="str">
        <f>""</f>
        <v/>
      </c>
      <c r="DD733" t="str">
        <f>""</f>
        <v/>
      </c>
      <c r="DE733" t="str">
        <f>""</f>
        <v/>
      </c>
      <c r="DF733" t="str">
        <f>""</f>
        <v/>
      </c>
      <c r="DG733" t="str">
        <f>""</f>
        <v/>
      </c>
      <c r="DH733" t="str">
        <f>""</f>
        <v/>
      </c>
      <c r="DI733" t="str">
        <f>""</f>
        <v/>
      </c>
      <c r="DJ733" t="str">
        <f>""</f>
        <v/>
      </c>
      <c r="DK733" t="str">
        <f>""</f>
        <v/>
      </c>
      <c r="DL733" t="str">
        <f>""</f>
        <v/>
      </c>
      <c r="DM733" t="str">
        <f>""</f>
        <v/>
      </c>
      <c r="DN733" t="str">
        <f>""</f>
        <v/>
      </c>
      <c r="DO733" t="str">
        <f>""</f>
        <v/>
      </c>
      <c r="DP733" t="str">
        <f>""</f>
        <v/>
      </c>
      <c r="DQ733" t="str">
        <f>""</f>
        <v/>
      </c>
      <c r="DR733" t="str">
        <f>""</f>
        <v/>
      </c>
      <c r="DS733" t="str">
        <f>""</f>
        <v/>
      </c>
      <c r="DT733" t="str">
        <f>""</f>
        <v/>
      </c>
      <c r="DU733" t="str">
        <f>""</f>
        <v/>
      </c>
    </row>
    <row r="734" spans="1:125" x14ac:dyDescent="0.25">
      <c r="A734" t="str">
        <f>$A$230</f>
        <v xml:space="preserve">    Kia Motors Corp</v>
      </c>
      <c r="B734" t="str">
        <f>$B$230</f>
        <v>000270 KS Equity</v>
      </c>
      <c r="C734" t="str">
        <f>$C$230</f>
        <v>RR843</v>
      </c>
      <c r="D734" t="str">
        <f>$D$230</f>
        <v>TRAIL_12M_FREE_CASH_FLOW</v>
      </c>
      <c r="E734" t="str">
        <f>$E$230</f>
        <v>Dynamic</v>
      </c>
      <c r="F734" t="str">
        <f ca="1">_xll.BDH($B$230,$C$230,$B$509,$B$510,CONCATENATE("Per=",$B$507),"Dts=H","Dir=H",CONCATENATE("Points=",$B$508),"Sort=R","Days=A","Fill=B",CONCATENATE("FX=", $B$506) )</f>
        <v>#N/A Connection</v>
      </c>
      <c r="BN734" t="str">
        <f>""</f>
        <v/>
      </c>
      <c r="BO734" t="str">
        <f>""</f>
        <v/>
      </c>
      <c r="BP734" t="str">
        <f>""</f>
        <v/>
      </c>
      <c r="BQ734" t="str">
        <f>""</f>
        <v/>
      </c>
      <c r="BR734" t="str">
        <f>""</f>
        <v/>
      </c>
      <c r="BS734" t="str">
        <f>""</f>
        <v/>
      </c>
      <c r="BT734" t="str">
        <f>""</f>
        <v/>
      </c>
      <c r="BU734" t="str">
        <f>""</f>
        <v/>
      </c>
      <c r="BV734" t="str">
        <f>""</f>
        <v/>
      </c>
      <c r="BW734" t="str">
        <f>""</f>
        <v/>
      </c>
      <c r="BX734" t="str">
        <f>""</f>
        <v/>
      </c>
      <c r="BY734" t="str">
        <f>""</f>
        <v/>
      </c>
      <c r="BZ734" t="str">
        <f>""</f>
        <v/>
      </c>
      <c r="CA734" t="str">
        <f>""</f>
        <v/>
      </c>
      <c r="CB734" t="str">
        <f>""</f>
        <v/>
      </c>
      <c r="CC734" t="str">
        <f>""</f>
        <v/>
      </c>
      <c r="CD734" t="str">
        <f>""</f>
        <v/>
      </c>
      <c r="CE734" t="str">
        <f>""</f>
        <v/>
      </c>
      <c r="CF734" t="str">
        <f>""</f>
        <v/>
      </c>
      <c r="CG734" t="str">
        <f>""</f>
        <v/>
      </c>
      <c r="CH734" t="str">
        <f>""</f>
        <v/>
      </c>
      <c r="CI734" t="str">
        <f>""</f>
        <v/>
      </c>
      <c r="CJ734" t="str">
        <f>""</f>
        <v/>
      </c>
      <c r="CK734" t="str">
        <f>""</f>
        <v/>
      </c>
      <c r="CL734" t="str">
        <f>""</f>
        <v/>
      </c>
      <c r="CM734" t="str">
        <f>""</f>
        <v/>
      </c>
      <c r="CN734" t="str">
        <f>""</f>
        <v/>
      </c>
      <c r="CO734" t="str">
        <f>""</f>
        <v/>
      </c>
      <c r="CP734" t="str">
        <f>""</f>
        <v/>
      </c>
      <c r="CQ734" t="str">
        <f>""</f>
        <v/>
      </c>
      <c r="CR734" t="str">
        <f>""</f>
        <v/>
      </c>
      <c r="CS734" t="str">
        <f>""</f>
        <v/>
      </c>
      <c r="CT734" t="str">
        <f>""</f>
        <v/>
      </c>
      <c r="CU734" t="str">
        <f>""</f>
        <v/>
      </c>
      <c r="CV734" t="str">
        <f>""</f>
        <v/>
      </c>
      <c r="CW734" t="str">
        <f>""</f>
        <v/>
      </c>
      <c r="CX734" t="str">
        <f>""</f>
        <v/>
      </c>
      <c r="CY734" t="str">
        <f>""</f>
        <v/>
      </c>
      <c r="CZ734" t="str">
        <f>""</f>
        <v/>
      </c>
      <c r="DA734" t="str">
        <f>""</f>
        <v/>
      </c>
      <c r="DB734" t="str">
        <f>""</f>
        <v/>
      </c>
      <c r="DC734" t="str">
        <f>""</f>
        <v/>
      </c>
      <c r="DD734" t="str">
        <f>""</f>
        <v/>
      </c>
      <c r="DE734" t="str">
        <f>""</f>
        <v/>
      </c>
      <c r="DF734" t="str">
        <f>""</f>
        <v/>
      </c>
      <c r="DG734" t="str">
        <f>""</f>
        <v/>
      </c>
      <c r="DH734" t="str">
        <f>""</f>
        <v/>
      </c>
      <c r="DI734" t="str">
        <f>""</f>
        <v/>
      </c>
      <c r="DJ734" t="str">
        <f>""</f>
        <v/>
      </c>
      <c r="DK734" t="str">
        <f>""</f>
        <v/>
      </c>
      <c r="DL734" t="str">
        <f>""</f>
        <v/>
      </c>
      <c r="DM734" t="str">
        <f>""</f>
        <v/>
      </c>
      <c r="DN734" t="str">
        <f>""</f>
        <v/>
      </c>
      <c r="DO734" t="str">
        <f>""</f>
        <v/>
      </c>
      <c r="DP734" t="str">
        <f>""</f>
        <v/>
      </c>
      <c r="DQ734" t="str">
        <f>""</f>
        <v/>
      </c>
      <c r="DR734" t="str">
        <f>""</f>
        <v/>
      </c>
      <c r="DS734" t="str">
        <f>""</f>
        <v/>
      </c>
      <c r="DT734" t="str">
        <f>""</f>
        <v/>
      </c>
      <c r="DU734" t="str">
        <f>""</f>
        <v/>
      </c>
    </row>
    <row r="735" spans="1:125" x14ac:dyDescent="0.25">
      <c r="A735" t="str">
        <f>$A$231</f>
        <v xml:space="preserve">    Mazda Motor Corp</v>
      </c>
      <c r="B735" t="str">
        <f>$B$231</f>
        <v>7261 JP Equity</v>
      </c>
      <c r="C735" t="str">
        <f>$C$231</f>
        <v>RR843</v>
      </c>
      <c r="D735" t="str">
        <f>$D$231</f>
        <v>TRAIL_12M_FREE_CASH_FLOW</v>
      </c>
      <c r="E735" t="str">
        <f>$E$231</f>
        <v>Dynamic</v>
      </c>
      <c r="F735" t="str">
        <f ca="1">_xll.BDH($B$231,$C$231,$B$509,$B$510,CONCATENATE("Per=",$B$507),"Dts=H","Dir=H",CONCATENATE("Points=",$B$508),"Sort=R","Days=A","Fill=B",CONCATENATE("FX=", $B$506) )</f>
        <v>#N/A Connection</v>
      </c>
      <c r="BN735" t="str">
        <f>""</f>
        <v/>
      </c>
      <c r="BO735" t="str">
        <f>""</f>
        <v/>
      </c>
      <c r="BP735" t="str">
        <f>""</f>
        <v/>
      </c>
      <c r="BQ735" t="str">
        <f>""</f>
        <v/>
      </c>
      <c r="BR735" t="str">
        <f>""</f>
        <v/>
      </c>
      <c r="BS735" t="str">
        <f>""</f>
        <v/>
      </c>
      <c r="BT735" t="str">
        <f>""</f>
        <v/>
      </c>
      <c r="BU735" t="str">
        <f>""</f>
        <v/>
      </c>
      <c r="BV735" t="str">
        <f>""</f>
        <v/>
      </c>
      <c r="BW735" t="str">
        <f>""</f>
        <v/>
      </c>
      <c r="BX735" t="str">
        <f>""</f>
        <v/>
      </c>
      <c r="BY735" t="str">
        <f>""</f>
        <v/>
      </c>
      <c r="BZ735" t="str">
        <f>""</f>
        <v/>
      </c>
      <c r="CA735" t="str">
        <f>""</f>
        <v/>
      </c>
      <c r="CB735" t="str">
        <f>""</f>
        <v/>
      </c>
      <c r="CC735" t="str">
        <f>""</f>
        <v/>
      </c>
      <c r="CD735" t="str">
        <f>""</f>
        <v/>
      </c>
      <c r="CE735" t="str">
        <f>""</f>
        <v/>
      </c>
      <c r="CF735" t="str">
        <f>""</f>
        <v/>
      </c>
      <c r="CG735" t="str">
        <f>""</f>
        <v/>
      </c>
      <c r="CH735" t="str">
        <f>""</f>
        <v/>
      </c>
      <c r="CI735" t="str">
        <f>""</f>
        <v/>
      </c>
      <c r="CJ735" t="str">
        <f>""</f>
        <v/>
      </c>
      <c r="CK735" t="str">
        <f>""</f>
        <v/>
      </c>
      <c r="CL735" t="str">
        <f>""</f>
        <v/>
      </c>
      <c r="CM735" t="str">
        <f>""</f>
        <v/>
      </c>
      <c r="CN735" t="str">
        <f>""</f>
        <v/>
      </c>
      <c r="CO735" t="str">
        <f>""</f>
        <v/>
      </c>
      <c r="CP735" t="str">
        <f>""</f>
        <v/>
      </c>
      <c r="CQ735" t="str">
        <f>""</f>
        <v/>
      </c>
      <c r="CR735" t="str">
        <f>""</f>
        <v/>
      </c>
      <c r="CS735" t="str">
        <f>""</f>
        <v/>
      </c>
      <c r="CT735" t="str">
        <f>""</f>
        <v/>
      </c>
      <c r="CU735" t="str">
        <f>""</f>
        <v/>
      </c>
      <c r="CV735" t="str">
        <f>""</f>
        <v/>
      </c>
      <c r="CW735" t="str">
        <f>""</f>
        <v/>
      </c>
      <c r="CX735" t="str">
        <f>""</f>
        <v/>
      </c>
      <c r="CY735" t="str">
        <f>""</f>
        <v/>
      </c>
      <c r="CZ735" t="str">
        <f>""</f>
        <v/>
      </c>
      <c r="DA735" t="str">
        <f>""</f>
        <v/>
      </c>
      <c r="DB735" t="str">
        <f>""</f>
        <v/>
      </c>
      <c r="DC735" t="str">
        <f>""</f>
        <v/>
      </c>
      <c r="DD735" t="str">
        <f>""</f>
        <v/>
      </c>
      <c r="DE735" t="str">
        <f>""</f>
        <v/>
      </c>
      <c r="DF735" t="str">
        <f>""</f>
        <v/>
      </c>
      <c r="DG735" t="str">
        <f>""</f>
        <v/>
      </c>
      <c r="DH735" t="str">
        <f>""</f>
        <v/>
      </c>
      <c r="DI735" t="str">
        <f>""</f>
        <v/>
      </c>
      <c r="DJ735" t="str">
        <f>""</f>
        <v/>
      </c>
      <c r="DK735" t="str">
        <f>""</f>
        <v/>
      </c>
      <c r="DL735" t="str">
        <f>""</f>
        <v/>
      </c>
      <c r="DM735" t="str">
        <f>""</f>
        <v/>
      </c>
      <c r="DN735" t="str">
        <f>""</f>
        <v/>
      </c>
      <c r="DO735" t="str">
        <f>""</f>
        <v/>
      </c>
      <c r="DP735" t="str">
        <f>""</f>
        <v/>
      </c>
      <c r="DQ735" t="str">
        <f>""</f>
        <v/>
      </c>
      <c r="DR735" t="str">
        <f>""</f>
        <v/>
      </c>
      <c r="DS735" t="str">
        <f>""</f>
        <v/>
      </c>
      <c r="DT735" t="str">
        <f>""</f>
        <v/>
      </c>
      <c r="DU735" t="str">
        <f>""</f>
        <v/>
      </c>
    </row>
    <row r="736" spans="1:125" x14ac:dyDescent="0.25">
      <c r="A736" t="str">
        <f>$A$232</f>
        <v xml:space="preserve">    Mitsubishi Motors Corp</v>
      </c>
      <c r="B736" t="str">
        <f>$B$232</f>
        <v>7211 JP Equity</v>
      </c>
      <c r="C736" t="str">
        <f>$C$232</f>
        <v>RR843</v>
      </c>
      <c r="D736" t="str">
        <f>$D$232</f>
        <v>TRAIL_12M_FREE_CASH_FLOW</v>
      </c>
      <c r="E736" t="str">
        <f>$E$232</f>
        <v>Dynamic</v>
      </c>
      <c r="F736" t="str">
        <f ca="1">_xll.BDH($B$232,$C$232,$B$509,$B$510,CONCATENATE("Per=",$B$507),"Dts=H","Dir=H",CONCATENATE("Points=",$B$508),"Sort=R","Days=A","Fill=B",CONCATENATE("FX=", $B$506) )</f>
        <v>#N/A Connection</v>
      </c>
      <c r="BN736" t="str">
        <f>""</f>
        <v/>
      </c>
      <c r="BO736" t="str">
        <f>""</f>
        <v/>
      </c>
      <c r="BP736" t="str">
        <f>""</f>
        <v/>
      </c>
      <c r="BQ736" t="str">
        <f>""</f>
        <v/>
      </c>
      <c r="BR736" t="str">
        <f>""</f>
        <v/>
      </c>
      <c r="BS736" t="str">
        <f>""</f>
        <v/>
      </c>
      <c r="BT736" t="str">
        <f>""</f>
        <v/>
      </c>
      <c r="BU736" t="str">
        <f>""</f>
        <v/>
      </c>
      <c r="BV736" t="str">
        <f>""</f>
        <v/>
      </c>
      <c r="BW736" t="str">
        <f>""</f>
        <v/>
      </c>
      <c r="BX736" t="str">
        <f>""</f>
        <v/>
      </c>
      <c r="BY736" t="str">
        <f>""</f>
        <v/>
      </c>
      <c r="BZ736" t="str">
        <f>""</f>
        <v/>
      </c>
      <c r="CA736" t="str">
        <f>""</f>
        <v/>
      </c>
      <c r="CB736" t="str">
        <f>""</f>
        <v/>
      </c>
      <c r="CC736" t="str">
        <f>""</f>
        <v/>
      </c>
      <c r="CD736" t="str">
        <f>""</f>
        <v/>
      </c>
      <c r="CE736" t="str">
        <f>""</f>
        <v/>
      </c>
      <c r="CF736" t="str">
        <f>""</f>
        <v/>
      </c>
      <c r="CG736" t="str">
        <f>""</f>
        <v/>
      </c>
      <c r="CH736" t="str">
        <f>""</f>
        <v/>
      </c>
      <c r="CI736" t="str">
        <f>""</f>
        <v/>
      </c>
      <c r="CJ736" t="str">
        <f>""</f>
        <v/>
      </c>
      <c r="CK736" t="str">
        <f>""</f>
        <v/>
      </c>
      <c r="CL736" t="str">
        <f>""</f>
        <v/>
      </c>
      <c r="CM736" t="str">
        <f>""</f>
        <v/>
      </c>
      <c r="CN736" t="str">
        <f>""</f>
        <v/>
      </c>
      <c r="CO736" t="str">
        <f>""</f>
        <v/>
      </c>
      <c r="CP736" t="str">
        <f>""</f>
        <v/>
      </c>
      <c r="CQ736" t="str">
        <f>""</f>
        <v/>
      </c>
      <c r="CR736" t="str">
        <f>""</f>
        <v/>
      </c>
      <c r="CS736" t="str">
        <f>""</f>
        <v/>
      </c>
      <c r="CT736" t="str">
        <f>""</f>
        <v/>
      </c>
      <c r="CU736" t="str">
        <f>""</f>
        <v/>
      </c>
      <c r="CV736" t="str">
        <f>""</f>
        <v/>
      </c>
      <c r="CW736" t="str">
        <f>""</f>
        <v/>
      </c>
      <c r="CX736" t="str">
        <f>""</f>
        <v/>
      </c>
      <c r="CY736" t="str">
        <f>""</f>
        <v/>
      </c>
      <c r="CZ736" t="str">
        <f>""</f>
        <v/>
      </c>
      <c r="DA736" t="str">
        <f>""</f>
        <v/>
      </c>
      <c r="DB736" t="str">
        <f>""</f>
        <v/>
      </c>
      <c r="DC736" t="str">
        <f>""</f>
        <v/>
      </c>
      <c r="DD736" t="str">
        <f>""</f>
        <v/>
      </c>
      <c r="DE736" t="str">
        <f>""</f>
        <v/>
      </c>
      <c r="DF736" t="str">
        <f>""</f>
        <v/>
      </c>
      <c r="DG736" t="str">
        <f>""</f>
        <v/>
      </c>
      <c r="DH736" t="str">
        <f>""</f>
        <v/>
      </c>
      <c r="DI736" t="str">
        <f>""</f>
        <v/>
      </c>
      <c r="DJ736" t="str">
        <f>""</f>
        <v/>
      </c>
      <c r="DK736" t="str">
        <f>""</f>
        <v/>
      </c>
      <c r="DL736" t="str">
        <f>""</f>
        <v/>
      </c>
      <c r="DM736" t="str">
        <f>""</f>
        <v/>
      </c>
      <c r="DN736" t="str">
        <f>""</f>
        <v/>
      </c>
      <c r="DO736" t="str">
        <f>""</f>
        <v/>
      </c>
      <c r="DP736" t="str">
        <f>""</f>
        <v/>
      </c>
      <c r="DQ736" t="str">
        <f>""</f>
        <v/>
      </c>
      <c r="DR736" t="str">
        <f>""</f>
        <v/>
      </c>
      <c r="DS736" t="str">
        <f>""</f>
        <v/>
      </c>
      <c r="DT736" t="str">
        <f>""</f>
        <v/>
      </c>
      <c r="DU736" t="str">
        <f>""</f>
        <v/>
      </c>
    </row>
    <row r="737" spans="1:125" x14ac:dyDescent="0.25">
      <c r="A737" t="str">
        <f>$A$233</f>
        <v xml:space="preserve">    Nissan Motor Co Ltd</v>
      </c>
      <c r="B737" t="str">
        <f>$B$233</f>
        <v>7201 JP Equity</v>
      </c>
      <c r="C737" t="str">
        <f>$C$233</f>
        <v>RR843</v>
      </c>
      <c r="D737" t="str">
        <f>$D$233</f>
        <v>TRAIL_12M_FREE_CASH_FLOW</v>
      </c>
      <c r="E737" t="str">
        <f>$E$233</f>
        <v>Dynamic</v>
      </c>
      <c r="F737" t="str">
        <f ca="1">_xll.BDH($B$233,$C$233,$B$509,$B$510,CONCATENATE("Per=",$B$507),"Dts=H","Dir=H",CONCATENATE("Points=",$B$508),"Sort=R","Days=A","Fill=B",CONCATENATE("FX=", $B$506) )</f>
        <v>#N/A Connection</v>
      </c>
      <c r="BN737" t="str">
        <f>""</f>
        <v/>
      </c>
      <c r="BO737" t="str">
        <f>""</f>
        <v/>
      </c>
      <c r="BP737" t="str">
        <f>""</f>
        <v/>
      </c>
      <c r="BQ737" t="str">
        <f>""</f>
        <v/>
      </c>
      <c r="BR737" t="str">
        <f>""</f>
        <v/>
      </c>
      <c r="BS737" t="str">
        <f>""</f>
        <v/>
      </c>
      <c r="BT737" t="str">
        <f>""</f>
        <v/>
      </c>
      <c r="BU737" t="str">
        <f>""</f>
        <v/>
      </c>
      <c r="BV737" t="str">
        <f>""</f>
        <v/>
      </c>
      <c r="BW737" t="str">
        <f>""</f>
        <v/>
      </c>
      <c r="BX737" t="str">
        <f>""</f>
        <v/>
      </c>
      <c r="BY737" t="str">
        <f>""</f>
        <v/>
      </c>
      <c r="BZ737" t="str">
        <f>""</f>
        <v/>
      </c>
      <c r="CA737" t="str">
        <f>""</f>
        <v/>
      </c>
      <c r="CB737" t="str">
        <f>""</f>
        <v/>
      </c>
      <c r="CC737" t="str">
        <f>""</f>
        <v/>
      </c>
      <c r="CD737" t="str">
        <f>""</f>
        <v/>
      </c>
      <c r="CE737" t="str">
        <f>""</f>
        <v/>
      </c>
      <c r="CF737" t="str">
        <f>""</f>
        <v/>
      </c>
      <c r="CG737" t="str">
        <f>""</f>
        <v/>
      </c>
      <c r="CH737" t="str">
        <f>""</f>
        <v/>
      </c>
      <c r="CI737" t="str">
        <f>""</f>
        <v/>
      </c>
      <c r="CJ737" t="str">
        <f>""</f>
        <v/>
      </c>
      <c r="CK737" t="str">
        <f>""</f>
        <v/>
      </c>
      <c r="CL737" t="str">
        <f>""</f>
        <v/>
      </c>
      <c r="CM737" t="str">
        <f>""</f>
        <v/>
      </c>
      <c r="CN737" t="str">
        <f>""</f>
        <v/>
      </c>
      <c r="CO737" t="str">
        <f>""</f>
        <v/>
      </c>
      <c r="CP737" t="str">
        <f>""</f>
        <v/>
      </c>
      <c r="CQ737" t="str">
        <f>""</f>
        <v/>
      </c>
      <c r="CR737" t="str">
        <f>""</f>
        <v/>
      </c>
      <c r="CS737" t="str">
        <f>""</f>
        <v/>
      </c>
      <c r="CT737" t="str">
        <f>""</f>
        <v/>
      </c>
      <c r="CU737" t="str">
        <f>""</f>
        <v/>
      </c>
      <c r="CV737" t="str">
        <f>""</f>
        <v/>
      </c>
      <c r="CW737" t="str">
        <f>""</f>
        <v/>
      </c>
      <c r="CX737" t="str">
        <f>""</f>
        <v/>
      </c>
      <c r="CY737" t="str">
        <f>""</f>
        <v/>
      </c>
      <c r="CZ737" t="str">
        <f>""</f>
        <v/>
      </c>
      <c r="DA737" t="str">
        <f>""</f>
        <v/>
      </c>
      <c r="DB737" t="str">
        <f>""</f>
        <v/>
      </c>
      <c r="DC737" t="str">
        <f>""</f>
        <v/>
      </c>
      <c r="DD737" t="str">
        <f>""</f>
        <v/>
      </c>
      <c r="DE737" t="str">
        <f>""</f>
        <v/>
      </c>
      <c r="DF737" t="str">
        <f>""</f>
        <v/>
      </c>
      <c r="DG737" t="str">
        <f>""</f>
        <v/>
      </c>
      <c r="DH737" t="str">
        <f>""</f>
        <v/>
      </c>
      <c r="DI737" t="str">
        <f>""</f>
        <v/>
      </c>
      <c r="DJ737" t="str">
        <f>""</f>
        <v/>
      </c>
      <c r="DK737" t="str">
        <f>""</f>
        <v/>
      </c>
      <c r="DL737" t="str">
        <f>""</f>
        <v/>
      </c>
      <c r="DM737" t="str">
        <f>""</f>
        <v/>
      </c>
      <c r="DN737" t="str">
        <f>""</f>
        <v/>
      </c>
      <c r="DO737" t="str">
        <f>""</f>
        <v/>
      </c>
      <c r="DP737" t="str">
        <f>""</f>
        <v/>
      </c>
      <c r="DQ737" t="str">
        <f>""</f>
        <v/>
      </c>
      <c r="DR737" t="str">
        <f>""</f>
        <v/>
      </c>
      <c r="DS737" t="str">
        <f>""</f>
        <v/>
      </c>
      <c r="DT737" t="str">
        <f>""</f>
        <v/>
      </c>
      <c r="DU737" t="str">
        <f>""</f>
        <v/>
      </c>
    </row>
    <row r="738" spans="1:125" x14ac:dyDescent="0.25">
      <c r="A738" t="str">
        <f>$A$234</f>
        <v xml:space="preserve">    Peugeot SA</v>
      </c>
      <c r="B738" t="str">
        <f>$B$234</f>
        <v>UG FP Equity</v>
      </c>
      <c r="C738" t="str">
        <f>$C$234</f>
        <v>RR843</v>
      </c>
      <c r="D738" t="str">
        <f>$D$234</f>
        <v>TRAIL_12M_FREE_CASH_FLOW</v>
      </c>
      <c r="E738" t="str">
        <f>$E$234</f>
        <v>Dynamic</v>
      </c>
      <c r="F738" t="str">
        <f ca="1">_xll.BDH($B$234,$C$234,$B$509,$B$510,CONCATENATE("Per=",$B$507),"Dts=H","Dir=H",CONCATENATE("Points=",$B$508),"Sort=R","Days=A","Fill=B",CONCATENATE("FX=", $B$506) )</f>
        <v>#N/A Connection</v>
      </c>
      <c r="BN738" t="str">
        <f>""</f>
        <v/>
      </c>
      <c r="BO738" t="str">
        <f>""</f>
        <v/>
      </c>
      <c r="BP738" t="str">
        <f>""</f>
        <v/>
      </c>
      <c r="BQ738" t="str">
        <f>""</f>
        <v/>
      </c>
      <c r="BR738" t="str">
        <f>""</f>
        <v/>
      </c>
      <c r="BS738" t="str">
        <f>""</f>
        <v/>
      </c>
      <c r="BT738" t="str">
        <f>""</f>
        <v/>
      </c>
      <c r="BU738" t="str">
        <f>""</f>
        <v/>
      </c>
      <c r="BV738" t="str">
        <f>""</f>
        <v/>
      </c>
      <c r="BW738" t="str">
        <f>""</f>
        <v/>
      </c>
      <c r="BX738" t="str">
        <f>""</f>
        <v/>
      </c>
      <c r="BY738" t="str">
        <f>""</f>
        <v/>
      </c>
      <c r="BZ738" t="str">
        <f>""</f>
        <v/>
      </c>
      <c r="CA738" t="str">
        <f>""</f>
        <v/>
      </c>
      <c r="CB738" t="str">
        <f>""</f>
        <v/>
      </c>
      <c r="CC738" t="str">
        <f>""</f>
        <v/>
      </c>
      <c r="CD738" t="str">
        <f>""</f>
        <v/>
      </c>
      <c r="CE738" t="str">
        <f>""</f>
        <v/>
      </c>
      <c r="CF738" t="str">
        <f>""</f>
        <v/>
      </c>
      <c r="CG738" t="str">
        <f>""</f>
        <v/>
      </c>
      <c r="CH738" t="str">
        <f>""</f>
        <v/>
      </c>
      <c r="CI738" t="str">
        <f>""</f>
        <v/>
      </c>
      <c r="CJ738" t="str">
        <f>""</f>
        <v/>
      </c>
      <c r="CK738" t="str">
        <f>""</f>
        <v/>
      </c>
      <c r="CL738" t="str">
        <f>""</f>
        <v/>
      </c>
      <c r="CM738" t="str">
        <f>""</f>
        <v/>
      </c>
      <c r="CN738" t="str">
        <f>""</f>
        <v/>
      </c>
      <c r="CO738" t="str">
        <f>""</f>
        <v/>
      </c>
      <c r="CP738" t="str">
        <f>""</f>
        <v/>
      </c>
      <c r="CQ738" t="str">
        <f>""</f>
        <v/>
      </c>
      <c r="CR738" t="str">
        <f>""</f>
        <v/>
      </c>
      <c r="CS738" t="str">
        <f>""</f>
        <v/>
      </c>
      <c r="CT738" t="str">
        <f>""</f>
        <v/>
      </c>
      <c r="CU738" t="str">
        <f>""</f>
        <v/>
      </c>
      <c r="CV738" t="str">
        <f>""</f>
        <v/>
      </c>
      <c r="CW738" t="str">
        <f>""</f>
        <v/>
      </c>
      <c r="CX738" t="str">
        <f>""</f>
        <v/>
      </c>
      <c r="CY738" t="str">
        <f>""</f>
        <v/>
      </c>
      <c r="CZ738" t="str">
        <f>""</f>
        <v/>
      </c>
      <c r="DA738" t="str">
        <f>""</f>
        <v/>
      </c>
      <c r="DB738" t="str">
        <f>""</f>
        <v/>
      </c>
      <c r="DC738" t="str">
        <f>""</f>
        <v/>
      </c>
      <c r="DD738" t="str">
        <f>""</f>
        <v/>
      </c>
      <c r="DE738" t="str">
        <f>""</f>
        <v/>
      </c>
      <c r="DF738" t="str">
        <f>""</f>
        <v/>
      </c>
      <c r="DG738" t="str">
        <f>""</f>
        <v/>
      </c>
      <c r="DH738" t="str">
        <f>""</f>
        <v/>
      </c>
      <c r="DI738" t="str">
        <f>""</f>
        <v/>
      </c>
      <c r="DJ738" t="str">
        <f>""</f>
        <v/>
      </c>
      <c r="DK738" t="str">
        <f>""</f>
        <v/>
      </c>
      <c r="DL738" t="str">
        <f>""</f>
        <v/>
      </c>
      <c r="DM738" t="str">
        <f>""</f>
        <v/>
      </c>
      <c r="DN738" t="str">
        <f>""</f>
        <v/>
      </c>
      <c r="DO738" t="str">
        <f>""</f>
        <v/>
      </c>
      <c r="DP738" t="str">
        <f>""</f>
        <v/>
      </c>
      <c r="DQ738" t="str">
        <f>""</f>
        <v/>
      </c>
      <c r="DR738" t="str">
        <f>""</f>
        <v/>
      </c>
      <c r="DS738" t="str">
        <f>""</f>
        <v/>
      </c>
      <c r="DT738" t="str">
        <f>""</f>
        <v/>
      </c>
      <c r="DU738" t="str">
        <f>""</f>
        <v/>
      </c>
    </row>
    <row r="739" spans="1:125" x14ac:dyDescent="0.25">
      <c r="A739" t="str">
        <f>$A$235</f>
        <v xml:space="preserve">    Renault SA</v>
      </c>
      <c r="B739" t="str">
        <f>$B$235</f>
        <v>RNO FP Equity</v>
      </c>
      <c r="C739" t="str">
        <f>$C$235</f>
        <v>RR843</v>
      </c>
      <c r="D739" t="str">
        <f>$D$235</f>
        <v>TRAIL_12M_FREE_CASH_FLOW</v>
      </c>
      <c r="E739" t="str">
        <f>$E$235</f>
        <v>Dynamic</v>
      </c>
      <c r="F739" t="str">
        <f ca="1">_xll.BDH($B$235,$C$235,$B$509,$B$510,CONCATENATE("Per=",$B$507),"Dts=H","Dir=H",CONCATENATE("Points=",$B$508),"Sort=R","Days=A","Fill=B",CONCATENATE("FX=", $B$506) )</f>
        <v>#N/A Connection</v>
      </c>
      <c r="BN739" t="str">
        <f>""</f>
        <v/>
      </c>
      <c r="BO739" t="str">
        <f>""</f>
        <v/>
      </c>
      <c r="BP739" t="str">
        <f>""</f>
        <v/>
      </c>
      <c r="BQ739" t="str">
        <f>""</f>
        <v/>
      </c>
      <c r="BR739" t="str">
        <f>""</f>
        <v/>
      </c>
      <c r="BS739" t="str">
        <f>""</f>
        <v/>
      </c>
      <c r="BT739" t="str">
        <f>""</f>
        <v/>
      </c>
      <c r="BU739" t="str">
        <f>""</f>
        <v/>
      </c>
      <c r="BV739" t="str">
        <f>""</f>
        <v/>
      </c>
      <c r="BW739" t="str">
        <f>""</f>
        <v/>
      </c>
      <c r="BX739" t="str">
        <f>""</f>
        <v/>
      </c>
      <c r="BY739" t="str">
        <f>""</f>
        <v/>
      </c>
      <c r="BZ739" t="str">
        <f>""</f>
        <v/>
      </c>
      <c r="CA739" t="str">
        <f>""</f>
        <v/>
      </c>
      <c r="CB739" t="str">
        <f>""</f>
        <v/>
      </c>
      <c r="CC739" t="str">
        <f>""</f>
        <v/>
      </c>
      <c r="CD739" t="str">
        <f>""</f>
        <v/>
      </c>
      <c r="CE739" t="str">
        <f>""</f>
        <v/>
      </c>
      <c r="CF739" t="str">
        <f>""</f>
        <v/>
      </c>
      <c r="CG739" t="str">
        <f>""</f>
        <v/>
      </c>
      <c r="CH739" t="str">
        <f>""</f>
        <v/>
      </c>
      <c r="CI739" t="str">
        <f>""</f>
        <v/>
      </c>
      <c r="CJ739" t="str">
        <f>""</f>
        <v/>
      </c>
      <c r="CK739" t="str">
        <f>""</f>
        <v/>
      </c>
      <c r="CL739" t="str">
        <f>""</f>
        <v/>
      </c>
      <c r="CM739" t="str">
        <f>""</f>
        <v/>
      </c>
      <c r="CN739" t="str">
        <f>""</f>
        <v/>
      </c>
      <c r="CO739" t="str">
        <f>""</f>
        <v/>
      </c>
      <c r="CP739" t="str">
        <f>""</f>
        <v/>
      </c>
      <c r="CQ739" t="str">
        <f>""</f>
        <v/>
      </c>
      <c r="CR739" t="str">
        <f>""</f>
        <v/>
      </c>
      <c r="CS739" t="str">
        <f>""</f>
        <v/>
      </c>
      <c r="CT739" t="str">
        <f>""</f>
        <v/>
      </c>
      <c r="CU739" t="str">
        <f>""</f>
        <v/>
      </c>
      <c r="CV739" t="str">
        <f>""</f>
        <v/>
      </c>
      <c r="CW739" t="str">
        <f>""</f>
        <v/>
      </c>
      <c r="CX739" t="str">
        <f>""</f>
        <v/>
      </c>
      <c r="CY739" t="str">
        <f>""</f>
        <v/>
      </c>
      <c r="CZ739" t="str">
        <f>""</f>
        <v/>
      </c>
      <c r="DA739" t="str">
        <f>""</f>
        <v/>
      </c>
      <c r="DB739" t="str">
        <f>""</f>
        <v/>
      </c>
      <c r="DC739" t="str">
        <f>""</f>
        <v/>
      </c>
      <c r="DD739" t="str">
        <f>""</f>
        <v/>
      </c>
      <c r="DE739" t="str">
        <f>""</f>
        <v/>
      </c>
      <c r="DF739" t="str">
        <f>""</f>
        <v/>
      </c>
      <c r="DG739" t="str">
        <f>""</f>
        <v/>
      </c>
      <c r="DH739" t="str">
        <f>""</f>
        <v/>
      </c>
      <c r="DI739" t="str">
        <f>""</f>
        <v/>
      </c>
      <c r="DJ739" t="str">
        <f>""</f>
        <v/>
      </c>
      <c r="DK739" t="str">
        <f>""</f>
        <v/>
      </c>
      <c r="DL739" t="str">
        <f>""</f>
        <v/>
      </c>
      <c r="DM739" t="str">
        <f>""</f>
        <v/>
      </c>
      <c r="DN739" t="str">
        <f>""</f>
        <v/>
      </c>
      <c r="DO739" t="str">
        <f>""</f>
        <v/>
      </c>
      <c r="DP739" t="str">
        <f>""</f>
        <v/>
      </c>
      <c r="DQ739" t="str">
        <f>""</f>
        <v/>
      </c>
      <c r="DR739" t="str">
        <f>""</f>
        <v/>
      </c>
      <c r="DS739" t="str">
        <f>""</f>
        <v/>
      </c>
      <c r="DT739" t="str">
        <f>""</f>
        <v/>
      </c>
      <c r="DU739" t="str">
        <f>""</f>
        <v/>
      </c>
    </row>
    <row r="740" spans="1:125" x14ac:dyDescent="0.25">
      <c r="A740" t="str">
        <f>$A$236</f>
        <v xml:space="preserve">    SAIC Motor Corp Ltd</v>
      </c>
      <c r="B740" t="str">
        <f>$B$236</f>
        <v>600104 CH Equity</v>
      </c>
      <c r="C740" t="str">
        <f>$C$236</f>
        <v>RR843</v>
      </c>
      <c r="D740" t="str">
        <f>$D$236</f>
        <v>TRAIL_12M_FREE_CASH_FLOW</v>
      </c>
      <c r="E740" t="str">
        <f>$E$236</f>
        <v>Dynamic</v>
      </c>
      <c r="F740" t="str">
        <f ca="1">_xll.BDH($B$236,$C$236,$B$509,$B$510,CONCATENATE("Per=",$B$507),"Dts=H","Dir=H",CONCATENATE("Points=",$B$508),"Sort=R","Days=A","Fill=B",CONCATENATE("FX=", $B$506) )</f>
        <v>#N/A Connection</v>
      </c>
      <c r="BN740" t="str">
        <f>""</f>
        <v/>
      </c>
      <c r="BO740" t="str">
        <f>""</f>
        <v/>
      </c>
      <c r="BP740" t="str">
        <f>""</f>
        <v/>
      </c>
      <c r="BQ740" t="str">
        <f>""</f>
        <v/>
      </c>
      <c r="BR740" t="str">
        <f>""</f>
        <v/>
      </c>
      <c r="BS740" t="str">
        <f>""</f>
        <v/>
      </c>
      <c r="BT740" t="str">
        <f>""</f>
        <v/>
      </c>
      <c r="BU740" t="str">
        <f>""</f>
        <v/>
      </c>
      <c r="BV740" t="str">
        <f>""</f>
        <v/>
      </c>
      <c r="BW740" t="str">
        <f>""</f>
        <v/>
      </c>
      <c r="BX740" t="str">
        <f>""</f>
        <v/>
      </c>
      <c r="BY740" t="str">
        <f>""</f>
        <v/>
      </c>
      <c r="BZ740" t="str">
        <f>""</f>
        <v/>
      </c>
      <c r="CA740" t="str">
        <f>""</f>
        <v/>
      </c>
      <c r="CB740" t="str">
        <f>""</f>
        <v/>
      </c>
      <c r="CC740" t="str">
        <f>""</f>
        <v/>
      </c>
      <c r="CD740" t="str">
        <f>""</f>
        <v/>
      </c>
      <c r="CE740" t="str">
        <f>""</f>
        <v/>
      </c>
      <c r="CF740" t="str">
        <f>""</f>
        <v/>
      </c>
      <c r="CG740" t="str">
        <f>""</f>
        <v/>
      </c>
      <c r="CH740" t="str">
        <f>""</f>
        <v/>
      </c>
      <c r="CI740" t="str">
        <f>""</f>
        <v/>
      </c>
      <c r="CJ740" t="str">
        <f>""</f>
        <v/>
      </c>
      <c r="CK740" t="str">
        <f>""</f>
        <v/>
      </c>
      <c r="CL740" t="str">
        <f>""</f>
        <v/>
      </c>
      <c r="CM740" t="str">
        <f>""</f>
        <v/>
      </c>
      <c r="CN740" t="str">
        <f>""</f>
        <v/>
      </c>
      <c r="CO740" t="str">
        <f>""</f>
        <v/>
      </c>
      <c r="CP740" t="str">
        <f>""</f>
        <v/>
      </c>
      <c r="CQ740" t="str">
        <f>""</f>
        <v/>
      </c>
      <c r="CR740" t="str">
        <f>""</f>
        <v/>
      </c>
      <c r="CS740" t="str">
        <f>""</f>
        <v/>
      </c>
      <c r="CT740" t="str">
        <f>""</f>
        <v/>
      </c>
      <c r="CU740" t="str">
        <f>""</f>
        <v/>
      </c>
      <c r="CV740" t="str">
        <f>""</f>
        <v/>
      </c>
      <c r="CW740" t="str">
        <f>""</f>
        <v/>
      </c>
      <c r="CX740" t="str">
        <f>""</f>
        <v/>
      </c>
      <c r="CY740" t="str">
        <f>""</f>
        <v/>
      </c>
      <c r="CZ740" t="str">
        <f>""</f>
        <v/>
      </c>
      <c r="DA740" t="str">
        <f>""</f>
        <v/>
      </c>
      <c r="DB740" t="str">
        <f>""</f>
        <v/>
      </c>
      <c r="DC740" t="str">
        <f>""</f>
        <v/>
      </c>
      <c r="DD740" t="str">
        <f>""</f>
        <v/>
      </c>
      <c r="DE740" t="str">
        <f>""</f>
        <v/>
      </c>
      <c r="DF740" t="str">
        <f>""</f>
        <v/>
      </c>
      <c r="DG740" t="str">
        <f>""</f>
        <v/>
      </c>
      <c r="DH740" t="str">
        <f>""</f>
        <v/>
      </c>
      <c r="DI740" t="str">
        <f>""</f>
        <v/>
      </c>
      <c r="DJ740" t="str">
        <f>""</f>
        <v/>
      </c>
      <c r="DK740" t="str">
        <f>""</f>
        <v/>
      </c>
      <c r="DL740" t="str">
        <f>""</f>
        <v/>
      </c>
      <c r="DM740" t="str">
        <f>""</f>
        <v/>
      </c>
      <c r="DN740" t="str">
        <f>""</f>
        <v/>
      </c>
      <c r="DO740" t="str">
        <f>""</f>
        <v/>
      </c>
      <c r="DP740" t="str">
        <f>""</f>
        <v/>
      </c>
      <c r="DQ740" t="str">
        <f>""</f>
        <v/>
      </c>
      <c r="DR740" t="str">
        <f>""</f>
        <v/>
      </c>
      <c r="DS740" t="str">
        <f>""</f>
        <v/>
      </c>
      <c r="DT740" t="str">
        <f>""</f>
        <v/>
      </c>
      <c r="DU740" t="str">
        <f>""</f>
        <v/>
      </c>
    </row>
    <row r="741" spans="1:125" x14ac:dyDescent="0.25">
      <c r="A741" t="str">
        <f>$A$237</f>
        <v xml:space="preserve">    Sanyang Motor Co Ltd</v>
      </c>
      <c r="B741" t="str">
        <f>$B$237</f>
        <v>2206 TT Equity</v>
      </c>
      <c r="C741" t="str">
        <f>$C$237</f>
        <v>RR843</v>
      </c>
      <c r="D741" t="str">
        <f>$D$237</f>
        <v>TRAIL_12M_FREE_CASH_FLOW</v>
      </c>
      <c r="E741" t="str">
        <f>$E$237</f>
        <v>Dynamic</v>
      </c>
      <c r="F741" t="str">
        <f ca="1">_xll.BDH($B$237,$C$237,$B$509,$B$510,CONCATENATE("Per=",$B$507),"Dts=H","Dir=H",CONCATENATE("Points=",$B$508),"Sort=R","Days=A","Fill=B",CONCATENATE("FX=", $B$506) )</f>
        <v>#N/A Connection</v>
      </c>
      <c r="BN741" t="str">
        <f>""</f>
        <v/>
      </c>
      <c r="BO741" t="str">
        <f>""</f>
        <v/>
      </c>
      <c r="BP741" t="str">
        <f>""</f>
        <v/>
      </c>
      <c r="BQ741" t="str">
        <f>""</f>
        <v/>
      </c>
      <c r="BR741" t="str">
        <f>""</f>
        <v/>
      </c>
      <c r="BS741" t="str">
        <f>""</f>
        <v/>
      </c>
      <c r="BT741" t="str">
        <f>""</f>
        <v/>
      </c>
      <c r="BU741" t="str">
        <f>""</f>
        <v/>
      </c>
      <c r="BV741" t="str">
        <f>""</f>
        <v/>
      </c>
      <c r="BW741" t="str">
        <f>""</f>
        <v/>
      </c>
      <c r="BX741" t="str">
        <f>""</f>
        <v/>
      </c>
      <c r="BY741" t="str">
        <f>""</f>
        <v/>
      </c>
      <c r="BZ741" t="str">
        <f>""</f>
        <v/>
      </c>
      <c r="CA741" t="str">
        <f>""</f>
        <v/>
      </c>
      <c r="CB741" t="str">
        <f>""</f>
        <v/>
      </c>
      <c r="CC741" t="str">
        <f>""</f>
        <v/>
      </c>
      <c r="CD741" t="str">
        <f>""</f>
        <v/>
      </c>
      <c r="CE741" t="str">
        <f>""</f>
        <v/>
      </c>
      <c r="CF741" t="str">
        <f>""</f>
        <v/>
      </c>
      <c r="CG741" t="str">
        <f>""</f>
        <v/>
      </c>
      <c r="CH741" t="str">
        <f>""</f>
        <v/>
      </c>
      <c r="CI741" t="str">
        <f>""</f>
        <v/>
      </c>
      <c r="CJ741" t="str">
        <f>""</f>
        <v/>
      </c>
      <c r="CK741" t="str">
        <f>""</f>
        <v/>
      </c>
      <c r="CL741" t="str">
        <f>""</f>
        <v/>
      </c>
      <c r="CM741" t="str">
        <f>""</f>
        <v/>
      </c>
      <c r="CN741" t="str">
        <f>""</f>
        <v/>
      </c>
      <c r="CO741" t="str">
        <f>""</f>
        <v/>
      </c>
      <c r="CP741" t="str">
        <f>""</f>
        <v/>
      </c>
      <c r="CQ741" t="str">
        <f>""</f>
        <v/>
      </c>
      <c r="CR741" t="str">
        <f>""</f>
        <v/>
      </c>
      <c r="CS741" t="str">
        <f>""</f>
        <v/>
      </c>
      <c r="CT741" t="str">
        <f>""</f>
        <v/>
      </c>
      <c r="CU741" t="str">
        <f>""</f>
        <v/>
      </c>
      <c r="CV741" t="str">
        <f>""</f>
        <v/>
      </c>
      <c r="CW741" t="str">
        <f>""</f>
        <v/>
      </c>
      <c r="CX741" t="str">
        <f>""</f>
        <v/>
      </c>
      <c r="CY741" t="str">
        <f>""</f>
        <v/>
      </c>
      <c r="CZ741" t="str">
        <f>""</f>
        <v/>
      </c>
      <c r="DA741" t="str">
        <f>""</f>
        <v/>
      </c>
      <c r="DB741" t="str">
        <f>""</f>
        <v/>
      </c>
      <c r="DC741" t="str">
        <f>""</f>
        <v/>
      </c>
      <c r="DD741" t="str">
        <f>""</f>
        <v/>
      </c>
      <c r="DE741" t="str">
        <f>""</f>
        <v/>
      </c>
      <c r="DF741" t="str">
        <f>""</f>
        <v/>
      </c>
      <c r="DG741" t="str">
        <f>""</f>
        <v/>
      </c>
      <c r="DH741" t="str">
        <f>""</f>
        <v/>
      </c>
      <c r="DI741" t="str">
        <f>""</f>
        <v/>
      </c>
      <c r="DJ741" t="str">
        <f>""</f>
        <v/>
      </c>
      <c r="DK741" t="str">
        <f>""</f>
        <v/>
      </c>
      <c r="DL741" t="str">
        <f>""</f>
        <v/>
      </c>
      <c r="DM741" t="str">
        <f>""</f>
        <v/>
      </c>
      <c r="DN741" t="str">
        <f>""</f>
        <v/>
      </c>
      <c r="DO741" t="str">
        <f>""</f>
        <v/>
      </c>
      <c r="DP741" t="str">
        <f>""</f>
        <v/>
      </c>
      <c r="DQ741" t="str">
        <f>""</f>
        <v/>
      </c>
      <c r="DR741" t="str">
        <f>""</f>
        <v/>
      </c>
      <c r="DS741" t="str">
        <f>""</f>
        <v/>
      </c>
      <c r="DT741" t="str">
        <f>""</f>
        <v/>
      </c>
      <c r="DU741" t="str">
        <f>""</f>
        <v/>
      </c>
    </row>
    <row r="742" spans="1:125" x14ac:dyDescent="0.25">
      <c r="A742" t="str">
        <f>$A$238</f>
        <v xml:space="preserve">    Sollers PJSC</v>
      </c>
      <c r="B742" t="str">
        <f>$B$238</f>
        <v>SVAV RM Equity</v>
      </c>
      <c r="C742" t="str">
        <f>$C$238</f>
        <v>RR843</v>
      </c>
      <c r="D742" t="str">
        <f>$D$238</f>
        <v>TRAIL_12M_FREE_CASH_FLOW</v>
      </c>
      <c r="E742" t="str">
        <f>$E$238</f>
        <v>Dynamic</v>
      </c>
      <c r="F742" t="str">
        <f ca="1">_xll.BDH($B$238,$C$238,$B$509,$B$510,CONCATENATE("Per=",$B$507),"Dts=H","Dir=H",CONCATENATE("Points=",$B$508),"Sort=R","Days=A","Fill=B",CONCATENATE("FX=", $B$506) )</f>
        <v>#N/A Connection</v>
      </c>
      <c r="BN742" t="str">
        <f>""</f>
        <v/>
      </c>
      <c r="BO742" t="str">
        <f>""</f>
        <v/>
      </c>
      <c r="BP742" t="str">
        <f>""</f>
        <v/>
      </c>
      <c r="BQ742" t="str">
        <f>""</f>
        <v/>
      </c>
      <c r="BR742" t="str">
        <f>""</f>
        <v/>
      </c>
      <c r="BS742" t="str">
        <f>""</f>
        <v/>
      </c>
      <c r="BT742" t="str">
        <f>""</f>
        <v/>
      </c>
      <c r="BU742" t="str">
        <f>""</f>
        <v/>
      </c>
      <c r="BV742" t="str">
        <f>""</f>
        <v/>
      </c>
      <c r="BW742" t="str">
        <f>""</f>
        <v/>
      </c>
      <c r="BX742" t="str">
        <f>""</f>
        <v/>
      </c>
      <c r="BY742" t="str">
        <f>""</f>
        <v/>
      </c>
      <c r="BZ742" t="str">
        <f>""</f>
        <v/>
      </c>
      <c r="CA742" t="str">
        <f>""</f>
        <v/>
      </c>
      <c r="CB742" t="str">
        <f>""</f>
        <v/>
      </c>
      <c r="CC742" t="str">
        <f>""</f>
        <v/>
      </c>
      <c r="CD742" t="str">
        <f>""</f>
        <v/>
      </c>
      <c r="CE742" t="str">
        <f>""</f>
        <v/>
      </c>
      <c r="CF742" t="str">
        <f>""</f>
        <v/>
      </c>
      <c r="CG742" t="str">
        <f>""</f>
        <v/>
      </c>
      <c r="CH742" t="str">
        <f>""</f>
        <v/>
      </c>
      <c r="CI742" t="str">
        <f>""</f>
        <v/>
      </c>
      <c r="CJ742" t="str">
        <f>""</f>
        <v/>
      </c>
      <c r="CK742" t="str">
        <f>""</f>
        <v/>
      </c>
      <c r="CL742" t="str">
        <f>""</f>
        <v/>
      </c>
      <c r="CM742" t="str">
        <f>""</f>
        <v/>
      </c>
      <c r="CN742" t="str">
        <f>""</f>
        <v/>
      </c>
      <c r="CO742" t="str">
        <f>""</f>
        <v/>
      </c>
      <c r="CP742" t="str">
        <f>""</f>
        <v/>
      </c>
      <c r="CQ742" t="str">
        <f>""</f>
        <v/>
      </c>
      <c r="CR742" t="str">
        <f>""</f>
        <v/>
      </c>
      <c r="CS742" t="str">
        <f>""</f>
        <v/>
      </c>
      <c r="CT742" t="str">
        <f>""</f>
        <v/>
      </c>
      <c r="CU742" t="str">
        <f>""</f>
        <v/>
      </c>
      <c r="CV742" t="str">
        <f>""</f>
        <v/>
      </c>
      <c r="CW742" t="str">
        <f>""</f>
        <v/>
      </c>
      <c r="CX742" t="str">
        <f>""</f>
        <v/>
      </c>
      <c r="CY742" t="str">
        <f>""</f>
        <v/>
      </c>
      <c r="CZ742" t="str">
        <f>""</f>
        <v/>
      </c>
      <c r="DA742" t="str">
        <f>""</f>
        <v/>
      </c>
      <c r="DB742" t="str">
        <f>""</f>
        <v/>
      </c>
      <c r="DC742" t="str">
        <f>""</f>
        <v/>
      </c>
      <c r="DD742" t="str">
        <f>""</f>
        <v/>
      </c>
      <c r="DE742" t="str">
        <f>""</f>
        <v/>
      </c>
      <c r="DF742" t="str">
        <f>""</f>
        <v/>
      </c>
      <c r="DG742" t="str">
        <f>""</f>
        <v/>
      </c>
      <c r="DH742" t="str">
        <f>""</f>
        <v/>
      </c>
      <c r="DI742" t="str">
        <f>""</f>
        <v/>
      </c>
      <c r="DJ742" t="str">
        <f>""</f>
        <v/>
      </c>
      <c r="DK742" t="str">
        <f>""</f>
        <v/>
      </c>
      <c r="DL742" t="str">
        <f>""</f>
        <v/>
      </c>
      <c r="DM742" t="str">
        <f>""</f>
        <v/>
      </c>
      <c r="DN742" t="str">
        <f>""</f>
        <v/>
      </c>
      <c r="DO742" t="str">
        <f>""</f>
        <v/>
      </c>
      <c r="DP742" t="str">
        <f>""</f>
        <v/>
      </c>
      <c r="DQ742" t="str">
        <f>""</f>
        <v/>
      </c>
      <c r="DR742" t="str">
        <f>""</f>
        <v/>
      </c>
      <c r="DS742" t="str">
        <f>""</f>
        <v/>
      </c>
      <c r="DT742" t="str">
        <f>""</f>
        <v/>
      </c>
      <c r="DU742" t="str">
        <f>""</f>
        <v/>
      </c>
    </row>
    <row r="743" spans="1:125" x14ac:dyDescent="0.25">
      <c r="A743" t="str">
        <f>$A$239</f>
        <v xml:space="preserve">    Ssangyong Motor Co</v>
      </c>
      <c r="B743" t="str">
        <f>$B$239</f>
        <v>003620 KS Equity</v>
      </c>
      <c r="C743" t="str">
        <f>$C$239</f>
        <v>RR843</v>
      </c>
      <c r="D743" t="str">
        <f>$D$239</f>
        <v>TRAIL_12M_FREE_CASH_FLOW</v>
      </c>
      <c r="E743" t="str">
        <f>$E$239</f>
        <v>Dynamic</v>
      </c>
      <c r="F743" t="str">
        <f ca="1">_xll.BDH($B$239,$C$239,$B$509,$B$510,CONCATENATE("Per=",$B$507),"Dts=H","Dir=H",CONCATENATE("Points=",$B$508),"Sort=R","Days=A","Fill=B",CONCATENATE("FX=", $B$506) )</f>
        <v>#N/A Connection</v>
      </c>
      <c r="BN743" t="str">
        <f>""</f>
        <v/>
      </c>
      <c r="BO743" t="str">
        <f>""</f>
        <v/>
      </c>
      <c r="BP743" t="str">
        <f>""</f>
        <v/>
      </c>
      <c r="BQ743" t="str">
        <f>""</f>
        <v/>
      </c>
      <c r="BR743" t="str">
        <f>""</f>
        <v/>
      </c>
      <c r="BS743" t="str">
        <f>""</f>
        <v/>
      </c>
      <c r="BT743" t="str">
        <f>""</f>
        <v/>
      </c>
      <c r="BU743" t="str">
        <f>""</f>
        <v/>
      </c>
      <c r="BV743" t="str">
        <f>""</f>
        <v/>
      </c>
      <c r="BW743" t="str">
        <f>""</f>
        <v/>
      </c>
      <c r="BX743" t="str">
        <f>""</f>
        <v/>
      </c>
      <c r="BY743" t="str">
        <f>""</f>
        <v/>
      </c>
      <c r="BZ743" t="str">
        <f>""</f>
        <v/>
      </c>
      <c r="CA743" t="str">
        <f>""</f>
        <v/>
      </c>
      <c r="CB743" t="str">
        <f>""</f>
        <v/>
      </c>
      <c r="CC743" t="str">
        <f>""</f>
        <v/>
      </c>
      <c r="CD743" t="str">
        <f>""</f>
        <v/>
      </c>
      <c r="CE743" t="str">
        <f>""</f>
        <v/>
      </c>
      <c r="CF743" t="str">
        <f>""</f>
        <v/>
      </c>
      <c r="CG743" t="str">
        <f>""</f>
        <v/>
      </c>
      <c r="CH743" t="str">
        <f>""</f>
        <v/>
      </c>
      <c r="CI743" t="str">
        <f>""</f>
        <v/>
      </c>
      <c r="CJ743" t="str">
        <f>""</f>
        <v/>
      </c>
      <c r="CK743" t="str">
        <f>""</f>
        <v/>
      </c>
      <c r="CL743" t="str">
        <f>""</f>
        <v/>
      </c>
      <c r="CM743" t="str">
        <f>""</f>
        <v/>
      </c>
      <c r="CN743" t="str">
        <f>""</f>
        <v/>
      </c>
      <c r="CO743" t="str">
        <f>""</f>
        <v/>
      </c>
      <c r="CP743" t="str">
        <f>""</f>
        <v/>
      </c>
      <c r="CQ743" t="str">
        <f>""</f>
        <v/>
      </c>
      <c r="CR743" t="str">
        <f>""</f>
        <v/>
      </c>
      <c r="CS743" t="str">
        <f>""</f>
        <v/>
      </c>
      <c r="CT743" t="str">
        <f>""</f>
        <v/>
      </c>
      <c r="CU743" t="str">
        <f>""</f>
        <v/>
      </c>
      <c r="CV743" t="str">
        <f>""</f>
        <v/>
      </c>
      <c r="CW743" t="str">
        <f>""</f>
        <v/>
      </c>
      <c r="CX743" t="str">
        <f>""</f>
        <v/>
      </c>
      <c r="CY743" t="str">
        <f>""</f>
        <v/>
      </c>
      <c r="CZ743" t="str">
        <f>""</f>
        <v/>
      </c>
      <c r="DA743" t="str">
        <f>""</f>
        <v/>
      </c>
      <c r="DB743" t="str">
        <f>""</f>
        <v/>
      </c>
      <c r="DC743" t="str">
        <f>""</f>
        <v/>
      </c>
      <c r="DD743" t="str">
        <f>""</f>
        <v/>
      </c>
      <c r="DE743" t="str">
        <f>""</f>
        <v/>
      </c>
      <c r="DF743" t="str">
        <f>""</f>
        <v/>
      </c>
      <c r="DG743" t="str">
        <f>""</f>
        <v/>
      </c>
      <c r="DH743" t="str">
        <f>""</f>
        <v/>
      </c>
      <c r="DI743" t="str">
        <f>""</f>
        <v/>
      </c>
      <c r="DJ743" t="str">
        <f>""</f>
        <v/>
      </c>
      <c r="DK743" t="str">
        <f>""</f>
        <v/>
      </c>
      <c r="DL743" t="str">
        <f>""</f>
        <v/>
      </c>
      <c r="DM743" t="str">
        <f>""</f>
        <v/>
      </c>
      <c r="DN743" t="str">
        <f>""</f>
        <v/>
      </c>
      <c r="DO743" t="str">
        <f>""</f>
        <v/>
      </c>
      <c r="DP743" t="str">
        <f>""</f>
        <v/>
      </c>
      <c r="DQ743" t="str">
        <f>""</f>
        <v/>
      </c>
      <c r="DR743" t="str">
        <f>""</f>
        <v/>
      </c>
      <c r="DS743" t="str">
        <f>""</f>
        <v/>
      </c>
      <c r="DT743" t="str">
        <f>""</f>
        <v/>
      </c>
      <c r="DU743" t="str">
        <f>""</f>
        <v/>
      </c>
    </row>
    <row r="744" spans="1:125" x14ac:dyDescent="0.25">
      <c r="A744" t="str">
        <f>$A$240</f>
        <v xml:space="preserve">    Subaru Corp</v>
      </c>
      <c r="B744" t="str">
        <f>$B$240</f>
        <v>7270 JP Equity</v>
      </c>
      <c r="C744" t="str">
        <f>$C$240</f>
        <v>RR843</v>
      </c>
      <c r="D744" t="str">
        <f>$D$240</f>
        <v>TRAIL_12M_FREE_CASH_FLOW</v>
      </c>
      <c r="E744" t="str">
        <f>$E$240</f>
        <v>Dynamic</v>
      </c>
      <c r="F744" t="str">
        <f ca="1">_xll.BDH($B$240,$C$240,$B$509,$B$510,CONCATENATE("Per=",$B$507),"Dts=H","Dir=H",CONCATENATE("Points=",$B$508),"Sort=R","Days=A","Fill=B",CONCATENATE("FX=", $B$506) )</f>
        <v>#N/A Connection</v>
      </c>
      <c r="BN744" t="str">
        <f>""</f>
        <v/>
      </c>
      <c r="BO744" t="str">
        <f>""</f>
        <v/>
      </c>
      <c r="BP744" t="str">
        <f>""</f>
        <v/>
      </c>
      <c r="BQ744" t="str">
        <f>""</f>
        <v/>
      </c>
      <c r="BR744" t="str">
        <f>""</f>
        <v/>
      </c>
      <c r="BS744" t="str">
        <f>""</f>
        <v/>
      </c>
      <c r="BT744" t="str">
        <f>""</f>
        <v/>
      </c>
      <c r="BU744" t="str">
        <f>""</f>
        <v/>
      </c>
      <c r="BV744" t="str">
        <f>""</f>
        <v/>
      </c>
      <c r="BW744" t="str">
        <f>""</f>
        <v/>
      </c>
      <c r="BX744" t="str">
        <f>""</f>
        <v/>
      </c>
      <c r="BY744" t="str">
        <f>""</f>
        <v/>
      </c>
      <c r="BZ744" t="str">
        <f>""</f>
        <v/>
      </c>
      <c r="CA744" t="str">
        <f>""</f>
        <v/>
      </c>
      <c r="CB744" t="str">
        <f>""</f>
        <v/>
      </c>
      <c r="CC744" t="str">
        <f>""</f>
        <v/>
      </c>
      <c r="CD744" t="str">
        <f>""</f>
        <v/>
      </c>
      <c r="CE744" t="str">
        <f>""</f>
        <v/>
      </c>
      <c r="CF744" t="str">
        <f>""</f>
        <v/>
      </c>
      <c r="CG744" t="str">
        <f>""</f>
        <v/>
      </c>
      <c r="CH744" t="str">
        <f>""</f>
        <v/>
      </c>
      <c r="CI744" t="str">
        <f>""</f>
        <v/>
      </c>
      <c r="CJ744" t="str">
        <f>""</f>
        <v/>
      </c>
      <c r="CK744" t="str">
        <f>""</f>
        <v/>
      </c>
      <c r="CL744" t="str">
        <f>""</f>
        <v/>
      </c>
      <c r="CM744" t="str">
        <f>""</f>
        <v/>
      </c>
      <c r="CN744" t="str">
        <f>""</f>
        <v/>
      </c>
      <c r="CO744" t="str">
        <f>""</f>
        <v/>
      </c>
      <c r="CP744" t="str">
        <f>""</f>
        <v/>
      </c>
      <c r="CQ744" t="str">
        <f>""</f>
        <v/>
      </c>
      <c r="CR744" t="str">
        <f>""</f>
        <v/>
      </c>
      <c r="CS744" t="str">
        <f>""</f>
        <v/>
      </c>
      <c r="CT744" t="str">
        <f>""</f>
        <v/>
      </c>
      <c r="CU744" t="str">
        <f>""</f>
        <v/>
      </c>
      <c r="CV744" t="str">
        <f>""</f>
        <v/>
      </c>
      <c r="CW744" t="str">
        <f>""</f>
        <v/>
      </c>
      <c r="CX744" t="str">
        <f>""</f>
        <v/>
      </c>
      <c r="CY744" t="str">
        <f>""</f>
        <v/>
      </c>
      <c r="CZ744" t="str">
        <f>""</f>
        <v/>
      </c>
      <c r="DA744" t="str">
        <f>""</f>
        <v/>
      </c>
      <c r="DB744" t="str">
        <f>""</f>
        <v/>
      </c>
      <c r="DC744" t="str">
        <f>""</f>
        <v/>
      </c>
      <c r="DD744" t="str">
        <f>""</f>
        <v/>
      </c>
      <c r="DE744" t="str">
        <f>""</f>
        <v/>
      </c>
      <c r="DF744" t="str">
        <f>""</f>
        <v/>
      </c>
      <c r="DG744" t="str">
        <f>""</f>
        <v/>
      </c>
      <c r="DH744" t="str">
        <f>""</f>
        <v/>
      </c>
      <c r="DI744" t="str">
        <f>""</f>
        <v/>
      </c>
      <c r="DJ744" t="str">
        <f>""</f>
        <v/>
      </c>
      <c r="DK744" t="str">
        <f>""</f>
        <v/>
      </c>
      <c r="DL744" t="str">
        <f>""</f>
        <v/>
      </c>
      <c r="DM744" t="str">
        <f>""</f>
        <v/>
      </c>
      <c r="DN744" t="str">
        <f>""</f>
        <v/>
      </c>
      <c r="DO744" t="str">
        <f>""</f>
        <v/>
      </c>
      <c r="DP744" t="str">
        <f>""</f>
        <v/>
      </c>
      <c r="DQ744" t="str">
        <f>""</f>
        <v/>
      </c>
      <c r="DR744" t="str">
        <f>""</f>
        <v/>
      </c>
      <c r="DS744" t="str">
        <f>""</f>
        <v/>
      </c>
      <c r="DT744" t="str">
        <f>""</f>
        <v/>
      </c>
      <c r="DU744" t="str">
        <f>""</f>
        <v/>
      </c>
    </row>
    <row r="745" spans="1:125" x14ac:dyDescent="0.25">
      <c r="A745" t="str">
        <f>$A$241</f>
        <v xml:space="preserve">    Suzuki Motor Corp</v>
      </c>
      <c r="B745" t="str">
        <f>$B$241</f>
        <v>7269 JP Equity</v>
      </c>
      <c r="C745" t="str">
        <f>$C$241</f>
        <v>RR843</v>
      </c>
      <c r="D745" t="str">
        <f>$D$241</f>
        <v>TRAIL_12M_FREE_CASH_FLOW</v>
      </c>
      <c r="E745" t="str">
        <f>$E$241</f>
        <v>Dynamic</v>
      </c>
      <c r="F745" t="str">
        <f ca="1">_xll.BDH($B$241,$C$241,$B$509,$B$510,CONCATENATE("Per=",$B$507),"Dts=H","Dir=H",CONCATENATE("Points=",$B$508),"Sort=R","Days=A","Fill=B",CONCATENATE("FX=", $B$506) )</f>
        <v>#N/A Connection</v>
      </c>
      <c r="BN745" t="str">
        <f>""</f>
        <v/>
      </c>
      <c r="BO745" t="str">
        <f>""</f>
        <v/>
      </c>
      <c r="BP745" t="str">
        <f>""</f>
        <v/>
      </c>
      <c r="BQ745" t="str">
        <f>""</f>
        <v/>
      </c>
      <c r="BR745" t="str">
        <f>""</f>
        <v/>
      </c>
      <c r="BS745" t="str">
        <f>""</f>
        <v/>
      </c>
      <c r="BT745" t="str">
        <f>""</f>
        <v/>
      </c>
      <c r="BU745" t="str">
        <f>""</f>
        <v/>
      </c>
      <c r="BV745" t="str">
        <f>""</f>
        <v/>
      </c>
      <c r="BW745" t="str">
        <f>""</f>
        <v/>
      </c>
      <c r="BX745" t="str">
        <f>""</f>
        <v/>
      </c>
      <c r="BY745" t="str">
        <f>""</f>
        <v/>
      </c>
      <c r="BZ745" t="str">
        <f>""</f>
        <v/>
      </c>
      <c r="CA745" t="str">
        <f>""</f>
        <v/>
      </c>
      <c r="CB745" t="str">
        <f>""</f>
        <v/>
      </c>
      <c r="CC745" t="str">
        <f>""</f>
        <v/>
      </c>
      <c r="CD745" t="str">
        <f>""</f>
        <v/>
      </c>
      <c r="CE745" t="str">
        <f>""</f>
        <v/>
      </c>
      <c r="CF745" t="str">
        <f>""</f>
        <v/>
      </c>
      <c r="CG745" t="str">
        <f>""</f>
        <v/>
      </c>
      <c r="CH745" t="str">
        <f>""</f>
        <v/>
      </c>
      <c r="CI745" t="str">
        <f>""</f>
        <v/>
      </c>
      <c r="CJ745" t="str">
        <f>""</f>
        <v/>
      </c>
      <c r="CK745" t="str">
        <f>""</f>
        <v/>
      </c>
      <c r="CL745" t="str">
        <f>""</f>
        <v/>
      </c>
      <c r="CM745" t="str">
        <f>""</f>
        <v/>
      </c>
      <c r="CN745" t="str">
        <f>""</f>
        <v/>
      </c>
      <c r="CO745" t="str">
        <f>""</f>
        <v/>
      </c>
      <c r="CP745" t="str">
        <f>""</f>
        <v/>
      </c>
      <c r="CQ745" t="str">
        <f>""</f>
        <v/>
      </c>
      <c r="CR745" t="str">
        <f>""</f>
        <v/>
      </c>
      <c r="CS745" t="str">
        <f>""</f>
        <v/>
      </c>
      <c r="CT745" t="str">
        <f>""</f>
        <v/>
      </c>
      <c r="CU745" t="str">
        <f>""</f>
        <v/>
      </c>
      <c r="CV745" t="str">
        <f>""</f>
        <v/>
      </c>
      <c r="CW745" t="str">
        <f>""</f>
        <v/>
      </c>
      <c r="CX745" t="str">
        <f>""</f>
        <v/>
      </c>
      <c r="CY745" t="str">
        <f>""</f>
        <v/>
      </c>
      <c r="CZ745" t="str">
        <f>""</f>
        <v/>
      </c>
      <c r="DA745" t="str">
        <f>""</f>
        <v/>
      </c>
      <c r="DB745" t="str">
        <f>""</f>
        <v/>
      </c>
      <c r="DC745" t="str">
        <f>""</f>
        <v/>
      </c>
      <c r="DD745" t="str">
        <f>""</f>
        <v/>
      </c>
      <c r="DE745" t="str">
        <f>""</f>
        <v/>
      </c>
      <c r="DF745" t="str">
        <f>""</f>
        <v/>
      </c>
      <c r="DG745" t="str">
        <f>""</f>
        <v/>
      </c>
      <c r="DH745" t="str">
        <f>""</f>
        <v/>
      </c>
      <c r="DI745" t="str">
        <f>""</f>
        <v/>
      </c>
      <c r="DJ745" t="str">
        <f>""</f>
        <v/>
      </c>
      <c r="DK745" t="str">
        <f>""</f>
        <v/>
      </c>
      <c r="DL745" t="str">
        <f>""</f>
        <v/>
      </c>
      <c r="DM745" t="str">
        <f>""</f>
        <v/>
      </c>
      <c r="DN745" t="str">
        <f>""</f>
        <v/>
      </c>
      <c r="DO745" t="str">
        <f>""</f>
        <v/>
      </c>
      <c r="DP745" t="str">
        <f>""</f>
        <v/>
      </c>
      <c r="DQ745" t="str">
        <f>""</f>
        <v/>
      </c>
      <c r="DR745" t="str">
        <f>""</f>
        <v/>
      </c>
      <c r="DS745" t="str">
        <f>""</f>
        <v/>
      </c>
      <c r="DT745" t="str">
        <f>""</f>
        <v/>
      </c>
      <c r="DU745" t="str">
        <f>""</f>
        <v/>
      </c>
    </row>
    <row r="746" spans="1:125" x14ac:dyDescent="0.25">
      <c r="A746" t="str">
        <f>$A$242</f>
        <v xml:space="preserve">    Tata Motors Ltd</v>
      </c>
      <c r="B746" t="str">
        <f>$B$242</f>
        <v>TTMT IN Equity</v>
      </c>
      <c r="C746" t="str">
        <f>$C$242</f>
        <v>RR843</v>
      </c>
      <c r="D746" t="str">
        <f>$D$242</f>
        <v>TRAIL_12M_FREE_CASH_FLOW</v>
      </c>
      <c r="E746" t="str">
        <f>$E$242</f>
        <v>Dynamic</v>
      </c>
      <c r="F746" t="str">
        <f ca="1">_xll.BDH($B$242,$C$242,$B$509,$B$510,CONCATENATE("Per=",$B$507),"Dts=H","Dir=H",CONCATENATE("Points=",$B$508),"Sort=R","Days=A","Fill=B",CONCATENATE("FX=", $B$506) )</f>
        <v>#N/A Connection</v>
      </c>
      <c r="BN746" t="str">
        <f>""</f>
        <v/>
      </c>
      <c r="BO746" t="str">
        <f>""</f>
        <v/>
      </c>
      <c r="BP746" t="str">
        <f>""</f>
        <v/>
      </c>
      <c r="BQ746" t="str">
        <f>""</f>
        <v/>
      </c>
      <c r="BR746" t="str">
        <f>""</f>
        <v/>
      </c>
      <c r="BS746" t="str">
        <f>""</f>
        <v/>
      </c>
      <c r="BT746" t="str">
        <f>""</f>
        <v/>
      </c>
      <c r="BU746" t="str">
        <f>""</f>
        <v/>
      </c>
      <c r="BV746" t="str">
        <f>""</f>
        <v/>
      </c>
      <c r="BW746" t="str">
        <f>""</f>
        <v/>
      </c>
      <c r="BX746" t="str">
        <f>""</f>
        <v/>
      </c>
      <c r="BY746" t="str">
        <f>""</f>
        <v/>
      </c>
      <c r="BZ746" t="str">
        <f>""</f>
        <v/>
      </c>
      <c r="CA746" t="str">
        <f>""</f>
        <v/>
      </c>
      <c r="CB746" t="str">
        <f>""</f>
        <v/>
      </c>
      <c r="CC746" t="str">
        <f>""</f>
        <v/>
      </c>
      <c r="CD746" t="str">
        <f>""</f>
        <v/>
      </c>
      <c r="CE746" t="str">
        <f>""</f>
        <v/>
      </c>
      <c r="CF746" t="str">
        <f>""</f>
        <v/>
      </c>
      <c r="CG746" t="str">
        <f>""</f>
        <v/>
      </c>
      <c r="CH746" t="str">
        <f>""</f>
        <v/>
      </c>
      <c r="CI746" t="str">
        <f>""</f>
        <v/>
      </c>
      <c r="CJ746" t="str">
        <f>""</f>
        <v/>
      </c>
      <c r="CK746" t="str">
        <f>""</f>
        <v/>
      </c>
      <c r="CL746" t="str">
        <f>""</f>
        <v/>
      </c>
      <c r="CM746" t="str">
        <f>""</f>
        <v/>
      </c>
      <c r="CN746" t="str">
        <f>""</f>
        <v/>
      </c>
      <c r="CO746" t="str">
        <f>""</f>
        <v/>
      </c>
      <c r="CP746" t="str">
        <f>""</f>
        <v/>
      </c>
      <c r="CQ746" t="str">
        <f>""</f>
        <v/>
      </c>
      <c r="CR746" t="str">
        <f>""</f>
        <v/>
      </c>
      <c r="CS746" t="str">
        <f>""</f>
        <v/>
      </c>
      <c r="CT746" t="str">
        <f>""</f>
        <v/>
      </c>
      <c r="CU746" t="str">
        <f>""</f>
        <v/>
      </c>
      <c r="CV746" t="str">
        <f>""</f>
        <v/>
      </c>
      <c r="CW746" t="str">
        <f>""</f>
        <v/>
      </c>
      <c r="CX746" t="str">
        <f>""</f>
        <v/>
      </c>
      <c r="CY746" t="str">
        <f>""</f>
        <v/>
      </c>
      <c r="CZ746" t="str">
        <f>""</f>
        <v/>
      </c>
      <c r="DA746" t="str">
        <f>""</f>
        <v/>
      </c>
      <c r="DB746" t="str">
        <f>""</f>
        <v/>
      </c>
      <c r="DC746" t="str">
        <f>""</f>
        <v/>
      </c>
      <c r="DD746" t="str">
        <f>""</f>
        <v/>
      </c>
      <c r="DE746" t="str">
        <f>""</f>
        <v/>
      </c>
      <c r="DF746" t="str">
        <f>""</f>
        <v/>
      </c>
      <c r="DG746" t="str">
        <f>""</f>
        <v/>
      </c>
      <c r="DH746" t="str">
        <f>""</f>
        <v/>
      </c>
      <c r="DI746" t="str">
        <f>""</f>
        <v/>
      </c>
      <c r="DJ746" t="str">
        <f>""</f>
        <v/>
      </c>
      <c r="DK746" t="str">
        <f>""</f>
        <v/>
      </c>
      <c r="DL746" t="str">
        <f>""</f>
        <v/>
      </c>
      <c r="DM746" t="str">
        <f>""</f>
        <v/>
      </c>
      <c r="DN746" t="str">
        <f>""</f>
        <v/>
      </c>
      <c r="DO746" t="str">
        <f>""</f>
        <v/>
      </c>
      <c r="DP746" t="str">
        <f>""</f>
        <v/>
      </c>
      <c r="DQ746" t="str">
        <f>""</f>
        <v/>
      </c>
      <c r="DR746" t="str">
        <f>""</f>
        <v/>
      </c>
      <c r="DS746" t="str">
        <f>""</f>
        <v/>
      </c>
      <c r="DT746" t="str">
        <f>""</f>
        <v/>
      </c>
      <c r="DU746" t="str">
        <f>""</f>
        <v/>
      </c>
    </row>
    <row r="747" spans="1:125" x14ac:dyDescent="0.25">
      <c r="A747" t="str">
        <f>$A$243</f>
        <v xml:space="preserve">    Tesla Inc</v>
      </c>
      <c r="B747" t="str">
        <f>$B$243</f>
        <v>TSLA US Equity</v>
      </c>
      <c r="C747" t="str">
        <f>$C$243</f>
        <v>RR843</v>
      </c>
      <c r="D747" t="str">
        <f>$D$243</f>
        <v>TRAIL_12M_FREE_CASH_FLOW</v>
      </c>
      <c r="E747" t="str">
        <f>$E$243</f>
        <v>Dynamic</v>
      </c>
      <c r="F747" t="str">
        <f ca="1">_xll.BDH($B$243,$C$243,$B$509,$B$510,CONCATENATE("Per=",$B$507),"Dts=H","Dir=H",CONCATENATE("Points=",$B$508),"Sort=R","Days=A","Fill=B",CONCATENATE("FX=", $B$506) )</f>
        <v>#N/A Connection</v>
      </c>
      <c r="BN747" t="str">
        <f>""</f>
        <v/>
      </c>
      <c r="BO747" t="str">
        <f>""</f>
        <v/>
      </c>
      <c r="BP747" t="str">
        <f>""</f>
        <v/>
      </c>
      <c r="BQ747" t="str">
        <f>""</f>
        <v/>
      </c>
      <c r="BR747" t="str">
        <f>""</f>
        <v/>
      </c>
      <c r="BS747" t="str">
        <f>""</f>
        <v/>
      </c>
      <c r="BT747" t="str">
        <f>""</f>
        <v/>
      </c>
      <c r="BU747" t="str">
        <f>""</f>
        <v/>
      </c>
      <c r="BV747" t="str">
        <f>""</f>
        <v/>
      </c>
      <c r="BW747" t="str">
        <f>""</f>
        <v/>
      </c>
      <c r="BX747" t="str">
        <f>""</f>
        <v/>
      </c>
      <c r="BY747" t="str">
        <f>""</f>
        <v/>
      </c>
      <c r="BZ747" t="str">
        <f>""</f>
        <v/>
      </c>
      <c r="CA747" t="str">
        <f>""</f>
        <v/>
      </c>
      <c r="CB747" t="str">
        <f>""</f>
        <v/>
      </c>
      <c r="CC747" t="str">
        <f>""</f>
        <v/>
      </c>
      <c r="CD747" t="str">
        <f>""</f>
        <v/>
      </c>
      <c r="CE747" t="str">
        <f>""</f>
        <v/>
      </c>
      <c r="CF747" t="str">
        <f>""</f>
        <v/>
      </c>
      <c r="CG747" t="str">
        <f>""</f>
        <v/>
      </c>
      <c r="CH747" t="str">
        <f>""</f>
        <v/>
      </c>
      <c r="CI747" t="str">
        <f>""</f>
        <v/>
      </c>
      <c r="CJ747" t="str">
        <f>""</f>
        <v/>
      </c>
      <c r="CK747" t="str">
        <f>""</f>
        <v/>
      </c>
      <c r="CL747" t="str">
        <f>""</f>
        <v/>
      </c>
      <c r="CM747" t="str">
        <f>""</f>
        <v/>
      </c>
      <c r="CN747" t="str">
        <f>""</f>
        <v/>
      </c>
      <c r="CO747" t="str">
        <f>""</f>
        <v/>
      </c>
      <c r="CP747" t="str">
        <f>""</f>
        <v/>
      </c>
      <c r="CQ747" t="str">
        <f>""</f>
        <v/>
      </c>
      <c r="CR747" t="str">
        <f>""</f>
        <v/>
      </c>
      <c r="CS747" t="str">
        <f>""</f>
        <v/>
      </c>
      <c r="CT747" t="str">
        <f>""</f>
        <v/>
      </c>
      <c r="CU747" t="str">
        <f>""</f>
        <v/>
      </c>
      <c r="CV747" t="str">
        <f>""</f>
        <v/>
      </c>
      <c r="CW747" t="str">
        <f>""</f>
        <v/>
      </c>
      <c r="CX747" t="str">
        <f>""</f>
        <v/>
      </c>
      <c r="CY747" t="str">
        <f>""</f>
        <v/>
      </c>
      <c r="CZ747" t="str">
        <f>""</f>
        <v/>
      </c>
      <c r="DA747" t="str">
        <f>""</f>
        <v/>
      </c>
      <c r="DB747" t="str">
        <f>""</f>
        <v/>
      </c>
      <c r="DC747" t="str">
        <f>""</f>
        <v/>
      </c>
      <c r="DD747" t="str">
        <f>""</f>
        <v/>
      </c>
      <c r="DE747" t="str">
        <f>""</f>
        <v/>
      </c>
      <c r="DF747" t="str">
        <f>""</f>
        <v/>
      </c>
      <c r="DG747" t="str">
        <f>""</f>
        <v/>
      </c>
      <c r="DH747" t="str">
        <f>""</f>
        <v/>
      </c>
      <c r="DI747" t="str">
        <f>""</f>
        <v/>
      </c>
      <c r="DJ747" t="str">
        <f>""</f>
        <v/>
      </c>
      <c r="DK747" t="str">
        <f>""</f>
        <v/>
      </c>
      <c r="DL747" t="str">
        <f>""</f>
        <v/>
      </c>
      <c r="DM747" t="str">
        <f>""</f>
        <v/>
      </c>
      <c r="DN747" t="str">
        <f>""</f>
        <v/>
      </c>
      <c r="DO747" t="str">
        <f>""</f>
        <v/>
      </c>
      <c r="DP747" t="str">
        <f>""</f>
        <v/>
      </c>
      <c r="DQ747" t="str">
        <f>""</f>
        <v/>
      </c>
      <c r="DR747" t="str">
        <f>""</f>
        <v/>
      </c>
      <c r="DS747" t="str">
        <f>""</f>
        <v/>
      </c>
      <c r="DT747" t="str">
        <f>""</f>
        <v/>
      </c>
      <c r="DU747" t="str">
        <f>""</f>
        <v/>
      </c>
    </row>
    <row r="748" spans="1:125" x14ac:dyDescent="0.25">
      <c r="A748" t="str">
        <f>$A$244</f>
        <v xml:space="preserve">    Tianjin Faw Xiali Automobile Co Ltd</v>
      </c>
      <c r="B748" t="str">
        <f>$B$244</f>
        <v>000927 CH Equity</v>
      </c>
      <c r="C748" t="str">
        <f>$C$244</f>
        <v>RR843</v>
      </c>
      <c r="D748" t="str">
        <f>$D$244</f>
        <v>TRAIL_12M_FREE_CASH_FLOW</v>
      </c>
      <c r="E748" t="str">
        <f>$E$244</f>
        <v>Dynamic</v>
      </c>
      <c r="F748" t="str">
        <f ca="1">_xll.BDH($B$244,$C$244,$B$509,$B$510,CONCATENATE("Per=",$B$507),"Dts=H","Dir=H",CONCATENATE("Points=",$B$508),"Sort=R","Days=A","Fill=B",CONCATENATE("FX=", $B$506) )</f>
        <v>#N/A Connection</v>
      </c>
      <c r="BN748" t="str">
        <f>""</f>
        <v/>
      </c>
      <c r="BO748" t="str">
        <f>""</f>
        <v/>
      </c>
      <c r="BP748" t="str">
        <f>""</f>
        <v/>
      </c>
      <c r="BQ748" t="str">
        <f>""</f>
        <v/>
      </c>
      <c r="BR748" t="str">
        <f>""</f>
        <v/>
      </c>
      <c r="BS748" t="str">
        <f>""</f>
        <v/>
      </c>
      <c r="BT748" t="str">
        <f>""</f>
        <v/>
      </c>
      <c r="BU748" t="str">
        <f>""</f>
        <v/>
      </c>
      <c r="BV748" t="str">
        <f>""</f>
        <v/>
      </c>
      <c r="BW748" t="str">
        <f>""</f>
        <v/>
      </c>
      <c r="BX748" t="str">
        <f>""</f>
        <v/>
      </c>
      <c r="BY748" t="str">
        <f>""</f>
        <v/>
      </c>
      <c r="BZ748" t="str">
        <f>""</f>
        <v/>
      </c>
      <c r="CA748" t="str">
        <f>""</f>
        <v/>
      </c>
      <c r="CB748" t="str">
        <f>""</f>
        <v/>
      </c>
      <c r="CC748" t="str">
        <f>""</f>
        <v/>
      </c>
      <c r="CD748" t="str">
        <f>""</f>
        <v/>
      </c>
      <c r="CE748" t="str">
        <f>""</f>
        <v/>
      </c>
      <c r="CF748" t="str">
        <f>""</f>
        <v/>
      </c>
      <c r="CG748" t="str">
        <f>""</f>
        <v/>
      </c>
      <c r="CH748" t="str">
        <f>""</f>
        <v/>
      </c>
      <c r="CI748" t="str">
        <f>""</f>
        <v/>
      </c>
      <c r="CJ748" t="str">
        <f>""</f>
        <v/>
      </c>
      <c r="CK748" t="str">
        <f>""</f>
        <v/>
      </c>
      <c r="CL748" t="str">
        <f>""</f>
        <v/>
      </c>
      <c r="CM748" t="str">
        <f>""</f>
        <v/>
      </c>
      <c r="CN748" t="str">
        <f>""</f>
        <v/>
      </c>
      <c r="CO748" t="str">
        <f>""</f>
        <v/>
      </c>
      <c r="CP748" t="str">
        <f>""</f>
        <v/>
      </c>
      <c r="CQ748" t="str">
        <f>""</f>
        <v/>
      </c>
      <c r="CR748" t="str">
        <f>""</f>
        <v/>
      </c>
      <c r="CS748" t="str">
        <f>""</f>
        <v/>
      </c>
      <c r="CT748" t="str">
        <f>""</f>
        <v/>
      </c>
      <c r="CU748" t="str">
        <f>""</f>
        <v/>
      </c>
      <c r="CV748" t="str">
        <f>""</f>
        <v/>
      </c>
      <c r="CW748" t="str">
        <f>""</f>
        <v/>
      </c>
      <c r="CX748" t="str">
        <f>""</f>
        <v/>
      </c>
      <c r="CY748" t="str">
        <f>""</f>
        <v/>
      </c>
      <c r="CZ748" t="str">
        <f>""</f>
        <v/>
      </c>
      <c r="DA748" t="str">
        <f>""</f>
        <v/>
      </c>
      <c r="DB748" t="str">
        <f>""</f>
        <v/>
      </c>
      <c r="DC748" t="str">
        <f>""</f>
        <v/>
      </c>
      <c r="DD748" t="str">
        <f>""</f>
        <v/>
      </c>
      <c r="DE748" t="str">
        <f>""</f>
        <v/>
      </c>
      <c r="DF748" t="str">
        <f>""</f>
        <v/>
      </c>
      <c r="DG748" t="str">
        <f>""</f>
        <v/>
      </c>
      <c r="DH748" t="str">
        <f>""</f>
        <v/>
      </c>
      <c r="DI748" t="str">
        <f>""</f>
        <v/>
      </c>
      <c r="DJ748" t="str">
        <f>""</f>
        <v/>
      </c>
      <c r="DK748" t="str">
        <f>""</f>
        <v/>
      </c>
      <c r="DL748" t="str">
        <f>""</f>
        <v/>
      </c>
      <c r="DM748" t="str">
        <f>""</f>
        <v/>
      </c>
      <c r="DN748" t="str">
        <f>""</f>
        <v/>
      </c>
      <c r="DO748" t="str">
        <f>""</f>
        <v/>
      </c>
      <c r="DP748" t="str">
        <f>""</f>
        <v/>
      </c>
      <c r="DQ748" t="str">
        <f>""</f>
        <v/>
      </c>
      <c r="DR748" t="str">
        <f>""</f>
        <v/>
      </c>
      <c r="DS748" t="str">
        <f>""</f>
        <v/>
      </c>
      <c r="DT748" t="str">
        <f>""</f>
        <v/>
      </c>
      <c r="DU748" t="str">
        <f>""</f>
        <v/>
      </c>
    </row>
    <row r="749" spans="1:125" x14ac:dyDescent="0.25">
      <c r="A749" t="str">
        <f>$A$245</f>
        <v xml:space="preserve">    Tofas Turk Otomobil Fabrikasi AS</v>
      </c>
      <c r="B749" t="str">
        <f>$B$245</f>
        <v>TOASOTRY EO Equity</v>
      </c>
      <c r="C749" t="str">
        <f>$C$245</f>
        <v>RR843</v>
      </c>
      <c r="D749" t="str">
        <f>$D$245</f>
        <v>TRAIL_12M_FREE_CASH_FLOW</v>
      </c>
      <c r="E749" t="str">
        <f>$E$245</f>
        <v>Dynamic</v>
      </c>
      <c r="F749" t="str">
        <f ca="1">_xll.BDH($B$245,$C$245,$B$509,$B$510,CONCATENATE("Per=",$B$507),"Dts=H","Dir=H",CONCATENATE("Points=",$B$508),"Sort=R","Days=A","Fill=B",CONCATENATE("FX=", $B$506) )</f>
        <v>#N/A Connection</v>
      </c>
      <c r="BN749" t="str">
        <f>""</f>
        <v/>
      </c>
      <c r="BO749" t="str">
        <f>""</f>
        <v/>
      </c>
      <c r="BP749" t="str">
        <f>""</f>
        <v/>
      </c>
      <c r="BQ749" t="str">
        <f>""</f>
        <v/>
      </c>
      <c r="BR749" t="str">
        <f>""</f>
        <v/>
      </c>
      <c r="BS749" t="str">
        <f>""</f>
        <v/>
      </c>
      <c r="BT749" t="str">
        <f>""</f>
        <v/>
      </c>
      <c r="BU749" t="str">
        <f>""</f>
        <v/>
      </c>
      <c r="BV749" t="str">
        <f>""</f>
        <v/>
      </c>
      <c r="BW749" t="str">
        <f>""</f>
        <v/>
      </c>
      <c r="BX749" t="str">
        <f>""</f>
        <v/>
      </c>
      <c r="BY749" t="str">
        <f>""</f>
        <v/>
      </c>
      <c r="BZ749" t="str">
        <f>""</f>
        <v/>
      </c>
      <c r="CA749" t="str">
        <f>""</f>
        <v/>
      </c>
      <c r="CB749" t="str">
        <f>""</f>
        <v/>
      </c>
      <c r="CC749" t="str">
        <f>""</f>
        <v/>
      </c>
      <c r="CD749" t="str">
        <f>""</f>
        <v/>
      </c>
      <c r="CE749" t="str">
        <f>""</f>
        <v/>
      </c>
      <c r="CF749" t="str">
        <f>""</f>
        <v/>
      </c>
      <c r="CG749" t="str">
        <f>""</f>
        <v/>
      </c>
      <c r="CH749" t="str">
        <f>""</f>
        <v/>
      </c>
      <c r="CI749" t="str">
        <f>""</f>
        <v/>
      </c>
      <c r="CJ749" t="str">
        <f>""</f>
        <v/>
      </c>
      <c r="CK749" t="str">
        <f>""</f>
        <v/>
      </c>
      <c r="CL749" t="str">
        <f>""</f>
        <v/>
      </c>
      <c r="CM749" t="str">
        <f>""</f>
        <v/>
      </c>
      <c r="CN749" t="str">
        <f>""</f>
        <v/>
      </c>
      <c r="CO749" t="str">
        <f>""</f>
        <v/>
      </c>
      <c r="CP749" t="str">
        <f>""</f>
        <v/>
      </c>
      <c r="CQ749" t="str">
        <f>""</f>
        <v/>
      </c>
      <c r="CR749" t="str">
        <f>""</f>
        <v/>
      </c>
      <c r="CS749" t="str">
        <f>""</f>
        <v/>
      </c>
      <c r="CT749" t="str">
        <f>""</f>
        <v/>
      </c>
      <c r="CU749" t="str">
        <f>""</f>
        <v/>
      </c>
      <c r="CV749" t="str">
        <f>""</f>
        <v/>
      </c>
      <c r="CW749" t="str">
        <f>""</f>
        <v/>
      </c>
      <c r="CX749" t="str">
        <f>""</f>
        <v/>
      </c>
      <c r="CY749" t="str">
        <f>""</f>
        <v/>
      </c>
      <c r="CZ749" t="str">
        <f>""</f>
        <v/>
      </c>
      <c r="DA749" t="str">
        <f>""</f>
        <v/>
      </c>
      <c r="DB749" t="str">
        <f>""</f>
        <v/>
      </c>
      <c r="DC749" t="str">
        <f>""</f>
        <v/>
      </c>
      <c r="DD749" t="str">
        <f>""</f>
        <v/>
      </c>
      <c r="DE749" t="str">
        <f>""</f>
        <v/>
      </c>
      <c r="DF749" t="str">
        <f>""</f>
        <v/>
      </c>
      <c r="DG749" t="str">
        <f>""</f>
        <v/>
      </c>
      <c r="DH749" t="str">
        <f>""</f>
        <v/>
      </c>
      <c r="DI749" t="str">
        <f>""</f>
        <v/>
      </c>
      <c r="DJ749" t="str">
        <f>""</f>
        <v/>
      </c>
      <c r="DK749" t="str">
        <f>""</f>
        <v/>
      </c>
      <c r="DL749" t="str">
        <f>""</f>
        <v/>
      </c>
      <c r="DM749" t="str">
        <f>""</f>
        <v/>
      </c>
      <c r="DN749" t="str">
        <f>""</f>
        <v/>
      </c>
      <c r="DO749" t="str">
        <f>""</f>
        <v/>
      </c>
      <c r="DP749" t="str">
        <f>""</f>
        <v/>
      </c>
      <c r="DQ749" t="str">
        <f>""</f>
        <v/>
      </c>
      <c r="DR749" t="str">
        <f>""</f>
        <v/>
      </c>
      <c r="DS749" t="str">
        <f>""</f>
        <v/>
      </c>
      <c r="DT749" t="str">
        <f>""</f>
        <v/>
      </c>
      <c r="DU749" t="str">
        <f>""</f>
        <v/>
      </c>
    </row>
    <row r="750" spans="1:125" x14ac:dyDescent="0.25">
      <c r="A750" t="str">
        <f>$A$246</f>
        <v xml:space="preserve">    Toyota Motor Corp</v>
      </c>
      <c r="B750" t="str">
        <f>$B$246</f>
        <v>7203 JP Equity</v>
      </c>
      <c r="C750" t="str">
        <f>$C$246</f>
        <v>RR843</v>
      </c>
      <c r="D750" t="str">
        <f>$D$246</f>
        <v>TRAIL_12M_FREE_CASH_FLOW</v>
      </c>
      <c r="E750" t="str">
        <f>$E$246</f>
        <v>Dynamic</v>
      </c>
      <c r="F750" t="str">
        <f ca="1">_xll.BDH($B$246,$C$246,$B$509,$B$510,CONCATENATE("Per=",$B$507),"Dts=H","Dir=H",CONCATENATE("Points=",$B$508),"Sort=R","Days=A","Fill=B",CONCATENATE("FX=", $B$506) )</f>
        <v>#N/A Connection</v>
      </c>
      <c r="BN750" t="str">
        <f>""</f>
        <v/>
      </c>
      <c r="BO750" t="str">
        <f>""</f>
        <v/>
      </c>
      <c r="BP750" t="str">
        <f>""</f>
        <v/>
      </c>
      <c r="BQ750" t="str">
        <f>""</f>
        <v/>
      </c>
      <c r="BR750" t="str">
        <f>""</f>
        <v/>
      </c>
      <c r="BS750" t="str">
        <f>""</f>
        <v/>
      </c>
      <c r="BT750" t="str">
        <f>""</f>
        <v/>
      </c>
      <c r="BU750" t="str">
        <f>""</f>
        <v/>
      </c>
      <c r="BV750" t="str">
        <f>""</f>
        <v/>
      </c>
      <c r="BW750" t="str">
        <f>""</f>
        <v/>
      </c>
      <c r="BX750" t="str">
        <f>""</f>
        <v/>
      </c>
      <c r="BY750" t="str">
        <f>""</f>
        <v/>
      </c>
      <c r="BZ750" t="str">
        <f>""</f>
        <v/>
      </c>
      <c r="CA750" t="str">
        <f>""</f>
        <v/>
      </c>
      <c r="CB750" t="str">
        <f>""</f>
        <v/>
      </c>
      <c r="CC750" t="str">
        <f>""</f>
        <v/>
      </c>
      <c r="CD750" t="str">
        <f>""</f>
        <v/>
      </c>
      <c r="CE750" t="str">
        <f>""</f>
        <v/>
      </c>
      <c r="CF750" t="str">
        <f>""</f>
        <v/>
      </c>
      <c r="CG750" t="str">
        <f>""</f>
        <v/>
      </c>
      <c r="CH750" t="str">
        <f>""</f>
        <v/>
      </c>
      <c r="CI750" t="str">
        <f>""</f>
        <v/>
      </c>
      <c r="CJ750" t="str">
        <f>""</f>
        <v/>
      </c>
      <c r="CK750" t="str">
        <f>""</f>
        <v/>
      </c>
      <c r="CL750" t="str">
        <f>""</f>
        <v/>
      </c>
      <c r="CM750" t="str">
        <f>""</f>
        <v/>
      </c>
      <c r="CN750" t="str">
        <f>""</f>
        <v/>
      </c>
      <c r="CO750" t="str">
        <f>""</f>
        <v/>
      </c>
      <c r="CP750" t="str">
        <f>""</f>
        <v/>
      </c>
      <c r="CQ750" t="str">
        <f>""</f>
        <v/>
      </c>
      <c r="CR750" t="str">
        <f>""</f>
        <v/>
      </c>
      <c r="CS750" t="str">
        <f>""</f>
        <v/>
      </c>
      <c r="CT750" t="str">
        <f>""</f>
        <v/>
      </c>
      <c r="CU750" t="str">
        <f>""</f>
        <v/>
      </c>
      <c r="CV750" t="str">
        <f>""</f>
        <v/>
      </c>
      <c r="CW750" t="str">
        <f>""</f>
        <v/>
      </c>
      <c r="CX750" t="str">
        <f>""</f>
        <v/>
      </c>
      <c r="CY750" t="str">
        <f>""</f>
        <v/>
      </c>
      <c r="CZ750" t="str">
        <f>""</f>
        <v/>
      </c>
      <c r="DA750" t="str">
        <f>""</f>
        <v/>
      </c>
      <c r="DB750" t="str">
        <f>""</f>
        <v/>
      </c>
      <c r="DC750" t="str">
        <f>""</f>
        <v/>
      </c>
      <c r="DD750" t="str">
        <f>""</f>
        <v/>
      </c>
      <c r="DE750" t="str">
        <f>""</f>
        <v/>
      </c>
      <c r="DF750" t="str">
        <f>""</f>
        <v/>
      </c>
      <c r="DG750" t="str">
        <f>""</f>
        <v/>
      </c>
      <c r="DH750" t="str">
        <f>""</f>
        <v/>
      </c>
      <c r="DI750" t="str">
        <f>""</f>
        <v/>
      </c>
      <c r="DJ750" t="str">
        <f>""</f>
        <v/>
      </c>
      <c r="DK750" t="str">
        <f>""</f>
        <v/>
      </c>
      <c r="DL750" t="str">
        <f>""</f>
        <v/>
      </c>
      <c r="DM750" t="str">
        <f>""</f>
        <v/>
      </c>
      <c r="DN750" t="str">
        <f>""</f>
        <v/>
      </c>
      <c r="DO750" t="str">
        <f>""</f>
        <v/>
      </c>
      <c r="DP750" t="str">
        <f>""</f>
        <v/>
      </c>
      <c r="DQ750" t="str">
        <f>""</f>
        <v/>
      </c>
      <c r="DR750" t="str">
        <f>""</f>
        <v/>
      </c>
      <c r="DS750" t="str">
        <f>""</f>
        <v/>
      </c>
      <c r="DT750" t="str">
        <f>""</f>
        <v/>
      </c>
      <c r="DU750" t="str">
        <f>""</f>
        <v/>
      </c>
    </row>
    <row r="751" spans="1:125" x14ac:dyDescent="0.25">
      <c r="A751" t="str">
        <f>$A$247</f>
        <v xml:space="preserve">    Volkswagen AG</v>
      </c>
      <c r="B751" t="str">
        <f>$B$247</f>
        <v>VOW GR Equity</v>
      </c>
      <c r="C751" t="str">
        <f>$C$247</f>
        <v>RR843</v>
      </c>
      <c r="D751" t="str">
        <f>$D$247</f>
        <v>TRAIL_12M_FREE_CASH_FLOW</v>
      </c>
      <c r="E751" t="str">
        <f>$E$247</f>
        <v>Dynamic</v>
      </c>
      <c r="F751" t="str">
        <f ca="1">_xll.BDH($B$247,$C$247,$B$509,$B$510,CONCATENATE("Per=",$B$507),"Dts=H","Dir=H",CONCATENATE("Points=",$B$508),"Sort=R","Days=A","Fill=B",CONCATENATE("FX=", $B$506) )</f>
        <v>#N/A Connection</v>
      </c>
      <c r="BN751" t="str">
        <f>""</f>
        <v/>
      </c>
      <c r="BO751" t="str">
        <f>""</f>
        <v/>
      </c>
      <c r="BP751" t="str">
        <f>""</f>
        <v/>
      </c>
      <c r="BQ751" t="str">
        <f>""</f>
        <v/>
      </c>
      <c r="BR751" t="str">
        <f>""</f>
        <v/>
      </c>
      <c r="BS751" t="str">
        <f>""</f>
        <v/>
      </c>
      <c r="BT751" t="str">
        <f>""</f>
        <v/>
      </c>
      <c r="BU751" t="str">
        <f>""</f>
        <v/>
      </c>
      <c r="BV751" t="str">
        <f>""</f>
        <v/>
      </c>
      <c r="BW751" t="str">
        <f>""</f>
        <v/>
      </c>
      <c r="BX751" t="str">
        <f>""</f>
        <v/>
      </c>
      <c r="BY751" t="str">
        <f>""</f>
        <v/>
      </c>
      <c r="BZ751" t="str">
        <f>""</f>
        <v/>
      </c>
      <c r="CA751" t="str">
        <f>""</f>
        <v/>
      </c>
      <c r="CB751" t="str">
        <f>""</f>
        <v/>
      </c>
      <c r="CC751" t="str">
        <f>""</f>
        <v/>
      </c>
      <c r="CD751" t="str">
        <f>""</f>
        <v/>
      </c>
      <c r="CE751" t="str">
        <f>""</f>
        <v/>
      </c>
      <c r="CF751" t="str">
        <f>""</f>
        <v/>
      </c>
      <c r="CG751" t="str">
        <f>""</f>
        <v/>
      </c>
      <c r="CH751" t="str">
        <f>""</f>
        <v/>
      </c>
      <c r="CI751" t="str">
        <f>""</f>
        <v/>
      </c>
      <c r="CJ751" t="str">
        <f>""</f>
        <v/>
      </c>
      <c r="CK751" t="str">
        <f>""</f>
        <v/>
      </c>
      <c r="CL751" t="str">
        <f>""</f>
        <v/>
      </c>
      <c r="CM751" t="str">
        <f>""</f>
        <v/>
      </c>
      <c r="CN751" t="str">
        <f>""</f>
        <v/>
      </c>
      <c r="CO751" t="str">
        <f>""</f>
        <v/>
      </c>
      <c r="CP751" t="str">
        <f>""</f>
        <v/>
      </c>
      <c r="CQ751" t="str">
        <f>""</f>
        <v/>
      </c>
      <c r="CR751" t="str">
        <f>""</f>
        <v/>
      </c>
      <c r="CS751" t="str">
        <f>""</f>
        <v/>
      </c>
      <c r="CT751" t="str">
        <f>""</f>
        <v/>
      </c>
      <c r="CU751" t="str">
        <f>""</f>
        <v/>
      </c>
      <c r="CV751" t="str">
        <f>""</f>
        <v/>
      </c>
      <c r="CW751" t="str">
        <f>""</f>
        <v/>
      </c>
      <c r="CX751" t="str">
        <f>""</f>
        <v/>
      </c>
      <c r="CY751" t="str">
        <f>""</f>
        <v/>
      </c>
      <c r="CZ751" t="str">
        <f>""</f>
        <v/>
      </c>
      <c r="DA751" t="str">
        <f>""</f>
        <v/>
      </c>
      <c r="DB751" t="str">
        <f>""</f>
        <v/>
      </c>
      <c r="DC751" t="str">
        <f>""</f>
        <v/>
      </c>
      <c r="DD751" t="str">
        <f>""</f>
        <v/>
      </c>
      <c r="DE751" t="str">
        <f>""</f>
        <v/>
      </c>
      <c r="DF751" t="str">
        <f>""</f>
        <v/>
      </c>
      <c r="DG751" t="str">
        <f>""</f>
        <v/>
      </c>
      <c r="DH751" t="str">
        <f>""</f>
        <v/>
      </c>
      <c r="DI751" t="str">
        <f>""</f>
        <v/>
      </c>
      <c r="DJ751" t="str">
        <f>""</f>
        <v/>
      </c>
      <c r="DK751" t="str">
        <f>""</f>
        <v/>
      </c>
      <c r="DL751" t="str">
        <f>""</f>
        <v/>
      </c>
      <c r="DM751" t="str">
        <f>""</f>
        <v/>
      </c>
      <c r="DN751" t="str">
        <f>""</f>
        <v/>
      </c>
      <c r="DO751" t="str">
        <f>""</f>
        <v/>
      </c>
      <c r="DP751" t="str">
        <f>""</f>
        <v/>
      </c>
      <c r="DQ751" t="str">
        <f>""</f>
        <v/>
      </c>
      <c r="DR751" t="str">
        <f>""</f>
        <v/>
      </c>
      <c r="DS751" t="str">
        <f>""</f>
        <v/>
      </c>
      <c r="DT751" t="str">
        <f>""</f>
        <v/>
      </c>
      <c r="DU751" t="str">
        <f>""</f>
        <v/>
      </c>
    </row>
    <row r="752" spans="1:125" x14ac:dyDescent="0.25">
      <c r="A752" t="str">
        <f>$A$248</f>
        <v xml:space="preserve">    Yulon Motor Co Ltd</v>
      </c>
      <c r="B752" t="str">
        <f>$B$248</f>
        <v>2201 TT Equity</v>
      </c>
      <c r="C752" t="str">
        <f>$C$248</f>
        <v>RR843</v>
      </c>
      <c r="D752" t="str">
        <f>$D$248</f>
        <v>TRAIL_12M_FREE_CASH_FLOW</v>
      </c>
      <c r="E752" t="str">
        <f>$E$248</f>
        <v>Dynamic</v>
      </c>
      <c r="F752" t="str">
        <f ca="1">_xll.BDH($B$248,$C$248,$B$509,$B$510,CONCATENATE("Per=",$B$507),"Dts=H","Dir=H",CONCATENATE("Points=",$B$508),"Sort=R","Days=A","Fill=B",CONCATENATE("FX=", $B$506) )</f>
        <v>#N/A Connection</v>
      </c>
      <c r="BN752" t="str">
        <f>""</f>
        <v/>
      </c>
      <c r="BO752" t="str">
        <f>""</f>
        <v/>
      </c>
      <c r="BP752" t="str">
        <f>""</f>
        <v/>
      </c>
      <c r="BQ752" t="str">
        <f>""</f>
        <v/>
      </c>
      <c r="BR752" t="str">
        <f>""</f>
        <v/>
      </c>
      <c r="BS752" t="str">
        <f>""</f>
        <v/>
      </c>
      <c r="BT752" t="str">
        <f>""</f>
        <v/>
      </c>
      <c r="BU752" t="str">
        <f>""</f>
        <v/>
      </c>
      <c r="BV752" t="str">
        <f>""</f>
        <v/>
      </c>
      <c r="BW752" t="str">
        <f>""</f>
        <v/>
      </c>
      <c r="BX752" t="str">
        <f>""</f>
        <v/>
      </c>
      <c r="BY752" t="str">
        <f>""</f>
        <v/>
      </c>
      <c r="BZ752" t="str">
        <f>""</f>
        <v/>
      </c>
      <c r="CA752" t="str">
        <f>""</f>
        <v/>
      </c>
      <c r="CB752" t="str">
        <f>""</f>
        <v/>
      </c>
      <c r="CC752" t="str">
        <f>""</f>
        <v/>
      </c>
      <c r="CD752" t="str">
        <f>""</f>
        <v/>
      </c>
      <c r="CE752" t="str">
        <f>""</f>
        <v/>
      </c>
      <c r="CF752" t="str">
        <f>""</f>
        <v/>
      </c>
      <c r="CG752" t="str">
        <f>""</f>
        <v/>
      </c>
      <c r="CH752" t="str">
        <f>""</f>
        <v/>
      </c>
      <c r="CI752" t="str">
        <f>""</f>
        <v/>
      </c>
      <c r="CJ752" t="str">
        <f>""</f>
        <v/>
      </c>
      <c r="CK752" t="str">
        <f>""</f>
        <v/>
      </c>
      <c r="CL752" t="str">
        <f>""</f>
        <v/>
      </c>
      <c r="CM752" t="str">
        <f>""</f>
        <v/>
      </c>
      <c r="CN752" t="str">
        <f>""</f>
        <v/>
      </c>
      <c r="CO752" t="str">
        <f>""</f>
        <v/>
      </c>
      <c r="CP752" t="str">
        <f>""</f>
        <v/>
      </c>
      <c r="CQ752" t="str">
        <f>""</f>
        <v/>
      </c>
      <c r="CR752" t="str">
        <f>""</f>
        <v/>
      </c>
      <c r="CS752" t="str">
        <f>""</f>
        <v/>
      </c>
      <c r="CT752" t="str">
        <f>""</f>
        <v/>
      </c>
      <c r="CU752" t="str">
        <f>""</f>
        <v/>
      </c>
      <c r="CV752" t="str">
        <f>""</f>
        <v/>
      </c>
      <c r="CW752" t="str">
        <f>""</f>
        <v/>
      </c>
      <c r="CX752" t="str">
        <f>""</f>
        <v/>
      </c>
      <c r="CY752" t="str">
        <f>""</f>
        <v/>
      </c>
      <c r="CZ752" t="str">
        <f>""</f>
        <v/>
      </c>
      <c r="DA752" t="str">
        <f>""</f>
        <v/>
      </c>
      <c r="DB752" t="str">
        <f>""</f>
        <v/>
      </c>
      <c r="DC752" t="str">
        <f>""</f>
        <v/>
      </c>
      <c r="DD752" t="str">
        <f>""</f>
        <v/>
      </c>
      <c r="DE752" t="str">
        <f>""</f>
        <v/>
      </c>
      <c r="DF752" t="str">
        <f>""</f>
        <v/>
      </c>
      <c r="DG752" t="str">
        <f>""</f>
        <v/>
      </c>
      <c r="DH752" t="str">
        <f>""</f>
        <v/>
      </c>
      <c r="DI752" t="str">
        <f>""</f>
        <v/>
      </c>
      <c r="DJ752" t="str">
        <f>""</f>
        <v/>
      </c>
      <c r="DK752" t="str">
        <f>""</f>
        <v/>
      </c>
      <c r="DL752" t="str">
        <f>""</f>
        <v/>
      </c>
      <c r="DM752" t="str">
        <f>""</f>
        <v/>
      </c>
      <c r="DN752" t="str">
        <f>""</f>
        <v/>
      </c>
      <c r="DO752" t="str">
        <f>""</f>
        <v/>
      </c>
      <c r="DP752" t="str">
        <f>""</f>
        <v/>
      </c>
      <c r="DQ752" t="str">
        <f>""</f>
        <v/>
      </c>
      <c r="DR752" t="str">
        <f>""</f>
        <v/>
      </c>
      <c r="DS752" t="str">
        <f>""</f>
        <v/>
      </c>
      <c r="DT752" t="str">
        <f>""</f>
        <v/>
      </c>
      <c r="DU752" t="str">
        <f>""</f>
        <v/>
      </c>
    </row>
    <row r="753" spans="1:125" x14ac:dyDescent="0.25">
      <c r="A753" t="str">
        <f>$A$250</f>
        <v xml:space="preserve">    AUDI AG</v>
      </c>
      <c r="B753" t="str">
        <f>$B$250</f>
        <v>NSU GR Equity</v>
      </c>
      <c r="C753" t="str">
        <f>$C$250</f>
        <v>RR010</v>
      </c>
      <c r="D753" t="str">
        <f>$D$250</f>
        <v>TOT_COMMON_EQY</v>
      </c>
      <c r="E753" t="str">
        <f>$E$250</f>
        <v>Dynamic</v>
      </c>
      <c r="F753" t="str">
        <f ca="1">_xll.BDH($B$250,$C$250,$B$509,$B$510,CONCATENATE("Per=",$B$507),"Dts=H","Dir=H",CONCATENATE("Points=",$B$508),"Sort=R","Days=A","Fill=B",CONCATENATE("FX=", $B$506) )</f>
        <v>#N/A Connection</v>
      </c>
      <c r="BN753" t="str">
        <f>""</f>
        <v/>
      </c>
      <c r="BO753" t="str">
        <f>""</f>
        <v/>
      </c>
      <c r="BP753" t="str">
        <f>""</f>
        <v/>
      </c>
      <c r="BQ753" t="str">
        <f>""</f>
        <v/>
      </c>
      <c r="BR753" t="str">
        <f>""</f>
        <v/>
      </c>
      <c r="BS753" t="str">
        <f>""</f>
        <v/>
      </c>
      <c r="BT753" t="str">
        <f>""</f>
        <v/>
      </c>
      <c r="BU753" t="str">
        <f>""</f>
        <v/>
      </c>
      <c r="BV753" t="str">
        <f>""</f>
        <v/>
      </c>
      <c r="BW753" t="str">
        <f>""</f>
        <v/>
      </c>
      <c r="BX753" t="str">
        <f>""</f>
        <v/>
      </c>
      <c r="BY753" t="str">
        <f>""</f>
        <v/>
      </c>
      <c r="BZ753" t="str">
        <f>""</f>
        <v/>
      </c>
      <c r="CA753" t="str">
        <f>""</f>
        <v/>
      </c>
      <c r="CB753" t="str">
        <f>""</f>
        <v/>
      </c>
      <c r="CC753" t="str">
        <f>""</f>
        <v/>
      </c>
      <c r="CD753" t="str">
        <f>""</f>
        <v/>
      </c>
      <c r="CE753" t="str">
        <f>""</f>
        <v/>
      </c>
      <c r="CF753" t="str">
        <f>""</f>
        <v/>
      </c>
      <c r="CG753" t="str">
        <f>""</f>
        <v/>
      </c>
      <c r="CH753" t="str">
        <f>""</f>
        <v/>
      </c>
      <c r="CI753" t="str">
        <f>""</f>
        <v/>
      </c>
      <c r="CJ753" t="str">
        <f>""</f>
        <v/>
      </c>
      <c r="CK753" t="str">
        <f>""</f>
        <v/>
      </c>
      <c r="CL753" t="str">
        <f>""</f>
        <v/>
      </c>
      <c r="CM753" t="str">
        <f>""</f>
        <v/>
      </c>
      <c r="CN753" t="str">
        <f>""</f>
        <v/>
      </c>
      <c r="CO753" t="str">
        <f>""</f>
        <v/>
      </c>
      <c r="CP753" t="str">
        <f>""</f>
        <v/>
      </c>
      <c r="CQ753" t="str">
        <f>""</f>
        <v/>
      </c>
      <c r="CR753" t="str">
        <f>""</f>
        <v/>
      </c>
      <c r="CS753" t="str">
        <f>""</f>
        <v/>
      </c>
      <c r="CT753" t="str">
        <f>""</f>
        <v/>
      </c>
      <c r="CU753" t="str">
        <f>""</f>
        <v/>
      </c>
      <c r="CV753" t="str">
        <f>""</f>
        <v/>
      </c>
      <c r="CW753" t="str">
        <f>""</f>
        <v/>
      </c>
      <c r="CX753" t="str">
        <f>""</f>
        <v/>
      </c>
      <c r="CY753" t="str">
        <f>""</f>
        <v/>
      </c>
      <c r="CZ753" t="str">
        <f>""</f>
        <v/>
      </c>
      <c r="DA753" t="str">
        <f>""</f>
        <v/>
      </c>
      <c r="DB753" t="str">
        <f>""</f>
        <v/>
      </c>
      <c r="DC753" t="str">
        <f>""</f>
        <v/>
      </c>
      <c r="DD753" t="str">
        <f>""</f>
        <v/>
      </c>
      <c r="DE753" t="str">
        <f>""</f>
        <v/>
      </c>
      <c r="DF753" t="str">
        <f>""</f>
        <v/>
      </c>
      <c r="DG753" t="str">
        <f>""</f>
        <v/>
      </c>
      <c r="DH753" t="str">
        <f>""</f>
        <v/>
      </c>
      <c r="DI753" t="str">
        <f>""</f>
        <v/>
      </c>
      <c r="DJ753" t="str">
        <f>""</f>
        <v/>
      </c>
      <c r="DK753" t="str">
        <f>""</f>
        <v/>
      </c>
      <c r="DL753" t="str">
        <f>""</f>
        <v/>
      </c>
      <c r="DM753" t="str">
        <f>""</f>
        <v/>
      </c>
      <c r="DN753" t="str">
        <f>""</f>
        <v/>
      </c>
      <c r="DO753" t="str">
        <f>""</f>
        <v/>
      </c>
      <c r="DP753" t="str">
        <f>""</f>
        <v/>
      </c>
      <c r="DQ753" t="str">
        <f>""</f>
        <v/>
      </c>
      <c r="DR753" t="str">
        <f>""</f>
        <v/>
      </c>
      <c r="DS753" t="str">
        <f>""</f>
        <v/>
      </c>
      <c r="DT753" t="str">
        <f>""</f>
        <v/>
      </c>
      <c r="DU753" t="str">
        <f>""</f>
        <v/>
      </c>
    </row>
    <row r="754" spans="1:125" x14ac:dyDescent="0.25">
      <c r="A754" t="str">
        <f>$A$251</f>
        <v xml:space="preserve">    Avtovaz PJSC</v>
      </c>
      <c r="B754" t="str">
        <f>$B$251</f>
        <v>AVAZ RM Equity</v>
      </c>
      <c r="C754" t="str">
        <f>$C$251</f>
        <v>RR010</v>
      </c>
      <c r="D754" t="str">
        <f>$D$251</f>
        <v>TOT_COMMON_EQY</v>
      </c>
      <c r="E754" t="str">
        <f>$E$251</f>
        <v>Dynamic</v>
      </c>
      <c r="F754" t="str">
        <f ca="1">_xll.BDH($B$251,$C$251,$B$509,$B$510,CONCATENATE("Per=",$B$507),"Dts=H","Dir=H",CONCATENATE("Points=",$B$508),"Sort=R","Days=A","Fill=B",CONCATENATE("FX=", $B$506) )</f>
        <v>#N/A Connection</v>
      </c>
      <c r="BN754" t="str">
        <f>""</f>
        <v/>
      </c>
      <c r="BO754" t="str">
        <f>""</f>
        <v/>
      </c>
      <c r="BP754" t="str">
        <f>""</f>
        <v/>
      </c>
      <c r="BQ754" t="str">
        <f>""</f>
        <v/>
      </c>
      <c r="BR754" t="str">
        <f>""</f>
        <v/>
      </c>
      <c r="BS754" t="str">
        <f>""</f>
        <v/>
      </c>
      <c r="BT754" t="str">
        <f>""</f>
        <v/>
      </c>
      <c r="BU754" t="str">
        <f>""</f>
        <v/>
      </c>
      <c r="BV754" t="str">
        <f>""</f>
        <v/>
      </c>
      <c r="BW754" t="str">
        <f>""</f>
        <v/>
      </c>
      <c r="BX754" t="str">
        <f>""</f>
        <v/>
      </c>
      <c r="BY754" t="str">
        <f>""</f>
        <v/>
      </c>
      <c r="BZ754" t="str">
        <f>""</f>
        <v/>
      </c>
      <c r="CA754" t="str">
        <f>""</f>
        <v/>
      </c>
      <c r="CB754" t="str">
        <f>""</f>
        <v/>
      </c>
      <c r="CC754" t="str">
        <f>""</f>
        <v/>
      </c>
      <c r="CD754" t="str">
        <f>""</f>
        <v/>
      </c>
      <c r="CE754" t="str">
        <f>""</f>
        <v/>
      </c>
      <c r="CF754" t="str">
        <f>""</f>
        <v/>
      </c>
      <c r="CG754" t="str">
        <f>""</f>
        <v/>
      </c>
      <c r="CH754" t="str">
        <f>""</f>
        <v/>
      </c>
      <c r="CI754" t="str">
        <f>""</f>
        <v/>
      </c>
      <c r="CJ754" t="str">
        <f>""</f>
        <v/>
      </c>
      <c r="CK754" t="str">
        <f>""</f>
        <v/>
      </c>
      <c r="CL754" t="str">
        <f>""</f>
        <v/>
      </c>
      <c r="CM754" t="str">
        <f>""</f>
        <v/>
      </c>
      <c r="CN754" t="str">
        <f>""</f>
        <v/>
      </c>
      <c r="CO754" t="str">
        <f>""</f>
        <v/>
      </c>
      <c r="CP754" t="str">
        <f>""</f>
        <v/>
      </c>
      <c r="CQ754" t="str">
        <f>""</f>
        <v/>
      </c>
      <c r="CR754" t="str">
        <f>""</f>
        <v/>
      </c>
      <c r="CS754" t="str">
        <f>""</f>
        <v/>
      </c>
      <c r="CT754" t="str">
        <f>""</f>
        <v/>
      </c>
      <c r="CU754" t="str">
        <f>""</f>
        <v/>
      </c>
      <c r="CV754" t="str">
        <f>""</f>
        <v/>
      </c>
      <c r="CW754" t="str">
        <f>""</f>
        <v/>
      </c>
      <c r="CX754" t="str">
        <f>""</f>
        <v/>
      </c>
      <c r="CY754" t="str">
        <f>""</f>
        <v/>
      </c>
      <c r="CZ754" t="str">
        <f>""</f>
        <v/>
      </c>
      <c r="DA754" t="str">
        <f>""</f>
        <v/>
      </c>
      <c r="DB754" t="str">
        <f>""</f>
        <v/>
      </c>
      <c r="DC754" t="str">
        <f>""</f>
        <v/>
      </c>
      <c r="DD754" t="str">
        <f>""</f>
        <v/>
      </c>
      <c r="DE754" t="str">
        <f>""</f>
        <v/>
      </c>
      <c r="DF754" t="str">
        <f>""</f>
        <v/>
      </c>
      <c r="DG754" t="str">
        <f>""</f>
        <v/>
      </c>
      <c r="DH754" t="str">
        <f>""</f>
        <v/>
      </c>
      <c r="DI754" t="str">
        <f>""</f>
        <v/>
      </c>
      <c r="DJ754" t="str">
        <f>""</f>
        <v/>
      </c>
      <c r="DK754" t="str">
        <f>""</f>
        <v/>
      </c>
      <c r="DL754" t="str">
        <f>""</f>
        <v/>
      </c>
      <c r="DM754" t="str">
        <f>""</f>
        <v/>
      </c>
      <c r="DN754" t="str">
        <f>""</f>
        <v/>
      </c>
      <c r="DO754" t="str">
        <f>""</f>
        <v/>
      </c>
      <c r="DP754" t="str">
        <f>""</f>
        <v/>
      </c>
      <c r="DQ754" t="str">
        <f>""</f>
        <v/>
      </c>
      <c r="DR754" t="str">
        <f>""</f>
        <v/>
      </c>
      <c r="DS754" t="str">
        <f>""</f>
        <v/>
      </c>
      <c r="DT754" t="str">
        <f>""</f>
        <v/>
      </c>
      <c r="DU754" t="str">
        <f>""</f>
        <v/>
      </c>
    </row>
    <row r="755" spans="1:125" x14ac:dyDescent="0.25">
      <c r="A755" t="str">
        <f>$A$252</f>
        <v xml:space="preserve">    Bayerische Motoren Werke AG</v>
      </c>
      <c r="B755" t="str">
        <f>$B$252</f>
        <v>BMW GR Equity</v>
      </c>
      <c r="C755" t="str">
        <f>$C$252</f>
        <v>RR010</v>
      </c>
      <c r="D755" t="str">
        <f>$D$252</f>
        <v>TOT_COMMON_EQY</v>
      </c>
      <c r="E755" t="str">
        <f>$E$252</f>
        <v>Dynamic</v>
      </c>
      <c r="F755" t="str">
        <f ca="1">_xll.BDH($B$252,$C$252,$B$509,$B$510,CONCATENATE("Per=",$B$507),"Dts=H","Dir=H",CONCATENATE("Points=",$B$508),"Sort=R","Days=A","Fill=B",CONCATENATE("FX=", $B$506) )</f>
        <v>#N/A Connection</v>
      </c>
      <c r="BN755" t="str">
        <f>""</f>
        <v/>
      </c>
      <c r="BO755" t="str">
        <f>""</f>
        <v/>
      </c>
      <c r="BP755" t="str">
        <f>""</f>
        <v/>
      </c>
      <c r="BQ755" t="str">
        <f>""</f>
        <v/>
      </c>
      <c r="BR755" t="str">
        <f>""</f>
        <v/>
      </c>
      <c r="BS755" t="str">
        <f>""</f>
        <v/>
      </c>
      <c r="BT755" t="str">
        <f>""</f>
        <v/>
      </c>
      <c r="BU755" t="str">
        <f>""</f>
        <v/>
      </c>
      <c r="BV755" t="str">
        <f>""</f>
        <v/>
      </c>
      <c r="BW755" t="str">
        <f>""</f>
        <v/>
      </c>
      <c r="BX755" t="str">
        <f>""</f>
        <v/>
      </c>
      <c r="BY755" t="str">
        <f>""</f>
        <v/>
      </c>
      <c r="BZ755" t="str">
        <f>""</f>
        <v/>
      </c>
      <c r="CA755" t="str">
        <f>""</f>
        <v/>
      </c>
      <c r="CB755" t="str">
        <f>""</f>
        <v/>
      </c>
      <c r="CC755" t="str">
        <f>""</f>
        <v/>
      </c>
      <c r="CD755" t="str">
        <f>""</f>
        <v/>
      </c>
      <c r="CE755" t="str">
        <f>""</f>
        <v/>
      </c>
      <c r="CF755" t="str">
        <f>""</f>
        <v/>
      </c>
      <c r="CG755" t="str">
        <f>""</f>
        <v/>
      </c>
      <c r="CH755" t="str">
        <f>""</f>
        <v/>
      </c>
      <c r="CI755" t="str">
        <f>""</f>
        <v/>
      </c>
      <c r="CJ755" t="str">
        <f>""</f>
        <v/>
      </c>
      <c r="CK755" t="str">
        <f>""</f>
        <v/>
      </c>
      <c r="CL755" t="str">
        <f>""</f>
        <v/>
      </c>
      <c r="CM755" t="str">
        <f>""</f>
        <v/>
      </c>
      <c r="CN755" t="str">
        <f>""</f>
        <v/>
      </c>
      <c r="CO755" t="str">
        <f>""</f>
        <v/>
      </c>
      <c r="CP755" t="str">
        <f>""</f>
        <v/>
      </c>
      <c r="CQ755" t="str">
        <f>""</f>
        <v/>
      </c>
      <c r="CR755" t="str">
        <f>""</f>
        <v/>
      </c>
      <c r="CS755" t="str">
        <f>""</f>
        <v/>
      </c>
      <c r="CT755" t="str">
        <f>""</f>
        <v/>
      </c>
      <c r="CU755" t="str">
        <f>""</f>
        <v/>
      </c>
      <c r="CV755" t="str">
        <f>""</f>
        <v/>
      </c>
      <c r="CW755" t="str">
        <f>""</f>
        <v/>
      </c>
      <c r="CX755" t="str">
        <f>""</f>
        <v/>
      </c>
      <c r="CY755" t="str">
        <f>""</f>
        <v/>
      </c>
      <c r="CZ755" t="str">
        <f>""</f>
        <v/>
      </c>
      <c r="DA755" t="str">
        <f>""</f>
        <v/>
      </c>
      <c r="DB755" t="str">
        <f>""</f>
        <v/>
      </c>
      <c r="DC755" t="str">
        <f>""</f>
        <v/>
      </c>
      <c r="DD755" t="str">
        <f>""</f>
        <v/>
      </c>
      <c r="DE755" t="str">
        <f>""</f>
        <v/>
      </c>
      <c r="DF755" t="str">
        <f>""</f>
        <v/>
      </c>
      <c r="DG755" t="str">
        <f>""</f>
        <v/>
      </c>
      <c r="DH755" t="str">
        <f>""</f>
        <v/>
      </c>
      <c r="DI755" t="str">
        <f>""</f>
        <v/>
      </c>
      <c r="DJ755" t="str">
        <f>""</f>
        <v/>
      </c>
      <c r="DK755" t="str">
        <f>""</f>
        <v/>
      </c>
      <c r="DL755" t="str">
        <f>""</f>
        <v/>
      </c>
      <c r="DM755" t="str">
        <f>""</f>
        <v/>
      </c>
      <c r="DN755" t="str">
        <f>""</f>
        <v/>
      </c>
      <c r="DO755" t="str">
        <f>""</f>
        <v/>
      </c>
      <c r="DP755" t="str">
        <f>""</f>
        <v/>
      </c>
      <c r="DQ755" t="str">
        <f>""</f>
        <v/>
      </c>
      <c r="DR755" t="str">
        <f>""</f>
        <v/>
      </c>
      <c r="DS755" t="str">
        <f>""</f>
        <v/>
      </c>
      <c r="DT755" t="str">
        <f>""</f>
        <v/>
      </c>
      <c r="DU755" t="str">
        <f>""</f>
        <v/>
      </c>
    </row>
    <row r="756" spans="1:125" x14ac:dyDescent="0.25">
      <c r="A756" t="str">
        <f>$A$253</f>
        <v xml:space="preserve">    Brilliance China Automotive Holdings Ltd</v>
      </c>
      <c r="B756" t="str">
        <f>$B$253</f>
        <v>1114 HK Equity</v>
      </c>
      <c r="C756" t="str">
        <f>$C$253</f>
        <v>RR010</v>
      </c>
      <c r="D756" t="str">
        <f>$D$253</f>
        <v>TOT_COMMON_EQY</v>
      </c>
      <c r="E756" t="str">
        <f>$E$253</f>
        <v>Dynamic</v>
      </c>
      <c r="F756" t="str">
        <f ca="1">_xll.BDH($B$253,$C$253,$B$509,$B$510,CONCATENATE("Per=",$B$507),"Dts=H","Dir=H",CONCATENATE("Points=",$B$508),"Sort=R","Days=A","Fill=B",CONCATENATE("FX=", $B$506) )</f>
        <v>#N/A Connection</v>
      </c>
      <c r="BN756" t="str">
        <f>""</f>
        <v/>
      </c>
      <c r="BO756" t="str">
        <f>""</f>
        <v/>
      </c>
      <c r="BP756" t="str">
        <f>""</f>
        <v/>
      </c>
      <c r="BQ756" t="str">
        <f>""</f>
        <v/>
      </c>
      <c r="BR756" t="str">
        <f>""</f>
        <v/>
      </c>
      <c r="BS756" t="str">
        <f>""</f>
        <v/>
      </c>
      <c r="BT756" t="str">
        <f>""</f>
        <v/>
      </c>
      <c r="BU756" t="str">
        <f>""</f>
        <v/>
      </c>
      <c r="BV756" t="str">
        <f>""</f>
        <v/>
      </c>
      <c r="BW756" t="str">
        <f>""</f>
        <v/>
      </c>
      <c r="BX756" t="str">
        <f>""</f>
        <v/>
      </c>
      <c r="BY756" t="str">
        <f>""</f>
        <v/>
      </c>
      <c r="BZ756" t="str">
        <f>""</f>
        <v/>
      </c>
      <c r="CA756" t="str">
        <f>""</f>
        <v/>
      </c>
      <c r="CB756" t="str">
        <f>""</f>
        <v/>
      </c>
      <c r="CC756" t="str">
        <f>""</f>
        <v/>
      </c>
      <c r="CD756" t="str">
        <f>""</f>
        <v/>
      </c>
      <c r="CE756" t="str">
        <f>""</f>
        <v/>
      </c>
      <c r="CF756" t="str">
        <f>""</f>
        <v/>
      </c>
      <c r="CG756" t="str">
        <f>""</f>
        <v/>
      </c>
      <c r="CH756" t="str">
        <f>""</f>
        <v/>
      </c>
      <c r="CI756" t="str">
        <f>""</f>
        <v/>
      </c>
      <c r="CJ756" t="str">
        <f>""</f>
        <v/>
      </c>
      <c r="CK756" t="str">
        <f>""</f>
        <v/>
      </c>
      <c r="CL756" t="str">
        <f>""</f>
        <v/>
      </c>
      <c r="CM756" t="str">
        <f>""</f>
        <v/>
      </c>
      <c r="CN756" t="str">
        <f>""</f>
        <v/>
      </c>
      <c r="CO756" t="str">
        <f>""</f>
        <v/>
      </c>
      <c r="CP756" t="str">
        <f>""</f>
        <v/>
      </c>
      <c r="CQ756" t="str">
        <f>""</f>
        <v/>
      </c>
      <c r="CR756" t="str">
        <f>""</f>
        <v/>
      </c>
      <c r="CS756" t="str">
        <f>""</f>
        <v/>
      </c>
      <c r="CT756" t="str">
        <f>""</f>
        <v/>
      </c>
      <c r="CU756" t="str">
        <f>""</f>
        <v/>
      </c>
      <c r="CV756" t="str">
        <f>""</f>
        <v/>
      </c>
      <c r="CW756" t="str">
        <f>""</f>
        <v/>
      </c>
      <c r="CX756" t="str">
        <f>""</f>
        <v/>
      </c>
      <c r="CY756" t="str">
        <f>""</f>
        <v/>
      </c>
      <c r="CZ756" t="str">
        <f>""</f>
        <v/>
      </c>
      <c r="DA756" t="str">
        <f>""</f>
        <v/>
      </c>
      <c r="DB756" t="str">
        <f>""</f>
        <v/>
      </c>
      <c r="DC756" t="str">
        <f>""</f>
        <v/>
      </c>
      <c r="DD756" t="str">
        <f>""</f>
        <v/>
      </c>
      <c r="DE756" t="str">
        <f>""</f>
        <v/>
      </c>
      <c r="DF756" t="str">
        <f>""</f>
        <v/>
      </c>
      <c r="DG756" t="str">
        <f>""</f>
        <v/>
      </c>
      <c r="DH756" t="str">
        <f>""</f>
        <v/>
      </c>
      <c r="DI756" t="str">
        <f>""</f>
        <v/>
      </c>
      <c r="DJ756" t="str">
        <f>""</f>
        <v/>
      </c>
      <c r="DK756" t="str">
        <f>""</f>
        <v/>
      </c>
      <c r="DL756" t="str">
        <f>""</f>
        <v/>
      </c>
      <c r="DM756" t="str">
        <f>""</f>
        <v/>
      </c>
      <c r="DN756" t="str">
        <f>""</f>
        <v/>
      </c>
      <c r="DO756" t="str">
        <f>""</f>
        <v/>
      </c>
      <c r="DP756" t="str">
        <f>""</f>
        <v/>
      </c>
      <c r="DQ756" t="str">
        <f>""</f>
        <v/>
      </c>
      <c r="DR756" t="str">
        <f>""</f>
        <v/>
      </c>
      <c r="DS756" t="str">
        <f>""</f>
        <v/>
      </c>
      <c r="DT756" t="str">
        <f>""</f>
        <v/>
      </c>
      <c r="DU756" t="str">
        <f>""</f>
        <v/>
      </c>
    </row>
    <row r="757" spans="1:125" x14ac:dyDescent="0.25">
      <c r="A757" t="str">
        <f>$A$254</f>
        <v xml:space="preserve">    BYD Co Ltd</v>
      </c>
      <c r="B757" t="str">
        <f>$B$254</f>
        <v>1211 HK Equity</v>
      </c>
      <c r="C757" t="str">
        <f>$C$254</f>
        <v>RR010</v>
      </c>
      <c r="D757" t="str">
        <f>$D$254</f>
        <v>TOT_COMMON_EQY</v>
      </c>
      <c r="E757" t="str">
        <f>$E$254</f>
        <v>Dynamic</v>
      </c>
      <c r="F757" t="str">
        <f ca="1">_xll.BDH($B$254,$C$254,$B$509,$B$510,CONCATENATE("Per=",$B$507),"Dts=H","Dir=H",CONCATENATE("Points=",$B$508),"Sort=R","Days=A","Fill=B",CONCATENATE("FX=", $B$506) )</f>
        <v>#N/A Connection</v>
      </c>
      <c r="BN757" t="str">
        <f>""</f>
        <v/>
      </c>
      <c r="BO757" t="str">
        <f>""</f>
        <v/>
      </c>
      <c r="BP757" t="str">
        <f>""</f>
        <v/>
      </c>
      <c r="BQ757" t="str">
        <f>""</f>
        <v/>
      </c>
      <c r="BR757" t="str">
        <f>""</f>
        <v/>
      </c>
      <c r="BS757" t="str">
        <f>""</f>
        <v/>
      </c>
      <c r="BT757" t="str">
        <f>""</f>
        <v/>
      </c>
      <c r="BU757" t="str">
        <f>""</f>
        <v/>
      </c>
      <c r="BV757" t="str">
        <f>""</f>
        <v/>
      </c>
      <c r="BW757" t="str">
        <f>""</f>
        <v/>
      </c>
      <c r="BX757" t="str">
        <f>""</f>
        <v/>
      </c>
      <c r="BY757" t="str">
        <f>""</f>
        <v/>
      </c>
      <c r="BZ757" t="str">
        <f>""</f>
        <v/>
      </c>
      <c r="CA757" t="str">
        <f>""</f>
        <v/>
      </c>
      <c r="CB757" t="str">
        <f>""</f>
        <v/>
      </c>
      <c r="CC757" t="str">
        <f>""</f>
        <v/>
      </c>
      <c r="CD757" t="str">
        <f>""</f>
        <v/>
      </c>
      <c r="CE757" t="str">
        <f>""</f>
        <v/>
      </c>
      <c r="CF757" t="str">
        <f>""</f>
        <v/>
      </c>
      <c r="CG757" t="str">
        <f>""</f>
        <v/>
      </c>
      <c r="CH757" t="str">
        <f>""</f>
        <v/>
      </c>
      <c r="CI757" t="str">
        <f>""</f>
        <v/>
      </c>
      <c r="CJ757" t="str">
        <f>""</f>
        <v/>
      </c>
      <c r="CK757" t="str">
        <f>""</f>
        <v/>
      </c>
      <c r="CL757" t="str">
        <f>""</f>
        <v/>
      </c>
      <c r="CM757" t="str">
        <f>""</f>
        <v/>
      </c>
      <c r="CN757" t="str">
        <f>""</f>
        <v/>
      </c>
      <c r="CO757" t="str">
        <f>""</f>
        <v/>
      </c>
      <c r="CP757" t="str">
        <f>""</f>
        <v/>
      </c>
      <c r="CQ757" t="str">
        <f>""</f>
        <v/>
      </c>
      <c r="CR757" t="str">
        <f>""</f>
        <v/>
      </c>
      <c r="CS757" t="str">
        <f>""</f>
        <v/>
      </c>
      <c r="CT757" t="str">
        <f>""</f>
        <v/>
      </c>
      <c r="CU757" t="str">
        <f>""</f>
        <v/>
      </c>
      <c r="CV757" t="str">
        <f>""</f>
        <v/>
      </c>
      <c r="CW757" t="str">
        <f>""</f>
        <v/>
      </c>
      <c r="CX757" t="str">
        <f>""</f>
        <v/>
      </c>
      <c r="CY757" t="str">
        <f>""</f>
        <v/>
      </c>
      <c r="CZ757" t="str">
        <f>""</f>
        <v/>
      </c>
      <c r="DA757" t="str">
        <f>""</f>
        <v/>
      </c>
      <c r="DB757" t="str">
        <f>""</f>
        <v/>
      </c>
      <c r="DC757" t="str">
        <f>""</f>
        <v/>
      </c>
      <c r="DD757" t="str">
        <f>""</f>
        <v/>
      </c>
      <c r="DE757" t="str">
        <f>""</f>
        <v/>
      </c>
      <c r="DF757" t="str">
        <f>""</f>
        <v/>
      </c>
      <c r="DG757" t="str">
        <f>""</f>
        <v/>
      </c>
      <c r="DH757" t="str">
        <f>""</f>
        <v/>
      </c>
      <c r="DI757" t="str">
        <f>""</f>
        <v/>
      </c>
      <c r="DJ757" t="str">
        <f>""</f>
        <v/>
      </c>
      <c r="DK757" t="str">
        <f>""</f>
        <v/>
      </c>
      <c r="DL757" t="str">
        <f>""</f>
        <v/>
      </c>
      <c r="DM757" t="str">
        <f>""</f>
        <v/>
      </c>
      <c r="DN757" t="str">
        <f>""</f>
        <v/>
      </c>
      <c r="DO757" t="str">
        <f>""</f>
        <v/>
      </c>
      <c r="DP757" t="str">
        <f>""</f>
        <v/>
      </c>
      <c r="DQ757" t="str">
        <f>""</f>
        <v/>
      </c>
      <c r="DR757" t="str">
        <f>""</f>
        <v/>
      </c>
      <c r="DS757" t="str">
        <f>""</f>
        <v/>
      </c>
      <c r="DT757" t="str">
        <f>""</f>
        <v/>
      </c>
      <c r="DU757" t="str">
        <f>""</f>
        <v/>
      </c>
    </row>
    <row r="758" spans="1:125" x14ac:dyDescent="0.25">
      <c r="A758" t="str">
        <f>$A$255</f>
        <v xml:space="preserve">    Chongqing Changan Automobile Co Ltd</v>
      </c>
      <c r="B758" t="str">
        <f>$B$255</f>
        <v>200625 CH Equity</v>
      </c>
      <c r="C758" t="str">
        <f>$C$255</f>
        <v>RR010</v>
      </c>
      <c r="D758" t="str">
        <f>$D$255</f>
        <v>TOT_COMMON_EQY</v>
      </c>
      <c r="E758" t="str">
        <f>$E$255</f>
        <v>Dynamic</v>
      </c>
      <c r="F758" t="str">
        <f ca="1">_xll.BDH($B$255,$C$255,$B$509,$B$510,CONCATENATE("Per=",$B$507),"Dts=H","Dir=H",CONCATENATE("Points=",$B$508),"Sort=R","Days=A","Fill=B",CONCATENATE("FX=", $B$506) )</f>
        <v>#N/A Connection</v>
      </c>
      <c r="BN758" t="str">
        <f>""</f>
        <v/>
      </c>
      <c r="BO758" t="str">
        <f>""</f>
        <v/>
      </c>
      <c r="BP758" t="str">
        <f>""</f>
        <v/>
      </c>
      <c r="BQ758" t="str">
        <f>""</f>
        <v/>
      </c>
      <c r="BR758" t="str">
        <f>""</f>
        <v/>
      </c>
      <c r="BS758" t="str">
        <f>""</f>
        <v/>
      </c>
      <c r="BT758" t="str">
        <f>""</f>
        <v/>
      </c>
      <c r="BU758" t="str">
        <f>""</f>
        <v/>
      </c>
      <c r="BV758" t="str">
        <f>""</f>
        <v/>
      </c>
      <c r="BW758" t="str">
        <f>""</f>
        <v/>
      </c>
      <c r="BX758" t="str">
        <f>""</f>
        <v/>
      </c>
      <c r="BY758" t="str">
        <f>""</f>
        <v/>
      </c>
      <c r="BZ758" t="str">
        <f>""</f>
        <v/>
      </c>
      <c r="CA758" t="str">
        <f>""</f>
        <v/>
      </c>
      <c r="CB758" t="str">
        <f>""</f>
        <v/>
      </c>
      <c r="CC758" t="str">
        <f>""</f>
        <v/>
      </c>
      <c r="CD758" t="str">
        <f>""</f>
        <v/>
      </c>
      <c r="CE758" t="str">
        <f>""</f>
        <v/>
      </c>
      <c r="CF758" t="str">
        <f>""</f>
        <v/>
      </c>
      <c r="CG758" t="str">
        <f>""</f>
        <v/>
      </c>
      <c r="CH758" t="str">
        <f>""</f>
        <v/>
      </c>
      <c r="CI758" t="str">
        <f>""</f>
        <v/>
      </c>
      <c r="CJ758" t="str">
        <f>""</f>
        <v/>
      </c>
      <c r="CK758" t="str">
        <f>""</f>
        <v/>
      </c>
      <c r="CL758" t="str">
        <f>""</f>
        <v/>
      </c>
      <c r="CM758" t="str">
        <f>""</f>
        <v/>
      </c>
      <c r="CN758" t="str">
        <f>""</f>
        <v/>
      </c>
      <c r="CO758" t="str">
        <f>""</f>
        <v/>
      </c>
      <c r="CP758" t="str">
        <f>""</f>
        <v/>
      </c>
      <c r="CQ758" t="str">
        <f>""</f>
        <v/>
      </c>
      <c r="CR758" t="str">
        <f>""</f>
        <v/>
      </c>
      <c r="CS758" t="str">
        <f>""</f>
        <v/>
      </c>
      <c r="CT758" t="str">
        <f>""</f>
        <v/>
      </c>
      <c r="CU758" t="str">
        <f>""</f>
        <v/>
      </c>
      <c r="CV758" t="str">
        <f>""</f>
        <v/>
      </c>
      <c r="CW758" t="str">
        <f>""</f>
        <v/>
      </c>
      <c r="CX758" t="str">
        <f>""</f>
        <v/>
      </c>
      <c r="CY758" t="str">
        <f>""</f>
        <v/>
      </c>
      <c r="CZ758" t="str">
        <f>""</f>
        <v/>
      </c>
      <c r="DA758" t="str">
        <f>""</f>
        <v/>
      </c>
      <c r="DB758" t="str">
        <f>""</f>
        <v/>
      </c>
      <c r="DC758" t="str">
        <f>""</f>
        <v/>
      </c>
      <c r="DD758" t="str">
        <f>""</f>
        <v/>
      </c>
      <c r="DE758" t="str">
        <f>""</f>
        <v/>
      </c>
      <c r="DF758" t="str">
        <f>""</f>
        <v/>
      </c>
      <c r="DG758" t="str">
        <f>""</f>
        <v/>
      </c>
      <c r="DH758" t="str">
        <f>""</f>
        <v/>
      </c>
      <c r="DI758" t="str">
        <f>""</f>
        <v/>
      </c>
      <c r="DJ758" t="str">
        <f>""</f>
        <v/>
      </c>
      <c r="DK758" t="str">
        <f>""</f>
        <v/>
      </c>
      <c r="DL758" t="str">
        <f>""</f>
        <v/>
      </c>
      <c r="DM758" t="str">
        <f>""</f>
        <v/>
      </c>
      <c r="DN758" t="str">
        <f>""</f>
        <v/>
      </c>
      <c r="DO758" t="str">
        <f>""</f>
        <v/>
      </c>
      <c r="DP758" t="str">
        <f>""</f>
        <v/>
      </c>
      <c r="DQ758" t="str">
        <f>""</f>
        <v/>
      </c>
      <c r="DR758" t="str">
        <f>""</f>
        <v/>
      </c>
      <c r="DS758" t="str">
        <f>""</f>
        <v/>
      </c>
      <c r="DT758" t="str">
        <f>""</f>
        <v/>
      </c>
      <c r="DU758" t="str">
        <f>""</f>
        <v/>
      </c>
    </row>
    <row r="759" spans="1:125" x14ac:dyDescent="0.25">
      <c r="A759" t="str">
        <f>$A$256</f>
        <v xml:space="preserve">    Daihatsu Motor Co Ltd</v>
      </c>
      <c r="B759" t="str">
        <f>$B$256</f>
        <v>7262 JP Equity</v>
      </c>
      <c r="C759" t="str">
        <f>$C$256</f>
        <v>RR010</v>
      </c>
      <c r="D759" t="str">
        <f>$D$256</f>
        <v>TOT_COMMON_EQY</v>
      </c>
      <c r="E759" t="str">
        <f>$E$256</f>
        <v>Dynamic</v>
      </c>
      <c r="F759" t="str">
        <f ca="1">_xll.BDH($B$256,$C$256,$B$509,$B$510,CONCATENATE("Per=",$B$507),"Dts=H","Dir=H",CONCATENATE("Points=",$B$508),"Sort=R","Days=A","Fill=B",CONCATENATE("FX=", $B$506) )</f>
        <v>#N/A Connection</v>
      </c>
      <c r="BN759" t="str">
        <f>""</f>
        <v/>
      </c>
      <c r="BO759" t="str">
        <f>""</f>
        <v/>
      </c>
      <c r="BP759" t="str">
        <f>""</f>
        <v/>
      </c>
      <c r="BQ759" t="str">
        <f>""</f>
        <v/>
      </c>
      <c r="BR759" t="str">
        <f>""</f>
        <v/>
      </c>
      <c r="BS759" t="str">
        <f>""</f>
        <v/>
      </c>
      <c r="BT759" t="str">
        <f>""</f>
        <v/>
      </c>
      <c r="BU759" t="str">
        <f>""</f>
        <v/>
      </c>
      <c r="BV759" t="str">
        <f>""</f>
        <v/>
      </c>
      <c r="BW759" t="str">
        <f>""</f>
        <v/>
      </c>
      <c r="BX759" t="str">
        <f>""</f>
        <v/>
      </c>
      <c r="BY759" t="str">
        <f>""</f>
        <v/>
      </c>
      <c r="BZ759" t="str">
        <f>""</f>
        <v/>
      </c>
      <c r="CA759" t="str">
        <f>""</f>
        <v/>
      </c>
      <c r="CB759" t="str">
        <f>""</f>
        <v/>
      </c>
      <c r="CC759" t="str">
        <f>""</f>
        <v/>
      </c>
      <c r="CD759" t="str">
        <f>""</f>
        <v/>
      </c>
      <c r="CE759" t="str">
        <f>""</f>
        <v/>
      </c>
      <c r="CF759" t="str">
        <f>""</f>
        <v/>
      </c>
      <c r="CG759" t="str">
        <f>""</f>
        <v/>
      </c>
      <c r="CH759" t="str">
        <f>""</f>
        <v/>
      </c>
      <c r="CI759" t="str">
        <f>""</f>
        <v/>
      </c>
      <c r="CJ759" t="str">
        <f>""</f>
        <v/>
      </c>
      <c r="CK759" t="str">
        <f>""</f>
        <v/>
      </c>
      <c r="CL759" t="str">
        <f>""</f>
        <v/>
      </c>
      <c r="CM759" t="str">
        <f>""</f>
        <v/>
      </c>
      <c r="CN759" t="str">
        <f>""</f>
        <v/>
      </c>
      <c r="CO759" t="str">
        <f>""</f>
        <v/>
      </c>
      <c r="CP759" t="str">
        <f>""</f>
        <v/>
      </c>
      <c r="CQ759" t="str">
        <f>""</f>
        <v/>
      </c>
      <c r="CR759" t="str">
        <f>""</f>
        <v/>
      </c>
      <c r="CS759" t="str">
        <f>""</f>
        <v/>
      </c>
      <c r="CT759" t="str">
        <f>""</f>
        <v/>
      </c>
      <c r="CU759" t="str">
        <f>""</f>
        <v/>
      </c>
      <c r="CV759" t="str">
        <f>""</f>
        <v/>
      </c>
      <c r="CW759" t="str">
        <f>""</f>
        <v/>
      </c>
      <c r="CX759" t="str">
        <f>""</f>
        <v/>
      </c>
      <c r="CY759" t="str">
        <f>""</f>
        <v/>
      </c>
      <c r="CZ759" t="str">
        <f>""</f>
        <v/>
      </c>
      <c r="DA759" t="str">
        <f>""</f>
        <v/>
      </c>
      <c r="DB759" t="str">
        <f>""</f>
        <v/>
      </c>
      <c r="DC759" t="str">
        <f>""</f>
        <v/>
      </c>
      <c r="DD759" t="str">
        <f>""</f>
        <v/>
      </c>
      <c r="DE759" t="str">
        <f>""</f>
        <v/>
      </c>
      <c r="DF759" t="str">
        <f>""</f>
        <v/>
      </c>
      <c r="DG759" t="str">
        <f>""</f>
        <v/>
      </c>
      <c r="DH759" t="str">
        <f>""</f>
        <v/>
      </c>
      <c r="DI759" t="str">
        <f>""</f>
        <v/>
      </c>
      <c r="DJ759" t="str">
        <f>""</f>
        <v/>
      </c>
      <c r="DK759" t="str">
        <f>""</f>
        <v/>
      </c>
      <c r="DL759" t="str">
        <f>""</f>
        <v/>
      </c>
      <c r="DM759" t="str">
        <f>""</f>
        <v/>
      </c>
      <c r="DN759" t="str">
        <f>""</f>
        <v/>
      </c>
      <c r="DO759" t="str">
        <f>""</f>
        <v/>
      </c>
      <c r="DP759" t="str">
        <f>""</f>
        <v/>
      </c>
      <c r="DQ759" t="str">
        <f>""</f>
        <v/>
      </c>
      <c r="DR759" t="str">
        <f>""</f>
        <v/>
      </c>
      <c r="DS759" t="str">
        <f>""</f>
        <v/>
      </c>
      <c r="DT759" t="str">
        <f>""</f>
        <v/>
      </c>
      <c r="DU759" t="str">
        <f>""</f>
        <v/>
      </c>
    </row>
    <row r="760" spans="1:125" x14ac:dyDescent="0.25">
      <c r="A760" t="str">
        <f>$A$257</f>
        <v xml:space="preserve">    Daimler AG</v>
      </c>
      <c r="B760" t="str">
        <f>$B$257</f>
        <v>DAI GR Equity</v>
      </c>
      <c r="C760" t="str">
        <f>$C$257</f>
        <v>RR010</v>
      </c>
      <c r="D760" t="str">
        <f>$D$257</f>
        <v>TOT_COMMON_EQY</v>
      </c>
      <c r="E760" t="str">
        <f>$E$257</f>
        <v>Dynamic</v>
      </c>
      <c r="F760" t="str">
        <f ca="1">_xll.BDH($B$257,$C$257,$B$509,$B$510,CONCATENATE("Per=",$B$507),"Dts=H","Dir=H",CONCATENATE("Points=",$B$508),"Sort=R","Days=A","Fill=B",CONCATENATE("FX=", $B$506) )</f>
        <v>#N/A Connection</v>
      </c>
      <c r="BN760" t="str">
        <f>""</f>
        <v/>
      </c>
      <c r="BO760" t="str">
        <f>""</f>
        <v/>
      </c>
      <c r="BP760" t="str">
        <f>""</f>
        <v/>
      </c>
      <c r="BQ760" t="str">
        <f>""</f>
        <v/>
      </c>
      <c r="BR760" t="str">
        <f>""</f>
        <v/>
      </c>
      <c r="BS760" t="str">
        <f>""</f>
        <v/>
      </c>
      <c r="BT760" t="str">
        <f>""</f>
        <v/>
      </c>
      <c r="BU760" t="str">
        <f>""</f>
        <v/>
      </c>
      <c r="BV760" t="str">
        <f>""</f>
        <v/>
      </c>
      <c r="BW760" t="str">
        <f>""</f>
        <v/>
      </c>
      <c r="BX760" t="str">
        <f>""</f>
        <v/>
      </c>
      <c r="BY760" t="str">
        <f>""</f>
        <v/>
      </c>
      <c r="BZ760" t="str">
        <f>""</f>
        <v/>
      </c>
      <c r="CA760" t="str">
        <f>""</f>
        <v/>
      </c>
      <c r="CB760" t="str">
        <f>""</f>
        <v/>
      </c>
      <c r="CC760" t="str">
        <f>""</f>
        <v/>
      </c>
      <c r="CD760" t="str">
        <f>""</f>
        <v/>
      </c>
      <c r="CE760" t="str">
        <f>""</f>
        <v/>
      </c>
      <c r="CF760" t="str">
        <f>""</f>
        <v/>
      </c>
      <c r="CG760" t="str">
        <f>""</f>
        <v/>
      </c>
      <c r="CH760" t="str">
        <f>""</f>
        <v/>
      </c>
      <c r="CI760" t="str">
        <f>""</f>
        <v/>
      </c>
      <c r="CJ760" t="str">
        <f>""</f>
        <v/>
      </c>
      <c r="CK760" t="str">
        <f>""</f>
        <v/>
      </c>
      <c r="CL760" t="str">
        <f>""</f>
        <v/>
      </c>
      <c r="CM760" t="str">
        <f>""</f>
        <v/>
      </c>
      <c r="CN760" t="str">
        <f>""</f>
        <v/>
      </c>
      <c r="CO760" t="str">
        <f>""</f>
        <v/>
      </c>
      <c r="CP760" t="str">
        <f>""</f>
        <v/>
      </c>
      <c r="CQ760" t="str">
        <f>""</f>
        <v/>
      </c>
      <c r="CR760" t="str">
        <f>""</f>
        <v/>
      </c>
      <c r="CS760" t="str">
        <f>""</f>
        <v/>
      </c>
      <c r="CT760" t="str">
        <f>""</f>
        <v/>
      </c>
      <c r="CU760" t="str">
        <f>""</f>
        <v/>
      </c>
      <c r="CV760" t="str">
        <f>""</f>
        <v/>
      </c>
      <c r="CW760" t="str">
        <f>""</f>
        <v/>
      </c>
      <c r="CX760" t="str">
        <f>""</f>
        <v/>
      </c>
      <c r="CY760" t="str">
        <f>""</f>
        <v/>
      </c>
      <c r="CZ760" t="str">
        <f>""</f>
        <v/>
      </c>
      <c r="DA760" t="str">
        <f>""</f>
        <v/>
      </c>
      <c r="DB760" t="str">
        <f>""</f>
        <v/>
      </c>
      <c r="DC760" t="str">
        <f>""</f>
        <v/>
      </c>
      <c r="DD760" t="str">
        <f>""</f>
        <v/>
      </c>
      <c r="DE760" t="str">
        <f>""</f>
        <v/>
      </c>
      <c r="DF760" t="str">
        <f>""</f>
        <v/>
      </c>
      <c r="DG760" t="str">
        <f>""</f>
        <v/>
      </c>
      <c r="DH760" t="str">
        <f>""</f>
        <v/>
      </c>
      <c r="DI760" t="str">
        <f>""</f>
        <v/>
      </c>
      <c r="DJ760" t="str">
        <f>""</f>
        <v/>
      </c>
      <c r="DK760" t="str">
        <f>""</f>
        <v/>
      </c>
      <c r="DL760" t="str">
        <f>""</f>
        <v/>
      </c>
      <c r="DM760" t="str">
        <f>""</f>
        <v/>
      </c>
      <c r="DN760" t="str">
        <f>""</f>
        <v/>
      </c>
      <c r="DO760" t="str">
        <f>""</f>
        <v/>
      </c>
      <c r="DP760" t="str">
        <f>""</f>
        <v/>
      </c>
      <c r="DQ760" t="str">
        <f>""</f>
        <v/>
      </c>
      <c r="DR760" t="str">
        <f>""</f>
        <v/>
      </c>
      <c r="DS760" t="str">
        <f>""</f>
        <v/>
      </c>
      <c r="DT760" t="str">
        <f>""</f>
        <v/>
      </c>
      <c r="DU760" t="str">
        <f>""</f>
        <v/>
      </c>
    </row>
    <row r="761" spans="1:125" x14ac:dyDescent="0.25">
      <c r="A761" t="str">
        <f>$A$258</f>
        <v xml:space="preserve">    Dongfeng Motor Group Co Ltd</v>
      </c>
      <c r="B761" t="str">
        <f>$B$258</f>
        <v>489 HK Equity</v>
      </c>
      <c r="C761" t="str">
        <f>$C$258</f>
        <v>RR010</v>
      </c>
      <c r="D761" t="str">
        <f>$D$258</f>
        <v>TOT_COMMON_EQY</v>
      </c>
      <c r="E761" t="str">
        <f>$E$258</f>
        <v>Dynamic</v>
      </c>
      <c r="F761" t="str">
        <f ca="1">_xll.BDH($B$258,$C$258,$B$509,$B$510,CONCATENATE("Per=",$B$507),"Dts=H","Dir=H",CONCATENATE("Points=",$B$508),"Sort=R","Days=A","Fill=B",CONCATENATE("FX=", $B$506) )</f>
        <v>#N/A Connection</v>
      </c>
      <c r="BN761" t="str">
        <f>""</f>
        <v/>
      </c>
      <c r="BO761" t="str">
        <f>""</f>
        <v/>
      </c>
      <c r="BP761" t="str">
        <f>""</f>
        <v/>
      </c>
      <c r="BQ761" t="str">
        <f>""</f>
        <v/>
      </c>
      <c r="BR761" t="str">
        <f>""</f>
        <v/>
      </c>
      <c r="BS761" t="str">
        <f>""</f>
        <v/>
      </c>
      <c r="BT761" t="str">
        <f>""</f>
        <v/>
      </c>
      <c r="BU761" t="str">
        <f>""</f>
        <v/>
      </c>
      <c r="BV761" t="str">
        <f>""</f>
        <v/>
      </c>
      <c r="BW761" t="str">
        <f>""</f>
        <v/>
      </c>
      <c r="BX761" t="str">
        <f>""</f>
        <v/>
      </c>
      <c r="BY761" t="str">
        <f>""</f>
        <v/>
      </c>
      <c r="BZ761" t="str">
        <f>""</f>
        <v/>
      </c>
      <c r="CA761" t="str">
        <f>""</f>
        <v/>
      </c>
      <c r="CB761" t="str">
        <f>""</f>
        <v/>
      </c>
      <c r="CC761" t="str">
        <f>""</f>
        <v/>
      </c>
      <c r="CD761" t="str">
        <f>""</f>
        <v/>
      </c>
      <c r="CE761" t="str">
        <f>""</f>
        <v/>
      </c>
      <c r="CF761" t="str">
        <f>""</f>
        <v/>
      </c>
      <c r="CG761" t="str">
        <f>""</f>
        <v/>
      </c>
      <c r="CH761" t="str">
        <f>""</f>
        <v/>
      </c>
      <c r="CI761" t="str">
        <f>""</f>
        <v/>
      </c>
      <c r="CJ761" t="str">
        <f>""</f>
        <v/>
      </c>
      <c r="CK761" t="str">
        <f>""</f>
        <v/>
      </c>
      <c r="CL761" t="str">
        <f>""</f>
        <v/>
      </c>
      <c r="CM761" t="str">
        <f>""</f>
        <v/>
      </c>
      <c r="CN761" t="str">
        <f>""</f>
        <v/>
      </c>
      <c r="CO761" t="str">
        <f>""</f>
        <v/>
      </c>
      <c r="CP761" t="str">
        <f>""</f>
        <v/>
      </c>
      <c r="CQ761" t="str">
        <f>""</f>
        <v/>
      </c>
      <c r="CR761" t="str">
        <f>""</f>
        <v/>
      </c>
      <c r="CS761" t="str">
        <f>""</f>
        <v/>
      </c>
      <c r="CT761" t="str">
        <f>""</f>
        <v/>
      </c>
      <c r="CU761" t="str">
        <f>""</f>
        <v/>
      </c>
      <c r="CV761" t="str">
        <f>""</f>
        <v/>
      </c>
      <c r="CW761" t="str">
        <f>""</f>
        <v/>
      </c>
      <c r="CX761" t="str">
        <f>""</f>
        <v/>
      </c>
      <c r="CY761" t="str">
        <f>""</f>
        <v/>
      </c>
      <c r="CZ761" t="str">
        <f>""</f>
        <v/>
      </c>
      <c r="DA761" t="str">
        <f>""</f>
        <v/>
      </c>
      <c r="DB761" t="str">
        <f>""</f>
        <v/>
      </c>
      <c r="DC761" t="str">
        <f>""</f>
        <v/>
      </c>
      <c r="DD761" t="str">
        <f>""</f>
        <v/>
      </c>
      <c r="DE761" t="str">
        <f>""</f>
        <v/>
      </c>
      <c r="DF761" t="str">
        <f>""</f>
        <v/>
      </c>
      <c r="DG761" t="str">
        <f>""</f>
        <v/>
      </c>
      <c r="DH761" t="str">
        <f>""</f>
        <v/>
      </c>
      <c r="DI761" t="str">
        <f>""</f>
        <v/>
      </c>
      <c r="DJ761" t="str">
        <f>""</f>
        <v/>
      </c>
      <c r="DK761" t="str">
        <f>""</f>
        <v/>
      </c>
      <c r="DL761" t="str">
        <f>""</f>
        <v/>
      </c>
      <c r="DM761" t="str">
        <f>""</f>
        <v/>
      </c>
      <c r="DN761" t="str">
        <f>""</f>
        <v/>
      </c>
      <c r="DO761" t="str">
        <f>""</f>
        <v/>
      </c>
      <c r="DP761" t="str">
        <f>""</f>
        <v/>
      </c>
      <c r="DQ761" t="str">
        <f>""</f>
        <v/>
      </c>
      <c r="DR761" t="str">
        <f>""</f>
        <v/>
      </c>
      <c r="DS761" t="str">
        <f>""</f>
        <v/>
      </c>
      <c r="DT761" t="str">
        <f>""</f>
        <v/>
      </c>
      <c r="DU761" t="str">
        <f>""</f>
        <v/>
      </c>
    </row>
    <row r="762" spans="1:125" x14ac:dyDescent="0.25">
      <c r="A762" t="str">
        <f>$A$259</f>
        <v xml:space="preserve">    DRB-Hicom Bhd</v>
      </c>
      <c r="B762" t="str">
        <f>$B$259</f>
        <v>DRB MK Equity</v>
      </c>
      <c r="C762" t="str">
        <f>$C$259</f>
        <v>RR010</v>
      </c>
      <c r="D762" t="str">
        <f>$D$259</f>
        <v>TOT_COMMON_EQY</v>
      </c>
      <c r="E762" t="str">
        <f>$E$259</f>
        <v>Dynamic</v>
      </c>
      <c r="F762" t="str">
        <f ca="1">_xll.BDH($B$259,$C$259,$B$509,$B$510,CONCATENATE("Per=",$B$507),"Dts=H","Dir=H",CONCATENATE("Points=",$B$508),"Sort=R","Days=A","Fill=B",CONCATENATE("FX=", $B$506) )</f>
        <v>#N/A Connection</v>
      </c>
      <c r="BN762" t="str">
        <f>""</f>
        <v/>
      </c>
      <c r="BO762" t="str">
        <f>""</f>
        <v/>
      </c>
      <c r="BP762" t="str">
        <f>""</f>
        <v/>
      </c>
      <c r="BQ762" t="str">
        <f>""</f>
        <v/>
      </c>
      <c r="BR762" t="str">
        <f>""</f>
        <v/>
      </c>
      <c r="BS762" t="str">
        <f>""</f>
        <v/>
      </c>
      <c r="BT762" t="str">
        <f>""</f>
        <v/>
      </c>
      <c r="BU762" t="str">
        <f>""</f>
        <v/>
      </c>
      <c r="BV762" t="str">
        <f>""</f>
        <v/>
      </c>
      <c r="BW762" t="str">
        <f>""</f>
        <v/>
      </c>
      <c r="BX762" t="str">
        <f>""</f>
        <v/>
      </c>
      <c r="BY762" t="str">
        <f>""</f>
        <v/>
      </c>
      <c r="BZ762" t="str">
        <f>""</f>
        <v/>
      </c>
      <c r="CA762" t="str">
        <f>""</f>
        <v/>
      </c>
      <c r="CB762" t="str">
        <f>""</f>
        <v/>
      </c>
      <c r="CC762" t="str">
        <f>""</f>
        <v/>
      </c>
      <c r="CD762" t="str">
        <f>""</f>
        <v/>
      </c>
      <c r="CE762" t="str">
        <f>""</f>
        <v/>
      </c>
      <c r="CF762" t="str">
        <f>""</f>
        <v/>
      </c>
      <c r="CG762" t="str">
        <f>""</f>
        <v/>
      </c>
      <c r="CH762" t="str">
        <f>""</f>
        <v/>
      </c>
      <c r="CI762" t="str">
        <f>""</f>
        <v/>
      </c>
      <c r="CJ762" t="str">
        <f>""</f>
        <v/>
      </c>
      <c r="CK762" t="str">
        <f>""</f>
        <v/>
      </c>
      <c r="CL762" t="str">
        <f>""</f>
        <v/>
      </c>
      <c r="CM762" t="str">
        <f>""</f>
        <v/>
      </c>
      <c r="CN762" t="str">
        <f>""</f>
        <v/>
      </c>
      <c r="CO762" t="str">
        <f>""</f>
        <v/>
      </c>
      <c r="CP762" t="str">
        <f>""</f>
        <v/>
      </c>
      <c r="CQ762" t="str">
        <f>""</f>
        <v/>
      </c>
      <c r="CR762" t="str">
        <f>""</f>
        <v/>
      </c>
      <c r="CS762" t="str">
        <f>""</f>
        <v/>
      </c>
      <c r="CT762" t="str">
        <f>""</f>
        <v/>
      </c>
      <c r="CU762" t="str">
        <f>""</f>
        <v/>
      </c>
      <c r="CV762" t="str">
        <f>""</f>
        <v/>
      </c>
      <c r="CW762" t="str">
        <f>""</f>
        <v/>
      </c>
      <c r="CX762" t="str">
        <f>""</f>
        <v/>
      </c>
      <c r="CY762" t="str">
        <f>""</f>
        <v/>
      </c>
      <c r="CZ762" t="str">
        <f>""</f>
        <v/>
      </c>
      <c r="DA762" t="str">
        <f>""</f>
        <v/>
      </c>
      <c r="DB762" t="str">
        <f>""</f>
        <v/>
      </c>
      <c r="DC762" t="str">
        <f>""</f>
        <v/>
      </c>
      <c r="DD762" t="str">
        <f>""</f>
        <v/>
      </c>
      <c r="DE762" t="str">
        <f>""</f>
        <v/>
      </c>
      <c r="DF762" t="str">
        <f>""</f>
        <v/>
      </c>
      <c r="DG762" t="str">
        <f>""</f>
        <v/>
      </c>
      <c r="DH762" t="str">
        <f>""</f>
        <v/>
      </c>
      <c r="DI762" t="str">
        <f>""</f>
        <v/>
      </c>
      <c r="DJ762" t="str">
        <f>""</f>
        <v/>
      </c>
      <c r="DK762" t="str">
        <f>""</f>
        <v/>
      </c>
      <c r="DL762" t="str">
        <f>""</f>
        <v/>
      </c>
      <c r="DM762" t="str">
        <f>""</f>
        <v/>
      </c>
      <c r="DN762" t="str">
        <f>""</f>
        <v/>
      </c>
      <c r="DO762" t="str">
        <f>""</f>
        <v/>
      </c>
      <c r="DP762" t="str">
        <f>""</f>
        <v/>
      </c>
      <c r="DQ762" t="str">
        <f>""</f>
        <v/>
      </c>
      <c r="DR762" t="str">
        <f>""</f>
        <v/>
      </c>
      <c r="DS762" t="str">
        <f>""</f>
        <v/>
      </c>
      <c r="DT762" t="str">
        <f>""</f>
        <v/>
      </c>
      <c r="DU762" t="str">
        <f>""</f>
        <v/>
      </c>
    </row>
    <row r="763" spans="1:125" x14ac:dyDescent="0.25">
      <c r="A763" t="str">
        <f>$A$260</f>
        <v xml:space="preserve">    FAW CAR Co Ltd</v>
      </c>
      <c r="B763" t="str">
        <f>$B$260</f>
        <v>000800 CH Equity</v>
      </c>
      <c r="C763" t="str">
        <f>$C$260</f>
        <v>RR010</v>
      </c>
      <c r="D763" t="str">
        <f>$D$260</f>
        <v>TOT_COMMON_EQY</v>
      </c>
      <c r="E763" t="str">
        <f>$E$260</f>
        <v>Dynamic</v>
      </c>
      <c r="F763" t="str">
        <f ca="1">_xll.BDH($B$260,$C$260,$B$509,$B$510,CONCATENATE("Per=",$B$507),"Dts=H","Dir=H",CONCATENATE("Points=",$B$508),"Sort=R","Days=A","Fill=B",CONCATENATE("FX=", $B$506) )</f>
        <v>#N/A Connection</v>
      </c>
      <c r="BN763" t="str">
        <f>""</f>
        <v/>
      </c>
      <c r="BO763" t="str">
        <f>""</f>
        <v/>
      </c>
      <c r="BP763" t="str">
        <f>""</f>
        <v/>
      </c>
      <c r="BQ763" t="str">
        <f>""</f>
        <v/>
      </c>
      <c r="BR763" t="str">
        <f>""</f>
        <v/>
      </c>
      <c r="BS763" t="str">
        <f>""</f>
        <v/>
      </c>
      <c r="BT763" t="str">
        <f>""</f>
        <v/>
      </c>
      <c r="BU763" t="str">
        <f>""</f>
        <v/>
      </c>
      <c r="BV763" t="str">
        <f>""</f>
        <v/>
      </c>
      <c r="BW763" t="str">
        <f>""</f>
        <v/>
      </c>
      <c r="BX763" t="str">
        <f>""</f>
        <v/>
      </c>
      <c r="BY763" t="str">
        <f>""</f>
        <v/>
      </c>
      <c r="BZ763" t="str">
        <f>""</f>
        <v/>
      </c>
      <c r="CA763" t="str">
        <f>""</f>
        <v/>
      </c>
      <c r="CB763" t="str">
        <f>""</f>
        <v/>
      </c>
      <c r="CC763" t="str">
        <f>""</f>
        <v/>
      </c>
      <c r="CD763" t="str">
        <f>""</f>
        <v/>
      </c>
      <c r="CE763" t="str">
        <f>""</f>
        <v/>
      </c>
      <c r="CF763" t="str">
        <f>""</f>
        <v/>
      </c>
      <c r="CG763" t="str">
        <f>""</f>
        <v/>
      </c>
      <c r="CH763" t="str">
        <f>""</f>
        <v/>
      </c>
      <c r="CI763" t="str">
        <f>""</f>
        <v/>
      </c>
      <c r="CJ763" t="str">
        <f>""</f>
        <v/>
      </c>
      <c r="CK763" t="str">
        <f>""</f>
        <v/>
      </c>
      <c r="CL763" t="str">
        <f>""</f>
        <v/>
      </c>
      <c r="CM763" t="str">
        <f>""</f>
        <v/>
      </c>
      <c r="CN763" t="str">
        <f>""</f>
        <v/>
      </c>
      <c r="CO763" t="str">
        <f>""</f>
        <v/>
      </c>
      <c r="CP763" t="str">
        <f>""</f>
        <v/>
      </c>
      <c r="CQ763" t="str">
        <f>""</f>
        <v/>
      </c>
      <c r="CR763" t="str">
        <f>""</f>
        <v/>
      </c>
      <c r="CS763" t="str">
        <f>""</f>
        <v/>
      </c>
      <c r="CT763" t="str">
        <f>""</f>
        <v/>
      </c>
      <c r="CU763" t="str">
        <f>""</f>
        <v/>
      </c>
      <c r="CV763" t="str">
        <f>""</f>
        <v/>
      </c>
      <c r="CW763" t="str">
        <f>""</f>
        <v/>
      </c>
      <c r="CX763" t="str">
        <f>""</f>
        <v/>
      </c>
      <c r="CY763" t="str">
        <f>""</f>
        <v/>
      </c>
      <c r="CZ763" t="str">
        <f>""</f>
        <v/>
      </c>
      <c r="DA763" t="str">
        <f>""</f>
        <v/>
      </c>
      <c r="DB763" t="str">
        <f>""</f>
        <v/>
      </c>
      <c r="DC763" t="str">
        <f>""</f>
        <v/>
      </c>
      <c r="DD763" t="str">
        <f>""</f>
        <v/>
      </c>
      <c r="DE763" t="str">
        <f>""</f>
        <v/>
      </c>
      <c r="DF763" t="str">
        <f>""</f>
        <v/>
      </c>
      <c r="DG763" t="str">
        <f>""</f>
        <v/>
      </c>
      <c r="DH763" t="str">
        <f>""</f>
        <v/>
      </c>
      <c r="DI763" t="str">
        <f>""</f>
        <v/>
      </c>
      <c r="DJ763" t="str">
        <f>""</f>
        <v/>
      </c>
      <c r="DK763" t="str">
        <f>""</f>
        <v/>
      </c>
      <c r="DL763" t="str">
        <f>""</f>
        <v/>
      </c>
      <c r="DM763" t="str">
        <f>""</f>
        <v/>
      </c>
      <c r="DN763" t="str">
        <f>""</f>
        <v/>
      </c>
      <c r="DO763" t="str">
        <f>""</f>
        <v/>
      </c>
      <c r="DP763" t="str">
        <f>""</f>
        <v/>
      </c>
      <c r="DQ763" t="str">
        <f>""</f>
        <v/>
      </c>
      <c r="DR763" t="str">
        <f>""</f>
        <v/>
      </c>
      <c r="DS763" t="str">
        <f>""</f>
        <v/>
      </c>
      <c r="DT763" t="str">
        <f>""</f>
        <v/>
      </c>
      <c r="DU763" t="str">
        <f>""</f>
        <v/>
      </c>
    </row>
    <row r="764" spans="1:125" x14ac:dyDescent="0.25">
      <c r="A764" t="str">
        <f>$A$261</f>
        <v xml:space="preserve">    Fiat Chrysler Automobiles NV</v>
      </c>
      <c r="B764" t="str">
        <f>$B$261</f>
        <v>FCAU US Equity</v>
      </c>
      <c r="C764" t="str">
        <f>$C$261</f>
        <v>RR010</v>
      </c>
      <c r="D764" t="str">
        <f>$D$261</f>
        <v>TOT_COMMON_EQY</v>
      </c>
      <c r="E764" t="str">
        <f>$E$261</f>
        <v>Dynamic</v>
      </c>
      <c r="F764" t="str">
        <f ca="1">_xll.BDH($B$261,$C$261,$B$509,$B$510,CONCATENATE("Per=",$B$507),"Dts=H","Dir=H",CONCATENATE("Points=",$B$508),"Sort=R","Days=A","Fill=B",CONCATENATE("FX=", $B$506) )</f>
        <v>#N/A Connection</v>
      </c>
      <c r="BN764" t="str">
        <f>""</f>
        <v/>
      </c>
      <c r="BO764" t="str">
        <f>""</f>
        <v/>
      </c>
      <c r="BP764" t="str">
        <f>""</f>
        <v/>
      </c>
      <c r="BQ764" t="str">
        <f>""</f>
        <v/>
      </c>
      <c r="BR764" t="str">
        <f>""</f>
        <v/>
      </c>
      <c r="BS764" t="str">
        <f>""</f>
        <v/>
      </c>
      <c r="BT764" t="str">
        <f>""</f>
        <v/>
      </c>
      <c r="BU764" t="str">
        <f>""</f>
        <v/>
      </c>
      <c r="BV764" t="str">
        <f>""</f>
        <v/>
      </c>
      <c r="BW764" t="str">
        <f>""</f>
        <v/>
      </c>
      <c r="BX764" t="str">
        <f>""</f>
        <v/>
      </c>
      <c r="BY764" t="str">
        <f>""</f>
        <v/>
      </c>
      <c r="BZ764" t="str">
        <f>""</f>
        <v/>
      </c>
      <c r="CA764" t="str">
        <f>""</f>
        <v/>
      </c>
      <c r="CB764" t="str">
        <f>""</f>
        <v/>
      </c>
      <c r="CC764" t="str">
        <f>""</f>
        <v/>
      </c>
      <c r="CD764" t="str">
        <f>""</f>
        <v/>
      </c>
      <c r="CE764" t="str">
        <f>""</f>
        <v/>
      </c>
      <c r="CF764" t="str">
        <f>""</f>
        <v/>
      </c>
      <c r="CG764" t="str">
        <f>""</f>
        <v/>
      </c>
      <c r="CH764" t="str">
        <f>""</f>
        <v/>
      </c>
      <c r="CI764" t="str">
        <f>""</f>
        <v/>
      </c>
      <c r="CJ764" t="str">
        <f>""</f>
        <v/>
      </c>
      <c r="CK764" t="str">
        <f>""</f>
        <v/>
      </c>
      <c r="CL764" t="str">
        <f>""</f>
        <v/>
      </c>
      <c r="CM764" t="str">
        <f>""</f>
        <v/>
      </c>
      <c r="CN764" t="str">
        <f>""</f>
        <v/>
      </c>
      <c r="CO764" t="str">
        <f>""</f>
        <v/>
      </c>
      <c r="CP764" t="str">
        <f>""</f>
        <v/>
      </c>
      <c r="CQ764" t="str">
        <f>""</f>
        <v/>
      </c>
      <c r="CR764" t="str">
        <f>""</f>
        <v/>
      </c>
      <c r="CS764" t="str">
        <f>""</f>
        <v/>
      </c>
      <c r="CT764" t="str">
        <f>""</f>
        <v/>
      </c>
      <c r="CU764" t="str">
        <f>""</f>
        <v/>
      </c>
      <c r="CV764" t="str">
        <f>""</f>
        <v/>
      </c>
      <c r="CW764" t="str">
        <f>""</f>
        <v/>
      </c>
      <c r="CX764" t="str">
        <f>""</f>
        <v/>
      </c>
      <c r="CY764" t="str">
        <f>""</f>
        <v/>
      </c>
      <c r="CZ764" t="str">
        <f>""</f>
        <v/>
      </c>
      <c r="DA764" t="str">
        <f>""</f>
        <v/>
      </c>
      <c r="DB764" t="str">
        <f>""</f>
        <v/>
      </c>
      <c r="DC764" t="str">
        <f>""</f>
        <v/>
      </c>
      <c r="DD764" t="str">
        <f>""</f>
        <v/>
      </c>
      <c r="DE764" t="str">
        <f>""</f>
        <v/>
      </c>
      <c r="DF764" t="str">
        <f>""</f>
        <v/>
      </c>
      <c r="DG764" t="str">
        <f>""</f>
        <v/>
      </c>
      <c r="DH764" t="str">
        <f>""</f>
        <v/>
      </c>
      <c r="DI764" t="str">
        <f>""</f>
        <v/>
      </c>
      <c r="DJ764" t="str">
        <f>""</f>
        <v/>
      </c>
      <c r="DK764" t="str">
        <f>""</f>
        <v/>
      </c>
      <c r="DL764" t="str">
        <f>""</f>
        <v/>
      </c>
      <c r="DM764" t="str">
        <f>""</f>
        <v/>
      </c>
      <c r="DN764" t="str">
        <f>""</f>
        <v/>
      </c>
      <c r="DO764" t="str">
        <f>""</f>
        <v/>
      </c>
      <c r="DP764" t="str">
        <f>""</f>
        <v/>
      </c>
      <c r="DQ764" t="str">
        <f>""</f>
        <v/>
      </c>
      <c r="DR764" t="str">
        <f>""</f>
        <v/>
      </c>
      <c r="DS764" t="str">
        <f>""</f>
        <v/>
      </c>
      <c r="DT764" t="str">
        <f>""</f>
        <v/>
      </c>
      <c r="DU764" t="str">
        <f>""</f>
        <v/>
      </c>
    </row>
    <row r="765" spans="1:125" x14ac:dyDescent="0.25">
      <c r="A765" t="str">
        <f>$A$262</f>
        <v xml:space="preserve">    Ford Motor Co</v>
      </c>
      <c r="B765" t="str">
        <f>$B$262</f>
        <v>F US Equity</v>
      </c>
      <c r="C765" t="str">
        <f>$C$262</f>
        <v>RR010</v>
      </c>
      <c r="D765" t="str">
        <f>$D$262</f>
        <v>TOT_COMMON_EQY</v>
      </c>
      <c r="E765" t="str">
        <f>$E$262</f>
        <v>Dynamic</v>
      </c>
      <c r="F765" t="str">
        <f ca="1">_xll.BDH($B$262,$C$262,$B$509,$B$510,CONCATENATE("Per=",$B$507),"Dts=H","Dir=H",CONCATENATE("Points=",$B$508),"Sort=R","Days=A","Fill=B",CONCATENATE("FX=", $B$506) )</f>
        <v>#N/A Connection</v>
      </c>
      <c r="BN765" t="str">
        <f>""</f>
        <v/>
      </c>
      <c r="BO765" t="str">
        <f>""</f>
        <v/>
      </c>
      <c r="BP765" t="str">
        <f>""</f>
        <v/>
      </c>
      <c r="BQ765" t="str">
        <f>""</f>
        <v/>
      </c>
      <c r="BR765" t="str">
        <f>""</f>
        <v/>
      </c>
      <c r="BS765" t="str">
        <f>""</f>
        <v/>
      </c>
      <c r="BT765" t="str">
        <f>""</f>
        <v/>
      </c>
      <c r="BU765" t="str">
        <f>""</f>
        <v/>
      </c>
      <c r="BV765" t="str">
        <f>""</f>
        <v/>
      </c>
      <c r="BW765" t="str">
        <f>""</f>
        <v/>
      </c>
      <c r="BX765" t="str">
        <f>""</f>
        <v/>
      </c>
      <c r="BY765" t="str">
        <f>""</f>
        <v/>
      </c>
      <c r="BZ765" t="str">
        <f>""</f>
        <v/>
      </c>
      <c r="CA765" t="str">
        <f>""</f>
        <v/>
      </c>
      <c r="CB765" t="str">
        <f>""</f>
        <v/>
      </c>
      <c r="CC765" t="str">
        <f>""</f>
        <v/>
      </c>
      <c r="CD765" t="str">
        <f>""</f>
        <v/>
      </c>
      <c r="CE765" t="str">
        <f>""</f>
        <v/>
      </c>
      <c r="CF765" t="str">
        <f>""</f>
        <v/>
      </c>
      <c r="CG765" t="str">
        <f>""</f>
        <v/>
      </c>
      <c r="CH765" t="str">
        <f>""</f>
        <v/>
      </c>
      <c r="CI765" t="str">
        <f>""</f>
        <v/>
      </c>
      <c r="CJ765" t="str">
        <f>""</f>
        <v/>
      </c>
      <c r="CK765" t="str">
        <f>""</f>
        <v/>
      </c>
      <c r="CL765" t="str">
        <f>""</f>
        <v/>
      </c>
      <c r="CM765" t="str">
        <f>""</f>
        <v/>
      </c>
      <c r="CN765" t="str">
        <f>""</f>
        <v/>
      </c>
      <c r="CO765" t="str">
        <f>""</f>
        <v/>
      </c>
      <c r="CP765" t="str">
        <f>""</f>
        <v/>
      </c>
      <c r="CQ765" t="str">
        <f>""</f>
        <v/>
      </c>
      <c r="CR765" t="str">
        <f>""</f>
        <v/>
      </c>
      <c r="CS765" t="str">
        <f>""</f>
        <v/>
      </c>
      <c r="CT765" t="str">
        <f>""</f>
        <v/>
      </c>
      <c r="CU765" t="str">
        <f>""</f>
        <v/>
      </c>
      <c r="CV765" t="str">
        <f>""</f>
        <v/>
      </c>
      <c r="CW765" t="str">
        <f>""</f>
        <v/>
      </c>
      <c r="CX765" t="str">
        <f>""</f>
        <v/>
      </c>
      <c r="CY765" t="str">
        <f>""</f>
        <v/>
      </c>
      <c r="CZ765" t="str">
        <f>""</f>
        <v/>
      </c>
      <c r="DA765" t="str">
        <f>""</f>
        <v/>
      </c>
      <c r="DB765" t="str">
        <f>""</f>
        <v/>
      </c>
      <c r="DC765" t="str">
        <f>""</f>
        <v/>
      </c>
      <c r="DD765" t="str">
        <f>""</f>
        <v/>
      </c>
      <c r="DE765" t="str">
        <f>""</f>
        <v/>
      </c>
      <c r="DF765" t="str">
        <f>""</f>
        <v/>
      </c>
      <c r="DG765" t="str">
        <f>""</f>
        <v/>
      </c>
      <c r="DH765" t="str">
        <f>""</f>
        <v/>
      </c>
      <c r="DI765" t="str">
        <f>""</f>
        <v/>
      </c>
      <c r="DJ765" t="str">
        <f>""</f>
        <v/>
      </c>
      <c r="DK765" t="str">
        <f>""</f>
        <v/>
      </c>
      <c r="DL765" t="str">
        <f>""</f>
        <v/>
      </c>
      <c r="DM765" t="str">
        <f>""</f>
        <v/>
      </c>
      <c r="DN765" t="str">
        <f>""</f>
        <v/>
      </c>
      <c r="DO765" t="str">
        <f>""</f>
        <v/>
      </c>
      <c r="DP765" t="str">
        <f>""</f>
        <v/>
      </c>
      <c r="DQ765" t="str">
        <f>""</f>
        <v/>
      </c>
      <c r="DR765" t="str">
        <f>""</f>
        <v/>
      </c>
      <c r="DS765" t="str">
        <f>""</f>
        <v/>
      </c>
      <c r="DT765" t="str">
        <f>""</f>
        <v/>
      </c>
      <c r="DU765" t="str">
        <f>""</f>
        <v/>
      </c>
    </row>
    <row r="766" spans="1:125" x14ac:dyDescent="0.25">
      <c r="A766" t="str">
        <f>$A$263</f>
        <v xml:space="preserve">    Ford Otomotiv Sanayi AS</v>
      </c>
      <c r="B766" t="str">
        <f>$B$263</f>
        <v>FROTOTRY EO Equity</v>
      </c>
      <c r="C766" t="str">
        <f>$C$263</f>
        <v>RR010</v>
      </c>
      <c r="D766" t="str">
        <f>$D$263</f>
        <v>TOT_COMMON_EQY</v>
      </c>
      <c r="E766" t="str">
        <f>$E$263</f>
        <v>Dynamic</v>
      </c>
      <c r="F766" t="str">
        <f ca="1">_xll.BDH($B$263,$C$263,$B$509,$B$510,CONCATENATE("Per=",$B$507),"Dts=H","Dir=H",CONCATENATE("Points=",$B$508),"Sort=R","Days=A","Fill=B",CONCATENATE("FX=", $B$506) )</f>
        <v>#N/A Connection</v>
      </c>
      <c r="BN766" t="str">
        <f>""</f>
        <v/>
      </c>
      <c r="BO766" t="str">
        <f>""</f>
        <v/>
      </c>
      <c r="BP766" t="str">
        <f>""</f>
        <v/>
      </c>
      <c r="BQ766" t="str">
        <f>""</f>
        <v/>
      </c>
      <c r="BR766" t="str">
        <f>""</f>
        <v/>
      </c>
      <c r="BS766" t="str">
        <f>""</f>
        <v/>
      </c>
      <c r="BT766" t="str">
        <f>""</f>
        <v/>
      </c>
      <c r="BU766" t="str">
        <f>""</f>
        <v/>
      </c>
      <c r="BV766" t="str">
        <f>""</f>
        <v/>
      </c>
      <c r="BW766" t="str">
        <f>""</f>
        <v/>
      </c>
      <c r="BX766" t="str">
        <f>""</f>
        <v/>
      </c>
      <c r="BY766" t="str">
        <f>""</f>
        <v/>
      </c>
      <c r="BZ766" t="str">
        <f>""</f>
        <v/>
      </c>
      <c r="CA766" t="str">
        <f>""</f>
        <v/>
      </c>
      <c r="CB766" t="str">
        <f>""</f>
        <v/>
      </c>
      <c r="CC766" t="str">
        <f>""</f>
        <v/>
      </c>
      <c r="CD766" t="str">
        <f>""</f>
        <v/>
      </c>
      <c r="CE766" t="str">
        <f>""</f>
        <v/>
      </c>
      <c r="CF766" t="str">
        <f>""</f>
        <v/>
      </c>
      <c r="CG766" t="str">
        <f>""</f>
        <v/>
      </c>
      <c r="CH766" t="str">
        <f>""</f>
        <v/>
      </c>
      <c r="CI766" t="str">
        <f>""</f>
        <v/>
      </c>
      <c r="CJ766" t="str">
        <f>""</f>
        <v/>
      </c>
      <c r="CK766" t="str">
        <f>""</f>
        <v/>
      </c>
      <c r="CL766" t="str">
        <f>""</f>
        <v/>
      </c>
      <c r="CM766" t="str">
        <f>""</f>
        <v/>
      </c>
      <c r="CN766" t="str">
        <f>""</f>
        <v/>
      </c>
      <c r="CO766" t="str">
        <f>""</f>
        <v/>
      </c>
      <c r="CP766" t="str">
        <f>""</f>
        <v/>
      </c>
      <c r="CQ766" t="str">
        <f>""</f>
        <v/>
      </c>
      <c r="CR766" t="str">
        <f>""</f>
        <v/>
      </c>
      <c r="CS766" t="str">
        <f>""</f>
        <v/>
      </c>
      <c r="CT766" t="str">
        <f>""</f>
        <v/>
      </c>
      <c r="CU766" t="str">
        <f>""</f>
        <v/>
      </c>
      <c r="CV766" t="str">
        <f>""</f>
        <v/>
      </c>
      <c r="CW766" t="str">
        <f>""</f>
        <v/>
      </c>
      <c r="CX766" t="str">
        <f>""</f>
        <v/>
      </c>
      <c r="CY766" t="str">
        <f>""</f>
        <v/>
      </c>
      <c r="CZ766" t="str">
        <f>""</f>
        <v/>
      </c>
      <c r="DA766" t="str">
        <f>""</f>
        <v/>
      </c>
      <c r="DB766" t="str">
        <f>""</f>
        <v/>
      </c>
      <c r="DC766" t="str">
        <f>""</f>
        <v/>
      </c>
      <c r="DD766" t="str">
        <f>""</f>
        <v/>
      </c>
      <c r="DE766" t="str">
        <f>""</f>
        <v/>
      </c>
      <c r="DF766" t="str">
        <f>""</f>
        <v/>
      </c>
      <c r="DG766" t="str">
        <f>""</f>
        <v/>
      </c>
      <c r="DH766" t="str">
        <f>""</f>
        <v/>
      </c>
      <c r="DI766" t="str">
        <f>""</f>
        <v/>
      </c>
      <c r="DJ766" t="str">
        <f>""</f>
        <v/>
      </c>
      <c r="DK766" t="str">
        <f>""</f>
        <v/>
      </c>
      <c r="DL766" t="str">
        <f>""</f>
        <v/>
      </c>
      <c r="DM766" t="str">
        <f>""</f>
        <v/>
      </c>
      <c r="DN766" t="str">
        <f>""</f>
        <v/>
      </c>
      <c r="DO766" t="str">
        <f>""</f>
        <v/>
      </c>
      <c r="DP766" t="str">
        <f>""</f>
        <v/>
      </c>
      <c r="DQ766" t="str">
        <f>""</f>
        <v/>
      </c>
      <c r="DR766" t="str">
        <f>""</f>
        <v/>
      </c>
      <c r="DS766" t="str">
        <f>""</f>
        <v/>
      </c>
      <c r="DT766" t="str">
        <f>""</f>
        <v/>
      </c>
      <c r="DU766" t="str">
        <f>""</f>
        <v/>
      </c>
    </row>
    <row r="767" spans="1:125" x14ac:dyDescent="0.25">
      <c r="A767" t="str">
        <f>$A$264</f>
        <v xml:space="preserve">    GAZ PJSC</v>
      </c>
      <c r="B767" t="str">
        <f>$B$264</f>
        <v>GAZA RM Equity</v>
      </c>
      <c r="C767" t="str">
        <f>$C$264</f>
        <v>RR010</v>
      </c>
      <c r="D767" t="str">
        <f>$D$264</f>
        <v>TOT_COMMON_EQY</v>
      </c>
      <c r="E767" t="str">
        <f>$E$264</f>
        <v>Dynamic</v>
      </c>
      <c r="F767" t="str">
        <f ca="1">_xll.BDH($B$264,$C$264,$B$509,$B$510,CONCATENATE("Per=",$B$507),"Dts=H","Dir=H",CONCATENATE("Points=",$B$508),"Sort=R","Days=A","Fill=B",CONCATENATE("FX=", $B$506) )</f>
        <v>#N/A Connection</v>
      </c>
      <c r="BN767" t="str">
        <f>""</f>
        <v/>
      </c>
      <c r="BO767" t="str">
        <f>""</f>
        <v/>
      </c>
      <c r="BP767" t="str">
        <f>""</f>
        <v/>
      </c>
      <c r="BQ767" t="str">
        <f>""</f>
        <v/>
      </c>
      <c r="BR767" t="str">
        <f>""</f>
        <v/>
      </c>
      <c r="BS767" t="str">
        <f>""</f>
        <v/>
      </c>
      <c r="BT767" t="str">
        <f>""</f>
        <v/>
      </c>
      <c r="BU767" t="str">
        <f>""</f>
        <v/>
      </c>
      <c r="BV767" t="str">
        <f>""</f>
        <v/>
      </c>
      <c r="BW767" t="str">
        <f>""</f>
        <v/>
      </c>
      <c r="BX767" t="str">
        <f>""</f>
        <v/>
      </c>
      <c r="BY767" t="str">
        <f>""</f>
        <v/>
      </c>
      <c r="BZ767" t="str">
        <f>""</f>
        <v/>
      </c>
      <c r="CA767" t="str">
        <f>""</f>
        <v/>
      </c>
      <c r="CB767" t="str">
        <f>""</f>
        <v/>
      </c>
      <c r="CC767" t="str">
        <f>""</f>
        <v/>
      </c>
      <c r="CD767" t="str">
        <f>""</f>
        <v/>
      </c>
      <c r="CE767" t="str">
        <f>""</f>
        <v/>
      </c>
      <c r="CF767" t="str">
        <f>""</f>
        <v/>
      </c>
      <c r="CG767" t="str">
        <f>""</f>
        <v/>
      </c>
      <c r="CH767" t="str">
        <f>""</f>
        <v/>
      </c>
      <c r="CI767" t="str">
        <f>""</f>
        <v/>
      </c>
      <c r="CJ767" t="str">
        <f>""</f>
        <v/>
      </c>
      <c r="CK767" t="str">
        <f>""</f>
        <v/>
      </c>
      <c r="CL767" t="str">
        <f>""</f>
        <v/>
      </c>
      <c r="CM767" t="str">
        <f>""</f>
        <v/>
      </c>
      <c r="CN767" t="str">
        <f>""</f>
        <v/>
      </c>
      <c r="CO767" t="str">
        <f>""</f>
        <v/>
      </c>
      <c r="CP767" t="str">
        <f>""</f>
        <v/>
      </c>
      <c r="CQ767" t="str">
        <f>""</f>
        <v/>
      </c>
      <c r="CR767" t="str">
        <f>""</f>
        <v/>
      </c>
      <c r="CS767" t="str">
        <f>""</f>
        <v/>
      </c>
      <c r="CT767" t="str">
        <f>""</f>
        <v/>
      </c>
      <c r="CU767" t="str">
        <f>""</f>
        <v/>
      </c>
      <c r="CV767" t="str">
        <f>""</f>
        <v/>
      </c>
      <c r="CW767" t="str">
        <f>""</f>
        <v/>
      </c>
      <c r="CX767" t="str">
        <f>""</f>
        <v/>
      </c>
      <c r="CY767" t="str">
        <f>""</f>
        <v/>
      </c>
      <c r="CZ767" t="str">
        <f>""</f>
        <v/>
      </c>
      <c r="DA767" t="str">
        <f>""</f>
        <v/>
      </c>
      <c r="DB767" t="str">
        <f>""</f>
        <v/>
      </c>
      <c r="DC767" t="str">
        <f>""</f>
        <v/>
      </c>
      <c r="DD767" t="str">
        <f>""</f>
        <v/>
      </c>
      <c r="DE767" t="str">
        <f>""</f>
        <v/>
      </c>
      <c r="DF767" t="str">
        <f>""</f>
        <v/>
      </c>
      <c r="DG767" t="str">
        <f>""</f>
        <v/>
      </c>
      <c r="DH767" t="str">
        <f>""</f>
        <v/>
      </c>
      <c r="DI767" t="str">
        <f>""</f>
        <v/>
      </c>
      <c r="DJ767" t="str">
        <f>""</f>
        <v/>
      </c>
      <c r="DK767" t="str">
        <f>""</f>
        <v/>
      </c>
      <c r="DL767" t="str">
        <f>""</f>
        <v/>
      </c>
      <c r="DM767" t="str">
        <f>""</f>
        <v/>
      </c>
      <c r="DN767" t="str">
        <f>""</f>
        <v/>
      </c>
      <c r="DO767" t="str">
        <f>""</f>
        <v/>
      </c>
      <c r="DP767" t="str">
        <f>""</f>
        <v/>
      </c>
      <c r="DQ767" t="str">
        <f>""</f>
        <v/>
      </c>
      <c r="DR767" t="str">
        <f>""</f>
        <v/>
      </c>
      <c r="DS767" t="str">
        <f>""</f>
        <v/>
      </c>
      <c r="DT767" t="str">
        <f>""</f>
        <v/>
      </c>
      <c r="DU767" t="str">
        <f>""</f>
        <v/>
      </c>
    </row>
    <row r="768" spans="1:125" x14ac:dyDescent="0.25">
      <c r="A768" t="str">
        <f>$A$265</f>
        <v xml:space="preserve">    Geely Automobile Holdings Ltd</v>
      </c>
      <c r="B768" t="str">
        <f>$B$265</f>
        <v>175 HK Equity</v>
      </c>
      <c r="C768" t="str">
        <f>$C$265</f>
        <v>RR010</v>
      </c>
      <c r="D768" t="str">
        <f>$D$265</f>
        <v>TOT_COMMON_EQY</v>
      </c>
      <c r="E768" t="str">
        <f>$E$265</f>
        <v>Dynamic</v>
      </c>
      <c r="F768" t="str">
        <f ca="1">_xll.BDH($B$265,$C$265,$B$509,$B$510,CONCATENATE("Per=",$B$507),"Dts=H","Dir=H",CONCATENATE("Points=",$B$508),"Sort=R","Days=A","Fill=B",CONCATENATE("FX=", $B$506) )</f>
        <v>#N/A Connection</v>
      </c>
      <c r="BN768" t="str">
        <f>""</f>
        <v/>
      </c>
      <c r="BO768" t="str">
        <f>""</f>
        <v/>
      </c>
      <c r="BP768" t="str">
        <f>""</f>
        <v/>
      </c>
      <c r="BQ768" t="str">
        <f>""</f>
        <v/>
      </c>
      <c r="BR768" t="str">
        <f>""</f>
        <v/>
      </c>
      <c r="BS768" t="str">
        <f>""</f>
        <v/>
      </c>
      <c r="BT768" t="str">
        <f>""</f>
        <v/>
      </c>
      <c r="BU768" t="str">
        <f>""</f>
        <v/>
      </c>
      <c r="BV768" t="str">
        <f>""</f>
        <v/>
      </c>
      <c r="BW768" t="str">
        <f>""</f>
        <v/>
      </c>
      <c r="BX768" t="str">
        <f>""</f>
        <v/>
      </c>
      <c r="BY768" t="str">
        <f>""</f>
        <v/>
      </c>
      <c r="BZ768" t="str">
        <f>""</f>
        <v/>
      </c>
      <c r="CA768" t="str">
        <f>""</f>
        <v/>
      </c>
      <c r="CB768" t="str">
        <f>""</f>
        <v/>
      </c>
      <c r="CC768" t="str">
        <f>""</f>
        <v/>
      </c>
      <c r="CD768" t="str">
        <f>""</f>
        <v/>
      </c>
      <c r="CE768" t="str">
        <f>""</f>
        <v/>
      </c>
      <c r="CF768" t="str">
        <f>""</f>
        <v/>
      </c>
      <c r="CG768" t="str">
        <f>""</f>
        <v/>
      </c>
      <c r="CH768" t="str">
        <f>""</f>
        <v/>
      </c>
      <c r="CI768" t="str">
        <f>""</f>
        <v/>
      </c>
      <c r="CJ768" t="str">
        <f>""</f>
        <v/>
      </c>
      <c r="CK768" t="str">
        <f>""</f>
        <v/>
      </c>
      <c r="CL768" t="str">
        <f>""</f>
        <v/>
      </c>
      <c r="CM768" t="str">
        <f>""</f>
        <v/>
      </c>
      <c r="CN768" t="str">
        <f>""</f>
        <v/>
      </c>
      <c r="CO768" t="str">
        <f>""</f>
        <v/>
      </c>
      <c r="CP768" t="str">
        <f>""</f>
        <v/>
      </c>
      <c r="CQ768" t="str">
        <f>""</f>
        <v/>
      </c>
      <c r="CR768" t="str">
        <f>""</f>
        <v/>
      </c>
      <c r="CS768" t="str">
        <f>""</f>
        <v/>
      </c>
      <c r="CT768" t="str">
        <f>""</f>
        <v/>
      </c>
      <c r="CU768" t="str">
        <f>""</f>
        <v/>
      </c>
      <c r="CV768" t="str">
        <f>""</f>
        <v/>
      </c>
      <c r="CW768" t="str">
        <f>""</f>
        <v/>
      </c>
      <c r="CX768" t="str">
        <f>""</f>
        <v/>
      </c>
      <c r="CY768" t="str">
        <f>""</f>
        <v/>
      </c>
      <c r="CZ768" t="str">
        <f>""</f>
        <v/>
      </c>
      <c r="DA768" t="str">
        <f>""</f>
        <v/>
      </c>
      <c r="DB768" t="str">
        <f>""</f>
        <v/>
      </c>
      <c r="DC768" t="str">
        <f>""</f>
        <v/>
      </c>
      <c r="DD768" t="str">
        <f>""</f>
        <v/>
      </c>
      <c r="DE768" t="str">
        <f>""</f>
        <v/>
      </c>
      <c r="DF768" t="str">
        <f>""</f>
        <v/>
      </c>
      <c r="DG768" t="str">
        <f>""</f>
        <v/>
      </c>
      <c r="DH768" t="str">
        <f>""</f>
        <v/>
      </c>
      <c r="DI768" t="str">
        <f>""</f>
        <v/>
      </c>
      <c r="DJ768" t="str">
        <f>""</f>
        <v/>
      </c>
      <c r="DK768" t="str">
        <f>""</f>
        <v/>
      </c>
      <c r="DL768" t="str">
        <f>""</f>
        <v/>
      </c>
      <c r="DM768" t="str">
        <f>""</f>
        <v/>
      </c>
      <c r="DN768" t="str">
        <f>""</f>
        <v/>
      </c>
      <c r="DO768" t="str">
        <f>""</f>
        <v/>
      </c>
      <c r="DP768" t="str">
        <f>""</f>
        <v/>
      </c>
      <c r="DQ768" t="str">
        <f>""</f>
        <v/>
      </c>
      <c r="DR768" t="str">
        <f>""</f>
        <v/>
      </c>
      <c r="DS768" t="str">
        <f>""</f>
        <v/>
      </c>
      <c r="DT768" t="str">
        <f>""</f>
        <v/>
      </c>
      <c r="DU768" t="str">
        <f>""</f>
        <v/>
      </c>
    </row>
    <row r="769" spans="1:125" x14ac:dyDescent="0.25">
      <c r="A769" t="str">
        <f>$A$266</f>
        <v xml:space="preserve">    General Motors Co</v>
      </c>
      <c r="B769" t="str">
        <f>$B$266</f>
        <v>GM US Equity</v>
      </c>
      <c r="C769" t="str">
        <f>$C$266</f>
        <v>RR010</v>
      </c>
      <c r="D769" t="str">
        <f>$D$266</f>
        <v>TOT_COMMON_EQY</v>
      </c>
      <c r="E769" t="str">
        <f>$E$266</f>
        <v>Dynamic</v>
      </c>
      <c r="F769" t="str">
        <f ca="1">_xll.BDH($B$266,$C$266,$B$509,$B$510,CONCATENATE("Per=",$B$507),"Dts=H","Dir=H",CONCATENATE("Points=",$B$508),"Sort=R","Days=A","Fill=B",CONCATENATE("FX=", $B$506) )</f>
        <v>#N/A Connection</v>
      </c>
      <c r="BN769" t="str">
        <f>""</f>
        <v/>
      </c>
      <c r="BO769" t="str">
        <f>""</f>
        <v/>
      </c>
      <c r="BP769" t="str">
        <f>""</f>
        <v/>
      </c>
      <c r="BQ769" t="str">
        <f>""</f>
        <v/>
      </c>
      <c r="BR769" t="str">
        <f>""</f>
        <v/>
      </c>
      <c r="BS769" t="str">
        <f>""</f>
        <v/>
      </c>
      <c r="BT769" t="str">
        <f>""</f>
        <v/>
      </c>
      <c r="BU769" t="str">
        <f>""</f>
        <v/>
      </c>
      <c r="BV769" t="str">
        <f>""</f>
        <v/>
      </c>
      <c r="BW769" t="str">
        <f>""</f>
        <v/>
      </c>
      <c r="BX769" t="str">
        <f>""</f>
        <v/>
      </c>
      <c r="BY769" t="str">
        <f>""</f>
        <v/>
      </c>
      <c r="BZ769" t="str">
        <f>""</f>
        <v/>
      </c>
      <c r="CA769" t="str">
        <f>""</f>
        <v/>
      </c>
      <c r="CB769" t="str">
        <f>""</f>
        <v/>
      </c>
      <c r="CC769" t="str">
        <f>""</f>
        <v/>
      </c>
      <c r="CD769" t="str">
        <f>""</f>
        <v/>
      </c>
      <c r="CE769" t="str">
        <f>""</f>
        <v/>
      </c>
      <c r="CF769" t="str">
        <f>""</f>
        <v/>
      </c>
      <c r="CG769" t="str">
        <f>""</f>
        <v/>
      </c>
      <c r="CH769" t="str">
        <f>""</f>
        <v/>
      </c>
      <c r="CI769" t="str">
        <f>""</f>
        <v/>
      </c>
      <c r="CJ769" t="str">
        <f>""</f>
        <v/>
      </c>
      <c r="CK769" t="str">
        <f>""</f>
        <v/>
      </c>
      <c r="CL769" t="str">
        <f>""</f>
        <v/>
      </c>
      <c r="CM769" t="str">
        <f>""</f>
        <v/>
      </c>
      <c r="CN769" t="str">
        <f>""</f>
        <v/>
      </c>
      <c r="CO769" t="str">
        <f>""</f>
        <v/>
      </c>
      <c r="CP769" t="str">
        <f>""</f>
        <v/>
      </c>
      <c r="CQ769" t="str">
        <f>""</f>
        <v/>
      </c>
      <c r="CR769" t="str">
        <f>""</f>
        <v/>
      </c>
      <c r="CS769" t="str">
        <f>""</f>
        <v/>
      </c>
      <c r="CT769" t="str">
        <f>""</f>
        <v/>
      </c>
      <c r="CU769" t="str">
        <f>""</f>
        <v/>
      </c>
      <c r="CV769" t="str">
        <f>""</f>
        <v/>
      </c>
      <c r="CW769" t="str">
        <f>""</f>
        <v/>
      </c>
      <c r="CX769" t="str">
        <f>""</f>
        <v/>
      </c>
      <c r="CY769" t="str">
        <f>""</f>
        <v/>
      </c>
      <c r="CZ769" t="str">
        <f>""</f>
        <v/>
      </c>
      <c r="DA769" t="str">
        <f>""</f>
        <v/>
      </c>
      <c r="DB769" t="str">
        <f>""</f>
        <v/>
      </c>
      <c r="DC769" t="str">
        <f>""</f>
        <v/>
      </c>
      <c r="DD769" t="str">
        <f>""</f>
        <v/>
      </c>
      <c r="DE769" t="str">
        <f>""</f>
        <v/>
      </c>
      <c r="DF769" t="str">
        <f>""</f>
        <v/>
      </c>
      <c r="DG769" t="str">
        <f>""</f>
        <v/>
      </c>
      <c r="DH769" t="str">
        <f>""</f>
        <v/>
      </c>
      <c r="DI769" t="str">
        <f>""</f>
        <v/>
      </c>
      <c r="DJ769" t="str">
        <f>""</f>
        <v/>
      </c>
      <c r="DK769" t="str">
        <f>""</f>
        <v/>
      </c>
      <c r="DL769" t="str">
        <f>""</f>
        <v/>
      </c>
      <c r="DM769" t="str">
        <f>""</f>
        <v/>
      </c>
      <c r="DN769" t="str">
        <f>""</f>
        <v/>
      </c>
      <c r="DO769" t="str">
        <f>""</f>
        <v/>
      </c>
      <c r="DP769" t="str">
        <f>""</f>
        <v/>
      </c>
      <c r="DQ769" t="str">
        <f>""</f>
        <v/>
      </c>
      <c r="DR769" t="str">
        <f>""</f>
        <v/>
      </c>
      <c r="DS769" t="str">
        <f>""</f>
        <v/>
      </c>
      <c r="DT769" t="str">
        <f>""</f>
        <v/>
      </c>
      <c r="DU769" t="str">
        <f>""</f>
        <v/>
      </c>
    </row>
    <row r="770" spans="1:125" x14ac:dyDescent="0.25">
      <c r="A770" t="str">
        <f>$A$267</f>
        <v xml:space="preserve">    Great Wall Motor Co Ltd</v>
      </c>
      <c r="B770" t="str">
        <f>$B$267</f>
        <v>2333 HK Equity</v>
      </c>
      <c r="C770" t="str">
        <f>$C$267</f>
        <v>RR010</v>
      </c>
      <c r="D770" t="str">
        <f>$D$267</f>
        <v>TOT_COMMON_EQY</v>
      </c>
      <c r="E770" t="str">
        <f>$E$267</f>
        <v>Dynamic</v>
      </c>
      <c r="F770" t="str">
        <f ca="1">_xll.BDH($B$267,$C$267,$B$509,$B$510,CONCATENATE("Per=",$B$507),"Dts=H","Dir=H",CONCATENATE("Points=",$B$508),"Sort=R","Days=A","Fill=B",CONCATENATE("FX=", $B$506) )</f>
        <v>#N/A Connection</v>
      </c>
      <c r="BN770" t="str">
        <f>""</f>
        <v/>
      </c>
      <c r="BO770" t="str">
        <f>""</f>
        <v/>
      </c>
      <c r="BP770" t="str">
        <f>""</f>
        <v/>
      </c>
      <c r="BQ770" t="str">
        <f>""</f>
        <v/>
      </c>
      <c r="BR770" t="str">
        <f>""</f>
        <v/>
      </c>
      <c r="BS770" t="str">
        <f>""</f>
        <v/>
      </c>
      <c r="BT770" t="str">
        <f>""</f>
        <v/>
      </c>
      <c r="BU770" t="str">
        <f>""</f>
        <v/>
      </c>
      <c r="BV770" t="str">
        <f>""</f>
        <v/>
      </c>
      <c r="BW770" t="str">
        <f>""</f>
        <v/>
      </c>
      <c r="BX770" t="str">
        <f>""</f>
        <v/>
      </c>
      <c r="BY770" t="str">
        <f>""</f>
        <v/>
      </c>
      <c r="BZ770" t="str">
        <f>""</f>
        <v/>
      </c>
      <c r="CA770" t="str">
        <f>""</f>
        <v/>
      </c>
      <c r="CB770" t="str">
        <f>""</f>
        <v/>
      </c>
      <c r="CC770" t="str">
        <f>""</f>
        <v/>
      </c>
      <c r="CD770" t="str">
        <f>""</f>
        <v/>
      </c>
      <c r="CE770" t="str">
        <f>""</f>
        <v/>
      </c>
      <c r="CF770" t="str">
        <f>""</f>
        <v/>
      </c>
      <c r="CG770" t="str">
        <f>""</f>
        <v/>
      </c>
      <c r="CH770" t="str">
        <f>""</f>
        <v/>
      </c>
      <c r="CI770" t="str">
        <f>""</f>
        <v/>
      </c>
      <c r="CJ770" t="str">
        <f>""</f>
        <v/>
      </c>
      <c r="CK770" t="str">
        <f>""</f>
        <v/>
      </c>
      <c r="CL770" t="str">
        <f>""</f>
        <v/>
      </c>
      <c r="CM770" t="str">
        <f>""</f>
        <v/>
      </c>
      <c r="CN770" t="str">
        <f>""</f>
        <v/>
      </c>
      <c r="CO770" t="str">
        <f>""</f>
        <v/>
      </c>
      <c r="CP770" t="str">
        <f>""</f>
        <v/>
      </c>
      <c r="CQ770" t="str">
        <f>""</f>
        <v/>
      </c>
      <c r="CR770" t="str">
        <f>""</f>
        <v/>
      </c>
      <c r="CS770" t="str">
        <f>""</f>
        <v/>
      </c>
      <c r="CT770" t="str">
        <f>""</f>
        <v/>
      </c>
      <c r="CU770" t="str">
        <f>""</f>
        <v/>
      </c>
      <c r="CV770" t="str">
        <f>""</f>
        <v/>
      </c>
      <c r="CW770" t="str">
        <f>""</f>
        <v/>
      </c>
      <c r="CX770" t="str">
        <f>""</f>
        <v/>
      </c>
      <c r="CY770" t="str">
        <f>""</f>
        <v/>
      </c>
      <c r="CZ770" t="str">
        <f>""</f>
        <v/>
      </c>
      <c r="DA770" t="str">
        <f>""</f>
        <v/>
      </c>
      <c r="DB770" t="str">
        <f>""</f>
        <v/>
      </c>
      <c r="DC770" t="str">
        <f>""</f>
        <v/>
      </c>
      <c r="DD770" t="str">
        <f>""</f>
        <v/>
      </c>
      <c r="DE770" t="str">
        <f>""</f>
        <v/>
      </c>
      <c r="DF770" t="str">
        <f>""</f>
        <v/>
      </c>
      <c r="DG770" t="str">
        <f>""</f>
        <v/>
      </c>
      <c r="DH770" t="str">
        <f>""</f>
        <v/>
      </c>
      <c r="DI770" t="str">
        <f>""</f>
        <v/>
      </c>
      <c r="DJ770" t="str">
        <f>""</f>
        <v/>
      </c>
      <c r="DK770" t="str">
        <f>""</f>
        <v/>
      </c>
      <c r="DL770" t="str">
        <f>""</f>
        <v/>
      </c>
      <c r="DM770" t="str">
        <f>""</f>
        <v/>
      </c>
      <c r="DN770" t="str">
        <f>""</f>
        <v/>
      </c>
      <c r="DO770" t="str">
        <f>""</f>
        <v/>
      </c>
      <c r="DP770" t="str">
        <f>""</f>
        <v/>
      </c>
      <c r="DQ770" t="str">
        <f>""</f>
        <v/>
      </c>
      <c r="DR770" t="str">
        <f>""</f>
        <v/>
      </c>
      <c r="DS770" t="str">
        <f>""</f>
        <v/>
      </c>
      <c r="DT770" t="str">
        <f>""</f>
        <v/>
      </c>
      <c r="DU770" t="str">
        <f>""</f>
        <v/>
      </c>
    </row>
    <row r="771" spans="1:125" x14ac:dyDescent="0.25">
      <c r="A771" t="str">
        <f>$A$268</f>
        <v xml:space="preserve">    Guangzhou Automobile Group Co Ltd</v>
      </c>
      <c r="B771" t="str">
        <f>$B$268</f>
        <v>2238 HK Equity</v>
      </c>
      <c r="C771" t="str">
        <f>$C$268</f>
        <v>RR010</v>
      </c>
      <c r="D771" t="str">
        <f>$D$268</f>
        <v>TOT_COMMON_EQY</v>
      </c>
      <c r="E771" t="str">
        <f>$E$268</f>
        <v>Dynamic</v>
      </c>
      <c r="F771" t="str">
        <f ca="1">_xll.BDH($B$268,$C$268,$B$509,$B$510,CONCATENATE("Per=",$B$507),"Dts=H","Dir=H",CONCATENATE("Points=",$B$508),"Sort=R","Days=A","Fill=B",CONCATENATE("FX=", $B$506) )</f>
        <v>#N/A Connection</v>
      </c>
      <c r="BN771" t="str">
        <f>""</f>
        <v/>
      </c>
      <c r="BO771" t="str">
        <f>""</f>
        <v/>
      </c>
      <c r="BP771" t="str">
        <f>""</f>
        <v/>
      </c>
      <c r="BQ771" t="str">
        <f>""</f>
        <v/>
      </c>
      <c r="BR771" t="str">
        <f>""</f>
        <v/>
      </c>
      <c r="BS771" t="str">
        <f>""</f>
        <v/>
      </c>
      <c r="BT771" t="str">
        <f>""</f>
        <v/>
      </c>
      <c r="BU771" t="str">
        <f>""</f>
        <v/>
      </c>
      <c r="BV771" t="str">
        <f>""</f>
        <v/>
      </c>
      <c r="BW771" t="str">
        <f>""</f>
        <v/>
      </c>
      <c r="BX771" t="str">
        <f>""</f>
        <v/>
      </c>
      <c r="BY771" t="str">
        <f>""</f>
        <v/>
      </c>
      <c r="BZ771" t="str">
        <f>""</f>
        <v/>
      </c>
      <c r="CA771" t="str">
        <f>""</f>
        <v/>
      </c>
      <c r="CB771" t="str">
        <f>""</f>
        <v/>
      </c>
      <c r="CC771" t="str">
        <f>""</f>
        <v/>
      </c>
      <c r="CD771" t="str">
        <f>""</f>
        <v/>
      </c>
      <c r="CE771" t="str">
        <f>""</f>
        <v/>
      </c>
      <c r="CF771" t="str">
        <f>""</f>
        <v/>
      </c>
      <c r="CG771" t="str">
        <f>""</f>
        <v/>
      </c>
      <c r="CH771" t="str">
        <f>""</f>
        <v/>
      </c>
      <c r="CI771" t="str">
        <f>""</f>
        <v/>
      </c>
      <c r="CJ771" t="str">
        <f>""</f>
        <v/>
      </c>
      <c r="CK771" t="str">
        <f>""</f>
        <v/>
      </c>
      <c r="CL771" t="str">
        <f>""</f>
        <v/>
      </c>
      <c r="CM771" t="str">
        <f>""</f>
        <v/>
      </c>
      <c r="CN771" t="str">
        <f>""</f>
        <v/>
      </c>
      <c r="CO771" t="str">
        <f>""</f>
        <v/>
      </c>
      <c r="CP771" t="str">
        <f>""</f>
        <v/>
      </c>
      <c r="CQ771" t="str">
        <f>""</f>
        <v/>
      </c>
      <c r="CR771" t="str">
        <f>""</f>
        <v/>
      </c>
      <c r="CS771" t="str">
        <f>""</f>
        <v/>
      </c>
      <c r="CT771" t="str">
        <f>""</f>
        <v/>
      </c>
      <c r="CU771" t="str">
        <f>""</f>
        <v/>
      </c>
      <c r="CV771" t="str">
        <f>""</f>
        <v/>
      </c>
      <c r="CW771" t="str">
        <f>""</f>
        <v/>
      </c>
      <c r="CX771" t="str">
        <f>""</f>
        <v/>
      </c>
      <c r="CY771" t="str">
        <f>""</f>
        <v/>
      </c>
      <c r="CZ771" t="str">
        <f>""</f>
        <v/>
      </c>
      <c r="DA771" t="str">
        <f>""</f>
        <v/>
      </c>
      <c r="DB771" t="str">
        <f>""</f>
        <v/>
      </c>
      <c r="DC771" t="str">
        <f>""</f>
        <v/>
      </c>
      <c r="DD771" t="str">
        <f>""</f>
        <v/>
      </c>
      <c r="DE771" t="str">
        <f>""</f>
        <v/>
      </c>
      <c r="DF771" t="str">
        <f>""</f>
        <v/>
      </c>
      <c r="DG771" t="str">
        <f>""</f>
        <v/>
      </c>
      <c r="DH771" t="str">
        <f>""</f>
        <v/>
      </c>
      <c r="DI771" t="str">
        <f>""</f>
        <v/>
      </c>
      <c r="DJ771" t="str">
        <f>""</f>
        <v/>
      </c>
      <c r="DK771" t="str">
        <f>""</f>
        <v/>
      </c>
      <c r="DL771" t="str">
        <f>""</f>
        <v/>
      </c>
      <c r="DM771" t="str">
        <f>""</f>
        <v/>
      </c>
      <c r="DN771" t="str">
        <f>""</f>
        <v/>
      </c>
      <c r="DO771" t="str">
        <f>""</f>
        <v/>
      </c>
      <c r="DP771" t="str">
        <f>""</f>
        <v/>
      </c>
      <c r="DQ771" t="str">
        <f>""</f>
        <v/>
      </c>
      <c r="DR771" t="str">
        <f>""</f>
        <v/>
      </c>
      <c r="DS771" t="str">
        <f>""</f>
        <v/>
      </c>
      <c r="DT771" t="str">
        <f>""</f>
        <v/>
      </c>
      <c r="DU771" t="str">
        <f>""</f>
        <v/>
      </c>
    </row>
    <row r="772" spans="1:125" x14ac:dyDescent="0.25">
      <c r="A772" t="str">
        <f>$A$269</f>
        <v xml:space="preserve">    Honda Motor Co Ltd</v>
      </c>
      <c r="B772" t="str">
        <f>$B$269</f>
        <v>7267 JP Equity</v>
      </c>
      <c r="C772" t="str">
        <f>$C$269</f>
        <v>RR010</v>
      </c>
      <c r="D772" t="str">
        <f>$D$269</f>
        <v>TOT_COMMON_EQY</v>
      </c>
      <c r="E772" t="str">
        <f>$E$269</f>
        <v>Dynamic</v>
      </c>
      <c r="F772" t="str">
        <f ca="1">_xll.BDH($B$269,$C$269,$B$509,$B$510,CONCATENATE("Per=",$B$507),"Dts=H","Dir=H",CONCATENATE("Points=",$B$508),"Sort=R","Days=A","Fill=B",CONCATENATE("FX=", $B$506) )</f>
        <v>#N/A Connection</v>
      </c>
      <c r="BN772" t="str">
        <f>""</f>
        <v/>
      </c>
      <c r="BO772" t="str">
        <f>""</f>
        <v/>
      </c>
      <c r="BP772" t="str">
        <f>""</f>
        <v/>
      </c>
      <c r="BQ772" t="str">
        <f>""</f>
        <v/>
      </c>
      <c r="BR772" t="str">
        <f>""</f>
        <v/>
      </c>
      <c r="BS772" t="str">
        <f>""</f>
        <v/>
      </c>
      <c r="BT772" t="str">
        <f>""</f>
        <v/>
      </c>
      <c r="BU772" t="str">
        <f>""</f>
        <v/>
      </c>
      <c r="BV772" t="str">
        <f>""</f>
        <v/>
      </c>
      <c r="BW772" t="str">
        <f>""</f>
        <v/>
      </c>
      <c r="BX772" t="str">
        <f>""</f>
        <v/>
      </c>
      <c r="BY772" t="str">
        <f>""</f>
        <v/>
      </c>
      <c r="BZ772" t="str">
        <f>""</f>
        <v/>
      </c>
      <c r="CA772" t="str">
        <f>""</f>
        <v/>
      </c>
      <c r="CB772" t="str">
        <f>""</f>
        <v/>
      </c>
      <c r="CC772" t="str">
        <f>""</f>
        <v/>
      </c>
      <c r="CD772" t="str">
        <f>""</f>
        <v/>
      </c>
      <c r="CE772" t="str">
        <f>""</f>
        <v/>
      </c>
      <c r="CF772" t="str">
        <f>""</f>
        <v/>
      </c>
      <c r="CG772" t="str">
        <f>""</f>
        <v/>
      </c>
      <c r="CH772" t="str">
        <f>""</f>
        <v/>
      </c>
      <c r="CI772" t="str">
        <f>""</f>
        <v/>
      </c>
      <c r="CJ772" t="str">
        <f>""</f>
        <v/>
      </c>
      <c r="CK772" t="str">
        <f>""</f>
        <v/>
      </c>
      <c r="CL772" t="str">
        <f>""</f>
        <v/>
      </c>
      <c r="CM772" t="str">
        <f>""</f>
        <v/>
      </c>
      <c r="CN772" t="str">
        <f>""</f>
        <v/>
      </c>
      <c r="CO772" t="str">
        <f>""</f>
        <v/>
      </c>
      <c r="CP772" t="str">
        <f>""</f>
        <v/>
      </c>
      <c r="CQ772" t="str">
        <f>""</f>
        <v/>
      </c>
      <c r="CR772" t="str">
        <f>""</f>
        <v/>
      </c>
      <c r="CS772" t="str">
        <f>""</f>
        <v/>
      </c>
      <c r="CT772" t="str">
        <f>""</f>
        <v/>
      </c>
      <c r="CU772" t="str">
        <f>""</f>
        <v/>
      </c>
      <c r="CV772" t="str">
        <f>""</f>
        <v/>
      </c>
      <c r="CW772" t="str">
        <f>""</f>
        <v/>
      </c>
      <c r="CX772" t="str">
        <f>""</f>
        <v/>
      </c>
      <c r="CY772" t="str">
        <f>""</f>
        <v/>
      </c>
      <c r="CZ772" t="str">
        <f>""</f>
        <v/>
      </c>
      <c r="DA772" t="str">
        <f>""</f>
        <v/>
      </c>
      <c r="DB772" t="str">
        <f>""</f>
        <v/>
      </c>
      <c r="DC772" t="str">
        <f>""</f>
        <v/>
      </c>
      <c r="DD772" t="str">
        <f>""</f>
        <v/>
      </c>
      <c r="DE772" t="str">
        <f>""</f>
        <v/>
      </c>
      <c r="DF772" t="str">
        <f>""</f>
        <v/>
      </c>
      <c r="DG772" t="str">
        <f>""</f>
        <v/>
      </c>
      <c r="DH772" t="str">
        <f>""</f>
        <v/>
      </c>
      <c r="DI772" t="str">
        <f>""</f>
        <v/>
      </c>
      <c r="DJ772" t="str">
        <f>""</f>
        <v/>
      </c>
      <c r="DK772" t="str">
        <f>""</f>
        <v/>
      </c>
      <c r="DL772" t="str">
        <f>""</f>
        <v/>
      </c>
      <c r="DM772" t="str">
        <f>""</f>
        <v/>
      </c>
      <c r="DN772" t="str">
        <f>""</f>
        <v/>
      </c>
      <c r="DO772" t="str">
        <f>""</f>
        <v/>
      </c>
      <c r="DP772" t="str">
        <f>""</f>
        <v/>
      </c>
      <c r="DQ772" t="str">
        <f>""</f>
        <v/>
      </c>
      <c r="DR772" t="str">
        <f>""</f>
        <v/>
      </c>
      <c r="DS772" t="str">
        <f>""</f>
        <v/>
      </c>
      <c r="DT772" t="str">
        <f>""</f>
        <v/>
      </c>
      <c r="DU772" t="str">
        <f>""</f>
        <v/>
      </c>
    </row>
    <row r="773" spans="1:125" x14ac:dyDescent="0.25">
      <c r="A773" t="str">
        <f>$A$270</f>
        <v xml:space="preserve">    Hyundai Motor Co</v>
      </c>
      <c r="B773" t="str">
        <f>$B$270</f>
        <v>005380 KS Equity</v>
      </c>
      <c r="C773" t="str">
        <f>$C$270</f>
        <v>RR010</v>
      </c>
      <c r="D773" t="str">
        <f>$D$270</f>
        <v>TOT_COMMON_EQY</v>
      </c>
      <c r="E773" t="str">
        <f>$E$270</f>
        <v>Dynamic</v>
      </c>
      <c r="F773" t="str">
        <f ca="1">_xll.BDH($B$270,$C$270,$B$509,$B$510,CONCATENATE("Per=",$B$507),"Dts=H","Dir=H",CONCATENATE("Points=",$B$508),"Sort=R","Days=A","Fill=B",CONCATENATE("FX=", $B$506) )</f>
        <v>#N/A Connection</v>
      </c>
      <c r="BN773" t="str">
        <f>""</f>
        <v/>
      </c>
      <c r="BO773" t="str">
        <f>""</f>
        <v/>
      </c>
      <c r="BP773" t="str">
        <f>""</f>
        <v/>
      </c>
      <c r="BQ773" t="str">
        <f>""</f>
        <v/>
      </c>
      <c r="BR773" t="str">
        <f>""</f>
        <v/>
      </c>
      <c r="BS773" t="str">
        <f>""</f>
        <v/>
      </c>
      <c r="BT773" t="str">
        <f>""</f>
        <v/>
      </c>
      <c r="BU773" t="str">
        <f>""</f>
        <v/>
      </c>
      <c r="BV773" t="str">
        <f>""</f>
        <v/>
      </c>
      <c r="BW773" t="str">
        <f>""</f>
        <v/>
      </c>
      <c r="BX773" t="str">
        <f>""</f>
        <v/>
      </c>
      <c r="BY773" t="str">
        <f>""</f>
        <v/>
      </c>
      <c r="BZ773" t="str">
        <f>""</f>
        <v/>
      </c>
      <c r="CA773" t="str">
        <f>""</f>
        <v/>
      </c>
      <c r="CB773" t="str">
        <f>""</f>
        <v/>
      </c>
      <c r="CC773" t="str">
        <f>""</f>
        <v/>
      </c>
      <c r="CD773" t="str">
        <f>""</f>
        <v/>
      </c>
      <c r="CE773" t="str">
        <f>""</f>
        <v/>
      </c>
      <c r="CF773" t="str">
        <f>""</f>
        <v/>
      </c>
      <c r="CG773" t="str">
        <f>""</f>
        <v/>
      </c>
      <c r="CH773" t="str">
        <f>""</f>
        <v/>
      </c>
      <c r="CI773" t="str">
        <f>""</f>
        <v/>
      </c>
      <c r="CJ773" t="str">
        <f>""</f>
        <v/>
      </c>
      <c r="CK773" t="str">
        <f>""</f>
        <v/>
      </c>
      <c r="CL773" t="str">
        <f>""</f>
        <v/>
      </c>
      <c r="CM773" t="str">
        <f>""</f>
        <v/>
      </c>
      <c r="CN773" t="str">
        <f>""</f>
        <v/>
      </c>
      <c r="CO773" t="str">
        <f>""</f>
        <v/>
      </c>
      <c r="CP773" t="str">
        <f>""</f>
        <v/>
      </c>
      <c r="CQ773" t="str">
        <f>""</f>
        <v/>
      </c>
      <c r="CR773" t="str">
        <f>""</f>
        <v/>
      </c>
      <c r="CS773" t="str">
        <f>""</f>
        <v/>
      </c>
      <c r="CT773" t="str">
        <f>""</f>
        <v/>
      </c>
      <c r="CU773" t="str">
        <f>""</f>
        <v/>
      </c>
      <c r="CV773" t="str">
        <f>""</f>
        <v/>
      </c>
      <c r="CW773" t="str">
        <f>""</f>
        <v/>
      </c>
      <c r="CX773" t="str">
        <f>""</f>
        <v/>
      </c>
      <c r="CY773" t="str">
        <f>""</f>
        <v/>
      </c>
      <c r="CZ773" t="str">
        <f>""</f>
        <v/>
      </c>
      <c r="DA773" t="str">
        <f>""</f>
        <v/>
      </c>
      <c r="DB773" t="str">
        <f>""</f>
        <v/>
      </c>
      <c r="DC773" t="str">
        <f>""</f>
        <v/>
      </c>
      <c r="DD773" t="str">
        <f>""</f>
        <v/>
      </c>
      <c r="DE773" t="str">
        <f>""</f>
        <v/>
      </c>
      <c r="DF773" t="str">
        <f>""</f>
        <v/>
      </c>
      <c r="DG773" t="str">
        <f>""</f>
        <v/>
      </c>
      <c r="DH773" t="str">
        <f>""</f>
        <v/>
      </c>
      <c r="DI773" t="str">
        <f>""</f>
        <v/>
      </c>
      <c r="DJ773" t="str">
        <f>""</f>
        <v/>
      </c>
      <c r="DK773" t="str">
        <f>""</f>
        <v/>
      </c>
      <c r="DL773" t="str">
        <f>""</f>
        <v/>
      </c>
      <c r="DM773" t="str">
        <f>""</f>
        <v/>
      </c>
      <c r="DN773" t="str">
        <f>""</f>
        <v/>
      </c>
      <c r="DO773" t="str">
        <f>""</f>
        <v/>
      </c>
      <c r="DP773" t="str">
        <f>""</f>
        <v/>
      </c>
      <c r="DQ773" t="str">
        <f>""</f>
        <v/>
      </c>
      <c r="DR773" t="str">
        <f>""</f>
        <v/>
      </c>
      <c r="DS773" t="str">
        <f>""</f>
        <v/>
      </c>
      <c r="DT773" t="str">
        <f>""</f>
        <v/>
      </c>
      <c r="DU773" t="str">
        <f>""</f>
        <v/>
      </c>
    </row>
    <row r="774" spans="1:125" x14ac:dyDescent="0.25">
      <c r="A774" t="str">
        <f>$A$271</f>
        <v xml:space="preserve">    Kia Motors Corp</v>
      </c>
      <c r="B774" t="str">
        <f>$B$271</f>
        <v>000270 KS Equity</v>
      </c>
      <c r="C774" t="str">
        <f>$C$271</f>
        <v>RR010</v>
      </c>
      <c r="D774" t="str">
        <f>$D$271</f>
        <v>TOT_COMMON_EQY</v>
      </c>
      <c r="E774" t="str">
        <f>$E$271</f>
        <v>Dynamic</v>
      </c>
      <c r="F774" t="str">
        <f ca="1">_xll.BDH($B$271,$C$271,$B$509,$B$510,CONCATENATE("Per=",$B$507),"Dts=H","Dir=H",CONCATENATE("Points=",$B$508),"Sort=R","Days=A","Fill=B",CONCATENATE("FX=", $B$506) )</f>
        <v>#N/A Connection</v>
      </c>
      <c r="BN774" t="str">
        <f>""</f>
        <v/>
      </c>
      <c r="BO774" t="str">
        <f>""</f>
        <v/>
      </c>
      <c r="BP774" t="str">
        <f>""</f>
        <v/>
      </c>
      <c r="BQ774" t="str">
        <f>""</f>
        <v/>
      </c>
      <c r="BR774" t="str">
        <f>""</f>
        <v/>
      </c>
      <c r="BS774" t="str">
        <f>""</f>
        <v/>
      </c>
      <c r="BT774" t="str">
        <f>""</f>
        <v/>
      </c>
      <c r="BU774" t="str">
        <f>""</f>
        <v/>
      </c>
      <c r="BV774" t="str">
        <f>""</f>
        <v/>
      </c>
      <c r="BW774" t="str">
        <f>""</f>
        <v/>
      </c>
      <c r="BX774" t="str">
        <f>""</f>
        <v/>
      </c>
      <c r="BY774" t="str">
        <f>""</f>
        <v/>
      </c>
      <c r="BZ774" t="str">
        <f>""</f>
        <v/>
      </c>
      <c r="CA774" t="str">
        <f>""</f>
        <v/>
      </c>
      <c r="CB774" t="str">
        <f>""</f>
        <v/>
      </c>
      <c r="CC774" t="str">
        <f>""</f>
        <v/>
      </c>
      <c r="CD774" t="str">
        <f>""</f>
        <v/>
      </c>
      <c r="CE774" t="str">
        <f>""</f>
        <v/>
      </c>
      <c r="CF774" t="str">
        <f>""</f>
        <v/>
      </c>
      <c r="CG774" t="str">
        <f>""</f>
        <v/>
      </c>
      <c r="CH774" t="str">
        <f>""</f>
        <v/>
      </c>
      <c r="CI774" t="str">
        <f>""</f>
        <v/>
      </c>
      <c r="CJ774" t="str">
        <f>""</f>
        <v/>
      </c>
      <c r="CK774" t="str">
        <f>""</f>
        <v/>
      </c>
      <c r="CL774" t="str">
        <f>""</f>
        <v/>
      </c>
      <c r="CM774" t="str">
        <f>""</f>
        <v/>
      </c>
      <c r="CN774" t="str">
        <f>""</f>
        <v/>
      </c>
      <c r="CO774" t="str">
        <f>""</f>
        <v/>
      </c>
      <c r="CP774" t="str">
        <f>""</f>
        <v/>
      </c>
      <c r="CQ774" t="str">
        <f>""</f>
        <v/>
      </c>
      <c r="CR774" t="str">
        <f>""</f>
        <v/>
      </c>
      <c r="CS774" t="str">
        <f>""</f>
        <v/>
      </c>
      <c r="CT774" t="str">
        <f>""</f>
        <v/>
      </c>
      <c r="CU774" t="str">
        <f>""</f>
        <v/>
      </c>
      <c r="CV774" t="str">
        <f>""</f>
        <v/>
      </c>
      <c r="CW774" t="str">
        <f>""</f>
        <v/>
      </c>
      <c r="CX774" t="str">
        <f>""</f>
        <v/>
      </c>
      <c r="CY774" t="str">
        <f>""</f>
        <v/>
      </c>
      <c r="CZ774" t="str">
        <f>""</f>
        <v/>
      </c>
      <c r="DA774" t="str">
        <f>""</f>
        <v/>
      </c>
      <c r="DB774" t="str">
        <f>""</f>
        <v/>
      </c>
      <c r="DC774" t="str">
        <f>""</f>
        <v/>
      </c>
      <c r="DD774" t="str">
        <f>""</f>
        <v/>
      </c>
      <c r="DE774" t="str">
        <f>""</f>
        <v/>
      </c>
      <c r="DF774" t="str">
        <f>""</f>
        <v/>
      </c>
      <c r="DG774" t="str">
        <f>""</f>
        <v/>
      </c>
      <c r="DH774" t="str">
        <f>""</f>
        <v/>
      </c>
      <c r="DI774" t="str">
        <f>""</f>
        <v/>
      </c>
      <c r="DJ774" t="str">
        <f>""</f>
        <v/>
      </c>
      <c r="DK774" t="str">
        <f>""</f>
        <v/>
      </c>
      <c r="DL774" t="str">
        <f>""</f>
        <v/>
      </c>
      <c r="DM774" t="str">
        <f>""</f>
        <v/>
      </c>
      <c r="DN774" t="str">
        <f>""</f>
        <v/>
      </c>
      <c r="DO774" t="str">
        <f>""</f>
        <v/>
      </c>
      <c r="DP774" t="str">
        <f>""</f>
        <v/>
      </c>
      <c r="DQ774" t="str">
        <f>""</f>
        <v/>
      </c>
      <c r="DR774" t="str">
        <f>""</f>
        <v/>
      </c>
      <c r="DS774" t="str">
        <f>""</f>
        <v/>
      </c>
      <c r="DT774" t="str">
        <f>""</f>
        <v/>
      </c>
      <c r="DU774" t="str">
        <f>""</f>
        <v/>
      </c>
    </row>
    <row r="775" spans="1:125" x14ac:dyDescent="0.25">
      <c r="A775" t="str">
        <f>$A$272</f>
        <v xml:space="preserve">    Mazda Motor Corp</v>
      </c>
      <c r="B775" t="str">
        <f>$B$272</f>
        <v>7261 JP Equity</v>
      </c>
      <c r="C775" t="str">
        <f>$C$272</f>
        <v>RR010</v>
      </c>
      <c r="D775" t="str">
        <f>$D$272</f>
        <v>TOT_COMMON_EQY</v>
      </c>
      <c r="E775" t="str">
        <f>$E$272</f>
        <v>Dynamic</v>
      </c>
      <c r="F775" t="str">
        <f ca="1">_xll.BDH($B$272,$C$272,$B$509,$B$510,CONCATENATE("Per=",$B$507),"Dts=H","Dir=H",CONCATENATE("Points=",$B$508),"Sort=R","Days=A","Fill=B",CONCATENATE("FX=", $B$506) )</f>
        <v>#N/A Connection</v>
      </c>
      <c r="BN775" t="str">
        <f>""</f>
        <v/>
      </c>
      <c r="BO775" t="str">
        <f>""</f>
        <v/>
      </c>
      <c r="BP775" t="str">
        <f>""</f>
        <v/>
      </c>
      <c r="BQ775" t="str">
        <f>""</f>
        <v/>
      </c>
      <c r="BR775" t="str">
        <f>""</f>
        <v/>
      </c>
      <c r="BS775" t="str">
        <f>""</f>
        <v/>
      </c>
      <c r="BT775" t="str">
        <f>""</f>
        <v/>
      </c>
      <c r="BU775" t="str">
        <f>""</f>
        <v/>
      </c>
      <c r="BV775" t="str">
        <f>""</f>
        <v/>
      </c>
      <c r="BW775" t="str">
        <f>""</f>
        <v/>
      </c>
      <c r="BX775" t="str">
        <f>""</f>
        <v/>
      </c>
      <c r="BY775" t="str">
        <f>""</f>
        <v/>
      </c>
      <c r="BZ775" t="str">
        <f>""</f>
        <v/>
      </c>
      <c r="CA775" t="str">
        <f>""</f>
        <v/>
      </c>
      <c r="CB775" t="str">
        <f>""</f>
        <v/>
      </c>
      <c r="CC775" t="str">
        <f>""</f>
        <v/>
      </c>
      <c r="CD775" t="str">
        <f>""</f>
        <v/>
      </c>
      <c r="CE775" t="str">
        <f>""</f>
        <v/>
      </c>
      <c r="CF775" t="str">
        <f>""</f>
        <v/>
      </c>
      <c r="CG775" t="str">
        <f>""</f>
        <v/>
      </c>
      <c r="CH775" t="str">
        <f>""</f>
        <v/>
      </c>
      <c r="CI775" t="str">
        <f>""</f>
        <v/>
      </c>
      <c r="CJ775" t="str">
        <f>""</f>
        <v/>
      </c>
      <c r="CK775" t="str">
        <f>""</f>
        <v/>
      </c>
      <c r="CL775" t="str">
        <f>""</f>
        <v/>
      </c>
      <c r="CM775" t="str">
        <f>""</f>
        <v/>
      </c>
      <c r="CN775" t="str">
        <f>""</f>
        <v/>
      </c>
      <c r="CO775" t="str">
        <f>""</f>
        <v/>
      </c>
      <c r="CP775" t="str">
        <f>""</f>
        <v/>
      </c>
      <c r="CQ775" t="str">
        <f>""</f>
        <v/>
      </c>
      <c r="CR775" t="str">
        <f>""</f>
        <v/>
      </c>
      <c r="CS775" t="str">
        <f>""</f>
        <v/>
      </c>
      <c r="CT775" t="str">
        <f>""</f>
        <v/>
      </c>
      <c r="CU775" t="str">
        <f>""</f>
        <v/>
      </c>
      <c r="CV775" t="str">
        <f>""</f>
        <v/>
      </c>
      <c r="CW775" t="str">
        <f>""</f>
        <v/>
      </c>
      <c r="CX775" t="str">
        <f>""</f>
        <v/>
      </c>
      <c r="CY775" t="str">
        <f>""</f>
        <v/>
      </c>
      <c r="CZ775" t="str">
        <f>""</f>
        <v/>
      </c>
      <c r="DA775" t="str">
        <f>""</f>
        <v/>
      </c>
      <c r="DB775" t="str">
        <f>""</f>
        <v/>
      </c>
      <c r="DC775" t="str">
        <f>""</f>
        <v/>
      </c>
      <c r="DD775" t="str">
        <f>""</f>
        <v/>
      </c>
      <c r="DE775" t="str">
        <f>""</f>
        <v/>
      </c>
      <c r="DF775" t="str">
        <f>""</f>
        <v/>
      </c>
      <c r="DG775" t="str">
        <f>""</f>
        <v/>
      </c>
      <c r="DH775" t="str">
        <f>""</f>
        <v/>
      </c>
      <c r="DI775" t="str">
        <f>""</f>
        <v/>
      </c>
      <c r="DJ775" t="str">
        <f>""</f>
        <v/>
      </c>
      <c r="DK775" t="str">
        <f>""</f>
        <v/>
      </c>
      <c r="DL775" t="str">
        <f>""</f>
        <v/>
      </c>
      <c r="DM775" t="str">
        <f>""</f>
        <v/>
      </c>
      <c r="DN775" t="str">
        <f>""</f>
        <v/>
      </c>
      <c r="DO775" t="str">
        <f>""</f>
        <v/>
      </c>
      <c r="DP775" t="str">
        <f>""</f>
        <v/>
      </c>
      <c r="DQ775" t="str">
        <f>""</f>
        <v/>
      </c>
      <c r="DR775" t="str">
        <f>""</f>
        <v/>
      </c>
      <c r="DS775" t="str">
        <f>""</f>
        <v/>
      </c>
      <c r="DT775" t="str">
        <f>""</f>
        <v/>
      </c>
      <c r="DU775" t="str">
        <f>""</f>
        <v/>
      </c>
    </row>
    <row r="776" spans="1:125" x14ac:dyDescent="0.25">
      <c r="A776" t="str">
        <f>$A$273</f>
        <v xml:space="preserve">    Mitsubishi Motors Corp</v>
      </c>
      <c r="B776" t="str">
        <f>$B$273</f>
        <v>7211 JP Equity</v>
      </c>
      <c r="C776" t="str">
        <f>$C$273</f>
        <v>RR010</v>
      </c>
      <c r="D776" t="str">
        <f>$D$273</f>
        <v>TOT_COMMON_EQY</v>
      </c>
      <c r="E776" t="str">
        <f>$E$273</f>
        <v>Dynamic</v>
      </c>
      <c r="F776" t="str">
        <f ca="1">_xll.BDH($B$273,$C$273,$B$509,$B$510,CONCATENATE("Per=",$B$507),"Dts=H","Dir=H",CONCATENATE("Points=",$B$508),"Sort=R","Days=A","Fill=B",CONCATENATE("FX=", $B$506) )</f>
        <v>#N/A Connection</v>
      </c>
      <c r="BN776" t="str">
        <f>""</f>
        <v/>
      </c>
      <c r="BO776" t="str">
        <f>""</f>
        <v/>
      </c>
      <c r="BP776" t="str">
        <f>""</f>
        <v/>
      </c>
      <c r="BQ776" t="str">
        <f>""</f>
        <v/>
      </c>
      <c r="BR776" t="str">
        <f>""</f>
        <v/>
      </c>
      <c r="BS776" t="str">
        <f>""</f>
        <v/>
      </c>
      <c r="BT776" t="str">
        <f>""</f>
        <v/>
      </c>
      <c r="BU776" t="str">
        <f>""</f>
        <v/>
      </c>
      <c r="BV776" t="str">
        <f>""</f>
        <v/>
      </c>
      <c r="BW776" t="str">
        <f>""</f>
        <v/>
      </c>
      <c r="BX776" t="str">
        <f>""</f>
        <v/>
      </c>
      <c r="BY776" t="str">
        <f>""</f>
        <v/>
      </c>
      <c r="BZ776" t="str">
        <f>""</f>
        <v/>
      </c>
      <c r="CA776" t="str">
        <f>""</f>
        <v/>
      </c>
      <c r="CB776" t="str">
        <f>""</f>
        <v/>
      </c>
      <c r="CC776" t="str">
        <f>""</f>
        <v/>
      </c>
      <c r="CD776" t="str">
        <f>""</f>
        <v/>
      </c>
      <c r="CE776" t="str">
        <f>""</f>
        <v/>
      </c>
      <c r="CF776" t="str">
        <f>""</f>
        <v/>
      </c>
      <c r="CG776" t="str">
        <f>""</f>
        <v/>
      </c>
      <c r="CH776" t="str">
        <f>""</f>
        <v/>
      </c>
      <c r="CI776" t="str">
        <f>""</f>
        <v/>
      </c>
      <c r="CJ776" t="str">
        <f>""</f>
        <v/>
      </c>
      <c r="CK776" t="str">
        <f>""</f>
        <v/>
      </c>
      <c r="CL776" t="str">
        <f>""</f>
        <v/>
      </c>
      <c r="CM776" t="str">
        <f>""</f>
        <v/>
      </c>
      <c r="CN776" t="str">
        <f>""</f>
        <v/>
      </c>
      <c r="CO776" t="str">
        <f>""</f>
        <v/>
      </c>
      <c r="CP776" t="str">
        <f>""</f>
        <v/>
      </c>
      <c r="CQ776" t="str">
        <f>""</f>
        <v/>
      </c>
      <c r="CR776" t="str">
        <f>""</f>
        <v/>
      </c>
      <c r="CS776" t="str">
        <f>""</f>
        <v/>
      </c>
      <c r="CT776" t="str">
        <f>""</f>
        <v/>
      </c>
      <c r="CU776" t="str">
        <f>""</f>
        <v/>
      </c>
      <c r="CV776" t="str">
        <f>""</f>
        <v/>
      </c>
      <c r="CW776" t="str">
        <f>""</f>
        <v/>
      </c>
      <c r="CX776" t="str">
        <f>""</f>
        <v/>
      </c>
      <c r="CY776" t="str">
        <f>""</f>
        <v/>
      </c>
      <c r="CZ776" t="str">
        <f>""</f>
        <v/>
      </c>
      <c r="DA776" t="str">
        <f>""</f>
        <v/>
      </c>
      <c r="DB776" t="str">
        <f>""</f>
        <v/>
      </c>
      <c r="DC776" t="str">
        <f>""</f>
        <v/>
      </c>
      <c r="DD776" t="str">
        <f>""</f>
        <v/>
      </c>
      <c r="DE776" t="str">
        <f>""</f>
        <v/>
      </c>
      <c r="DF776" t="str">
        <f>""</f>
        <v/>
      </c>
      <c r="DG776" t="str">
        <f>""</f>
        <v/>
      </c>
      <c r="DH776" t="str">
        <f>""</f>
        <v/>
      </c>
      <c r="DI776" t="str">
        <f>""</f>
        <v/>
      </c>
      <c r="DJ776" t="str">
        <f>""</f>
        <v/>
      </c>
      <c r="DK776" t="str">
        <f>""</f>
        <v/>
      </c>
      <c r="DL776" t="str">
        <f>""</f>
        <v/>
      </c>
      <c r="DM776" t="str">
        <f>""</f>
        <v/>
      </c>
      <c r="DN776" t="str">
        <f>""</f>
        <v/>
      </c>
      <c r="DO776" t="str">
        <f>""</f>
        <v/>
      </c>
      <c r="DP776" t="str">
        <f>""</f>
        <v/>
      </c>
      <c r="DQ776" t="str">
        <f>""</f>
        <v/>
      </c>
      <c r="DR776" t="str">
        <f>""</f>
        <v/>
      </c>
      <c r="DS776" t="str">
        <f>""</f>
        <v/>
      </c>
      <c r="DT776" t="str">
        <f>""</f>
        <v/>
      </c>
      <c r="DU776" t="str">
        <f>""</f>
        <v/>
      </c>
    </row>
    <row r="777" spans="1:125" x14ac:dyDescent="0.25">
      <c r="A777" t="str">
        <f>$A$274</f>
        <v xml:space="preserve">    Nissan Motor Co Ltd</v>
      </c>
      <c r="B777" t="str">
        <f>$B$274</f>
        <v>7201 JP Equity</v>
      </c>
      <c r="C777" t="str">
        <f>$C$274</f>
        <v>RR010</v>
      </c>
      <c r="D777" t="str">
        <f>$D$274</f>
        <v>TOT_COMMON_EQY</v>
      </c>
      <c r="E777" t="str">
        <f>$E$274</f>
        <v>Dynamic</v>
      </c>
      <c r="F777" t="str">
        <f ca="1">_xll.BDH($B$274,$C$274,$B$509,$B$510,CONCATENATE("Per=",$B$507),"Dts=H","Dir=H",CONCATENATE("Points=",$B$508),"Sort=R","Days=A","Fill=B",CONCATENATE("FX=", $B$506) )</f>
        <v>#N/A Connection</v>
      </c>
      <c r="BN777" t="str">
        <f>""</f>
        <v/>
      </c>
      <c r="BO777" t="str">
        <f>""</f>
        <v/>
      </c>
      <c r="BP777" t="str">
        <f>""</f>
        <v/>
      </c>
      <c r="BQ777" t="str">
        <f>""</f>
        <v/>
      </c>
      <c r="BR777" t="str">
        <f>""</f>
        <v/>
      </c>
      <c r="BS777" t="str">
        <f>""</f>
        <v/>
      </c>
      <c r="BT777" t="str">
        <f>""</f>
        <v/>
      </c>
      <c r="BU777" t="str">
        <f>""</f>
        <v/>
      </c>
      <c r="BV777" t="str">
        <f>""</f>
        <v/>
      </c>
      <c r="BW777" t="str">
        <f>""</f>
        <v/>
      </c>
      <c r="BX777" t="str">
        <f>""</f>
        <v/>
      </c>
      <c r="BY777" t="str">
        <f>""</f>
        <v/>
      </c>
      <c r="BZ777" t="str">
        <f>""</f>
        <v/>
      </c>
      <c r="CA777" t="str">
        <f>""</f>
        <v/>
      </c>
      <c r="CB777" t="str">
        <f>""</f>
        <v/>
      </c>
      <c r="CC777" t="str">
        <f>""</f>
        <v/>
      </c>
      <c r="CD777" t="str">
        <f>""</f>
        <v/>
      </c>
      <c r="CE777" t="str">
        <f>""</f>
        <v/>
      </c>
      <c r="CF777" t="str">
        <f>""</f>
        <v/>
      </c>
      <c r="CG777" t="str">
        <f>""</f>
        <v/>
      </c>
      <c r="CH777" t="str">
        <f>""</f>
        <v/>
      </c>
      <c r="CI777" t="str">
        <f>""</f>
        <v/>
      </c>
      <c r="CJ777" t="str">
        <f>""</f>
        <v/>
      </c>
      <c r="CK777" t="str">
        <f>""</f>
        <v/>
      </c>
      <c r="CL777" t="str">
        <f>""</f>
        <v/>
      </c>
      <c r="CM777" t="str">
        <f>""</f>
        <v/>
      </c>
      <c r="CN777" t="str">
        <f>""</f>
        <v/>
      </c>
      <c r="CO777" t="str">
        <f>""</f>
        <v/>
      </c>
      <c r="CP777" t="str">
        <f>""</f>
        <v/>
      </c>
      <c r="CQ777" t="str">
        <f>""</f>
        <v/>
      </c>
      <c r="CR777" t="str">
        <f>""</f>
        <v/>
      </c>
      <c r="CS777" t="str">
        <f>""</f>
        <v/>
      </c>
      <c r="CT777" t="str">
        <f>""</f>
        <v/>
      </c>
      <c r="CU777" t="str">
        <f>""</f>
        <v/>
      </c>
      <c r="CV777" t="str">
        <f>""</f>
        <v/>
      </c>
      <c r="CW777" t="str">
        <f>""</f>
        <v/>
      </c>
      <c r="CX777" t="str">
        <f>""</f>
        <v/>
      </c>
      <c r="CY777" t="str">
        <f>""</f>
        <v/>
      </c>
      <c r="CZ777" t="str">
        <f>""</f>
        <v/>
      </c>
      <c r="DA777" t="str">
        <f>""</f>
        <v/>
      </c>
      <c r="DB777" t="str">
        <f>""</f>
        <v/>
      </c>
      <c r="DC777" t="str">
        <f>""</f>
        <v/>
      </c>
      <c r="DD777" t="str">
        <f>""</f>
        <v/>
      </c>
      <c r="DE777" t="str">
        <f>""</f>
        <v/>
      </c>
      <c r="DF777" t="str">
        <f>""</f>
        <v/>
      </c>
      <c r="DG777" t="str">
        <f>""</f>
        <v/>
      </c>
      <c r="DH777" t="str">
        <f>""</f>
        <v/>
      </c>
      <c r="DI777" t="str">
        <f>""</f>
        <v/>
      </c>
      <c r="DJ777" t="str">
        <f>""</f>
        <v/>
      </c>
      <c r="DK777" t="str">
        <f>""</f>
        <v/>
      </c>
      <c r="DL777" t="str">
        <f>""</f>
        <v/>
      </c>
      <c r="DM777" t="str">
        <f>""</f>
        <v/>
      </c>
      <c r="DN777" t="str">
        <f>""</f>
        <v/>
      </c>
      <c r="DO777" t="str">
        <f>""</f>
        <v/>
      </c>
      <c r="DP777" t="str">
        <f>""</f>
        <v/>
      </c>
      <c r="DQ777" t="str">
        <f>""</f>
        <v/>
      </c>
      <c r="DR777" t="str">
        <f>""</f>
        <v/>
      </c>
      <c r="DS777" t="str">
        <f>""</f>
        <v/>
      </c>
      <c r="DT777" t="str">
        <f>""</f>
        <v/>
      </c>
      <c r="DU777" t="str">
        <f>""</f>
        <v/>
      </c>
    </row>
    <row r="778" spans="1:125" x14ac:dyDescent="0.25">
      <c r="A778" t="str">
        <f>$A$275</f>
        <v xml:space="preserve">    Peugeot SA</v>
      </c>
      <c r="B778" t="str">
        <f>$B$275</f>
        <v>UG FP Equity</v>
      </c>
      <c r="C778" t="str">
        <f>$C$275</f>
        <v>RR010</v>
      </c>
      <c r="D778" t="str">
        <f>$D$275</f>
        <v>TOT_COMMON_EQY</v>
      </c>
      <c r="E778" t="str">
        <f>$E$275</f>
        <v>Dynamic</v>
      </c>
      <c r="F778" t="str">
        <f ca="1">_xll.BDH($B$275,$C$275,$B$509,$B$510,CONCATENATE("Per=",$B$507),"Dts=H","Dir=H",CONCATENATE("Points=",$B$508),"Sort=R","Days=A","Fill=B",CONCATENATE("FX=", $B$506) )</f>
        <v>#N/A Connection</v>
      </c>
      <c r="BN778" t="str">
        <f>""</f>
        <v/>
      </c>
      <c r="BO778" t="str">
        <f>""</f>
        <v/>
      </c>
      <c r="BP778" t="str">
        <f>""</f>
        <v/>
      </c>
      <c r="BQ778" t="str">
        <f>""</f>
        <v/>
      </c>
      <c r="BR778" t="str">
        <f>""</f>
        <v/>
      </c>
      <c r="BS778" t="str">
        <f>""</f>
        <v/>
      </c>
      <c r="BT778" t="str">
        <f>""</f>
        <v/>
      </c>
      <c r="BU778" t="str">
        <f>""</f>
        <v/>
      </c>
      <c r="BV778" t="str">
        <f>""</f>
        <v/>
      </c>
      <c r="BW778" t="str">
        <f>""</f>
        <v/>
      </c>
      <c r="BX778" t="str">
        <f>""</f>
        <v/>
      </c>
      <c r="BY778" t="str">
        <f>""</f>
        <v/>
      </c>
      <c r="BZ778" t="str">
        <f>""</f>
        <v/>
      </c>
      <c r="CA778" t="str">
        <f>""</f>
        <v/>
      </c>
      <c r="CB778" t="str">
        <f>""</f>
        <v/>
      </c>
      <c r="CC778" t="str">
        <f>""</f>
        <v/>
      </c>
      <c r="CD778" t="str">
        <f>""</f>
        <v/>
      </c>
      <c r="CE778" t="str">
        <f>""</f>
        <v/>
      </c>
      <c r="CF778" t="str">
        <f>""</f>
        <v/>
      </c>
      <c r="CG778" t="str">
        <f>""</f>
        <v/>
      </c>
      <c r="CH778" t="str">
        <f>""</f>
        <v/>
      </c>
      <c r="CI778" t="str">
        <f>""</f>
        <v/>
      </c>
      <c r="CJ778" t="str">
        <f>""</f>
        <v/>
      </c>
      <c r="CK778" t="str">
        <f>""</f>
        <v/>
      </c>
      <c r="CL778" t="str">
        <f>""</f>
        <v/>
      </c>
      <c r="CM778" t="str">
        <f>""</f>
        <v/>
      </c>
      <c r="CN778" t="str">
        <f>""</f>
        <v/>
      </c>
      <c r="CO778" t="str">
        <f>""</f>
        <v/>
      </c>
      <c r="CP778" t="str">
        <f>""</f>
        <v/>
      </c>
      <c r="CQ778" t="str">
        <f>""</f>
        <v/>
      </c>
      <c r="CR778" t="str">
        <f>""</f>
        <v/>
      </c>
      <c r="CS778" t="str">
        <f>""</f>
        <v/>
      </c>
      <c r="CT778" t="str">
        <f>""</f>
        <v/>
      </c>
      <c r="CU778" t="str">
        <f>""</f>
        <v/>
      </c>
      <c r="CV778" t="str">
        <f>""</f>
        <v/>
      </c>
      <c r="CW778" t="str">
        <f>""</f>
        <v/>
      </c>
      <c r="CX778" t="str">
        <f>""</f>
        <v/>
      </c>
      <c r="CY778" t="str">
        <f>""</f>
        <v/>
      </c>
      <c r="CZ778" t="str">
        <f>""</f>
        <v/>
      </c>
      <c r="DA778" t="str">
        <f>""</f>
        <v/>
      </c>
      <c r="DB778" t="str">
        <f>""</f>
        <v/>
      </c>
      <c r="DC778" t="str">
        <f>""</f>
        <v/>
      </c>
      <c r="DD778" t="str">
        <f>""</f>
        <v/>
      </c>
      <c r="DE778" t="str">
        <f>""</f>
        <v/>
      </c>
      <c r="DF778" t="str">
        <f>""</f>
        <v/>
      </c>
      <c r="DG778" t="str">
        <f>""</f>
        <v/>
      </c>
      <c r="DH778" t="str">
        <f>""</f>
        <v/>
      </c>
      <c r="DI778" t="str">
        <f>""</f>
        <v/>
      </c>
      <c r="DJ778" t="str">
        <f>""</f>
        <v/>
      </c>
      <c r="DK778" t="str">
        <f>""</f>
        <v/>
      </c>
      <c r="DL778" t="str">
        <f>""</f>
        <v/>
      </c>
      <c r="DM778" t="str">
        <f>""</f>
        <v/>
      </c>
      <c r="DN778" t="str">
        <f>""</f>
        <v/>
      </c>
      <c r="DO778" t="str">
        <f>""</f>
        <v/>
      </c>
      <c r="DP778" t="str">
        <f>""</f>
        <v/>
      </c>
      <c r="DQ778" t="str">
        <f>""</f>
        <v/>
      </c>
      <c r="DR778" t="str">
        <f>""</f>
        <v/>
      </c>
      <c r="DS778" t="str">
        <f>""</f>
        <v/>
      </c>
      <c r="DT778" t="str">
        <f>""</f>
        <v/>
      </c>
      <c r="DU778" t="str">
        <f>""</f>
        <v/>
      </c>
    </row>
    <row r="779" spans="1:125" x14ac:dyDescent="0.25">
      <c r="A779" t="str">
        <f>$A$276</f>
        <v xml:space="preserve">    Renault SA</v>
      </c>
      <c r="B779" t="str">
        <f>$B$276</f>
        <v>RNO FP Equity</v>
      </c>
      <c r="C779" t="str">
        <f>$C$276</f>
        <v>RR010</v>
      </c>
      <c r="D779" t="str">
        <f>$D$276</f>
        <v>TOT_COMMON_EQY</v>
      </c>
      <c r="E779" t="str">
        <f>$E$276</f>
        <v>Dynamic</v>
      </c>
      <c r="F779" t="str">
        <f ca="1">_xll.BDH($B$276,$C$276,$B$509,$B$510,CONCATENATE("Per=",$B$507),"Dts=H","Dir=H",CONCATENATE("Points=",$B$508),"Sort=R","Days=A","Fill=B",CONCATENATE("FX=", $B$506) )</f>
        <v>#N/A Connection</v>
      </c>
      <c r="BN779" t="str">
        <f>""</f>
        <v/>
      </c>
      <c r="BO779" t="str">
        <f>""</f>
        <v/>
      </c>
      <c r="BP779" t="str">
        <f>""</f>
        <v/>
      </c>
      <c r="BQ779" t="str">
        <f>""</f>
        <v/>
      </c>
      <c r="BR779" t="str">
        <f>""</f>
        <v/>
      </c>
      <c r="BS779" t="str">
        <f>""</f>
        <v/>
      </c>
      <c r="BT779" t="str">
        <f>""</f>
        <v/>
      </c>
      <c r="BU779" t="str">
        <f>""</f>
        <v/>
      </c>
      <c r="BV779" t="str">
        <f>""</f>
        <v/>
      </c>
      <c r="BW779" t="str">
        <f>""</f>
        <v/>
      </c>
      <c r="BX779" t="str">
        <f>""</f>
        <v/>
      </c>
      <c r="BY779" t="str">
        <f>""</f>
        <v/>
      </c>
      <c r="BZ779" t="str">
        <f>""</f>
        <v/>
      </c>
      <c r="CA779" t="str">
        <f>""</f>
        <v/>
      </c>
      <c r="CB779" t="str">
        <f>""</f>
        <v/>
      </c>
      <c r="CC779" t="str">
        <f>""</f>
        <v/>
      </c>
      <c r="CD779" t="str">
        <f>""</f>
        <v/>
      </c>
      <c r="CE779" t="str">
        <f>""</f>
        <v/>
      </c>
      <c r="CF779" t="str">
        <f>""</f>
        <v/>
      </c>
      <c r="CG779" t="str">
        <f>""</f>
        <v/>
      </c>
      <c r="CH779" t="str">
        <f>""</f>
        <v/>
      </c>
      <c r="CI779" t="str">
        <f>""</f>
        <v/>
      </c>
      <c r="CJ779" t="str">
        <f>""</f>
        <v/>
      </c>
      <c r="CK779" t="str">
        <f>""</f>
        <v/>
      </c>
      <c r="CL779" t="str">
        <f>""</f>
        <v/>
      </c>
      <c r="CM779" t="str">
        <f>""</f>
        <v/>
      </c>
      <c r="CN779" t="str">
        <f>""</f>
        <v/>
      </c>
      <c r="CO779" t="str">
        <f>""</f>
        <v/>
      </c>
      <c r="CP779" t="str">
        <f>""</f>
        <v/>
      </c>
      <c r="CQ779" t="str">
        <f>""</f>
        <v/>
      </c>
      <c r="CR779" t="str">
        <f>""</f>
        <v/>
      </c>
      <c r="CS779" t="str">
        <f>""</f>
        <v/>
      </c>
      <c r="CT779" t="str">
        <f>""</f>
        <v/>
      </c>
      <c r="CU779" t="str">
        <f>""</f>
        <v/>
      </c>
      <c r="CV779" t="str">
        <f>""</f>
        <v/>
      </c>
      <c r="CW779" t="str">
        <f>""</f>
        <v/>
      </c>
      <c r="CX779" t="str">
        <f>""</f>
        <v/>
      </c>
      <c r="CY779" t="str">
        <f>""</f>
        <v/>
      </c>
      <c r="CZ779" t="str">
        <f>""</f>
        <v/>
      </c>
      <c r="DA779" t="str">
        <f>""</f>
        <v/>
      </c>
      <c r="DB779" t="str">
        <f>""</f>
        <v/>
      </c>
      <c r="DC779" t="str">
        <f>""</f>
        <v/>
      </c>
      <c r="DD779" t="str">
        <f>""</f>
        <v/>
      </c>
      <c r="DE779" t="str">
        <f>""</f>
        <v/>
      </c>
      <c r="DF779" t="str">
        <f>""</f>
        <v/>
      </c>
      <c r="DG779" t="str">
        <f>""</f>
        <v/>
      </c>
      <c r="DH779" t="str">
        <f>""</f>
        <v/>
      </c>
      <c r="DI779" t="str">
        <f>""</f>
        <v/>
      </c>
      <c r="DJ779" t="str">
        <f>""</f>
        <v/>
      </c>
      <c r="DK779" t="str">
        <f>""</f>
        <v/>
      </c>
      <c r="DL779" t="str">
        <f>""</f>
        <v/>
      </c>
      <c r="DM779" t="str">
        <f>""</f>
        <v/>
      </c>
      <c r="DN779" t="str">
        <f>""</f>
        <v/>
      </c>
      <c r="DO779" t="str">
        <f>""</f>
        <v/>
      </c>
      <c r="DP779" t="str">
        <f>""</f>
        <v/>
      </c>
      <c r="DQ779" t="str">
        <f>""</f>
        <v/>
      </c>
      <c r="DR779" t="str">
        <f>""</f>
        <v/>
      </c>
      <c r="DS779" t="str">
        <f>""</f>
        <v/>
      </c>
      <c r="DT779" t="str">
        <f>""</f>
        <v/>
      </c>
      <c r="DU779" t="str">
        <f>""</f>
        <v/>
      </c>
    </row>
    <row r="780" spans="1:125" x14ac:dyDescent="0.25">
      <c r="A780" t="str">
        <f>$A$277</f>
        <v xml:space="preserve">    SAIC Motor Corp Ltd</v>
      </c>
      <c r="B780" t="str">
        <f>$B$277</f>
        <v>600104 CH Equity</v>
      </c>
      <c r="C780" t="str">
        <f>$C$277</f>
        <v>RR010</v>
      </c>
      <c r="D780" t="str">
        <f>$D$277</f>
        <v>TOT_COMMON_EQY</v>
      </c>
      <c r="E780" t="str">
        <f>$E$277</f>
        <v>Dynamic</v>
      </c>
      <c r="F780" t="str">
        <f ca="1">_xll.BDH($B$277,$C$277,$B$509,$B$510,CONCATENATE("Per=",$B$507),"Dts=H","Dir=H",CONCATENATE("Points=",$B$508),"Sort=R","Days=A","Fill=B",CONCATENATE("FX=", $B$506) )</f>
        <v>#N/A Connection</v>
      </c>
      <c r="BN780" t="str">
        <f>""</f>
        <v/>
      </c>
      <c r="BO780" t="str">
        <f>""</f>
        <v/>
      </c>
      <c r="BP780" t="str">
        <f>""</f>
        <v/>
      </c>
      <c r="BQ780" t="str">
        <f>""</f>
        <v/>
      </c>
      <c r="BR780" t="str">
        <f>""</f>
        <v/>
      </c>
      <c r="BS780" t="str">
        <f>""</f>
        <v/>
      </c>
      <c r="BT780" t="str">
        <f>""</f>
        <v/>
      </c>
      <c r="BU780" t="str">
        <f>""</f>
        <v/>
      </c>
      <c r="BV780" t="str">
        <f>""</f>
        <v/>
      </c>
      <c r="BW780" t="str">
        <f>""</f>
        <v/>
      </c>
      <c r="BX780" t="str">
        <f>""</f>
        <v/>
      </c>
      <c r="BY780" t="str">
        <f>""</f>
        <v/>
      </c>
      <c r="BZ780" t="str">
        <f>""</f>
        <v/>
      </c>
      <c r="CA780" t="str">
        <f>""</f>
        <v/>
      </c>
      <c r="CB780" t="str">
        <f>""</f>
        <v/>
      </c>
      <c r="CC780" t="str">
        <f>""</f>
        <v/>
      </c>
      <c r="CD780" t="str">
        <f>""</f>
        <v/>
      </c>
      <c r="CE780" t="str">
        <f>""</f>
        <v/>
      </c>
      <c r="CF780" t="str">
        <f>""</f>
        <v/>
      </c>
      <c r="CG780" t="str">
        <f>""</f>
        <v/>
      </c>
      <c r="CH780" t="str">
        <f>""</f>
        <v/>
      </c>
      <c r="CI780" t="str">
        <f>""</f>
        <v/>
      </c>
      <c r="CJ780" t="str">
        <f>""</f>
        <v/>
      </c>
      <c r="CK780" t="str">
        <f>""</f>
        <v/>
      </c>
      <c r="CL780" t="str">
        <f>""</f>
        <v/>
      </c>
      <c r="CM780" t="str">
        <f>""</f>
        <v/>
      </c>
      <c r="CN780" t="str">
        <f>""</f>
        <v/>
      </c>
      <c r="CO780" t="str">
        <f>""</f>
        <v/>
      </c>
      <c r="CP780" t="str">
        <f>""</f>
        <v/>
      </c>
      <c r="CQ780" t="str">
        <f>""</f>
        <v/>
      </c>
      <c r="CR780" t="str">
        <f>""</f>
        <v/>
      </c>
      <c r="CS780" t="str">
        <f>""</f>
        <v/>
      </c>
      <c r="CT780" t="str">
        <f>""</f>
        <v/>
      </c>
      <c r="CU780" t="str">
        <f>""</f>
        <v/>
      </c>
      <c r="CV780" t="str">
        <f>""</f>
        <v/>
      </c>
      <c r="CW780" t="str">
        <f>""</f>
        <v/>
      </c>
      <c r="CX780" t="str">
        <f>""</f>
        <v/>
      </c>
      <c r="CY780" t="str">
        <f>""</f>
        <v/>
      </c>
      <c r="CZ780" t="str">
        <f>""</f>
        <v/>
      </c>
      <c r="DA780" t="str">
        <f>""</f>
        <v/>
      </c>
      <c r="DB780" t="str">
        <f>""</f>
        <v/>
      </c>
      <c r="DC780" t="str">
        <f>""</f>
        <v/>
      </c>
      <c r="DD780" t="str">
        <f>""</f>
        <v/>
      </c>
      <c r="DE780" t="str">
        <f>""</f>
        <v/>
      </c>
      <c r="DF780" t="str">
        <f>""</f>
        <v/>
      </c>
      <c r="DG780" t="str">
        <f>""</f>
        <v/>
      </c>
      <c r="DH780" t="str">
        <f>""</f>
        <v/>
      </c>
      <c r="DI780" t="str">
        <f>""</f>
        <v/>
      </c>
      <c r="DJ780" t="str">
        <f>""</f>
        <v/>
      </c>
      <c r="DK780" t="str">
        <f>""</f>
        <v/>
      </c>
      <c r="DL780" t="str">
        <f>""</f>
        <v/>
      </c>
      <c r="DM780" t="str">
        <f>""</f>
        <v/>
      </c>
      <c r="DN780" t="str">
        <f>""</f>
        <v/>
      </c>
      <c r="DO780" t="str">
        <f>""</f>
        <v/>
      </c>
      <c r="DP780" t="str">
        <f>""</f>
        <v/>
      </c>
      <c r="DQ780" t="str">
        <f>""</f>
        <v/>
      </c>
      <c r="DR780" t="str">
        <f>""</f>
        <v/>
      </c>
      <c r="DS780" t="str">
        <f>""</f>
        <v/>
      </c>
      <c r="DT780" t="str">
        <f>""</f>
        <v/>
      </c>
      <c r="DU780" t="str">
        <f>""</f>
        <v/>
      </c>
    </row>
    <row r="781" spans="1:125" x14ac:dyDescent="0.25">
      <c r="A781" t="str">
        <f>$A$278</f>
        <v xml:space="preserve">    Sanyang Motor Co Ltd</v>
      </c>
      <c r="B781" t="str">
        <f>$B$278</f>
        <v>2206 TT Equity</v>
      </c>
      <c r="C781" t="str">
        <f>$C$278</f>
        <v>RR010</v>
      </c>
      <c r="D781" t="str">
        <f>$D$278</f>
        <v>TOT_COMMON_EQY</v>
      </c>
      <c r="E781" t="str">
        <f>$E$278</f>
        <v>Dynamic</v>
      </c>
      <c r="F781" t="str">
        <f ca="1">_xll.BDH($B$278,$C$278,$B$509,$B$510,CONCATENATE("Per=",$B$507),"Dts=H","Dir=H",CONCATENATE("Points=",$B$508),"Sort=R","Days=A","Fill=B",CONCATENATE("FX=", $B$506) )</f>
        <v>#N/A Connection</v>
      </c>
      <c r="BN781" t="str">
        <f>""</f>
        <v/>
      </c>
      <c r="BO781" t="str">
        <f>""</f>
        <v/>
      </c>
      <c r="BP781" t="str">
        <f>""</f>
        <v/>
      </c>
      <c r="BQ781" t="str">
        <f>""</f>
        <v/>
      </c>
      <c r="BR781" t="str">
        <f>""</f>
        <v/>
      </c>
      <c r="BS781" t="str">
        <f>""</f>
        <v/>
      </c>
      <c r="BT781" t="str">
        <f>""</f>
        <v/>
      </c>
      <c r="BU781" t="str">
        <f>""</f>
        <v/>
      </c>
      <c r="BV781" t="str">
        <f>""</f>
        <v/>
      </c>
      <c r="BW781" t="str">
        <f>""</f>
        <v/>
      </c>
      <c r="BX781" t="str">
        <f>""</f>
        <v/>
      </c>
      <c r="BY781" t="str">
        <f>""</f>
        <v/>
      </c>
      <c r="BZ781" t="str">
        <f>""</f>
        <v/>
      </c>
      <c r="CA781" t="str">
        <f>""</f>
        <v/>
      </c>
      <c r="CB781" t="str">
        <f>""</f>
        <v/>
      </c>
      <c r="CC781" t="str">
        <f>""</f>
        <v/>
      </c>
      <c r="CD781" t="str">
        <f>""</f>
        <v/>
      </c>
      <c r="CE781" t="str">
        <f>""</f>
        <v/>
      </c>
      <c r="CF781" t="str">
        <f>""</f>
        <v/>
      </c>
      <c r="CG781" t="str">
        <f>""</f>
        <v/>
      </c>
      <c r="CH781" t="str">
        <f>""</f>
        <v/>
      </c>
      <c r="CI781" t="str">
        <f>""</f>
        <v/>
      </c>
      <c r="CJ781" t="str">
        <f>""</f>
        <v/>
      </c>
      <c r="CK781" t="str">
        <f>""</f>
        <v/>
      </c>
      <c r="CL781" t="str">
        <f>""</f>
        <v/>
      </c>
      <c r="CM781" t="str">
        <f>""</f>
        <v/>
      </c>
      <c r="CN781" t="str">
        <f>""</f>
        <v/>
      </c>
      <c r="CO781" t="str">
        <f>""</f>
        <v/>
      </c>
      <c r="CP781" t="str">
        <f>""</f>
        <v/>
      </c>
      <c r="CQ781" t="str">
        <f>""</f>
        <v/>
      </c>
      <c r="CR781" t="str">
        <f>""</f>
        <v/>
      </c>
      <c r="CS781" t="str">
        <f>""</f>
        <v/>
      </c>
      <c r="CT781" t="str">
        <f>""</f>
        <v/>
      </c>
      <c r="CU781" t="str">
        <f>""</f>
        <v/>
      </c>
      <c r="CV781" t="str">
        <f>""</f>
        <v/>
      </c>
      <c r="CW781" t="str">
        <f>""</f>
        <v/>
      </c>
      <c r="CX781" t="str">
        <f>""</f>
        <v/>
      </c>
      <c r="CY781" t="str">
        <f>""</f>
        <v/>
      </c>
      <c r="CZ781" t="str">
        <f>""</f>
        <v/>
      </c>
      <c r="DA781" t="str">
        <f>""</f>
        <v/>
      </c>
      <c r="DB781" t="str">
        <f>""</f>
        <v/>
      </c>
      <c r="DC781" t="str">
        <f>""</f>
        <v/>
      </c>
      <c r="DD781" t="str">
        <f>""</f>
        <v/>
      </c>
      <c r="DE781" t="str">
        <f>""</f>
        <v/>
      </c>
      <c r="DF781" t="str">
        <f>""</f>
        <v/>
      </c>
      <c r="DG781" t="str">
        <f>""</f>
        <v/>
      </c>
      <c r="DH781" t="str">
        <f>""</f>
        <v/>
      </c>
      <c r="DI781" t="str">
        <f>""</f>
        <v/>
      </c>
      <c r="DJ781" t="str">
        <f>""</f>
        <v/>
      </c>
      <c r="DK781" t="str">
        <f>""</f>
        <v/>
      </c>
      <c r="DL781" t="str">
        <f>""</f>
        <v/>
      </c>
      <c r="DM781" t="str">
        <f>""</f>
        <v/>
      </c>
      <c r="DN781" t="str">
        <f>""</f>
        <v/>
      </c>
      <c r="DO781" t="str">
        <f>""</f>
        <v/>
      </c>
      <c r="DP781" t="str">
        <f>""</f>
        <v/>
      </c>
      <c r="DQ781" t="str">
        <f>""</f>
        <v/>
      </c>
      <c r="DR781" t="str">
        <f>""</f>
        <v/>
      </c>
      <c r="DS781" t="str">
        <f>""</f>
        <v/>
      </c>
      <c r="DT781" t="str">
        <f>""</f>
        <v/>
      </c>
      <c r="DU781" t="str">
        <f>""</f>
        <v/>
      </c>
    </row>
    <row r="782" spans="1:125" x14ac:dyDescent="0.25">
      <c r="A782" t="str">
        <f>$A$279</f>
        <v xml:space="preserve">    Sollers PJSC</v>
      </c>
      <c r="B782" t="str">
        <f>$B$279</f>
        <v>SVAV RM Equity</v>
      </c>
      <c r="C782" t="str">
        <f>$C$279</f>
        <v>RR010</v>
      </c>
      <c r="D782" t="str">
        <f>$D$279</f>
        <v>TOT_COMMON_EQY</v>
      </c>
      <c r="E782" t="str">
        <f>$E$279</f>
        <v>Dynamic</v>
      </c>
      <c r="F782" t="str">
        <f ca="1">_xll.BDH($B$279,$C$279,$B$509,$B$510,CONCATENATE("Per=",$B$507),"Dts=H","Dir=H",CONCATENATE("Points=",$B$508),"Sort=R","Days=A","Fill=B",CONCATENATE("FX=", $B$506) )</f>
        <v>#N/A Connection</v>
      </c>
      <c r="BN782" t="str">
        <f>""</f>
        <v/>
      </c>
      <c r="BO782" t="str">
        <f>""</f>
        <v/>
      </c>
      <c r="BP782" t="str">
        <f>""</f>
        <v/>
      </c>
      <c r="BQ782" t="str">
        <f>""</f>
        <v/>
      </c>
      <c r="BR782" t="str">
        <f>""</f>
        <v/>
      </c>
      <c r="BS782" t="str">
        <f>""</f>
        <v/>
      </c>
      <c r="BT782" t="str">
        <f>""</f>
        <v/>
      </c>
      <c r="BU782" t="str">
        <f>""</f>
        <v/>
      </c>
      <c r="BV782" t="str">
        <f>""</f>
        <v/>
      </c>
      <c r="BW782" t="str">
        <f>""</f>
        <v/>
      </c>
      <c r="BX782" t="str">
        <f>""</f>
        <v/>
      </c>
      <c r="BY782" t="str">
        <f>""</f>
        <v/>
      </c>
      <c r="BZ782" t="str">
        <f>""</f>
        <v/>
      </c>
      <c r="CA782" t="str">
        <f>""</f>
        <v/>
      </c>
      <c r="CB782" t="str">
        <f>""</f>
        <v/>
      </c>
      <c r="CC782" t="str">
        <f>""</f>
        <v/>
      </c>
      <c r="CD782" t="str">
        <f>""</f>
        <v/>
      </c>
      <c r="CE782" t="str">
        <f>""</f>
        <v/>
      </c>
      <c r="CF782" t="str">
        <f>""</f>
        <v/>
      </c>
      <c r="CG782" t="str">
        <f>""</f>
        <v/>
      </c>
      <c r="CH782" t="str">
        <f>""</f>
        <v/>
      </c>
      <c r="CI782" t="str">
        <f>""</f>
        <v/>
      </c>
      <c r="CJ782" t="str">
        <f>""</f>
        <v/>
      </c>
      <c r="CK782" t="str">
        <f>""</f>
        <v/>
      </c>
      <c r="CL782" t="str">
        <f>""</f>
        <v/>
      </c>
      <c r="CM782" t="str">
        <f>""</f>
        <v/>
      </c>
      <c r="CN782" t="str">
        <f>""</f>
        <v/>
      </c>
      <c r="CO782" t="str">
        <f>""</f>
        <v/>
      </c>
      <c r="CP782" t="str">
        <f>""</f>
        <v/>
      </c>
      <c r="CQ782" t="str">
        <f>""</f>
        <v/>
      </c>
      <c r="CR782" t="str">
        <f>""</f>
        <v/>
      </c>
      <c r="CS782" t="str">
        <f>""</f>
        <v/>
      </c>
      <c r="CT782" t="str">
        <f>""</f>
        <v/>
      </c>
      <c r="CU782" t="str">
        <f>""</f>
        <v/>
      </c>
      <c r="CV782" t="str">
        <f>""</f>
        <v/>
      </c>
      <c r="CW782" t="str">
        <f>""</f>
        <v/>
      </c>
      <c r="CX782" t="str">
        <f>""</f>
        <v/>
      </c>
      <c r="CY782" t="str">
        <f>""</f>
        <v/>
      </c>
      <c r="CZ782" t="str">
        <f>""</f>
        <v/>
      </c>
      <c r="DA782" t="str">
        <f>""</f>
        <v/>
      </c>
      <c r="DB782" t="str">
        <f>""</f>
        <v/>
      </c>
      <c r="DC782" t="str">
        <f>""</f>
        <v/>
      </c>
      <c r="DD782" t="str">
        <f>""</f>
        <v/>
      </c>
      <c r="DE782" t="str">
        <f>""</f>
        <v/>
      </c>
      <c r="DF782" t="str">
        <f>""</f>
        <v/>
      </c>
      <c r="DG782" t="str">
        <f>""</f>
        <v/>
      </c>
      <c r="DH782" t="str">
        <f>""</f>
        <v/>
      </c>
      <c r="DI782" t="str">
        <f>""</f>
        <v/>
      </c>
      <c r="DJ782" t="str">
        <f>""</f>
        <v/>
      </c>
      <c r="DK782" t="str">
        <f>""</f>
        <v/>
      </c>
      <c r="DL782" t="str">
        <f>""</f>
        <v/>
      </c>
      <c r="DM782" t="str">
        <f>""</f>
        <v/>
      </c>
      <c r="DN782" t="str">
        <f>""</f>
        <v/>
      </c>
      <c r="DO782" t="str">
        <f>""</f>
        <v/>
      </c>
      <c r="DP782" t="str">
        <f>""</f>
        <v/>
      </c>
      <c r="DQ782" t="str">
        <f>""</f>
        <v/>
      </c>
      <c r="DR782" t="str">
        <f>""</f>
        <v/>
      </c>
      <c r="DS782" t="str">
        <f>""</f>
        <v/>
      </c>
      <c r="DT782" t="str">
        <f>""</f>
        <v/>
      </c>
      <c r="DU782" t="str">
        <f>""</f>
        <v/>
      </c>
    </row>
    <row r="783" spans="1:125" x14ac:dyDescent="0.25">
      <c r="A783" t="str">
        <f>$A$280</f>
        <v xml:space="preserve">    Ssangyong Motor Co</v>
      </c>
      <c r="B783" t="str">
        <f>$B$280</f>
        <v>003620 KS Equity</v>
      </c>
      <c r="C783" t="str">
        <f>$C$280</f>
        <v>RR010</v>
      </c>
      <c r="D783" t="str">
        <f>$D$280</f>
        <v>TOT_COMMON_EQY</v>
      </c>
      <c r="E783" t="str">
        <f>$E$280</f>
        <v>Dynamic</v>
      </c>
      <c r="F783" t="str">
        <f ca="1">_xll.BDH($B$280,$C$280,$B$509,$B$510,CONCATENATE("Per=",$B$507),"Dts=H","Dir=H",CONCATENATE("Points=",$B$508),"Sort=R","Days=A","Fill=B",CONCATENATE("FX=", $B$506) )</f>
        <v>#N/A Connection</v>
      </c>
      <c r="BN783" t="str">
        <f>""</f>
        <v/>
      </c>
      <c r="BO783" t="str">
        <f>""</f>
        <v/>
      </c>
      <c r="BP783" t="str">
        <f>""</f>
        <v/>
      </c>
      <c r="BQ783" t="str">
        <f>""</f>
        <v/>
      </c>
      <c r="BR783" t="str">
        <f>""</f>
        <v/>
      </c>
      <c r="BS783" t="str">
        <f>""</f>
        <v/>
      </c>
      <c r="BT783" t="str">
        <f>""</f>
        <v/>
      </c>
      <c r="BU783" t="str">
        <f>""</f>
        <v/>
      </c>
      <c r="BV783" t="str">
        <f>""</f>
        <v/>
      </c>
      <c r="BW783" t="str">
        <f>""</f>
        <v/>
      </c>
      <c r="BX783" t="str">
        <f>""</f>
        <v/>
      </c>
      <c r="BY783" t="str">
        <f>""</f>
        <v/>
      </c>
      <c r="BZ783" t="str">
        <f>""</f>
        <v/>
      </c>
      <c r="CA783" t="str">
        <f>""</f>
        <v/>
      </c>
      <c r="CB783" t="str">
        <f>""</f>
        <v/>
      </c>
      <c r="CC783" t="str">
        <f>""</f>
        <v/>
      </c>
      <c r="CD783" t="str">
        <f>""</f>
        <v/>
      </c>
      <c r="CE783" t="str">
        <f>""</f>
        <v/>
      </c>
      <c r="CF783" t="str">
        <f>""</f>
        <v/>
      </c>
      <c r="CG783" t="str">
        <f>""</f>
        <v/>
      </c>
      <c r="CH783" t="str">
        <f>""</f>
        <v/>
      </c>
      <c r="CI783" t="str">
        <f>""</f>
        <v/>
      </c>
      <c r="CJ783" t="str">
        <f>""</f>
        <v/>
      </c>
      <c r="CK783" t="str">
        <f>""</f>
        <v/>
      </c>
      <c r="CL783" t="str">
        <f>""</f>
        <v/>
      </c>
      <c r="CM783" t="str">
        <f>""</f>
        <v/>
      </c>
      <c r="CN783" t="str">
        <f>""</f>
        <v/>
      </c>
      <c r="CO783" t="str">
        <f>""</f>
        <v/>
      </c>
      <c r="CP783" t="str">
        <f>""</f>
        <v/>
      </c>
      <c r="CQ783" t="str">
        <f>""</f>
        <v/>
      </c>
      <c r="CR783" t="str">
        <f>""</f>
        <v/>
      </c>
      <c r="CS783" t="str">
        <f>""</f>
        <v/>
      </c>
      <c r="CT783" t="str">
        <f>""</f>
        <v/>
      </c>
      <c r="CU783" t="str">
        <f>""</f>
        <v/>
      </c>
      <c r="CV783" t="str">
        <f>""</f>
        <v/>
      </c>
      <c r="CW783" t="str">
        <f>""</f>
        <v/>
      </c>
      <c r="CX783" t="str">
        <f>""</f>
        <v/>
      </c>
      <c r="CY783" t="str">
        <f>""</f>
        <v/>
      </c>
      <c r="CZ783" t="str">
        <f>""</f>
        <v/>
      </c>
      <c r="DA783" t="str">
        <f>""</f>
        <v/>
      </c>
      <c r="DB783" t="str">
        <f>""</f>
        <v/>
      </c>
      <c r="DC783" t="str">
        <f>""</f>
        <v/>
      </c>
      <c r="DD783" t="str">
        <f>""</f>
        <v/>
      </c>
      <c r="DE783" t="str">
        <f>""</f>
        <v/>
      </c>
      <c r="DF783" t="str">
        <f>""</f>
        <v/>
      </c>
      <c r="DG783" t="str">
        <f>""</f>
        <v/>
      </c>
      <c r="DH783" t="str">
        <f>""</f>
        <v/>
      </c>
      <c r="DI783" t="str">
        <f>""</f>
        <v/>
      </c>
      <c r="DJ783" t="str">
        <f>""</f>
        <v/>
      </c>
      <c r="DK783" t="str">
        <f>""</f>
        <v/>
      </c>
      <c r="DL783" t="str">
        <f>""</f>
        <v/>
      </c>
      <c r="DM783" t="str">
        <f>""</f>
        <v/>
      </c>
      <c r="DN783" t="str">
        <f>""</f>
        <v/>
      </c>
      <c r="DO783" t="str">
        <f>""</f>
        <v/>
      </c>
      <c r="DP783" t="str">
        <f>""</f>
        <v/>
      </c>
      <c r="DQ783" t="str">
        <f>""</f>
        <v/>
      </c>
      <c r="DR783" t="str">
        <f>""</f>
        <v/>
      </c>
      <c r="DS783" t="str">
        <f>""</f>
        <v/>
      </c>
      <c r="DT783" t="str">
        <f>""</f>
        <v/>
      </c>
      <c r="DU783" t="str">
        <f>""</f>
        <v/>
      </c>
    </row>
    <row r="784" spans="1:125" x14ac:dyDescent="0.25">
      <c r="A784" t="str">
        <f>$A$281</f>
        <v xml:space="preserve">    Subaru Corp</v>
      </c>
      <c r="B784" t="str">
        <f>$B$281</f>
        <v>7270 JP Equity</v>
      </c>
      <c r="C784" t="str">
        <f>$C$281</f>
        <v>RR010</v>
      </c>
      <c r="D784" t="str">
        <f>$D$281</f>
        <v>TOT_COMMON_EQY</v>
      </c>
      <c r="E784" t="str">
        <f>$E$281</f>
        <v>Dynamic</v>
      </c>
      <c r="F784" t="str">
        <f ca="1">_xll.BDH($B$281,$C$281,$B$509,$B$510,CONCATENATE("Per=",$B$507),"Dts=H","Dir=H",CONCATENATE("Points=",$B$508),"Sort=R","Days=A","Fill=B",CONCATENATE("FX=", $B$506) )</f>
        <v>#N/A Connection</v>
      </c>
      <c r="BN784" t="str">
        <f>""</f>
        <v/>
      </c>
      <c r="BO784" t="str">
        <f>""</f>
        <v/>
      </c>
      <c r="BP784" t="str">
        <f>""</f>
        <v/>
      </c>
      <c r="BQ784" t="str">
        <f>""</f>
        <v/>
      </c>
      <c r="BR784" t="str">
        <f>""</f>
        <v/>
      </c>
      <c r="BS784" t="str">
        <f>""</f>
        <v/>
      </c>
      <c r="BT784" t="str">
        <f>""</f>
        <v/>
      </c>
      <c r="BU784" t="str">
        <f>""</f>
        <v/>
      </c>
      <c r="BV784" t="str">
        <f>""</f>
        <v/>
      </c>
      <c r="BW784" t="str">
        <f>""</f>
        <v/>
      </c>
      <c r="BX784" t="str">
        <f>""</f>
        <v/>
      </c>
      <c r="BY784" t="str">
        <f>""</f>
        <v/>
      </c>
      <c r="BZ784" t="str">
        <f>""</f>
        <v/>
      </c>
      <c r="CA784" t="str">
        <f>""</f>
        <v/>
      </c>
      <c r="CB784" t="str">
        <f>""</f>
        <v/>
      </c>
      <c r="CC784" t="str">
        <f>""</f>
        <v/>
      </c>
      <c r="CD784" t="str">
        <f>""</f>
        <v/>
      </c>
      <c r="CE784" t="str">
        <f>""</f>
        <v/>
      </c>
      <c r="CF784" t="str">
        <f>""</f>
        <v/>
      </c>
      <c r="CG784" t="str">
        <f>""</f>
        <v/>
      </c>
      <c r="CH784" t="str">
        <f>""</f>
        <v/>
      </c>
      <c r="CI784" t="str">
        <f>""</f>
        <v/>
      </c>
      <c r="CJ784" t="str">
        <f>""</f>
        <v/>
      </c>
      <c r="CK784" t="str">
        <f>""</f>
        <v/>
      </c>
      <c r="CL784" t="str">
        <f>""</f>
        <v/>
      </c>
      <c r="CM784" t="str">
        <f>""</f>
        <v/>
      </c>
      <c r="CN784" t="str">
        <f>""</f>
        <v/>
      </c>
      <c r="CO784" t="str">
        <f>""</f>
        <v/>
      </c>
      <c r="CP784" t="str">
        <f>""</f>
        <v/>
      </c>
      <c r="CQ784" t="str">
        <f>""</f>
        <v/>
      </c>
      <c r="CR784" t="str">
        <f>""</f>
        <v/>
      </c>
      <c r="CS784" t="str">
        <f>""</f>
        <v/>
      </c>
      <c r="CT784" t="str">
        <f>""</f>
        <v/>
      </c>
      <c r="CU784" t="str">
        <f>""</f>
        <v/>
      </c>
      <c r="CV784" t="str">
        <f>""</f>
        <v/>
      </c>
      <c r="CW784" t="str">
        <f>""</f>
        <v/>
      </c>
      <c r="CX784" t="str">
        <f>""</f>
        <v/>
      </c>
      <c r="CY784" t="str">
        <f>""</f>
        <v/>
      </c>
      <c r="CZ784" t="str">
        <f>""</f>
        <v/>
      </c>
      <c r="DA784" t="str">
        <f>""</f>
        <v/>
      </c>
      <c r="DB784" t="str">
        <f>""</f>
        <v/>
      </c>
      <c r="DC784" t="str">
        <f>""</f>
        <v/>
      </c>
      <c r="DD784" t="str">
        <f>""</f>
        <v/>
      </c>
      <c r="DE784" t="str">
        <f>""</f>
        <v/>
      </c>
      <c r="DF784" t="str">
        <f>""</f>
        <v/>
      </c>
      <c r="DG784" t="str">
        <f>""</f>
        <v/>
      </c>
      <c r="DH784" t="str">
        <f>""</f>
        <v/>
      </c>
      <c r="DI784" t="str">
        <f>""</f>
        <v/>
      </c>
      <c r="DJ784" t="str">
        <f>""</f>
        <v/>
      </c>
      <c r="DK784" t="str">
        <f>""</f>
        <v/>
      </c>
      <c r="DL784" t="str">
        <f>""</f>
        <v/>
      </c>
      <c r="DM784" t="str">
        <f>""</f>
        <v/>
      </c>
      <c r="DN784" t="str">
        <f>""</f>
        <v/>
      </c>
      <c r="DO784" t="str">
        <f>""</f>
        <v/>
      </c>
      <c r="DP784" t="str">
        <f>""</f>
        <v/>
      </c>
      <c r="DQ784" t="str">
        <f>""</f>
        <v/>
      </c>
      <c r="DR784" t="str">
        <f>""</f>
        <v/>
      </c>
      <c r="DS784" t="str">
        <f>""</f>
        <v/>
      </c>
      <c r="DT784" t="str">
        <f>""</f>
        <v/>
      </c>
      <c r="DU784" t="str">
        <f>""</f>
        <v/>
      </c>
    </row>
    <row r="785" spans="1:125" x14ac:dyDescent="0.25">
      <c r="A785" t="str">
        <f>$A$282</f>
        <v xml:space="preserve">    Suzuki Motor Corp</v>
      </c>
      <c r="B785" t="str">
        <f>$B$282</f>
        <v>7269 JP Equity</v>
      </c>
      <c r="C785" t="str">
        <f>$C$282</f>
        <v>RR010</v>
      </c>
      <c r="D785" t="str">
        <f>$D$282</f>
        <v>TOT_COMMON_EQY</v>
      </c>
      <c r="E785" t="str">
        <f>$E$282</f>
        <v>Dynamic</v>
      </c>
      <c r="F785" t="str">
        <f ca="1">_xll.BDH($B$282,$C$282,$B$509,$B$510,CONCATENATE("Per=",$B$507),"Dts=H","Dir=H",CONCATENATE("Points=",$B$508),"Sort=R","Days=A","Fill=B",CONCATENATE("FX=", $B$506) )</f>
        <v>#N/A Connection</v>
      </c>
      <c r="BN785" t="str">
        <f>""</f>
        <v/>
      </c>
      <c r="BO785" t="str">
        <f>""</f>
        <v/>
      </c>
      <c r="BP785" t="str">
        <f>""</f>
        <v/>
      </c>
      <c r="BQ785" t="str">
        <f>""</f>
        <v/>
      </c>
      <c r="BR785" t="str">
        <f>""</f>
        <v/>
      </c>
      <c r="BS785" t="str">
        <f>""</f>
        <v/>
      </c>
      <c r="BT785" t="str">
        <f>""</f>
        <v/>
      </c>
      <c r="BU785" t="str">
        <f>""</f>
        <v/>
      </c>
      <c r="BV785" t="str">
        <f>""</f>
        <v/>
      </c>
      <c r="BW785" t="str">
        <f>""</f>
        <v/>
      </c>
      <c r="BX785" t="str">
        <f>""</f>
        <v/>
      </c>
      <c r="BY785" t="str">
        <f>""</f>
        <v/>
      </c>
      <c r="BZ785" t="str">
        <f>""</f>
        <v/>
      </c>
      <c r="CA785" t="str">
        <f>""</f>
        <v/>
      </c>
      <c r="CB785" t="str">
        <f>""</f>
        <v/>
      </c>
      <c r="CC785" t="str">
        <f>""</f>
        <v/>
      </c>
      <c r="CD785" t="str">
        <f>""</f>
        <v/>
      </c>
      <c r="CE785" t="str">
        <f>""</f>
        <v/>
      </c>
      <c r="CF785" t="str">
        <f>""</f>
        <v/>
      </c>
      <c r="CG785" t="str">
        <f>""</f>
        <v/>
      </c>
      <c r="CH785" t="str">
        <f>""</f>
        <v/>
      </c>
      <c r="CI785" t="str">
        <f>""</f>
        <v/>
      </c>
      <c r="CJ785" t="str">
        <f>""</f>
        <v/>
      </c>
      <c r="CK785" t="str">
        <f>""</f>
        <v/>
      </c>
      <c r="CL785" t="str">
        <f>""</f>
        <v/>
      </c>
      <c r="CM785" t="str">
        <f>""</f>
        <v/>
      </c>
      <c r="CN785" t="str">
        <f>""</f>
        <v/>
      </c>
      <c r="CO785" t="str">
        <f>""</f>
        <v/>
      </c>
      <c r="CP785" t="str">
        <f>""</f>
        <v/>
      </c>
      <c r="CQ785" t="str">
        <f>""</f>
        <v/>
      </c>
      <c r="CR785" t="str">
        <f>""</f>
        <v/>
      </c>
      <c r="CS785" t="str">
        <f>""</f>
        <v/>
      </c>
      <c r="CT785" t="str">
        <f>""</f>
        <v/>
      </c>
      <c r="CU785" t="str">
        <f>""</f>
        <v/>
      </c>
      <c r="CV785" t="str">
        <f>""</f>
        <v/>
      </c>
      <c r="CW785" t="str">
        <f>""</f>
        <v/>
      </c>
      <c r="CX785" t="str">
        <f>""</f>
        <v/>
      </c>
      <c r="CY785" t="str">
        <f>""</f>
        <v/>
      </c>
      <c r="CZ785" t="str">
        <f>""</f>
        <v/>
      </c>
      <c r="DA785" t="str">
        <f>""</f>
        <v/>
      </c>
      <c r="DB785" t="str">
        <f>""</f>
        <v/>
      </c>
      <c r="DC785" t="str">
        <f>""</f>
        <v/>
      </c>
      <c r="DD785" t="str">
        <f>""</f>
        <v/>
      </c>
      <c r="DE785" t="str">
        <f>""</f>
        <v/>
      </c>
      <c r="DF785" t="str">
        <f>""</f>
        <v/>
      </c>
      <c r="DG785" t="str">
        <f>""</f>
        <v/>
      </c>
      <c r="DH785" t="str">
        <f>""</f>
        <v/>
      </c>
      <c r="DI785" t="str">
        <f>""</f>
        <v/>
      </c>
      <c r="DJ785" t="str">
        <f>""</f>
        <v/>
      </c>
      <c r="DK785" t="str">
        <f>""</f>
        <v/>
      </c>
      <c r="DL785" t="str">
        <f>""</f>
        <v/>
      </c>
      <c r="DM785" t="str">
        <f>""</f>
        <v/>
      </c>
      <c r="DN785" t="str">
        <f>""</f>
        <v/>
      </c>
      <c r="DO785" t="str">
        <f>""</f>
        <v/>
      </c>
      <c r="DP785" t="str">
        <f>""</f>
        <v/>
      </c>
      <c r="DQ785" t="str">
        <f>""</f>
        <v/>
      </c>
      <c r="DR785" t="str">
        <f>""</f>
        <v/>
      </c>
      <c r="DS785" t="str">
        <f>""</f>
        <v/>
      </c>
      <c r="DT785" t="str">
        <f>""</f>
        <v/>
      </c>
      <c r="DU785" t="str">
        <f>""</f>
        <v/>
      </c>
    </row>
    <row r="786" spans="1:125" x14ac:dyDescent="0.25">
      <c r="A786" t="str">
        <f>$A$283</f>
        <v xml:space="preserve">    Tata Motors Ltd</v>
      </c>
      <c r="B786" t="str">
        <f>$B$283</f>
        <v>TTMT IN Equity</v>
      </c>
      <c r="C786" t="str">
        <f>$C$283</f>
        <v>RR010</v>
      </c>
      <c r="D786" t="str">
        <f>$D$283</f>
        <v>TOT_COMMON_EQY</v>
      </c>
      <c r="E786" t="str">
        <f>$E$283</f>
        <v>Dynamic</v>
      </c>
      <c r="F786" t="str">
        <f ca="1">_xll.BDH($B$283,$C$283,$B$509,$B$510,CONCATENATE("Per=",$B$507),"Dts=H","Dir=H",CONCATENATE("Points=",$B$508),"Sort=R","Days=A","Fill=B",CONCATENATE("FX=", $B$506) )</f>
        <v>#N/A Connection</v>
      </c>
      <c r="BN786" t="str">
        <f>""</f>
        <v/>
      </c>
      <c r="BO786" t="str">
        <f>""</f>
        <v/>
      </c>
      <c r="BP786" t="str">
        <f>""</f>
        <v/>
      </c>
      <c r="BQ786" t="str">
        <f>""</f>
        <v/>
      </c>
      <c r="BR786" t="str">
        <f>""</f>
        <v/>
      </c>
      <c r="BS786" t="str">
        <f>""</f>
        <v/>
      </c>
      <c r="BT786" t="str">
        <f>""</f>
        <v/>
      </c>
      <c r="BU786" t="str">
        <f>""</f>
        <v/>
      </c>
      <c r="BV786" t="str">
        <f>""</f>
        <v/>
      </c>
      <c r="BW786" t="str">
        <f>""</f>
        <v/>
      </c>
      <c r="BX786" t="str">
        <f>""</f>
        <v/>
      </c>
      <c r="BY786" t="str">
        <f>""</f>
        <v/>
      </c>
      <c r="BZ786" t="str">
        <f>""</f>
        <v/>
      </c>
      <c r="CA786" t="str">
        <f>""</f>
        <v/>
      </c>
      <c r="CB786" t="str">
        <f>""</f>
        <v/>
      </c>
      <c r="CC786" t="str">
        <f>""</f>
        <v/>
      </c>
      <c r="CD786" t="str">
        <f>""</f>
        <v/>
      </c>
      <c r="CE786" t="str">
        <f>""</f>
        <v/>
      </c>
      <c r="CF786" t="str">
        <f>""</f>
        <v/>
      </c>
      <c r="CG786" t="str">
        <f>""</f>
        <v/>
      </c>
      <c r="CH786" t="str">
        <f>""</f>
        <v/>
      </c>
      <c r="CI786" t="str">
        <f>""</f>
        <v/>
      </c>
      <c r="CJ786" t="str">
        <f>""</f>
        <v/>
      </c>
      <c r="CK786" t="str">
        <f>""</f>
        <v/>
      </c>
      <c r="CL786" t="str">
        <f>""</f>
        <v/>
      </c>
      <c r="CM786" t="str">
        <f>""</f>
        <v/>
      </c>
      <c r="CN786" t="str">
        <f>""</f>
        <v/>
      </c>
      <c r="CO786" t="str">
        <f>""</f>
        <v/>
      </c>
      <c r="CP786" t="str">
        <f>""</f>
        <v/>
      </c>
      <c r="CQ786" t="str">
        <f>""</f>
        <v/>
      </c>
      <c r="CR786" t="str">
        <f>""</f>
        <v/>
      </c>
      <c r="CS786" t="str">
        <f>""</f>
        <v/>
      </c>
      <c r="CT786" t="str">
        <f>""</f>
        <v/>
      </c>
      <c r="CU786" t="str">
        <f>""</f>
        <v/>
      </c>
      <c r="CV786" t="str">
        <f>""</f>
        <v/>
      </c>
      <c r="CW786" t="str">
        <f>""</f>
        <v/>
      </c>
      <c r="CX786" t="str">
        <f>""</f>
        <v/>
      </c>
      <c r="CY786" t="str">
        <f>""</f>
        <v/>
      </c>
      <c r="CZ786" t="str">
        <f>""</f>
        <v/>
      </c>
      <c r="DA786" t="str">
        <f>""</f>
        <v/>
      </c>
      <c r="DB786" t="str">
        <f>""</f>
        <v/>
      </c>
      <c r="DC786" t="str">
        <f>""</f>
        <v/>
      </c>
      <c r="DD786" t="str">
        <f>""</f>
        <v/>
      </c>
      <c r="DE786" t="str">
        <f>""</f>
        <v/>
      </c>
      <c r="DF786" t="str">
        <f>""</f>
        <v/>
      </c>
      <c r="DG786" t="str">
        <f>""</f>
        <v/>
      </c>
      <c r="DH786" t="str">
        <f>""</f>
        <v/>
      </c>
      <c r="DI786" t="str">
        <f>""</f>
        <v/>
      </c>
      <c r="DJ786" t="str">
        <f>""</f>
        <v/>
      </c>
      <c r="DK786" t="str">
        <f>""</f>
        <v/>
      </c>
      <c r="DL786" t="str">
        <f>""</f>
        <v/>
      </c>
      <c r="DM786" t="str">
        <f>""</f>
        <v/>
      </c>
      <c r="DN786" t="str">
        <f>""</f>
        <v/>
      </c>
      <c r="DO786" t="str">
        <f>""</f>
        <v/>
      </c>
      <c r="DP786" t="str">
        <f>""</f>
        <v/>
      </c>
      <c r="DQ786" t="str">
        <f>""</f>
        <v/>
      </c>
      <c r="DR786" t="str">
        <f>""</f>
        <v/>
      </c>
      <c r="DS786" t="str">
        <f>""</f>
        <v/>
      </c>
      <c r="DT786" t="str">
        <f>""</f>
        <v/>
      </c>
      <c r="DU786" t="str">
        <f>""</f>
        <v/>
      </c>
    </row>
    <row r="787" spans="1:125" x14ac:dyDescent="0.25">
      <c r="A787" t="str">
        <f>$A$284</f>
        <v xml:space="preserve">    Tesla Inc</v>
      </c>
      <c r="B787" t="str">
        <f>$B$284</f>
        <v>TSLA US Equity</v>
      </c>
      <c r="C787" t="str">
        <f>$C$284</f>
        <v>RR010</v>
      </c>
      <c r="D787" t="str">
        <f>$D$284</f>
        <v>TOT_COMMON_EQY</v>
      </c>
      <c r="E787" t="str">
        <f>$E$284</f>
        <v>Dynamic</v>
      </c>
      <c r="F787" t="str">
        <f ca="1">_xll.BDH($B$284,$C$284,$B$509,$B$510,CONCATENATE("Per=",$B$507),"Dts=H","Dir=H",CONCATENATE("Points=",$B$508),"Sort=R","Days=A","Fill=B",CONCATENATE("FX=", $B$506) )</f>
        <v>#N/A Connection</v>
      </c>
      <c r="BN787" t="str">
        <f>""</f>
        <v/>
      </c>
      <c r="BO787" t="str">
        <f>""</f>
        <v/>
      </c>
      <c r="BP787" t="str">
        <f>""</f>
        <v/>
      </c>
      <c r="BQ787" t="str">
        <f>""</f>
        <v/>
      </c>
      <c r="BR787" t="str">
        <f>""</f>
        <v/>
      </c>
      <c r="BS787" t="str">
        <f>""</f>
        <v/>
      </c>
      <c r="BT787" t="str">
        <f>""</f>
        <v/>
      </c>
      <c r="BU787" t="str">
        <f>""</f>
        <v/>
      </c>
      <c r="BV787" t="str">
        <f>""</f>
        <v/>
      </c>
      <c r="BW787" t="str">
        <f>""</f>
        <v/>
      </c>
      <c r="BX787" t="str">
        <f>""</f>
        <v/>
      </c>
      <c r="BY787" t="str">
        <f>""</f>
        <v/>
      </c>
      <c r="BZ787" t="str">
        <f>""</f>
        <v/>
      </c>
      <c r="CA787" t="str">
        <f>""</f>
        <v/>
      </c>
      <c r="CB787" t="str">
        <f>""</f>
        <v/>
      </c>
      <c r="CC787" t="str">
        <f>""</f>
        <v/>
      </c>
      <c r="CD787" t="str">
        <f>""</f>
        <v/>
      </c>
      <c r="CE787" t="str">
        <f>""</f>
        <v/>
      </c>
      <c r="CF787" t="str">
        <f>""</f>
        <v/>
      </c>
      <c r="CG787" t="str">
        <f>""</f>
        <v/>
      </c>
      <c r="CH787" t="str">
        <f>""</f>
        <v/>
      </c>
      <c r="CI787" t="str">
        <f>""</f>
        <v/>
      </c>
      <c r="CJ787" t="str">
        <f>""</f>
        <v/>
      </c>
      <c r="CK787" t="str">
        <f>""</f>
        <v/>
      </c>
      <c r="CL787" t="str">
        <f>""</f>
        <v/>
      </c>
      <c r="CM787" t="str">
        <f>""</f>
        <v/>
      </c>
      <c r="CN787" t="str">
        <f>""</f>
        <v/>
      </c>
      <c r="CO787" t="str">
        <f>""</f>
        <v/>
      </c>
      <c r="CP787" t="str">
        <f>""</f>
        <v/>
      </c>
      <c r="CQ787" t="str">
        <f>""</f>
        <v/>
      </c>
      <c r="CR787" t="str">
        <f>""</f>
        <v/>
      </c>
      <c r="CS787" t="str">
        <f>""</f>
        <v/>
      </c>
      <c r="CT787" t="str">
        <f>""</f>
        <v/>
      </c>
      <c r="CU787" t="str">
        <f>""</f>
        <v/>
      </c>
      <c r="CV787" t="str">
        <f>""</f>
        <v/>
      </c>
      <c r="CW787" t="str">
        <f>""</f>
        <v/>
      </c>
      <c r="CX787" t="str">
        <f>""</f>
        <v/>
      </c>
      <c r="CY787" t="str">
        <f>""</f>
        <v/>
      </c>
      <c r="CZ787" t="str">
        <f>""</f>
        <v/>
      </c>
      <c r="DA787" t="str">
        <f>""</f>
        <v/>
      </c>
      <c r="DB787" t="str">
        <f>""</f>
        <v/>
      </c>
      <c r="DC787" t="str">
        <f>""</f>
        <v/>
      </c>
      <c r="DD787" t="str">
        <f>""</f>
        <v/>
      </c>
      <c r="DE787" t="str">
        <f>""</f>
        <v/>
      </c>
      <c r="DF787" t="str">
        <f>""</f>
        <v/>
      </c>
      <c r="DG787" t="str">
        <f>""</f>
        <v/>
      </c>
      <c r="DH787" t="str">
        <f>""</f>
        <v/>
      </c>
      <c r="DI787" t="str">
        <f>""</f>
        <v/>
      </c>
      <c r="DJ787" t="str">
        <f>""</f>
        <v/>
      </c>
      <c r="DK787" t="str">
        <f>""</f>
        <v/>
      </c>
      <c r="DL787" t="str">
        <f>""</f>
        <v/>
      </c>
      <c r="DM787" t="str">
        <f>""</f>
        <v/>
      </c>
      <c r="DN787" t="str">
        <f>""</f>
        <v/>
      </c>
      <c r="DO787" t="str">
        <f>""</f>
        <v/>
      </c>
      <c r="DP787" t="str">
        <f>""</f>
        <v/>
      </c>
      <c r="DQ787" t="str">
        <f>""</f>
        <v/>
      </c>
      <c r="DR787" t="str">
        <f>""</f>
        <v/>
      </c>
      <c r="DS787" t="str">
        <f>""</f>
        <v/>
      </c>
      <c r="DT787" t="str">
        <f>""</f>
        <v/>
      </c>
      <c r="DU787" t="str">
        <f>""</f>
        <v/>
      </c>
    </row>
    <row r="788" spans="1:125" x14ac:dyDescent="0.25">
      <c r="A788" t="str">
        <f>$A$285</f>
        <v xml:space="preserve">    Tianjin Faw Xiali Automobile Co Ltd</v>
      </c>
      <c r="B788" t="str">
        <f>$B$285</f>
        <v>000927 CH Equity</v>
      </c>
      <c r="C788" t="str">
        <f>$C$285</f>
        <v>RR010</v>
      </c>
      <c r="D788" t="str">
        <f>$D$285</f>
        <v>TOT_COMMON_EQY</v>
      </c>
      <c r="E788" t="str">
        <f>$E$285</f>
        <v>Dynamic</v>
      </c>
      <c r="F788" t="str">
        <f ca="1">_xll.BDH($B$285,$C$285,$B$509,$B$510,CONCATENATE("Per=",$B$507),"Dts=H","Dir=H",CONCATENATE("Points=",$B$508),"Sort=R","Days=A","Fill=B",CONCATENATE("FX=", $B$506) )</f>
        <v>#N/A Connection</v>
      </c>
      <c r="BN788" t="str">
        <f>""</f>
        <v/>
      </c>
      <c r="BO788" t="str">
        <f>""</f>
        <v/>
      </c>
      <c r="BP788" t="str">
        <f>""</f>
        <v/>
      </c>
      <c r="BQ788" t="str">
        <f>""</f>
        <v/>
      </c>
      <c r="BR788" t="str">
        <f>""</f>
        <v/>
      </c>
      <c r="BS788" t="str">
        <f>""</f>
        <v/>
      </c>
      <c r="BT788" t="str">
        <f>""</f>
        <v/>
      </c>
      <c r="BU788" t="str">
        <f>""</f>
        <v/>
      </c>
      <c r="BV788" t="str">
        <f>""</f>
        <v/>
      </c>
      <c r="BW788" t="str">
        <f>""</f>
        <v/>
      </c>
      <c r="BX788" t="str">
        <f>""</f>
        <v/>
      </c>
      <c r="BY788" t="str">
        <f>""</f>
        <v/>
      </c>
      <c r="BZ788" t="str">
        <f>""</f>
        <v/>
      </c>
      <c r="CA788" t="str">
        <f>""</f>
        <v/>
      </c>
      <c r="CB788" t="str">
        <f>""</f>
        <v/>
      </c>
      <c r="CC788" t="str">
        <f>""</f>
        <v/>
      </c>
      <c r="CD788" t="str">
        <f>""</f>
        <v/>
      </c>
      <c r="CE788" t="str">
        <f>""</f>
        <v/>
      </c>
      <c r="CF788" t="str">
        <f>""</f>
        <v/>
      </c>
      <c r="CG788" t="str">
        <f>""</f>
        <v/>
      </c>
      <c r="CH788" t="str">
        <f>""</f>
        <v/>
      </c>
      <c r="CI788" t="str">
        <f>""</f>
        <v/>
      </c>
      <c r="CJ788" t="str">
        <f>""</f>
        <v/>
      </c>
      <c r="CK788" t="str">
        <f>""</f>
        <v/>
      </c>
      <c r="CL788" t="str">
        <f>""</f>
        <v/>
      </c>
      <c r="CM788" t="str">
        <f>""</f>
        <v/>
      </c>
      <c r="CN788" t="str">
        <f>""</f>
        <v/>
      </c>
      <c r="CO788" t="str">
        <f>""</f>
        <v/>
      </c>
      <c r="CP788" t="str">
        <f>""</f>
        <v/>
      </c>
      <c r="CQ788" t="str">
        <f>""</f>
        <v/>
      </c>
      <c r="CR788" t="str">
        <f>""</f>
        <v/>
      </c>
      <c r="CS788" t="str">
        <f>""</f>
        <v/>
      </c>
      <c r="CT788" t="str">
        <f>""</f>
        <v/>
      </c>
      <c r="CU788" t="str">
        <f>""</f>
        <v/>
      </c>
      <c r="CV788" t="str">
        <f>""</f>
        <v/>
      </c>
      <c r="CW788" t="str">
        <f>""</f>
        <v/>
      </c>
      <c r="CX788" t="str">
        <f>""</f>
        <v/>
      </c>
      <c r="CY788" t="str">
        <f>""</f>
        <v/>
      </c>
      <c r="CZ788" t="str">
        <f>""</f>
        <v/>
      </c>
      <c r="DA788" t="str">
        <f>""</f>
        <v/>
      </c>
      <c r="DB788" t="str">
        <f>""</f>
        <v/>
      </c>
      <c r="DC788" t="str">
        <f>""</f>
        <v/>
      </c>
      <c r="DD788" t="str">
        <f>""</f>
        <v/>
      </c>
      <c r="DE788" t="str">
        <f>""</f>
        <v/>
      </c>
      <c r="DF788" t="str">
        <f>""</f>
        <v/>
      </c>
      <c r="DG788" t="str">
        <f>""</f>
        <v/>
      </c>
      <c r="DH788" t="str">
        <f>""</f>
        <v/>
      </c>
      <c r="DI788" t="str">
        <f>""</f>
        <v/>
      </c>
      <c r="DJ788" t="str">
        <f>""</f>
        <v/>
      </c>
      <c r="DK788" t="str">
        <f>""</f>
        <v/>
      </c>
      <c r="DL788" t="str">
        <f>""</f>
        <v/>
      </c>
      <c r="DM788" t="str">
        <f>""</f>
        <v/>
      </c>
      <c r="DN788" t="str">
        <f>""</f>
        <v/>
      </c>
      <c r="DO788" t="str">
        <f>""</f>
        <v/>
      </c>
      <c r="DP788" t="str">
        <f>""</f>
        <v/>
      </c>
      <c r="DQ788" t="str">
        <f>""</f>
        <v/>
      </c>
      <c r="DR788" t="str">
        <f>""</f>
        <v/>
      </c>
      <c r="DS788" t="str">
        <f>""</f>
        <v/>
      </c>
      <c r="DT788" t="str">
        <f>""</f>
        <v/>
      </c>
      <c r="DU788" t="str">
        <f>""</f>
        <v/>
      </c>
    </row>
    <row r="789" spans="1:125" x14ac:dyDescent="0.25">
      <c r="A789" t="str">
        <f>$A$286</f>
        <v xml:space="preserve">    Tofas Turk Otomobil Fabrikasi AS</v>
      </c>
      <c r="B789" t="str">
        <f>$B$286</f>
        <v>TOASOTRY EO Equity</v>
      </c>
      <c r="C789" t="str">
        <f>$C$286</f>
        <v>RR010</v>
      </c>
      <c r="D789" t="str">
        <f>$D$286</f>
        <v>TOT_COMMON_EQY</v>
      </c>
      <c r="E789" t="str">
        <f>$E$286</f>
        <v>Dynamic</v>
      </c>
      <c r="F789" t="str">
        <f ca="1">_xll.BDH($B$286,$C$286,$B$509,$B$510,CONCATENATE("Per=",$B$507),"Dts=H","Dir=H",CONCATENATE("Points=",$B$508),"Sort=R","Days=A","Fill=B",CONCATENATE("FX=", $B$506) )</f>
        <v>#N/A Connection</v>
      </c>
      <c r="BN789" t="str">
        <f>""</f>
        <v/>
      </c>
      <c r="BO789" t="str">
        <f>""</f>
        <v/>
      </c>
      <c r="BP789" t="str">
        <f>""</f>
        <v/>
      </c>
      <c r="BQ789" t="str">
        <f>""</f>
        <v/>
      </c>
      <c r="BR789" t="str">
        <f>""</f>
        <v/>
      </c>
      <c r="BS789" t="str">
        <f>""</f>
        <v/>
      </c>
      <c r="BT789" t="str">
        <f>""</f>
        <v/>
      </c>
      <c r="BU789" t="str">
        <f>""</f>
        <v/>
      </c>
      <c r="BV789" t="str">
        <f>""</f>
        <v/>
      </c>
      <c r="BW789" t="str">
        <f>""</f>
        <v/>
      </c>
      <c r="BX789" t="str">
        <f>""</f>
        <v/>
      </c>
      <c r="BY789" t="str">
        <f>""</f>
        <v/>
      </c>
      <c r="BZ789" t="str">
        <f>""</f>
        <v/>
      </c>
      <c r="CA789" t="str">
        <f>""</f>
        <v/>
      </c>
      <c r="CB789" t="str">
        <f>""</f>
        <v/>
      </c>
      <c r="CC789" t="str">
        <f>""</f>
        <v/>
      </c>
      <c r="CD789" t="str">
        <f>""</f>
        <v/>
      </c>
      <c r="CE789" t="str">
        <f>""</f>
        <v/>
      </c>
      <c r="CF789" t="str">
        <f>""</f>
        <v/>
      </c>
      <c r="CG789" t="str">
        <f>""</f>
        <v/>
      </c>
      <c r="CH789" t="str">
        <f>""</f>
        <v/>
      </c>
      <c r="CI789" t="str">
        <f>""</f>
        <v/>
      </c>
      <c r="CJ789" t="str">
        <f>""</f>
        <v/>
      </c>
      <c r="CK789" t="str">
        <f>""</f>
        <v/>
      </c>
      <c r="CL789" t="str">
        <f>""</f>
        <v/>
      </c>
      <c r="CM789" t="str">
        <f>""</f>
        <v/>
      </c>
      <c r="CN789" t="str">
        <f>""</f>
        <v/>
      </c>
      <c r="CO789" t="str">
        <f>""</f>
        <v/>
      </c>
      <c r="CP789" t="str">
        <f>""</f>
        <v/>
      </c>
      <c r="CQ789" t="str">
        <f>""</f>
        <v/>
      </c>
      <c r="CR789" t="str">
        <f>""</f>
        <v/>
      </c>
      <c r="CS789" t="str">
        <f>""</f>
        <v/>
      </c>
      <c r="CT789" t="str">
        <f>""</f>
        <v/>
      </c>
      <c r="CU789" t="str">
        <f>""</f>
        <v/>
      </c>
      <c r="CV789" t="str">
        <f>""</f>
        <v/>
      </c>
      <c r="CW789" t="str">
        <f>""</f>
        <v/>
      </c>
      <c r="CX789" t="str">
        <f>""</f>
        <v/>
      </c>
      <c r="CY789" t="str">
        <f>""</f>
        <v/>
      </c>
      <c r="CZ789" t="str">
        <f>""</f>
        <v/>
      </c>
      <c r="DA789" t="str">
        <f>""</f>
        <v/>
      </c>
      <c r="DB789" t="str">
        <f>""</f>
        <v/>
      </c>
      <c r="DC789" t="str">
        <f>""</f>
        <v/>
      </c>
      <c r="DD789" t="str">
        <f>""</f>
        <v/>
      </c>
      <c r="DE789" t="str">
        <f>""</f>
        <v/>
      </c>
      <c r="DF789" t="str">
        <f>""</f>
        <v/>
      </c>
      <c r="DG789" t="str">
        <f>""</f>
        <v/>
      </c>
      <c r="DH789" t="str">
        <f>""</f>
        <v/>
      </c>
      <c r="DI789" t="str">
        <f>""</f>
        <v/>
      </c>
      <c r="DJ789" t="str">
        <f>""</f>
        <v/>
      </c>
      <c r="DK789" t="str">
        <f>""</f>
        <v/>
      </c>
      <c r="DL789" t="str">
        <f>""</f>
        <v/>
      </c>
      <c r="DM789" t="str">
        <f>""</f>
        <v/>
      </c>
      <c r="DN789" t="str">
        <f>""</f>
        <v/>
      </c>
      <c r="DO789" t="str">
        <f>""</f>
        <v/>
      </c>
      <c r="DP789" t="str">
        <f>""</f>
        <v/>
      </c>
      <c r="DQ789" t="str">
        <f>""</f>
        <v/>
      </c>
      <c r="DR789" t="str">
        <f>""</f>
        <v/>
      </c>
      <c r="DS789" t="str">
        <f>""</f>
        <v/>
      </c>
      <c r="DT789" t="str">
        <f>""</f>
        <v/>
      </c>
      <c r="DU789" t="str">
        <f>""</f>
        <v/>
      </c>
    </row>
    <row r="790" spans="1:125" x14ac:dyDescent="0.25">
      <c r="A790" t="str">
        <f>$A$287</f>
        <v xml:space="preserve">    Toyota Motor Corp</v>
      </c>
      <c r="B790" t="str">
        <f>$B$287</f>
        <v>7203 JP Equity</v>
      </c>
      <c r="C790" t="str">
        <f>$C$287</f>
        <v>RR010</v>
      </c>
      <c r="D790" t="str">
        <f>$D$287</f>
        <v>TOT_COMMON_EQY</v>
      </c>
      <c r="E790" t="str">
        <f>$E$287</f>
        <v>Dynamic</v>
      </c>
      <c r="F790" t="str">
        <f ca="1">_xll.BDH($B$287,$C$287,$B$509,$B$510,CONCATENATE("Per=",$B$507),"Dts=H","Dir=H",CONCATENATE("Points=",$B$508),"Sort=R","Days=A","Fill=B",CONCATENATE("FX=", $B$506) )</f>
        <v>#N/A Connection</v>
      </c>
      <c r="BN790" t="str">
        <f>""</f>
        <v/>
      </c>
      <c r="BO790" t="str">
        <f>""</f>
        <v/>
      </c>
      <c r="BP790" t="str">
        <f>""</f>
        <v/>
      </c>
      <c r="BQ790" t="str">
        <f>""</f>
        <v/>
      </c>
      <c r="BR790" t="str">
        <f>""</f>
        <v/>
      </c>
      <c r="BS790" t="str">
        <f>""</f>
        <v/>
      </c>
      <c r="BT790" t="str">
        <f>""</f>
        <v/>
      </c>
      <c r="BU790" t="str">
        <f>""</f>
        <v/>
      </c>
      <c r="BV790" t="str">
        <f>""</f>
        <v/>
      </c>
      <c r="BW790" t="str">
        <f>""</f>
        <v/>
      </c>
      <c r="BX790" t="str">
        <f>""</f>
        <v/>
      </c>
      <c r="BY790" t="str">
        <f>""</f>
        <v/>
      </c>
      <c r="BZ790" t="str">
        <f>""</f>
        <v/>
      </c>
      <c r="CA790" t="str">
        <f>""</f>
        <v/>
      </c>
      <c r="CB790" t="str">
        <f>""</f>
        <v/>
      </c>
      <c r="CC790" t="str">
        <f>""</f>
        <v/>
      </c>
      <c r="CD790" t="str">
        <f>""</f>
        <v/>
      </c>
      <c r="CE790" t="str">
        <f>""</f>
        <v/>
      </c>
      <c r="CF790" t="str">
        <f>""</f>
        <v/>
      </c>
      <c r="CG790" t="str">
        <f>""</f>
        <v/>
      </c>
      <c r="CH790" t="str">
        <f>""</f>
        <v/>
      </c>
      <c r="CI790" t="str">
        <f>""</f>
        <v/>
      </c>
      <c r="CJ790" t="str">
        <f>""</f>
        <v/>
      </c>
      <c r="CK790" t="str">
        <f>""</f>
        <v/>
      </c>
      <c r="CL790" t="str">
        <f>""</f>
        <v/>
      </c>
      <c r="CM790" t="str">
        <f>""</f>
        <v/>
      </c>
      <c r="CN790" t="str">
        <f>""</f>
        <v/>
      </c>
      <c r="CO790" t="str">
        <f>""</f>
        <v/>
      </c>
      <c r="CP790" t="str">
        <f>""</f>
        <v/>
      </c>
      <c r="CQ790" t="str">
        <f>""</f>
        <v/>
      </c>
      <c r="CR790" t="str">
        <f>""</f>
        <v/>
      </c>
      <c r="CS790" t="str">
        <f>""</f>
        <v/>
      </c>
      <c r="CT790" t="str">
        <f>""</f>
        <v/>
      </c>
      <c r="CU790" t="str">
        <f>""</f>
        <v/>
      </c>
      <c r="CV790" t="str">
        <f>""</f>
        <v/>
      </c>
      <c r="CW790" t="str">
        <f>""</f>
        <v/>
      </c>
      <c r="CX790" t="str">
        <f>""</f>
        <v/>
      </c>
      <c r="CY790" t="str">
        <f>""</f>
        <v/>
      </c>
      <c r="CZ790" t="str">
        <f>""</f>
        <v/>
      </c>
      <c r="DA790" t="str">
        <f>""</f>
        <v/>
      </c>
      <c r="DB790" t="str">
        <f>""</f>
        <v/>
      </c>
      <c r="DC790" t="str">
        <f>""</f>
        <v/>
      </c>
      <c r="DD790" t="str">
        <f>""</f>
        <v/>
      </c>
      <c r="DE790" t="str">
        <f>""</f>
        <v/>
      </c>
      <c r="DF790" t="str">
        <f>""</f>
        <v/>
      </c>
      <c r="DG790" t="str">
        <f>""</f>
        <v/>
      </c>
      <c r="DH790" t="str">
        <f>""</f>
        <v/>
      </c>
      <c r="DI790" t="str">
        <f>""</f>
        <v/>
      </c>
      <c r="DJ790" t="str">
        <f>""</f>
        <v/>
      </c>
      <c r="DK790" t="str">
        <f>""</f>
        <v/>
      </c>
      <c r="DL790" t="str">
        <f>""</f>
        <v/>
      </c>
      <c r="DM790" t="str">
        <f>""</f>
        <v/>
      </c>
      <c r="DN790" t="str">
        <f>""</f>
        <v/>
      </c>
      <c r="DO790" t="str">
        <f>""</f>
        <v/>
      </c>
      <c r="DP790" t="str">
        <f>""</f>
        <v/>
      </c>
      <c r="DQ790" t="str">
        <f>""</f>
        <v/>
      </c>
      <c r="DR790" t="str">
        <f>""</f>
        <v/>
      </c>
      <c r="DS790" t="str">
        <f>""</f>
        <v/>
      </c>
      <c r="DT790" t="str">
        <f>""</f>
        <v/>
      </c>
      <c r="DU790" t="str">
        <f>""</f>
        <v/>
      </c>
    </row>
    <row r="791" spans="1:125" x14ac:dyDescent="0.25">
      <c r="A791" t="str">
        <f>$A$288</f>
        <v xml:space="preserve">    Volkswagen AG</v>
      </c>
      <c r="B791" t="str">
        <f>$B$288</f>
        <v>VOW GR Equity</v>
      </c>
      <c r="C791" t="str">
        <f>$C$288</f>
        <v>RR010</v>
      </c>
      <c r="D791" t="str">
        <f>$D$288</f>
        <v>TOT_COMMON_EQY</v>
      </c>
      <c r="E791" t="str">
        <f>$E$288</f>
        <v>Dynamic</v>
      </c>
      <c r="F791" t="str">
        <f ca="1">_xll.BDH($B$288,$C$288,$B$509,$B$510,CONCATENATE("Per=",$B$507),"Dts=H","Dir=H",CONCATENATE("Points=",$B$508),"Sort=R","Days=A","Fill=B",CONCATENATE("FX=", $B$506) )</f>
        <v>#N/A Connection</v>
      </c>
      <c r="BN791" t="str">
        <f>""</f>
        <v/>
      </c>
      <c r="BO791" t="str">
        <f>""</f>
        <v/>
      </c>
      <c r="BP791" t="str">
        <f>""</f>
        <v/>
      </c>
      <c r="BQ791" t="str">
        <f>""</f>
        <v/>
      </c>
      <c r="BR791" t="str">
        <f>""</f>
        <v/>
      </c>
      <c r="BS791" t="str">
        <f>""</f>
        <v/>
      </c>
      <c r="BT791" t="str">
        <f>""</f>
        <v/>
      </c>
      <c r="BU791" t="str">
        <f>""</f>
        <v/>
      </c>
      <c r="BV791" t="str">
        <f>""</f>
        <v/>
      </c>
      <c r="BW791" t="str">
        <f>""</f>
        <v/>
      </c>
      <c r="BX791" t="str">
        <f>""</f>
        <v/>
      </c>
      <c r="BY791" t="str">
        <f>""</f>
        <v/>
      </c>
      <c r="BZ791" t="str">
        <f>""</f>
        <v/>
      </c>
      <c r="CA791" t="str">
        <f>""</f>
        <v/>
      </c>
      <c r="CB791" t="str">
        <f>""</f>
        <v/>
      </c>
      <c r="CC791" t="str">
        <f>""</f>
        <v/>
      </c>
      <c r="CD791" t="str">
        <f>""</f>
        <v/>
      </c>
      <c r="CE791" t="str">
        <f>""</f>
        <v/>
      </c>
      <c r="CF791" t="str">
        <f>""</f>
        <v/>
      </c>
      <c r="CG791" t="str">
        <f>""</f>
        <v/>
      </c>
      <c r="CH791" t="str">
        <f>""</f>
        <v/>
      </c>
      <c r="CI791" t="str">
        <f>""</f>
        <v/>
      </c>
      <c r="CJ791" t="str">
        <f>""</f>
        <v/>
      </c>
      <c r="CK791" t="str">
        <f>""</f>
        <v/>
      </c>
      <c r="CL791" t="str">
        <f>""</f>
        <v/>
      </c>
      <c r="CM791" t="str">
        <f>""</f>
        <v/>
      </c>
      <c r="CN791" t="str">
        <f>""</f>
        <v/>
      </c>
      <c r="CO791" t="str">
        <f>""</f>
        <v/>
      </c>
      <c r="CP791" t="str">
        <f>""</f>
        <v/>
      </c>
      <c r="CQ791" t="str">
        <f>""</f>
        <v/>
      </c>
      <c r="CR791" t="str">
        <f>""</f>
        <v/>
      </c>
      <c r="CS791" t="str">
        <f>""</f>
        <v/>
      </c>
      <c r="CT791" t="str">
        <f>""</f>
        <v/>
      </c>
      <c r="CU791" t="str">
        <f>""</f>
        <v/>
      </c>
      <c r="CV791" t="str">
        <f>""</f>
        <v/>
      </c>
      <c r="CW791" t="str">
        <f>""</f>
        <v/>
      </c>
      <c r="CX791" t="str">
        <f>""</f>
        <v/>
      </c>
      <c r="CY791" t="str">
        <f>""</f>
        <v/>
      </c>
      <c r="CZ791" t="str">
        <f>""</f>
        <v/>
      </c>
      <c r="DA791" t="str">
        <f>""</f>
        <v/>
      </c>
      <c r="DB791" t="str">
        <f>""</f>
        <v/>
      </c>
      <c r="DC791" t="str">
        <f>""</f>
        <v/>
      </c>
      <c r="DD791" t="str">
        <f>""</f>
        <v/>
      </c>
      <c r="DE791" t="str">
        <f>""</f>
        <v/>
      </c>
      <c r="DF791" t="str">
        <f>""</f>
        <v/>
      </c>
      <c r="DG791" t="str">
        <f>""</f>
        <v/>
      </c>
      <c r="DH791" t="str">
        <f>""</f>
        <v/>
      </c>
      <c r="DI791" t="str">
        <f>""</f>
        <v/>
      </c>
      <c r="DJ791" t="str">
        <f>""</f>
        <v/>
      </c>
      <c r="DK791" t="str">
        <f>""</f>
        <v/>
      </c>
      <c r="DL791" t="str">
        <f>""</f>
        <v/>
      </c>
      <c r="DM791" t="str">
        <f>""</f>
        <v/>
      </c>
      <c r="DN791" t="str">
        <f>""</f>
        <v/>
      </c>
      <c r="DO791" t="str">
        <f>""</f>
        <v/>
      </c>
      <c r="DP791" t="str">
        <f>""</f>
        <v/>
      </c>
      <c r="DQ791" t="str">
        <f>""</f>
        <v/>
      </c>
      <c r="DR791" t="str">
        <f>""</f>
        <v/>
      </c>
      <c r="DS791" t="str">
        <f>""</f>
        <v/>
      </c>
      <c r="DT791" t="str">
        <f>""</f>
        <v/>
      </c>
      <c r="DU791" t="str">
        <f>""</f>
        <v/>
      </c>
    </row>
    <row r="792" spans="1:125" x14ac:dyDescent="0.25">
      <c r="A792" t="str">
        <f>$A$289</f>
        <v xml:space="preserve">    Yulon Motor Co Ltd</v>
      </c>
      <c r="B792" t="str">
        <f>$B$289</f>
        <v>2201 TT Equity</v>
      </c>
      <c r="C792" t="str">
        <f>$C$289</f>
        <v>RR010</v>
      </c>
      <c r="D792" t="str">
        <f>$D$289</f>
        <v>TOT_COMMON_EQY</v>
      </c>
      <c r="E792" t="str">
        <f>$E$289</f>
        <v>Dynamic</v>
      </c>
      <c r="F792" t="str">
        <f ca="1">_xll.BDH($B$289,$C$289,$B$509,$B$510,CONCATENATE("Per=",$B$507),"Dts=H","Dir=H",CONCATENATE("Points=",$B$508),"Sort=R","Days=A","Fill=B",CONCATENATE("FX=", $B$506) )</f>
        <v>#N/A Connection</v>
      </c>
      <c r="BN792" t="str">
        <f>""</f>
        <v/>
      </c>
      <c r="BO792" t="str">
        <f>""</f>
        <v/>
      </c>
      <c r="BP792" t="str">
        <f>""</f>
        <v/>
      </c>
      <c r="BQ792" t="str">
        <f>""</f>
        <v/>
      </c>
      <c r="BR792" t="str">
        <f>""</f>
        <v/>
      </c>
      <c r="BS792" t="str">
        <f>""</f>
        <v/>
      </c>
      <c r="BT792" t="str">
        <f>""</f>
        <v/>
      </c>
      <c r="BU792" t="str">
        <f>""</f>
        <v/>
      </c>
      <c r="BV792" t="str">
        <f>""</f>
        <v/>
      </c>
      <c r="BW792" t="str">
        <f>""</f>
        <v/>
      </c>
      <c r="BX792" t="str">
        <f>""</f>
        <v/>
      </c>
      <c r="BY792" t="str">
        <f>""</f>
        <v/>
      </c>
      <c r="BZ792" t="str">
        <f>""</f>
        <v/>
      </c>
      <c r="CA792" t="str">
        <f>""</f>
        <v/>
      </c>
      <c r="CB792" t="str">
        <f>""</f>
        <v/>
      </c>
      <c r="CC792" t="str">
        <f>""</f>
        <v/>
      </c>
      <c r="CD792" t="str">
        <f>""</f>
        <v/>
      </c>
      <c r="CE792" t="str">
        <f>""</f>
        <v/>
      </c>
      <c r="CF792" t="str">
        <f>""</f>
        <v/>
      </c>
      <c r="CG792" t="str">
        <f>""</f>
        <v/>
      </c>
      <c r="CH792" t="str">
        <f>""</f>
        <v/>
      </c>
      <c r="CI792" t="str">
        <f>""</f>
        <v/>
      </c>
      <c r="CJ792" t="str">
        <f>""</f>
        <v/>
      </c>
      <c r="CK792" t="str">
        <f>""</f>
        <v/>
      </c>
      <c r="CL792" t="str">
        <f>""</f>
        <v/>
      </c>
      <c r="CM792" t="str">
        <f>""</f>
        <v/>
      </c>
      <c r="CN792" t="str">
        <f>""</f>
        <v/>
      </c>
      <c r="CO792" t="str">
        <f>""</f>
        <v/>
      </c>
      <c r="CP792" t="str">
        <f>""</f>
        <v/>
      </c>
      <c r="CQ792" t="str">
        <f>""</f>
        <v/>
      </c>
      <c r="CR792" t="str">
        <f>""</f>
        <v/>
      </c>
      <c r="CS792" t="str">
        <f>""</f>
        <v/>
      </c>
      <c r="CT792" t="str">
        <f>""</f>
        <v/>
      </c>
      <c r="CU792" t="str">
        <f>""</f>
        <v/>
      </c>
      <c r="CV792" t="str">
        <f>""</f>
        <v/>
      </c>
      <c r="CW792" t="str">
        <f>""</f>
        <v/>
      </c>
      <c r="CX792" t="str">
        <f>""</f>
        <v/>
      </c>
      <c r="CY792" t="str">
        <f>""</f>
        <v/>
      </c>
      <c r="CZ792" t="str">
        <f>""</f>
        <v/>
      </c>
      <c r="DA792" t="str">
        <f>""</f>
        <v/>
      </c>
      <c r="DB792" t="str">
        <f>""</f>
        <v/>
      </c>
      <c r="DC792" t="str">
        <f>""</f>
        <v/>
      </c>
      <c r="DD792" t="str">
        <f>""</f>
        <v/>
      </c>
      <c r="DE792" t="str">
        <f>""</f>
        <v/>
      </c>
      <c r="DF792" t="str">
        <f>""</f>
        <v/>
      </c>
      <c r="DG792" t="str">
        <f>""</f>
        <v/>
      </c>
      <c r="DH792" t="str">
        <f>""</f>
        <v/>
      </c>
      <c r="DI792" t="str">
        <f>""</f>
        <v/>
      </c>
      <c r="DJ792" t="str">
        <f>""</f>
        <v/>
      </c>
      <c r="DK792" t="str">
        <f>""</f>
        <v/>
      </c>
      <c r="DL792" t="str">
        <f>""</f>
        <v/>
      </c>
      <c r="DM792" t="str">
        <f>""</f>
        <v/>
      </c>
      <c r="DN792" t="str">
        <f>""</f>
        <v/>
      </c>
      <c r="DO792" t="str">
        <f>""</f>
        <v/>
      </c>
      <c r="DP792" t="str">
        <f>""</f>
        <v/>
      </c>
      <c r="DQ792" t="str">
        <f>""</f>
        <v/>
      </c>
      <c r="DR792" t="str">
        <f>""</f>
        <v/>
      </c>
      <c r="DS792" t="str">
        <f>""</f>
        <v/>
      </c>
      <c r="DT792" t="str">
        <f>""</f>
        <v/>
      </c>
      <c r="DU792" t="str">
        <f>""</f>
        <v/>
      </c>
    </row>
    <row r="793" spans="1:125" x14ac:dyDescent="0.25">
      <c r="A793" t="str">
        <f>$A$291</f>
        <v xml:space="preserve">    AUDI AG</v>
      </c>
      <c r="B793" t="str">
        <f>$B$291</f>
        <v>NSU GR Equity</v>
      </c>
      <c r="C793" t="str">
        <f>$C$291</f>
        <v>RR179</v>
      </c>
      <c r="D793" t="str">
        <f>$D$291</f>
        <v>TANGIBLE_COMMON_EQUITY</v>
      </c>
      <c r="E793" t="str">
        <f>$E$291</f>
        <v>Dynamic</v>
      </c>
      <c r="F793" t="str">
        <f ca="1">_xll.BDH($B$291,$C$291,$B$509,$B$510,CONCATENATE("Per=",$B$507),"Dts=H","Dir=H",CONCATENATE("Points=",$B$508),"Sort=R","Days=A","Fill=B",CONCATENATE("FX=", $B$506) )</f>
        <v>#N/A Connection</v>
      </c>
      <c r="BN793" t="str">
        <f>""</f>
        <v/>
      </c>
      <c r="BO793" t="str">
        <f>""</f>
        <v/>
      </c>
      <c r="BP793" t="str">
        <f>""</f>
        <v/>
      </c>
      <c r="BQ793" t="str">
        <f>""</f>
        <v/>
      </c>
      <c r="BR793" t="str">
        <f>""</f>
        <v/>
      </c>
      <c r="BS793" t="str">
        <f>""</f>
        <v/>
      </c>
      <c r="BT793" t="str">
        <f>""</f>
        <v/>
      </c>
      <c r="BU793" t="str">
        <f>""</f>
        <v/>
      </c>
      <c r="BV793" t="str">
        <f>""</f>
        <v/>
      </c>
      <c r="BW793" t="str">
        <f>""</f>
        <v/>
      </c>
      <c r="BX793" t="str">
        <f>""</f>
        <v/>
      </c>
      <c r="BY793" t="str">
        <f>""</f>
        <v/>
      </c>
      <c r="BZ793" t="str">
        <f>""</f>
        <v/>
      </c>
      <c r="CA793" t="str">
        <f>""</f>
        <v/>
      </c>
      <c r="CB793" t="str">
        <f>""</f>
        <v/>
      </c>
      <c r="CC793" t="str">
        <f>""</f>
        <v/>
      </c>
      <c r="CD793" t="str">
        <f>""</f>
        <v/>
      </c>
      <c r="CE793" t="str">
        <f>""</f>
        <v/>
      </c>
      <c r="CF793" t="str">
        <f>""</f>
        <v/>
      </c>
      <c r="CG793" t="str">
        <f>""</f>
        <v/>
      </c>
      <c r="CH793" t="str">
        <f>""</f>
        <v/>
      </c>
      <c r="CI793" t="str">
        <f>""</f>
        <v/>
      </c>
      <c r="CJ793" t="str">
        <f>""</f>
        <v/>
      </c>
      <c r="CK793" t="str">
        <f>""</f>
        <v/>
      </c>
      <c r="CL793" t="str">
        <f>""</f>
        <v/>
      </c>
      <c r="CM793" t="str">
        <f>""</f>
        <v/>
      </c>
      <c r="CN793" t="str">
        <f>""</f>
        <v/>
      </c>
      <c r="CO793" t="str">
        <f>""</f>
        <v/>
      </c>
      <c r="CP793" t="str">
        <f>""</f>
        <v/>
      </c>
      <c r="CQ793" t="str">
        <f>""</f>
        <v/>
      </c>
      <c r="CR793" t="str">
        <f>""</f>
        <v/>
      </c>
      <c r="CS793" t="str">
        <f>""</f>
        <v/>
      </c>
      <c r="CT793" t="str">
        <f>""</f>
        <v/>
      </c>
      <c r="CU793" t="str">
        <f>""</f>
        <v/>
      </c>
      <c r="CV793" t="str">
        <f>""</f>
        <v/>
      </c>
      <c r="CW793" t="str">
        <f>""</f>
        <v/>
      </c>
      <c r="CX793" t="str">
        <f>""</f>
        <v/>
      </c>
      <c r="CY793" t="str">
        <f>""</f>
        <v/>
      </c>
      <c r="CZ793" t="str">
        <f>""</f>
        <v/>
      </c>
      <c r="DA793" t="str">
        <f>""</f>
        <v/>
      </c>
      <c r="DB793" t="str">
        <f>""</f>
        <v/>
      </c>
      <c r="DC793" t="str">
        <f>""</f>
        <v/>
      </c>
      <c r="DD793" t="str">
        <f>""</f>
        <v/>
      </c>
      <c r="DE793" t="str">
        <f>""</f>
        <v/>
      </c>
      <c r="DF793" t="str">
        <f>""</f>
        <v/>
      </c>
      <c r="DG793" t="str">
        <f>""</f>
        <v/>
      </c>
      <c r="DH793" t="str">
        <f>""</f>
        <v/>
      </c>
      <c r="DI793" t="str">
        <f>""</f>
        <v/>
      </c>
      <c r="DJ793" t="str">
        <f>""</f>
        <v/>
      </c>
      <c r="DK793" t="str">
        <f>""</f>
        <v/>
      </c>
      <c r="DL793" t="str">
        <f>""</f>
        <v/>
      </c>
      <c r="DM793" t="str">
        <f>""</f>
        <v/>
      </c>
      <c r="DN793" t="str">
        <f>""</f>
        <v/>
      </c>
      <c r="DO793" t="str">
        <f>""</f>
        <v/>
      </c>
      <c r="DP793" t="str">
        <f>""</f>
        <v/>
      </c>
      <c r="DQ793" t="str">
        <f>""</f>
        <v/>
      </c>
      <c r="DR793" t="str">
        <f>""</f>
        <v/>
      </c>
      <c r="DS793" t="str">
        <f>""</f>
        <v/>
      </c>
      <c r="DT793" t="str">
        <f>""</f>
        <v/>
      </c>
      <c r="DU793" t="str">
        <f>""</f>
        <v/>
      </c>
    </row>
    <row r="794" spans="1:125" x14ac:dyDescent="0.25">
      <c r="A794" t="str">
        <f>$A$292</f>
        <v xml:space="preserve">    Avtovaz PJSC</v>
      </c>
      <c r="B794" t="str">
        <f>$B$292</f>
        <v>AVAZ RM Equity</v>
      </c>
      <c r="C794" t="str">
        <f>$C$292</f>
        <v>RR179</v>
      </c>
      <c r="D794" t="str">
        <f>$D$292</f>
        <v>TANGIBLE_COMMON_EQUITY</v>
      </c>
      <c r="E794" t="str">
        <f>$E$292</f>
        <v>Dynamic</v>
      </c>
      <c r="F794" t="str">
        <f ca="1">_xll.BDH($B$292,$C$292,$B$509,$B$510,CONCATENATE("Per=",$B$507),"Dts=H","Dir=H",CONCATENATE("Points=",$B$508),"Sort=R","Days=A","Fill=B",CONCATENATE("FX=", $B$506) )</f>
        <v>#N/A Connection</v>
      </c>
      <c r="BN794" t="str">
        <f>""</f>
        <v/>
      </c>
      <c r="BO794" t="str">
        <f>""</f>
        <v/>
      </c>
      <c r="BP794" t="str">
        <f>""</f>
        <v/>
      </c>
      <c r="BQ794" t="str">
        <f>""</f>
        <v/>
      </c>
      <c r="BR794" t="str">
        <f>""</f>
        <v/>
      </c>
      <c r="BS794" t="str">
        <f>""</f>
        <v/>
      </c>
      <c r="BT794" t="str">
        <f>""</f>
        <v/>
      </c>
      <c r="BU794" t="str">
        <f>""</f>
        <v/>
      </c>
      <c r="BV794" t="str">
        <f>""</f>
        <v/>
      </c>
      <c r="BW794" t="str">
        <f>""</f>
        <v/>
      </c>
      <c r="BX794" t="str">
        <f>""</f>
        <v/>
      </c>
      <c r="BY794" t="str">
        <f>""</f>
        <v/>
      </c>
      <c r="BZ794" t="str">
        <f>""</f>
        <v/>
      </c>
      <c r="CA794" t="str">
        <f>""</f>
        <v/>
      </c>
      <c r="CB794" t="str">
        <f>""</f>
        <v/>
      </c>
      <c r="CC794" t="str">
        <f>""</f>
        <v/>
      </c>
      <c r="CD794" t="str">
        <f>""</f>
        <v/>
      </c>
      <c r="CE794" t="str">
        <f>""</f>
        <v/>
      </c>
      <c r="CF794" t="str">
        <f>""</f>
        <v/>
      </c>
      <c r="CG794" t="str">
        <f>""</f>
        <v/>
      </c>
      <c r="CH794" t="str">
        <f>""</f>
        <v/>
      </c>
      <c r="CI794" t="str">
        <f>""</f>
        <v/>
      </c>
      <c r="CJ794" t="str">
        <f>""</f>
        <v/>
      </c>
      <c r="CK794" t="str">
        <f>""</f>
        <v/>
      </c>
      <c r="CL794" t="str">
        <f>""</f>
        <v/>
      </c>
      <c r="CM794" t="str">
        <f>""</f>
        <v/>
      </c>
      <c r="CN794" t="str">
        <f>""</f>
        <v/>
      </c>
      <c r="CO794" t="str">
        <f>""</f>
        <v/>
      </c>
      <c r="CP794" t="str">
        <f>""</f>
        <v/>
      </c>
      <c r="CQ794" t="str">
        <f>""</f>
        <v/>
      </c>
      <c r="CR794" t="str">
        <f>""</f>
        <v/>
      </c>
      <c r="CS794" t="str">
        <f>""</f>
        <v/>
      </c>
      <c r="CT794" t="str">
        <f>""</f>
        <v/>
      </c>
      <c r="CU794" t="str">
        <f>""</f>
        <v/>
      </c>
      <c r="CV794" t="str">
        <f>""</f>
        <v/>
      </c>
      <c r="CW794" t="str">
        <f>""</f>
        <v/>
      </c>
      <c r="CX794" t="str">
        <f>""</f>
        <v/>
      </c>
      <c r="CY794" t="str">
        <f>""</f>
        <v/>
      </c>
      <c r="CZ794" t="str">
        <f>""</f>
        <v/>
      </c>
      <c r="DA794" t="str">
        <f>""</f>
        <v/>
      </c>
      <c r="DB794" t="str">
        <f>""</f>
        <v/>
      </c>
      <c r="DC794" t="str">
        <f>""</f>
        <v/>
      </c>
      <c r="DD794" t="str">
        <f>""</f>
        <v/>
      </c>
      <c r="DE794" t="str">
        <f>""</f>
        <v/>
      </c>
      <c r="DF794" t="str">
        <f>""</f>
        <v/>
      </c>
      <c r="DG794" t="str">
        <f>""</f>
        <v/>
      </c>
      <c r="DH794" t="str">
        <f>""</f>
        <v/>
      </c>
      <c r="DI794" t="str">
        <f>""</f>
        <v/>
      </c>
      <c r="DJ794" t="str">
        <f>""</f>
        <v/>
      </c>
      <c r="DK794" t="str">
        <f>""</f>
        <v/>
      </c>
      <c r="DL794" t="str">
        <f>""</f>
        <v/>
      </c>
      <c r="DM794" t="str">
        <f>""</f>
        <v/>
      </c>
      <c r="DN794" t="str">
        <f>""</f>
        <v/>
      </c>
      <c r="DO794" t="str">
        <f>""</f>
        <v/>
      </c>
      <c r="DP794" t="str">
        <f>""</f>
        <v/>
      </c>
      <c r="DQ794" t="str">
        <f>""</f>
        <v/>
      </c>
      <c r="DR794" t="str">
        <f>""</f>
        <v/>
      </c>
      <c r="DS794" t="str">
        <f>""</f>
        <v/>
      </c>
      <c r="DT794" t="str">
        <f>""</f>
        <v/>
      </c>
      <c r="DU794" t="str">
        <f>""</f>
        <v/>
      </c>
    </row>
    <row r="795" spans="1:125" x14ac:dyDescent="0.25">
      <c r="A795" t="str">
        <f>$A$293</f>
        <v xml:space="preserve">    Bayerische Motoren Werke AG</v>
      </c>
      <c r="B795" t="str">
        <f>$B$293</f>
        <v>BMW GR Equity</v>
      </c>
      <c r="C795" t="str">
        <f>$C$293</f>
        <v>RR179</v>
      </c>
      <c r="D795" t="str">
        <f>$D$293</f>
        <v>TANGIBLE_COMMON_EQUITY</v>
      </c>
      <c r="E795" t="str">
        <f>$E$293</f>
        <v>Dynamic</v>
      </c>
      <c r="F795" t="str">
        <f ca="1">_xll.BDH($B$293,$C$293,$B$509,$B$510,CONCATENATE("Per=",$B$507),"Dts=H","Dir=H",CONCATENATE("Points=",$B$508),"Sort=R","Days=A","Fill=B",CONCATENATE("FX=", $B$506) )</f>
        <v>#N/A Connection</v>
      </c>
      <c r="BN795" t="str">
        <f>""</f>
        <v/>
      </c>
      <c r="BO795" t="str">
        <f>""</f>
        <v/>
      </c>
      <c r="BP795" t="str">
        <f>""</f>
        <v/>
      </c>
      <c r="BQ795" t="str">
        <f>""</f>
        <v/>
      </c>
      <c r="BR795" t="str">
        <f>""</f>
        <v/>
      </c>
      <c r="BS795" t="str">
        <f>""</f>
        <v/>
      </c>
      <c r="BT795" t="str">
        <f>""</f>
        <v/>
      </c>
      <c r="BU795" t="str">
        <f>""</f>
        <v/>
      </c>
      <c r="BV795" t="str">
        <f>""</f>
        <v/>
      </c>
      <c r="BW795" t="str">
        <f>""</f>
        <v/>
      </c>
      <c r="BX795" t="str">
        <f>""</f>
        <v/>
      </c>
      <c r="BY795" t="str">
        <f>""</f>
        <v/>
      </c>
      <c r="BZ795" t="str">
        <f>""</f>
        <v/>
      </c>
      <c r="CA795" t="str">
        <f>""</f>
        <v/>
      </c>
      <c r="CB795" t="str">
        <f>""</f>
        <v/>
      </c>
      <c r="CC795" t="str">
        <f>""</f>
        <v/>
      </c>
      <c r="CD795" t="str">
        <f>""</f>
        <v/>
      </c>
      <c r="CE795" t="str">
        <f>""</f>
        <v/>
      </c>
      <c r="CF795" t="str">
        <f>""</f>
        <v/>
      </c>
      <c r="CG795" t="str">
        <f>""</f>
        <v/>
      </c>
      <c r="CH795" t="str">
        <f>""</f>
        <v/>
      </c>
      <c r="CI795" t="str">
        <f>""</f>
        <v/>
      </c>
      <c r="CJ795" t="str">
        <f>""</f>
        <v/>
      </c>
      <c r="CK795" t="str">
        <f>""</f>
        <v/>
      </c>
      <c r="CL795" t="str">
        <f>""</f>
        <v/>
      </c>
      <c r="CM795" t="str">
        <f>""</f>
        <v/>
      </c>
      <c r="CN795" t="str">
        <f>""</f>
        <v/>
      </c>
      <c r="CO795" t="str">
        <f>""</f>
        <v/>
      </c>
      <c r="CP795" t="str">
        <f>""</f>
        <v/>
      </c>
      <c r="CQ795" t="str">
        <f>""</f>
        <v/>
      </c>
      <c r="CR795" t="str">
        <f>""</f>
        <v/>
      </c>
      <c r="CS795" t="str">
        <f>""</f>
        <v/>
      </c>
      <c r="CT795" t="str">
        <f>""</f>
        <v/>
      </c>
      <c r="CU795" t="str">
        <f>""</f>
        <v/>
      </c>
      <c r="CV795" t="str">
        <f>""</f>
        <v/>
      </c>
      <c r="CW795" t="str">
        <f>""</f>
        <v/>
      </c>
      <c r="CX795" t="str">
        <f>""</f>
        <v/>
      </c>
      <c r="CY795" t="str">
        <f>""</f>
        <v/>
      </c>
      <c r="CZ795" t="str">
        <f>""</f>
        <v/>
      </c>
      <c r="DA795" t="str">
        <f>""</f>
        <v/>
      </c>
      <c r="DB795" t="str">
        <f>""</f>
        <v/>
      </c>
      <c r="DC795" t="str">
        <f>""</f>
        <v/>
      </c>
      <c r="DD795" t="str">
        <f>""</f>
        <v/>
      </c>
      <c r="DE795" t="str">
        <f>""</f>
        <v/>
      </c>
      <c r="DF795" t="str">
        <f>""</f>
        <v/>
      </c>
      <c r="DG795" t="str">
        <f>""</f>
        <v/>
      </c>
      <c r="DH795" t="str">
        <f>""</f>
        <v/>
      </c>
      <c r="DI795" t="str">
        <f>""</f>
        <v/>
      </c>
      <c r="DJ795" t="str">
        <f>""</f>
        <v/>
      </c>
      <c r="DK795" t="str">
        <f>""</f>
        <v/>
      </c>
      <c r="DL795" t="str">
        <f>""</f>
        <v/>
      </c>
      <c r="DM795" t="str">
        <f>""</f>
        <v/>
      </c>
      <c r="DN795" t="str">
        <f>""</f>
        <v/>
      </c>
      <c r="DO795" t="str">
        <f>""</f>
        <v/>
      </c>
      <c r="DP795" t="str">
        <f>""</f>
        <v/>
      </c>
      <c r="DQ795" t="str">
        <f>""</f>
        <v/>
      </c>
      <c r="DR795" t="str">
        <f>""</f>
        <v/>
      </c>
      <c r="DS795" t="str">
        <f>""</f>
        <v/>
      </c>
      <c r="DT795" t="str">
        <f>""</f>
        <v/>
      </c>
      <c r="DU795" t="str">
        <f>""</f>
        <v/>
      </c>
    </row>
    <row r="796" spans="1:125" x14ac:dyDescent="0.25">
      <c r="A796" t="str">
        <f>$A$294</f>
        <v xml:space="preserve">    Brilliance China Automotive Holdings Ltd</v>
      </c>
      <c r="B796" t="str">
        <f>$B$294</f>
        <v>1114 HK Equity</v>
      </c>
      <c r="C796" t="str">
        <f>$C$294</f>
        <v>RR179</v>
      </c>
      <c r="D796" t="str">
        <f>$D$294</f>
        <v>TANGIBLE_COMMON_EQUITY</v>
      </c>
      <c r="E796" t="str">
        <f>$E$294</f>
        <v>Dynamic</v>
      </c>
      <c r="F796" t="str">
        <f ca="1">_xll.BDH($B$294,$C$294,$B$509,$B$510,CONCATENATE("Per=",$B$507),"Dts=H","Dir=H",CONCATENATE("Points=",$B$508),"Sort=R","Days=A","Fill=B",CONCATENATE("FX=", $B$506) )</f>
        <v>#N/A Connection</v>
      </c>
      <c r="BN796" t="str">
        <f>""</f>
        <v/>
      </c>
      <c r="BO796" t="str">
        <f>""</f>
        <v/>
      </c>
      <c r="BP796" t="str">
        <f>""</f>
        <v/>
      </c>
      <c r="BQ796" t="str">
        <f>""</f>
        <v/>
      </c>
      <c r="BR796" t="str">
        <f>""</f>
        <v/>
      </c>
      <c r="BS796" t="str">
        <f>""</f>
        <v/>
      </c>
      <c r="BT796" t="str">
        <f>""</f>
        <v/>
      </c>
      <c r="BU796" t="str">
        <f>""</f>
        <v/>
      </c>
      <c r="BV796" t="str">
        <f>""</f>
        <v/>
      </c>
      <c r="BW796" t="str">
        <f>""</f>
        <v/>
      </c>
      <c r="BX796" t="str">
        <f>""</f>
        <v/>
      </c>
      <c r="BY796" t="str">
        <f>""</f>
        <v/>
      </c>
      <c r="BZ796" t="str">
        <f>""</f>
        <v/>
      </c>
      <c r="CA796" t="str">
        <f>""</f>
        <v/>
      </c>
      <c r="CB796" t="str">
        <f>""</f>
        <v/>
      </c>
      <c r="CC796" t="str">
        <f>""</f>
        <v/>
      </c>
      <c r="CD796" t="str">
        <f>""</f>
        <v/>
      </c>
      <c r="CE796" t="str">
        <f>""</f>
        <v/>
      </c>
      <c r="CF796" t="str">
        <f>""</f>
        <v/>
      </c>
      <c r="CG796" t="str">
        <f>""</f>
        <v/>
      </c>
      <c r="CH796" t="str">
        <f>""</f>
        <v/>
      </c>
      <c r="CI796" t="str">
        <f>""</f>
        <v/>
      </c>
      <c r="CJ796" t="str">
        <f>""</f>
        <v/>
      </c>
      <c r="CK796" t="str">
        <f>""</f>
        <v/>
      </c>
      <c r="CL796" t="str">
        <f>""</f>
        <v/>
      </c>
      <c r="CM796" t="str">
        <f>""</f>
        <v/>
      </c>
      <c r="CN796" t="str">
        <f>""</f>
        <v/>
      </c>
      <c r="CO796" t="str">
        <f>""</f>
        <v/>
      </c>
      <c r="CP796" t="str">
        <f>""</f>
        <v/>
      </c>
      <c r="CQ796" t="str">
        <f>""</f>
        <v/>
      </c>
      <c r="CR796" t="str">
        <f>""</f>
        <v/>
      </c>
      <c r="CS796" t="str">
        <f>""</f>
        <v/>
      </c>
      <c r="CT796" t="str">
        <f>""</f>
        <v/>
      </c>
      <c r="CU796" t="str">
        <f>""</f>
        <v/>
      </c>
      <c r="CV796" t="str">
        <f>""</f>
        <v/>
      </c>
      <c r="CW796" t="str">
        <f>""</f>
        <v/>
      </c>
      <c r="CX796" t="str">
        <f>""</f>
        <v/>
      </c>
      <c r="CY796" t="str">
        <f>""</f>
        <v/>
      </c>
      <c r="CZ796" t="str">
        <f>""</f>
        <v/>
      </c>
      <c r="DA796" t="str">
        <f>""</f>
        <v/>
      </c>
      <c r="DB796" t="str">
        <f>""</f>
        <v/>
      </c>
      <c r="DC796" t="str">
        <f>""</f>
        <v/>
      </c>
      <c r="DD796" t="str">
        <f>""</f>
        <v/>
      </c>
      <c r="DE796" t="str">
        <f>""</f>
        <v/>
      </c>
      <c r="DF796" t="str">
        <f>""</f>
        <v/>
      </c>
      <c r="DG796" t="str">
        <f>""</f>
        <v/>
      </c>
      <c r="DH796" t="str">
        <f>""</f>
        <v/>
      </c>
      <c r="DI796" t="str">
        <f>""</f>
        <v/>
      </c>
      <c r="DJ796" t="str">
        <f>""</f>
        <v/>
      </c>
      <c r="DK796" t="str">
        <f>""</f>
        <v/>
      </c>
      <c r="DL796" t="str">
        <f>""</f>
        <v/>
      </c>
      <c r="DM796" t="str">
        <f>""</f>
        <v/>
      </c>
      <c r="DN796" t="str">
        <f>""</f>
        <v/>
      </c>
      <c r="DO796" t="str">
        <f>""</f>
        <v/>
      </c>
      <c r="DP796" t="str">
        <f>""</f>
        <v/>
      </c>
      <c r="DQ796" t="str">
        <f>""</f>
        <v/>
      </c>
      <c r="DR796" t="str">
        <f>""</f>
        <v/>
      </c>
      <c r="DS796" t="str">
        <f>""</f>
        <v/>
      </c>
      <c r="DT796" t="str">
        <f>""</f>
        <v/>
      </c>
      <c r="DU796" t="str">
        <f>""</f>
        <v/>
      </c>
    </row>
    <row r="797" spans="1:125" x14ac:dyDescent="0.25">
      <c r="A797" t="str">
        <f>$A$295</f>
        <v xml:space="preserve">    BYD Co Ltd</v>
      </c>
      <c r="B797" t="str">
        <f>$B$295</f>
        <v>1211 HK Equity</v>
      </c>
      <c r="C797" t="str">
        <f>$C$295</f>
        <v>RR179</v>
      </c>
      <c r="D797" t="str">
        <f>$D$295</f>
        <v>TANGIBLE_COMMON_EQUITY</v>
      </c>
      <c r="E797" t="str">
        <f>$E$295</f>
        <v>Dynamic</v>
      </c>
      <c r="F797" t="str">
        <f ca="1">_xll.BDH($B$295,$C$295,$B$509,$B$510,CONCATENATE("Per=",$B$507),"Dts=H","Dir=H",CONCATENATE("Points=",$B$508),"Sort=R","Days=A","Fill=B",CONCATENATE("FX=", $B$506) )</f>
        <v>#N/A Connection</v>
      </c>
      <c r="BN797" t="str">
        <f>""</f>
        <v/>
      </c>
      <c r="BO797" t="str">
        <f>""</f>
        <v/>
      </c>
      <c r="BP797" t="str">
        <f>""</f>
        <v/>
      </c>
      <c r="BQ797" t="str">
        <f>""</f>
        <v/>
      </c>
      <c r="BR797" t="str">
        <f>""</f>
        <v/>
      </c>
      <c r="BS797" t="str">
        <f>""</f>
        <v/>
      </c>
      <c r="BT797" t="str">
        <f>""</f>
        <v/>
      </c>
      <c r="BU797" t="str">
        <f>""</f>
        <v/>
      </c>
      <c r="BV797" t="str">
        <f>""</f>
        <v/>
      </c>
      <c r="BW797" t="str">
        <f>""</f>
        <v/>
      </c>
      <c r="BX797" t="str">
        <f>""</f>
        <v/>
      </c>
      <c r="BY797" t="str">
        <f>""</f>
        <v/>
      </c>
      <c r="BZ797" t="str">
        <f>""</f>
        <v/>
      </c>
      <c r="CA797" t="str">
        <f>""</f>
        <v/>
      </c>
      <c r="CB797" t="str">
        <f>""</f>
        <v/>
      </c>
      <c r="CC797" t="str">
        <f>""</f>
        <v/>
      </c>
      <c r="CD797" t="str">
        <f>""</f>
        <v/>
      </c>
      <c r="CE797" t="str">
        <f>""</f>
        <v/>
      </c>
      <c r="CF797" t="str">
        <f>""</f>
        <v/>
      </c>
      <c r="CG797" t="str">
        <f>""</f>
        <v/>
      </c>
      <c r="CH797" t="str">
        <f>""</f>
        <v/>
      </c>
      <c r="CI797" t="str">
        <f>""</f>
        <v/>
      </c>
      <c r="CJ797" t="str">
        <f>""</f>
        <v/>
      </c>
      <c r="CK797" t="str">
        <f>""</f>
        <v/>
      </c>
      <c r="CL797" t="str">
        <f>""</f>
        <v/>
      </c>
      <c r="CM797" t="str">
        <f>""</f>
        <v/>
      </c>
      <c r="CN797" t="str">
        <f>""</f>
        <v/>
      </c>
      <c r="CO797" t="str">
        <f>""</f>
        <v/>
      </c>
      <c r="CP797" t="str">
        <f>""</f>
        <v/>
      </c>
      <c r="CQ797" t="str">
        <f>""</f>
        <v/>
      </c>
      <c r="CR797" t="str">
        <f>""</f>
        <v/>
      </c>
      <c r="CS797" t="str">
        <f>""</f>
        <v/>
      </c>
      <c r="CT797" t="str">
        <f>""</f>
        <v/>
      </c>
      <c r="CU797" t="str">
        <f>""</f>
        <v/>
      </c>
      <c r="CV797" t="str">
        <f>""</f>
        <v/>
      </c>
      <c r="CW797" t="str">
        <f>""</f>
        <v/>
      </c>
      <c r="CX797" t="str">
        <f>""</f>
        <v/>
      </c>
      <c r="CY797" t="str">
        <f>""</f>
        <v/>
      </c>
      <c r="CZ797" t="str">
        <f>""</f>
        <v/>
      </c>
      <c r="DA797" t="str">
        <f>""</f>
        <v/>
      </c>
      <c r="DB797" t="str">
        <f>""</f>
        <v/>
      </c>
      <c r="DC797" t="str">
        <f>""</f>
        <v/>
      </c>
      <c r="DD797" t="str">
        <f>""</f>
        <v/>
      </c>
      <c r="DE797" t="str">
        <f>""</f>
        <v/>
      </c>
      <c r="DF797" t="str">
        <f>""</f>
        <v/>
      </c>
      <c r="DG797" t="str">
        <f>""</f>
        <v/>
      </c>
      <c r="DH797" t="str">
        <f>""</f>
        <v/>
      </c>
      <c r="DI797" t="str">
        <f>""</f>
        <v/>
      </c>
      <c r="DJ797" t="str">
        <f>""</f>
        <v/>
      </c>
      <c r="DK797" t="str">
        <f>""</f>
        <v/>
      </c>
      <c r="DL797" t="str">
        <f>""</f>
        <v/>
      </c>
      <c r="DM797" t="str">
        <f>""</f>
        <v/>
      </c>
      <c r="DN797" t="str">
        <f>""</f>
        <v/>
      </c>
      <c r="DO797" t="str">
        <f>""</f>
        <v/>
      </c>
      <c r="DP797" t="str">
        <f>""</f>
        <v/>
      </c>
      <c r="DQ797" t="str">
        <f>""</f>
        <v/>
      </c>
      <c r="DR797" t="str">
        <f>""</f>
        <v/>
      </c>
      <c r="DS797" t="str">
        <f>""</f>
        <v/>
      </c>
      <c r="DT797" t="str">
        <f>""</f>
        <v/>
      </c>
      <c r="DU797" t="str">
        <f>""</f>
        <v/>
      </c>
    </row>
    <row r="798" spans="1:125" x14ac:dyDescent="0.25">
      <c r="A798" t="str">
        <f>$A$296</f>
        <v xml:space="preserve">    Chongqing Changan Automobile Co Ltd</v>
      </c>
      <c r="B798" t="str">
        <f>$B$296</f>
        <v>200625 CH Equity</v>
      </c>
      <c r="C798" t="str">
        <f>$C$296</f>
        <v>RR179</v>
      </c>
      <c r="D798" t="str">
        <f>$D$296</f>
        <v>TANGIBLE_COMMON_EQUITY</v>
      </c>
      <c r="E798" t="str">
        <f>$E$296</f>
        <v>Dynamic</v>
      </c>
      <c r="F798" t="str">
        <f ca="1">_xll.BDH($B$296,$C$296,$B$509,$B$510,CONCATENATE("Per=",$B$507),"Dts=H","Dir=H",CONCATENATE("Points=",$B$508),"Sort=R","Days=A","Fill=B",CONCATENATE("FX=", $B$506) )</f>
        <v>#N/A Connection</v>
      </c>
      <c r="BN798" t="str">
        <f>""</f>
        <v/>
      </c>
      <c r="BO798" t="str">
        <f>""</f>
        <v/>
      </c>
      <c r="BP798" t="str">
        <f>""</f>
        <v/>
      </c>
      <c r="BQ798" t="str">
        <f>""</f>
        <v/>
      </c>
      <c r="BR798" t="str">
        <f>""</f>
        <v/>
      </c>
      <c r="BS798" t="str">
        <f>""</f>
        <v/>
      </c>
      <c r="BT798" t="str">
        <f>""</f>
        <v/>
      </c>
      <c r="BU798" t="str">
        <f>""</f>
        <v/>
      </c>
      <c r="BV798" t="str">
        <f>""</f>
        <v/>
      </c>
      <c r="BW798" t="str">
        <f>""</f>
        <v/>
      </c>
      <c r="BX798" t="str">
        <f>""</f>
        <v/>
      </c>
      <c r="BY798" t="str">
        <f>""</f>
        <v/>
      </c>
      <c r="BZ798" t="str">
        <f>""</f>
        <v/>
      </c>
      <c r="CA798" t="str">
        <f>""</f>
        <v/>
      </c>
      <c r="CB798" t="str">
        <f>""</f>
        <v/>
      </c>
      <c r="CC798" t="str">
        <f>""</f>
        <v/>
      </c>
      <c r="CD798" t="str">
        <f>""</f>
        <v/>
      </c>
      <c r="CE798" t="str">
        <f>""</f>
        <v/>
      </c>
      <c r="CF798" t="str">
        <f>""</f>
        <v/>
      </c>
      <c r="CG798" t="str">
        <f>""</f>
        <v/>
      </c>
      <c r="CH798" t="str">
        <f>""</f>
        <v/>
      </c>
      <c r="CI798" t="str">
        <f>""</f>
        <v/>
      </c>
      <c r="CJ798" t="str">
        <f>""</f>
        <v/>
      </c>
      <c r="CK798" t="str">
        <f>""</f>
        <v/>
      </c>
      <c r="CL798" t="str">
        <f>""</f>
        <v/>
      </c>
      <c r="CM798" t="str">
        <f>""</f>
        <v/>
      </c>
      <c r="CN798" t="str">
        <f>""</f>
        <v/>
      </c>
      <c r="CO798" t="str">
        <f>""</f>
        <v/>
      </c>
      <c r="CP798" t="str">
        <f>""</f>
        <v/>
      </c>
      <c r="CQ798" t="str">
        <f>""</f>
        <v/>
      </c>
      <c r="CR798" t="str">
        <f>""</f>
        <v/>
      </c>
      <c r="CS798" t="str">
        <f>""</f>
        <v/>
      </c>
      <c r="CT798" t="str">
        <f>""</f>
        <v/>
      </c>
      <c r="CU798" t="str">
        <f>""</f>
        <v/>
      </c>
      <c r="CV798" t="str">
        <f>""</f>
        <v/>
      </c>
      <c r="CW798" t="str">
        <f>""</f>
        <v/>
      </c>
      <c r="CX798" t="str">
        <f>""</f>
        <v/>
      </c>
      <c r="CY798" t="str">
        <f>""</f>
        <v/>
      </c>
      <c r="CZ798" t="str">
        <f>""</f>
        <v/>
      </c>
      <c r="DA798" t="str">
        <f>""</f>
        <v/>
      </c>
      <c r="DB798" t="str">
        <f>""</f>
        <v/>
      </c>
      <c r="DC798" t="str">
        <f>""</f>
        <v/>
      </c>
      <c r="DD798" t="str">
        <f>""</f>
        <v/>
      </c>
      <c r="DE798" t="str">
        <f>""</f>
        <v/>
      </c>
      <c r="DF798" t="str">
        <f>""</f>
        <v/>
      </c>
      <c r="DG798" t="str">
        <f>""</f>
        <v/>
      </c>
      <c r="DH798" t="str">
        <f>""</f>
        <v/>
      </c>
      <c r="DI798" t="str">
        <f>""</f>
        <v/>
      </c>
      <c r="DJ798" t="str">
        <f>""</f>
        <v/>
      </c>
      <c r="DK798" t="str">
        <f>""</f>
        <v/>
      </c>
      <c r="DL798" t="str">
        <f>""</f>
        <v/>
      </c>
      <c r="DM798" t="str">
        <f>""</f>
        <v/>
      </c>
      <c r="DN798" t="str">
        <f>""</f>
        <v/>
      </c>
      <c r="DO798" t="str">
        <f>""</f>
        <v/>
      </c>
      <c r="DP798" t="str">
        <f>""</f>
        <v/>
      </c>
      <c r="DQ798" t="str">
        <f>""</f>
        <v/>
      </c>
      <c r="DR798" t="str">
        <f>""</f>
        <v/>
      </c>
      <c r="DS798" t="str">
        <f>""</f>
        <v/>
      </c>
      <c r="DT798" t="str">
        <f>""</f>
        <v/>
      </c>
      <c r="DU798" t="str">
        <f>""</f>
        <v/>
      </c>
    </row>
    <row r="799" spans="1:125" x14ac:dyDescent="0.25">
      <c r="A799" t="str">
        <f>$A$297</f>
        <v xml:space="preserve">    Daihatsu Motor Co Ltd</v>
      </c>
      <c r="B799" t="str">
        <f>$B$297</f>
        <v>7262 JP Equity</v>
      </c>
      <c r="C799" t="str">
        <f>$C$297</f>
        <v>RR179</v>
      </c>
      <c r="D799" t="str">
        <f>$D$297</f>
        <v>TANGIBLE_COMMON_EQUITY</v>
      </c>
      <c r="E799" t="str">
        <f>$E$297</f>
        <v>Dynamic</v>
      </c>
      <c r="F799" t="str">
        <f ca="1">_xll.BDH($B$297,$C$297,$B$509,$B$510,CONCATENATE("Per=",$B$507),"Dts=H","Dir=H",CONCATENATE("Points=",$B$508),"Sort=R","Days=A","Fill=B",CONCATENATE("FX=", $B$506) )</f>
        <v>#N/A Connection</v>
      </c>
      <c r="BN799" t="str">
        <f>""</f>
        <v/>
      </c>
      <c r="BO799" t="str">
        <f>""</f>
        <v/>
      </c>
      <c r="BP799" t="str">
        <f>""</f>
        <v/>
      </c>
      <c r="BQ799" t="str">
        <f>""</f>
        <v/>
      </c>
      <c r="BR799" t="str">
        <f>""</f>
        <v/>
      </c>
      <c r="BS799" t="str">
        <f>""</f>
        <v/>
      </c>
      <c r="BT799" t="str">
        <f>""</f>
        <v/>
      </c>
      <c r="BU799" t="str">
        <f>""</f>
        <v/>
      </c>
      <c r="BV799" t="str">
        <f>""</f>
        <v/>
      </c>
      <c r="BW799" t="str">
        <f>""</f>
        <v/>
      </c>
      <c r="BX799" t="str">
        <f>""</f>
        <v/>
      </c>
      <c r="BY799" t="str">
        <f>""</f>
        <v/>
      </c>
      <c r="BZ799" t="str">
        <f>""</f>
        <v/>
      </c>
      <c r="CA799" t="str">
        <f>""</f>
        <v/>
      </c>
      <c r="CB799" t="str">
        <f>""</f>
        <v/>
      </c>
      <c r="CC799" t="str">
        <f>""</f>
        <v/>
      </c>
      <c r="CD799" t="str">
        <f>""</f>
        <v/>
      </c>
      <c r="CE799" t="str">
        <f>""</f>
        <v/>
      </c>
      <c r="CF799" t="str">
        <f>""</f>
        <v/>
      </c>
      <c r="CG799" t="str">
        <f>""</f>
        <v/>
      </c>
      <c r="CH799" t="str">
        <f>""</f>
        <v/>
      </c>
      <c r="CI799" t="str">
        <f>""</f>
        <v/>
      </c>
      <c r="CJ799" t="str">
        <f>""</f>
        <v/>
      </c>
      <c r="CK799" t="str">
        <f>""</f>
        <v/>
      </c>
      <c r="CL799" t="str">
        <f>""</f>
        <v/>
      </c>
      <c r="CM799" t="str">
        <f>""</f>
        <v/>
      </c>
      <c r="CN799" t="str">
        <f>""</f>
        <v/>
      </c>
      <c r="CO799" t="str">
        <f>""</f>
        <v/>
      </c>
      <c r="CP799" t="str">
        <f>""</f>
        <v/>
      </c>
      <c r="CQ799" t="str">
        <f>""</f>
        <v/>
      </c>
      <c r="CR799" t="str">
        <f>""</f>
        <v/>
      </c>
      <c r="CS799" t="str">
        <f>""</f>
        <v/>
      </c>
      <c r="CT799" t="str">
        <f>""</f>
        <v/>
      </c>
      <c r="CU799" t="str">
        <f>""</f>
        <v/>
      </c>
      <c r="CV799" t="str">
        <f>""</f>
        <v/>
      </c>
      <c r="CW799" t="str">
        <f>""</f>
        <v/>
      </c>
      <c r="CX799" t="str">
        <f>""</f>
        <v/>
      </c>
      <c r="CY799" t="str">
        <f>""</f>
        <v/>
      </c>
      <c r="CZ799" t="str">
        <f>""</f>
        <v/>
      </c>
      <c r="DA799" t="str">
        <f>""</f>
        <v/>
      </c>
      <c r="DB799" t="str">
        <f>""</f>
        <v/>
      </c>
      <c r="DC799" t="str">
        <f>""</f>
        <v/>
      </c>
      <c r="DD799" t="str">
        <f>""</f>
        <v/>
      </c>
      <c r="DE799" t="str">
        <f>""</f>
        <v/>
      </c>
      <c r="DF799" t="str">
        <f>""</f>
        <v/>
      </c>
      <c r="DG799" t="str">
        <f>""</f>
        <v/>
      </c>
      <c r="DH799" t="str">
        <f>""</f>
        <v/>
      </c>
      <c r="DI799" t="str">
        <f>""</f>
        <v/>
      </c>
      <c r="DJ799" t="str">
        <f>""</f>
        <v/>
      </c>
      <c r="DK799" t="str">
        <f>""</f>
        <v/>
      </c>
      <c r="DL799" t="str">
        <f>""</f>
        <v/>
      </c>
      <c r="DM799" t="str">
        <f>""</f>
        <v/>
      </c>
      <c r="DN799" t="str">
        <f>""</f>
        <v/>
      </c>
      <c r="DO799" t="str">
        <f>""</f>
        <v/>
      </c>
      <c r="DP799" t="str">
        <f>""</f>
        <v/>
      </c>
      <c r="DQ799" t="str">
        <f>""</f>
        <v/>
      </c>
      <c r="DR799" t="str">
        <f>""</f>
        <v/>
      </c>
      <c r="DS799" t="str">
        <f>""</f>
        <v/>
      </c>
      <c r="DT799" t="str">
        <f>""</f>
        <v/>
      </c>
      <c r="DU799" t="str">
        <f>""</f>
        <v/>
      </c>
    </row>
    <row r="800" spans="1:125" x14ac:dyDescent="0.25">
      <c r="A800" t="str">
        <f>$A$298</f>
        <v xml:space="preserve">    Daimler AG</v>
      </c>
      <c r="B800" t="str">
        <f>$B$298</f>
        <v>DAI GR Equity</v>
      </c>
      <c r="C800" t="str">
        <f>$C$298</f>
        <v>RR179</v>
      </c>
      <c r="D800" t="str">
        <f>$D$298</f>
        <v>TANGIBLE_COMMON_EQUITY</v>
      </c>
      <c r="E800" t="str">
        <f>$E$298</f>
        <v>Dynamic</v>
      </c>
      <c r="F800" t="str">
        <f ca="1">_xll.BDH($B$298,$C$298,$B$509,$B$510,CONCATENATE("Per=",$B$507),"Dts=H","Dir=H",CONCATENATE("Points=",$B$508),"Sort=R","Days=A","Fill=B",CONCATENATE("FX=", $B$506) )</f>
        <v>#N/A Connection</v>
      </c>
      <c r="BN800" t="str">
        <f>""</f>
        <v/>
      </c>
      <c r="BO800" t="str">
        <f>""</f>
        <v/>
      </c>
      <c r="BP800" t="str">
        <f>""</f>
        <v/>
      </c>
      <c r="BQ800" t="str">
        <f>""</f>
        <v/>
      </c>
      <c r="BR800" t="str">
        <f>""</f>
        <v/>
      </c>
      <c r="BS800" t="str">
        <f>""</f>
        <v/>
      </c>
      <c r="BT800" t="str">
        <f>""</f>
        <v/>
      </c>
      <c r="BU800" t="str">
        <f>""</f>
        <v/>
      </c>
      <c r="BV800" t="str">
        <f>""</f>
        <v/>
      </c>
      <c r="BW800" t="str">
        <f>""</f>
        <v/>
      </c>
      <c r="BX800" t="str">
        <f>""</f>
        <v/>
      </c>
      <c r="BY800" t="str">
        <f>""</f>
        <v/>
      </c>
      <c r="BZ800" t="str">
        <f>""</f>
        <v/>
      </c>
      <c r="CA800" t="str">
        <f>""</f>
        <v/>
      </c>
      <c r="CB800" t="str">
        <f>""</f>
        <v/>
      </c>
      <c r="CC800" t="str">
        <f>""</f>
        <v/>
      </c>
      <c r="CD800" t="str">
        <f>""</f>
        <v/>
      </c>
      <c r="CE800" t="str">
        <f>""</f>
        <v/>
      </c>
      <c r="CF800" t="str">
        <f>""</f>
        <v/>
      </c>
      <c r="CG800" t="str">
        <f>""</f>
        <v/>
      </c>
      <c r="CH800" t="str">
        <f>""</f>
        <v/>
      </c>
      <c r="CI800" t="str">
        <f>""</f>
        <v/>
      </c>
      <c r="CJ800" t="str">
        <f>""</f>
        <v/>
      </c>
      <c r="CK800" t="str">
        <f>""</f>
        <v/>
      </c>
      <c r="CL800" t="str">
        <f>""</f>
        <v/>
      </c>
      <c r="CM800" t="str">
        <f>""</f>
        <v/>
      </c>
      <c r="CN800" t="str">
        <f>""</f>
        <v/>
      </c>
      <c r="CO800" t="str">
        <f>""</f>
        <v/>
      </c>
      <c r="CP800" t="str">
        <f>""</f>
        <v/>
      </c>
      <c r="CQ800" t="str">
        <f>""</f>
        <v/>
      </c>
      <c r="CR800" t="str">
        <f>""</f>
        <v/>
      </c>
      <c r="CS800" t="str">
        <f>""</f>
        <v/>
      </c>
      <c r="CT800" t="str">
        <f>""</f>
        <v/>
      </c>
      <c r="CU800" t="str">
        <f>""</f>
        <v/>
      </c>
      <c r="CV800" t="str">
        <f>""</f>
        <v/>
      </c>
      <c r="CW800" t="str">
        <f>""</f>
        <v/>
      </c>
      <c r="CX800" t="str">
        <f>""</f>
        <v/>
      </c>
      <c r="CY800" t="str">
        <f>""</f>
        <v/>
      </c>
      <c r="CZ800" t="str">
        <f>""</f>
        <v/>
      </c>
      <c r="DA800" t="str">
        <f>""</f>
        <v/>
      </c>
      <c r="DB800" t="str">
        <f>""</f>
        <v/>
      </c>
      <c r="DC800" t="str">
        <f>""</f>
        <v/>
      </c>
      <c r="DD800" t="str">
        <f>""</f>
        <v/>
      </c>
      <c r="DE800" t="str">
        <f>""</f>
        <v/>
      </c>
      <c r="DF800" t="str">
        <f>""</f>
        <v/>
      </c>
      <c r="DG800" t="str">
        <f>""</f>
        <v/>
      </c>
      <c r="DH800" t="str">
        <f>""</f>
        <v/>
      </c>
      <c r="DI800" t="str">
        <f>""</f>
        <v/>
      </c>
      <c r="DJ800" t="str">
        <f>""</f>
        <v/>
      </c>
      <c r="DK800" t="str">
        <f>""</f>
        <v/>
      </c>
      <c r="DL800" t="str">
        <f>""</f>
        <v/>
      </c>
      <c r="DM800" t="str">
        <f>""</f>
        <v/>
      </c>
      <c r="DN800" t="str">
        <f>""</f>
        <v/>
      </c>
      <c r="DO800" t="str">
        <f>""</f>
        <v/>
      </c>
      <c r="DP800" t="str">
        <f>""</f>
        <v/>
      </c>
      <c r="DQ800" t="str">
        <f>""</f>
        <v/>
      </c>
      <c r="DR800" t="str">
        <f>""</f>
        <v/>
      </c>
      <c r="DS800" t="str">
        <f>""</f>
        <v/>
      </c>
      <c r="DT800" t="str">
        <f>""</f>
        <v/>
      </c>
      <c r="DU800" t="str">
        <f>""</f>
        <v/>
      </c>
    </row>
    <row r="801" spans="1:125" x14ac:dyDescent="0.25">
      <c r="A801" t="str">
        <f>$A$299</f>
        <v xml:space="preserve">    Dongfeng Motor Group Co Ltd</v>
      </c>
      <c r="B801" t="str">
        <f>$B$299</f>
        <v>489 HK Equity</v>
      </c>
      <c r="C801" t="str">
        <f>$C$299</f>
        <v>RR179</v>
      </c>
      <c r="D801" t="str">
        <f>$D$299</f>
        <v>TANGIBLE_COMMON_EQUITY</v>
      </c>
      <c r="E801" t="str">
        <f>$E$299</f>
        <v>Dynamic</v>
      </c>
      <c r="F801" t="str">
        <f ca="1">_xll.BDH($B$299,$C$299,$B$509,$B$510,CONCATENATE("Per=",$B$507),"Dts=H","Dir=H",CONCATENATE("Points=",$B$508),"Sort=R","Days=A","Fill=B",CONCATENATE("FX=", $B$506) )</f>
        <v>#N/A Connection</v>
      </c>
      <c r="BN801" t="str">
        <f>""</f>
        <v/>
      </c>
      <c r="BO801" t="str">
        <f>""</f>
        <v/>
      </c>
      <c r="BP801" t="str">
        <f>""</f>
        <v/>
      </c>
      <c r="BQ801" t="str">
        <f>""</f>
        <v/>
      </c>
      <c r="BR801" t="str">
        <f>""</f>
        <v/>
      </c>
      <c r="BS801" t="str">
        <f>""</f>
        <v/>
      </c>
      <c r="BT801" t="str">
        <f>""</f>
        <v/>
      </c>
      <c r="BU801" t="str">
        <f>""</f>
        <v/>
      </c>
      <c r="BV801" t="str">
        <f>""</f>
        <v/>
      </c>
      <c r="BW801" t="str">
        <f>""</f>
        <v/>
      </c>
      <c r="BX801" t="str">
        <f>""</f>
        <v/>
      </c>
      <c r="BY801" t="str">
        <f>""</f>
        <v/>
      </c>
      <c r="BZ801" t="str">
        <f>""</f>
        <v/>
      </c>
      <c r="CA801" t="str">
        <f>""</f>
        <v/>
      </c>
      <c r="CB801" t="str">
        <f>""</f>
        <v/>
      </c>
      <c r="CC801" t="str">
        <f>""</f>
        <v/>
      </c>
      <c r="CD801" t="str">
        <f>""</f>
        <v/>
      </c>
      <c r="CE801" t="str">
        <f>""</f>
        <v/>
      </c>
      <c r="CF801" t="str">
        <f>""</f>
        <v/>
      </c>
      <c r="CG801" t="str">
        <f>""</f>
        <v/>
      </c>
      <c r="CH801" t="str">
        <f>""</f>
        <v/>
      </c>
      <c r="CI801" t="str">
        <f>""</f>
        <v/>
      </c>
      <c r="CJ801" t="str">
        <f>""</f>
        <v/>
      </c>
      <c r="CK801" t="str">
        <f>""</f>
        <v/>
      </c>
      <c r="CL801" t="str">
        <f>""</f>
        <v/>
      </c>
      <c r="CM801" t="str">
        <f>""</f>
        <v/>
      </c>
      <c r="CN801" t="str">
        <f>""</f>
        <v/>
      </c>
      <c r="CO801" t="str">
        <f>""</f>
        <v/>
      </c>
      <c r="CP801" t="str">
        <f>""</f>
        <v/>
      </c>
      <c r="CQ801" t="str">
        <f>""</f>
        <v/>
      </c>
      <c r="CR801" t="str">
        <f>""</f>
        <v/>
      </c>
      <c r="CS801" t="str">
        <f>""</f>
        <v/>
      </c>
      <c r="CT801" t="str">
        <f>""</f>
        <v/>
      </c>
      <c r="CU801" t="str">
        <f>""</f>
        <v/>
      </c>
      <c r="CV801" t="str">
        <f>""</f>
        <v/>
      </c>
      <c r="CW801" t="str">
        <f>""</f>
        <v/>
      </c>
      <c r="CX801" t="str">
        <f>""</f>
        <v/>
      </c>
      <c r="CY801" t="str">
        <f>""</f>
        <v/>
      </c>
      <c r="CZ801" t="str">
        <f>""</f>
        <v/>
      </c>
      <c r="DA801" t="str">
        <f>""</f>
        <v/>
      </c>
      <c r="DB801" t="str">
        <f>""</f>
        <v/>
      </c>
      <c r="DC801" t="str">
        <f>""</f>
        <v/>
      </c>
      <c r="DD801" t="str">
        <f>""</f>
        <v/>
      </c>
      <c r="DE801" t="str">
        <f>""</f>
        <v/>
      </c>
      <c r="DF801" t="str">
        <f>""</f>
        <v/>
      </c>
      <c r="DG801" t="str">
        <f>""</f>
        <v/>
      </c>
      <c r="DH801" t="str">
        <f>""</f>
        <v/>
      </c>
      <c r="DI801" t="str">
        <f>""</f>
        <v/>
      </c>
      <c r="DJ801" t="str">
        <f>""</f>
        <v/>
      </c>
      <c r="DK801" t="str">
        <f>""</f>
        <v/>
      </c>
      <c r="DL801" t="str">
        <f>""</f>
        <v/>
      </c>
      <c r="DM801" t="str">
        <f>""</f>
        <v/>
      </c>
      <c r="DN801" t="str">
        <f>""</f>
        <v/>
      </c>
      <c r="DO801" t="str">
        <f>""</f>
        <v/>
      </c>
      <c r="DP801" t="str">
        <f>""</f>
        <v/>
      </c>
      <c r="DQ801" t="str">
        <f>""</f>
        <v/>
      </c>
      <c r="DR801" t="str">
        <f>""</f>
        <v/>
      </c>
      <c r="DS801" t="str">
        <f>""</f>
        <v/>
      </c>
      <c r="DT801" t="str">
        <f>""</f>
        <v/>
      </c>
      <c r="DU801" t="str">
        <f>""</f>
        <v/>
      </c>
    </row>
    <row r="802" spans="1:125" x14ac:dyDescent="0.25">
      <c r="A802" t="str">
        <f>$A$300</f>
        <v xml:space="preserve">    DRB-Hicom Bhd</v>
      </c>
      <c r="B802" t="str">
        <f>$B$300</f>
        <v>DRB MK Equity</v>
      </c>
      <c r="C802" t="str">
        <f>$C$300</f>
        <v>RR179</v>
      </c>
      <c r="D802" t="str">
        <f>$D$300</f>
        <v>TANGIBLE_COMMON_EQUITY</v>
      </c>
      <c r="E802" t="str">
        <f>$E$300</f>
        <v>Dynamic</v>
      </c>
      <c r="F802" t="str">
        <f ca="1">_xll.BDH($B$300,$C$300,$B$509,$B$510,CONCATENATE("Per=",$B$507),"Dts=H","Dir=H",CONCATENATE("Points=",$B$508),"Sort=R","Days=A","Fill=B",CONCATENATE("FX=", $B$506) )</f>
        <v>#N/A Connection</v>
      </c>
      <c r="BN802" t="str">
        <f>""</f>
        <v/>
      </c>
      <c r="BO802" t="str">
        <f>""</f>
        <v/>
      </c>
      <c r="BP802" t="str">
        <f>""</f>
        <v/>
      </c>
      <c r="BQ802" t="str">
        <f>""</f>
        <v/>
      </c>
      <c r="BR802" t="str">
        <f>""</f>
        <v/>
      </c>
      <c r="BS802" t="str">
        <f>""</f>
        <v/>
      </c>
      <c r="BT802" t="str">
        <f>""</f>
        <v/>
      </c>
      <c r="BU802" t="str">
        <f>""</f>
        <v/>
      </c>
      <c r="BV802" t="str">
        <f>""</f>
        <v/>
      </c>
      <c r="BW802" t="str">
        <f>""</f>
        <v/>
      </c>
      <c r="BX802" t="str">
        <f>""</f>
        <v/>
      </c>
      <c r="BY802" t="str">
        <f>""</f>
        <v/>
      </c>
      <c r="BZ802" t="str">
        <f>""</f>
        <v/>
      </c>
      <c r="CA802" t="str">
        <f>""</f>
        <v/>
      </c>
      <c r="CB802" t="str">
        <f>""</f>
        <v/>
      </c>
      <c r="CC802" t="str">
        <f>""</f>
        <v/>
      </c>
      <c r="CD802" t="str">
        <f>""</f>
        <v/>
      </c>
      <c r="CE802" t="str">
        <f>""</f>
        <v/>
      </c>
      <c r="CF802" t="str">
        <f>""</f>
        <v/>
      </c>
      <c r="CG802" t="str">
        <f>""</f>
        <v/>
      </c>
      <c r="CH802" t="str">
        <f>""</f>
        <v/>
      </c>
      <c r="CI802" t="str">
        <f>""</f>
        <v/>
      </c>
      <c r="CJ802" t="str">
        <f>""</f>
        <v/>
      </c>
      <c r="CK802" t="str">
        <f>""</f>
        <v/>
      </c>
      <c r="CL802" t="str">
        <f>""</f>
        <v/>
      </c>
      <c r="CM802" t="str">
        <f>""</f>
        <v/>
      </c>
      <c r="CN802" t="str">
        <f>""</f>
        <v/>
      </c>
      <c r="CO802" t="str">
        <f>""</f>
        <v/>
      </c>
      <c r="CP802" t="str">
        <f>""</f>
        <v/>
      </c>
      <c r="CQ802" t="str">
        <f>""</f>
        <v/>
      </c>
      <c r="CR802" t="str">
        <f>""</f>
        <v/>
      </c>
      <c r="CS802" t="str">
        <f>""</f>
        <v/>
      </c>
      <c r="CT802" t="str">
        <f>""</f>
        <v/>
      </c>
      <c r="CU802" t="str">
        <f>""</f>
        <v/>
      </c>
      <c r="CV802" t="str">
        <f>""</f>
        <v/>
      </c>
      <c r="CW802" t="str">
        <f>""</f>
        <v/>
      </c>
      <c r="CX802" t="str">
        <f>""</f>
        <v/>
      </c>
      <c r="CY802" t="str">
        <f>""</f>
        <v/>
      </c>
      <c r="CZ802" t="str">
        <f>""</f>
        <v/>
      </c>
      <c r="DA802" t="str">
        <f>""</f>
        <v/>
      </c>
      <c r="DB802" t="str">
        <f>""</f>
        <v/>
      </c>
      <c r="DC802" t="str">
        <f>""</f>
        <v/>
      </c>
      <c r="DD802" t="str">
        <f>""</f>
        <v/>
      </c>
      <c r="DE802" t="str">
        <f>""</f>
        <v/>
      </c>
      <c r="DF802" t="str">
        <f>""</f>
        <v/>
      </c>
      <c r="DG802" t="str">
        <f>""</f>
        <v/>
      </c>
      <c r="DH802" t="str">
        <f>""</f>
        <v/>
      </c>
      <c r="DI802" t="str">
        <f>""</f>
        <v/>
      </c>
      <c r="DJ802" t="str">
        <f>""</f>
        <v/>
      </c>
      <c r="DK802" t="str">
        <f>""</f>
        <v/>
      </c>
      <c r="DL802" t="str">
        <f>""</f>
        <v/>
      </c>
      <c r="DM802" t="str">
        <f>""</f>
        <v/>
      </c>
      <c r="DN802" t="str">
        <f>""</f>
        <v/>
      </c>
      <c r="DO802" t="str">
        <f>""</f>
        <v/>
      </c>
      <c r="DP802" t="str">
        <f>""</f>
        <v/>
      </c>
      <c r="DQ802" t="str">
        <f>""</f>
        <v/>
      </c>
      <c r="DR802" t="str">
        <f>""</f>
        <v/>
      </c>
      <c r="DS802" t="str">
        <f>""</f>
        <v/>
      </c>
      <c r="DT802" t="str">
        <f>""</f>
        <v/>
      </c>
      <c r="DU802" t="str">
        <f>""</f>
        <v/>
      </c>
    </row>
    <row r="803" spans="1:125" x14ac:dyDescent="0.25">
      <c r="A803" t="str">
        <f>$A$301</f>
        <v xml:space="preserve">    FAW CAR Co Ltd</v>
      </c>
      <c r="B803" t="str">
        <f>$B$301</f>
        <v>000800 CH Equity</v>
      </c>
      <c r="C803" t="str">
        <f>$C$301</f>
        <v>RR179</v>
      </c>
      <c r="D803" t="str">
        <f>$D$301</f>
        <v>TANGIBLE_COMMON_EQUITY</v>
      </c>
      <c r="E803" t="str">
        <f>$E$301</f>
        <v>Dynamic</v>
      </c>
      <c r="F803" t="str">
        <f ca="1">_xll.BDH($B$301,$C$301,$B$509,$B$510,CONCATENATE("Per=",$B$507),"Dts=H","Dir=H",CONCATENATE("Points=",$B$508),"Sort=R","Days=A","Fill=B",CONCATENATE("FX=", $B$506) )</f>
        <v>#N/A Connection</v>
      </c>
      <c r="BN803" t="str">
        <f>""</f>
        <v/>
      </c>
      <c r="BO803" t="str">
        <f>""</f>
        <v/>
      </c>
      <c r="BP803" t="str">
        <f>""</f>
        <v/>
      </c>
      <c r="BQ803" t="str">
        <f>""</f>
        <v/>
      </c>
      <c r="BR803" t="str">
        <f>""</f>
        <v/>
      </c>
      <c r="BS803" t="str">
        <f>""</f>
        <v/>
      </c>
      <c r="BT803" t="str">
        <f>""</f>
        <v/>
      </c>
      <c r="BU803" t="str">
        <f>""</f>
        <v/>
      </c>
      <c r="BV803" t="str">
        <f>""</f>
        <v/>
      </c>
      <c r="BW803" t="str">
        <f>""</f>
        <v/>
      </c>
      <c r="BX803" t="str">
        <f>""</f>
        <v/>
      </c>
      <c r="BY803" t="str">
        <f>""</f>
        <v/>
      </c>
      <c r="BZ803" t="str">
        <f>""</f>
        <v/>
      </c>
      <c r="CA803" t="str">
        <f>""</f>
        <v/>
      </c>
      <c r="CB803" t="str">
        <f>""</f>
        <v/>
      </c>
      <c r="CC803" t="str">
        <f>""</f>
        <v/>
      </c>
      <c r="CD803" t="str">
        <f>""</f>
        <v/>
      </c>
      <c r="CE803" t="str">
        <f>""</f>
        <v/>
      </c>
      <c r="CF803" t="str">
        <f>""</f>
        <v/>
      </c>
      <c r="CG803" t="str">
        <f>""</f>
        <v/>
      </c>
      <c r="CH803" t="str">
        <f>""</f>
        <v/>
      </c>
      <c r="CI803" t="str">
        <f>""</f>
        <v/>
      </c>
      <c r="CJ803" t="str">
        <f>""</f>
        <v/>
      </c>
      <c r="CK803" t="str">
        <f>""</f>
        <v/>
      </c>
      <c r="CL803" t="str">
        <f>""</f>
        <v/>
      </c>
      <c r="CM803" t="str">
        <f>""</f>
        <v/>
      </c>
      <c r="CN803" t="str">
        <f>""</f>
        <v/>
      </c>
      <c r="CO803" t="str">
        <f>""</f>
        <v/>
      </c>
      <c r="CP803" t="str">
        <f>""</f>
        <v/>
      </c>
      <c r="CQ803" t="str">
        <f>""</f>
        <v/>
      </c>
      <c r="CR803" t="str">
        <f>""</f>
        <v/>
      </c>
      <c r="CS803" t="str">
        <f>""</f>
        <v/>
      </c>
      <c r="CT803" t="str">
        <f>""</f>
        <v/>
      </c>
      <c r="CU803" t="str">
        <f>""</f>
        <v/>
      </c>
      <c r="CV803" t="str">
        <f>""</f>
        <v/>
      </c>
      <c r="CW803" t="str">
        <f>""</f>
        <v/>
      </c>
      <c r="CX803" t="str">
        <f>""</f>
        <v/>
      </c>
      <c r="CY803" t="str">
        <f>""</f>
        <v/>
      </c>
      <c r="CZ803" t="str">
        <f>""</f>
        <v/>
      </c>
      <c r="DA803" t="str">
        <f>""</f>
        <v/>
      </c>
      <c r="DB803" t="str">
        <f>""</f>
        <v/>
      </c>
      <c r="DC803" t="str">
        <f>""</f>
        <v/>
      </c>
      <c r="DD803" t="str">
        <f>""</f>
        <v/>
      </c>
      <c r="DE803" t="str">
        <f>""</f>
        <v/>
      </c>
      <c r="DF803" t="str">
        <f>""</f>
        <v/>
      </c>
      <c r="DG803" t="str">
        <f>""</f>
        <v/>
      </c>
      <c r="DH803" t="str">
        <f>""</f>
        <v/>
      </c>
      <c r="DI803" t="str">
        <f>""</f>
        <v/>
      </c>
      <c r="DJ803" t="str">
        <f>""</f>
        <v/>
      </c>
      <c r="DK803" t="str">
        <f>""</f>
        <v/>
      </c>
      <c r="DL803" t="str">
        <f>""</f>
        <v/>
      </c>
      <c r="DM803" t="str">
        <f>""</f>
        <v/>
      </c>
      <c r="DN803" t="str">
        <f>""</f>
        <v/>
      </c>
      <c r="DO803" t="str">
        <f>""</f>
        <v/>
      </c>
      <c r="DP803" t="str">
        <f>""</f>
        <v/>
      </c>
      <c r="DQ803" t="str">
        <f>""</f>
        <v/>
      </c>
      <c r="DR803" t="str">
        <f>""</f>
        <v/>
      </c>
      <c r="DS803" t="str">
        <f>""</f>
        <v/>
      </c>
      <c r="DT803" t="str">
        <f>""</f>
        <v/>
      </c>
      <c r="DU803" t="str">
        <f>""</f>
        <v/>
      </c>
    </row>
    <row r="804" spans="1:125" x14ac:dyDescent="0.25">
      <c r="A804" t="str">
        <f>$A$302</f>
        <v xml:space="preserve">    Fiat Chrysler Automobiles NV</v>
      </c>
      <c r="B804" t="str">
        <f>$B$302</f>
        <v>FCAU US Equity</v>
      </c>
      <c r="C804" t="str">
        <f>$C$302</f>
        <v>RR179</v>
      </c>
      <c r="D804" t="str">
        <f>$D$302</f>
        <v>TANGIBLE_COMMON_EQUITY</v>
      </c>
      <c r="E804" t="str">
        <f>$E$302</f>
        <v>Dynamic</v>
      </c>
      <c r="F804" t="str">
        <f ca="1">_xll.BDH($B$302,$C$302,$B$509,$B$510,CONCATENATE("Per=",$B$507),"Dts=H","Dir=H",CONCATENATE("Points=",$B$508),"Sort=R","Days=A","Fill=B",CONCATENATE("FX=", $B$506) )</f>
        <v>#N/A Connection</v>
      </c>
      <c r="BN804" t="str">
        <f>""</f>
        <v/>
      </c>
      <c r="BO804" t="str">
        <f>""</f>
        <v/>
      </c>
      <c r="BP804" t="str">
        <f>""</f>
        <v/>
      </c>
      <c r="BQ804" t="str">
        <f>""</f>
        <v/>
      </c>
      <c r="BR804" t="str">
        <f>""</f>
        <v/>
      </c>
      <c r="BS804" t="str">
        <f>""</f>
        <v/>
      </c>
      <c r="BT804" t="str">
        <f>""</f>
        <v/>
      </c>
      <c r="BU804" t="str">
        <f>""</f>
        <v/>
      </c>
      <c r="BV804" t="str">
        <f>""</f>
        <v/>
      </c>
      <c r="BW804" t="str">
        <f>""</f>
        <v/>
      </c>
      <c r="BX804" t="str">
        <f>""</f>
        <v/>
      </c>
      <c r="BY804" t="str">
        <f>""</f>
        <v/>
      </c>
      <c r="BZ804" t="str">
        <f>""</f>
        <v/>
      </c>
      <c r="CA804" t="str">
        <f>""</f>
        <v/>
      </c>
      <c r="CB804" t="str">
        <f>""</f>
        <v/>
      </c>
      <c r="CC804" t="str">
        <f>""</f>
        <v/>
      </c>
      <c r="CD804" t="str">
        <f>""</f>
        <v/>
      </c>
      <c r="CE804" t="str">
        <f>""</f>
        <v/>
      </c>
      <c r="CF804" t="str">
        <f>""</f>
        <v/>
      </c>
      <c r="CG804" t="str">
        <f>""</f>
        <v/>
      </c>
      <c r="CH804" t="str">
        <f>""</f>
        <v/>
      </c>
      <c r="CI804" t="str">
        <f>""</f>
        <v/>
      </c>
      <c r="CJ804" t="str">
        <f>""</f>
        <v/>
      </c>
      <c r="CK804" t="str">
        <f>""</f>
        <v/>
      </c>
      <c r="CL804" t="str">
        <f>""</f>
        <v/>
      </c>
      <c r="CM804" t="str">
        <f>""</f>
        <v/>
      </c>
      <c r="CN804" t="str">
        <f>""</f>
        <v/>
      </c>
      <c r="CO804" t="str">
        <f>""</f>
        <v/>
      </c>
      <c r="CP804" t="str">
        <f>""</f>
        <v/>
      </c>
      <c r="CQ804" t="str">
        <f>""</f>
        <v/>
      </c>
      <c r="CR804" t="str">
        <f>""</f>
        <v/>
      </c>
      <c r="CS804" t="str">
        <f>""</f>
        <v/>
      </c>
      <c r="CT804" t="str">
        <f>""</f>
        <v/>
      </c>
      <c r="CU804" t="str">
        <f>""</f>
        <v/>
      </c>
      <c r="CV804" t="str">
        <f>""</f>
        <v/>
      </c>
      <c r="CW804" t="str">
        <f>""</f>
        <v/>
      </c>
      <c r="CX804" t="str">
        <f>""</f>
        <v/>
      </c>
      <c r="CY804" t="str">
        <f>""</f>
        <v/>
      </c>
      <c r="CZ804" t="str">
        <f>""</f>
        <v/>
      </c>
      <c r="DA804" t="str">
        <f>""</f>
        <v/>
      </c>
      <c r="DB804" t="str">
        <f>""</f>
        <v/>
      </c>
      <c r="DC804" t="str">
        <f>""</f>
        <v/>
      </c>
      <c r="DD804" t="str">
        <f>""</f>
        <v/>
      </c>
      <c r="DE804" t="str">
        <f>""</f>
        <v/>
      </c>
      <c r="DF804" t="str">
        <f>""</f>
        <v/>
      </c>
      <c r="DG804" t="str">
        <f>""</f>
        <v/>
      </c>
      <c r="DH804" t="str">
        <f>""</f>
        <v/>
      </c>
      <c r="DI804" t="str">
        <f>""</f>
        <v/>
      </c>
      <c r="DJ804" t="str">
        <f>""</f>
        <v/>
      </c>
      <c r="DK804" t="str">
        <f>""</f>
        <v/>
      </c>
      <c r="DL804" t="str">
        <f>""</f>
        <v/>
      </c>
      <c r="DM804" t="str">
        <f>""</f>
        <v/>
      </c>
      <c r="DN804" t="str">
        <f>""</f>
        <v/>
      </c>
      <c r="DO804" t="str">
        <f>""</f>
        <v/>
      </c>
      <c r="DP804" t="str">
        <f>""</f>
        <v/>
      </c>
      <c r="DQ804" t="str">
        <f>""</f>
        <v/>
      </c>
      <c r="DR804" t="str">
        <f>""</f>
        <v/>
      </c>
      <c r="DS804" t="str">
        <f>""</f>
        <v/>
      </c>
      <c r="DT804" t="str">
        <f>""</f>
        <v/>
      </c>
      <c r="DU804" t="str">
        <f>""</f>
        <v/>
      </c>
    </row>
    <row r="805" spans="1:125" x14ac:dyDescent="0.25">
      <c r="A805" t="str">
        <f>$A$303</f>
        <v xml:space="preserve">    Ford Motor Co</v>
      </c>
      <c r="B805" t="str">
        <f>$B$303</f>
        <v>F US Equity</v>
      </c>
      <c r="C805" t="str">
        <f>$C$303</f>
        <v>RR179</v>
      </c>
      <c r="D805" t="str">
        <f>$D$303</f>
        <v>TANGIBLE_COMMON_EQUITY</v>
      </c>
      <c r="E805" t="str">
        <f>$E$303</f>
        <v>Dynamic</v>
      </c>
      <c r="F805" t="str">
        <f ca="1">_xll.BDH($B$303,$C$303,$B$509,$B$510,CONCATENATE("Per=",$B$507),"Dts=H","Dir=H",CONCATENATE("Points=",$B$508),"Sort=R","Days=A","Fill=B",CONCATENATE("FX=", $B$506) )</f>
        <v>#N/A Connection</v>
      </c>
      <c r="BN805" t="str">
        <f>""</f>
        <v/>
      </c>
      <c r="BO805" t="str">
        <f>""</f>
        <v/>
      </c>
      <c r="BP805" t="str">
        <f>""</f>
        <v/>
      </c>
      <c r="BQ805" t="str">
        <f>""</f>
        <v/>
      </c>
      <c r="BR805" t="str">
        <f>""</f>
        <v/>
      </c>
      <c r="BS805" t="str">
        <f>""</f>
        <v/>
      </c>
      <c r="BT805" t="str">
        <f>""</f>
        <v/>
      </c>
      <c r="BU805" t="str">
        <f>""</f>
        <v/>
      </c>
      <c r="BV805" t="str">
        <f>""</f>
        <v/>
      </c>
      <c r="BW805" t="str">
        <f>""</f>
        <v/>
      </c>
      <c r="BX805" t="str">
        <f>""</f>
        <v/>
      </c>
      <c r="BY805" t="str">
        <f>""</f>
        <v/>
      </c>
      <c r="BZ805" t="str">
        <f>""</f>
        <v/>
      </c>
      <c r="CA805" t="str">
        <f>""</f>
        <v/>
      </c>
      <c r="CB805" t="str">
        <f>""</f>
        <v/>
      </c>
      <c r="CC805" t="str">
        <f>""</f>
        <v/>
      </c>
      <c r="CD805" t="str">
        <f>""</f>
        <v/>
      </c>
      <c r="CE805" t="str">
        <f>""</f>
        <v/>
      </c>
      <c r="CF805" t="str">
        <f>""</f>
        <v/>
      </c>
      <c r="CG805" t="str">
        <f>""</f>
        <v/>
      </c>
      <c r="CH805" t="str">
        <f>""</f>
        <v/>
      </c>
      <c r="CI805" t="str">
        <f>""</f>
        <v/>
      </c>
      <c r="CJ805" t="str">
        <f>""</f>
        <v/>
      </c>
      <c r="CK805" t="str">
        <f>""</f>
        <v/>
      </c>
      <c r="CL805" t="str">
        <f>""</f>
        <v/>
      </c>
      <c r="CM805" t="str">
        <f>""</f>
        <v/>
      </c>
      <c r="CN805" t="str">
        <f>""</f>
        <v/>
      </c>
      <c r="CO805" t="str">
        <f>""</f>
        <v/>
      </c>
      <c r="CP805" t="str">
        <f>""</f>
        <v/>
      </c>
      <c r="CQ805" t="str">
        <f>""</f>
        <v/>
      </c>
      <c r="CR805" t="str">
        <f>""</f>
        <v/>
      </c>
      <c r="CS805" t="str">
        <f>""</f>
        <v/>
      </c>
      <c r="CT805" t="str">
        <f>""</f>
        <v/>
      </c>
      <c r="CU805" t="str">
        <f>""</f>
        <v/>
      </c>
      <c r="CV805" t="str">
        <f>""</f>
        <v/>
      </c>
      <c r="CW805" t="str">
        <f>""</f>
        <v/>
      </c>
      <c r="CX805" t="str">
        <f>""</f>
        <v/>
      </c>
      <c r="CY805" t="str">
        <f>""</f>
        <v/>
      </c>
      <c r="CZ805" t="str">
        <f>""</f>
        <v/>
      </c>
      <c r="DA805" t="str">
        <f>""</f>
        <v/>
      </c>
      <c r="DB805" t="str">
        <f>""</f>
        <v/>
      </c>
      <c r="DC805" t="str">
        <f>""</f>
        <v/>
      </c>
      <c r="DD805" t="str">
        <f>""</f>
        <v/>
      </c>
      <c r="DE805" t="str">
        <f>""</f>
        <v/>
      </c>
      <c r="DF805" t="str">
        <f>""</f>
        <v/>
      </c>
      <c r="DG805" t="str">
        <f>""</f>
        <v/>
      </c>
      <c r="DH805" t="str">
        <f>""</f>
        <v/>
      </c>
      <c r="DI805" t="str">
        <f>""</f>
        <v/>
      </c>
      <c r="DJ805" t="str">
        <f>""</f>
        <v/>
      </c>
      <c r="DK805" t="str">
        <f>""</f>
        <v/>
      </c>
      <c r="DL805" t="str">
        <f>""</f>
        <v/>
      </c>
      <c r="DM805" t="str">
        <f>""</f>
        <v/>
      </c>
      <c r="DN805" t="str">
        <f>""</f>
        <v/>
      </c>
      <c r="DO805" t="str">
        <f>""</f>
        <v/>
      </c>
      <c r="DP805" t="str">
        <f>""</f>
        <v/>
      </c>
      <c r="DQ805" t="str">
        <f>""</f>
        <v/>
      </c>
      <c r="DR805" t="str">
        <f>""</f>
        <v/>
      </c>
      <c r="DS805" t="str">
        <f>""</f>
        <v/>
      </c>
      <c r="DT805" t="str">
        <f>""</f>
        <v/>
      </c>
      <c r="DU805" t="str">
        <f>""</f>
        <v/>
      </c>
    </row>
    <row r="806" spans="1:125" x14ac:dyDescent="0.25">
      <c r="A806" t="str">
        <f>$A$304</f>
        <v xml:space="preserve">    Ford Otomotiv Sanayi AS</v>
      </c>
      <c r="B806" t="str">
        <f>$B$304</f>
        <v>FROTOTRY EO Equity</v>
      </c>
      <c r="C806" t="str">
        <f>$C$304</f>
        <v>RR179</v>
      </c>
      <c r="D806" t="str">
        <f>$D$304</f>
        <v>TANGIBLE_COMMON_EQUITY</v>
      </c>
      <c r="E806" t="str">
        <f>$E$304</f>
        <v>Dynamic</v>
      </c>
      <c r="F806" t="str">
        <f ca="1">_xll.BDH($B$304,$C$304,$B$509,$B$510,CONCATENATE("Per=",$B$507),"Dts=H","Dir=H",CONCATENATE("Points=",$B$508),"Sort=R","Days=A","Fill=B",CONCATENATE("FX=", $B$506) )</f>
        <v>#N/A Connection</v>
      </c>
      <c r="BN806" t="str">
        <f>""</f>
        <v/>
      </c>
      <c r="BO806" t="str">
        <f>""</f>
        <v/>
      </c>
      <c r="BP806" t="str">
        <f>""</f>
        <v/>
      </c>
      <c r="BQ806" t="str">
        <f>""</f>
        <v/>
      </c>
      <c r="BR806" t="str">
        <f>""</f>
        <v/>
      </c>
      <c r="BS806" t="str">
        <f>""</f>
        <v/>
      </c>
      <c r="BT806" t="str">
        <f>""</f>
        <v/>
      </c>
      <c r="BU806" t="str">
        <f>""</f>
        <v/>
      </c>
      <c r="BV806" t="str">
        <f>""</f>
        <v/>
      </c>
      <c r="BW806" t="str">
        <f>""</f>
        <v/>
      </c>
      <c r="BX806" t="str">
        <f>""</f>
        <v/>
      </c>
      <c r="BY806" t="str">
        <f>""</f>
        <v/>
      </c>
      <c r="BZ806" t="str">
        <f>""</f>
        <v/>
      </c>
      <c r="CA806" t="str">
        <f>""</f>
        <v/>
      </c>
      <c r="CB806" t="str">
        <f>""</f>
        <v/>
      </c>
      <c r="CC806" t="str">
        <f>""</f>
        <v/>
      </c>
      <c r="CD806" t="str">
        <f>""</f>
        <v/>
      </c>
      <c r="CE806" t="str">
        <f>""</f>
        <v/>
      </c>
      <c r="CF806" t="str">
        <f>""</f>
        <v/>
      </c>
      <c r="CG806" t="str">
        <f>""</f>
        <v/>
      </c>
      <c r="CH806" t="str">
        <f>""</f>
        <v/>
      </c>
      <c r="CI806" t="str">
        <f>""</f>
        <v/>
      </c>
      <c r="CJ806" t="str">
        <f>""</f>
        <v/>
      </c>
      <c r="CK806" t="str">
        <f>""</f>
        <v/>
      </c>
      <c r="CL806" t="str">
        <f>""</f>
        <v/>
      </c>
      <c r="CM806" t="str">
        <f>""</f>
        <v/>
      </c>
      <c r="CN806" t="str">
        <f>""</f>
        <v/>
      </c>
      <c r="CO806" t="str">
        <f>""</f>
        <v/>
      </c>
      <c r="CP806" t="str">
        <f>""</f>
        <v/>
      </c>
      <c r="CQ806" t="str">
        <f>""</f>
        <v/>
      </c>
      <c r="CR806" t="str">
        <f>""</f>
        <v/>
      </c>
      <c r="CS806" t="str">
        <f>""</f>
        <v/>
      </c>
      <c r="CT806" t="str">
        <f>""</f>
        <v/>
      </c>
      <c r="CU806" t="str">
        <f>""</f>
        <v/>
      </c>
      <c r="CV806" t="str">
        <f>""</f>
        <v/>
      </c>
      <c r="CW806" t="str">
        <f>""</f>
        <v/>
      </c>
      <c r="CX806" t="str">
        <f>""</f>
        <v/>
      </c>
      <c r="CY806" t="str">
        <f>""</f>
        <v/>
      </c>
      <c r="CZ806" t="str">
        <f>""</f>
        <v/>
      </c>
      <c r="DA806" t="str">
        <f>""</f>
        <v/>
      </c>
      <c r="DB806" t="str">
        <f>""</f>
        <v/>
      </c>
      <c r="DC806" t="str">
        <f>""</f>
        <v/>
      </c>
      <c r="DD806" t="str">
        <f>""</f>
        <v/>
      </c>
      <c r="DE806" t="str">
        <f>""</f>
        <v/>
      </c>
      <c r="DF806" t="str">
        <f>""</f>
        <v/>
      </c>
      <c r="DG806" t="str">
        <f>""</f>
        <v/>
      </c>
      <c r="DH806" t="str">
        <f>""</f>
        <v/>
      </c>
      <c r="DI806" t="str">
        <f>""</f>
        <v/>
      </c>
      <c r="DJ806" t="str">
        <f>""</f>
        <v/>
      </c>
      <c r="DK806" t="str">
        <f>""</f>
        <v/>
      </c>
      <c r="DL806" t="str">
        <f>""</f>
        <v/>
      </c>
      <c r="DM806" t="str">
        <f>""</f>
        <v/>
      </c>
      <c r="DN806" t="str">
        <f>""</f>
        <v/>
      </c>
      <c r="DO806" t="str">
        <f>""</f>
        <v/>
      </c>
      <c r="DP806" t="str">
        <f>""</f>
        <v/>
      </c>
      <c r="DQ806" t="str">
        <f>""</f>
        <v/>
      </c>
      <c r="DR806" t="str">
        <f>""</f>
        <v/>
      </c>
      <c r="DS806" t="str">
        <f>""</f>
        <v/>
      </c>
      <c r="DT806" t="str">
        <f>""</f>
        <v/>
      </c>
      <c r="DU806" t="str">
        <f>""</f>
        <v/>
      </c>
    </row>
    <row r="807" spans="1:125" x14ac:dyDescent="0.25">
      <c r="A807" t="str">
        <f>$A$305</f>
        <v xml:space="preserve">    GAZ PJSC</v>
      </c>
      <c r="B807" t="str">
        <f>$B$305</f>
        <v>GAZA RM Equity</v>
      </c>
      <c r="C807" t="str">
        <f>$C$305</f>
        <v>RR179</v>
      </c>
      <c r="D807" t="str">
        <f>$D$305</f>
        <v>TANGIBLE_COMMON_EQUITY</v>
      </c>
      <c r="E807" t="str">
        <f>$E$305</f>
        <v>Dynamic</v>
      </c>
      <c r="F807" t="str">
        <f ca="1">_xll.BDH($B$305,$C$305,$B$509,$B$510,CONCATENATE("Per=",$B$507),"Dts=H","Dir=H",CONCATENATE("Points=",$B$508),"Sort=R","Days=A","Fill=B",CONCATENATE("FX=", $B$506) )</f>
        <v>#N/A Connection</v>
      </c>
      <c r="BN807" t="str">
        <f>""</f>
        <v/>
      </c>
      <c r="BO807" t="str">
        <f>""</f>
        <v/>
      </c>
      <c r="BP807" t="str">
        <f>""</f>
        <v/>
      </c>
      <c r="BQ807" t="str">
        <f>""</f>
        <v/>
      </c>
      <c r="BR807" t="str">
        <f>""</f>
        <v/>
      </c>
      <c r="BS807" t="str">
        <f>""</f>
        <v/>
      </c>
      <c r="BT807" t="str">
        <f>""</f>
        <v/>
      </c>
      <c r="BU807" t="str">
        <f>""</f>
        <v/>
      </c>
      <c r="BV807" t="str">
        <f>""</f>
        <v/>
      </c>
      <c r="BW807" t="str">
        <f>""</f>
        <v/>
      </c>
      <c r="BX807" t="str">
        <f>""</f>
        <v/>
      </c>
      <c r="BY807" t="str">
        <f>""</f>
        <v/>
      </c>
      <c r="BZ807" t="str">
        <f>""</f>
        <v/>
      </c>
      <c r="CA807" t="str">
        <f>""</f>
        <v/>
      </c>
      <c r="CB807" t="str">
        <f>""</f>
        <v/>
      </c>
      <c r="CC807" t="str">
        <f>""</f>
        <v/>
      </c>
      <c r="CD807" t="str">
        <f>""</f>
        <v/>
      </c>
      <c r="CE807" t="str">
        <f>""</f>
        <v/>
      </c>
      <c r="CF807" t="str">
        <f>""</f>
        <v/>
      </c>
      <c r="CG807" t="str">
        <f>""</f>
        <v/>
      </c>
      <c r="CH807" t="str">
        <f>""</f>
        <v/>
      </c>
      <c r="CI807" t="str">
        <f>""</f>
        <v/>
      </c>
      <c r="CJ807" t="str">
        <f>""</f>
        <v/>
      </c>
      <c r="CK807" t="str">
        <f>""</f>
        <v/>
      </c>
      <c r="CL807" t="str">
        <f>""</f>
        <v/>
      </c>
      <c r="CM807" t="str">
        <f>""</f>
        <v/>
      </c>
      <c r="CN807" t="str">
        <f>""</f>
        <v/>
      </c>
      <c r="CO807" t="str">
        <f>""</f>
        <v/>
      </c>
      <c r="CP807" t="str">
        <f>""</f>
        <v/>
      </c>
      <c r="CQ807" t="str">
        <f>""</f>
        <v/>
      </c>
      <c r="CR807" t="str">
        <f>""</f>
        <v/>
      </c>
      <c r="CS807" t="str">
        <f>""</f>
        <v/>
      </c>
      <c r="CT807" t="str">
        <f>""</f>
        <v/>
      </c>
      <c r="CU807" t="str">
        <f>""</f>
        <v/>
      </c>
      <c r="CV807" t="str">
        <f>""</f>
        <v/>
      </c>
      <c r="CW807" t="str">
        <f>""</f>
        <v/>
      </c>
      <c r="CX807" t="str">
        <f>""</f>
        <v/>
      </c>
      <c r="CY807" t="str">
        <f>""</f>
        <v/>
      </c>
      <c r="CZ807" t="str">
        <f>""</f>
        <v/>
      </c>
      <c r="DA807" t="str">
        <f>""</f>
        <v/>
      </c>
      <c r="DB807" t="str">
        <f>""</f>
        <v/>
      </c>
      <c r="DC807" t="str">
        <f>""</f>
        <v/>
      </c>
      <c r="DD807" t="str">
        <f>""</f>
        <v/>
      </c>
      <c r="DE807" t="str">
        <f>""</f>
        <v/>
      </c>
      <c r="DF807" t="str">
        <f>""</f>
        <v/>
      </c>
      <c r="DG807" t="str">
        <f>""</f>
        <v/>
      </c>
      <c r="DH807" t="str">
        <f>""</f>
        <v/>
      </c>
      <c r="DI807" t="str">
        <f>""</f>
        <v/>
      </c>
      <c r="DJ807" t="str">
        <f>""</f>
        <v/>
      </c>
      <c r="DK807" t="str">
        <f>""</f>
        <v/>
      </c>
      <c r="DL807" t="str">
        <f>""</f>
        <v/>
      </c>
      <c r="DM807" t="str">
        <f>""</f>
        <v/>
      </c>
      <c r="DN807" t="str">
        <f>""</f>
        <v/>
      </c>
      <c r="DO807" t="str">
        <f>""</f>
        <v/>
      </c>
      <c r="DP807" t="str">
        <f>""</f>
        <v/>
      </c>
      <c r="DQ807" t="str">
        <f>""</f>
        <v/>
      </c>
      <c r="DR807" t="str">
        <f>""</f>
        <v/>
      </c>
      <c r="DS807" t="str">
        <f>""</f>
        <v/>
      </c>
      <c r="DT807" t="str">
        <f>""</f>
        <v/>
      </c>
      <c r="DU807" t="str">
        <f>""</f>
        <v/>
      </c>
    </row>
    <row r="808" spans="1:125" x14ac:dyDescent="0.25">
      <c r="A808" t="str">
        <f>$A$306</f>
        <v xml:space="preserve">    Geely Automobile Holdings Ltd</v>
      </c>
      <c r="B808" t="str">
        <f>$B$306</f>
        <v>175 HK Equity</v>
      </c>
      <c r="C808" t="str">
        <f>$C$306</f>
        <v>RR179</v>
      </c>
      <c r="D808" t="str">
        <f>$D$306</f>
        <v>TANGIBLE_COMMON_EQUITY</v>
      </c>
      <c r="E808" t="str">
        <f>$E$306</f>
        <v>Dynamic</v>
      </c>
      <c r="F808" t="str">
        <f ca="1">_xll.BDH($B$306,$C$306,$B$509,$B$510,CONCATENATE("Per=",$B$507),"Dts=H","Dir=H",CONCATENATE("Points=",$B$508),"Sort=R","Days=A","Fill=B",CONCATENATE("FX=", $B$506) )</f>
        <v>#N/A Connection</v>
      </c>
      <c r="BN808" t="str">
        <f>""</f>
        <v/>
      </c>
      <c r="BO808" t="str">
        <f>""</f>
        <v/>
      </c>
      <c r="BP808" t="str">
        <f>""</f>
        <v/>
      </c>
      <c r="BQ808" t="str">
        <f>""</f>
        <v/>
      </c>
      <c r="BR808" t="str">
        <f>""</f>
        <v/>
      </c>
      <c r="BS808" t="str">
        <f>""</f>
        <v/>
      </c>
      <c r="BT808" t="str">
        <f>""</f>
        <v/>
      </c>
      <c r="BU808" t="str">
        <f>""</f>
        <v/>
      </c>
      <c r="BV808" t="str">
        <f>""</f>
        <v/>
      </c>
      <c r="BW808" t="str">
        <f>""</f>
        <v/>
      </c>
      <c r="BX808" t="str">
        <f>""</f>
        <v/>
      </c>
      <c r="BY808" t="str">
        <f>""</f>
        <v/>
      </c>
      <c r="BZ808" t="str">
        <f>""</f>
        <v/>
      </c>
      <c r="CA808" t="str">
        <f>""</f>
        <v/>
      </c>
      <c r="CB808" t="str">
        <f>""</f>
        <v/>
      </c>
      <c r="CC808" t="str">
        <f>""</f>
        <v/>
      </c>
      <c r="CD808" t="str">
        <f>""</f>
        <v/>
      </c>
      <c r="CE808" t="str">
        <f>""</f>
        <v/>
      </c>
      <c r="CF808" t="str">
        <f>""</f>
        <v/>
      </c>
      <c r="CG808" t="str">
        <f>""</f>
        <v/>
      </c>
      <c r="CH808" t="str">
        <f>""</f>
        <v/>
      </c>
      <c r="CI808" t="str">
        <f>""</f>
        <v/>
      </c>
      <c r="CJ808" t="str">
        <f>""</f>
        <v/>
      </c>
      <c r="CK808" t="str">
        <f>""</f>
        <v/>
      </c>
      <c r="CL808" t="str">
        <f>""</f>
        <v/>
      </c>
      <c r="CM808" t="str">
        <f>""</f>
        <v/>
      </c>
      <c r="CN808" t="str">
        <f>""</f>
        <v/>
      </c>
      <c r="CO808" t="str">
        <f>""</f>
        <v/>
      </c>
      <c r="CP808" t="str">
        <f>""</f>
        <v/>
      </c>
      <c r="CQ808" t="str">
        <f>""</f>
        <v/>
      </c>
      <c r="CR808" t="str">
        <f>""</f>
        <v/>
      </c>
      <c r="CS808" t="str">
        <f>""</f>
        <v/>
      </c>
      <c r="CT808" t="str">
        <f>""</f>
        <v/>
      </c>
      <c r="CU808" t="str">
        <f>""</f>
        <v/>
      </c>
      <c r="CV808" t="str">
        <f>""</f>
        <v/>
      </c>
      <c r="CW808" t="str">
        <f>""</f>
        <v/>
      </c>
      <c r="CX808" t="str">
        <f>""</f>
        <v/>
      </c>
      <c r="CY808" t="str">
        <f>""</f>
        <v/>
      </c>
      <c r="CZ808" t="str">
        <f>""</f>
        <v/>
      </c>
      <c r="DA808" t="str">
        <f>""</f>
        <v/>
      </c>
      <c r="DB808" t="str">
        <f>""</f>
        <v/>
      </c>
      <c r="DC808" t="str">
        <f>""</f>
        <v/>
      </c>
      <c r="DD808" t="str">
        <f>""</f>
        <v/>
      </c>
      <c r="DE808" t="str">
        <f>""</f>
        <v/>
      </c>
      <c r="DF808" t="str">
        <f>""</f>
        <v/>
      </c>
      <c r="DG808" t="str">
        <f>""</f>
        <v/>
      </c>
      <c r="DH808" t="str">
        <f>""</f>
        <v/>
      </c>
      <c r="DI808" t="str">
        <f>""</f>
        <v/>
      </c>
      <c r="DJ808" t="str">
        <f>""</f>
        <v/>
      </c>
      <c r="DK808" t="str">
        <f>""</f>
        <v/>
      </c>
      <c r="DL808" t="str">
        <f>""</f>
        <v/>
      </c>
      <c r="DM808" t="str">
        <f>""</f>
        <v/>
      </c>
      <c r="DN808" t="str">
        <f>""</f>
        <v/>
      </c>
      <c r="DO808" t="str">
        <f>""</f>
        <v/>
      </c>
      <c r="DP808" t="str">
        <f>""</f>
        <v/>
      </c>
      <c r="DQ808" t="str">
        <f>""</f>
        <v/>
      </c>
      <c r="DR808" t="str">
        <f>""</f>
        <v/>
      </c>
      <c r="DS808" t="str">
        <f>""</f>
        <v/>
      </c>
      <c r="DT808" t="str">
        <f>""</f>
        <v/>
      </c>
      <c r="DU808" t="str">
        <f>""</f>
        <v/>
      </c>
    </row>
    <row r="809" spans="1:125" x14ac:dyDescent="0.25">
      <c r="A809" t="str">
        <f>$A$307</f>
        <v xml:space="preserve">    General Motors Co</v>
      </c>
      <c r="B809" t="str">
        <f>$B$307</f>
        <v>GM US Equity</v>
      </c>
      <c r="C809" t="str">
        <f>$C$307</f>
        <v>RR179</v>
      </c>
      <c r="D809" t="str">
        <f>$D$307</f>
        <v>TANGIBLE_COMMON_EQUITY</v>
      </c>
      <c r="E809" t="str">
        <f>$E$307</f>
        <v>Dynamic</v>
      </c>
      <c r="F809" t="str">
        <f ca="1">_xll.BDH($B$307,$C$307,$B$509,$B$510,CONCATENATE("Per=",$B$507),"Dts=H","Dir=H",CONCATENATE("Points=",$B$508),"Sort=R","Days=A","Fill=B",CONCATENATE("FX=", $B$506) )</f>
        <v>#N/A Connection</v>
      </c>
      <c r="BN809" t="str">
        <f>""</f>
        <v/>
      </c>
      <c r="BO809" t="str">
        <f>""</f>
        <v/>
      </c>
      <c r="BP809" t="str">
        <f>""</f>
        <v/>
      </c>
      <c r="BQ809" t="str">
        <f>""</f>
        <v/>
      </c>
      <c r="BR809" t="str">
        <f>""</f>
        <v/>
      </c>
      <c r="BS809" t="str">
        <f>""</f>
        <v/>
      </c>
      <c r="BT809" t="str">
        <f>""</f>
        <v/>
      </c>
      <c r="BU809" t="str">
        <f>""</f>
        <v/>
      </c>
      <c r="BV809" t="str">
        <f>""</f>
        <v/>
      </c>
      <c r="BW809" t="str">
        <f>""</f>
        <v/>
      </c>
      <c r="BX809" t="str">
        <f>""</f>
        <v/>
      </c>
      <c r="BY809" t="str">
        <f>""</f>
        <v/>
      </c>
      <c r="BZ809" t="str">
        <f>""</f>
        <v/>
      </c>
      <c r="CA809" t="str">
        <f>""</f>
        <v/>
      </c>
      <c r="CB809" t="str">
        <f>""</f>
        <v/>
      </c>
      <c r="CC809" t="str">
        <f>""</f>
        <v/>
      </c>
      <c r="CD809" t="str">
        <f>""</f>
        <v/>
      </c>
      <c r="CE809" t="str">
        <f>""</f>
        <v/>
      </c>
      <c r="CF809" t="str">
        <f>""</f>
        <v/>
      </c>
      <c r="CG809" t="str">
        <f>""</f>
        <v/>
      </c>
      <c r="CH809" t="str">
        <f>""</f>
        <v/>
      </c>
      <c r="CI809" t="str">
        <f>""</f>
        <v/>
      </c>
      <c r="CJ809" t="str">
        <f>""</f>
        <v/>
      </c>
      <c r="CK809" t="str">
        <f>""</f>
        <v/>
      </c>
      <c r="CL809" t="str">
        <f>""</f>
        <v/>
      </c>
      <c r="CM809" t="str">
        <f>""</f>
        <v/>
      </c>
      <c r="CN809" t="str">
        <f>""</f>
        <v/>
      </c>
      <c r="CO809" t="str">
        <f>""</f>
        <v/>
      </c>
      <c r="CP809" t="str">
        <f>""</f>
        <v/>
      </c>
      <c r="CQ809" t="str">
        <f>""</f>
        <v/>
      </c>
      <c r="CR809" t="str">
        <f>""</f>
        <v/>
      </c>
      <c r="CS809" t="str">
        <f>""</f>
        <v/>
      </c>
      <c r="CT809" t="str">
        <f>""</f>
        <v/>
      </c>
      <c r="CU809" t="str">
        <f>""</f>
        <v/>
      </c>
      <c r="CV809" t="str">
        <f>""</f>
        <v/>
      </c>
      <c r="CW809" t="str">
        <f>""</f>
        <v/>
      </c>
      <c r="CX809" t="str">
        <f>""</f>
        <v/>
      </c>
      <c r="CY809" t="str">
        <f>""</f>
        <v/>
      </c>
      <c r="CZ809" t="str">
        <f>""</f>
        <v/>
      </c>
      <c r="DA809" t="str">
        <f>""</f>
        <v/>
      </c>
      <c r="DB809" t="str">
        <f>""</f>
        <v/>
      </c>
      <c r="DC809" t="str">
        <f>""</f>
        <v/>
      </c>
      <c r="DD809" t="str">
        <f>""</f>
        <v/>
      </c>
      <c r="DE809" t="str">
        <f>""</f>
        <v/>
      </c>
      <c r="DF809" t="str">
        <f>""</f>
        <v/>
      </c>
      <c r="DG809" t="str">
        <f>""</f>
        <v/>
      </c>
      <c r="DH809" t="str">
        <f>""</f>
        <v/>
      </c>
      <c r="DI809" t="str">
        <f>""</f>
        <v/>
      </c>
      <c r="DJ809" t="str">
        <f>""</f>
        <v/>
      </c>
      <c r="DK809" t="str">
        <f>""</f>
        <v/>
      </c>
      <c r="DL809" t="str">
        <f>""</f>
        <v/>
      </c>
      <c r="DM809" t="str">
        <f>""</f>
        <v/>
      </c>
      <c r="DN809" t="str">
        <f>""</f>
        <v/>
      </c>
      <c r="DO809" t="str">
        <f>""</f>
        <v/>
      </c>
      <c r="DP809" t="str">
        <f>""</f>
        <v/>
      </c>
      <c r="DQ809" t="str">
        <f>""</f>
        <v/>
      </c>
      <c r="DR809" t="str">
        <f>""</f>
        <v/>
      </c>
      <c r="DS809" t="str">
        <f>""</f>
        <v/>
      </c>
      <c r="DT809" t="str">
        <f>""</f>
        <v/>
      </c>
      <c r="DU809" t="str">
        <f>""</f>
        <v/>
      </c>
    </row>
    <row r="810" spans="1:125" x14ac:dyDescent="0.25">
      <c r="A810" t="str">
        <f>$A$308</f>
        <v xml:space="preserve">    Great Wall Motor Co Ltd</v>
      </c>
      <c r="B810" t="str">
        <f>$B$308</f>
        <v>2333 HK Equity</v>
      </c>
      <c r="C810" t="str">
        <f>$C$308</f>
        <v>RR179</v>
      </c>
      <c r="D810" t="str">
        <f>$D$308</f>
        <v>TANGIBLE_COMMON_EQUITY</v>
      </c>
      <c r="E810" t="str">
        <f>$E$308</f>
        <v>Dynamic</v>
      </c>
      <c r="F810" t="str">
        <f ca="1">_xll.BDH($B$308,$C$308,$B$509,$B$510,CONCATENATE("Per=",$B$507),"Dts=H","Dir=H",CONCATENATE("Points=",$B$508),"Sort=R","Days=A","Fill=B",CONCATENATE("FX=", $B$506) )</f>
        <v>#N/A Connection</v>
      </c>
      <c r="BN810" t="str">
        <f>""</f>
        <v/>
      </c>
      <c r="BO810" t="str">
        <f>""</f>
        <v/>
      </c>
      <c r="BP810" t="str">
        <f>""</f>
        <v/>
      </c>
      <c r="BQ810" t="str">
        <f>""</f>
        <v/>
      </c>
      <c r="BR810" t="str">
        <f>""</f>
        <v/>
      </c>
      <c r="BS810" t="str">
        <f>""</f>
        <v/>
      </c>
      <c r="BT810" t="str">
        <f>""</f>
        <v/>
      </c>
      <c r="BU810" t="str">
        <f>""</f>
        <v/>
      </c>
      <c r="BV810" t="str">
        <f>""</f>
        <v/>
      </c>
      <c r="BW810" t="str">
        <f>""</f>
        <v/>
      </c>
      <c r="BX810" t="str">
        <f>""</f>
        <v/>
      </c>
      <c r="BY810" t="str">
        <f>""</f>
        <v/>
      </c>
      <c r="BZ810" t="str">
        <f>""</f>
        <v/>
      </c>
      <c r="CA810" t="str">
        <f>""</f>
        <v/>
      </c>
      <c r="CB810" t="str">
        <f>""</f>
        <v/>
      </c>
      <c r="CC810" t="str">
        <f>""</f>
        <v/>
      </c>
      <c r="CD810" t="str">
        <f>""</f>
        <v/>
      </c>
      <c r="CE810" t="str">
        <f>""</f>
        <v/>
      </c>
      <c r="CF810" t="str">
        <f>""</f>
        <v/>
      </c>
      <c r="CG810" t="str">
        <f>""</f>
        <v/>
      </c>
      <c r="CH810" t="str">
        <f>""</f>
        <v/>
      </c>
      <c r="CI810" t="str">
        <f>""</f>
        <v/>
      </c>
      <c r="CJ810" t="str">
        <f>""</f>
        <v/>
      </c>
      <c r="CK810" t="str">
        <f>""</f>
        <v/>
      </c>
      <c r="CL810" t="str">
        <f>""</f>
        <v/>
      </c>
      <c r="CM810" t="str">
        <f>""</f>
        <v/>
      </c>
      <c r="CN810" t="str">
        <f>""</f>
        <v/>
      </c>
      <c r="CO810" t="str">
        <f>""</f>
        <v/>
      </c>
      <c r="CP810" t="str">
        <f>""</f>
        <v/>
      </c>
      <c r="CQ810" t="str">
        <f>""</f>
        <v/>
      </c>
      <c r="CR810" t="str">
        <f>""</f>
        <v/>
      </c>
      <c r="CS810" t="str">
        <f>""</f>
        <v/>
      </c>
      <c r="CT810" t="str">
        <f>""</f>
        <v/>
      </c>
      <c r="CU810" t="str">
        <f>""</f>
        <v/>
      </c>
      <c r="CV810" t="str">
        <f>""</f>
        <v/>
      </c>
      <c r="CW810" t="str">
        <f>""</f>
        <v/>
      </c>
      <c r="CX810" t="str">
        <f>""</f>
        <v/>
      </c>
      <c r="CY810" t="str">
        <f>""</f>
        <v/>
      </c>
      <c r="CZ810" t="str">
        <f>""</f>
        <v/>
      </c>
      <c r="DA810" t="str">
        <f>""</f>
        <v/>
      </c>
      <c r="DB810" t="str">
        <f>""</f>
        <v/>
      </c>
      <c r="DC810" t="str">
        <f>""</f>
        <v/>
      </c>
      <c r="DD810" t="str">
        <f>""</f>
        <v/>
      </c>
      <c r="DE810" t="str">
        <f>""</f>
        <v/>
      </c>
      <c r="DF810" t="str">
        <f>""</f>
        <v/>
      </c>
      <c r="DG810" t="str">
        <f>""</f>
        <v/>
      </c>
      <c r="DH810" t="str">
        <f>""</f>
        <v/>
      </c>
      <c r="DI810" t="str">
        <f>""</f>
        <v/>
      </c>
      <c r="DJ810" t="str">
        <f>""</f>
        <v/>
      </c>
      <c r="DK810" t="str">
        <f>""</f>
        <v/>
      </c>
      <c r="DL810" t="str">
        <f>""</f>
        <v/>
      </c>
      <c r="DM810" t="str">
        <f>""</f>
        <v/>
      </c>
      <c r="DN810" t="str">
        <f>""</f>
        <v/>
      </c>
      <c r="DO810" t="str">
        <f>""</f>
        <v/>
      </c>
      <c r="DP810" t="str">
        <f>""</f>
        <v/>
      </c>
      <c r="DQ810" t="str">
        <f>""</f>
        <v/>
      </c>
      <c r="DR810" t="str">
        <f>""</f>
        <v/>
      </c>
      <c r="DS810" t="str">
        <f>""</f>
        <v/>
      </c>
      <c r="DT810" t="str">
        <f>""</f>
        <v/>
      </c>
      <c r="DU810" t="str">
        <f>""</f>
        <v/>
      </c>
    </row>
    <row r="811" spans="1:125" x14ac:dyDescent="0.25">
      <c r="A811" t="str">
        <f>$A$309</f>
        <v xml:space="preserve">    Guangzhou Automobile Group Co Ltd</v>
      </c>
      <c r="B811" t="str">
        <f>$B$309</f>
        <v>2238 HK Equity</v>
      </c>
      <c r="C811" t="str">
        <f>$C$309</f>
        <v>RR179</v>
      </c>
      <c r="D811" t="str">
        <f>$D$309</f>
        <v>TANGIBLE_COMMON_EQUITY</v>
      </c>
      <c r="E811" t="str">
        <f>$E$309</f>
        <v>Dynamic</v>
      </c>
      <c r="F811" t="str">
        <f ca="1">_xll.BDH($B$309,$C$309,$B$509,$B$510,CONCATENATE("Per=",$B$507),"Dts=H","Dir=H",CONCATENATE("Points=",$B$508),"Sort=R","Days=A","Fill=B",CONCATENATE("FX=", $B$506) )</f>
        <v>#N/A Connection</v>
      </c>
      <c r="BN811" t="str">
        <f>""</f>
        <v/>
      </c>
      <c r="BO811" t="str">
        <f>""</f>
        <v/>
      </c>
      <c r="BP811" t="str">
        <f>""</f>
        <v/>
      </c>
      <c r="BQ811" t="str">
        <f>""</f>
        <v/>
      </c>
      <c r="BR811" t="str">
        <f>""</f>
        <v/>
      </c>
      <c r="BS811" t="str">
        <f>""</f>
        <v/>
      </c>
      <c r="BT811" t="str">
        <f>""</f>
        <v/>
      </c>
      <c r="BU811" t="str">
        <f>""</f>
        <v/>
      </c>
      <c r="BV811" t="str">
        <f>""</f>
        <v/>
      </c>
      <c r="BW811" t="str">
        <f>""</f>
        <v/>
      </c>
      <c r="BX811" t="str">
        <f>""</f>
        <v/>
      </c>
      <c r="BY811" t="str">
        <f>""</f>
        <v/>
      </c>
      <c r="BZ811" t="str">
        <f>""</f>
        <v/>
      </c>
      <c r="CA811" t="str">
        <f>""</f>
        <v/>
      </c>
      <c r="CB811" t="str">
        <f>""</f>
        <v/>
      </c>
      <c r="CC811" t="str">
        <f>""</f>
        <v/>
      </c>
      <c r="CD811" t="str">
        <f>""</f>
        <v/>
      </c>
      <c r="CE811" t="str">
        <f>""</f>
        <v/>
      </c>
      <c r="CF811" t="str">
        <f>""</f>
        <v/>
      </c>
      <c r="CG811" t="str">
        <f>""</f>
        <v/>
      </c>
      <c r="CH811" t="str">
        <f>""</f>
        <v/>
      </c>
      <c r="CI811" t="str">
        <f>""</f>
        <v/>
      </c>
      <c r="CJ811" t="str">
        <f>""</f>
        <v/>
      </c>
      <c r="CK811" t="str">
        <f>""</f>
        <v/>
      </c>
      <c r="CL811" t="str">
        <f>""</f>
        <v/>
      </c>
      <c r="CM811" t="str">
        <f>""</f>
        <v/>
      </c>
      <c r="CN811" t="str">
        <f>""</f>
        <v/>
      </c>
      <c r="CO811" t="str">
        <f>""</f>
        <v/>
      </c>
      <c r="CP811" t="str">
        <f>""</f>
        <v/>
      </c>
      <c r="CQ811" t="str">
        <f>""</f>
        <v/>
      </c>
      <c r="CR811" t="str">
        <f>""</f>
        <v/>
      </c>
      <c r="CS811" t="str">
        <f>""</f>
        <v/>
      </c>
      <c r="CT811" t="str">
        <f>""</f>
        <v/>
      </c>
      <c r="CU811" t="str">
        <f>""</f>
        <v/>
      </c>
      <c r="CV811" t="str">
        <f>""</f>
        <v/>
      </c>
      <c r="CW811" t="str">
        <f>""</f>
        <v/>
      </c>
      <c r="CX811" t="str">
        <f>""</f>
        <v/>
      </c>
      <c r="CY811" t="str">
        <f>""</f>
        <v/>
      </c>
      <c r="CZ811" t="str">
        <f>""</f>
        <v/>
      </c>
      <c r="DA811" t="str">
        <f>""</f>
        <v/>
      </c>
      <c r="DB811" t="str">
        <f>""</f>
        <v/>
      </c>
      <c r="DC811" t="str">
        <f>""</f>
        <v/>
      </c>
      <c r="DD811" t="str">
        <f>""</f>
        <v/>
      </c>
      <c r="DE811" t="str">
        <f>""</f>
        <v/>
      </c>
      <c r="DF811" t="str">
        <f>""</f>
        <v/>
      </c>
      <c r="DG811" t="str">
        <f>""</f>
        <v/>
      </c>
      <c r="DH811" t="str">
        <f>""</f>
        <v/>
      </c>
      <c r="DI811" t="str">
        <f>""</f>
        <v/>
      </c>
      <c r="DJ811" t="str">
        <f>""</f>
        <v/>
      </c>
      <c r="DK811" t="str">
        <f>""</f>
        <v/>
      </c>
      <c r="DL811" t="str">
        <f>""</f>
        <v/>
      </c>
      <c r="DM811" t="str">
        <f>""</f>
        <v/>
      </c>
      <c r="DN811" t="str">
        <f>""</f>
        <v/>
      </c>
      <c r="DO811" t="str">
        <f>""</f>
        <v/>
      </c>
      <c r="DP811" t="str">
        <f>""</f>
        <v/>
      </c>
      <c r="DQ811" t="str">
        <f>""</f>
        <v/>
      </c>
      <c r="DR811" t="str">
        <f>""</f>
        <v/>
      </c>
      <c r="DS811" t="str">
        <f>""</f>
        <v/>
      </c>
      <c r="DT811" t="str">
        <f>""</f>
        <v/>
      </c>
      <c r="DU811" t="str">
        <f>""</f>
        <v/>
      </c>
    </row>
    <row r="812" spans="1:125" x14ac:dyDescent="0.25">
      <c r="A812" t="str">
        <f>$A$310</f>
        <v xml:space="preserve">    Honda Motor Co Ltd</v>
      </c>
      <c r="B812" t="str">
        <f>$B$310</f>
        <v>7267 JP Equity</v>
      </c>
      <c r="C812" t="str">
        <f>$C$310</f>
        <v>RR179</v>
      </c>
      <c r="D812" t="str">
        <f>$D$310</f>
        <v>TANGIBLE_COMMON_EQUITY</v>
      </c>
      <c r="E812" t="str">
        <f>$E$310</f>
        <v>Dynamic</v>
      </c>
      <c r="F812" t="str">
        <f ca="1">_xll.BDH($B$310,$C$310,$B$509,$B$510,CONCATENATE("Per=",$B$507),"Dts=H","Dir=H",CONCATENATE("Points=",$B$508),"Sort=R","Days=A","Fill=B",CONCATENATE("FX=", $B$506) )</f>
        <v>#N/A Connection</v>
      </c>
      <c r="BN812" t="str">
        <f>""</f>
        <v/>
      </c>
      <c r="BO812" t="str">
        <f>""</f>
        <v/>
      </c>
      <c r="BP812" t="str">
        <f>""</f>
        <v/>
      </c>
      <c r="BQ812" t="str">
        <f>""</f>
        <v/>
      </c>
      <c r="BR812" t="str">
        <f>""</f>
        <v/>
      </c>
      <c r="BS812" t="str">
        <f>""</f>
        <v/>
      </c>
      <c r="BT812" t="str">
        <f>""</f>
        <v/>
      </c>
      <c r="BU812" t="str">
        <f>""</f>
        <v/>
      </c>
      <c r="BV812" t="str">
        <f>""</f>
        <v/>
      </c>
      <c r="BW812" t="str">
        <f>""</f>
        <v/>
      </c>
      <c r="BX812" t="str">
        <f>""</f>
        <v/>
      </c>
      <c r="BY812" t="str">
        <f>""</f>
        <v/>
      </c>
      <c r="BZ812" t="str">
        <f>""</f>
        <v/>
      </c>
      <c r="CA812" t="str">
        <f>""</f>
        <v/>
      </c>
      <c r="CB812" t="str">
        <f>""</f>
        <v/>
      </c>
      <c r="CC812" t="str">
        <f>""</f>
        <v/>
      </c>
      <c r="CD812" t="str">
        <f>""</f>
        <v/>
      </c>
      <c r="CE812" t="str">
        <f>""</f>
        <v/>
      </c>
      <c r="CF812" t="str">
        <f>""</f>
        <v/>
      </c>
      <c r="CG812" t="str">
        <f>""</f>
        <v/>
      </c>
      <c r="CH812" t="str">
        <f>""</f>
        <v/>
      </c>
      <c r="CI812" t="str">
        <f>""</f>
        <v/>
      </c>
      <c r="CJ812" t="str">
        <f>""</f>
        <v/>
      </c>
      <c r="CK812" t="str">
        <f>""</f>
        <v/>
      </c>
      <c r="CL812" t="str">
        <f>""</f>
        <v/>
      </c>
      <c r="CM812" t="str">
        <f>""</f>
        <v/>
      </c>
      <c r="CN812" t="str">
        <f>""</f>
        <v/>
      </c>
      <c r="CO812" t="str">
        <f>""</f>
        <v/>
      </c>
      <c r="CP812" t="str">
        <f>""</f>
        <v/>
      </c>
      <c r="CQ812" t="str">
        <f>""</f>
        <v/>
      </c>
      <c r="CR812" t="str">
        <f>""</f>
        <v/>
      </c>
      <c r="CS812" t="str">
        <f>""</f>
        <v/>
      </c>
      <c r="CT812" t="str">
        <f>""</f>
        <v/>
      </c>
      <c r="CU812" t="str">
        <f>""</f>
        <v/>
      </c>
      <c r="CV812" t="str">
        <f>""</f>
        <v/>
      </c>
      <c r="CW812" t="str">
        <f>""</f>
        <v/>
      </c>
      <c r="CX812" t="str">
        <f>""</f>
        <v/>
      </c>
      <c r="CY812" t="str">
        <f>""</f>
        <v/>
      </c>
      <c r="CZ812" t="str">
        <f>""</f>
        <v/>
      </c>
      <c r="DA812" t="str">
        <f>""</f>
        <v/>
      </c>
      <c r="DB812" t="str">
        <f>""</f>
        <v/>
      </c>
      <c r="DC812" t="str">
        <f>""</f>
        <v/>
      </c>
      <c r="DD812" t="str">
        <f>""</f>
        <v/>
      </c>
      <c r="DE812" t="str">
        <f>""</f>
        <v/>
      </c>
      <c r="DF812" t="str">
        <f>""</f>
        <v/>
      </c>
      <c r="DG812" t="str">
        <f>""</f>
        <v/>
      </c>
      <c r="DH812" t="str">
        <f>""</f>
        <v/>
      </c>
      <c r="DI812" t="str">
        <f>""</f>
        <v/>
      </c>
      <c r="DJ812" t="str">
        <f>""</f>
        <v/>
      </c>
      <c r="DK812" t="str">
        <f>""</f>
        <v/>
      </c>
      <c r="DL812" t="str">
        <f>""</f>
        <v/>
      </c>
      <c r="DM812" t="str">
        <f>""</f>
        <v/>
      </c>
      <c r="DN812" t="str">
        <f>""</f>
        <v/>
      </c>
      <c r="DO812" t="str">
        <f>""</f>
        <v/>
      </c>
      <c r="DP812" t="str">
        <f>""</f>
        <v/>
      </c>
      <c r="DQ812" t="str">
        <f>""</f>
        <v/>
      </c>
      <c r="DR812" t="str">
        <f>""</f>
        <v/>
      </c>
      <c r="DS812" t="str">
        <f>""</f>
        <v/>
      </c>
      <c r="DT812" t="str">
        <f>""</f>
        <v/>
      </c>
      <c r="DU812" t="str">
        <f>""</f>
        <v/>
      </c>
    </row>
    <row r="813" spans="1:125" x14ac:dyDescent="0.25">
      <c r="A813" t="str">
        <f>$A$311</f>
        <v xml:space="preserve">    Hyundai Motor Co</v>
      </c>
      <c r="B813" t="str">
        <f>$B$311</f>
        <v>005380 KS Equity</v>
      </c>
      <c r="C813" t="str">
        <f>$C$311</f>
        <v>RR179</v>
      </c>
      <c r="D813" t="str">
        <f>$D$311</f>
        <v>TANGIBLE_COMMON_EQUITY</v>
      </c>
      <c r="E813" t="str">
        <f>$E$311</f>
        <v>Dynamic</v>
      </c>
      <c r="F813" t="str">
        <f ca="1">_xll.BDH($B$311,$C$311,$B$509,$B$510,CONCATENATE("Per=",$B$507),"Dts=H","Dir=H",CONCATENATE("Points=",$B$508),"Sort=R","Days=A","Fill=B",CONCATENATE("FX=", $B$506) )</f>
        <v>#N/A Connection</v>
      </c>
      <c r="BN813" t="str">
        <f>""</f>
        <v/>
      </c>
      <c r="BO813" t="str">
        <f>""</f>
        <v/>
      </c>
      <c r="BP813" t="str">
        <f>""</f>
        <v/>
      </c>
      <c r="BQ813" t="str">
        <f>""</f>
        <v/>
      </c>
      <c r="BR813" t="str">
        <f>""</f>
        <v/>
      </c>
      <c r="BS813" t="str">
        <f>""</f>
        <v/>
      </c>
      <c r="BT813" t="str">
        <f>""</f>
        <v/>
      </c>
      <c r="BU813" t="str">
        <f>""</f>
        <v/>
      </c>
      <c r="BV813" t="str">
        <f>""</f>
        <v/>
      </c>
      <c r="BW813" t="str">
        <f>""</f>
        <v/>
      </c>
      <c r="BX813" t="str">
        <f>""</f>
        <v/>
      </c>
      <c r="BY813" t="str">
        <f>""</f>
        <v/>
      </c>
      <c r="BZ813" t="str">
        <f>""</f>
        <v/>
      </c>
      <c r="CA813" t="str">
        <f>""</f>
        <v/>
      </c>
      <c r="CB813" t="str">
        <f>""</f>
        <v/>
      </c>
      <c r="CC813" t="str">
        <f>""</f>
        <v/>
      </c>
      <c r="CD813" t="str">
        <f>""</f>
        <v/>
      </c>
      <c r="CE813" t="str">
        <f>""</f>
        <v/>
      </c>
      <c r="CF813" t="str">
        <f>""</f>
        <v/>
      </c>
      <c r="CG813" t="str">
        <f>""</f>
        <v/>
      </c>
      <c r="CH813" t="str">
        <f>""</f>
        <v/>
      </c>
      <c r="CI813" t="str">
        <f>""</f>
        <v/>
      </c>
      <c r="CJ813" t="str">
        <f>""</f>
        <v/>
      </c>
      <c r="CK813" t="str">
        <f>""</f>
        <v/>
      </c>
      <c r="CL813" t="str">
        <f>""</f>
        <v/>
      </c>
      <c r="CM813" t="str">
        <f>""</f>
        <v/>
      </c>
      <c r="CN813" t="str">
        <f>""</f>
        <v/>
      </c>
      <c r="CO813" t="str">
        <f>""</f>
        <v/>
      </c>
      <c r="CP813" t="str">
        <f>""</f>
        <v/>
      </c>
      <c r="CQ813" t="str">
        <f>""</f>
        <v/>
      </c>
      <c r="CR813" t="str">
        <f>""</f>
        <v/>
      </c>
      <c r="CS813" t="str">
        <f>""</f>
        <v/>
      </c>
      <c r="CT813" t="str">
        <f>""</f>
        <v/>
      </c>
      <c r="CU813" t="str">
        <f>""</f>
        <v/>
      </c>
      <c r="CV813" t="str">
        <f>""</f>
        <v/>
      </c>
      <c r="CW813" t="str">
        <f>""</f>
        <v/>
      </c>
      <c r="CX813" t="str">
        <f>""</f>
        <v/>
      </c>
      <c r="CY813" t="str">
        <f>""</f>
        <v/>
      </c>
      <c r="CZ813" t="str">
        <f>""</f>
        <v/>
      </c>
      <c r="DA813" t="str">
        <f>""</f>
        <v/>
      </c>
      <c r="DB813" t="str">
        <f>""</f>
        <v/>
      </c>
      <c r="DC813" t="str">
        <f>""</f>
        <v/>
      </c>
      <c r="DD813" t="str">
        <f>""</f>
        <v/>
      </c>
      <c r="DE813" t="str">
        <f>""</f>
        <v/>
      </c>
      <c r="DF813" t="str">
        <f>""</f>
        <v/>
      </c>
      <c r="DG813" t="str">
        <f>""</f>
        <v/>
      </c>
      <c r="DH813" t="str">
        <f>""</f>
        <v/>
      </c>
      <c r="DI813" t="str">
        <f>""</f>
        <v/>
      </c>
      <c r="DJ813" t="str">
        <f>""</f>
        <v/>
      </c>
      <c r="DK813" t="str">
        <f>""</f>
        <v/>
      </c>
      <c r="DL813" t="str">
        <f>""</f>
        <v/>
      </c>
      <c r="DM813" t="str">
        <f>""</f>
        <v/>
      </c>
      <c r="DN813" t="str">
        <f>""</f>
        <v/>
      </c>
      <c r="DO813" t="str">
        <f>""</f>
        <v/>
      </c>
      <c r="DP813" t="str">
        <f>""</f>
        <v/>
      </c>
      <c r="DQ813" t="str">
        <f>""</f>
        <v/>
      </c>
      <c r="DR813" t="str">
        <f>""</f>
        <v/>
      </c>
      <c r="DS813" t="str">
        <f>""</f>
        <v/>
      </c>
      <c r="DT813" t="str">
        <f>""</f>
        <v/>
      </c>
      <c r="DU813" t="str">
        <f>""</f>
        <v/>
      </c>
    </row>
    <row r="814" spans="1:125" x14ac:dyDescent="0.25">
      <c r="A814" t="str">
        <f>$A$312</f>
        <v xml:space="preserve">    Kia Motors Corp</v>
      </c>
      <c r="B814" t="str">
        <f>$B$312</f>
        <v>000270 KS Equity</v>
      </c>
      <c r="C814" t="str">
        <f>$C$312</f>
        <v>RR179</v>
      </c>
      <c r="D814" t="str">
        <f>$D$312</f>
        <v>TANGIBLE_COMMON_EQUITY</v>
      </c>
      <c r="E814" t="str">
        <f>$E$312</f>
        <v>Dynamic</v>
      </c>
      <c r="F814" t="str">
        <f ca="1">_xll.BDH($B$312,$C$312,$B$509,$B$510,CONCATENATE("Per=",$B$507),"Dts=H","Dir=H",CONCATENATE("Points=",$B$508),"Sort=R","Days=A","Fill=B",CONCATENATE("FX=", $B$506) )</f>
        <v>#N/A Connection</v>
      </c>
      <c r="BN814" t="str">
        <f>""</f>
        <v/>
      </c>
      <c r="BO814" t="str">
        <f>""</f>
        <v/>
      </c>
      <c r="BP814" t="str">
        <f>""</f>
        <v/>
      </c>
      <c r="BQ814" t="str">
        <f>""</f>
        <v/>
      </c>
      <c r="BR814" t="str">
        <f>""</f>
        <v/>
      </c>
      <c r="BS814" t="str">
        <f>""</f>
        <v/>
      </c>
      <c r="BT814" t="str">
        <f>""</f>
        <v/>
      </c>
      <c r="BU814" t="str">
        <f>""</f>
        <v/>
      </c>
      <c r="BV814" t="str">
        <f>""</f>
        <v/>
      </c>
      <c r="BW814" t="str">
        <f>""</f>
        <v/>
      </c>
      <c r="BX814" t="str">
        <f>""</f>
        <v/>
      </c>
      <c r="BY814" t="str">
        <f>""</f>
        <v/>
      </c>
      <c r="BZ814" t="str">
        <f>""</f>
        <v/>
      </c>
      <c r="CA814" t="str">
        <f>""</f>
        <v/>
      </c>
      <c r="CB814" t="str">
        <f>""</f>
        <v/>
      </c>
      <c r="CC814" t="str">
        <f>""</f>
        <v/>
      </c>
      <c r="CD814" t="str">
        <f>""</f>
        <v/>
      </c>
      <c r="CE814" t="str">
        <f>""</f>
        <v/>
      </c>
      <c r="CF814" t="str">
        <f>""</f>
        <v/>
      </c>
      <c r="CG814" t="str">
        <f>""</f>
        <v/>
      </c>
      <c r="CH814" t="str">
        <f>""</f>
        <v/>
      </c>
      <c r="CI814" t="str">
        <f>""</f>
        <v/>
      </c>
      <c r="CJ814" t="str">
        <f>""</f>
        <v/>
      </c>
      <c r="CK814" t="str">
        <f>""</f>
        <v/>
      </c>
      <c r="CL814" t="str">
        <f>""</f>
        <v/>
      </c>
      <c r="CM814" t="str">
        <f>""</f>
        <v/>
      </c>
      <c r="CN814" t="str">
        <f>""</f>
        <v/>
      </c>
      <c r="CO814" t="str">
        <f>""</f>
        <v/>
      </c>
      <c r="CP814" t="str">
        <f>""</f>
        <v/>
      </c>
      <c r="CQ814" t="str">
        <f>""</f>
        <v/>
      </c>
      <c r="CR814" t="str">
        <f>""</f>
        <v/>
      </c>
      <c r="CS814" t="str">
        <f>""</f>
        <v/>
      </c>
      <c r="CT814" t="str">
        <f>""</f>
        <v/>
      </c>
      <c r="CU814" t="str">
        <f>""</f>
        <v/>
      </c>
      <c r="CV814" t="str">
        <f>""</f>
        <v/>
      </c>
      <c r="CW814" t="str">
        <f>""</f>
        <v/>
      </c>
      <c r="CX814" t="str">
        <f>""</f>
        <v/>
      </c>
      <c r="CY814" t="str">
        <f>""</f>
        <v/>
      </c>
      <c r="CZ814" t="str">
        <f>""</f>
        <v/>
      </c>
      <c r="DA814" t="str">
        <f>""</f>
        <v/>
      </c>
      <c r="DB814" t="str">
        <f>""</f>
        <v/>
      </c>
      <c r="DC814" t="str">
        <f>""</f>
        <v/>
      </c>
      <c r="DD814" t="str">
        <f>""</f>
        <v/>
      </c>
      <c r="DE814" t="str">
        <f>""</f>
        <v/>
      </c>
      <c r="DF814" t="str">
        <f>""</f>
        <v/>
      </c>
      <c r="DG814" t="str">
        <f>""</f>
        <v/>
      </c>
      <c r="DH814" t="str">
        <f>""</f>
        <v/>
      </c>
      <c r="DI814" t="str">
        <f>""</f>
        <v/>
      </c>
      <c r="DJ814" t="str">
        <f>""</f>
        <v/>
      </c>
      <c r="DK814" t="str">
        <f>""</f>
        <v/>
      </c>
      <c r="DL814" t="str">
        <f>""</f>
        <v/>
      </c>
      <c r="DM814" t="str">
        <f>""</f>
        <v/>
      </c>
      <c r="DN814" t="str">
        <f>""</f>
        <v/>
      </c>
      <c r="DO814" t="str">
        <f>""</f>
        <v/>
      </c>
      <c r="DP814" t="str">
        <f>""</f>
        <v/>
      </c>
      <c r="DQ814" t="str">
        <f>""</f>
        <v/>
      </c>
      <c r="DR814" t="str">
        <f>""</f>
        <v/>
      </c>
      <c r="DS814" t="str">
        <f>""</f>
        <v/>
      </c>
      <c r="DT814" t="str">
        <f>""</f>
        <v/>
      </c>
      <c r="DU814" t="str">
        <f>""</f>
        <v/>
      </c>
    </row>
    <row r="815" spans="1:125" x14ac:dyDescent="0.25">
      <c r="A815" t="str">
        <f>$A$313</f>
        <v xml:space="preserve">    Mazda Motor Corp</v>
      </c>
      <c r="B815" t="str">
        <f>$B$313</f>
        <v>7261 JP Equity</v>
      </c>
      <c r="C815" t="str">
        <f>$C$313</f>
        <v>RR179</v>
      </c>
      <c r="D815" t="str">
        <f>$D$313</f>
        <v>TANGIBLE_COMMON_EQUITY</v>
      </c>
      <c r="E815" t="str">
        <f>$E$313</f>
        <v>Dynamic</v>
      </c>
      <c r="F815" t="str">
        <f ca="1">_xll.BDH($B$313,$C$313,$B$509,$B$510,CONCATENATE("Per=",$B$507),"Dts=H","Dir=H",CONCATENATE("Points=",$B$508),"Sort=R","Days=A","Fill=B",CONCATENATE("FX=", $B$506) )</f>
        <v>#N/A Connection</v>
      </c>
      <c r="BN815" t="str">
        <f>""</f>
        <v/>
      </c>
      <c r="BO815" t="str">
        <f>""</f>
        <v/>
      </c>
      <c r="BP815" t="str">
        <f>""</f>
        <v/>
      </c>
      <c r="BQ815" t="str">
        <f>""</f>
        <v/>
      </c>
      <c r="BR815" t="str">
        <f>""</f>
        <v/>
      </c>
      <c r="BS815" t="str">
        <f>""</f>
        <v/>
      </c>
      <c r="BT815" t="str">
        <f>""</f>
        <v/>
      </c>
      <c r="BU815" t="str">
        <f>""</f>
        <v/>
      </c>
      <c r="BV815" t="str">
        <f>""</f>
        <v/>
      </c>
      <c r="BW815" t="str">
        <f>""</f>
        <v/>
      </c>
      <c r="BX815" t="str">
        <f>""</f>
        <v/>
      </c>
      <c r="BY815" t="str">
        <f>""</f>
        <v/>
      </c>
      <c r="BZ815" t="str">
        <f>""</f>
        <v/>
      </c>
      <c r="CA815" t="str">
        <f>""</f>
        <v/>
      </c>
      <c r="CB815" t="str">
        <f>""</f>
        <v/>
      </c>
      <c r="CC815" t="str">
        <f>""</f>
        <v/>
      </c>
      <c r="CD815" t="str">
        <f>""</f>
        <v/>
      </c>
      <c r="CE815" t="str">
        <f>""</f>
        <v/>
      </c>
      <c r="CF815" t="str">
        <f>""</f>
        <v/>
      </c>
      <c r="CG815" t="str">
        <f>""</f>
        <v/>
      </c>
      <c r="CH815" t="str">
        <f>""</f>
        <v/>
      </c>
      <c r="CI815" t="str">
        <f>""</f>
        <v/>
      </c>
      <c r="CJ815" t="str">
        <f>""</f>
        <v/>
      </c>
      <c r="CK815" t="str">
        <f>""</f>
        <v/>
      </c>
      <c r="CL815" t="str">
        <f>""</f>
        <v/>
      </c>
      <c r="CM815" t="str">
        <f>""</f>
        <v/>
      </c>
      <c r="CN815" t="str">
        <f>""</f>
        <v/>
      </c>
      <c r="CO815" t="str">
        <f>""</f>
        <v/>
      </c>
      <c r="CP815" t="str">
        <f>""</f>
        <v/>
      </c>
      <c r="CQ815" t="str">
        <f>""</f>
        <v/>
      </c>
      <c r="CR815" t="str">
        <f>""</f>
        <v/>
      </c>
      <c r="CS815" t="str">
        <f>""</f>
        <v/>
      </c>
      <c r="CT815" t="str">
        <f>""</f>
        <v/>
      </c>
      <c r="CU815" t="str">
        <f>""</f>
        <v/>
      </c>
      <c r="CV815" t="str">
        <f>""</f>
        <v/>
      </c>
      <c r="CW815" t="str">
        <f>""</f>
        <v/>
      </c>
      <c r="CX815" t="str">
        <f>""</f>
        <v/>
      </c>
      <c r="CY815" t="str">
        <f>""</f>
        <v/>
      </c>
      <c r="CZ815" t="str">
        <f>""</f>
        <v/>
      </c>
      <c r="DA815" t="str">
        <f>""</f>
        <v/>
      </c>
      <c r="DB815" t="str">
        <f>""</f>
        <v/>
      </c>
      <c r="DC815" t="str">
        <f>""</f>
        <v/>
      </c>
      <c r="DD815" t="str">
        <f>""</f>
        <v/>
      </c>
      <c r="DE815" t="str">
        <f>""</f>
        <v/>
      </c>
      <c r="DF815" t="str">
        <f>""</f>
        <v/>
      </c>
      <c r="DG815" t="str">
        <f>""</f>
        <v/>
      </c>
      <c r="DH815" t="str">
        <f>""</f>
        <v/>
      </c>
      <c r="DI815" t="str">
        <f>""</f>
        <v/>
      </c>
      <c r="DJ815" t="str">
        <f>""</f>
        <v/>
      </c>
      <c r="DK815" t="str">
        <f>""</f>
        <v/>
      </c>
      <c r="DL815" t="str">
        <f>""</f>
        <v/>
      </c>
      <c r="DM815" t="str">
        <f>""</f>
        <v/>
      </c>
      <c r="DN815" t="str">
        <f>""</f>
        <v/>
      </c>
      <c r="DO815" t="str">
        <f>""</f>
        <v/>
      </c>
      <c r="DP815" t="str">
        <f>""</f>
        <v/>
      </c>
      <c r="DQ815" t="str">
        <f>""</f>
        <v/>
      </c>
      <c r="DR815" t="str">
        <f>""</f>
        <v/>
      </c>
      <c r="DS815" t="str">
        <f>""</f>
        <v/>
      </c>
      <c r="DT815" t="str">
        <f>""</f>
        <v/>
      </c>
      <c r="DU815" t="str">
        <f>""</f>
        <v/>
      </c>
    </row>
    <row r="816" spans="1:125" x14ac:dyDescent="0.25">
      <c r="A816" t="str">
        <f>$A$314</f>
        <v xml:space="preserve">    Mitsubishi Motors Corp</v>
      </c>
      <c r="B816" t="str">
        <f>$B$314</f>
        <v>7211 JP Equity</v>
      </c>
      <c r="C816" t="str">
        <f>$C$314</f>
        <v>RR179</v>
      </c>
      <c r="D816" t="str">
        <f>$D$314</f>
        <v>TANGIBLE_COMMON_EQUITY</v>
      </c>
      <c r="E816" t="str">
        <f>$E$314</f>
        <v>Dynamic</v>
      </c>
      <c r="F816" t="str">
        <f ca="1">_xll.BDH($B$314,$C$314,$B$509,$B$510,CONCATENATE("Per=",$B$507),"Dts=H","Dir=H",CONCATENATE("Points=",$B$508),"Sort=R","Days=A","Fill=B",CONCATENATE("FX=", $B$506) )</f>
        <v>#N/A Connection</v>
      </c>
      <c r="BN816" t="str">
        <f>""</f>
        <v/>
      </c>
      <c r="BO816" t="str">
        <f>""</f>
        <v/>
      </c>
      <c r="BP816" t="str">
        <f>""</f>
        <v/>
      </c>
      <c r="BQ816" t="str">
        <f>""</f>
        <v/>
      </c>
      <c r="BR816" t="str">
        <f>""</f>
        <v/>
      </c>
      <c r="BS816" t="str">
        <f>""</f>
        <v/>
      </c>
      <c r="BT816" t="str">
        <f>""</f>
        <v/>
      </c>
      <c r="BU816" t="str">
        <f>""</f>
        <v/>
      </c>
      <c r="BV816" t="str">
        <f>""</f>
        <v/>
      </c>
      <c r="BW816" t="str">
        <f>""</f>
        <v/>
      </c>
      <c r="BX816" t="str">
        <f>""</f>
        <v/>
      </c>
      <c r="BY816" t="str">
        <f>""</f>
        <v/>
      </c>
      <c r="BZ816" t="str">
        <f>""</f>
        <v/>
      </c>
      <c r="CA816" t="str">
        <f>""</f>
        <v/>
      </c>
      <c r="CB816" t="str">
        <f>""</f>
        <v/>
      </c>
      <c r="CC816" t="str">
        <f>""</f>
        <v/>
      </c>
      <c r="CD816" t="str">
        <f>""</f>
        <v/>
      </c>
      <c r="CE816" t="str">
        <f>""</f>
        <v/>
      </c>
      <c r="CF816" t="str">
        <f>""</f>
        <v/>
      </c>
      <c r="CG816" t="str">
        <f>""</f>
        <v/>
      </c>
      <c r="CH816" t="str">
        <f>""</f>
        <v/>
      </c>
      <c r="CI816" t="str">
        <f>""</f>
        <v/>
      </c>
      <c r="CJ816" t="str">
        <f>""</f>
        <v/>
      </c>
      <c r="CK816" t="str">
        <f>""</f>
        <v/>
      </c>
      <c r="CL816" t="str">
        <f>""</f>
        <v/>
      </c>
      <c r="CM816" t="str">
        <f>""</f>
        <v/>
      </c>
      <c r="CN816" t="str">
        <f>""</f>
        <v/>
      </c>
      <c r="CO816" t="str">
        <f>""</f>
        <v/>
      </c>
      <c r="CP816" t="str">
        <f>""</f>
        <v/>
      </c>
      <c r="CQ816" t="str">
        <f>""</f>
        <v/>
      </c>
      <c r="CR816" t="str">
        <f>""</f>
        <v/>
      </c>
      <c r="CS816" t="str">
        <f>""</f>
        <v/>
      </c>
      <c r="CT816" t="str">
        <f>""</f>
        <v/>
      </c>
      <c r="CU816" t="str">
        <f>""</f>
        <v/>
      </c>
      <c r="CV816" t="str">
        <f>""</f>
        <v/>
      </c>
      <c r="CW816" t="str">
        <f>""</f>
        <v/>
      </c>
      <c r="CX816" t="str">
        <f>""</f>
        <v/>
      </c>
      <c r="CY816" t="str">
        <f>""</f>
        <v/>
      </c>
      <c r="CZ816" t="str">
        <f>""</f>
        <v/>
      </c>
      <c r="DA816" t="str">
        <f>""</f>
        <v/>
      </c>
      <c r="DB816" t="str">
        <f>""</f>
        <v/>
      </c>
      <c r="DC816" t="str">
        <f>""</f>
        <v/>
      </c>
      <c r="DD816" t="str">
        <f>""</f>
        <v/>
      </c>
      <c r="DE816" t="str">
        <f>""</f>
        <v/>
      </c>
      <c r="DF816" t="str">
        <f>""</f>
        <v/>
      </c>
      <c r="DG816" t="str">
        <f>""</f>
        <v/>
      </c>
      <c r="DH816" t="str">
        <f>""</f>
        <v/>
      </c>
      <c r="DI816" t="str">
        <f>""</f>
        <v/>
      </c>
      <c r="DJ816" t="str">
        <f>""</f>
        <v/>
      </c>
      <c r="DK816" t="str">
        <f>""</f>
        <v/>
      </c>
      <c r="DL816" t="str">
        <f>""</f>
        <v/>
      </c>
      <c r="DM816" t="str">
        <f>""</f>
        <v/>
      </c>
      <c r="DN816" t="str">
        <f>""</f>
        <v/>
      </c>
      <c r="DO816" t="str">
        <f>""</f>
        <v/>
      </c>
      <c r="DP816" t="str">
        <f>""</f>
        <v/>
      </c>
      <c r="DQ816" t="str">
        <f>""</f>
        <v/>
      </c>
      <c r="DR816" t="str">
        <f>""</f>
        <v/>
      </c>
      <c r="DS816" t="str">
        <f>""</f>
        <v/>
      </c>
      <c r="DT816" t="str">
        <f>""</f>
        <v/>
      </c>
      <c r="DU816" t="str">
        <f>""</f>
        <v/>
      </c>
    </row>
    <row r="817" spans="1:125" x14ac:dyDescent="0.25">
      <c r="A817" t="str">
        <f>$A$315</f>
        <v xml:space="preserve">    Nissan Motor Co Ltd</v>
      </c>
      <c r="B817" t="str">
        <f>$B$315</f>
        <v>7201 JP Equity</v>
      </c>
      <c r="C817" t="str">
        <f>$C$315</f>
        <v>RR179</v>
      </c>
      <c r="D817" t="str">
        <f>$D$315</f>
        <v>TANGIBLE_COMMON_EQUITY</v>
      </c>
      <c r="E817" t="str">
        <f>$E$315</f>
        <v>Dynamic</v>
      </c>
      <c r="F817" t="str">
        <f ca="1">_xll.BDH($B$315,$C$315,$B$509,$B$510,CONCATENATE("Per=",$B$507),"Dts=H","Dir=H",CONCATENATE("Points=",$B$508),"Sort=R","Days=A","Fill=B",CONCATENATE("FX=", $B$506) )</f>
        <v>#N/A Connection</v>
      </c>
      <c r="BN817" t="str">
        <f>""</f>
        <v/>
      </c>
      <c r="BO817" t="str">
        <f>""</f>
        <v/>
      </c>
      <c r="BP817" t="str">
        <f>""</f>
        <v/>
      </c>
      <c r="BQ817" t="str">
        <f>""</f>
        <v/>
      </c>
      <c r="BR817" t="str">
        <f>""</f>
        <v/>
      </c>
      <c r="BS817" t="str">
        <f>""</f>
        <v/>
      </c>
      <c r="BT817" t="str">
        <f>""</f>
        <v/>
      </c>
      <c r="BU817" t="str">
        <f>""</f>
        <v/>
      </c>
      <c r="BV817" t="str">
        <f>""</f>
        <v/>
      </c>
      <c r="BW817" t="str">
        <f>""</f>
        <v/>
      </c>
      <c r="BX817" t="str">
        <f>""</f>
        <v/>
      </c>
      <c r="BY817" t="str">
        <f>""</f>
        <v/>
      </c>
      <c r="BZ817" t="str">
        <f>""</f>
        <v/>
      </c>
      <c r="CA817" t="str">
        <f>""</f>
        <v/>
      </c>
      <c r="CB817" t="str">
        <f>""</f>
        <v/>
      </c>
      <c r="CC817" t="str">
        <f>""</f>
        <v/>
      </c>
      <c r="CD817" t="str">
        <f>""</f>
        <v/>
      </c>
      <c r="CE817" t="str">
        <f>""</f>
        <v/>
      </c>
      <c r="CF817" t="str">
        <f>""</f>
        <v/>
      </c>
      <c r="CG817" t="str">
        <f>""</f>
        <v/>
      </c>
      <c r="CH817" t="str">
        <f>""</f>
        <v/>
      </c>
      <c r="CI817" t="str">
        <f>""</f>
        <v/>
      </c>
      <c r="CJ817" t="str">
        <f>""</f>
        <v/>
      </c>
      <c r="CK817" t="str">
        <f>""</f>
        <v/>
      </c>
      <c r="CL817" t="str">
        <f>""</f>
        <v/>
      </c>
      <c r="CM817" t="str">
        <f>""</f>
        <v/>
      </c>
      <c r="CN817" t="str">
        <f>""</f>
        <v/>
      </c>
      <c r="CO817" t="str">
        <f>""</f>
        <v/>
      </c>
      <c r="CP817" t="str">
        <f>""</f>
        <v/>
      </c>
      <c r="CQ817" t="str">
        <f>""</f>
        <v/>
      </c>
      <c r="CR817" t="str">
        <f>""</f>
        <v/>
      </c>
      <c r="CS817" t="str">
        <f>""</f>
        <v/>
      </c>
      <c r="CT817" t="str">
        <f>""</f>
        <v/>
      </c>
      <c r="CU817" t="str">
        <f>""</f>
        <v/>
      </c>
      <c r="CV817" t="str">
        <f>""</f>
        <v/>
      </c>
      <c r="CW817" t="str">
        <f>""</f>
        <v/>
      </c>
      <c r="CX817" t="str">
        <f>""</f>
        <v/>
      </c>
      <c r="CY817" t="str">
        <f>""</f>
        <v/>
      </c>
      <c r="CZ817" t="str">
        <f>""</f>
        <v/>
      </c>
      <c r="DA817" t="str">
        <f>""</f>
        <v/>
      </c>
      <c r="DB817" t="str">
        <f>""</f>
        <v/>
      </c>
      <c r="DC817" t="str">
        <f>""</f>
        <v/>
      </c>
      <c r="DD817" t="str">
        <f>""</f>
        <v/>
      </c>
      <c r="DE817" t="str">
        <f>""</f>
        <v/>
      </c>
      <c r="DF817" t="str">
        <f>""</f>
        <v/>
      </c>
      <c r="DG817" t="str">
        <f>""</f>
        <v/>
      </c>
      <c r="DH817" t="str">
        <f>""</f>
        <v/>
      </c>
      <c r="DI817" t="str">
        <f>""</f>
        <v/>
      </c>
      <c r="DJ817" t="str">
        <f>""</f>
        <v/>
      </c>
      <c r="DK817" t="str">
        <f>""</f>
        <v/>
      </c>
      <c r="DL817" t="str">
        <f>""</f>
        <v/>
      </c>
      <c r="DM817" t="str">
        <f>""</f>
        <v/>
      </c>
      <c r="DN817" t="str">
        <f>""</f>
        <v/>
      </c>
      <c r="DO817" t="str">
        <f>""</f>
        <v/>
      </c>
      <c r="DP817" t="str">
        <f>""</f>
        <v/>
      </c>
      <c r="DQ817" t="str">
        <f>""</f>
        <v/>
      </c>
      <c r="DR817" t="str">
        <f>""</f>
        <v/>
      </c>
      <c r="DS817" t="str">
        <f>""</f>
        <v/>
      </c>
      <c r="DT817" t="str">
        <f>""</f>
        <v/>
      </c>
      <c r="DU817" t="str">
        <f>""</f>
        <v/>
      </c>
    </row>
    <row r="818" spans="1:125" x14ac:dyDescent="0.25">
      <c r="A818" t="str">
        <f>$A$316</f>
        <v xml:space="preserve">    Peugeot SA</v>
      </c>
      <c r="B818" t="str">
        <f>$B$316</f>
        <v>UG FP Equity</v>
      </c>
      <c r="C818" t="str">
        <f>$C$316</f>
        <v>RR179</v>
      </c>
      <c r="D818" t="str">
        <f>$D$316</f>
        <v>TANGIBLE_COMMON_EQUITY</v>
      </c>
      <c r="E818" t="str">
        <f>$E$316</f>
        <v>Dynamic</v>
      </c>
      <c r="F818" t="str">
        <f ca="1">_xll.BDH($B$316,$C$316,$B$509,$B$510,CONCATENATE("Per=",$B$507),"Dts=H","Dir=H",CONCATENATE("Points=",$B$508),"Sort=R","Days=A","Fill=B",CONCATENATE("FX=", $B$506) )</f>
        <v>#N/A Connection</v>
      </c>
      <c r="BN818" t="str">
        <f>""</f>
        <v/>
      </c>
      <c r="BO818" t="str">
        <f>""</f>
        <v/>
      </c>
      <c r="BP818" t="str">
        <f>""</f>
        <v/>
      </c>
      <c r="BQ818" t="str">
        <f>""</f>
        <v/>
      </c>
      <c r="BR818" t="str">
        <f>""</f>
        <v/>
      </c>
      <c r="BS818" t="str">
        <f>""</f>
        <v/>
      </c>
      <c r="BT818" t="str">
        <f>""</f>
        <v/>
      </c>
      <c r="BU818" t="str">
        <f>""</f>
        <v/>
      </c>
      <c r="BV818" t="str">
        <f>""</f>
        <v/>
      </c>
      <c r="BW818" t="str">
        <f>""</f>
        <v/>
      </c>
      <c r="BX818" t="str">
        <f>""</f>
        <v/>
      </c>
      <c r="BY818" t="str">
        <f>""</f>
        <v/>
      </c>
      <c r="BZ818" t="str">
        <f>""</f>
        <v/>
      </c>
      <c r="CA818" t="str">
        <f>""</f>
        <v/>
      </c>
      <c r="CB818" t="str">
        <f>""</f>
        <v/>
      </c>
      <c r="CC818" t="str">
        <f>""</f>
        <v/>
      </c>
      <c r="CD818" t="str">
        <f>""</f>
        <v/>
      </c>
      <c r="CE818" t="str">
        <f>""</f>
        <v/>
      </c>
      <c r="CF818" t="str">
        <f>""</f>
        <v/>
      </c>
      <c r="CG818" t="str">
        <f>""</f>
        <v/>
      </c>
      <c r="CH818" t="str">
        <f>""</f>
        <v/>
      </c>
      <c r="CI818" t="str">
        <f>""</f>
        <v/>
      </c>
      <c r="CJ818" t="str">
        <f>""</f>
        <v/>
      </c>
      <c r="CK818" t="str">
        <f>""</f>
        <v/>
      </c>
      <c r="CL818" t="str">
        <f>""</f>
        <v/>
      </c>
      <c r="CM818" t="str">
        <f>""</f>
        <v/>
      </c>
      <c r="CN818" t="str">
        <f>""</f>
        <v/>
      </c>
      <c r="CO818" t="str">
        <f>""</f>
        <v/>
      </c>
      <c r="CP818" t="str">
        <f>""</f>
        <v/>
      </c>
      <c r="CQ818" t="str">
        <f>""</f>
        <v/>
      </c>
      <c r="CR818" t="str">
        <f>""</f>
        <v/>
      </c>
      <c r="CS818" t="str">
        <f>""</f>
        <v/>
      </c>
      <c r="CT818" t="str">
        <f>""</f>
        <v/>
      </c>
      <c r="CU818" t="str">
        <f>""</f>
        <v/>
      </c>
      <c r="CV818" t="str">
        <f>""</f>
        <v/>
      </c>
      <c r="CW818" t="str">
        <f>""</f>
        <v/>
      </c>
      <c r="CX818" t="str">
        <f>""</f>
        <v/>
      </c>
      <c r="CY818" t="str">
        <f>""</f>
        <v/>
      </c>
      <c r="CZ818" t="str">
        <f>""</f>
        <v/>
      </c>
      <c r="DA818" t="str">
        <f>""</f>
        <v/>
      </c>
      <c r="DB818" t="str">
        <f>""</f>
        <v/>
      </c>
      <c r="DC818" t="str">
        <f>""</f>
        <v/>
      </c>
      <c r="DD818" t="str">
        <f>""</f>
        <v/>
      </c>
      <c r="DE818" t="str">
        <f>""</f>
        <v/>
      </c>
      <c r="DF818" t="str">
        <f>""</f>
        <v/>
      </c>
      <c r="DG818" t="str">
        <f>""</f>
        <v/>
      </c>
      <c r="DH818" t="str">
        <f>""</f>
        <v/>
      </c>
      <c r="DI818" t="str">
        <f>""</f>
        <v/>
      </c>
      <c r="DJ818" t="str">
        <f>""</f>
        <v/>
      </c>
      <c r="DK818" t="str">
        <f>""</f>
        <v/>
      </c>
      <c r="DL818" t="str">
        <f>""</f>
        <v/>
      </c>
      <c r="DM818" t="str">
        <f>""</f>
        <v/>
      </c>
      <c r="DN818" t="str">
        <f>""</f>
        <v/>
      </c>
      <c r="DO818" t="str">
        <f>""</f>
        <v/>
      </c>
      <c r="DP818" t="str">
        <f>""</f>
        <v/>
      </c>
      <c r="DQ818" t="str">
        <f>""</f>
        <v/>
      </c>
      <c r="DR818" t="str">
        <f>""</f>
        <v/>
      </c>
      <c r="DS818" t="str">
        <f>""</f>
        <v/>
      </c>
      <c r="DT818" t="str">
        <f>""</f>
        <v/>
      </c>
      <c r="DU818" t="str">
        <f>""</f>
        <v/>
      </c>
    </row>
    <row r="819" spans="1:125" x14ac:dyDescent="0.25">
      <c r="A819" t="str">
        <f>$A$317</f>
        <v xml:space="preserve">    Renault SA</v>
      </c>
      <c r="B819" t="str">
        <f>$B$317</f>
        <v>RNO FP Equity</v>
      </c>
      <c r="C819" t="str">
        <f>$C$317</f>
        <v>RR179</v>
      </c>
      <c r="D819" t="str">
        <f>$D$317</f>
        <v>TANGIBLE_COMMON_EQUITY</v>
      </c>
      <c r="E819" t="str">
        <f>$E$317</f>
        <v>Dynamic</v>
      </c>
      <c r="F819" t="str">
        <f ca="1">_xll.BDH($B$317,$C$317,$B$509,$B$510,CONCATENATE("Per=",$B$507),"Dts=H","Dir=H",CONCATENATE("Points=",$B$508),"Sort=R","Days=A","Fill=B",CONCATENATE("FX=", $B$506) )</f>
        <v>#N/A Connection</v>
      </c>
      <c r="BN819" t="str">
        <f>""</f>
        <v/>
      </c>
      <c r="BO819" t="str">
        <f>""</f>
        <v/>
      </c>
      <c r="BP819" t="str">
        <f>""</f>
        <v/>
      </c>
      <c r="BQ819" t="str">
        <f>""</f>
        <v/>
      </c>
      <c r="BR819" t="str">
        <f>""</f>
        <v/>
      </c>
      <c r="BS819" t="str">
        <f>""</f>
        <v/>
      </c>
      <c r="BT819" t="str">
        <f>""</f>
        <v/>
      </c>
      <c r="BU819" t="str">
        <f>""</f>
        <v/>
      </c>
      <c r="BV819" t="str">
        <f>""</f>
        <v/>
      </c>
      <c r="BW819" t="str">
        <f>""</f>
        <v/>
      </c>
      <c r="BX819" t="str">
        <f>""</f>
        <v/>
      </c>
      <c r="BY819" t="str">
        <f>""</f>
        <v/>
      </c>
      <c r="BZ819" t="str">
        <f>""</f>
        <v/>
      </c>
      <c r="CA819" t="str">
        <f>""</f>
        <v/>
      </c>
      <c r="CB819" t="str">
        <f>""</f>
        <v/>
      </c>
      <c r="CC819" t="str">
        <f>""</f>
        <v/>
      </c>
      <c r="CD819" t="str">
        <f>""</f>
        <v/>
      </c>
      <c r="CE819" t="str">
        <f>""</f>
        <v/>
      </c>
      <c r="CF819" t="str">
        <f>""</f>
        <v/>
      </c>
      <c r="CG819" t="str">
        <f>""</f>
        <v/>
      </c>
      <c r="CH819" t="str">
        <f>""</f>
        <v/>
      </c>
      <c r="CI819" t="str">
        <f>""</f>
        <v/>
      </c>
      <c r="CJ819" t="str">
        <f>""</f>
        <v/>
      </c>
      <c r="CK819" t="str">
        <f>""</f>
        <v/>
      </c>
      <c r="CL819" t="str">
        <f>""</f>
        <v/>
      </c>
      <c r="CM819" t="str">
        <f>""</f>
        <v/>
      </c>
      <c r="CN819" t="str">
        <f>""</f>
        <v/>
      </c>
      <c r="CO819" t="str">
        <f>""</f>
        <v/>
      </c>
      <c r="CP819" t="str">
        <f>""</f>
        <v/>
      </c>
      <c r="CQ819" t="str">
        <f>""</f>
        <v/>
      </c>
      <c r="CR819" t="str">
        <f>""</f>
        <v/>
      </c>
      <c r="CS819" t="str">
        <f>""</f>
        <v/>
      </c>
      <c r="CT819" t="str">
        <f>""</f>
        <v/>
      </c>
      <c r="CU819" t="str">
        <f>""</f>
        <v/>
      </c>
      <c r="CV819" t="str">
        <f>""</f>
        <v/>
      </c>
      <c r="CW819" t="str">
        <f>""</f>
        <v/>
      </c>
      <c r="CX819" t="str">
        <f>""</f>
        <v/>
      </c>
      <c r="CY819" t="str">
        <f>""</f>
        <v/>
      </c>
      <c r="CZ819" t="str">
        <f>""</f>
        <v/>
      </c>
      <c r="DA819" t="str">
        <f>""</f>
        <v/>
      </c>
      <c r="DB819" t="str">
        <f>""</f>
        <v/>
      </c>
      <c r="DC819" t="str">
        <f>""</f>
        <v/>
      </c>
      <c r="DD819" t="str">
        <f>""</f>
        <v/>
      </c>
      <c r="DE819" t="str">
        <f>""</f>
        <v/>
      </c>
      <c r="DF819" t="str">
        <f>""</f>
        <v/>
      </c>
      <c r="DG819" t="str">
        <f>""</f>
        <v/>
      </c>
      <c r="DH819" t="str">
        <f>""</f>
        <v/>
      </c>
      <c r="DI819" t="str">
        <f>""</f>
        <v/>
      </c>
      <c r="DJ819" t="str">
        <f>""</f>
        <v/>
      </c>
      <c r="DK819" t="str">
        <f>""</f>
        <v/>
      </c>
      <c r="DL819" t="str">
        <f>""</f>
        <v/>
      </c>
      <c r="DM819" t="str">
        <f>""</f>
        <v/>
      </c>
      <c r="DN819" t="str">
        <f>""</f>
        <v/>
      </c>
      <c r="DO819" t="str">
        <f>""</f>
        <v/>
      </c>
      <c r="DP819" t="str">
        <f>""</f>
        <v/>
      </c>
      <c r="DQ819" t="str">
        <f>""</f>
        <v/>
      </c>
      <c r="DR819" t="str">
        <f>""</f>
        <v/>
      </c>
      <c r="DS819" t="str">
        <f>""</f>
        <v/>
      </c>
      <c r="DT819" t="str">
        <f>""</f>
        <v/>
      </c>
      <c r="DU819" t="str">
        <f>""</f>
        <v/>
      </c>
    </row>
    <row r="820" spans="1:125" x14ac:dyDescent="0.25">
      <c r="A820" t="str">
        <f>$A$318</f>
        <v xml:space="preserve">    SAIC Motor Corp Ltd</v>
      </c>
      <c r="B820" t="str">
        <f>$B$318</f>
        <v>600104 CH Equity</v>
      </c>
      <c r="C820" t="str">
        <f>$C$318</f>
        <v>RR179</v>
      </c>
      <c r="D820" t="str">
        <f>$D$318</f>
        <v>TANGIBLE_COMMON_EQUITY</v>
      </c>
      <c r="E820" t="str">
        <f>$E$318</f>
        <v>Dynamic</v>
      </c>
      <c r="F820" t="str">
        <f ca="1">_xll.BDH($B$318,$C$318,$B$509,$B$510,CONCATENATE("Per=",$B$507),"Dts=H","Dir=H",CONCATENATE("Points=",$B$508),"Sort=R","Days=A","Fill=B",CONCATENATE("FX=", $B$506) )</f>
        <v>#N/A Connection</v>
      </c>
      <c r="BN820" t="str">
        <f>""</f>
        <v/>
      </c>
      <c r="BO820" t="str">
        <f>""</f>
        <v/>
      </c>
      <c r="BP820" t="str">
        <f>""</f>
        <v/>
      </c>
      <c r="BQ820" t="str">
        <f>""</f>
        <v/>
      </c>
      <c r="BR820" t="str">
        <f>""</f>
        <v/>
      </c>
      <c r="BS820" t="str">
        <f>""</f>
        <v/>
      </c>
      <c r="BT820" t="str">
        <f>""</f>
        <v/>
      </c>
      <c r="BU820" t="str">
        <f>""</f>
        <v/>
      </c>
      <c r="BV820" t="str">
        <f>""</f>
        <v/>
      </c>
      <c r="BW820" t="str">
        <f>""</f>
        <v/>
      </c>
      <c r="BX820" t="str">
        <f>""</f>
        <v/>
      </c>
      <c r="BY820" t="str">
        <f>""</f>
        <v/>
      </c>
      <c r="BZ820" t="str">
        <f>""</f>
        <v/>
      </c>
      <c r="CA820" t="str">
        <f>""</f>
        <v/>
      </c>
      <c r="CB820" t="str">
        <f>""</f>
        <v/>
      </c>
      <c r="CC820" t="str">
        <f>""</f>
        <v/>
      </c>
      <c r="CD820" t="str">
        <f>""</f>
        <v/>
      </c>
      <c r="CE820" t="str">
        <f>""</f>
        <v/>
      </c>
      <c r="CF820" t="str">
        <f>""</f>
        <v/>
      </c>
      <c r="CG820" t="str">
        <f>""</f>
        <v/>
      </c>
      <c r="CH820" t="str">
        <f>""</f>
        <v/>
      </c>
      <c r="CI820" t="str">
        <f>""</f>
        <v/>
      </c>
      <c r="CJ820" t="str">
        <f>""</f>
        <v/>
      </c>
      <c r="CK820" t="str">
        <f>""</f>
        <v/>
      </c>
      <c r="CL820" t="str">
        <f>""</f>
        <v/>
      </c>
      <c r="CM820" t="str">
        <f>""</f>
        <v/>
      </c>
      <c r="CN820" t="str">
        <f>""</f>
        <v/>
      </c>
      <c r="CO820" t="str">
        <f>""</f>
        <v/>
      </c>
      <c r="CP820" t="str">
        <f>""</f>
        <v/>
      </c>
      <c r="CQ820" t="str">
        <f>""</f>
        <v/>
      </c>
      <c r="CR820" t="str">
        <f>""</f>
        <v/>
      </c>
      <c r="CS820" t="str">
        <f>""</f>
        <v/>
      </c>
      <c r="CT820" t="str">
        <f>""</f>
        <v/>
      </c>
      <c r="CU820" t="str">
        <f>""</f>
        <v/>
      </c>
      <c r="CV820" t="str">
        <f>""</f>
        <v/>
      </c>
      <c r="CW820" t="str">
        <f>""</f>
        <v/>
      </c>
      <c r="CX820" t="str">
        <f>""</f>
        <v/>
      </c>
      <c r="CY820" t="str">
        <f>""</f>
        <v/>
      </c>
      <c r="CZ820" t="str">
        <f>""</f>
        <v/>
      </c>
      <c r="DA820" t="str">
        <f>""</f>
        <v/>
      </c>
      <c r="DB820" t="str">
        <f>""</f>
        <v/>
      </c>
      <c r="DC820" t="str">
        <f>""</f>
        <v/>
      </c>
      <c r="DD820" t="str">
        <f>""</f>
        <v/>
      </c>
      <c r="DE820" t="str">
        <f>""</f>
        <v/>
      </c>
      <c r="DF820" t="str">
        <f>""</f>
        <v/>
      </c>
      <c r="DG820" t="str">
        <f>""</f>
        <v/>
      </c>
      <c r="DH820" t="str">
        <f>""</f>
        <v/>
      </c>
      <c r="DI820" t="str">
        <f>""</f>
        <v/>
      </c>
      <c r="DJ820" t="str">
        <f>""</f>
        <v/>
      </c>
      <c r="DK820" t="str">
        <f>""</f>
        <v/>
      </c>
      <c r="DL820" t="str">
        <f>""</f>
        <v/>
      </c>
      <c r="DM820" t="str">
        <f>""</f>
        <v/>
      </c>
      <c r="DN820" t="str">
        <f>""</f>
        <v/>
      </c>
      <c r="DO820" t="str">
        <f>""</f>
        <v/>
      </c>
      <c r="DP820" t="str">
        <f>""</f>
        <v/>
      </c>
      <c r="DQ820" t="str">
        <f>""</f>
        <v/>
      </c>
      <c r="DR820" t="str">
        <f>""</f>
        <v/>
      </c>
      <c r="DS820" t="str">
        <f>""</f>
        <v/>
      </c>
      <c r="DT820" t="str">
        <f>""</f>
        <v/>
      </c>
      <c r="DU820" t="str">
        <f>""</f>
        <v/>
      </c>
    </row>
    <row r="821" spans="1:125" x14ac:dyDescent="0.25">
      <c r="A821" t="str">
        <f>$A$319</f>
        <v xml:space="preserve">    Sanyang Motor Co Ltd</v>
      </c>
      <c r="B821" t="str">
        <f>$B$319</f>
        <v>2206 TT Equity</v>
      </c>
      <c r="C821" t="str">
        <f>$C$319</f>
        <v>RR179</v>
      </c>
      <c r="D821" t="str">
        <f>$D$319</f>
        <v>TANGIBLE_COMMON_EQUITY</v>
      </c>
      <c r="E821" t="str">
        <f>$E$319</f>
        <v>Dynamic</v>
      </c>
      <c r="F821" t="str">
        <f ca="1">_xll.BDH($B$319,$C$319,$B$509,$B$510,CONCATENATE("Per=",$B$507),"Dts=H","Dir=H",CONCATENATE("Points=",$B$508),"Sort=R","Days=A","Fill=B",CONCATENATE("FX=", $B$506) )</f>
        <v>#N/A Connection</v>
      </c>
      <c r="BN821" t="str">
        <f>""</f>
        <v/>
      </c>
      <c r="BO821" t="str">
        <f>""</f>
        <v/>
      </c>
      <c r="BP821" t="str">
        <f>""</f>
        <v/>
      </c>
      <c r="BQ821" t="str">
        <f>""</f>
        <v/>
      </c>
      <c r="BR821" t="str">
        <f>""</f>
        <v/>
      </c>
      <c r="BS821" t="str">
        <f>""</f>
        <v/>
      </c>
      <c r="BT821" t="str">
        <f>""</f>
        <v/>
      </c>
      <c r="BU821" t="str">
        <f>""</f>
        <v/>
      </c>
      <c r="BV821" t="str">
        <f>""</f>
        <v/>
      </c>
      <c r="BW821" t="str">
        <f>""</f>
        <v/>
      </c>
      <c r="BX821" t="str">
        <f>""</f>
        <v/>
      </c>
      <c r="BY821" t="str">
        <f>""</f>
        <v/>
      </c>
      <c r="BZ821" t="str">
        <f>""</f>
        <v/>
      </c>
      <c r="CA821" t="str">
        <f>""</f>
        <v/>
      </c>
      <c r="CB821" t="str">
        <f>""</f>
        <v/>
      </c>
      <c r="CC821" t="str">
        <f>""</f>
        <v/>
      </c>
      <c r="CD821" t="str">
        <f>""</f>
        <v/>
      </c>
      <c r="CE821" t="str">
        <f>""</f>
        <v/>
      </c>
      <c r="CF821" t="str">
        <f>""</f>
        <v/>
      </c>
      <c r="CG821" t="str">
        <f>""</f>
        <v/>
      </c>
      <c r="CH821" t="str">
        <f>""</f>
        <v/>
      </c>
      <c r="CI821" t="str">
        <f>""</f>
        <v/>
      </c>
      <c r="CJ821" t="str">
        <f>""</f>
        <v/>
      </c>
      <c r="CK821" t="str">
        <f>""</f>
        <v/>
      </c>
      <c r="CL821" t="str">
        <f>""</f>
        <v/>
      </c>
      <c r="CM821" t="str">
        <f>""</f>
        <v/>
      </c>
      <c r="CN821" t="str">
        <f>""</f>
        <v/>
      </c>
      <c r="CO821" t="str">
        <f>""</f>
        <v/>
      </c>
      <c r="CP821" t="str">
        <f>""</f>
        <v/>
      </c>
      <c r="CQ821" t="str">
        <f>""</f>
        <v/>
      </c>
      <c r="CR821" t="str">
        <f>""</f>
        <v/>
      </c>
      <c r="CS821" t="str">
        <f>""</f>
        <v/>
      </c>
      <c r="CT821" t="str">
        <f>""</f>
        <v/>
      </c>
      <c r="CU821" t="str">
        <f>""</f>
        <v/>
      </c>
      <c r="CV821" t="str">
        <f>""</f>
        <v/>
      </c>
      <c r="CW821" t="str">
        <f>""</f>
        <v/>
      </c>
      <c r="CX821" t="str">
        <f>""</f>
        <v/>
      </c>
      <c r="CY821" t="str">
        <f>""</f>
        <v/>
      </c>
      <c r="CZ821" t="str">
        <f>""</f>
        <v/>
      </c>
      <c r="DA821" t="str">
        <f>""</f>
        <v/>
      </c>
      <c r="DB821" t="str">
        <f>""</f>
        <v/>
      </c>
      <c r="DC821" t="str">
        <f>""</f>
        <v/>
      </c>
      <c r="DD821" t="str">
        <f>""</f>
        <v/>
      </c>
      <c r="DE821" t="str">
        <f>""</f>
        <v/>
      </c>
      <c r="DF821" t="str">
        <f>""</f>
        <v/>
      </c>
      <c r="DG821" t="str">
        <f>""</f>
        <v/>
      </c>
      <c r="DH821" t="str">
        <f>""</f>
        <v/>
      </c>
      <c r="DI821" t="str">
        <f>""</f>
        <v/>
      </c>
      <c r="DJ821" t="str">
        <f>""</f>
        <v/>
      </c>
      <c r="DK821" t="str">
        <f>""</f>
        <v/>
      </c>
      <c r="DL821" t="str">
        <f>""</f>
        <v/>
      </c>
      <c r="DM821" t="str">
        <f>""</f>
        <v/>
      </c>
      <c r="DN821" t="str">
        <f>""</f>
        <v/>
      </c>
      <c r="DO821" t="str">
        <f>""</f>
        <v/>
      </c>
      <c r="DP821" t="str">
        <f>""</f>
        <v/>
      </c>
      <c r="DQ821" t="str">
        <f>""</f>
        <v/>
      </c>
      <c r="DR821" t="str">
        <f>""</f>
        <v/>
      </c>
      <c r="DS821" t="str">
        <f>""</f>
        <v/>
      </c>
      <c r="DT821" t="str">
        <f>""</f>
        <v/>
      </c>
      <c r="DU821" t="str">
        <f>""</f>
        <v/>
      </c>
    </row>
    <row r="822" spans="1:125" x14ac:dyDescent="0.25">
      <c r="A822" t="str">
        <f>$A$320</f>
        <v xml:space="preserve">    Sollers PJSC</v>
      </c>
      <c r="B822" t="str">
        <f>$B$320</f>
        <v>SVAV RM Equity</v>
      </c>
      <c r="C822" t="str">
        <f>$C$320</f>
        <v>RR179</v>
      </c>
      <c r="D822" t="str">
        <f>$D$320</f>
        <v>TANGIBLE_COMMON_EQUITY</v>
      </c>
      <c r="E822" t="str">
        <f>$E$320</f>
        <v>Dynamic</v>
      </c>
      <c r="F822" t="str">
        <f ca="1">_xll.BDH($B$320,$C$320,$B$509,$B$510,CONCATENATE("Per=",$B$507),"Dts=H","Dir=H",CONCATENATE("Points=",$B$508),"Sort=R","Days=A","Fill=B",CONCATENATE("FX=", $B$506) )</f>
        <v>#N/A Connection</v>
      </c>
      <c r="BN822" t="str">
        <f>""</f>
        <v/>
      </c>
      <c r="BO822" t="str">
        <f>""</f>
        <v/>
      </c>
      <c r="BP822" t="str">
        <f>""</f>
        <v/>
      </c>
      <c r="BQ822" t="str">
        <f>""</f>
        <v/>
      </c>
      <c r="BR822" t="str">
        <f>""</f>
        <v/>
      </c>
      <c r="BS822" t="str">
        <f>""</f>
        <v/>
      </c>
      <c r="BT822" t="str">
        <f>""</f>
        <v/>
      </c>
      <c r="BU822" t="str">
        <f>""</f>
        <v/>
      </c>
      <c r="BV822" t="str">
        <f>""</f>
        <v/>
      </c>
      <c r="BW822" t="str">
        <f>""</f>
        <v/>
      </c>
      <c r="BX822" t="str">
        <f>""</f>
        <v/>
      </c>
      <c r="BY822" t="str">
        <f>""</f>
        <v/>
      </c>
      <c r="BZ822" t="str">
        <f>""</f>
        <v/>
      </c>
      <c r="CA822" t="str">
        <f>""</f>
        <v/>
      </c>
      <c r="CB822" t="str">
        <f>""</f>
        <v/>
      </c>
      <c r="CC822" t="str">
        <f>""</f>
        <v/>
      </c>
      <c r="CD822" t="str">
        <f>""</f>
        <v/>
      </c>
      <c r="CE822" t="str">
        <f>""</f>
        <v/>
      </c>
      <c r="CF822" t="str">
        <f>""</f>
        <v/>
      </c>
      <c r="CG822" t="str">
        <f>""</f>
        <v/>
      </c>
      <c r="CH822" t="str">
        <f>""</f>
        <v/>
      </c>
      <c r="CI822" t="str">
        <f>""</f>
        <v/>
      </c>
      <c r="CJ822" t="str">
        <f>""</f>
        <v/>
      </c>
      <c r="CK822" t="str">
        <f>""</f>
        <v/>
      </c>
      <c r="CL822" t="str">
        <f>""</f>
        <v/>
      </c>
      <c r="CM822" t="str">
        <f>""</f>
        <v/>
      </c>
      <c r="CN822" t="str">
        <f>""</f>
        <v/>
      </c>
      <c r="CO822" t="str">
        <f>""</f>
        <v/>
      </c>
      <c r="CP822" t="str">
        <f>""</f>
        <v/>
      </c>
      <c r="CQ822" t="str">
        <f>""</f>
        <v/>
      </c>
      <c r="CR822" t="str">
        <f>""</f>
        <v/>
      </c>
      <c r="CS822" t="str">
        <f>""</f>
        <v/>
      </c>
      <c r="CT822" t="str">
        <f>""</f>
        <v/>
      </c>
      <c r="CU822" t="str">
        <f>""</f>
        <v/>
      </c>
      <c r="CV822" t="str">
        <f>""</f>
        <v/>
      </c>
      <c r="CW822" t="str">
        <f>""</f>
        <v/>
      </c>
      <c r="CX822" t="str">
        <f>""</f>
        <v/>
      </c>
      <c r="CY822" t="str">
        <f>""</f>
        <v/>
      </c>
      <c r="CZ822" t="str">
        <f>""</f>
        <v/>
      </c>
      <c r="DA822" t="str">
        <f>""</f>
        <v/>
      </c>
      <c r="DB822" t="str">
        <f>""</f>
        <v/>
      </c>
      <c r="DC822" t="str">
        <f>""</f>
        <v/>
      </c>
      <c r="DD822" t="str">
        <f>""</f>
        <v/>
      </c>
      <c r="DE822" t="str">
        <f>""</f>
        <v/>
      </c>
      <c r="DF822" t="str">
        <f>""</f>
        <v/>
      </c>
      <c r="DG822" t="str">
        <f>""</f>
        <v/>
      </c>
      <c r="DH822" t="str">
        <f>""</f>
        <v/>
      </c>
      <c r="DI822" t="str">
        <f>""</f>
        <v/>
      </c>
      <c r="DJ822" t="str">
        <f>""</f>
        <v/>
      </c>
      <c r="DK822" t="str">
        <f>""</f>
        <v/>
      </c>
      <c r="DL822" t="str">
        <f>""</f>
        <v/>
      </c>
      <c r="DM822" t="str">
        <f>""</f>
        <v/>
      </c>
      <c r="DN822" t="str">
        <f>""</f>
        <v/>
      </c>
      <c r="DO822" t="str">
        <f>""</f>
        <v/>
      </c>
      <c r="DP822" t="str">
        <f>""</f>
        <v/>
      </c>
      <c r="DQ822" t="str">
        <f>""</f>
        <v/>
      </c>
      <c r="DR822" t="str">
        <f>""</f>
        <v/>
      </c>
      <c r="DS822" t="str">
        <f>""</f>
        <v/>
      </c>
      <c r="DT822" t="str">
        <f>""</f>
        <v/>
      </c>
      <c r="DU822" t="str">
        <f>""</f>
        <v/>
      </c>
    </row>
    <row r="823" spans="1:125" x14ac:dyDescent="0.25">
      <c r="A823" t="str">
        <f>$A$321</f>
        <v xml:space="preserve">    Ssangyong Motor Co</v>
      </c>
      <c r="B823" t="str">
        <f>$B$321</f>
        <v>003620 KS Equity</v>
      </c>
      <c r="C823" t="str">
        <f>$C$321</f>
        <v>RR179</v>
      </c>
      <c r="D823" t="str">
        <f>$D$321</f>
        <v>TANGIBLE_COMMON_EQUITY</v>
      </c>
      <c r="E823" t="str">
        <f>$E$321</f>
        <v>Dynamic</v>
      </c>
      <c r="F823" t="str">
        <f ca="1">_xll.BDH($B$321,$C$321,$B$509,$B$510,CONCATENATE("Per=",$B$507),"Dts=H","Dir=H",CONCATENATE("Points=",$B$508),"Sort=R","Days=A","Fill=B",CONCATENATE("FX=", $B$506) )</f>
        <v>#N/A Connection</v>
      </c>
      <c r="BN823" t="str">
        <f>""</f>
        <v/>
      </c>
      <c r="BO823" t="str">
        <f>""</f>
        <v/>
      </c>
      <c r="BP823" t="str">
        <f>""</f>
        <v/>
      </c>
      <c r="BQ823" t="str">
        <f>""</f>
        <v/>
      </c>
      <c r="BR823" t="str">
        <f>""</f>
        <v/>
      </c>
      <c r="BS823" t="str">
        <f>""</f>
        <v/>
      </c>
      <c r="BT823" t="str">
        <f>""</f>
        <v/>
      </c>
      <c r="BU823" t="str">
        <f>""</f>
        <v/>
      </c>
      <c r="BV823" t="str">
        <f>""</f>
        <v/>
      </c>
      <c r="BW823" t="str">
        <f>""</f>
        <v/>
      </c>
      <c r="BX823" t="str">
        <f>""</f>
        <v/>
      </c>
      <c r="BY823" t="str">
        <f>""</f>
        <v/>
      </c>
      <c r="BZ823" t="str">
        <f>""</f>
        <v/>
      </c>
      <c r="CA823" t="str">
        <f>""</f>
        <v/>
      </c>
      <c r="CB823" t="str">
        <f>""</f>
        <v/>
      </c>
      <c r="CC823" t="str">
        <f>""</f>
        <v/>
      </c>
      <c r="CD823" t="str">
        <f>""</f>
        <v/>
      </c>
      <c r="CE823" t="str">
        <f>""</f>
        <v/>
      </c>
      <c r="CF823" t="str">
        <f>""</f>
        <v/>
      </c>
      <c r="CG823" t="str">
        <f>""</f>
        <v/>
      </c>
      <c r="CH823" t="str">
        <f>""</f>
        <v/>
      </c>
      <c r="CI823" t="str">
        <f>""</f>
        <v/>
      </c>
      <c r="CJ823" t="str">
        <f>""</f>
        <v/>
      </c>
      <c r="CK823" t="str">
        <f>""</f>
        <v/>
      </c>
      <c r="CL823" t="str">
        <f>""</f>
        <v/>
      </c>
      <c r="CM823" t="str">
        <f>""</f>
        <v/>
      </c>
      <c r="CN823" t="str">
        <f>""</f>
        <v/>
      </c>
      <c r="CO823" t="str">
        <f>""</f>
        <v/>
      </c>
      <c r="CP823" t="str">
        <f>""</f>
        <v/>
      </c>
      <c r="CQ823" t="str">
        <f>""</f>
        <v/>
      </c>
      <c r="CR823" t="str">
        <f>""</f>
        <v/>
      </c>
      <c r="CS823" t="str">
        <f>""</f>
        <v/>
      </c>
      <c r="CT823" t="str">
        <f>""</f>
        <v/>
      </c>
      <c r="CU823" t="str">
        <f>""</f>
        <v/>
      </c>
      <c r="CV823" t="str">
        <f>""</f>
        <v/>
      </c>
      <c r="CW823" t="str">
        <f>""</f>
        <v/>
      </c>
      <c r="CX823" t="str">
        <f>""</f>
        <v/>
      </c>
      <c r="CY823" t="str">
        <f>""</f>
        <v/>
      </c>
      <c r="CZ823" t="str">
        <f>""</f>
        <v/>
      </c>
      <c r="DA823" t="str">
        <f>""</f>
        <v/>
      </c>
      <c r="DB823" t="str">
        <f>""</f>
        <v/>
      </c>
      <c r="DC823" t="str">
        <f>""</f>
        <v/>
      </c>
      <c r="DD823" t="str">
        <f>""</f>
        <v/>
      </c>
      <c r="DE823" t="str">
        <f>""</f>
        <v/>
      </c>
      <c r="DF823" t="str">
        <f>""</f>
        <v/>
      </c>
      <c r="DG823" t="str">
        <f>""</f>
        <v/>
      </c>
      <c r="DH823" t="str">
        <f>""</f>
        <v/>
      </c>
      <c r="DI823" t="str">
        <f>""</f>
        <v/>
      </c>
      <c r="DJ823" t="str">
        <f>""</f>
        <v/>
      </c>
      <c r="DK823" t="str">
        <f>""</f>
        <v/>
      </c>
      <c r="DL823" t="str">
        <f>""</f>
        <v/>
      </c>
      <c r="DM823" t="str">
        <f>""</f>
        <v/>
      </c>
      <c r="DN823" t="str">
        <f>""</f>
        <v/>
      </c>
      <c r="DO823" t="str">
        <f>""</f>
        <v/>
      </c>
      <c r="DP823" t="str">
        <f>""</f>
        <v/>
      </c>
      <c r="DQ823" t="str">
        <f>""</f>
        <v/>
      </c>
      <c r="DR823" t="str">
        <f>""</f>
        <v/>
      </c>
      <c r="DS823" t="str">
        <f>""</f>
        <v/>
      </c>
      <c r="DT823" t="str">
        <f>""</f>
        <v/>
      </c>
      <c r="DU823" t="str">
        <f>""</f>
        <v/>
      </c>
    </row>
    <row r="824" spans="1:125" x14ac:dyDescent="0.25">
      <c r="A824" t="str">
        <f>$A$322</f>
        <v xml:space="preserve">    Subaru Corp</v>
      </c>
      <c r="B824" t="str">
        <f>$B$322</f>
        <v>7270 JP Equity</v>
      </c>
      <c r="C824" t="str">
        <f>$C$322</f>
        <v>RR179</v>
      </c>
      <c r="D824" t="str">
        <f>$D$322</f>
        <v>TANGIBLE_COMMON_EQUITY</v>
      </c>
      <c r="E824" t="str">
        <f>$E$322</f>
        <v>Dynamic</v>
      </c>
      <c r="F824" t="str">
        <f ca="1">_xll.BDH($B$322,$C$322,$B$509,$B$510,CONCATENATE("Per=",$B$507),"Dts=H","Dir=H",CONCATENATE("Points=",$B$508),"Sort=R","Days=A","Fill=B",CONCATENATE("FX=", $B$506) )</f>
        <v>#N/A Connection</v>
      </c>
      <c r="BN824" t="str">
        <f>""</f>
        <v/>
      </c>
      <c r="BO824" t="str">
        <f>""</f>
        <v/>
      </c>
      <c r="BP824" t="str">
        <f>""</f>
        <v/>
      </c>
      <c r="BQ824" t="str">
        <f>""</f>
        <v/>
      </c>
      <c r="BR824" t="str">
        <f>""</f>
        <v/>
      </c>
      <c r="BS824" t="str">
        <f>""</f>
        <v/>
      </c>
      <c r="BT824" t="str">
        <f>""</f>
        <v/>
      </c>
      <c r="BU824" t="str">
        <f>""</f>
        <v/>
      </c>
      <c r="BV824" t="str">
        <f>""</f>
        <v/>
      </c>
      <c r="BW824" t="str">
        <f>""</f>
        <v/>
      </c>
      <c r="BX824" t="str">
        <f>""</f>
        <v/>
      </c>
      <c r="BY824" t="str">
        <f>""</f>
        <v/>
      </c>
      <c r="BZ824" t="str">
        <f>""</f>
        <v/>
      </c>
      <c r="CA824" t="str">
        <f>""</f>
        <v/>
      </c>
      <c r="CB824" t="str">
        <f>""</f>
        <v/>
      </c>
      <c r="CC824" t="str">
        <f>""</f>
        <v/>
      </c>
      <c r="CD824" t="str">
        <f>""</f>
        <v/>
      </c>
      <c r="CE824" t="str">
        <f>""</f>
        <v/>
      </c>
      <c r="CF824" t="str">
        <f>""</f>
        <v/>
      </c>
      <c r="CG824" t="str">
        <f>""</f>
        <v/>
      </c>
      <c r="CH824" t="str">
        <f>""</f>
        <v/>
      </c>
      <c r="CI824" t="str">
        <f>""</f>
        <v/>
      </c>
      <c r="CJ824" t="str">
        <f>""</f>
        <v/>
      </c>
      <c r="CK824" t="str">
        <f>""</f>
        <v/>
      </c>
      <c r="CL824" t="str">
        <f>""</f>
        <v/>
      </c>
      <c r="CM824" t="str">
        <f>""</f>
        <v/>
      </c>
      <c r="CN824" t="str">
        <f>""</f>
        <v/>
      </c>
      <c r="CO824" t="str">
        <f>""</f>
        <v/>
      </c>
      <c r="CP824" t="str">
        <f>""</f>
        <v/>
      </c>
      <c r="CQ824" t="str">
        <f>""</f>
        <v/>
      </c>
      <c r="CR824" t="str">
        <f>""</f>
        <v/>
      </c>
      <c r="CS824" t="str">
        <f>""</f>
        <v/>
      </c>
      <c r="CT824" t="str">
        <f>""</f>
        <v/>
      </c>
      <c r="CU824" t="str">
        <f>""</f>
        <v/>
      </c>
      <c r="CV824" t="str">
        <f>""</f>
        <v/>
      </c>
      <c r="CW824" t="str">
        <f>""</f>
        <v/>
      </c>
      <c r="CX824" t="str">
        <f>""</f>
        <v/>
      </c>
      <c r="CY824" t="str">
        <f>""</f>
        <v/>
      </c>
      <c r="CZ824" t="str">
        <f>""</f>
        <v/>
      </c>
      <c r="DA824" t="str">
        <f>""</f>
        <v/>
      </c>
      <c r="DB824" t="str">
        <f>""</f>
        <v/>
      </c>
      <c r="DC824" t="str">
        <f>""</f>
        <v/>
      </c>
      <c r="DD824" t="str">
        <f>""</f>
        <v/>
      </c>
      <c r="DE824" t="str">
        <f>""</f>
        <v/>
      </c>
      <c r="DF824" t="str">
        <f>""</f>
        <v/>
      </c>
      <c r="DG824" t="str">
        <f>""</f>
        <v/>
      </c>
      <c r="DH824" t="str">
        <f>""</f>
        <v/>
      </c>
      <c r="DI824" t="str">
        <f>""</f>
        <v/>
      </c>
      <c r="DJ824" t="str">
        <f>""</f>
        <v/>
      </c>
      <c r="DK824" t="str">
        <f>""</f>
        <v/>
      </c>
      <c r="DL824" t="str">
        <f>""</f>
        <v/>
      </c>
      <c r="DM824" t="str">
        <f>""</f>
        <v/>
      </c>
      <c r="DN824" t="str">
        <f>""</f>
        <v/>
      </c>
      <c r="DO824" t="str">
        <f>""</f>
        <v/>
      </c>
      <c r="DP824" t="str">
        <f>""</f>
        <v/>
      </c>
      <c r="DQ824" t="str">
        <f>""</f>
        <v/>
      </c>
      <c r="DR824" t="str">
        <f>""</f>
        <v/>
      </c>
      <c r="DS824" t="str">
        <f>""</f>
        <v/>
      </c>
      <c r="DT824" t="str">
        <f>""</f>
        <v/>
      </c>
      <c r="DU824" t="str">
        <f>""</f>
        <v/>
      </c>
    </row>
    <row r="825" spans="1:125" x14ac:dyDescent="0.25">
      <c r="A825" t="str">
        <f>$A$323</f>
        <v xml:space="preserve">    Suzuki Motor Corp</v>
      </c>
      <c r="B825" t="str">
        <f>$B$323</f>
        <v>7269 JP Equity</v>
      </c>
      <c r="C825" t="str">
        <f>$C$323</f>
        <v>RR179</v>
      </c>
      <c r="D825" t="str">
        <f>$D$323</f>
        <v>TANGIBLE_COMMON_EQUITY</v>
      </c>
      <c r="E825" t="str">
        <f>$E$323</f>
        <v>Dynamic</v>
      </c>
      <c r="F825" t="str">
        <f ca="1">_xll.BDH($B$323,$C$323,$B$509,$B$510,CONCATENATE("Per=",$B$507),"Dts=H","Dir=H",CONCATENATE("Points=",$B$508),"Sort=R","Days=A","Fill=B",CONCATENATE("FX=", $B$506) )</f>
        <v>#N/A Connection</v>
      </c>
      <c r="BN825" t="str">
        <f>""</f>
        <v/>
      </c>
      <c r="BO825" t="str">
        <f>""</f>
        <v/>
      </c>
      <c r="BP825" t="str">
        <f>""</f>
        <v/>
      </c>
      <c r="BQ825" t="str">
        <f>""</f>
        <v/>
      </c>
      <c r="BR825" t="str">
        <f>""</f>
        <v/>
      </c>
      <c r="BS825" t="str">
        <f>""</f>
        <v/>
      </c>
      <c r="BT825" t="str">
        <f>""</f>
        <v/>
      </c>
      <c r="BU825" t="str">
        <f>""</f>
        <v/>
      </c>
      <c r="BV825" t="str">
        <f>""</f>
        <v/>
      </c>
      <c r="BW825" t="str">
        <f>""</f>
        <v/>
      </c>
      <c r="BX825" t="str">
        <f>""</f>
        <v/>
      </c>
      <c r="BY825" t="str">
        <f>""</f>
        <v/>
      </c>
      <c r="BZ825" t="str">
        <f>""</f>
        <v/>
      </c>
      <c r="CA825" t="str">
        <f>""</f>
        <v/>
      </c>
      <c r="CB825" t="str">
        <f>""</f>
        <v/>
      </c>
      <c r="CC825" t="str">
        <f>""</f>
        <v/>
      </c>
      <c r="CD825" t="str">
        <f>""</f>
        <v/>
      </c>
      <c r="CE825" t="str">
        <f>""</f>
        <v/>
      </c>
      <c r="CF825" t="str">
        <f>""</f>
        <v/>
      </c>
      <c r="CG825" t="str">
        <f>""</f>
        <v/>
      </c>
      <c r="CH825" t="str">
        <f>""</f>
        <v/>
      </c>
      <c r="CI825" t="str">
        <f>""</f>
        <v/>
      </c>
      <c r="CJ825" t="str">
        <f>""</f>
        <v/>
      </c>
      <c r="CK825" t="str">
        <f>""</f>
        <v/>
      </c>
      <c r="CL825" t="str">
        <f>""</f>
        <v/>
      </c>
      <c r="CM825" t="str">
        <f>""</f>
        <v/>
      </c>
      <c r="CN825" t="str">
        <f>""</f>
        <v/>
      </c>
      <c r="CO825" t="str">
        <f>""</f>
        <v/>
      </c>
      <c r="CP825" t="str">
        <f>""</f>
        <v/>
      </c>
      <c r="CQ825" t="str">
        <f>""</f>
        <v/>
      </c>
      <c r="CR825" t="str">
        <f>""</f>
        <v/>
      </c>
      <c r="CS825" t="str">
        <f>""</f>
        <v/>
      </c>
      <c r="CT825" t="str">
        <f>""</f>
        <v/>
      </c>
      <c r="CU825" t="str">
        <f>""</f>
        <v/>
      </c>
      <c r="CV825" t="str">
        <f>""</f>
        <v/>
      </c>
      <c r="CW825" t="str">
        <f>""</f>
        <v/>
      </c>
      <c r="CX825" t="str">
        <f>""</f>
        <v/>
      </c>
      <c r="CY825" t="str">
        <f>""</f>
        <v/>
      </c>
      <c r="CZ825" t="str">
        <f>""</f>
        <v/>
      </c>
      <c r="DA825" t="str">
        <f>""</f>
        <v/>
      </c>
      <c r="DB825" t="str">
        <f>""</f>
        <v/>
      </c>
      <c r="DC825" t="str">
        <f>""</f>
        <v/>
      </c>
      <c r="DD825" t="str">
        <f>""</f>
        <v/>
      </c>
      <c r="DE825" t="str">
        <f>""</f>
        <v/>
      </c>
      <c r="DF825" t="str">
        <f>""</f>
        <v/>
      </c>
      <c r="DG825" t="str">
        <f>""</f>
        <v/>
      </c>
      <c r="DH825" t="str">
        <f>""</f>
        <v/>
      </c>
      <c r="DI825" t="str">
        <f>""</f>
        <v/>
      </c>
      <c r="DJ825" t="str">
        <f>""</f>
        <v/>
      </c>
      <c r="DK825" t="str">
        <f>""</f>
        <v/>
      </c>
      <c r="DL825" t="str">
        <f>""</f>
        <v/>
      </c>
      <c r="DM825" t="str">
        <f>""</f>
        <v/>
      </c>
      <c r="DN825" t="str">
        <f>""</f>
        <v/>
      </c>
      <c r="DO825" t="str">
        <f>""</f>
        <v/>
      </c>
      <c r="DP825" t="str">
        <f>""</f>
        <v/>
      </c>
      <c r="DQ825" t="str">
        <f>""</f>
        <v/>
      </c>
      <c r="DR825" t="str">
        <f>""</f>
        <v/>
      </c>
      <c r="DS825" t="str">
        <f>""</f>
        <v/>
      </c>
      <c r="DT825" t="str">
        <f>""</f>
        <v/>
      </c>
      <c r="DU825" t="str">
        <f>""</f>
        <v/>
      </c>
    </row>
    <row r="826" spans="1:125" x14ac:dyDescent="0.25">
      <c r="A826" t="str">
        <f>$A$324</f>
        <v xml:space="preserve">    Tata Motors Ltd</v>
      </c>
      <c r="B826" t="str">
        <f>$B$324</f>
        <v>TTMT IN Equity</v>
      </c>
      <c r="C826" t="str">
        <f>$C$324</f>
        <v>RR179</v>
      </c>
      <c r="D826" t="str">
        <f>$D$324</f>
        <v>TANGIBLE_COMMON_EQUITY</v>
      </c>
      <c r="E826" t="str">
        <f>$E$324</f>
        <v>Dynamic</v>
      </c>
      <c r="F826" t="str">
        <f ca="1">_xll.BDH($B$324,$C$324,$B$509,$B$510,CONCATENATE("Per=",$B$507),"Dts=H","Dir=H",CONCATENATE("Points=",$B$508),"Sort=R","Days=A","Fill=B",CONCATENATE("FX=", $B$506) )</f>
        <v>#N/A Connection</v>
      </c>
      <c r="BN826" t="str">
        <f>""</f>
        <v/>
      </c>
      <c r="BO826" t="str">
        <f>""</f>
        <v/>
      </c>
      <c r="BP826" t="str">
        <f>""</f>
        <v/>
      </c>
      <c r="BQ826" t="str">
        <f>""</f>
        <v/>
      </c>
      <c r="BR826" t="str">
        <f>""</f>
        <v/>
      </c>
      <c r="BS826" t="str">
        <f>""</f>
        <v/>
      </c>
      <c r="BT826" t="str">
        <f>""</f>
        <v/>
      </c>
      <c r="BU826" t="str">
        <f>""</f>
        <v/>
      </c>
      <c r="BV826" t="str">
        <f>""</f>
        <v/>
      </c>
      <c r="BW826" t="str">
        <f>""</f>
        <v/>
      </c>
      <c r="BX826" t="str">
        <f>""</f>
        <v/>
      </c>
      <c r="BY826" t="str">
        <f>""</f>
        <v/>
      </c>
      <c r="BZ826" t="str">
        <f>""</f>
        <v/>
      </c>
      <c r="CA826" t="str">
        <f>""</f>
        <v/>
      </c>
      <c r="CB826" t="str">
        <f>""</f>
        <v/>
      </c>
      <c r="CC826" t="str">
        <f>""</f>
        <v/>
      </c>
      <c r="CD826" t="str">
        <f>""</f>
        <v/>
      </c>
      <c r="CE826" t="str">
        <f>""</f>
        <v/>
      </c>
      <c r="CF826" t="str">
        <f>""</f>
        <v/>
      </c>
      <c r="CG826" t="str">
        <f>""</f>
        <v/>
      </c>
      <c r="CH826" t="str">
        <f>""</f>
        <v/>
      </c>
      <c r="CI826" t="str">
        <f>""</f>
        <v/>
      </c>
      <c r="CJ826" t="str">
        <f>""</f>
        <v/>
      </c>
      <c r="CK826" t="str">
        <f>""</f>
        <v/>
      </c>
      <c r="CL826" t="str">
        <f>""</f>
        <v/>
      </c>
      <c r="CM826" t="str">
        <f>""</f>
        <v/>
      </c>
      <c r="CN826" t="str">
        <f>""</f>
        <v/>
      </c>
      <c r="CO826" t="str">
        <f>""</f>
        <v/>
      </c>
      <c r="CP826" t="str">
        <f>""</f>
        <v/>
      </c>
      <c r="CQ826" t="str">
        <f>""</f>
        <v/>
      </c>
      <c r="CR826" t="str">
        <f>""</f>
        <v/>
      </c>
      <c r="CS826" t="str">
        <f>""</f>
        <v/>
      </c>
      <c r="CT826" t="str">
        <f>""</f>
        <v/>
      </c>
      <c r="CU826" t="str">
        <f>""</f>
        <v/>
      </c>
      <c r="CV826" t="str">
        <f>""</f>
        <v/>
      </c>
      <c r="CW826" t="str">
        <f>""</f>
        <v/>
      </c>
      <c r="CX826" t="str">
        <f>""</f>
        <v/>
      </c>
      <c r="CY826" t="str">
        <f>""</f>
        <v/>
      </c>
      <c r="CZ826" t="str">
        <f>""</f>
        <v/>
      </c>
      <c r="DA826" t="str">
        <f>""</f>
        <v/>
      </c>
      <c r="DB826" t="str">
        <f>""</f>
        <v/>
      </c>
      <c r="DC826" t="str">
        <f>""</f>
        <v/>
      </c>
      <c r="DD826" t="str">
        <f>""</f>
        <v/>
      </c>
      <c r="DE826" t="str">
        <f>""</f>
        <v/>
      </c>
      <c r="DF826" t="str">
        <f>""</f>
        <v/>
      </c>
      <c r="DG826" t="str">
        <f>""</f>
        <v/>
      </c>
      <c r="DH826" t="str">
        <f>""</f>
        <v/>
      </c>
      <c r="DI826" t="str">
        <f>""</f>
        <v/>
      </c>
      <c r="DJ826" t="str">
        <f>""</f>
        <v/>
      </c>
      <c r="DK826" t="str">
        <f>""</f>
        <v/>
      </c>
      <c r="DL826" t="str">
        <f>""</f>
        <v/>
      </c>
      <c r="DM826" t="str">
        <f>""</f>
        <v/>
      </c>
      <c r="DN826" t="str">
        <f>""</f>
        <v/>
      </c>
      <c r="DO826" t="str">
        <f>""</f>
        <v/>
      </c>
      <c r="DP826" t="str">
        <f>""</f>
        <v/>
      </c>
      <c r="DQ826" t="str">
        <f>""</f>
        <v/>
      </c>
      <c r="DR826" t="str">
        <f>""</f>
        <v/>
      </c>
      <c r="DS826" t="str">
        <f>""</f>
        <v/>
      </c>
      <c r="DT826" t="str">
        <f>""</f>
        <v/>
      </c>
      <c r="DU826" t="str">
        <f>""</f>
        <v/>
      </c>
    </row>
    <row r="827" spans="1:125" x14ac:dyDescent="0.25">
      <c r="A827" t="str">
        <f>$A$325</f>
        <v xml:space="preserve">    Tesla Inc</v>
      </c>
      <c r="B827" t="str">
        <f>$B$325</f>
        <v>TSLA US Equity</v>
      </c>
      <c r="C827" t="str">
        <f>$C$325</f>
        <v>RR179</v>
      </c>
      <c r="D827" t="str">
        <f>$D$325</f>
        <v>TANGIBLE_COMMON_EQUITY</v>
      </c>
      <c r="E827" t="str">
        <f>$E$325</f>
        <v>Dynamic</v>
      </c>
      <c r="F827" t="str">
        <f ca="1">_xll.BDH($B$325,$C$325,$B$509,$B$510,CONCATENATE("Per=",$B$507),"Dts=H","Dir=H",CONCATENATE("Points=",$B$508),"Sort=R","Days=A","Fill=B",CONCATENATE("FX=", $B$506) )</f>
        <v>#N/A Connection</v>
      </c>
      <c r="BN827" t="str">
        <f>""</f>
        <v/>
      </c>
      <c r="BO827" t="str">
        <f>""</f>
        <v/>
      </c>
      <c r="BP827" t="str">
        <f>""</f>
        <v/>
      </c>
      <c r="BQ827" t="str">
        <f>""</f>
        <v/>
      </c>
      <c r="BR827" t="str">
        <f>""</f>
        <v/>
      </c>
      <c r="BS827" t="str">
        <f>""</f>
        <v/>
      </c>
      <c r="BT827" t="str">
        <f>""</f>
        <v/>
      </c>
      <c r="BU827" t="str">
        <f>""</f>
        <v/>
      </c>
      <c r="BV827" t="str">
        <f>""</f>
        <v/>
      </c>
      <c r="BW827" t="str">
        <f>""</f>
        <v/>
      </c>
      <c r="BX827" t="str">
        <f>""</f>
        <v/>
      </c>
      <c r="BY827" t="str">
        <f>""</f>
        <v/>
      </c>
      <c r="BZ827" t="str">
        <f>""</f>
        <v/>
      </c>
      <c r="CA827" t="str">
        <f>""</f>
        <v/>
      </c>
      <c r="CB827" t="str">
        <f>""</f>
        <v/>
      </c>
      <c r="CC827" t="str">
        <f>""</f>
        <v/>
      </c>
      <c r="CD827" t="str">
        <f>""</f>
        <v/>
      </c>
      <c r="CE827" t="str">
        <f>""</f>
        <v/>
      </c>
      <c r="CF827" t="str">
        <f>""</f>
        <v/>
      </c>
      <c r="CG827" t="str">
        <f>""</f>
        <v/>
      </c>
      <c r="CH827" t="str">
        <f>""</f>
        <v/>
      </c>
      <c r="CI827" t="str">
        <f>""</f>
        <v/>
      </c>
      <c r="CJ827" t="str">
        <f>""</f>
        <v/>
      </c>
      <c r="CK827" t="str">
        <f>""</f>
        <v/>
      </c>
      <c r="CL827" t="str">
        <f>""</f>
        <v/>
      </c>
      <c r="CM827" t="str">
        <f>""</f>
        <v/>
      </c>
      <c r="CN827" t="str">
        <f>""</f>
        <v/>
      </c>
      <c r="CO827" t="str">
        <f>""</f>
        <v/>
      </c>
      <c r="CP827" t="str">
        <f>""</f>
        <v/>
      </c>
      <c r="CQ827" t="str">
        <f>""</f>
        <v/>
      </c>
      <c r="CR827" t="str">
        <f>""</f>
        <v/>
      </c>
      <c r="CS827" t="str">
        <f>""</f>
        <v/>
      </c>
      <c r="CT827" t="str">
        <f>""</f>
        <v/>
      </c>
      <c r="CU827" t="str">
        <f>""</f>
        <v/>
      </c>
      <c r="CV827" t="str">
        <f>""</f>
        <v/>
      </c>
      <c r="CW827" t="str">
        <f>""</f>
        <v/>
      </c>
      <c r="CX827" t="str">
        <f>""</f>
        <v/>
      </c>
      <c r="CY827" t="str">
        <f>""</f>
        <v/>
      </c>
      <c r="CZ827" t="str">
        <f>""</f>
        <v/>
      </c>
      <c r="DA827" t="str">
        <f>""</f>
        <v/>
      </c>
      <c r="DB827" t="str">
        <f>""</f>
        <v/>
      </c>
      <c r="DC827" t="str">
        <f>""</f>
        <v/>
      </c>
      <c r="DD827" t="str">
        <f>""</f>
        <v/>
      </c>
      <c r="DE827" t="str">
        <f>""</f>
        <v/>
      </c>
      <c r="DF827" t="str">
        <f>""</f>
        <v/>
      </c>
      <c r="DG827" t="str">
        <f>""</f>
        <v/>
      </c>
      <c r="DH827" t="str">
        <f>""</f>
        <v/>
      </c>
      <c r="DI827" t="str">
        <f>""</f>
        <v/>
      </c>
      <c r="DJ827" t="str">
        <f>""</f>
        <v/>
      </c>
      <c r="DK827" t="str">
        <f>""</f>
        <v/>
      </c>
      <c r="DL827" t="str">
        <f>""</f>
        <v/>
      </c>
      <c r="DM827" t="str">
        <f>""</f>
        <v/>
      </c>
      <c r="DN827" t="str">
        <f>""</f>
        <v/>
      </c>
      <c r="DO827" t="str">
        <f>""</f>
        <v/>
      </c>
      <c r="DP827" t="str">
        <f>""</f>
        <v/>
      </c>
      <c r="DQ827" t="str">
        <f>""</f>
        <v/>
      </c>
      <c r="DR827" t="str">
        <f>""</f>
        <v/>
      </c>
      <c r="DS827" t="str">
        <f>""</f>
        <v/>
      </c>
      <c r="DT827" t="str">
        <f>""</f>
        <v/>
      </c>
      <c r="DU827" t="str">
        <f>""</f>
        <v/>
      </c>
    </row>
    <row r="828" spans="1:125" x14ac:dyDescent="0.25">
      <c r="A828" t="str">
        <f>$A$326</f>
        <v xml:space="preserve">    Tianjin Faw Xiali Automobile Co Ltd</v>
      </c>
      <c r="B828" t="str">
        <f>$B$326</f>
        <v>000927 CH Equity</v>
      </c>
      <c r="C828" t="str">
        <f>$C$326</f>
        <v>RR179</v>
      </c>
      <c r="D828" t="str">
        <f>$D$326</f>
        <v>TANGIBLE_COMMON_EQUITY</v>
      </c>
      <c r="E828" t="str">
        <f>$E$326</f>
        <v>Dynamic</v>
      </c>
      <c r="F828" t="str">
        <f ca="1">_xll.BDH($B$326,$C$326,$B$509,$B$510,CONCATENATE("Per=",$B$507),"Dts=H","Dir=H",CONCATENATE("Points=",$B$508),"Sort=R","Days=A","Fill=B",CONCATENATE("FX=", $B$506) )</f>
        <v>#N/A Connection</v>
      </c>
      <c r="BN828" t="str">
        <f>""</f>
        <v/>
      </c>
      <c r="BO828" t="str">
        <f>""</f>
        <v/>
      </c>
      <c r="BP828" t="str">
        <f>""</f>
        <v/>
      </c>
      <c r="BQ828" t="str">
        <f>""</f>
        <v/>
      </c>
      <c r="BR828" t="str">
        <f>""</f>
        <v/>
      </c>
      <c r="BS828" t="str">
        <f>""</f>
        <v/>
      </c>
      <c r="BT828" t="str">
        <f>""</f>
        <v/>
      </c>
      <c r="BU828" t="str">
        <f>""</f>
        <v/>
      </c>
      <c r="BV828" t="str">
        <f>""</f>
        <v/>
      </c>
      <c r="BW828" t="str">
        <f>""</f>
        <v/>
      </c>
      <c r="BX828" t="str">
        <f>""</f>
        <v/>
      </c>
      <c r="BY828" t="str">
        <f>""</f>
        <v/>
      </c>
      <c r="BZ828" t="str">
        <f>""</f>
        <v/>
      </c>
      <c r="CA828" t="str">
        <f>""</f>
        <v/>
      </c>
      <c r="CB828" t="str">
        <f>""</f>
        <v/>
      </c>
      <c r="CC828" t="str">
        <f>""</f>
        <v/>
      </c>
      <c r="CD828" t="str">
        <f>""</f>
        <v/>
      </c>
      <c r="CE828" t="str">
        <f>""</f>
        <v/>
      </c>
      <c r="CF828" t="str">
        <f>""</f>
        <v/>
      </c>
      <c r="CG828" t="str">
        <f>""</f>
        <v/>
      </c>
      <c r="CH828" t="str">
        <f>""</f>
        <v/>
      </c>
      <c r="CI828" t="str">
        <f>""</f>
        <v/>
      </c>
      <c r="CJ828" t="str">
        <f>""</f>
        <v/>
      </c>
      <c r="CK828" t="str">
        <f>""</f>
        <v/>
      </c>
      <c r="CL828" t="str">
        <f>""</f>
        <v/>
      </c>
      <c r="CM828" t="str">
        <f>""</f>
        <v/>
      </c>
      <c r="CN828" t="str">
        <f>""</f>
        <v/>
      </c>
      <c r="CO828" t="str">
        <f>""</f>
        <v/>
      </c>
      <c r="CP828" t="str">
        <f>""</f>
        <v/>
      </c>
      <c r="CQ828" t="str">
        <f>""</f>
        <v/>
      </c>
      <c r="CR828" t="str">
        <f>""</f>
        <v/>
      </c>
      <c r="CS828" t="str">
        <f>""</f>
        <v/>
      </c>
      <c r="CT828" t="str">
        <f>""</f>
        <v/>
      </c>
      <c r="CU828" t="str">
        <f>""</f>
        <v/>
      </c>
      <c r="CV828" t="str">
        <f>""</f>
        <v/>
      </c>
      <c r="CW828" t="str">
        <f>""</f>
        <v/>
      </c>
      <c r="CX828" t="str">
        <f>""</f>
        <v/>
      </c>
      <c r="CY828" t="str">
        <f>""</f>
        <v/>
      </c>
      <c r="CZ828" t="str">
        <f>""</f>
        <v/>
      </c>
      <c r="DA828" t="str">
        <f>""</f>
        <v/>
      </c>
      <c r="DB828" t="str">
        <f>""</f>
        <v/>
      </c>
      <c r="DC828" t="str">
        <f>""</f>
        <v/>
      </c>
      <c r="DD828" t="str">
        <f>""</f>
        <v/>
      </c>
      <c r="DE828" t="str">
        <f>""</f>
        <v/>
      </c>
      <c r="DF828" t="str">
        <f>""</f>
        <v/>
      </c>
      <c r="DG828" t="str">
        <f>""</f>
        <v/>
      </c>
      <c r="DH828" t="str">
        <f>""</f>
        <v/>
      </c>
      <c r="DI828" t="str">
        <f>""</f>
        <v/>
      </c>
      <c r="DJ828" t="str">
        <f>""</f>
        <v/>
      </c>
      <c r="DK828" t="str">
        <f>""</f>
        <v/>
      </c>
      <c r="DL828" t="str">
        <f>""</f>
        <v/>
      </c>
      <c r="DM828" t="str">
        <f>""</f>
        <v/>
      </c>
      <c r="DN828" t="str">
        <f>""</f>
        <v/>
      </c>
      <c r="DO828" t="str">
        <f>""</f>
        <v/>
      </c>
      <c r="DP828" t="str">
        <f>""</f>
        <v/>
      </c>
      <c r="DQ828" t="str">
        <f>""</f>
        <v/>
      </c>
      <c r="DR828" t="str">
        <f>""</f>
        <v/>
      </c>
      <c r="DS828" t="str">
        <f>""</f>
        <v/>
      </c>
      <c r="DT828" t="str">
        <f>""</f>
        <v/>
      </c>
      <c r="DU828" t="str">
        <f>""</f>
        <v/>
      </c>
    </row>
    <row r="829" spans="1:125" x14ac:dyDescent="0.25">
      <c r="A829" t="str">
        <f>$A$327</f>
        <v xml:space="preserve">    Tofas Turk Otomobil Fabrikasi AS</v>
      </c>
      <c r="B829" t="str">
        <f>$B$327</f>
        <v>TOASOTRY EO Equity</v>
      </c>
      <c r="C829" t="str">
        <f>$C$327</f>
        <v>RR179</v>
      </c>
      <c r="D829" t="str">
        <f>$D$327</f>
        <v>TANGIBLE_COMMON_EQUITY</v>
      </c>
      <c r="E829" t="str">
        <f>$E$327</f>
        <v>Dynamic</v>
      </c>
      <c r="F829" t="str">
        <f ca="1">_xll.BDH($B$327,$C$327,$B$509,$B$510,CONCATENATE("Per=",$B$507),"Dts=H","Dir=H",CONCATENATE("Points=",$B$508),"Sort=R","Days=A","Fill=B",CONCATENATE("FX=", $B$506) )</f>
        <v>#N/A Connection</v>
      </c>
      <c r="BN829" t="str">
        <f>""</f>
        <v/>
      </c>
      <c r="BO829" t="str">
        <f>""</f>
        <v/>
      </c>
      <c r="BP829" t="str">
        <f>""</f>
        <v/>
      </c>
      <c r="BQ829" t="str">
        <f>""</f>
        <v/>
      </c>
      <c r="BR829" t="str">
        <f>""</f>
        <v/>
      </c>
      <c r="BS829" t="str">
        <f>""</f>
        <v/>
      </c>
      <c r="BT829" t="str">
        <f>""</f>
        <v/>
      </c>
      <c r="BU829" t="str">
        <f>""</f>
        <v/>
      </c>
      <c r="BV829" t="str">
        <f>""</f>
        <v/>
      </c>
      <c r="BW829" t="str">
        <f>""</f>
        <v/>
      </c>
      <c r="BX829" t="str">
        <f>""</f>
        <v/>
      </c>
      <c r="BY829" t="str">
        <f>""</f>
        <v/>
      </c>
      <c r="BZ829" t="str">
        <f>""</f>
        <v/>
      </c>
      <c r="CA829" t="str">
        <f>""</f>
        <v/>
      </c>
      <c r="CB829" t="str">
        <f>""</f>
        <v/>
      </c>
      <c r="CC829" t="str">
        <f>""</f>
        <v/>
      </c>
      <c r="CD829" t="str">
        <f>""</f>
        <v/>
      </c>
      <c r="CE829" t="str">
        <f>""</f>
        <v/>
      </c>
      <c r="CF829" t="str">
        <f>""</f>
        <v/>
      </c>
      <c r="CG829" t="str">
        <f>""</f>
        <v/>
      </c>
      <c r="CH829" t="str">
        <f>""</f>
        <v/>
      </c>
      <c r="CI829" t="str">
        <f>""</f>
        <v/>
      </c>
      <c r="CJ829" t="str">
        <f>""</f>
        <v/>
      </c>
      <c r="CK829" t="str">
        <f>""</f>
        <v/>
      </c>
      <c r="CL829" t="str">
        <f>""</f>
        <v/>
      </c>
      <c r="CM829" t="str">
        <f>""</f>
        <v/>
      </c>
      <c r="CN829" t="str">
        <f>""</f>
        <v/>
      </c>
      <c r="CO829" t="str">
        <f>""</f>
        <v/>
      </c>
      <c r="CP829" t="str">
        <f>""</f>
        <v/>
      </c>
      <c r="CQ829" t="str">
        <f>""</f>
        <v/>
      </c>
      <c r="CR829" t="str">
        <f>""</f>
        <v/>
      </c>
      <c r="CS829" t="str">
        <f>""</f>
        <v/>
      </c>
      <c r="CT829" t="str">
        <f>""</f>
        <v/>
      </c>
      <c r="CU829" t="str">
        <f>""</f>
        <v/>
      </c>
      <c r="CV829" t="str">
        <f>""</f>
        <v/>
      </c>
      <c r="CW829" t="str">
        <f>""</f>
        <v/>
      </c>
      <c r="CX829" t="str">
        <f>""</f>
        <v/>
      </c>
      <c r="CY829" t="str">
        <f>""</f>
        <v/>
      </c>
      <c r="CZ829" t="str">
        <f>""</f>
        <v/>
      </c>
      <c r="DA829" t="str">
        <f>""</f>
        <v/>
      </c>
      <c r="DB829" t="str">
        <f>""</f>
        <v/>
      </c>
      <c r="DC829" t="str">
        <f>""</f>
        <v/>
      </c>
      <c r="DD829" t="str">
        <f>""</f>
        <v/>
      </c>
      <c r="DE829" t="str">
        <f>""</f>
        <v/>
      </c>
      <c r="DF829" t="str">
        <f>""</f>
        <v/>
      </c>
      <c r="DG829" t="str">
        <f>""</f>
        <v/>
      </c>
      <c r="DH829" t="str">
        <f>""</f>
        <v/>
      </c>
      <c r="DI829" t="str">
        <f>""</f>
        <v/>
      </c>
      <c r="DJ829" t="str">
        <f>""</f>
        <v/>
      </c>
      <c r="DK829" t="str">
        <f>""</f>
        <v/>
      </c>
      <c r="DL829" t="str">
        <f>""</f>
        <v/>
      </c>
      <c r="DM829" t="str">
        <f>""</f>
        <v/>
      </c>
      <c r="DN829" t="str">
        <f>""</f>
        <v/>
      </c>
      <c r="DO829" t="str">
        <f>""</f>
        <v/>
      </c>
      <c r="DP829" t="str">
        <f>""</f>
        <v/>
      </c>
      <c r="DQ829" t="str">
        <f>""</f>
        <v/>
      </c>
      <c r="DR829" t="str">
        <f>""</f>
        <v/>
      </c>
      <c r="DS829" t="str">
        <f>""</f>
        <v/>
      </c>
      <c r="DT829" t="str">
        <f>""</f>
        <v/>
      </c>
      <c r="DU829" t="str">
        <f>""</f>
        <v/>
      </c>
    </row>
    <row r="830" spans="1:125" x14ac:dyDescent="0.25">
      <c r="A830" t="str">
        <f>$A$328</f>
        <v xml:space="preserve">    Toyota Motor Corp</v>
      </c>
      <c r="B830" t="str">
        <f>$B$328</f>
        <v>7203 JP Equity</v>
      </c>
      <c r="C830" t="str">
        <f>$C$328</f>
        <v>RR179</v>
      </c>
      <c r="D830" t="str">
        <f>$D$328</f>
        <v>TANGIBLE_COMMON_EQUITY</v>
      </c>
      <c r="E830" t="str">
        <f>$E$328</f>
        <v>Dynamic</v>
      </c>
      <c r="F830" t="str">
        <f ca="1">_xll.BDH($B$328,$C$328,$B$509,$B$510,CONCATENATE("Per=",$B$507),"Dts=H","Dir=H",CONCATENATE("Points=",$B$508),"Sort=R","Days=A","Fill=B",CONCATENATE("FX=", $B$506) )</f>
        <v>#N/A Connection</v>
      </c>
      <c r="BN830" t="str">
        <f>""</f>
        <v/>
      </c>
      <c r="BO830" t="str">
        <f>""</f>
        <v/>
      </c>
      <c r="BP830" t="str">
        <f>""</f>
        <v/>
      </c>
      <c r="BQ830" t="str">
        <f>""</f>
        <v/>
      </c>
      <c r="BR830" t="str">
        <f>""</f>
        <v/>
      </c>
      <c r="BS830" t="str">
        <f>""</f>
        <v/>
      </c>
      <c r="BT830" t="str">
        <f>""</f>
        <v/>
      </c>
      <c r="BU830" t="str">
        <f>""</f>
        <v/>
      </c>
      <c r="BV830" t="str">
        <f>""</f>
        <v/>
      </c>
      <c r="BW830" t="str">
        <f>""</f>
        <v/>
      </c>
      <c r="BX830" t="str">
        <f>""</f>
        <v/>
      </c>
      <c r="BY830" t="str">
        <f>""</f>
        <v/>
      </c>
      <c r="BZ830" t="str">
        <f>""</f>
        <v/>
      </c>
      <c r="CA830" t="str">
        <f>""</f>
        <v/>
      </c>
      <c r="CB830" t="str">
        <f>""</f>
        <v/>
      </c>
      <c r="CC830" t="str">
        <f>""</f>
        <v/>
      </c>
      <c r="CD830" t="str">
        <f>""</f>
        <v/>
      </c>
      <c r="CE830" t="str">
        <f>""</f>
        <v/>
      </c>
      <c r="CF830" t="str">
        <f>""</f>
        <v/>
      </c>
      <c r="CG830" t="str">
        <f>""</f>
        <v/>
      </c>
      <c r="CH830" t="str">
        <f>""</f>
        <v/>
      </c>
      <c r="CI830" t="str">
        <f>""</f>
        <v/>
      </c>
      <c r="CJ830" t="str">
        <f>""</f>
        <v/>
      </c>
      <c r="CK830" t="str">
        <f>""</f>
        <v/>
      </c>
      <c r="CL830" t="str">
        <f>""</f>
        <v/>
      </c>
      <c r="CM830" t="str">
        <f>""</f>
        <v/>
      </c>
      <c r="CN830" t="str">
        <f>""</f>
        <v/>
      </c>
      <c r="CO830" t="str">
        <f>""</f>
        <v/>
      </c>
      <c r="CP830" t="str">
        <f>""</f>
        <v/>
      </c>
      <c r="CQ830" t="str">
        <f>""</f>
        <v/>
      </c>
      <c r="CR830" t="str">
        <f>""</f>
        <v/>
      </c>
      <c r="CS830" t="str">
        <f>""</f>
        <v/>
      </c>
      <c r="CT830" t="str">
        <f>""</f>
        <v/>
      </c>
      <c r="CU830" t="str">
        <f>""</f>
        <v/>
      </c>
      <c r="CV830" t="str">
        <f>""</f>
        <v/>
      </c>
      <c r="CW830" t="str">
        <f>""</f>
        <v/>
      </c>
      <c r="CX830" t="str">
        <f>""</f>
        <v/>
      </c>
      <c r="CY830" t="str">
        <f>""</f>
        <v/>
      </c>
      <c r="CZ830" t="str">
        <f>""</f>
        <v/>
      </c>
      <c r="DA830" t="str">
        <f>""</f>
        <v/>
      </c>
      <c r="DB830" t="str">
        <f>""</f>
        <v/>
      </c>
      <c r="DC830" t="str">
        <f>""</f>
        <v/>
      </c>
      <c r="DD830" t="str">
        <f>""</f>
        <v/>
      </c>
      <c r="DE830" t="str">
        <f>""</f>
        <v/>
      </c>
      <c r="DF830" t="str">
        <f>""</f>
        <v/>
      </c>
      <c r="DG830" t="str">
        <f>""</f>
        <v/>
      </c>
      <c r="DH830" t="str">
        <f>""</f>
        <v/>
      </c>
      <c r="DI830" t="str">
        <f>""</f>
        <v/>
      </c>
      <c r="DJ830" t="str">
        <f>""</f>
        <v/>
      </c>
      <c r="DK830" t="str">
        <f>""</f>
        <v/>
      </c>
      <c r="DL830" t="str">
        <f>""</f>
        <v/>
      </c>
      <c r="DM830" t="str">
        <f>""</f>
        <v/>
      </c>
      <c r="DN830" t="str">
        <f>""</f>
        <v/>
      </c>
      <c r="DO830" t="str">
        <f>""</f>
        <v/>
      </c>
      <c r="DP830" t="str">
        <f>""</f>
        <v/>
      </c>
      <c r="DQ830" t="str">
        <f>""</f>
        <v/>
      </c>
      <c r="DR830" t="str">
        <f>""</f>
        <v/>
      </c>
      <c r="DS830" t="str">
        <f>""</f>
        <v/>
      </c>
      <c r="DT830" t="str">
        <f>""</f>
        <v/>
      </c>
      <c r="DU830" t="str">
        <f>""</f>
        <v/>
      </c>
    </row>
    <row r="831" spans="1:125" x14ac:dyDescent="0.25">
      <c r="A831" t="str">
        <f>$A$329</f>
        <v xml:space="preserve">    Volkswagen AG</v>
      </c>
      <c r="B831" t="str">
        <f>$B$329</f>
        <v>VOW GR Equity</v>
      </c>
      <c r="C831" t="str">
        <f>$C$329</f>
        <v>RR179</v>
      </c>
      <c r="D831" t="str">
        <f>$D$329</f>
        <v>TANGIBLE_COMMON_EQUITY</v>
      </c>
      <c r="E831" t="str">
        <f>$E$329</f>
        <v>Dynamic</v>
      </c>
      <c r="F831" t="str">
        <f ca="1">_xll.BDH($B$329,$C$329,$B$509,$B$510,CONCATENATE("Per=",$B$507),"Dts=H","Dir=H",CONCATENATE("Points=",$B$508),"Sort=R","Days=A","Fill=B",CONCATENATE("FX=", $B$506) )</f>
        <v>#N/A Connection</v>
      </c>
      <c r="BN831" t="str">
        <f>""</f>
        <v/>
      </c>
      <c r="BO831" t="str">
        <f>""</f>
        <v/>
      </c>
      <c r="BP831" t="str">
        <f>""</f>
        <v/>
      </c>
      <c r="BQ831" t="str">
        <f>""</f>
        <v/>
      </c>
      <c r="BR831" t="str">
        <f>""</f>
        <v/>
      </c>
      <c r="BS831" t="str">
        <f>""</f>
        <v/>
      </c>
      <c r="BT831" t="str">
        <f>""</f>
        <v/>
      </c>
      <c r="BU831" t="str">
        <f>""</f>
        <v/>
      </c>
      <c r="BV831" t="str">
        <f>""</f>
        <v/>
      </c>
      <c r="BW831" t="str">
        <f>""</f>
        <v/>
      </c>
      <c r="BX831" t="str">
        <f>""</f>
        <v/>
      </c>
      <c r="BY831" t="str">
        <f>""</f>
        <v/>
      </c>
      <c r="BZ831" t="str">
        <f>""</f>
        <v/>
      </c>
      <c r="CA831" t="str">
        <f>""</f>
        <v/>
      </c>
      <c r="CB831" t="str">
        <f>""</f>
        <v/>
      </c>
      <c r="CC831" t="str">
        <f>""</f>
        <v/>
      </c>
      <c r="CD831" t="str">
        <f>""</f>
        <v/>
      </c>
      <c r="CE831" t="str">
        <f>""</f>
        <v/>
      </c>
      <c r="CF831" t="str">
        <f>""</f>
        <v/>
      </c>
      <c r="CG831" t="str">
        <f>""</f>
        <v/>
      </c>
      <c r="CH831" t="str">
        <f>""</f>
        <v/>
      </c>
      <c r="CI831" t="str">
        <f>""</f>
        <v/>
      </c>
      <c r="CJ831" t="str">
        <f>""</f>
        <v/>
      </c>
      <c r="CK831" t="str">
        <f>""</f>
        <v/>
      </c>
      <c r="CL831" t="str">
        <f>""</f>
        <v/>
      </c>
      <c r="CM831" t="str">
        <f>""</f>
        <v/>
      </c>
      <c r="CN831" t="str">
        <f>""</f>
        <v/>
      </c>
      <c r="CO831" t="str">
        <f>""</f>
        <v/>
      </c>
      <c r="CP831" t="str">
        <f>""</f>
        <v/>
      </c>
      <c r="CQ831" t="str">
        <f>""</f>
        <v/>
      </c>
      <c r="CR831" t="str">
        <f>""</f>
        <v/>
      </c>
      <c r="CS831" t="str">
        <f>""</f>
        <v/>
      </c>
      <c r="CT831" t="str">
        <f>""</f>
        <v/>
      </c>
      <c r="CU831" t="str">
        <f>""</f>
        <v/>
      </c>
      <c r="CV831" t="str">
        <f>""</f>
        <v/>
      </c>
      <c r="CW831" t="str">
        <f>""</f>
        <v/>
      </c>
      <c r="CX831" t="str">
        <f>""</f>
        <v/>
      </c>
      <c r="CY831" t="str">
        <f>""</f>
        <v/>
      </c>
      <c r="CZ831" t="str">
        <f>""</f>
        <v/>
      </c>
      <c r="DA831" t="str">
        <f>""</f>
        <v/>
      </c>
      <c r="DB831" t="str">
        <f>""</f>
        <v/>
      </c>
      <c r="DC831" t="str">
        <f>""</f>
        <v/>
      </c>
      <c r="DD831" t="str">
        <f>""</f>
        <v/>
      </c>
      <c r="DE831" t="str">
        <f>""</f>
        <v/>
      </c>
      <c r="DF831" t="str">
        <f>""</f>
        <v/>
      </c>
      <c r="DG831" t="str">
        <f>""</f>
        <v/>
      </c>
      <c r="DH831" t="str">
        <f>""</f>
        <v/>
      </c>
      <c r="DI831" t="str">
        <f>""</f>
        <v/>
      </c>
      <c r="DJ831" t="str">
        <f>""</f>
        <v/>
      </c>
      <c r="DK831" t="str">
        <f>""</f>
        <v/>
      </c>
      <c r="DL831" t="str">
        <f>""</f>
        <v/>
      </c>
      <c r="DM831" t="str">
        <f>""</f>
        <v/>
      </c>
      <c r="DN831" t="str">
        <f>""</f>
        <v/>
      </c>
      <c r="DO831" t="str">
        <f>""</f>
        <v/>
      </c>
      <c r="DP831" t="str">
        <f>""</f>
        <v/>
      </c>
      <c r="DQ831" t="str">
        <f>""</f>
        <v/>
      </c>
      <c r="DR831" t="str">
        <f>""</f>
        <v/>
      </c>
      <c r="DS831" t="str">
        <f>""</f>
        <v/>
      </c>
      <c r="DT831" t="str">
        <f>""</f>
        <v/>
      </c>
      <c r="DU831" t="str">
        <f>""</f>
        <v/>
      </c>
    </row>
    <row r="832" spans="1:125" x14ac:dyDescent="0.25">
      <c r="A832" t="str">
        <f>$A$330</f>
        <v xml:space="preserve">    Yulon Motor Co Ltd</v>
      </c>
      <c r="B832" t="str">
        <f>$B$330</f>
        <v>2201 TT Equity</v>
      </c>
      <c r="C832" t="str">
        <f>$C$330</f>
        <v>RR179</v>
      </c>
      <c r="D832" t="str">
        <f>$D$330</f>
        <v>TANGIBLE_COMMON_EQUITY</v>
      </c>
      <c r="E832" t="str">
        <f>$E$330</f>
        <v>Dynamic</v>
      </c>
      <c r="F832" t="str">
        <f ca="1">_xll.BDH($B$330,$C$330,$B$509,$B$510,CONCATENATE("Per=",$B$507),"Dts=H","Dir=H",CONCATENATE("Points=",$B$508),"Sort=R","Days=A","Fill=B",CONCATENATE("FX=", $B$506) )</f>
        <v>#N/A Connection</v>
      </c>
      <c r="BN832" t="str">
        <f>""</f>
        <v/>
      </c>
      <c r="BO832" t="str">
        <f>""</f>
        <v/>
      </c>
      <c r="BP832" t="str">
        <f>""</f>
        <v/>
      </c>
      <c r="BQ832" t="str">
        <f>""</f>
        <v/>
      </c>
      <c r="BR832" t="str">
        <f>""</f>
        <v/>
      </c>
      <c r="BS832" t="str">
        <f>""</f>
        <v/>
      </c>
      <c r="BT832" t="str">
        <f>""</f>
        <v/>
      </c>
      <c r="BU832" t="str">
        <f>""</f>
        <v/>
      </c>
      <c r="BV832" t="str">
        <f>""</f>
        <v/>
      </c>
      <c r="BW832" t="str">
        <f>""</f>
        <v/>
      </c>
      <c r="BX832" t="str">
        <f>""</f>
        <v/>
      </c>
      <c r="BY832" t="str">
        <f>""</f>
        <v/>
      </c>
      <c r="BZ832" t="str">
        <f>""</f>
        <v/>
      </c>
      <c r="CA832" t="str">
        <f>""</f>
        <v/>
      </c>
      <c r="CB832" t="str">
        <f>""</f>
        <v/>
      </c>
      <c r="CC832" t="str">
        <f>""</f>
        <v/>
      </c>
      <c r="CD832" t="str">
        <f>""</f>
        <v/>
      </c>
      <c r="CE832" t="str">
        <f>""</f>
        <v/>
      </c>
      <c r="CF832" t="str">
        <f>""</f>
        <v/>
      </c>
      <c r="CG832" t="str">
        <f>""</f>
        <v/>
      </c>
      <c r="CH832" t="str">
        <f>""</f>
        <v/>
      </c>
      <c r="CI832" t="str">
        <f>""</f>
        <v/>
      </c>
      <c r="CJ832" t="str">
        <f>""</f>
        <v/>
      </c>
      <c r="CK832" t="str">
        <f>""</f>
        <v/>
      </c>
      <c r="CL832" t="str">
        <f>""</f>
        <v/>
      </c>
      <c r="CM832" t="str">
        <f>""</f>
        <v/>
      </c>
      <c r="CN832" t="str">
        <f>""</f>
        <v/>
      </c>
      <c r="CO832" t="str">
        <f>""</f>
        <v/>
      </c>
      <c r="CP832" t="str">
        <f>""</f>
        <v/>
      </c>
      <c r="CQ832" t="str">
        <f>""</f>
        <v/>
      </c>
      <c r="CR832" t="str">
        <f>""</f>
        <v/>
      </c>
      <c r="CS832" t="str">
        <f>""</f>
        <v/>
      </c>
      <c r="CT832" t="str">
        <f>""</f>
        <v/>
      </c>
      <c r="CU832" t="str">
        <f>""</f>
        <v/>
      </c>
      <c r="CV832" t="str">
        <f>""</f>
        <v/>
      </c>
      <c r="CW832" t="str">
        <f>""</f>
        <v/>
      </c>
      <c r="CX832" t="str">
        <f>""</f>
        <v/>
      </c>
      <c r="CY832" t="str">
        <f>""</f>
        <v/>
      </c>
      <c r="CZ832" t="str">
        <f>""</f>
        <v/>
      </c>
      <c r="DA832" t="str">
        <f>""</f>
        <v/>
      </c>
      <c r="DB832" t="str">
        <f>""</f>
        <v/>
      </c>
      <c r="DC832" t="str">
        <f>""</f>
        <v/>
      </c>
      <c r="DD832" t="str">
        <f>""</f>
        <v/>
      </c>
      <c r="DE832" t="str">
        <f>""</f>
        <v/>
      </c>
      <c r="DF832" t="str">
        <f>""</f>
        <v/>
      </c>
      <c r="DG832" t="str">
        <f>""</f>
        <v/>
      </c>
      <c r="DH832" t="str">
        <f>""</f>
        <v/>
      </c>
      <c r="DI832" t="str">
        <f>""</f>
        <v/>
      </c>
      <c r="DJ832" t="str">
        <f>""</f>
        <v/>
      </c>
      <c r="DK832" t="str">
        <f>""</f>
        <v/>
      </c>
      <c r="DL832" t="str">
        <f>""</f>
        <v/>
      </c>
      <c r="DM832" t="str">
        <f>""</f>
        <v/>
      </c>
      <c r="DN832" t="str">
        <f>""</f>
        <v/>
      </c>
      <c r="DO832" t="str">
        <f>""</f>
        <v/>
      </c>
      <c r="DP832" t="str">
        <f>""</f>
        <v/>
      </c>
      <c r="DQ832" t="str">
        <f>""</f>
        <v/>
      </c>
      <c r="DR832" t="str">
        <f>""</f>
        <v/>
      </c>
      <c r="DS832" t="str">
        <f>""</f>
        <v/>
      </c>
      <c r="DT832" t="str">
        <f>""</f>
        <v/>
      </c>
      <c r="DU832" t="str">
        <f>""</f>
        <v/>
      </c>
    </row>
    <row r="833" spans="1:125" x14ac:dyDescent="0.25">
      <c r="A833" t="str">
        <f>$A$332</f>
        <v xml:space="preserve">    AUDI AG</v>
      </c>
      <c r="B833" t="str">
        <f>$B$332</f>
        <v>NSU GR Equity</v>
      </c>
      <c r="C833" t="str">
        <f>$C$332</f>
        <v>RX530</v>
      </c>
      <c r="D833" t="str">
        <f>$D$332</f>
        <v>T12M_DVDS_PAID</v>
      </c>
      <c r="E833" t="str">
        <f>$E$332</f>
        <v>Dynamic</v>
      </c>
      <c r="F833" t="str">
        <f ca="1">_xll.BDH($B$332,$C$332,$B$509,$B$510,CONCATENATE("Per=",$B$507),"Dts=H","Dir=H",CONCATENATE("Points=",$B$508),"Sort=R","Days=A","Fill=B",CONCATENATE("FX=", $B$506) )</f>
        <v>#N/A Connection</v>
      </c>
      <c r="BN833" t="str">
        <f>""</f>
        <v/>
      </c>
      <c r="BO833" t="str">
        <f>""</f>
        <v/>
      </c>
      <c r="BP833" t="str">
        <f>""</f>
        <v/>
      </c>
      <c r="BQ833" t="str">
        <f>""</f>
        <v/>
      </c>
      <c r="BR833" t="str">
        <f>""</f>
        <v/>
      </c>
      <c r="BS833" t="str">
        <f>""</f>
        <v/>
      </c>
      <c r="BT833" t="str">
        <f>""</f>
        <v/>
      </c>
      <c r="BU833" t="str">
        <f>""</f>
        <v/>
      </c>
      <c r="BV833" t="str">
        <f>""</f>
        <v/>
      </c>
      <c r="BW833" t="str">
        <f>""</f>
        <v/>
      </c>
      <c r="BX833" t="str">
        <f>""</f>
        <v/>
      </c>
      <c r="BY833" t="str">
        <f>""</f>
        <v/>
      </c>
      <c r="BZ833" t="str">
        <f>""</f>
        <v/>
      </c>
      <c r="CA833" t="str">
        <f>""</f>
        <v/>
      </c>
      <c r="CB833" t="str">
        <f>""</f>
        <v/>
      </c>
      <c r="CC833" t="str">
        <f>""</f>
        <v/>
      </c>
      <c r="CD833" t="str">
        <f>""</f>
        <v/>
      </c>
      <c r="CE833" t="str">
        <f>""</f>
        <v/>
      </c>
      <c r="CF833" t="str">
        <f>""</f>
        <v/>
      </c>
      <c r="CG833" t="str">
        <f>""</f>
        <v/>
      </c>
      <c r="CH833" t="str">
        <f>""</f>
        <v/>
      </c>
      <c r="CI833" t="str">
        <f>""</f>
        <v/>
      </c>
      <c r="CJ833" t="str">
        <f>""</f>
        <v/>
      </c>
      <c r="CK833" t="str">
        <f>""</f>
        <v/>
      </c>
      <c r="CL833" t="str">
        <f>""</f>
        <v/>
      </c>
      <c r="CM833" t="str">
        <f>""</f>
        <v/>
      </c>
      <c r="CN833" t="str">
        <f>""</f>
        <v/>
      </c>
      <c r="CO833" t="str">
        <f>""</f>
        <v/>
      </c>
      <c r="CP833" t="str">
        <f>""</f>
        <v/>
      </c>
      <c r="CQ833" t="str">
        <f>""</f>
        <v/>
      </c>
      <c r="CR833" t="str">
        <f>""</f>
        <v/>
      </c>
      <c r="CS833" t="str">
        <f>""</f>
        <v/>
      </c>
      <c r="CT833" t="str">
        <f>""</f>
        <v/>
      </c>
      <c r="CU833" t="str">
        <f>""</f>
        <v/>
      </c>
      <c r="CV833" t="str">
        <f>""</f>
        <v/>
      </c>
      <c r="CW833" t="str">
        <f>""</f>
        <v/>
      </c>
      <c r="CX833" t="str">
        <f>""</f>
        <v/>
      </c>
      <c r="CY833" t="str">
        <f>""</f>
        <v/>
      </c>
      <c r="CZ833" t="str">
        <f>""</f>
        <v/>
      </c>
      <c r="DA833" t="str">
        <f>""</f>
        <v/>
      </c>
      <c r="DB833" t="str">
        <f>""</f>
        <v/>
      </c>
      <c r="DC833" t="str">
        <f>""</f>
        <v/>
      </c>
      <c r="DD833" t="str">
        <f>""</f>
        <v/>
      </c>
      <c r="DE833" t="str">
        <f>""</f>
        <v/>
      </c>
      <c r="DF833" t="str">
        <f>""</f>
        <v/>
      </c>
      <c r="DG833" t="str">
        <f>""</f>
        <v/>
      </c>
      <c r="DH833" t="str">
        <f>""</f>
        <v/>
      </c>
      <c r="DI833" t="str">
        <f>""</f>
        <v/>
      </c>
      <c r="DJ833" t="str">
        <f>""</f>
        <v/>
      </c>
      <c r="DK833" t="str">
        <f>""</f>
        <v/>
      </c>
      <c r="DL833" t="str">
        <f>""</f>
        <v/>
      </c>
      <c r="DM833" t="str">
        <f>""</f>
        <v/>
      </c>
      <c r="DN833" t="str">
        <f>""</f>
        <v/>
      </c>
      <c r="DO833" t="str">
        <f>""</f>
        <v/>
      </c>
      <c r="DP833" t="str">
        <f>""</f>
        <v/>
      </c>
      <c r="DQ833" t="str">
        <f>""</f>
        <v/>
      </c>
      <c r="DR833" t="str">
        <f>""</f>
        <v/>
      </c>
      <c r="DS833" t="str">
        <f>""</f>
        <v/>
      </c>
      <c r="DT833" t="str">
        <f>""</f>
        <v/>
      </c>
      <c r="DU833" t="str">
        <f>""</f>
        <v/>
      </c>
    </row>
    <row r="834" spans="1:125" x14ac:dyDescent="0.25">
      <c r="A834" t="str">
        <f>$A$333</f>
        <v xml:space="preserve">    Avtovaz PJSC</v>
      </c>
      <c r="B834" t="str">
        <f>$B$333</f>
        <v>AVAZ RM Equity</v>
      </c>
      <c r="C834" t="str">
        <f>$C$333</f>
        <v>RX530</v>
      </c>
      <c r="D834" t="str">
        <f>$D$333</f>
        <v>T12M_DVDS_PAID</v>
      </c>
      <c r="E834" t="str">
        <f>$E$333</f>
        <v>Dynamic</v>
      </c>
      <c r="F834" t="str">
        <f ca="1">_xll.BDH($B$333,$C$333,$B$509,$B$510,CONCATENATE("Per=",$B$507),"Dts=H","Dir=H",CONCATENATE("Points=",$B$508),"Sort=R","Days=A","Fill=B",CONCATENATE("FX=", $B$506) )</f>
        <v>#N/A Connection</v>
      </c>
      <c r="BN834" t="str">
        <f>""</f>
        <v/>
      </c>
      <c r="BO834" t="str">
        <f>""</f>
        <v/>
      </c>
      <c r="BP834" t="str">
        <f>""</f>
        <v/>
      </c>
      <c r="BQ834" t="str">
        <f>""</f>
        <v/>
      </c>
      <c r="BR834" t="str">
        <f>""</f>
        <v/>
      </c>
      <c r="BS834" t="str">
        <f>""</f>
        <v/>
      </c>
      <c r="BT834" t="str">
        <f>""</f>
        <v/>
      </c>
      <c r="BU834" t="str">
        <f>""</f>
        <v/>
      </c>
      <c r="BV834" t="str">
        <f>""</f>
        <v/>
      </c>
      <c r="BW834" t="str">
        <f>""</f>
        <v/>
      </c>
      <c r="BX834" t="str">
        <f>""</f>
        <v/>
      </c>
      <c r="BY834" t="str">
        <f>""</f>
        <v/>
      </c>
      <c r="BZ834" t="str">
        <f>""</f>
        <v/>
      </c>
      <c r="CA834" t="str">
        <f>""</f>
        <v/>
      </c>
      <c r="CB834" t="str">
        <f>""</f>
        <v/>
      </c>
      <c r="CC834" t="str">
        <f>""</f>
        <v/>
      </c>
      <c r="CD834" t="str">
        <f>""</f>
        <v/>
      </c>
      <c r="CE834" t="str">
        <f>""</f>
        <v/>
      </c>
      <c r="CF834" t="str">
        <f>""</f>
        <v/>
      </c>
      <c r="CG834" t="str">
        <f>""</f>
        <v/>
      </c>
      <c r="CH834" t="str">
        <f>""</f>
        <v/>
      </c>
      <c r="CI834" t="str">
        <f>""</f>
        <v/>
      </c>
      <c r="CJ834" t="str">
        <f>""</f>
        <v/>
      </c>
      <c r="CK834" t="str">
        <f>""</f>
        <v/>
      </c>
      <c r="CL834" t="str">
        <f>""</f>
        <v/>
      </c>
      <c r="CM834" t="str">
        <f>""</f>
        <v/>
      </c>
      <c r="CN834" t="str">
        <f>""</f>
        <v/>
      </c>
      <c r="CO834" t="str">
        <f>""</f>
        <v/>
      </c>
      <c r="CP834" t="str">
        <f>""</f>
        <v/>
      </c>
      <c r="CQ834" t="str">
        <f>""</f>
        <v/>
      </c>
      <c r="CR834" t="str">
        <f>""</f>
        <v/>
      </c>
      <c r="CS834" t="str">
        <f>""</f>
        <v/>
      </c>
      <c r="CT834" t="str">
        <f>""</f>
        <v/>
      </c>
      <c r="CU834" t="str">
        <f>""</f>
        <v/>
      </c>
      <c r="CV834" t="str">
        <f>""</f>
        <v/>
      </c>
      <c r="CW834" t="str">
        <f>""</f>
        <v/>
      </c>
      <c r="CX834" t="str">
        <f>""</f>
        <v/>
      </c>
      <c r="CY834" t="str">
        <f>""</f>
        <v/>
      </c>
      <c r="CZ834" t="str">
        <f>""</f>
        <v/>
      </c>
      <c r="DA834" t="str">
        <f>""</f>
        <v/>
      </c>
      <c r="DB834" t="str">
        <f>""</f>
        <v/>
      </c>
      <c r="DC834" t="str">
        <f>""</f>
        <v/>
      </c>
      <c r="DD834" t="str">
        <f>""</f>
        <v/>
      </c>
      <c r="DE834" t="str">
        <f>""</f>
        <v/>
      </c>
      <c r="DF834" t="str">
        <f>""</f>
        <v/>
      </c>
      <c r="DG834" t="str">
        <f>""</f>
        <v/>
      </c>
      <c r="DH834" t="str">
        <f>""</f>
        <v/>
      </c>
      <c r="DI834" t="str">
        <f>""</f>
        <v/>
      </c>
      <c r="DJ834" t="str">
        <f>""</f>
        <v/>
      </c>
      <c r="DK834" t="str">
        <f>""</f>
        <v/>
      </c>
      <c r="DL834" t="str">
        <f>""</f>
        <v/>
      </c>
      <c r="DM834" t="str">
        <f>""</f>
        <v/>
      </c>
      <c r="DN834" t="str">
        <f>""</f>
        <v/>
      </c>
      <c r="DO834" t="str">
        <f>""</f>
        <v/>
      </c>
      <c r="DP834" t="str">
        <f>""</f>
        <v/>
      </c>
      <c r="DQ834" t="str">
        <f>""</f>
        <v/>
      </c>
      <c r="DR834" t="str">
        <f>""</f>
        <v/>
      </c>
      <c r="DS834" t="str">
        <f>""</f>
        <v/>
      </c>
      <c r="DT834" t="str">
        <f>""</f>
        <v/>
      </c>
      <c r="DU834" t="str">
        <f>""</f>
        <v/>
      </c>
    </row>
    <row r="835" spans="1:125" x14ac:dyDescent="0.25">
      <c r="A835" t="str">
        <f>$A$334</f>
        <v xml:space="preserve">    Bayerische Motoren Werke AG</v>
      </c>
      <c r="B835" t="str">
        <f>$B$334</f>
        <v>BMW GR Equity</v>
      </c>
      <c r="C835" t="str">
        <f>$C$334</f>
        <v>RX530</v>
      </c>
      <c r="D835" t="str">
        <f>$D$334</f>
        <v>T12M_DVDS_PAID</v>
      </c>
      <c r="E835" t="str">
        <f>$E$334</f>
        <v>Dynamic</v>
      </c>
      <c r="F835" t="str">
        <f ca="1">_xll.BDH($B$334,$C$334,$B$509,$B$510,CONCATENATE("Per=",$B$507),"Dts=H","Dir=H",CONCATENATE("Points=",$B$508),"Sort=R","Days=A","Fill=B",CONCATENATE("FX=", $B$506) )</f>
        <v>#N/A Connection</v>
      </c>
      <c r="BN835" t="str">
        <f>""</f>
        <v/>
      </c>
      <c r="BO835" t="str">
        <f>""</f>
        <v/>
      </c>
      <c r="BP835" t="str">
        <f>""</f>
        <v/>
      </c>
      <c r="BQ835" t="str">
        <f>""</f>
        <v/>
      </c>
      <c r="BR835" t="str">
        <f>""</f>
        <v/>
      </c>
      <c r="BS835" t="str">
        <f>""</f>
        <v/>
      </c>
      <c r="BT835" t="str">
        <f>""</f>
        <v/>
      </c>
      <c r="BU835" t="str">
        <f>""</f>
        <v/>
      </c>
      <c r="BV835" t="str">
        <f>""</f>
        <v/>
      </c>
      <c r="BW835" t="str">
        <f>""</f>
        <v/>
      </c>
      <c r="BX835" t="str">
        <f>""</f>
        <v/>
      </c>
      <c r="BY835" t="str">
        <f>""</f>
        <v/>
      </c>
      <c r="BZ835" t="str">
        <f>""</f>
        <v/>
      </c>
      <c r="CA835" t="str">
        <f>""</f>
        <v/>
      </c>
      <c r="CB835" t="str">
        <f>""</f>
        <v/>
      </c>
      <c r="CC835" t="str">
        <f>""</f>
        <v/>
      </c>
      <c r="CD835" t="str">
        <f>""</f>
        <v/>
      </c>
      <c r="CE835" t="str">
        <f>""</f>
        <v/>
      </c>
      <c r="CF835" t="str">
        <f>""</f>
        <v/>
      </c>
      <c r="CG835" t="str">
        <f>""</f>
        <v/>
      </c>
      <c r="CH835" t="str">
        <f>""</f>
        <v/>
      </c>
      <c r="CI835" t="str">
        <f>""</f>
        <v/>
      </c>
      <c r="CJ835" t="str">
        <f>""</f>
        <v/>
      </c>
      <c r="CK835" t="str">
        <f>""</f>
        <v/>
      </c>
      <c r="CL835" t="str">
        <f>""</f>
        <v/>
      </c>
      <c r="CM835" t="str">
        <f>""</f>
        <v/>
      </c>
      <c r="CN835" t="str">
        <f>""</f>
        <v/>
      </c>
      <c r="CO835" t="str">
        <f>""</f>
        <v/>
      </c>
      <c r="CP835" t="str">
        <f>""</f>
        <v/>
      </c>
      <c r="CQ835" t="str">
        <f>""</f>
        <v/>
      </c>
      <c r="CR835" t="str">
        <f>""</f>
        <v/>
      </c>
      <c r="CS835" t="str">
        <f>""</f>
        <v/>
      </c>
      <c r="CT835" t="str">
        <f>""</f>
        <v/>
      </c>
      <c r="CU835" t="str">
        <f>""</f>
        <v/>
      </c>
      <c r="CV835" t="str">
        <f>""</f>
        <v/>
      </c>
      <c r="CW835" t="str">
        <f>""</f>
        <v/>
      </c>
      <c r="CX835" t="str">
        <f>""</f>
        <v/>
      </c>
      <c r="CY835" t="str">
        <f>""</f>
        <v/>
      </c>
      <c r="CZ835" t="str">
        <f>""</f>
        <v/>
      </c>
      <c r="DA835" t="str">
        <f>""</f>
        <v/>
      </c>
      <c r="DB835" t="str">
        <f>""</f>
        <v/>
      </c>
      <c r="DC835" t="str">
        <f>""</f>
        <v/>
      </c>
      <c r="DD835" t="str">
        <f>""</f>
        <v/>
      </c>
      <c r="DE835" t="str">
        <f>""</f>
        <v/>
      </c>
      <c r="DF835" t="str">
        <f>""</f>
        <v/>
      </c>
      <c r="DG835" t="str">
        <f>""</f>
        <v/>
      </c>
      <c r="DH835" t="str">
        <f>""</f>
        <v/>
      </c>
      <c r="DI835" t="str">
        <f>""</f>
        <v/>
      </c>
      <c r="DJ835" t="str">
        <f>""</f>
        <v/>
      </c>
      <c r="DK835" t="str">
        <f>""</f>
        <v/>
      </c>
      <c r="DL835" t="str">
        <f>""</f>
        <v/>
      </c>
      <c r="DM835" t="str">
        <f>""</f>
        <v/>
      </c>
      <c r="DN835" t="str">
        <f>""</f>
        <v/>
      </c>
      <c r="DO835" t="str">
        <f>""</f>
        <v/>
      </c>
      <c r="DP835" t="str">
        <f>""</f>
        <v/>
      </c>
      <c r="DQ835" t="str">
        <f>""</f>
        <v/>
      </c>
      <c r="DR835" t="str">
        <f>""</f>
        <v/>
      </c>
      <c r="DS835" t="str">
        <f>""</f>
        <v/>
      </c>
      <c r="DT835" t="str">
        <f>""</f>
        <v/>
      </c>
      <c r="DU835" t="str">
        <f>""</f>
        <v/>
      </c>
    </row>
    <row r="836" spans="1:125" x14ac:dyDescent="0.25">
      <c r="A836" t="str">
        <f>$A$335</f>
        <v xml:space="preserve">    Brilliance China Automotive Holdings Ltd</v>
      </c>
      <c r="B836" t="str">
        <f>$B$335</f>
        <v>1114 HK Equity</v>
      </c>
      <c r="C836" t="str">
        <f>$C$335</f>
        <v>RX530</v>
      </c>
      <c r="D836" t="str">
        <f>$D$335</f>
        <v>T12M_DVDS_PAID</v>
      </c>
      <c r="E836" t="str">
        <f>$E$335</f>
        <v>Dynamic</v>
      </c>
      <c r="F836" t="str">
        <f ca="1">_xll.BDH($B$335,$C$335,$B$509,$B$510,CONCATENATE("Per=",$B$507),"Dts=H","Dir=H",CONCATENATE("Points=",$B$508),"Sort=R","Days=A","Fill=B",CONCATENATE("FX=", $B$506) )</f>
        <v>#N/A Connection</v>
      </c>
      <c r="BN836" t="str">
        <f>""</f>
        <v/>
      </c>
      <c r="BO836" t="str">
        <f>""</f>
        <v/>
      </c>
      <c r="BP836" t="str">
        <f>""</f>
        <v/>
      </c>
      <c r="BQ836" t="str">
        <f>""</f>
        <v/>
      </c>
      <c r="BR836" t="str">
        <f>""</f>
        <v/>
      </c>
      <c r="BS836" t="str">
        <f>""</f>
        <v/>
      </c>
      <c r="BT836" t="str">
        <f>""</f>
        <v/>
      </c>
      <c r="BU836" t="str">
        <f>""</f>
        <v/>
      </c>
      <c r="BV836" t="str">
        <f>""</f>
        <v/>
      </c>
      <c r="BW836" t="str">
        <f>""</f>
        <v/>
      </c>
      <c r="BX836" t="str">
        <f>""</f>
        <v/>
      </c>
      <c r="BY836" t="str">
        <f>""</f>
        <v/>
      </c>
      <c r="BZ836" t="str">
        <f>""</f>
        <v/>
      </c>
      <c r="CA836" t="str">
        <f>""</f>
        <v/>
      </c>
      <c r="CB836" t="str">
        <f>""</f>
        <v/>
      </c>
      <c r="CC836" t="str">
        <f>""</f>
        <v/>
      </c>
      <c r="CD836" t="str">
        <f>""</f>
        <v/>
      </c>
      <c r="CE836" t="str">
        <f>""</f>
        <v/>
      </c>
      <c r="CF836" t="str">
        <f>""</f>
        <v/>
      </c>
      <c r="CG836" t="str">
        <f>""</f>
        <v/>
      </c>
      <c r="CH836" t="str">
        <f>""</f>
        <v/>
      </c>
      <c r="CI836" t="str">
        <f>""</f>
        <v/>
      </c>
      <c r="CJ836" t="str">
        <f>""</f>
        <v/>
      </c>
      <c r="CK836" t="str">
        <f>""</f>
        <v/>
      </c>
      <c r="CL836" t="str">
        <f>""</f>
        <v/>
      </c>
      <c r="CM836" t="str">
        <f>""</f>
        <v/>
      </c>
      <c r="CN836" t="str">
        <f>""</f>
        <v/>
      </c>
      <c r="CO836" t="str">
        <f>""</f>
        <v/>
      </c>
      <c r="CP836" t="str">
        <f>""</f>
        <v/>
      </c>
      <c r="CQ836" t="str">
        <f>""</f>
        <v/>
      </c>
      <c r="CR836" t="str">
        <f>""</f>
        <v/>
      </c>
      <c r="CS836" t="str">
        <f>""</f>
        <v/>
      </c>
      <c r="CT836" t="str">
        <f>""</f>
        <v/>
      </c>
      <c r="CU836" t="str">
        <f>""</f>
        <v/>
      </c>
      <c r="CV836" t="str">
        <f>""</f>
        <v/>
      </c>
      <c r="CW836" t="str">
        <f>""</f>
        <v/>
      </c>
      <c r="CX836" t="str">
        <f>""</f>
        <v/>
      </c>
      <c r="CY836" t="str">
        <f>""</f>
        <v/>
      </c>
      <c r="CZ836" t="str">
        <f>""</f>
        <v/>
      </c>
      <c r="DA836" t="str">
        <f>""</f>
        <v/>
      </c>
      <c r="DB836" t="str">
        <f>""</f>
        <v/>
      </c>
      <c r="DC836" t="str">
        <f>""</f>
        <v/>
      </c>
      <c r="DD836" t="str">
        <f>""</f>
        <v/>
      </c>
      <c r="DE836" t="str">
        <f>""</f>
        <v/>
      </c>
      <c r="DF836" t="str">
        <f>""</f>
        <v/>
      </c>
      <c r="DG836" t="str">
        <f>""</f>
        <v/>
      </c>
      <c r="DH836" t="str">
        <f>""</f>
        <v/>
      </c>
      <c r="DI836" t="str">
        <f>""</f>
        <v/>
      </c>
      <c r="DJ836" t="str">
        <f>""</f>
        <v/>
      </c>
      <c r="DK836" t="str">
        <f>""</f>
        <v/>
      </c>
      <c r="DL836" t="str">
        <f>""</f>
        <v/>
      </c>
      <c r="DM836" t="str">
        <f>""</f>
        <v/>
      </c>
      <c r="DN836" t="str">
        <f>""</f>
        <v/>
      </c>
      <c r="DO836" t="str">
        <f>""</f>
        <v/>
      </c>
      <c r="DP836" t="str">
        <f>""</f>
        <v/>
      </c>
      <c r="DQ836" t="str">
        <f>""</f>
        <v/>
      </c>
      <c r="DR836" t="str">
        <f>""</f>
        <v/>
      </c>
      <c r="DS836" t="str">
        <f>""</f>
        <v/>
      </c>
      <c r="DT836" t="str">
        <f>""</f>
        <v/>
      </c>
      <c r="DU836" t="str">
        <f>""</f>
        <v/>
      </c>
    </row>
    <row r="837" spans="1:125" x14ac:dyDescent="0.25">
      <c r="A837" t="str">
        <f>$A$336</f>
        <v xml:space="preserve">    BYD Co Ltd</v>
      </c>
      <c r="B837" t="str">
        <f>$B$336</f>
        <v>1211 HK Equity</v>
      </c>
      <c r="C837" t="str">
        <f>$C$336</f>
        <v>RX530</v>
      </c>
      <c r="D837" t="str">
        <f>$D$336</f>
        <v>T12M_DVDS_PAID</v>
      </c>
      <c r="E837" t="str">
        <f>$E$336</f>
        <v>Dynamic</v>
      </c>
      <c r="F837" t="str">
        <f ca="1">_xll.BDH($B$336,$C$336,$B$509,$B$510,CONCATENATE("Per=",$B$507),"Dts=H","Dir=H",CONCATENATE("Points=",$B$508),"Sort=R","Days=A","Fill=B",CONCATENATE("FX=", $B$506) )</f>
        <v>#N/A Connection</v>
      </c>
      <c r="BN837" t="str">
        <f>""</f>
        <v/>
      </c>
      <c r="BO837" t="str">
        <f>""</f>
        <v/>
      </c>
      <c r="BP837" t="str">
        <f>""</f>
        <v/>
      </c>
      <c r="BQ837" t="str">
        <f>""</f>
        <v/>
      </c>
      <c r="BR837" t="str">
        <f>""</f>
        <v/>
      </c>
      <c r="BS837" t="str">
        <f>""</f>
        <v/>
      </c>
      <c r="BT837" t="str">
        <f>""</f>
        <v/>
      </c>
      <c r="BU837" t="str">
        <f>""</f>
        <v/>
      </c>
      <c r="BV837" t="str">
        <f>""</f>
        <v/>
      </c>
      <c r="BW837" t="str">
        <f>""</f>
        <v/>
      </c>
      <c r="BX837" t="str">
        <f>""</f>
        <v/>
      </c>
      <c r="BY837" t="str">
        <f>""</f>
        <v/>
      </c>
      <c r="BZ837" t="str">
        <f>""</f>
        <v/>
      </c>
      <c r="CA837" t="str">
        <f>""</f>
        <v/>
      </c>
      <c r="CB837" t="str">
        <f>""</f>
        <v/>
      </c>
      <c r="CC837" t="str">
        <f>""</f>
        <v/>
      </c>
      <c r="CD837" t="str">
        <f>""</f>
        <v/>
      </c>
      <c r="CE837" t="str">
        <f>""</f>
        <v/>
      </c>
      <c r="CF837" t="str">
        <f>""</f>
        <v/>
      </c>
      <c r="CG837" t="str">
        <f>""</f>
        <v/>
      </c>
      <c r="CH837" t="str">
        <f>""</f>
        <v/>
      </c>
      <c r="CI837" t="str">
        <f>""</f>
        <v/>
      </c>
      <c r="CJ837" t="str">
        <f>""</f>
        <v/>
      </c>
      <c r="CK837" t="str">
        <f>""</f>
        <v/>
      </c>
      <c r="CL837" t="str">
        <f>""</f>
        <v/>
      </c>
      <c r="CM837" t="str">
        <f>""</f>
        <v/>
      </c>
      <c r="CN837" t="str">
        <f>""</f>
        <v/>
      </c>
      <c r="CO837" t="str">
        <f>""</f>
        <v/>
      </c>
      <c r="CP837" t="str">
        <f>""</f>
        <v/>
      </c>
      <c r="CQ837" t="str">
        <f>""</f>
        <v/>
      </c>
      <c r="CR837" t="str">
        <f>""</f>
        <v/>
      </c>
      <c r="CS837" t="str">
        <f>""</f>
        <v/>
      </c>
      <c r="CT837" t="str">
        <f>""</f>
        <v/>
      </c>
      <c r="CU837" t="str">
        <f>""</f>
        <v/>
      </c>
      <c r="CV837" t="str">
        <f>""</f>
        <v/>
      </c>
      <c r="CW837" t="str">
        <f>""</f>
        <v/>
      </c>
      <c r="CX837" t="str">
        <f>""</f>
        <v/>
      </c>
      <c r="CY837" t="str">
        <f>""</f>
        <v/>
      </c>
      <c r="CZ837" t="str">
        <f>""</f>
        <v/>
      </c>
      <c r="DA837" t="str">
        <f>""</f>
        <v/>
      </c>
      <c r="DB837" t="str">
        <f>""</f>
        <v/>
      </c>
      <c r="DC837" t="str">
        <f>""</f>
        <v/>
      </c>
      <c r="DD837" t="str">
        <f>""</f>
        <v/>
      </c>
      <c r="DE837" t="str">
        <f>""</f>
        <v/>
      </c>
      <c r="DF837" t="str">
        <f>""</f>
        <v/>
      </c>
      <c r="DG837" t="str">
        <f>""</f>
        <v/>
      </c>
      <c r="DH837" t="str">
        <f>""</f>
        <v/>
      </c>
      <c r="DI837" t="str">
        <f>""</f>
        <v/>
      </c>
      <c r="DJ837" t="str">
        <f>""</f>
        <v/>
      </c>
      <c r="DK837" t="str">
        <f>""</f>
        <v/>
      </c>
      <c r="DL837" t="str">
        <f>""</f>
        <v/>
      </c>
      <c r="DM837" t="str">
        <f>""</f>
        <v/>
      </c>
      <c r="DN837" t="str">
        <f>""</f>
        <v/>
      </c>
      <c r="DO837" t="str">
        <f>""</f>
        <v/>
      </c>
      <c r="DP837" t="str">
        <f>""</f>
        <v/>
      </c>
      <c r="DQ837" t="str">
        <f>""</f>
        <v/>
      </c>
      <c r="DR837" t="str">
        <f>""</f>
        <v/>
      </c>
      <c r="DS837" t="str">
        <f>""</f>
        <v/>
      </c>
      <c r="DT837" t="str">
        <f>""</f>
        <v/>
      </c>
      <c r="DU837" t="str">
        <f>""</f>
        <v/>
      </c>
    </row>
    <row r="838" spans="1:125" x14ac:dyDescent="0.25">
      <c r="A838" t="str">
        <f>$A$337</f>
        <v xml:space="preserve">    Chongqing Changan Automobile Co Ltd</v>
      </c>
      <c r="B838" t="str">
        <f>$B$337</f>
        <v>200625 CH Equity</v>
      </c>
      <c r="C838" t="str">
        <f>$C$337</f>
        <v>RX530</v>
      </c>
      <c r="D838" t="str">
        <f>$D$337</f>
        <v>T12M_DVDS_PAID</v>
      </c>
      <c r="E838" t="str">
        <f>$E$337</f>
        <v>Dynamic</v>
      </c>
      <c r="F838" t="str">
        <f ca="1">_xll.BDH($B$337,$C$337,$B$509,$B$510,CONCATENATE("Per=",$B$507),"Dts=H","Dir=H",CONCATENATE("Points=",$B$508),"Sort=R","Days=A","Fill=B",CONCATENATE("FX=", $B$506) )</f>
        <v>#N/A Connection</v>
      </c>
      <c r="BN838" t="str">
        <f>""</f>
        <v/>
      </c>
      <c r="BO838" t="str">
        <f>""</f>
        <v/>
      </c>
      <c r="BP838" t="str">
        <f>""</f>
        <v/>
      </c>
      <c r="BQ838" t="str">
        <f>""</f>
        <v/>
      </c>
      <c r="BR838" t="str">
        <f>""</f>
        <v/>
      </c>
      <c r="BS838" t="str">
        <f>""</f>
        <v/>
      </c>
      <c r="BT838" t="str">
        <f>""</f>
        <v/>
      </c>
      <c r="BU838" t="str">
        <f>""</f>
        <v/>
      </c>
      <c r="BV838" t="str">
        <f>""</f>
        <v/>
      </c>
      <c r="BW838" t="str">
        <f>""</f>
        <v/>
      </c>
      <c r="BX838" t="str">
        <f>""</f>
        <v/>
      </c>
      <c r="BY838" t="str">
        <f>""</f>
        <v/>
      </c>
      <c r="BZ838" t="str">
        <f>""</f>
        <v/>
      </c>
      <c r="CA838" t="str">
        <f>""</f>
        <v/>
      </c>
      <c r="CB838" t="str">
        <f>""</f>
        <v/>
      </c>
      <c r="CC838" t="str">
        <f>""</f>
        <v/>
      </c>
      <c r="CD838" t="str">
        <f>""</f>
        <v/>
      </c>
      <c r="CE838" t="str">
        <f>""</f>
        <v/>
      </c>
      <c r="CF838" t="str">
        <f>""</f>
        <v/>
      </c>
      <c r="CG838" t="str">
        <f>""</f>
        <v/>
      </c>
      <c r="CH838" t="str">
        <f>""</f>
        <v/>
      </c>
      <c r="CI838" t="str">
        <f>""</f>
        <v/>
      </c>
      <c r="CJ838" t="str">
        <f>""</f>
        <v/>
      </c>
      <c r="CK838" t="str">
        <f>""</f>
        <v/>
      </c>
      <c r="CL838" t="str">
        <f>""</f>
        <v/>
      </c>
      <c r="CM838" t="str">
        <f>""</f>
        <v/>
      </c>
      <c r="CN838" t="str">
        <f>""</f>
        <v/>
      </c>
      <c r="CO838" t="str">
        <f>""</f>
        <v/>
      </c>
      <c r="CP838" t="str">
        <f>""</f>
        <v/>
      </c>
      <c r="CQ838" t="str">
        <f>""</f>
        <v/>
      </c>
      <c r="CR838" t="str">
        <f>""</f>
        <v/>
      </c>
      <c r="CS838" t="str">
        <f>""</f>
        <v/>
      </c>
      <c r="CT838" t="str">
        <f>""</f>
        <v/>
      </c>
      <c r="CU838" t="str">
        <f>""</f>
        <v/>
      </c>
      <c r="CV838" t="str">
        <f>""</f>
        <v/>
      </c>
      <c r="CW838" t="str">
        <f>""</f>
        <v/>
      </c>
      <c r="CX838" t="str">
        <f>""</f>
        <v/>
      </c>
      <c r="CY838" t="str">
        <f>""</f>
        <v/>
      </c>
      <c r="CZ838" t="str">
        <f>""</f>
        <v/>
      </c>
      <c r="DA838" t="str">
        <f>""</f>
        <v/>
      </c>
      <c r="DB838" t="str">
        <f>""</f>
        <v/>
      </c>
      <c r="DC838" t="str">
        <f>""</f>
        <v/>
      </c>
      <c r="DD838" t="str">
        <f>""</f>
        <v/>
      </c>
      <c r="DE838" t="str">
        <f>""</f>
        <v/>
      </c>
      <c r="DF838" t="str">
        <f>""</f>
        <v/>
      </c>
      <c r="DG838" t="str">
        <f>""</f>
        <v/>
      </c>
      <c r="DH838" t="str">
        <f>""</f>
        <v/>
      </c>
      <c r="DI838" t="str">
        <f>""</f>
        <v/>
      </c>
      <c r="DJ838" t="str">
        <f>""</f>
        <v/>
      </c>
      <c r="DK838" t="str">
        <f>""</f>
        <v/>
      </c>
      <c r="DL838" t="str">
        <f>""</f>
        <v/>
      </c>
      <c r="DM838" t="str">
        <f>""</f>
        <v/>
      </c>
      <c r="DN838" t="str">
        <f>""</f>
        <v/>
      </c>
      <c r="DO838" t="str">
        <f>""</f>
        <v/>
      </c>
      <c r="DP838" t="str">
        <f>""</f>
        <v/>
      </c>
      <c r="DQ838" t="str">
        <f>""</f>
        <v/>
      </c>
      <c r="DR838" t="str">
        <f>""</f>
        <v/>
      </c>
      <c r="DS838" t="str">
        <f>""</f>
        <v/>
      </c>
      <c r="DT838" t="str">
        <f>""</f>
        <v/>
      </c>
      <c r="DU838" t="str">
        <f>""</f>
        <v/>
      </c>
    </row>
    <row r="839" spans="1:125" x14ac:dyDescent="0.25">
      <c r="A839" t="str">
        <f>$A$338</f>
        <v xml:space="preserve">    Daihatsu Motor Co Ltd</v>
      </c>
      <c r="B839" t="str">
        <f>$B$338</f>
        <v>7262 JP Equity</v>
      </c>
      <c r="C839" t="str">
        <f>$C$338</f>
        <v>RX530</v>
      </c>
      <c r="D839" t="str">
        <f>$D$338</f>
        <v>T12M_DVDS_PAID</v>
      </c>
      <c r="E839" t="str">
        <f>$E$338</f>
        <v>Dynamic</v>
      </c>
      <c r="F839" t="str">
        <f ca="1">_xll.BDH($B$338,$C$338,$B$509,$B$510,CONCATENATE("Per=",$B$507),"Dts=H","Dir=H",CONCATENATE("Points=",$B$508),"Sort=R","Days=A","Fill=B",CONCATENATE("FX=", $B$506) )</f>
        <v>#N/A Connection</v>
      </c>
      <c r="BN839" t="str">
        <f>""</f>
        <v/>
      </c>
      <c r="BO839" t="str">
        <f>""</f>
        <v/>
      </c>
      <c r="BP839" t="str">
        <f>""</f>
        <v/>
      </c>
      <c r="BQ839" t="str">
        <f>""</f>
        <v/>
      </c>
      <c r="BR839" t="str">
        <f>""</f>
        <v/>
      </c>
      <c r="BS839" t="str">
        <f>""</f>
        <v/>
      </c>
      <c r="BT839" t="str">
        <f>""</f>
        <v/>
      </c>
      <c r="BU839" t="str">
        <f>""</f>
        <v/>
      </c>
      <c r="BV839" t="str">
        <f>""</f>
        <v/>
      </c>
      <c r="BW839" t="str">
        <f>""</f>
        <v/>
      </c>
      <c r="BX839" t="str">
        <f>""</f>
        <v/>
      </c>
      <c r="BY839" t="str">
        <f>""</f>
        <v/>
      </c>
      <c r="BZ839" t="str">
        <f>""</f>
        <v/>
      </c>
      <c r="CA839" t="str">
        <f>""</f>
        <v/>
      </c>
      <c r="CB839" t="str">
        <f>""</f>
        <v/>
      </c>
      <c r="CC839" t="str">
        <f>""</f>
        <v/>
      </c>
      <c r="CD839" t="str">
        <f>""</f>
        <v/>
      </c>
      <c r="CE839" t="str">
        <f>""</f>
        <v/>
      </c>
      <c r="CF839" t="str">
        <f>""</f>
        <v/>
      </c>
      <c r="CG839" t="str">
        <f>""</f>
        <v/>
      </c>
      <c r="CH839" t="str">
        <f>""</f>
        <v/>
      </c>
      <c r="CI839" t="str">
        <f>""</f>
        <v/>
      </c>
      <c r="CJ839" t="str">
        <f>""</f>
        <v/>
      </c>
      <c r="CK839" t="str">
        <f>""</f>
        <v/>
      </c>
      <c r="CL839" t="str">
        <f>""</f>
        <v/>
      </c>
      <c r="CM839" t="str">
        <f>""</f>
        <v/>
      </c>
      <c r="CN839" t="str">
        <f>""</f>
        <v/>
      </c>
      <c r="CO839" t="str">
        <f>""</f>
        <v/>
      </c>
      <c r="CP839" t="str">
        <f>""</f>
        <v/>
      </c>
      <c r="CQ839" t="str">
        <f>""</f>
        <v/>
      </c>
      <c r="CR839" t="str">
        <f>""</f>
        <v/>
      </c>
      <c r="CS839" t="str">
        <f>""</f>
        <v/>
      </c>
      <c r="CT839" t="str">
        <f>""</f>
        <v/>
      </c>
      <c r="CU839" t="str">
        <f>""</f>
        <v/>
      </c>
      <c r="CV839" t="str">
        <f>""</f>
        <v/>
      </c>
      <c r="CW839" t="str">
        <f>""</f>
        <v/>
      </c>
      <c r="CX839" t="str">
        <f>""</f>
        <v/>
      </c>
      <c r="CY839" t="str">
        <f>""</f>
        <v/>
      </c>
      <c r="CZ839" t="str">
        <f>""</f>
        <v/>
      </c>
      <c r="DA839" t="str">
        <f>""</f>
        <v/>
      </c>
      <c r="DB839" t="str">
        <f>""</f>
        <v/>
      </c>
      <c r="DC839" t="str">
        <f>""</f>
        <v/>
      </c>
      <c r="DD839" t="str">
        <f>""</f>
        <v/>
      </c>
      <c r="DE839" t="str">
        <f>""</f>
        <v/>
      </c>
      <c r="DF839" t="str">
        <f>""</f>
        <v/>
      </c>
      <c r="DG839" t="str">
        <f>""</f>
        <v/>
      </c>
      <c r="DH839" t="str">
        <f>""</f>
        <v/>
      </c>
      <c r="DI839" t="str">
        <f>""</f>
        <v/>
      </c>
      <c r="DJ839" t="str">
        <f>""</f>
        <v/>
      </c>
      <c r="DK839" t="str">
        <f>""</f>
        <v/>
      </c>
      <c r="DL839" t="str">
        <f>""</f>
        <v/>
      </c>
      <c r="DM839" t="str">
        <f>""</f>
        <v/>
      </c>
      <c r="DN839" t="str">
        <f>""</f>
        <v/>
      </c>
      <c r="DO839" t="str">
        <f>""</f>
        <v/>
      </c>
      <c r="DP839" t="str">
        <f>""</f>
        <v/>
      </c>
      <c r="DQ839" t="str">
        <f>""</f>
        <v/>
      </c>
      <c r="DR839" t="str">
        <f>""</f>
        <v/>
      </c>
      <c r="DS839" t="str">
        <f>""</f>
        <v/>
      </c>
      <c r="DT839" t="str">
        <f>""</f>
        <v/>
      </c>
      <c r="DU839" t="str">
        <f>""</f>
        <v/>
      </c>
    </row>
    <row r="840" spans="1:125" x14ac:dyDescent="0.25">
      <c r="A840" t="str">
        <f>$A$339</f>
        <v xml:space="preserve">    Daimler AG</v>
      </c>
      <c r="B840" t="str">
        <f>$B$339</f>
        <v>DAI GR Equity</v>
      </c>
      <c r="C840" t="str">
        <f>$C$339</f>
        <v>RX530</v>
      </c>
      <c r="D840" t="str">
        <f>$D$339</f>
        <v>T12M_DVDS_PAID</v>
      </c>
      <c r="E840" t="str">
        <f>$E$339</f>
        <v>Dynamic</v>
      </c>
      <c r="F840" t="str">
        <f ca="1">_xll.BDH($B$339,$C$339,$B$509,$B$510,CONCATENATE("Per=",$B$507),"Dts=H","Dir=H",CONCATENATE("Points=",$B$508),"Sort=R","Days=A","Fill=B",CONCATENATE("FX=", $B$506) )</f>
        <v>#N/A Connection</v>
      </c>
      <c r="BN840" t="str">
        <f>""</f>
        <v/>
      </c>
      <c r="BO840" t="str">
        <f>""</f>
        <v/>
      </c>
      <c r="BP840" t="str">
        <f>""</f>
        <v/>
      </c>
      <c r="BQ840" t="str">
        <f>""</f>
        <v/>
      </c>
      <c r="BR840" t="str">
        <f>""</f>
        <v/>
      </c>
      <c r="BS840" t="str">
        <f>""</f>
        <v/>
      </c>
      <c r="BT840" t="str">
        <f>""</f>
        <v/>
      </c>
      <c r="BU840" t="str">
        <f>""</f>
        <v/>
      </c>
      <c r="BV840" t="str">
        <f>""</f>
        <v/>
      </c>
      <c r="BW840" t="str">
        <f>""</f>
        <v/>
      </c>
      <c r="BX840" t="str">
        <f>""</f>
        <v/>
      </c>
      <c r="BY840" t="str">
        <f>""</f>
        <v/>
      </c>
      <c r="BZ840" t="str">
        <f>""</f>
        <v/>
      </c>
      <c r="CA840" t="str">
        <f>""</f>
        <v/>
      </c>
      <c r="CB840" t="str">
        <f>""</f>
        <v/>
      </c>
      <c r="CC840" t="str">
        <f>""</f>
        <v/>
      </c>
      <c r="CD840" t="str">
        <f>""</f>
        <v/>
      </c>
      <c r="CE840" t="str">
        <f>""</f>
        <v/>
      </c>
      <c r="CF840" t="str">
        <f>""</f>
        <v/>
      </c>
      <c r="CG840" t="str">
        <f>""</f>
        <v/>
      </c>
      <c r="CH840" t="str">
        <f>""</f>
        <v/>
      </c>
      <c r="CI840" t="str">
        <f>""</f>
        <v/>
      </c>
      <c r="CJ840" t="str">
        <f>""</f>
        <v/>
      </c>
      <c r="CK840" t="str">
        <f>""</f>
        <v/>
      </c>
      <c r="CL840" t="str">
        <f>""</f>
        <v/>
      </c>
      <c r="CM840" t="str">
        <f>""</f>
        <v/>
      </c>
      <c r="CN840" t="str">
        <f>""</f>
        <v/>
      </c>
      <c r="CO840" t="str">
        <f>""</f>
        <v/>
      </c>
      <c r="CP840" t="str">
        <f>""</f>
        <v/>
      </c>
      <c r="CQ840" t="str">
        <f>""</f>
        <v/>
      </c>
      <c r="CR840" t="str">
        <f>""</f>
        <v/>
      </c>
      <c r="CS840" t="str">
        <f>""</f>
        <v/>
      </c>
      <c r="CT840" t="str">
        <f>""</f>
        <v/>
      </c>
      <c r="CU840" t="str">
        <f>""</f>
        <v/>
      </c>
      <c r="CV840" t="str">
        <f>""</f>
        <v/>
      </c>
      <c r="CW840" t="str">
        <f>""</f>
        <v/>
      </c>
      <c r="CX840" t="str">
        <f>""</f>
        <v/>
      </c>
      <c r="CY840" t="str">
        <f>""</f>
        <v/>
      </c>
      <c r="CZ840" t="str">
        <f>""</f>
        <v/>
      </c>
      <c r="DA840" t="str">
        <f>""</f>
        <v/>
      </c>
      <c r="DB840" t="str">
        <f>""</f>
        <v/>
      </c>
      <c r="DC840" t="str">
        <f>""</f>
        <v/>
      </c>
      <c r="DD840" t="str">
        <f>""</f>
        <v/>
      </c>
      <c r="DE840" t="str">
        <f>""</f>
        <v/>
      </c>
      <c r="DF840" t="str">
        <f>""</f>
        <v/>
      </c>
      <c r="DG840" t="str">
        <f>""</f>
        <v/>
      </c>
      <c r="DH840" t="str">
        <f>""</f>
        <v/>
      </c>
      <c r="DI840" t="str">
        <f>""</f>
        <v/>
      </c>
      <c r="DJ840" t="str">
        <f>""</f>
        <v/>
      </c>
      <c r="DK840" t="str">
        <f>""</f>
        <v/>
      </c>
      <c r="DL840" t="str">
        <f>""</f>
        <v/>
      </c>
      <c r="DM840" t="str">
        <f>""</f>
        <v/>
      </c>
      <c r="DN840" t="str">
        <f>""</f>
        <v/>
      </c>
      <c r="DO840" t="str">
        <f>""</f>
        <v/>
      </c>
      <c r="DP840" t="str">
        <f>""</f>
        <v/>
      </c>
      <c r="DQ840" t="str">
        <f>""</f>
        <v/>
      </c>
      <c r="DR840" t="str">
        <f>""</f>
        <v/>
      </c>
      <c r="DS840" t="str">
        <f>""</f>
        <v/>
      </c>
      <c r="DT840" t="str">
        <f>""</f>
        <v/>
      </c>
      <c r="DU840" t="str">
        <f>""</f>
        <v/>
      </c>
    </row>
    <row r="841" spans="1:125" x14ac:dyDescent="0.25">
      <c r="A841" t="str">
        <f>$A$340</f>
        <v xml:space="preserve">    Dongfeng Motor Group Co Ltd</v>
      </c>
      <c r="B841" t="str">
        <f>$B$340</f>
        <v>489 HK Equity</v>
      </c>
      <c r="C841" t="str">
        <f>$C$340</f>
        <v>RX530</v>
      </c>
      <c r="D841" t="str">
        <f>$D$340</f>
        <v>T12M_DVDS_PAID</v>
      </c>
      <c r="E841" t="str">
        <f>$E$340</f>
        <v>Dynamic</v>
      </c>
      <c r="F841" t="str">
        <f ca="1">_xll.BDH($B$340,$C$340,$B$509,$B$510,CONCATENATE("Per=",$B$507),"Dts=H","Dir=H",CONCATENATE("Points=",$B$508),"Sort=R","Days=A","Fill=B",CONCATENATE("FX=", $B$506) )</f>
        <v>#N/A Connection</v>
      </c>
      <c r="BN841" t="str">
        <f>""</f>
        <v/>
      </c>
      <c r="BO841" t="str">
        <f>""</f>
        <v/>
      </c>
      <c r="BP841" t="str">
        <f>""</f>
        <v/>
      </c>
      <c r="BQ841" t="str">
        <f>""</f>
        <v/>
      </c>
      <c r="BR841" t="str">
        <f>""</f>
        <v/>
      </c>
      <c r="BS841" t="str">
        <f>""</f>
        <v/>
      </c>
      <c r="BT841" t="str">
        <f>""</f>
        <v/>
      </c>
      <c r="BU841" t="str">
        <f>""</f>
        <v/>
      </c>
      <c r="BV841" t="str">
        <f>""</f>
        <v/>
      </c>
      <c r="BW841" t="str">
        <f>""</f>
        <v/>
      </c>
      <c r="BX841" t="str">
        <f>""</f>
        <v/>
      </c>
      <c r="BY841" t="str">
        <f>""</f>
        <v/>
      </c>
      <c r="BZ841" t="str">
        <f>""</f>
        <v/>
      </c>
      <c r="CA841" t="str">
        <f>""</f>
        <v/>
      </c>
      <c r="CB841" t="str">
        <f>""</f>
        <v/>
      </c>
      <c r="CC841" t="str">
        <f>""</f>
        <v/>
      </c>
      <c r="CD841" t="str">
        <f>""</f>
        <v/>
      </c>
      <c r="CE841" t="str">
        <f>""</f>
        <v/>
      </c>
      <c r="CF841" t="str">
        <f>""</f>
        <v/>
      </c>
      <c r="CG841" t="str">
        <f>""</f>
        <v/>
      </c>
      <c r="CH841" t="str">
        <f>""</f>
        <v/>
      </c>
      <c r="CI841" t="str">
        <f>""</f>
        <v/>
      </c>
      <c r="CJ841" t="str">
        <f>""</f>
        <v/>
      </c>
      <c r="CK841" t="str">
        <f>""</f>
        <v/>
      </c>
      <c r="CL841" t="str">
        <f>""</f>
        <v/>
      </c>
      <c r="CM841" t="str">
        <f>""</f>
        <v/>
      </c>
      <c r="CN841" t="str">
        <f>""</f>
        <v/>
      </c>
      <c r="CO841" t="str">
        <f>""</f>
        <v/>
      </c>
      <c r="CP841" t="str">
        <f>""</f>
        <v/>
      </c>
      <c r="CQ841" t="str">
        <f>""</f>
        <v/>
      </c>
      <c r="CR841" t="str">
        <f>""</f>
        <v/>
      </c>
      <c r="CS841" t="str">
        <f>""</f>
        <v/>
      </c>
      <c r="CT841" t="str">
        <f>""</f>
        <v/>
      </c>
      <c r="CU841" t="str">
        <f>""</f>
        <v/>
      </c>
      <c r="CV841" t="str">
        <f>""</f>
        <v/>
      </c>
      <c r="CW841" t="str">
        <f>""</f>
        <v/>
      </c>
      <c r="CX841" t="str">
        <f>""</f>
        <v/>
      </c>
      <c r="CY841" t="str">
        <f>""</f>
        <v/>
      </c>
      <c r="CZ841" t="str">
        <f>""</f>
        <v/>
      </c>
      <c r="DA841" t="str">
        <f>""</f>
        <v/>
      </c>
      <c r="DB841" t="str">
        <f>""</f>
        <v/>
      </c>
      <c r="DC841" t="str">
        <f>""</f>
        <v/>
      </c>
      <c r="DD841" t="str">
        <f>""</f>
        <v/>
      </c>
      <c r="DE841" t="str">
        <f>""</f>
        <v/>
      </c>
      <c r="DF841" t="str">
        <f>""</f>
        <v/>
      </c>
      <c r="DG841" t="str">
        <f>""</f>
        <v/>
      </c>
      <c r="DH841" t="str">
        <f>""</f>
        <v/>
      </c>
      <c r="DI841" t="str">
        <f>""</f>
        <v/>
      </c>
      <c r="DJ841" t="str">
        <f>""</f>
        <v/>
      </c>
      <c r="DK841" t="str">
        <f>""</f>
        <v/>
      </c>
      <c r="DL841" t="str">
        <f>""</f>
        <v/>
      </c>
      <c r="DM841" t="str">
        <f>""</f>
        <v/>
      </c>
      <c r="DN841" t="str">
        <f>""</f>
        <v/>
      </c>
      <c r="DO841" t="str">
        <f>""</f>
        <v/>
      </c>
      <c r="DP841" t="str">
        <f>""</f>
        <v/>
      </c>
      <c r="DQ841" t="str">
        <f>""</f>
        <v/>
      </c>
      <c r="DR841" t="str">
        <f>""</f>
        <v/>
      </c>
      <c r="DS841" t="str">
        <f>""</f>
        <v/>
      </c>
      <c r="DT841" t="str">
        <f>""</f>
        <v/>
      </c>
      <c r="DU841" t="str">
        <f>""</f>
        <v/>
      </c>
    </row>
    <row r="842" spans="1:125" x14ac:dyDescent="0.25">
      <c r="A842" t="str">
        <f>$A$341</f>
        <v xml:space="preserve">    DRB-Hicom Bhd</v>
      </c>
      <c r="B842" t="str">
        <f>$B$341</f>
        <v>DRB MK Equity</v>
      </c>
      <c r="C842" t="str">
        <f>$C$341</f>
        <v>RX530</v>
      </c>
      <c r="D842" t="str">
        <f>$D$341</f>
        <v>T12M_DVDS_PAID</v>
      </c>
      <c r="E842" t="str">
        <f>$E$341</f>
        <v>Dynamic</v>
      </c>
      <c r="F842" t="str">
        <f ca="1">_xll.BDH($B$341,$C$341,$B$509,$B$510,CONCATENATE("Per=",$B$507),"Dts=H","Dir=H",CONCATENATE("Points=",$B$508),"Sort=R","Days=A","Fill=B",CONCATENATE("FX=", $B$506) )</f>
        <v>#N/A Connection</v>
      </c>
      <c r="BN842" t="str">
        <f>""</f>
        <v/>
      </c>
      <c r="BO842" t="str">
        <f>""</f>
        <v/>
      </c>
      <c r="BP842" t="str">
        <f>""</f>
        <v/>
      </c>
      <c r="BQ842" t="str">
        <f>""</f>
        <v/>
      </c>
      <c r="BR842" t="str">
        <f>""</f>
        <v/>
      </c>
      <c r="BS842" t="str">
        <f>""</f>
        <v/>
      </c>
      <c r="BT842" t="str">
        <f>""</f>
        <v/>
      </c>
      <c r="BU842" t="str">
        <f>""</f>
        <v/>
      </c>
      <c r="BV842" t="str">
        <f>""</f>
        <v/>
      </c>
      <c r="BW842" t="str">
        <f>""</f>
        <v/>
      </c>
      <c r="BX842" t="str">
        <f>""</f>
        <v/>
      </c>
      <c r="BY842" t="str">
        <f>""</f>
        <v/>
      </c>
      <c r="BZ842" t="str">
        <f>""</f>
        <v/>
      </c>
      <c r="CA842" t="str">
        <f>""</f>
        <v/>
      </c>
      <c r="CB842" t="str">
        <f>""</f>
        <v/>
      </c>
      <c r="CC842" t="str">
        <f>""</f>
        <v/>
      </c>
      <c r="CD842" t="str">
        <f>""</f>
        <v/>
      </c>
      <c r="CE842" t="str">
        <f>""</f>
        <v/>
      </c>
      <c r="CF842" t="str">
        <f>""</f>
        <v/>
      </c>
      <c r="CG842" t="str">
        <f>""</f>
        <v/>
      </c>
      <c r="CH842" t="str">
        <f>""</f>
        <v/>
      </c>
      <c r="CI842" t="str">
        <f>""</f>
        <v/>
      </c>
      <c r="CJ842" t="str">
        <f>""</f>
        <v/>
      </c>
      <c r="CK842" t="str">
        <f>""</f>
        <v/>
      </c>
      <c r="CL842" t="str">
        <f>""</f>
        <v/>
      </c>
      <c r="CM842" t="str">
        <f>""</f>
        <v/>
      </c>
      <c r="CN842" t="str">
        <f>""</f>
        <v/>
      </c>
      <c r="CO842" t="str">
        <f>""</f>
        <v/>
      </c>
      <c r="CP842" t="str">
        <f>""</f>
        <v/>
      </c>
      <c r="CQ842" t="str">
        <f>""</f>
        <v/>
      </c>
      <c r="CR842" t="str">
        <f>""</f>
        <v/>
      </c>
      <c r="CS842" t="str">
        <f>""</f>
        <v/>
      </c>
      <c r="CT842" t="str">
        <f>""</f>
        <v/>
      </c>
      <c r="CU842" t="str">
        <f>""</f>
        <v/>
      </c>
      <c r="CV842" t="str">
        <f>""</f>
        <v/>
      </c>
      <c r="CW842" t="str">
        <f>""</f>
        <v/>
      </c>
      <c r="CX842" t="str">
        <f>""</f>
        <v/>
      </c>
      <c r="CY842" t="str">
        <f>""</f>
        <v/>
      </c>
      <c r="CZ842" t="str">
        <f>""</f>
        <v/>
      </c>
      <c r="DA842" t="str">
        <f>""</f>
        <v/>
      </c>
      <c r="DB842" t="str">
        <f>""</f>
        <v/>
      </c>
      <c r="DC842" t="str">
        <f>""</f>
        <v/>
      </c>
      <c r="DD842" t="str">
        <f>""</f>
        <v/>
      </c>
      <c r="DE842" t="str">
        <f>""</f>
        <v/>
      </c>
      <c r="DF842" t="str">
        <f>""</f>
        <v/>
      </c>
      <c r="DG842" t="str">
        <f>""</f>
        <v/>
      </c>
      <c r="DH842" t="str">
        <f>""</f>
        <v/>
      </c>
      <c r="DI842" t="str">
        <f>""</f>
        <v/>
      </c>
      <c r="DJ842" t="str">
        <f>""</f>
        <v/>
      </c>
      <c r="DK842" t="str">
        <f>""</f>
        <v/>
      </c>
      <c r="DL842" t="str">
        <f>""</f>
        <v/>
      </c>
      <c r="DM842" t="str">
        <f>""</f>
        <v/>
      </c>
      <c r="DN842" t="str">
        <f>""</f>
        <v/>
      </c>
      <c r="DO842" t="str">
        <f>""</f>
        <v/>
      </c>
      <c r="DP842" t="str">
        <f>""</f>
        <v/>
      </c>
      <c r="DQ842" t="str">
        <f>""</f>
        <v/>
      </c>
      <c r="DR842" t="str">
        <f>""</f>
        <v/>
      </c>
      <c r="DS842" t="str">
        <f>""</f>
        <v/>
      </c>
      <c r="DT842" t="str">
        <f>""</f>
        <v/>
      </c>
      <c r="DU842" t="str">
        <f>""</f>
        <v/>
      </c>
    </row>
    <row r="843" spans="1:125" x14ac:dyDescent="0.25">
      <c r="A843" t="str">
        <f>$A$342</f>
        <v xml:space="preserve">    FAW CAR Co Ltd</v>
      </c>
      <c r="B843" t="str">
        <f>$B$342</f>
        <v>000800 CH Equity</v>
      </c>
      <c r="C843" t="str">
        <f>$C$342</f>
        <v>RX530</v>
      </c>
      <c r="D843" t="str">
        <f>$D$342</f>
        <v>T12M_DVDS_PAID</v>
      </c>
      <c r="E843" t="str">
        <f>$E$342</f>
        <v>Dynamic</v>
      </c>
      <c r="F843" t="str">
        <f ca="1">_xll.BDH($B$342,$C$342,$B$509,$B$510,CONCATENATE("Per=",$B$507),"Dts=H","Dir=H",CONCATENATE("Points=",$B$508),"Sort=R","Days=A","Fill=B",CONCATENATE("FX=", $B$506) )</f>
        <v>#N/A Connection</v>
      </c>
      <c r="BN843" t="str">
        <f>""</f>
        <v/>
      </c>
      <c r="BO843" t="str">
        <f>""</f>
        <v/>
      </c>
      <c r="BP843" t="str">
        <f>""</f>
        <v/>
      </c>
      <c r="BQ843" t="str">
        <f>""</f>
        <v/>
      </c>
      <c r="BR843" t="str">
        <f>""</f>
        <v/>
      </c>
      <c r="BS843" t="str">
        <f>""</f>
        <v/>
      </c>
      <c r="BT843" t="str">
        <f>""</f>
        <v/>
      </c>
      <c r="BU843" t="str">
        <f>""</f>
        <v/>
      </c>
      <c r="BV843" t="str">
        <f>""</f>
        <v/>
      </c>
      <c r="BW843" t="str">
        <f>""</f>
        <v/>
      </c>
      <c r="BX843" t="str">
        <f>""</f>
        <v/>
      </c>
      <c r="BY843" t="str">
        <f>""</f>
        <v/>
      </c>
      <c r="BZ843" t="str">
        <f>""</f>
        <v/>
      </c>
      <c r="CA843" t="str">
        <f>""</f>
        <v/>
      </c>
      <c r="CB843" t="str">
        <f>""</f>
        <v/>
      </c>
      <c r="CC843" t="str">
        <f>""</f>
        <v/>
      </c>
      <c r="CD843" t="str">
        <f>""</f>
        <v/>
      </c>
      <c r="CE843" t="str">
        <f>""</f>
        <v/>
      </c>
      <c r="CF843" t="str">
        <f>""</f>
        <v/>
      </c>
      <c r="CG843" t="str">
        <f>""</f>
        <v/>
      </c>
      <c r="CH843" t="str">
        <f>""</f>
        <v/>
      </c>
      <c r="CI843" t="str">
        <f>""</f>
        <v/>
      </c>
      <c r="CJ843" t="str">
        <f>""</f>
        <v/>
      </c>
      <c r="CK843" t="str">
        <f>""</f>
        <v/>
      </c>
      <c r="CL843" t="str">
        <f>""</f>
        <v/>
      </c>
      <c r="CM843" t="str">
        <f>""</f>
        <v/>
      </c>
      <c r="CN843" t="str">
        <f>""</f>
        <v/>
      </c>
      <c r="CO843" t="str">
        <f>""</f>
        <v/>
      </c>
      <c r="CP843" t="str">
        <f>""</f>
        <v/>
      </c>
      <c r="CQ843" t="str">
        <f>""</f>
        <v/>
      </c>
      <c r="CR843" t="str">
        <f>""</f>
        <v/>
      </c>
      <c r="CS843" t="str">
        <f>""</f>
        <v/>
      </c>
      <c r="CT843" t="str">
        <f>""</f>
        <v/>
      </c>
      <c r="CU843" t="str">
        <f>""</f>
        <v/>
      </c>
      <c r="CV843" t="str">
        <f>""</f>
        <v/>
      </c>
      <c r="CW843" t="str">
        <f>""</f>
        <v/>
      </c>
      <c r="CX843" t="str">
        <f>""</f>
        <v/>
      </c>
      <c r="CY843" t="str">
        <f>""</f>
        <v/>
      </c>
      <c r="CZ843" t="str">
        <f>""</f>
        <v/>
      </c>
      <c r="DA843" t="str">
        <f>""</f>
        <v/>
      </c>
      <c r="DB843" t="str">
        <f>""</f>
        <v/>
      </c>
      <c r="DC843" t="str">
        <f>""</f>
        <v/>
      </c>
      <c r="DD843" t="str">
        <f>""</f>
        <v/>
      </c>
      <c r="DE843" t="str">
        <f>""</f>
        <v/>
      </c>
      <c r="DF843" t="str">
        <f>""</f>
        <v/>
      </c>
      <c r="DG843" t="str">
        <f>""</f>
        <v/>
      </c>
      <c r="DH843" t="str">
        <f>""</f>
        <v/>
      </c>
      <c r="DI843" t="str">
        <f>""</f>
        <v/>
      </c>
      <c r="DJ843" t="str">
        <f>""</f>
        <v/>
      </c>
      <c r="DK843" t="str">
        <f>""</f>
        <v/>
      </c>
      <c r="DL843" t="str">
        <f>""</f>
        <v/>
      </c>
      <c r="DM843" t="str">
        <f>""</f>
        <v/>
      </c>
      <c r="DN843" t="str">
        <f>""</f>
        <v/>
      </c>
      <c r="DO843" t="str">
        <f>""</f>
        <v/>
      </c>
      <c r="DP843" t="str">
        <f>""</f>
        <v/>
      </c>
      <c r="DQ843" t="str">
        <f>""</f>
        <v/>
      </c>
      <c r="DR843" t="str">
        <f>""</f>
        <v/>
      </c>
      <c r="DS843" t="str">
        <f>""</f>
        <v/>
      </c>
      <c r="DT843" t="str">
        <f>""</f>
        <v/>
      </c>
      <c r="DU843" t="str">
        <f>""</f>
        <v/>
      </c>
    </row>
    <row r="844" spans="1:125" x14ac:dyDescent="0.25">
      <c r="A844" t="str">
        <f>$A$343</f>
        <v xml:space="preserve">    Fiat Chrysler Automobiles NV</v>
      </c>
      <c r="B844" t="str">
        <f>$B$343</f>
        <v>FCAU US Equity</v>
      </c>
      <c r="C844" t="str">
        <f>$C$343</f>
        <v>RX530</v>
      </c>
      <c r="D844" t="str">
        <f>$D$343</f>
        <v>T12M_DVDS_PAID</v>
      </c>
      <c r="E844" t="str">
        <f>$E$343</f>
        <v>Dynamic</v>
      </c>
      <c r="F844" t="str">
        <f ca="1">_xll.BDH($B$343,$C$343,$B$509,$B$510,CONCATENATE("Per=",$B$507),"Dts=H","Dir=H",CONCATENATE("Points=",$B$508),"Sort=R","Days=A","Fill=B",CONCATENATE("FX=", $B$506) )</f>
        <v>#N/A Connection</v>
      </c>
      <c r="BN844" t="str">
        <f>""</f>
        <v/>
      </c>
      <c r="BO844" t="str">
        <f>""</f>
        <v/>
      </c>
      <c r="BP844" t="str">
        <f>""</f>
        <v/>
      </c>
      <c r="BQ844" t="str">
        <f>""</f>
        <v/>
      </c>
      <c r="BR844" t="str">
        <f>""</f>
        <v/>
      </c>
      <c r="BS844" t="str">
        <f>""</f>
        <v/>
      </c>
      <c r="BT844" t="str">
        <f>""</f>
        <v/>
      </c>
      <c r="BU844" t="str">
        <f>""</f>
        <v/>
      </c>
      <c r="BV844" t="str">
        <f>""</f>
        <v/>
      </c>
      <c r="BW844" t="str">
        <f>""</f>
        <v/>
      </c>
      <c r="BX844" t="str">
        <f>""</f>
        <v/>
      </c>
      <c r="BY844" t="str">
        <f>""</f>
        <v/>
      </c>
      <c r="BZ844" t="str">
        <f>""</f>
        <v/>
      </c>
      <c r="CA844" t="str">
        <f>""</f>
        <v/>
      </c>
      <c r="CB844" t="str">
        <f>""</f>
        <v/>
      </c>
      <c r="CC844" t="str">
        <f>""</f>
        <v/>
      </c>
      <c r="CD844" t="str">
        <f>""</f>
        <v/>
      </c>
      <c r="CE844" t="str">
        <f>""</f>
        <v/>
      </c>
      <c r="CF844" t="str">
        <f>""</f>
        <v/>
      </c>
      <c r="CG844" t="str">
        <f>""</f>
        <v/>
      </c>
      <c r="CH844" t="str">
        <f>""</f>
        <v/>
      </c>
      <c r="CI844" t="str">
        <f>""</f>
        <v/>
      </c>
      <c r="CJ844" t="str">
        <f>""</f>
        <v/>
      </c>
      <c r="CK844" t="str">
        <f>""</f>
        <v/>
      </c>
      <c r="CL844" t="str">
        <f>""</f>
        <v/>
      </c>
      <c r="CM844" t="str">
        <f>""</f>
        <v/>
      </c>
      <c r="CN844" t="str">
        <f>""</f>
        <v/>
      </c>
      <c r="CO844" t="str">
        <f>""</f>
        <v/>
      </c>
      <c r="CP844" t="str">
        <f>""</f>
        <v/>
      </c>
      <c r="CQ844" t="str">
        <f>""</f>
        <v/>
      </c>
      <c r="CR844" t="str">
        <f>""</f>
        <v/>
      </c>
      <c r="CS844" t="str">
        <f>""</f>
        <v/>
      </c>
      <c r="CT844" t="str">
        <f>""</f>
        <v/>
      </c>
      <c r="CU844" t="str">
        <f>""</f>
        <v/>
      </c>
      <c r="CV844" t="str">
        <f>""</f>
        <v/>
      </c>
      <c r="CW844" t="str">
        <f>""</f>
        <v/>
      </c>
      <c r="CX844" t="str">
        <f>""</f>
        <v/>
      </c>
      <c r="CY844" t="str">
        <f>""</f>
        <v/>
      </c>
      <c r="CZ844" t="str">
        <f>""</f>
        <v/>
      </c>
      <c r="DA844" t="str">
        <f>""</f>
        <v/>
      </c>
      <c r="DB844" t="str">
        <f>""</f>
        <v/>
      </c>
      <c r="DC844" t="str">
        <f>""</f>
        <v/>
      </c>
      <c r="DD844" t="str">
        <f>""</f>
        <v/>
      </c>
      <c r="DE844" t="str">
        <f>""</f>
        <v/>
      </c>
      <c r="DF844" t="str">
        <f>""</f>
        <v/>
      </c>
      <c r="DG844" t="str">
        <f>""</f>
        <v/>
      </c>
      <c r="DH844" t="str">
        <f>""</f>
        <v/>
      </c>
      <c r="DI844" t="str">
        <f>""</f>
        <v/>
      </c>
      <c r="DJ844" t="str">
        <f>""</f>
        <v/>
      </c>
      <c r="DK844" t="str">
        <f>""</f>
        <v/>
      </c>
      <c r="DL844" t="str">
        <f>""</f>
        <v/>
      </c>
      <c r="DM844" t="str">
        <f>""</f>
        <v/>
      </c>
      <c r="DN844" t="str">
        <f>""</f>
        <v/>
      </c>
      <c r="DO844" t="str">
        <f>""</f>
        <v/>
      </c>
      <c r="DP844" t="str">
        <f>""</f>
        <v/>
      </c>
      <c r="DQ844" t="str">
        <f>""</f>
        <v/>
      </c>
      <c r="DR844" t="str">
        <f>""</f>
        <v/>
      </c>
      <c r="DS844" t="str">
        <f>""</f>
        <v/>
      </c>
      <c r="DT844" t="str">
        <f>""</f>
        <v/>
      </c>
      <c r="DU844" t="str">
        <f>""</f>
        <v/>
      </c>
    </row>
    <row r="845" spans="1:125" x14ac:dyDescent="0.25">
      <c r="A845" t="str">
        <f>$A$344</f>
        <v xml:space="preserve">    Ford Motor Co</v>
      </c>
      <c r="B845" t="str">
        <f>$B$344</f>
        <v>F US Equity</v>
      </c>
      <c r="C845" t="str">
        <f>$C$344</f>
        <v>RX530</v>
      </c>
      <c r="D845" t="str">
        <f>$D$344</f>
        <v>T12M_DVDS_PAID</v>
      </c>
      <c r="E845" t="str">
        <f>$E$344</f>
        <v>Dynamic</v>
      </c>
      <c r="F845" t="str">
        <f ca="1">_xll.BDH($B$344,$C$344,$B$509,$B$510,CONCATENATE("Per=",$B$507),"Dts=H","Dir=H",CONCATENATE("Points=",$B$508),"Sort=R","Days=A","Fill=B",CONCATENATE("FX=", $B$506) )</f>
        <v>#N/A Connection</v>
      </c>
      <c r="BN845" t="str">
        <f>""</f>
        <v/>
      </c>
      <c r="BO845" t="str">
        <f>""</f>
        <v/>
      </c>
      <c r="BP845" t="str">
        <f>""</f>
        <v/>
      </c>
      <c r="BQ845" t="str">
        <f>""</f>
        <v/>
      </c>
      <c r="BR845" t="str">
        <f>""</f>
        <v/>
      </c>
      <c r="BS845" t="str">
        <f>""</f>
        <v/>
      </c>
      <c r="BT845" t="str">
        <f>""</f>
        <v/>
      </c>
      <c r="BU845" t="str">
        <f>""</f>
        <v/>
      </c>
      <c r="BV845" t="str">
        <f>""</f>
        <v/>
      </c>
      <c r="BW845" t="str">
        <f>""</f>
        <v/>
      </c>
      <c r="BX845" t="str">
        <f>""</f>
        <v/>
      </c>
      <c r="BY845" t="str">
        <f>""</f>
        <v/>
      </c>
      <c r="BZ845" t="str">
        <f>""</f>
        <v/>
      </c>
      <c r="CA845" t="str">
        <f>""</f>
        <v/>
      </c>
      <c r="CB845" t="str">
        <f>""</f>
        <v/>
      </c>
      <c r="CC845" t="str">
        <f>""</f>
        <v/>
      </c>
      <c r="CD845" t="str">
        <f>""</f>
        <v/>
      </c>
      <c r="CE845" t="str">
        <f>""</f>
        <v/>
      </c>
      <c r="CF845" t="str">
        <f>""</f>
        <v/>
      </c>
      <c r="CG845" t="str">
        <f>""</f>
        <v/>
      </c>
      <c r="CH845" t="str">
        <f>""</f>
        <v/>
      </c>
      <c r="CI845" t="str">
        <f>""</f>
        <v/>
      </c>
      <c r="CJ845" t="str">
        <f>""</f>
        <v/>
      </c>
      <c r="CK845" t="str">
        <f>""</f>
        <v/>
      </c>
      <c r="CL845" t="str">
        <f>""</f>
        <v/>
      </c>
      <c r="CM845" t="str">
        <f>""</f>
        <v/>
      </c>
      <c r="CN845" t="str">
        <f>""</f>
        <v/>
      </c>
      <c r="CO845" t="str">
        <f>""</f>
        <v/>
      </c>
      <c r="CP845" t="str">
        <f>""</f>
        <v/>
      </c>
      <c r="CQ845" t="str">
        <f>""</f>
        <v/>
      </c>
      <c r="CR845" t="str">
        <f>""</f>
        <v/>
      </c>
      <c r="CS845" t="str">
        <f>""</f>
        <v/>
      </c>
      <c r="CT845" t="str">
        <f>""</f>
        <v/>
      </c>
      <c r="CU845" t="str">
        <f>""</f>
        <v/>
      </c>
      <c r="CV845" t="str">
        <f>""</f>
        <v/>
      </c>
      <c r="CW845" t="str">
        <f>""</f>
        <v/>
      </c>
      <c r="CX845" t="str">
        <f>""</f>
        <v/>
      </c>
      <c r="CY845" t="str">
        <f>""</f>
        <v/>
      </c>
      <c r="CZ845" t="str">
        <f>""</f>
        <v/>
      </c>
      <c r="DA845" t="str">
        <f>""</f>
        <v/>
      </c>
      <c r="DB845" t="str">
        <f>""</f>
        <v/>
      </c>
      <c r="DC845" t="str">
        <f>""</f>
        <v/>
      </c>
      <c r="DD845" t="str">
        <f>""</f>
        <v/>
      </c>
      <c r="DE845" t="str">
        <f>""</f>
        <v/>
      </c>
      <c r="DF845" t="str">
        <f>""</f>
        <v/>
      </c>
      <c r="DG845" t="str">
        <f>""</f>
        <v/>
      </c>
      <c r="DH845" t="str">
        <f>""</f>
        <v/>
      </c>
      <c r="DI845" t="str">
        <f>""</f>
        <v/>
      </c>
      <c r="DJ845" t="str">
        <f>""</f>
        <v/>
      </c>
      <c r="DK845" t="str">
        <f>""</f>
        <v/>
      </c>
      <c r="DL845" t="str">
        <f>""</f>
        <v/>
      </c>
      <c r="DM845" t="str">
        <f>""</f>
        <v/>
      </c>
      <c r="DN845" t="str">
        <f>""</f>
        <v/>
      </c>
      <c r="DO845" t="str">
        <f>""</f>
        <v/>
      </c>
      <c r="DP845" t="str">
        <f>""</f>
        <v/>
      </c>
      <c r="DQ845" t="str">
        <f>""</f>
        <v/>
      </c>
      <c r="DR845" t="str">
        <f>""</f>
        <v/>
      </c>
      <c r="DS845" t="str">
        <f>""</f>
        <v/>
      </c>
      <c r="DT845" t="str">
        <f>""</f>
        <v/>
      </c>
      <c r="DU845" t="str">
        <f>""</f>
        <v/>
      </c>
    </row>
    <row r="846" spans="1:125" x14ac:dyDescent="0.25">
      <c r="A846" t="str">
        <f>$A$345</f>
        <v xml:space="preserve">    Ford Otomotiv Sanayi AS</v>
      </c>
      <c r="B846" t="str">
        <f>$B$345</f>
        <v>FROTOTRY EO Equity</v>
      </c>
      <c r="C846" t="str">
        <f>$C$345</f>
        <v>RX530</v>
      </c>
      <c r="D846" t="str">
        <f>$D$345</f>
        <v>T12M_DVDS_PAID</v>
      </c>
      <c r="E846" t="str">
        <f>$E$345</f>
        <v>Dynamic</v>
      </c>
      <c r="F846" t="str">
        <f ca="1">_xll.BDH($B$345,$C$345,$B$509,$B$510,CONCATENATE("Per=",$B$507),"Dts=H","Dir=H",CONCATENATE("Points=",$B$508),"Sort=R","Days=A","Fill=B",CONCATENATE("FX=", $B$506) )</f>
        <v>#N/A Connection</v>
      </c>
      <c r="BN846" t="str">
        <f>""</f>
        <v/>
      </c>
      <c r="BO846" t="str">
        <f>""</f>
        <v/>
      </c>
      <c r="BP846" t="str">
        <f>""</f>
        <v/>
      </c>
      <c r="BQ846" t="str">
        <f>""</f>
        <v/>
      </c>
      <c r="BR846" t="str">
        <f>""</f>
        <v/>
      </c>
      <c r="BS846" t="str">
        <f>""</f>
        <v/>
      </c>
      <c r="BT846" t="str">
        <f>""</f>
        <v/>
      </c>
      <c r="BU846" t="str">
        <f>""</f>
        <v/>
      </c>
      <c r="BV846" t="str">
        <f>""</f>
        <v/>
      </c>
      <c r="BW846" t="str">
        <f>""</f>
        <v/>
      </c>
      <c r="BX846" t="str">
        <f>""</f>
        <v/>
      </c>
      <c r="BY846" t="str">
        <f>""</f>
        <v/>
      </c>
      <c r="BZ846" t="str">
        <f>""</f>
        <v/>
      </c>
      <c r="CA846" t="str">
        <f>""</f>
        <v/>
      </c>
      <c r="CB846" t="str">
        <f>""</f>
        <v/>
      </c>
      <c r="CC846" t="str">
        <f>""</f>
        <v/>
      </c>
      <c r="CD846" t="str">
        <f>""</f>
        <v/>
      </c>
      <c r="CE846" t="str">
        <f>""</f>
        <v/>
      </c>
      <c r="CF846" t="str">
        <f>""</f>
        <v/>
      </c>
      <c r="CG846" t="str">
        <f>""</f>
        <v/>
      </c>
      <c r="CH846" t="str">
        <f>""</f>
        <v/>
      </c>
      <c r="CI846" t="str">
        <f>""</f>
        <v/>
      </c>
      <c r="CJ846" t="str">
        <f>""</f>
        <v/>
      </c>
      <c r="CK846" t="str">
        <f>""</f>
        <v/>
      </c>
      <c r="CL846" t="str">
        <f>""</f>
        <v/>
      </c>
      <c r="CM846" t="str">
        <f>""</f>
        <v/>
      </c>
      <c r="CN846" t="str">
        <f>""</f>
        <v/>
      </c>
      <c r="CO846" t="str">
        <f>""</f>
        <v/>
      </c>
      <c r="CP846" t="str">
        <f>""</f>
        <v/>
      </c>
      <c r="CQ846" t="str">
        <f>""</f>
        <v/>
      </c>
      <c r="CR846" t="str">
        <f>""</f>
        <v/>
      </c>
      <c r="CS846" t="str">
        <f>""</f>
        <v/>
      </c>
      <c r="CT846" t="str">
        <f>""</f>
        <v/>
      </c>
      <c r="CU846" t="str">
        <f>""</f>
        <v/>
      </c>
      <c r="CV846" t="str">
        <f>""</f>
        <v/>
      </c>
      <c r="CW846" t="str">
        <f>""</f>
        <v/>
      </c>
      <c r="CX846" t="str">
        <f>""</f>
        <v/>
      </c>
      <c r="CY846" t="str">
        <f>""</f>
        <v/>
      </c>
      <c r="CZ846" t="str">
        <f>""</f>
        <v/>
      </c>
      <c r="DA846" t="str">
        <f>""</f>
        <v/>
      </c>
      <c r="DB846" t="str">
        <f>""</f>
        <v/>
      </c>
      <c r="DC846" t="str">
        <f>""</f>
        <v/>
      </c>
      <c r="DD846" t="str">
        <f>""</f>
        <v/>
      </c>
      <c r="DE846" t="str">
        <f>""</f>
        <v/>
      </c>
      <c r="DF846" t="str">
        <f>""</f>
        <v/>
      </c>
      <c r="DG846" t="str">
        <f>""</f>
        <v/>
      </c>
      <c r="DH846" t="str">
        <f>""</f>
        <v/>
      </c>
      <c r="DI846" t="str">
        <f>""</f>
        <v/>
      </c>
      <c r="DJ846" t="str">
        <f>""</f>
        <v/>
      </c>
      <c r="DK846" t="str">
        <f>""</f>
        <v/>
      </c>
      <c r="DL846" t="str">
        <f>""</f>
        <v/>
      </c>
      <c r="DM846" t="str">
        <f>""</f>
        <v/>
      </c>
      <c r="DN846" t="str">
        <f>""</f>
        <v/>
      </c>
      <c r="DO846" t="str">
        <f>""</f>
        <v/>
      </c>
      <c r="DP846" t="str">
        <f>""</f>
        <v/>
      </c>
      <c r="DQ846" t="str">
        <f>""</f>
        <v/>
      </c>
      <c r="DR846" t="str">
        <f>""</f>
        <v/>
      </c>
      <c r="DS846" t="str">
        <f>""</f>
        <v/>
      </c>
      <c r="DT846" t="str">
        <f>""</f>
        <v/>
      </c>
      <c r="DU846" t="str">
        <f>""</f>
        <v/>
      </c>
    </row>
    <row r="847" spans="1:125" x14ac:dyDescent="0.25">
      <c r="A847" t="str">
        <f>$A$346</f>
        <v xml:space="preserve">    GAZ PJSC</v>
      </c>
      <c r="B847" t="str">
        <f>$B$346</f>
        <v>GAZA RM Equity</v>
      </c>
      <c r="C847" t="str">
        <f>$C$346</f>
        <v>RX530</v>
      </c>
      <c r="D847" t="str">
        <f>$D$346</f>
        <v>T12M_DVDS_PAID</v>
      </c>
      <c r="E847" t="str">
        <f>$E$346</f>
        <v>Dynamic</v>
      </c>
      <c r="F847" t="str">
        <f ca="1">_xll.BDH($B$346,$C$346,$B$509,$B$510,CONCATENATE("Per=",$B$507),"Dts=H","Dir=H",CONCATENATE("Points=",$B$508),"Sort=R","Days=A","Fill=B",CONCATENATE("FX=", $B$506) )</f>
        <v>#N/A Connection</v>
      </c>
      <c r="BN847" t="str">
        <f>""</f>
        <v/>
      </c>
      <c r="BO847" t="str">
        <f>""</f>
        <v/>
      </c>
      <c r="BP847" t="str">
        <f>""</f>
        <v/>
      </c>
      <c r="BQ847" t="str">
        <f>""</f>
        <v/>
      </c>
      <c r="BR847" t="str">
        <f>""</f>
        <v/>
      </c>
      <c r="BS847" t="str">
        <f>""</f>
        <v/>
      </c>
      <c r="BT847" t="str">
        <f>""</f>
        <v/>
      </c>
      <c r="BU847" t="str">
        <f>""</f>
        <v/>
      </c>
      <c r="BV847" t="str">
        <f>""</f>
        <v/>
      </c>
      <c r="BW847" t="str">
        <f>""</f>
        <v/>
      </c>
      <c r="BX847" t="str">
        <f>""</f>
        <v/>
      </c>
      <c r="BY847" t="str">
        <f>""</f>
        <v/>
      </c>
      <c r="BZ847" t="str">
        <f>""</f>
        <v/>
      </c>
      <c r="CA847" t="str">
        <f>""</f>
        <v/>
      </c>
      <c r="CB847" t="str">
        <f>""</f>
        <v/>
      </c>
      <c r="CC847" t="str">
        <f>""</f>
        <v/>
      </c>
      <c r="CD847" t="str">
        <f>""</f>
        <v/>
      </c>
      <c r="CE847" t="str">
        <f>""</f>
        <v/>
      </c>
      <c r="CF847" t="str">
        <f>""</f>
        <v/>
      </c>
      <c r="CG847" t="str">
        <f>""</f>
        <v/>
      </c>
      <c r="CH847" t="str">
        <f>""</f>
        <v/>
      </c>
      <c r="CI847" t="str">
        <f>""</f>
        <v/>
      </c>
      <c r="CJ847" t="str">
        <f>""</f>
        <v/>
      </c>
      <c r="CK847" t="str">
        <f>""</f>
        <v/>
      </c>
      <c r="CL847" t="str">
        <f>""</f>
        <v/>
      </c>
      <c r="CM847" t="str">
        <f>""</f>
        <v/>
      </c>
      <c r="CN847" t="str">
        <f>""</f>
        <v/>
      </c>
      <c r="CO847" t="str">
        <f>""</f>
        <v/>
      </c>
      <c r="CP847" t="str">
        <f>""</f>
        <v/>
      </c>
      <c r="CQ847" t="str">
        <f>""</f>
        <v/>
      </c>
      <c r="CR847" t="str">
        <f>""</f>
        <v/>
      </c>
      <c r="CS847" t="str">
        <f>""</f>
        <v/>
      </c>
      <c r="CT847" t="str">
        <f>""</f>
        <v/>
      </c>
      <c r="CU847" t="str">
        <f>""</f>
        <v/>
      </c>
      <c r="CV847" t="str">
        <f>""</f>
        <v/>
      </c>
      <c r="CW847" t="str">
        <f>""</f>
        <v/>
      </c>
      <c r="CX847" t="str">
        <f>""</f>
        <v/>
      </c>
      <c r="CY847" t="str">
        <f>""</f>
        <v/>
      </c>
      <c r="CZ847" t="str">
        <f>""</f>
        <v/>
      </c>
      <c r="DA847" t="str">
        <f>""</f>
        <v/>
      </c>
      <c r="DB847" t="str">
        <f>""</f>
        <v/>
      </c>
      <c r="DC847" t="str">
        <f>""</f>
        <v/>
      </c>
      <c r="DD847" t="str">
        <f>""</f>
        <v/>
      </c>
      <c r="DE847" t="str">
        <f>""</f>
        <v/>
      </c>
      <c r="DF847" t="str">
        <f>""</f>
        <v/>
      </c>
      <c r="DG847" t="str">
        <f>""</f>
        <v/>
      </c>
      <c r="DH847" t="str">
        <f>""</f>
        <v/>
      </c>
      <c r="DI847" t="str">
        <f>""</f>
        <v/>
      </c>
      <c r="DJ847" t="str">
        <f>""</f>
        <v/>
      </c>
      <c r="DK847" t="str">
        <f>""</f>
        <v/>
      </c>
      <c r="DL847" t="str">
        <f>""</f>
        <v/>
      </c>
      <c r="DM847" t="str">
        <f>""</f>
        <v/>
      </c>
      <c r="DN847" t="str">
        <f>""</f>
        <v/>
      </c>
      <c r="DO847" t="str">
        <f>""</f>
        <v/>
      </c>
      <c r="DP847" t="str">
        <f>""</f>
        <v/>
      </c>
      <c r="DQ847" t="str">
        <f>""</f>
        <v/>
      </c>
      <c r="DR847" t="str">
        <f>""</f>
        <v/>
      </c>
      <c r="DS847" t="str">
        <f>""</f>
        <v/>
      </c>
      <c r="DT847" t="str">
        <f>""</f>
        <v/>
      </c>
      <c r="DU847" t="str">
        <f>""</f>
        <v/>
      </c>
    </row>
    <row r="848" spans="1:125" x14ac:dyDescent="0.25">
      <c r="A848" t="str">
        <f>$A$347</f>
        <v xml:space="preserve">    Geely Automobile Holdings Ltd</v>
      </c>
      <c r="B848" t="str">
        <f>$B$347</f>
        <v>175 HK Equity</v>
      </c>
      <c r="C848" t="str">
        <f>$C$347</f>
        <v>RX530</v>
      </c>
      <c r="D848" t="str">
        <f>$D$347</f>
        <v>T12M_DVDS_PAID</v>
      </c>
      <c r="E848" t="str">
        <f>$E$347</f>
        <v>Dynamic</v>
      </c>
      <c r="F848" t="str">
        <f ca="1">_xll.BDH($B$347,$C$347,$B$509,$B$510,CONCATENATE("Per=",$B$507),"Dts=H","Dir=H",CONCATENATE("Points=",$B$508),"Sort=R","Days=A","Fill=B",CONCATENATE("FX=", $B$506) )</f>
        <v>#N/A Connection</v>
      </c>
      <c r="BN848" t="str">
        <f>""</f>
        <v/>
      </c>
      <c r="BO848" t="str">
        <f>""</f>
        <v/>
      </c>
      <c r="BP848" t="str">
        <f>""</f>
        <v/>
      </c>
      <c r="BQ848" t="str">
        <f>""</f>
        <v/>
      </c>
      <c r="BR848" t="str">
        <f>""</f>
        <v/>
      </c>
      <c r="BS848" t="str">
        <f>""</f>
        <v/>
      </c>
      <c r="BT848" t="str">
        <f>""</f>
        <v/>
      </c>
      <c r="BU848" t="str">
        <f>""</f>
        <v/>
      </c>
      <c r="BV848" t="str">
        <f>""</f>
        <v/>
      </c>
      <c r="BW848" t="str">
        <f>""</f>
        <v/>
      </c>
      <c r="BX848" t="str">
        <f>""</f>
        <v/>
      </c>
      <c r="BY848" t="str">
        <f>""</f>
        <v/>
      </c>
      <c r="BZ848" t="str">
        <f>""</f>
        <v/>
      </c>
      <c r="CA848" t="str">
        <f>""</f>
        <v/>
      </c>
      <c r="CB848" t="str">
        <f>""</f>
        <v/>
      </c>
      <c r="CC848" t="str">
        <f>""</f>
        <v/>
      </c>
      <c r="CD848" t="str">
        <f>""</f>
        <v/>
      </c>
      <c r="CE848" t="str">
        <f>""</f>
        <v/>
      </c>
      <c r="CF848" t="str">
        <f>""</f>
        <v/>
      </c>
      <c r="CG848" t="str">
        <f>""</f>
        <v/>
      </c>
      <c r="CH848" t="str">
        <f>""</f>
        <v/>
      </c>
      <c r="CI848" t="str">
        <f>""</f>
        <v/>
      </c>
      <c r="CJ848" t="str">
        <f>""</f>
        <v/>
      </c>
      <c r="CK848" t="str">
        <f>""</f>
        <v/>
      </c>
      <c r="CL848" t="str">
        <f>""</f>
        <v/>
      </c>
      <c r="CM848" t="str">
        <f>""</f>
        <v/>
      </c>
      <c r="CN848" t="str">
        <f>""</f>
        <v/>
      </c>
      <c r="CO848" t="str">
        <f>""</f>
        <v/>
      </c>
      <c r="CP848" t="str">
        <f>""</f>
        <v/>
      </c>
      <c r="CQ848" t="str">
        <f>""</f>
        <v/>
      </c>
      <c r="CR848" t="str">
        <f>""</f>
        <v/>
      </c>
      <c r="CS848" t="str">
        <f>""</f>
        <v/>
      </c>
      <c r="CT848" t="str">
        <f>""</f>
        <v/>
      </c>
      <c r="CU848" t="str">
        <f>""</f>
        <v/>
      </c>
      <c r="CV848" t="str">
        <f>""</f>
        <v/>
      </c>
      <c r="CW848" t="str">
        <f>""</f>
        <v/>
      </c>
      <c r="CX848" t="str">
        <f>""</f>
        <v/>
      </c>
      <c r="CY848" t="str">
        <f>""</f>
        <v/>
      </c>
      <c r="CZ848" t="str">
        <f>""</f>
        <v/>
      </c>
      <c r="DA848" t="str">
        <f>""</f>
        <v/>
      </c>
      <c r="DB848" t="str">
        <f>""</f>
        <v/>
      </c>
      <c r="DC848" t="str">
        <f>""</f>
        <v/>
      </c>
      <c r="DD848" t="str">
        <f>""</f>
        <v/>
      </c>
      <c r="DE848" t="str">
        <f>""</f>
        <v/>
      </c>
      <c r="DF848" t="str">
        <f>""</f>
        <v/>
      </c>
      <c r="DG848" t="str">
        <f>""</f>
        <v/>
      </c>
      <c r="DH848" t="str">
        <f>""</f>
        <v/>
      </c>
      <c r="DI848" t="str">
        <f>""</f>
        <v/>
      </c>
      <c r="DJ848" t="str">
        <f>""</f>
        <v/>
      </c>
      <c r="DK848" t="str">
        <f>""</f>
        <v/>
      </c>
      <c r="DL848" t="str">
        <f>""</f>
        <v/>
      </c>
      <c r="DM848" t="str">
        <f>""</f>
        <v/>
      </c>
      <c r="DN848" t="str">
        <f>""</f>
        <v/>
      </c>
      <c r="DO848" t="str">
        <f>""</f>
        <v/>
      </c>
      <c r="DP848" t="str">
        <f>""</f>
        <v/>
      </c>
      <c r="DQ848" t="str">
        <f>""</f>
        <v/>
      </c>
      <c r="DR848" t="str">
        <f>""</f>
        <v/>
      </c>
      <c r="DS848" t="str">
        <f>""</f>
        <v/>
      </c>
      <c r="DT848" t="str">
        <f>""</f>
        <v/>
      </c>
      <c r="DU848" t="str">
        <f>""</f>
        <v/>
      </c>
    </row>
    <row r="849" spans="1:125" x14ac:dyDescent="0.25">
      <c r="A849" t="str">
        <f>$A$348</f>
        <v xml:space="preserve">    General Motors Co</v>
      </c>
      <c r="B849" t="str">
        <f>$B$348</f>
        <v>GM US Equity</v>
      </c>
      <c r="C849" t="str">
        <f>$C$348</f>
        <v>RX530</v>
      </c>
      <c r="D849" t="str">
        <f>$D$348</f>
        <v>T12M_DVDS_PAID</v>
      </c>
      <c r="E849" t="str">
        <f>$E$348</f>
        <v>Dynamic</v>
      </c>
      <c r="F849" t="str">
        <f ca="1">_xll.BDH($B$348,$C$348,$B$509,$B$510,CONCATENATE("Per=",$B$507),"Dts=H","Dir=H",CONCATENATE("Points=",$B$508),"Sort=R","Days=A","Fill=B",CONCATENATE("FX=", $B$506) )</f>
        <v>#N/A Connection</v>
      </c>
      <c r="BN849" t="str">
        <f>""</f>
        <v/>
      </c>
      <c r="BO849" t="str">
        <f>""</f>
        <v/>
      </c>
      <c r="BP849" t="str">
        <f>""</f>
        <v/>
      </c>
      <c r="BQ849" t="str">
        <f>""</f>
        <v/>
      </c>
      <c r="BR849" t="str">
        <f>""</f>
        <v/>
      </c>
      <c r="BS849" t="str">
        <f>""</f>
        <v/>
      </c>
      <c r="BT849" t="str">
        <f>""</f>
        <v/>
      </c>
      <c r="BU849" t="str">
        <f>""</f>
        <v/>
      </c>
      <c r="BV849" t="str">
        <f>""</f>
        <v/>
      </c>
      <c r="BW849" t="str">
        <f>""</f>
        <v/>
      </c>
      <c r="BX849" t="str">
        <f>""</f>
        <v/>
      </c>
      <c r="BY849" t="str">
        <f>""</f>
        <v/>
      </c>
      <c r="BZ849" t="str">
        <f>""</f>
        <v/>
      </c>
      <c r="CA849" t="str">
        <f>""</f>
        <v/>
      </c>
      <c r="CB849" t="str">
        <f>""</f>
        <v/>
      </c>
      <c r="CC849" t="str">
        <f>""</f>
        <v/>
      </c>
      <c r="CD849" t="str">
        <f>""</f>
        <v/>
      </c>
      <c r="CE849" t="str">
        <f>""</f>
        <v/>
      </c>
      <c r="CF849" t="str">
        <f>""</f>
        <v/>
      </c>
      <c r="CG849" t="str">
        <f>""</f>
        <v/>
      </c>
      <c r="CH849" t="str">
        <f>""</f>
        <v/>
      </c>
      <c r="CI849" t="str">
        <f>""</f>
        <v/>
      </c>
      <c r="CJ849" t="str">
        <f>""</f>
        <v/>
      </c>
      <c r="CK849" t="str">
        <f>""</f>
        <v/>
      </c>
      <c r="CL849" t="str">
        <f>""</f>
        <v/>
      </c>
      <c r="CM849" t="str">
        <f>""</f>
        <v/>
      </c>
      <c r="CN849" t="str">
        <f>""</f>
        <v/>
      </c>
      <c r="CO849" t="str">
        <f>""</f>
        <v/>
      </c>
      <c r="CP849" t="str">
        <f>""</f>
        <v/>
      </c>
      <c r="CQ849" t="str">
        <f>""</f>
        <v/>
      </c>
      <c r="CR849" t="str">
        <f>""</f>
        <v/>
      </c>
      <c r="CS849" t="str">
        <f>""</f>
        <v/>
      </c>
      <c r="CT849" t="str">
        <f>""</f>
        <v/>
      </c>
      <c r="CU849" t="str">
        <f>""</f>
        <v/>
      </c>
      <c r="CV849" t="str">
        <f>""</f>
        <v/>
      </c>
      <c r="CW849" t="str">
        <f>""</f>
        <v/>
      </c>
      <c r="CX849" t="str">
        <f>""</f>
        <v/>
      </c>
      <c r="CY849" t="str">
        <f>""</f>
        <v/>
      </c>
      <c r="CZ849" t="str">
        <f>""</f>
        <v/>
      </c>
      <c r="DA849" t="str">
        <f>""</f>
        <v/>
      </c>
      <c r="DB849" t="str">
        <f>""</f>
        <v/>
      </c>
      <c r="DC849" t="str">
        <f>""</f>
        <v/>
      </c>
      <c r="DD849" t="str">
        <f>""</f>
        <v/>
      </c>
      <c r="DE849" t="str">
        <f>""</f>
        <v/>
      </c>
      <c r="DF849" t="str">
        <f>""</f>
        <v/>
      </c>
      <c r="DG849" t="str">
        <f>""</f>
        <v/>
      </c>
      <c r="DH849" t="str">
        <f>""</f>
        <v/>
      </c>
      <c r="DI849" t="str">
        <f>""</f>
        <v/>
      </c>
      <c r="DJ849" t="str">
        <f>""</f>
        <v/>
      </c>
      <c r="DK849" t="str">
        <f>""</f>
        <v/>
      </c>
      <c r="DL849" t="str">
        <f>""</f>
        <v/>
      </c>
      <c r="DM849" t="str">
        <f>""</f>
        <v/>
      </c>
      <c r="DN849" t="str">
        <f>""</f>
        <v/>
      </c>
      <c r="DO849" t="str">
        <f>""</f>
        <v/>
      </c>
      <c r="DP849" t="str">
        <f>""</f>
        <v/>
      </c>
      <c r="DQ849" t="str">
        <f>""</f>
        <v/>
      </c>
      <c r="DR849" t="str">
        <f>""</f>
        <v/>
      </c>
      <c r="DS849" t="str">
        <f>""</f>
        <v/>
      </c>
      <c r="DT849" t="str">
        <f>""</f>
        <v/>
      </c>
      <c r="DU849" t="str">
        <f>""</f>
        <v/>
      </c>
    </row>
    <row r="850" spans="1:125" x14ac:dyDescent="0.25">
      <c r="A850" t="str">
        <f>$A$349</f>
        <v xml:space="preserve">    Great Wall Motor Co Ltd</v>
      </c>
      <c r="B850" t="str">
        <f>$B$349</f>
        <v>2333 HK Equity</v>
      </c>
      <c r="C850" t="str">
        <f>$C$349</f>
        <v>RX530</v>
      </c>
      <c r="D850" t="str">
        <f>$D$349</f>
        <v>T12M_DVDS_PAID</v>
      </c>
      <c r="E850" t="str">
        <f>$E$349</f>
        <v>Dynamic</v>
      </c>
      <c r="F850" t="str">
        <f ca="1">_xll.BDH($B$349,$C$349,$B$509,$B$510,CONCATENATE("Per=",$B$507),"Dts=H","Dir=H",CONCATENATE("Points=",$B$508),"Sort=R","Days=A","Fill=B",CONCATENATE("FX=", $B$506) )</f>
        <v>#N/A Connection</v>
      </c>
      <c r="BN850" t="str">
        <f>""</f>
        <v/>
      </c>
      <c r="BO850" t="str">
        <f>""</f>
        <v/>
      </c>
      <c r="BP850" t="str">
        <f>""</f>
        <v/>
      </c>
      <c r="BQ850" t="str">
        <f>""</f>
        <v/>
      </c>
      <c r="BR850" t="str">
        <f>""</f>
        <v/>
      </c>
      <c r="BS850" t="str">
        <f>""</f>
        <v/>
      </c>
      <c r="BT850" t="str">
        <f>""</f>
        <v/>
      </c>
      <c r="BU850" t="str">
        <f>""</f>
        <v/>
      </c>
      <c r="BV850" t="str">
        <f>""</f>
        <v/>
      </c>
      <c r="BW850" t="str">
        <f>""</f>
        <v/>
      </c>
      <c r="BX850" t="str">
        <f>""</f>
        <v/>
      </c>
      <c r="BY850" t="str">
        <f>""</f>
        <v/>
      </c>
      <c r="BZ850" t="str">
        <f>""</f>
        <v/>
      </c>
      <c r="CA850" t="str">
        <f>""</f>
        <v/>
      </c>
      <c r="CB850" t="str">
        <f>""</f>
        <v/>
      </c>
      <c r="CC850" t="str">
        <f>""</f>
        <v/>
      </c>
      <c r="CD850" t="str">
        <f>""</f>
        <v/>
      </c>
      <c r="CE850" t="str">
        <f>""</f>
        <v/>
      </c>
      <c r="CF850" t="str">
        <f>""</f>
        <v/>
      </c>
      <c r="CG850" t="str">
        <f>""</f>
        <v/>
      </c>
      <c r="CH850" t="str">
        <f>""</f>
        <v/>
      </c>
      <c r="CI850" t="str">
        <f>""</f>
        <v/>
      </c>
      <c r="CJ850" t="str">
        <f>""</f>
        <v/>
      </c>
      <c r="CK850" t="str">
        <f>""</f>
        <v/>
      </c>
      <c r="CL850" t="str">
        <f>""</f>
        <v/>
      </c>
      <c r="CM850" t="str">
        <f>""</f>
        <v/>
      </c>
      <c r="CN850" t="str">
        <f>""</f>
        <v/>
      </c>
      <c r="CO850" t="str">
        <f>""</f>
        <v/>
      </c>
      <c r="CP850" t="str">
        <f>""</f>
        <v/>
      </c>
      <c r="CQ850" t="str">
        <f>""</f>
        <v/>
      </c>
      <c r="CR850" t="str">
        <f>""</f>
        <v/>
      </c>
      <c r="CS850" t="str">
        <f>""</f>
        <v/>
      </c>
      <c r="CT850" t="str">
        <f>""</f>
        <v/>
      </c>
      <c r="CU850" t="str">
        <f>""</f>
        <v/>
      </c>
      <c r="CV850" t="str">
        <f>""</f>
        <v/>
      </c>
      <c r="CW850" t="str">
        <f>""</f>
        <v/>
      </c>
      <c r="CX850" t="str">
        <f>""</f>
        <v/>
      </c>
      <c r="CY850" t="str">
        <f>""</f>
        <v/>
      </c>
      <c r="CZ850" t="str">
        <f>""</f>
        <v/>
      </c>
      <c r="DA850" t="str">
        <f>""</f>
        <v/>
      </c>
      <c r="DB850" t="str">
        <f>""</f>
        <v/>
      </c>
      <c r="DC850" t="str">
        <f>""</f>
        <v/>
      </c>
      <c r="DD850" t="str">
        <f>""</f>
        <v/>
      </c>
      <c r="DE850" t="str">
        <f>""</f>
        <v/>
      </c>
      <c r="DF850" t="str">
        <f>""</f>
        <v/>
      </c>
      <c r="DG850" t="str">
        <f>""</f>
        <v/>
      </c>
      <c r="DH850" t="str">
        <f>""</f>
        <v/>
      </c>
      <c r="DI850" t="str">
        <f>""</f>
        <v/>
      </c>
      <c r="DJ850" t="str">
        <f>""</f>
        <v/>
      </c>
      <c r="DK850" t="str">
        <f>""</f>
        <v/>
      </c>
      <c r="DL850" t="str">
        <f>""</f>
        <v/>
      </c>
      <c r="DM850" t="str">
        <f>""</f>
        <v/>
      </c>
      <c r="DN850" t="str">
        <f>""</f>
        <v/>
      </c>
      <c r="DO850" t="str">
        <f>""</f>
        <v/>
      </c>
      <c r="DP850" t="str">
        <f>""</f>
        <v/>
      </c>
      <c r="DQ850" t="str">
        <f>""</f>
        <v/>
      </c>
      <c r="DR850" t="str">
        <f>""</f>
        <v/>
      </c>
      <c r="DS850" t="str">
        <f>""</f>
        <v/>
      </c>
      <c r="DT850" t="str">
        <f>""</f>
        <v/>
      </c>
      <c r="DU850" t="str">
        <f>""</f>
        <v/>
      </c>
    </row>
    <row r="851" spans="1:125" x14ac:dyDescent="0.25">
      <c r="A851" t="str">
        <f>$A$350</f>
        <v xml:space="preserve">    Guangzhou Automobile Group Co Ltd</v>
      </c>
      <c r="B851" t="str">
        <f>$B$350</f>
        <v>2238 HK Equity</v>
      </c>
      <c r="C851" t="str">
        <f>$C$350</f>
        <v>RX530</v>
      </c>
      <c r="D851" t="str">
        <f>$D$350</f>
        <v>T12M_DVDS_PAID</v>
      </c>
      <c r="E851" t="str">
        <f>$E$350</f>
        <v>Dynamic</v>
      </c>
      <c r="F851" t="str">
        <f ca="1">_xll.BDH($B$350,$C$350,$B$509,$B$510,CONCATENATE("Per=",$B$507),"Dts=H","Dir=H",CONCATENATE("Points=",$B$508),"Sort=R","Days=A","Fill=B",CONCATENATE("FX=", $B$506) )</f>
        <v>#N/A Connection</v>
      </c>
      <c r="BN851" t="str">
        <f>""</f>
        <v/>
      </c>
      <c r="BO851" t="str">
        <f>""</f>
        <v/>
      </c>
      <c r="BP851" t="str">
        <f>""</f>
        <v/>
      </c>
      <c r="BQ851" t="str">
        <f>""</f>
        <v/>
      </c>
      <c r="BR851" t="str">
        <f>""</f>
        <v/>
      </c>
      <c r="BS851" t="str">
        <f>""</f>
        <v/>
      </c>
      <c r="BT851" t="str">
        <f>""</f>
        <v/>
      </c>
      <c r="BU851" t="str">
        <f>""</f>
        <v/>
      </c>
      <c r="BV851" t="str">
        <f>""</f>
        <v/>
      </c>
      <c r="BW851" t="str">
        <f>""</f>
        <v/>
      </c>
      <c r="BX851" t="str">
        <f>""</f>
        <v/>
      </c>
      <c r="BY851" t="str">
        <f>""</f>
        <v/>
      </c>
      <c r="BZ851" t="str">
        <f>""</f>
        <v/>
      </c>
      <c r="CA851" t="str">
        <f>""</f>
        <v/>
      </c>
      <c r="CB851" t="str">
        <f>""</f>
        <v/>
      </c>
      <c r="CC851" t="str">
        <f>""</f>
        <v/>
      </c>
      <c r="CD851" t="str">
        <f>""</f>
        <v/>
      </c>
      <c r="CE851" t="str">
        <f>""</f>
        <v/>
      </c>
      <c r="CF851" t="str">
        <f>""</f>
        <v/>
      </c>
      <c r="CG851" t="str">
        <f>""</f>
        <v/>
      </c>
      <c r="CH851" t="str">
        <f>""</f>
        <v/>
      </c>
      <c r="CI851" t="str">
        <f>""</f>
        <v/>
      </c>
      <c r="CJ851" t="str">
        <f>""</f>
        <v/>
      </c>
      <c r="CK851" t="str">
        <f>""</f>
        <v/>
      </c>
      <c r="CL851" t="str">
        <f>""</f>
        <v/>
      </c>
      <c r="CM851" t="str">
        <f>""</f>
        <v/>
      </c>
      <c r="CN851" t="str">
        <f>""</f>
        <v/>
      </c>
      <c r="CO851" t="str">
        <f>""</f>
        <v/>
      </c>
      <c r="CP851" t="str">
        <f>""</f>
        <v/>
      </c>
      <c r="CQ851" t="str">
        <f>""</f>
        <v/>
      </c>
      <c r="CR851" t="str">
        <f>""</f>
        <v/>
      </c>
      <c r="CS851" t="str">
        <f>""</f>
        <v/>
      </c>
      <c r="CT851" t="str">
        <f>""</f>
        <v/>
      </c>
      <c r="CU851" t="str">
        <f>""</f>
        <v/>
      </c>
      <c r="CV851" t="str">
        <f>""</f>
        <v/>
      </c>
      <c r="CW851" t="str">
        <f>""</f>
        <v/>
      </c>
      <c r="CX851" t="str">
        <f>""</f>
        <v/>
      </c>
      <c r="CY851" t="str">
        <f>""</f>
        <v/>
      </c>
      <c r="CZ851" t="str">
        <f>""</f>
        <v/>
      </c>
      <c r="DA851" t="str">
        <f>""</f>
        <v/>
      </c>
      <c r="DB851" t="str">
        <f>""</f>
        <v/>
      </c>
      <c r="DC851" t="str">
        <f>""</f>
        <v/>
      </c>
      <c r="DD851" t="str">
        <f>""</f>
        <v/>
      </c>
      <c r="DE851" t="str">
        <f>""</f>
        <v/>
      </c>
      <c r="DF851" t="str">
        <f>""</f>
        <v/>
      </c>
      <c r="DG851" t="str">
        <f>""</f>
        <v/>
      </c>
      <c r="DH851" t="str">
        <f>""</f>
        <v/>
      </c>
      <c r="DI851" t="str">
        <f>""</f>
        <v/>
      </c>
      <c r="DJ851" t="str">
        <f>""</f>
        <v/>
      </c>
      <c r="DK851" t="str">
        <f>""</f>
        <v/>
      </c>
      <c r="DL851" t="str">
        <f>""</f>
        <v/>
      </c>
      <c r="DM851" t="str">
        <f>""</f>
        <v/>
      </c>
      <c r="DN851" t="str">
        <f>""</f>
        <v/>
      </c>
      <c r="DO851" t="str">
        <f>""</f>
        <v/>
      </c>
      <c r="DP851" t="str">
        <f>""</f>
        <v/>
      </c>
      <c r="DQ851" t="str">
        <f>""</f>
        <v/>
      </c>
      <c r="DR851" t="str">
        <f>""</f>
        <v/>
      </c>
      <c r="DS851" t="str">
        <f>""</f>
        <v/>
      </c>
      <c r="DT851" t="str">
        <f>""</f>
        <v/>
      </c>
      <c r="DU851" t="str">
        <f>""</f>
        <v/>
      </c>
    </row>
    <row r="852" spans="1:125" x14ac:dyDescent="0.25">
      <c r="A852" t="str">
        <f>$A$351</f>
        <v xml:space="preserve">    Honda Motor Co Ltd</v>
      </c>
      <c r="B852" t="str">
        <f>$B$351</f>
        <v>7267 JP Equity</v>
      </c>
      <c r="C852" t="str">
        <f>$C$351</f>
        <v>RX530</v>
      </c>
      <c r="D852" t="str">
        <f>$D$351</f>
        <v>T12M_DVDS_PAID</v>
      </c>
      <c r="E852" t="str">
        <f>$E$351</f>
        <v>Dynamic</v>
      </c>
      <c r="F852" t="str">
        <f ca="1">_xll.BDH($B$351,$C$351,$B$509,$B$510,CONCATENATE("Per=",$B$507),"Dts=H","Dir=H",CONCATENATE("Points=",$B$508),"Sort=R","Days=A","Fill=B",CONCATENATE("FX=", $B$506) )</f>
        <v>#N/A Connection</v>
      </c>
      <c r="BN852" t="str">
        <f>""</f>
        <v/>
      </c>
      <c r="BO852" t="str">
        <f>""</f>
        <v/>
      </c>
      <c r="BP852" t="str">
        <f>""</f>
        <v/>
      </c>
      <c r="BQ852" t="str">
        <f>""</f>
        <v/>
      </c>
      <c r="BR852" t="str">
        <f>""</f>
        <v/>
      </c>
      <c r="BS852" t="str">
        <f>""</f>
        <v/>
      </c>
      <c r="BT852" t="str">
        <f>""</f>
        <v/>
      </c>
      <c r="BU852" t="str">
        <f>""</f>
        <v/>
      </c>
      <c r="BV852" t="str">
        <f>""</f>
        <v/>
      </c>
      <c r="BW852" t="str">
        <f>""</f>
        <v/>
      </c>
      <c r="BX852" t="str">
        <f>""</f>
        <v/>
      </c>
      <c r="BY852" t="str">
        <f>""</f>
        <v/>
      </c>
      <c r="BZ852" t="str">
        <f>""</f>
        <v/>
      </c>
      <c r="CA852" t="str">
        <f>""</f>
        <v/>
      </c>
      <c r="CB852" t="str">
        <f>""</f>
        <v/>
      </c>
      <c r="CC852" t="str">
        <f>""</f>
        <v/>
      </c>
      <c r="CD852" t="str">
        <f>""</f>
        <v/>
      </c>
      <c r="CE852" t="str">
        <f>""</f>
        <v/>
      </c>
      <c r="CF852" t="str">
        <f>""</f>
        <v/>
      </c>
      <c r="CG852" t="str">
        <f>""</f>
        <v/>
      </c>
      <c r="CH852" t="str">
        <f>""</f>
        <v/>
      </c>
      <c r="CI852" t="str">
        <f>""</f>
        <v/>
      </c>
      <c r="CJ852" t="str">
        <f>""</f>
        <v/>
      </c>
      <c r="CK852" t="str">
        <f>""</f>
        <v/>
      </c>
      <c r="CL852" t="str">
        <f>""</f>
        <v/>
      </c>
      <c r="CM852" t="str">
        <f>""</f>
        <v/>
      </c>
      <c r="CN852" t="str">
        <f>""</f>
        <v/>
      </c>
      <c r="CO852" t="str">
        <f>""</f>
        <v/>
      </c>
      <c r="CP852" t="str">
        <f>""</f>
        <v/>
      </c>
      <c r="CQ852" t="str">
        <f>""</f>
        <v/>
      </c>
      <c r="CR852" t="str">
        <f>""</f>
        <v/>
      </c>
      <c r="CS852" t="str">
        <f>""</f>
        <v/>
      </c>
      <c r="CT852" t="str">
        <f>""</f>
        <v/>
      </c>
      <c r="CU852" t="str">
        <f>""</f>
        <v/>
      </c>
      <c r="CV852" t="str">
        <f>""</f>
        <v/>
      </c>
      <c r="CW852" t="str">
        <f>""</f>
        <v/>
      </c>
      <c r="CX852" t="str">
        <f>""</f>
        <v/>
      </c>
      <c r="CY852" t="str">
        <f>""</f>
        <v/>
      </c>
      <c r="CZ852" t="str">
        <f>""</f>
        <v/>
      </c>
      <c r="DA852" t="str">
        <f>""</f>
        <v/>
      </c>
      <c r="DB852" t="str">
        <f>""</f>
        <v/>
      </c>
      <c r="DC852" t="str">
        <f>""</f>
        <v/>
      </c>
      <c r="DD852" t="str">
        <f>""</f>
        <v/>
      </c>
      <c r="DE852" t="str">
        <f>""</f>
        <v/>
      </c>
      <c r="DF852" t="str">
        <f>""</f>
        <v/>
      </c>
      <c r="DG852" t="str">
        <f>""</f>
        <v/>
      </c>
      <c r="DH852" t="str">
        <f>""</f>
        <v/>
      </c>
      <c r="DI852" t="str">
        <f>""</f>
        <v/>
      </c>
      <c r="DJ852" t="str">
        <f>""</f>
        <v/>
      </c>
      <c r="DK852" t="str">
        <f>""</f>
        <v/>
      </c>
      <c r="DL852" t="str">
        <f>""</f>
        <v/>
      </c>
      <c r="DM852" t="str">
        <f>""</f>
        <v/>
      </c>
      <c r="DN852" t="str">
        <f>""</f>
        <v/>
      </c>
      <c r="DO852" t="str">
        <f>""</f>
        <v/>
      </c>
      <c r="DP852" t="str">
        <f>""</f>
        <v/>
      </c>
      <c r="DQ852" t="str">
        <f>""</f>
        <v/>
      </c>
      <c r="DR852" t="str">
        <f>""</f>
        <v/>
      </c>
      <c r="DS852" t="str">
        <f>""</f>
        <v/>
      </c>
      <c r="DT852" t="str">
        <f>""</f>
        <v/>
      </c>
      <c r="DU852" t="str">
        <f>""</f>
        <v/>
      </c>
    </row>
    <row r="853" spans="1:125" x14ac:dyDescent="0.25">
      <c r="A853" t="str">
        <f>$A$352</f>
        <v xml:space="preserve">    Hyundai Motor Co</v>
      </c>
      <c r="B853" t="str">
        <f>$B$352</f>
        <v>005380 KS Equity</v>
      </c>
      <c r="C853" t="str">
        <f>$C$352</f>
        <v>RX530</v>
      </c>
      <c r="D853" t="str">
        <f>$D$352</f>
        <v>T12M_DVDS_PAID</v>
      </c>
      <c r="E853" t="str">
        <f>$E$352</f>
        <v>Dynamic</v>
      </c>
      <c r="F853" t="str">
        <f ca="1">_xll.BDH($B$352,$C$352,$B$509,$B$510,CONCATENATE("Per=",$B$507),"Dts=H","Dir=H",CONCATENATE("Points=",$B$508),"Sort=R","Days=A","Fill=B",CONCATENATE("FX=", $B$506) )</f>
        <v>#N/A Connection</v>
      </c>
      <c r="BN853" t="str">
        <f>""</f>
        <v/>
      </c>
      <c r="BO853" t="str">
        <f>""</f>
        <v/>
      </c>
      <c r="BP853" t="str">
        <f>""</f>
        <v/>
      </c>
      <c r="BQ853" t="str">
        <f>""</f>
        <v/>
      </c>
      <c r="BR853" t="str">
        <f>""</f>
        <v/>
      </c>
      <c r="BS853" t="str">
        <f>""</f>
        <v/>
      </c>
      <c r="BT853" t="str">
        <f>""</f>
        <v/>
      </c>
      <c r="BU853" t="str">
        <f>""</f>
        <v/>
      </c>
      <c r="BV853" t="str">
        <f>""</f>
        <v/>
      </c>
      <c r="BW853" t="str">
        <f>""</f>
        <v/>
      </c>
      <c r="BX853" t="str">
        <f>""</f>
        <v/>
      </c>
      <c r="BY853" t="str">
        <f>""</f>
        <v/>
      </c>
      <c r="BZ853" t="str">
        <f>""</f>
        <v/>
      </c>
      <c r="CA853" t="str">
        <f>""</f>
        <v/>
      </c>
      <c r="CB853" t="str">
        <f>""</f>
        <v/>
      </c>
      <c r="CC853" t="str">
        <f>""</f>
        <v/>
      </c>
      <c r="CD853" t="str">
        <f>""</f>
        <v/>
      </c>
      <c r="CE853" t="str">
        <f>""</f>
        <v/>
      </c>
      <c r="CF853" t="str">
        <f>""</f>
        <v/>
      </c>
      <c r="CG853" t="str">
        <f>""</f>
        <v/>
      </c>
      <c r="CH853" t="str">
        <f>""</f>
        <v/>
      </c>
      <c r="CI853" t="str">
        <f>""</f>
        <v/>
      </c>
      <c r="CJ853" t="str">
        <f>""</f>
        <v/>
      </c>
      <c r="CK853" t="str">
        <f>""</f>
        <v/>
      </c>
      <c r="CL853" t="str">
        <f>""</f>
        <v/>
      </c>
      <c r="CM853" t="str">
        <f>""</f>
        <v/>
      </c>
      <c r="CN853" t="str">
        <f>""</f>
        <v/>
      </c>
      <c r="CO853" t="str">
        <f>""</f>
        <v/>
      </c>
      <c r="CP853" t="str">
        <f>""</f>
        <v/>
      </c>
      <c r="CQ853" t="str">
        <f>""</f>
        <v/>
      </c>
      <c r="CR853" t="str">
        <f>""</f>
        <v/>
      </c>
      <c r="CS853" t="str">
        <f>""</f>
        <v/>
      </c>
      <c r="CT853" t="str">
        <f>""</f>
        <v/>
      </c>
      <c r="CU853" t="str">
        <f>""</f>
        <v/>
      </c>
      <c r="CV853" t="str">
        <f>""</f>
        <v/>
      </c>
      <c r="CW853" t="str">
        <f>""</f>
        <v/>
      </c>
      <c r="CX853" t="str">
        <f>""</f>
        <v/>
      </c>
      <c r="CY853" t="str">
        <f>""</f>
        <v/>
      </c>
      <c r="CZ853" t="str">
        <f>""</f>
        <v/>
      </c>
      <c r="DA853" t="str">
        <f>""</f>
        <v/>
      </c>
      <c r="DB853" t="str">
        <f>""</f>
        <v/>
      </c>
      <c r="DC853" t="str">
        <f>""</f>
        <v/>
      </c>
      <c r="DD853" t="str">
        <f>""</f>
        <v/>
      </c>
      <c r="DE853" t="str">
        <f>""</f>
        <v/>
      </c>
      <c r="DF853" t="str">
        <f>""</f>
        <v/>
      </c>
      <c r="DG853" t="str">
        <f>""</f>
        <v/>
      </c>
      <c r="DH853" t="str">
        <f>""</f>
        <v/>
      </c>
      <c r="DI853" t="str">
        <f>""</f>
        <v/>
      </c>
      <c r="DJ853" t="str">
        <f>""</f>
        <v/>
      </c>
      <c r="DK853" t="str">
        <f>""</f>
        <v/>
      </c>
      <c r="DL853" t="str">
        <f>""</f>
        <v/>
      </c>
      <c r="DM853" t="str">
        <f>""</f>
        <v/>
      </c>
      <c r="DN853" t="str">
        <f>""</f>
        <v/>
      </c>
      <c r="DO853" t="str">
        <f>""</f>
        <v/>
      </c>
      <c r="DP853" t="str">
        <f>""</f>
        <v/>
      </c>
      <c r="DQ853" t="str">
        <f>""</f>
        <v/>
      </c>
      <c r="DR853" t="str">
        <f>""</f>
        <v/>
      </c>
      <c r="DS853" t="str">
        <f>""</f>
        <v/>
      </c>
      <c r="DT853" t="str">
        <f>""</f>
        <v/>
      </c>
      <c r="DU853" t="str">
        <f>""</f>
        <v/>
      </c>
    </row>
    <row r="854" spans="1:125" x14ac:dyDescent="0.25">
      <c r="A854" t="str">
        <f>$A$353</f>
        <v xml:space="preserve">    Kia Motors Corp</v>
      </c>
      <c r="B854" t="str">
        <f>$B$353</f>
        <v>000270 KS Equity</v>
      </c>
      <c r="C854" t="str">
        <f>$C$353</f>
        <v>RX530</v>
      </c>
      <c r="D854" t="str">
        <f>$D$353</f>
        <v>T12M_DVDS_PAID</v>
      </c>
      <c r="E854" t="str">
        <f>$E$353</f>
        <v>Dynamic</v>
      </c>
      <c r="F854" t="str">
        <f ca="1">_xll.BDH($B$353,$C$353,$B$509,$B$510,CONCATENATE("Per=",$B$507),"Dts=H","Dir=H",CONCATENATE("Points=",$B$508),"Sort=R","Days=A","Fill=B",CONCATENATE("FX=", $B$506) )</f>
        <v>#N/A Connection</v>
      </c>
      <c r="BN854" t="str">
        <f>""</f>
        <v/>
      </c>
      <c r="BO854" t="str">
        <f>""</f>
        <v/>
      </c>
      <c r="BP854" t="str">
        <f>""</f>
        <v/>
      </c>
      <c r="BQ854" t="str">
        <f>""</f>
        <v/>
      </c>
      <c r="BR854" t="str">
        <f>""</f>
        <v/>
      </c>
      <c r="BS854" t="str">
        <f>""</f>
        <v/>
      </c>
      <c r="BT854" t="str">
        <f>""</f>
        <v/>
      </c>
      <c r="BU854" t="str">
        <f>""</f>
        <v/>
      </c>
      <c r="BV854" t="str">
        <f>""</f>
        <v/>
      </c>
      <c r="BW854" t="str">
        <f>""</f>
        <v/>
      </c>
      <c r="BX854" t="str">
        <f>""</f>
        <v/>
      </c>
      <c r="BY854" t="str">
        <f>""</f>
        <v/>
      </c>
      <c r="BZ854" t="str">
        <f>""</f>
        <v/>
      </c>
      <c r="CA854" t="str">
        <f>""</f>
        <v/>
      </c>
      <c r="CB854" t="str">
        <f>""</f>
        <v/>
      </c>
      <c r="CC854" t="str">
        <f>""</f>
        <v/>
      </c>
      <c r="CD854" t="str">
        <f>""</f>
        <v/>
      </c>
      <c r="CE854" t="str">
        <f>""</f>
        <v/>
      </c>
      <c r="CF854" t="str">
        <f>""</f>
        <v/>
      </c>
      <c r="CG854" t="str">
        <f>""</f>
        <v/>
      </c>
      <c r="CH854" t="str">
        <f>""</f>
        <v/>
      </c>
      <c r="CI854" t="str">
        <f>""</f>
        <v/>
      </c>
      <c r="CJ854" t="str">
        <f>""</f>
        <v/>
      </c>
      <c r="CK854" t="str">
        <f>""</f>
        <v/>
      </c>
      <c r="CL854" t="str">
        <f>""</f>
        <v/>
      </c>
      <c r="CM854" t="str">
        <f>""</f>
        <v/>
      </c>
      <c r="CN854" t="str">
        <f>""</f>
        <v/>
      </c>
      <c r="CO854" t="str">
        <f>""</f>
        <v/>
      </c>
      <c r="CP854" t="str">
        <f>""</f>
        <v/>
      </c>
      <c r="CQ854" t="str">
        <f>""</f>
        <v/>
      </c>
      <c r="CR854" t="str">
        <f>""</f>
        <v/>
      </c>
      <c r="CS854" t="str">
        <f>""</f>
        <v/>
      </c>
      <c r="CT854" t="str">
        <f>""</f>
        <v/>
      </c>
      <c r="CU854" t="str">
        <f>""</f>
        <v/>
      </c>
      <c r="CV854" t="str">
        <f>""</f>
        <v/>
      </c>
      <c r="CW854" t="str">
        <f>""</f>
        <v/>
      </c>
      <c r="CX854" t="str">
        <f>""</f>
        <v/>
      </c>
      <c r="CY854" t="str">
        <f>""</f>
        <v/>
      </c>
      <c r="CZ854" t="str">
        <f>""</f>
        <v/>
      </c>
      <c r="DA854" t="str">
        <f>""</f>
        <v/>
      </c>
      <c r="DB854" t="str">
        <f>""</f>
        <v/>
      </c>
      <c r="DC854" t="str">
        <f>""</f>
        <v/>
      </c>
      <c r="DD854" t="str">
        <f>""</f>
        <v/>
      </c>
      <c r="DE854" t="str">
        <f>""</f>
        <v/>
      </c>
      <c r="DF854" t="str">
        <f>""</f>
        <v/>
      </c>
      <c r="DG854" t="str">
        <f>""</f>
        <v/>
      </c>
      <c r="DH854" t="str">
        <f>""</f>
        <v/>
      </c>
      <c r="DI854" t="str">
        <f>""</f>
        <v/>
      </c>
      <c r="DJ854" t="str">
        <f>""</f>
        <v/>
      </c>
      <c r="DK854" t="str">
        <f>""</f>
        <v/>
      </c>
      <c r="DL854" t="str">
        <f>""</f>
        <v/>
      </c>
      <c r="DM854" t="str">
        <f>""</f>
        <v/>
      </c>
      <c r="DN854" t="str">
        <f>""</f>
        <v/>
      </c>
      <c r="DO854" t="str">
        <f>""</f>
        <v/>
      </c>
      <c r="DP854" t="str">
        <f>""</f>
        <v/>
      </c>
      <c r="DQ854" t="str">
        <f>""</f>
        <v/>
      </c>
      <c r="DR854" t="str">
        <f>""</f>
        <v/>
      </c>
      <c r="DS854" t="str">
        <f>""</f>
        <v/>
      </c>
      <c r="DT854" t="str">
        <f>""</f>
        <v/>
      </c>
      <c r="DU854" t="str">
        <f>""</f>
        <v/>
      </c>
    </row>
    <row r="855" spans="1:125" x14ac:dyDescent="0.25">
      <c r="A855" t="str">
        <f>$A$354</f>
        <v xml:space="preserve">    Mazda Motor Corp</v>
      </c>
      <c r="B855" t="str">
        <f>$B$354</f>
        <v>7261 JP Equity</v>
      </c>
      <c r="C855" t="str">
        <f>$C$354</f>
        <v>RX530</v>
      </c>
      <c r="D855" t="str">
        <f>$D$354</f>
        <v>T12M_DVDS_PAID</v>
      </c>
      <c r="E855" t="str">
        <f>$E$354</f>
        <v>Dynamic</v>
      </c>
      <c r="F855" t="str">
        <f ca="1">_xll.BDH($B$354,$C$354,$B$509,$B$510,CONCATENATE("Per=",$B$507),"Dts=H","Dir=H",CONCATENATE("Points=",$B$508),"Sort=R","Days=A","Fill=B",CONCATENATE("FX=", $B$506) )</f>
        <v>#N/A Connection</v>
      </c>
      <c r="BN855" t="str">
        <f>""</f>
        <v/>
      </c>
      <c r="BO855" t="str">
        <f>""</f>
        <v/>
      </c>
      <c r="BP855" t="str">
        <f>""</f>
        <v/>
      </c>
      <c r="BQ855" t="str">
        <f>""</f>
        <v/>
      </c>
      <c r="BR855" t="str">
        <f>""</f>
        <v/>
      </c>
      <c r="BS855" t="str">
        <f>""</f>
        <v/>
      </c>
      <c r="BT855" t="str">
        <f>""</f>
        <v/>
      </c>
      <c r="BU855" t="str">
        <f>""</f>
        <v/>
      </c>
      <c r="BV855" t="str">
        <f>""</f>
        <v/>
      </c>
      <c r="BW855" t="str">
        <f>""</f>
        <v/>
      </c>
      <c r="BX855" t="str">
        <f>""</f>
        <v/>
      </c>
      <c r="BY855" t="str">
        <f>""</f>
        <v/>
      </c>
      <c r="BZ855" t="str">
        <f>""</f>
        <v/>
      </c>
      <c r="CA855" t="str">
        <f>""</f>
        <v/>
      </c>
      <c r="CB855" t="str">
        <f>""</f>
        <v/>
      </c>
      <c r="CC855" t="str">
        <f>""</f>
        <v/>
      </c>
      <c r="CD855" t="str">
        <f>""</f>
        <v/>
      </c>
      <c r="CE855" t="str">
        <f>""</f>
        <v/>
      </c>
      <c r="CF855" t="str">
        <f>""</f>
        <v/>
      </c>
      <c r="CG855" t="str">
        <f>""</f>
        <v/>
      </c>
      <c r="CH855" t="str">
        <f>""</f>
        <v/>
      </c>
      <c r="CI855" t="str">
        <f>""</f>
        <v/>
      </c>
      <c r="CJ855" t="str">
        <f>""</f>
        <v/>
      </c>
      <c r="CK855" t="str">
        <f>""</f>
        <v/>
      </c>
      <c r="CL855" t="str">
        <f>""</f>
        <v/>
      </c>
      <c r="CM855" t="str">
        <f>""</f>
        <v/>
      </c>
      <c r="CN855" t="str">
        <f>""</f>
        <v/>
      </c>
      <c r="CO855" t="str">
        <f>""</f>
        <v/>
      </c>
      <c r="CP855" t="str">
        <f>""</f>
        <v/>
      </c>
      <c r="CQ855" t="str">
        <f>""</f>
        <v/>
      </c>
      <c r="CR855" t="str">
        <f>""</f>
        <v/>
      </c>
      <c r="CS855" t="str">
        <f>""</f>
        <v/>
      </c>
      <c r="CT855" t="str">
        <f>""</f>
        <v/>
      </c>
      <c r="CU855" t="str">
        <f>""</f>
        <v/>
      </c>
      <c r="CV855" t="str">
        <f>""</f>
        <v/>
      </c>
      <c r="CW855" t="str">
        <f>""</f>
        <v/>
      </c>
      <c r="CX855" t="str">
        <f>""</f>
        <v/>
      </c>
      <c r="CY855" t="str">
        <f>""</f>
        <v/>
      </c>
      <c r="CZ855" t="str">
        <f>""</f>
        <v/>
      </c>
      <c r="DA855" t="str">
        <f>""</f>
        <v/>
      </c>
      <c r="DB855" t="str">
        <f>""</f>
        <v/>
      </c>
      <c r="DC855" t="str">
        <f>""</f>
        <v/>
      </c>
      <c r="DD855" t="str">
        <f>""</f>
        <v/>
      </c>
      <c r="DE855" t="str">
        <f>""</f>
        <v/>
      </c>
      <c r="DF855" t="str">
        <f>""</f>
        <v/>
      </c>
      <c r="DG855" t="str">
        <f>""</f>
        <v/>
      </c>
      <c r="DH855" t="str">
        <f>""</f>
        <v/>
      </c>
      <c r="DI855" t="str">
        <f>""</f>
        <v/>
      </c>
      <c r="DJ855" t="str">
        <f>""</f>
        <v/>
      </c>
      <c r="DK855" t="str">
        <f>""</f>
        <v/>
      </c>
      <c r="DL855" t="str">
        <f>""</f>
        <v/>
      </c>
      <c r="DM855" t="str">
        <f>""</f>
        <v/>
      </c>
      <c r="DN855" t="str">
        <f>""</f>
        <v/>
      </c>
      <c r="DO855" t="str">
        <f>""</f>
        <v/>
      </c>
      <c r="DP855" t="str">
        <f>""</f>
        <v/>
      </c>
      <c r="DQ855" t="str">
        <f>""</f>
        <v/>
      </c>
      <c r="DR855" t="str">
        <f>""</f>
        <v/>
      </c>
      <c r="DS855" t="str">
        <f>""</f>
        <v/>
      </c>
      <c r="DT855" t="str">
        <f>""</f>
        <v/>
      </c>
      <c r="DU855" t="str">
        <f>""</f>
        <v/>
      </c>
    </row>
    <row r="856" spans="1:125" x14ac:dyDescent="0.25">
      <c r="A856" t="str">
        <f>$A$355</f>
        <v xml:space="preserve">    Mitsubishi Motors Corp</v>
      </c>
      <c r="B856" t="str">
        <f>$B$355</f>
        <v>7211 JP Equity</v>
      </c>
      <c r="C856" t="str">
        <f>$C$355</f>
        <v>RX530</v>
      </c>
      <c r="D856" t="str">
        <f>$D$355</f>
        <v>T12M_DVDS_PAID</v>
      </c>
      <c r="E856" t="str">
        <f>$E$355</f>
        <v>Dynamic</v>
      </c>
      <c r="F856" t="str">
        <f ca="1">_xll.BDH($B$355,$C$355,$B$509,$B$510,CONCATENATE("Per=",$B$507),"Dts=H","Dir=H",CONCATENATE("Points=",$B$508),"Sort=R","Days=A","Fill=B",CONCATENATE("FX=", $B$506) )</f>
        <v>#N/A Connection</v>
      </c>
      <c r="BN856" t="str">
        <f>""</f>
        <v/>
      </c>
      <c r="BO856" t="str">
        <f>""</f>
        <v/>
      </c>
      <c r="BP856" t="str">
        <f>""</f>
        <v/>
      </c>
      <c r="BQ856" t="str">
        <f>""</f>
        <v/>
      </c>
      <c r="BR856" t="str">
        <f>""</f>
        <v/>
      </c>
      <c r="BS856" t="str">
        <f>""</f>
        <v/>
      </c>
      <c r="BT856" t="str">
        <f>""</f>
        <v/>
      </c>
      <c r="BU856" t="str">
        <f>""</f>
        <v/>
      </c>
      <c r="BV856" t="str">
        <f>""</f>
        <v/>
      </c>
      <c r="BW856" t="str">
        <f>""</f>
        <v/>
      </c>
      <c r="BX856" t="str">
        <f>""</f>
        <v/>
      </c>
      <c r="BY856" t="str">
        <f>""</f>
        <v/>
      </c>
      <c r="BZ856" t="str">
        <f>""</f>
        <v/>
      </c>
      <c r="CA856" t="str">
        <f>""</f>
        <v/>
      </c>
      <c r="CB856" t="str">
        <f>""</f>
        <v/>
      </c>
      <c r="CC856" t="str">
        <f>""</f>
        <v/>
      </c>
      <c r="CD856" t="str">
        <f>""</f>
        <v/>
      </c>
      <c r="CE856" t="str">
        <f>""</f>
        <v/>
      </c>
      <c r="CF856" t="str">
        <f>""</f>
        <v/>
      </c>
      <c r="CG856" t="str">
        <f>""</f>
        <v/>
      </c>
      <c r="CH856" t="str">
        <f>""</f>
        <v/>
      </c>
      <c r="CI856" t="str">
        <f>""</f>
        <v/>
      </c>
      <c r="CJ856" t="str">
        <f>""</f>
        <v/>
      </c>
      <c r="CK856" t="str">
        <f>""</f>
        <v/>
      </c>
      <c r="CL856" t="str">
        <f>""</f>
        <v/>
      </c>
      <c r="CM856" t="str">
        <f>""</f>
        <v/>
      </c>
      <c r="CN856" t="str">
        <f>""</f>
        <v/>
      </c>
      <c r="CO856" t="str">
        <f>""</f>
        <v/>
      </c>
      <c r="CP856" t="str">
        <f>""</f>
        <v/>
      </c>
      <c r="CQ856" t="str">
        <f>""</f>
        <v/>
      </c>
      <c r="CR856" t="str">
        <f>""</f>
        <v/>
      </c>
      <c r="CS856" t="str">
        <f>""</f>
        <v/>
      </c>
      <c r="CT856" t="str">
        <f>""</f>
        <v/>
      </c>
      <c r="CU856" t="str">
        <f>""</f>
        <v/>
      </c>
      <c r="CV856" t="str">
        <f>""</f>
        <v/>
      </c>
      <c r="CW856" t="str">
        <f>""</f>
        <v/>
      </c>
      <c r="CX856" t="str">
        <f>""</f>
        <v/>
      </c>
      <c r="CY856" t="str">
        <f>""</f>
        <v/>
      </c>
      <c r="CZ856" t="str">
        <f>""</f>
        <v/>
      </c>
      <c r="DA856" t="str">
        <f>""</f>
        <v/>
      </c>
      <c r="DB856" t="str">
        <f>""</f>
        <v/>
      </c>
      <c r="DC856" t="str">
        <f>""</f>
        <v/>
      </c>
      <c r="DD856" t="str">
        <f>""</f>
        <v/>
      </c>
      <c r="DE856" t="str">
        <f>""</f>
        <v/>
      </c>
      <c r="DF856" t="str">
        <f>""</f>
        <v/>
      </c>
      <c r="DG856" t="str">
        <f>""</f>
        <v/>
      </c>
      <c r="DH856" t="str">
        <f>""</f>
        <v/>
      </c>
      <c r="DI856" t="str">
        <f>""</f>
        <v/>
      </c>
      <c r="DJ856" t="str">
        <f>""</f>
        <v/>
      </c>
      <c r="DK856" t="str">
        <f>""</f>
        <v/>
      </c>
      <c r="DL856" t="str">
        <f>""</f>
        <v/>
      </c>
      <c r="DM856" t="str">
        <f>""</f>
        <v/>
      </c>
      <c r="DN856" t="str">
        <f>""</f>
        <v/>
      </c>
      <c r="DO856" t="str">
        <f>""</f>
        <v/>
      </c>
      <c r="DP856" t="str">
        <f>""</f>
        <v/>
      </c>
      <c r="DQ856" t="str">
        <f>""</f>
        <v/>
      </c>
      <c r="DR856" t="str">
        <f>""</f>
        <v/>
      </c>
      <c r="DS856" t="str">
        <f>""</f>
        <v/>
      </c>
      <c r="DT856" t="str">
        <f>""</f>
        <v/>
      </c>
      <c r="DU856" t="str">
        <f>""</f>
        <v/>
      </c>
    </row>
    <row r="857" spans="1:125" x14ac:dyDescent="0.25">
      <c r="A857" t="str">
        <f>$A$356</f>
        <v xml:space="preserve">    Nissan Motor Co Ltd</v>
      </c>
      <c r="B857" t="str">
        <f>$B$356</f>
        <v>7201 JP Equity</v>
      </c>
      <c r="C857" t="str">
        <f>$C$356</f>
        <v>RX530</v>
      </c>
      <c r="D857" t="str">
        <f>$D$356</f>
        <v>T12M_DVDS_PAID</v>
      </c>
      <c r="E857" t="str">
        <f>$E$356</f>
        <v>Dynamic</v>
      </c>
      <c r="F857" t="str">
        <f ca="1">_xll.BDH($B$356,$C$356,$B$509,$B$510,CONCATENATE("Per=",$B$507),"Dts=H","Dir=H",CONCATENATE("Points=",$B$508),"Sort=R","Days=A","Fill=B",CONCATENATE("FX=", $B$506) )</f>
        <v>#N/A Connection</v>
      </c>
      <c r="BN857" t="str">
        <f>""</f>
        <v/>
      </c>
      <c r="BO857" t="str">
        <f>""</f>
        <v/>
      </c>
      <c r="BP857" t="str">
        <f>""</f>
        <v/>
      </c>
      <c r="BQ857" t="str">
        <f>""</f>
        <v/>
      </c>
      <c r="BR857" t="str">
        <f>""</f>
        <v/>
      </c>
      <c r="BS857" t="str">
        <f>""</f>
        <v/>
      </c>
      <c r="BT857" t="str">
        <f>""</f>
        <v/>
      </c>
      <c r="BU857" t="str">
        <f>""</f>
        <v/>
      </c>
      <c r="BV857" t="str">
        <f>""</f>
        <v/>
      </c>
      <c r="BW857" t="str">
        <f>""</f>
        <v/>
      </c>
      <c r="BX857" t="str">
        <f>""</f>
        <v/>
      </c>
      <c r="BY857" t="str">
        <f>""</f>
        <v/>
      </c>
      <c r="BZ857" t="str">
        <f>""</f>
        <v/>
      </c>
      <c r="CA857" t="str">
        <f>""</f>
        <v/>
      </c>
      <c r="CB857" t="str">
        <f>""</f>
        <v/>
      </c>
      <c r="CC857" t="str">
        <f>""</f>
        <v/>
      </c>
      <c r="CD857" t="str">
        <f>""</f>
        <v/>
      </c>
      <c r="CE857" t="str">
        <f>""</f>
        <v/>
      </c>
      <c r="CF857" t="str">
        <f>""</f>
        <v/>
      </c>
      <c r="CG857" t="str">
        <f>""</f>
        <v/>
      </c>
      <c r="CH857" t="str">
        <f>""</f>
        <v/>
      </c>
      <c r="CI857" t="str">
        <f>""</f>
        <v/>
      </c>
      <c r="CJ857" t="str">
        <f>""</f>
        <v/>
      </c>
      <c r="CK857" t="str">
        <f>""</f>
        <v/>
      </c>
      <c r="CL857" t="str">
        <f>""</f>
        <v/>
      </c>
      <c r="CM857" t="str">
        <f>""</f>
        <v/>
      </c>
      <c r="CN857" t="str">
        <f>""</f>
        <v/>
      </c>
      <c r="CO857" t="str">
        <f>""</f>
        <v/>
      </c>
      <c r="CP857" t="str">
        <f>""</f>
        <v/>
      </c>
      <c r="CQ857" t="str">
        <f>""</f>
        <v/>
      </c>
      <c r="CR857" t="str">
        <f>""</f>
        <v/>
      </c>
      <c r="CS857" t="str">
        <f>""</f>
        <v/>
      </c>
      <c r="CT857" t="str">
        <f>""</f>
        <v/>
      </c>
      <c r="CU857" t="str">
        <f>""</f>
        <v/>
      </c>
      <c r="CV857" t="str">
        <f>""</f>
        <v/>
      </c>
      <c r="CW857" t="str">
        <f>""</f>
        <v/>
      </c>
      <c r="CX857" t="str">
        <f>""</f>
        <v/>
      </c>
      <c r="CY857" t="str">
        <f>""</f>
        <v/>
      </c>
      <c r="CZ857" t="str">
        <f>""</f>
        <v/>
      </c>
      <c r="DA857" t="str">
        <f>""</f>
        <v/>
      </c>
      <c r="DB857" t="str">
        <f>""</f>
        <v/>
      </c>
      <c r="DC857" t="str">
        <f>""</f>
        <v/>
      </c>
      <c r="DD857" t="str">
        <f>""</f>
        <v/>
      </c>
      <c r="DE857" t="str">
        <f>""</f>
        <v/>
      </c>
      <c r="DF857" t="str">
        <f>""</f>
        <v/>
      </c>
      <c r="DG857" t="str">
        <f>""</f>
        <v/>
      </c>
      <c r="DH857" t="str">
        <f>""</f>
        <v/>
      </c>
      <c r="DI857" t="str">
        <f>""</f>
        <v/>
      </c>
      <c r="DJ857" t="str">
        <f>""</f>
        <v/>
      </c>
      <c r="DK857" t="str">
        <f>""</f>
        <v/>
      </c>
      <c r="DL857" t="str">
        <f>""</f>
        <v/>
      </c>
      <c r="DM857" t="str">
        <f>""</f>
        <v/>
      </c>
      <c r="DN857" t="str">
        <f>""</f>
        <v/>
      </c>
      <c r="DO857" t="str">
        <f>""</f>
        <v/>
      </c>
      <c r="DP857" t="str">
        <f>""</f>
        <v/>
      </c>
      <c r="DQ857" t="str">
        <f>""</f>
        <v/>
      </c>
      <c r="DR857" t="str">
        <f>""</f>
        <v/>
      </c>
      <c r="DS857" t="str">
        <f>""</f>
        <v/>
      </c>
      <c r="DT857" t="str">
        <f>""</f>
        <v/>
      </c>
      <c r="DU857" t="str">
        <f>""</f>
        <v/>
      </c>
    </row>
    <row r="858" spans="1:125" x14ac:dyDescent="0.25">
      <c r="A858" t="str">
        <f>$A$357</f>
        <v xml:space="preserve">    Peugeot SA</v>
      </c>
      <c r="B858" t="str">
        <f>$B$357</f>
        <v>UG FP Equity</v>
      </c>
      <c r="C858" t="str">
        <f>$C$357</f>
        <v>RX530</v>
      </c>
      <c r="D858" t="str">
        <f>$D$357</f>
        <v>T12M_DVDS_PAID</v>
      </c>
      <c r="E858" t="str">
        <f>$E$357</f>
        <v>Dynamic</v>
      </c>
      <c r="F858" t="str">
        <f ca="1">_xll.BDH($B$357,$C$357,$B$509,$B$510,CONCATENATE("Per=",$B$507),"Dts=H","Dir=H",CONCATENATE("Points=",$B$508),"Sort=R","Days=A","Fill=B",CONCATENATE("FX=", $B$506) )</f>
        <v>#N/A Connection</v>
      </c>
      <c r="BN858" t="str">
        <f>""</f>
        <v/>
      </c>
      <c r="BO858" t="str">
        <f>""</f>
        <v/>
      </c>
      <c r="BP858" t="str">
        <f>""</f>
        <v/>
      </c>
      <c r="BQ858" t="str">
        <f>""</f>
        <v/>
      </c>
      <c r="BR858" t="str">
        <f>""</f>
        <v/>
      </c>
      <c r="BS858" t="str">
        <f>""</f>
        <v/>
      </c>
      <c r="BT858" t="str">
        <f>""</f>
        <v/>
      </c>
      <c r="BU858" t="str">
        <f>""</f>
        <v/>
      </c>
      <c r="BV858" t="str">
        <f>""</f>
        <v/>
      </c>
      <c r="BW858" t="str">
        <f>""</f>
        <v/>
      </c>
      <c r="BX858" t="str">
        <f>""</f>
        <v/>
      </c>
      <c r="BY858" t="str">
        <f>""</f>
        <v/>
      </c>
      <c r="BZ858" t="str">
        <f>""</f>
        <v/>
      </c>
      <c r="CA858" t="str">
        <f>""</f>
        <v/>
      </c>
      <c r="CB858" t="str">
        <f>""</f>
        <v/>
      </c>
      <c r="CC858" t="str">
        <f>""</f>
        <v/>
      </c>
      <c r="CD858" t="str">
        <f>""</f>
        <v/>
      </c>
      <c r="CE858" t="str">
        <f>""</f>
        <v/>
      </c>
      <c r="CF858" t="str">
        <f>""</f>
        <v/>
      </c>
      <c r="CG858" t="str">
        <f>""</f>
        <v/>
      </c>
      <c r="CH858" t="str">
        <f>""</f>
        <v/>
      </c>
      <c r="CI858" t="str">
        <f>""</f>
        <v/>
      </c>
      <c r="CJ858" t="str">
        <f>""</f>
        <v/>
      </c>
      <c r="CK858" t="str">
        <f>""</f>
        <v/>
      </c>
      <c r="CL858" t="str">
        <f>""</f>
        <v/>
      </c>
      <c r="CM858" t="str">
        <f>""</f>
        <v/>
      </c>
      <c r="CN858" t="str">
        <f>""</f>
        <v/>
      </c>
      <c r="CO858" t="str">
        <f>""</f>
        <v/>
      </c>
      <c r="CP858" t="str">
        <f>""</f>
        <v/>
      </c>
      <c r="CQ858" t="str">
        <f>""</f>
        <v/>
      </c>
      <c r="CR858" t="str">
        <f>""</f>
        <v/>
      </c>
      <c r="CS858" t="str">
        <f>""</f>
        <v/>
      </c>
      <c r="CT858" t="str">
        <f>""</f>
        <v/>
      </c>
      <c r="CU858" t="str">
        <f>""</f>
        <v/>
      </c>
      <c r="CV858" t="str">
        <f>""</f>
        <v/>
      </c>
      <c r="CW858" t="str">
        <f>""</f>
        <v/>
      </c>
      <c r="CX858" t="str">
        <f>""</f>
        <v/>
      </c>
      <c r="CY858" t="str">
        <f>""</f>
        <v/>
      </c>
      <c r="CZ858" t="str">
        <f>""</f>
        <v/>
      </c>
      <c r="DA858" t="str">
        <f>""</f>
        <v/>
      </c>
      <c r="DB858" t="str">
        <f>""</f>
        <v/>
      </c>
      <c r="DC858" t="str">
        <f>""</f>
        <v/>
      </c>
      <c r="DD858" t="str">
        <f>""</f>
        <v/>
      </c>
      <c r="DE858" t="str">
        <f>""</f>
        <v/>
      </c>
      <c r="DF858" t="str">
        <f>""</f>
        <v/>
      </c>
      <c r="DG858" t="str">
        <f>""</f>
        <v/>
      </c>
      <c r="DH858" t="str">
        <f>""</f>
        <v/>
      </c>
      <c r="DI858" t="str">
        <f>""</f>
        <v/>
      </c>
      <c r="DJ858" t="str">
        <f>""</f>
        <v/>
      </c>
      <c r="DK858" t="str">
        <f>""</f>
        <v/>
      </c>
      <c r="DL858" t="str">
        <f>""</f>
        <v/>
      </c>
      <c r="DM858" t="str">
        <f>""</f>
        <v/>
      </c>
      <c r="DN858" t="str">
        <f>""</f>
        <v/>
      </c>
      <c r="DO858" t="str">
        <f>""</f>
        <v/>
      </c>
      <c r="DP858" t="str">
        <f>""</f>
        <v/>
      </c>
      <c r="DQ858" t="str">
        <f>""</f>
        <v/>
      </c>
      <c r="DR858" t="str">
        <f>""</f>
        <v/>
      </c>
      <c r="DS858" t="str">
        <f>""</f>
        <v/>
      </c>
      <c r="DT858" t="str">
        <f>""</f>
        <v/>
      </c>
      <c r="DU858" t="str">
        <f>""</f>
        <v/>
      </c>
    </row>
    <row r="859" spans="1:125" x14ac:dyDescent="0.25">
      <c r="A859" t="str">
        <f>$A$358</f>
        <v xml:space="preserve">    Renault SA</v>
      </c>
      <c r="B859" t="str">
        <f>$B$358</f>
        <v>RNO FP Equity</v>
      </c>
      <c r="C859" t="str">
        <f>$C$358</f>
        <v>RX530</v>
      </c>
      <c r="D859" t="str">
        <f>$D$358</f>
        <v>T12M_DVDS_PAID</v>
      </c>
      <c r="E859" t="str">
        <f>$E$358</f>
        <v>Dynamic</v>
      </c>
      <c r="F859" t="str">
        <f ca="1">_xll.BDH($B$358,$C$358,$B$509,$B$510,CONCATENATE("Per=",$B$507),"Dts=H","Dir=H",CONCATENATE("Points=",$B$508),"Sort=R","Days=A","Fill=B",CONCATENATE("FX=", $B$506) )</f>
        <v>#N/A Connection</v>
      </c>
      <c r="BN859" t="str">
        <f>""</f>
        <v/>
      </c>
      <c r="BO859" t="str">
        <f>""</f>
        <v/>
      </c>
      <c r="BP859" t="str">
        <f>""</f>
        <v/>
      </c>
      <c r="BQ859" t="str">
        <f>""</f>
        <v/>
      </c>
      <c r="BR859" t="str">
        <f>""</f>
        <v/>
      </c>
      <c r="BS859" t="str">
        <f>""</f>
        <v/>
      </c>
      <c r="BT859" t="str">
        <f>""</f>
        <v/>
      </c>
      <c r="BU859" t="str">
        <f>""</f>
        <v/>
      </c>
      <c r="BV859" t="str">
        <f>""</f>
        <v/>
      </c>
      <c r="BW859" t="str">
        <f>""</f>
        <v/>
      </c>
      <c r="BX859" t="str">
        <f>""</f>
        <v/>
      </c>
      <c r="BY859" t="str">
        <f>""</f>
        <v/>
      </c>
      <c r="BZ859" t="str">
        <f>""</f>
        <v/>
      </c>
      <c r="CA859" t="str">
        <f>""</f>
        <v/>
      </c>
      <c r="CB859" t="str">
        <f>""</f>
        <v/>
      </c>
      <c r="CC859" t="str">
        <f>""</f>
        <v/>
      </c>
      <c r="CD859" t="str">
        <f>""</f>
        <v/>
      </c>
      <c r="CE859" t="str">
        <f>""</f>
        <v/>
      </c>
      <c r="CF859" t="str">
        <f>""</f>
        <v/>
      </c>
      <c r="CG859" t="str">
        <f>""</f>
        <v/>
      </c>
      <c r="CH859" t="str">
        <f>""</f>
        <v/>
      </c>
      <c r="CI859" t="str">
        <f>""</f>
        <v/>
      </c>
      <c r="CJ859" t="str">
        <f>""</f>
        <v/>
      </c>
      <c r="CK859" t="str">
        <f>""</f>
        <v/>
      </c>
      <c r="CL859" t="str">
        <f>""</f>
        <v/>
      </c>
      <c r="CM859" t="str">
        <f>""</f>
        <v/>
      </c>
      <c r="CN859" t="str">
        <f>""</f>
        <v/>
      </c>
      <c r="CO859" t="str">
        <f>""</f>
        <v/>
      </c>
      <c r="CP859" t="str">
        <f>""</f>
        <v/>
      </c>
      <c r="CQ859" t="str">
        <f>""</f>
        <v/>
      </c>
      <c r="CR859" t="str">
        <f>""</f>
        <v/>
      </c>
      <c r="CS859" t="str">
        <f>""</f>
        <v/>
      </c>
      <c r="CT859" t="str">
        <f>""</f>
        <v/>
      </c>
      <c r="CU859" t="str">
        <f>""</f>
        <v/>
      </c>
      <c r="CV859" t="str">
        <f>""</f>
        <v/>
      </c>
      <c r="CW859" t="str">
        <f>""</f>
        <v/>
      </c>
      <c r="CX859" t="str">
        <f>""</f>
        <v/>
      </c>
      <c r="CY859" t="str">
        <f>""</f>
        <v/>
      </c>
      <c r="CZ859" t="str">
        <f>""</f>
        <v/>
      </c>
      <c r="DA859" t="str">
        <f>""</f>
        <v/>
      </c>
      <c r="DB859" t="str">
        <f>""</f>
        <v/>
      </c>
      <c r="DC859" t="str">
        <f>""</f>
        <v/>
      </c>
      <c r="DD859" t="str">
        <f>""</f>
        <v/>
      </c>
      <c r="DE859" t="str">
        <f>""</f>
        <v/>
      </c>
      <c r="DF859" t="str">
        <f>""</f>
        <v/>
      </c>
      <c r="DG859" t="str">
        <f>""</f>
        <v/>
      </c>
      <c r="DH859" t="str">
        <f>""</f>
        <v/>
      </c>
      <c r="DI859" t="str">
        <f>""</f>
        <v/>
      </c>
      <c r="DJ859" t="str">
        <f>""</f>
        <v/>
      </c>
      <c r="DK859" t="str">
        <f>""</f>
        <v/>
      </c>
      <c r="DL859" t="str">
        <f>""</f>
        <v/>
      </c>
      <c r="DM859" t="str">
        <f>""</f>
        <v/>
      </c>
      <c r="DN859" t="str">
        <f>""</f>
        <v/>
      </c>
      <c r="DO859" t="str">
        <f>""</f>
        <v/>
      </c>
      <c r="DP859" t="str">
        <f>""</f>
        <v/>
      </c>
      <c r="DQ859" t="str">
        <f>""</f>
        <v/>
      </c>
      <c r="DR859" t="str">
        <f>""</f>
        <v/>
      </c>
      <c r="DS859" t="str">
        <f>""</f>
        <v/>
      </c>
      <c r="DT859" t="str">
        <f>""</f>
        <v/>
      </c>
      <c r="DU859" t="str">
        <f>""</f>
        <v/>
      </c>
    </row>
    <row r="860" spans="1:125" x14ac:dyDescent="0.25">
      <c r="A860" t="str">
        <f>$A$359</f>
        <v xml:space="preserve">    SAIC Motor Corp Ltd</v>
      </c>
      <c r="B860" t="str">
        <f>$B$359</f>
        <v>600104 CH Equity</v>
      </c>
      <c r="C860" t="str">
        <f>$C$359</f>
        <v>RX530</v>
      </c>
      <c r="D860" t="str">
        <f>$D$359</f>
        <v>T12M_DVDS_PAID</v>
      </c>
      <c r="E860" t="str">
        <f>$E$359</f>
        <v>Dynamic</v>
      </c>
      <c r="F860" t="str">
        <f ca="1">_xll.BDH($B$359,$C$359,$B$509,$B$510,CONCATENATE("Per=",$B$507),"Dts=H","Dir=H",CONCATENATE("Points=",$B$508),"Sort=R","Days=A","Fill=B",CONCATENATE("FX=", $B$506) )</f>
        <v>#N/A Connection</v>
      </c>
      <c r="BN860" t="str">
        <f>""</f>
        <v/>
      </c>
      <c r="BO860" t="str">
        <f>""</f>
        <v/>
      </c>
      <c r="BP860" t="str">
        <f>""</f>
        <v/>
      </c>
      <c r="BQ860" t="str">
        <f>""</f>
        <v/>
      </c>
      <c r="BR860" t="str">
        <f>""</f>
        <v/>
      </c>
      <c r="BS860" t="str">
        <f>""</f>
        <v/>
      </c>
      <c r="BT860" t="str">
        <f>""</f>
        <v/>
      </c>
      <c r="BU860" t="str">
        <f>""</f>
        <v/>
      </c>
      <c r="BV860" t="str">
        <f>""</f>
        <v/>
      </c>
      <c r="BW860" t="str">
        <f>""</f>
        <v/>
      </c>
      <c r="BX860" t="str">
        <f>""</f>
        <v/>
      </c>
      <c r="BY860" t="str">
        <f>""</f>
        <v/>
      </c>
      <c r="BZ860" t="str">
        <f>""</f>
        <v/>
      </c>
      <c r="CA860" t="str">
        <f>""</f>
        <v/>
      </c>
      <c r="CB860" t="str">
        <f>""</f>
        <v/>
      </c>
      <c r="CC860" t="str">
        <f>""</f>
        <v/>
      </c>
      <c r="CD860" t="str">
        <f>""</f>
        <v/>
      </c>
      <c r="CE860" t="str">
        <f>""</f>
        <v/>
      </c>
      <c r="CF860" t="str">
        <f>""</f>
        <v/>
      </c>
      <c r="CG860" t="str">
        <f>""</f>
        <v/>
      </c>
      <c r="CH860" t="str">
        <f>""</f>
        <v/>
      </c>
      <c r="CI860" t="str">
        <f>""</f>
        <v/>
      </c>
      <c r="CJ860" t="str">
        <f>""</f>
        <v/>
      </c>
      <c r="CK860" t="str">
        <f>""</f>
        <v/>
      </c>
      <c r="CL860" t="str">
        <f>""</f>
        <v/>
      </c>
      <c r="CM860" t="str">
        <f>""</f>
        <v/>
      </c>
      <c r="CN860" t="str">
        <f>""</f>
        <v/>
      </c>
      <c r="CO860" t="str">
        <f>""</f>
        <v/>
      </c>
      <c r="CP860" t="str">
        <f>""</f>
        <v/>
      </c>
      <c r="CQ860" t="str">
        <f>""</f>
        <v/>
      </c>
      <c r="CR860" t="str">
        <f>""</f>
        <v/>
      </c>
      <c r="CS860" t="str">
        <f>""</f>
        <v/>
      </c>
      <c r="CT860" t="str">
        <f>""</f>
        <v/>
      </c>
      <c r="CU860" t="str">
        <f>""</f>
        <v/>
      </c>
      <c r="CV860" t="str">
        <f>""</f>
        <v/>
      </c>
      <c r="CW860" t="str">
        <f>""</f>
        <v/>
      </c>
      <c r="CX860" t="str">
        <f>""</f>
        <v/>
      </c>
      <c r="CY860" t="str">
        <f>""</f>
        <v/>
      </c>
      <c r="CZ860" t="str">
        <f>""</f>
        <v/>
      </c>
      <c r="DA860" t="str">
        <f>""</f>
        <v/>
      </c>
      <c r="DB860" t="str">
        <f>""</f>
        <v/>
      </c>
      <c r="DC860" t="str">
        <f>""</f>
        <v/>
      </c>
      <c r="DD860" t="str">
        <f>""</f>
        <v/>
      </c>
      <c r="DE860" t="str">
        <f>""</f>
        <v/>
      </c>
      <c r="DF860" t="str">
        <f>""</f>
        <v/>
      </c>
      <c r="DG860" t="str">
        <f>""</f>
        <v/>
      </c>
      <c r="DH860" t="str">
        <f>""</f>
        <v/>
      </c>
      <c r="DI860" t="str">
        <f>""</f>
        <v/>
      </c>
      <c r="DJ860" t="str">
        <f>""</f>
        <v/>
      </c>
      <c r="DK860" t="str">
        <f>""</f>
        <v/>
      </c>
      <c r="DL860" t="str">
        <f>""</f>
        <v/>
      </c>
      <c r="DM860" t="str">
        <f>""</f>
        <v/>
      </c>
      <c r="DN860" t="str">
        <f>""</f>
        <v/>
      </c>
      <c r="DO860" t="str">
        <f>""</f>
        <v/>
      </c>
      <c r="DP860" t="str">
        <f>""</f>
        <v/>
      </c>
      <c r="DQ860" t="str">
        <f>""</f>
        <v/>
      </c>
      <c r="DR860" t="str">
        <f>""</f>
        <v/>
      </c>
      <c r="DS860" t="str">
        <f>""</f>
        <v/>
      </c>
      <c r="DT860" t="str">
        <f>""</f>
        <v/>
      </c>
      <c r="DU860" t="str">
        <f>""</f>
        <v/>
      </c>
    </row>
    <row r="861" spans="1:125" x14ac:dyDescent="0.25">
      <c r="A861" t="str">
        <f>$A$360</f>
        <v xml:space="preserve">    Sanyang Motor Co Ltd</v>
      </c>
      <c r="B861" t="str">
        <f>$B$360</f>
        <v>2206 TT Equity</v>
      </c>
      <c r="C861" t="str">
        <f>$C$360</f>
        <v>RX530</v>
      </c>
      <c r="D861" t="str">
        <f>$D$360</f>
        <v>T12M_DVDS_PAID</v>
      </c>
      <c r="E861" t="str">
        <f>$E$360</f>
        <v>Dynamic</v>
      </c>
      <c r="F861" t="str">
        <f ca="1">_xll.BDH($B$360,$C$360,$B$509,$B$510,CONCATENATE("Per=",$B$507),"Dts=H","Dir=H",CONCATENATE("Points=",$B$508),"Sort=R","Days=A","Fill=B",CONCATENATE("FX=", $B$506) )</f>
        <v>#N/A Connection</v>
      </c>
      <c r="BN861" t="str">
        <f>""</f>
        <v/>
      </c>
      <c r="BO861" t="str">
        <f>""</f>
        <v/>
      </c>
      <c r="BP861" t="str">
        <f>""</f>
        <v/>
      </c>
      <c r="BQ861" t="str">
        <f>""</f>
        <v/>
      </c>
      <c r="BR861" t="str">
        <f>""</f>
        <v/>
      </c>
      <c r="BS861" t="str">
        <f>""</f>
        <v/>
      </c>
      <c r="BT861" t="str">
        <f>""</f>
        <v/>
      </c>
      <c r="BU861" t="str">
        <f>""</f>
        <v/>
      </c>
      <c r="BV861" t="str">
        <f>""</f>
        <v/>
      </c>
      <c r="BW861" t="str">
        <f>""</f>
        <v/>
      </c>
      <c r="BX861" t="str">
        <f>""</f>
        <v/>
      </c>
      <c r="BY861" t="str">
        <f>""</f>
        <v/>
      </c>
      <c r="BZ861" t="str">
        <f>""</f>
        <v/>
      </c>
      <c r="CA861" t="str">
        <f>""</f>
        <v/>
      </c>
      <c r="CB861" t="str">
        <f>""</f>
        <v/>
      </c>
      <c r="CC861" t="str">
        <f>""</f>
        <v/>
      </c>
      <c r="CD861" t="str">
        <f>""</f>
        <v/>
      </c>
      <c r="CE861" t="str">
        <f>""</f>
        <v/>
      </c>
      <c r="CF861" t="str">
        <f>""</f>
        <v/>
      </c>
      <c r="CG861" t="str">
        <f>""</f>
        <v/>
      </c>
      <c r="CH861" t="str">
        <f>""</f>
        <v/>
      </c>
      <c r="CI861" t="str">
        <f>""</f>
        <v/>
      </c>
      <c r="CJ861" t="str">
        <f>""</f>
        <v/>
      </c>
      <c r="CK861" t="str">
        <f>""</f>
        <v/>
      </c>
      <c r="CL861" t="str">
        <f>""</f>
        <v/>
      </c>
      <c r="CM861" t="str">
        <f>""</f>
        <v/>
      </c>
      <c r="CN861" t="str">
        <f>""</f>
        <v/>
      </c>
      <c r="CO861" t="str">
        <f>""</f>
        <v/>
      </c>
      <c r="CP861" t="str">
        <f>""</f>
        <v/>
      </c>
      <c r="CQ861" t="str">
        <f>""</f>
        <v/>
      </c>
      <c r="CR861" t="str">
        <f>""</f>
        <v/>
      </c>
      <c r="CS861" t="str">
        <f>""</f>
        <v/>
      </c>
      <c r="CT861" t="str">
        <f>""</f>
        <v/>
      </c>
      <c r="CU861" t="str">
        <f>""</f>
        <v/>
      </c>
      <c r="CV861" t="str">
        <f>""</f>
        <v/>
      </c>
      <c r="CW861" t="str">
        <f>""</f>
        <v/>
      </c>
      <c r="CX861" t="str">
        <f>""</f>
        <v/>
      </c>
      <c r="CY861" t="str">
        <f>""</f>
        <v/>
      </c>
      <c r="CZ861" t="str">
        <f>""</f>
        <v/>
      </c>
      <c r="DA861" t="str">
        <f>""</f>
        <v/>
      </c>
      <c r="DB861" t="str">
        <f>""</f>
        <v/>
      </c>
      <c r="DC861" t="str">
        <f>""</f>
        <v/>
      </c>
      <c r="DD861" t="str">
        <f>""</f>
        <v/>
      </c>
      <c r="DE861" t="str">
        <f>""</f>
        <v/>
      </c>
      <c r="DF861" t="str">
        <f>""</f>
        <v/>
      </c>
      <c r="DG861" t="str">
        <f>""</f>
        <v/>
      </c>
      <c r="DH861" t="str">
        <f>""</f>
        <v/>
      </c>
      <c r="DI861" t="str">
        <f>""</f>
        <v/>
      </c>
      <c r="DJ861" t="str">
        <f>""</f>
        <v/>
      </c>
      <c r="DK861" t="str">
        <f>""</f>
        <v/>
      </c>
      <c r="DL861" t="str">
        <f>""</f>
        <v/>
      </c>
      <c r="DM861" t="str">
        <f>""</f>
        <v/>
      </c>
      <c r="DN861" t="str">
        <f>""</f>
        <v/>
      </c>
      <c r="DO861" t="str">
        <f>""</f>
        <v/>
      </c>
      <c r="DP861" t="str">
        <f>""</f>
        <v/>
      </c>
      <c r="DQ861" t="str">
        <f>""</f>
        <v/>
      </c>
      <c r="DR861" t="str">
        <f>""</f>
        <v/>
      </c>
      <c r="DS861" t="str">
        <f>""</f>
        <v/>
      </c>
      <c r="DT861" t="str">
        <f>""</f>
        <v/>
      </c>
      <c r="DU861" t="str">
        <f>""</f>
        <v/>
      </c>
    </row>
    <row r="862" spans="1:125" x14ac:dyDescent="0.25">
      <c r="A862" t="str">
        <f>$A$361</f>
        <v xml:space="preserve">    Sollers PJSC</v>
      </c>
      <c r="B862" t="str">
        <f>$B$361</f>
        <v>SVAV RM Equity</v>
      </c>
      <c r="C862" t="str">
        <f>$C$361</f>
        <v>RX530</v>
      </c>
      <c r="D862" t="str">
        <f>$D$361</f>
        <v>T12M_DVDS_PAID</v>
      </c>
      <c r="E862" t="str">
        <f>$E$361</f>
        <v>Dynamic</v>
      </c>
      <c r="F862" t="str">
        <f ca="1">_xll.BDH($B$361,$C$361,$B$509,$B$510,CONCATENATE("Per=",$B$507),"Dts=H","Dir=H",CONCATENATE("Points=",$B$508),"Sort=R","Days=A","Fill=B",CONCATENATE("FX=", $B$506) )</f>
        <v>#N/A Connection</v>
      </c>
      <c r="BN862" t="str">
        <f>""</f>
        <v/>
      </c>
      <c r="BO862" t="str">
        <f>""</f>
        <v/>
      </c>
      <c r="BP862" t="str">
        <f>""</f>
        <v/>
      </c>
      <c r="BQ862" t="str">
        <f>""</f>
        <v/>
      </c>
      <c r="BR862" t="str">
        <f>""</f>
        <v/>
      </c>
      <c r="BS862" t="str">
        <f>""</f>
        <v/>
      </c>
      <c r="BT862" t="str">
        <f>""</f>
        <v/>
      </c>
      <c r="BU862" t="str">
        <f>""</f>
        <v/>
      </c>
      <c r="BV862" t="str">
        <f>""</f>
        <v/>
      </c>
      <c r="BW862" t="str">
        <f>""</f>
        <v/>
      </c>
      <c r="BX862" t="str">
        <f>""</f>
        <v/>
      </c>
      <c r="BY862" t="str">
        <f>""</f>
        <v/>
      </c>
      <c r="BZ862" t="str">
        <f>""</f>
        <v/>
      </c>
      <c r="CA862" t="str">
        <f>""</f>
        <v/>
      </c>
      <c r="CB862" t="str">
        <f>""</f>
        <v/>
      </c>
      <c r="CC862" t="str">
        <f>""</f>
        <v/>
      </c>
      <c r="CD862" t="str">
        <f>""</f>
        <v/>
      </c>
      <c r="CE862" t="str">
        <f>""</f>
        <v/>
      </c>
      <c r="CF862" t="str">
        <f>""</f>
        <v/>
      </c>
      <c r="CG862" t="str">
        <f>""</f>
        <v/>
      </c>
      <c r="CH862" t="str">
        <f>""</f>
        <v/>
      </c>
      <c r="CI862" t="str">
        <f>""</f>
        <v/>
      </c>
      <c r="CJ862" t="str">
        <f>""</f>
        <v/>
      </c>
      <c r="CK862" t="str">
        <f>""</f>
        <v/>
      </c>
      <c r="CL862" t="str">
        <f>""</f>
        <v/>
      </c>
      <c r="CM862" t="str">
        <f>""</f>
        <v/>
      </c>
      <c r="CN862" t="str">
        <f>""</f>
        <v/>
      </c>
      <c r="CO862" t="str">
        <f>""</f>
        <v/>
      </c>
      <c r="CP862" t="str">
        <f>""</f>
        <v/>
      </c>
      <c r="CQ862" t="str">
        <f>""</f>
        <v/>
      </c>
      <c r="CR862" t="str">
        <f>""</f>
        <v/>
      </c>
      <c r="CS862" t="str">
        <f>""</f>
        <v/>
      </c>
      <c r="CT862" t="str">
        <f>""</f>
        <v/>
      </c>
      <c r="CU862" t="str">
        <f>""</f>
        <v/>
      </c>
      <c r="CV862" t="str">
        <f>""</f>
        <v/>
      </c>
      <c r="CW862" t="str">
        <f>""</f>
        <v/>
      </c>
      <c r="CX862" t="str">
        <f>""</f>
        <v/>
      </c>
      <c r="CY862" t="str">
        <f>""</f>
        <v/>
      </c>
      <c r="CZ862" t="str">
        <f>""</f>
        <v/>
      </c>
      <c r="DA862" t="str">
        <f>""</f>
        <v/>
      </c>
      <c r="DB862" t="str">
        <f>""</f>
        <v/>
      </c>
      <c r="DC862" t="str">
        <f>""</f>
        <v/>
      </c>
      <c r="DD862" t="str">
        <f>""</f>
        <v/>
      </c>
      <c r="DE862" t="str">
        <f>""</f>
        <v/>
      </c>
      <c r="DF862" t="str">
        <f>""</f>
        <v/>
      </c>
      <c r="DG862" t="str">
        <f>""</f>
        <v/>
      </c>
      <c r="DH862" t="str">
        <f>""</f>
        <v/>
      </c>
      <c r="DI862" t="str">
        <f>""</f>
        <v/>
      </c>
      <c r="DJ862" t="str">
        <f>""</f>
        <v/>
      </c>
      <c r="DK862" t="str">
        <f>""</f>
        <v/>
      </c>
      <c r="DL862" t="str">
        <f>""</f>
        <v/>
      </c>
      <c r="DM862" t="str">
        <f>""</f>
        <v/>
      </c>
      <c r="DN862" t="str">
        <f>""</f>
        <v/>
      </c>
      <c r="DO862" t="str">
        <f>""</f>
        <v/>
      </c>
      <c r="DP862" t="str">
        <f>""</f>
        <v/>
      </c>
      <c r="DQ862" t="str">
        <f>""</f>
        <v/>
      </c>
      <c r="DR862" t="str">
        <f>""</f>
        <v/>
      </c>
      <c r="DS862" t="str">
        <f>""</f>
        <v/>
      </c>
      <c r="DT862" t="str">
        <f>""</f>
        <v/>
      </c>
      <c r="DU862" t="str">
        <f>""</f>
        <v/>
      </c>
    </row>
    <row r="863" spans="1:125" x14ac:dyDescent="0.25">
      <c r="A863" t="str">
        <f>$A$362</f>
        <v xml:space="preserve">    Ssangyong Motor Co</v>
      </c>
      <c r="B863" t="str">
        <f>$B$362</f>
        <v>003620 KS Equity</v>
      </c>
      <c r="C863" t="str">
        <f>$C$362</f>
        <v>RX530</v>
      </c>
      <c r="D863" t="str">
        <f>$D$362</f>
        <v>T12M_DVDS_PAID</v>
      </c>
      <c r="E863" t="str">
        <f>$E$362</f>
        <v>Dynamic</v>
      </c>
      <c r="F863" t="str">
        <f ca="1">_xll.BDH($B$362,$C$362,$B$509,$B$510,CONCATENATE("Per=",$B$507),"Dts=H","Dir=H",CONCATENATE("Points=",$B$508),"Sort=R","Days=A","Fill=B",CONCATENATE("FX=", $B$506) )</f>
        <v>#N/A Connection</v>
      </c>
      <c r="BN863" t="str">
        <f>""</f>
        <v/>
      </c>
      <c r="BO863" t="str">
        <f>""</f>
        <v/>
      </c>
      <c r="BP863" t="str">
        <f>""</f>
        <v/>
      </c>
      <c r="BQ863" t="str">
        <f>""</f>
        <v/>
      </c>
      <c r="BR863" t="str">
        <f>""</f>
        <v/>
      </c>
      <c r="BS863" t="str">
        <f>""</f>
        <v/>
      </c>
      <c r="BT863" t="str">
        <f>""</f>
        <v/>
      </c>
      <c r="BU863" t="str">
        <f>""</f>
        <v/>
      </c>
      <c r="BV863" t="str">
        <f>""</f>
        <v/>
      </c>
      <c r="BW863" t="str">
        <f>""</f>
        <v/>
      </c>
      <c r="BX863" t="str">
        <f>""</f>
        <v/>
      </c>
      <c r="BY863" t="str">
        <f>""</f>
        <v/>
      </c>
      <c r="BZ863" t="str">
        <f>""</f>
        <v/>
      </c>
      <c r="CA863" t="str">
        <f>""</f>
        <v/>
      </c>
      <c r="CB863" t="str">
        <f>""</f>
        <v/>
      </c>
      <c r="CC863" t="str">
        <f>""</f>
        <v/>
      </c>
      <c r="CD863" t="str">
        <f>""</f>
        <v/>
      </c>
      <c r="CE863" t="str">
        <f>""</f>
        <v/>
      </c>
      <c r="CF863" t="str">
        <f>""</f>
        <v/>
      </c>
      <c r="CG863" t="str">
        <f>""</f>
        <v/>
      </c>
      <c r="CH863" t="str">
        <f>""</f>
        <v/>
      </c>
      <c r="CI863" t="str">
        <f>""</f>
        <v/>
      </c>
      <c r="CJ863" t="str">
        <f>""</f>
        <v/>
      </c>
      <c r="CK863" t="str">
        <f>""</f>
        <v/>
      </c>
      <c r="CL863" t="str">
        <f>""</f>
        <v/>
      </c>
      <c r="CM863" t="str">
        <f>""</f>
        <v/>
      </c>
      <c r="CN863" t="str">
        <f>""</f>
        <v/>
      </c>
      <c r="CO863" t="str">
        <f>""</f>
        <v/>
      </c>
      <c r="CP863" t="str">
        <f>""</f>
        <v/>
      </c>
      <c r="CQ863" t="str">
        <f>""</f>
        <v/>
      </c>
      <c r="CR863" t="str">
        <f>""</f>
        <v/>
      </c>
      <c r="CS863" t="str">
        <f>""</f>
        <v/>
      </c>
      <c r="CT863" t="str">
        <f>""</f>
        <v/>
      </c>
      <c r="CU863" t="str">
        <f>""</f>
        <v/>
      </c>
      <c r="CV863" t="str">
        <f>""</f>
        <v/>
      </c>
      <c r="CW863" t="str">
        <f>""</f>
        <v/>
      </c>
      <c r="CX863" t="str">
        <f>""</f>
        <v/>
      </c>
      <c r="CY863" t="str">
        <f>""</f>
        <v/>
      </c>
      <c r="CZ863" t="str">
        <f>""</f>
        <v/>
      </c>
      <c r="DA863" t="str">
        <f>""</f>
        <v/>
      </c>
      <c r="DB863" t="str">
        <f>""</f>
        <v/>
      </c>
      <c r="DC863" t="str">
        <f>""</f>
        <v/>
      </c>
      <c r="DD863" t="str">
        <f>""</f>
        <v/>
      </c>
      <c r="DE863" t="str">
        <f>""</f>
        <v/>
      </c>
      <c r="DF863" t="str">
        <f>""</f>
        <v/>
      </c>
      <c r="DG863" t="str">
        <f>""</f>
        <v/>
      </c>
      <c r="DH863" t="str">
        <f>""</f>
        <v/>
      </c>
      <c r="DI863" t="str">
        <f>""</f>
        <v/>
      </c>
      <c r="DJ863" t="str">
        <f>""</f>
        <v/>
      </c>
      <c r="DK863" t="str">
        <f>""</f>
        <v/>
      </c>
      <c r="DL863" t="str">
        <f>""</f>
        <v/>
      </c>
      <c r="DM863" t="str">
        <f>""</f>
        <v/>
      </c>
      <c r="DN863" t="str">
        <f>""</f>
        <v/>
      </c>
      <c r="DO863" t="str">
        <f>""</f>
        <v/>
      </c>
      <c r="DP863" t="str">
        <f>""</f>
        <v/>
      </c>
      <c r="DQ863" t="str">
        <f>""</f>
        <v/>
      </c>
      <c r="DR863" t="str">
        <f>""</f>
        <v/>
      </c>
      <c r="DS863" t="str">
        <f>""</f>
        <v/>
      </c>
      <c r="DT863" t="str">
        <f>""</f>
        <v/>
      </c>
      <c r="DU863" t="str">
        <f>""</f>
        <v/>
      </c>
    </row>
    <row r="864" spans="1:125" x14ac:dyDescent="0.25">
      <c r="A864" t="str">
        <f>$A$363</f>
        <v xml:space="preserve">    Subaru Corp</v>
      </c>
      <c r="B864" t="str">
        <f>$B$363</f>
        <v>7270 JP Equity</v>
      </c>
      <c r="C864" t="str">
        <f>$C$363</f>
        <v>RX530</v>
      </c>
      <c r="D864" t="str">
        <f>$D$363</f>
        <v>T12M_DVDS_PAID</v>
      </c>
      <c r="E864" t="str">
        <f>$E$363</f>
        <v>Dynamic</v>
      </c>
      <c r="F864" t="str">
        <f ca="1">_xll.BDH($B$363,$C$363,$B$509,$B$510,CONCATENATE("Per=",$B$507),"Dts=H","Dir=H",CONCATENATE("Points=",$B$508),"Sort=R","Days=A","Fill=B",CONCATENATE("FX=", $B$506) )</f>
        <v>#N/A Connection</v>
      </c>
      <c r="BN864" t="str">
        <f>""</f>
        <v/>
      </c>
      <c r="BO864" t="str">
        <f>""</f>
        <v/>
      </c>
      <c r="BP864" t="str">
        <f>""</f>
        <v/>
      </c>
      <c r="BQ864" t="str">
        <f>""</f>
        <v/>
      </c>
      <c r="BR864" t="str">
        <f>""</f>
        <v/>
      </c>
      <c r="BS864" t="str">
        <f>""</f>
        <v/>
      </c>
      <c r="BT864" t="str">
        <f>""</f>
        <v/>
      </c>
      <c r="BU864" t="str">
        <f>""</f>
        <v/>
      </c>
      <c r="BV864" t="str">
        <f>""</f>
        <v/>
      </c>
      <c r="BW864" t="str">
        <f>""</f>
        <v/>
      </c>
      <c r="BX864" t="str">
        <f>""</f>
        <v/>
      </c>
      <c r="BY864" t="str">
        <f>""</f>
        <v/>
      </c>
      <c r="BZ864" t="str">
        <f>""</f>
        <v/>
      </c>
      <c r="CA864" t="str">
        <f>""</f>
        <v/>
      </c>
      <c r="CB864" t="str">
        <f>""</f>
        <v/>
      </c>
      <c r="CC864" t="str">
        <f>""</f>
        <v/>
      </c>
      <c r="CD864" t="str">
        <f>""</f>
        <v/>
      </c>
      <c r="CE864" t="str">
        <f>""</f>
        <v/>
      </c>
      <c r="CF864" t="str">
        <f>""</f>
        <v/>
      </c>
      <c r="CG864" t="str">
        <f>""</f>
        <v/>
      </c>
      <c r="CH864" t="str">
        <f>""</f>
        <v/>
      </c>
      <c r="CI864" t="str">
        <f>""</f>
        <v/>
      </c>
      <c r="CJ864" t="str">
        <f>""</f>
        <v/>
      </c>
      <c r="CK864" t="str">
        <f>""</f>
        <v/>
      </c>
      <c r="CL864" t="str">
        <f>""</f>
        <v/>
      </c>
      <c r="CM864" t="str">
        <f>""</f>
        <v/>
      </c>
      <c r="CN864" t="str">
        <f>""</f>
        <v/>
      </c>
      <c r="CO864" t="str">
        <f>""</f>
        <v/>
      </c>
      <c r="CP864" t="str">
        <f>""</f>
        <v/>
      </c>
      <c r="CQ864" t="str">
        <f>""</f>
        <v/>
      </c>
      <c r="CR864" t="str">
        <f>""</f>
        <v/>
      </c>
      <c r="CS864" t="str">
        <f>""</f>
        <v/>
      </c>
      <c r="CT864" t="str">
        <f>""</f>
        <v/>
      </c>
      <c r="CU864" t="str">
        <f>""</f>
        <v/>
      </c>
      <c r="CV864" t="str">
        <f>""</f>
        <v/>
      </c>
      <c r="CW864" t="str">
        <f>""</f>
        <v/>
      </c>
      <c r="CX864" t="str">
        <f>""</f>
        <v/>
      </c>
      <c r="CY864" t="str">
        <f>""</f>
        <v/>
      </c>
      <c r="CZ864" t="str">
        <f>""</f>
        <v/>
      </c>
      <c r="DA864" t="str">
        <f>""</f>
        <v/>
      </c>
      <c r="DB864" t="str">
        <f>""</f>
        <v/>
      </c>
      <c r="DC864" t="str">
        <f>""</f>
        <v/>
      </c>
      <c r="DD864" t="str">
        <f>""</f>
        <v/>
      </c>
      <c r="DE864" t="str">
        <f>""</f>
        <v/>
      </c>
      <c r="DF864" t="str">
        <f>""</f>
        <v/>
      </c>
      <c r="DG864" t="str">
        <f>""</f>
        <v/>
      </c>
      <c r="DH864" t="str">
        <f>""</f>
        <v/>
      </c>
      <c r="DI864" t="str">
        <f>""</f>
        <v/>
      </c>
      <c r="DJ864" t="str">
        <f>""</f>
        <v/>
      </c>
      <c r="DK864" t="str">
        <f>""</f>
        <v/>
      </c>
      <c r="DL864" t="str">
        <f>""</f>
        <v/>
      </c>
      <c r="DM864" t="str">
        <f>""</f>
        <v/>
      </c>
      <c r="DN864" t="str">
        <f>""</f>
        <v/>
      </c>
      <c r="DO864" t="str">
        <f>""</f>
        <v/>
      </c>
      <c r="DP864" t="str">
        <f>""</f>
        <v/>
      </c>
      <c r="DQ864" t="str">
        <f>""</f>
        <v/>
      </c>
      <c r="DR864" t="str">
        <f>""</f>
        <v/>
      </c>
      <c r="DS864" t="str">
        <f>""</f>
        <v/>
      </c>
      <c r="DT864" t="str">
        <f>""</f>
        <v/>
      </c>
      <c r="DU864" t="str">
        <f>""</f>
        <v/>
      </c>
    </row>
    <row r="865" spans="1:125" x14ac:dyDescent="0.25">
      <c r="A865" t="str">
        <f>$A$364</f>
        <v xml:space="preserve">    Suzuki Motor Corp</v>
      </c>
      <c r="B865" t="str">
        <f>$B$364</f>
        <v>7269 JP Equity</v>
      </c>
      <c r="C865" t="str">
        <f>$C$364</f>
        <v>RX530</v>
      </c>
      <c r="D865" t="str">
        <f>$D$364</f>
        <v>T12M_DVDS_PAID</v>
      </c>
      <c r="E865" t="str">
        <f>$E$364</f>
        <v>Dynamic</v>
      </c>
      <c r="F865" t="str">
        <f ca="1">_xll.BDH($B$364,$C$364,$B$509,$B$510,CONCATENATE("Per=",$B$507),"Dts=H","Dir=H",CONCATENATE("Points=",$B$508),"Sort=R","Days=A","Fill=B",CONCATENATE("FX=", $B$506) )</f>
        <v>#N/A Connection</v>
      </c>
      <c r="BN865" t="str">
        <f>""</f>
        <v/>
      </c>
      <c r="BO865" t="str">
        <f>""</f>
        <v/>
      </c>
      <c r="BP865" t="str">
        <f>""</f>
        <v/>
      </c>
      <c r="BQ865" t="str">
        <f>""</f>
        <v/>
      </c>
      <c r="BR865" t="str">
        <f>""</f>
        <v/>
      </c>
      <c r="BS865" t="str">
        <f>""</f>
        <v/>
      </c>
      <c r="BT865" t="str">
        <f>""</f>
        <v/>
      </c>
      <c r="BU865" t="str">
        <f>""</f>
        <v/>
      </c>
      <c r="BV865" t="str">
        <f>""</f>
        <v/>
      </c>
      <c r="BW865" t="str">
        <f>""</f>
        <v/>
      </c>
      <c r="BX865" t="str">
        <f>""</f>
        <v/>
      </c>
      <c r="BY865" t="str">
        <f>""</f>
        <v/>
      </c>
      <c r="BZ865" t="str">
        <f>""</f>
        <v/>
      </c>
      <c r="CA865" t="str">
        <f>""</f>
        <v/>
      </c>
      <c r="CB865" t="str">
        <f>""</f>
        <v/>
      </c>
      <c r="CC865" t="str">
        <f>""</f>
        <v/>
      </c>
      <c r="CD865" t="str">
        <f>""</f>
        <v/>
      </c>
      <c r="CE865" t="str">
        <f>""</f>
        <v/>
      </c>
      <c r="CF865" t="str">
        <f>""</f>
        <v/>
      </c>
      <c r="CG865" t="str">
        <f>""</f>
        <v/>
      </c>
      <c r="CH865" t="str">
        <f>""</f>
        <v/>
      </c>
      <c r="CI865" t="str">
        <f>""</f>
        <v/>
      </c>
      <c r="CJ865" t="str">
        <f>""</f>
        <v/>
      </c>
      <c r="CK865" t="str">
        <f>""</f>
        <v/>
      </c>
      <c r="CL865" t="str">
        <f>""</f>
        <v/>
      </c>
      <c r="CM865" t="str">
        <f>""</f>
        <v/>
      </c>
      <c r="CN865" t="str">
        <f>""</f>
        <v/>
      </c>
      <c r="CO865" t="str">
        <f>""</f>
        <v/>
      </c>
      <c r="CP865" t="str">
        <f>""</f>
        <v/>
      </c>
      <c r="CQ865" t="str">
        <f>""</f>
        <v/>
      </c>
      <c r="CR865" t="str">
        <f>""</f>
        <v/>
      </c>
      <c r="CS865" t="str">
        <f>""</f>
        <v/>
      </c>
      <c r="CT865" t="str">
        <f>""</f>
        <v/>
      </c>
      <c r="CU865" t="str">
        <f>""</f>
        <v/>
      </c>
      <c r="CV865" t="str">
        <f>""</f>
        <v/>
      </c>
      <c r="CW865" t="str">
        <f>""</f>
        <v/>
      </c>
      <c r="CX865" t="str">
        <f>""</f>
        <v/>
      </c>
      <c r="CY865" t="str">
        <f>""</f>
        <v/>
      </c>
      <c r="CZ865" t="str">
        <f>""</f>
        <v/>
      </c>
      <c r="DA865" t="str">
        <f>""</f>
        <v/>
      </c>
      <c r="DB865" t="str">
        <f>""</f>
        <v/>
      </c>
      <c r="DC865" t="str">
        <f>""</f>
        <v/>
      </c>
      <c r="DD865" t="str">
        <f>""</f>
        <v/>
      </c>
      <c r="DE865" t="str">
        <f>""</f>
        <v/>
      </c>
      <c r="DF865" t="str">
        <f>""</f>
        <v/>
      </c>
      <c r="DG865" t="str">
        <f>""</f>
        <v/>
      </c>
      <c r="DH865" t="str">
        <f>""</f>
        <v/>
      </c>
      <c r="DI865" t="str">
        <f>""</f>
        <v/>
      </c>
      <c r="DJ865" t="str">
        <f>""</f>
        <v/>
      </c>
      <c r="DK865" t="str">
        <f>""</f>
        <v/>
      </c>
      <c r="DL865" t="str">
        <f>""</f>
        <v/>
      </c>
      <c r="DM865" t="str">
        <f>""</f>
        <v/>
      </c>
      <c r="DN865" t="str">
        <f>""</f>
        <v/>
      </c>
      <c r="DO865" t="str">
        <f>""</f>
        <v/>
      </c>
      <c r="DP865" t="str">
        <f>""</f>
        <v/>
      </c>
      <c r="DQ865" t="str">
        <f>""</f>
        <v/>
      </c>
      <c r="DR865" t="str">
        <f>""</f>
        <v/>
      </c>
      <c r="DS865" t="str">
        <f>""</f>
        <v/>
      </c>
      <c r="DT865" t="str">
        <f>""</f>
        <v/>
      </c>
      <c r="DU865" t="str">
        <f>""</f>
        <v/>
      </c>
    </row>
    <row r="866" spans="1:125" x14ac:dyDescent="0.25">
      <c r="A866" t="str">
        <f>$A$365</f>
        <v xml:space="preserve">    Tata Motors Ltd</v>
      </c>
      <c r="B866" t="str">
        <f>$B$365</f>
        <v>TTMT IN Equity</v>
      </c>
      <c r="C866" t="str">
        <f>$C$365</f>
        <v>RX530</v>
      </c>
      <c r="D866" t="str">
        <f>$D$365</f>
        <v>T12M_DVDS_PAID</v>
      </c>
      <c r="E866" t="str">
        <f>$E$365</f>
        <v>Dynamic</v>
      </c>
      <c r="F866" t="str">
        <f ca="1">_xll.BDH($B$365,$C$365,$B$509,$B$510,CONCATENATE("Per=",$B$507),"Dts=H","Dir=H",CONCATENATE("Points=",$B$508),"Sort=R","Days=A","Fill=B",CONCATENATE("FX=", $B$506) )</f>
        <v>#N/A Connection</v>
      </c>
      <c r="BN866" t="str">
        <f>""</f>
        <v/>
      </c>
      <c r="BO866" t="str">
        <f>""</f>
        <v/>
      </c>
      <c r="BP866" t="str">
        <f>""</f>
        <v/>
      </c>
      <c r="BQ866" t="str">
        <f>""</f>
        <v/>
      </c>
      <c r="BR866" t="str">
        <f>""</f>
        <v/>
      </c>
      <c r="BS866" t="str">
        <f>""</f>
        <v/>
      </c>
      <c r="BT866" t="str">
        <f>""</f>
        <v/>
      </c>
      <c r="BU866" t="str">
        <f>""</f>
        <v/>
      </c>
      <c r="BV866" t="str">
        <f>""</f>
        <v/>
      </c>
      <c r="BW866" t="str">
        <f>""</f>
        <v/>
      </c>
      <c r="BX866" t="str">
        <f>""</f>
        <v/>
      </c>
      <c r="BY866" t="str">
        <f>""</f>
        <v/>
      </c>
      <c r="BZ866" t="str">
        <f>""</f>
        <v/>
      </c>
      <c r="CA866" t="str">
        <f>""</f>
        <v/>
      </c>
      <c r="CB866" t="str">
        <f>""</f>
        <v/>
      </c>
      <c r="CC866" t="str">
        <f>""</f>
        <v/>
      </c>
      <c r="CD866" t="str">
        <f>""</f>
        <v/>
      </c>
      <c r="CE866" t="str">
        <f>""</f>
        <v/>
      </c>
      <c r="CF866" t="str">
        <f>""</f>
        <v/>
      </c>
      <c r="CG866" t="str">
        <f>""</f>
        <v/>
      </c>
      <c r="CH866" t="str">
        <f>""</f>
        <v/>
      </c>
      <c r="CI866" t="str">
        <f>""</f>
        <v/>
      </c>
      <c r="CJ866" t="str">
        <f>""</f>
        <v/>
      </c>
      <c r="CK866" t="str">
        <f>""</f>
        <v/>
      </c>
      <c r="CL866" t="str">
        <f>""</f>
        <v/>
      </c>
      <c r="CM866" t="str">
        <f>""</f>
        <v/>
      </c>
      <c r="CN866" t="str">
        <f>""</f>
        <v/>
      </c>
      <c r="CO866" t="str">
        <f>""</f>
        <v/>
      </c>
      <c r="CP866" t="str">
        <f>""</f>
        <v/>
      </c>
      <c r="CQ866" t="str">
        <f>""</f>
        <v/>
      </c>
      <c r="CR866" t="str">
        <f>""</f>
        <v/>
      </c>
      <c r="CS866" t="str">
        <f>""</f>
        <v/>
      </c>
      <c r="CT866" t="str">
        <f>""</f>
        <v/>
      </c>
      <c r="CU866" t="str">
        <f>""</f>
        <v/>
      </c>
      <c r="CV866" t="str">
        <f>""</f>
        <v/>
      </c>
      <c r="CW866" t="str">
        <f>""</f>
        <v/>
      </c>
      <c r="CX866" t="str">
        <f>""</f>
        <v/>
      </c>
      <c r="CY866" t="str">
        <f>""</f>
        <v/>
      </c>
      <c r="CZ866" t="str">
        <f>""</f>
        <v/>
      </c>
      <c r="DA866" t="str">
        <f>""</f>
        <v/>
      </c>
      <c r="DB866" t="str">
        <f>""</f>
        <v/>
      </c>
      <c r="DC866" t="str">
        <f>""</f>
        <v/>
      </c>
      <c r="DD866" t="str">
        <f>""</f>
        <v/>
      </c>
      <c r="DE866" t="str">
        <f>""</f>
        <v/>
      </c>
      <c r="DF866" t="str">
        <f>""</f>
        <v/>
      </c>
      <c r="DG866" t="str">
        <f>""</f>
        <v/>
      </c>
      <c r="DH866" t="str">
        <f>""</f>
        <v/>
      </c>
      <c r="DI866" t="str">
        <f>""</f>
        <v/>
      </c>
      <c r="DJ866" t="str">
        <f>""</f>
        <v/>
      </c>
      <c r="DK866" t="str">
        <f>""</f>
        <v/>
      </c>
      <c r="DL866" t="str">
        <f>""</f>
        <v/>
      </c>
      <c r="DM866" t="str">
        <f>""</f>
        <v/>
      </c>
      <c r="DN866" t="str">
        <f>""</f>
        <v/>
      </c>
      <c r="DO866" t="str">
        <f>""</f>
        <v/>
      </c>
      <c r="DP866" t="str">
        <f>""</f>
        <v/>
      </c>
      <c r="DQ866" t="str">
        <f>""</f>
        <v/>
      </c>
      <c r="DR866" t="str">
        <f>""</f>
        <v/>
      </c>
      <c r="DS866" t="str">
        <f>""</f>
        <v/>
      </c>
      <c r="DT866" t="str">
        <f>""</f>
        <v/>
      </c>
      <c r="DU866" t="str">
        <f>""</f>
        <v/>
      </c>
    </row>
    <row r="867" spans="1:125" x14ac:dyDescent="0.25">
      <c r="A867" t="str">
        <f>$A$366</f>
        <v xml:space="preserve">    Tesla Inc</v>
      </c>
      <c r="B867" t="str">
        <f>$B$366</f>
        <v>TSLA US Equity</v>
      </c>
      <c r="C867" t="str">
        <f>$C$366</f>
        <v>RX530</v>
      </c>
      <c r="D867" t="str">
        <f>$D$366</f>
        <v>T12M_DVDS_PAID</v>
      </c>
      <c r="E867" t="str">
        <f>$E$366</f>
        <v>Dynamic</v>
      </c>
      <c r="F867" t="str">
        <f ca="1">_xll.BDH($B$366,$C$366,$B$509,$B$510,CONCATENATE("Per=",$B$507),"Dts=H","Dir=H",CONCATENATE("Points=",$B$508),"Sort=R","Days=A","Fill=B",CONCATENATE("FX=", $B$506) )</f>
        <v>#N/A Connection</v>
      </c>
      <c r="BN867" t="str">
        <f>""</f>
        <v/>
      </c>
      <c r="BO867" t="str">
        <f>""</f>
        <v/>
      </c>
      <c r="BP867" t="str">
        <f>""</f>
        <v/>
      </c>
      <c r="BQ867" t="str">
        <f>""</f>
        <v/>
      </c>
      <c r="BR867" t="str">
        <f>""</f>
        <v/>
      </c>
      <c r="BS867" t="str">
        <f>""</f>
        <v/>
      </c>
      <c r="BT867" t="str">
        <f>""</f>
        <v/>
      </c>
      <c r="BU867" t="str">
        <f>""</f>
        <v/>
      </c>
      <c r="BV867" t="str">
        <f>""</f>
        <v/>
      </c>
      <c r="BW867" t="str">
        <f>""</f>
        <v/>
      </c>
      <c r="BX867" t="str">
        <f>""</f>
        <v/>
      </c>
      <c r="BY867" t="str">
        <f>""</f>
        <v/>
      </c>
      <c r="BZ867" t="str">
        <f>""</f>
        <v/>
      </c>
      <c r="CA867" t="str">
        <f>""</f>
        <v/>
      </c>
      <c r="CB867" t="str">
        <f>""</f>
        <v/>
      </c>
      <c r="CC867" t="str">
        <f>""</f>
        <v/>
      </c>
      <c r="CD867" t="str">
        <f>""</f>
        <v/>
      </c>
      <c r="CE867" t="str">
        <f>""</f>
        <v/>
      </c>
      <c r="CF867" t="str">
        <f>""</f>
        <v/>
      </c>
      <c r="CG867" t="str">
        <f>""</f>
        <v/>
      </c>
      <c r="CH867" t="str">
        <f>""</f>
        <v/>
      </c>
      <c r="CI867" t="str">
        <f>""</f>
        <v/>
      </c>
      <c r="CJ867" t="str">
        <f>""</f>
        <v/>
      </c>
      <c r="CK867" t="str">
        <f>""</f>
        <v/>
      </c>
      <c r="CL867" t="str">
        <f>""</f>
        <v/>
      </c>
      <c r="CM867" t="str">
        <f>""</f>
        <v/>
      </c>
      <c r="CN867" t="str">
        <f>""</f>
        <v/>
      </c>
      <c r="CO867" t="str">
        <f>""</f>
        <v/>
      </c>
      <c r="CP867" t="str">
        <f>""</f>
        <v/>
      </c>
      <c r="CQ867" t="str">
        <f>""</f>
        <v/>
      </c>
      <c r="CR867" t="str">
        <f>""</f>
        <v/>
      </c>
      <c r="CS867" t="str">
        <f>""</f>
        <v/>
      </c>
      <c r="CT867" t="str">
        <f>""</f>
        <v/>
      </c>
      <c r="CU867" t="str">
        <f>""</f>
        <v/>
      </c>
      <c r="CV867" t="str">
        <f>""</f>
        <v/>
      </c>
      <c r="CW867" t="str">
        <f>""</f>
        <v/>
      </c>
      <c r="CX867" t="str">
        <f>""</f>
        <v/>
      </c>
      <c r="CY867" t="str">
        <f>""</f>
        <v/>
      </c>
      <c r="CZ867" t="str">
        <f>""</f>
        <v/>
      </c>
      <c r="DA867" t="str">
        <f>""</f>
        <v/>
      </c>
      <c r="DB867" t="str">
        <f>""</f>
        <v/>
      </c>
      <c r="DC867" t="str">
        <f>""</f>
        <v/>
      </c>
      <c r="DD867" t="str">
        <f>""</f>
        <v/>
      </c>
      <c r="DE867" t="str">
        <f>""</f>
        <v/>
      </c>
      <c r="DF867" t="str">
        <f>""</f>
        <v/>
      </c>
      <c r="DG867" t="str">
        <f>""</f>
        <v/>
      </c>
      <c r="DH867" t="str">
        <f>""</f>
        <v/>
      </c>
      <c r="DI867" t="str">
        <f>""</f>
        <v/>
      </c>
      <c r="DJ867" t="str">
        <f>""</f>
        <v/>
      </c>
      <c r="DK867" t="str">
        <f>""</f>
        <v/>
      </c>
      <c r="DL867" t="str">
        <f>""</f>
        <v/>
      </c>
      <c r="DM867" t="str">
        <f>""</f>
        <v/>
      </c>
      <c r="DN867" t="str">
        <f>""</f>
        <v/>
      </c>
      <c r="DO867" t="str">
        <f>""</f>
        <v/>
      </c>
      <c r="DP867" t="str">
        <f>""</f>
        <v/>
      </c>
      <c r="DQ867" t="str">
        <f>""</f>
        <v/>
      </c>
      <c r="DR867" t="str">
        <f>""</f>
        <v/>
      </c>
      <c r="DS867" t="str">
        <f>""</f>
        <v/>
      </c>
      <c r="DT867" t="str">
        <f>""</f>
        <v/>
      </c>
      <c r="DU867" t="str">
        <f>""</f>
        <v/>
      </c>
    </row>
    <row r="868" spans="1:125" x14ac:dyDescent="0.25">
      <c r="A868" t="str">
        <f>$A$367</f>
        <v xml:space="preserve">    Tianjin Faw Xiali Automobile Co Ltd</v>
      </c>
      <c r="B868" t="str">
        <f>$B$367</f>
        <v>000927 CH Equity</v>
      </c>
      <c r="C868" t="str">
        <f>$C$367</f>
        <v>RX530</v>
      </c>
      <c r="D868" t="str">
        <f>$D$367</f>
        <v>T12M_DVDS_PAID</v>
      </c>
      <c r="E868" t="str">
        <f>$E$367</f>
        <v>Dynamic</v>
      </c>
      <c r="F868" t="str">
        <f ca="1">_xll.BDH($B$367,$C$367,$B$509,$B$510,CONCATENATE("Per=",$B$507),"Dts=H","Dir=H",CONCATENATE("Points=",$B$508),"Sort=R","Days=A","Fill=B",CONCATENATE("FX=", $B$506) )</f>
        <v>#N/A Connection</v>
      </c>
      <c r="BN868" t="str">
        <f>""</f>
        <v/>
      </c>
      <c r="BO868" t="str">
        <f>""</f>
        <v/>
      </c>
      <c r="BP868" t="str">
        <f>""</f>
        <v/>
      </c>
      <c r="BQ868" t="str">
        <f>""</f>
        <v/>
      </c>
      <c r="BR868" t="str">
        <f>""</f>
        <v/>
      </c>
      <c r="BS868" t="str">
        <f>""</f>
        <v/>
      </c>
      <c r="BT868" t="str">
        <f>""</f>
        <v/>
      </c>
      <c r="BU868" t="str">
        <f>""</f>
        <v/>
      </c>
      <c r="BV868" t="str">
        <f>""</f>
        <v/>
      </c>
      <c r="BW868" t="str">
        <f>""</f>
        <v/>
      </c>
      <c r="BX868" t="str">
        <f>""</f>
        <v/>
      </c>
      <c r="BY868" t="str">
        <f>""</f>
        <v/>
      </c>
      <c r="BZ868" t="str">
        <f>""</f>
        <v/>
      </c>
      <c r="CA868" t="str">
        <f>""</f>
        <v/>
      </c>
      <c r="CB868" t="str">
        <f>""</f>
        <v/>
      </c>
      <c r="CC868" t="str">
        <f>""</f>
        <v/>
      </c>
      <c r="CD868" t="str">
        <f>""</f>
        <v/>
      </c>
      <c r="CE868" t="str">
        <f>""</f>
        <v/>
      </c>
      <c r="CF868" t="str">
        <f>""</f>
        <v/>
      </c>
      <c r="CG868" t="str">
        <f>""</f>
        <v/>
      </c>
      <c r="CH868" t="str">
        <f>""</f>
        <v/>
      </c>
      <c r="CI868" t="str">
        <f>""</f>
        <v/>
      </c>
      <c r="CJ868" t="str">
        <f>""</f>
        <v/>
      </c>
      <c r="CK868" t="str">
        <f>""</f>
        <v/>
      </c>
      <c r="CL868" t="str">
        <f>""</f>
        <v/>
      </c>
      <c r="CM868" t="str">
        <f>""</f>
        <v/>
      </c>
      <c r="CN868" t="str">
        <f>""</f>
        <v/>
      </c>
      <c r="CO868" t="str">
        <f>""</f>
        <v/>
      </c>
      <c r="CP868" t="str">
        <f>""</f>
        <v/>
      </c>
      <c r="CQ868" t="str">
        <f>""</f>
        <v/>
      </c>
      <c r="CR868" t="str">
        <f>""</f>
        <v/>
      </c>
      <c r="CS868" t="str">
        <f>""</f>
        <v/>
      </c>
      <c r="CT868" t="str">
        <f>""</f>
        <v/>
      </c>
      <c r="CU868" t="str">
        <f>""</f>
        <v/>
      </c>
      <c r="CV868" t="str">
        <f>""</f>
        <v/>
      </c>
      <c r="CW868" t="str">
        <f>""</f>
        <v/>
      </c>
      <c r="CX868" t="str">
        <f>""</f>
        <v/>
      </c>
      <c r="CY868" t="str">
        <f>""</f>
        <v/>
      </c>
      <c r="CZ868" t="str">
        <f>""</f>
        <v/>
      </c>
      <c r="DA868" t="str">
        <f>""</f>
        <v/>
      </c>
      <c r="DB868" t="str">
        <f>""</f>
        <v/>
      </c>
      <c r="DC868" t="str">
        <f>""</f>
        <v/>
      </c>
      <c r="DD868" t="str">
        <f>""</f>
        <v/>
      </c>
      <c r="DE868" t="str">
        <f>""</f>
        <v/>
      </c>
      <c r="DF868" t="str">
        <f>""</f>
        <v/>
      </c>
      <c r="DG868" t="str">
        <f>""</f>
        <v/>
      </c>
      <c r="DH868" t="str">
        <f>""</f>
        <v/>
      </c>
      <c r="DI868" t="str">
        <f>""</f>
        <v/>
      </c>
      <c r="DJ868" t="str">
        <f>""</f>
        <v/>
      </c>
      <c r="DK868" t="str">
        <f>""</f>
        <v/>
      </c>
      <c r="DL868" t="str">
        <f>""</f>
        <v/>
      </c>
      <c r="DM868" t="str">
        <f>""</f>
        <v/>
      </c>
      <c r="DN868" t="str">
        <f>""</f>
        <v/>
      </c>
      <c r="DO868" t="str">
        <f>""</f>
        <v/>
      </c>
      <c r="DP868" t="str">
        <f>""</f>
        <v/>
      </c>
      <c r="DQ868" t="str">
        <f>""</f>
        <v/>
      </c>
      <c r="DR868" t="str">
        <f>""</f>
        <v/>
      </c>
      <c r="DS868" t="str">
        <f>""</f>
        <v/>
      </c>
      <c r="DT868" t="str">
        <f>""</f>
        <v/>
      </c>
      <c r="DU868" t="str">
        <f>""</f>
        <v/>
      </c>
    </row>
    <row r="869" spans="1:125" x14ac:dyDescent="0.25">
      <c r="A869" t="str">
        <f>$A$368</f>
        <v xml:space="preserve">    Tofas Turk Otomobil Fabrikasi AS</v>
      </c>
      <c r="B869" t="str">
        <f>$B$368</f>
        <v>TOASOTRY EO Equity</v>
      </c>
      <c r="C869" t="str">
        <f>$C$368</f>
        <v>RX530</v>
      </c>
      <c r="D869" t="str">
        <f>$D$368</f>
        <v>T12M_DVDS_PAID</v>
      </c>
      <c r="E869" t="str">
        <f>$E$368</f>
        <v>Dynamic</v>
      </c>
      <c r="F869" t="str">
        <f ca="1">_xll.BDH($B$368,$C$368,$B$509,$B$510,CONCATENATE("Per=",$B$507),"Dts=H","Dir=H",CONCATENATE("Points=",$B$508),"Sort=R","Days=A","Fill=B",CONCATENATE("FX=", $B$506) )</f>
        <v>#N/A Connection</v>
      </c>
      <c r="BN869" t="str">
        <f>""</f>
        <v/>
      </c>
      <c r="BO869" t="str">
        <f>""</f>
        <v/>
      </c>
      <c r="BP869" t="str">
        <f>""</f>
        <v/>
      </c>
      <c r="BQ869" t="str">
        <f>""</f>
        <v/>
      </c>
      <c r="BR869" t="str">
        <f>""</f>
        <v/>
      </c>
      <c r="BS869" t="str">
        <f>""</f>
        <v/>
      </c>
      <c r="BT869" t="str">
        <f>""</f>
        <v/>
      </c>
      <c r="BU869" t="str">
        <f>""</f>
        <v/>
      </c>
      <c r="BV869" t="str">
        <f>""</f>
        <v/>
      </c>
      <c r="BW869" t="str">
        <f>""</f>
        <v/>
      </c>
      <c r="BX869" t="str">
        <f>""</f>
        <v/>
      </c>
      <c r="BY869" t="str">
        <f>""</f>
        <v/>
      </c>
      <c r="BZ869" t="str">
        <f>""</f>
        <v/>
      </c>
      <c r="CA869" t="str">
        <f>""</f>
        <v/>
      </c>
      <c r="CB869" t="str">
        <f>""</f>
        <v/>
      </c>
      <c r="CC869" t="str">
        <f>""</f>
        <v/>
      </c>
      <c r="CD869" t="str">
        <f>""</f>
        <v/>
      </c>
      <c r="CE869" t="str">
        <f>""</f>
        <v/>
      </c>
      <c r="CF869" t="str">
        <f>""</f>
        <v/>
      </c>
      <c r="CG869" t="str">
        <f>""</f>
        <v/>
      </c>
      <c r="CH869" t="str">
        <f>""</f>
        <v/>
      </c>
      <c r="CI869" t="str">
        <f>""</f>
        <v/>
      </c>
      <c r="CJ869" t="str">
        <f>""</f>
        <v/>
      </c>
      <c r="CK869" t="str">
        <f>""</f>
        <v/>
      </c>
      <c r="CL869" t="str">
        <f>""</f>
        <v/>
      </c>
      <c r="CM869" t="str">
        <f>""</f>
        <v/>
      </c>
      <c r="CN869" t="str">
        <f>""</f>
        <v/>
      </c>
      <c r="CO869" t="str">
        <f>""</f>
        <v/>
      </c>
      <c r="CP869" t="str">
        <f>""</f>
        <v/>
      </c>
      <c r="CQ869" t="str">
        <f>""</f>
        <v/>
      </c>
      <c r="CR869" t="str">
        <f>""</f>
        <v/>
      </c>
      <c r="CS869" t="str">
        <f>""</f>
        <v/>
      </c>
      <c r="CT869" t="str">
        <f>""</f>
        <v/>
      </c>
      <c r="CU869" t="str">
        <f>""</f>
        <v/>
      </c>
      <c r="CV869" t="str">
        <f>""</f>
        <v/>
      </c>
      <c r="CW869" t="str">
        <f>""</f>
        <v/>
      </c>
      <c r="CX869" t="str">
        <f>""</f>
        <v/>
      </c>
      <c r="CY869" t="str">
        <f>""</f>
        <v/>
      </c>
      <c r="CZ869" t="str">
        <f>""</f>
        <v/>
      </c>
      <c r="DA869" t="str">
        <f>""</f>
        <v/>
      </c>
      <c r="DB869" t="str">
        <f>""</f>
        <v/>
      </c>
      <c r="DC869" t="str">
        <f>""</f>
        <v/>
      </c>
      <c r="DD869" t="str">
        <f>""</f>
        <v/>
      </c>
      <c r="DE869" t="str">
        <f>""</f>
        <v/>
      </c>
      <c r="DF869" t="str">
        <f>""</f>
        <v/>
      </c>
      <c r="DG869" t="str">
        <f>""</f>
        <v/>
      </c>
      <c r="DH869" t="str">
        <f>""</f>
        <v/>
      </c>
      <c r="DI869" t="str">
        <f>""</f>
        <v/>
      </c>
      <c r="DJ869" t="str">
        <f>""</f>
        <v/>
      </c>
      <c r="DK869" t="str">
        <f>""</f>
        <v/>
      </c>
      <c r="DL869" t="str">
        <f>""</f>
        <v/>
      </c>
      <c r="DM869" t="str">
        <f>""</f>
        <v/>
      </c>
      <c r="DN869" t="str">
        <f>""</f>
        <v/>
      </c>
      <c r="DO869" t="str">
        <f>""</f>
        <v/>
      </c>
      <c r="DP869" t="str">
        <f>""</f>
        <v/>
      </c>
      <c r="DQ869" t="str">
        <f>""</f>
        <v/>
      </c>
      <c r="DR869" t="str">
        <f>""</f>
        <v/>
      </c>
      <c r="DS869" t="str">
        <f>""</f>
        <v/>
      </c>
      <c r="DT869" t="str">
        <f>""</f>
        <v/>
      </c>
      <c r="DU869" t="str">
        <f>""</f>
        <v/>
      </c>
    </row>
    <row r="870" spans="1:125" x14ac:dyDescent="0.25">
      <c r="A870" t="str">
        <f>$A$369</f>
        <v xml:space="preserve">    Toyota Motor Corp</v>
      </c>
      <c r="B870" t="str">
        <f>$B$369</f>
        <v>7203 JP Equity</v>
      </c>
      <c r="C870" t="str">
        <f>$C$369</f>
        <v>RX530</v>
      </c>
      <c r="D870" t="str">
        <f>$D$369</f>
        <v>T12M_DVDS_PAID</v>
      </c>
      <c r="E870" t="str">
        <f>$E$369</f>
        <v>Dynamic</v>
      </c>
      <c r="F870" t="str">
        <f ca="1">_xll.BDH($B$369,$C$369,$B$509,$B$510,CONCATENATE("Per=",$B$507),"Dts=H","Dir=H",CONCATENATE("Points=",$B$508),"Sort=R","Days=A","Fill=B",CONCATENATE("FX=", $B$506) )</f>
        <v>#N/A Connection</v>
      </c>
      <c r="BN870" t="str">
        <f>""</f>
        <v/>
      </c>
      <c r="BO870" t="str">
        <f>""</f>
        <v/>
      </c>
      <c r="BP870" t="str">
        <f>""</f>
        <v/>
      </c>
      <c r="BQ870" t="str">
        <f>""</f>
        <v/>
      </c>
      <c r="BR870" t="str">
        <f>""</f>
        <v/>
      </c>
      <c r="BS870" t="str">
        <f>""</f>
        <v/>
      </c>
      <c r="BT870" t="str">
        <f>""</f>
        <v/>
      </c>
      <c r="BU870" t="str">
        <f>""</f>
        <v/>
      </c>
      <c r="BV870" t="str">
        <f>""</f>
        <v/>
      </c>
      <c r="BW870" t="str">
        <f>""</f>
        <v/>
      </c>
      <c r="BX870" t="str">
        <f>""</f>
        <v/>
      </c>
      <c r="BY870" t="str">
        <f>""</f>
        <v/>
      </c>
      <c r="BZ870" t="str">
        <f>""</f>
        <v/>
      </c>
      <c r="CA870" t="str">
        <f>""</f>
        <v/>
      </c>
      <c r="CB870" t="str">
        <f>""</f>
        <v/>
      </c>
      <c r="CC870" t="str">
        <f>""</f>
        <v/>
      </c>
      <c r="CD870" t="str">
        <f>""</f>
        <v/>
      </c>
      <c r="CE870" t="str">
        <f>""</f>
        <v/>
      </c>
      <c r="CF870" t="str">
        <f>""</f>
        <v/>
      </c>
      <c r="CG870" t="str">
        <f>""</f>
        <v/>
      </c>
      <c r="CH870" t="str">
        <f>""</f>
        <v/>
      </c>
      <c r="CI870" t="str">
        <f>""</f>
        <v/>
      </c>
      <c r="CJ870" t="str">
        <f>""</f>
        <v/>
      </c>
      <c r="CK870" t="str">
        <f>""</f>
        <v/>
      </c>
      <c r="CL870" t="str">
        <f>""</f>
        <v/>
      </c>
      <c r="CM870" t="str">
        <f>""</f>
        <v/>
      </c>
      <c r="CN870" t="str">
        <f>""</f>
        <v/>
      </c>
      <c r="CO870" t="str">
        <f>""</f>
        <v/>
      </c>
      <c r="CP870" t="str">
        <f>""</f>
        <v/>
      </c>
      <c r="CQ870" t="str">
        <f>""</f>
        <v/>
      </c>
      <c r="CR870" t="str">
        <f>""</f>
        <v/>
      </c>
      <c r="CS870" t="str">
        <f>""</f>
        <v/>
      </c>
      <c r="CT870" t="str">
        <f>""</f>
        <v/>
      </c>
      <c r="CU870" t="str">
        <f>""</f>
        <v/>
      </c>
      <c r="CV870" t="str">
        <f>""</f>
        <v/>
      </c>
      <c r="CW870" t="str">
        <f>""</f>
        <v/>
      </c>
      <c r="CX870" t="str">
        <f>""</f>
        <v/>
      </c>
      <c r="CY870" t="str">
        <f>""</f>
        <v/>
      </c>
      <c r="CZ870" t="str">
        <f>""</f>
        <v/>
      </c>
      <c r="DA870" t="str">
        <f>""</f>
        <v/>
      </c>
      <c r="DB870" t="str">
        <f>""</f>
        <v/>
      </c>
      <c r="DC870" t="str">
        <f>""</f>
        <v/>
      </c>
      <c r="DD870" t="str">
        <f>""</f>
        <v/>
      </c>
      <c r="DE870" t="str">
        <f>""</f>
        <v/>
      </c>
      <c r="DF870" t="str">
        <f>""</f>
        <v/>
      </c>
      <c r="DG870" t="str">
        <f>""</f>
        <v/>
      </c>
      <c r="DH870" t="str">
        <f>""</f>
        <v/>
      </c>
      <c r="DI870" t="str">
        <f>""</f>
        <v/>
      </c>
      <c r="DJ870" t="str">
        <f>""</f>
        <v/>
      </c>
      <c r="DK870" t="str">
        <f>""</f>
        <v/>
      </c>
      <c r="DL870" t="str">
        <f>""</f>
        <v/>
      </c>
      <c r="DM870" t="str">
        <f>""</f>
        <v/>
      </c>
      <c r="DN870" t="str">
        <f>""</f>
        <v/>
      </c>
      <c r="DO870" t="str">
        <f>""</f>
        <v/>
      </c>
      <c r="DP870" t="str">
        <f>""</f>
        <v/>
      </c>
      <c r="DQ870" t="str">
        <f>""</f>
        <v/>
      </c>
      <c r="DR870" t="str">
        <f>""</f>
        <v/>
      </c>
      <c r="DS870" t="str">
        <f>""</f>
        <v/>
      </c>
      <c r="DT870" t="str">
        <f>""</f>
        <v/>
      </c>
      <c r="DU870" t="str">
        <f>""</f>
        <v/>
      </c>
    </row>
    <row r="871" spans="1:125" x14ac:dyDescent="0.25">
      <c r="A871" t="str">
        <f>$A$370</f>
        <v xml:space="preserve">    Volkswagen AG</v>
      </c>
      <c r="B871" t="str">
        <f>$B$370</f>
        <v>VOW GR Equity</v>
      </c>
      <c r="C871" t="str">
        <f>$C$370</f>
        <v>RX530</v>
      </c>
      <c r="D871" t="str">
        <f>$D$370</f>
        <v>T12M_DVDS_PAID</v>
      </c>
      <c r="E871" t="str">
        <f>$E$370</f>
        <v>Dynamic</v>
      </c>
      <c r="F871" t="str">
        <f ca="1">_xll.BDH($B$370,$C$370,$B$509,$B$510,CONCATENATE("Per=",$B$507),"Dts=H","Dir=H",CONCATENATE("Points=",$B$508),"Sort=R","Days=A","Fill=B",CONCATENATE("FX=", $B$506) )</f>
        <v>#N/A Connection</v>
      </c>
      <c r="BN871" t="str">
        <f>""</f>
        <v/>
      </c>
      <c r="BO871" t="str">
        <f>""</f>
        <v/>
      </c>
      <c r="BP871" t="str">
        <f>""</f>
        <v/>
      </c>
      <c r="BQ871" t="str">
        <f>""</f>
        <v/>
      </c>
      <c r="BR871" t="str">
        <f>""</f>
        <v/>
      </c>
      <c r="BS871" t="str">
        <f>""</f>
        <v/>
      </c>
      <c r="BT871" t="str">
        <f>""</f>
        <v/>
      </c>
      <c r="BU871" t="str">
        <f>""</f>
        <v/>
      </c>
      <c r="BV871" t="str">
        <f>""</f>
        <v/>
      </c>
      <c r="BW871" t="str">
        <f>""</f>
        <v/>
      </c>
      <c r="BX871" t="str">
        <f>""</f>
        <v/>
      </c>
      <c r="BY871" t="str">
        <f>""</f>
        <v/>
      </c>
      <c r="BZ871" t="str">
        <f>""</f>
        <v/>
      </c>
      <c r="CA871" t="str">
        <f>""</f>
        <v/>
      </c>
      <c r="CB871" t="str">
        <f>""</f>
        <v/>
      </c>
      <c r="CC871" t="str">
        <f>""</f>
        <v/>
      </c>
      <c r="CD871" t="str">
        <f>""</f>
        <v/>
      </c>
      <c r="CE871" t="str">
        <f>""</f>
        <v/>
      </c>
      <c r="CF871" t="str">
        <f>""</f>
        <v/>
      </c>
      <c r="CG871" t="str">
        <f>""</f>
        <v/>
      </c>
      <c r="CH871" t="str">
        <f>""</f>
        <v/>
      </c>
      <c r="CI871" t="str">
        <f>""</f>
        <v/>
      </c>
      <c r="CJ871" t="str">
        <f>""</f>
        <v/>
      </c>
      <c r="CK871" t="str">
        <f>""</f>
        <v/>
      </c>
      <c r="CL871" t="str">
        <f>""</f>
        <v/>
      </c>
      <c r="CM871" t="str">
        <f>""</f>
        <v/>
      </c>
      <c r="CN871" t="str">
        <f>""</f>
        <v/>
      </c>
      <c r="CO871" t="str">
        <f>""</f>
        <v/>
      </c>
      <c r="CP871" t="str">
        <f>""</f>
        <v/>
      </c>
      <c r="CQ871" t="str">
        <f>""</f>
        <v/>
      </c>
      <c r="CR871" t="str">
        <f>""</f>
        <v/>
      </c>
      <c r="CS871" t="str">
        <f>""</f>
        <v/>
      </c>
      <c r="CT871" t="str">
        <f>""</f>
        <v/>
      </c>
      <c r="CU871" t="str">
        <f>""</f>
        <v/>
      </c>
      <c r="CV871" t="str">
        <f>""</f>
        <v/>
      </c>
      <c r="CW871" t="str">
        <f>""</f>
        <v/>
      </c>
      <c r="CX871" t="str">
        <f>""</f>
        <v/>
      </c>
      <c r="CY871" t="str">
        <f>""</f>
        <v/>
      </c>
      <c r="CZ871" t="str">
        <f>""</f>
        <v/>
      </c>
      <c r="DA871" t="str">
        <f>""</f>
        <v/>
      </c>
      <c r="DB871" t="str">
        <f>""</f>
        <v/>
      </c>
      <c r="DC871" t="str">
        <f>""</f>
        <v/>
      </c>
      <c r="DD871" t="str">
        <f>""</f>
        <v/>
      </c>
      <c r="DE871" t="str">
        <f>""</f>
        <v/>
      </c>
      <c r="DF871" t="str">
        <f>""</f>
        <v/>
      </c>
      <c r="DG871" t="str">
        <f>""</f>
        <v/>
      </c>
      <c r="DH871" t="str">
        <f>""</f>
        <v/>
      </c>
      <c r="DI871" t="str">
        <f>""</f>
        <v/>
      </c>
      <c r="DJ871" t="str">
        <f>""</f>
        <v/>
      </c>
      <c r="DK871" t="str">
        <f>""</f>
        <v/>
      </c>
      <c r="DL871" t="str">
        <f>""</f>
        <v/>
      </c>
      <c r="DM871" t="str">
        <f>""</f>
        <v/>
      </c>
      <c r="DN871" t="str">
        <f>""</f>
        <v/>
      </c>
      <c r="DO871" t="str">
        <f>""</f>
        <v/>
      </c>
      <c r="DP871" t="str">
        <f>""</f>
        <v/>
      </c>
      <c r="DQ871" t="str">
        <f>""</f>
        <v/>
      </c>
      <c r="DR871" t="str">
        <f>""</f>
        <v/>
      </c>
      <c r="DS871" t="str">
        <f>""</f>
        <v/>
      </c>
      <c r="DT871" t="str">
        <f>""</f>
        <v/>
      </c>
      <c r="DU871" t="str">
        <f>""</f>
        <v/>
      </c>
    </row>
    <row r="872" spans="1:125" x14ac:dyDescent="0.25">
      <c r="A872" t="str">
        <f>$A$371</f>
        <v xml:space="preserve">    Yulon Motor Co Ltd</v>
      </c>
      <c r="B872" t="str">
        <f>$B$371</f>
        <v>2201 TT Equity</v>
      </c>
      <c r="C872" t="str">
        <f>$C$371</f>
        <v>RX530</v>
      </c>
      <c r="D872" t="str">
        <f>$D$371</f>
        <v>T12M_DVDS_PAID</v>
      </c>
      <c r="E872" t="str">
        <f>$E$371</f>
        <v>Dynamic</v>
      </c>
      <c r="F872" t="str">
        <f ca="1">_xll.BDH($B$371,$C$371,$B$509,$B$510,CONCATENATE("Per=",$B$507),"Dts=H","Dir=H",CONCATENATE("Points=",$B$508),"Sort=R","Days=A","Fill=B",CONCATENATE("FX=", $B$506) )</f>
        <v>#N/A Connection</v>
      </c>
      <c r="BN872" t="str">
        <f>""</f>
        <v/>
      </c>
      <c r="BO872" t="str">
        <f>""</f>
        <v/>
      </c>
      <c r="BP872" t="str">
        <f>""</f>
        <v/>
      </c>
      <c r="BQ872" t="str">
        <f>""</f>
        <v/>
      </c>
      <c r="BR872" t="str">
        <f>""</f>
        <v/>
      </c>
      <c r="BS872" t="str">
        <f>""</f>
        <v/>
      </c>
      <c r="BT872" t="str">
        <f>""</f>
        <v/>
      </c>
      <c r="BU872" t="str">
        <f>""</f>
        <v/>
      </c>
      <c r="BV872" t="str">
        <f>""</f>
        <v/>
      </c>
      <c r="BW872" t="str">
        <f>""</f>
        <v/>
      </c>
      <c r="BX872" t="str">
        <f>""</f>
        <v/>
      </c>
      <c r="BY872" t="str">
        <f>""</f>
        <v/>
      </c>
      <c r="BZ872" t="str">
        <f>""</f>
        <v/>
      </c>
      <c r="CA872" t="str">
        <f>""</f>
        <v/>
      </c>
      <c r="CB872" t="str">
        <f>""</f>
        <v/>
      </c>
      <c r="CC872" t="str">
        <f>""</f>
        <v/>
      </c>
      <c r="CD872" t="str">
        <f>""</f>
        <v/>
      </c>
      <c r="CE872" t="str">
        <f>""</f>
        <v/>
      </c>
      <c r="CF872" t="str">
        <f>""</f>
        <v/>
      </c>
      <c r="CG872" t="str">
        <f>""</f>
        <v/>
      </c>
      <c r="CH872" t="str">
        <f>""</f>
        <v/>
      </c>
      <c r="CI872" t="str">
        <f>""</f>
        <v/>
      </c>
      <c r="CJ872" t="str">
        <f>""</f>
        <v/>
      </c>
      <c r="CK872" t="str">
        <f>""</f>
        <v/>
      </c>
      <c r="CL872" t="str">
        <f>""</f>
        <v/>
      </c>
      <c r="CM872" t="str">
        <f>""</f>
        <v/>
      </c>
      <c r="CN872" t="str">
        <f>""</f>
        <v/>
      </c>
      <c r="CO872" t="str">
        <f>""</f>
        <v/>
      </c>
      <c r="CP872" t="str">
        <f>""</f>
        <v/>
      </c>
      <c r="CQ872" t="str">
        <f>""</f>
        <v/>
      </c>
      <c r="CR872" t="str">
        <f>""</f>
        <v/>
      </c>
      <c r="CS872" t="str">
        <f>""</f>
        <v/>
      </c>
      <c r="CT872" t="str">
        <f>""</f>
        <v/>
      </c>
      <c r="CU872" t="str">
        <f>""</f>
        <v/>
      </c>
      <c r="CV872" t="str">
        <f>""</f>
        <v/>
      </c>
      <c r="CW872" t="str">
        <f>""</f>
        <v/>
      </c>
      <c r="CX872" t="str">
        <f>""</f>
        <v/>
      </c>
      <c r="CY872" t="str">
        <f>""</f>
        <v/>
      </c>
      <c r="CZ872" t="str">
        <f>""</f>
        <v/>
      </c>
      <c r="DA872" t="str">
        <f>""</f>
        <v/>
      </c>
      <c r="DB872" t="str">
        <f>""</f>
        <v/>
      </c>
      <c r="DC872" t="str">
        <f>""</f>
        <v/>
      </c>
      <c r="DD872" t="str">
        <f>""</f>
        <v/>
      </c>
      <c r="DE872" t="str">
        <f>""</f>
        <v/>
      </c>
      <c r="DF872" t="str">
        <f>""</f>
        <v/>
      </c>
      <c r="DG872" t="str">
        <f>""</f>
        <v/>
      </c>
      <c r="DH872" t="str">
        <f>""</f>
        <v/>
      </c>
      <c r="DI872" t="str">
        <f>""</f>
        <v/>
      </c>
      <c r="DJ872" t="str">
        <f>""</f>
        <v/>
      </c>
      <c r="DK872" t="str">
        <f>""</f>
        <v/>
      </c>
      <c r="DL872" t="str">
        <f>""</f>
        <v/>
      </c>
      <c r="DM872" t="str">
        <f>""</f>
        <v/>
      </c>
      <c r="DN872" t="str">
        <f>""</f>
        <v/>
      </c>
      <c r="DO872" t="str">
        <f>""</f>
        <v/>
      </c>
      <c r="DP872" t="str">
        <f>""</f>
        <v/>
      </c>
      <c r="DQ872" t="str">
        <f>""</f>
        <v/>
      </c>
      <c r="DR872" t="str">
        <f>""</f>
        <v/>
      </c>
      <c r="DS872" t="str">
        <f>""</f>
        <v/>
      </c>
      <c r="DT872" t="str">
        <f>""</f>
        <v/>
      </c>
      <c r="DU872" t="str">
        <f>""</f>
        <v/>
      </c>
    </row>
    <row r="873" spans="1:125" x14ac:dyDescent="0.25">
      <c r="A873" t="str">
        <f>$A$374</f>
        <v xml:space="preserve">    AUDI AG</v>
      </c>
      <c r="B873" t="str">
        <f>$B$374</f>
        <v>NSU GR Equity</v>
      </c>
      <c r="C873" t="str">
        <f>$C$374</f>
        <v>RR937</v>
      </c>
      <c r="D873" t="str">
        <f>$D$374</f>
        <v>CRNCY_ADJ_CURR_EV</v>
      </c>
      <c r="E873" t="str">
        <f>$E$374</f>
        <v>Dynamic</v>
      </c>
      <c r="F873" t="str">
        <f ca="1">_xll.BDH($B$374,$C$374,$B$509,$B$510,CONCATENATE("Per=",$B$507),"Dts=H","Dir=H",CONCATENATE("Points=",$B$508),"Sort=R","Days=A","Fill=B",CONCATENATE("FX=", $B$506) )</f>
        <v>#N/A Connection</v>
      </c>
      <c r="BN873" t="str">
        <f>""</f>
        <v/>
      </c>
      <c r="BO873" t="str">
        <f>""</f>
        <v/>
      </c>
      <c r="BP873" t="str">
        <f>""</f>
        <v/>
      </c>
      <c r="BQ873" t="str">
        <f>""</f>
        <v/>
      </c>
      <c r="BR873" t="str">
        <f>""</f>
        <v/>
      </c>
      <c r="BS873" t="str">
        <f>""</f>
        <v/>
      </c>
      <c r="BT873" t="str">
        <f>""</f>
        <v/>
      </c>
      <c r="BU873" t="str">
        <f>""</f>
        <v/>
      </c>
      <c r="BV873" t="str">
        <f>""</f>
        <v/>
      </c>
      <c r="BW873" t="str">
        <f>""</f>
        <v/>
      </c>
      <c r="BX873" t="str">
        <f>""</f>
        <v/>
      </c>
      <c r="BY873" t="str">
        <f>""</f>
        <v/>
      </c>
      <c r="BZ873" t="str">
        <f>""</f>
        <v/>
      </c>
      <c r="CA873" t="str">
        <f>""</f>
        <v/>
      </c>
      <c r="CB873" t="str">
        <f>""</f>
        <v/>
      </c>
      <c r="CC873" t="str">
        <f>""</f>
        <v/>
      </c>
      <c r="CD873" t="str">
        <f>""</f>
        <v/>
      </c>
      <c r="CE873" t="str">
        <f>""</f>
        <v/>
      </c>
      <c r="CF873" t="str">
        <f>""</f>
        <v/>
      </c>
      <c r="CG873" t="str">
        <f>""</f>
        <v/>
      </c>
      <c r="CH873" t="str">
        <f>""</f>
        <v/>
      </c>
      <c r="CI873" t="str">
        <f>""</f>
        <v/>
      </c>
      <c r="CJ873" t="str">
        <f>""</f>
        <v/>
      </c>
      <c r="CK873" t="str">
        <f>""</f>
        <v/>
      </c>
      <c r="CL873" t="str">
        <f>""</f>
        <v/>
      </c>
      <c r="CM873" t="str">
        <f>""</f>
        <v/>
      </c>
      <c r="CN873" t="str">
        <f>""</f>
        <v/>
      </c>
      <c r="CO873" t="str">
        <f>""</f>
        <v/>
      </c>
      <c r="CP873" t="str">
        <f>""</f>
        <v/>
      </c>
      <c r="CQ873" t="str">
        <f>""</f>
        <v/>
      </c>
      <c r="CR873" t="str">
        <f>""</f>
        <v/>
      </c>
      <c r="CS873" t="str">
        <f>""</f>
        <v/>
      </c>
      <c r="CT873" t="str">
        <f>""</f>
        <v/>
      </c>
      <c r="CU873" t="str">
        <f>""</f>
        <v/>
      </c>
      <c r="CV873" t="str">
        <f>""</f>
        <v/>
      </c>
      <c r="CW873" t="str">
        <f>""</f>
        <v/>
      </c>
      <c r="CX873" t="str">
        <f>""</f>
        <v/>
      </c>
      <c r="CY873" t="str">
        <f>""</f>
        <v/>
      </c>
      <c r="CZ873" t="str">
        <f>""</f>
        <v/>
      </c>
      <c r="DA873" t="str">
        <f>""</f>
        <v/>
      </c>
      <c r="DB873" t="str">
        <f>""</f>
        <v/>
      </c>
      <c r="DC873" t="str">
        <f>""</f>
        <v/>
      </c>
      <c r="DD873" t="str">
        <f>""</f>
        <v/>
      </c>
      <c r="DE873" t="str">
        <f>""</f>
        <v/>
      </c>
      <c r="DF873" t="str">
        <f>""</f>
        <v/>
      </c>
      <c r="DG873" t="str">
        <f>""</f>
        <v/>
      </c>
      <c r="DH873" t="str">
        <f>""</f>
        <v/>
      </c>
      <c r="DI873" t="str">
        <f>""</f>
        <v/>
      </c>
      <c r="DJ873" t="str">
        <f>""</f>
        <v/>
      </c>
      <c r="DK873" t="str">
        <f>""</f>
        <v/>
      </c>
      <c r="DL873" t="str">
        <f>""</f>
        <v/>
      </c>
      <c r="DM873" t="str">
        <f>""</f>
        <v/>
      </c>
      <c r="DN873" t="str">
        <f>""</f>
        <v/>
      </c>
      <c r="DO873" t="str">
        <f>""</f>
        <v/>
      </c>
      <c r="DP873" t="str">
        <f>""</f>
        <v/>
      </c>
      <c r="DQ873" t="str">
        <f>""</f>
        <v/>
      </c>
      <c r="DR873" t="str">
        <f>""</f>
        <v/>
      </c>
      <c r="DS873" t="str">
        <f>""</f>
        <v/>
      </c>
      <c r="DT873" t="str">
        <f>""</f>
        <v/>
      </c>
      <c r="DU873" t="str">
        <f>""</f>
        <v/>
      </c>
    </row>
    <row r="874" spans="1:125" x14ac:dyDescent="0.25">
      <c r="A874" t="str">
        <f>$A$375</f>
        <v xml:space="preserve">    Avtovaz PJSC</v>
      </c>
      <c r="B874" t="str">
        <f>$B$375</f>
        <v>AVAZ RM Equity</v>
      </c>
      <c r="C874" t="str">
        <f>$C$375</f>
        <v>RR937</v>
      </c>
      <c r="D874" t="str">
        <f>$D$375</f>
        <v>CRNCY_ADJ_CURR_EV</v>
      </c>
      <c r="E874" t="str">
        <f>$E$375</f>
        <v>Dynamic</v>
      </c>
      <c r="F874" t="str">
        <f ca="1">_xll.BDH($B$375,$C$375,$B$509,$B$510,CONCATENATE("Per=",$B$507),"Dts=H","Dir=H",CONCATENATE("Points=",$B$508),"Sort=R","Days=A","Fill=B",CONCATENATE("FX=", $B$506) )</f>
        <v>#N/A Connection</v>
      </c>
      <c r="BN874" t="str">
        <f>""</f>
        <v/>
      </c>
      <c r="BO874" t="str">
        <f>""</f>
        <v/>
      </c>
      <c r="BP874" t="str">
        <f>""</f>
        <v/>
      </c>
      <c r="BQ874" t="str">
        <f>""</f>
        <v/>
      </c>
      <c r="BR874" t="str">
        <f>""</f>
        <v/>
      </c>
      <c r="BS874" t="str">
        <f>""</f>
        <v/>
      </c>
      <c r="BT874" t="str">
        <f>""</f>
        <v/>
      </c>
      <c r="BU874" t="str">
        <f>""</f>
        <v/>
      </c>
      <c r="BV874" t="str">
        <f>""</f>
        <v/>
      </c>
      <c r="BW874" t="str">
        <f>""</f>
        <v/>
      </c>
      <c r="BX874" t="str">
        <f>""</f>
        <v/>
      </c>
      <c r="BY874" t="str">
        <f>""</f>
        <v/>
      </c>
      <c r="BZ874" t="str">
        <f>""</f>
        <v/>
      </c>
      <c r="CA874" t="str">
        <f>""</f>
        <v/>
      </c>
      <c r="CB874" t="str">
        <f>""</f>
        <v/>
      </c>
      <c r="CC874" t="str">
        <f>""</f>
        <v/>
      </c>
      <c r="CD874" t="str">
        <f>""</f>
        <v/>
      </c>
      <c r="CE874" t="str">
        <f>""</f>
        <v/>
      </c>
      <c r="CF874" t="str">
        <f>""</f>
        <v/>
      </c>
      <c r="CG874" t="str">
        <f>""</f>
        <v/>
      </c>
      <c r="CH874" t="str">
        <f>""</f>
        <v/>
      </c>
      <c r="CI874" t="str">
        <f>""</f>
        <v/>
      </c>
      <c r="CJ874" t="str">
        <f>""</f>
        <v/>
      </c>
      <c r="CK874" t="str">
        <f>""</f>
        <v/>
      </c>
      <c r="CL874" t="str">
        <f>""</f>
        <v/>
      </c>
      <c r="CM874" t="str">
        <f>""</f>
        <v/>
      </c>
      <c r="CN874" t="str">
        <f>""</f>
        <v/>
      </c>
      <c r="CO874" t="str">
        <f>""</f>
        <v/>
      </c>
      <c r="CP874" t="str">
        <f>""</f>
        <v/>
      </c>
      <c r="CQ874" t="str">
        <f>""</f>
        <v/>
      </c>
      <c r="CR874" t="str">
        <f>""</f>
        <v/>
      </c>
      <c r="CS874" t="str">
        <f>""</f>
        <v/>
      </c>
      <c r="CT874" t="str">
        <f>""</f>
        <v/>
      </c>
      <c r="CU874" t="str">
        <f>""</f>
        <v/>
      </c>
      <c r="CV874" t="str">
        <f>""</f>
        <v/>
      </c>
      <c r="CW874" t="str">
        <f>""</f>
        <v/>
      </c>
      <c r="CX874" t="str">
        <f>""</f>
        <v/>
      </c>
      <c r="CY874" t="str">
        <f>""</f>
        <v/>
      </c>
      <c r="CZ874" t="str">
        <f>""</f>
        <v/>
      </c>
      <c r="DA874" t="str">
        <f>""</f>
        <v/>
      </c>
      <c r="DB874" t="str">
        <f>""</f>
        <v/>
      </c>
      <c r="DC874" t="str">
        <f>""</f>
        <v/>
      </c>
      <c r="DD874" t="str">
        <f>""</f>
        <v/>
      </c>
      <c r="DE874" t="str">
        <f>""</f>
        <v/>
      </c>
      <c r="DF874" t="str">
        <f>""</f>
        <v/>
      </c>
      <c r="DG874" t="str">
        <f>""</f>
        <v/>
      </c>
      <c r="DH874" t="str">
        <f>""</f>
        <v/>
      </c>
      <c r="DI874" t="str">
        <f>""</f>
        <v/>
      </c>
      <c r="DJ874" t="str">
        <f>""</f>
        <v/>
      </c>
      <c r="DK874" t="str">
        <f>""</f>
        <v/>
      </c>
      <c r="DL874" t="str">
        <f>""</f>
        <v/>
      </c>
      <c r="DM874" t="str">
        <f>""</f>
        <v/>
      </c>
      <c r="DN874" t="str">
        <f>""</f>
        <v/>
      </c>
      <c r="DO874" t="str">
        <f>""</f>
        <v/>
      </c>
      <c r="DP874" t="str">
        <f>""</f>
        <v/>
      </c>
      <c r="DQ874" t="str">
        <f>""</f>
        <v/>
      </c>
      <c r="DR874" t="str">
        <f>""</f>
        <v/>
      </c>
      <c r="DS874" t="str">
        <f>""</f>
        <v/>
      </c>
      <c r="DT874" t="str">
        <f>""</f>
        <v/>
      </c>
      <c r="DU874" t="str">
        <f>""</f>
        <v/>
      </c>
    </row>
    <row r="875" spans="1:125" x14ac:dyDescent="0.25">
      <c r="A875" t="str">
        <f>$A$376</f>
        <v xml:space="preserve">    Bayerische Motoren Werke AG</v>
      </c>
      <c r="B875" t="str">
        <f>$B$376</f>
        <v>BMW GR Equity</v>
      </c>
      <c r="C875" t="str">
        <f>$C$376</f>
        <v>RR937</v>
      </c>
      <c r="D875" t="str">
        <f>$D$376</f>
        <v>CRNCY_ADJ_CURR_EV</v>
      </c>
      <c r="E875" t="str">
        <f>$E$376</f>
        <v>Dynamic</v>
      </c>
      <c r="F875" t="str">
        <f ca="1">_xll.BDH($B$376,$C$376,$B$509,$B$510,CONCATENATE("Per=",$B$507),"Dts=H","Dir=H",CONCATENATE("Points=",$B$508),"Sort=R","Days=A","Fill=B",CONCATENATE("FX=", $B$506) )</f>
        <v>#N/A Connection</v>
      </c>
      <c r="BN875" t="str">
        <f>""</f>
        <v/>
      </c>
      <c r="BO875" t="str">
        <f>""</f>
        <v/>
      </c>
      <c r="BP875" t="str">
        <f>""</f>
        <v/>
      </c>
      <c r="BQ875" t="str">
        <f>""</f>
        <v/>
      </c>
      <c r="BR875" t="str">
        <f>""</f>
        <v/>
      </c>
      <c r="BS875" t="str">
        <f>""</f>
        <v/>
      </c>
      <c r="BT875" t="str">
        <f>""</f>
        <v/>
      </c>
      <c r="BU875" t="str">
        <f>""</f>
        <v/>
      </c>
      <c r="BV875" t="str">
        <f>""</f>
        <v/>
      </c>
      <c r="BW875" t="str">
        <f>""</f>
        <v/>
      </c>
      <c r="BX875" t="str">
        <f>""</f>
        <v/>
      </c>
      <c r="BY875" t="str">
        <f>""</f>
        <v/>
      </c>
      <c r="BZ875" t="str">
        <f>""</f>
        <v/>
      </c>
      <c r="CA875" t="str">
        <f>""</f>
        <v/>
      </c>
      <c r="CB875" t="str">
        <f>""</f>
        <v/>
      </c>
      <c r="CC875" t="str">
        <f>""</f>
        <v/>
      </c>
      <c r="CD875" t="str">
        <f>""</f>
        <v/>
      </c>
      <c r="CE875" t="str">
        <f>""</f>
        <v/>
      </c>
      <c r="CF875" t="str">
        <f>""</f>
        <v/>
      </c>
      <c r="CG875" t="str">
        <f>""</f>
        <v/>
      </c>
      <c r="CH875" t="str">
        <f>""</f>
        <v/>
      </c>
      <c r="CI875" t="str">
        <f>""</f>
        <v/>
      </c>
      <c r="CJ875" t="str">
        <f>""</f>
        <v/>
      </c>
      <c r="CK875" t="str">
        <f>""</f>
        <v/>
      </c>
      <c r="CL875" t="str">
        <f>""</f>
        <v/>
      </c>
      <c r="CM875" t="str">
        <f>""</f>
        <v/>
      </c>
      <c r="CN875" t="str">
        <f>""</f>
        <v/>
      </c>
      <c r="CO875" t="str">
        <f>""</f>
        <v/>
      </c>
      <c r="CP875" t="str">
        <f>""</f>
        <v/>
      </c>
      <c r="CQ875" t="str">
        <f>""</f>
        <v/>
      </c>
      <c r="CR875" t="str">
        <f>""</f>
        <v/>
      </c>
      <c r="CS875" t="str">
        <f>""</f>
        <v/>
      </c>
      <c r="CT875" t="str">
        <f>""</f>
        <v/>
      </c>
      <c r="CU875" t="str">
        <f>""</f>
        <v/>
      </c>
      <c r="CV875" t="str">
        <f>""</f>
        <v/>
      </c>
      <c r="CW875" t="str">
        <f>""</f>
        <v/>
      </c>
      <c r="CX875" t="str">
        <f>""</f>
        <v/>
      </c>
      <c r="CY875" t="str">
        <f>""</f>
        <v/>
      </c>
      <c r="CZ875" t="str">
        <f>""</f>
        <v/>
      </c>
      <c r="DA875" t="str">
        <f>""</f>
        <v/>
      </c>
      <c r="DB875" t="str">
        <f>""</f>
        <v/>
      </c>
      <c r="DC875" t="str">
        <f>""</f>
        <v/>
      </c>
      <c r="DD875" t="str">
        <f>""</f>
        <v/>
      </c>
      <c r="DE875" t="str">
        <f>""</f>
        <v/>
      </c>
      <c r="DF875" t="str">
        <f>""</f>
        <v/>
      </c>
      <c r="DG875" t="str">
        <f>""</f>
        <v/>
      </c>
      <c r="DH875" t="str">
        <f>""</f>
        <v/>
      </c>
      <c r="DI875" t="str">
        <f>""</f>
        <v/>
      </c>
      <c r="DJ875" t="str">
        <f>""</f>
        <v/>
      </c>
      <c r="DK875" t="str">
        <f>""</f>
        <v/>
      </c>
      <c r="DL875" t="str">
        <f>""</f>
        <v/>
      </c>
      <c r="DM875" t="str">
        <f>""</f>
        <v/>
      </c>
      <c r="DN875" t="str">
        <f>""</f>
        <v/>
      </c>
      <c r="DO875" t="str">
        <f>""</f>
        <v/>
      </c>
      <c r="DP875" t="str">
        <f>""</f>
        <v/>
      </c>
      <c r="DQ875" t="str">
        <f>""</f>
        <v/>
      </c>
      <c r="DR875" t="str">
        <f>""</f>
        <v/>
      </c>
      <c r="DS875" t="str">
        <f>""</f>
        <v/>
      </c>
      <c r="DT875" t="str">
        <f>""</f>
        <v/>
      </c>
      <c r="DU875" t="str">
        <f>""</f>
        <v/>
      </c>
    </row>
    <row r="876" spans="1:125" x14ac:dyDescent="0.25">
      <c r="A876" t="str">
        <f>$A$377</f>
        <v xml:space="preserve">    Brilliance China Automotive Holdings Ltd</v>
      </c>
      <c r="B876" t="str">
        <f>$B$377</f>
        <v>1114 HK Equity</v>
      </c>
      <c r="C876" t="str">
        <f>$C$377</f>
        <v>RR937</v>
      </c>
      <c r="D876" t="str">
        <f>$D$377</f>
        <v>CRNCY_ADJ_CURR_EV</v>
      </c>
      <c r="E876" t="str">
        <f>$E$377</f>
        <v>Dynamic</v>
      </c>
      <c r="F876" t="str">
        <f ca="1">_xll.BDH($B$377,$C$377,$B$509,$B$510,CONCATENATE("Per=",$B$507),"Dts=H","Dir=H",CONCATENATE("Points=",$B$508),"Sort=R","Days=A","Fill=B",CONCATENATE("FX=", $B$506) )</f>
        <v>#N/A Connection</v>
      </c>
      <c r="BN876" t="str">
        <f>""</f>
        <v/>
      </c>
      <c r="BO876" t="str">
        <f>""</f>
        <v/>
      </c>
      <c r="BP876" t="str">
        <f>""</f>
        <v/>
      </c>
      <c r="BQ876" t="str">
        <f>""</f>
        <v/>
      </c>
      <c r="BR876" t="str">
        <f>""</f>
        <v/>
      </c>
      <c r="BS876" t="str">
        <f>""</f>
        <v/>
      </c>
      <c r="BT876" t="str">
        <f>""</f>
        <v/>
      </c>
      <c r="BU876" t="str">
        <f>""</f>
        <v/>
      </c>
      <c r="BV876" t="str">
        <f>""</f>
        <v/>
      </c>
      <c r="BW876" t="str">
        <f>""</f>
        <v/>
      </c>
      <c r="BX876" t="str">
        <f>""</f>
        <v/>
      </c>
      <c r="BY876" t="str">
        <f>""</f>
        <v/>
      </c>
      <c r="BZ876" t="str">
        <f>""</f>
        <v/>
      </c>
      <c r="CA876" t="str">
        <f>""</f>
        <v/>
      </c>
      <c r="CB876" t="str">
        <f>""</f>
        <v/>
      </c>
      <c r="CC876" t="str">
        <f>""</f>
        <v/>
      </c>
      <c r="CD876" t="str">
        <f>""</f>
        <v/>
      </c>
      <c r="CE876" t="str">
        <f>""</f>
        <v/>
      </c>
      <c r="CF876" t="str">
        <f>""</f>
        <v/>
      </c>
      <c r="CG876" t="str">
        <f>""</f>
        <v/>
      </c>
      <c r="CH876" t="str">
        <f>""</f>
        <v/>
      </c>
      <c r="CI876" t="str">
        <f>""</f>
        <v/>
      </c>
      <c r="CJ876" t="str">
        <f>""</f>
        <v/>
      </c>
      <c r="CK876" t="str">
        <f>""</f>
        <v/>
      </c>
      <c r="CL876" t="str">
        <f>""</f>
        <v/>
      </c>
      <c r="CM876" t="str">
        <f>""</f>
        <v/>
      </c>
      <c r="CN876" t="str">
        <f>""</f>
        <v/>
      </c>
      <c r="CO876" t="str">
        <f>""</f>
        <v/>
      </c>
      <c r="CP876" t="str">
        <f>""</f>
        <v/>
      </c>
      <c r="CQ876" t="str">
        <f>""</f>
        <v/>
      </c>
      <c r="CR876" t="str">
        <f>""</f>
        <v/>
      </c>
      <c r="CS876" t="str">
        <f>""</f>
        <v/>
      </c>
      <c r="CT876" t="str">
        <f>""</f>
        <v/>
      </c>
      <c r="CU876" t="str">
        <f>""</f>
        <v/>
      </c>
      <c r="CV876" t="str">
        <f>""</f>
        <v/>
      </c>
      <c r="CW876" t="str">
        <f>""</f>
        <v/>
      </c>
      <c r="CX876" t="str">
        <f>""</f>
        <v/>
      </c>
      <c r="CY876" t="str">
        <f>""</f>
        <v/>
      </c>
      <c r="CZ876" t="str">
        <f>""</f>
        <v/>
      </c>
      <c r="DA876" t="str">
        <f>""</f>
        <v/>
      </c>
      <c r="DB876" t="str">
        <f>""</f>
        <v/>
      </c>
      <c r="DC876" t="str">
        <f>""</f>
        <v/>
      </c>
      <c r="DD876" t="str">
        <f>""</f>
        <v/>
      </c>
      <c r="DE876" t="str">
        <f>""</f>
        <v/>
      </c>
      <c r="DF876" t="str">
        <f>""</f>
        <v/>
      </c>
      <c r="DG876" t="str">
        <f>""</f>
        <v/>
      </c>
      <c r="DH876" t="str">
        <f>""</f>
        <v/>
      </c>
      <c r="DI876" t="str">
        <f>""</f>
        <v/>
      </c>
      <c r="DJ876" t="str">
        <f>""</f>
        <v/>
      </c>
      <c r="DK876" t="str">
        <f>""</f>
        <v/>
      </c>
      <c r="DL876" t="str">
        <f>""</f>
        <v/>
      </c>
      <c r="DM876" t="str">
        <f>""</f>
        <v/>
      </c>
      <c r="DN876" t="str">
        <f>""</f>
        <v/>
      </c>
      <c r="DO876" t="str">
        <f>""</f>
        <v/>
      </c>
      <c r="DP876" t="str">
        <f>""</f>
        <v/>
      </c>
      <c r="DQ876" t="str">
        <f>""</f>
        <v/>
      </c>
      <c r="DR876" t="str">
        <f>""</f>
        <v/>
      </c>
      <c r="DS876" t="str">
        <f>""</f>
        <v/>
      </c>
      <c r="DT876" t="str">
        <f>""</f>
        <v/>
      </c>
      <c r="DU876" t="str">
        <f>""</f>
        <v/>
      </c>
    </row>
    <row r="877" spans="1:125" x14ac:dyDescent="0.25">
      <c r="A877" t="str">
        <f>$A$378</f>
        <v xml:space="preserve">    BYD Co Ltd</v>
      </c>
      <c r="B877" t="str">
        <f>$B$378</f>
        <v>1211 HK Equity</v>
      </c>
      <c r="C877" t="str">
        <f>$C$378</f>
        <v>RR937</v>
      </c>
      <c r="D877" t="str">
        <f>$D$378</f>
        <v>CRNCY_ADJ_CURR_EV</v>
      </c>
      <c r="E877" t="str">
        <f>$E$378</f>
        <v>Dynamic</v>
      </c>
      <c r="F877" t="str">
        <f ca="1">_xll.BDH($B$378,$C$378,$B$509,$B$510,CONCATENATE("Per=",$B$507),"Dts=H","Dir=H",CONCATENATE("Points=",$B$508),"Sort=R","Days=A","Fill=B",CONCATENATE("FX=", $B$506) )</f>
        <v>#N/A Connection</v>
      </c>
      <c r="BN877" t="str">
        <f>""</f>
        <v/>
      </c>
      <c r="BO877" t="str">
        <f>""</f>
        <v/>
      </c>
      <c r="BP877" t="str">
        <f>""</f>
        <v/>
      </c>
      <c r="BQ877" t="str">
        <f>""</f>
        <v/>
      </c>
      <c r="BR877" t="str">
        <f>""</f>
        <v/>
      </c>
      <c r="BS877" t="str">
        <f>""</f>
        <v/>
      </c>
      <c r="BT877" t="str">
        <f>""</f>
        <v/>
      </c>
      <c r="BU877" t="str">
        <f>""</f>
        <v/>
      </c>
      <c r="BV877" t="str">
        <f>""</f>
        <v/>
      </c>
      <c r="BW877" t="str">
        <f>""</f>
        <v/>
      </c>
      <c r="BX877" t="str">
        <f>""</f>
        <v/>
      </c>
      <c r="BY877" t="str">
        <f>""</f>
        <v/>
      </c>
      <c r="BZ877" t="str">
        <f>""</f>
        <v/>
      </c>
      <c r="CA877" t="str">
        <f>""</f>
        <v/>
      </c>
      <c r="CB877" t="str">
        <f>""</f>
        <v/>
      </c>
      <c r="CC877" t="str">
        <f>""</f>
        <v/>
      </c>
      <c r="CD877" t="str">
        <f>""</f>
        <v/>
      </c>
      <c r="CE877" t="str">
        <f>""</f>
        <v/>
      </c>
      <c r="CF877" t="str">
        <f>""</f>
        <v/>
      </c>
      <c r="CG877" t="str">
        <f>""</f>
        <v/>
      </c>
      <c r="CH877" t="str">
        <f>""</f>
        <v/>
      </c>
      <c r="CI877" t="str">
        <f>""</f>
        <v/>
      </c>
      <c r="CJ877" t="str">
        <f>""</f>
        <v/>
      </c>
      <c r="CK877" t="str">
        <f>""</f>
        <v/>
      </c>
      <c r="CL877" t="str">
        <f>""</f>
        <v/>
      </c>
      <c r="CM877" t="str">
        <f>""</f>
        <v/>
      </c>
      <c r="CN877" t="str">
        <f>""</f>
        <v/>
      </c>
      <c r="CO877" t="str">
        <f>""</f>
        <v/>
      </c>
      <c r="CP877" t="str">
        <f>""</f>
        <v/>
      </c>
      <c r="CQ877" t="str">
        <f>""</f>
        <v/>
      </c>
      <c r="CR877" t="str">
        <f>""</f>
        <v/>
      </c>
      <c r="CS877" t="str">
        <f>""</f>
        <v/>
      </c>
      <c r="CT877" t="str">
        <f>""</f>
        <v/>
      </c>
      <c r="CU877" t="str">
        <f>""</f>
        <v/>
      </c>
      <c r="CV877" t="str">
        <f>""</f>
        <v/>
      </c>
      <c r="CW877" t="str">
        <f>""</f>
        <v/>
      </c>
      <c r="CX877" t="str">
        <f>""</f>
        <v/>
      </c>
      <c r="CY877" t="str">
        <f>""</f>
        <v/>
      </c>
      <c r="CZ877" t="str">
        <f>""</f>
        <v/>
      </c>
      <c r="DA877" t="str">
        <f>""</f>
        <v/>
      </c>
      <c r="DB877" t="str">
        <f>""</f>
        <v/>
      </c>
      <c r="DC877" t="str">
        <f>""</f>
        <v/>
      </c>
      <c r="DD877" t="str">
        <f>""</f>
        <v/>
      </c>
      <c r="DE877" t="str">
        <f>""</f>
        <v/>
      </c>
      <c r="DF877" t="str">
        <f>""</f>
        <v/>
      </c>
      <c r="DG877" t="str">
        <f>""</f>
        <v/>
      </c>
      <c r="DH877" t="str">
        <f>""</f>
        <v/>
      </c>
      <c r="DI877" t="str">
        <f>""</f>
        <v/>
      </c>
      <c r="DJ877" t="str">
        <f>""</f>
        <v/>
      </c>
      <c r="DK877" t="str">
        <f>""</f>
        <v/>
      </c>
      <c r="DL877" t="str">
        <f>""</f>
        <v/>
      </c>
      <c r="DM877" t="str">
        <f>""</f>
        <v/>
      </c>
      <c r="DN877" t="str">
        <f>""</f>
        <v/>
      </c>
      <c r="DO877" t="str">
        <f>""</f>
        <v/>
      </c>
      <c r="DP877" t="str">
        <f>""</f>
        <v/>
      </c>
      <c r="DQ877" t="str">
        <f>""</f>
        <v/>
      </c>
      <c r="DR877" t="str">
        <f>""</f>
        <v/>
      </c>
      <c r="DS877" t="str">
        <f>""</f>
        <v/>
      </c>
      <c r="DT877" t="str">
        <f>""</f>
        <v/>
      </c>
      <c r="DU877" t="str">
        <f>""</f>
        <v/>
      </c>
    </row>
    <row r="878" spans="1:125" x14ac:dyDescent="0.25">
      <c r="A878" t="str">
        <f>$A$379</f>
        <v xml:space="preserve">    Chongqing Changan Automobile Co Ltd</v>
      </c>
      <c r="B878" t="str">
        <f>$B$379</f>
        <v>200625 CH Equity</v>
      </c>
      <c r="C878" t="str">
        <f>$C$379</f>
        <v>RR937</v>
      </c>
      <c r="D878" t="str">
        <f>$D$379</f>
        <v>CRNCY_ADJ_CURR_EV</v>
      </c>
      <c r="E878" t="str">
        <f>$E$379</f>
        <v>Dynamic</v>
      </c>
      <c r="F878" t="str">
        <f ca="1">_xll.BDH($B$379,$C$379,$B$509,$B$510,CONCATENATE("Per=",$B$507),"Dts=H","Dir=H",CONCATENATE("Points=",$B$508),"Sort=R","Days=A","Fill=B",CONCATENATE("FX=", $B$506) )</f>
        <v>#N/A Connection</v>
      </c>
      <c r="BN878" t="str">
        <f>""</f>
        <v/>
      </c>
      <c r="BO878" t="str">
        <f>""</f>
        <v/>
      </c>
      <c r="BP878" t="str">
        <f>""</f>
        <v/>
      </c>
      <c r="BQ878" t="str">
        <f>""</f>
        <v/>
      </c>
      <c r="BR878" t="str">
        <f>""</f>
        <v/>
      </c>
      <c r="BS878" t="str">
        <f>""</f>
        <v/>
      </c>
      <c r="BT878" t="str">
        <f>""</f>
        <v/>
      </c>
      <c r="BU878" t="str">
        <f>""</f>
        <v/>
      </c>
      <c r="BV878" t="str">
        <f>""</f>
        <v/>
      </c>
      <c r="BW878" t="str">
        <f>""</f>
        <v/>
      </c>
      <c r="BX878" t="str">
        <f>""</f>
        <v/>
      </c>
      <c r="BY878" t="str">
        <f>""</f>
        <v/>
      </c>
      <c r="BZ878" t="str">
        <f>""</f>
        <v/>
      </c>
      <c r="CA878" t="str">
        <f>""</f>
        <v/>
      </c>
      <c r="CB878" t="str">
        <f>""</f>
        <v/>
      </c>
      <c r="CC878" t="str">
        <f>""</f>
        <v/>
      </c>
      <c r="CD878" t="str">
        <f>""</f>
        <v/>
      </c>
      <c r="CE878" t="str">
        <f>""</f>
        <v/>
      </c>
      <c r="CF878" t="str">
        <f>""</f>
        <v/>
      </c>
      <c r="CG878" t="str">
        <f>""</f>
        <v/>
      </c>
      <c r="CH878" t="str">
        <f>""</f>
        <v/>
      </c>
      <c r="CI878" t="str">
        <f>""</f>
        <v/>
      </c>
      <c r="CJ878" t="str">
        <f>""</f>
        <v/>
      </c>
      <c r="CK878" t="str">
        <f>""</f>
        <v/>
      </c>
      <c r="CL878" t="str">
        <f>""</f>
        <v/>
      </c>
      <c r="CM878" t="str">
        <f>""</f>
        <v/>
      </c>
      <c r="CN878" t="str">
        <f>""</f>
        <v/>
      </c>
      <c r="CO878" t="str">
        <f>""</f>
        <v/>
      </c>
      <c r="CP878" t="str">
        <f>""</f>
        <v/>
      </c>
      <c r="CQ878" t="str">
        <f>""</f>
        <v/>
      </c>
      <c r="CR878" t="str">
        <f>""</f>
        <v/>
      </c>
      <c r="CS878" t="str">
        <f>""</f>
        <v/>
      </c>
      <c r="CT878" t="str">
        <f>""</f>
        <v/>
      </c>
      <c r="CU878" t="str">
        <f>""</f>
        <v/>
      </c>
      <c r="CV878" t="str">
        <f>""</f>
        <v/>
      </c>
      <c r="CW878" t="str">
        <f>""</f>
        <v/>
      </c>
      <c r="CX878" t="str">
        <f>""</f>
        <v/>
      </c>
      <c r="CY878" t="str">
        <f>""</f>
        <v/>
      </c>
      <c r="CZ878" t="str">
        <f>""</f>
        <v/>
      </c>
      <c r="DA878" t="str">
        <f>""</f>
        <v/>
      </c>
      <c r="DB878" t="str">
        <f>""</f>
        <v/>
      </c>
      <c r="DC878" t="str">
        <f>""</f>
        <v/>
      </c>
      <c r="DD878" t="str">
        <f>""</f>
        <v/>
      </c>
      <c r="DE878" t="str">
        <f>""</f>
        <v/>
      </c>
      <c r="DF878" t="str">
        <f>""</f>
        <v/>
      </c>
      <c r="DG878" t="str">
        <f>""</f>
        <v/>
      </c>
      <c r="DH878" t="str">
        <f>""</f>
        <v/>
      </c>
      <c r="DI878" t="str">
        <f>""</f>
        <v/>
      </c>
      <c r="DJ878" t="str">
        <f>""</f>
        <v/>
      </c>
      <c r="DK878" t="str">
        <f>""</f>
        <v/>
      </c>
      <c r="DL878" t="str">
        <f>""</f>
        <v/>
      </c>
      <c r="DM878" t="str">
        <f>""</f>
        <v/>
      </c>
      <c r="DN878" t="str">
        <f>""</f>
        <v/>
      </c>
      <c r="DO878" t="str">
        <f>""</f>
        <v/>
      </c>
      <c r="DP878" t="str">
        <f>""</f>
        <v/>
      </c>
      <c r="DQ878" t="str">
        <f>""</f>
        <v/>
      </c>
      <c r="DR878" t="str">
        <f>""</f>
        <v/>
      </c>
      <c r="DS878" t="str">
        <f>""</f>
        <v/>
      </c>
      <c r="DT878" t="str">
        <f>""</f>
        <v/>
      </c>
      <c r="DU878" t="str">
        <f>""</f>
        <v/>
      </c>
    </row>
    <row r="879" spans="1:125" x14ac:dyDescent="0.25">
      <c r="A879" t="str">
        <f>$A$380</f>
        <v xml:space="preserve">    Daihatsu Motor Co Ltd</v>
      </c>
      <c r="B879" t="str">
        <f>$B$380</f>
        <v>7262 JP Equity</v>
      </c>
      <c r="C879" t="str">
        <f>$C$380</f>
        <v>RR937</v>
      </c>
      <c r="D879" t="str">
        <f>$D$380</f>
        <v>CRNCY_ADJ_CURR_EV</v>
      </c>
      <c r="E879" t="str">
        <f>$E$380</f>
        <v>Dynamic</v>
      </c>
      <c r="F879" t="str">
        <f ca="1">_xll.BDH($B$380,$C$380,$B$509,$B$510,CONCATENATE("Per=",$B$507),"Dts=H","Dir=H",CONCATENATE("Points=",$B$508),"Sort=R","Days=A","Fill=B",CONCATENATE("FX=", $B$506) )</f>
        <v>#N/A Connection</v>
      </c>
      <c r="BN879" t="str">
        <f>""</f>
        <v/>
      </c>
      <c r="BO879" t="str">
        <f>""</f>
        <v/>
      </c>
      <c r="BP879" t="str">
        <f>""</f>
        <v/>
      </c>
      <c r="BQ879" t="str">
        <f>""</f>
        <v/>
      </c>
      <c r="BR879" t="str">
        <f>""</f>
        <v/>
      </c>
      <c r="BS879" t="str">
        <f>""</f>
        <v/>
      </c>
      <c r="BT879" t="str">
        <f>""</f>
        <v/>
      </c>
      <c r="BU879" t="str">
        <f>""</f>
        <v/>
      </c>
      <c r="BV879" t="str">
        <f>""</f>
        <v/>
      </c>
      <c r="BW879" t="str">
        <f>""</f>
        <v/>
      </c>
      <c r="BX879" t="str">
        <f>""</f>
        <v/>
      </c>
      <c r="BY879" t="str">
        <f>""</f>
        <v/>
      </c>
      <c r="BZ879" t="str">
        <f>""</f>
        <v/>
      </c>
      <c r="CA879" t="str">
        <f>""</f>
        <v/>
      </c>
      <c r="CB879" t="str">
        <f>""</f>
        <v/>
      </c>
      <c r="CC879" t="str">
        <f>""</f>
        <v/>
      </c>
      <c r="CD879" t="str">
        <f>""</f>
        <v/>
      </c>
      <c r="CE879" t="str">
        <f>""</f>
        <v/>
      </c>
      <c r="CF879" t="str">
        <f>""</f>
        <v/>
      </c>
      <c r="CG879" t="str">
        <f>""</f>
        <v/>
      </c>
      <c r="CH879" t="str">
        <f>""</f>
        <v/>
      </c>
      <c r="CI879" t="str">
        <f>""</f>
        <v/>
      </c>
      <c r="CJ879" t="str">
        <f>""</f>
        <v/>
      </c>
      <c r="CK879" t="str">
        <f>""</f>
        <v/>
      </c>
      <c r="CL879" t="str">
        <f>""</f>
        <v/>
      </c>
      <c r="CM879" t="str">
        <f>""</f>
        <v/>
      </c>
      <c r="CN879" t="str">
        <f>""</f>
        <v/>
      </c>
      <c r="CO879" t="str">
        <f>""</f>
        <v/>
      </c>
      <c r="CP879" t="str">
        <f>""</f>
        <v/>
      </c>
      <c r="CQ879" t="str">
        <f>""</f>
        <v/>
      </c>
      <c r="CR879" t="str">
        <f>""</f>
        <v/>
      </c>
      <c r="CS879" t="str">
        <f>""</f>
        <v/>
      </c>
      <c r="CT879" t="str">
        <f>""</f>
        <v/>
      </c>
      <c r="CU879" t="str">
        <f>""</f>
        <v/>
      </c>
      <c r="CV879" t="str">
        <f>""</f>
        <v/>
      </c>
      <c r="CW879" t="str">
        <f>""</f>
        <v/>
      </c>
      <c r="CX879" t="str">
        <f>""</f>
        <v/>
      </c>
      <c r="CY879" t="str">
        <f>""</f>
        <v/>
      </c>
      <c r="CZ879" t="str">
        <f>""</f>
        <v/>
      </c>
      <c r="DA879" t="str">
        <f>""</f>
        <v/>
      </c>
      <c r="DB879" t="str">
        <f>""</f>
        <v/>
      </c>
      <c r="DC879" t="str">
        <f>""</f>
        <v/>
      </c>
      <c r="DD879" t="str">
        <f>""</f>
        <v/>
      </c>
      <c r="DE879" t="str">
        <f>""</f>
        <v/>
      </c>
      <c r="DF879" t="str">
        <f>""</f>
        <v/>
      </c>
      <c r="DG879" t="str">
        <f>""</f>
        <v/>
      </c>
      <c r="DH879" t="str">
        <f>""</f>
        <v/>
      </c>
      <c r="DI879" t="str">
        <f>""</f>
        <v/>
      </c>
      <c r="DJ879" t="str">
        <f>""</f>
        <v/>
      </c>
      <c r="DK879" t="str">
        <f>""</f>
        <v/>
      </c>
      <c r="DL879" t="str">
        <f>""</f>
        <v/>
      </c>
      <c r="DM879" t="str">
        <f>""</f>
        <v/>
      </c>
      <c r="DN879" t="str">
        <f>""</f>
        <v/>
      </c>
      <c r="DO879" t="str">
        <f>""</f>
        <v/>
      </c>
      <c r="DP879" t="str">
        <f>""</f>
        <v/>
      </c>
      <c r="DQ879" t="str">
        <f>""</f>
        <v/>
      </c>
      <c r="DR879" t="str">
        <f>""</f>
        <v/>
      </c>
      <c r="DS879" t="str">
        <f>""</f>
        <v/>
      </c>
      <c r="DT879" t="str">
        <f>""</f>
        <v/>
      </c>
      <c r="DU879" t="str">
        <f>""</f>
        <v/>
      </c>
    </row>
    <row r="880" spans="1:125" x14ac:dyDescent="0.25">
      <c r="A880" t="str">
        <f>$A$381</f>
        <v xml:space="preserve">    Daimler AG</v>
      </c>
      <c r="B880" t="str">
        <f>$B$381</f>
        <v>DAI GR Equity</v>
      </c>
      <c r="C880" t="str">
        <f>$C$381</f>
        <v>RR937</v>
      </c>
      <c r="D880" t="str">
        <f>$D$381</f>
        <v>CRNCY_ADJ_CURR_EV</v>
      </c>
      <c r="E880" t="str">
        <f>$E$381</f>
        <v>Dynamic</v>
      </c>
      <c r="F880" t="str">
        <f ca="1">_xll.BDH($B$381,$C$381,$B$509,$B$510,CONCATENATE("Per=",$B$507),"Dts=H","Dir=H",CONCATENATE("Points=",$B$508),"Sort=R","Days=A","Fill=B",CONCATENATE("FX=", $B$506) )</f>
        <v>#N/A Connection</v>
      </c>
      <c r="BN880" t="str">
        <f>""</f>
        <v/>
      </c>
      <c r="BO880" t="str">
        <f>""</f>
        <v/>
      </c>
      <c r="BP880" t="str">
        <f>""</f>
        <v/>
      </c>
      <c r="BQ880" t="str">
        <f>""</f>
        <v/>
      </c>
      <c r="BR880" t="str">
        <f>""</f>
        <v/>
      </c>
      <c r="BS880" t="str">
        <f>""</f>
        <v/>
      </c>
      <c r="BT880" t="str">
        <f>""</f>
        <v/>
      </c>
      <c r="BU880" t="str">
        <f>""</f>
        <v/>
      </c>
      <c r="BV880" t="str">
        <f>""</f>
        <v/>
      </c>
      <c r="BW880" t="str">
        <f>""</f>
        <v/>
      </c>
      <c r="BX880" t="str">
        <f>""</f>
        <v/>
      </c>
      <c r="BY880" t="str">
        <f>""</f>
        <v/>
      </c>
      <c r="BZ880" t="str">
        <f>""</f>
        <v/>
      </c>
      <c r="CA880" t="str">
        <f>""</f>
        <v/>
      </c>
      <c r="CB880" t="str">
        <f>""</f>
        <v/>
      </c>
      <c r="CC880" t="str">
        <f>""</f>
        <v/>
      </c>
      <c r="CD880" t="str">
        <f>""</f>
        <v/>
      </c>
      <c r="CE880" t="str">
        <f>""</f>
        <v/>
      </c>
      <c r="CF880" t="str">
        <f>""</f>
        <v/>
      </c>
      <c r="CG880" t="str">
        <f>""</f>
        <v/>
      </c>
      <c r="CH880" t="str">
        <f>""</f>
        <v/>
      </c>
      <c r="CI880" t="str">
        <f>""</f>
        <v/>
      </c>
      <c r="CJ880" t="str">
        <f>""</f>
        <v/>
      </c>
      <c r="CK880" t="str">
        <f>""</f>
        <v/>
      </c>
      <c r="CL880" t="str">
        <f>""</f>
        <v/>
      </c>
      <c r="CM880" t="str">
        <f>""</f>
        <v/>
      </c>
      <c r="CN880" t="str">
        <f>""</f>
        <v/>
      </c>
      <c r="CO880" t="str">
        <f>""</f>
        <v/>
      </c>
      <c r="CP880" t="str">
        <f>""</f>
        <v/>
      </c>
      <c r="CQ880" t="str">
        <f>""</f>
        <v/>
      </c>
      <c r="CR880" t="str">
        <f>""</f>
        <v/>
      </c>
      <c r="CS880" t="str">
        <f>""</f>
        <v/>
      </c>
      <c r="CT880" t="str">
        <f>""</f>
        <v/>
      </c>
      <c r="CU880" t="str">
        <f>""</f>
        <v/>
      </c>
      <c r="CV880" t="str">
        <f>""</f>
        <v/>
      </c>
      <c r="CW880" t="str">
        <f>""</f>
        <v/>
      </c>
      <c r="CX880" t="str">
        <f>""</f>
        <v/>
      </c>
      <c r="CY880" t="str">
        <f>""</f>
        <v/>
      </c>
      <c r="CZ880" t="str">
        <f>""</f>
        <v/>
      </c>
      <c r="DA880" t="str">
        <f>""</f>
        <v/>
      </c>
      <c r="DB880" t="str">
        <f>""</f>
        <v/>
      </c>
      <c r="DC880" t="str">
        <f>""</f>
        <v/>
      </c>
      <c r="DD880" t="str">
        <f>""</f>
        <v/>
      </c>
      <c r="DE880" t="str">
        <f>""</f>
        <v/>
      </c>
      <c r="DF880" t="str">
        <f>""</f>
        <v/>
      </c>
      <c r="DG880" t="str">
        <f>""</f>
        <v/>
      </c>
      <c r="DH880" t="str">
        <f>""</f>
        <v/>
      </c>
      <c r="DI880" t="str">
        <f>""</f>
        <v/>
      </c>
      <c r="DJ880" t="str">
        <f>""</f>
        <v/>
      </c>
      <c r="DK880" t="str">
        <f>""</f>
        <v/>
      </c>
      <c r="DL880" t="str">
        <f>""</f>
        <v/>
      </c>
      <c r="DM880" t="str">
        <f>""</f>
        <v/>
      </c>
      <c r="DN880" t="str">
        <f>""</f>
        <v/>
      </c>
      <c r="DO880" t="str">
        <f>""</f>
        <v/>
      </c>
      <c r="DP880" t="str">
        <f>""</f>
        <v/>
      </c>
      <c r="DQ880" t="str">
        <f>""</f>
        <v/>
      </c>
      <c r="DR880" t="str">
        <f>""</f>
        <v/>
      </c>
      <c r="DS880" t="str">
        <f>""</f>
        <v/>
      </c>
      <c r="DT880" t="str">
        <f>""</f>
        <v/>
      </c>
      <c r="DU880" t="str">
        <f>""</f>
        <v/>
      </c>
    </row>
    <row r="881" spans="1:125" x14ac:dyDescent="0.25">
      <c r="A881" t="str">
        <f>$A$382</f>
        <v xml:space="preserve">    Dongfeng Motor Group Co Ltd</v>
      </c>
      <c r="B881" t="str">
        <f>$B$382</f>
        <v>489 HK Equity</v>
      </c>
      <c r="C881" t="str">
        <f>$C$382</f>
        <v>RR937</v>
      </c>
      <c r="D881" t="str">
        <f>$D$382</f>
        <v>CRNCY_ADJ_CURR_EV</v>
      </c>
      <c r="E881" t="str">
        <f>$E$382</f>
        <v>Dynamic</v>
      </c>
      <c r="F881" t="str">
        <f ca="1">_xll.BDH($B$382,$C$382,$B$509,$B$510,CONCATENATE("Per=",$B$507),"Dts=H","Dir=H",CONCATENATE("Points=",$B$508),"Sort=R","Days=A","Fill=B",CONCATENATE("FX=", $B$506) )</f>
        <v>#N/A Connection</v>
      </c>
      <c r="BN881" t="str">
        <f>""</f>
        <v/>
      </c>
      <c r="BO881" t="str">
        <f>""</f>
        <v/>
      </c>
      <c r="BP881" t="str">
        <f>""</f>
        <v/>
      </c>
      <c r="BQ881" t="str">
        <f>""</f>
        <v/>
      </c>
      <c r="BR881" t="str">
        <f>""</f>
        <v/>
      </c>
      <c r="BS881" t="str">
        <f>""</f>
        <v/>
      </c>
      <c r="BT881" t="str">
        <f>""</f>
        <v/>
      </c>
      <c r="BU881" t="str">
        <f>""</f>
        <v/>
      </c>
      <c r="BV881" t="str">
        <f>""</f>
        <v/>
      </c>
      <c r="BW881" t="str">
        <f>""</f>
        <v/>
      </c>
      <c r="BX881" t="str">
        <f>""</f>
        <v/>
      </c>
      <c r="BY881" t="str">
        <f>""</f>
        <v/>
      </c>
      <c r="BZ881" t="str">
        <f>""</f>
        <v/>
      </c>
      <c r="CA881" t="str">
        <f>""</f>
        <v/>
      </c>
      <c r="CB881" t="str">
        <f>""</f>
        <v/>
      </c>
      <c r="CC881" t="str">
        <f>""</f>
        <v/>
      </c>
      <c r="CD881" t="str">
        <f>""</f>
        <v/>
      </c>
      <c r="CE881" t="str">
        <f>""</f>
        <v/>
      </c>
      <c r="CF881" t="str">
        <f>""</f>
        <v/>
      </c>
      <c r="CG881" t="str">
        <f>""</f>
        <v/>
      </c>
      <c r="CH881" t="str">
        <f>""</f>
        <v/>
      </c>
      <c r="CI881" t="str">
        <f>""</f>
        <v/>
      </c>
      <c r="CJ881" t="str">
        <f>""</f>
        <v/>
      </c>
      <c r="CK881" t="str">
        <f>""</f>
        <v/>
      </c>
      <c r="CL881" t="str">
        <f>""</f>
        <v/>
      </c>
      <c r="CM881" t="str">
        <f>""</f>
        <v/>
      </c>
      <c r="CN881" t="str">
        <f>""</f>
        <v/>
      </c>
      <c r="CO881" t="str">
        <f>""</f>
        <v/>
      </c>
      <c r="CP881" t="str">
        <f>""</f>
        <v/>
      </c>
      <c r="CQ881" t="str">
        <f>""</f>
        <v/>
      </c>
      <c r="CR881" t="str">
        <f>""</f>
        <v/>
      </c>
      <c r="CS881" t="str">
        <f>""</f>
        <v/>
      </c>
      <c r="CT881" t="str">
        <f>""</f>
        <v/>
      </c>
      <c r="CU881" t="str">
        <f>""</f>
        <v/>
      </c>
      <c r="CV881" t="str">
        <f>""</f>
        <v/>
      </c>
      <c r="CW881" t="str">
        <f>""</f>
        <v/>
      </c>
      <c r="CX881" t="str">
        <f>""</f>
        <v/>
      </c>
      <c r="CY881" t="str">
        <f>""</f>
        <v/>
      </c>
      <c r="CZ881" t="str">
        <f>""</f>
        <v/>
      </c>
      <c r="DA881" t="str">
        <f>""</f>
        <v/>
      </c>
      <c r="DB881" t="str">
        <f>""</f>
        <v/>
      </c>
      <c r="DC881" t="str">
        <f>""</f>
        <v/>
      </c>
      <c r="DD881" t="str">
        <f>""</f>
        <v/>
      </c>
      <c r="DE881" t="str">
        <f>""</f>
        <v/>
      </c>
      <c r="DF881" t="str">
        <f>""</f>
        <v/>
      </c>
      <c r="DG881" t="str">
        <f>""</f>
        <v/>
      </c>
      <c r="DH881" t="str">
        <f>""</f>
        <v/>
      </c>
      <c r="DI881" t="str">
        <f>""</f>
        <v/>
      </c>
      <c r="DJ881" t="str">
        <f>""</f>
        <v/>
      </c>
      <c r="DK881" t="str">
        <f>""</f>
        <v/>
      </c>
      <c r="DL881" t="str">
        <f>""</f>
        <v/>
      </c>
      <c r="DM881" t="str">
        <f>""</f>
        <v/>
      </c>
      <c r="DN881" t="str">
        <f>""</f>
        <v/>
      </c>
      <c r="DO881" t="str">
        <f>""</f>
        <v/>
      </c>
      <c r="DP881" t="str">
        <f>""</f>
        <v/>
      </c>
      <c r="DQ881" t="str">
        <f>""</f>
        <v/>
      </c>
      <c r="DR881" t="str">
        <f>""</f>
        <v/>
      </c>
      <c r="DS881" t="str">
        <f>""</f>
        <v/>
      </c>
      <c r="DT881" t="str">
        <f>""</f>
        <v/>
      </c>
      <c r="DU881" t="str">
        <f>""</f>
        <v/>
      </c>
    </row>
    <row r="882" spans="1:125" x14ac:dyDescent="0.25">
      <c r="A882" t="str">
        <f>$A$383</f>
        <v xml:space="preserve">    DRB-Hicom Bhd</v>
      </c>
      <c r="B882" t="str">
        <f>$B$383</f>
        <v>DRB MK Equity</v>
      </c>
      <c r="C882" t="str">
        <f>$C$383</f>
        <v>RR937</v>
      </c>
      <c r="D882" t="str">
        <f>$D$383</f>
        <v>CRNCY_ADJ_CURR_EV</v>
      </c>
      <c r="E882" t="str">
        <f>$E$383</f>
        <v>Dynamic</v>
      </c>
      <c r="F882" t="str">
        <f ca="1">_xll.BDH($B$383,$C$383,$B$509,$B$510,CONCATENATE("Per=",$B$507),"Dts=H","Dir=H",CONCATENATE("Points=",$B$508),"Sort=R","Days=A","Fill=B",CONCATENATE("FX=", $B$506) )</f>
        <v>#N/A Connection</v>
      </c>
      <c r="BN882" t="str">
        <f>""</f>
        <v/>
      </c>
      <c r="BO882" t="str">
        <f>""</f>
        <v/>
      </c>
      <c r="BP882" t="str">
        <f>""</f>
        <v/>
      </c>
      <c r="BQ882" t="str">
        <f>""</f>
        <v/>
      </c>
      <c r="BR882" t="str">
        <f>""</f>
        <v/>
      </c>
      <c r="BS882" t="str">
        <f>""</f>
        <v/>
      </c>
      <c r="BT882" t="str">
        <f>""</f>
        <v/>
      </c>
      <c r="BU882" t="str">
        <f>""</f>
        <v/>
      </c>
      <c r="BV882" t="str">
        <f>""</f>
        <v/>
      </c>
      <c r="BW882" t="str">
        <f>""</f>
        <v/>
      </c>
      <c r="BX882" t="str">
        <f>""</f>
        <v/>
      </c>
      <c r="BY882" t="str">
        <f>""</f>
        <v/>
      </c>
      <c r="BZ882" t="str">
        <f>""</f>
        <v/>
      </c>
      <c r="CA882" t="str">
        <f>""</f>
        <v/>
      </c>
      <c r="CB882" t="str">
        <f>""</f>
        <v/>
      </c>
      <c r="CC882" t="str">
        <f>""</f>
        <v/>
      </c>
      <c r="CD882" t="str">
        <f>""</f>
        <v/>
      </c>
      <c r="CE882" t="str">
        <f>""</f>
        <v/>
      </c>
      <c r="CF882" t="str">
        <f>""</f>
        <v/>
      </c>
      <c r="CG882" t="str">
        <f>""</f>
        <v/>
      </c>
      <c r="CH882" t="str">
        <f>""</f>
        <v/>
      </c>
      <c r="CI882" t="str">
        <f>""</f>
        <v/>
      </c>
      <c r="CJ882" t="str">
        <f>""</f>
        <v/>
      </c>
      <c r="CK882" t="str">
        <f>""</f>
        <v/>
      </c>
      <c r="CL882" t="str">
        <f>""</f>
        <v/>
      </c>
      <c r="CM882" t="str">
        <f>""</f>
        <v/>
      </c>
      <c r="CN882" t="str">
        <f>""</f>
        <v/>
      </c>
      <c r="CO882" t="str">
        <f>""</f>
        <v/>
      </c>
      <c r="CP882" t="str">
        <f>""</f>
        <v/>
      </c>
      <c r="CQ882" t="str">
        <f>""</f>
        <v/>
      </c>
      <c r="CR882" t="str">
        <f>""</f>
        <v/>
      </c>
      <c r="CS882" t="str">
        <f>""</f>
        <v/>
      </c>
      <c r="CT882" t="str">
        <f>""</f>
        <v/>
      </c>
      <c r="CU882" t="str">
        <f>""</f>
        <v/>
      </c>
      <c r="CV882" t="str">
        <f>""</f>
        <v/>
      </c>
      <c r="CW882" t="str">
        <f>""</f>
        <v/>
      </c>
      <c r="CX882" t="str">
        <f>""</f>
        <v/>
      </c>
      <c r="CY882" t="str">
        <f>""</f>
        <v/>
      </c>
      <c r="CZ882" t="str">
        <f>""</f>
        <v/>
      </c>
      <c r="DA882" t="str">
        <f>""</f>
        <v/>
      </c>
      <c r="DB882" t="str">
        <f>""</f>
        <v/>
      </c>
      <c r="DC882" t="str">
        <f>""</f>
        <v/>
      </c>
      <c r="DD882" t="str">
        <f>""</f>
        <v/>
      </c>
      <c r="DE882" t="str">
        <f>""</f>
        <v/>
      </c>
      <c r="DF882" t="str">
        <f>""</f>
        <v/>
      </c>
      <c r="DG882" t="str">
        <f>""</f>
        <v/>
      </c>
      <c r="DH882" t="str">
        <f>""</f>
        <v/>
      </c>
      <c r="DI882" t="str">
        <f>""</f>
        <v/>
      </c>
      <c r="DJ882" t="str">
        <f>""</f>
        <v/>
      </c>
      <c r="DK882" t="str">
        <f>""</f>
        <v/>
      </c>
      <c r="DL882" t="str">
        <f>""</f>
        <v/>
      </c>
      <c r="DM882" t="str">
        <f>""</f>
        <v/>
      </c>
      <c r="DN882" t="str">
        <f>""</f>
        <v/>
      </c>
      <c r="DO882" t="str">
        <f>""</f>
        <v/>
      </c>
      <c r="DP882" t="str">
        <f>""</f>
        <v/>
      </c>
      <c r="DQ882" t="str">
        <f>""</f>
        <v/>
      </c>
      <c r="DR882" t="str">
        <f>""</f>
        <v/>
      </c>
      <c r="DS882" t="str">
        <f>""</f>
        <v/>
      </c>
      <c r="DT882" t="str">
        <f>""</f>
        <v/>
      </c>
      <c r="DU882" t="str">
        <f>""</f>
        <v/>
      </c>
    </row>
    <row r="883" spans="1:125" x14ac:dyDescent="0.25">
      <c r="A883" t="str">
        <f>$A$384</f>
        <v xml:space="preserve">    FAW CAR Co Ltd</v>
      </c>
      <c r="B883" t="str">
        <f>$B$384</f>
        <v>000800 CH Equity</v>
      </c>
      <c r="C883" t="str">
        <f>$C$384</f>
        <v>RR937</v>
      </c>
      <c r="D883" t="str">
        <f>$D$384</f>
        <v>CRNCY_ADJ_CURR_EV</v>
      </c>
      <c r="E883" t="str">
        <f>$E$384</f>
        <v>Dynamic</v>
      </c>
      <c r="F883" t="str">
        <f ca="1">_xll.BDH($B$384,$C$384,$B$509,$B$510,CONCATENATE("Per=",$B$507),"Dts=H","Dir=H",CONCATENATE("Points=",$B$508),"Sort=R","Days=A","Fill=B",CONCATENATE("FX=", $B$506) )</f>
        <v>#N/A Connection</v>
      </c>
      <c r="BN883" t="str">
        <f>""</f>
        <v/>
      </c>
      <c r="BO883" t="str">
        <f>""</f>
        <v/>
      </c>
      <c r="BP883" t="str">
        <f>""</f>
        <v/>
      </c>
      <c r="BQ883" t="str">
        <f>""</f>
        <v/>
      </c>
      <c r="BR883" t="str">
        <f>""</f>
        <v/>
      </c>
      <c r="BS883" t="str">
        <f>""</f>
        <v/>
      </c>
      <c r="BT883" t="str">
        <f>""</f>
        <v/>
      </c>
      <c r="BU883" t="str">
        <f>""</f>
        <v/>
      </c>
      <c r="BV883" t="str">
        <f>""</f>
        <v/>
      </c>
      <c r="BW883" t="str">
        <f>""</f>
        <v/>
      </c>
      <c r="BX883" t="str">
        <f>""</f>
        <v/>
      </c>
      <c r="BY883" t="str">
        <f>""</f>
        <v/>
      </c>
      <c r="BZ883" t="str">
        <f>""</f>
        <v/>
      </c>
      <c r="CA883" t="str">
        <f>""</f>
        <v/>
      </c>
      <c r="CB883" t="str">
        <f>""</f>
        <v/>
      </c>
      <c r="CC883" t="str">
        <f>""</f>
        <v/>
      </c>
      <c r="CD883" t="str">
        <f>""</f>
        <v/>
      </c>
      <c r="CE883" t="str">
        <f>""</f>
        <v/>
      </c>
      <c r="CF883" t="str">
        <f>""</f>
        <v/>
      </c>
      <c r="CG883" t="str">
        <f>""</f>
        <v/>
      </c>
      <c r="CH883" t="str">
        <f>""</f>
        <v/>
      </c>
      <c r="CI883" t="str">
        <f>""</f>
        <v/>
      </c>
      <c r="CJ883" t="str">
        <f>""</f>
        <v/>
      </c>
      <c r="CK883" t="str">
        <f>""</f>
        <v/>
      </c>
      <c r="CL883" t="str">
        <f>""</f>
        <v/>
      </c>
      <c r="CM883" t="str">
        <f>""</f>
        <v/>
      </c>
      <c r="CN883" t="str">
        <f>""</f>
        <v/>
      </c>
      <c r="CO883" t="str">
        <f>""</f>
        <v/>
      </c>
      <c r="CP883" t="str">
        <f>""</f>
        <v/>
      </c>
      <c r="CQ883" t="str">
        <f>""</f>
        <v/>
      </c>
      <c r="CR883" t="str">
        <f>""</f>
        <v/>
      </c>
      <c r="CS883" t="str">
        <f>""</f>
        <v/>
      </c>
      <c r="CT883" t="str">
        <f>""</f>
        <v/>
      </c>
      <c r="CU883" t="str">
        <f>""</f>
        <v/>
      </c>
      <c r="CV883" t="str">
        <f>""</f>
        <v/>
      </c>
      <c r="CW883" t="str">
        <f>""</f>
        <v/>
      </c>
      <c r="CX883" t="str">
        <f>""</f>
        <v/>
      </c>
      <c r="CY883" t="str">
        <f>""</f>
        <v/>
      </c>
      <c r="CZ883" t="str">
        <f>""</f>
        <v/>
      </c>
      <c r="DA883" t="str">
        <f>""</f>
        <v/>
      </c>
      <c r="DB883" t="str">
        <f>""</f>
        <v/>
      </c>
      <c r="DC883" t="str">
        <f>""</f>
        <v/>
      </c>
      <c r="DD883" t="str">
        <f>""</f>
        <v/>
      </c>
      <c r="DE883" t="str">
        <f>""</f>
        <v/>
      </c>
      <c r="DF883" t="str">
        <f>""</f>
        <v/>
      </c>
      <c r="DG883" t="str">
        <f>""</f>
        <v/>
      </c>
      <c r="DH883" t="str">
        <f>""</f>
        <v/>
      </c>
      <c r="DI883" t="str">
        <f>""</f>
        <v/>
      </c>
      <c r="DJ883" t="str">
        <f>""</f>
        <v/>
      </c>
      <c r="DK883" t="str">
        <f>""</f>
        <v/>
      </c>
      <c r="DL883" t="str">
        <f>""</f>
        <v/>
      </c>
      <c r="DM883" t="str">
        <f>""</f>
        <v/>
      </c>
      <c r="DN883" t="str">
        <f>""</f>
        <v/>
      </c>
      <c r="DO883" t="str">
        <f>""</f>
        <v/>
      </c>
      <c r="DP883" t="str">
        <f>""</f>
        <v/>
      </c>
      <c r="DQ883" t="str">
        <f>""</f>
        <v/>
      </c>
      <c r="DR883" t="str">
        <f>""</f>
        <v/>
      </c>
      <c r="DS883" t="str">
        <f>""</f>
        <v/>
      </c>
      <c r="DT883" t="str">
        <f>""</f>
        <v/>
      </c>
      <c r="DU883" t="str">
        <f>""</f>
        <v/>
      </c>
    </row>
    <row r="884" spans="1:125" x14ac:dyDescent="0.25">
      <c r="A884" t="str">
        <f>$A$385</f>
        <v xml:space="preserve">    Fiat Chrysler Automobiles NV</v>
      </c>
      <c r="B884" t="str">
        <f>$B$385</f>
        <v>FCAU US Equity</v>
      </c>
      <c r="C884" t="str">
        <f>$C$385</f>
        <v>RR937</v>
      </c>
      <c r="D884" t="str">
        <f>$D$385</f>
        <v>CRNCY_ADJ_CURR_EV</v>
      </c>
      <c r="E884" t="str">
        <f>$E$385</f>
        <v>Dynamic</v>
      </c>
      <c r="F884" t="str">
        <f ca="1">_xll.BDH($B$385,$C$385,$B$509,$B$510,CONCATENATE("Per=",$B$507),"Dts=H","Dir=H",CONCATENATE("Points=",$B$508),"Sort=R","Days=A","Fill=B",CONCATENATE("FX=", $B$506) )</f>
        <v>#N/A Connection</v>
      </c>
      <c r="BN884" t="str">
        <f>""</f>
        <v/>
      </c>
      <c r="BO884" t="str">
        <f>""</f>
        <v/>
      </c>
      <c r="BP884" t="str">
        <f>""</f>
        <v/>
      </c>
      <c r="BQ884" t="str">
        <f>""</f>
        <v/>
      </c>
      <c r="BR884" t="str">
        <f>""</f>
        <v/>
      </c>
      <c r="BS884" t="str">
        <f>""</f>
        <v/>
      </c>
      <c r="BT884" t="str">
        <f>""</f>
        <v/>
      </c>
      <c r="BU884" t="str">
        <f>""</f>
        <v/>
      </c>
      <c r="BV884" t="str">
        <f>""</f>
        <v/>
      </c>
      <c r="BW884" t="str">
        <f>""</f>
        <v/>
      </c>
      <c r="BX884" t="str">
        <f>""</f>
        <v/>
      </c>
      <c r="BY884" t="str">
        <f>""</f>
        <v/>
      </c>
      <c r="BZ884" t="str">
        <f>""</f>
        <v/>
      </c>
      <c r="CA884" t="str">
        <f>""</f>
        <v/>
      </c>
      <c r="CB884" t="str">
        <f>""</f>
        <v/>
      </c>
      <c r="CC884" t="str">
        <f>""</f>
        <v/>
      </c>
      <c r="CD884" t="str">
        <f>""</f>
        <v/>
      </c>
      <c r="CE884" t="str">
        <f>""</f>
        <v/>
      </c>
      <c r="CF884" t="str">
        <f>""</f>
        <v/>
      </c>
      <c r="CG884" t="str">
        <f>""</f>
        <v/>
      </c>
      <c r="CH884" t="str">
        <f>""</f>
        <v/>
      </c>
      <c r="CI884" t="str">
        <f>""</f>
        <v/>
      </c>
      <c r="CJ884" t="str">
        <f>""</f>
        <v/>
      </c>
      <c r="CK884" t="str">
        <f>""</f>
        <v/>
      </c>
      <c r="CL884" t="str">
        <f>""</f>
        <v/>
      </c>
      <c r="CM884" t="str">
        <f>""</f>
        <v/>
      </c>
      <c r="CN884" t="str">
        <f>""</f>
        <v/>
      </c>
      <c r="CO884" t="str">
        <f>""</f>
        <v/>
      </c>
      <c r="CP884" t="str">
        <f>""</f>
        <v/>
      </c>
      <c r="CQ884" t="str">
        <f>""</f>
        <v/>
      </c>
      <c r="CR884" t="str">
        <f>""</f>
        <v/>
      </c>
      <c r="CS884" t="str">
        <f>""</f>
        <v/>
      </c>
      <c r="CT884" t="str">
        <f>""</f>
        <v/>
      </c>
      <c r="CU884" t="str">
        <f>""</f>
        <v/>
      </c>
      <c r="CV884" t="str">
        <f>""</f>
        <v/>
      </c>
      <c r="CW884" t="str">
        <f>""</f>
        <v/>
      </c>
      <c r="CX884" t="str">
        <f>""</f>
        <v/>
      </c>
      <c r="CY884" t="str">
        <f>""</f>
        <v/>
      </c>
      <c r="CZ884" t="str">
        <f>""</f>
        <v/>
      </c>
      <c r="DA884" t="str">
        <f>""</f>
        <v/>
      </c>
      <c r="DB884" t="str">
        <f>""</f>
        <v/>
      </c>
      <c r="DC884" t="str">
        <f>""</f>
        <v/>
      </c>
      <c r="DD884" t="str">
        <f>""</f>
        <v/>
      </c>
      <c r="DE884" t="str">
        <f>""</f>
        <v/>
      </c>
      <c r="DF884" t="str">
        <f>""</f>
        <v/>
      </c>
      <c r="DG884" t="str">
        <f>""</f>
        <v/>
      </c>
      <c r="DH884" t="str">
        <f>""</f>
        <v/>
      </c>
      <c r="DI884" t="str">
        <f>""</f>
        <v/>
      </c>
      <c r="DJ884" t="str">
        <f>""</f>
        <v/>
      </c>
      <c r="DK884" t="str">
        <f>""</f>
        <v/>
      </c>
      <c r="DL884" t="str">
        <f>""</f>
        <v/>
      </c>
      <c r="DM884" t="str">
        <f>""</f>
        <v/>
      </c>
      <c r="DN884" t="str">
        <f>""</f>
        <v/>
      </c>
      <c r="DO884" t="str">
        <f>""</f>
        <v/>
      </c>
      <c r="DP884" t="str">
        <f>""</f>
        <v/>
      </c>
      <c r="DQ884" t="str">
        <f>""</f>
        <v/>
      </c>
      <c r="DR884" t="str">
        <f>""</f>
        <v/>
      </c>
      <c r="DS884" t="str">
        <f>""</f>
        <v/>
      </c>
      <c r="DT884" t="str">
        <f>""</f>
        <v/>
      </c>
      <c r="DU884" t="str">
        <f>""</f>
        <v/>
      </c>
    </row>
    <row r="885" spans="1:125" x14ac:dyDescent="0.25">
      <c r="A885" t="str">
        <f>$A$386</f>
        <v xml:space="preserve">    Ford Motor Co</v>
      </c>
      <c r="B885" t="str">
        <f>$B$386</f>
        <v>F US Equity</v>
      </c>
      <c r="C885" t="str">
        <f>$C$386</f>
        <v>RR937</v>
      </c>
      <c r="D885" t="str">
        <f>$D$386</f>
        <v>CRNCY_ADJ_CURR_EV</v>
      </c>
      <c r="E885" t="str">
        <f>$E$386</f>
        <v>Dynamic</v>
      </c>
      <c r="F885" t="str">
        <f ca="1">_xll.BDH($B$386,$C$386,$B$509,$B$510,CONCATENATE("Per=",$B$507),"Dts=H","Dir=H",CONCATENATE("Points=",$B$508),"Sort=R","Days=A","Fill=B",CONCATENATE("FX=", $B$506) )</f>
        <v>#N/A Connection</v>
      </c>
      <c r="BN885" t="str">
        <f>""</f>
        <v/>
      </c>
      <c r="BO885" t="str">
        <f>""</f>
        <v/>
      </c>
      <c r="BP885" t="str">
        <f>""</f>
        <v/>
      </c>
      <c r="BQ885" t="str">
        <f>""</f>
        <v/>
      </c>
      <c r="BR885" t="str">
        <f>""</f>
        <v/>
      </c>
      <c r="BS885" t="str">
        <f>""</f>
        <v/>
      </c>
      <c r="BT885" t="str">
        <f>""</f>
        <v/>
      </c>
      <c r="BU885" t="str">
        <f>""</f>
        <v/>
      </c>
      <c r="BV885" t="str">
        <f>""</f>
        <v/>
      </c>
      <c r="BW885" t="str">
        <f>""</f>
        <v/>
      </c>
      <c r="BX885" t="str">
        <f>""</f>
        <v/>
      </c>
      <c r="BY885" t="str">
        <f>""</f>
        <v/>
      </c>
      <c r="BZ885" t="str">
        <f>""</f>
        <v/>
      </c>
      <c r="CA885" t="str">
        <f>""</f>
        <v/>
      </c>
      <c r="CB885" t="str">
        <f>""</f>
        <v/>
      </c>
      <c r="CC885" t="str">
        <f>""</f>
        <v/>
      </c>
      <c r="CD885" t="str">
        <f>""</f>
        <v/>
      </c>
      <c r="CE885" t="str">
        <f>""</f>
        <v/>
      </c>
      <c r="CF885" t="str">
        <f>""</f>
        <v/>
      </c>
      <c r="CG885" t="str">
        <f>""</f>
        <v/>
      </c>
      <c r="CH885" t="str">
        <f>""</f>
        <v/>
      </c>
      <c r="CI885" t="str">
        <f>""</f>
        <v/>
      </c>
      <c r="CJ885" t="str">
        <f>""</f>
        <v/>
      </c>
      <c r="CK885" t="str">
        <f>""</f>
        <v/>
      </c>
      <c r="CL885" t="str">
        <f>""</f>
        <v/>
      </c>
      <c r="CM885" t="str">
        <f>""</f>
        <v/>
      </c>
      <c r="CN885" t="str">
        <f>""</f>
        <v/>
      </c>
      <c r="CO885" t="str">
        <f>""</f>
        <v/>
      </c>
      <c r="CP885" t="str">
        <f>""</f>
        <v/>
      </c>
      <c r="CQ885" t="str">
        <f>""</f>
        <v/>
      </c>
      <c r="CR885" t="str">
        <f>""</f>
        <v/>
      </c>
      <c r="CS885" t="str">
        <f>""</f>
        <v/>
      </c>
      <c r="CT885" t="str">
        <f>""</f>
        <v/>
      </c>
      <c r="CU885" t="str">
        <f>""</f>
        <v/>
      </c>
      <c r="CV885" t="str">
        <f>""</f>
        <v/>
      </c>
      <c r="CW885" t="str">
        <f>""</f>
        <v/>
      </c>
      <c r="CX885" t="str">
        <f>""</f>
        <v/>
      </c>
      <c r="CY885" t="str">
        <f>""</f>
        <v/>
      </c>
      <c r="CZ885" t="str">
        <f>""</f>
        <v/>
      </c>
      <c r="DA885" t="str">
        <f>""</f>
        <v/>
      </c>
      <c r="DB885" t="str">
        <f>""</f>
        <v/>
      </c>
      <c r="DC885" t="str">
        <f>""</f>
        <v/>
      </c>
      <c r="DD885" t="str">
        <f>""</f>
        <v/>
      </c>
      <c r="DE885" t="str">
        <f>""</f>
        <v/>
      </c>
      <c r="DF885" t="str">
        <f>""</f>
        <v/>
      </c>
      <c r="DG885" t="str">
        <f>""</f>
        <v/>
      </c>
      <c r="DH885" t="str">
        <f>""</f>
        <v/>
      </c>
      <c r="DI885" t="str">
        <f>""</f>
        <v/>
      </c>
      <c r="DJ885" t="str">
        <f>""</f>
        <v/>
      </c>
      <c r="DK885" t="str">
        <f>""</f>
        <v/>
      </c>
      <c r="DL885" t="str">
        <f>""</f>
        <v/>
      </c>
      <c r="DM885" t="str">
        <f>""</f>
        <v/>
      </c>
      <c r="DN885" t="str">
        <f>""</f>
        <v/>
      </c>
      <c r="DO885" t="str">
        <f>""</f>
        <v/>
      </c>
      <c r="DP885" t="str">
        <f>""</f>
        <v/>
      </c>
      <c r="DQ885" t="str">
        <f>""</f>
        <v/>
      </c>
      <c r="DR885" t="str">
        <f>""</f>
        <v/>
      </c>
      <c r="DS885" t="str">
        <f>""</f>
        <v/>
      </c>
      <c r="DT885" t="str">
        <f>""</f>
        <v/>
      </c>
      <c r="DU885" t="str">
        <f>""</f>
        <v/>
      </c>
    </row>
    <row r="886" spans="1:125" x14ac:dyDescent="0.25">
      <c r="A886" t="str">
        <f>$A$387</f>
        <v xml:space="preserve">    Ford Otomotiv Sanayi AS</v>
      </c>
      <c r="B886" t="str">
        <f>$B$387</f>
        <v>FROTOTRY EO Equity</v>
      </c>
      <c r="C886" t="str">
        <f>$C$387</f>
        <v>RR937</v>
      </c>
      <c r="D886" t="str">
        <f>$D$387</f>
        <v>CRNCY_ADJ_CURR_EV</v>
      </c>
      <c r="E886" t="str">
        <f>$E$387</f>
        <v>Dynamic</v>
      </c>
      <c r="F886" t="str">
        <f ca="1">_xll.BDH($B$387,$C$387,$B$509,$B$510,CONCATENATE("Per=",$B$507),"Dts=H","Dir=H",CONCATENATE("Points=",$B$508),"Sort=R","Days=A","Fill=B",CONCATENATE("FX=", $B$506) )</f>
        <v>#N/A Connection</v>
      </c>
      <c r="BN886" t="str">
        <f>""</f>
        <v/>
      </c>
      <c r="BO886" t="str">
        <f>""</f>
        <v/>
      </c>
      <c r="BP886" t="str">
        <f>""</f>
        <v/>
      </c>
      <c r="BQ886" t="str">
        <f>""</f>
        <v/>
      </c>
      <c r="BR886" t="str">
        <f>""</f>
        <v/>
      </c>
      <c r="BS886" t="str">
        <f>""</f>
        <v/>
      </c>
      <c r="BT886" t="str">
        <f>""</f>
        <v/>
      </c>
      <c r="BU886" t="str">
        <f>""</f>
        <v/>
      </c>
      <c r="BV886" t="str">
        <f>""</f>
        <v/>
      </c>
      <c r="BW886" t="str">
        <f>""</f>
        <v/>
      </c>
      <c r="BX886" t="str">
        <f>""</f>
        <v/>
      </c>
      <c r="BY886" t="str">
        <f>""</f>
        <v/>
      </c>
      <c r="BZ886" t="str">
        <f>""</f>
        <v/>
      </c>
      <c r="CA886" t="str">
        <f>""</f>
        <v/>
      </c>
      <c r="CB886" t="str">
        <f>""</f>
        <v/>
      </c>
      <c r="CC886" t="str">
        <f>""</f>
        <v/>
      </c>
      <c r="CD886" t="str">
        <f>""</f>
        <v/>
      </c>
      <c r="CE886" t="str">
        <f>""</f>
        <v/>
      </c>
      <c r="CF886" t="str">
        <f>""</f>
        <v/>
      </c>
      <c r="CG886" t="str">
        <f>""</f>
        <v/>
      </c>
      <c r="CH886" t="str">
        <f>""</f>
        <v/>
      </c>
      <c r="CI886" t="str">
        <f>""</f>
        <v/>
      </c>
      <c r="CJ886" t="str">
        <f>""</f>
        <v/>
      </c>
      <c r="CK886" t="str">
        <f>""</f>
        <v/>
      </c>
      <c r="CL886" t="str">
        <f>""</f>
        <v/>
      </c>
      <c r="CM886" t="str">
        <f>""</f>
        <v/>
      </c>
      <c r="CN886" t="str">
        <f>""</f>
        <v/>
      </c>
      <c r="CO886" t="str">
        <f>""</f>
        <v/>
      </c>
      <c r="CP886" t="str">
        <f>""</f>
        <v/>
      </c>
      <c r="CQ886" t="str">
        <f>""</f>
        <v/>
      </c>
      <c r="CR886" t="str">
        <f>""</f>
        <v/>
      </c>
      <c r="CS886" t="str">
        <f>""</f>
        <v/>
      </c>
      <c r="CT886" t="str">
        <f>""</f>
        <v/>
      </c>
      <c r="CU886" t="str">
        <f>""</f>
        <v/>
      </c>
      <c r="CV886" t="str">
        <f>""</f>
        <v/>
      </c>
      <c r="CW886" t="str">
        <f>""</f>
        <v/>
      </c>
      <c r="CX886" t="str">
        <f>""</f>
        <v/>
      </c>
      <c r="CY886" t="str">
        <f>""</f>
        <v/>
      </c>
      <c r="CZ886" t="str">
        <f>""</f>
        <v/>
      </c>
      <c r="DA886" t="str">
        <f>""</f>
        <v/>
      </c>
      <c r="DB886" t="str">
        <f>""</f>
        <v/>
      </c>
      <c r="DC886" t="str">
        <f>""</f>
        <v/>
      </c>
      <c r="DD886" t="str">
        <f>""</f>
        <v/>
      </c>
      <c r="DE886" t="str">
        <f>""</f>
        <v/>
      </c>
      <c r="DF886" t="str">
        <f>""</f>
        <v/>
      </c>
      <c r="DG886" t="str">
        <f>""</f>
        <v/>
      </c>
      <c r="DH886" t="str">
        <f>""</f>
        <v/>
      </c>
      <c r="DI886" t="str">
        <f>""</f>
        <v/>
      </c>
      <c r="DJ886" t="str">
        <f>""</f>
        <v/>
      </c>
      <c r="DK886" t="str">
        <f>""</f>
        <v/>
      </c>
      <c r="DL886" t="str">
        <f>""</f>
        <v/>
      </c>
      <c r="DM886" t="str">
        <f>""</f>
        <v/>
      </c>
      <c r="DN886" t="str">
        <f>""</f>
        <v/>
      </c>
      <c r="DO886" t="str">
        <f>""</f>
        <v/>
      </c>
      <c r="DP886" t="str">
        <f>""</f>
        <v/>
      </c>
      <c r="DQ886" t="str">
        <f>""</f>
        <v/>
      </c>
      <c r="DR886" t="str">
        <f>""</f>
        <v/>
      </c>
      <c r="DS886" t="str">
        <f>""</f>
        <v/>
      </c>
      <c r="DT886" t="str">
        <f>""</f>
        <v/>
      </c>
      <c r="DU886" t="str">
        <f>""</f>
        <v/>
      </c>
    </row>
    <row r="887" spans="1:125" x14ac:dyDescent="0.25">
      <c r="A887" t="str">
        <f>$A$388</f>
        <v xml:space="preserve">    GAZ PJSC</v>
      </c>
      <c r="B887" t="str">
        <f>$B$388</f>
        <v>GAZA RM Equity</v>
      </c>
      <c r="C887" t="str">
        <f>$C$388</f>
        <v>RR937</v>
      </c>
      <c r="D887" t="str">
        <f>$D$388</f>
        <v>CRNCY_ADJ_CURR_EV</v>
      </c>
      <c r="E887" t="str">
        <f>$E$388</f>
        <v>Dynamic</v>
      </c>
      <c r="F887" t="str">
        <f ca="1">_xll.BDH($B$388,$C$388,$B$509,$B$510,CONCATENATE("Per=",$B$507),"Dts=H","Dir=H",CONCATENATE("Points=",$B$508),"Sort=R","Days=A","Fill=B",CONCATENATE("FX=", $B$506) )</f>
        <v>#N/A Connection</v>
      </c>
      <c r="BN887" t="str">
        <f>""</f>
        <v/>
      </c>
      <c r="BO887" t="str">
        <f>""</f>
        <v/>
      </c>
      <c r="BP887" t="str">
        <f>""</f>
        <v/>
      </c>
      <c r="BQ887" t="str">
        <f>""</f>
        <v/>
      </c>
      <c r="BR887" t="str">
        <f>""</f>
        <v/>
      </c>
      <c r="BS887" t="str">
        <f>""</f>
        <v/>
      </c>
      <c r="BT887" t="str">
        <f>""</f>
        <v/>
      </c>
      <c r="BU887" t="str">
        <f>""</f>
        <v/>
      </c>
      <c r="BV887" t="str">
        <f>""</f>
        <v/>
      </c>
      <c r="BW887" t="str">
        <f>""</f>
        <v/>
      </c>
      <c r="BX887" t="str">
        <f>""</f>
        <v/>
      </c>
      <c r="BY887" t="str">
        <f>""</f>
        <v/>
      </c>
      <c r="BZ887" t="str">
        <f>""</f>
        <v/>
      </c>
      <c r="CA887" t="str">
        <f>""</f>
        <v/>
      </c>
      <c r="CB887" t="str">
        <f>""</f>
        <v/>
      </c>
      <c r="CC887" t="str">
        <f>""</f>
        <v/>
      </c>
      <c r="CD887" t="str">
        <f>""</f>
        <v/>
      </c>
      <c r="CE887" t="str">
        <f>""</f>
        <v/>
      </c>
      <c r="CF887" t="str">
        <f>""</f>
        <v/>
      </c>
      <c r="CG887" t="str">
        <f>""</f>
        <v/>
      </c>
      <c r="CH887" t="str">
        <f>""</f>
        <v/>
      </c>
      <c r="CI887" t="str">
        <f>""</f>
        <v/>
      </c>
      <c r="CJ887" t="str">
        <f>""</f>
        <v/>
      </c>
      <c r="CK887" t="str">
        <f>""</f>
        <v/>
      </c>
      <c r="CL887" t="str">
        <f>""</f>
        <v/>
      </c>
      <c r="CM887" t="str">
        <f>""</f>
        <v/>
      </c>
      <c r="CN887" t="str">
        <f>""</f>
        <v/>
      </c>
      <c r="CO887" t="str">
        <f>""</f>
        <v/>
      </c>
      <c r="CP887" t="str">
        <f>""</f>
        <v/>
      </c>
      <c r="CQ887" t="str">
        <f>""</f>
        <v/>
      </c>
      <c r="CR887" t="str">
        <f>""</f>
        <v/>
      </c>
      <c r="CS887" t="str">
        <f>""</f>
        <v/>
      </c>
      <c r="CT887" t="str">
        <f>""</f>
        <v/>
      </c>
      <c r="CU887" t="str">
        <f>""</f>
        <v/>
      </c>
      <c r="CV887" t="str">
        <f>""</f>
        <v/>
      </c>
      <c r="CW887" t="str">
        <f>""</f>
        <v/>
      </c>
      <c r="CX887" t="str">
        <f>""</f>
        <v/>
      </c>
      <c r="CY887" t="str">
        <f>""</f>
        <v/>
      </c>
      <c r="CZ887" t="str">
        <f>""</f>
        <v/>
      </c>
      <c r="DA887" t="str">
        <f>""</f>
        <v/>
      </c>
      <c r="DB887" t="str">
        <f>""</f>
        <v/>
      </c>
      <c r="DC887" t="str">
        <f>""</f>
        <v/>
      </c>
      <c r="DD887" t="str">
        <f>""</f>
        <v/>
      </c>
      <c r="DE887" t="str">
        <f>""</f>
        <v/>
      </c>
      <c r="DF887" t="str">
        <f>""</f>
        <v/>
      </c>
      <c r="DG887" t="str">
        <f>""</f>
        <v/>
      </c>
      <c r="DH887" t="str">
        <f>""</f>
        <v/>
      </c>
      <c r="DI887" t="str">
        <f>""</f>
        <v/>
      </c>
      <c r="DJ887" t="str">
        <f>""</f>
        <v/>
      </c>
      <c r="DK887" t="str">
        <f>""</f>
        <v/>
      </c>
      <c r="DL887" t="str">
        <f>""</f>
        <v/>
      </c>
      <c r="DM887" t="str">
        <f>""</f>
        <v/>
      </c>
      <c r="DN887" t="str">
        <f>""</f>
        <v/>
      </c>
      <c r="DO887" t="str">
        <f>""</f>
        <v/>
      </c>
      <c r="DP887" t="str">
        <f>""</f>
        <v/>
      </c>
      <c r="DQ887" t="str">
        <f>""</f>
        <v/>
      </c>
      <c r="DR887" t="str">
        <f>""</f>
        <v/>
      </c>
      <c r="DS887" t="str">
        <f>""</f>
        <v/>
      </c>
      <c r="DT887" t="str">
        <f>""</f>
        <v/>
      </c>
      <c r="DU887" t="str">
        <f>""</f>
        <v/>
      </c>
    </row>
    <row r="888" spans="1:125" x14ac:dyDescent="0.25">
      <c r="A888" t="str">
        <f>$A$389</f>
        <v xml:space="preserve">    Geely Automobile Holdings Ltd</v>
      </c>
      <c r="B888" t="str">
        <f>$B$389</f>
        <v>175 HK Equity</v>
      </c>
      <c r="C888" t="str">
        <f>$C$389</f>
        <v>RR937</v>
      </c>
      <c r="D888" t="str">
        <f>$D$389</f>
        <v>CRNCY_ADJ_CURR_EV</v>
      </c>
      <c r="E888" t="str">
        <f>$E$389</f>
        <v>Dynamic</v>
      </c>
      <c r="F888" t="str">
        <f ca="1">_xll.BDH($B$389,$C$389,$B$509,$B$510,CONCATENATE("Per=",$B$507),"Dts=H","Dir=H",CONCATENATE("Points=",$B$508),"Sort=R","Days=A","Fill=B",CONCATENATE("FX=", $B$506) )</f>
        <v>#N/A Connection</v>
      </c>
      <c r="BN888" t="str">
        <f>""</f>
        <v/>
      </c>
      <c r="BO888" t="str">
        <f>""</f>
        <v/>
      </c>
      <c r="BP888" t="str">
        <f>""</f>
        <v/>
      </c>
      <c r="BQ888" t="str">
        <f>""</f>
        <v/>
      </c>
      <c r="BR888" t="str">
        <f>""</f>
        <v/>
      </c>
      <c r="BS888" t="str">
        <f>""</f>
        <v/>
      </c>
      <c r="BT888" t="str">
        <f>""</f>
        <v/>
      </c>
      <c r="BU888" t="str">
        <f>""</f>
        <v/>
      </c>
      <c r="BV888" t="str">
        <f>""</f>
        <v/>
      </c>
      <c r="BW888" t="str">
        <f>""</f>
        <v/>
      </c>
      <c r="BX888" t="str">
        <f>""</f>
        <v/>
      </c>
      <c r="BY888" t="str">
        <f>""</f>
        <v/>
      </c>
      <c r="BZ888" t="str">
        <f>""</f>
        <v/>
      </c>
      <c r="CA888" t="str">
        <f>""</f>
        <v/>
      </c>
      <c r="CB888" t="str">
        <f>""</f>
        <v/>
      </c>
      <c r="CC888" t="str">
        <f>""</f>
        <v/>
      </c>
      <c r="CD888" t="str">
        <f>""</f>
        <v/>
      </c>
      <c r="CE888" t="str">
        <f>""</f>
        <v/>
      </c>
      <c r="CF888" t="str">
        <f>""</f>
        <v/>
      </c>
      <c r="CG888" t="str">
        <f>""</f>
        <v/>
      </c>
      <c r="CH888" t="str">
        <f>""</f>
        <v/>
      </c>
      <c r="CI888" t="str">
        <f>""</f>
        <v/>
      </c>
      <c r="CJ888" t="str">
        <f>""</f>
        <v/>
      </c>
      <c r="CK888" t="str">
        <f>""</f>
        <v/>
      </c>
      <c r="CL888" t="str">
        <f>""</f>
        <v/>
      </c>
      <c r="CM888" t="str">
        <f>""</f>
        <v/>
      </c>
      <c r="CN888" t="str">
        <f>""</f>
        <v/>
      </c>
      <c r="CO888" t="str">
        <f>""</f>
        <v/>
      </c>
      <c r="CP888" t="str">
        <f>""</f>
        <v/>
      </c>
      <c r="CQ888" t="str">
        <f>""</f>
        <v/>
      </c>
      <c r="CR888" t="str">
        <f>""</f>
        <v/>
      </c>
      <c r="CS888" t="str">
        <f>""</f>
        <v/>
      </c>
      <c r="CT888" t="str">
        <f>""</f>
        <v/>
      </c>
      <c r="CU888" t="str">
        <f>""</f>
        <v/>
      </c>
      <c r="CV888" t="str">
        <f>""</f>
        <v/>
      </c>
      <c r="CW888" t="str">
        <f>""</f>
        <v/>
      </c>
      <c r="CX888" t="str">
        <f>""</f>
        <v/>
      </c>
      <c r="CY888" t="str">
        <f>""</f>
        <v/>
      </c>
      <c r="CZ888" t="str">
        <f>""</f>
        <v/>
      </c>
      <c r="DA888" t="str">
        <f>""</f>
        <v/>
      </c>
      <c r="DB888" t="str">
        <f>""</f>
        <v/>
      </c>
      <c r="DC888" t="str">
        <f>""</f>
        <v/>
      </c>
      <c r="DD888" t="str">
        <f>""</f>
        <v/>
      </c>
      <c r="DE888" t="str">
        <f>""</f>
        <v/>
      </c>
      <c r="DF888" t="str">
        <f>""</f>
        <v/>
      </c>
      <c r="DG888" t="str">
        <f>""</f>
        <v/>
      </c>
      <c r="DH888" t="str">
        <f>""</f>
        <v/>
      </c>
      <c r="DI888" t="str">
        <f>""</f>
        <v/>
      </c>
      <c r="DJ888" t="str">
        <f>""</f>
        <v/>
      </c>
      <c r="DK888" t="str">
        <f>""</f>
        <v/>
      </c>
      <c r="DL888" t="str">
        <f>""</f>
        <v/>
      </c>
      <c r="DM888" t="str">
        <f>""</f>
        <v/>
      </c>
      <c r="DN888" t="str">
        <f>""</f>
        <v/>
      </c>
      <c r="DO888" t="str">
        <f>""</f>
        <v/>
      </c>
      <c r="DP888" t="str">
        <f>""</f>
        <v/>
      </c>
      <c r="DQ888" t="str">
        <f>""</f>
        <v/>
      </c>
      <c r="DR888" t="str">
        <f>""</f>
        <v/>
      </c>
      <c r="DS888" t="str">
        <f>""</f>
        <v/>
      </c>
      <c r="DT888" t="str">
        <f>""</f>
        <v/>
      </c>
      <c r="DU888" t="str">
        <f>""</f>
        <v/>
      </c>
    </row>
    <row r="889" spans="1:125" x14ac:dyDescent="0.25">
      <c r="A889" t="str">
        <f>$A$390</f>
        <v xml:space="preserve">    General Motors Co</v>
      </c>
      <c r="B889" t="str">
        <f>$B$390</f>
        <v>GM US Equity</v>
      </c>
      <c r="C889" t="str">
        <f>$C$390</f>
        <v>RR937</v>
      </c>
      <c r="D889" t="str">
        <f>$D$390</f>
        <v>CRNCY_ADJ_CURR_EV</v>
      </c>
      <c r="E889" t="str">
        <f>$E$390</f>
        <v>Dynamic</v>
      </c>
      <c r="F889" t="str">
        <f ca="1">_xll.BDH($B$390,$C$390,$B$509,$B$510,CONCATENATE("Per=",$B$507),"Dts=H","Dir=H",CONCATENATE("Points=",$B$508),"Sort=R","Days=A","Fill=B",CONCATENATE("FX=", $B$506) )</f>
        <v>#N/A Connection</v>
      </c>
      <c r="BN889" t="str">
        <f>""</f>
        <v/>
      </c>
      <c r="BO889" t="str">
        <f>""</f>
        <v/>
      </c>
      <c r="BP889" t="str">
        <f>""</f>
        <v/>
      </c>
      <c r="BQ889" t="str">
        <f>""</f>
        <v/>
      </c>
      <c r="BR889" t="str">
        <f>""</f>
        <v/>
      </c>
      <c r="BS889" t="str">
        <f>""</f>
        <v/>
      </c>
      <c r="BT889" t="str">
        <f>""</f>
        <v/>
      </c>
      <c r="BU889" t="str">
        <f>""</f>
        <v/>
      </c>
      <c r="BV889" t="str">
        <f>""</f>
        <v/>
      </c>
      <c r="BW889" t="str">
        <f>""</f>
        <v/>
      </c>
      <c r="BX889" t="str">
        <f>""</f>
        <v/>
      </c>
      <c r="BY889" t="str">
        <f>""</f>
        <v/>
      </c>
      <c r="BZ889" t="str">
        <f>""</f>
        <v/>
      </c>
      <c r="CA889" t="str">
        <f>""</f>
        <v/>
      </c>
      <c r="CB889" t="str">
        <f>""</f>
        <v/>
      </c>
      <c r="CC889" t="str">
        <f>""</f>
        <v/>
      </c>
      <c r="CD889" t="str">
        <f>""</f>
        <v/>
      </c>
      <c r="CE889" t="str">
        <f>""</f>
        <v/>
      </c>
      <c r="CF889" t="str">
        <f>""</f>
        <v/>
      </c>
      <c r="CG889" t="str">
        <f>""</f>
        <v/>
      </c>
      <c r="CH889" t="str">
        <f>""</f>
        <v/>
      </c>
      <c r="CI889" t="str">
        <f>""</f>
        <v/>
      </c>
      <c r="CJ889" t="str">
        <f>""</f>
        <v/>
      </c>
      <c r="CK889" t="str">
        <f>""</f>
        <v/>
      </c>
      <c r="CL889" t="str">
        <f>""</f>
        <v/>
      </c>
      <c r="CM889" t="str">
        <f>""</f>
        <v/>
      </c>
      <c r="CN889" t="str">
        <f>""</f>
        <v/>
      </c>
      <c r="CO889" t="str">
        <f>""</f>
        <v/>
      </c>
      <c r="CP889" t="str">
        <f>""</f>
        <v/>
      </c>
      <c r="CQ889" t="str">
        <f>""</f>
        <v/>
      </c>
      <c r="CR889" t="str">
        <f>""</f>
        <v/>
      </c>
      <c r="CS889" t="str">
        <f>""</f>
        <v/>
      </c>
      <c r="CT889" t="str">
        <f>""</f>
        <v/>
      </c>
      <c r="CU889" t="str">
        <f>""</f>
        <v/>
      </c>
      <c r="CV889" t="str">
        <f>""</f>
        <v/>
      </c>
      <c r="CW889" t="str">
        <f>""</f>
        <v/>
      </c>
      <c r="CX889" t="str">
        <f>""</f>
        <v/>
      </c>
      <c r="CY889" t="str">
        <f>""</f>
        <v/>
      </c>
      <c r="CZ889" t="str">
        <f>""</f>
        <v/>
      </c>
      <c r="DA889" t="str">
        <f>""</f>
        <v/>
      </c>
      <c r="DB889" t="str">
        <f>""</f>
        <v/>
      </c>
      <c r="DC889" t="str">
        <f>""</f>
        <v/>
      </c>
      <c r="DD889" t="str">
        <f>""</f>
        <v/>
      </c>
      <c r="DE889" t="str">
        <f>""</f>
        <v/>
      </c>
      <c r="DF889" t="str">
        <f>""</f>
        <v/>
      </c>
      <c r="DG889" t="str">
        <f>""</f>
        <v/>
      </c>
      <c r="DH889" t="str">
        <f>""</f>
        <v/>
      </c>
      <c r="DI889" t="str">
        <f>""</f>
        <v/>
      </c>
      <c r="DJ889" t="str">
        <f>""</f>
        <v/>
      </c>
      <c r="DK889" t="str">
        <f>""</f>
        <v/>
      </c>
      <c r="DL889" t="str">
        <f>""</f>
        <v/>
      </c>
      <c r="DM889" t="str">
        <f>""</f>
        <v/>
      </c>
      <c r="DN889" t="str">
        <f>""</f>
        <v/>
      </c>
      <c r="DO889" t="str">
        <f>""</f>
        <v/>
      </c>
      <c r="DP889" t="str">
        <f>""</f>
        <v/>
      </c>
      <c r="DQ889" t="str">
        <f>""</f>
        <v/>
      </c>
      <c r="DR889" t="str">
        <f>""</f>
        <v/>
      </c>
      <c r="DS889" t="str">
        <f>""</f>
        <v/>
      </c>
      <c r="DT889" t="str">
        <f>""</f>
        <v/>
      </c>
      <c r="DU889" t="str">
        <f>""</f>
        <v/>
      </c>
    </row>
    <row r="890" spans="1:125" x14ac:dyDescent="0.25">
      <c r="A890" t="str">
        <f>$A$391</f>
        <v xml:space="preserve">    Great Wall Motor Co Ltd</v>
      </c>
      <c r="B890" t="str">
        <f>$B$391</f>
        <v>2333 HK Equity</v>
      </c>
      <c r="C890" t="str">
        <f>$C$391</f>
        <v>RR937</v>
      </c>
      <c r="D890" t="str">
        <f>$D$391</f>
        <v>CRNCY_ADJ_CURR_EV</v>
      </c>
      <c r="E890" t="str">
        <f>$E$391</f>
        <v>Dynamic</v>
      </c>
      <c r="F890" t="str">
        <f ca="1">_xll.BDH($B$391,$C$391,$B$509,$B$510,CONCATENATE("Per=",$B$507),"Dts=H","Dir=H",CONCATENATE("Points=",$B$508),"Sort=R","Days=A","Fill=B",CONCATENATE("FX=", $B$506) )</f>
        <v>#N/A Connection</v>
      </c>
      <c r="BN890" t="str">
        <f>""</f>
        <v/>
      </c>
      <c r="BO890" t="str">
        <f>""</f>
        <v/>
      </c>
      <c r="BP890" t="str">
        <f>""</f>
        <v/>
      </c>
      <c r="BQ890" t="str">
        <f>""</f>
        <v/>
      </c>
      <c r="BR890" t="str">
        <f>""</f>
        <v/>
      </c>
      <c r="BS890" t="str">
        <f>""</f>
        <v/>
      </c>
      <c r="BT890" t="str">
        <f>""</f>
        <v/>
      </c>
      <c r="BU890" t="str">
        <f>""</f>
        <v/>
      </c>
      <c r="BV890" t="str">
        <f>""</f>
        <v/>
      </c>
      <c r="BW890" t="str">
        <f>""</f>
        <v/>
      </c>
      <c r="BX890" t="str">
        <f>""</f>
        <v/>
      </c>
      <c r="BY890" t="str">
        <f>""</f>
        <v/>
      </c>
      <c r="BZ890" t="str">
        <f>""</f>
        <v/>
      </c>
      <c r="CA890" t="str">
        <f>""</f>
        <v/>
      </c>
      <c r="CB890" t="str">
        <f>""</f>
        <v/>
      </c>
      <c r="CC890" t="str">
        <f>""</f>
        <v/>
      </c>
      <c r="CD890" t="str">
        <f>""</f>
        <v/>
      </c>
      <c r="CE890" t="str">
        <f>""</f>
        <v/>
      </c>
      <c r="CF890" t="str">
        <f>""</f>
        <v/>
      </c>
      <c r="CG890" t="str">
        <f>""</f>
        <v/>
      </c>
      <c r="CH890" t="str">
        <f>""</f>
        <v/>
      </c>
      <c r="CI890" t="str">
        <f>""</f>
        <v/>
      </c>
      <c r="CJ890" t="str">
        <f>""</f>
        <v/>
      </c>
      <c r="CK890" t="str">
        <f>""</f>
        <v/>
      </c>
      <c r="CL890" t="str">
        <f>""</f>
        <v/>
      </c>
      <c r="CM890" t="str">
        <f>""</f>
        <v/>
      </c>
      <c r="CN890" t="str">
        <f>""</f>
        <v/>
      </c>
      <c r="CO890" t="str">
        <f>""</f>
        <v/>
      </c>
      <c r="CP890" t="str">
        <f>""</f>
        <v/>
      </c>
      <c r="CQ890" t="str">
        <f>""</f>
        <v/>
      </c>
      <c r="CR890" t="str">
        <f>""</f>
        <v/>
      </c>
      <c r="CS890" t="str">
        <f>""</f>
        <v/>
      </c>
      <c r="CT890" t="str">
        <f>""</f>
        <v/>
      </c>
      <c r="CU890" t="str">
        <f>""</f>
        <v/>
      </c>
      <c r="CV890" t="str">
        <f>""</f>
        <v/>
      </c>
      <c r="CW890" t="str">
        <f>""</f>
        <v/>
      </c>
      <c r="CX890" t="str">
        <f>""</f>
        <v/>
      </c>
      <c r="CY890" t="str">
        <f>""</f>
        <v/>
      </c>
      <c r="CZ890" t="str">
        <f>""</f>
        <v/>
      </c>
      <c r="DA890" t="str">
        <f>""</f>
        <v/>
      </c>
      <c r="DB890" t="str">
        <f>""</f>
        <v/>
      </c>
      <c r="DC890" t="str">
        <f>""</f>
        <v/>
      </c>
      <c r="DD890" t="str">
        <f>""</f>
        <v/>
      </c>
      <c r="DE890" t="str">
        <f>""</f>
        <v/>
      </c>
      <c r="DF890" t="str">
        <f>""</f>
        <v/>
      </c>
      <c r="DG890" t="str">
        <f>""</f>
        <v/>
      </c>
      <c r="DH890" t="str">
        <f>""</f>
        <v/>
      </c>
      <c r="DI890" t="str">
        <f>""</f>
        <v/>
      </c>
      <c r="DJ890" t="str">
        <f>""</f>
        <v/>
      </c>
      <c r="DK890" t="str">
        <f>""</f>
        <v/>
      </c>
      <c r="DL890" t="str">
        <f>""</f>
        <v/>
      </c>
      <c r="DM890" t="str">
        <f>""</f>
        <v/>
      </c>
      <c r="DN890" t="str">
        <f>""</f>
        <v/>
      </c>
      <c r="DO890" t="str">
        <f>""</f>
        <v/>
      </c>
      <c r="DP890" t="str">
        <f>""</f>
        <v/>
      </c>
      <c r="DQ890" t="str">
        <f>""</f>
        <v/>
      </c>
      <c r="DR890" t="str">
        <f>""</f>
        <v/>
      </c>
      <c r="DS890" t="str">
        <f>""</f>
        <v/>
      </c>
      <c r="DT890" t="str">
        <f>""</f>
        <v/>
      </c>
      <c r="DU890" t="str">
        <f>""</f>
        <v/>
      </c>
    </row>
    <row r="891" spans="1:125" x14ac:dyDescent="0.25">
      <c r="A891" t="str">
        <f>$A$392</f>
        <v xml:space="preserve">    Guangzhou Automobile Group Co Ltd</v>
      </c>
      <c r="B891" t="str">
        <f>$B$392</f>
        <v>2238 HK Equity</v>
      </c>
      <c r="C891" t="str">
        <f>$C$392</f>
        <v>RR937</v>
      </c>
      <c r="D891" t="str">
        <f>$D$392</f>
        <v>CRNCY_ADJ_CURR_EV</v>
      </c>
      <c r="E891" t="str">
        <f>$E$392</f>
        <v>Dynamic</v>
      </c>
      <c r="F891" t="str">
        <f ca="1">_xll.BDH($B$392,$C$392,$B$509,$B$510,CONCATENATE("Per=",$B$507),"Dts=H","Dir=H",CONCATENATE("Points=",$B$508),"Sort=R","Days=A","Fill=B",CONCATENATE("FX=", $B$506) )</f>
        <v>#N/A Connection</v>
      </c>
      <c r="BN891" t="str">
        <f>""</f>
        <v/>
      </c>
      <c r="BO891" t="str">
        <f>""</f>
        <v/>
      </c>
      <c r="BP891" t="str">
        <f>""</f>
        <v/>
      </c>
      <c r="BQ891" t="str">
        <f>""</f>
        <v/>
      </c>
      <c r="BR891" t="str">
        <f>""</f>
        <v/>
      </c>
      <c r="BS891" t="str">
        <f>""</f>
        <v/>
      </c>
      <c r="BT891" t="str">
        <f>""</f>
        <v/>
      </c>
      <c r="BU891" t="str">
        <f>""</f>
        <v/>
      </c>
      <c r="BV891" t="str">
        <f>""</f>
        <v/>
      </c>
      <c r="BW891" t="str">
        <f>""</f>
        <v/>
      </c>
      <c r="BX891" t="str">
        <f>""</f>
        <v/>
      </c>
      <c r="BY891" t="str">
        <f>""</f>
        <v/>
      </c>
      <c r="BZ891" t="str">
        <f>""</f>
        <v/>
      </c>
      <c r="CA891" t="str">
        <f>""</f>
        <v/>
      </c>
      <c r="CB891" t="str">
        <f>""</f>
        <v/>
      </c>
      <c r="CC891" t="str">
        <f>""</f>
        <v/>
      </c>
      <c r="CD891" t="str">
        <f>""</f>
        <v/>
      </c>
      <c r="CE891" t="str">
        <f>""</f>
        <v/>
      </c>
      <c r="CF891" t="str">
        <f>""</f>
        <v/>
      </c>
      <c r="CG891" t="str">
        <f>""</f>
        <v/>
      </c>
      <c r="CH891" t="str">
        <f>""</f>
        <v/>
      </c>
      <c r="CI891" t="str">
        <f>""</f>
        <v/>
      </c>
      <c r="CJ891" t="str">
        <f>""</f>
        <v/>
      </c>
      <c r="CK891" t="str">
        <f>""</f>
        <v/>
      </c>
      <c r="CL891" t="str">
        <f>""</f>
        <v/>
      </c>
      <c r="CM891" t="str">
        <f>""</f>
        <v/>
      </c>
      <c r="CN891" t="str">
        <f>""</f>
        <v/>
      </c>
      <c r="CO891" t="str">
        <f>""</f>
        <v/>
      </c>
      <c r="CP891" t="str">
        <f>""</f>
        <v/>
      </c>
      <c r="CQ891" t="str">
        <f>""</f>
        <v/>
      </c>
      <c r="CR891" t="str">
        <f>""</f>
        <v/>
      </c>
      <c r="CS891" t="str">
        <f>""</f>
        <v/>
      </c>
      <c r="CT891" t="str">
        <f>""</f>
        <v/>
      </c>
      <c r="CU891" t="str">
        <f>""</f>
        <v/>
      </c>
      <c r="CV891" t="str">
        <f>""</f>
        <v/>
      </c>
      <c r="CW891" t="str">
        <f>""</f>
        <v/>
      </c>
      <c r="CX891" t="str">
        <f>""</f>
        <v/>
      </c>
      <c r="CY891" t="str">
        <f>""</f>
        <v/>
      </c>
      <c r="CZ891" t="str">
        <f>""</f>
        <v/>
      </c>
      <c r="DA891" t="str">
        <f>""</f>
        <v/>
      </c>
      <c r="DB891" t="str">
        <f>""</f>
        <v/>
      </c>
      <c r="DC891" t="str">
        <f>""</f>
        <v/>
      </c>
      <c r="DD891" t="str">
        <f>""</f>
        <v/>
      </c>
      <c r="DE891" t="str">
        <f>""</f>
        <v/>
      </c>
      <c r="DF891" t="str">
        <f>""</f>
        <v/>
      </c>
      <c r="DG891" t="str">
        <f>""</f>
        <v/>
      </c>
      <c r="DH891" t="str">
        <f>""</f>
        <v/>
      </c>
      <c r="DI891" t="str">
        <f>""</f>
        <v/>
      </c>
      <c r="DJ891" t="str">
        <f>""</f>
        <v/>
      </c>
      <c r="DK891" t="str">
        <f>""</f>
        <v/>
      </c>
      <c r="DL891" t="str">
        <f>""</f>
        <v/>
      </c>
      <c r="DM891" t="str">
        <f>""</f>
        <v/>
      </c>
      <c r="DN891" t="str">
        <f>""</f>
        <v/>
      </c>
      <c r="DO891" t="str">
        <f>""</f>
        <v/>
      </c>
      <c r="DP891" t="str">
        <f>""</f>
        <v/>
      </c>
      <c r="DQ891" t="str">
        <f>""</f>
        <v/>
      </c>
      <c r="DR891" t="str">
        <f>""</f>
        <v/>
      </c>
      <c r="DS891" t="str">
        <f>""</f>
        <v/>
      </c>
      <c r="DT891" t="str">
        <f>""</f>
        <v/>
      </c>
      <c r="DU891" t="str">
        <f>""</f>
        <v/>
      </c>
    </row>
    <row r="892" spans="1:125" x14ac:dyDescent="0.25">
      <c r="A892" t="str">
        <f>$A$393</f>
        <v xml:space="preserve">    Honda Motor Co Ltd</v>
      </c>
      <c r="B892" t="str">
        <f>$B$393</f>
        <v>7267 JP Equity</v>
      </c>
      <c r="C892" t="str">
        <f>$C$393</f>
        <v>RR937</v>
      </c>
      <c r="D892" t="str">
        <f>$D$393</f>
        <v>CRNCY_ADJ_CURR_EV</v>
      </c>
      <c r="E892" t="str">
        <f>$E$393</f>
        <v>Dynamic</v>
      </c>
      <c r="F892" t="str">
        <f ca="1">_xll.BDH($B$393,$C$393,$B$509,$B$510,CONCATENATE("Per=",$B$507),"Dts=H","Dir=H",CONCATENATE("Points=",$B$508),"Sort=R","Days=A","Fill=B",CONCATENATE("FX=", $B$506) )</f>
        <v>#N/A Connection</v>
      </c>
      <c r="BN892" t="str">
        <f>""</f>
        <v/>
      </c>
      <c r="BO892" t="str">
        <f>""</f>
        <v/>
      </c>
      <c r="BP892" t="str">
        <f>""</f>
        <v/>
      </c>
      <c r="BQ892" t="str">
        <f>""</f>
        <v/>
      </c>
      <c r="BR892" t="str">
        <f>""</f>
        <v/>
      </c>
      <c r="BS892" t="str">
        <f>""</f>
        <v/>
      </c>
      <c r="BT892" t="str">
        <f>""</f>
        <v/>
      </c>
      <c r="BU892" t="str">
        <f>""</f>
        <v/>
      </c>
      <c r="BV892" t="str">
        <f>""</f>
        <v/>
      </c>
      <c r="BW892" t="str">
        <f>""</f>
        <v/>
      </c>
      <c r="BX892" t="str">
        <f>""</f>
        <v/>
      </c>
      <c r="BY892" t="str">
        <f>""</f>
        <v/>
      </c>
      <c r="BZ892" t="str">
        <f>""</f>
        <v/>
      </c>
      <c r="CA892" t="str">
        <f>""</f>
        <v/>
      </c>
      <c r="CB892" t="str">
        <f>""</f>
        <v/>
      </c>
      <c r="CC892" t="str">
        <f>""</f>
        <v/>
      </c>
      <c r="CD892" t="str">
        <f>""</f>
        <v/>
      </c>
      <c r="CE892" t="str">
        <f>""</f>
        <v/>
      </c>
      <c r="CF892" t="str">
        <f>""</f>
        <v/>
      </c>
      <c r="CG892" t="str">
        <f>""</f>
        <v/>
      </c>
      <c r="CH892" t="str">
        <f>""</f>
        <v/>
      </c>
      <c r="CI892" t="str">
        <f>""</f>
        <v/>
      </c>
      <c r="CJ892" t="str">
        <f>""</f>
        <v/>
      </c>
      <c r="CK892" t="str">
        <f>""</f>
        <v/>
      </c>
      <c r="CL892" t="str">
        <f>""</f>
        <v/>
      </c>
      <c r="CM892" t="str">
        <f>""</f>
        <v/>
      </c>
      <c r="CN892" t="str">
        <f>""</f>
        <v/>
      </c>
      <c r="CO892" t="str">
        <f>""</f>
        <v/>
      </c>
      <c r="CP892" t="str">
        <f>""</f>
        <v/>
      </c>
      <c r="CQ892" t="str">
        <f>""</f>
        <v/>
      </c>
      <c r="CR892" t="str">
        <f>""</f>
        <v/>
      </c>
      <c r="CS892" t="str">
        <f>""</f>
        <v/>
      </c>
      <c r="CT892" t="str">
        <f>""</f>
        <v/>
      </c>
      <c r="CU892" t="str">
        <f>""</f>
        <v/>
      </c>
      <c r="CV892" t="str">
        <f>""</f>
        <v/>
      </c>
      <c r="CW892" t="str">
        <f>""</f>
        <v/>
      </c>
      <c r="CX892" t="str">
        <f>""</f>
        <v/>
      </c>
      <c r="CY892" t="str">
        <f>""</f>
        <v/>
      </c>
      <c r="CZ892" t="str">
        <f>""</f>
        <v/>
      </c>
      <c r="DA892" t="str">
        <f>""</f>
        <v/>
      </c>
      <c r="DB892" t="str">
        <f>""</f>
        <v/>
      </c>
      <c r="DC892" t="str">
        <f>""</f>
        <v/>
      </c>
      <c r="DD892" t="str">
        <f>""</f>
        <v/>
      </c>
      <c r="DE892" t="str">
        <f>""</f>
        <v/>
      </c>
      <c r="DF892" t="str">
        <f>""</f>
        <v/>
      </c>
      <c r="DG892" t="str">
        <f>""</f>
        <v/>
      </c>
      <c r="DH892" t="str">
        <f>""</f>
        <v/>
      </c>
      <c r="DI892" t="str">
        <f>""</f>
        <v/>
      </c>
      <c r="DJ892" t="str">
        <f>""</f>
        <v/>
      </c>
      <c r="DK892" t="str">
        <f>""</f>
        <v/>
      </c>
      <c r="DL892" t="str">
        <f>""</f>
        <v/>
      </c>
      <c r="DM892" t="str">
        <f>""</f>
        <v/>
      </c>
      <c r="DN892" t="str">
        <f>""</f>
        <v/>
      </c>
      <c r="DO892" t="str">
        <f>""</f>
        <v/>
      </c>
      <c r="DP892" t="str">
        <f>""</f>
        <v/>
      </c>
      <c r="DQ892" t="str">
        <f>""</f>
        <v/>
      </c>
      <c r="DR892" t="str">
        <f>""</f>
        <v/>
      </c>
      <c r="DS892" t="str">
        <f>""</f>
        <v/>
      </c>
      <c r="DT892" t="str">
        <f>""</f>
        <v/>
      </c>
      <c r="DU892" t="str">
        <f>""</f>
        <v/>
      </c>
    </row>
    <row r="893" spans="1:125" x14ac:dyDescent="0.25">
      <c r="A893" t="str">
        <f>$A$394</f>
        <v xml:space="preserve">    Hyundai Motor Co</v>
      </c>
      <c r="B893" t="str">
        <f>$B$394</f>
        <v>005380 KS Equity</v>
      </c>
      <c r="C893" t="str">
        <f>$C$394</f>
        <v>RR937</v>
      </c>
      <c r="D893" t="str">
        <f>$D$394</f>
        <v>CRNCY_ADJ_CURR_EV</v>
      </c>
      <c r="E893" t="str">
        <f>$E$394</f>
        <v>Dynamic</v>
      </c>
      <c r="F893" t="str">
        <f ca="1">_xll.BDH($B$394,$C$394,$B$509,$B$510,CONCATENATE("Per=",$B$507),"Dts=H","Dir=H",CONCATENATE("Points=",$B$508),"Sort=R","Days=A","Fill=B",CONCATENATE("FX=", $B$506) )</f>
        <v>#N/A Connection</v>
      </c>
      <c r="BN893" t="str">
        <f>""</f>
        <v/>
      </c>
      <c r="BO893" t="str">
        <f>""</f>
        <v/>
      </c>
      <c r="BP893" t="str">
        <f>""</f>
        <v/>
      </c>
      <c r="BQ893" t="str">
        <f>""</f>
        <v/>
      </c>
      <c r="BR893" t="str">
        <f>""</f>
        <v/>
      </c>
      <c r="BS893" t="str">
        <f>""</f>
        <v/>
      </c>
      <c r="BT893" t="str">
        <f>""</f>
        <v/>
      </c>
      <c r="BU893" t="str">
        <f>""</f>
        <v/>
      </c>
      <c r="BV893" t="str">
        <f>""</f>
        <v/>
      </c>
      <c r="BW893" t="str">
        <f>""</f>
        <v/>
      </c>
      <c r="BX893" t="str">
        <f>""</f>
        <v/>
      </c>
      <c r="BY893" t="str">
        <f>""</f>
        <v/>
      </c>
      <c r="BZ893" t="str">
        <f>""</f>
        <v/>
      </c>
      <c r="CA893" t="str">
        <f>""</f>
        <v/>
      </c>
      <c r="CB893" t="str">
        <f>""</f>
        <v/>
      </c>
      <c r="CC893" t="str">
        <f>""</f>
        <v/>
      </c>
      <c r="CD893" t="str">
        <f>""</f>
        <v/>
      </c>
      <c r="CE893" t="str">
        <f>""</f>
        <v/>
      </c>
      <c r="CF893" t="str">
        <f>""</f>
        <v/>
      </c>
      <c r="CG893" t="str">
        <f>""</f>
        <v/>
      </c>
      <c r="CH893" t="str">
        <f>""</f>
        <v/>
      </c>
      <c r="CI893" t="str">
        <f>""</f>
        <v/>
      </c>
      <c r="CJ893" t="str">
        <f>""</f>
        <v/>
      </c>
      <c r="CK893" t="str">
        <f>""</f>
        <v/>
      </c>
      <c r="CL893" t="str">
        <f>""</f>
        <v/>
      </c>
      <c r="CM893" t="str">
        <f>""</f>
        <v/>
      </c>
      <c r="CN893" t="str">
        <f>""</f>
        <v/>
      </c>
      <c r="CO893" t="str">
        <f>""</f>
        <v/>
      </c>
      <c r="CP893" t="str">
        <f>""</f>
        <v/>
      </c>
      <c r="CQ893" t="str">
        <f>""</f>
        <v/>
      </c>
      <c r="CR893" t="str">
        <f>""</f>
        <v/>
      </c>
      <c r="CS893" t="str">
        <f>""</f>
        <v/>
      </c>
      <c r="CT893" t="str">
        <f>""</f>
        <v/>
      </c>
      <c r="CU893" t="str">
        <f>""</f>
        <v/>
      </c>
      <c r="CV893" t="str">
        <f>""</f>
        <v/>
      </c>
      <c r="CW893" t="str">
        <f>""</f>
        <v/>
      </c>
      <c r="CX893" t="str">
        <f>""</f>
        <v/>
      </c>
      <c r="CY893" t="str">
        <f>""</f>
        <v/>
      </c>
      <c r="CZ893" t="str">
        <f>""</f>
        <v/>
      </c>
      <c r="DA893" t="str">
        <f>""</f>
        <v/>
      </c>
      <c r="DB893" t="str">
        <f>""</f>
        <v/>
      </c>
      <c r="DC893" t="str">
        <f>""</f>
        <v/>
      </c>
      <c r="DD893" t="str">
        <f>""</f>
        <v/>
      </c>
      <c r="DE893" t="str">
        <f>""</f>
        <v/>
      </c>
      <c r="DF893" t="str">
        <f>""</f>
        <v/>
      </c>
      <c r="DG893" t="str">
        <f>""</f>
        <v/>
      </c>
      <c r="DH893" t="str">
        <f>""</f>
        <v/>
      </c>
      <c r="DI893" t="str">
        <f>""</f>
        <v/>
      </c>
      <c r="DJ893" t="str">
        <f>""</f>
        <v/>
      </c>
      <c r="DK893" t="str">
        <f>""</f>
        <v/>
      </c>
      <c r="DL893" t="str">
        <f>""</f>
        <v/>
      </c>
      <c r="DM893" t="str">
        <f>""</f>
        <v/>
      </c>
      <c r="DN893" t="str">
        <f>""</f>
        <v/>
      </c>
      <c r="DO893" t="str">
        <f>""</f>
        <v/>
      </c>
      <c r="DP893" t="str">
        <f>""</f>
        <v/>
      </c>
      <c r="DQ893" t="str">
        <f>""</f>
        <v/>
      </c>
      <c r="DR893" t="str">
        <f>""</f>
        <v/>
      </c>
      <c r="DS893" t="str">
        <f>""</f>
        <v/>
      </c>
      <c r="DT893" t="str">
        <f>""</f>
        <v/>
      </c>
      <c r="DU893" t="str">
        <f>""</f>
        <v/>
      </c>
    </row>
    <row r="894" spans="1:125" x14ac:dyDescent="0.25">
      <c r="A894" t="str">
        <f>$A$395</f>
        <v xml:space="preserve">    Kia Motors Corp</v>
      </c>
      <c r="B894" t="str">
        <f>$B$395</f>
        <v>000270 KS Equity</v>
      </c>
      <c r="C894" t="str">
        <f>$C$395</f>
        <v>RR937</v>
      </c>
      <c r="D894" t="str">
        <f>$D$395</f>
        <v>CRNCY_ADJ_CURR_EV</v>
      </c>
      <c r="E894" t="str">
        <f>$E$395</f>
        <v>Dynamic</v>
      </c>
      <c r="F894" t="str">
        <f ca="1">_xll.BDH($B$395,$C$395,$B$509,$B$510,CONCATENATE("Per=",$B$507),"Dts=H","Dir=H",CONCATENATE("Points=",$B$508),"Sort=R","Days=A","Fill=B",CONCATENATE("FX=", $B$506) )</f>
        <v>#N/A Connection</v>
      </c>
      <c r="BN894" t="str">
        <f>""</f>
        <v/>
      </c>
      <c r="BO894" t="str">
        <f>""</f>
        <v/>
      </c>
      <c r="BP894" t="str">
        <f>""</f>
        <v/>
      </c>
      <c r="BQ894" t="str">
        <f>""</f>
        <v/>
      </c>
      <c r="BR894" t="str">
        <f>""</f>
        <v/>
      </c>
      <c r="BS894" t="str">
        <f>""</f>
        <v/>
      </c>
      <c r="BT894" t="str">
        <f>""</f>
        <v/>
      </c>
      <c r="BU894" t="str">
        <f>""</f>
        <v/>
      </c>
      <c r="BV894" t="str">
        <f>""</f>
        <v/>
      </c>
      <c r="BW894" t="str">
        <f>""</f>
        <v/>
      </c>
      <c r="BX894" t="str">
        <f>""</f>
        <v/>
      </c>
      <c r="BY894" t="str">
        <f>""</f>
        <v/>
      </c>
      <c r="BZ894" t="str">
        <f>""</f>
        <v/>
      </c>
      <c r="CA894" t="str">
        <f>""</f>
        <v/>
      </c>
      <c r="CB894" t="str">
        <f>""</f>
        <v/>
      </c>
      <c r="CC894" t="str">
        <f>""</f>
        <v/>
      </c>
      <c r="CD894" t="str">
        <f>""</f>
        <v/>
      </c>
      <c r="CE894" t="str">
        <f>""</f>
        <v/>
      </c>
      <c r="CF894" t="str">
        <f>""</f>
        <v/>
      </c>
      <c r="CG894" t="str">
        <f>""</f>
        <v/>
      </c>
      <c r="CH894" t="str">
        <f>""</f>
        <v/>
      </c>
      <c r="CI894" t="str">
        <f>""</f>
        <v/>
      </c>
      <c r="CJ894" t="str">
        <f>""</f>
        <v/>
      </c>
      <c r="CK894" t="str">
        <f>""</f>
        <v/>
      </c>
      <c r="CL894" t="str">
        <f>""</f>
        <v/>
      </c>
      <c r="CM894" t="str">
        <f>""</f>
        <v/>
      </c>
      <c r="CN894" t="str">
        <f>""</f>
        <v/>
      </c>
      <c r="CO894" t="str">
        <f>""</f>
        <v/>
      </c>
      <c r="CP894" t="str">
        <f>""</f>
        <v/>
      </c>
      <c r="CQ894" t="str">
        <f>""</f>
        <v/>
      </c>
      <c r="CR894" t="str">
        <f>""</f>
        <v/>
      </c>
      <c r="CS894" t="str">
        <f>""</f>
        <v/>
      </c>
      <c r="CT894" t="str">
        <f>""</f>
        <v/>
      </c>
      <c r="CU894" t="str">
        <f>""</f>
        <v/>
      </c>
      <c r="CV894" t="str">
        <f>""</f>
        <v/>
      </c>
      <c r="CW894" t="str">
        <f>""</f>
        <v/>
      </c>
      <c r="CX894" t="str">
        <f>""</f>
        <v/>
      </c>
      <c r="CY894" t="str">
        <f>""</f>
        <v/>
      </c>
      <c r="CZ894" t="str">
        <f>""</f>
        <v/>
      </c>
      <c r="DA894" t="str">
        <f>""</f>
        <v/>
      </c>
      <c r="DB894" t="str">
        <f>""</f>
        <v/>
      </c>
      <c r="DC894" t="str">
        <f>""</f>
        <v/>
      </c>
      <c r="DD894" t="str">
        <f>""</f>
        <v/>
      </c>
      <c r="DE894" t="str">
        <f>""</f>
        <v/>
      </c>
      <c r="DF894" t="str">
        <f>""</f>
        <v/>
      </c>
      <c r="DG894" t="str">
        <f>""</f>
        <v/>
      </c>
      <c r="DH894" t="str">
        <f>""</f>
        <v/>
      </c>
      <c r="DI894" t="str">
        <f>""</f>
        <v/>
      </c>
      <c r="DJ894" t="str">
        <f>""</f>
        <v/>
      </c>
      <c r="DK894" t="str">
        <f>""</f>
        <v/>
      </c>
      <c r="DL894" t="str">
        <f>""</f>
        <v/>
      </c>
      <c r="DM894" t="str">
        <f>""</f>
        <v/>
      </c>
      <c r="DN894" t="str">
        <f>""</f>
        <v/>
      </c>
      <c r="DO894" t="str">
        <f>""</f>
        <v/>
      </c>
      <c r="DP894" t="str">
        <f>""</f>
        <v/>
      </c>
      <c r="DQ894" t="str">
        <f>""</f>
        <v/>
      </c>
      <c r="DR894" t="str">
        <f>""</f>
        <v/>
      </c>
      <c r="DS894" t="str">
        <f>""</f>
        <v/>
      </c>
      <c r="DT894" t="str">
        <f>""</f>
        <v/>
      </c>
      <c r="DU894" t="str">
        <f>""</f>
        <v/>
      </c>
    </row>
    <row r="895" spans="1:125" x14ac:dyDescent="0.25">
      <c r="A895" t="str">
        <f>$A$396</f>
        <v xml:space="preserve">    Mazda Motor Corp</v>
      </c>
      <c r="B895" t="str">
        <f>$B$396</f>
        <v>7261 JP Equity</v>
      </c>
      <c r="C895" t="str">
        <f>$C$396</f>
        <v>RR937</v>
      </c>
      <c r="D895" t="str">
        <f>$D$396</f>
        <v>CRNCY_ADJ_CURR_EV</v>
      </c>
      <c r="E895" t="str">
        <f>$E$396</f>
        <v>Dynamic</v>
      </c>
      <c r="F895" t="str">
        <f ca="1">_xll.BDH($B$396,$C$396,$B$509,$B$510,CONCATENATE("Per=",$B$507),"Dts=H","Dir=H",CONCATENATE("Points=",$B$508),"Sort=R","Days=A","Fill=B",CONCATENATE("FX=", $B$506) )</f>
        <v>#N/A Connection</v>
      </c>
      <c r="BN895" t="str">
        <f>""</f>
        <v/>
      </c>
      <c r="BO895" t="str">
        <f>""</f>
        <v/>
      </c>
      <c r="BP895" t="str">
        <f>""</f>
        <v/>
      </c>
      <c r="BQ895" t="str">
        <f>""</f>
        <v/>
      </c>
      <c r="BR895" t="str">
        <f>""</f>
        <v/>
      </c>
      <c r="BS895" t="str">
        <f>""</f>
        <v/>
      </c>
      <c r="BT895" t="str">
        <f>""</f>
        <v/>
      </c>
      <c r="BU895" t="str">
        <f>""</f>
        <v/>
      </c>
      <c r="BV895" t="str">
        <f>""</f>
        <v/>
      </c>
      <c r="BW895" t="str">
        <f>""</f>
        <v/>
      </c>
      <c r="BX895" t="str">
        <f>""</f>
        <v/>
      </c>
      <c r="BY895" t="str">
        <f>""</f>
        <v/>
      </c>
      <c r="BZ895" t="str">
        <f>""</f>
        <v/>
      </c>
      <c r="CA895" t="str">
        <f>""</f>
        <v/>
      </c>
      <c r="CB895" t="str">
        <f>""</f>
        <v/>
      </c>
      <c r="CC895" t="str">
        <f>""</f>
        <v/>
      </c>
      <c r="CD895" t="str">
        <f>""</f>
        <v/>
      </c>
      <c r="CE895" t="str">
        <f>""</f>
        <v/>
      </c>
      <c r="CF895" t="str">
        <f>""</f>
        <v/>
      </c>
      <c r="CG895" t="str">
        <f>""</f>
        <v/>
      </c>
      <c r="CH895" t="str">
        <f>""</f>
        <v/>
      </c>
      <c r="CI895" t="str">
        <f>""</f>
        <v/>
      </c>
      <c r="CJ895" t="str">
        <f>""</f>
        <v/>
      </c>
      <c r="CK895" t="str">
        <f>""</f>
        <v/>
      </c>
      <c r="CL895" t="str">
        <f>""</f>
        <v/>
      </c>
      <c r="CM895" t="str">
        <f>""</f>
        <v/>
      </c>
      <c r="CN895" t="str">
        <f>""</f>
        <v/>
      </c>
      <c r="CO895" t="str">
        <f>""</f>
        <v/>
      </c>
      <c r="CP895" t="str">
        <f>""</f>
        <v/>
      </c>
      <c r="CQ895" t="str">
        <f>""</f>
        <v/>
      </c>
      <c r="CR895" t="str">
        <f>""</f>
        <v/>
      </c>
      <c r="CS895" t="str">
        <f>""</f>
        <v/>
      </c>
      <c r="CT895" t="str">
        <f>""</f>
        <v/>
      </c>
      <c r="CU895" t="str">
        <f>""</f>
        <v/>
      </c>
      <c r="CV895" t="str">
        <f>""</f>
        <v/>
      </c>
      <c r="CW895" t="str">
        <f>""</f>
        <v/>
      </c>
      <c r="CX895" t="str">
        <f>""</f>
        <v/>
      </c>
      <c r="CY895" t="str">
        <f>""</f>
        <v/>
      </c>
      <c r="CZ895" t="str">
        <f>""</f>
        <v/>
      </c>
      <c r="DA895" t="str">
        <f>""</f>
        <v/>
      </c>
      <c r="DB895" t="str">
        <f>""</f>
        <v/>
      </c>
      <c r="DC895" t="str">
        <f>""</f>
        <v/>
      </c>
      <c r="DD895" t="str">
        <f>""</f>
        <v/>
      </c>
      <c r="DE895" t="str">
        <f>""</f>
        <v/>
      </c>
      <c r="DF895" t="str">
        <f>""</f>
        <v/>
      </c>
      <c r="DG895" t="str">
        <f>""</f>
        <v/>
      </c>
      <c r="DH895" t="str">
        <f>""</f>
        <v/>
      </c>
      <c r="DI895" t="str">
        <f>""</f>
        <v/>
      </c>
      <c r="DJ895" t="str">
        <f>""</f>
        <v/>
      </c>
      <c r="DK895" t="str">
        <f>""</f>
        <v/>
      </c>
      <c r="DL895" t="str">
        <f>""</f>
        <v/>
      </c>
      <c r="DM895" t="str">
        <f>""</f>
        <v/>
      </c>
      <c r="DN895" t="str">
        <f>""</f>
        <v/>
      </c>
      <c r="DO895" t="str">
        <f>""</f>
        <v/>
      </c>
      <c r="DP895" t="str">
        <f>""</f>
        <v/>
      </c>
      <c r="DQ895" t="str">
        <f>""</f>
        <v/>
      </c>
      <c r="DR895" t="str">
        <f>""</f>
        <v/>
      </c>
      <c r="DS895" t="str">
        <f>""</f>
        <v/>
      </c>
      <c r="DT895" t="str">
        <f>""</f>
        <v/>
      </c>
      <c r="DU895" t="str">
        <f>""</f>
        <v/>
      </c>
    </row>
    <row r="896" spans="1:125" x14ac:dyDescent="0.25">
      <c r="A896" t="str">
        <f>$A$397</f>
        <v xml:space="preserve">    Mitsubishi Motors Corp</v>
      </c>
      <c r="B896" t="str">
        <f>$B$397</f>
        <v>7211 JP Equity</v>
      </c>
      <c r="C896" t="str">
        <f>$C$397</f>
        <v>RR937</v>
      </c>
      <c r="D896" t="str">
        <f>$D$397</f>
        <v>CRNCY_ADJ_CURR_EV</v>
      </c>
      <c r="E896" t="str">
        <f>$E$397</f>
        <v>Dynamic</v>
      </c>
      <c r="F896" t="str">
        <f ca="1">_xll.BDH($B$397,$C$397,$B$509,$B$510,CONCATENATE("Per=",$B$507),"Dts=H","Dir=H",CONCATENATE("Points=",$B$508),"Sort=R","Days=A","Fill=B",CONCATENATE("FX=", $B$506) )</f>
        <v>#N/A Connection</v>
      </c>
      <c r="BN896" t="str">
        <f>""</f>
        <v/>
      </c>
      <c r="BO896" t="str">
        <f>""</f>
        <v/>
      </c>
      <c r="BP896" t="str">
        <f>""</f>
        <v/>
      </c>
      <c r="BQ896" t="str">
        <f>""</f>
        <v/>
      </c>
      <c r="BR896" t="str">
        <f>""</f>
        <v/>
      </c>
      <c r="BS896" t="str">
        <f>""</f>
        <v/>
      </c>
      <c r="BT896" t="str">
        <f>""</f>
        <v/>
      </c>
      <c r="BU896" t="str">
        <f>""</f>
        <v/>
      </c>
      <c r="BV896" t="str">
        <f>""</f>
        <v/>
      </c>
      <c r="BW896" t="str">
        <f>""</f>
        <v/>
      </c>
      <c r="BX896" t="str">
        <f>""</f>
        <v/>
      </c>
      <c r="BY896" t="str">
        <f>""</f>
        <v/>
      </c>
      <c r="BZ896" t="str">
        <f>""</f>
        <v/>
      </c>
      <c r="CA896" t="str">
        <f>""</f>
        <v/>
      </c>
      <c r="CB896" t="str">
        <f>""</f>
        <v/>
      </c>
      <c r="CC896" t="str">
        <f>""</f>
        <v/>
      </c>
      <c r="CD896" t="str">
        <f>""</f>
        <v/>
      </c>
      <c r="CE896" t="str">
        <f>""</f>
        <v/>
      </c>
      <c r="CF896" t="str">
        <f>""</f>
        <v/>
      </c>
      <c r="CG896" t="str">
        <f>""</f>
        <v/>
      </c>
      <c r="CH896" t="str">
        <f>""</f>
        <v/>
      </c>
      <c r="CI896" t="str">
        <f>""</f>
        <v/>
      </c>
      <c r="CJ896" t="str">
        <f>""</f>
        <v/>
      </c>
      <c r="CK896" t="str">
        <f>""</f>
        <v/>
      </c>
      <c r="CL896" t="str">
        <f>""</f>
        <v/>
      </c>
      <c r="CM896" t="str">
        <f>""</f>
        <v/>
      </c>
      <c r="CN896" t="str">
        <f>""</f>
        <v/>
      </c>
      <c r="CO896" t="str">
        <f>""</f>
        <v/>
      </c>
      <c r="CP896" t="str">
        <f>""</f>
        <v/>
      </c>
      <c r="CQ896" t="str">
        <f>""</f>
        <v/>
      </c>
      <c r="CR896" t="str">
        <f>""</f>
        <v/>
      </c>
      <c r="CS896" t="str">
        <f>""</f>
        <v/>
      </c>
      <c r="CT896" t="str">
        <f>""</f>
        <v/>
      </c>
      <c r="CU896" t="str">
        <f>""</f>
        <v/>
      </c>
      <c r="CV896" t="str">
        <f>""</f>
        <v/>
      </c>
      <c r="CW896" t="str">
        <f>""</f>
        <v/>
      </c>
      <c r="CX896" t="str">
        <f>""</f>
        <v/>
      </c>
      <c r="CY896" t="str">
        <f>""</f>
        <v/>
      </c>
      <c r="CZ896" t="str">
        <f>""</f>
        <v/>
      </c>
      <c r="DA896" t="str">
        <f>""</f>
        <v/>
      </c>
      <c r="DB896" t="str">
        <f>""</f>
        <v/>
      </c>
      <c r="DC896" t="str">
        <f>""</f>
        <v/>
      </c>
      <c r="DD896" t="str">
        <f>""</f>
        <v/>
      </c>
      <c r="DE896" t="str">
        <f>""</f>
        <v/>
      </c>
      <c r="DF896" t="str">
        <f>""</f>
        <v/>
      </c>
      <c r="DG896" t="str">
        <f>""</f>
        <v/>
      </c>
      <c r="DH896" t="str">
        <f>""</f>
        <v/>
      </c>
      <c r="DI896" t="str">
        <f>""</f>
        <v/>
      </c>
      <c r="DJ896" t="str">
        <f>""</f>
        <v/>
      </c>
      <c r="DK896" t="str">
        <f>""</f>
        <v/>
      </c>
      <c r="DL896" t="str">
        <f>""</f>
        <v/>
      </c>
      <c r="DM896" t="str">
        <f>""</f>
        <v/>
      </c>
      <c r="DN896" t="str">
        <f>""</f>
        <v/>
      </c>
      <c r="DO896" t="str">
        <f>""</f>
        <v/>
      </c>
      <c r="DP896" t="str">
        <f>""</f>
        <v/>
      </c>
      <c r="DQ896" t="str">
        <f>""</f>
        <v/>
      </c>
      <c r="DR896" t="str">
        <f>""</f>
        <v/>
      </c>
      <c r="DS896" t="str">
        <f>""</f>
        <v/>
      </c>
      <c r="DT896" t="str">
        <f>""</f>
        <v/>
      </c>
      <c r="DU896" t="str">
        <f>""</f>
        <v/>
      </c>
    </row>
    <row r="897" spans="1:125" x14ac:dyDescent="0.25">
      <c r="A897" t="str">
        <f>$A$398</f>
        <v xml:space="preserve">    Nissan Motor Co Ltd</v>
      </c>
      <c r="B897" t="str">
        <f>$B$398</f>
        <v>7201 JP Equity</v>
      </c>
      <c r="C897" t="str">
        <f>$C$398</f>
        <v>RR937</v>
      </c>
      <c r="D897" t="str">
        <f>$D$398</f>
        <v>CRNCY_ADJ_CURR_EV</v>
      </c>
      <c r="E897" t="str">
        <f>$E$398</f>
        <v>Dynamic</v>
      </c>
      <c r="F897" t="str">
        <f ca="1">_xll.BDH($B$398,$C$398,$B$509,$B$510,CONCATENATE("Per=",$B$507),"Dts=H","Dir=H",CONCATENATE("Points=",$B$508),"Sort=R","Days=A","Fill=B",CONCATENATE("FX=", $B$506) )</f>
        <v>#N/A Connection</v>
      </c>
      <c r="BN897" t="str">
        <f>""</f>
        <v/>
      </c>
      <c r="BO897" t="str">
        <f>""</f>
        <v/>
      </c>
      <c r="BP897" t="str">
        <f>""</f>
        <v/>
      </c>
      <c r="BQ897" t="str">
        <f>""</f>
        <v/>
      </c>
      <c r="BR897" t="str">
        <f>""</f>
        <v/>
      </c>
      <c r="BS897" t="str">
        <f>""</f>
        <v/>
      </c>
      <c r="BT897" t="str">
        <f>""</f>
        <v/>
      </c>
      <c r="BU897" t="str">
        <f>""</f>
        <v/>
      </c>
      <c r="BV897" t="str">
        <f>""</f>
        <v/>
      </c>
      <c r="BW897" t="str">
        <f>""</f>
        <v/>
      </c>
      <c r="BX897" t="str">
        <f>""</f>
        <v/>
      </c>
      <c r="BY897" t="str">
        <f>""</f>
        <v/>
      </c>
      <c r="BZ897" t="str">
        <f>""</f>
        <v/>
      </c>
      <c r="CA897" t="str">
        <f>""</f>
        <v/>
      </c>
      <c r="CB897" t="str">
        <f>""</f>
        <v/>
      </c>
      <c r="CC897" t="str">
        <f>""</f>
        <v/>
      </c>
      <c r="CD897" t="str">
        <f>""</f>
        <v/>
      </c>
      <c r="CE897" t="str">
        <f>""</f>
        <v/>
      </c>
      <c r="CF897" t="str">
        <f>""</f>
        <v/>
      </c>
      <c r="CG897" t="str">
        <f>""</f>
        <v/>
      </c>
      <c r="CH897" t="str">
        <f>""</f>
        <v/>
      </c>
      <c r="CI897" t="str">
        <f>""</f>
        <v/>
      </c>
      <c r="CJ897" t="str">
        <f>""</f>
        <v/>
      </c>
      <c r="CK897" t="str">
        <f>""</f>
        <v/>
      </c>
      <c r="CL897" t="str">
        <f>""</f>
        <v/>
      </c>
      <c r="CM897" t="str">
        <f>""</f>
        <v/>
      </c>
      <c r="CN897" t="str">
        <f>""</f>
        <v/>
      </c>
      <c r="CO897" t="str">
        <f>""</f>
        <v/>
      </c>
      <c r="CP897" t="str">
        <f>""</f>
        <v/>
      </c>
      <c r="CQ897" t="str">
        <f>""</f>
        <v/>
      </c>
      <c r="CR897" t="str">
        <f>""</f>
        <v/>
      </c>
      <c r="CS897" t="str">
        <f>""</f>
        <v/>
      </c>
      <c r="CT897" t="str">
        <f>""</f>
        <v/>
      </c>
      <c r="CU897" t="str">
        <f>""</f>
        <v/>
      </c>
      <c r="CV897" t="str">
        <f>""</f>
        <v/>
      </c>
      <c r="CW897" t="str">
        <f>""</f>
        <v/>
      </c>
      <c r="CX897" t="str">
        <f>""</f>
        <v/>
      </c>
      <c r="CY897" t="str">
        <f>""</f>
        <v/>
      </c>
      <c r="CZ897" t="str">
        <f>""</f>
        <v/>
      </c>
      <c r="DA897" t="str">
        <f>""</f>
        <v/>
      </c>
      <c r="DB897" t="str">
        <f>""</f>
        <v/>
      </c>
      <c r="DC897" t="str">
        <f>""</f>
        <v/>
      </c>
      <c r="DD897" t="str">
        <f>""</f>
        <v/>
      </c>
      <c r="DE897" t="str">
        <f>""</f>
        <v/>
      </c>
      <c r="DF897" t="str">
        <f>""</f>
        <v/>
      </c>
      <c r="DG897" t="str">
        <f>""</f>
        <v/>
      </c>
      <c r="DH897" t="str">
        <f>""</f>
        <v/>
      </c>
      <c r="DI897" t="str">
        <f>""</f>
        <v/>
      </c>
      <c r="DJ897" t="str">
        <f>""</f>
        <v/>
      </c>
      <c r="DK897" t="str">
        <f>""</f>
        <v/>
      </c>
      <c r="DL897" t="str">
        <f>""</f>
        <v/>
      </c>
      <c r="DM897" t="str">
        <f>""</f>
        <v/>
      </c>
      <c r="DN897" t="str">
        <f>""</f>
        <v/>
      </c>
      <c r="DO897" t="str">
        <f>""</f>
        <v/>
      </c>
      <c r="DP897" t="str">
        <f>""</f>
        <v/>
      </c>
      <c r="DQ897" t="str">
        <f>""</f>
        <v/>
      </c>
      <c r="DR897" t="str">
        <f>""</f>
        <v/>
      </c>
      <c r="DS897" t="str">
        <f>""</f>
        <v/>
      </c>
      <c r="DT897" t="str">
        <f>""</f>
        <v/>
      </c>
      <c r="DU897" t="str">
        <f>""</f>
        <v/>
      </c>
    </row>
    <row r="898" spans="1:125" x14ac:dyDescent="0.25">
      <c r="A898" t="str">
        <f>$A$399</f>
        <v xml:space="preserve">    Peugeot SA</v>
      </c>
      <c r="B898" t="str">
        <f>$B$399</f>
        <v>UG FP Equity</v>
      </c>
      <c r="C898" t="str">
        <f>$C$399</f>
        <v>RR937</v>
      </c>
      <c r="D898" t="str">
        <f>$D$399</f>
        <v>CRNCY_ADJ_CURR_EV</v>
      </c>
      <c r="E898" t="str">
        <f>$E$399</f>
        <v>Dynamic</v>
      </c>
      <c r="F898" t="str">
        <f ca="1">_xll.BDH($B$399,$C$399,$B$509,$B$510,CONCATENATE("Per=",$B$507),"Dts=H","Dir=H",CONCATENATE("Points=",$B$508),"Sort=R","Days=A","Fill=B",CONCATENATE("FX=", $B$506) )</f>
        <v>#N/A Connection</v>
      </c>
      <c r="BN898" t="str">
        <f>""</f>
        <v/>
      </c>
      <c r="BO898" t="str">
        <f>""</f>
        <v/>
      </c>
      <c r="BP898" t="str">
        <f>""</f>
        <v/>
      </c>
      <c r="BQ898" t="str">
        <f>""</f>
        <v/>
      </c>
      <c r="BR898" t="str">
        <f>""</f>
        <v/>
      </c>
      <c r="BS898" t="str">
        <f>""</f>
        <v/>
      </c>
      <c r="BT898" t="str">
        <f>""</f>
        <v/>
      </c>
      <c r="BU898" t="str">
        <f>""</f>
        <v/>
      </c>
      <c r="BV898" t="str">
        <f>""</f>
        <v/>
      </c>
      <c r="BW898" t="str">
        <f>""</f>
        <v/>
      </c>
      <c r="BX898" t="str">
        <f>""</f>
        <v/>
      </c>
      <c r="BY898" t="str">
        <f>""</f>
        <v/>
      </c>
      <c r="BZ898" t="str">
        <f>""</f>
        <v/>
      </c>
      <c r="CA898" t="str">
        <f>""</f>
        <v/>
      </c>
      <c r="CB898" t="str">
        <f>""</f>
        <v/>
      </c>
      <c r="CC898" t="str">
        <f>""</f>
        <v/>
      </c>
      <c r="CD898" t="str">
        <f>""</f>
        <v/>
      </c>
      <c r="CE898" t="str">
        <f>""</f>
        <v/>
      </c>
      <c r="CF898" t="str">
        <f>""</f>
        <v/>
      </c>
      <c r="CG898" t="str">
        <f>""</f>
        <v/>
      </c>
      <c r="CH898" t="str">
        <f>""</f>
        <v/>
      </c>
      <c r="CI898" t="str">
        <f>""</f>
        <v/>
      </c>
      <c r="CJ898" t="str">
        <f>""</f>
        <v/>
      </c>
      <c r="CK898" t="str">
        <f>""</f>
        <v/>
      </c>
      <c r="CL898" t="str">
        <f>""</f>
        <v/>
      </c>
      <c r="CM898" t="str">
        <f>""</f>
        <v/>
      </c>
      <c r="CN898" t="str">
        <f>""</f>
        <v/>
      </c>
      <c r="CO898" t="str">
        <f>""</f>
        <v/>
      </c>
      <c r="CP898" t="str">
        <f>""</f>
        <v/>
      </c>
      <c r="CQ898" t="str">
        <f>""</f>
        <v/>
      </c>
      <c r="CR898" t="str">
        <f>""</f>
        <v/>
      </c>
      <c r="CS898" t="str">
        <f>""</f>
        <v/>
      </c>
      <c r="CT898" t="str">
        <f>""</f>
        <v/>
      </c>
      <c r="CU898" t="str">
        <f>""</f>
        <v/>
      </c>
      <c r="CV898" t="str">
        <f>""</f>
        <v/>
      </c>
      <c r="CW898" t="str">
        <f>""</f>
        <v/>
      </c>
      <c r="CX898" t="str">
        <f>""</f>
        <v/>
      </c>
      <c r="CY898" t="str">
        <f>""</f>
        <v/>
      </c>
      <c r="CZ898" t="str">
        <f>""</f>
        <v/>
      </c>
      <c r="DA898" t="str">
        <f>""</f>
        <v/>
      </c>
      <c r="DB898" t="str">
        <f>""</f>
        <v/>
      </c>
      <c r="DC898" t="str">
        <f>""</f>
        <v/>
      </c>
      <c r="DD898" t="str">
        <f>""</f>
        <v/>
      </c>
      <c r="DE898" t="str">
        <f>""</f>
        <v/>
      </c>
      <c r="DF898" t="str">
        <f>""</f>
        <v/>
      </c>
      <c r="DG898" t="str">
        <f>""</f>
        <v/>
      </c>
      <c r="DH898" t="str">
        <f>""</f>
        <v/>
      </c>
      <c r="DI898" t="str">
        <f>""</f>
        <v/>
      </c>
      <c r="DJ898" t="str">
        <f>""</f>
        <v/>
      </c>
      <c r="DK898" t="str">
        <f>""</f>
        <v/>
      </c>
      <c r="DL898" t="str">
        <f>""</f>
        <v/>
      </c>
      <c r="DM898" t="str">
        <f>""</f>
        <v/>
      </c>
      <c r="DN898" t="str">
        <f>""</f>
        <v/>
      </c>
      <c r="DO898" t="str">
        <f>""</f>
        <v/>
      </c>
      <c r="DP898" t="str">
        <f>""</f>
        <v/>
      </c>
      <c r="DQ898" t="str">
        <f>""</f>
        <v/>
      </c>
      <c r="DR898" t="str">
        <f>""</f>
        <v/>
      </c>
      <c r="DS898" t="str">
        <f>""</f>
        <v/>
      </c>
      <c r="DT898" t="str">
        <f>""</f>
        <v/>
      </c>
      <c r="DU898" t="str">
        <f>""</f>
        <v/>
      </c>
    </row>
    <row r="899" spans="1:125" x14ac:dyDescent="0.25">
      <c r="A899" t="str">
        <f>$A$400</f>
        <v xml:space="preserve">    Renault SA</v>
      </c>
      <c r="B899" t="str">
        <f>$B$400</f>
        <v>RNO FP Equity</v>
      </c>
      <c r="C899" t="str">
        <f>$C$400</f>
        <v>RR937</v>
      </c>
      <c r="D899" t="str">
        <f>$D$400</f>
        <v>CRNCY_ADJ_CURR_EV</v>
      </c>
      <c r="E899" t="str">
        <f>$E$400</f>
        <v>Dynamic</v>
      </c>
      <c r="F899" t="str">
        <f ca="1">_xll.BDH($B$400,$C$400,$B$509,$B$510,CONCATENATE("Per=",$B$507),"Dts=H","Dir=H",CONCATENATE("Points=",$B$508),"Sort=R","Days=A","Fill=B",CONCATENATE("FX=", $B$506) )</f>
        <v>#N/A Connection</v>
      </c>
      <c r="BN899" t="str">
        <f>""</f>
        <v/>
      </c>
      <c r="BO899" t="str">
        <f>""</f>
        <v/>
      </c>
      <c r="BP899" t="str">
        <f>""</f>
        <v/>
      </c>
      <c r="BQ899" t="str">
        <f>""</f>
        <v/>
      </c>
      <c r="BR899" t="str">
        <f>""</f>
        <v/>
      </c>
      <c r="BS899" t="str">
        <f>""</f>
        <v/>
      </c>
      <c r="BT899" t="str">
        <f>""</f>
        <v/>
      </c>
      <c r="BU899" t="str">
        <f>""</f>
        <v/>
      </c>
      <c r="BV899" t="str">
        <f>""</f>
        <v/>
      </c>
      <c r="BW899" t="str">
        <f>""</f>
        <v/>
      </c>
      <c r="BX899" t="str">
        <f>""</f>
        <v/>
      </c>
      <c r="BY899" t="str">
        <f>""</f>
        <v/>
      </c>
      <c r="BZ899" t="str">
        <f>""</f>
        <v/>
      </c>
      <c r="CA899" t="str">
        <f>""</f>
        <v/>
      </c>
      <c r="CB899" t="str">
        <f>""</f>
        <v/>
      </c>
      <c r="CC899" t="str">
        <f>""</f>
        <v/>
      </c>
      <c r="CD899" t="str">
        <f>""</f>
        <v/>
      </c>
      <c r="CE899" t="str">
        <f>""</f>
        <v/>
      </c>
      <c r="CF899" t="str">
        <f>""</f>
        <v/>
      </c>
      <c r="CG899" t="str">
        <f>""</f>
        <v/>
      </c>
      <c r="CH899" t="str">
        <f>""</f>
        <v/>
      </c>
      <c r="CI899" t="str">
        <f>""</f>
        <v/>
      </c>
      <c r="CJ899" t="str">
        <f>""</f>
        <v/>
      </c>
      <c r="CK899" t="str">
        <f>""</f>
        <v/>
      </c>
      <c r="CL899" t="str">
        <f>""</f>
        <v/>
      </c>
      <c r="CM899" t="str">
        <f>""</f>
        <v/>
      </c>
      <c r="CN899" t="str">
        <f>""</f>
        <v/>
      </c>
      <c r="CO899" t="str">
        <f>""</f>
        <v/>
      </c>
      <c r="CP899" t="str">
        <f>""</f>
        <v/>
      </c>
      <c r="CQ899" t="str">
        <f>""</f>
        <v/>
      </c>
      <c r="CR899" t="str">
        <f>""</f>
        <v/>
      </c>
      <c r="CS899" t="str">
        <f>""</f>
        <v/>
      </c>
      <c r="CT899" t="str">
        <f>""</f>
        <v/>
      </c>
      <c r="CU899" t="str">
        <f>""</f>
        <v/>
      </c>
      <c r="CV899" t="str">
        <f>""</f>
        <v/>
      </c>
      <c r="CW899" t="str">
        <f>""</f>
        <v/>
      </c>
      <c r="CX899" t="str">
        <f>""</f>
        <v/>
      </c>
      <c r="CY899" t="str">
        <f>""</f>
        <v/>
      </c>
      <c r="CZ899" t="str">
        <f>""</f>
        <v/>
      </c>
      <c r="DA899" t="str">
        <f>""</f>
        <v/>
      </c>
      <c r="DB899" t="str">
        <f>""</f>
        <v/>
      </c>
      <c r="DC899" t="str">
        <f>""</f>
        <v/>
      </c>
      <c r="DD899" t="str">
        <f>""</f>
        <v/>
      </c>
      <c r="DE899" t="str">
        <f>""</f>
        <v/>
      </c>
      <c r="DF899" t="str">
        <f>""</f>
        <v/>
      </c>
      <c r="DG899" t="str">
        <f>""</f>
        <v/>
      </c>
      <c r="DH899" t="str">
        <f>""</f>
        <v/>
      </c>
      <c r="DI899" t="str">
        <f>""</f>
        <v/>
      </c>
      <c r="DJ899" t="str">
        <f>""</f>
        <v/>
      </c>
      <c r="DK899" t="str">
        <f>""</f>
        <v/>
      </c>
      <c r="DL899" t="str">
        <f>""</f>
        <v/>
      </c>
      <c r="DM899" t="str">
        <f>""</f>
        <v/>
      </c>
      <c r="DN899" t="str">
        <f>""</f>
        <v/>
      </c>
      <c r="DO899" t="str">
        <f>""</f>
        <v/>
      </c>
      <c r="DP899" t="str">
        <f>""</f>
        <v/>
      </c>
      <c r="DQ899" t="str">
        <f>""</f>
        <v/>
      </c>
      <c r="DR899" t="str">
        <f>""</f>
        <v/>
      </c>
      <c r="DS899" t="str">
        <f>""</f>
        <v/>
      </c>
      <c r="DT899" t="str">
        <f>""</f>
        <v/>
      </c>
      <c r="DU899" t="str">
        <f>""</f>
        <v/>
      </c>
    </row>
    <row r="900" spans="1:125" x14ac:dyDescent="0.25">
      <c r="A900" t="str">
        <f>$A$401</f>
        <v xml:space="preserve">    SAIC Motor Corp Ltd</v>
      </c>
      <c r="B900" t="str">
        <f>$B$401</f>
        <v>600104 CH Equity</v>
      </c>
      <c r="C900" t="str">
        <f>$C$401</f>
        <v>RR937</v>
      </c>
      <c r="D900" t="str">
        <f>$D$401</f>
        <v>CRNCY_ADJ_CURR_EV</v>
      </c>
      <c r="E900" t="str">
        <f>$E$401</f>
        <v>Dynamic</v>
      </c>
      <c r="F900" t="str">
        <f ca="1">_xll.BDH($B$401,$C$401,$B$509,$B$510,CONCATENATE("Per=",$B$507),"Dts=H","Dir=H",CONCATENATE("Points=",$B$508),"Sort=R","Days=A","Fill=B",CONCATENATE("FX=", $B$506) )</f>
        <v>#N/A Connection</v>
      </c>
      <c r="BN900" t="str">
        <f>""</f>
        <v/>
      </c>
      <c r="BO900" t="str">
        <f>""</f>
        <v/>
      </c>
      <c r="BP900" t="str">
        <f>""</f>
        <v/>
      </c>
      <c r="BQ900" t="str">
        <f>""</f>
        <v/>
      </c>
      <c r="BR900" t="str">
        <f>""</f>
        <v/>
      </c>
      <c r="BS900" t="str">
        <f>""</f>
        <v/>
      </c>
      <c r="BT900" t="str">
        <f>""</f>
        <v/>
      </c>
      <c r="BU900" t="str">
        <f>""</f>
        <v/>
      </c>
      <c r="BV900" t="str">
        <f>""</f>
        <v/>
      </c>
      <c r="BW900" t="str">
        <f>""</f>
        <v/>
      </c>
      <c r="BX900" t="str">
        <f>""</f>
        <v/>
      </c>
      <c r="BY900" t="str">
        <f>""</f>
        <v/>
      </c>
      <c r="BZ900" t="str">
        <f>""</f>
        <v/>
      </c>
      <c r="CA900" t="str">
        <f>""</f>
        <v/>
      </c>
      <c r="CB900" t="str">
        <f>""</f>
        <v/>
      </c>
      <c r="CC900" t="str">
        <f>""</f>
        <v/>
      </c>
      <c r="CD900" t="str">
        <f>""</f>
        <v/>
      </c>
      <c r="CE900" t="str">
        <f>""</f>
        <v/>
      </c>
      <c r="CF900" t="str">
        <f>""</f>
        <v/>
      </c>
      <c r="CG900" t="str">
        <f>""</f>
        <v/>
      </c>
      <c r="CH900" t="str">
        <f>""</f>
        <v/>
      </c>
      <c r="CI900" t="str">
        <f>""</f>
        <v/>
      </c>
      <c r="CJ900" t="str">
        <f>""</f>
        <v/>
      </c>
      <c r="CK900" t="str">
        <f>""</f>
        <v/>
      </c>
      <c r="CL900" t="str">
        <f>""</f>
        <v/>
      </c>
      <c r="CM900" t="str">
        <f>""</f>
        <v/>
      </c>
      <c r="CN900" t="str">
        <f>""</f>
        <v/>
      </c>
      <c r="CO900" t="str">
        <f>""</f>
        <v/>
      </c>
      <c r="CP900" t="str">
        <f>""</f>
        <v/>
      </c>
      <c r="CQ900" t="str">
        <f>""</f>
        <v/>
      </c>
      <c r="CR900" t="str">
        <f>""</f>
        <v/>
      </c>
      <c r="CS900" t="str">
        <f>""</f>
        <v/>
      </c>
      <c r="CT900" t="str">
        <f>""</f>
        <v/>
      </c>
      <c r="CU900" t="str">
        <f>""</f>
        <v/>
      </c>
      <c r="CV900" t="str">
        <f>""</f>
        <v/>
      </c>
      <c r="CW900" t="str">
        <f>""</f>
        <v/>
      </c>
      <c r="CX900" t="str">
        <f>""</f>
        <v/>
      </c>
      <c r="CY900" t="str">
        <f>""</f>
        <v/>
      </c>
      <c r="CZ900" t="str">
        <f>""</f>
        <v/>
      </c>
      <c r="DA900" t="str">
        <f>""</f>
        <v/>
      </c>
      <c r="DB900" t="str">
        <f>""</f>
        <v/>
      </c>
      <c r="DC900" t="str">
        <f>""</f>
        <v/>
      </c>
      <c r="DD900" t="str">
        <f>""</f>
        <v/>
      </c>
      <c r="DE900" t="str">
        <f>""</f>
        <v/>
      </c>
      <c r="DF900" t="str">
        <f>""</f>
        <v/>
      </c>
      <c r="DG900" t="str">
        <f>""</f>
        <v/>
      </c>
      <c r="DH900" t="str">
        <f>""</f>
        <v/>
      </c>
      <c r="DI900" t="str">
        <f>""</f>
        <v/>
      </c>
      <c r="DJ900" t="str">
        <f>""</f>
        <v/>
      </c>
      <c r="DK900" t="str">
        <f>""</f>
        <v/>
      </c>
      <c r="DL900" t="str">
        <f>""</f>
        <v/>
      </c>
      <c r="DM900" t="str">
        <f>""</f>
        <v/>
      </c>
      <c r="DN900" t="str">
        <f>""</f>
        <v/>
      </c>
      <c r="DO900" t="str">
        <f>""</f>
        <v/>
      </c>
      <c r="DP900" t="str">
        <f>""</f>
        <v/>
      </c>
      <c r="DQ900" t="str">
        <f>""</f>
        <v/>
      </c>
      <c r="DR900" t="str">
        <f>""</f>
        <v/>
      </c>
      <c r="DS900" t="str">
        <f>""</f>
        <v/>
      </c>
      <c r="DT900" t="str">
        <f>""</f>
        <v/>
      </c>
      <c r="DU900" t="str">
        <f>""</f>
        <v/>
      </c>
    </row>
    <row r="901" spans="1:125" x14ac:dyDescent="0.25">
      <c r="A901" t="str">
        <f>$A$402</f>
        <v xml:space="preserve">    Sanyang Motor Co Ltd</v>
      </c>
      <c r="B901" t="str">
        <f>$B$402</f>
        <v>2206 TT Equity</v>
      </c>
      <c r="C901" t="str">
        <f>$C$402</f>
        <v>RR937</v>
      </c>
      <c r="D901" t="str">
        <f>$D$402</f>
        <v>CRNCY_ADJ_CURR_EV</v>
      </c>
      <c r="E901" t="str">
        <f>$E$402</f>
        <v>Dynamic</v>
      </c>
      <c r="F901" t="str">
        <f ca="1">_xll.BDH($B$402,$C$402,$B$509,$B$510,CONCATENATE("Per=",$B$507),"Dts=H","Dir=H",CONCATENATE("Points=",$B$508),"Sort=R","Days=A","Fill=B",CONCATENATE("FX=", $B$506) )</f>
        <v>#N/A Connection</v>
      </c>
      <c r="BN901" t="str">
        <f>""</f>
        <v/>
      </c>
      <c r="BO901" t="str">
        <f>""</f>
        <v/>
      </c>
      <c r="BP901" t="str">
        <f>""</f>
        <v/>
      </c>
      <c r="BQ901" t="str">
        <f>""</f>
        <v/>
      </c>
      <c r="BR901" t="str">
        <f>""</f>
        <v/>
      </c>
      <c r="BS901" t="str">
        <f>""</f>
        <v/>
      </c>
      <c r="BT901" t="str">
        <f>""</f>
        <v/>
      </c>
      <c r="BU901" t="str">
        <f>""</f>
        <v/>
      </c>
      <c r="BV901" t="str">
        <f>""</f>
        <v/>
      </c>
      <c r="BW901" t="str">
        <f>""</f>
        <v/>
      </c>
      <c r="BX901" t="str">
        <f>""</f>
        <v/>
      </c>
      <c r="BY901" t="str">
        <f>""</f>
        <v/>
      </c>
      <c r="BZ901" t="str">
        <f>""</f>
        <v/>
      </c>
      <c r="CA901" t="str">
        <f>""</f>
        <v/>
      </c>
      <c r="CB901" t="str">
        <f>""</f>
        <v/>
      </c>
      <c r="CC901" t="str">
        <f>""</f>
        <v/>
      </c>
      <c r="CD901" t="str">
        <f>""</f>
        <v/>
      </c>
      <c r="CE901" t="str">
        <f>""</f>
        <v/>
      </c>
      <c r="CF901" t="str">
        <f>""</f>
        <v/>
      </c>
      <c r="CG901" t="str">
        <f>""</f>
        <v/>
      </c>
      <c r="CH901" t="str">
        <f>""</f>
        <v/>
      </c>
      <c r="CI901" t="str">
        <f>""</f>
        <v/>
      </c>
      <c r="CJ901" t="str">
        <f>""</f>
        <v/>
      </c>
      <c r="CK901" t="str">
        <f>""</f>
        <v/>
      </c>
      <c r="CL901" t="str">
        <f>""</f>
        <v/>
      </c>
      <c r="CM901" t="str">
        <f>""</f>
        <v/>
      </c>
      <c r="CN901" t="str">
        <f>""</f>
        <v/>
      </c>
      <c r="CO901" t="str">
        <f>""</f>
        <v/>
      </c>
      <c r="CP901" t="str">
        <f>""</f>
        <v/>
      </c>
      <c r="CQ901" t="str">
        <f>""</f>
        <v/>
      </c>
      <c r="CR901" t="str">
        <f>""</f>
        <v/>
      </c>
      <c r="CS901" t="str">
        <f>""</f>
        <v/>
      </c>
      <c r="CT901" t="str">
        <f>""</f>
        <v/>
      </c>
      <c r="CU901" t="str">
        <f>""</f>
        <v/>
      </c>
      <c r="CV901" t="str">
        <f>""</f>
        <v/>
      </c>
      <c r="CW901" t="str">
        <f>""</f>
        <v/>
      </c>
      <c r="CX901" t="str">
        <f>""</f>
        <v/>
      </c>
      <c r="CY901" t="str">
        <f>""</f>
        <v/>
      </c>
      <c r="CZ901" t="str">
        <f>""</f>
        <v/>
      </c>
      <c r="DA901" t="str">
        <f>""</f>
        <v/>
      </c>
      <c r="DB901" t="str">
        <f>""</f>
        <v/>
      </c>
      <c r="DC901" t="str">
        <f>""</f>
        <v/>
      </c>
      <c r="DD901" t="str">
        <f>""</f>
        <v/>
      </c>
      <c r="DE901" t="str">
        <f>""</f>
        <v/>
      </c>
      <c r="DF901" t="str">
        <f>""</f>
        <v/>
      </c>
      <c r="DG901" t="str">
        <f>""</f>
        <v/>
      </c>
      <c r="DH901" t="str">
        <f>""</f>
        <v/>
      </c>
      <c r="DI901" t="str">
        <f>""</f>
        <v/>
      </c>
      <c r="DJ901" t="str">
        <f>""</f>
        <v/>
      </c>
      <c r="DK901" t="str">
        <f>""</f>
        <v/>
      </c>
      <c r="DL901" t="str">
        <f>""</f>
        <v/>
      </c>
      <c r="DM901" t="str">
        <f>""</f>
        <v/>
      </c>
      <c r="DN901" t="str">
        <f>""</f>
        <v/>
      </c>
      <c r="DO901" t="str">
        <f>""</f>
        <v/>
      </c>
      <c r="DP901" t="str">
        <f>""</f>
        <v/>
      </c>
      <c r="DQ901" t="str">
        <f>""</f>
        <v/>
      </c>
      <c r="DR901" t="str">
        <f>""</f>
        <v/>
      </c>
      <c r="DS901" t="str">
        <f>""</f>
        <v/>
      </c>
      <c r="DT901" t="str">
        <f>""</f>
        <v/>
      </c>
      <c r="DU901" t="str">
        <f>""</f>
        <v/>
      </c>
    </row>
    <row r="902" spans="1:125" x14ac:dyDescent="0.25">
      <c r="A902" t="str">
        <f>$A$403</f>
        <v xml:space="preserve">    Sollers PJSC</v>
      </c>
      <c r="B902" t="str">
        <f>$B$403</f>
        <v>SVAV RM Equity</v>
      </c>
      <c r="C902" t="str">
        <f>$C$403</f>
        <v>RR937</v>
      </c>
      <c r="D902" t="str">
        <f>$D$403</f>
        <v>CRNCY_ADJ_CURR_EV</v>
      </c>
      <c r="E902" t="str">
        <f>$E$403</f>
        <v>Dynamic</v>
      </c>
      <c r="F902" t="str">
        <f ca="1">_xll.BDH($B$403,$C$403,$B$509,$B$510,CONCATENATE("Per=",$B$507),"Dts=H","Dir=H",CONCATENATE("Points=",$B$508),"Sort=R","Days=A","Fill=B",CONCATENATE("FX=", $B$506) )</f>
        <v>#N/A Connection</v>
      </c>
      <c r="BN902" t="str">
        <f>""</f>
        <v/>
      </c>
      <c r="BO902" t="str">
        <f>""</f>
        <v/>
      </c>
      <c r="BP902" t="str">
        <f>""</f>
        <v/>
      </c>
      <c r="BQ902" t="str">
        <f>""</f>
        <v/>
      </c>
      <c r="BR902" t="str">
        <f>""</f>
        <v/>
      </c>
      <c r="BS902" t="str">
        <f>""</f>
        <v/>
      </c>
      <c r="BT902" t="str">
        <f>""</f>
        <v/>
      </c>
      <c r="BU902" t="str">
        <f>""</f>
        <v/>
      </c>
      <c r="BV902" t="str">
        <f>""</f>
        <v/>
      </c>
      <c r="BW902" t="str">
        <f>""</f>
        <v/>
      </c>
      <c r="BX902" t="str">
        <f>""</f>
        <v/>
      </c>
      <c r="BY902" t="str">
        <f>""</f>
        <v/>
      </c>
      <c r="BZ902" t="str">
        <f>""</f>
        <v/>
      </c>
      <c r="CA902" t="str">
        <f>""</f>
        <v/>
      </c>
      <c r="CB902" t="str">
        <f>""</f>
        <v/>
      </c>
      <c r="CC902" t="str">
        <f>""</f>
        <v/>
      </c>
      <c r="CD902" t="str">
        <f>""</f>
        <v/>
      </c>
      <c r="CE902" t="str">
        <f>""</f>
        <v/>
      </c>
      <c r="CF902" t="str">
        <f>""</f>
        <v/>
      </c>
      <c r="CG902" t="str">
        <f>""</f>
        <v/>
      </c>
      <c r="CH902" t="str">
        <f>""</f>
        <v/>
      </c>
      <c r="CI902" t="str">
        <f>""</f>
        <v/>
      </c>
      <c r="CJ902" t="str">
        <f>""</f>
        <v/>
      </c>
      <c r="CK902" t="str">
        <f>""</f>
        <v/>
      </c>
      <c r="CL902" t="str">
        <f>""</f>
        <v/>
      </c>
      <c r="CM902" t="str">
        <f>""</f>
        <v/>
      </c>
      <c r="CN902" t="str">
        <f>""</f>
        <v/>
      </c>
      <c r="CO902" t="str">
        <f>""</f>
        <v/>
      </c>
      <c r="CP902" t="str">
        <f>""</f>
        <v/>
      </c>
      <c r="CQ902" t="str">
        <f>""</f>
        <v/>
      </c>
      <c r="CR902" t="str">
        <f>""</f>
        <v/>
      </c>
      <c r="CS902" t="str">
        <f>""</f>
        <v/>
      </c>
      <c r="CT902" t="str">
        <f>""</f>
        <v/>
      </c>
      <c r="CU902" t="str">
        <f>""</f>
        <v/>
      </c>
      <c r="CV902" t="str">
        <f>""</f>
        <v/>
      </c>
      <c r="CW902" t="str">
        <f>""</f>
        <v/>
      </c>
      <c r="CX902" t="str">
        <f>""</f>
        <v/>
      </c>
      <c r="CY902" t="str">
        <f>""</f>
        <v/>
      </c>
      <c r="CZ902" t="str">
        <f>""</f>
        <v/>
      </c>
      <c r="DA902" t="str">
        <f>""</f>
        <v/>
      </c>
      <c r="DB902" t="str">
        <f>""</f>
        <v/>
      </c>
      <c r="DC902" t="str">
        <f>""</f>
        <v/>
      </c>
      <c r="DD902" t="str">
        <f>""</f>
        <v/>
      </c>
      <c r="DE902" t="str">
        <f>""</f>
        <v/>
      </c>
      <c r="DF902" t="str">
        <f>""</f>
        <v/>
      </c>
      <c r="DG902" t="str">
        <f>""</f>
        <v/>
      </c>
      <c r="DH902" t="str">
        <f>""</f>
        <v/>
      </c>
      <c r="DI902" t="str">
        <f>""</f>
        <v/>
      </c>
      <c r="DJ902" t="str">
        <f>""</f>
        <v/>
      </c>
      <c r="DK902" t="str">
        <f>""</f>
        <v/>
      </c>
      <c r="DL902" t="str">
        <f>""</f>
        <v/>
      </c>
      <c r="DM902" t="str">
        <f>""</f>
        <v/>
      </c>
      <c r="DN902" t="str">
        <f>""</f>
        <v/>
      </c>
      <c r="DO902" t="str">
        <f>""</f>
        <v/>
      </c>
      <c r="DP902" t="str">
        <f>""</f>
        <v/>
      </c>
      <c r="DQ902" t="str">
        <f>""</f>
        <v/>
      </c>
      <c r="DR902" t="str">
        <f>""</f>
        <v/>
      </c>
      <c r="DS902" t="str">
        <f>""</f>
        <v/>
      </c>
      <c r="DT902" t="str">
        <f>""</f>
        <v/>
      </c>
      <c r="DU902" t="str">
        <f>""</f>
        <v/>
      </c>
    </row>
    <row r="903" spans="1:125" x14ac:dyDescent="0.25">
      <c r="A903" t="str">
        <f>$A$404</f>
        <v xml:space="preserve">    Ssangyong Motor Co</v>
      </c>
      <c r="B903" t="str">
        <f>$B$404</f>
        <v>003620 KS Equity</v>
      </c>
      <c r="C903" t="str">
        <f>$C$404</f>
        <v>RR937</v>
      </c>
      <c r="D903" t="str">
        <f>$D$404</f>
        <v>CRNCY_ADJ_CURR_EV</v>
      </c>
      <c r="E903" t="str">
        <f>$E$404</f>
        <v>Dynamic</v>
      </c>
      <c r="F903" t="str">
        <f ca="1">_xll.BDH($B$404,$C$404,$B$509,$B$510,CONCATENATE("Per=",$B$507),"Dts=H","Dir=H",CONCATENATE("Points=",$B$508),"Sort=R","Days=A","Fill=B",CONCATENATE("FX=", $B$506) )</f>
        <v>#N/A Connection</v>
      </c>
      <c r="BN903" t="str">
        <f>""</f>
        <v/>
      </c>
      <c r="BO903" t="str">
        <f>""</f>
        <v/>
      </c>
      <c r="BP903" t="str">
        <f>""</f>
        <v/>
      </c>
      <c r="BQ903" t="str">
        <f>""</f>
        <v/>
      </c>
      <c r="BR903" t="str">
        <f>""</f>
        <v/>
      </c>
      <c r="BS903" t="str">
        <f>""</f>
        <v/>
      </c>
      <c r="BT903" t="str">
        <f>""</f>
        <v/>
      </c>
      <c r="BU903" t="str">
        <f>""</f>
        <v/>
      </c>
      <c r="BV903" t="str">
        <f>""</f>
        <v/>
      </c>
      <c r="BW903" t="str">
        <f>""</f>
        <v/>
      </c>
      <c r="BX903" t="str">
        <f>""</f>
        <v/>
      </c>
      <c r="BY903" t="str">
        <f>""</f>
        <v/>
      </c>
      <c r="BZ903" t="str">
        <f>""</f>
        <v/>
      </c>
      <c r="CA903" t="str">
        <f>""</f>
        <v/>
      </c>
      <c r="CB903" t="str">
        <f>""</f>
        <v/>
      </c>
      <c r="CC903" t="str">
        <f>""</f>
        <v/>
      </c>
      <c r="CD903" t="str">
        <f>""</f>
        <v/>
      </c>
      <c r="CE903" t="str">
        <f>""</f>
        <v/>
      </c>
      <c r="CF903" t="str">
        <f>""</f>
        <v/>
      </c>
      <c r="CG903" t="str">
        <f>""</f>
        <v/>
      </c>
      <c r="CH903" t="str">
        <f>""</f>
        <v/>
      </c>
      <c r="CI903" t="str">
        <f>""</f>
        <v/>
      </c>
      <c r="CJ903" t="str">
        <f>""</f>
        <v/>
      </c>
      <c r="CK903" t="str">
        <f>""</f>
        <v/>
      </c>
      <c r="CL903" t="str">
        <f>""</f>
        <v/>
      </c>
      <c r="CM903" t="str">
        <f>""</f>
        <v/>
      </c>
      <c r="CN903" t="str">
        <f>""</f>
        <v/>
      </c>
      <c r="CO903" t="str">
        <f>""</f>
        <v/>
      </c>
      <c r="CP903" t="str">
        <f>""</f>
        <v/>
      </c>
      <c r="CQ903" t="str">
        <f>""</f>
        <v/>
      </c>
      <c r="CR903" t="str">
        <f>""</f>
        <v/>
      </c>
      <c r="CS903" t="str">
        <f>""</f>
        <v/>
      </c>
      <c r="CT903" t="str">
        <f>""</f>
        <v/>
      </c>
      <c r="CU903" t="str">
        <f>""</f>
        <v/>
      </c>
      <c r="CV903" t="str">
        <f>""</f>
        <v/>
      </c>
      <c r="CW903" t="str">
        <f>""</f>
        <v/>
      </c>
      <c r="CX903" t="str">
        <f>""</f>
        <v/>
      </c>
      <c r="CY903" t="str">
        <f>""</f>
        <v/>
      </c>
      <c r="CZ903" t="str">
        <f>""</f>
        <v/>
      </c>
      <c r="DA903" t="str">
        <f>""</f>
        <v/>
      </c>
      <c r="DB903" t="str">
        <f>""</f>
        <v/>
      </c>
      <c r="DC903" t="str">
        <f>""</f>
        <v/>
      </c>
      <c r="DD903" t="str">
        <f>""</f>
        <v/>
      </c>
      <c r="DE903" t="str">
        <f>""</f>
        <v/>
      </c>
      <c r="DF903" t="str">
        <f>""</f>
        <v/>
      </c>
      <c r="DG903" t="str">
        <f>""</f>
        <v/>
      </c>
      <c r="DH903" t="str">
        <f>""</f>
        <v/>
      </c>
      <c r="DI903" t="str">
        <f>""</f>
        <v/>
      </c>
      <c r="DJ903" t="str">
        <f>""</f>
        <v/>
      </c>
      <c r="DK903" t="str">
        <f>""</f>
        <v/>
      </c>
      <c r="DL903" t="str">
        <f>""</f>
        <v/>
      </c>
      <c r="DM903" t="str">
        <f>""</f>
        <v/>
      </c>
      <c r="DN903" t="str">
        <f>""</f>
        <v/>
      </c>
      <c r="DO903" t="str">
        <f>""</f>
        <v/>
      </c>
      <c r="DP903" t="str">
        <f>""</f>
        <v/>
      </c>
      <c r="DQ903" t="str">
        <f>""</f>
        <v/>
      </c>
      <c r="DR903" t="str">
        <f>""</f>
        <v/>
      </c>
      <c r="DS903" t="str">
        <f>""</f>
        <v/>
      </c>
      <c r="DT903" t="str">
        <f>""</f>
        <v/>
      </c>
      <c r="DU903" t="str">
        <f>""</f>
        <v/>
      </c>
    </row>
    <row r="904" spans="1:125" x14ac:dyDescent="0.25">
      <c r="A904" t="str">
        <f>$A$405</f>
        <v xml:space="preserve">    Subaru Corp</v>
      </c>
      <c r="B904" t="str">
        <f>$B$405</f>
        <v>7270 JP Equity</v>
      </c>
      <c r="C904" t="str">
        <f>$C$405</f>
        <v>RR937</v>
      </c>
      <c r="D904" t="str">
        <f>$D$405</f>
        <v>CRNCY_ADJ_CURR_EV</v>
      </c>
      <c r="E904" t="str">
        <f>$E$405</f>
        <v>Dynamic</v>
      </c>
      <c r="F904" t="str">
        <f ca="1">_xll.BDH($B$405,$C$405,$B$509,$B$510,CONCATENATE("Per=",$B$507),"Dts=H","Dir=H",CONCATENATE("Points=",$B$508),"Sort=R","Days=A","Fill=B",CONCATENATE("FX=", $B$506) )</f>
        <v>#N/A Connection</v>
      </c>
      <c r="BN904" t="str">
        <f>""</f>
        <v/>
      </c>
      <c r="BO904" t="str">
        <f>""</f>
        <v/>
      </c>
      <c r="BP904" t="str">
        <f>""</f>
        <v/>
      </c>
      <c r="BQ904" t="str">
        <f>""</f>
        <v/>
      </c>
      <c r="BR904" t="str">
        <f>""</f>
        <v/>
      </c>
      <c r="BS904" t="str">
        <f>""</f>
        <v/>
      </c>
      <c r="BT904" t="str">
        <f>""</f>
        <v/>
      </c>
      <c r="BU904" t="str">
        <f>""</f>
        <v/>
      </c>
      <c r="BV904" t="str">
        <f>""</f>
        <v/>
      </c>
      <c r="BW904" t="str">
        <f>""</f>
        <v/>
      </c>
      <c r="BX904" t="str">
        <f>""</f>
        <v/>
      </c>
      <c r="BY904" t="str">
        <f>""</f>
        <v/>
      </c>
      <c r="BZ904" t="str">
        <f>""</f>
        <v/>
      </c>
      <c r="CA904" t="str">
        <f>""</f>
        <v/>
      </c>
      <c r="CB904" t="str">
        <f>""</f>
        <v/>
      </c>
      <c r="CC904" t="str">
        <f>""</f>
        <v/>
      </c>
      <c r="CD904" t="str">
        <f>""</f>
        <v/>
      </c>
      <c r="CE904" t="str">
        <f>""</f>
        <v/>
      </c>
      <c r="CF904" t="str">
        <f>""</f>
        <v/>
      </c>
      <c r="CG904" t="str">
        <f>""</f>
        <v/>
      </c>
      <c r="CH904" t="str">
        <f>""</f>
        <v/>
      </c>
      <c r="CI904" t="str">
        <f>""</f>
        <v/>
      </c>
      <c r="CJ904" t="str">
        <f>""</f>
        <v/>
      </c>
      <c r="CK904" t="str">
        <f>""</f>
        <v/>
      </c>
      <c r="CL904" t="str">
        <f>""</f>
        <v/>
      </c>
      <c r="CM904" t="str">
        <f>""</f>
        <v/>
      </c>
      <c r="CN904" t="str">
        <f>""</f>
        <v/>
      </c>
      <c r="CO904" t="str">
        <f>""</f>
        <v/>
      </c>
      <c r="CP904" t="str">
        <f>""</f>
        <v/>
      </c>
      <c r="CQ904" t="str">
        <f>""</f>
        <v/>
      </c>
      <c r="CR904" t="str">
        <f>""</f>
        <v/>
      </c>
      <c r="CS904" t="str">
        <f>""</f>
        <v/>
      </c>
      <c r="CT904" t="str">
        <f>""</f>
        <v/>
      </c>
      <c r="CU904" t="str">
        <f>""</f>
        <v/>
      </c>
      <c r="CV904" t="str">
        <f>""</f>
        <v/>
      </c>
      <c r="CW904" t="str">
        <f>""</f>
        <v/>
      </c>
      <c r="CX904" t="str">
        <f>""</f>
        <v/>
      </c>
      <c r="CY904" t="str">
        <f>""</f>
        <v/>
      </c>
      <c r="CZ904" t="str">
        <f>""</f>
        <v/>
      </c>
      <c r="DA904" t="str">
        <f>""</f>
        <v/>
      </c>
      <c r="DB904" t="str">
        <f>""</f>
        <v/>
      </c>
      <c r="DC904" t="str">
        <f>""</f>
        <v/>
      </c>
      <c r="DD904" t="str">
        <f>""</f>
        <v/>
      </c>
      <c r="DE904" t="str">
        <f>""</f>
        <v/>
      </c>
      <c r="DF904" t="str">
        <f>""</f>
        <v/>
      </c>
      <c r="DG904" t="str">
        <f>""</f>
        <v/>
      </c>
      <c r="DH904" t="str">
        <f>""</f>
        <v/>
      </c>
      <c r="DI904" t="str">
        <f>""</f>
        <v/>
      </c>
      <c r="DJ904" t="str">
        <f>""</f>
        <v/>
      </c>
      <c r="DK904" t="str">
        <f>""</f>
        <v/>
      </c>
      <c r="DL904" t="str">
        <f>""</f>
        <v/>
      </c>
      <c r="DM904" t="str">
        <f>""</f>
        <v/>
      </c>
      <c r="DN904" t="str">
        <f>""</f>
        <v/>
      </c>
      <c r="DO904" t="str">
        <f>""</f>
        <v/>
      </c>
      <c r="DP904" t="str">
        <f>""</f>
        <v/>
      </c>
      <c r="DQ904" t="str">
        <f>""</f>
        <v/>
      </c>
      <c r="DR904" t="str">
        <f>""</f>
        <v/>
      </c>
      <c r="DS904" t="str">
        <f>""</f>
        <v/>
      </c>
      <c r="DT904" t="str">
        <f>""</f>
        <v/>
      </c>
      <c r="DU904" t="str">
        <f>""</f>
        <v/>
      </c>
    </row>
    <row r="905" spans="1:125" x14ac:dyDescent="0.25">
      <c r="A905" t="str">
        <f>$A$406</f>
        <v xml:space="preserve">    Suzuki Motor Corp</v>
      </c>
      <c r="B905" t="str">
        <f>$B$406</f>
        <v>7269 JP Equity</v>
      </c>
      <c r="C905" t="str">
        <f>$C$406</f>
        <v>RR937</v>
      </c>
      <c r="D905" t="str">
        <f>$D$406</f>
        <v>CRNCY_ADJ_CURR_EV</v>
      </c>
      <c r="E905" t="str">
        <f>$E$406</f>
        <v>Dynamic</v>
      </c>
      <c r="F905" t="str">
        <f ca="1">_xll.BDH($B$406,$C$406,$B$509,$B$510,CONCATENATE("Per=",$B$507),"Dts=H","Dir=H",CONCATENATE("Points=",$B$508),"Sort=R","Days=A","Fill=B",CONCATENATE("FX=", $B$506) )</f>
        <v>#N/A Connection</v>
      </c>
      <c r="BN905" t="str">
        <f>""</f>
        <v/>
      </c>
      <c r="BO905" t="str">
        <f>""</f>
        <v/>
      </c>
      <c r="BP905" t="str">
        <f>""</f>
        <v/>
      </c>
      <c r="BQ905" t="str">
        <f>""</f>
        <v/>
      </c>
      <c r="BR905" t="str">
        <f>""</f>
        <v/>
      </c>
      <c r="BS905" t="str">
        <f>""</f>
        <v/>
      </c>
      <c r="BT905" t="str">
        <f>""</f>
        <v/>
      </c>
      <c r="BU905" t="str">
        <f>""</f>
        <v/>
      </c>
      <c r="BV905" t="str">
        <f>""</f>
        <v/>
      </c>
      <c r="BW905" t="str">
        <f>""</f>
        <v/>
      </c>
      <c r="BX905" t="str">
        <f>""</f>
        <v/>
      </c>
      <c r="BY905" t="str">
        <f>""</f>
        <v/>
      </c>
      <c r="BZ905" t="str">
        <f>""</f>
        <v/>
      </c>
      <c r="CA905" t="str">
        <f>""</f>
        <v/>
      </c>
      <c r="CB905" t="str">
        <f>""</f>
        <v/>
      </c>
      <c r="CC905" t="str">
        <f>""</f>
        <v/>
      </c>
      <c r="CD905" t="str">
        <f>""</f>
        <v/>
      </c>
      <c r="CE905" t="str">
        <f>""</f>
        <v/>
      </c>
      <c r="CF905" t="str">
        <f>""</f>
        <v/>
      </c>
      <c r="CG905" t="str">
        <f>""</f>
        <v/>
      </c>
      <c r="CH905" t="str">
        <f>""</f>
        <v/>
      </c>
      <c r="CI905" t="str">
        <f>""</f>
        <v/>
      </c>
      <c r="CJ905" t="str">
        <f>""</f>
        <v/>
      </c>
      <c r="CK905" t="str">
        <f>""</f>
        <v/>
      </c>
      <c r="CL905" t="str">
        <f>""</f>
        <v/>
      </c>
      <c r="CM905" t="str">
        <f>""</f>
        <v/>
      </c>
      <c r="CN905" t="str">
        <f>""</f>
        <v/>
      </c>
      <c r="CO905" t="str">
        <f>""</f>
        <v/>
      </c>
      <c r="CP905" t="str">
        <f>""</f>
        <v/>
      </c>
      <c r="CQ905" t="str">
        <f>""</f>
        <v/>
      </c>
      <c r="CR905" t="str">
        <f>""</f>
        <v/>
      </c>
      <c r="CS905" t="str">
        <f>""</f>
        <v/>
      </c>
      <c r="CT905" t="str">
        <f>""</f>
        <v/>
      </c>
      <c r="CU905" t="str">
        <f>""</f>
        <v/>
      </c>
      <c r="CV905" t="str">
        <f>""</f>
        <v/>
      </c>
      <c r="CW905" t="str">
        <f>""</f>
        <v/>
      </c>
      <c r="CX905" t="str">
        <f>""</f>
        <v/>
      </c>
      <c r="CY905" t="str">
        <f>""</f>
        <v/>
      </c>
      <c r="CZ905" t="str">
        <f>""</f>
        <v/>
      </c>
      <c r="DA905" t="str">
        <f>""</f>
        <v/>
      </c>
      <c r="DB905" t="str">
        <f>""</f>
        <v/>
      </c>
      <c r="DC905" t="str">
        <f>""</f>
        <v/>
      </c>
      <c r="DD905" t="str">
        <f>""</f>
        <v/>
      </c>
      <c r="DE905" t="str">
        <f>""</f>
        <v/>
      </c>
      <c r="DF905" t="str">
        <f>""</f>
        <v/>
      </c>
      <c r="DG905" t="str">
        <f>""</f>
        <v/>
      </c>
      <c r="DH905" t="str">
        <f>""</f>
        <v/>
      </c>
      <c r="DI905" t="str">
        <f>""</f>
        <v/>
      </c>
      <c r="DJ905" t="str">
        <f>""</f>
        <v/>
      </c>
      <c r="DK905" t="str">
        <f>""</f>
        <v/>
      </c>
      <c r="DL905" t="str">
        <f>""</f>
        <v/>
      </c>
      <c r="DM905" t="str">
        <f>""</f>
        <v/>
      </c>
      <c r="DN905" t="str">
        <f>""</f>
        <v/>
      </c>
      <c r="DO905" t="str">
        <f>""</f>
        <v/>
      </c>
      <c r="DP905" t="str">
        <f>""</f>
        <v/>
      </c>
      <c r="DQ905" t="str">
        <f>""</f>
        <v/>
      </c>
      <c r="DR905" t="str">
        <f>""</f>
        <v/>
      </c>
      <c r="DS905" t="str">
        <f>""</f>
        <v/>
      </c>
      <c r="DT905" t="str">
        <f>""</f>
        <v/>
      </c>
      <c r="DU905" t="str">
        <f>""</f>
        <v/>
      </c>
    </row>
    <row r="906" spans="1:125" x14ac:dyDescent="0.25">
      <c r="A906" t="str">
        <f>$A$407</f>
        <v xml:space="preserve">    Tata Motors Ltd</v>
      </c>
      <c r="B906" t="str">
        <f>$B$407</f>
        <v>TTMT IN Equity</v>
      </c>
      <c r="C906" t="str">
        <f>$C$407</f>
        <v>RR937</v>
      </c>
      <c r="D906" t="str">
        <f>$D$407</f>
        <v>CRNCY_ADJ_CURR_EV</v>
      </c>
      <c r="E906" t="str">
        <f>$E$407</f>
        <v>Dynamic</v>
      </c>
      <c r="F906" t="str">
        <f ca="1">_xll.BDH($B$407,$C$407,$B$509,$B$510,CONCATENATE("Per=",$B$507),"Dts=H","Dir=H",CONCATENATE("Points=",$B$508),"Sort=R","Days=A","Fill=B",CONCATENATE("FX=", $B$506) )</f>
        <v>#N/A Connection</v>
      </c>
      <c r="BN906" t="str">
        <f>""</f>
        <v/>
      </c>
      <c r="BO906" t="str">
        <f>""</f>
        <v/>
      </c>
      <c r="BP906" t="str">
        <f>""</f>
        <v/>
      </c>
      <c r="BQ906" t="str">
        <f>""</f>
        <v/>
      </c>
      <c r="BR906" t="str">
        <f>""</f>
        <v/>
      </c>
      <c r="BS906" t="str">
        <f>""</f>
        <v/>
      </c>
      <c r="BT906" t="str">
        <f>""</f>
        <v/>
      </c>
      <c r="BU906" t="str">
        <f>""</f>
        <v/>
      </c>
      <c r="BV906" t="str">
        <f>""</f>
        <v/>
      </c>
      <c r="BW906" t="str">
        <f>""</f>
        <v/>
      </c>
      <c r="BX906" t="str">
        <f>""</f>
        <v/>
      </c>
      <c r="BY906" t="str">
        <f>""</f>
        <v/>
      </c>
      <c r="BZ906" t="str">
        <f>""</f>
        <v/>
      </c>
      <c r="CA906" t="str">
        <f>""</f>
        <v/>
      </c>
      <c r="CB906" t="str">
        <f>""</f>
        <v/>
      </c>
      <c r="CC906" t="str">
        <f>""</f>
        <v/>
      </c>
      <c r="CD906" t="str">
        <f>""</f>
        <v/>
      </c>
      <c r="CE906" t="str">
        <f>""</f>
        <v/>
      </c>
      <c r="CF906" t="str">
        <f>""</f>
        <v/>
      </c>
      <c r="CG906" t="str">
        <f>""</f>
        <v/>
      </c>
      <c r="CH906" t="str">
        <f>""</f>
        <v/>
      </c>
      <c r="CI906" t="str">
        <f>""</f>
        <v/>
      </c>
      <c r="CJ906" t="str">
        <f>""</f>
        <v/>
      </c>
      <c r="CK906" t="str">
        <f>""</f>
        <v/>
      </c>
      <c r="CL906" t="str">
        <f>""</f>
        <v/>
      </c>
      <c r="CM906" t="str">
        <f>""</f>
        <v/>
      </c>
      <c r="CN906" t="str">
        <f>""</f>
        <v/>
      </c>
      <c r="CO906" t="str">
        <f>""</f>
        <v/>
      </c>
      <c r="CP906" t="str">
        <f>""</f>
        <v/>
      </c>
      <c r="CQ906" t="str">
        <f>""</f>
        <v/>
      </c>
      <c r="CR906" t="str">
        <f>""</f>
        <v/>
      </c>
      <c r="CS906" t="str">
        <f>""</f>
        <v/>
      </c>
      <c r="CT906" t="str">
        <f>""</f>
        <v/>
      </c>
      <c r="CU906" t="str">
        <f>""</f>
        <v/>
      </c>
      <c r="CV906" t="str">
        <f>""</f>
        <v/>
      </c>
      <c r="CW906" t="str">
        <f>""</f>
        <v/>
      </c>
      <c r="CX906" t="str">
        <f>""</f>
        <v/>
      </c>
      <c r="CY906" t="str">
        <f>""</f>
        <v/>
      </c>
      <c r="CZ906" t="str">
        <f>""</f>
        <v/>
      </c>
      <c r="DA906" t="str">
        <f>""</f>
        <v/>
      </c>
      <c r="DB906" t="str">
        <f>""</f>
        <v/>
      </c>
      <c r="DC906" t="str">
        <f>""</f>
        <v/>
      </c>
      <c r="DD906" t="str">
        <f>""</f>
        <v/>
      </c>
      <c r="DE906" t="str">
        <f>""</f>
        <v/>
      </c>
      <c r="DF906" t="str">
        <f>""</f>
        <v/>
      </c>
      <c r="DG906" t="str">
        <f>""</f>
        <v/>
      </c>
      <c r="DH906" t="str">
        <f>""</f>
        <v/>
      </c>
      <c r="DI906" t="str">
        <f>""</f>
        <v/>
      </c>
      <c r="DJ906" t="str">
        <f>""</f>
        <v/>
      </c>
      <c r="DK906" t="str">
        <f>""</f>
        <v/>
      </c>
      <c r="DL906" t="str">
        <f>""</f>
        <v/>
      </c>
      <c r="DM906" t="str">
        <f>""</f>
        <v/>
      </c>
      <c r="DN906" t="str">
        <f>""</f>
        <v/>
      </c>
      <c r="DO906" t="str">
        <f>""</f>
        <v/>
      </c>
      <c r="DP906" t="str">
        <f>""</f>
        <v/>
      </c>
      <c r="DQ906" t="str">
        <f>""</f>
        <v/>
      </c>
      <c r="DR906" t="str">
        <f>""</f>
        <v/>
      </c>
      <c r="DS906" t="str">
        <f>""</f>
        <v/>
      </c>
      <c r="DT906" t="str">
        <f>""</f>
        <v/>
      </c>
      <c r="DU906" t="str">
        <f>""</f>
        <v/>
      </c>
    </row>
    <row r="907" spans="1:125" x14ac:dyDescent="0.25">
      <c r="A907" t="str">
        <f>$A$408</f>
        <v xml:space="preserve">    Tesla Inc</v>
      </c>
      <c r="B907" t="str">
        <f>$B$408</f>
        <v>TSLA US Equity</v>
      </c>
      <c r="C907" t="str">
        <f>$C$408</f>
        <v>RR937</v>
      </c>
      <c r="D907" t="str">
        <f>$D$408</f>
        <v>CRNCY_ADJ_CURR_EV</v>
      </c>
      <c r="E907" t="str">
        <f>$E$408</f>
        <v>Dynamic</v>
      </c>
      <c r="F907" t="str">
        <f ca="1">_xll.BDH($B$408,$C$408,$B$509,$B$510,CONCATENATE("Per=",$B$507),"Dts=H","Dir=H",CONCATENATE("Points=",$B$508),"Sort=R","Days=A","Fill=B",CONCATENATE("FX=", $B$506) )</f>
        <v>#N/A Connection</v>
      </c>
      <c r="BN907" t="str">
        <f>""</f>
        <v/>
      </c>
      <c r="BO907" t="str">
        <f>""</f>
        <v/>
      </c>
      <c r="BP907" t="str">
        <f>""</f>
        <v/>
      </c>
      <c r="BQ907" t="str">
        <f>""</f>
        <v/>
      </c>
      <c r="BR907" t="str">
        <f>""</f>
        <v/>
      </c>
      <c r="BS907" t="str">
        <f>""</f>
        <v/>
      </c>
      <c r="BT907" t="str">
        <f>""</f>
        <v/>
      </c>
      <c r="BU907" t="str">
        <f>""</f>
        <v/>
      </c>
      <c r="BV907" t="str">
        <f>""</f>
        <v/>
      </c>
      <c r="BW907" t="str">
        <f>""</f>
        <v/>
      </c>
      <c r="BX907" t="str">
        <f>""</f>
        <v/>
      </c>
      <c r="BY907" t="str">
        <f>""</f>
        <v/>
      </c>
      <c r="BZ907" t="str">
        <f>""</f>
        <v/>
      </c>
      <c r="CA907" t="str">
        <f>""</f>
        <v/>
      </c>
      <c r="CB907" t="str">
        <f>""</f>
        <v/>
      </c>
      <c r="CC907" t="str">
        <f>""</f>
        <v/>
      </c>
      <c r="CD907" t="str">
        <f>""</f>
        <v/>
      </c>
      <c r="CE907" t="str">
        <f>""</f>
        <v/>
      </c>
      <c r="CF907" t="str">
        <f>""</f>
        <v/>
      </c>
      <c r="CG907" t="str">
        <f>""</f>
        <v/>
      </c>
      <c r="CH907" t="str">
        <f>""</f>
        <v/>
      </c>
      <c r="CI907" t="str">
        <f>""</f>
        <v/>
      </c>
      <c r="CJ907" t="str">
        <f>""</f>
        <v/>
      </c>
      <c r="CK907" t="str">
        <f>""</f>
        <v/>
      </c>
      <c r="CL907" t="str">
        <f>""</f>
        <v/>
      </c>
      <c r="CM907" t="str">
        <f>""</f>
        <v/>
      </c>
      <c r="CN907" t="str">
        <f>""</f>
        <v/>
      </c>
      <c r="CO907" t="str">
        <f>""</f>
        <v/>
      </c>
      <c r="CP907" t="str">
        <f>""</f>
        <v/>
      </c>
      <c r="CQ907" t="str">
        <f>""</f>
        <v/>
      </c>
      <c r="CR907" t="str">
        <f>""</f>
        <v/>
      </c>
      <c r="CS907" t="str">
        <f>""</f>
        <v/>
      </c>
      <c r="CT907" t="str">
        <f>""</f>
        <v/>
      </c>
      <c r="CU907" t="str">
        <f>""</f>
        <v/>
      </c>
      <c r="CV907" t="str">
        <f>""</f>
        <v/>
      </c>
      <c r="CW907" t="str">
        <f>""</f>
        <v/>
      </c>
      <c r="CX907" t="str">
        <f>""</f>
        <v/>
      </c>
      <c r="CY907" t="str">
        <f>""</f>
        <v/>
      </c>
      <c r="CZ907" t="str">
        <f>""</f>
        <v/>
      </c>
      <c r="DA907" t="str">
        <f>""</f>
        <v/>
      </c>
      <c r="DB907" t="str">
        <f>""</f>
        <v/>
      </c>
      <c r="DC907" t="str">
        <f>""</f>
        <v/>
      </c>
      <c r="DD907" t="str">
        <f>""</f>
        <v/>
      </c>
      <c r="DE907" t="str">
        <f>""</f>
        <v/>
      </c>
      <c r="DF907" t="str">
        <f>""</f>
        <v/>
      </c>
      <c r="DG907" t="str">
        <f>""</f>
        <v/>
      </c>
      <c r="DH907" t="str">
        <f>""</f>
        <v/>
      </c>
      <c r="DI907" t="str">
        <f>""</f>
        <v/>
      </c>
      <c r="DJ907" t="str">
        <f>""</f>
        <v/>
      </c>
      <c r="DK907" t="str">
        <f>""</f>
        <v/>
      </c>
      <c r="DL907" t="str">
        <f>""</f>
        <v/>
      </c>
      <c r="DM907" t="str">
        <f>""</f>
        <v/>
      </c>
      <c r="DN907" t="str">
        <f>""</f>
        <v/>
      </c>
      <c r="DO907" t="str">
        <f>""</f>
        <v/>
      </c>
      <c r="DP907" t="str">
        <f>""</f>
        <v/>
      </c>
      <c r="DQ907" t="str">
        <f>""</f>
        <v/>
      </c>
      <c r="DR907" t="str">
        <f>""</f>
        <v/>
      </c>
      <c r="DS907" t="str">
        <f>""</f>
        <v/>
      </c>
      <c r="DT907" t="str">
        <f>""</f>
        <v/>
      </c>
      <c r="DU907" t="str">
        <f>""</f>
        <v/>
      </c>
    </row>
    <row r="908" spans="1:125" x14ac:dyDescent="0.25">
      <c r="A908" t="str">
        <f>$A$409</f>
        <v xml:space="preserve">    Tianjin Faw Xiali Automobile Co Ltd</v>
      </c>
      <c r="B908" t="str">
        <f>$B$409</f>
        <v>000927 CH Equity</v>
      </c>
      <c r="C908" t="str">
        <f>$C$409</f>
        <v>RR937</v>
      </c>
      <c r="D908" t="str">
        <f>$D$409</f>
        <v>CRNCY_ADJ_CURR_EV</v>
      </c>
      <c r="E908" t="str">
        <f>$E$409</f>
        <v>Dynamic</v>
      </c>
      <c r="F908" t="str">
        <f ca="1">_xll.BDH($B$409,$C$409,$B$509,$B$510,CONCATENATE("Per=",$B$507),"Dts=H","Dir=H",CONCATENATE("Points=",$B$508),"Sort=R","Days=A","Fill=B",CONCATENATE("FX=", $B$506) )</f>
        <v>#N/A Connection</v>
      </c>
      <c r="BN908" t="str">
        <f>""</f>
        <v/>
      </c>
      <c r="BO908" t="str">
        <f>""</f>
        <v/>
      </c>
      <c r="BP908" t="str">
        <f>""</f>
        <v/>
      </c>
      <c r="BQ908" t="str">
        <f>""</f>
        <v/>
      </c>
      <c r="BR908" t="str">
        <f>""</f>
        <v/>
      </c>
      <c r="BS908" t="str">
        <f>""</f>
        <v/>
      </c>
      <c r="BT908" t="str">
        <f>""</f>
        <v/>
      </c>
      <c r="BU908" t="str">
        <f>""</f>
        <v/>
      </c>
      <c r="BV908" t="str">
        <f>""</f>
        <v/>
      </c>
      <c r="BW908" t="str">
        <f>""</f>
        <v/>
      </c>
      <c r="BX908" t="str">
        <f>""</f>
        <v/>
      </c>
      <c r="BY908" t="str">
        <f>""</f>
        <v/>
      </c>
      <c r="BZ908" t="str">
        <f>""</f>
        <v/>
      </c>
      <c r="CA908" t="str">
        <f>""</f>
        <v/>
      </c>
      <c r="CB908" t="str">
        <f>""</f>
        <v/>
      </c>
      <c r="CC908" t="str">
        <f>""</f>
        <v/>
      </c>
      <c r="CD908" t="str">
        <f>""</f>
        <v/>
      </c>
      <c r="CE908" t="str">
        <f>""</f>
        <v/>
      </c>
      <c r="CF908" t="str">
        <f>""</f>
        <v/>
      </c>
      <c r="CG908" t="str">
        <f>""</f>
        <v/>
      </c>
      <c r="CH908" t="str">
        <f>""</f>
        <v/>
      </c>
      <c r="CI908" t="str">
        <f>""</f>
        <v/>
      </c>
      <c r="CJ908" t="str">
        <f>""</f>
        <v/>
      </c>
      <c r="CK908" t="str">
        <f>""</f>
        <v/>
      </c>
      <c r="CL908" t="str">
        <f>""</f>
        <v/>
      </c>
      <c r="CM908" t="str">
        <f>""</f>
        <v/>
      </c>
      <c r="CN908" t="str">
        <f>""</f>
        <v/>
      </c>
      <c r="CO908" t="str">
        <f>""</f>
        <v/>
      </c>
      <c r="CP908" t="str">
        <f>""</f>
        <v/>
      </c>
      <c r="CQ908" t="str">
        <f>""</f>
        <v/>
      </c>
      <c r="CR908" t="str">
        <f>""</f>
        <v/>
      </c>
      <c r="CS908" t="str">
        <f>""</f>
        <v/>
      </c>
      <c r="CT908" t="str">
        <f>""</f>
        <v/>
      </c>
      <c r="CU908" t="str">
        <f>""</f>
        <v/>
      </c>
      <c r="CV908" t="str">
        <f>""</f>
        <v/>
      </c>
      <c r="CW908" t="str">
        <f>""</f>
        <v/>
      </c>
      <c r="CX908" t="str">
        <f>""</f>
        <v/>
      </c>
      <c r="CY908" t="str">
        <f>""</f>
        <v/>
      </c>
      <c r="CZ908" t="str">
        <f>""</f>
        <v/>
      </c>
      <c r="DA908" t="str">
        <f>""</f>
        <v/>
      </c>
      <c r="DB908" t="str">
        <f>""</f>
        <v/>
      </c>
      <c r="DC908" t="str">
        <f>""</f>
        <v/>
      </c>
      <c r="DD908" t="str">
        <f>""</f>
        <v/>
      </c>
      <c r="DE908" t="str">
        <f>""</f>
        <v/>
      </c>
      <c r="DF908" t="str">
        <f>""</f>
        <v/>
      </c>
      <c r="DG908" t="str">
        <f>""</f>
        <v/>
      </c>
      <c r="DH908" t="str">
        <f>""</f>
        <v/>
      </c>
      <c r="DI908" t="str">
        <f>""</f>
        <v/>
      </c>
      <c r="DJ908" t="str">
        <f>""</f>
        <v/>
      </c>
      <c r="DK908" t="str">
        <f>""</f>
        <v/>
      </c>
      <c r="DL908" t="str">
        <f>""</f>
        <v/>
      </c>
      <c r="DM908" t="str">
        <f>""</f>
        <v/>
      </c>
      <c r="DN908" t="str">
        <f>""</f>
        <v/>
      </c>
      <c r="DO908" t="str">
        <f>""</f>
        <v/>
      </c>
      <c r="DP908" t="str">
        <f>""</f>
        <v/>
      </c>
      <c r="DQ908" t="str">
        <f>""</f>
        <v/>
      </c>
      <c r="DR908" t="str">
        <f>""</f>
        <v/>
      </c>
      <c r="DS908" t="str">
        <f>""</f>
        <v/>
      </c>
      <c r="DT908" t="str">
        <f>""</f>
        <v/>
      </c>
      <c r="DU908" t="str">
        <f>""</f>
        <v/>
      </c>
    </row>
    <row r="909" spans="1:125" x14ac:dyDescent="0.25">
      <c r="A909" t="str">
        <f>$A$410</f>
        <v xml:space="preserve">    Tofas Turk Otomobil Fabrikasi AS</v>
      </c>
      <c r="B909" t="str">
        <f>$B$410</f>
        <v>TOASOTRY EO Equity</v>
      </c>
      <c r="C909" t="str">
        <f>$C$410</f>
        <v>RR937</v>
      </c>
      <c r="D909" t="str">
        <f>$D$410</f>
        <v>CRNCY_ADJ_CURR_EV</v>
      </c>
      <c r="E909" t="str">
        <f>$E$410</f>
        <v>Dynamic</v>
      </c>
      <c r="F909" t="str">
        <f ca="1">_xll.BDH($B$410,$C$410,$B$509,$B$510,CONCATENATE("Per=",$B$507),"Dts=H","Dir=H",CONCATENATE("Points=",$B$508),"Sort=R","Days=A","Fill=B",CONCATENATE("FX=", $B$506) )</f>
        <v>#N/A Connection</v>
      </c>
      <c r="BN909" t="str">
        <f>""</f>
        <v/>
      </c>
      <c r="BO909" t="str">
        <f>""</f>
        <v/>
      </c>
      <c r="BP909" t="str">
        <f>""</f>
        <v/>
      </c>
      <c r="BQ909" t="str">
        <f>""</f>
        <v/>
      </c>
      <c r="BR909" t="str">
        <f>""</f>
        <v/>
      </c>
      <c r="BS909" t="str">
        <f>""</f>
        <v/>
      </c>
      <c r="BT909" t="str">
        <f>""</f>
        <v/>
      </c>
      <c r="BU909" t="str">
        <f>""</f>
        <v/>
      </c>
      <c r="BV909" t="str">
        <f>""</f>
        <v/>
      </c>
      <c r="BW909" t="str">
        <f>""</f>
        <v/>
      </c>
      <c r="BX909" t="str">
        <f>""</f>
        <v/>
      </c>
      <c r="BY909" t="str">
        <f>""</f>
        <v/>
      </c>
      <c r="BZ909" t="str">
        <f>""</f>
        <v/>
      </c>
      <c r="CA909" t="str">
        <f>""</f>
        <v/>
      </c>
      <c r="CB909" t="str">
        <f>""</f>
        <v/>
      </c>
      <c r="CC909" t="str">
        <f>""</f>
        <v/>
      </c>
      <c r="CD909" t="str">
        <f>""</f>
        <v/>
      </c>
      <c r="CE909" t="str">
        <f>""</f>
        <v/>
      </c>
      <c r="CF909" t="str">
        <f>""</f>
        <v/>
      </c>
      <c r="CG909" t="str">
        <f>""</f>
        <v/>
      </c>
      <c r="CH909" t="str">
        <f>""</f>
        <v/>
      </c>
      <c r="CI909" t="str">
        <f>""</f>
        <v/>
      </c>
      <c r="CJ909" t="str">
        <f>""</f>
        <v/>
      </c>
      <c r="CK909" t="str">
        <f>""</f>
        <v/>
      </c>
      <c r="CL909" t="str">
        <f>""</f>
        <v/>
      </c>
      <c r="CM909" t="str">
        <f>""</f>
        <v/>
      </c>
      <c r="CN909" t="str">
        <f>""</f>
        <v/>
      </c>
      <c r="CO909" t="str">
        <f>""</f>
        <v/>
      </c>
      <c r="CP909" t="str">
        <f>""</f>
        <v/>
      </c>
      <c r="CQ909" t="str">
        <f>""</f>
        <v/>
      </c>
      <c r="CR909" t="str">
        <f>""</f>
        <v/>
      </c>
      <c r="CS909" t="str">
        <f>""</f>
        <v/>
      </c>
      <c r="CT909" t="str">
        <f>""</f>
        <v/>
      </c>
      <c r="CU909" t="str">
        <f>""</f>
        <v/>
      </c>
      <c r="CV909" t="str">
        <f>""</f>
        <v/>
      </c>
      <c r="CW909" t="str">
        <f>""</f>
        <v/>
      </c>
      <c r="CX909" t="str">
        <f>""</f>
        <v/>
      </c>
      <c r="CY909" t="str">
        <f>""</f>
        <v/>
      </c>
      <c r="CZ909" t="str">
        <f>""</f>
        <v/>
      </c>
      <c r="DA909" t="str">
        <f>""</f>
        <v/>
      </c>
      <c r="DB909" t="str">
        <f>""</f>
        <v/>
      </c>
      <c r="DC909" t="str">
        <f>""</f>
        <v/>
      </c>
      <c r="DD909" t="str">
        <f>""</f>
        <v/>
      </c>
      <c r="DE909" t="str">
        <f>""</f>
        <v/>
      </c>
      <c r="DF909" t="str">
        <f>""</f>
        <v/>
      </c>
      <c r="DG909" t="str">
        <f>""</f>
        <v/>
      </c>
      <c r="DH909" t="str">
        <f>""</f>
        <v/>
      </c>
      <c r="DI909" t="str">
        <f>""</f>
        <v/>
      </c>
      <c r="DJ909" t="str">
        <f>""</f>
        <v/>
      </c>
      <c r="DK909" t="str">
        <f>""</f>
        <v/>
      </c>
      <c r="DL909" t="str">
        <f>""</f>
        <v/>
      </c>
      <c r="DM909" t="str">
        <f>""</f>
        <v/>
      </c>
      <c r="DN909" t="str">
        <f>""</f>
        <v/>
      </c>
      <c r="DO909" t="str">
        <f>""</f>
        <v/>
      </c>
      <c r="DP909" t="str">
        <f>""</f>
        <v/>
      </c>
      <c r="DQ909" t="str">
        <f>""</f>
        <v/>
      </c>
      <c r="DR909" t="str">
        <f>""</f>
        <v/>
      </c>
      <c r="DS909" t="str">
        <f>""</f>
        <v/>
      </c>
      <c r="DT909" t="str">
        <f>""</f>
        <v/>
      </c>
      <c r="DU909" t="str">
        <f>""</f>
        <v/>
      </c>
    </row>
    <row r="910" spans="1:125" x14ac:dyDescent="0.25">
      <c r="A910" t="str">
        <f>$A$411</f>
        <v xml:space="preserve">    Toyota Motor Corp</v>
      </c>
      <c r="B910" t="str">
        <f>$B$411</f>
        <v>7203 JP Equity</v>
      </c>
      <c r="C910" t="str">
        <f>$C$411</f>
        <v>RR937</v>
      </c>
      <c r="D910" t="str">
        <f>$D$411</f>
        <v>CRNCY_ADJ_CURR_EV</v>
      </c>
      <c r="E910" t="str">
        <f>$E$411</f>
        <v>Dynamic</v>
      </c>
      <c r="F910" t="str">
        <f ca="1">_xll.BDH($B$411,$C$411,$B$509,$B$510,CONCATENATE("Per=",$B$507),"Dts=H","Dir=H",CONCATENATE("Points=",$B$508),"Sort=R","Days=A","Fill=B",CONCATENATE("FX=", $B$506) )</f>
        <v>#N/A Connection</v>
      </c>
      <c r="BN910" t="str">
        <f>""</f>
        <v/>
      </c>
      <c r="BO910" t="str">
        <f>""</f>
        <v/>
      </c>
      <c r="BP910" t="str">
        <f>""</f>
        <v/>
      </c>
      <c r="BQ910" t="str">
        <f>""</f>
        <v/>
      </c>
      <c r="BR910" t="str">
        <f>""</f>
        <v/>
      </c>
      <c r="BS910" t="str">
        <f>""</f>
        <v/>
      </c>
      <c r="BT910" t="str">
        <f>""</f>
        <v/>
      </c>
      <c r="BU910" t="str">
        <f>""</f>
        <v/>
      </c>
      <c r="BV910" t="str">
        <f>""</f>
        <v/>
      </c>
      <c r="BW910" t="str">
        <f>""</f>
        <v/>
      </c>
      <c r="BX910" t="str">
        <f>""</f>
        <v/>
      </c>
      <c r="BY910" t="str">
        <f>""</f>
        <v/>
      </c>
      <c r="BZ910" t="str">
        <f>""</f>
        <v/>
      </c>
      <c r="CA910" t="str">
        <f>""</f>
        <v/>
      </c>
      <c r="CB910" t="str">
        <f>""</f>
        <v/>
      </c>
      <c r="CC910" t="str">
        <f>""</f>
        <v/>
      </c>
      <c r="CD910" t="str">
        <f>""</f>
        <v/>
      </c>
      <c r="CE910" t="str">
        <f>""</f>
        <v/>
      </c>
      <c r="CF910" t="str">
        <f>""</f>
        <v/>
      </c>
      <c r="CG910" t="str">
        <f>""</f>
        <v/>
      </c>
      <c r="CH910" t="str">
        <f>""</f>
        <v/>
      </c>
      <c r="CI910" t="str">
        <f>""</f>
        <v/>
      </c>
      <c r="CJ910" t="str">
        <f>""</f>
        <v/>
      </c>
      <c r="CK910" t="str">
        <f>""</f>
        <v/>
      </c>
      <c r="CL910" t="str">
        <f>""</f>
        <v/>
      </c>
      <c r="CM910" t="str">
        <f>""</f>
        <v/>
      </c>
      <c r="CN910" t="str">
        <f>""</f>
        <v/>
      </c>
      <c r="CO910" t="str">
        <f>""</f>
        <v/>
      </c>
      <c r="CP910" t="str">
        <f>""</f>
        <v/>
      </c>
      <c r="CQ910" t="str">
        <f>""</f>
        <v/>
      </c>
      <c r="CR910" t="str">
        <f>""</f>
        <v/>
      </c>
      <c r="CS910" t="str">
        <f>""</f>
        <v/>
      </c>
      <c r="CT910" t="str">
        <f>""</f>
        <v/>
      </c>
      <c r="CU910" t="str">
        <f>""</f>
        <v/>
      </c>
      <c r="CV910" t="str">
        <f>""</f>
        <v/>
      </c>
      <c r="CW910" t="str">
        <f>""</f>
        <v/>
      </c>
      <c r="CX910" t="str">
        <f>""</f>
        <v/>
      </c>
      <c r="CY910" t="str">
        <f>""</f>
        <v/>
      </c>
      <c r="CZ910" t="str">
        <f>""</f>
        <v/>
      </c>
      <c r="DA910" t="str">
        <f>""</f>
        <v/>
      </c>
      <c r="DB910" t="str">
        <f>""</f>
        <v/>
      </c>
      <c r="DC910" t="str">
        <f>""</f>
        <v/>
      </c>
      <c r="DD910" t="str">
        <f>""</f>
        <v/>
      </c>
      <c r="DE910" t="str">
        <f>""</f>
        <v/>
      </c>
      <c r="DF910" t="str">
        <f>""</f>
        <v/>
      </c>
      <c r="DG910" t="str">
        <f>""</f>
        <v/>
      </c>
      <c r="DH910" t="str">
        <f>""</f>
        <v/>
      </c>
      <c r="DI910" t="str">
        <f>""</f>
        <v/>
      </c>
      <c r="DJ910" t="str">
        <f>""</f>
        <v/>
      </c>
      <c r="DK910" t="str">
        <f>""</f>
        <v/>
      </c>
      <c r="DL910" t="str">
        <f>""</f>
        <v/>
      </c>
      <c r="DM910" t="str">
        <f>""</f>
        <v/>
      </c>
      <c r="DN910" t="str">
        <f>""</f>
        <v/>
      </c>
      <c r="DO910" t="str">
        <f>""</f>
        <v/>
      </c>
      <c r="DP910" t="str">
        <f>""</f>
        <v/>
      </c>
      <c r="DQ910" t="str">
        <f>""</f>
        <v/>
      </c>
      <c r="DR910" t="str">
        <f>""</f>
        <v/>
      </c>
      <c r="DS910" t="str">
        <f>""</f>
        <v/>
      </c>
      <c r="DT910" t="str">
        <f>""</f>
        <v/>
      </c>
      <c r="DU910" t="str">
        <f>""</f>
        <v/>
      </c>
    </row>
    <row r="911" spans="1:125" x14ac:dyDescent="0.25">
      <c r="A911" t="str">
        <f>$A$412</f>
        <v xml:space="preserve">    Volkswagen AG</v>
      </c>
      <c r="B911" t="str">
        <f>$B$412</f>
        <v>VOW GR Equity</v>
      </c>
      <c r="C911" t="str">
        <f>$C$412</f>
        <v>RR937</v>
      </c>
      <c r="D911" t="str">
        <f>$D$412</f>
        <v>CRNCY_ADJ_CURR_EV</v>
      </c>
      <c r="E911" t="str">
        <f>$E$412</f>
        <v>Dynamic</v>
      </c>
      <c r="F911" t="str">
        <f ca="1">_xll.BDH($B$412,$C$412,$B$509,$B$510,CONCATENATE("Per=",$B$507),"Dts=H","Dir=H",CONCATENATE("Points=",$B$508),"Sort=R","Days=A","Fill=B",CONCATENATE("FX=", $B$506) )</f>
        <v>#N/A Connection</v>
      </c>
      <c r="BN911" t="str">
        <f>""</f>
        <v/>
      </c>
      <c r="BO911" t="str">
        <f>""</f>
        <v/>
      </c>
      <c r="BP911" t="str">
        <f>""</f>
        <v/>
      </c>
      <c r="BQ911" t="str">
        <f>""</f>
        <v/>
      </c>
      <c r="BR911" t="str">
        <f>""</f>
        <v/>
      </c>
      <c r="BS911" t="str">
        <f>""</f>
        <v/>
      </c>
      <c r="BT911" t="str">
        <f>""</f>
        <v/>
      </c>
      <c r="BU911" t="str">
        <f>""</f>
        <v/>
      </c>
      <c r="BV911" t="str">
        <f>""</f>
        <v/>
      </c>
      <c r="BW911" t="str">
        <f>""</f>
        <v/>
      </c>
      <c r="BX911" t="str">
        <f>""</f>
        <v/>
      </c>
      <c r="BY911" t="str">
        <f>""</f>
        <v/>
      </c>
      <c r="BZ911" t="str">
        <f>""</f>
        <v/>
      </c>
      <c r="CA911" t="str">
        <f>""</f>
        <v/>
      </c>
      <c r="CB911" t="str">
        <f>""</f>
        <v/>
      </c>
      <c r="CC911" t="str">
        <f>""</f>
        <v/>
      </c>
      <c r="CD911" t="str">
        <f>""</f>
        <v/>
      </c>
      <c r="CE911" t="str">
        <f>""</f>
        <v/>
      </c>
      <c r="CF911" t="str">
        <f>""</f>
        <v/>
      </c>
      <c r="CG911" t="str">
        <f>""</f>
        <v/>
      </c>
      <c r="CH911" t="str">
        <f>""</f>
        <v/>
      </c>
      <c r="CI911" t="str">
        <f>""</f>
        <v/>
      </c>
      <c r="CJ911" t="str">
        <f>""</f>
        <v/>
      </c>
      <c r="CK911" t="str">
        <f>""</f>
        <v/>
      </c>
      <c r="CL911" t="str">
        <f>""</f>
        <v/>
      </c>
      <c r="CM911" t="str">
        <f>""</f>
        <v/>
      </c>
      <c r="CN911" t="str">
        <f>""</f>
        <v/>
      </c>
      <c r="CO911" t="str">
        <f>""</f>
        <v/>
      </c>
      <c r="CP911" t="str">
        <f>""</f>
        <v/>
      </c>
      <c r="CQ911" t="str">
        <f>""</f>
        <v/>
      </c>
      <c r="CR911" t="str">
        <f>""</f>
        <v/>
      </c>
      <c r="CS911" t="str">
        <f>""</f>
        <v/>
      </c>
      <c r="CT911" t="str">
        <f>""</f>
        <v/>
      </c>
      <c r="CU911" t="str">
        <f>""</f>
        <v/>
      </c>
      <c r="CV911" t="str">
        <f>""</f>
        <v/>
      </c>
      <c r="CW911" t="str">
        <f>""</f>
        <v/>
      </c>
      <c r="CX911" t="str">
        <f>""</f>
        <v/>
      </c>
      <c r="CY911" t="str">
        <f>""</f>
        <v/>
      </c>
      <c r="CZ911" t="str">
        <f>""</f>
        <v/>
      </c>
      <c r="DA911" t="str">
        <f>""</f>
        <v/>
      </c>
      <c r="DB911" t="str">
        <f>""</f>
        <v/>
      </c>
      <c r="DC911" t="str">
        <f>""</f>
        <v/>
      </c>
      <c r="DD911" t="str">
        <f>""</f>
        <v/>
      </c>
      <c r="DE911" t="str">
        <f>""</f>
        <v/>
      </c>
      <c r="DF911" t="str">
        <f>""</f>
        <v/>
      </c>
      <c r="DG911" t="str">
        <f>""</f>
        <v/>
      </c>
      <c r="DH911" t="str">
        <f>""</f>
        <v/>
      </c>
      <c r="DI911" t="str">
        <f>""</f>
        <v/>
      </c>
      <c r="DJ911" t="str">
        <f>""</f>
        <v/>
      </c>
      <c r="DK911" t="str">
        <f>""</f>
        <v/>
      </c>
      <c r="DL911" t="str">
        <f>""</f>
        <v/>
      </c>
      <c r="DM911" t="str">
        <f>""</f>
        <v/>
      </c>
      <c r="DN911" t="str">
        <f>""</f>
        <v/>
      </c>
      <c r="DO911" t="str">
        <f>""</f>
        <v/>
      </c>
      <c r="DP911" t="str">
        <f>""</f>
        <v/>
      </c>
      <c r="DQ911" t="str">
        <f>""</f>
        <v/>
      </c>
      <c r="DR911" t="str">
        <f>""</f>
        <v/>
      </c>
      <c r="DS911" t="str">
        <f>""</f>
        <v/>
      </c>
      <c r="DT911" t="str">
        <f>""</f>
        <v/>
      </c>
      <c r="DU911" t="str">
        <f>""</f>
        <v/>
      </c>
    </row>
    <row r="912" spans="1:125" x14ac:dyDescent="0.25">
      <c r="A912" t="str">
        <f>$A$413</f>
        <v xml:space="preserve">    Yulon Motor Co Ltd</v>
      </c>
      <c r="B912" t="str">
        <f>$B$413</f>
        <v>2201 TT Equity</v>
      </c>
      <c r="C912" t="str">
        <f>$C$413</f>
        <v>RR937</v>
      </c>
      <c r="D912" t="str">
        <f>$D$413</f>
        <v>CRNCY_ADJ_CURR_EV</v>
      </c>
      <c r="E912" t="str">
        <f>$E$413</f>
        <v>Dynamic</v>
      </c>
      <c r="F912" t="str">
        <f ca="1">_xll.BDH($B$413,$C$413,$B$509,$B$510,CONCATENATE("Per=",$B$507),"Dts=H","Dir=H",CONCATENATE("Points=",$B$508),"Sort=R","Days=A","Fill=B",CONCATENATE("FX=", $B$506) )</f>
        <v>#N/A Connection</v>
      </c>
      <c r="BN912" t="str">
        <f>""</f>
        <v/>
      </c>
      <c r="BO912" t="str">
        <f>""</f>
        <v/>
      </c>
      <c r="BP912" t="str">
        <f>""</f>
        <v/>
      </c>
      <c r="BQ912" t="str">
        <f>""</f>
        <v/>
      </c>
      <c r="BR912" t="str">
        <f>""</f>
        <v/>
      </c>
      <c r="BS912" t="str">
        <f>""</f>
        <v/>
      </c>
      <c r="BT912" t="str">
        <f>""</f>
        <v/>
      </c>
      <c r="BU912" t="str">
        <f>""</f>
        <v/>
      </c>
      <c r="BV912" t="str">
        <f>""</f>
        <v/>
      </c>
      <c r="BW912" t="str">
        <f>""</f>
        <v/>
      </c>
      <c r="BX912" t="str">
        <f>""</f>
        <v/>
      </c>
      <c r="BY912" t="str">
        <f>""</f>
        <v/>
      </c>
      <c r="BZ912" t="str">
        <f>""</f>
        <v/>
      </c>
      <c r="CA912" t="str">
        <f>""</f>
        <v/>
      </c>
      <c r="CB912" t="str">
        <f>""</f>
        <v/>
      </c>
      <c r="CC912" t="str">
        <f>""</f>
        <v/>
      </c>
      <c r="CD912" t="str">
        <f>""</f>
        <v/>
      </c>
      <c r="CE912" t="str">
        <f>""</f>
        <v/>
      </c>
      <c r="CF912" t="str">
        <f>""</f>
        <v/>
      </c>
      <c r="CG912" t="str">
        <f>""</f>
        <v/>
      </c>
      <c r="CH912" t="str">
        <f>""</f>
        <v/>
      </c>
      <c r="CI912" t="str">
        <f>""</f>
        <v/>
      </c>
      <c r="CJ912" t="str">
        <f>""</f>
        <v/>
      </c>
      <c r="CK912" t="str">
        <f>""</f>
        <v/>
      </c>
      <c r="CL912" t="str">
        <f>""</f>
        <v/>
      </c>
      <c r="CM912" t="str">
        <f>""</f>
        <v/>
      </c>
      <c r="CN912" t="str">
        <f>""</f>
        <v/>
      </c>
      <c r="CO912" t="str">
        <f>""</f>
        <v/>
      </c>
      <c r="CP912" t="str">
        <f>""</f>
        <v/>
      </c>
      <c r="CQ912" t="str">
        <f>""</f>
        <v/>
      </c>
      <c r="CR912" t="str">
        <f>""</f>
        <v/>
      </c>
      <c r="CS912" t="str">
        <f>""</f>
        <v/>
      </c>
      <c r="CT912" t="str">
        <f>""</f>
        <v/>
      </c>
      <c r="CU912" t="str">
        <f>""</f>
        <v/>
      </c>
      <c r="CV912" t="str">
        <f>""</f>
        <v/>
      </c>
      <c r="CW912" t="str">
        <f>""</f>
        <v/>
      </c>
      <c r="CX912" t="str">
        <f>""</f>
        <v/>
      </c>
      <c r="CY912" t="str">
        <f>""</f>
        <v/>
      </c>
      <c r="CZ912" t="str">
        <f>""</f>
        <v/>
      </c>
      <c r="DA912" t="str">
        <f>""</f>
        <v/>
      </c>
      <c r="DB912" t="str">
        <f>""</f>
        <v/>
      </c>
      <c r="DC912" t="str">
        <f>""</f>
        <v/>
      </c>
      <c r="DD912" t="str">
        <f>""</f>
        <v/>
      </c>
      <c r="DE912" t="str">
        <f>""</f>
        <v/>
      </c>
      <c r="DF912" t="str">
        <f>""</f>
        <v/>
      </c>
      <c r="DG912" t="str">
        <f>""</f>
        <v/>
      </c>
      <c r="DH912" t="str">
        <f>""</f>
        <v/>
      </c>
      <c r="DI912" t="str">
        <f>""</f>
        <v/>
      </c>
      <c r="DJ912" t="str">
        <f>""</f>
        <v/>
      </c>
      <c r="DK912" t="str">
        <f>""</f>
        <v/>
      </c>
      <c r="DL912" t="str">
        <f>""</f>
        <v/>
      </c>
      <c r="DM912" t="str">
        <f>""</f>
        <v/>
      </c>
      <c r="DN912" t="str">
        <f>""</f>
        <v/>
      </c>
      <c r="DO912" t="str">
        <f>""</f>
        <v/>
      </c>
      <c r="DP912" t="str">
        <f>""</f>
        <v/>
      </c>
      <c r="DQ912" t="str">
        <f>""</f>
        <v/>
      </c>
      <c r="DR912" t="str">
        <f>""</f>
        <v/>
      </c>
      <c r="DS912" t="str">
        <f>""</f>
        <v/>
      </c>
      <c r="DT912" t="str">
        <f>""</f>
        <v/>
      </c>
      <c r="DU912" t="str">
        <f>""</f>
        <v/>
      </c>
    </row>
    <row r="913" spans="1:125" x14ac:dyDescent="0.25">
      <c r="A913" t="str">
        <f>$A$415</f>
        <v xml:space="preserve">    AUDI AG</v>
      </c>
      <c r="B913" t="str">
        <f>$B$415</f>
        <v>NSU GR Equity</v>
      </c>
      <c r="C913" t="str">
        <f>$C$415</f>
        <v>PR005</v>
      </c>
      <c r="D913" t="str">
        <f>$D$415</f>
        <v>PX_LAST</v>
      </c>
      <c r="E913" t="str">
        <f>$E$415</f>
        <v>Dynamic</v>
      </c>
      <c r="F913" t="str">
        <f ca="1">_xll.BDH($B$415,$C$415,$B$509,$B$510,CONCATENATE("Per=",$B$507),"Dts=H","Dir=H",CONCATENATE("Points=",$B$508),"Sort=R","Days=A","Fill=B",CONCATENATE("FX=", $B$506) )</f>
        <v>#N/A Connection</v>
      </c>
      <c r="BN913" t="str">
        <f>""</f>
        <v/>
      </c>
      <c r="BO913" t="str">
        <f>""</f>
        <v/>
      </c>
      <c r="BP913" t="str">
        <f>""</f>
        <v/>
      </c>
      <c r="BQ913" t="str">
        <f>""</f>
        <v/>
      </c>
      <c r="BR913" t="str">
        <f>""</f>
        <v/>
      </c>
      <c r="BS913" t="str">
        <f>""</f>
        <v/>
      </c>
      <c r="BT913" t="str">
        <f>""</f>
        <v/>
      </c>
      <c r="BU913" t="str">
        <f>""</f>
        <v/>
      </c>
      <c r="BV913" t="str">
        <f>""</f>
        <v/>
      </c>
      <c r="BW913" t="str">
        <f>""</f>
        <v/>
      </c>
      <c r="BX913" t="str">
        <f>""</f>
        <v/>
      </c>
      <c r="BY913" t="str">
        <f>""</f>
        <v/>
      </c>
      <c r="BZ913" t="str">
        <f>""</f>
        <v/>
      </c>
      <c r="CA913" t="str">
        <f>""</f>
        <v/>
      </c>
      <c r="CB913" t="str">
        <f>""</f>
        <v/>
      </c>
      <c r="CC913" t="str">
        <f>""</f>
        <v/>
      </c>
      <c r="CD913" t="str">
        <f>""</f>
        <v/>
      </c>
      <c r="CE913" t="str">
        <f>""</f>
        <v/>
      </c>
      <c r="CF913" t="str">
        <f>""</f>
        <v/>
      </c>
      <c r="CG913" t="str">
        <f>""</f>
        <v/>
      </c>
      <c r="CH913" t="str">
        <f>""</f>
        <v/>
      </c>
      <c r="CI913" t="str">
        <f>""</f>
        <v/>
      </c>
      <c r="CJ913" t="str">
        <f>""</f>
        <v/>
      </c>
      <c r="CK913" t="str">
        <f>""</f>
        <v/>
      </c>
      <c r="CL913" t="str">
        <f>""</f>
        <v/>
      </c>
      <c r="CM913" t="str">
        <f>""</f>
        <v/>
      </c>
      <c r="CN913" t="str">
        <f>""</f>
        <v/>
      </c>
      <c r="CO913" t="str">
        <f>""</f>
        <v/>
      </c>
      <c r="CP913" t="str">
        <f>""</f>
        <v/>
      </c>
      <c r="CQ913" t="str">
        <f>""</f>
        <v/>
      </c>
      <c r="CR913" t="str">
        <f>""</f>
        <v/>
      </c>
      <c r="CS913" t="str">
        <f>""</f>
        <v/>
      </c>
      <c r="CT913" t="str">
        <f>""</f>
        <v/>
      </c>
      <c r="CU913" t="str">
        <f>""</f>
        <v/>
      </c>
      <c r="CV913" t="str">
        <f>""</f>
        <v/>
      </c>
      <c r="CW913" t="str">
        <f>""</f>
        <v/>
      </c>
      <c r="CX913" t="str">
        <f>""</f>
        <v/>
      </c>
      <c r="CY913" t="str">
        <f>""</f>
        <v/>
      </c>
      <c r="CZ913" t="str">
        <f>""</f>
        <v/>
      </c>
      <c r="DA913" t="str">
        <f>""</f>
        <v/>
      </c>
      <c r="DB913" t="str">
        <f>""</f>
        <v/>
      </c>
      <c r="DC913" t="str">
        <f>""</f>
        <v/>
      </c>
      <c r="DD913" t="str">
        <f>""</f>
        <v/>
      </c>
      <c r="DE913" t="str">
        <f>""</f>
        <v/>
      </c>
      <c r="DF913" t="str">
        <f>""</f>
        <v/>
      </c>
      <c r="DG913" t="str">
        <f>""</f>
        <v/>
      </c>
      <c r="DH913" t="str">
        <f>""</f>
        <v/>
      </c>
      <c r="DI913" t="str">
        <f>""</f>
        <v/>
      </c>
      <c r="DJ913" t="str">
        <f>""</f>
        <v/>
      </c>
      <c r="DK913" t="str">
        <f>""</f>
        <v/>
      </c>
      <c r="DL913" t="str">
        <f>""</f>
        <v/>
      </c>
      <c r="DM913" t="str">
        <f>""</f>
        <v/>
      </c>
      <c r="DN913" t="str">
        <f>""</f>
        <v/>
      </c>
      <c r="DO913" t="str">
        <f>""</f>
        <v/>
      </c>
      <c r="DP913" t="str">
        <f>""</f>
        <v/>
      </c>
      <c r="DQ913" t="str">
        <f>""</f>
        <v/>
      </c>
      <c r="DR913" t="str">
        <f>""</f>
        <v/>
      </c>
      <c r="DS913" t="str">
        <f>""</f>
        <v/>
      </c>
      <c r="DT913" t="str">
        <f>""</f>
        <v/>
      </c>
      <c r="DU913" t="str">
        <f>""</f>
        <v/>
      </c>
    </row>
    <row r="914" spans="1:125" x14ac:dyDescent="0.25">
      <c r="A914" t="str">
        <f>$A$416</f>
        <v xml:space="preserve">    Avtovaz PJSC</v>
      </c>
      <c r="B914" t="str">
        <f>$B$416</f>
        <v>AVAZ RM Equity</v>
      </c>
      <c r="C914" t="str">
        <f>$C$416</f>
        <v>PR005</v>
      </c>
      <c r="D914" t="str">
        <f>$D$416</f>
        <v>PX_LAST</v>
      </c>
      <c r="E914" t="str">
        <f>$E$416</f>
        <v>Dynamic</v>
      </c>
      <c r="F914" t="str">
        <f ca="1">_xll.BDH($B$416,$C$416,$B$509,$B$510,CONCATENATE("Per=",$B$507),"Dts=H","Dir=H",CONCATENATE("Points=",$B$508),"Sort=R","Days=A","Fill=B",CONCATENATE("FX=", $B$506) )</f>
        <v>#N/A Connection</v>
      </c>
      <c r="BN914" t="str">
        <f>""</f>
        <v/>
      </c>
      <c r="BO914" t="str">
        <f>""</f>
        <v/>
      </c>
      <c r="BP914" t="str">
        <f>""</f>
        <v/>
      </c>
      <c r="BQ914" t="str">
        <f>""</f>
        <v/>
      </c>
      <c r="BR914" t="str">
        <f>""</f>
        <v/>
      </c>
      <c r="BS914" t="str">
        <f>""</f>
        <v/>
      </c>
      <c r="BT914" t="str">
        <f>""</f>
        <v/>
      </c>
      <c r="BU914" t="str">
        <f>""</f>
        <v/>
      </c>
      <c r="BV914" t="str">
        <f>""</f>
        <v/>
      </c>
      <c r="BW914" t="str">
        <f>""</f>
        <v/>
      </c>
      <c r="BX914" t="str">
        <f>""</f>
        <v/>
      </c>
      <c r="BY914" t="str">
        <f>""</f>
        <v/>
      </c>
      <c r="BZ914" t="str">
        <f>""</f>
        <v/>
      </c>
      <c r="CA914" t="str">
        <f>""</f>
        <v/>
      </c>
      <c r="CB914" t="str">
        <f>""</f>
        <v/>
      </c>
      <c r="CC914" t="str">
        <f>""</f>
        <v/>
      </c>
      <c r="CD914" t="str">
        <f>""</f>
        <v/>
      </c>
      <c r="CE914" t="str">
        <f>""</f>
        <v/>
      </c>
      <c r="CF914" t="str">
        <f>""</f>
        <v/>
      </c>
      <c r="CG914" t="str">
        <f>""</f>
        <v/>
      </c>
      <c r="CH914" t="str">
        <f>""</f>
        <v/>
      </c>
      <c r="CI914" t="str">
        <f>""</f>
        <v/>
      </c>
      <c r="CJ914" t="str">
        <f>""</f>
        <v/>
      </c>
      <c r="CK914" t="str">
        <f>""</f>
        <v/>
      </c>
      <c r="CL914" t="str">
        <f>""</f>
        <v/>
      </c>
      <c r="CM914" t="str">
        <f>""</f>
        <v/>
      </c>
      <c r="CN914" t="str">
        <f>""</f>
        <v/>
      </c>
      <c r="CO914" t="str">
        <f>""</f>
        <v/>
      </c>
      <c r="CP914" t="str">
        <f>""</f>
        <v/>
      </c>
      <c r="CQ914" t="str">
        <f>""</f>
        <v/>
      </c>
      <c r="CR914" t="str">
        <f>""</f>
        <v/>
      </c>
      <c r="CS914" t="str">
        <f>""</f>
        <v/>
      </c>
      <c r="CT914" t="str">
        <f>""</f>
        <v/>
      </c>
      <c r="CU914" t="str">
        <f>""</f>
        <v/>
      </c>
      <c r="CV914" t="str">
        <f>""</f>
        <v/>
      </c>
      <c r="CW914" t="str">
        <f>""</f>
        <v/>
      </c>
      <c r="CX914" t="str">
        <f>""</f>
        <v/>
      </c>
      <c r="CY914" t="str">
        <f>""</f>
        <v/>
      </c>
      <c r="CZ914" t="str">
        <f>""</f>
        <v/>
      </c>
      <c r="DA914" t="str">
        <f>""</f>
        <v/>
      </c>
      <c r="DB914" t="str">
        <f>""</f>
        <v/>
      </c>
      <c r="DC914" t="str">
        <f>""</f>
        <v/>
      </c>
      <c r="DD914" t="str">
        <f>""</f>
        <v/>
      </c>
      <c r="DE914" t="str">
        <f>""</f>
        <v/>
      </c>
      <c r="DF914" t="str">
        <f>""</f>
        <v/>
      </c>
      <c r="DG914" t="str">
        <f>""</f>
        <v/>
      </c>
      <c r="DH914" t="str">
        <f>""</f>
        <v/>
      </c>
      <c r="DI914" t="str">
        <f>""</f>
        <v/>
      </c>
      <c r="DJ914" t="str">
        <f>""</f>
        <v/>
      </c>
      <c r="DK914" t="str">
        <f>""</f>
        <v/>
      </c>
      <c r="DL914" t="str">
        <f>""</f>
        <v/>
      </c>
      <c r="DM914" t="str">
        <f>""</f>
        <v/>
      </c>
      <c r="DN914" t="str">
        <f>""</f>
        <v/>
      </c>
      <c r="DO914" t="str">
        <f>""</f>
        <v/>
      </c>
      <c r="DP914" t="str">
        <f>""</f>
        <v/>
      </c>
      <c r="DQ914" t="str">
        <f>""</f>
        <v/>
      </c>
      <c r="DR914" t="str">
        <f>""</f>
        <v/>
      </c>
      <c r="DS914" t="str">
        <f>""</f>
        <v/>
      </c>
      <c r="DT914" t="str">
        <f>""</f>
        <v/>
      </c>
      <c r="DU914" t="str">
        <f>""</f>
        <v/>
      </c>
    </row>
    <row r="915" spans="1:125" x14ac:dyDescent="0.25">
      <c r="A915" t="str">
        <f>$A$417</f>
        <v xml:space="preserve">    Bayerische Motoren Werke AG</v>
      </c>
      <c r="B915" t="str">
        <f>$B$417</f>
        <v>BMW GR Equity</v>
      </c>
      <c r="C915" t="str">
        <f>$C$417</f>
        <v>PR005</v>
      </c>
      <c r="D915" t="str">
        <f>$D$417</f>
        <v>PX_LAST</v>
      </c>
      <c r="E915" t="str">
        <f>$E$417</f>
        <v>Dynamic</v>
      </c>
      <c r="F915" t="str">
        <f ca="1">_xll.BDH($B$417,$C$417,$B$509,$B$510,CONCATENATE("Per=",$B$507),"Dts=H","Dir=H",CONCATENATE("Points=",$B$508),"Sort=R","Days=A","Fill=B",CONCATENATE("FX=", $B$506) )</f>
        <v>#N/A Connection</v>
      </c>
      <c r="BN915" t="str">
        <f>""</f>
        <v/>
      </c>
      <c r="BO915" t="str">
        <f>""</f>
        <v/>
      </c>
      <c r="BP915" t="str">
        <f>""</f>
        <v/>
      </c>
      <c r="BQ915" t="str">
        <f>""</f>
        <v/>
      </c>
      <c r="BR915" t="str">
        <f>""</f>
        <v/>
      </c>
      <c r="BS915" t="str">
        <f>""</f>
        <v/>
      </c>
      <c r="BT915" t="str">
        <f>""</f>
        <v/>
      </c>
      <c r="BU915" t="str">
        <f>""</f>
        <v/>
      </c>
      <c r="BV915" t="str">
        <f>""</f>
        <v/>
      </c>
      <c r="BW915" t="str">
        <f>""</f>
        <v/>
      </c>
      <c r="BX915" t="str">
        <f>""</f>
        <v/>
      </c>
      <c r="BY915" t="str">
        <f>""</f>
        <v/>
      </c>
      <c r="BZ915" t="str">
        <f>""</f>
        <v/>
      </c>
      <c r="CA915" t="str">
        <f>""</f>
        <v/>
      </c>
      <c r="CB915" t="str">
        <f>""</f>
        <v/>
      </c>
      <c r="CC915" t="str">
        <f>""</f>
        <v/>
      </c>
      <c r="CD915" t="str">
        <f>""</f>
        <v/>
      </c>
      <c r="CE915" t="str">
        <f>""</f>
        <v/>
      </c>
      <c r="CF915" t="str">
        <f>""</f>
        <v/>
      </c>
      <c r="CG915" t="str">
        <f>""</f>
        <v/>
      </c>
      <c r="CH915" t="str">
        <f>""</f>
        <v/>
      </c>
      <c r="CI915" t="str">
        <f>""</f>
        <v/>
      </c>
      <c r="CJ915" t="str">
        <f>""</f>
        <v/>
      </c>
      <c r="CK915" t="str">
        <f>""</f>
        <v/>
      </c>
      <c r="CL915" t="str">
        <f>""</f>
        <v/>
      </c>
      <c r="CM915" t="str">
        <f>""</f>
        <v/>
      </c>
      <c r="CN915" t="str">
        <f>""</f>
        <v/>
      </c>
      <c r="CO915" t="str">
        <f>""</f>
        <v/>
      </c>
      <c r="CP915" t="str">
        <f>""</f>
        <v/>
      </c>
      <c r="CQ915" t="str">
        <f>""</f>
        <v/>
      </c>
      <c r="CR915" t="str">
        <f>""</f>
        <v/>
      </c>
      <c r="CS915" t="str">
        <f>""</f>
        <v/>
      </c>
      <c r="CT915" t="str">
        <f>""</f>
        <v/>
      </c>
      <c r="CU915" t="str">
        <f>""</f>
        <v/>
      </c>
      <c r="CV915" t="str">
        <f>""</f>
        <v/>
      </c>
      <c r="CW915" t="str">
        <f>""</f>
        <v/>
      </c>
      <c r="CX915" t="str">
        <f>""</f>
        <v/>
      </c>
      <c r="CY915" t="str">
        <f>""</f>
        <v/>
      </c>
      <c r="CZ915" t="str">
        <f>""</f>
        <v/>
      </c>
      <c r="DA915" t="str">
        <f>""</f>
        <v/>
      </c>
      <c r="DB915" t="str">
        <f>""</f>
        <v/>
      </c>
      <c r="DC915" t="str">
        <f>""</f>
        <v/>
      </c>
      <c r="DD915" t="str">
        <f>""</f>
        <v/>
      </c>
      <c r="DE915" t="str">
        <f>""</f>
        <v/>
      </c>
      <c r="DF915" t="str">
        <f>""</f>
        <v/>
      </c>
      <c r="DG915" t="str">
        <f>""</f>
        <v/>
      </c>
      <c r="DH915" t="str">
        <f>""</f>
        <v/>
      </c>
      <c r="DI915" t="str">
        <f>""</f>
        <v/>
      </c>
      <c r="DJ915" t="str">
        <f>""</f>
        <v/>
      </c>
      <c r="DK915" t="str">
        <f>""</f>
        <v/>
      </c>
      <c r="DL915" t="str">
        <f>""</f>
        <v/>
      </c>
      <c r="DM915" t="str">
        <f>""</f>
        <v/>
      </c>
      <c r="DN915" t="str">
        <f>""</f>
        <v/>
      </c>
      <c r="DO915" t="str">
        <f>""</f>
        <v/>
      </c>
      <c r="DP915" t="str">
        <f>""</f>
        <v/>
      </c>
      <c r="DQ915" t="str">
        <f>""</f>
        <v/>
      </c>
      <c r="DR915" t="str">
        <f>""</f>
        <v/>
      </c>
      <c r="DS915" t="str">
        <f>""</f>
        <v/>
      </c>
      <c r="DT915" t="str">
        <f>""</f>
        <v/>
      </c>
      <c r="DU915" t="str">
        <f>""</f>
        <v/>
      </c>
    </row>
    <row r="916" spans="1:125" x14ac:dyDescent="0.25">
      <c r="A916" t="str">
        <f>$A$418</f>
        <v xml:space="preserve">    Brilliance China Automotive Holdings Ltd</v>
      </c>
      <c r="B916" t="str">
        <f>$B$418</f>
        <v>1114 HK Equity</v>
      </c>
      <c r="C916" t="str">
        <f>$C$418</f>
        <v>PR005</v>
      </c>
      <c r="D916" t="str">
        <f>$D$418</f>
        <v>PX_LAST</v>
      </c>
      <c r="E916" t="str">
        <f>$E$418</f>
        <v>Dynamic</v>
      </c>
      <c r="F916" t="str">
        <f ca="1">_xll.BDH($B$418,$C$418,$B$509,$B$510,CONCATENATE("Per=",$B$507),"Dts=H","Dir=H",CONCATENATE("Points=",$B$508),"Sort=R","Days=A","Fill=B",CONCATENATE("FX=", $B$506) )</f>
        <v>#N/A Connection</v>
      </c>
      <c r="BN916" t="str">
        <f>""</f>
        <v/>
      </c>
      <c r="BO916" t="str">
        <f>""</f>
        <v/>
      </c>
      <c r="BP916" t="str">
        <f>""</f>
        <v/>
      </c>
      <c r="BQ916" t="str">
        <f>""</f>
        <v/>
      </c>
      <c r="BR916" t="str">
        <f>""</f>
        <v/>
      </c>
      <c r="BS916" t="str">
        <f>""</f>
        <v/>
      </c>
      <c r="BT916" t="str">
        <f>""</f>
        <v/>
      </c>
      <c r="BU916" t="str">
        <f>""</f>
        <v/>
      </c>
      <c r="BV916" t="str">
        <f>""</f>
        <v/>
      </c>
      <c r="BW916" t="str">
        <f>""</f>
        <v/>
      </c>
      <c r="BX916" t="str">
        <f>""</f>
        <v/>
      </c>
      <c r="BY916" t="str">
        <f>""</f>
        <v/>
      </c>
      <c r="BZ916" t="str">
        <f>""</f>
        <v/>
      </c>
      <c r="CA916" t="str">
        <f>""</f>
        <v/>
      </c>
      <c r="CB916" t="str">
        <f>""</f>
        <v/>
      </c>
      <c r="CC916" t="str">
        <f>""</f>
        <v/>
      </c>
      <c r="CD916" t="str">
        <f>""</f>
        <v/>
      </c>
      <c r="CE916" t="str">
        <f>""</f>
        <v/>
      </c>
      <c r="CF916" t="str">
        <f>""</f>
        <v/>
      </c>
      <c r="CG916" t="str">
        <f>""</f>
        <v/>
      </c>
      <c r="CH916" t="str">
        <f>""</f>
        <v/>
      </c>
      <c r="CI916" t="str">
        <f>""</f>
        <v/>
      </c>
      <c r="CJ916" t="str">
        <f>""</f>
        <v/>
      </c>
      <c r="CK916" t="str">
        <f>""</f>
        <v/>
      </c>
      <c r="CL916" t="str">
        <f>""</f>
        <v/>
      </c>
      <c r="CM916" t="str">
        <f>""</f>
        <v/>
      </c>
      <c r="CN916" t="str">
        <f>""</f>
        <v/>
      </c>
      <c r="CO916" t="str">
        <f>""</f>
        <v/>
      </c>
      <c r="CP916" t="str">
        <f>""</f>
        <v/>
      </c>
      <c r="CQ916" t="str">
        <f>""</f>
        <v/>
      </c>
      <c r="CR916" t="str">
        <f>""</f>
        <v/>
      </c>
      <c r="CS916" t="str">
        <f>""</f>
        <v/>
      </c>
      <c r="CT916" t="str">
        <f>""</f>
        <v/>
      </c>
      <c r="CU916" t="str">
        <f>""</f>
        <v/>
      </c>
      <c r="CV916" t="str">
        <f>""</f>
        <v/>
      </c>
      <c r="CW916" t="str">
        <f>""</f>
        <v/>
      </c>
      <c r="CX916" t="str">
        <f>""</f>
        <v/>
      </c>
      <c r="CY916" t="str">
        <f>""</f>
        <v/>
      </c>
      <c r="CZ916" t="str">
        <f>""</f>
        <v/>
      </c>
      <c r="DA916" t="str">
        <f>""</f>
        <v/>
      </c>
      <c r="DB916" t="str">
        <f>""</f>
        <v/>
      </c>
      <c r="DC916" t="str">
        <f>""</f>
        <v/>
      </c>
      <c r="DD916" t="str">
        <f>""</f>
        <v/>
      </c>
      <c r="DE916" t="str">
        <f>""</f>
        <v/>
      </c>
      <c r="DF916" t="str">
        <f>""</f>
        <v/>
      </c>
      <c r="DG916" t="str">
        <f>""</f>
        <v/>
      </c>
      <c r="DH916" t="str">
        <f>""</f>
        <v/>
      </c>
      <c r="DI916" t="str">
        <f>""</f>
        <v/>
      </c>
      <c r="DJ916" t="str">
        <f>""</f>
        <v/>
      </c>
      <c r="DK916" t="str">
        <f>""</f>
        <v/>
      </c>
      <c r="DL916" t="str">
        <f>""</f>
        <v/>
      </c>
      <c r="DM916" t="str">
        <f>""</f>
        <v/>
      </c>
      <c r="DN916" t="str">
        <f>""</f>
        <v/>
      </c>
      <c r="DO916" t="str">
        <f>""</f>
        <v/>
      </c>
      <c r="DP916" t="str">
        <f>""</f>
        <v/>
      </c>
      <c r="DQ916" t="str">
        <f>""</f>
        <v/>
      </c>
      <c r="DR916" t="str">
        <f>""</f>
        <v/>
      </c>
      <c r="DS916" t="str">
        <f>""</f>
        <v/>
      </c>
      <c r="DT916" t="str">
        <f>""</f>
        <v/>
      </c>
      <c r="DU916" t="str">
        <f>""</f>
        <v/>
      </c>
    </row>
    <row r="917" spans="1:125" x14ac:dyDescent="0.25">
      <c r="A917" t="str">
        <f>$A$419</f>
        <v xml:space="preserve">    BYD Co Ltd</v>
      </c>
      <c r="B917" t="str">
        <f>$B$419</f>
        <v>1211 HK Equity</v>
      </c>
      <c r="C917" t="str">
        <f>$C$419</f>
        <v>PR005</v>
      </c>
      <c r="D917" t="str">
        <f>$D$419</f>
        <v>PX_LAST</v>
      </c>
      <c r="E917" t="str">
        <f>$E$419</f>
        <v>Dynamic</v>
      </c>
      <c r="F917" t="str">
        <f ca="1">_xll.BDH($B$419,$C$419,$B$509,$B$510,CONCATENATE("Per=",$B$507),"Dts=H","Dir=H",CONCATENATE("Points=",$B$508),"Sort=R","Days=A","Fill=B",CONCATENATE("FX=", $B$506) )</f>
        <v>#N/A Connection</v>
      </c>
      <c r="BN917" t="str">
        <f>""</f>
        <v/>
      </c>
      <c r="BO917" t="str">
        <f>""</f>
        <v/>
      </c>
      <c r="BP917" t="str">
        <f>""</f>
        <v/>
      </c>
      <c r="BQ917" t="str">
        <f>""</f>
        <v/>
      </c>
      <c r="BR917" t="str">
        <f>""</f>
        <v/>
      </c>
      <c r="BS917" t="str">
        <f>""</f>
        <v/>
      </c>
      <c r="BT917" t="str">
        <f>""</f>
        <v/>
      </c>
      <c r="BU917" t="str">
        <f>""</f>
        <v/>
      </c>
      <c r="BV917" t="str">
        <f>""</f>
        <v/>
      </c>
      <c r="BW917" t="str">
        <f>""</f>
        <v/>
      </c>
      <c r="BX917" t="str">
        <f>""</f>
        <v/>
      </c>
      <c r="BY917" t="str">
        <f>""</f>
        <v/>
      </c>
      <c r="BZ917" t="str">
        <f>""</f>
        <v/>
      </c>
      <c r="CA917" t="str">
        <f>""</f>
        <v/>
      </c>
      <c r="CB917" t="str">
        <f>""</f>
        <v/>
      </c>
      <c r="CC917" t="str">
        <f>""</f>
        <v/>
      </c>
      <c r="CD917" t="str">
        <f>""</f>
        <v/>
      </c>
      <c r="CE917" t="str">
        <f>""</f>
        <v/>
      </c>
      <c r="CF917" t="str">
        <f>""</f>
        <v/>
      </c>
      <c r="CG917" t="str">
        <f>""</f>
        <v/>
      </c>
      <c r="CH917" t="str">
        <f>""</f>
        <v/>
      </c>
      <c r="CI917" t="str">
        <f>""</f>
        <v/>
      </c>
      <c r="CJ917" t="str">
        <f>""</f>
        <v/>
      </c>
      <c r="CK917" t="str">
        <f>""</f>
        <v/>
      </c>
      <c r="CL917" t="str">
        <f>""</f>
        <v/>
      </c>
      <c r="CM917" t="str">
        <f>""</f>
        <v/>
      </c>
      <c r="CN917" t="str">
        <f>""</f>
        <v/>
      </c>
      <c r="CO917" t="str">
        <f>""</f>
        <v/>
      </c>
      <c r="CP917" t="str">
        <f>""</f>
        <v/>
      </c>
      <c r="CQ917" t="str">
        <f>""</f>
        <v/>
      </c>
      <c r="CR917" t="str">
        <f>""</f>
        <v/>
      </c>
      <c r="CS917" t="str">
        <f>""</f>
        <v/>
      </c>
      <c r="CT917" t="str">
        <f>""</f>
        <v/>
      </c>
      <c r="CU917" t="str">
        <f>""</f>
        <v/>
      </c>
      <c r="CV917" t="str">
        <f>""</f>
        <v/>
      </c>
      <c r="CW917" t="str">
        <f>""</f>
        <v/>
      </c>
      <c r="CX917" t="str">
        <f>""</f>
        <v/>
      </c>
      <c r="CY917" t="str">
        <f>""</f>
        <v/>
      </c>
      <c r="CZ917" t="str">
        <f>""</f>
        <v/>
      </c>
      <c r="DA917" t="str">
        <f>""</f>
        <v/>
      </c>
      <c r="DB917" t="str">
        <f>""</f>
        <v/>
      </c>
      <c r="DC917" t="str">
        <f>""</f>
        <v/>
      </c>
      <c r="DD917" t="str">
        <f>""</f>
        <v/>
      </c>
      <c r="DE917" t="str">
        <f>""</f>
        <v/>
      </c>
      <c r="DF917" t="str">
        <f>""</f>
        <v/>
      </c>
      <c r="DG917" t="str">
        <f>""</f>
        <v/>
      </c>
      <c r="DH917" t="str">
        <f>""</f>
        <v/>
      </c>
      <c r="DI917" t="str">
        <f>""</f>
        <v/>
      </c>
      <c r="DJ917" t="str">
        <f>""</f>
        <v/>
      </c>
      <c r="DK917" t="str">
        <f>""</f>
        <v/>
      </c>
      <c r="DL917" t="str">
        <f>""</f>
        <v/>
      </c>
      <c r="DM917" t="str">
        <f>""</f>
        <v/>
      </c>
      <c r="DN917" t="str">
        <f>""</f>
        <v/>
      </c>
      <c r="DO917" t="str">
        <f>""</f>
        <v/>
      </c>
      <c r="DP917" t="str">
        <f>""</f>
        <v/>
      </c>
      <c r="DQ917" t="str">
        <f>""</f>
        <v/>
      </c>
      <c r="DR917" t="str">
        <f>""</f>
        <v/>
      </c>
      <c r="DS917" t="str">
        <f>""</f>
        <v/>
      </c>
      <c r="DT917" t="str">
        <f>""</f>
        <v/>
      </c>
      <c r="DU917" t="str">
        <f>""</f>
        <v/>
      </c>
    </row>
    <row r="918" spans="1:125" x14ac:dyDescent="0.25">
      <c r="A918" t="str">
        <f>$A$420</f>
        <v xml:space="preserve">    Chongqing Changan Automobile Co Ltd</v>
      </c>
      <c r="B918" t="str">
        <f>$B$420</f>
        <v>200625 CH Equity</v>
      </c>
      <c r="C918" t="str">
        <f>$C$420</f>
        <v>PR005</v>
      </c>
      <c r="D918" t="str">
        <f>$D$420</f>
        <v>PX_LAST</v>
      </c>
      <c r="E918" t="str">
        <f>$E$420</f>
        <v>Dynamic</v>
      </c>
      <c r="F918" t="str">
        <f ca="1">_xll.BDH($B$420,$C$420,$B$509,$B$510,CONCATENATE("Per=",$B$507),"Dts=H","Dir=H",CONCATENATE("Points=",$B$508),"Sort=R","Days=A","Fill=B",CONCATENATE("FX=", $B$506) )</f>
        <v>#N/A Connection</v>
      </c>
      <c r="BN918" t="str">
        <f>""</f>
        <v/>
      </c>
      <c r="BO918" t="str">
        <f>""</f>
        <v/>
      </c>
      <c r="BP918" t="str">
        <f>""</f>
        <v/>
      </c>
      <c r="BQ918" t="str">
        <f>""</f>
        <v/>
      </c>
      <c r="BR918" t="str">
        <f>""</f>
        <v/>
      </c>
      <c r="BS918" t="str">
        <f>""</f>
        <v/>
      </c>
      <c r="BT918" t="str">
        <f>""</f>
        <v/>
      </c>
      <c r="BU918" t="str">
        <f>""</f>
        <v/>
      </c>
      <c r="BV918" t="str">
        <f>""</f>
        <v/>
      </c>
      <c r="BW918" t="str">
        <f>""</f>
        <v/>
      </c>
      <c r="BX918" t="str">
        <f>""</f>
        <v/>
      </c>
      <c r="BY918" t="str">
        <f>""</f>
        <v/>
      </c>
      <c r="BZ918" t="str">
        <f>""</f>
        <v/>
      </c>
      <c r="CA918" t="str">
        <f>""</f>
        <v/>
      </c>
      <c r="CB918" t="str">
        <f>""</f>
        <v/>
      </c>
      <c r="CC918" t="str">
        <f>""</f>
        <v/>
      </c>
      <c r="CD918" t="str">
        <f>""</f>
        <v/>
      </c>
      <c r="CE918" t="str">
        <f>""</f>
        <v/>
      </c>
      <c r="CF918" t="str">
        <f>""</f>
        <v/>
      </c>
      <c r="CG918" t="str">
        <f>""</f>
        <v/>
      </c>
      <c r="CH918" t="str">
        <f>""</f>
        <v/>
      </c>
      <c r="CI918" t="str">
        <f>""</f>
        <v/>
      </c>
      <c r="CJ918" t="str">
        <f>""</f>
        <v/>
      </c>
      <c r="CK918" t="str">
        <f>""</f>
        <v/>
      </c>
      <c r="CL918" t="str">
        <f>""</f>
        <v/>
      </c>
      <c r="CM918" t="str">
        <f>""</f>
        <v/>
      </c>
      <c r="CN918" t="str">
        <f>""</f>
        <v/>
      </c>
      <c r="CO918" t="str">
        <f>""</f>
        <v/>
      </c>
      <c r="CP918" t="str">
        <f>""</f>
        <v/>
      </c>
      <c r="CQ918" t="str">
        <f>""</f>
        <v/>
      </c>
      <c r="CR918" t="str">
        <f>""</f>
        <v/>
      </c>
      <c r="CS918" t="str">
        <f>""</f>
        <v/>
      </c>
      <c r="CT918" t="str">
        <f>""</f>
        <v/>
      </c>
      <c r="CU918" t="str">
        <f>""</f>
        <v/>
      </c>
      <c r="CV918" t="str">
        <f>""</f>
        <v/>
      </c>
      <c r="CW918" t="str">
        <f>""</f>
        <v/>
      </c>
      <c r="CX918" t="str">
        <f>""</f>
        <v/>
      </c>
      <c r="CY918" t="str">
        <f>""</f>
        <v/>
      </c>
      <c r="CZ918" t="str">
        <f>""</f>
        <v/>
      </c>
      <c r="DA918" t="str">
        <f>""</f>
        <v/>
      </c>
      <c r="DB918" t="str">
        <f>""</f>
        <v/>
      </c>
      <c r="DC918" t="str">
        <f>""</f>
        <v/>
      </c>
      <c r="DD918" t="str">
        <f>""</f>
        <v/>
      </c>
      <c r="DE918" t="str">
        <f>""</f>
        <v/>
      </c>
      <c r="DF918" t="str">
        <f>""</f>
        <v/>
      </c>
      <c r="DG918" t="str">
        <f>""</f>
        <v/>
      </c>
      <c r="DH918" t="str">
        <f>""</f>
        <v/>
      </c>
      <c r="DI918" t="str">
        <f>""</f>
        <v/>
      </c>
      <c r="DJ918" t="str">
        <f>""</f>
        <v/>
      </c>
      <c r="DK918" t="str">
        <f>""</f>
        <v/>
      </c>
      <c r="DL918" t="str">
        <f>""</f>
        <v/>
      </c>
      <c r="DM918" t="str">
        <f>""</f>
        <v/>
      </c>
      <c r="DN918" t="str">
        <f>""</f>
        <v/>
      </c>
      <c r="DO918" t="str">
        <f>""</f>
        <v/>
      </c>
      <c r="DP918" t="str">
        <f>""</f>
        <v/>
      </c>
      <c r="DQ918" t="str">
        <f>""</f>
        <v/>
      </c>
      <c r="DR918" t="str">
        <f>""</f>
        <v/>
      </c>
      <c r="DS918" t="str">
        <f>""</f>
        <v/>
      </c>
      <c r="DT918" t="str">
        <f>""</f>
        <v/>
      </c>
      <c r="DU918" t="str">
        <f>""</f>
        <v/>
      </c>
    </row>
    <row r="919" spans="1:125" x14ac:dyDescent="0.25">
      <c r="A919" t="str">
        <f>$A$421</f>
        <v xml:space="preserve">    Daihatsu Motor Co Ltd</v>
      </c>
      <c r="B919" t="str">
        <f>$B$421</f>
        <v>7262 JP Equity</v>
      </c>
      <c r="C919" t="str">
        <f>$C$421</f>
        <v>PR005</v>
      </c>
      <c r="D919" t="str">
        <f>$D$421</f>
        <v>PX_LAST</v>
      </c>
      <c r="E919" t="str">
        <f>$E$421</f>
        <v>Dynamic</v>
      </c>
      <c r="F919" t="str">
        <f ca="1">_xll.BDH($B$421,$C$421,$B$509,$B$510,CONCATENATE("Per=",$B$507),"Dts=H","Dir=H",CONCATENATE("Points=",$B$508),"Sort=R","Days=A","Fill=B",CONCATENATE("FX=", $B$506) )</f>
        <v>#N/A Connection</v>
      </c>
      <c r="BN919" t="str">
        <f>""</f>
        <v/>
      </c>
      <c r="BO919" t="str">
        <f>""</f>
        <v/>
      </c>
      <c r="BP919" t="str">
        <f>""</f>
        <v/>
      </c>
      <c r="BQ919" t="str">
        <f>""</f>
        <v/>
      </c>
      <c r="BR919" t="str">
        <f>""</f>
        <v/>
      </c>
      <c r="BS919" t="str">
        <f>""</f>
        <v/>
      </c>
      <c r="BT919" t="str">
        <f>""</f>
        <v/>
      </c>
      <c r="BU919" t="str">
        <f>""</f>
        <v/>
      </c>
      <c r="BV919" t="str">
        <f>""</f>
        <v/>
      </c>
      <c r="BW919" t="str">
        <f>""</f>
        <v/>
      </c>
      <c r="BX919" t="str">
        <f>""</f>
        <v/>
      </c>
      <c r="BY919" t="str">
        <f>""</f>
        <v/>
      </c>
      <c r="BZ919" t="str">
        <f>""</f>
        <v/>
      </c>
      <c r="CA919" t="str">
        <f>""</f>
        <v/>
      </c>
      <c r="CB919" t="str">
        <f>""</f>
        <v/>
      </c>
      <c r="CC919" t="str">
        <f>""</f>
        <v/>
      </c>
      <c r="CD919" t="str">
        <f>""</f>
        <v/>
      </c>
      <c r="CE919" t="str">
        <f>""</f>
        <v/>
      </c>
      <c r="CF919" t="str">
        <f>""</f>
        <v/>
      </c>
      <c r="CG919" t="str">
        <f>""</f>
        <v/>
      </c>
      <c r="CH919" t="str">
        <f>""</f>
        <v/>
      </c>
      <c r="CI919" t="str">
        <f>""</f>
        <v/>
      </c>
      <c r="CJ919" t="str">
        <f>""</f>
        <v/>
      </c>
      <c r="CK919" t="str">
        <f>""</f>
        <v/>
      </c>
      <c r="CL919" t="str">
        <f>""</f>
        <v/>
      </c>
      <c r="CM919" t="str">
        <f>""</f>
        <v/>
      </c>
      <c r="CN919" t="str">
        <f>""</f>
        <v/>
      </c>
      <c r="CO919" t="str">
        <f>""</f>
        <v/>
      </c>
      <c r="CP919" t="str">
        <f>""</f>
        <v/>
      </c>
      <c r="CQ919" t="str">
        <f>""</f>
        <v/>
      </c>
      <c r="CR919" t="str">
        <f>""</f>
        <v/>
      </c>
      <c r="CS919" t="str">
        <f>""</f>
        <v/>
      </c>
      <c r="CT919" t="str">
        <f>""</f>
        <v/>
      </c>
      <c r="CU919" t="str">
        <f>""</f>
        <v/>
      </c>
      <c r="CV919" t="str">
        <f>""</f>
        <v/>
      </c>
      <c r="CW919" t="str">
        <f>""</f>
        <v/>
      </c>
      <c r="CX919" t="str">
        <f>""</f>
        <v/>
      </c>
      <c r="CY919" t="str">
        <f>""</f>
        <v/>
      </c>
      <c r="CZ919" t="str">
        <f>""</f>
        <v/>
      </c>
      <c r="DA919" t="str">
        <f>""</f>
        <v/>
      </c>
      <c r="DB919" t="str">
        <f>""</f>
        <v/>
      </c>
      <c r="DC919" t="str">
        <f>""</f>
        <v/>
      </c>
      <c r="DD919" t="str">
        <f>""</f>
        <v/>
      </c>
      <c r="DE919" t="str">
        <f>""</f>
        <v/>
      </c>
      <c r="DF919" t="str">
        <f>""</f>
        <v/>
      </c>
      <c r="DG919" t="str">
        <f>""</f>
        <v/>
      </c>
      <c r="DH919" t="str">
        <f>""</f>
        <v/>
      </c>
      <c r="DI919" t="str">
        <f>""</f>
        <v/>
      </c>
      <c r="DJ919" t="str">
        <f>""</f>
        <v/>
      </c>
      <c r="DK919" t="str">
        <f>""</f>
        <v/>
      </c>
      <c r="DL919" t="str">
        <f>""</f>
        <v/>
      </c>
      <c r="DM919" t="str">
        <f>""</f>
        <v/>
      </c>
      <c r="DN919" t="str">
        <f>""</f>
        <v/>
      </c>
      <c r="DO919" t="str">
        <f>""</f>
        <v/>
      </c>
      <c r="DP919" t="str">
        <f>""</f>
        <v/>
      </c>
      <c r="DQ919" t="str">
        <f>""</f>
        <v/>
      </c>
      <c r="DR919" t="str">
        <f>""</f>
        <v/>
      </c>
      <c r="DS919" t="str">
        <f>""</f>
        <v/>
      </c>
      <c r="DT919" t="str">
        <f>""</f>
        <v/>
      </c>
      <c r="DU919" t="str">
        <f>""</f>
        <v/>
      </c>
    </row>
    <row r="920" spans="1:125" x14ac:dyDescent="0.25">
      <c r="A920" t="str">
        <f>$A$422</f>
        <v xml:space="preserve">    Daimler AG</v>
      </c>
      <c r="B920" t="str">
        <f>$B$422</f>
        <v>DAI GR Equity</v>
      </c>
      <c r="C920" t="str">
        <f>$C$422</f>
        <v>PR005</v>
      </c>
      <c r="D920" t="str">
        <f>$D$422</f>
        <v>PX_LAST</v>
      </c>
      <c r="E920" t="str">
        <f>$E$422</f>
        <v>Dynamic</v>
      </c>
      <c r="F920" t="str">
        <f ca="1">_xll.BDH($B$422,$C$422,$B$509,$B$510,CONCATENATE("Per=",$B$507),"Dts=H","Dir=H",CONCATENATE("Points=",$B$508),"Sort=R","Days=A","Fill=B",CONCATENATE("FX=", $B$506) )</f>
        <v>#N/A Connection</v>
      </c>
      <c r="BN920" t="str">
        <f>""</f>
        <v/>
      </c>
      <c r="BO920" t="str">
        <f>""</f>
        <v/>
      </c>
      <c r="BP920" t="str">
        <f>""</f>
        <v/>
      </c>
      <c r="BQ920" t="str">
        <f>""</f>
        <v/>
      </c>
      <c r="BR920" t="str">
        <f>""</f>
        <v/>
      </c>
      <c r="BS920" t="str">
        <f>""</f>
        <v/>
      </c>
      <c r="BT920" t="str">
        <f>""</f>
        <v/>
      </c>
      <c r="BU920" t="str">
        <f>""</f>
        <v/>
      </c>
      <c r="BV920" t="str">
        <f>""</f>
        <v/>
      </c>
      <c r="BW920" t="str">
        <f>""</f>
        <v/>
      </c>
      <c r="BX920" t="str">
        <f>""</f>
        <v/>
      </c>
      <c r="BY920" t="str">
        <f>""</f>
        <v/>
      </c>
      <c r="BZ920" t="str">
        <f>""</f>
        <v/>
      </c>
      <c r="CA920" t="str">
        <f>""</f>
        <v/>
      </c>
      <c r="CB920" t="str">
        <f>""</f>
        <v/>
      </c>
      <c r="CC920" t="str">
        <f>""</f>
        <v/>
      </c>
      <c r="CD920" t="str">
        <f>""</f>
        <v/>
      </c>
      <c r="CE920" t="str">
        <f>""</f>
        <v/>
      </c>
      <c r="CF920" t="str">
        <f>""</f>
        <v/>
      </c>
      <c r="CG920" t="str">
        <f>""</f>
        <v/>
      </c>
      <c r="CH920" t="str">
        <f>""</f>
        <v/>
      </c>
      <c r="CI920" t="str">
        <f>""</f>
        <v/>
      </c>
      <c r="CJ920" t="str">
        <f>""</f>
        <v/>
      </c>
      <c r="CK920" t="str">
        <f>""</f>
        <v/>
      </c>
      <c r="CL920" t="str">
        <f>""</f>
        <v/>
      </c>
      <c r="CM920" t="str">
        <f>""</f>
        <v/>
      </c>
      <c r="CN920" t="str">
        <f>""</f>
        <v/>
      </c>
      <c r="CO920" t="str">
        <f>""</f>
        <v/>
      </c>
      <c r="CP920" t="str">
        <f>""</f>
        <v/>
      </c>
      <c r="CQ920" t="str">
        <f>""</f>
        <v/>
      </c>
      <c r="CR920" t="str">
        <f>""</f>
        <v/>
      </c>
      <c r="CS920" t="str">
        <f>""</f>
        <v/>
      </c>
      <c r="CT920" t="str">
        <f>""</f>
        <v/>
      </c>
      <c r="CU920" t="str">
        <f>""</f>
        <v/>
      </c>
      <c r="CV920" t="str">
        <f>""</f>
        <v/>
      </c>
      <c r="CW920" t="str">
        <f>""</f>
        <v/>
      </c>
      <c r="CX920" t="str">
        <f>""</f>
        <v/>
      </c>
      <c r="CY920" t="str">
        <f>""</f>
        <v/>
      </c>
      <c r="CZ920" t="str">
        <f>""</f>
        <v/>
      </c>
      <c r="DA920" t="str">
        <f>""</f>
        <v/>
      </c>
      <c r="DB920" t="str">
        <f>""</f>
        <v/>
      </c>
      <c r="DC920" t="str">
        <f>""</f>
        <v/>
      </c>
      <c r="DD920" t="str">
        <f>""</f>
        <v/>
      </c>
      <c r="DE920" t="str">
        <f>""</f>
        <v/>
      </c>
      <c r="DF920" t="str">
        <f>""</f>
        <v/>
      </c>
      <c r="DG920" t="str">
        <f>""</f>
        <v/>
      </c>
      <c r="DH920" t="str">
        <f>""</f>
        <v/>
      </c>
      <c r="DI920" t="str">
        <f>""</f>
        <v/>
      </c>
      <c r="DJ920" t="str">
        <f>""</f>
        <v/>
      </c>
      <c r="DK920" t="str">
        <f>""</f>
        <v/>
      </c>
      <c r="DL920" t="str">
        <f>""</f>
        <v/>
      </c>
      <c r="DM920" t="str">
        <f>""</f>
        <v/>
      </c>
      <c r="DN920" t="str">
        <f>""</f>
        <v/>
      </c>
      <c r="DO920" t="str">
        <f>""</f>
        <v/>
      </c>
      <c r="DP920" t="str">
        <f>""</f>
        <v/>
      </c>
      <c r="DQ920" t="str">
        <f>""</f>
        <v/>
      </c>
      <c r="DR920" t="str">
        <f>""</f>
        <v/>
      </c>
      <c r="DS920" t="str">
        <f>""</f>
        <v/>
      </c>
      <c r="DT920" t="str">
        <f>""</f>
        <v/>
      </c>
      <c r="DU920" t="str">
        <f>""</f>
        <v/>
      </c>
    </row>
    <row r="921" spans="1:125" x14ac:dyDescent="0.25">
      <c r="A921" t="str">
        <f>$A$423</f>
        <v xml:space="preserve">    Dongfeng Motor Group Co Ltd</v>
      </c>
      <c r="B921" t="str">
        <f>$B$423</f>
        <v>489 HK Equity</v>
      </c>
      <c r="C921" t="str">
        <f>$C$423</f>
        <v>PR005</v>
      </c>
      <c r="D921" t="str">
        <f>$D$423</f>
        <v>PX_LAST</v>
      </c>
      <c r="E921" t="str">
        <f>$E$423</f>
        <v>Dynamic</v>
      </c>
      <c r="F921" t="str">
        <f ca="1">_xll.BDH($B$423,$C$423,$B$509,$B$510,CONCATENATE("Per=",$B$507),"Dts=H","Dir=H",CONCATENATE("Points=",$B$508),"Sort=R","Days=A","Fill=B",CONCATENATE("FX=", $B$506) )</f>
        <v>#N/A Connection</v>
      </c>
      <c r="BN921" t="str">
        <f>""</f>
        <v/>
      </c>
      <c r="BO921" t="str">
        <f>""</f>
        <v/>
      </c>
      <c r="BP921" t="str">
        <f>""</f>
        <v/>
      </c>
      <c r="BQ921" t="str">
        <f>""</f>
        <v/>
      </c>
      <c r="BR921" t="str">
        <f>""</f>
        <v/>
      </c>
      <c r="BS921" t="str">
        <f>""</f>
        <v/>
      </c>
      <c r="BT921" t="str">
        <f>""</f>
        <v/>
      </c>
      <c r="BU921" t="str">
        <f>""</f>
        <v/>
      </c>
      <c r="BV921" t="str">
        <f>""</f>
        <v/>
      </c>
      <c r="BW921" t="str">
        <f>""</f>
        <v/>
      </c>
      <c r="BX921" t="str">
        <f>""</f>
        <v/>
      </c>
      <c r="BY921" t="str">
        <f>""</f>
        <v/>
      </c>
      <c r="BZ921" t="str">
        <f>""</f>
        <v/>
      </c>
      <c r="CA921" t="str">
        <f>""</f>
        <v/>
      </c>
      <c r="CB921" t="str">
        <f>""</f>
        <v/>
      </c>
      <c r="CC921" t="str">
        <f>""</f>
        <v/>
      </c>
      <c r="CD921" t="str">
        <f>""</f>
        <v/>
      </c>
      <c r="CE921" t="str">
        <f>""</f>
        <v/>
      </c>
      <c r="CF921" t="str">
        <f>""</f>
        <v/>
      </c>
      <c r="CG921" t="str">
        <f>""</f>
        <v/>
      </c>
      <c r="CH921" t="str">
        <f>""</f>
        <v/>
      </c>
      <c r="CI921" t="str">
        <f>""</f>
        <v/>
      </c>
      <c r="CJ921" t="str">
        <f>""</f>
        <v/>
      </c>
      <c r="CK921" t="str">
        <f>""</f>
        <v/>
      </c>
      <c r="CL921" t="str">
        <f>""</f>
        <v/>
      </c>
      <c r="CM921" t="str">
        <f>""</f>
        <v/>
      </c>
      <c r="CN921" t="str">
        <f>""</f>
        <v/>
      </c>
      <c r="CO921" t="str">
        <f>""</f>
        <v/>
      </c>
      <c r="CP921" t="str">
        <f>""</f>
        <v/>
      </c>
      <c r="CQ921" t="str">
        <f>""</f>
        <v/>
      </c>
      <c r="CR921" t="str">
        <f>""</f>
        <v/>
      </c>
      <c r="CS921" t="str">
        <f>""</f>
        <v/>
      </c>
      <c r="CT921" t="str">
        <f>""</f>
        <v/>
      </c>
      <c r="CU921" t="str">
        <f>""</f>
        <v/>
      </c>
      <c r="CV921" t="str">
        <f>""</f>
        <v/>
      </c>
      <c r="CW921" t="str">
        <f>""</f>
        <v/>
      </c>
      <c r="CX921" t="str">
        <f>""</f>
        <v/>
      </c>
      <c r="CY921" t="str">
        <f>""</f>
        <v/>
      </c>
      <c r="CZ921" t="str">
        <f>""</f>
        <v/>
      </c>
      <c r="DA921" t="str">
        <f>""</f>
        <v/>
      </c>
      <c r="DB921" t="str">
        <f>""</f>
        <v/>
      </c>
      <c r="DC921" t="str">
        <f>""</f>
        <v/>
      </c>
      <c r="DD921" t="str">
        <f>""</f>
        <v/>
      </c>
      <c r="DE921" t="str">
        <f>""</f>
        <v/>
      </c>
      <c r="DF921" t="str">
        <f>""</f>
        <v/>
      </c>
      <c r="DG921" t="str">
        <f>""</f>
        <v/>
      </c>
      <c r="DH921" t="str">
        <f>""</f>
        <v/>
      </c>
      <c r="DI921" t="str">
        <f>""</f>
        <v/>
      </c>
      <c r="DJ921" t="str">
        <f>""</f>
        <v/>
      </c>
      <c r="DK921" t="str">
        <f>""</f>
        <v/>
      </c>
      <c r="DL921" t="str">
        <f>""</f>
        <v/>
      </c>
      <c r="DM921" t="str">
        <f>""</f>
        <v/>
      </c>
      <c r="DN921" t="str">
        <f>""</f>
        <v/>
      </c>
      <c r="DO921" t="str">
        <f>""</f>
        <v/>
      </c>
      <c r="DP921" t="str">
        <f>""</f>
        <v/>
      </c>
      <c r="DQ921" t="str">
        <f>""</f>
        <v/>
      </c>
      <c r="DR921" t="str">
        <f>""</f>
        <v/>
      </c>
      <c r="DS921" t="str">
        <f>""</f>
        <v/>
      </c>
      <c r="DT921" t="str">
        <f>""</f>
        <v/>
      </c>
      <c r="DU921" t="str">
        <f>""</f>
        <v/>
      </c>
    </row>
    <row r="922" spans="1:125" x14ac:dyDescent="0.25">
      <c r="A922" t="str">
        <f>$A$424</f>
        <v xml:space="preserve">    DRB-Hicom Bhd</v>
      </c>
      <c r="B922" t="str">
        <f>$B$424</f>
        <v>DRB MK Equity</v>
      </c>
      <c r="C922" t="str">
        <f>$C$424</f>
        <v>PR005</v>
      </c>
      <c r="D922" t="str">
        <f>$D$424</f>
        <v>PX_LAST</v>
      </c>
      <c r="E922" t="str">
        <f>$E$424</f>
        <v>Dynamic</v>
      </c>
      <c r="F922" t="str">
        <f ca="1">_xll.BDH($B$424,$C$424,$B$509,$B$510,CONCATENATE("Per=",$B$507),"Dts=H","Dir=H",CONCATENATE("Points=",$B$508),"Sort=R","Days=A","Fill=B",CONCATENATE("FX=", $B$506) )</f>
        <v>#N/A Connection</v>
      </c>
      <c r="BN922" t="str">
        <f>""</f>
        <v/>
      </c>
      <c r="BO922" t="str">
        <f>""</f>
        <v/>
      </c>
      <c r="BP922" t="str">
        <f>""</f>
        <v/>
      </c>
      <c r="BQ922" t="str">
        <f>""</f>
        <v/>
      </c>
      <c r="BR922" t="str">
        <f>""</f>
        <v/>
      </c>
      <c r="BS922" t="str">
        <f>""</f>
        <v/>
      </c>
      <c r="BT922" t="str">
        <f>""</f>
        <v/>
      </c>
      <c r="BU922" t="str">
        <f>""</f>
        <v/>
      </c>
      <c r="BV922" t="str">
        <f>""</f>
        <v/>
      </c>
      <c r="BW922" t="str">
        <f>""</f>
        <v/>
      </c>
      <c r="BX922" t="str">
        <f>""</f>
        <v/>
      </c>
      <c r="BY922" t="str">
        <f>""</f>
        <v/>
      </c>
      <c r="BZ922" t="str">
        <f>""</f>
        <v/>
      </c>
      <c r="CA922" t="str">
        <f>""</f>
        <v/>
      </c>
      <c r="CB922" t="str">
        <f>""</f>
        <v/>
      </c>
      <c r="CC922" t="str">
        <f>""</f>
        <v/>
      </c>
      <c r="CD922" t="str">
        <f>""</f>
        <v/>
      </c>
      <c r="CE922" t="str">
        <f>""</f>
        <v/>
      </c>
      <c r="CF922" t="str">
        <f>""</f>
        <v/>
      </c>
      <c r="CG922" t="str">
        <f>""</f>
        <v/>
      </c>
      <c r="CH922" t="str">
        <f>""</f>
        <v/>
      </c>
      <c r="CI922" t="str">
        <f>""</f>
        <v/>
      </c>
      <c r="CJ922" t="str">
        <f>""</f>
        <v/>
      </c>
      <c r="CK922" t="str">
        <f>""</f>
        <v/>
      </c>
      <c r="CL922" t="str">
        <f>""</f>
        <v/>
      </c>
      <c r="CM922" t="str">
        <f>""</f>
        <v/>
      </c>
      <c r="CN922" t="str">
        <f>""</f>
        <v/>
      </c>
      <c r="CO922" t="str">
        <f>""</f>
        <v/>
      </c>
      <c r="CP922" t="str">
        <f>""</f>
        <v/>
      </c>
      <c r="CQ922" t="str">
        <f>""</f>
        <v/>
      </c>
      <c r="CR922" t="str">
        <f>""</f>
        <v/>
      </c>
      <c r="CS922" t="str">
        <f>""</f>
        <v/>
      </c>
      <c r="CT922" t="str">
        <f>""</f>
        <v/>
      </c>
      <c r="CU922" t="str">
        <f>""</f>
        <v/>
      </c>
      <c r="CV922" t="str">
        <f>""</f>
        <v/>
      </c>
      <c r="CW922" t="str">
        <f>""</f>
        <v/>
      </c>
      <c r="CX922" t="str">
        <f>""</f>
        <v/>
      </c>
      <c r="CY922" t="str">
        <f>""</f>
        <v/>
      </c>
      <c r="CZ922" t="str">
        <f>""</f>
        <v/>
      </c>
      <c r="DA922" t="str">
        <f>""</f>
        <v/>
      </c>
      <c r="DB922" t="str">
        <f>""</f>
        <v/>
      </c>
      <c r="DC922" t="str">
        <f>""</f>
        <v/>
      </c>
      <c r="DD922" t="str">
        <f>""</f>
        <v/>
      </c>
      <c r="DE922" t="str">
        <f>""</f>
        <v/>
      </c>
      <c r="DF922" t="str">
        <f>""</f>
        <v/>
      </c>
      <c r="DG922" t="str">
        <f>""</f>
        <v/>
      </c>
      <c r="DH922" t="str">
        <f>""</f>
        <v/>
      </c>
      <c r="DI922" t="str">
        <f>""</f>
        <v/>
      </c>
      <c r="DJ922" t="str">
        <f>""</f>
        <v/>
      </c>
      <c r="DK922" t="str">
        <f>""</f>
        <v/>
      </c>
      <c r="DL922" t="str">
        <f>""</f>
        <v/>
      </c>
      <c r="DM922" t="str">
        <f>""</f>
        <v/>
      </c>
      <c r="DN922" t="str">
        <f>""</f>
        <v/>
      </c>
      <c r="DO922" t="str">
        <f>""</f>
        <v/>
      </c>
      <c r="DP922" t="str">
        <f>""</f>
        <v/>
      </c>
      <c r="DQ922" t="str">
        <f>""</f>
        <v/>
      </c>
      <c r="DR922" t="str">
        <f>""</f>
        <v/>
      </c>
      <c r="DS922" t="str">
        <f>""</f>
        <v/>
      </c>
      <c r="DT922" t="str">
        <f>""</f>
        <v/>
      </c>
      <c r="DU922" t="str">
        <f>""</f>
        <v/>
      </c>
    </row>
    <row r="923" spans="1:125" x14ac:dyDescent="0.25">
      <c r="A923" t="str">
        <f>$A$425</f>
        <v xml:space="preserve">    FAW CAR Co Ltd</v>
      </c>
      <c r="B923" t="str">
        <f>$B$425</f>
        <v>000800 CH Equity</v>
      </c>
      <c r="C923" t="str">
        <f>$C$425</f>
        <v>PR005</v>
      </c>
      <c r="D923" t="str">
        <f>$D$425</f>
        <v>PX_LAST</v>
      </c>
      <c r="E923" t="str">
        <f>$E$425</f>
        <v>Dynamic</v>
      </c>
      <c r="F923" t="str">
        <f ca="1">_xll.BDH($B$425,$C$425,$B$509,$B$510,CONCATENATE("Per=",$B$507),"Dts=H","Dir=H",CONCATENATE("Points=",$B$508),"Sort=R","Days=A","Fill=B",CONCATENATE("FX=", $B$506) )</f>
        <v>#N/A Connection</v>
      </c>
      <c r="BN923" t="str">
        <f>""</f>
        <v/>
      </c>
      <c r="BO923" t="str">
        <f>""</f>
        <v/>
      </c>
      <c r="BP923" t="str">
        <f>""</f>
        <v/>
      </c>
      <c r="BQ923" t="str">
        <f>""</f>
        <v/>
      </c>
      <c r="BR923" t="str">
        <f>""</f>
        <v/>
      </c>
      <c r="BS923" t="str">
        <f>""</f>
        <v/>
      </c>
      <c r="BT923" t="str">
        <f>""</f>
        <v/>
      </c>
      <c r="BU923" t="str">
        <f>""</f>
        <v/>
      </c>
      <c r="BV923" t="str">
        <f>""</f>
        <v/>
      </c>
      <c r="BW923" t="str">
        <f>""</f>
        <v/>
      </c>
      <c r="BX923" t="str">
        <f>""</f>
        <v/>
      </c>
      <c r="BY923" t="str">
        <f>""</f>
        <v/>
      </c>
      <c r="BZ923" t="str">
        <f>""</f>
        <v/>
      </c>
      <c r="CA923" t="str">
        <f>""</f>
        <v/>
      </c>
      <c r="CB923" t="str">
        <f>""</f>
        <v/>
      </c>
      <c r="CC923" t="str">
        <f>""</f>
        <v/>
      </c>
      <c r="CD923" t="str">
        <f>""</f>
        <v/>
      </c>
      <c r="CE923" t="str">
        <f>""</f>
        <v/>
      </c>
      <c r="CF923" t="str">
        <f>""</f>
        <v/>
      </c>
      <c r="CG923" t="str">
        <f>""</f>
        <v/>
      </c>
      <c r="CH923" t="str">
        <f>""</f>
        <v/>
      </c>
      <c r="CI923" t="str">
        <f>""</f>
        <v/>
      </c>
      <c r="CJ923" t="str">
        <f>""</f>
        <v/>
      </c>
      <c r="CK923" t="str">
        <f>""</f>
        <v/>
      </c>
      <c r="CL923" t="str">
        <f>""</f>
        <v/>
      </c>
      <c r="CM923" t="str">
        <f>""</f>
        <v/>
      </c>
      <c r="CN923" t="str">
        <f>""</f>
        <v/>
      </c>
      <c r="CO923" t="str">
        <f>""</f>
        <v/>
      </c>
      <c r="CP923" t="str">
        <f>""</f>
        <v/>
      </c>
      <c r="CQ923" t="str">
        <f>""</f>
        <v/>
      </c>
      <c r="CR923" t="str">
        <f>""</f>
        <v/>
      </c>
      <c r="CS923" t="str">
        <f>""</f>
        <v/>
      </c>
      <c r="CT923" t="str">
        <f>""</f>
        <v/>
      </c>
      <c r="CU923" t="str">
        <f>""</f>
        <v/>
      </c>
      <c r="CV923" t="str">
        <f>""</f>
        <v/>
      </c>
      <c r="CW923" t="str">
        <f>""</f>
        <v/>
      </c>
      <c r="CX923" t="str">
        <f>""</f>
        <v/>
      </c>
      <c r="CY923" t="str">
        <f>""</f>
        <v/>
      </c>
      <c r="CZ923" t="str">
        <f>""</f>
        <v/>
      </c>
      <c r="DA923" t="str">
        <f>""</f>
        <v/>
      </c>
      <c r="DB923" t="str">
        <f>""</f>
        <v/>
      </c>
      <c r="DC923" t="str">
        <f>""</f>
        <v/>
      </c>
      <c r="DD923" t="str">
        <f>""</f>
        <v/>
      </c>
      <c r="DE923" t="str">
        <f>""</f>
        <v/>
      </c>
      <c r="DF923" t="str">
        <f>""</f>
        <v/>
      </c>
      <c r="DG923" t="str">
        <f>""</f>
        <v/>
      </c>
      <c r="DH923" t="str">
        <f>""</f>
        <v/>
      </c>
      <c r="DI923" t="str">
        <f>""</f>
        <v/>
      </c>
      <c r="DJ923" t="str">
        <f>""</f>
        <v/>
      </c>
      <c r="DK923" t="str">
        <f>""</f>
        <v/>
      </c>
      <c r="DL923" t="str">
        <f>""</f>
        <v/>
      </c>
      <c r="DM923" t="str">
        <f>""</f>
        <v/>
      </c>
      <c r="DN923" t="str">
        <f>""</f>
        <v/>
      </c>
      <c r="DO923" t="str">
        <f>""</f>
        <v/>
      </c>
      <c r="DP923" t="str">
        <f>""</f>
        <v/>
      </c>
      <c r="DQ923" t="str">
        <f>""</f>
        <v/>
      </c>
      <c r="DR923" t="str">
        <f>""</f>
        <v/>
      </c>
      <c r="DS923" t="str">
        <f>""</f>
        <v/>
      </c>
      <c r="DT923" t="str">
        <f>""</f>
        <v/>
      </c>
      <c r="DU923" t="str">
        <f>""</f>
        <v/>
      </c>
    </row>
    <row r="924" spans="1:125" x14ac:dyDescent="0.25">
      <c r="A924" t="str">
        <f>$A$426</f>
        <v xml:space="preserve">    Fiat Chrysler Automobiles NV</v>
      </c>
      <c r="B924" t="str">
        <f>$B$426</f>
        <v>FCAU US Equity</v>
      </c>
      <c r="C924" t="str">
        <f>$C$426</f>
        <v>PR005</v>
      </c>
      <c r="D924" t="str">
        <f>$D$426</f>
        <v>PX_LAST</v>
      </c>
      <c r="E924" t="str">
        <f>$E$426</f>
        <v>Dynamic</v>
      </c>
      <c r="F924" t="str">
        <f ca="1">_xll.BDH($B$426,$C$426,$B$509,$B$510,CONCATENATE("Per=",$B$507),"Dts=H","Dir=H",CONCATENATE("Points=",$B$508),"Sort=R","Days=A","Fill=B",CONCATENATE("FX=", $B$506) )</f>
        <v>#N/A Connection</v>
      </c>
      <c r="BN924" t="str">
        <f>""</f>
        <v/>
      </c>
      <c r="BO924" t="str">
        <f>""</f>
        <v/>
      </c>
      <c r="BP924" t="str">
        <f>""</f>
        <v/>
      </c>
      <c r="BQ924" t="str">
        <f>""</f>
        <v/>
      </c>
      <c r="BR924" t="str">
        <f>""</f>
        <v/>
      </c>
      <c r="BS924" t="str">
        <f>""</f>
        <v/>
      </c>
      <c r="BT924" t="str">
        <f>""</f>
        <v/>
      </c>
      <c r="BU924" t="str">
        <f>""</f>
        <v/>
      </c>
      <c r="BV924" t="str">
        <f>""</f>
        <v/>
      </c>
      <c r="BW924" t="str">
        <f>""</f>
        <v/>
      </c>
      <c r="BX924" t="str">
        <f>""</f>
        <v/>
      </c>
      <c r="BY924" t="str">
        <f>""</f>
        <v/>
      </c>
      <c r="BZ924" t="str">
        <f>""</f>
        <v/>
      </c>
      <c r="CA924" t="str">
        <f>""</f>
        <v/>
      </c>
      <c r="CB924" t="str">
        <f>""</f>
        <v/>
      </c>
      <c r="CC924" t="str">
        <f>""</f>
        <v/>
      </c>
      <c r="CD924" t="str">
        <f>""</f>
        <v/>
      </c>
      <c r="CE924" t="str">
        <f>""</f>
        <v/>
      </c>
      <c r="CF924" t="str">
        <f>""</f>
        <v/>
      </c>
      <c r="CG924" t="str">
        <f>""</f>
        <v/>
      </c>
      <c r="CH924" t="str">
        <f>""</f>
        <v/>
      </c>
      <c r="CI924" t="str">
        <f>""</f>
        <v/>
      </c>
      <c r="CJ924" t="str">
        <f>""</f>
        <v/>
      </c>
      <c r="CK924" t="str">
        <f>""</f>
        <v/>
      </c>
      <c r="CL924" t="str">
        <f>""</f>
        <v/>
      </c>
      <c r="CM924" t="str">
        <f>""</f>
        <v/>
      </c>
      <c r="CN924" t="str">
        <f>""</f>
        <v/>
      </c>
      <c r="CO924" t="str">
        <f>""</f>
        <v/>
      </c>
      <c r="CP924" t="str">
        <f>""</f>
        <v/>
      </c>
      <c r="CQ924" t="str">
        <f>""</f>
        <v/>
      </c>
      <c r="CR924" t="str">
        <f>""</f>
        <v/>
      </c>
      <c r="CS924" t="str">
        <f>""</f>
        <v/>
      </c>
      <c r="CT924" t="str">
        <f>""</f>
        <v/>
      </c>
      <c r="CU924" t="str">
        <f>""</f>
        <v/>
      </c>
      <c r="CV924" t="str">
        <f>""</f>
        <v/>
      </c>
      <c r="CW924" t="str">
        <f>""</f>
        <v/>
      </c>
      <c r="CX924" t="str">
        <f>""</f>
        <v/>
      </c>
      <c r="CY924" t="str">
        <f>""</f>
        <v/>
      </c>
      <c r="CZ924" t="str">
        <f>""</f>
        <v/>
      </c>
      <c r="DA924" t="str">
        <f>""</f>
        <v/>
      </c>
      <c r="DB924" t="str">
        <f>""</f>
        <v/>
      </c>
      <c r="DC924" t="str">
        <f>""</f>
        <v/>
      </c>
      <c r="DD924" t="str">
        <f>""</f>
        <v/>
      </c>
      <c r="DE924" t="str">
        <f>""</f>
        <v/>
      </c>
      <c r="DF924" t="str">
        <f>""</f>
        <v/>
      </c>
      <c r="DG924" t="str">
        <f>""</f>
        <v/>
      </c>
      <c r="DH924" t="str">
        <f>""</f>
        <v/>
      </c>
      <c r="DI924" t="str">
        <f>""</f>
        <v/>
      </c>
      <c r="DJ924" t="str">
        <f>""</f>
        <v/>
      </c>
      <c r="DK924" t="str">
        <f>""</f>
        <v/>
      </c>
      <c r="DL924" t="str">
        <f>""</f>
        <v/>
      </c>
      <c r="DM924" t="str">
        <f>""</f>
        <v/>
      </c>
      <c r="DN924" t="str">
        <f>""</f>
        <v/>
      </c>
      <c r="DO924" t="str">
        <f>""</f>
        <v/>
      </c>
      <c r="DP924" t="str">
        <f>""</f>
        <v/>
      </c>
      <c r="DQ924" t="str">
        <f>""</f>
        <v/>
      </c>
      <c r="DR924" t="str">
        <f>""</f>
        <v/>
      </c>
      <c r="DS924" t="str">
        <f>""</f>
        <v/>
      </c>
      <c r="DT924" t="str">
        <f>""</f>
        <v/>
      </c>
      <c r="DU924" t="str">
        <f>""</f>
        <v/>
      </c>
    </row>
    <row r="925" spans="1:125" x14ac:dyDescent="0.25">
      <c r="A925" t="str">
        <f>$A$427</f>
        <v xml:space="preserve">    Ford Motor Co</v>
      </c>
      <c r="B925" t="str">
        <f>$B$427</f>
        <v>F US Equity</v>
      </c>
      <c r="C925" t="str">
        <f>$C$427</f>
        <v>PR005</v>
      </c>
      <c r="D925" t="str">
        <f>$D$427</f>
        <v>PX_LAST</v>
      </c>
      <c r="E925" t="str">
        <f>$E$427</f>
        <v>Dynamic</v>
      </c>
      <c r="F925" t="str">
        <f ca="1">_xll.BDH($B$427,$C$427,$B$509,$B$510,CONCATENATE("Per=",$B$507),"Dts=H","Dir=H",CONCATENATE("Points=",$B$508),"Sort=R","Days=A","Fill=B",CONCATENATE("FX=", $B$506) )</f>
        <v>#N/A Connection</v>
      </c>
      <c r="BN925" t="str">
        <f>""</f>
        <v/>
      </c>
      <c r="BO925" t="str">
        <f>""</f>
        <v/>
      </c>
      <c r="BP925" t="str">
        <f>""</f>
        <v/>
      </c>
      <c r="BQ925" t="str">
        <f>""</f>
        <v/>
      </c>
      <c r="BR925" t="str">
        <f>""</f>
        <v/>
      </c>
      <c r="BS925" t="str">
        <f>""</f>
        <v/>
      </c>
      <c r="BT925" t="str">
        <f>""</f>
        <v/>
      </c>
      <c r="BU925" t="str">
        <f>""</f>
        <v/>
      </c>
      <c r="BV925" t="str">
        <f>""</f>
        <v/>
      </c>
      <c r="BW925" t="str">
        <f>""</f>
        <v/>
      </c>
      <c r="BX925" t="str">
        <f>""</f>
        <v/>
      </c>
      <c r="BY925" t="str">
        <f>""</f>
        <v/>
      </c>
      <c r="BZ925" t="str">
        <f>""</f>
        <v/>
      </c>
      <c r="CA925" t="str">
        <f>""</f>
        <v/>
      </c>
      <c r="CB925" t="str">
        <f>""</f>
        <v/>
      </c>
      <c r="CC925" t="str">
        <f>""</f>
        <v/>
      </c>
      <c r="CD925" t="str">
        <f>""</f>
        <v/>
      </c>
      <c r="CE925" t="str">
        <f>""</f>
        <v/>
      </c>
      <c r="CF925" t="str">
        <f>""</f>
        <v/>
      </c>
      <c r="CG925" t="str">
        <f>""</f>
        <v/>
      </c>
      <c r="CH925" t="str">
        <f>""</f>
        <v/>
      </c>
      <c r="CI925" t="str">
        <f>""</f>
        <v/>
      </c>
      <c r="CJ925" t="str">
        <f>""</f>
        <v/>
      </c>
      <c r="CK925" t="str">
        <f>""</f>
        <v/>
      </c>
      <c r="CL925" t="str">
        <f>""</f>
        <v/>
      </c>
      <c r="CM925" t="str">
        <f>""</f>
        <v/>
      </c>
      <c r="CN925" t="str">
        <f>""</f>
        <v/>
      </c>
      <c r="CO925" t="str">
        <f>""</f>
        <v/>
      </c>
      <c r="CP925" t="str">
        <f>""</f>
        <v/>
      </c>
      <c r="CQ925" t="str">
        <f>""</f>
        <v/>
      </c>
      <c r="CR925" t="str">
        <f>""</f>
        <v/>
      </c>
      <c r="CS925" t="str">
        <f>""</f>
        <v/>
      </c>
      <c r="CT925" t="str">
        <f>""</f>
        <v/>
      </c>
      <c r="CU925" t="str">
        <f>""</f>
        <v/>
      </c>
      <c r="CV925" t="str">
        <f>""</f>
        <v/>
      </c>
      <c r="CW925" t="str">
        <f>""</f>
        <v/>
      </c>
      <c r="CX925" t="str">
        <f>""</f>
        <v/>
      </c>
      <c r="CY925" t="str">
        <f>""</f>
        <v/>
      </c>
      <c r="CZ925" t="str">
        <f>""</f>
        <v/>
      </c>
      <c r="DA925" t="str">
        <f>""</f>
        <v/>
      </c>
      <c r="DB925" t="str">
        <f>""</f>
        <v/>
      </c>
      <c r="DC925" t="str">
        <f>""</f>
        <v/>
      </c>
      <c r="DD925" t="str">
        <f>""</f>
        <v/>
      </c>
      <c r="DE925" t="str">
        <f>""</f>
        <v/>
      </c>
      <c r="DF925" t="str">
        <f>""</f>
        <v/>
      </c>
      <c r="DG925" t="str">
        <f>""</f>
        <v/>
      </c>
      <c r="DH925" t="str">
        <f>""</f>
        <v/>
      </c>
      <c r="DI925" t="str">
        <f>""</f>
        <v/>
      </c>
      <c r="DJ925" t="str">
        <f>""</f>
        <v/>
      </c>
      <c r="DK925" t="str">
        <f>""</f>
        <v/>
      </c>
      <c r="DL925" t="str">
        <f>""</f>
        <v/>
      </c>
      <c r="DM925" t="str">
        <f>""</f>
        <v/>
      </c>
      <c r="DN925" t="str">
        <f>""</f>
        <v/>
      </c>
      <c r="DO925" t="str">
        <f>""</f>
        <v/>
      </c>
      <c r="DP925" t="str">
        <f>""</f>
        <v/>
      </c>
      <c r="DQ925" t="str">
        <f>""</f>
        <v/>
      </c>
      <c r="DR925" t="str">
        <f>""</f>
        <v/>
      </c>
      <c r="DS925" t="str">
        <f>""</f>
        <v/>
      </c>
      <c r="DT925" t="str">
        <f>""</f>
        <v/>
      </c>
      <c r="DU925" t="str">
        <f>""</f>
        <v/>
      </c>
    </row>
    <row r="926" spans="1:125" x14ac:dyDescent="0.25">
      <c r="A926" t="str">
        <f>$A$428</f>
        <v xml:space="preserve">    Ford Otomotiv Sanayi AS</v>
      </c>
      <c r="B926" t="str">
        <f>$B$428</f>
        <v>FROTOTRY EO Equity</v>
      </c>
      <c r="C926" t="str">
        <f>$C$428</f>
        <v>PR005</v>
      </c>
      <c r="D926" t="str">
        <f>$D$428</f>
        <v>PX_LAST</v>
      </c>
      <c r="E926" t="str">
        <f>$E$428</f>
        <v>Dynamic</v>
      </c>
      <c r="F926" t="str">
        <f ca="1">_xll.BDH($B$428,$C$428,$B$509,$B$510,CONCATENATE("Per=",$B$507),"Dts=H","Dir=H",CONCATENATE("Points=",$B$508),"Sort=R","Days=A","Fill=B",CONCATENATE("FX=", $B$506) )</f>
        <v>#N/A Connection</v>
      </c>
      <c r="BN926" t="str">
        <f>""</f>
        <v/>
      </c>
      <c r="BO926" t="str">
        <f>""</f>
        <v/>
      </c>
      <c r="BP926" t="str">
        <f>""</f>
        <v/>
      </c>
      <c r="BQ926" t="str">
        <f>""</f>
        <v/>
      </c>
      <c r="BR926" t="str">
        <f>""</f>
        <v/>
      </c>
      <c r="BS926" t="str">
        <f>""</f>
        <v/>
      </c>
      <c r="BT926" t="str">
        <f>""</f>
        <v/>
      </c>
      <c r="BU926" t="str">
        <f>""</f>
        <v/>
      </c>
      <c r="BV926" t="str">
        <f>""</f>
        <v/>
      </c>
      <c r="BW926" t="str">
        <f>""</f>
        <v/>
      </c>
      <c r="BX926" t="str">
        <f>""</f>
        <v/>
      </c>
      <c r="BY926" t="str">
        <f>""</f>
        <v/>
      </c>
      <c r="BZ926" t="str">
        <f>""</f>
        <v/>
      </c>
      <c r="CA926" t="str">
        <f>""</f>
        <v/>
      </c>
      <c r="CB926" t="str">
        <f>""</f>
        <v/>
      </c>
      <c r="CC926" t="str">
        <f>""</f>
        <v/>
      </c>
      <c r="CD926" t="str">
        <f>""</f>
        <v/>
      </c>
      <c r="CE926" t="str">
        <f>""</f>
        <v/>
      </c>
      <c r="CF926" t="str">
        <f>""</f>
        <v/>
      </c>
      <c r="CG926" t="str">
        <f>""</f>
        <v/>
      </c>
      <c r="CH926" t="str">
        <f>""</f>
        <v/>
      </c>
      <c r="CI926" t="str">
        <f>""</f>
        <v/>
      </c>
      <c r="CJ926" t="str">
        <f>""</f>
        <v/>
      </c>
      <c r="CK926" t="str">
        <f>""</f>
        <v/>
      </c>
      <c r="CL926" t="str">
        <f>""</f>
        <v/>
      </c>
      <c r="CM926" t="str">
        <f>""</f>
        <v/>
      </c>
      <c r="CN926" t="str">
        <f>""</f>
        <v/>
      </c>
      <c r="CO926" t="str">
        <f>""</f>
        <v/>
      </c>
      <c r="CP926" t="str">
        <f>""</f>
        <v/>
      </c>
      <c r="CQ926" t="str">
        <f>""</f>
        <v/>
      </c>
      <c r="CR926" t="str">
        <f>""</f>
        <v/>
      </c>
      <c r="CS926" t="str">
        <f>""</f>
        <v/>
      </c>
      <c r="CT926" t="str">
        <f>""</f>
        <v/>
      </c>
      <c r="CU926" t="str">
        <f>""</f>
        <v/>
      </c>
      <c r="CV926" t="str">
        <f>""</f>
        <v/>
      </c>
      <c r="CW926" t="str">
        <f>""</f>
        <v/>
      </c>
      <c r="CX926" t="str">
        <f>""</f>
        <v/>
      </c>
      <c r="CY926" t="str">
        <f>""</f>
        <v/>
      </c>
      <c r="CZ926" t="str">
        <f>""</f>
        <v/>
      </c>
      <c r="DA926" t="str">
        <f>""</f>
        <v/>
      </c>
      <c r="DB926" t="str">
        <f>""</f>
        <v/>
      </c>
      <c r="DC926" t="str">
        <f>""</f>
        <v/>
      </c>
      <c r="DD926" t="str">
        <f>""</f>
        <v/>
      </c>
      <c r="DE926" t="str">
        <f>""</f>
        <v/>
      </c>
      <c r="DF926" t="str">
        <f>""</f>
        <v/>
      </c>
      <c r="DG926" t="str">
        <f>""</f>
        <v/>
      </c>
      <c r="DH926" t="str">
        <f>""</f>
        <v/>
      </c>
      <c r="DI926" t="str">
        <f>""</f>
        <v/>
      </c>
      <c r="DJ926" t="str">
        <f>""</f>
        <v/>
      </c>
      <c r="DK926" t="str">
        <f>""</f>
        <v/>
      </c>
      <c r="DL926" t="str">
        <f>""</f>
        <v/>
      </c>
      <c r="DM926" t="str">
        <f>""</f>
        <v/>
      </c>
      <c r="DN926" t="str">
        <f>""</f>
        <v/>
      </c>
      <c r="DO926" t="str">
        <f>""</f>
        <v/>
      </c>
      <c r="DP926" t="str">
        <f>""</f>
        <v/>
      </c>
      <c r="DQ926" t="str">
        <f>""</f>
        <v/>
      </c>
      <c r="DR926" t="str">
        <f>""</f>
        <v/>
      </c>
      <c r="DS926" t="str">
        <f>""</f>
        <v/>
      </c>
      <c r="DT926" t="str">
        <f>""</f>
        <v/>
      </c>
      <c r="DU926" t="str">
        <f>""</f>
        <v/>
      </c>
    </row>
    <row r="927" spans="1:125" x14ac:dyDescent="0.25">
      <c r="A927" t="str">
        <f>$A$429</f>
        <v xml:space="preserve">    GAZ PJSC</v>
      </c>
      <c r="B927" t="str">
        <f>$B$429</f>
        <v>GAZA RM Equity</v>
      </c>
      <c r="C927" t="str">
        <f>$C$429</f>
        <v>PR005</v>
      </c>
      <c r="D927" t="str">
        <f>$D$429</f>
        <v>PX_LAST</v>
      </c>
      <c r="E927" t="str">
        <f>$E$429</f>
        <v>Dynamic</v>
      </c>
      <c r="F927" t="str">
        <f ca="1">_xll.BDH($B$429,$C$429,$B$509,$B$510,CONCATENATE("Per=",$B$507),"Dts=H","Dir=H",CONCATENATE("Points=",$B$508),"Sort=R","Days=A","Fill=B",CONCATENATE("FX=", $B$506) )</f>
        <v>#N/A Connection</v>
      </c>
      <c r="BN927" t="str">
        <f>""</f>
        <v/>
      </c>
      <c r="BO927" t="str">
        <f>""</f>
        <v/>
      </c>
      <c r="BP927" t="str">
        <f>""</f>
        <v/>
      </c>
      <c r="BQ927" t="str">
        <f>""</f>
        <v/>
      </c>
      <c r="BR927" t="str">
        <f>""</f>
        <v/>
      </c>
      <c r="BS927" t="str">
        <f>""</f>
        <v/>
      </c>
      <c r="BT927" t="str">
        <f>""</f>
        <v/>
      </c>
      <c r="BU927" t="str">
        <f>""</f>
        <v/>
      </c>
      <c r="BV927" t="str">
        <f>""</f>
        <v/>
      </c>
      <c r="BW927" t="str">
        <f>""</f>
        <v/>
      </c>
      <c r="BX927" t="str">
        <f>""</f>
        <v/>
      </c>
      <c r="BY927" t="str">
        <f>""</f>
        <v/>
      </c>
      <c r="BZ927" t="str">
        <f>""</f>
        <v/>
      </c>
      <c r="CA927" t="str">
        <f>""</f>
        <v/>
      </c>
      <c r="CB927" t="str">
        <f>""</f>
        <v/>
      </c>
      <c r="CC927" t="str">
        <f>""</f>
        <v/>
      </c>
      <c r="CD927" t="str">
        <f>""</f>
        <v/>
      </c>
      <c r="CE927" t="str">
        <f>""</f>
        <v/>
      </c>
      <c r="CF927" t="str">
        <f>""</f>
        <v/>
      </c>
      <c r="CG927" t="str">
        <f>""</f>
        <v/>
      </c>
      <c r="CH927" t="str">
        <f>""</f>
        <v/>
      </c>
      <c r="CI927" t="str">
        <f>""</f>
        <v/>
      </c>
      <c r="CJ927" t="str">
        <f>""</f>
        <v/>
      </c>
      <c r="CK927" t="str">
        <f>""</f>
        <v/>
      </c>
      <c r="CL927" t="str">
        <f>""</f>
        <v/>
      </c>
      <c r="CM927" t="str">
        <f>""</f>
        <v/>
      </c>
      <c r="CN927" t="str">
        <f>""</f>
        <v/>
      </c>
      <c r="CO927" t="str">
        <f>""</f>
        <v/>
      </c>
      <c r="CP927" t="str">
        <f>""</f>
        <v/>
      </c>
      <c r="CQ927" t="str">
        <f>""</f>
        <v/>
      </c>
      <c r="CR927" t="str">
        <f>""</f>
        <v/>
      </c>
      <c r="CS927" t="str">
        <f>""</f>
        <v/>
      </c>
      <c r="CT927" t="str">
        <f>""</f>
        <v/>
      </c>
      <c r="CU927" t="str">
        <f>""</f>
        <v/>
      </c>
      <c r="CV927" t="str">
        <f>""</f>
        <v/>
      </c>
      <c r="CW927" t="str">
        <f>""</f>
        <v/>
      </c>
      <c r="CX927" t="str">
        <f>""</f>
        <v/>
      </c>
      <c r="CY927" t="str">
        <f>""</f>
        <v/>
      </c>
      <c r="CZ927" t="str">
        <f>""</f>
        <v/>
      </c>
      <c r="DA927" t="str">
        <f>""</f>
        <v/>
      </c>
      <c r="DB927" t="str">
        <f>""</f>
        <v/>
      </c>
      <c r="DC927" t="str">
        <f>""</f>
        <v/>
      </c>
      <c r="DD927" t="str">
        <f>""</f>
        <v/>
      </c>
      <c r="DE927" t="str">
        <f>""</f>
        <v/>
      </c>
      <c r="DF927" t="str">
        <f>""</f>
        <v/>
      </c>
      <c r="DG927" t="str">
        <f>""</f>
        <v/>
      </c>
      <c r="DH927" t="str">
        <f>""</f>
        <v/>
      </c>
      <c r="DI927" t="str">
        <f>""</f>
        <v/>
      </c>
      <c r="DJ927" t="str">
        <f>""</f>
        <v/>
      </c>
      <c r="DK927" t="str">
        <f>""</f>
        <v/>
      </c>
      <c r="DL927" t="str">
        <f>""</f>
        <v/>
      </c>
      <c r="DM927" t="str">
        <f>""</f>
        <v/>
      </c>
      <c r="DN927" t="str">
        <f>""</f>
        <v/>
      </c>
      <c r="DO927" t="str">
        <f>""</f>
        <v/>
      </c>
      <c r="DP927" t="str">
        <f>""</f>
        <v/>
      </c>
      <c r="DQ927" t="str">
        <f>""</f>
        <v/>
      </c>
      <c r="DR927" t="str">
        <f>""</f>
        <v/>
      </c>
      <c r="DS927" t="str">
        <f>""</f>
        <v/>
      </c>
      <c r="DT927" t="str">
        <f>""</f>
        <v/>
      </c>
      <c r="DU927" t="str">
        <f>""</f>
        <v/>
      </c>
    </row>
    <row r="928" spans="1:125" x14ac:dyDescent="0.25">
      <c r="A928" t="str">
        <f>$A$430</f>
        <v xml:space="preserve">    Geely Automobile Holdings Ltd</v>
      </c>
      <c r="B928" t="str">
        <f>$B$430</f>
        <v>175 HK Equity</v>
      </c>
      <c r="C928" t="str">
        <f>$C$430</f>
        <v>PR005</v>
      </c>
      <c r="D928" t="str">
        <f>$D$430</f>
        <v>PX_LAST</v>
      </c>
      <c r="E928" t="str">
        <f>$E$430</f>
        <v>Dynamic</v>
      </c>
      <c r="F928" t="str">
        <f ca="1">_xll.BDH($B$430,$C$430,$B$509,$B$510,CONCATENATE("Per=",$B$507),"Dts=H","Dir=H",CONCATENATE("Points=",$B$508),"Sort=R","Days=A","Fill=B",CONCATENATE("FX=", $B$506) )</f>
        <v>#N/A Connection</v>
      </c>
      <c r="BN928" t="str">
        <f>""</f>
        <v/>
      </c>
      <c r="BO928" t="str">
        <f>""</f>
        <v/>
      </c>
      <c r="BP928" t="str">
        <f>""</f>
        <v/>
      </c>
      <c r="BQ928" t="str">
        <f>""</f>
        <v/>
      </c>
      <c r="BR928" t="str">
        <f>""</f>
        <v/>
      </c>
      <c r="BS928" t="str">
        <f>""</f>
        <v/>
      </c>
      <c r="BT928" t="str">
        <f>""</f>
        <v/>
      </c>
      <c r="BU928" t="str">
        <f>""</f>
        <v/>
      </c>
      <c r="BV928" t="str">
        <f>""</f>
        <v/>
      </c>
      <c r="BW928" t="str">
        <f>""</f>
        <v/>
      </c>
      <c r="BX928" t="str">
        <f>""</f>
        <v/>
      </c>
      <c r="BY928" t="str">
        <f>""</f>
        <v/>
      </c>
      <c r="BZ928" t="str">
        <f>""</f>
        <v/>
      </c>
      <c r="CA928" t="str">
        <f>""</f>
        <v/>
      </c>
      <c r="CB928" t="str">
        <f>""</f>
        <v/>
      </c>
      <c r="CC928" t="str">
        <f>""</f>
        <v/>
      </c>
      <c r="CD928" t="str">
        <f>""</f>
        <v/>
      </c>
      <c r="CE928" t="str">
        <f>""</f>
        <v/>
      </c>
      <c r="CF928" t="str">
        <f>""</f>
        <v/>
      </c>
      <c r="CG928" t="str">
        <f>""</f>
        <v/>
      </c>
      <c r="CH928" t="str">
        <f>""</f>
        <v/>
      </c>
      <c r="CI928" t="str">
        <f>""</f>
        <v/>
      </c>
      <c r="CJ928" t="str">
        <f>""</f>
        <v/>
      </c>
      <c r="CK928" t="str">
        <f>""</f>
        <v/>
      </c>
      <c r="CL928" t="str">
        <f>""</f>
        <v/>
      </c>
      <c r="CM928" t="str">
        <f>""</f>
        <v/>
      </c>
      <c r="CN928" t="str">
        <f>""</f>
        <v/>
      </c>
      <c r="CO928" t="str">
        <f>""</f>
        <v/>
      </c>
      <c r="CP928" t="str">
        <f>""</f>
        <v/>
      </c>
      <c r="CQ928" t="str">
        <f>""</f>
        <v/>
      </c>
      <c r="CR928" t="str">
        <f>""</f>
        <v/>
      </c>
      <c r="CS928" t="str">
        <f>""</f>
        <v/>
      </c>
      <c r="CT928" t="str">
        <f>""</f>
        <v/>
      </c>
      <c r="CU928" t="str">
        <f>""</f>
        <v/>
      </c>
      <c r="CV928" t="str">
        <f>""</f>
        <v/>
      </c>
      <c r="CW928" t="str">
        <f>""</f>
        <v/>
      </c>
      <c r="CX928" t="str">
        <f>""</f>
        <v/>
      </c>
      <c r="CY928" t="str">
        <f>""</f>
        <v/>
      </c>
      <c r="CZ928" t="str">
        <f>""</f>
        <v/>
      </c>
      <c r="DA928" t="str">
        <f>""</f>
        <v/>
      </c>
      <c r="DB928" t="str">
        <f>""</f>
        <v/>
      </c>
      <c r="DC928" t="str">
        <f>""</f>
        <v/>
      </c>
      <c r="DD928" t="str">
        <f>""</f>
        <v/>
      </c>
      <c r="DE928" t="str">
        <f>""</f>
        <v/>
      </c>
      <c r="DF928" t="str">
        <f>""</f>
        <v/>
      </c>
      <c r="DG928" t="str">
        <f>""</f>
        <v/>
      </c>
      <c r="DH928" t="str">
        <f>""</f>
        <v/>
      </c>
      <c r="DI928" t="str">
        <f>""</f>
        <v/>
      </c>
      <c r="DJ928" t="str">
        <f>""</f>
        <v/>
      </c>
      <c r="DK928" t="str">
        <f>""</f>
        <v/>
      </c>
      <c r="DL928" t="str">
        <f>""</f>
        <v/>
      </c>
      <c r="DM928" t="str">
        <f>""</f>
        <v/>
      </c>
      <c r="DN928" t="str">
        <f>""</f>
        <v/>
      </c>
      <c r="DO928" t="str">
        <f>""</f>
        <v/>
      </c>
      <c r="DP928" t="str">
        <f>""</f>
        <v/>
      </c>
      <c r="DQ928" t="str">
        <f>""</f>
        <v/>
      </c>
      <c r="DR928" t="str">
        <f>""</f>
        <v/>
      </c>
      <c r="DS928" t="str">
        <f>""</f>
        <v/>
      </c>
      <c r="DT928" t="str">
        <f>""</f>
        <v/>
      </c>
      <c r="DU928" t="str">
        <f>""</f>
        <v/>
      </c>
    </row>
    <row r="929" spans="1:125" x14ac:dyDescent="0.25">
      <c r="A929" t="str">
        <f>$A$431</f>
        <v xml:space="preserve">    General Motors Co</v>
      </c>
      <c r="B929" t="str">
        <f>$B$431</f>
        <v>GM US Equity</v>
      </c>
      <c r="C929" t="str">
        <f>$C$431</f>
        <v>PR005</v>
      </c>
      <c r="D929" t="str">
        <f>$D$431</f>
        <v>PX_LAST</v>
      </c>
      <c r="E929" t="str">
        <f>$E$431</f>
        <v>Dynamic</v>
      </c>
      <c r="F929" t="str">
        <f ca="1">_xll.BDH($B$431,$C$431,$B$509,$B$510,CONCATENATE("Per=",$B$507),"Dts=H","Dir=H",CONCATENATE("Points=",$B$508),"Sort=R","Days=A","Fill=B",CONCATENATE("FX=", $B$506) )</f>
        <v>#N/A Connection</v>
      </c>
      <c r="BN929" t="str">
        <f>""</f>
        <v/>
      </c>
      <c r="BO929" t="str">
        <f>""</f>
        <v/>
      </c>
      <c r="BP929" t="str">
        <f>""</f>
        <v/>
      </c>
      <c r="BQ929" t="str">
        <f>""</f>
        <v/>
      </c>
      <c r="BR929" t="str">
        <f>""</f>
        <v/>
      </c>
      <c r="BS929" t="str">
        <f>""</f>
        <v/>
      </c>
      <c r="BT929" t="str">
        <f>""</f>
        <v/>
      </c>
      <c r="BU929" t="str">
        <f>""</f>
        <v/>
      </c>
      <c r="BV929" t="str">
        <f>""</f>
        <v/>
      </c>
      <c r="BW929" t="str">
        <f>""</f>
        <v/>
      </c>
      <c r="BX929" t="str">
        <f>""</f>
        <v/>
      </c>
      <c r="BY929" t="str">
        <f>""</f>
        <v/>
      </c>
      <c r="BZ929" t="str">
        <f>""</f>
        <v/>
      </c>
      <c r="CA929" t="str">
        <f>""</f>
        <v/>
      </c>
      <c r="CB929" t="str">
        <f>""</f>
        <v/>
      </c>
      <c r="CC929" t="str">
        <f>""</f>
        <v/>
      </c>
      <c r="CD929" t="str">
        <f>""</f>
        <v/>
      </c>
      <c r="CE929" t="str">
        <f>""</f>
        <v/>
      </c>
      <c r="CF929" t="str">
        <f>""</f>
        <v/>
      </c>
      <c r="CG929" t="str">
        <f>""</f>
        <v/>
      </c>
      <c r="CH929" t="str">
        <f>""</f>
        <v/>
      </c>
      <c r="CI929" t="str">
        <f>""</f>
        <v/>
      </c>
      <c r="CJ929" t="str">
        <f>""</f>
        <v/>
      </c>
      <c r="CK929" t="str">
        <f>""</f>
        <v/>
      </c>
      <c r="CL929" t="str">
        <f>""</f>
        <v/>
      </c>
      <c r="CM929" t="str">
        <f>""</f>
        <v/>
      </c>
      <c r="CN929" t="str">
        <f>""</f>
        <v/>
      </c>
      <c r="CO929" t="str">
        <f>""</f>
        <v/>
      </c>
      <c r="CP929" t="str">
        <f>""</f>
        <v/>
      </c>
      <c r="CQ929" t="str">
        <f>""</f>
        <v/>
      </c>
      <c r="CR929" t="str">
        <f>""</f>
        <v/>
      </c>
      <c r="CS929" t="str">
        <f>""</f>
        <v/>
      </c>
      <c r="CT929" t="str">
        <f>""</f>
        <v/>
      </c>
      <c r="CU929" t="str">
        <f>""</f>
        <v/>
      </c>
      <c r="CV929" t="str">
        <f>""</f>
        <v/>
      </c>
      <c r="CW929" t="str">
        <f>""</f>
        <v/>
      </c>
      <c r="CX929" t="str">
        <f>""</f>
        <v/>
      </c>
      <c r="CY929" t="str">
        <f>""</f>
        <v/>
      </c>
      <c r="CZ929" t="str">
        <f>""</f>
        <v/>
      </c>
      <c r="DA929" t="str">
        <f>""</f>
        <v/>
      </c>
      <c r="DB929" t="str">
        <f>""</f>
        <v/>
      </c>
      <c r="DC929" t="str">
        <f>""</f>
        <v/>
      </c>
      <c r="DD929" t="str">
        <f>""</f>
        <v/>
      </c>
      <c r="DE929" t="str">
        <f>""</f>
        <v/>
      </c>
      <c r="DF929" t="str">
        <f>""</f>
        <v/>
      </c>
      <c r="DG929" t="str">
        <f>""</f>
        <v/>
      </c>
      <c r="DH929" t="str">
        <f>""</f>
        <v/>
      </c>
      <c r="DI929" t="str">
        <f>""</f>
        <v/>
      </c>
      <c r="DJ929" t="str">
        <f>""</f>
        <v/>
      </c>
      <c r="DK929" t="str">
        <f>""</f>
        <v/>
      </c>
      <c r="DL929" t="str">
        <f>""</f>
        <v/>
      </c>
      <c r="DM929" t="str">
        <f>""</f>
        <v/>
      </c>
      <c r="DN929" t="str">
        <f>""</f>
        <v/>
      </c>
      <c r="DO929" t="str">
        <f>""</f>
        <v/>
      </c>
      <c r="DP929" t="str">
        <f>""</f>
        <v/>
      </c>
      <c r="DQ929" t="str">
        <f>""</f>
        <v/>
      </c>
      <c r="DR929" t="str">
        <f>""</f>
        <v/>
      </c>
      <c r="DS929" t="str">
        <f>""</f>
        <v/>
      </c>
      <c r="DT929" t="str">
        <f>""</f>
        <v/>
      </c>
      <c r="DU929" t="str">
        <f>""</f>
        <v/>
      </c>
    </row>
    <row r="930" spans="1:125" x14ac:dyDescent="0.25">
      <c r="A930" t="str">
        <f>$A$432</f>
        <v xml:space="preserve">    Great Wall Motor Co Ltd</v>
      </c>
      <c r="B930" t="str">
        <f>$B$432</f>
        <v>2333 HK Equity</v>
      </c>
      <c r="C930" t="str">
        <f>$C$432</f>
        <v>PR005</v>
      </c>
      <c r="D930" t="str">
        <f>$D$432</f>
        <v>PX_LAST</v>
      </c>
      <c r="E930" t="str">
        <f>$E$432</f>
        <v>Dynamic</v>
      </c>
      <c r="F930" t="str">
        <f ca="1">_xll.BDH($B$432,$C$432,$B$509,$B$510,CONCATENATE("Per=",$B$507),"Dts=H","Dir=H",CONCATENATE("Points=",$B$508),"Sort=R","Days=A","Fill=B",CONCATENATE("FX=", $B$506) )</f>
        <v>#N/A Connection</v>
      </c>
      <c r="BN930" t="str">
        <f>""</f>
        <v/>
      </c>
      <c r="BO930" t="str">
        <f>""</f>
        <v/>
      </c>
      <c r="BP930" t="str">
        <f>""</f>
        <v/>
      </c>
      <c r="BQ930" t="str">
        <f>""</f>
        <v/>
      </c>
      <c r="BR930" t="str">
        <f>""</f>
        <v/>
      </c>
      <c r="BS930" t="str">
        <f>""</f>
        <v/>
      </c>
      <c r="BT930" t="str">
        <f>""</f>
        <v/>
      </c>
      <c r="BU930" t="str">
        <f>""</f>
        <v/>
      </c>
      <c r="BV930" t="str">
        <f>""</f>
        <v/>
      </c>
      <c r="BW930" t="str">
        <f>""</f>
        <v/>
      </c>
      <c r="BX930" t="str">
        <f>""</f>
        <v/>
      </c>
      <c r="BY930" t="str">
        <f>""</f>
        <v/>
      </c>
      <c r="BZ930" t="str">
        <f>""</f>
        <v/>
      </c>
      <c r="CA930" t="str">
        <f>""</f>
        <v/>
      </c>
      <c r="CB930" t="str">
        <f>""</f>
        <v/>
      </c>
      <c r="CC930" t="str">
        <f>""</f>
        <v/>
      </c>
      <c r="CD930" t="str">
        <f>""</f>
        <v/>
      </c>
      <c r="CE930" t="str">
        <f>""</f>
        <v/>
      </c>
      <c r="CF930" t="str">
        <f>""</f>
        <v/>
      </c>
      <c r="CG930" t="str">
        <f>""</f>
        <v/>
      </c>
      <c r="CH930" t="str">
        <f>""</f>
        <v/>
      </c>
      <c r="CI930" t="str">
        <f>""</f>
        <v/>
      </c>
      <c r="CJ930" t="str">
        <f>""</f>
        <v/>
      </c>
      <c r="CK930" t="str">
        <f>""</f>
        <v/>
      </c>
      <c r="CL930" t="str">
        <f>""</f>
        <v/>
      </c>
      <c r="CM930" t="str">
        <f>""</f>
        <v/>
      </c>
      <c r="CN930" t="str">
        <f>""</f>
        <v/>
      </c>
      <c r="CO930" t="str">
        <f>""</f>
        <v/>
      </c>
      <c r="CP930" t="str">
        <f>""</f>
        <v/>
      </c>
      <c r="CQ930" t="str">
        <f>""</f>
        <v/>
      </c>
      <c r="CR930" t="str">
        <f>""</f>
        <v/>
      </c>
      <c r="CS930" t="str">
        <f>""</f>
        <v/>
      </c>
      <c r="CT930" t="str">
        <f>""</f>
        <v/>
      </c>
      <c r="CU930" t="str">
        <f>""</f>
        <v/>
      </c>
      <c r="CV930" t="str">
        <f>""</f>
        <v/>
      </c>
      <c r="CW930" t="str">
        <f>""</f>
        <v/>
      </c>
      <c r="CX930" t="str">
        <f>""</f>
        <v/>
      </c>
      <c r="CY930" t="str">
        <f>""</f>
        <v/>
      </c>
      <c r="CZ930" t="str">
        <f>""</f>
        <v/>
      </c>
      <c r="DA930" t="str">
        <f>""</f>
        <v/>
      </c>
      <c r="DB930" t="str">
        <f>""</f>
        <v/>
      </c>
      <c r="DC930" t="str">
        <f>""</f>
        <v/>
      </c>
      <c r="DD930" t="str">
        <f>""</f>
        <v/>
      </c>
      <c r="DE930" t="str">
        <f>""</f>
        <v/>
      </c>
      <c r="DF930" t="str">
        <f>""</f>
        <v/>
      </c>
      <c r="DG930" t="str">
        <f>""</f>
        <v/>
      </c>
      <c r="DH930" t="str">
        <f>""</f>
        <v/>
      </c>
      <c r="DI930" t="str">
        <f>""</f>
        <v/>
      </c>
      <c r="DJ930" t="str">
        <f>""</f>
        <v/>
      </c>
      <c r="DK930" t="str">
        <f>""</f>
        <v/>
      </c>
      <c r="DL930" t="str">
        <f>""</f>
        <v/>
      </c>
      <c r="DM930" t="str">
        <f>""</f>
        <v/>
      </c>
      <c r="DN930" t="str">
        <f>""</f>
        <v/>
      </c>
      <c r="DO930" t="str">
        <f>""</f>
        <v/>
      </c>
      <c r="DP930" t="str">
        <f>""</f>
        <v/>
      </c>
      <c r="DQ930" t="str">
        <f>""</f>
        <v/>
      </c>
      <c r="DR930" t="str">
        <f>""</f>
        <v/>
      </c>
      <c r="DS930" t="str">
        <f>""</f>
        <v/>
      </c>
      <c r="DT930" t="str">
        <f>""</f>
        <v/>
      </c>
      <c r="DU930" t="str">
        <f>""</f>
        <v/>
      </c>
    </row>
    <row r="931" spans="1:125" x14ac:dyDescent="0.25">
      <c r="A931" t="str">
        <f>$A$433</f>
        <v xml:space="preserve">    Guangzhou Automobile Group Co Ltd</v>
      </c>
      <c r="B931" t="str">
        <f>$B$433</f>
        <v>2238 HK Equity</v>
      </c>
      <c r="C931" t="str">
        <f>$C$433</f>
        <v>PR005</v>
      </c>
      <c r="D931" t="str">
        <f>$D$433</f>
        <v>PX_LAST</v>
      </c>
      <c r="E931" t="str">
        <f>$E$433</f>
        <v>Dynamic</v>
      </c>
      <c r="F931" t="str">
        <f ca="1">_xll.BDH($B$433,$C$433,$B$509,$B$510,CONCATENATE("Per=",$B$507),"Dts=H","Dir=H",CONCATENATE("Points=",$B$508),"Sort=R","Days=A","Fill=B",CONCATENATE("FX=", $B$506) )</f>
        <v>#N/A Connection</v>
      </c>
      <c r="BN931" t="str">
        <f>""</f>
        <v/>
      </c>
      <c r="BO931" t="str">
        <f>""</f>
        <v/>
      </c>
      <c r="BP931" t="str">
        <f>""</f>
        <v/>
      </c>
      <c r="BQ931" t="str">
        <f>""</f>
        <v/>
      </c>
      <c r="BR931" t="str">
        <f>""</f>
        <v/>
      </c>
      <c r="BS931" t="str">
        <f>""</f>
        <v/>
      </c>
      <c r="BT931" t="str">
        <f>""</f>
        <v/>
      </c>
      <c r="BU931" t="str">
        <f>""</f>
        <v/>
      </c>
      <c r="BV931" t="str">
        <f>""</f>
        <v/>
      </c>
      <c r="BW931" t="str">
        <f>""</f>
        <v/>
      </c>
      <c r="BX931" t="str">
        <f>""</f>
        <v/>
      </c>
      <c r="BY931" t="str">
        <f>""</f>
        <v/>
      </c>
      <c r="BZ931" t="str">
        <f>""</f>
        <v/>
      </c>
      <c r="CA931" t="str">
        <f>""</f>
        <v/>
      </c>
      <c r="CB931" t="str">
        <f>""</f>
        <v/>
      </c>
      <c r="CC931" t="str">
        <f>""</f>
        <v/>
      </c>
      <c r="CD931" t="str">
        <f>""</f>
        <v/>
      </c>
      <c r="CE931" t="str">
        <f>""</f>
        <v/>
      </c>
      <c r="CF931" t="str">
        <f>""</f>
        <v/>
      </c>
      <c r="CG931" t="str">
        <f>""</f>
        <v/>
      </c>
      <c r="CH931" t="str">
        <f>""</f>
        <v/>
      </c>
      <c r="CI931" t="str">
        <f>""</f>
        <v/>
      </c>
      <c r="CJ931" t="str">
        <f>""</f>
        <v/>
      </c>
      <c r="CK931" t="str">
        <f>""</f>
        <v/>
      </c>
      <c r="CL931" t="str">
        <f>""</f>
        <v/>
      </c>
      <c r="CM931" t="str">
        <f>""</f>
        <v/>
      </c>
      <c r="CN931" t="str">
        <f>""</f>
        <v/>
      </c>
      <c r="CO931" t="str">
        <f>""</f>
        <v/>
      </c>
      <c r="CP931" t="str">
        <f>""</f>
        <v/>
      </c>
      <c r="CQ931" t="str">
        <f>""</f>
        <v/>
      </c>
      <c r="CR931" t="str">
        <f>""</f>
        <v/>
      </c>
      <c r="CS931" t="str">
        <f>""</f>
        <v/>
      </c>
      <c r="CT931" t="str">
        <f>""</f>
        <v/>
      </c>
      <c r="CU931" t="str">
        <f>""</f>
        <v/>
      </c>
      <c r="CV931" t="str">
        <f>""</f>
        <v/>
      </c>
      <c r="CW931" t="str">
        <f>""</f>
        <v/>
      </c>
      <c r="CX931" t="str">
        <f>""</f>
        <v/>
      </c>
      <c r="CY931" t="str">
        <f>""</f>
        <v/>
      </c>
      <c r="CZ931" t="str">
        <f>""</f>
        <v/>
      </c>
      <c r="DA931" t="str">
        <f>""</f>
        <v/>
      </c>
      <c r="DB931" t="str">
        <f>""</f>
        <v/>
      </c>
      <c r="DC931" t="str">
        <f>""</f>
        <v/>
      </c>
      <c r="DD931" t="str">
        <f>""</f>
        <v/>
      </c>
      <c r="DE931" t="str">
        <f>""</f>
        <v/>
      </c>
      <c r="DF931" t="str">
        <f>""</f>
        <v/>
      </c>
      <c r="DG931" t="str">
        <f>""</f>
        <v/>
      </c>
      <c r="DH931" t="str">
        <f>""</f>
        <v/>
      </c>
      <c r="DI931" t="str">
        <f>""</f>
        <v/>
      </c>
      <c r="DJ931" t="str">
        <f>""</f>
        <v/>
      </c>
      <c r="DK931" t="str">
        <f>""</f>
        <v/>
      </c>
      <c r="DL931" t="str">
        <f>""</f>
        <v/>
      </c>
      <c r="DM931" t="str">
        <f>""</f>
        <v/>
      </c>
      <c r="DN931" t="str">
        <f>""</f>
        <v/>
      </c>
      <c r="DO931" t="str">
        <f>""</f>
        <v/>
      </c>
      <c r="DP931" t="str">
        <f>""</f>
        <v/>
      </c>
      <c r="DQ931" t="str">
        <f>""</f>
        <v/>
      </c>
      <c r="DR931" t="str">
        <f>""</f>
        <v/>
      </c>
      <c r="DS931" t="str">
        <f>""</f>
        <v/>
      </c>
      <c r="DT931" t="str">
        <f>""</f>
        <v/>
      </c>
      <c r="DU931" t="str">
        <f>""</f>
        <v/>
      </c>
    </row>
    <row r="932" spans="1:125" x14ac:dyDescent="0.25">
      <c r="A932" t="str">
        <f>$A$434</f>
        <v xml:space="preserve">    Honda Motor Co Ltd</v>
      </c>
      <c r="B932" t="str">
        <f>$B$434</f>
        <v>7267 JP Equity</v>
      </c>
      <c r="C932" t="str">
        <f>$C$434</f>
        <v>PR005</v>
      </c>
      <c r="D932" t="str">
        <f>$D$434</f>
        <v>PX_LAST</v>
      </c>
      <c r="E932" t="str">
        <f>$E$434</f>
        <v>Dynamic</v>
      </c>
      <c r="F932" t="str">
        <f ca="1">_xll.BDH($B$434,$C$434,$B$509,$B$510,CONCATENATE("Per=",$B$507),"Dts=H","Dir=H",CONCATENATE("Points=",$B$508),"Sort=R","Days=A","Fill=B",CONCATENATE("FX=", $B$506) )</f>
        <v>#N/A Connection</v>
      </c>
      <c r="BN932" t="str">
        <f>""</f>
        <v/>
      </c>
      <c r="BO932" t="str">
        <f>""</f>
        <v/>
      </c>
      <c r="BP932" t="str">
        <f>""</f>
        <v/>
      </c>
      <c r="BQ932" t="str">
        <f>""</f>
        <v/>
      </c>
      <c r="BR932" t="str">
        <f>""</f>
        <v/>
      </c>
      <c r="BS932" t="str">
        <f>""</f>
        <v/>
      </c>
      <c r="BT932" t="str">
        <f>""</f>
        <v/>
      </c>
      <c r="BU932" t="str">
        <f>""</f>
        <v/>
      </c>
      <c r="BV932" t="str">
        <f>""</f>
        <v/>
      </c>
      <c r="BW932" t="str">
        <f>""</f>
        <v/>
      </c>
      <c r="BX932" t="str">
        <f>""</f>
        <v/>
      </c>
      <c r="BY932" t="str">
        <f>""</f>
        <v/>
      </c>
      <c r="BZ932" t="str">
        <f>""</f>
        <v/>
      </c>
      <c r="CA932" t="str">
        <f>""</f>
        <v/>
      </c>
      <c r="CB932" t="str">
        <f>""</f>
        <v/>
      </c>
      <c r="CC932" t="str">
        <f>""</f>
        <v/>
      </c>
      <c r="CD932" t="str">
        <f>""</f>
        <v/>
      </c>
      <c r="CE932" t="str">
        <f>""</f>
        <v/>
      </c>
      <c r="CF932" t="str">
        <f>""</f>
        <v/>
      </c>
      <c r="CG932" t="str">
        <f>""</f>
        <v/>
      </c>
      <c r="CH932" t="str">
        <f>""</f>
        <v/>
      </c>
      <c r="CI932" t="str">
        <f>""</f>
        <v/>
      </c>
      <c r="CJ932" t="str">
        <f>""</f>
        <v/>
      </c>
      <c r="CK932" t="str">
        <f>""</f>
        <v/>
      </c>
      <c r="CL932" t="str">
        <f>""</f>
        <v/>
      </c>
      <c r="CM932" t="str">
        <f>""</f>
        <v/>
      </c>
      <c r="CN932" t="str">
        <f>""</f>
        <v/>
      </c>
      <c r="CO932" t="str">
        <f>""</f>
        <v/>
      </c>
      <c r="CP932" t="str">
        <f>""</f>
        <v/>
      </c>
      <c r="CQ932" t="str">
        <f>""</f>
        <v/>
      </c>
      <c r="CR932" t="str">
        <f>""</f>
        <v/>
      </c>
      <c r="CS932" t="str">
        <f>""</f>
        <v/>
      </c>
      <c r="CT932" t="str">
        <f>""</f>
        <v/>
      </c>
      <c r="CU932" t="str">
        <f>""</f>
        <v/>
      </c>
      <c r="CV932" t="str">
        <f>""</f>
        <v/>
      </c>
      <c r="CW932" t="str">
        <f>""</f>
        <v/>
      </c>
      <c r="CX932" t="str">
        <f>""</f>
        <v/>
      </c>
      <c r="CY932" t="str">
        <f>""</f>
        <v/>
      </c>
      <c r="CZ932" t="str">
        <f>""</f>
        <v/>
      </c>
      <c r="DA932" t="str">
        <f>""</f>
        <v/>
      </c>
      <c r="DB932" t="str">
        <f>""</f>
        <v/>
      </c>
      <c r="DC932" t="str">
        <f>""</f>
        <v/>
      </c>
      <c r="DD932" t="str">
        <f>""</f>
        <v/>
      </c>
      <c r="DE932" t="str">
        <f>""</f>
        <v/>
      </c>
      <c r="DF932" t="str">
        <f>""</f>
        <v/>
      </c>
      <c r="DG932" t="str">
        <f>""</f>
        <v/>
      </c>
      <c r="DH932" t="str">
        <f>""</f>
        <v/>
      </c>
      <c r="DI932" t="str">
        <f>""</f>
        <v/>
      </c>
      <c r="DJ932" t="str">
        <f>""</f>
        <v/>
      </c>
      <c r="DK932" t="str">
        <f>""</f>
        <v/>
      </c>
      <c r="DL932" t="str">
        <f>""</f>
        <v/>
      </c>
      <c r="DM932" t="str">
        <f>""</f>
        <v/>
      </c>
      <c r="DN932" t="str">
        <f>""</f>
        <v/>
      </c>
      <c r="DO932" t="str">
        <f>""</f>
        <v/>
      </c>
      <c r="DP932" t="str">
        <f>""</f>
        <v/>
      </c>
      <c r="DQ932" t="str">
        <f>""</f>
        <v/>
      </c>
      <c r="DR932" t="str">
        <f>""</f>
        <v/>
      </c>
      <c r="DS932" t="str">
        <f>""</f>
        <v/>
      </c>
      <c r="DT932" t="str">
        <f>""</f>
        <v/>
      </c>
      <c r="DU932" t="str">
        <f>""</f>
        <v/>
      </c>
    </row>
    <row r="933" spans="1:125" x14ac:dyDescent="0.25">
      <c r="A933" t="str">
        <f>$A$435</f>
        <v xml:space="preserve">    Hyundai Motor Co</v>
      </c>
      <c r="B933" t="str">
        <f>$B$435</f>
        <v>005380 KS Equity</v>
      </c>
      <c r="C933" t="str">
        <f>$C$435</f>
        <v>PR005</v>
      </c>
      <c r="D933" t="str">
        <f>$D$435</f>
        <v>PX_LAST</v>
      </c>
      <c r="E933" t="str">
        <f>$E$435</f>
        <v>Dynamic</v>
      </c>
      <c r="F933" t="str">
        <f ca="1">_xll.BDH($B$435,$C$435,$B$509,$B$510,CONCATENATE("Per=",$B$507),"Dts=H","Dir=H",CONCATENATE("Points=",$B$508),"Sort=R","Days=A","Fill=B",CONCATENATE("FX=", $B$506) )</f>
        <v>#N/A Connection</v>
      </c>
      <c r="BN933" t="str">
        <f>""</f>
        <v/>
      </c>
      <c r="BO933" t="str">
        <f>""</f>
        <v/>
      </c>
      <c r="BP933" t="str">
        <f>""</f>
        <v/>
      </c>
      <c r="BQ933" t="str">
        <f>""</f>
        <v/>
      </c>
      <c r="BR933" t="str">
        <f>""</f>
        <v/>
      </c>
      <c r="BS933" t="str">
        <f>""</f>
        <v/>
      </c>
      <c r="BT933" t="str">
        <f>""</f>
        <v/>
      </c>
      <c r="BU933" t="str">
        <f>""</f>
        <v/>
      </c>
      <c r="BV933" t="str">
        <f>""</f>
        <v/>
      </c>
      <c r="BW933" t="str">
        <f>""</f>
        <v/>
      </c>
      <c r="BX933" t="str">
        <f>""</f>
        <v/>
      </c>
      <c r="BY933" t="str">
        <f>""</f>
        <v/>
      </c>
      <c r="BZ933" t="str">
        <f>""</f>
        <v/>
      </c>
      <c r="CA933" t="str">
        <f>""</f>
        <v/>
      </c>
      <c r="CB933" t="str">
        <f>""</f>
        <v/>
      </c>
      <c r="CC933" t="str">
        <f>""</f>
        <v/>
      </c>
      <c r="CD933" t="str">
        <f>""</f>
        <v/>
      </c>
      <c r="CE933" t="str">
        <f>""</f>
        <v/>
      </c>
      <c r="CF933" t="str">
        <f>""</f>
        <v/>
      </c>
      <c r="CG933" t="str">
        <f>""</f>
        <v/>
      </c>
      <c r="CH933" t="str">
        <f>""</f>
        <v/>
      </c>
      <c r="CI933" t="str">
        <f>""</f>
        <v/>
      </c>
      <c r="CJ933" t="str">
        <f>""</f>
        <v/>
      </c>
      <c r="CK933" t="str">
        <f>""</f>
        <v/>
      </c>
      <c r="CL933" t="str">
        <f>""</f>
        <v/>
      </c>
      <c r="CM933" t="str">
        <f>""</f>
        <v/>
      </c>
      <c r="CN933" t="str">
        <f>""</f>
        <v/>
      </c>
      <c r="CO933" t="str">
        <f>""</f>
        <v/>
      </c>
      <c r="CP933" t="str">
        <f>""</f>
        <v/>
      </c>
      <c r="CQ933" t="str">
        <f>""</f>
        <v/>
      </c>
      <c r="CR933" t="str">
        <f>""</f>
        <v/>
      </c>
      <c r="CS933" t="str">
        <f>""</f>
        <v/>
      </c>
      <c r="CT933" t="str">
        <f>""</f>
        <v/>
      </c>
      <c r="CU933" t="str">
        <f>""</f>
        <v/>
      </c>
      <c r="CV933" t="str">
        <f>""</f>
        <v/>
      </c>
      <c r="CW933" t="str">
        <f>""</f>
        <v/>
      </c>
      <c r="CX933" t="str">
        <f>""</f>
        <v/>
      </c>
      <c r="CY933" t="str">
        <f>""</f>
        <v/>
      </c>
      <c r="CZ933" t="str">
        <f>""</f>
        <v/>
      </c>
      <c r="DA933" t="str">
        <f>""</f>
        <v/>
      </c>
      <c r="DB933" t="str">
        <f>""</f>
        <v/>
      </c>
      <c r="DC933" t="str">
        <f>""</f>
        <v/>
      </c>
      <c r="DD933" t="str">
        <f>""</f>
        <v/>
      </c>
      <c r="DE933" t="str">
        <f>""</f>
        <v/>
      </c>
      <c r="DF933" t="str">
        <f>""</f>
        <v/>
      </c>
      <c r="DG933" t="str">
        <f>""</f>
        <v/>
      </c>
      <c r="DH933" t="str">
        <f>""</f>
        <v/>
      </c>
      <c r="DI933" t="str">
        <f>""</f>
        <v/>
      </c>
      <c r="DJ933" t="str">
        <f>""</f>
        <v/>
      </c>
      <c r="DK933" t="str">
        <f>""</f>
        <v/>
      </c>
      <c r="DL933" t="str">
        <f>""</f>
        <v/>
      </c>
      <c r="DM933" t="str">
        <f>""</f>
        <v/>
      </c>
      <c r="DN933" t="str">
        <f>""</f>
        <v/>
      </c>
      <c r="DO933" t="str">
        <f>""</f>
        <v/>
      </c>
      <c r="DP933" t="str">
        <f>""</f>
        <v/>
      </c>
      <c r="DQ933" t="str">
        <f>""</f>
        <v/>
      </c>
      <c r="DR933" t="str">
        <f>""</f>
        <v/>
      </c>
      <c r="DS933" t="str">
        <f>""</f>
        <v/>
      </c>
      <c r="DT933" t="str">
        <f>""</f>
        <v/>
      </c>
      <c r="DU933" t="str">
        <f>""</f>
        <v/>
      </c>
    </row>
    <row r="934" spans="1:125" x14ac:dyDescent="0.25">
      <c r="A934" t="str">
        <f>$A$436</f>
        <v xml:space="preserve">    Kia Motors Corp</v>
      </c>
      <c r="B934" t="str">
        <f>$B$436</f>
        <v>000270 KS Equity</v>
      </c>
      <c r="C934" t="str">
        <f>$C$436</f>
        <v>PR005</v>
      </c>
      <c r="D934" t="str">
        <f>$D$436</f>
        <v>PX_LAST</v>
      </c>
      <c r="E934" t="str">
        <f>$E$436</f>
        <v>Dynamic</v>
      </c>
      <c r="F934" t="str">
        <f ca="1">_xll.BDH($B$436,$C$436,$B$509,$B$510,CONCATENATE("Per=",$B$507),"Dts=H","Dir=H",CONCATENATE("Points=",$B$508),"Sort=R","Days=A","Fill=B",CONCATENATE("FX=", $B$506) )</f>
        <v>#N/A Connection</v>
      </c>
      <c r="BN934" t="str">
        <f>""</f>
        <v/>
      </c>
      <c r="BO934" t="str">
        <f>""</f>
        <v/>
      </c>
      <c r="BP934" t="str">
        <f>""</f>
        <v/>
      </c>
      <c r="BQ934" t="str">
        <f>""</f>
        <v/>
      </c>
      <c r="BR934" t="str">
        <f>""</f>
        <v/>
      </c>
      <c r="BS934" t="str">
        <f>""</f>
        <v/>
      </c>
      <c r="BT934" t="str">
        <f>""</f>
        <v/>
      </c>
      <c r="BU934" t="str">
        <f>""</f>
        <v/>
      </c>
      <c r="BV934" t="str">
        <f>""</f>
        <v/>
      </c>
      <c r="BW934" t="str">
        <f>""</f>
        <v/>
      </c>
      <c r="BX934" t="str">
        <f>""</f>
        <v/>
      </c>
      <c r="BY934" t="str">
        <f>""</f>
        <v/>
      </c>
      <c r="BZ934" t="str">
        <f>""</f>
        <v/>
      </c>
      <c r="CA934" t="str">
        <f>""</f>
        <v/>
      </c>
      <c r="CB934" t="str">
        <f>""</f>
        <v/>
      </c>
      <c r="CC934" t="str">
        <f>""</f>
        <v/>
      </c>
      <c r="CD934" t="str">
        <f>""</f>
        <v/>
      </c>
      <c r="CE934" t="str">
        <f>""</f>
        <v/>
      </c>
      <c r="CF934" t="str">
        <f>""</f>
        <v/>
      </c>
      <c r="CG934" t="str">
        <f>""</f>
        <v/>
      </c>
      <c r="CH934" t="str">
        <f>""</f>
        <v/>
      </c>
      <c r="CI934" t="str">
        <f>""</f>
        <v/>
      </c>
      <c r="CJ934" t="str">
        <f>""</f>
        <v/>
      </c>
      <c r="CK934" t="str">
        <f>""</f>
        <v/>
      </c>
      <c r="CL934" t="str">
        <f>""</f>
        <v/>
      </c>
      <c r="CM934" t="str">
        <f>""</f>
        <v/>
      </c>
      <c r="CN934" t="str">
        <f>""</f>
        <v/>
      </c>
      <c r="CO934" t="str">
        <f>""</f>
        <v/>
      </c>
      <c r="CP934" t="str">
        <f>""</f>
        <v/>
      </c>
      <c r="CQ934" t="str">
        <f>""</f>
        <v/>
      </c>
      <c r="CR934" t="str">
        <f>""</f>
        <v/>
      </c>
      <c r="CS934" t="str">
        <f>""</f>
        <v/>
      </c>
      <c r="CT934" t="str">
        <f>""</f>
        <v/>
      </c>
      <c r="CU934" t="str">
        <f>""</f>
        <v/>
      </c>
      <c r="CV934" t="str">
        <f>""</f>
        <v/>
      </c>
      <c r="CW934" t="str">
        <f>""</f>
        <v/>
      </c>
      <c r="CX934" t="str">
        <f>""</f>
        <v/>
      </c>
      <c r="CY934" t="str">
        <f>""</f>
        <v/>
      </c>
      <c r="CZ934" t="str">
        <f>""</f>
        <v/>
      </c>
      <c r="DA934" t="str">
        <f>""</f>
        <v/>
      </c>
      <c r="DB934" t="str">
        <f>""</f>
        <v/>
      </c>
      <c r="DC934" t="str">
        <f>""</f>
        <v/>
      </c>
      <c r="DD934" t="str">
        <f>""</f>
        <v/>
      </c>
      <c r="DE934" t="str">
        <f>""</f>
        <v/>
      </c>
      <c r="DF934" t="str">
        <f>""</f>
        <v/>
      </c>
      <c r="DG934" t="str">
        <f>""</f>
        <v/>
      </c>
      <c r="DH934" t="str">
        <f>""</f>
        <v/>
      </c>
      <c r="DI934" t="str">
        <f>""</f>
        <v/>
      </c>
      <c r="DJ934" t="str">
        <f>""</f>
        <v/>
      </c>
      <c r="DK934" t="str">
        <f>""</f>
        <v/>
      </c>
      <c r="DL934" t="str">
        <f>""</f>
        <v/>
      </c>
      <c r="DM934" t="str">
        <f>""</f>
        <v/>
      </c>
      <c r="DN934" t="str">
        <f>""</f>
        <v/>
      </c>
      <c r="DO934" t="str">
        <f>""</f>
        <v/>
      </c>
      <c r="DP934" t="str">
        <f>""</f>
        <v/>
      </c>
      <c r="DQ934" t="str">
        <f>""</f>
        <v/>
      </c>
      <c r="DR934" t="str">
        <f>""</f>
        <v/>
      </c>
      <c r="DS934" t="str">
        <f>""</f>
        <v/>
      </c>
      <c r="DT934" t="str">
        <f>""</f>
        <v/>
      </c>
      <c r="DU934" t="str">
        <f>""</f>
        <v/>
      </c>
    </row>
    <row r="935" spans="1:125" x14ac:dyDescent="0.25">
      <c r="A935" t="str">
        <f>$A$437</f>
        <v xml:space="preserve">    Mazda Motor Corp</v>
      </c>
      <c r="B935" t="str">
        <f>$B$437</f>
        <v>7261 JP Equity</v>
      </c>
      <c r="C935" t="str">
        <f>$C$437</f>
        <v>PR005</v>
      </c>
      <c r="D935" t="str">
        <f>$D$437</f>
        <v>PX_LAST</v>
      </c>
      <c r="E935" t="str">
        <f>$E$437</f>
        <v>Dynamic</v>
      </c>
      <c r="F935" t="str">
        <f ca="1">_xll.BDH($B$437,$C$437,$B$509,$B$510,CONCATENATE("Per=",$B$507),"Dts=H","Dir=H",CONCATENATE("Points=",$B$508),"Sort=R","Days=A","Fill=B",CONCATENATE("FX=", $B$506) )</f>
        <v>#N/A Connection</v>
      </c>
      <c r="BN935" t="str">
        <f>""</f>
        <v/>
      </c>
      <c r="BO935" t="str">
        <f>""</f>
        <v/>
      </c>
      <c r="BP935" t="str">
        <f>""</f>
        <v/>
      </c>
      <c r="BQ935" t="str">
        <f>""</f>
        <v/>
      </c>
      <c r="BR935" t="str">
        <f>""</f>
        <v/>
      </c>
      <c r="BS935" t="str">
        <f>""</f>
        <v/>
      </c>
      <c r="BT935" t="str">
        <f>""</f>
        <v/>
      </c>
      <c r="BU935" t="str">
        <f>""</f>
        <v/>
      </c>
      <c r="BV935" t="str">
        <f>""</f>
        <v/>
      </c>
      <c r="BW935" t="str">
        <f>""</f>
        <v/>
      </c>
      <c r="BX935" t="str">
        <f>""</f>
        <v/>
      </c>
      <c r="BY935" t="str">
        <f>""</f>
        <v/>
      </c>
      <c r="BZ935" t="str">
        <f>""</f>
        <v/>
      </c>
      <c r="CA935" t="str">
        <f>""</f>
        <v/>
      </c>
      <c r="CB935" t="str">
        <f>""</f>
        <v/>
      </c>
      <c r="CC935" t="str">
        <f>""</f>
        <v/>
      </c>
      <c r="CD935" t="str">
        <f>""</f>
        <v/>
      </c>
      <c r="CE935" t="str">
        <f>""</f>
        <v/>
      </c>
      <c r="CF935" t="str">
        <f>""</f>
        <v/>
      </c>
      <c r="CG935" t="str">
        <f>""</f>
        <v/>
      </c>
      <c r="CH935" t="str">
        <f>""</f>
        <v/>
      </c>
      <c r="CI935" t="str">
        <f>""</f>
        <v/>
      </c>
      <c r="CJ935" t="str">
        <f>""</f>
        <v/>
      </c>
      <c r="CK935" t="str">
        <f>""</f>
        <v/>
      </c>
      <c r="CL935" t="str">
        <f>""</f>
        <v/>
      </c>
      <c r="CM935" t="str">
        <f>""</f>
        <v/>
      </c>
      <c r="CN935" t="str">
        <f>""</f>
        <v/>
      </c>
      <c r="CO935" t="str">
        <f>""</f>
        <v/>
      </c>
      <c r="CP935" t="str">
        <f>""</f>
        <v/>
      </c>
      <c r="CQ935" t="str">
        <f>""</f>
        <v/>
      </c>
      <c r="CR935" t="str">
        <f>""</f>
        <v/>
      </c>
      <c r="CS935" t="str">
        <f>""</f>
        <v/>
      </c>
      <c r="CT935" t="str">
        <f>""</f>
        <v/>
      </c>
      <c r="CU935" t="str">
        <f>""</f>
        <v/>
      </c>
      <c r="CV935" t="str">
        <f>""</f>
        <v/>
      </c>
      <c r="CW935" t="str">
        <f>""</f>
        <v/>
      </c>
      <c r="CX935" t="str">
        <f>""</f>
        <v/>
      </c>
      <c r="CY935" t="str">
        <f>""</f>
        <v/>
      </c>
      <c r="CZ935" t="str">
        <f>""</f>
        <v/>
      </c>
      <c r="DA935" t="str">
        <f>""</f>
        <v/>
      </c>
      <c r="DB935" t="str">
        <f>""</f>
        <v/>
      </c>
      <c r="DC935" t="str">
        <f>""</f>
        <v/>
      </c>
      <c r="DD935" t="str">
        <f>""</f>
        <v/>
      </c>
      <c r="DE935" t="str">
        <f>""</f>
        <v/>
      </c>
      <c r="DF935" t="str">
        <f>""</f>
        <v/>
      </c>
      <c r="DG935" t="str">
        <f>""</f>
        <v/>
      </c>
      <c r="DH935" t="str">
        <f>""</f>
        <v/>
      </c>
      <c r="DI935" t="str">
        <f>""</f>
        <v/>
      </c>
      <c r="DJ935" t="str">
        <f>""</f>
        <v/>
      </c>
      <c r="DK935" t="str">
        <f>""</f>
        <v/>
      </c>
      <c r="DL935" t="str">
        <f>""</f>
        <v/>
      </c>
      <c r="DM935" t="str">
        <f>""</f>
        <v/>
      </c>
      <c r="DN935" t="str">
        <f>""</f>
        <v/>
      </c>
      <c r="DO935" t="str">
        <f>""</f>
        <v/>
      </c>
      <c r="DP935" t="str">
        <f>""</f>
        <v/>
      </c>
      <c r="DQ935" t="str">
        <f>""</f>
        <v/>
      </c>
      <c r="DR935" t="str">
        <f>""</f>
        <v/>
      </c>
      <c r="DS935" t="str">
        <f>""</f>
        <v/>
      </c>
      <c r="DT935" t="str">
        <f>""</f>
        <v/>
      </c>
      <c r="DU935" t="str">
        <f>""</f>
        <v/>
      </c>
    </row>
    <row r="936" spans="1:125" x14ac:dyDescent="0.25">
      <c r="A936" t="str">
        <f>$A$438</f>
        <v xml:space="preserve">    Mitsubishi Motors Corp</v>
      </c>
      <c r="B936" t="str">
        <f>$B$438</f>
        <v>7211 JP Equity</v>
      </c>
      <c r="C936" t="str">
        <f>$C$438</f>
        <v>PR005</v>
      </c>
      <c r="D936" t="str">
        <f>$D$438</f>
        <v>PX_LAST</v>
      </c>
      <c r="E936" t="str">
        <f>$E$438</f>
        <v>Dynamic</v>
      </c>
      <c r="F936" t="str">
        <f ca="1">_xll.BDH($B$438,$C$438,$B$509,$B$510,CONCATENATE("Per=",$B$507),"Dts=H","Dir=H",CONCATENATE("Points=",$B$508),"Sort=R","Days=A","Fill=B",CONCATENATE("FX=", $B$506) )</f>
        <v>#N/A Connection</v>
      </c>
      <c r="BN936" t="str">
        <f>""</f>
        <v/>
      </c>
      <c r="BO936" t="str">
        <f>""</f>
        <v/>
      </c>
      <c r="BP936" t="str">
        <f>""</f>
        <v/>
      </c>
      <c r="BQ936" t="str">
        <f>""</f>
        <v/>
      </c>
      <c r="BR936" t="str">
        <f>""</f>
        <v/>
      </c>
      <c r="BS936" t="str">
        <f>""</f>
        <v/>
      </c>
      <c r="BT936" t="str">
        <f>""</f>
        <v/>
      </c>
      <c r="BU936" t="str">
        <f>""</f>
        <v/>
      </c>
      <c r="BV936" t="str">
        <f>""</f>
        <v/>
      </c>
      <c r="BW936" t="str">
        <f>""</f>
        <v/>
      </c>
      <c r="BX936" t="str">
        <f>""</f>
        <v/>
      </c>
      <c r="BY936" t="str">
        <f>""</f>
        <v/>
      </c>
      <c r="BZ936" t="str">
        <f>""</f>
        <v/>
      </c>
      <c r="CA936" t="str">
        <f>""</f>
        <v/>
      </c>
      <c r="CB936" t="str">
        <f>""</f>
        <v/>
      </c>
      <c r="CC936" t="str">
        <f>""</f>
        <v/>
      </c>
      <c r="CD936" t="str">
        <f>""</f>
        <v/>
      </c>
      <c r="CE936" t="str">
        <f>""</f>
        <v/>
      </c>
      <c r="CF936" t="str">
        <f>""</f>
        <v/>
      </c>
      <c r="CG936" t="str">
        <f>""</f>
        <v/>
      </c>
      <c r="CH936" t="str">
        <f>""</f>
        <v/>
      </c>
      <c r="CI936" t="str">
        <f>""</f>
        <v/>
      </c>
      <c r="CJ936" t="str">
        <f>""</f>
        <v/>
      </c>
      <c r="CK936" t="str">
        <f>""</f>
        <v/>
      </c>
      <c r="CL936" t="str">
        <f>""</f>
        <v/>
      </c>
      <c r="CM936" t="str">
        <f>""</f>
        <v/>
      </c>
      <c r="CN936" t="str">
        <f>""</f>
        <v/>
      </c>
      <c r="CO936" t="str">
        <f>""</f>
        <v/>
      </c>
      <c r="CP936" t="str">
        <f>""</f>
        <v/>
      </c>
      <c r="CQ936" t="str">
        <f>""</f>
        <v/>
      </c>
      <c r="CR936" t="str">
        <f>""</f>
        <v/>
      </c>
      <c r="CS936" t="str">
        <f>""</f>
        <v/>
      </c>
      <c r="CT936" t="str">
        <f>""</f>
        <v/>
      </c>
      <c r="CU936" t="str">
        <f>""</f>
        <v/>
      </c>
      <c r="CV936" t="str">
        <f>""</f>
        <v/>
      </c>
      <c r="CW936" t="str">
        <f>""</f>
        <v/>
      </c>
      <c r="CX936" t="str">
        <f>""</f>
        <v/>
      </c>
      <c r="CY936" t="str">
        <f>""</f>
        <v/>
      </c>
      <c r="CZ936" t="str">
        <f>""</f>
        <v/>
      </c>
      <c r="DA936" t="str">
        <f>""</f>
        <v/>
      </c>
      <c r="DB936" t="str">
        <f>""</f>
        <v/>
      </c>
      <c r="DC936" t="str">
        <f>""</f>
        <v/>
      </c>
      <c r="DD936" t="str">
        <f>""</f>
        <v/>
      </c>
      <c r="DE936" t="str">
        <f>""</f>
        <v/>
      </c>
      <c r="DF936" t="str">
        <f>""</f>
        <v/>
      </c>
      <c r="DG936" t="str">
        <f>""</f>
        <v/>
      </c>
      <c r="DH936" t="str">
        <f>""</f>
        <v/>
      </c>
      <c r="DI936" t="str">
        <f>""</f>
        <v/>
      </c>
      <c r="DJ936" t="str">
        <f>""</f>
        <v/>
      </c>
      <c r="DK936" t="str">
        <f>""</f>
        <v/>
      </c>
      <c r="DL936" t="str">
        <f>""</f>
        <v/>
      </c>
      <c r="DM936" t="str">
        <f>""</f>
        <v/>
      </c>
      <c r="DN936" t="str">
        <f>""</f>
        <v/>
      </c>
      <c r="DO936" t="str">
        <f>""</f>
        <v/>
      </c>
      <c r="DP936" t="str">
        <f>""</f>
        <v/>
      </c>
      <c r="DQ936" t="str">
        <f>""</f>
        <v/>
      </c>
      <c r="DR936" t="str">
        <f>""</f>
        <v/>
      </c>
      <c r="DS936" t="str">
        <f>""</f>
        <v/>
      </c>
      <c r="DT936" t="str">
        <f>""</f>
        <v/>
      </c>
      <c r="DU936" t="str">
        <f>""</f>
        <v/>
      </c>
    </row>
    <row r="937" spans="1:125" x14ac:dyDescent="0.25">
      <c r="A937" t="str">
        <f>$A$439</f>
        <v xml:space="preserve">    Nissan Motor Co Ltd</v>
      </c>
      <c r="B937" t="str">
        <f>$B$439</f>
        <v>7201 JP Equity</v>
      </c>
      <c r="C937" t="str">
        <f>$C$439</f>
        <v>PR005</v>
      </c>
      <c r="D937" t="str">
        <f>$D$439</f>
        <v>PX_LAST</v>
      </c>
      <c r="E937" t="str">
        <f>$E$439</f>
        <v>Dynamic</v>
      </c>
      <c r="F937" t="str">
        <f ca="1">_xll.BDH($B$439,$C$439,$B$509,$B$510,CONCATENATE("Per=",$B$507),"Dts=H","Dir=H",CONCATENATE("Points=",$B$508),"Sort=R","Days=A","Fill=B",CONCATENATE("FX=", $B$506) )</f>
        <v>#N/A Connection</v>
      </c>
      <c r="BN937" t="str">
        <f>""</f>
        <v/>
      </c>
      <c r="BO937" t="str">
        <f>""</f>
        <v/>
      </c>
      <c r="BP937" t="str">
        <f>""</f>
        <v/>
      </c>
      <c r="BQ937" t="str">
        <f>""</f>
        <v/>
      </c>
      <c r="BR937" t="str">
        <f>""</f>
        <v/>
      </c>
      <c r="BS937" t="str">
        <f>""</f>
        <v/>
      </c>
      <c r="BT937" t="str">
        <f>""</f>
        <v/>
      </c>
      <c r="BU937" t="str">
        <f>""</f>
        <v/>
      </c>
      <c r="BV937" t="str">
        <f>""</f>
        <v/>
      </c>
      <c r="BW937" t="str">
        <f>""</f>
        <v/>
      </c>
      <c r="BX937" t="str">
        <f>""</f>
        <v/>
      </c>
      <c r="BY937" t="str">
        <f>""</f>
        <v/>
      </c>
      <c r="BZ937" t="str">
        <f>""</f>
        <v/>
      </c>
      <c r="CA937" t="str">
        <f>""</f>
        <v/>
      </c>
      <c r="CB937" t="str">
        <f>""</f>
        <v/>
      </c>
      <c r="CC937" t="str">
        <f>""</f>
        <v/>
      </c>
      <c r="CD937" t="str">
        <f>""</f>
        <v/>
      </c>
      <c r="CE937" t="str">
        <f>""</f>
        <v/>
      </c>
      <c r="CF937" t="str">
        <f>""</f>
        <v/>
      </c>
      <c r="CG937" t="str">
        <f>""</f>
        <v/>
      </c>
      <c r="CH937" t="str">
        <f>""</f>
        <v/>
      </c>
      <c r="CI937" t="str">
        <f>""</f>
        <v/>
      </c>
      <c r="CJ937" t="str">
        <f>""</f>
        <v/>
      </c>
      <c r="CK937" t="str">
        <f>""</f>
        <v/>
      </c>
      <c r="CL937" t="str">
        <f>""</f>
        <v/>
      </c>
      <c r="CM937" t="str">
        <f>""</f>
        <v/>
      </c>
      <c r="CN937" t="str">
        <f>""</f>
        <v/>
      </c>
      <c r="CO937" t="str">
        <f>""</f>
        <v/>
      </c>
      <c r="CP937" t="str">
        <f>""</f>
        <v/>
      </c>
      <c r="CQ937" t="str">
        <f>""</f>
        <v/>
      </c>
      <c r="CR937" t="str">
        <f>""</f>
        <v/>
      </c>
      <c r="CS937" t="str">
        <f>""</f>
        <v/>
      </c>
      <c r="CT937" t="str">
        <f>""</f>
        <v/>
      </c>
      <c r="CU937" t="str">
        <f>""</f>
        <v/>
      </c>
      <c r="CV937" t="str">
        <f>""</f>
        <v/>
      </c>
      <c r="CW937" t="str">
        <f>""</f>
        <v/>
      </c>
      <c r="CX937" t="str">
        <f>""</f>
        <v/>
      </c>
      <c r="CY937" t="str">
        <f>""</f>
        <v/>
      </c>
      <c r="CZ937" t="str">
        <f>""</f>
        <v/>
      </c>
      <c r="DA937" t="str">
        <f>""</f>
        <v/>
      </c>
      <c r="DB937" t="str">
        <f>""</f>
        <v/>
      </c>
      <c r="DC937" t="str">
        <f>""</f>
        <v/>
      </c>
      <c r="DD937" t="str">
        <f>""</f>
        <v/>
      </c>
      <c r="DE937" t="str">
        <f>""</f>
        <v/>
      </c>
      <c r="DF937" t="str">
        <f>""</f>
        <v/>
      </c>
      <c r="DG937" t="str">
        <f>""</f>
        <v/>
      </c>
      <c r="DH937" t="str">
        <f>""</f>
        <v/>
      </c>
      <c r="DI937" t="str">
        <f>""</f>
        <v/>
      </c>
      <c r="DJ937" t="str">
        <f>""</f>
        <v/>
      </c>
      <c r="DK937" t="str">
        <f>""</f>
        <v/>
      </c>
      <c r="DL937" t="str">
        <f>""</f>
        <v/>
      </c>
      <c r="DM937" t="str">
        <f>""</f>
        <v/>
      </c>
      <c r="DN937" t="str">
        <f>""</f>
        <v/>
      </c>
      <c r="DO937" t="str">
        <f>""</f>
        <v/>
      </c>
      <c r="DP937" t="str">
        <f>""</f>
        <v/>
      </c>
      <c r="DQ937" t="str">
        <f>""</f>
        <v/>
      </c>
      <c r="DR937" t="str">
        <f>""</f>
        <v/>
      </c>
      <c r="DS937" t="str">
        <f>""</f>
        <v/>
      </c>
      <c r="DT937" t="str">
        <f>""</f>
        <v/>
      </c>
      <c r="DU937" t="str">
        <f>""</f>
        <v/>
      </c>
    </row>
    <row r="938" spans="1:125" x14ac:dyDescent="0.25">
      <c r="A938" t="str">
        <f>$A$440</f>
        <v xml:space="preserve">    Peugeot SA</v>
      </c>
      <c r="B938" t="str">
        <f>$B$440</f>
        <v>UG FP Equity</v>
      </c>
      <c r="C938" t="str">
        <f>$C$440</f>
        <v>PR005</v>
      </c>
      <c r="D938" t="str">
        <f>$D$440</f>
        <v>PX_LAST</v>
      </c>
      <c r="E938" t="str">
        <f>$E$440</f>
        <v>Dynamic</v>
      </c>
      <c r="F938" t="str">
        <f ca="1">_xll.BDH($B$440,$C$440,$B$509,$B$510,CONCATENATE("Per=",$B$507),"Dts=H","Dir=H",CONCATENATE("Points=",$B$508),"Sort=R","Days=A","Fill=B",CONCATENATE("FX=", $B$506) )</f>
        <v>#N/A Connection</v>
      </c>
      <c r="BN938" t="str">
        <f>""</f>
        <v/>
      </c>
      <c r="BO938" t="str">
        <f>""</f>
        <v/>
      </c>
      <c r="BP938" t="str">
        <f>""</f>
        <v/>
      </c>
      <c r="BQ938" t="str">
        <f>""</f>
        <v/>
      </c>
      <c r="BR938" t="str">
        <f>""</f>
        <v/>
      </c>
      <c r="BS938" t="str">
        <f>""</f>
        <v/>
      </c>
      <c r="BT938" t="str">
        <f>""</f>
        <v/>
      </c>
      <c r="BU938" t="str">
        <f>""</f>
        <v/>
      </c>
      <c r="BV938" t="str">
        <f>""</f>
        <v/>
      </c>
      <c r="BW938" t="str">
        <f>""</f>
        <v/>
      </c>
      <c r="BX938" t="str">
        <f>""</f>
        <v/>
      </c>
      <c r="BY938" t="str">
        <f>""</f>
        <v/>
      </c>
      <c r="BZ938" t="str">
        <f>""</f>
        <v/>
      </c>
      <c r="CA938" t="str">
        <f>""</f>
        <v/>
      </c>
      <c r="CB938" t="str">
        <f>""</f>
        <v/>
      </c>
      <c r="CC938" t="str">
        <f>""</f>
        <v/>
      </c>
      <c r="CD938" t="str">
        <f>""</f>
        <v/>
      </c>
      <c r="CE938" t="str">
        <f>""</f>
        <v/>
      </c>
      <c r="CF938" t="str">
        <f>""</f>
        <v/>
      </c>
      <c r="CG938" t="str">
        <f>""</f>
        <v/>
      </c>
      <c r="CH938" t="str">
        <f>""</f>
        <v/>
      </c>
      <c r="CI938" t="str">
        <f>""</f>
        <v/>
      </c>
      <c r="CJ938" t="str">
        <f>""</f>
        <v/>
      </c>
      <c r="CK938" t="str">
        <f>""</f>
        <v/>
      </c>
      <c r="CL938" t="str">
        <f>""</f>
        <v/>
      </c>
      <c r="CM938" t="str">
        <f>""</f>
        <v/>
      </c>
      <c r="CN938" t="str">
        <f>""</f>
        <v/>
      </c>
      <c r="CO938" t="str">
        <f>""</f>
        <v/>
      </c>
      <c r="CP938" t="str">
        <f>""</f>
        <v/>
      </c>
      <c r="CQ938" t="str">
        <f>""</f>
        <v/>
      </c>
      <c r="CR938" t="str">
        <f>""</f>
        <v/>
      </c>
      <c r="CS938" t="str">
        <f>""</f>
        <v/>
      </c>
      <c r="CT938" t="str">
        <f>""</f>
        <v/>
      </c>
      <c r="CU938" t="str">
        <f>""</f>
        <v/>
      </c>
      <c r="CV938" t="str">
        <f>""</f>
        <v/>
      </c>
      <c r="CW938" t="str">
        <f>""</f>
        <v/>
      </c>
      <c r="CX938" t="str">
        <f>""</f>
        <v/>
      </c>
      <c r="CY938" t="str">
        <f>""</f>
        <v/>
      </c>
      <c r="CZ938" t="str">
        <f>""</f>
        <v/>
      </c>
      <c r="DA938" t="str">
        <f>""</f>
        <v/>
      </c>
      <c r="DB938" t="str">
        <f>""</f>
        <v/>
      </c>
      <c r="DC938" t="str">
        <f>""</f>
        <v/>
      </c>
      <c r="DD938" t="str">
        <f>""</f>
        <v/>
      </c>
      <c r="DE938" t="str">
        <f>""</f>
        <v/>
      </c>
      <c r="DF938" t="str">
        <f>""</f>
        <v/>
      </c>
      <c r="DG938" t="str">
        <f>""</f>
        <v/>
      </c>
      <c r="DH938" t="str">
        <f>""</f>
        <v/>
      </c>
      <c r="DI938" t="str">
        <f>""</f>
        <v/>
      </c>
      <c r="DJ938" t="str">
        <f>""</f>
        <v/>
      </c>
      <c r="DK938" t="str">
        <f>""</f>
        <v/>
      </c>
      <c r="DL938" t="str">
        <f>""</f>
        <v/>
      </c>
      <c r="DM938" t="str">
        <f>""</f>
        <v/>
      </c>
      <c r="DN938" t="str">
        <f>""</f>
        <v/>
      </c>
      <c r="DO938" t="str">
        <f>""</f>
        <v/>
      </c>
      <c r="DP938" t="str">
        <f>""</f>
        <v/>
      </c>
      <c r="DQ938" t="str">
        <f>""</f>
        <v/>
      </c>
      <c r="DR938" t="str">
        <f>""</f>
        <v/>
      </c>
      <c r="DS938" t="str">
        <f>""</f>
        <v/>
      </c>
      <c r="DT938" t="str">
        <f>""</f>
        <v/>
      </c>
      <c r="DU938" t="str">
        <f>""</f>
        <v/>
      </c>
    </row>
    <row r="939" spans="1:125" x14ac:dyDescent="0.25">
      <c r="A939" t="str">
        <f>$A$441</f>
        <v xml:space="preserve">    Renault SA</v>
      </c>
      <c r="B939" t="str">
        <f>$B$441</f>
        <v>RNO FP Equity</v>
      </c>
      <c r="C939" t="str">
        <f>$C$441</f>
        <v>PR005</v>
      </c>
      <c r="D939" t="str">
        <f>$D$441</f>
        <v>PX_LAST</v>
      </c>
      <c r="E939" t="str">
        <f>$E$441</f>
        <v>Dynamic</v>
      </c>
      <c r="F939" t="str">
        <f ca="1">_xll.BDH($B$441,$C$441,$B$509,$B$510,CONCATENATE("Per=",$B$507),"Dts=H","Dir=H",CONCATENATE("Points=",$B$508),"Sort=R","Days=A","Fill=B",CONCATENATE("FX=", $B$506) )</f>
        <v>#N/A Connection</v>
      </c>
      <c r="BN939" t="str">
        <f>""</f>
        <v/>
      </c>
      <c r="BO939" t="str">
        <f>""</f>
        <v/>
      </c>
      <c r="BP939" t="str">
        <f>""</f>
        <v/>
      </c>
      <c r="BQ939" t="str">
        <f>""</f>
        <v/>
      </c>
      <c r="BR939" t="str">
        <f>""</f>
        <v/>
      </c>
      <c r="BS939" t="str">
        <f>""</f>
        <v/>
      </c>
      <c r="BT939" t="str">
        <f>""</f>
        <v/>
      </c>
      <c r="BU939" t="str">
        <f>""</f>
        <v/>
      </c>
      <c r="BV939" t="str">
        <f>""</f>
        <v/>
      </c>
      <c r="BW939" t="str">
        <f>""</f>
        <v/>
      </c>
      <c r="BX939" t="str">
        <f>""</f>
        <v/>
      </c>
      <c r="BY939" t="str">
        <f>""</f>
        <v/>
      </c>
      <c r="BZ939" t="str">
        <f>""</f>
        <v/>
      </c>
      <c r="CA939" t="str">
        <f>""</f>
        <v/>
      </c>
      <c r="CB939" t="str">
        <f>""</f>
        <v/>
      </c>
      <c r="CC939" t="str">
        <f>""</f>
        <v/>
      </c>
      <c r="CD939" t="str">
        <f>""</f>
        <v/>
      </c>
      <c r="CE939" t="str">
        <f>""</f>
        <v/>
      </c>
      <c r="CF939" t="str">
        <f>""</f>
        <v/>
      </c>
      <c r="CG939" t="str">
        <f>""</f>
        <v/>
      </c>
      <c r="CH939" t="str">
        <f>""</f>
        <v/>
      </c>
      <c r="CI939" t="str">
        <f>""</f>
        <v/>
      </c>
      <c r="CJ939" t="str">
        <f>""</f>
        <v/>
      </c>
      <c r="CK939" t="str">
        <f>""</f>
        <v/>
      </c>
      <c r="CL939" t="str">
        <f>""</f>
        <v/>
      </c>
      <c r="CM939" t="str">
        <f>""</f>
        <v/>
      </c>
      <c r="CN939" t="str">
        <f>""</f>
        <v/>
      </c>
      <c r="CO939" t="str">
        <f>""</f>
        <v/>
      </c>
      <c r="CP939" t="str">
        <f>""</f>
        <v/>
      </c>
      <c r="CQ939" t="str">
        <f>""</f>
        <v/>
      </c>
      <c r="CR939" t="str">
        <f>""</f>
        <v/>
      </c>
      <c r="CS939" t="str">
        <f>""</f>
        <v/>
      </c>
      <c r="CT939" t="str">
        <f>""</f>
        <v/>
      </c>
      <c r="CU939" t="str">
        <f>""</f>
        <v/>
      </c>
      <c r="CV939" t="str">
        <f>""</f>
        <v/>
      </c>
      <c r="CW939" t="str">
        <f>""</f>
        <v/>
      </c>
      <c r="CX939" t="str">
        <f>""</f>
        <v/>
      </c>
      <c r="CY939" t="str">
        <f>""</f>
        <v/>
      </c>
      <c r="CZ939" t="str">
        <f>""</f>
        <v/>
      </c>
      <c r="DA939" t="str">
        <f>""</f>
        <v/>
      </c>
      <c r="DB939" t="str">
        <f>""</f>
        <v/>
      </c>
      <c r="DC939" t="str">
        <f>""</f>
        <v/>
      </c>
      <c r="DD939" t="str">
        <f>""</f>
        <v/>
      </c>
      <c r="DE939" t="str">
        <f>""</f>
        <v/>
      </c>
      <c r="DF939" t="str">
        <f>""</f>
        <v/>
      </c>
      <c r="DG939" t="str">
        <f>""</f>
        <v/>
      </c>
      <c r="DH939" t="str">
        <f>""</f>
        <v/>
      </c>
      <c r="DI939" t="str">
        <f>""</f>
        <v/>
      </c>
      <c r="DJ939" t="str">
        <f>""</f>
        <v/>
      </c>
      <c r="DK939" t="str">
        <f>""</f>
        <v/>
      </c>
      <c r="DL939" t="str">
        <f>""</f>
        <v/>
      </c>
      <c r="DM939" t="str">
        <f>""</f>
        <v/>
      </c>
      <c r="DN939" t="str">
        <f>""</f>
        <v/>
      </c>
      <c r="DO939" t="str">
        <f>""</f>
        <v/>
      </c>
      <c r="DP939" t="str">
        <f>""</f>
        <v/>
      </c>
      <c r="DQ939" t="str">
        <f>""</f>
        <v/>
      </c>
      <c r="DR939" t="str">
        <f>""</f>
        <v/>
      </c>
      <c r="DS939" t="str">
        <f>""</f>
        <v/>
      </c>
      <c r="DT939" t="str">
        <f>""</f>
        <v/>
      </c>
      <c r="DU939" t="str">
        <f>""</f>
        <v/>
      </c>
    </row>
    <row r="940" spans="1:125" x14ac:dyDescent="0.25">
      <c r="A940" t="str">
        <f>$A$442</f>
        <v xml:space="preserve">    SAIC Motor Corp Ltd</v>
      </c>
      <c r="B940" t="str">
        <f>$B$442</f>
        <v>600104 CH Equity</v>
      </c>
      <c r="C940" t="str">
        <f>$C$442</f>
        <v>PR005</v>
      </c>
      <c r="D940" t="str">
        <f>$D$442</f>
        <v>PX_LAST</v>
      </c>
      <c r="E940" t="str">
        <f>$E$442</f>
        <v>Dynamic</v>
      </c>
      <c r="F940" t="str">
        <f ca="1">_xll.BDH($B$442,$C$442,$B$509,$B$510,CONCATENATE("Per=",$B$507),"Dts=H","Dir=H",CONCATENATE("Points=",$B$508),"Sort=R","Days=A","Fill=B",CONCATENATE("FX=", $B$506) )</f>
        <v>#N/A Connection</v>
      </c>
      <c r="BN940" t="str">
        <f>""</f>
        <v/>
      </c>
      <c r="BO940" t="str">
        <f>""</f>
        <v/>
      </c>
      <c r="BP940" t="str">
        <f>""</f>
        <v/>
      </c>
      <c r="BQ940" t="str">
        <f>""</f>
        <v/>
      </c>
      <c r="BR940" t="str">
        <f>""</f>
        <v/>
      </c>
      <c r="BS940" t="str">
        <f>""</f>
        <v/>
      </c>
      <c r="BT940" t="str">
        <f>""</f>
        <v/>
      </c>
      <c r="BU940" t="str">
        <f>""</f>
        <v/>
      </c>
      <c r="BV940" t="str">
        <f>""</f>
        <v/>
      </c>
      <c r="BW940" t="str">
        <f>""</f>
        <v/>
      </c>
      <c r="BX940" t="str">
        <f>""</f>
        <v/>
      </c>
      <c r="BY940" t="str">
        <f>""</f>
        <v/>
      </c>
      <c r="BZ940" t="str">
        <f>""</f>
        <v/>
      </c>
      <c r="CA940" t="str">
        <f>""</f>
        <v/>
      </c>
      <c r="CB940" t="str">
        <f>""</f>
        <v/>
      </c>
      <c r="CC940" t="str">
        <f>""</f>
        <v/>
      </c>
      <c r="CD940" t="str">
        <f>""</f>
        <v/>
      </c>
      <c r="CE940" t="str">
        <f>""</f>
        <v/>
      </c>
      <c r="CF940" t="str">
        <f>""</f>
        <v/>
      </c>
      <c r="CG940" t="str">
        <f>""</f>
        <v/>
      </c>
      <c r="CH940" t="str">
        <f>""</f>
        <v/>
      </c>
      <c r="CI940" t="str">
        <f>""</f>
        <v/>
      </c>
      <c r="CJ940" t="str">
        <f>""</f>
        <v/>
      </c>
      <c r="CK940" t="str">
        <f>""</f>
        <v/>
      </c>
      <c r="CL940" t="str">
        <f>""</f>
        <v/>
      </c>
      <c r="CM940" t="str">
        <f>""</f>
        <v/>
      </c>
      <c r="CN940" t="str">
        <f>""</f>
        <v/>
      </c>
      <c r="CO940" t="str">
        <f>""</f>
        <v/>
      </c>
      <c r="CP940" t="str">
        <f>""</f>
        <v/>
      </c>
      <c r="CQ940" t="str">
        <f>""</f>
        <v/>
      </c>
      <c r="CR940" t="str">
        <f>""</f>
        <v/>
      </c>
      <c r="CS940" t="str">
        <f>""</f>
        <v/>
      </c>
      <c r="CT940" t="str">
        <f>""</f>
        <v/>
      </c>
      <c r="CU940" t="str">
        <f>""</f>
        <v/>
      </c>
      <c r="CV940" t="str">
        <f>""</f>
        <v/>
      </c>
      <c r="CW940" t="str">
        <f>""</f>
        <v/>
      </c>
      <c r="CX940" t="str">
        <f>""</f>
        <v/>
      </c>
      <c r="CY940" t="str">
        <f>""</f>
        <v/>
      </c>
      <c r="CZ940" t="str">
        <f>""</f>
        <v/>
      </c>
      <c r="DA940" t="str">
        <f>""</f>
        <v/>
      </c>
      <c r="DB940" t="str">
        <f>""</f>
        <v/>
      </c>
      <c r="DC940" t="str">
        <f>""</f>
        <v/>
      </c>
      <c r="DD940" t="str">
        <f>""</f>
        <v/>
      </c>
      <c r="DE940" t="str">
        <f>""</f>
        <v/>
      </c>
      <c r="DF940" t="str">
        <f>""</f>
        <v/>
      </c>
      <c r="DG940" t="str">
        <f>""</f>
        <v/>
      </c>
      <c r="DH940" t="str">
        <f>""</f>
        <v/>
      </c>
      <c r="DI940" t="str">
        <f>""</f>
        <v/>
      </c>
      <c r="DJ940" t="str">
        <f>""</f>
        <v/>
      </c>
      <c r="DK940" t="str">
        <f>""</f>
        <v/>
      </c>
      <c r="DL940" t="str">
        <f>""</f>
        <v/>
      </c>
      <c r="DM940" t="str">
        <f>""</f>
        <v/>
      </c>
      <c r="DN940" t="str">
        <f>""</f>
        <v/>
      </c>
      <c r="DO940" t="str">
        <f>""</f>
        <v/>
      </c>
      <c r="DP940" t="str">
        <f>""</f>
        <v/>
      </c>
      <c r="DQ940" t="str">
        <f>""</f>
        <v/>
      </c>
      <c r="DR940" t="str">
        <f>""</f>
        <v/>
      </c>
      <c r="DS940" t="str">
        <f>""</f>
        <v/>
      </c>
      <c r="DT940" t="str">
        <f>""</f>
        <v/>
      </c>
      <c r="DU940" t="str">
        <f>""</f>
        <v/>
      </c>
    </row>
    <row r="941" spans="1:125" x14ac:dyDescent="0.25">
      <c r="A941" t="str">
        <f>$A$443</f>
        <v xml:space="preserve">    Sanyang Motor Co Ltd</v>
      </c>
      <c r="B941" t="str">
        <f>$B$443</f>
        <v>2206 TT Equity</v>
      </c>
      <c r="C941" t="str">
        <f>$C$443</f>
        <v>PR005</v>
      </c>
      <c r="D941" t="str">
        <f>$D$443</f>
        <v>PX_LAST</v>
      </c>
      <c r="E941" t="str">
        <f>$E$443</f>
        <v>Dynamic</v>
      </c>
      <c r="F941" t="str">
        <f ca="1">_xll.BDH($B$443,$C$443,$B$509,$B$510,CONCATENATE("Per=",$B$507),"Dts=H","Dir=H",CONCATENATE("Points=",$B$508),"Sort=R","Days=A","Fill=B",CONCATENATE("FX=", $B$506) )</f>
        <v>#N/A Connection</v>
      </c>
      <c r="BN941" t="str">
        <f>""</f>
        <v/>
      </c>
      <c r="BO941" t="str">
        <f>""</f>
        <v/>
      </c>
      <c r="BP941" t="str">
        <f>""</f>
        <v/>
      </c>
      <c r="BQ941" t="str">
        <f>""</f>
        <v/>
      </c>
      <c r="BR941" t="str">
        <f>""</f>
        <v/>
      </c>
      <c r="BS941" t="str">
        <f>""</f>
        <v/>
      </c>
      <c r="BT941" t="str">
        <f>""</f>
        <v/>
      </c>
      <c r="BU941" t="str">
        <f>""</f>
        <v/>
      </c>
      <c r="BV941" t="str">
        <f>""</f>
        <v/>
      </c>
      <c r="BW941" t="str">
        <f>""</f>
        <v/>
      </c>
      <c r="BX941" t="str">
        <f>""</f>
        <v/>
      </c>
      <c r="BY941" t="str">
        <f>""</f>
        <v/>
      </c>
      <c r="BZ941" t="str">
        <f>""</f>
        <v/>
      </c>
      <c r="CA941" t="str">
        <f>""</f>
        <v/>
      </c>
      <c r="CB941" t="str">
        <f>""</f>
        <v/>
      </c>
      <c r="CC941" t="str">
        <f>""</f>
        <v/>
      </c>
      <c r="CD941" t="str">
        <f>""</f>
        <v/>
      </c>
      <c r="CE941" t="str">
        <f>""</f>
        <v/>
      </c>
      <c r="CF941" t="str">
        <f>""</f>
        <v/>
      </c>
      <c r="CG941" t="str">
        <f>""</f>
        <v/>
      </c>
      <c r="CH941" t="str">
        <f>""</f>
        <v/>
      </c>
      <c r="CI941" t="str">
        <f>""</f>
        <v/>
      </c>
      <c r="CJ941" t="str">
        <f>""</f>
        <v/>
      </c>
      <c r="CK941" t="str">
        <f>""</f>
        <v/>
      </c>
      <c r="CL941" t="str">
        <f>""</f>
        <v/>
      </c>
      <c r="CM941" t="str">
        <f>""</f>
        <v/>
      </c>
      <c r="CN941" t="str">
        <f>""</f>
        <v/>
      </c>
      <c r="CO941" t="str">
        <f>""</f>
        <v/>
      </c>
      <c r="CP941" t="str">
        <f>""</f>
        <v/>
      </c>
      <c r="CQ941" t="str">
        <f>""</f>
        <v/>
      </c>
      <c r="CR941" t="str">
        <f>""</f>
        <v/>
      </c>
      <c r="CS941" t="str">
        <f>""</f>
        <v/>
      </c>
      <c r="CT941" t="str">
        <f>""</f>
        <v/>
      </c>
      <c r="CU941" t="str">
        <f>""</f>
        <v/>
      </c>
      <c r="CV941" t="str">
        <f>""</f>
        <v/>
      </c>
      <c r="CW941" t="str">
        <f>""</f>
        <v/>
      </c>
      <c r="CX941" t="str">
        <f>""</f>
        <v/>
      </c>
      <c r="CY941" t="str">
        <f>""</f>
        <v/>
      </c>
      <c r="CZ941" t="str">
        <f>""</f>
        <v/>
      </c>
      <c r="DA941" t="str">
        <f>""</f>
        <v/>
      </c>
      <c r="DB941" t="str">
        <f>""</f>
        <v/>
      </c>
      <c r="DC941" t="str">
        <f>""</f>
        <v/>
      </c>
      <c r="DD941" t="str">
        <f>""</f>
        <v/>
      </c>
      <c r="DE941" t="str">
        <f>""</f>
        <v/>
      </c>
      <c r="DF941" t="str">
        <f>""</f>
        <v/>
      </c>
      <c r="DG941" t="str">
        <f>""</f>
        <v/>
      </c>
      <c r="DH941" t="str">
        <f>""</f>
        <v/>
      </c>
      <c r="DI941" t="str">
        <f>""</f>
        <v/>
      </c>
      <c r="DJ941" t="str">
        <f>""</f>
        <v/>
      </c>
      <c r="DK941" t="str">
        <f>""</f>
        <v/>
      </c>
      <c r="DL941" t="str">
        <f>""</f>
        <v/>
      </c>
      <c r="DM941" t="str">
        <f>""</f>
        <v/>
      </c>
      <c r="DN941" t="str">
        <f>""</f>
        <v/>
      </c>
      <c r="DO941" t="str">
        <f>""</f>
        <v/>
      </c>
      <c r="DP941" t="str">
        <f>""</f>
        <v/>
      </c>
      <c r="DQ941" t="str">
        <f>""</f>
        <v/>
      </c>
      <c r="DR941" t="str">
        <f>""</f>
        <v/>
      </c>
      <c r="DS941" t="str">
        <f>""</f>
        <v/>
      </c>
      <c r="DT941" t="str">
        <f>""</f>
        <v/>
      </c>
      <c r="DU941" t="str">
        <f>""</f>
        <v/>
      </c>
    </row>
    <row r="942" spans="1:125" x14ac:dyDescent="0.25">
      <c r="A942" t="str">
        <f>$A$444</f>
        <v xml:space="preserve">    Sollers PJSC</v>
      </c>
      <c r="B942" t="str">
        <f>$B$444</f>
        <v>SVAV RM Equity</v>
      </c>
      <c r="C942" t="str">
        <f>$C$444</f>
        <v>PR005</v>
      </c>
      <c r="D942" t="str">
        <f>$D$444</f>
        <v>PX_LAST</v>
      </c>
      <c r="E942" t="str">
        <f>$E$444</f>
        <v>Dynamic</v>
      </c>
      <c r="F942" t="str">
        <f ca="1">_xll.BDH($B$444,$C$444,$B$509,$B$510,CONCATENATE("Per=",$B$507),"Dts=H","Dir=H",CONCATENATE("Points=",$B$508),"Sort=R","Days=A","Fill=B",CONCATENATE("FX=", $B$506) )</f>
        <v>#N/A Connection</v>
      </c>
      <c r="BN942" t="str">
        <f>""</f>
        <v/>
      </c>
      <c r="BO942" t="str">
        <f>""</f>
        <v/>
      </c>
      <c r="BP942" t="str">
        <f>""</f>
        <v/>
      </c>
      <c r="BQ942" t="str">
        <f>""</f>
        <v/>
      </c>
      <c r="BR942" t="str">
        <f>""</f>
        <v/>
      </c>
      <c r="BS942" t="str">
        <f>""</f>
        <v/>
      </c>
      <c r="BT942" t="str">
        <f>""</f>
        <v/>
      </c>
      <c r="BU942" t="str">
        <f>""</f>
        <v/>
      </c>
      <c r="BV942" t="str">
        <f>""</f>
        <v/>
      </c>
      <c r="BW942" t="str">
        <f>""</f>
        <v/>
      </c>
      <c r="BX942" t="str">
        <f>""</f>
        <v/>
      </c>
      <c r="BY942" t="str">
        <f>""</f>
        <v/>
      </c>
      <c r="BZ942" t="str">
        <f>""</f>
        <v/>
      </c>
      <c r="CA942" t="str">
        <f>""</f>
        <v/>
      </c>
      <c r="CB942" t="str">
        <f>""</f>
        <v/>
      </c>
      <c r="CC942" t="str">
        <f>""</f>
        <v/>
      </c>
      <c r="CD942" t="str">
        <f>""</f>
        <v/>
      </c>
      <c r="CE942" t="str">
        <f>""</f>
        <v/>
      </c>
      <c r="CF942" t="str">
        <f>""</f>
        <v/>
      </c>
      <c r="CG942" t="str">
        <f>""</f>
        <v/>
      </c>
      <c r="CH942" t="str">
        <f>""</f>
        <v/>
      </c>
      <c r="CI942" t="str">
        <f>""</f>
        <v/>
      </c>
      <c r="CJ942" t="str">
        <f>""</f>
        <v/>
      </c>
      <c r="CK942" t="str">
        <f>""</f>
        <v/>
      </c>
      <c r="CL942" t="str">
        <f>""</f>
        <v/>
      </c>
      <c r="CM942" t="str">
        <f>""</f>
        <v/>
      </c>
      <c r="CN942" t="str">
        <f>""</f>
        <v/>
      </c>
      <c r="CO942" t="str">
        <f>""</f>
        <v/>
      </c>
      <c r="CP942" t="str">
        <f>""</f>
        <v/>
      </c>
      <c r="CQ942" t="str">
        <f>""</f>
        <v/>
      </c>
      <c r="CR942" t="str">
        <f>""</f>
        <v/>
      </c>
      <c r="CS942" t="str">
        <f>""</f>
        <v/>
      </c>
      <c r="CT942" t="str">
        <f>""</f>
        <v/>
      </c>
      <c r="CU942" t="str">
        <f>""</f>
        <v/>
      </c>
      <c r="CV942" t="str">
        <f>""</f>
        <v/>
      </c>
      <c r="CW942" t="str">
        <f>""</f>
        <v/>
      </c>
      <c r="CX942" t="str">
        <f>""</f>
        <v/>
      </c>
      <c r="CY942" t="str">
        <f>""</f>
        <v/>
      </c>
      <c r="CZ942" t="str">
        <f>""</f>
        <v/>
      </c>
      <c r="DA942" t="str">
        <f>""</f>
        <v/>
      </c>
      <c r="DB942" t="str">
        <f>""</f>
        <v/>
      </c>
      <c r="DC942" t="str">
        <f>""</f>
        <v/>
      </c>
      <c r="DD942" t="str">
        <f>""</f>
        <v/>
      </c>
      <c r="DE942" t="str">
        <f>""</f>
        <v/>
      </c>
      <c r="DF942" t="str">
        <f>""</f>
        <v/>
      </c>
      <c r="DG942" t="str">
        <f>""</f>
        <v/>
      </c>
      <c r="DH942" t="str">
        <f>""</f>
        <v/>
      </c>
      <c r="DI942" t="str">
        <f>""</f>
        <v/>
      </c>
      <c r="DJ942" t="str">
        <f>""</f>
        <v/>
      </c>
      <c r="DK942" t="str">
        <f>""</f>
        <v/>
      </c>
      <c r="DL942" t="str">
        <f>""</f>
        <v/>
      </c>
      <c r="DM942" t="str">
        <f>""</f>
        <v/>
      </c>
      <c r="DN942" t="str">
        <f>""</f>
        <v/>
      </c>
      <c r="DO942" t="str">
        <f>""</f>
        <v/>
      </c>
      <c r="DP942" t="str">
        <f>""</f>
        <v/>
      </c>
      <c r="DQ942" t="str">
        <f>""</f>
        <v/>
      </c>
      <c r="DR942" t="str">
        <f>""</f>
        <v/>
      </c>
      <c r="DS942" t="str">
        <f>""</f>
        <v/>
      </c>
      <c r="DT942" t="str">
        <f>""</f>
        <v/>
      </c>
      <c r="DU942" t="str">
        <f>""</f>
        <v/>
      </c>
    </row>
    <row r="943" spans="1:125" x14ac:dyDescent="0.25">
      <c r="A943" t="str">
        <f>$A$445</f>
        <v xml:space="preserve">    Ssangyong Motor Co</v>
      </c>
      <c r="B943" t="str">
        <f>$B$445</f>
        <v>003620 KS Equity</v>
      </c>
      <c r="C943" t="str">
        <f>$C$445</f>
        <v>PR005</v>
      </c>
      <c r="D943" t="str">
        <f>$D$445</f>
        <v>PX_LAST</v>
      </c>
      <c r="E943" t="str">
        <f>$E$445</f>
        <v>Dynamic</v>
      </c>
      <c r="F943" t="str">
        <f ca="1">_xll.BDH($B$445,$C$445,$B$509,$B$510,CONCATENATE("Per=",$B$507),"Dts=H","Dir=H",CONCATENATE("Points=",$B$508),"Sort=R","Days=A","Fill=B",CONCATENATE("FX=", $B$506) )</f>
        <v>#N/A Connection</v>
      </c>
      <c r="BN943" t="str">
        <f>""</f>
        <v/>
      </c>
      <c r="BO943" t="str">
        <f>""</f>
        <v/>
      </c>
      <c r="BP943" t="str">
        <f>""</f>
        <v/>
      </c>
      <c r="BQ943" t="str">
        <f>""</f>
        <v/>
      </c>
      <c r="BR943" t="str">
        <f>""</f>
        <v/>
      </c>
      <c r="BS943" t="str">
        <f>""</f>
        <v/>
      </c>
      <c r="BT943" t="str">
        <f>""</f>
        <v/>
      </c>
      <c r="BU943" t="str">
        <f>""</f>
        <v/>
      </c>
      <c r="BV943" t="str">
        <f>""</f>
        <v/>
      </c>
      <c r="BW943" t="str">
        <f>""</f>
        <v/>
      </c>
      <c r="BX943" t="str">
        <f>""</f>
        <v/>
      </c>
      <c r="BY943" t="str">
        <f>""</f>
        <v/>
      </c>
      <c r="BZ943" t="str">
        <f>""</f>
        <v/>
      </c>
      <c r="CA943" t="str">
        <f>""</f>
        <v/>
      </c>
      <c r="CB943" t="str">
        <f>""</f>
        <v/>
      </c>
      <c r="CC943" t="str">
        <f>""</f>
        <v/>
      </c>
      <c r="CD943" t="str">
        <f>""</f>
        <v/>
      </c>
      <c r="CE943" t="str">
        <f>""</f>
        <v/>
      </c>
      <c r="CF943" t="str">
        <f>""</f>
        <v/>
      </c>
      <c r="CG943" t="str">
        <f>""</f>
        <v/>
      </c>
      <c r="CH943" t="str">
        <f>""</f>
        <v/>
      </c>
      <c r="CI943" t="str">
        <f>""</f>
        <v/>
      </c>
      <c r="CJ943" t="str">
        <f>""</f>
        <v/>
      </c>
      <c r="CK943" t="str">
        <f>""</f>
        <v/>
      </c>
      <c r="CL943" t="str">
        <f>""</f>
        <v/>
      </c>
      <c r="CM943" t="str">
        <f>""</f>
        <v/>
      </c>
      <c r="CN943" t="str">
        <f>""</f>
        <v/>
      </c>
      <c r="CO943" t="str">
        <f>""</f>
        <v/>
      </c>
      <c r="CP943" t="str">
        <f>""</f>
        <v/>
      </c>
      <c r="CQ943" t="str">
        <f>""</f>
        <v/>
      </c>
      <c r="CR943" t="str">
        <f>""</f>
        <v/>
      </c>
      <c r="CS943" t="str">
        <f>""</f>
        <v/>
      </c>
      <c r="CT943" t="str">
        <f>""</f>
        <v/>
      </c>
      <c r="CU943" t="str">
        <f>""</f>
        <v/>
      </c>
      <c r="CV943" t="str">
        <f>""</f>
        <v/>
      </c>
      <c r="CW943" t="str">
        <f>""</f>
        <v/>
      </c>
      <c r="CX943" t="str">
        <f>""</f>
        <v/>
      </c>
      <c r="CY943" t="str">
        <f>""</f>
        <v/>
      </c>
      <c r="CZ943" t="str">
        <f>""</f>
        <v/>
      </c>
      <c r="DA943" t="str">
        <f>""</f>
        <v/>
      </c>
      <c r="DB943" t="str">
        <f>""</f>
        <v/>
      </c>
      <c r="DC943" t="str">
        <f>""</f>
        <v/>
      </c>
      <c r="DD943" t="str">
        <f>""</f>
        <v/>
      </c>
      <c r="DE943" t="str">
        <f>""</f>
        <v/>
      </c>
      <c r="DF943" t="str">
        <f>""</f>
        <v/>
      </c>
      <c r="DG943" t="str">
        <f>""</f>
        <v/>
      </c>
      <c r="DH943" t="str">
        <f>""</f>
        <v/>
      </c>
      <c r="DI943" t="str">
        <f>""</f>
        <v/>
      </c>
      <c r="DJ943" t="str">
        <f>""</f>
        <v/>
      </c>
      <c r="DK943" t="str">
        <f>""</f>
        <v/>
      </c>
      <c r="DL943" t="str">
        <f>""</f>
        <v/>
      </c>
      <c r="DM943" t="str">
        <f>""</f>
        <v/>
      </c>
      <c r="DN943" t="str">
        <f>""</f>
        <v/>
      </c>
      <c r="DO943" t="str">
        <f>""</f>
        <v/>
      </c>
      <c r="DP943" t="str">
        <f>""</f>
        <v/>
      </c>
      <c r="DQ943" t="str">
        <f>""</f>
        <v/>
      </c>
      <c r="DR943" t="str">
        <f>""</f>
        <v/>
      </c>
      <c r="DS943" t="str">
        <f>""</f>
        <v/>
      </c>
      <c r="DT943" t="str">
        <f>""</f>
        <v/>
      </c>
      <c r="DU943" t="str">
        <f>""</f>
        <v/>
      </c>
    </row>
    <row r="944" spans="1:125" x14ac:dyDescent="0.25">
      <c r="A944" t="str">
        <f>$A$446</f>
        <v xml:space="preserve">    Subaru Corp</v>
      </c>
      <c r="B944" t="str">
        <f>$B$446</f>
        <v>7270 JP Equity</v>
      </c>
      <c r="C944" t="str">
        <f>$C$446</f>
        <v>PR005</v>
      </c>
      <c r="D944" t="str">
        <f>$D$446</f>
        <v>PX_LAST</v>
      </c>
      <c r="E944" t="str">
        <f>$E$446</f>
        <v>Dynamic</v>
      </c>
      <c r="F944" t="str">
        <f ca="1">_xll.BDH($B$446,$C$446,$B$509,$B$510,CONCATENATE("Per=",$B$507),"Dts=H","Dir=H",CONCATENATE("Points=",$B$508),"Sort=R","Days=A","Fill=B",CONCATENATE("FX=", $B$506) )</f>
        <v>#N/A Connection</v>
      </c>
      <c r="BN944" t="str">
        <f>""</f>
        <v/>
      </c>
      <c r="BO944" t="str">
        <f>""</f>
        <v/>
      </c>
      <c r="BP944" t="str">
        <f>""</f>
        <v/>
      </c>
      <c r="BQ944" t="str">
        <f>""</f>
        <v/>
      </c>
      <c r="BR944" t="str">
        <f>""</f>
        <v/>
      </c>
      <c r="BS944" t="str">
        <f>""</f>
        <v/>
      </c>
      <c r="BT944" t="str">
        <f>""</f>
        <v/>
      </c>
      <c r="BU944" t="str">
        <f>""</f>
        <v/>
      </c>
      <c r="BV944" t="str">
        <f>""</f>
        <v/>
      </c>
      <c r="BW944" t="str">
        <f>""</f>
        <v/>
      </c>
      <c r="BX944" t="str">
        <f>""</f>
        <v/>
      </c>
      <c r="BY944" t="str">
        <f>""</f>
        <v/>
      </c>
      <c r="BZ944" t="str">
        <f>""</f>
        <v/>
      </c>
      <c r="CA944" t="str">
        <f>""</f>
        <v/>
      </c>
      <c r="CB944" t="str">
        <f>""</f>
        <v/>
      </c>
      <c r="CC944" t="str">
        <f>""</f>
        <v/>
      </c>
      <c r="CD944" t="str">
        <f>""</f>
        <v/>
      </c>
      <c r="CE944" t="str">
        <f>""</f>
        <v/>
      </c>
      <c r="CF944" t="str">
        <f>""</f>
        <v/>
      </c>
      <c r="CG944" t="str">
        <f>""</f>
        <v/>
      </c>
      <c r="CH944" t="str">
        <f>""</f>
        <v/>
      </c>
      <c r="CI944" t="str">
        <f>""</f>
        <v/>
      </c>
      <c r="CJ944" t="str">
        <f>""</f>
        <v/>
      </c>
      <c r="CK944" t="str">
        <f>""</f>
        <v/>
      </c>
      <c r="CL944" t="str">
        <f>""</f>
        <v/>
      </c>
      <c r="CM944" t="str">
        <f>""</f>
        <v/>
      </c>
      <c r="CN944" t="str">
        <f>""</f>
        <v/>
      </c>
      <c r="CO944" t="str">
        <f>""</f>
        <v/>
      </c>
      <c r="CP944" t="str">
        <f>""</f>
        <v/>
      </c>
      <c r="CQ944" t="str">
        <f>""</f>
        <v/>
      </c>
      <c r="CR944" t="str">
        <f>""</f>
        <v/>
      </c>
      <c r="CS944" t="str">
        <f>""</f>
        <v/>
      </c>
      <c r="CT944" t="str">
        <f>""</f>
        <v/>
      </c>
      <c r="CU944" t="str">
        <f>""</f>
        <v/>
      </c>
      <c r="CV944" t="str">
        <f>""</f>
        <v/>
      </c>
      <c r="CW944" t="str">
        <f>""</f>
        <v/>
      </c>
      <c r="CX944" t="str">
        <f>""</f>
        <v/>
      </c>
      <c r="CY944" t="str">
        <f>""</f>
        <v/>
      </c>
      <c r="CZ944" t="str">
        <f>""</f>
        <v/>
      </c>
      <c r="DA944" t="str">
        <f>""</f>
        <v/>
      </c>
      <c r="DB944" t="str">
        <f>""</f>
        <v/>
      </c>
      <c r="DC944" t="str">
        <f>""</f>
        <v/>
      </c>
      <c r="DD944" t="str">
        <f>""</f>
        <v/>
      </c>
      <c r="DE944" t="str">
        <f>""</f>
        <v/>
      </c>
      <c r="DF944" t="str">
        <f>""</f>
        <v/>
      </c>
      <c r="DG944" t="str">
        <f>""</f>
        <v/>
      </c>
      <c r="DH944" t="str">
        <f>""</f>
        <v/>
      </c>
      <c r="DI944" t="str">
        <f>""</f>
        <v/>
      </c>
      <c r="DJ944" t="str">
        <f>""</f>
        <v/>
      </c>
      <c r="DK944" t="str">
        <f>""</f>
        <v/>
      </c>
      <c r="DL944" t="str">
        <f>""</f>
        <v/>
      </c>
      <c r="DM944" t="str">
        <f>""</f>
        <v/>
      </c>
      <c r="DN944" t="str">
        <f>""</f>
        <v/>
      </c>
      <c r="DO944" t="str">
        <f>""</f>
        <v/>
      </c>
      <c r="DP944" t="str">
        <f>""</f>
        <v/>
      </c>
      <c r="DQ944" t="str">
        <f>""</f>
        <v/>
      </c>
      <c r="DR944" t="str">
        <f>""</f>
        <v/>
      </c>
      <c r="DS944" t="str">
        <f>""</f>
        <v/>
      </c>
      <c r="DT944" t="str">
        <f>""</f>
        <v/>
      </c>
      <c r="DU944" t="str">
        <f>""</f>
        <v/>
      </c>
    </row>
    <row r="945" spans="1:125" x14ac:dyDescent="0.25">
      <c r="A945" t="str">
        <f>$A$447</f>
        <v xml:space="preserve">    Suzuki Motor Corp</v>
      </c>
      <c r="B945" t="str">
        <f>$B$447</f>
        <v>7269 JP Equity</v>
      </c>
      <c r="C945" t="str">
        <f>$C$447</f>
        <v>PR005</v>
      </c>
      <c r="D945" t="str">
        <f>$D$447</f>
        <v>PX_LAST</v>
      </c>
      <c r="E945" t="str">
        <f>$E$447</f>
        <v>Dynamic</v>
      </c>
      <c r="F945" t="str">
        <f ca="1">_xll.BDH($B$447,$C$447,$B$509,$B$510,CONCATENATE("Per=",$B$507),"Dts=H","Dir=H",CONCATENATE("Points=",$B$508),"Sort=R","Days=A","Fill=B",CONCATENATE("FX=", $B$506) )</f>
        <v>#N/A Connection</v>
      </c>
      <c r="BN945" t="str">
        <f>""</f>
        <v/>
      </c>
      <c r="BO945" t="str">
        <f>""</f>
        <v/>
      </c>
      <c r="BP945" t="str">
        <f>""</f>
        <v/>
      </c>
      <c r="BQ945" t="str">
        <f>""</f>
        <v/>
      </c>
      <c r="BR945" t="str">
        <f>""</f>
        <v/>
      </c>
      <c r="BS945" t="str">
        <f>""</f>
        <v/>
      </c>
      <c r="BT945" t="str">
        <f>""</f>
        <v/>
      </c>
      <c r="BU945" t="str">
        <f>""</f>
        <v/>
      </c>
      <c r="BV945" t="str">
        <f>""</f>
        <v/>
      </c>
      <c r="BW945" t="str">
        <f>""</f>
        <v/>
      </c>
      <c r="BX945" t="str">
        <f>""</f>
        <v/>
      </c>
      <c r="BY945" t="str">
        <f>""</f>
        <v/>
      </c>
      <c r="BZ945" t="str">
        <f>""</f>
        <v/>
      </c>
      <c r="CA945" t="str">
        <f>""</f>
        <v/>
      </c>
      <c r="CB945" t="str">
        <f>""</f>
        <v/>
      </c>
      <c r="CC945" t="str">
        <f>""</f>
        <v/>
      </c>
      <c r="CD945" t="str">
        <f>""</f>
        <v/>
      </c>
      <c r="CE945" t="str">
        <f>""</f>
        <v/>
      </c>
      <c r="CF945" t="str">
        <f>""</f>
        <v/>
      </c>
      <c r="CG945" t="str">
        <f>""</f>
        <v/>
      </c>
      <c r="CH945" t="str">
        <f>""</f>
        <v/>
      </c>
      <c r="CI945" t="str">
        <f>""</f>
        <v/>
      </c>
      <c r="CJ945" t="str">
        <f>""</f>
        <v/>
      </c>
      <c r="CK945" t="str">
        <f>""</f>
        <v/>
      </c>
      <c r="CL945" t="str">
        <f>""</f>
        <v/>
      </c>
      <c r="CM945" t="str">
        <f>""</f>
        <v/>
      </c>
      <c r="CN945" t="str">
        <f>""</f>
        <v/>
      </c>
      <c r="CO945" t="str">
        <f>""</f>
        <v/>
      </c>
      <c r="CP945" t="str">
        <f>""</f>
        <v/>
      </c>
      <c r="CQ945" t="str">
        <f>""</f>
        <v/>
      </c>
      <c r="CR945" t="str">
        <f>""</f>
        <v/>
      </c>
      <c r="CS945" t="str">
        <f>""</f>
        <v/>
      </c>
      <c r="CT945" t="str">
        <f>""</f>
        <v/>
      </c>
      <c r="CU945" t="str">
        <f>""</f>
        <v/>
      </c>
      <c r="CV945" t="str">
        <f>""</f>
        <v/>
      </c>
      <c r="CW945" t="str">
        <f>""</f>
        <v/>
      </c>
      <c r="CX945" t="str">
        <f>""</f>
        <v/>
      </c>
      <c r="CY945" t="str">
        <f>""</f>
        <v/>
      </c>
      <c r="CZ945" t="str">
        <f>""</f>
        <v/>
      </c>
      <c r="DA945" t="str">
        <f>""</f>
        <v/>
      </c>
      <c r="DB945" t="str">
        <f>""</f>
        <v/>
      </c>
      <c r="DC945" t="str">
        <f>""</f>
        <v/>
      </c>
      <c r="DD945" t="str">
        <f>""</f>
        <v/>
      </c>
      <c r="DE945" t="str">
        <f>""</f>
        <v/>
      </c>
      <c r="DF945" t="str">
        <f>""</f>
        <v/>
      </c>
      <c r="DG945" t="str">
        <f>""</f>
        <v/>
      </c>
      <c r="DH945" t="str">
        <f>""</f>
        <v/>
      </c>
      <c r="DI945" t="str">
        <f>""</f>
        <v/>
      </c>
      <c r="DJ945" t="str">
        <f>""</f>
        <v/>
      </c>
      <c r="DK945" t="str">
        <f>""</f>
        <v/>
      </c>
      <c r="DL945" t="str">
        <f>""</f>
        <v/>
      </c>
      <c r="DM945" t="str">
        <f>""</f>
        <v/>
      </c>
      <c r="DN945" t="str">
        <f>""</f>
        <v/>
      </c>
      <c r="DO945" t="str">
        <f>""</f>
        <v/>
      </c>
      <c r="DP945" t="str">
        <f>""</f>
        <v/>
      </c>
      <c r="DQ945" t="str">
        <f>""</f>
        <v/>
      </c>
      <c r="DR945" t="str">
        <f>""</f>
        <v/>
      </c>
      <c r="DS945" t="str">
        <f>""</f>
        <v/>
      </c>
      <c r="DT945" t="str">
        <f>""</f>
        <v/>
      </c>
      <c r="DU945" t="str">
        <f>""</f>
        <v/>
      </c>
    </row>
    <row r="946" spans="1:125" x14ac:dyDescent="0.25">
      <c r="A946" t="str">
        <f>$A$448</f>
        <v xml:space="preserve">    Tata Motors Ltd</v>
      </c>
      <c r="B946" t="str">
        <f>$B$448</f>
        <v>TTMT IN Equity</v>
      </c>
      <c r="C946" t="str">
        <f>$C$448</f>
        <v>PR005</v>
      </c>
      <c r="D946" t="str">
        <f>$D$448</f>
        <v>PX_LAST</v>
      </c>
      <c r="E946" t="str">
        <f>$E$448</f>
        <v>Dynamic</v>
      </c>
      <c r="F946" t="str">
        <f ca="1">_xll.BDH($B$448,$C$448,$B$509,$B$510,CONCATENATE("Per=",$B$507),"Dts=H","Dir=H",CONCATENATE("Points=",$B$508),"Sort=R","Days=A","Fill=B",CONCATENATE("FX=", $B$506) )</f>
        <v>#N/A Connection</v>
      </c>
      <c r="BN946" t="str">
        <f>""</f>
        <v/>
      </c>
      <c r="BO946" t="str">
        <f>""</f>
        <v/>
      </c>
      <c r="BP946" t="str">
        <f>""</f>
        <v/>
      </c>
      <c r="BQ946" t="str">
        <f>""</f>
        <v/>
      </c>
      <c r="BR946" t="str">
        <f>""</f>
        <v/>
      </c>
      <c r="BS946" t="str">
        <f>""</f>
        <v/>
      </c>
      <c r="BT946" t="str">
        <f>""</f>
        <v/>
      </c>
      <c r="BU946" t="str">
        <f>""</f>
        <v/>
      </c>
      <c r="BV946" t="str">
        <f>""</f>
        <v/>
      </c>
      <c r="BW946" t="str">
        <f>""</f>
        <v/>
      </c>
      <c r="BX946" t="str">
        <f>""</f>
        <v/>
      </c>
      <c r="BY946" t="str">
        <f>""</f>
        <v/>
      </c>
      <c r="BZ946" t="str">
        <f>""</f>
        <v/>
      </c>
      <c r="CA946" t="str">
        <f>""</f>
        <v/>
      </c>
      <c r="CB946" t="str">
        <f>""</f>
        <v/>
      </c>
      <c r="CC946" t="str">
        <f>""</f>
        <v/>
      </c>
      <c r="CD946" t="str">
        <f>""</f>
        <v/>
      </c>
      <c r="CE946" t="str">
        <f>""</f>
        <v/>
      </c>
      <c r="CF946" t="str">
        <f>""</f>
        <v/>
      </c>
      <c r="CG946" t="str">
        <f>""</f>
        <v/>
      </c>
      <c r="CH946" t="str">
        <f>""</f>
        <v/>
      </c>
      <c r="CI946" t="str">
        <f>""</f>
        <v/>
      </c>
      <c r="CJ946" t="str">
        <f>""</f>
        <v/>
      </c>
      <c r="CK946" t="str">
        <f>""</f>
        <v/>
      </c>
      <c r="CL946" t="str">
        <f>""</f>
        <v/>
      </c>
      <c r="CM946" t="str">
        <f>""</f>
        <v/>
      </c>
      <c r="CN946" t="str">
        <f>""</f>
        <v/>
      </c>
      <c r="CO946" t="str">
        <f>""</f>
        <v/>
      </c>
      <c r="CP946" t="str">
        <f>""</f>
        <v/>
      </c>
      <c r="CQ946" t="str">
        <f>""</f>
        <v/>
      </c>
      <c r="CR946" t="str">
        <f>""</f>
        <v/>
      </c>
      <c r="CS946" t="str">
        <f>""</f>
        <v/>
      </c>
      <c r="CT946" t="str">
        <f>""</f>
        <v/>
      </c>
      <c r="CU946" t="str">
        <f>""</f>
        <v/>
      </c>
      <c r="CV946" t="str">
        <f>""</f>
        <v/>
      </c>
      <c r="CW946" t="str">
        <f>""</f>
        <v/>
      </c>
      <c r="CX946" t="str">
        <f>""</f>
        <v/>
      </c>
      <c r="CY946" t="str">
        <f>""</f>
        <v/>
      </c>
      <c r="CZ946" t="str">
        <f>""</f>
        <v/>
      </c>
      <c r="DA946" t="str">
        <f>""</f>
        <v/>
      </c>
      <c r="DB946" t="str">
        <f>""</f>
        <v/>
      </c>
      <c r="DC946" t="str">
        <f>""</f>
        <v/>
      </c>
      <c r="DD946" t="str">
        <f>""</f>
        <v/>
      </c>
      <c r="DE946" t="str">
        <f>""</f>
        <v/>
      </c>
      <c r="DF946" t="str">
        <f>""</f>
        <v/>
      </c>
      <c r="DG946" t="str">
        <f>""</f>
        <v/>
      </c>
      <c r="DH946" t="str">
        <f>""</f>
        <v/>
      </c>
      <c r="DI946" t="str">
        <f>""</f>
        <v/>
      </c>
      <c r="DJ946" t="str">
        <f>""</f>
        <v/>
      </c>
      <c r="DK946" t="str">
        <f>""</f>
        <v/>
      </c>
      <c r="DL946" t="str">
        <f>""</f>
        <v/>
      </c>
      <c r="DM946" t="str">
        <f>""</f>
        <v/>
      </c>
      <c r="DN946" t="str">
        <f>""</f>
        <v/>
      </c>
      <c r="DO946" t="str">
        <f>""</f>
        <v/>
      </c>
      <c r="DP946" t="str">
        <f>""</f>
        <v/>
      </c>
      <c r="DQ946" t="str">
        <f>""</f>
        <v/>
      </c>
      <c r="DR946" t="str">
        <f>""</f>
        <v/>
      </c>
      <c r="DS946" t="str">
        <f>""</f>
        <v/>
      </c>
      <c r="DT946" t="str">
        <f>""</f>
        <v/>
      </c>
      <c r="DU946" t="str">
        <f>""</f>
        <v/>
      </c>
    </row>
    <row r="947" spans="1:125" x14ac:dyDescent="0.25">
      <c r="A947" t="str">
        <f>$A$449</f>
        <v xml:space="preserve">    Tesla Inc</v>
      </c>
      <c r="B947" t="str">
        <f>$B$449</f>
        <v>TSLA US Equity</v>
      </c>
      <c r="C947" t="str">
        <f>$C$449</f>
        <v>PR005</v>
      </c>
      <c r="D947" t="str">
        <f>$D$449</f>
        <v>PX_LAST</v>
      </c>
      <c r="E947" t="str">
        <f>$E$449</f>
        <v>Dynamic</v>
      </c>
      <c r="F947" t="str">
        <f ca="1">_xll.BDH($B$449,$C$449,$B$509,$B$510,CONCATENATE("Per=",$B$507),"Dts=H","Dir=H",CONCATENATE("Points=",$B$508),"Sort=R","Days=A","Fill=B",CONCATENATE("FX=", $B$506) )</f>
        <v>#N/A Connection</v>
      </c>
      <c r="BN947" t="str">
        <f>""</f>
        <v/>
      </c>
      <c r="BO947" t="str">
        <f>""</f>
        <v/>
      </c>
      <c r="BP947" t="str">
        <f>""</f>
        <v/>
      </c>
      <c r="BQ947" t="str">
        <f>""</f>
        <v/>
      </c>
      <c r="BR947" t="str">
        <f>""</f>
        <v/>
      </c>
      <c r="BS947" t="str">
        <f>""</f>
        <v/>
      </c>
      <c r="BT947" t="str">
        <f>""</f>
        <v/>
      </c>
      <c r="BU947" t="str">
        <f>""</f>
        <v/>
      </c>
      <c r="BV947" t="str">
        <f>""</f>
        <v/>
      </c>
      <c r="BW947" t="str">
        <f>""</f>
        <v/>
      </c>
      <c r="BX947" t="str">
        <f>""</f>
        <v/>
      </c>
      <c r="BY947" t="str">
        <f>""</f>
        <v/>
      </c>
      <c r="BZ947" t="str">
        <f>""</f>
        <v/>
      </c>
      <c r="CA947" t="str">
        <f>""</f>
        <v/>
      </c>
      <c r="CB947" t="str">
        <f>""</f>
        <v/>
      </c>
      <c r="CC947" t="str">
        <f>""</f>
        <v/>
      </c>
      <c r="CD947" t="str">
        <f>""</f>
        <v/>
      </c>
      <c r="CE947" t="str">
        <f>""</f>
        <v/>
      </c>
      <c r="CF947" t="str">
        <f>""</f>
        <v/>
      </c>
      <c r="CG947" t="str">
        <f>""</f>
        <v/>
      </c>
      <c r="CH947" t="str">
        <f>""</f>
        <v/>
      </c>
      <c r="CI947" t="str">
        <f>""</f>
        <v/>
      </c>
      <c r="CJ947" t="str">
        <f>""</f>
        <v/>
      </c>
      <c r="CK947" t="str">
        <f>""</f>
        <v/>
      </c>
      <c r="CL947" t="str">
        <f>""</f>
        <v/>
      </c>
      <c r="CM947" t="str">
        <f>""</f>
        <v/>
      </c>
      <c r="CN947" t="str">
        <f>""</f>
        <v/>
      </c>
      <c r="CO947" t="str">
        <f>""</f>
        <v/>
      </c>
      <c r="CP947" t="str">
        <f>""</f>
        <v/>
      </c>
      <c r="CQ947" t="str">
        <f>""</f>
        <v/>
      </c>
      <c r="CR947" t="str">
        <f>""</f>
        <v/>
      </c>
      <c r="CS947" t="str">
        <f>""</f>
        <v/>
      </c>
      <c r="CT947" t="str">
        <f>""</f>
        <v/>
      </c>
      <c r="CU947" t="str">
        <f>""</f>
        <v/>
      </c>
      <c r="CV947" t="str">
        <f>""</f>
        <v/>
      </c>
      <c r="CW947" t="str">
        <f>""</f>
        <v/>
      </c>
      <c r="CX947" t="str">
        <f>""</f>
        <v/>
      </c>
      <c r="CY947" t="str">
        <f>""</f>
        <v/>
      </c>
      <c r="CZ947" t="str">
        <f>""</f>
        <v/>
      </c>
      <c r="DA947" t="str">
        <f>""</f>
        <v/>
      </c>
      <c r="DB947" t="str">
        <f>""</f>
        <v/>
      </c>
      <c r="DC947" t="str">
        <f>""</f>
        <v/>
      </c>
      <c r="DD947" t="str">
        <f>""</f>
        <v/>
      </c>
      <c r="DE947" t="str">
        <f>""</f>
        <v/>
      </c>
      <c r="DF947" t="str">
        <f>""</f>
        <v/>
      </c>
      <c r="DG947" t="str">
        <f>""</f>
        <v/>
      </c>
      <c r="DH947" t="str">
        <f>""</f>
        <v/>
      </c>
      <c r="DI947" t="str">
        <f>""</f>
        <v/>
      </c>
      <c r="DJ947" t="str">
        <f>""</f>
        <v/>
      </c>
      <c r="DK947" t="str">
        <f>""</f>
        <v/>
      </c>
      <c r="DL947" t="str">
        <f>""</f>
        <v/>
      </c>
      <c r="DM947" t="str">
        <f>""</f>
        <v/>
      </c>
      <c r="DN947" t="str">
        <f>""</f>
        <v/>
      </c>
      <c r="DO947" t="str">
        <f>""</f>
        <v/>
      </c>
      <c r="DP947" t="str">
        <f>""</f>
        <v/>
      </c>
      <c r="DQ947" t="str">
        <f>""</f>
        <v/>
      </c>
      <c r="DR947" t="str">
        <f>""</f>
        <v/>
      </c>
      <c r="DS947" t="str">
        <f>""</f>
        <v/>
      </c>
      <c r="DT947" t="str">
        <f>""</f>
        <v/>
      </c>
      <c r="DU947" t="str">
        <f>""</f>
        <v/>
      </c>
    </row>
    <row r="948" spans="1:125" x14ac:dyDescent="0.25">
      <c r="A948" t="str">
        <f>$A$450</f>
        <v xml:space="preserve">    Tianjin Faw Xiali Automobile Co Ltd</v>
      </c>
      <c r="B948" t="str">
        <f>$B$450</f>
        <v>000927 CH Equity</v>
      </c>
      <c r="C948" t="str">
        <f>$C$450</f>
        <v>PR005</v>
      </c>
      <c r="D948" t="str">
        <f>$D$450</f>
        <v>PX_LAST</v>
      </c>
      <c r="E948" t="str">
        <f>$E$450</f>
        <v>Dynamic</v>
      </c>
      <c r="F948" t="str">
        <f ca="1">_xll.BDH($B$450,$C$450,$B$509,$B$510,CONCATENATE("Per=",$B$507),"Dts=H","Dir=H",CONCATENATE("Points=",$B$508),"Sort=R","Days=A","Fill=B",CONCATENATE("FX=", $B$506) )</f>
        <v>#N/A Connection</v>
      </c>
      <c r="BN948" t="str">
        <f>""</f>
        <v/>
      </c>
      <c r="BO948" t="str">
        <f>""</f>
        <v/>
      </c>
      <c r="BP948" t="str">
        <f>""</f>
        <v/>
      </c>
      <c r="BQ948" t="str">
        <f>""</f>
        <v/>
      </c>
      <c r="BR948" t="str">
        <f>""</f>
        <v/>
      </c>
      <c r="BS948" t="str">
        <f>""</f>
        <v/>
      </c>
      <c r="BT948" t="str">
        <f>""</f>
        <v/>
      </c>
      <c r="BU948" t="str">
        <f>""</f>
        <v/>
      </c>
      <c r="BV948" t="str">
        <f>""</f>
        <v/>
      </c>
      <c r="BW948" t="str">
        <f>""</f>
        <v/>
      </c>
      <c r="BX948" t="str">
        <f>""</f>
        <v/>
      </c>
      <c r="BY948" t="str">
        <f>""</f>
        <v/>
      </c>
      <c r="BZ948" t="str">
        <f>""</f>
        <v/>
      </c>
      <c r="CA948" t="str">
        <f>""</f>
        <v/>
      </c>
      <c r="CB948" t="str">
        <f>""</f>
        <v/>
      </c>
      <c r="CC948" t="str">
        <f>""</f>
        <v/>
      </c>
      <c r="CD948" t="str">
        <f>""</f>
        <v/>
      </c>
      <c r="CE948" t="str">
        <f>""</f>
        <v/>
      </c>
      <c r="CF948" t="str">
        <f>""</f>
        <v/>
      </c>
      <c r="CG948" t="str">
        <f>""</f>
        <v/>
      </c>
      <c r="CH948" t="str">
        <f>""</f>
        <v/>
      </c>
      <c r="CI948" t="str">
        <f>""</f>
        <v/>
      </c>
      <c r="CJ948" t="str">
        <f>""</f>
        <v/>
      </c>
      <c r="CK948" t="str">
        <f>""</f>
        <v/>
      </c>
      <c r="CL948" t="str">
        <f>""</f>
        <v/>
      </c>
      <c r="CM948" t="str">
        <f>""</f>
        <v/>
      </c>
      <c r="CN948" t="str">
        <f>""</f>
        <v/>
      </c>
      <c r="CO948" t="str">
        <f>""</f>
        <v/>
      </c>
      <c r="CP948" t="str">
        <f>""</f>
        <v/>
      </c>
      <c r="CQ948" t="str">
        <f>""</f>
        <v/>
      </c>
      <c r="CR948" t="str">
        <f>""</f>
        <v/>
      </c>
      <c r="CS948" t="str">
        <f>""</f>
        <v/>
      </c>
      <c r="CT948" t="str">
        <f>""</f>
        <v/>
      </c>
      <c r="CU948" t="str">
        <f>""</f>
        <v/>
      </c>
      <c r="CV948" t="str">
        <f>""</f>
        <v/>
      </c>
      <c r="CW948" t="str">
        <f>""</f>
        <v/>
      </c>
      <c r="CX948" t="str">
        <f>""</f>
        <v/>
      </c>
      <c r="CY948" t="str">
        <f>""</f>
        <v/>
      </c>
      <c r="CZ948" t="str">
        <f>""</f>
        <v/>
      </c>
      <c r="DA948" t="str">
        <f>""</f>
        <v/>
      </c>
      <c r="DB948" t="str">
        <f>""</f>
        <v/>
      </c>
      <c r="DC948" t="str">
        <f>""</f>
        <v/>
      </c>
      <c r="DD948" t="str">
        <f>""</f>
        <v/>
      </c>
      <c r="DE948" t="str">
        <f>""</f>
        <v/>
      </c>
      <c r="DF948" t="str">
        <f>""</f>
        <v/>
      </c>
      <c r="DG948" t="str">
        <f>""</f>
        <v/>
      </c>
      <c r="DH948" t="str">
        <f>""</f>
        <v/>
      </c>
      <c r="DI948" t="str">
        <f>""</f>
        <v/>
      </c>
      <c r="DJ948" t="str">
        <f>""</f>
        <v/>
      </c>
      <c r="DK948" t="str">
        <f>""</f>
        <v/>
      </c>
      <c r="DL948" t="str">
        <f>""</f>
        <v/>
      </c>
      <c r="DM948" t="str">
        <f>""</f>
        <v/>
      </c>
      <c r="DN948" t="str">
        <f>""</f>
        <v/>
      </c>
      <c r="DO948" t="str">
        <f>""</f>
        <v/>
      </c>
      <c r="DP948" t="str">
        <f>""</f>
        <v/>
      </c>
      <c r="DQ948" t="str">
        <f>""</f>
        <v/>
      </c>
      <c r="DR948" t="str">
        <f>""</f>
        <v/>
      </c>
      <c r="DS948" t="str">
        <f>""</f>
        <v/>
      </c>
      <c r="DT948" t="str">
        <f>""</f>
        <v/>
      </c>
      <c r="DU948" t="str">
        <f>""</f>
        <v/>
      </c>
    </row>
    <row r="949" spans="1:125" x14ac:dyDescent="0.25">
      <c r="A949" t="str">
        <f>$A$451</f>
        <v xml:space="preserve">    Tofas Turk Otomobil Fabrikasi AS</v>
      </c>
      <c r="B949" t="str">
        <f>$B$451</f>
        <v>TOASOTRY EO Equity</v>
      </c>
      <c r="C949" t="str">
        <f>$C$451</f>
        <v>PR005</v>
      </c>
      <c r="D949" t="str">
        <f>$D$451</f>
        <v>PX_LAST</v>
      </c>
      <c r="E949" t="str">
        <f>$E$451</f>
        <v>Dynamic</v>
      </c>
      <c r="F949" t="str">
        <f ca="1">_xll.BDH($B$451,$C$451,$B$509,$B$510,CONCATENATE("Per=",$B$507),"Dts=H","Dir=H",CONCATENATE("Points=",$B$508),"Sort=R","Days=A","Fill=B",CONCATENATE("FX=", $B$506) )</f>
        <v>#N/A Connection</v>
      </c>
      <c r="BN949" t="str">
        <f>""</f>
        <v/>
      </c>
      <c r="BO949" t="str">
        <f>""</f>
        <v/>
      </c>
      <c r="BP949" t="str">
        <f>""</f>
        <v/>
      </c>
      <c r="BQ949" t="str">
        <f>""</f>
        <v/>
      </c>
      <c r="BR949" t="str">
        <f>""</f>
        <v/>
      </c>
      <c r="BS949" t="str">
        <f>""</f>
        <v/>
      </c>
      <c r="BT949" t="str">
        <f>""</f>
        <v/>
      </c>
      <c r="BU949" t="str">
        <f>""</f>
        <v/>
      </c>
      <c r="BV949" t="str">
        <f>""</f>
        <v/>
      </c>
      <c r="BW949" t="str">
        <f>""</f>
        <v/>
      </c>
      <c r="BX949" t="str">
        <f>""</f>
        <v/>
      </c>
      <c r="BY949" t="str">
        <f>""</f>
        <v/>
      </c>
      <c r="BZ949" t="str">
        <f>""</f>
        <v/>
      </c>
      <c r="CA949" t="str">
        <f>""</f>
        <v/>
      </c>
      <c r="CB949" t="str">
        <f>""</f>
        <v/>
      </c>
      <c r="CC949" t="str">
        <f>""</f>
        <v/>
      </c>
      <c r="CD949" t="str">
        <f>""</f>
        <v/>
      </c>
      <c r="CE949" t="str">
        <f>""</f>
        <v/>
      </c>
      <c r="CF949" t="str">
        <f>""</f>
        <v/>
      </c>
      <c r="CG949" t="str">
        <f>""</f>
        <v/>
      </c>
      <c r="CH949" t="str">
        <f>""</f>
        <v/>
      </c>
      <c r="CI949" t="str">
        <f>""</f>
        <v/>
      </c>
      <c r="CJ949" t="str">
        <f>""</f>
        <v/>
      </c>
      <c r="CK949" t="str">
        <f>""</f>
        <v/>
      </c>
      <c r="CL949" t="str">
        <f>""</f>
        <v/>
      </c>
      <c r="CM949" t="str">
        <f>""</f>
        <v/>
      </c>
      <c r="CN949" t="str">
        <f>""</f>
        <v/>
      </c>
      <c r="CO949" t="str">
        <f>""</f>
        <v/>
      </c>
      <c r="CP949" t="str">
        <f>""</f>
        <v/>
      </c>
      <c r="CQ949" t="str">
        <f>""</f>
        <v/>
      </c>
      <c r="CR949" t="str">
        <f>""</f>
        <v/>
      </c>
      <c r="CS949" t="str">
        <f>""</f>
        <v/>
      </c>
      <c r="CT949" t="str">
        <f>""</f>
        <v/>
      </c>
      <c r="CU949" t="str">
        <f>""</f>
        <v/>
      </c>
      <c r="CV949" t="str">
        <f>""</f>
        <v/>
      </c>
      <c r="CW949" t="str">
        <f>""</f>
        <v/>
      </c>
      <c r="CX949" t="str">
        <f>""</f>
        <v/>
      </c>
      <c r="CY949" t="str">
        <f>""</f>
        <v/>
      </c>
      <c r="CZ949" t="str">
        <f>""</f>
        <v/>
      </c>
      <c r="DA949" t="str">
        <f>""</f>
        <v/>
      </c>
      <c r="DB949" t="str">
        <f>""</f>
        <v/>
      </c>
      <c r="DC949" t="str">
        <f>""</f>
        <v/>
      </c>
      <c r="DD949" t="str">
        <f>""</f>
        <v/>
      </c>
      <c r="DE949" t="str">
        <f>""</f>
        <v/>
      </c>
      <c r="DF949" t="str">
        <f>""</f>
        <v/>
      </c>
      <c r="DG949" t="str">
        <f>""</f>
        <v/>
      </c>
      <c r="DH949" t="str">
        <f>""</f>
        <v/>
      </c>
      <c r="DI949" t="str">
        <f>""</f>
        <v/>
      </c>
      <c r="DJ949" t="str">
        <f>""</f>
        <v/>
      </c>
      <c r="DK949" t="str">
        <f>""</f>
        <v/>
      </c>
      <c r="DL949" t="str">
        <f>""</f>
        <v/>
      </c>
      <c r="DM949" t="str">
        <f>""</f>
        <v/>
      </c>
      <c r="DN949" t="str">
        <f>""</f>
        <v/>
      </c>
      <c r="DO949" t="str">
        <f>""</f>
        <v/>
      </c>
      <c r="DP949" t="str">
        <f>""</f>
        <v/>
      </c>
      <c r="DQ949" t="str">
        <f>""</f>
        <v/>
      </c>
      <c r="DR949" t="str">
        <f>""</f>
        <v/>
      </c>
      <c r="DS949" t="str">
        <f>""</f>
        <v/>
      </c>
      <c r="DT949" t="str">
        <f>""</f>
        <v/>
      </c>
      <c r="DU949" t="str">
        <f>""</f>
        <v/>
      </c>
    </row>
    <row r="950" spans="1:125" x14ac:dyDescent="0.25">
      <c r="A950" t="str">
        <f>$A$452</f>
        <v xml:space="preserve">    Toyota Motor Corp</v>
      </c>
      <c r="B950" t="str">
        <f>$B$452</f>
        <v>7203 JP Equity</v>
      </c>
      <c r="C950" t="str">
        <f>$C$452</f>
        <v>PR005</v>
      </c>
      <c r="D950" t="str">
        <f>$D$452</f>
        <v>PX_LAST</v>
      </c>
      <c r="E950" t="str">
        <f>$E$452</f>
        <v>Dynamic</v>
      </c>
      <c r="F950" t="str">
        <f ca="1">_xll.BDH($B$452,$C$452,$B$509,$B$510,CONCATENATE("Per=",$B$507),"Dts=H","Dir=H",CONCATENATE("Points=",$B$508),"Sort=R","Days=A","Fill=B",CONCATENATE("FX=", $B$506) )</f>
        <v>#N/A Connection</v>
      </c>
      <c r="BN950" t="str">
        <f>""</f>
        <v/>
      </c>
      <c r="BO950" t="str">
        <f>""</f>
        <v/>
      </c>
      <c r="BP950" t="str">
        <f>""</f>
        <v/>
      </c>
      <c r="BQ950" t="str">
        <f>""</f>
        <v/>
      </c>
      <c r="BR950" t="str">
        <f>""</f>
        <v/>
      </c>
      <c r="BS950" t="str">
        <f>""</f>
        <v/>
      </c>
      <c r="BT950" t="str">
        <f>""</f>
        <v/>
      </c>
      <c r="BU950" t="str">
        <f>""</f>
        <v/>
      </c>
      <c r="BV950" t="str">
        <f>""</f>
        <v/>
      </c>
      <c r="BW950" t="str">
        <f>""</f>
        <v/>
      </c>
      <c r="BX950" t="str">
        <f>""</f>
        <v/>
      </c>
      <c r="BY950" t="str">
        <f>""</f>
        <v/>
      </c>
      <c r="BZ950" t="str">
        <f>""</f>
        <v/>
      </c>
      <c r="CA950" t="str">
        <f>""</f>
        <v/>
      </c>
      <c r="CB950" t="str">
        <f>""</f>
        <v/>
      </c>
      <c r="CC950" t="str">
        <f>""</f>
        <v/>
      </c>
      <c r="CD950" t="str">
        <f>""</f>
        <v/>
      </c>
      <c r="CE950" t="str">
        <f>""</f>
        <v/>
      </c>
      <c r="CF950" t="str">
        <f>""</f>
        <v/>
      </c>
      <c r="CG950" t="str">
        <f>""</f>
        <v/>
      </c>
      <c r="CH950" t="str">
        <f>""</f>
        <v/>
      </c>
      <c r="CI950" t="str">
        <f>""</f>
        <v/>
      </c>
      <c r="CJ950" t="str">
        <f>""</f>
        <v/>
      </c>
      <c r="CK950" t="str">
        <f>""</f>
        <v/>
      </c>
      <c r="CL950" t="str">
        <f>""</f>
        <v/>
      </c>
      <c r="CM950" t="str">
        <f>""</f>
        <v/>
      </c>
      <c r="CN950" t="str">
        <f>""</f>
        <v/>
      </c>
      <c r="CO950" t="str">
        <f>""</f>
        <v/>
      </c>
      <c r="CP950" t="str">
        <f>""</f>
        <v/>
      </c>
      <c r="CQ950" t="str">
        <f>""</f>
        <v/>
      </c>
      <c r="CR950" t="str">
        <f>""</f>
        <v/>
      </c>
      <c r="CS950" t="str">
        <f>""</f>
        <v/>
      </c>
      <c r="CT950" t="str">
        <f>""</f>
        <v/>
      </c>
      <c r="CU950" t="str">
        <f>""</f>
        <v/>
      </c>
      <c r="CV950" t="str">
        <f>""</f>
        <v/>
      </c>
      <c r="CW950" t="str">
        <f>""</f>
        <v/>
      </c>
      <c r="CX950" t="str">
        <f>""</f>
        <v/>
      </c>
      <c r="CY950" t="str">
        <f>""</f>
        <v/>
      </c>
      <c r="CZ950" t="str">
        <f>""</f>
        <v/>
      </c>
      <c r="DA950" t="str">
        <f>""</f>
        <v/>
      </c>
      <c r="DB950" t="str">
        <f>""</f>
        <v/>
      </c>
      <c r="DC950" t="str">
        <f>""</f>
        <v/>
      </c>
      <c r="DD950" t="str">
        <f>""</f>
        <v/>
      </c>
      <c r="DE950" t="str">
        <f>""</f>
        <v/>
      </c>
      <c r="DF950" t="str">
        <f>""</f>
        <v/>
      </c>
      <c r="DG950" t="str">
        <f>""</f>
        <v/>
      </c>
      <c r="DH950" t="str">
        <f>""</f>
        <v/>
      </c>
      <c r="DI950" t="str">
        <f>""</f>
        <v/>
      </c>
      <c r="DJ950" t="str">
        <f>""</f>
        <v/>
      </c>
      <c r="DK950" t="str">
        <f>""</f>
        <v/>
      </c>
      <c r="DL950" t="str">
        <f>""</f>
        <v/>
      </c>
      <c r="DM950" t="str">
        <f>""</f>
        <v/>
      </c>
      <c r="DN950" t="str">
        <f>""</f>
        <v/>
      </c>
      <c r="DO950" t="str">
        <f>""</f>
        <v/>
      </c>
      <c r="DP950" t="str">
        <f>""</f>
        <v/>
      </c>
      <c r="DQ950" t="str">
        <f>""</f>
        <v/>
      </c>
      <c r="DR950" t="str">
        <f>""</f>
        <v/>
      </c>
      <c r="DS950" t="str">
        <f>""</f>
        <v/>
      </c>
      <c r="DT950" t="str">
        <f>""</f>
        <v/>
      </c>
      <c r="DU950" t="str">
        <f>""</f>
        <v/>
      </c>
    </row>
    <row r="951" spans="1:125" x14ac:dyDescent="0.25">
      <c r="A951" t="str">
        <f>$A$453</f>
        <v xml:space="preserve">    Volkswagen AG</v>
      </c>
      <c r="B951" t="str">
        <f>$B$453</f>
        <v>VOW GR Equity</v>
      </c>
      <c r="C951" t="str">
        <f>$C$453</f>
        <v>PR005</v>
      </c>
      <c r="D951" t="str">
        <f>$D$453</f>
        <v>PX_LAST</v>
      </c>
      <c r="E951" t="str">
        <f>$E$453</f>
        <v>Dynamic</v>
      </c>
      <c r="F951" t="str">
        <f ca="1">_xll.BDH($B$453,$C$453,$B$509,$B$510,CONCATENATE("Per=",$B$507),"Dts=H","Dir=H",CONCATENATE("Points=",$B$508),"Sort=R","Days=A","Fill=B",CONCATENATE("FX=", $B$506) )</f>
        <v>#N/A Connection</v>
      </c>
      <c r="BN951" t="str">
        <f>""</f>
        <v/>
      </c>
      <c r="BO951" t="str">
        <f>""</f>
        <v/>
      </c>
      <c r="BP951" t="str">
        <f>""</f>
        <v/>
      </c>
      <c r="BQ951" t="str">
        <f>""</f>
        <v/>
      </c>
      <c r="BR951" t="str">
        <f>""</f>
        <v/>
      </c>
      <c r="BS951" t="str">
        <f>""</f>
        <v/>
      </c>
      <c r="BT951" t="str">
        <f>""</f>
        <v/>
      </c>
      <c r="BU951" t="str">
        <f>""</f>
        <v/>
      </c>
      <c r="BV951" t="str">
        <f>""</f>
        <v/>
      </c>
      <c r="BW951" t="str">
        <f>""</f>
        <v/>
      </c>
      <c r="BX951" t="str">
        <f>""</f>
        <v/>
      </c>
      <c r="BY951" t="str">
        <f>""</f>
        <v/>
      </c>
      <c r="BZ951" t="str">
        <f>""</f>
        <v/>
      </c>
      <c r="CA951" t="str">
        <f>""</f>
        <v/>
      </c>
      <c r="CB951" t="str">
        <f>""</f>
        <v/>
      </c>
      <c r="CC951" t="str">
        <f>""</f>
        <v/>
      </c>
      <c r="CD951" t="str">
        <f>""</f>
        <v/>
      </c>
      <c r="CE951" t="str">
        <f>""</f>
        <v/>
      </c>
      <c r="CF951" t="str">
        <f>""</f>
        <v/>
      </c>
      <c r="CG951" t="str">
        <f>""</f>
        <v/>
      </c>
      <c r="CH951" t="str">
        <f>""</f>
        <v/>
      </c>
      <c r="CI951" t="str">
        <f>""</f>
        <v/>
      </c>
      <c r="CJ951" t="str">
        <f>""</f>
        <v/>
      </c>
      <c r="CK951" t="str">
        <f>""</f>
        <v/>
      </c>
      <c r="CL951" t="str">
        <f>""</f>
        <v/>
      </c>
      <c r="CM951" t="str">
        <f>""</f>
        <v/>
      </c>
      <c r="CN951" t="str">
        <f>""</f>
        <v/>
      </c>
      <c r="CO951" t="str">
        <f>""</f>
        <v/>
      </c>
      <c r="CP951" t="str">
        <f>""</f>
        <v/>
      </c>
      <c r="CQ951" t="str">
        <f>""</f>
        <v/>
      </c>
      <c r="CR951" t="str">
        <f>""</f>
        <v/>
      </c>
      <c r="CS951" t="str">
        <f>""</f>
        <v/>
      </c>
      <c r="CT951" t="str">
        <f>""</f>
        <v/>
      </c>
      <c r="CU951" t="str">
        <f>""</f>
        <v/>
      </c>
      <c r="CV951" t="str">
        <f>""</f>
        <v/>
      </c>
      <c r="CW951" t="str">
        <f>""</f>
        <v/>
      </c>
      <c r="CX951" t="str">
        <f>""</f>
        <v/>
      </c>
      <c r="CY951" t="str">
        <f>""</f>
        <v/>
      </c>
      <c r="CZ951" t="str">
        <f>""</f>
        <v/>
      </c>
      <c r="DA951" t="str">
        <f>""</f>
        <v/>
      </c>
      <c r="DB951" t="str">
        <f>""</f>
        <v/>
      </c>
      <c r="DC951" t="str">
        <f>""</f>
        <v/>
      </c>
      <c r="DD951" t="str">
        <f>""</f>
        <v/>
      </c>
      <c r="DE951" t="str">
        <f>""</f>
        <v/>
      </c>
      <c r="DF951" t="str">
        <f>""</f>
        <v/>
      </c>
      <c r="DG951" t="str">
        <f>""</f>
        <v/>
      </c>
      <c r="DH951" t="str">
        <f>""</f>
        <v/>
      </c>
      <c r="DI951" t="str">
        <f>""</f>
        <v/>
      </c>
      <c r="DJ951" t="str">
        <f>""</f>
        <v/>
      </c>
      <c r="DK951" t="str">
        <f>""</f>
        <v/>
      </c>
      <c r="DL951" t="str">
        <f>""</f>
        <v/>
      </c>
      <c r="DM951" t="str">
        <f>""</f>
        <v/>
      </c>
      <c r="DN951" t="str">
        <f>""</f>
        <v/>
      </c>
      <c r="DO951" t="str">
        <f>""</f>
        <v/>
      </c>
      <c r="DP951" t="str">
        <f>""</f>
        <v/>
      </c>
      <c r="DQ951" t="str">
        <f>""</f>
        <v/>
      </c>
      <c r="DR951" t="str">
        <f>""</f>
        <v/>
      </c>
      <c r="DS951" t="str">
        <f>""</f>
        <v/>
      </c>
      <c r="DT951" t="str">
        <f>""</f>
        <v/>
      </c>
      <c r="DU951" t="str">
        <f>""</f>
        <v/>
      </c>
    </row>
    <row r="952" spans="1:125" x14ac:dyDescent="0.25">
      <c r="A952" t="str">
        <f>$A$454</f>
        <v xml:space="preserve">    Yulon Motor Co Ltd</v>
      </c>
      <c r="B952" t="str">
        <f>$B$454</f>
        <v>2201 TT Equity</v>
      </c>
      <c r="C952" t="str">
        <f>$C$454</f>
        <v>PR005</v>
      </c>
      <c r="D952" t="str">
        <f>$D$454</f>
        <v>PX_LAST</v>
      </c>
      <c r="E952" t="str">
        <f>$E$454</f>
        <v>Dynamic</v>
      </c>
      <c r="F952" t="str">
        <f ca="1">_xll.BDH($B$454,$C$454,$B$509,$B$510,CONCATENATE("Per=",$B$507),"Dts=H","Dir=H",CONCATENATE("Points=",$B$508),"Sort=R","Days=A","Fill=B",CONCATENATE("FX=", $B$506) )</f>
        <v>#N/A Connection</v>
      </c>
      <c r="BN952" t="str">
        <f>""</f>
        <v/>
      </c>
      <c r="BO952" t="str">
        <f>""</f>
        <v/>
      </c>
      <c r="BP952" t="str">
        <f>""</f>
        <v/>
      </c>
      <c r="BQ952" t="str">
        <f>""</f>
        <v/>
      </c>
      <c r="BR952" t="str">
        <f>""</f>
        <v/>
      </c>
      <c r="BS952" t="str">
        <f>""</f>
        <v/>
      </c>
      <c r="BT952" t="str">
        <f>""</f>
        <v/>
      </c>
      <c r="BU952" t="str">
        <f>""</f>
        <v/>
      </c>
      <c r="BV952" t="str">
        <f>""</f>
        <v/>
      </c>
      <c r="BW952" t="str">
        <f>""</f>
        <v/>
      </c>
      <c r="BX952" t="str">
        <f>""</f>
        <v/>
      </c>
      <c r="BY952" t="str">
        <f>""</f>
        <v/>
      </c>
      <c r="BZ952" t="str">
        <f>""</f>
        <v/>
      </c>
      <c r="CA952" t="str">
        <f>""</f>
        <v/>
      </c>
      <c r="CB952" t="str">
        <f>""</f>
        <v/>
      </c>
      <c r="CC952" t="str">
        <f>""</f>
        <v/>
      </c>
      <c r="CD952" t="str">
        <f>""</f>
        <v/>
      </c>
      <c r="CE952" t="str">
        <f>""</f>
        <v/>
      </c>
      <c r="CF952" t="str">
        <f>""</f>
        <v/>
      </c>
      <c r="CG952" t="str">
        <f>""</f>
        <v/>
      </c>
      <c r="CH952" t="str">
        <f>""</f>
        <v/>
      </c>
      <c r="CI952" t="str">
        <f>""</f>
        <v/>
      </c>
      <c r="CJ952" t="str">
        <f>""</f>
        <v/>
      </c>
      <c r="CK952" t="str">
        <f>""</f>
        <v/>
      </c>
      <c r="CL952" t="str">
        <f>""</f>
        <v/>
      </c>
      <c r="CM952" t="str">
        <f>""</f>
        <v/>
      </c>
      <c r="CN952" t="str">
        <f>""</f>
        <v/>
      </c>
      <c r="CO952" t="str">
        <f>""</f>
        <v/>
      </c>
      <c r="CP952" t="str">
        <f>""</f>
        <v/>
      </c>
      <c r="CQ952" t="str">
        <f>""</f>
        <v/>
      </c>
      <c r="CR952" t="str">
        <f>""</f>
        <v/>
      </c>
      <c r="CS952" t="str">
        <f>""</f>
        <v/>
      </c>
      <c r="CT952" t="str">
        <f>""</f>
        <v/>
      </c>
      <c r="CU952" t="str">
        <f>""</f>
        <v/>
      </c>
      <c r="CV952" t="str">
        <f>""</f>
        <v/>
      </c>
      <c r="CW952" t="str">
        <f>""</f>
        <v/>
      </c>
      <c r="CX952" t="str">
        <f>""</f>
        <v/>
      </c>
      <c r="CY952" t="str">
        <f>""</f>
        <v/>
      </c>
      <c r="CZ952" t="str">
        <f>""</f>
        <v/>
      </c>
      <c r="DA952" t="str">
        <f>""</f>
        <v/>
      </c>
      <c r="DB952" t="str">
        <f>""</f>
        <v/>
      </c>
      <c r="DC952" t="str">
        <f>""</f>
        <v/>
      </c>
      <c r="DD952" t="str">
        <f>""</f>
        <v/>
      </c>
      <c r="DE952" t="str">
        <f>""</f>
        <v/>
      </c>
      <c r="DF952" t="str">
        <f>""</f>
        <v/>
      </c>
      <c r="DG952" t="str">
        <f>""</f>
        <v/>
      </c>
      <c r="DH952" t="str">
        <f>""</f>
        <v/>
      </c>
      <c r="DI952" t="str">
        <f>""</f>
        <v/>
      </c>
      <c r="DJ952" t="str">
        <f>""</f>
        <v/>
      </c>
      <c r="DK952" t="str">
        <f>""</f>
        <v/>
      </c>
      <c r="DL952" t="str">
        <f>""</f>
        <v/>
      </c>
      <c r="DM952" t="str">
        <f>""</f>
        <v/>
      </c>
      <c r="DN952" t="str">
        <f>""</f>
        <v/>
      </c>
      <c r="DO952" t="str">
        <f>""</f>
        <v/>
      </c>
      <c r="DP952" t="str">
        <f>""</f>
        <v/>
      </c>
      <c r="DQ952" t="str">
        <f>""</f>
        <v/>
      </c>
      <c r="DR952" t="str">
        <f>""</f>
        <v/>
      </c>
      <c r="DS952" t="str">
        <f>""</f>
        <v/>
      </c>
      <c r="DT952" t="str">
        <f>""</f>
        <v/>
      </c>
      <c r="DU952" t="str">
        <f>""</f>
        <v/>
      </c>
    </row>
    <row r="953" spans="1:125" x14ac:dyDescent="0.25">
      <c r="A953" t="str">
        <f>$A$456</f>
        <v xml:space="preserve">    AUDI AG</v>
      </c>
      <c r="B953" t="str">
        <f>$B$456</f>
        <v>NSU GR Equity</v>
      </c>
      <c r="C953" t="str">
        <f>$C$456</f>
        <v>RR902</v>
      </c>
      <c r="D953" t="str">
        <f>$D$456</f>
        <v>CUR_MKT_CAP</v>
      </c>
      <c r="E953" t="str">
        <f>$E$456</f>
        <v>Dynamic</v>
      </c>
      <c r="F953" t="str">
        <f ca="1">_xll.BDH($B$456,$C$456,$B$509,$B$510,CONCATENATE("Per=",$B$507),"Dts=H","Dir=H",CONCATENATE("Points=",$B$508),"Sort=R","Days=A","Fill=B",CONCATENATE("FX=", $B$506) )</f>
        <v>#N/A Connection</v>
      </c>
      <c r="BN953" t="str">
        <f>""</f>
        <v/>
      </c>
      <c r="BO953" t="str">
        <f>""</f>
        <v/>
      </c>
      <c r="BP953" t="str">
        <f>""</f>
        <v/>
      </c>
      <c r="BQ953" t="str">
        <f>""</f>
        <v/>
      </c>
      <c r="BR953" t="str">
        <f>""</f>
        <v/>
      </c>
      <c r="BS953" t="str">
        <f>""</f>
        <v/>
      </c>
      <c r="BT953" t="str">
        <f>""</f>
        <v/>
      </c>
      <c r="BU953" t="str">
        <f>""</f>
        <v/>
      </c>
      <c r="BV953" t="str">
        <f>""</f>
        <v/>
      </c>
      <c r="BW953" t="str">
        <f>""</f>
        <v/>
      </c>
      <c r="BX953" t="str">
        <f>""</f>
        <v/>
      </c>
      <c r="BY953" t="str">
        <f>""</f>
        <v/>
      </c>
      <c r="BZ953" t="str">
        <f>""</f>
        <v/>
      </c>
      <c r="CA953" t="str">
        <f>""</f>
        <v/>
      </c>
      <c r="CB953" t="str">
        <f>""</f>
        <v/>
      </c>
      <c r="CC953" t="str">
        <f>""</f>
        <v/>
      </c>
      <c r="CD953" t="str">
        <f>""</f>
        <v/>
      </c>
      <c r="CE953" t="str">
        <f>""</f>
        <v/>
      </c>
      <c r="CF953" t="str">
        <f>""</f>
        <v/>
      </c>
      <c r="CG953" t="str">
        <f>""</f>
        <v/>
      </c>
      <c r="CH953" t="str">
        <f>""</f>
        <v/>
      </c>
      <c r="CI953" t="str">
        <f>""</f>
        <v/>
      </c>
      <c r="CJ953" t="str">
        <f>""</f>
        <v/>
      </c>
      <c r="CK953" t="str">
        <f>""</f>
        <v/>
      </c>
      <c r="CL953" t="str">
        <f>""</f>
        <v/>
      </c>
      <c r="CM953" t="str">
        <f>""</f>
        <v/>
      </c>
      <c r="CN953" t="str">
        <f>""</f>
        <v/>
      </c>
      <c r="CO953" t="str">
        <f>""</f>
        <v/>
      </c>
      <c r="CP953" t="str">
        <f>""</f>
        <v/>
      </c>
      <c r="CQ953" t="str">
        <f>""</f>
        <v/>
      </c>
      <c r="CR953" t="str">
        <f>""</f>
        <v/>
      </c>
      <c r="CS953" t="str">
        <f>""</f>
        <v/>
      </c>
      <c r="CT953" t="str">
        <f>""</f>
        <v/>
      </c>
      <c r="CU953" t="str">
        <f>""</f>
        <v/>
      </c>
      <c r="CV953" t="str">
        <f>""</f>
        <v/>
      </c>
      <c r="CW953" t="str">
        <f>""</f>
        <v/>
      </c>
      <c r="CX953" t="str">
        <f>""</f>
        <v/>
      </c>
      <c r="CY953" t="str">
        <f>""</f>
        <v/>
      </c>
      <c r="CZ953" t="str">
        <f>""</f>
        <v/>
      </c>
      <c r="DA953" t="str">
        <f>""</f>
        <v/>
      </c>
      <c r="DB953" t="str">
        <f>""</f>
        <v/>
      </c>
      <c r="DC953" t="str">
        <f>""</f>
        <v/>
      </c>
      <c r="DD953" t="str">
        <f>""</f>
        <v/>
      </c>
      <c r="DE953" t="str">
        <f>""</f>
        <v/>
      </c>
      <c r="DF953" t="str">
        <f>""</f>
        <v/>
      </c>
      <c r="DG953" t="str">
        <f>""</f>
        <v/>
      </c>
      <c r="DH953" t="str">
        <f>""</f>
        <v/>
      </c>
      <c r="DI953" t="str">
        <f>""</f>
        <v/>
      </c>
      <c r="DJ953" t="str">
        <f>""</f>
        <v/>
      </c>
      <c r="DK953" t="str">
        <f>""</f>
        <v/>
      </c>
      <c r="DL953" t="str">
        <f>""</f>
        <v/>
      </c>
      <c r="DM953" t="str">
        <f>""</f>
        <v/>
      </c>
      <c r="DN953" t="str">
        <f>""</f>
        <v/>
      </c>
      <c r="DO953" t="str">
        <f>""</f>
        <v/>
      </c>
      <c r="DP953" t="str">
        <f>""</f>
        <v/>
      </c>
      <c r="DQ953" t="str">
        <f>""</f>
        <v/>
      </c>
      <c r="DR953" t="str">
        <f>""</f>
        <v/>
      </c>
      <c r="DS953" t="str">
        <f>""</f>
        <v/>
      </c>
      <c r="DT953" t="str">
        <f>""</f>
        <v/>
      </c>
      <c r="DU953" t="str">
        <f>""</f>
        <v/>
      </c>
    </row>
    <row r="954" spans="1:125" x14ac:dyDescent="0.25">
      <c r="A954" t="str">
        <f>$A$457</f>
        <v xml:space="preserve">    Avtovaz PJSC</v>
      </c>
      <c r="B954" t="str">
        <f>$B$457</f>
        <v>AVAZ RM Equity</v>
      </c>
      <c r="C954" t="str">
        <f>$C$457</f>
        <v>RR902</v>
      </c>
      <c r="D954" t="str">
        <f>$D$457</f>
        <v>CUR_MKT_CAP</v>
      </c>
      <c r="E954" t="str">
        <f>$E$457</f>
        <v>Dynamic</v>
      </c>
      <c r="F954" t="str">
        <f ca="1">_xll.BDH($B$457,$C$457,$B$509,$B$510,CONCATENATE("Per=",$B$507),"Dts=H","Dir=H",CONCATENATE("Points=",$B$508),"Sort=R","Days=A","Fill=B",CONCATENATE("FX=", $B$506) )</f>
        <v>#N/A Connection</v>
      </c>
      <c r="BN954" t="str">
        <f>""</f>
        <v/>
      </c>
      <c r="BO954" t="str">
        <f>""</f>
        <v/>
      </c>
      <c r="BP954" t="str">
        <f>""</f>
        <v/>
      </c>
      <c r="BQ954" t="str">
        <f>""</f>
        <v/>
      </c>
      <c r="BR954" t="str">
        <f>""</f>
        <v/>
      </c>
      <c r="BS954" t="str">
        <f>""</f>
        <v/>
      </c>
      <c r="BT954" t="str">
        <f>""</f>
        <v/>
      </c>
      <c r="BU954" t="str">
        <f>""</f>
        <v/>
      </c>
      <c r="BV954" t="str">
        <f>""</f>
        <v/>
      </c>
      <c r="BW954" t="str">
        <f>""</f>
        <v/>
      </c>
      <c r="BX954" t="str">
        <f>""</f>
        <v/>
      </c>
      <c r="BY954" t="str">
        <f>""</f>
        <v/>
      </c>
      <c r="BZ954" t="str">
        <f>""</f>
        <v/>
      </c>
      <c r="CA954" t="str">
        <f>""</f>
        <v/>
      </c>
      <c r="CB954" t="str">
        <f>""</f>
        <v/>
      </c>
      <c r="CC954" t="str">
        <f>""</f>
        <v/>
      </c>
      <c r="CD954" t="str">
        <f>""</f>
        <v/>
      </c>
      <c r="CE954" t="str">
        <f>""</f>
        <v/>
      </c>
      <c r="CF954" t="str">
        <f>""</f>
        <v/>
      </c>
      <c r="CG954" t="str">
        <f>""</f>
        <v/>
      </c>
      <c r="CH954" t="str">
        <f>""</f>
        <v/>
      </c>
      <c r="CI954" t="str">
        <f>""</f>
        <v/>
      </c>
      <c r="CJ954" t="str">
        <f>""</f>
        <v/>
      </c>
      <c r="CK954" t="str">
        <f>""</f>
        <v/>
      </c>
      <c r="CL954" t="str">
        <f>""</f>
        <v/>
      </c>
      <c r="CM954" t="str">
        <f>""</f>
        <v/>
      </c>
      <c r="CN954" t="str">
        <f>""</f>
        <v/>
      </c>
      <c r="CO954" t="str">
        <f>""</f>
        <v/>
      </c>
      <c r="CP954" t="str">
        <f>""</f>
        <v/>
      </c>
      <c r="CQ954" t="str">
        <f>""</f>
        <v/>
      </c>
      <c r="CR954" t="str">
        <f>""</f>
        <v/>
      </c>
      <c r="CS954" t="str">
        <f>""</f>
        <v/>
      </c>
      <c r="CT954" t="str">
        <f>""</f>
        <v/>
      </c>
      <c r="CU954" t="str">
        <f>""</f>
        <v/>
      </c>
      <c r="CV954" t="str">
        <f>""</f>
        <v/>
      </c>
      <c r="CW954" t="str">
        <f>""</f>
        <v/>
      </c>
      <c r="CX954" t="str">
        <f>""</f>
        <v/>
      </c>
      <c r="CY954" t="str">
        <f>""</f>
        <v/>
      </c>
      <c r="CZ954" t="str">
        <f>""</f>
        <v/>
      </c>
      <c r="DA954" t="str">
        <f>""</f>
        <v/>
      </c>
      <c r="DB954" t="str">
        <f>""</f>
        <v/>
      </c>
      <c r="DC954" t="str">
        <f>""</f>
        <v/>
      </c>
      <c r="DD954" t="str">
        <f>""</f>
        <v/>
      </c>
      <c r="DE954" t="str">
        <f>""</f>
        <v/>
      </c>
      <c r="DF954" t="str">
        <f>""</f>
        <v/>
      </c>
      <c r="DG954" t="str">
        <f>""</f>
        <v/>
      </c>
      <c r="DH954" t="str">
        <f>""</f>
        <v/>
      </c>
      <c r="DI954" t="str">
        <f>""</f>
        <v/>
      </c>
      <c r="DJ954" t="str">
        <f>""</f>
        <v/>
      </c>
      <c r="DK954" t="str">
        <f>""</f>
        <v/>
      </c>
      <c r="DL954" t="str">
        <f>""</f>
        <v/>
      </c>
      <c r="DM954" t="str">
        <f>""</f>
        <v/>
      </c>
      <c r="DN954" t="str">
        <f>""</f>
        <v/>
      </c>
      <c r="DO954" t="str">
        <f>""</f>
        <v/>
      </c>
      <c r="DP954" t="str">
        <f>""</f>
        <v/>
      </c>
      <c r="DQ954" t="str">
        <f>""</f>
        <v/>
      </c>
      <c r="DR954" t="str">
        <f>""</f>
        <v/>
      </c>
      <c r="DS954" t="str">
        <f>""</f>
        <v/>
      </c>
      <c r="DT954" t="str">
        <f>""</f>
        <v/>
      </c>
      <c r="DU954" t="str">
        <f>""</f>
        <v/>
      </c>
    </row>
    <row r="955" spans="1:125" x14ac:dyDescent="0.25">
      <c r="A955" t="str">
        <f>$A$458</f>
        <v xml:space="preserve">    Bayerische Motoren Werke AG</v>
      </c>
      <c r="B955" t="str">
        <f>$B$458</f>
        <v>BMW GR Equity</v>
      </c>
      <c r="C955" t="str">
        <f>$C$458</f>
        <v>RR902</v>
      </c>
      <c r="D955" t="str">
        <f>$D$458</f>
        <v>CUR_MKT_CAP</v>
      </c>
      <c r="E955" t="str">
        <f>$E$458</f>
        <v>Dynamic</v>
      </c>
      <c r="F955" t="str">
        <f ca="1">_xll.BDH($B$458,$C$458,$B$509,$B$510,CONCATENATE("Per=",$B$507),"Dts=H","Dir=H",CONCATENATE("Points=",$B$508),"Sort=R","Days=A","Fill=B",CONCATENATE("FX=", $B$506) )</f>
        <v>#N/A Connection</v>
      </c>
      <c r="BN955" t="str">
        <f>""</f>
        <v/>
      </c>
      <c r="BO955" t="str">
        <f>""</f>
        <v/>
      </c>
      <c r="BP955" t="str">
        <f>""</f>
        <v/>
      </c>
      <c r="BQ955" t="str">
        <f>""</f>
        <v/>
      </c>
      <c r="BR955" t="str">
        <f>""</f>
        <v/>
      </c>
      <c r="BS955" t="str">
        <f>""</f>
        <v/>
      </c>
      <c r="BT955" t="str">
        <f>""</f>
        <v/>
      </c>
      <c r="BU955" t="str">
        <f>""</f>
        <v/>
      </c>
      <c r="BV955" t="str">
        <f>""</f>
        <v/>
      </c>
      <c r="BW955" t="str">
        <f>""</f>
        <v/>
      </c>
      <c r="BX955" t="str">
        <f>""</f>
        <v/>
      </c>
      <c r="BY955" t="str">
        <f>""</f>
        <v/>
      </c>
      <c r="BZ955" t="str">
        <f>""</f>
        <v/>
      </c>
      <c r="CA955" t="str">
        <f>""</f>
        <v/>
      </c>
      <c r="CB955" t="str">
        <f>""</f>
        <v/>
      </c>
      <c r="CC955" t="str">
        <f>""</f>
        <v/>
      </c>
      <c r="CD955" t="str">
        <f>""</f>
        <v/>
      </c>
      <c r="CE955" t="str">
        <f>""</f>
        <v/>
      </c>
      <c r="CF955" t="str">
        <f>""</f>
        <v/>
      </c>
      <c r="CG955" t="str">
        <f>""</f>
        <v/>
      </c>
      <c r="CH955" t="str">
        <f>""</f>
        <v/>
      </c>
      <c r="CI955" t="str">
        <f>""</f>
        <v/>
      </c>
      <c r="CJ955" t="str">
        <f>""</f>
        <v/>
      </c>
      <c r="CK955" t="str">
        <f>""</f>
        <v/>
      </c>
      <c r="CL955" t="str">
        <f>""</f>
        <v/>
      </c>
      <c r="CM955" t="str">
        <f>""</f>
        <v/>
      </c>
      <c r="CN955" t="str">
        <f>""</f>
        <v/>
      </c>
      <c r="CO955" t="str">
        <f>""</f>
        <v/>
      </c>
      <c r="CP955" t="str">
        <f>""</f>
        <v/>
      </c>
      <c r="CQ955" t="str">
        <f>""</f>
        <v/>
      </c>
      <c r="CR955" t="str">
        <f>""</f>
        <v/>
      </c>
      <c r="CS955" t="str">
        <f>""</f>
        <v/>
      </c>
      <c r="CT955" t="str">
        <f>""</f>
        <v/>
      </c>
      <c r="CU955" t="str">
        <f>""</f>
        <v/>
      </c>
      <c r="CV955" t="str">
        <f>""</f>
        <v/>
      </c>
      <c r="CW955" t="str">
        <f>""</f>
        <v/>
      </c>
      <c r="CX955" t="str">
        <f>""</f>
        <v/>
      </c>
      <c r="CY955" t="str">
        <f>""</f>
        <v/>
      </c>
      <c r="CZ955" t="str">
        <f>""</f>
        <v/>
      </c>
      <c r="DA955" t="str">
        <f>""</f>
        <v/>
      </c>
      <c r="DB955" t="str">
        <f>""</f>
        <v/>
      </c>
      <c r="DC955" t="str">
        <f>""</f>
        <v/>
      </c>
      <c r="DD955" t="str">
        <f>""</f>
        <v/>
      </c>
      <c r="DE955" t="str">
        <f>""</f>
        <v/>
      </c>
      <c r="DF955" t="str">
        <f>""</f>
        <v/>
      </c>
      <c r="DG955" t="str">
        <f>""</f>
        <v/>
      </c>
      <c r="DH955" t="str">
        <f>""</f>
        <v/>
      </c>
      <c r="DI955" t="str">
        <f>""</f>
        <v/>
      </c>
      <c r="DJ955" t="str">
        <f>""</f>
        <v/>
      </c>
      <c r="DK955" t="str">
        <f>""</f>
        <v/>
      </c>
      <c r="DL955" t="str">
        <f>""</f>
        <v/>
      </c>
      <c r="DM955" t="str">
        <f>""</f>
        <v/>
      </c>
      <c r="DN955" t="str">
        <f>""</f>
        <v/>
      </c>
      <c r="DO955" t="str">
        <f>""</f>
        <v/>
      </c>
      <c r="DP955" t="str">
        <f>""</f>
        <v/>
      </c>
      <c r="DQ955" t="str">
        <f>""</f>
        <v/>
      </c>
      <c r="DR955" t="str">
        <f>""</f>
        <v/>
      </c>
      <c r="DS955" t="str">
        <f>""</f>
        <v/>
      </c>
      <c r="DT955" t="str">
        <f>""</f>
        <v/>
      </c>
      <c r="DU955" t="str">
        <f>""</f>
        <v/>
      </c>
    </row>
    <row r="956" spans="1:125" x14ac:dyDescent="0.25">
      <c r="A956" t="str">
        <f>$A$459</f>
        <v xml:space="preserve">    Brilliance China Automotive Holdings Ltd</v>
      </c>
      <c r="B956" t="str">
        <f>$B$459</f>
        <v>1114 HK Equity</v>
      </c>
      <c r="C956" t="str">
        <f>$C$459</f>
        <v>RR902</v>
      </c>
      <c r="D956" t="str">
        <f>$D$459</f>
        <v>CUR_MKT_CAP</v>
      </c>
      <c r="E956" t="str">
        <f>$E$459</f>
        <v>Dynamic</v>
      </c>
      <c r="F956" t="str">
        <f ca="1">_xll.BDH($B$459,$C$459,$B$509,$B$510,CONCATENATE("Per=",$B$507),"Dts=H","Dir=H",CONCATENATE("Points=",$B$508),"Sort=R","Days=A","Fill=B",CONCATENATE("FX=", $B$506) )</f>
        <v>#N/A Connection</v>
      </c>
      <c r="BN956" t="str">
        <f>""</f>
        <v/>
      </c>
      <c r="BO956" t="str">
        <f>""</f>
        <v/>
      </c>
      <c r="BP956" t="str">
        <f>""</f>
        <v/>
      </c>
      <c r="BQ956" t="str">
        <f>""</f>
        <v/>
      </c>
      <c r="BR956" t="str">
        <f>""</f>
        <v/>
      </c>
      <c r="BS956" t="str">
        <f>""</f>
        <v/>
      </c>
      <c r="BT956" t="str">
        <f>""</f>
        <v/>
      </c>
      <c r="BU956" t="str">
        <f>""</f>
        <v/>
      </c>
      <c r="BV956" t="str">
        <f>""</f>
        <v/>
      </c>
      <c r="BW956" t="str">
        <f>""</f>
        <v/>
      </c>
      <c r="BX956" t="str">
        <f>""</f>
        <v/>
      </c>
      <c r="BY956" t="str">
        <f>""</f>
        <v/>
      </c>
      <c r="BZ956" t="str">
        <f>""</f>
        <v/>
      </c>
      <c r="CA956" t="str">
        <f>""</f>
        <v/>
      </c>
      <c r="CB956" t="str">
        <f>""</f>
        <v/>
      </c>
      <c r="CC956" t="str">
        <f>""</f>
        <v/>
      </c>
      <c r="CD956" t="str">
        <f>""</f>
        <v/>
      </c>
      <c r="CE956" t="str">
        <f>""</f>
        <v/>
      </c>
      <c r="CF956" t="str">
        <f>""</f>
        <v/>
      </c>
      <c r="CG956" t="str">
        <f>""</f>
        <v/>
      </c>
      <c r="CH956" t="str">
        <f>""</f>
        <v/>
      </c>
      <c r="CI956" t="str">
        <f>""</f>
        <v/>
      </c>
      <c r="CJ956" t="str">
        <f>""</f>
        <v/>
      </c>
      <c r="CK956" t="str">
        <f>""</f>
        <v/>
      </c>
      <c r="CL956" t="str">
        <f>""</f>
        <v/>
      </c>
      <c r="CM956" t="str">
        <f>""</f>
        <v/>
      </c>
      <c r="CN956" t="str">
        <f>""</f>
        <v/>
      </c>
      <c r="CO956" t="str">
        <f>""</f>
        <v/>
      </c>
      <c r="CP956" t="str">
        <f>""</f>
        <v/>
      </c>
      <c r="CQ956" t="str">
        <f>""</f>
        <v/>
      </c>
      <c r="CR956" t="str">
        <f>""</f>
        <v/>
      </c>
      <c r="CS956" t="str">
        <f>""</f>
        <v/>
      </c>
      <c r="CT956" t="str">
        <f>""</f>
        <v/>
      </c>
      <c r="CU956" t="str">
        <f>""</f>
        <v/>
      </c>
      <c r="CV956" t="str">
        <f>""</f>
        <v/>
      </c>
      <c r="CW956" t="str">
        <f>""</f>
        <v/>
      </c>
      <c r="CX956" t="str">
        <f>""</f>
        <v/>
      </c>
      <c r="CY956" t="str">
        <f>""</f>
        <v/>
      </c>
      <c r="CZ956" t="str">
        <f>""</f>
        <v/>
      </c>
      <c r="DA956" t="str">
        <f>""</f>
        <v/>
      </c>
      <c r="DB956" t="str">
        <f>""</f>
        <v/>
      </c>
      <c r="DC956" t="str">
        <f>""</f>
        <v/>
      </c>
      <c r="DD956" t="str">
        <f>""</f>
        <v/>
      </c>
      <c r="DE956" t="str">
        <f>""</f>
        <v/>
      </c>
      <c r="DF956" t="str">
        <f>""</f>
        <v/>
      </c>
      <c r="DG956" t="str">
        <f>""</f>
        <v/>
      </c>
      <c r="DH956" t="str">
        <f>""</f>
        <v/>
      </c>
      <c r="DI956" t="str">
        <f>""</f>
        <v/>
      </c>
      <c r="DJ956" t="str">
        <f>""</f>
        <v/>
      </c>
      <c r="DK956" t="str">
        <f>""</f>
        <v/>
      </c>
      <c r="DL956" t="str">
        <f>""</f>
        <v/>
      </c>
      <c r="DM956" t="str">
        <f>""</f>
        <v/>
      </c>
      <c r="DN956" t="str">
        <f>""</f>
        <v/>
      </c>
      <c r="DO956" t="str">
        <f>""</f>
        <v/>
      </c>
      <c r="DP956" t="str">
        <f>""</f>
        <v/>
      </c>
      <c r="DQ956" t="str">
        <f>""</f>
        <v/>
      </c>
      <c r="DR956" t="str">
        <f>""</f>
        <v/>
      </c>
      <c r="DS956" t="str">
        <f>""</f>
        <v/>
      </c>
      <c r="DT956" t="str">
        <f>""</f>
        <v/>
      </c>
      <c r="DU956" t="str">
        <f>""</f>
        <v/>
      </c>
    </row>
    <row r="957" spans="1:125" x14ac:dyDescent="0.25">
      <c r="A957" t="str">
        <f>$A$460</f>
        <v xml:space="preserve">    BYD Co Ltd</v>
      </c>
      <c r="B957" t="str">
        <f>$B$460</f>
        <v>1211 HK Equity</v>
      </c>
      <c r="C957" t="str">
        <f>$C$460</f>
        <v>RR902</v>
      </c>
      <c r="D957" t="str">
        <f>$D$460</f>
        <v>CUR_MKT_CAP</v>
      </c>
      <c r="E957" t="str">
        <f>$E$460</f>
        <v>Dynamic</v>
      </c>
      <c r="F957" t="str">
        <f ca="1">_xll.BDH($B$460,$C$460,$B$509,$B$510,CONCATENATE("Per=",$B$507),"Dts=H","Dir=H",CONCATENATE("Points=",$B$508),"Sort=R","Days=A","Fill=B",CONCATENATE("FX=", $B$506) )</f>
        <v>#N/A Connection</v>
      </c>
      <c r="BN957" t="str">
        <f>""</f>
        <v/>
      </c>
      <c r="BO957" t="str">
        <f>""</f>
        <v/>
      </c>
      <c r="BP957" t="str">
        <f>""</f>
        <v/>
      </c>
      <c r="BQ957" t="str">
        <f>""</f>
        <v/>
      </c>
      <c r="BR957" t="str">
        <f>""</f>
        <v/>
      </c>
      <c r="BS957" t="str">
        <f>""</f>
        <v/>
      </c>
      <c r="BT957" t="str">
        <f>""</f>
        <v/>
      </c>
      <c r="BU957" t="str">
        <f>""</f>
        <v/>
      </c>
      <c r="BV957" t="str">
        <f>""</f>
        <v/>
      </c>
      <c r="BW957" t="str">
        <f>""</f>
        <v/>
      </c>
      <c r="BX957" t="str">
        <f>""</f>
        <v/>
      </c>
      <c r="BY957" t="str">
        <f>""</f>
        <v/>
      </c>
      <c r="BZ957" t="str">
        <f>""</f>
        <v/>
      </c>
      <c r="CA957" t="str">
        <f>""</f>
        <v/>
      </c>
      <c r="CB957" t="str">
        <f>""</f>
        <v/>
      </c>
      <c r="CC957" t="str">
        <f>""</f>
        <v/>
      </c>
      <c r="CD957" t="str">
        <f>""</f>
        <v/>
      </c>
      <c r="CE957" t="str">
        <f>""</f>
        <v/>
      </c>
      <c r="CF957" t="str">
        <f>""</f>
        <v/>
      </c>
      <c r="CG957" t="str">
        <f>""</f>
        <v/>
      </c>
      <c r="CH957" t="str">
        <f>""</f>
        <v/>
      </c>
      <c r="CI957" t="str">
        <f>""</f>
        <v/>
      </c>
      <c r="CJ957" t="str">
        <f>""</f>
        <v/>
      </c>
      <c r="CK957" t="str">
        <f>""</f>
        <v/>
      </c>
      <c r="CL957" t="str">
        <f>""</f>
        <v/>
      </c>
      <c r="CM957" t="str">
        <f>""</f>
        <v/>
      </c>
      <c r="CN957" t="str">
        <f>""</f>
        <v/>
      </c>
      <c r="CO957" t="str">
        <f>""</f>
        <v/>
      </c>
      <c r="CP957" t="str">
        <f>""</f>
        <v/>
      </c>
      <c r="CQ957" t="str">
        <f>""</f>
        <v/>
      </c>
      <c r="CR957" t="str">
        <f>""</f>
        <v/>
      </c>
      <c r="CS957" t="str">
        <f>""</f>
        <v/>
      </c>
      <c r="CT957" t="str">
        <f>""</f>
        <v/>
      </c>
      <c r="CU957" t="str">
        <f>""</f>
        <v/>
      </c>
      <c r="CV957" t="str">
        <f>""</f>
        <v/>
      </c>
      <c r="CW957" t="str">
        <f>""</f>
        <v/>
      </c>
      <c r="CX957" t="str">
        <f>""</f>
        <v/>
      </c>
      <c r="CY957" t="str">
        <f>""</f>
        <v/>
      </c>
      <c r="CZ957" t="str">
        <f>""</f>
        <v/>
      </c>
      <c r="DA957" t="str">
        <f>""</f>
        <v/>
      </c>
      <c r="DB957" t="str">
        <f>""</f>
        <v/>
      </c>
      <c r="DC957" t="str">
        <f>""</f>
        <v/>
      </c>
      <c r="DD957" t="str">
        <f>""</f>
        <v/>
      </c>
      <c r="DE957" t="str">
        <f>""</f>
        <v/>
      </c>
      <c r="DF957" t="str">
        <f>""</f>
        <v/>
      </c>
      <c r="DG957" t="str">
        <f>""</f>
        <v/>
      </c>
      <c r="DH957" t="str">
        <f>""</f>
        <v/>
      </c>
      <c r="DI957" t="str">
        <f>""</f>
        <v/>
      </c>
      <c r="DJ957" t="str">
        <f>""</f>
        <v/>
      </c>
      <c r="DK957" t="str">
        <f>""</f>
        <v/>
      </c>
      <c r="DL957" t="str">
        <f>""</f>
        <v/>
      </c>
      <c r="DM957" t="str">
        <f>""</f>
        <v/>
      </c>
      <c r="DN957" t="str">
        <f>""</f>
        <v/>
      </c>
      <c r="DO957" t="str">
        <f>""</f>
        <v/>
      </c>
      <c r="DP957" t="str">
        <f>""</f>
        <v/>
      </c>
      <c r="DQ957" t="str">
        <f>""</f>
        <v/>
      </c>
      <c r="DR957" t="str">
        <f>""</f>
        <v/>
      </c>
      <c r="DS957" t="str">
        <f>""</f>
        <v/>
      </c>
      <c r="DT957" t="str">
        <f>""</f>
        <v/>
      </c>
      <c r="DU957" t="str">
        <f>""</f>
        <v/>
      </c>
    </row>
    <row r="958" spans="1:125" x14ac:dyDescent="0.25">
      <c r="A958" t="str">
        <f>$A$461</f>
        <v xml:space="preserve">    Chongqing Changan Automobile Co Ltd</v>
      </c>
      <c r="B958" t="str">
        <f>$B$461</f>
        <v>200625 CH Equity</v>
      </c>
      <c r="C958" t="str">
        <f>$C$461</f>
        <v>RR902</v>
      </c>
      <c r="D958" t="str">
        <f>$D$461</f>
        <v>CUR_MKT_CAP</v>
      </c>
      <c r="E958" t="str">
        <f>$E$461</f>
        <v>Dynamic</v>
      </c>
      <c r="F958" t="str">
        <f ca="1">_xll.BDH($B$461,$C$461,$B$509,$B$510,CONCATENATE("Per=",$B$507),"Dts=H","Dir=H",CONCATENATE("Points=",$B$508),"Sort=R","Days=A","Fill=B",CONCATENATE("FX=", $B$506) )</f>
        <v>#N/A Connection</v>
      </c>
      <c r="BN958" t="str">
        <f>""</f>
        <v/>
      </c>
      <c r="BO958" t="str">
        <f>""</f>
        <v/>
      </c>
      <c r="BP958" t="str">
        <f>""</f>
        <v/>
      </c>
      <c r="BQ958" t="str">
        <f>""</f>
        <v/>
      </c>
      <c r="BR958" t="str">
        <f>""</f>
        <v/>
      </c>
      <c r="BS958" t="str">
        <f>""</f>
        <v/>
      </c>
      <c r="BT958" t="str">
        <f>""</f>
        <v/>
      </c>
      <c r="BU958" t="str">
        <f>""</f>
        <v/>
      </c>
      <c r="BV958" t="str">
        <f>""</f>
        <v/>
      </c>
      <c r="BW958" t="str">
        <f>""</f>
        <v/>
      </c>
      <c r="BX958" t="str">
        <f>""</f>
        <v/>
      </c>
      <c r="BY958" t="str">
        <f>""</f>
        <v/>
      </c>
      <c r="BZ958" t="str">
        <f>""</f>
        <v/>
      </c>
      <c r="CA958" t="str">
        <f>""</f>
        <v/>
      </c>
      <c r="CB958" t="str">
        <f>""</f>
        <v/>
      </c>
      <c r="CC958" t="str">
        <f>""</f>
        <v/>
      </c>
      <c r="CD958" t="str">
        <f>""</f>
        <v/>
      </c>
      <c r="CE958" t="str">
        <f>""</f>
        <v/>
      </c>
      <c r="CF958" t="str">
        <f>""</f>
        <v/>
      </c>
      <c r="CG958" t="str">
        <f>""</f>
        <v/>
      </c>
      <c r="CH958" t="str">
        <f>""</f>
        <v/>
      </c>
      <c r="CI958" t="str">
        <f>""</f>
        <v/>
      </c>
      <c r="CJ958" t="str">
        <f>""</f>
        <v/>
      </c>
      <c r="CK958" t="str">
        <f>""</f>
        <v/>
      </c>
      <c r="CL958" t="str">
        <f>""</f>
        <v/>
      </c>
      <c r="CM958" t="str">
        <f>""</f>
        <v/>
      </c>
      <c r="CN958" t="str">
        <f>""</f>
        <v/>
      </c>
      <c r="CO958" t="str">
        <f>""</f>
        <v/>
      </c>
      <c r="CP958" t="str">
        <f>""</f>
        <v/>
      </c>
      <c r="CQ958" t="str">
        <f>""</f>
        <v/>
      </c>
      <c r="CR958" t="str">
        <f>""</f>
        <v/>
      </c>
      <c r="CS958" t="str">
        <f>""</f>
        <v/>
      </c>
      <c r="CT958" t="str">
        <f>""</f>
        <v/>
      </c>
      <c r="CU958" t="str">
        <f>""</f>
        <v/>
      </c>
      <c r="CV958" t="str">
        <f>""</f>
        <v/>
      </c>
      <c r="CW958" t="str">
        <f>""</f>
        <v/>
      </c>
      <c r="CX958" t="str">
        <f>""</f>
        <v/>
      </c>
      <c r="CY958" t="str">
        <f>""</f>
        <v/>
      </c>
      <c r="CZ958" t="str">
        <f>""</f>
        <v/>
      </c>
      <c r="DA958" t="str">
        <f>""</f>
        <v/>
      </c>
      <c r="DB958" t="str">
        <f>""</f>
        <v/>
      </c>
      <c r="DC958" t="str">
        <f>""</f>
        <v/>
      </c>
      <c r="DD958" t="str">
        <f>""</f>
        <v/>
      </c>
      <c r="DE958" t="str">
        <f>""</f>
        <v/>
      </c>
      <c r="DF958" t="str">
        <f>""</f>
        <v/>
      </c>
      <c r="DG958" t="str">
        <f>""</f>
        <v/>
      </c>
      <c r="DH958" t="str">
        <f>""</f>
        <v/>
      </c>
      <c r="DI958" t="str">
        <f>""</f>
        <v/>
      </c>
      <c r="DJ958" t="str">
        <f>""</f>
        <v/>
      </c>
      <c r="DK958" t="str">
        <f>""</f>
        <v/>
      </c>
      <c r="DL958" t="str">
        <f>""</f>
        <v/>
      </c>
      <c r="DM958" t="str">
        <f>""</f>
        <v/>
      </c>
      <c r="DN958" t="str">
        <f>""</f>
        <v/>
      </c>
      <c r="DO958" t="str">
        <f>""</f>
        <v/>
      </c>
      <c r="DP958" t="str">
        <f>""</f>
        <v/>
      </c>
      <c r="DQ958" t="str">
        <f>""</f>
        <v/>
      </c>
      <c r="DR958" t="str">
        <f>""</f>
        <v/>
      </c>
      <c r="DS958" t="str">
        <f>""</f>
        <v/>
      </c>
      <c r="DT958" t="str">
        <f>""</f>
        <v/>
      </c>
      <c r="DU958" t="str">
        <f>""</f>
        <v/>
      </c>
    </row>
    <row r="959" spans="1:125" x14ac:dyDescent="0.25">
      <c r="A959" t="str">
        <f>$A$462</f>
        <v xml:space="preserve">    Daihatsu Motor Co Ltd</v>
      </c>
      <c r="B959" t="str">
        <f>$B$462</f>
        <v>7262 JP Equity</v>
      </c>
      <c r="C959" t="str">
        <f>$C$462</f>
        <v>RR902</v>
      </c>
      <c r="D959" t="str">
        <f>$D$462</f>
        <v>CUR_MKT_CAP</v>
      </c>
      <c r="E959" t="str">
        <f>$E$462</f>
        <v>Dynamic</v>
      </c>
      <c r="F959" t="str">
        <f ca="1">_xll.BDH($B$462,$C$462,$B$509,$B$510,CONCATENATE("Per=",$B$507),"Dts=H","Dir=H",CONCATENATE("Points=",$B$508),"Sort=R","Days=A","Fill=B",CONCATENATE("FX=", $B$506) )</f>
        <v>#N/A Connection</v>
      </c>
      <c r="BN959" t="str">
        <f>""</f>
        <v/>
      </c>
      <c r="BO959" t="str">
        <f>""</f>
        <v/>
      </c>
      <c r="BP959" t="str">
        <f>""</f>
        <v/>
      </c>
      <c r="BQ959" t="str">
        <f>""</f>
        <v/>
      </c>
      <c r="BR959" t="str">
        <f>""</f>
        <v/>
      </c>
      <c r="BS959" t="str">
        <f>""</f>
        <v/>
      </c>
      <c r="BT959" t="str">
        <f>""</f>
        <v/>
      </c>
      <c r="BU959" t="str">
        <f>""</f>
        <v/>
      </c>
      <c r="BV959" t="str">
        <f>""</f>
        <v/>
      </c>
      <c r="BW959" t="str">
        <f>""</f>
        <v/>
      </c>
      <c r="BX959" t="str">
        <f>""</f>
        <v/>
      </c>
      <c r="BY959" t="str">
        <f>""</f>
        <v/>
      </c>
      <c r="BZ959" t="str">
        <f>""</f>
        <v/>
      </c>
      <c r="CA959" t="str">
        <f>""</f>
        <v/>
      </c>
      <c r="CB959" t="str">
        <f>""</f>
        <v/>
      </c>
      <c r="CC959" t="str">
        <f>""</f>
        <v/>
      </c>
      <c r="CD959" t="str">
        <f>""</f>
        <v/>
      </c>
      <c r="CE959" t="str">
        <f>""</f>
        <v/>
      </c>
      <c r="CF959" t="str">
        <f>""</f>
        <v/>
      </c>
      <c r="CG959" t="str">
        <f>""</f>
        <v/>
      </c>
      <c r="CH959" t="str">
        <f>""</f>
        <v/>
      </c>
      <c r="CI959" t="str">
        <f>""</f>
        <v/>
      </c>
      <c r="CJ959" t="str">
        <f>""</f>
        <v/>
      </c>
      <c r="CK959" t="str">
        <f>""</f>
        <v/>
      </c>
      <c r="CL959" t="str">
        <f>""</f>
        <v/>
      </c>
      <c r="CM959" t="str">
        <f>""</f>
        <v/>
      </c>
      <c r="CN959" t="str">
        <f>""</f>
        <v/>
      </c>
      <c r="CO959" t="str">
        <f>""</f>
        <v/>
      </c>
      <c r="CP959" t="str">
        <f>""</f>
        <v/>
      </c>
      <c r="CQ959" t="str">
        <f>""</f>
        <v/>
      </c>
      <c r="CR959" t="str">
        <f>""</f>
        <v/>
      </c>
      <c r="CS959" t="str">
        <f>""</f>
        <v/>
      </c>
      <c r="CT959" t="str">
        <f>""</f>
        <v/>
      </c>
      <c r="CU959" t="str">
        <f>""</f>
        <v/>
      </c>
      <c r="CV959" t="str">
        <f>""</f>
        <v/>
      </c>
      <c r="CW959" t="str">
        <f>""</f>
        <v/>
      </c>
      <c r="CX959" t="str">
        <f>""</f>
        <v/>
      </c>
      <c r="CY959" t="str">
        <f>""</f>
        <v/>
      </c>
      <c r="CZ959" t="str">
        <f>""</f>
        <v/>
      </c>
      <c r="DA959" t="str">
        <f>""</f>
        <v/>
      </c>
      <c r="DB959" t="str">
        <f>""</f>
        <v/>
      </c>
      <c r="DC959" t="str">
        <f>""</f>
        <v/>
      </c>
      <c r="DD959" t="str">
        <f>""</f>
        <v/>
      </c>
      <c r="DE959" t="str">
        <f>""</f>
        <v/>
      </c>
      <c r="DF959" t="str">
        <f>""</f>
        <v/>
      </c>
      <c r="DG959" t="str">
        <f>""</f>
        <v/>
      </c>
      <c r="DH959" t="str">
        <f>""</f>
        <v/>
      </c>
      <c r="DI959" t="str">
        <f>""</f>
        <v/>
      </c>
      <c r="DJ959" t="str">
        <f>""</f>
        <v/>
      </c>
      <c r="DK959" t="str">
        <f>""</f>
        <v/>
      </c>
      <c r="DL959" t="str">
        <f>""</f>
        <v/>
      </c>
      <c r="DM959" t="str">
        <f>""</f>
        <v/>
      </c>
      <c r="DN959" t="str">
        <f>""</f>
        <v/>
      </c>
      <c r="DO959" t="str">
        <f>""</f>
        <v/>
      </c>
      <c r="DP959" t="str">
        <f>""</f>
        <v/>
      </c>
      <c r="DQ959" t="str">
        <f>""</f>
        <v/>
      </c>
      <c r="DR959" t="str">
        <f>""</f>
        <v/>
      </c>
      <c r="DS959" t="str">
        <f>""</f>
        <v/>
      </c>
      <c r="DT959" t="str">
        <f>""</f>
        <v/>
      </c>
      <c r="DU959" t="str">
        <f>""</f>
        <v/>
      </c>
    </row>
    <row r="960" spans="1:125" x14ac:dyDescent="0.25">
      <c r="A960" t="str">
        <f>$A$463</f>
        <v xml:space="preserve">    Daimler AG</v>
      </c>
      <c r="B960" t="str">
        <f>$B$463</f>
        <v>DAI GR Equity</v>
      </c>
      <c r="C960" t="str">
        <f>$C$463</f>
        <v>RR902</v>
      </c>
      <c r="D960" t="str">
        <f>$D$463</f>
        <v>CUR_MKT_CAP</v>
      </c>
      <c r="E960" t="str">
        <f>$E$463</f>
        <v>Dynamic</v>
      </c>
      <c r="F960" t="str">
        <f ca="1">_xll.BDH($B$463,$C$463,$B$509,$B$510,CONCATENATE("Per=",$B$507),"Dts=H","Dir=H",CONCATENATE("Points=",$B$508),"Sort=R","Days=A","Fill=B",CONCATENATE("FX=", $B$506) )</f>
        <v>#N/A Connection</v>
      </c>
      <c r="BN960" t="str">
        <f>""</f>
        <v/>
      </c>
      <c r="BO960" t="str">
        <f>""</f>
        <v/>
      </c>
      <c r="BP960" t="str">
        <f>""</f>
        <v/>
      </c>
      <c r="BQ960" t="str">
        <f>""</f>
        <v/>
      </c>
      <c r="BR960" t="str">
        <f>""</f>
        <v/>
      </c>
      <c r="BS960" t="str">
        <f>""</f>
        <v/>
      </c>
      <c r="BT960" t="str">
        <f>""</f>
        <v/>
      </c>
      <c r="BU960" t="str">
        <f>""</f>
        <v/>
      </c>
      <c r="BV960" t="str">
        <f>""</f>
        <v/>
      </c>
      <c r="BW960" t="str">
        <f>""</f>
        <v/>
      </c>
      <c r="BX960" t="str">
        <f>""</f>
        <v/>
      </c>
      <c r="BY960" t="str">
        <f>""</f>
        <v/>
      </c>
      <c r="BZ960" t="str">
        <f>""</f>
        <v/>
      </c>
      <c r="CA960" t="str">
        <f>""</f>
        <v/>
      </c>
      <c r="CB960" t="str">
        <f>""</f>
        <v/>
      </c>
      <c r="CC960" t="str">
        <f>""</f>
        <v/>
      </c>
      <c r="CD960" t="str">
        <f>""</f>
        <v/>
      </c>
      <c r="CE960" t="str">
        <f>""</f>
        <v/>
      </c>
      <c r="CF960" t="str">
        <f>""</f>
        <v/>
      </c>
      <c r="CG960" t="str">
        <f>""</f>
        <v/>
      </c>
      <c r="CH960" t="str">
        <f>""</f>
        <v/>
      </c>
      <c r="CI960" t="str">
        <f>""</f>
        <v/>
      </c>
      <c r="CJ960" t="str">
        <f>""</f>
        <v/>
      </c>
      <c r="CK960" t="str">
        <f>""</f>
        <v/>
      </c>
      <c r="CL960" t="str">
        <f>""</f>
        <v/>
      </c>
      <c r="CM960" t="str">
        <f>""</f>
        <v/>
      </c>
      <c r="CN960" t="str">
        <f>""</f>
        <v/>
      </c>
      <c r="CO960" t="str">
        <f>""</f>
        <v/>
      </c>
      <c r="CP960" t="str">
        <f>""</f>
        <v/>
      </c>
      <c r="CQ960" t="str">
        <f>""</f>
        <v/>
      </c>
      <c r="CR960" t="str">
        <f>""</f>
        <v/>
      </c>
      <c r="CS960" t="str">
        <f>""</f>
        <v/>
      </c>
      <c r="CT960" t="str">
        <f>""</f>
        <v/>
      </c>
      <c r="CU960" t="str">
        <f>""</f>
        <v/>
      </c>
      <c r="CV960" t="str">
        <f>""</f>
        <v/>
      </c>
      <c r="CW960" t="str">
        <f>""</f>
        <v/>
      </c>
      <c r="CX960" t="str">
        <f>""</f>
        <v/>
      </c>
      <c r="CY960" t="str">
        <f>""</f>
        <v/>
      </c>
      <c r="CZ960" t="str">
        <f>""</f>
        <v/>
      </c>
      <c r="DA960" t="str">
        <f>""</f>
        <v/>
      </c>
      <c r="DB960" t="str">
        <f>""</f>
        <v/>
      </c>
      <c r="DC960" t="str">
        <f>""</f>
        <v/>
      </c>
      <c r="DD960" t="str">
        <f>""</f>
        <v/>
      </c>
      <c r="DE960" t="str">
        <f>""</f>
        <v/>
      </c>
      <c r="DF960" t="str">
        <f>""</f>
        <v/>
      </c>
      <c r="DG960" t="str">
        <f>""</f>
        <v/>
      </c>
      <c r="DH960" t="str">
        <f>""</f>
        <v/>
      </c>
      <c r="DI960" t="str">
        <f>""</f>
        <v/>
      </c>
      <c r="DJ960" t="str">
        <f>""</f>
        <v/>
      </c>
      <c r="DK960" t="str">
        <f>""</f>
        <v/>
      </c>
      <c r="DL960" t="str">
        <f>""</f>
        <v/>
      </c>
      <c r="DM960" t="str">
        <f>""</f>
        <v/>
      </c>
      <c r="DN960" t="str">
        <f>""</f>
        <v/>
      </c>
      <c r="DO960" t="str">
        <f>""</f>
        <v/>
      </c>
      <c r="DP960" t="str">
        <f>""</f>
        <v/>
      </c>
      <c r="DQ960" t="str">
        <f>""</f>
        <v/>
      </c>
      <c r="DR960" t="str">
        <f>""</f>
        <v/>
      </c>
      <c r="DS960" t="str">
        <f>""</f>
        <v/>
      </c>
      <c r="DT960" t="str">
        <f>""</f>
        <v/>
      </c>
      <c r="DU960" t="str">
        <f>""</f>
        <v/>
      </c>
    </row>
    <row r="961" spans="1:125" x14ac:dyDescent="0.25">
      <c r="A961" t="str">
        <f>$A$464</f>
        <v xml:space="preserve">    Dongfeng Motor Group Co Ltd</v>
      </c>
      <c r="B961" t="str">
        <f>$B$464</f>
        <v>489 HK Equity</v>
      </c>
      <c r="C961" t="str">
        <f>$C$464</f>
        <v>RR902</v>
      </c>
      <c r="D961" t="str">
        <f>$D$464</f>
        <v>CUR_MKT_CAP</v>
      </c>
      <c r="E961" t="str">
        <f>$E$464</f>
        <v>Dynamic</v>
      </c>
      <c r="F961" t="str">
        <f ca="1">_xll.BDH($B$464,$C$464,$B$509,$B$510,CONCATENATE("Per=",$B$507),"Dts=H","Dir=H",CONCATENATE("Points=",$B$508),"Sort=R","Days=A","Fill=B",CONCATENATE("FX=", $B$506) )</f>
        <v>#N/A Connection</v>
      </c>
      <c r="BN961" t="str">
        <f>""</f>
        <v/>
      </c>
      <c r="BO961" t="str">
        <f>""</f>
        <v/>
      </c>
      <c r="BP961" t="str">
        <f>""</f>
        <v/>
      </c>
      <c r="BQ961" t="str">
        <f>""</f>
        <v/>
      </c>
      <c r="BR961" t="str">
        <f>""</f>
        <v/>
      </c>
      <c r="BS961" t="str">
        <f>""</f>
        <v/>
      </c>
      <c r="BT961" t="str">
        <f>""</f>
        <v/>
      </c>
      <c r="BU961" t="str">
        <f>""</f>
        <v/>
      </c>
      <c r="BV961" t="str">
        <f>""</f>
        <v/>
      </c>
      <c r="BW961" t="str">
        <f>""</f>
        <v/>
      </c>
      <c r="BX961" t="str">
        <f>""</f>
        <v/>
      </c>
      <c r="BY961" t="str">
        <f>""</f>
        <v/>
      </c>
      <c r="BZ961" t="str">
        <f>""</f>
        <v/>
      </c>
      <c r="CA961" t="str">
        <f>""</f>
        <v/>
      </c>
      <c r="CB961" t="str">
        <f>""</f>
        <v/>
      </c>
      <c r="CC961" t="str">
        <f>""</f>
        <v/>
      </c>
      <c r="CD961" t="str">
        <f>""</f>
        <v/>
      </c>
      <c r="CE961" t="str">
        <f>""</f>
        <v/>
      </c>
      <c r="CF961" t="str">
        <f>""</f>
        <v/>
      </c>
      <c r="CG961" t="str">
        <f>""</f>
        <v/>
      </c>
      <c r="CH961" t="str">
        <f>""</f>
        <v/>
      </c>
      <c r="CI961" t="str">
        <f>""</f>
        <v/>
      </c>
      <c r="CJ961" t="str">
        <f>""</f>
        <v/>
      </c>
      <c r="CK961" t="str">
        <f>""</f>
        <v/>
      </c>
      <c r="CL961" t="str">
        <f>""</f>
        <v/>
      </c>
      <c r="CM961" t="str">
        <f>""</f>
        <v/>
      </c>
      <c r="CN961" t="str">
        <f>""</f>
        <v/>
      </c>
      <c r="CO961" t="str">
        <f>""</f>
        <v/>
      </c>
      <c r="CP961" t="str">
        <f>""</f>
        <v/>
      </c>
      <c r="CQ961" t="str">
        <f>""</f>
        <v/>
      </c>
      <c r="CR961" t="str">
        <f>""</f>
        <v/>
      </c>
      <c r="CS961" t="str">
        <f>""</f>
        <v/>
      </c>
      <c r="CT961" t="str">
        <f>""</f>
        <v/>
      </c>
      <c r="CU961" t="str">
        <f>""</f>
        <v/>
      </c>
      <c r="CV961" t="str">
        <f>""</f>
        <v/>
      </c>
      <c r="CW961" t="str">
        <f>""</f>
        <v/>
      </c>
      <c r="CX961" t="str">
        <f>""</f>
        <v/>
      </c>
      <c r="CY961" t="str">
        <f>""</f>
        <v/>
      </c>
      <c r="CZ961" t="str">
        <f>""</f>
        <v/>
      </c>
      <c r="DA961" t="str">
        <f>""</f>
        <v/>
      </c>
      <c r="DB961" t="str">
        <f>""</f>
        <v/>
      </c>
      <c r="DC961" t="str">
        <f>""</f>
        <v/>
      </c>
      <c r="DD961" t="str">
        <f>""</f>
        <v/>
      </c>
      <c r="DE961" t="str">
        <f>""</f>
        <v/>
      </c>
      <c r="DF961" t="str">
        <f>""</f>
        <v/>
      </c>
      <c r="DG961" t="str">
        <f>""</f>
        <v/>
      </c>
      <c r="DH961" t="str">
        <f>""</f>
        <v/>
      </c>
      <c r="DI961" t="str">
        <f>""</f>
        <v/>
      </c>
      <c r="DJ961" t="str">
        <f>""</f>
        <v/>
      </c>
      <c r="DK961" t="str">
        <f>""</f>
        <v/>
      </c>
      <c r="DL961" t="str">
        <f>""</f>
        <v/>
      </c>
      <c r="DM961" t="str">
        <f>""</f>
        <v/>
      </c>
      <c r="DN961" t="str">
        <f>""</f>
        <v/>
      </c>
      <c r="DO961" t="str">
        <f>""</f>
        <v/>
      </c>
      <c r="DP961" t="str">
        <f>""</f>
        <v/>
      </c>
      <c r="DQ961" t="str">
        <f>""</f>
        <v/>
      </c>
      <c r="DR961" t="str">
        <f>""</f>
        <v/>
      </c>
      <c r="DS961" t="str">
        <f>""</f>
        <v/>
      </c>
      <c r="DT961" t="str">
        <f>""</f>
        <v/>
      </c>
      <c r="DU961" t="str">
        <f>""</f>
        <v/>
      </c>
    </row>
    <row r="962" spans="1:125" x14ac:dyDescent="0.25">
      <c r="A962" t="str">
        <f>$A$465</f>
        <v xml:space="preserve">    DRB-Hicom Bhd</v>
      </c>
      <c r="B962" t="str">
        <f>$B$465</f>
        <v>DRB MK Equity</v>
      </c>
      <c r="C962" t="str">
        <f>$C$465</f>
        <v>RR902</v>
      </c>
      <c r="D962" t="str">
        <f>$D$465</f>
        <v>CUR_MKT_CAP</v>
      </c>
      <c r="E962" t="str">
        <f>$E$465</f>
        <v>Dynamic</v>
      </c>
      <c r="F962" t="str">
        <f ca="1">_xll.BDH($B$465,$C$465,$B$509,$B$510,CONCATENATE("Per=",$B$507),"Dts=H","Dir=H",CONCATENATE("Points=",$B$508),"Sort=R","Days=A","Fill=B",CONCATENATE("FX=", $B$506) )</f>
        <v>#N/A Connection</v>
      </c>
      <c r="BN962" t="str">
        <f>""</f>
        <v/>
      </c>
      <c r="BO962" t="str">
        <f>""</f>
        <v/>
      </c>
      <c r="BP962" t="str">
        <f>""</f>
        <v/>
      </c>
      <c r="BQ962" t="str">
        <f>""</f>
        <v/>
      </c>
      <c r="BR962" t="str">
        <f>""</f>
        <v/>
      </c>
      <c r="BS962" t="str">
        <f>""</f>
        <v/>
      </c>
      <c r="BT962" t="str">
        <f>""</f>
        <v/>
      </c>
      <c r="BU962" t="str">
        <f>""</f>
        <v/>
      </c>
      <c r="BV962" t="str">
        <f>""</f>
        <v/>
      </c>
      <c r="BW962" t="str">
        <f>""</f>
        <v/>
      </c>
      <c r="BX962" t="str">
        <f>""</f>
        <v/>
      </c>
      <c r="BY962" t="str">
        <f>""</f>
        <v/>
      </c>
      <c r="BZ962" t="str">
        <f>""</f>
        <v/>
      </c>
      <c r="CA962" t="str">
        <f>""</f>
        <v/>
      </c>
      <c r="CB962" t="str">
        <f>""</f>
        <v/>
      </c>
      <c r="CC962" t="str">
        <f>""</f>
        <v/>
      </c>
      <c r="CD962" t="str">
        <f>""</f>
        <v/>
      </c>
      <c r="CE962" t="str">
        <f>""</f>
        <v/>
      </c>
      <c r="CF962" t="str">
        <f>""</f>
        <v/>
      </c>
      <c r="CG962" t="str">
        <f>""</f>
        <v/>
      </c>
      <c r="CH962" t="str">
        <f>""</f>
        <v/>
      </c>
      <c r="CI962" t="str">
        <f>""</f>
        <v/>
      </c>
      <c r="CJ962" t="str">
        <f>""</f>
        <v/>
      </c>
      <c r="CK962" t="str">
        <f>""</f>
        <v/>
      </c>
      <c r="CL962" t="str">
        <f>""</f>
        <v/>
      </c>
      <c r="CM962" t="str">
        <f>""</f>
        <v/>
      </c>
      <c r="CN962" t="str">
        <f>""</f>
        <v/>
      </c>
      <c r="CO962" t="str">
        <f>""</f>
        <v/>
      </c>
      <c r="CP962" t="str">
        <f>""</f>
        <v/>
      </c>
      <c r="CQ962" t="str">
        <f>""</f>
        <v/>
      </c>
      <c r="CR962" t="str">
        <f>""</f>
        <v/>
      </c>
      <c r="CS962" t="str">
        <f>""</f>
        <v/>
      </c>
      <c r="CT962" t="str">
        <f>""</f>
        <v/>
      </c>
      <c r="CU962" t="str">
        <f>""</f>
        <v/>
      </c>
      <c r="CV962" t="str">
        <f>""</f>
        <v/>
      </c>
      <c r="CW962" t="str">
        <f>""</f>
        <v/>
      </c>
      <c r="CX962" t="str">
        <f>""</f>
        <v/>
      </c>
      <c r="CY962" t="str">
        <f>""</f>
        <v/>
      </c>
      <c r="CZ962" t="str">
        <f>""</f>
        <v/>
      </c>
      <c r="DA962" t="str">
        <f>""</f>
        <v/>
      </c>
      <c r="DB962" t="str">
        <f>""</f>
        <v/>
      </c>
      <c r="DC962" t="str">
        <f>""</f>
        <v/>
      </c>
      <c r="DD962" t="str">
        <f>""</f>
        <v/>
      </c>
      <c r="DE962" t="str">
        <f>""</f>
        <v/>
      </c>
      <c r="DF962" t="str">
        <f>""</f>
        <v/>
      </c>
      <c r="DG962" t="str">
        <f>""</f>
        <v/>
      </c>
      <c r="DH962" t="str">
        <f>""</f>
        <v/>
      </c>
      <c r="DI962" t="str">
        <f>""</f>
        <v/>
      </c>
      <c r="DJ962" t="str">
        <f>""</f>
        <v/>
      </c>
      <c r="DK962" t="str">
        <f>""</f>
        <v/>
      </c>
      <c r="DL962" t="str">
        <f>""</f>
        <v/>
      </c>
      <c r="DM962" t="str">
        <f>""</f>
        <v/>
      </c>
      <c r="DN962" t="str">
        <f>""</f>
        <v/>
      </c>
      <c r="DO962" t="str">
        <f>""</f>
        <v/>
      </c>
      <c r="DP962" t="str">
        <f>""</f>
        <v/>
      </c>
      <c r="DQ962" t="str">
        <f>""</f>
        <v/>
      </c>
      <c r="DR962" t="str">
        <f>""</f>
        <v/>
      </c>
      <c r="DS962" t="str">
        <f>""</f>
        <v/>
      </c>
      <c r="DT962" t="str">
        <f>""</f>
        <v/>
      </c>
      <c r="DU962" t="str">
        <f>""</f>
        <v/>
      </c>
    </row>
    <row r="963" spans="1:125" x14ac:dyDescent="0.25">
      <c r="A963" t="str">
        <f>$A$466</f>
        <v xml:space="preserve">    FAW CAR Co Ltd</v>
      </c>
      <c r="B963" t="str">
        <f>$B$466</f>
        <v>000800 CH Equity</v>
      </c>
      <c r="C963" t="str">
        <f>$C$466</f>
        <v>RR902</v>
      </c>
      <c r="D963" t="str">
        <f>$D$466</f>
        <v>CUR_MKT_CAP</v>
      </c>
      <c r="E963" t="str">
        <f>$E$466</f>
        <v>Dynamic</v>
      </c>
      <c r="F963" t="str">
        <f ca="1">_xll.BDH($B$466,$C$466,$B$509,$B$510,CONCATENATE("Per=",$B$507),"Dts=H","Dir=H",CONCATENATE("Points=",$B$508),"Sort=R","Days=A","Fill=B",CONCATENATE("FX=", $B$506) )</f>
        <v>#N/A Connection</v>
      </c>
      <c r="BN963" t="str">
        <f>""</f>
        <v/>
      </c>
      <c r="BO963" t="str">
        <f>""</f>
        <v/>
      </c>
      <c r="BP963" t="str">
        <f>""</f>
        <v/>
      </c>
      <c r="BQ963" t="str">
        <f>""</f>
        <v/>
      </c>
      <c r="BR963" t="str">
        <f>""</f>
        <v/>
      </c>
      <c r="BS963" t="str">
        <f>""</f>
        <v/>
      </c>
      <c r="BT963" t="str">
        <f>""</f>
        <v/>
      </c>
      <c r="BU963" t="str">
        <f>""</f>
        <v/>
      </c>
      <c r="BV963" t="str">
        <f>""</f>
        <v/>
      </c>
      <c r="BW963" t="str">
        <f>""</f>
        <v/>
      </c>
      <c r="BX963" t="str">
        <f>""</f>
        <v/>
      </c>
      <c r="BY963" t="str">
        <f>""</f>
        <v/>
      </c>
      <c r="BZ963" t="str">
        <f>""</f>
        <v/>
      </c>
      <c r="CA963" t="str">
        <f>""</f>
        <v/>
      </c>
      <c r="CB963" t="str">
        <f>""</f>
        <v/>
      </c>
      <c r="CC963" t="str">
        <f>""</f>
        <v/>
      </c>
      <c r="CD963" t="str">
        <f>""</f>
        <v/>
      </c>
      <c r="CE963" t="str">
        <f>""</f>
        <v/>
      </c>
      <c r="CF963" t="str">
        <f>""</f>
        <v/>
      </c>
      <c r="CG963" t="str">
        <f>""</f>
        <v/>
      </c>
      <c r="CH963" t="str">
        <f>""</f>
        <v/>
      </c>
      <c r="CI963" t="str">
        <f>""</f>
        <v/>
      </c>
      <c r="CJ963" t="str">
        <f>""</f>
        <v/>
      </c>
      <c r="CK963" t="str">
        <f>""</f>
        <v/>
      </c>
      <c r="CL963" t="str">
        <f>""</f>
        <v/>
      </c>
      <c r="CM963" t="str">
        <f>""</f>
        <v/>
      </c>
      <c r="CN963" t="str">
        <f>""</f>
        <v/>
      </c>
      <c r="CO963" t="str">
        <f>""</f>
        <v/>
      </c>
      <c r="CP963" t="str">
        <f>""</f>
        <v/>
      </c>
      <c r="CQ963" t="str">
        <f>""</f>
        <v/>
      </c>
      <c r="CR963" t="str">
        <f>""</f>
        <v/>
      </c>
      <c r="CS963" t="str">
        <f>""</f>
        <v/>
      </c>
      <c r="CT963" t="str">
        <f>""</f>
        <v/>
      </c>
      <c r="CU963" t="str">
        <f>""</f>
        <v/>
      </c>
      <c r="CV963" t="str">
        <f>""</f>
        <v/>
      </c>
      <c r="CW963" t="str">
        <f>""</f>
        <v/>
      </c>
      <c r="CX963" t="str">
        <f>""</f>
        <v/>
      </c>
      <c r="CY963" t="str">
        <f>""</f>
        <v/>
      </c>
      <c r="CZ963" t="str">
        <f>""</f>
        <v/>
      </c>
      <c r="DA963" t="str">
        <f>""</f>
        <v/>
      </c>
      <c r="DB963" t="str">
        <f>""</f>
        <v/>
      </c>
      <c r="DC963" t="str">
        <f>""</f>
        <v/>
      </c>
      <c r="DD963" t="str">
        <f>""</f>
        <v/>
      </c>
      <c r="DE963" t="str">
        <f>""</f>
        <v/>
      </c>
      <c r="DF963" t="str">
        <f>""</f>
        <v/>
      </c>
      <c r="DG963" t="str">
        <f>""</f>
        <v/>
      </c>
      <c r="DH963" t="str">
        <f>""</f>
        <v/>
      </c>
      <c r="DI963" t="str">
        <f>""</f>
        <v/>
      </c>
      <c r="DJ963" t="str">
        <f>""</f>
        <v/>
      </c>
      <c r="DK963" t="str">
        <f>""</f>
        <v/>
      </c>
      <c r="DL963" t="str">
        <f>""</f>
        <v/>
      </c>
      <c r="DM963" t="str">
        <f>""</f>
        <v/>
      </c>
      <c r="DN963" t="str">
        <f>""</f>
        <v/>
      </c>
      <c r="DO963" t="str">
        <f>""</f>
        <v/>
      </c>
      <c r="DP963" t="str">
        <f>""</f>
        <v/>
      </c>
      <c r="DQ963" t="str">
        <f>""</f>
        <v/>
      </c>
      <c r="DR963" t="str">
        <f>""</f>
        <v/>
      </c>
      <c r="DS963" t="str">
        <f>""</f>
        <v/>
      </c>
      <c r="DT963" t="str">
        <f>""</f>
        <v/>
      </c>
      <c r="DU963" t="str">
        <f>""</f>
        <v/>
      </c>
    </row>
    <row r="964" spans="1:125" x14ac:dyDescent="0.25">
      <c r="A964" t="str">
        <f>$A$467</f>
        <v xml:space="preserve">    Fiat Chrysler Automobiles NV</v>
      </c>
      <c r="B964" t="str">
        <f>$B$467</f>
        <v>FCAU US Equity</v>
      </c>
      <c r="C964" t="str">
        <f>$C$467</f>
        <v>RR902</v>
      </c>
      <c r="D964" t="str">
        <f>$D$467</f>
        <v>CUR_MKT_CAP</v>
      </c>
      <c r="E964" t="str">
        <f>$E$467</f>
        <v>Dynamic</v>
      </c>
      <c r="F964" t="str">
        <f ca="1">_xll.BDH($B$467,$C$467,$B$509,$B$510,CONCATENATE("Per=",$B$507),"Dts=H","Dir=H",CONCATENATE("Points=",$B$508),"Sort=R","Days=A","Fill=B",CONCATENATE("FX=", $B$506) )</f>
        <v>#N/A Connection</v>
      </c>
      <c r="BN964" t="str">
        <f>""</f>
        <v/>
      </c>
      <c r="BO964" t="str">
        <f>""</f>
        <v/>
      </c>
      <c r="BP964" t="str">
        <f>""</f>
        <v/>
      </c>
      <c r="BQ964" t="str">
        <f>""</f>
        <v/>
      </c>
      <c r="BR964" t="str">
        <f>""</f>
        <v/>
      </c>
      <c r="BS964" t="str">
        <f>""</f>
        <v/>
      </c>
      <c r="BT964" t="str">
        <f>""</f>
        <v/>
      </c>
      <c r="BU964" t="str">
        <f>""</f>
        <v/>
      </c>
      <c r="BV964" t="str">
        <f>""</f>
        <v/>
      </c>
      <c r="BW964" t="str">
        <f>""</f>
        <v/>
      </c>
      <c r="BX964" t="str">
        <f>""</f>
        <v/>
      </c>
      <c r="BY964" t="str">
        <f>""</f>
        <v/>
      </c>
      <c r="BZ964" t="str">
        <f>""</f>
        <v/>
      </c>
      <c r="CA964" t="str">
        <f>""</f>
        <v/>
      </c>
      <c r="CB964" t="str">
        <f>""</f>
        <v/>
      </c>
      <c r="CC964" t="str">
        <f>""</f>
        <v/>
      </c>
      <c r="CD964" t="str">
        <f>""</f>
        <v/>
      </c>
      <c r="CE964" t="str">
        <f>""</f>
        <v/>
      </c>
      <c r="CF964" t="str">
        <f>""</f>
        <v/>
      </c>
      <c r="CG964" t="str">
        <f>""</f>
        <v/>
      </c>
      <c r="CH964" t="str">
        <f>""</f>
        <v/>
      </c>
      <c r="CI964" t="str">
        <f>""</f>
        <v/>
      </c>
      <c r="CJ964" t="str">
        <f>""</f>
        <v/>
      </c>
      <c r="CK964" t="str">
        <f>""</f>
        <v/>
      </c>
      <c r="CL964" t="str">
        <f>""</f>
        <v/>
      </c>
      <c r="CM964" t="str">
        <f>""</f>
        <v/>
      </c>
      <c r="CN964" t="str">
        <f>""</f>
        <v/>
      </c>
      <c r="CO964" t="str">
        <f>""</f>
        <v/>
      </c>
      <c r="CP964" t="str">
        <f>""</f>
        <v/>
      </c>
      <c r="CQ964" t="str">
        <f>""</f>
        <v/>
      </c>
      <c r="CR964" t="str">
        <f>""</f>
        <v/>
      </c>
      <c r="CS964" t="str">
        <f>""</f>
        <v/>
      </c>
      <c r="CT964" t="str">
        <f>""</f>
        <v/>
      </c>
      <c r="CU964" t="str">
        <f>""</f>
        <v/>
      </c>
      <c r="CV964" t="str">
        <f>""</f>
        <v/>
      </c>
      <c r="CW964" t="str">
        <f>""</f>
        <v/>
      </c>
      <c r="CX964" t="str">
        <f>""</f>
        <v/>
      </c>
      <c r="CY964" t="str">
        <f>""</f>
        <v/>
      </c>
      <c r="CZ964" t="str">
        <f>""</f>
        <v/>
      </c>
      <c r="DA964" t="str">
        <f>""</f>
        <v/>
      </c>
      <c r="DB964" t="str">
        <f>""</f>
        <v/>
      </c>
      <c r="DC964" t="str">
        <f>""</f>
        <v/>
      </c>
      <c r="DD964" t="str">
        <f>""</f>
        <v/>
      </c>
      <c r="DE964" t="str">
        <f>""</f>
        <v/>
      </c>
      <c r="DF964" t="str">
        <f>""</f>
        <v/>
      </c>
      <c r="DG964" t="str">
        <f>""</f>
        <v/>
      </c>
      <c r="DH964" t="str">
        <f>""</f>
        <v/>
      </c>
      <c r="DI964" t="str">
        <f>""</f>
        <v/>
      </c>
      <c r="DJ964" t="str">
        <f>""</f>
        <v/>
      </c>
      <c r="DK964" t="str">
        <f>""</f>
        <v/>
      </c>
      <c r="DL964" t="str">
        <f>""</f>
        <v/>
      </c>
      <c r="DM964" t="str">
        <f>""</f>
        <v/>
      </c>
      <c r="DN964" t="str">
        <f>""</f>
        <v/>
      </c>
      <c r="DO964" t="str">
        <f>""</f>
        <v/>
      </c>
      <c r="DP964" t="str">
        <f>""</f>
        <v/>
      </c>
      <c r="DQ964" t="str">
        <f>""</f>
        <v/>
      </c>
      <c r="DR964" t="str">
        <f>""</f>
        <v/>
      </c>
      <c r="DS964" t="str">
        <f>""</f>
        <v/>
      </c>
      <c r="DT964" t="str">
        <f>""</f>
        <v/>
      </c>
      <c r="DU964" t="str">
        <f>""</f>
        <v/>
      </c>
    </row>
    <row r="965" spans="1:125" x14ac:dyDescent="0.25">
      <c r="A965" t="str">
        <f>$A$468</f>
        <v xml:space="preserve">    Ford Motor Co</v>
      </c>
      <c r="B965" t="str">
        <f>$B$468</f>
        <v>F US Equity</v>
      </c>
      <c r="C965" t="str">
        <f>$C$468</f>
        <v>RR902</v>
      </c>
      <c r="D965" t="str">
        <f>$D$468</f>
        <v>CUR_MKT_CAP</v>
      </c>
      <c r="E965" t="str">
        <f>$E$468</f>
        <v>Dynamic</v>
      </c>
      <c r="F965" t="str">
        <f ca="1">_xll.BDH($B$468,$C$468,$B$509,$B$510,CONCATENATE("Per=",$B$507),"Dts=H","Dir=H",CONCATENATE("Points=",$B$508),"Sort=R","Days=A","Fill=B",CONCATENATE("FX=", $B$506) )</f>
        <v>#N/A Connection</v>
      </c>
      <c r="BN965" t="str">
        <f>""</f>
        <v/>
      </c>
      <c r="BO965" t="str">
        <f>""</f>
        <v/>
      </c>
      <c r="BP965" t="str">
        <f>""</f>
        <v/>
      </c>
      <c r="BQ965" t="str">
        <f>""</f>
        <v/>
      </c>
      <c r="BR965" t="str">
        <f>""</f>
        <v/>
      </c>
      <c r="BS965" t="str">
        <f>""</f>
        <v/>
      </c>
      <c r="BT965" t="str">
        <f>""</f>
        <v/>
      </c>
      <c r="BU965" t="str">
        <f>""</f>
        <v/>
      </c>
      <c r="BV965" t="str">
        <f>""</f>
        <v/>
      </c>
      <c r="BW965" t="str">
        <f>""</f>
        <v/>
      </c>
      <c r="BX965" t="str">
        <f>""</f>
        <v/>
      </c>
      <c r="BY965" t="str">
        <f>""</f>
        <v/>
      </c>
      <c r="BZ965" t="str">
        <f>""</f>
        <v/>
      </c>
      <c r="CA965" t="str">
        <f>""</f>
        <v/>
      </c>
      <c r="CB965" t="str">
        <f>""</f>
        <v/>
      </c>
      <c r="CC965" t="str">
        <f>""</f>
        <v/>
      </c>
      <c r="CD965" t="str">
        <f>""</f>
        <v/>
      </c>
      <c r="CE965" t="str">
        <f>""</f>
        <v/>
      </c>
      <c r="CF965" t="str">
        <f>""</f>
        <v/>
      </c>
      <c r="CG965" t="str">
        <f>""</f>
        <v/>
      </c>
      <c r="CH965" t="str">
        <f>""</f>
        <v/>
      </c>
      <c r="CI965" t="str">
        <f>""</f>
        <v/>
      </c>
      <c r="CJ965" t="str">
        <f>""</f>
        <v/>
      </c>
      <c r="CK965" t="str">
        <f>""</f>
        <v/>
      </c>
      <c r="CL965" t="str">
        <f>""</f>
        <v/>
      </c>
      <c r="CM965" t="str">
        <f>""</f>
        <v/>
      </c>
      <c r="CN965" t="str">
        <f>""</f>
        <v/>
      </c>
      <c r="CO965" t="str">
        <f>""</f>
        <v/>
      </c>
      <c r="CP965" t="str">
        <f>""</f>
        <v/>
      </c>
      <c r="CQ965" t="str">
        <f>""</f>
        <v/>
      </c>
      <c r="CR965" t="str">
        <f>""</f>
        <v/>
      </c>
      <c r="CS965" t="str">
        <f>""</f>
        <v/>
      </c>
      <c r="CT965" t="str">
        <f>""</f>
        <v/>
      </c>
      <c r="CU965" t="str">
        <f>""</f>
        <v/>
      </c>
      <c r="CV965" t="str">
        <f>""</f>
        <v/>
      </c>
      <c r="CW965" t="str">
        <f>""</f>
        <v/>
      </c>
      <c r="CX965" t="str">
        <f>""</f>
        <v/>
      </c>
      <c r="CY965" t="str">
        <f>""</f>
        <v/>
      </c>
      <c r="CZ965" t="str">
        <f>""</f>
        <v/>
      </c>
      <c r="DA965" t="str">
        <f>""</f>
        <v/>
      </c>
      <c r="DB965" t="str">
        <f>""</f>
        <v/>
      </c>
      <c r="DC965" t="str">
        <f>""</f>
        <v/>
      </c>
      <c r="DD965" t="str">
        <f>""</f>
        <v/>
      </c>
      <c r="DE965" t="str">
        <f>""</f>
        <v/>
      </c>
      <c r="DF965" t="str">
        <f>""</f>
        <v/>
      </c>
      <c r="DG965" t="str">
        <f>""</f>
        <v/>
      </c>
      <c r="DH965" t="str">
        <f>""</f>
        <v/>
      </c>
      <c r="DI965" t="str">
        <f>""</f>
        <v/>
      </c>
      <c r="DJ965" t="str">
        <f>""</f>
        <v/>
      </c>
      <c r="DK965" t="str">
        <f>""</f>
        <v/>
      </c>
      <c r="DL965" t="str">
        <f>""</f>
        <v/>
      </c>
      <c r="DM965" t="str">
        <f>""</f>
        <v/>
      </c>
      <c r="DN965" t="str">
        <f>""</f>
        <v/>
      </c>
      <c r="DO965" t="str">
        <f>""</f>
        <v/>
      </c>
      <c r="DP965" t="str">
        <f>""</f>
        <v/>
      </c>
      <c r="DQ965" t="str">
        <f>""</f>
        <v/>
      </c>
      <c r="DR965" t="str">
        <f>""</f>
        <v/>
      </c>
      <c r="DS965" t="str">
        <f>""</f>
        <v/>
      </c>
      <c r="DT965" t="str">
        <f>""</f>
        <v/>
      </c>
      <c r="DU965" t="str">
        <f>""</f>
        <v/>
      </c>
    </row>
    <row r="966" spans="1:125" x14ac:dyDescent="0.25">
      <c r="A966" t="str">
        <f>$A$469</f>
        <v xml:space="preserve">    Ford Otomotiv Sanayi AS</v>
      </c>
      <c r="B966" t="str">
        <f>$B$469</f>
        <v>FROTOTRY EO Equity</v>
      </c>
      <c r="C966" t="str">
        <f>$C$469</f>
        <v>RR902</v>
      </c>
      <c r="D966" t="str">
        <f>$D$469</f>
        <v>CUR_MKT_CAP</v>
      </c>
      <c r="E966" t="str">
        <f>$E$469</f>
        <v>Dynamic</v>
      </c>
      <c r="F966" t="str">
        <f ca="1">_xll.BDH($B$469,$C$469,$B$509,$B$510,CONCATENATE("Per=",$B$507),"Dts=H","Dir=H",CONCATENATE("Points=",$B$508),"Sort=R","Days=A","Fill=B",CONCATENATE("FX=", $B$506) )</f>
        <v>#N/A Connection</v>
      </c>
      <c r="BN966" t="str">
        <f>""</f>
        <v/>
      </c>
      <c r="BO966" t="str">
        <f>""</f>
        <v/>
      </c>
      <c r="BP966" t="str">
        <f>""</f>
        <v/>
      </c>
      <c r="BQ966" t="str">
        <f>""</f>
        <v/>
      </c>
      <c r="BR966" t="str">
        <f>""</f>
        <v/>
      </c>
      <c r="BS966" t="str">
        <f>""</f>
        <v/>
      </c>
      <c r="BT966" t="str">
        <f>""</f>
        <v/>
      </c>
      <c r="BU966" t="str">
        <f>""</f>
        <v/>
      </c>
      <c r="BV966" t="str">
        <f>""</f>
        <v/>
      </c>
      <c r="BW966" t="str">
        <f>""</f>
        <v/>
      </c>
      <c r="BX966" t="str">
        <f>""</f>
        <v/>
      </c>
      <c r="BY966" t="str">
        <f>""</f>
        <v/>
      </c>
      <c r="BZ966" t="str">
        <f>""</f>
        <v/>
      </c>
      <c r="CA966" t="str">
        <f>""</f>
        <v/>
      </c>
      <c r="CB966" t="str">
        <f>""</f>
        <v/>
      </c>
      <c r="CC966" t="str">
        <f>""</f>
        <v/>
      </c>
      <c r="CD966" t="str">
        <f>""</f>
        <v/>
      </c>
      <c r="CE966" t="str">
        <f>""</f>
        <v/>
      </c>
      <c r="CF966" t="str">
        <f>""</f>
        <v/>
      </c>
      <c r="CG966" t="str">
        <f>""</f>
        <v/>
      </c>
      <c r="CH966" t="str">
        <f>""</f>
        <v/>
      </c>
      <c r="CI966" t="str">
        <f>""</f>
        <v/>
      </c>
      <c r="CJ966" t="str">
        <f>""</f>
        <v/>
      </c>
      <c r="CK966" t="str">
        <f>""</f>
        <v/>
      </c>
      <c r="CL966" t="str">
        <f>""</f>
        <v/>
      </c>
      <c r="CM966" t="str">
        <f>""</f>
        <v/>
      </c>
      <c r="CN966" t="str">
        <f>""</f>
        <v/>
      </c>
      <c r="CO966" t="str">
        <f>""</f>
        <v/>
      </c>
      <c r="CP966" t="str">
        <f>""</f>
        <v/>
      </c>
      <c r="CQ966" t="str">
        <f>""</f>
        <v/>
      </c>
      <c r="CR966" t="str">
        <f>""</f>
        <v/>
      </c>
      <c r="CS966" t="str">
        <f>""</f>
        <v/>
      </c>
      <c r="CT966" t="str">
        <f>""</f>
        <v/>
      </c>
      <c r="CU966" t="str">
        <f>""</f>
        <v/>
      </c>
      <c r="CV966" t="str">
        <f>""</f>
        <v/>
      </c>
      <c r="CW966" t="str">
        <f>""</f>
        <v/>
      </c>
      <c r="CX966" t="str">
        <f>""</f>
        <v/>
      </c>
      <c r="CY966" t="str">
        <f>""</f>
        <v/>
      </c>
      <c r="CZ966" t="str">
        <f>""</f>
        <v/>
      </c>
      <c r="DA966" t="str">
        <f>""</f>
        <v/>
      </c>
      <c r="DB966" t="str">
        <f>""</f>
        <v/>
      </c>
      <c r="DC966" t="str">
        <f>""</f>
        <v/>
      </c>
      <c r="DD966" t="str">
        <f>""</f>
        <v/>
      </c>
      <c r="DE966" t="str">
        <f>""</f>
        <v/>
      </c>
      <c r="DF966" t="str">
        <f>""</f>
        <v/>
      </c>
      <c r="DG966" t="str">
        <f>""</f>
        <v/>
      </c>
      <c r="DH966" t="str">
        <f>""</f>
        <v/>
      </c>
      <c r="DI966" t="str">
        <f>""</f>
        <v/>
      </c>
      <c r="DJ966" t="str">
        <f>""</f>
        <v/>
      </c>
      <c r="DK966" t="str">
        <f>""</f>
        <v/>
      </c>
      <c r="DL966" t="str">
        <f>""</f>
        <v/>
      </c>
      <c r="DM966" t="str">
        <f>""</f>
        <v/>
      </c>
      <c r="DN966" t="str">
        <f>""</f>
        <v/>
      </c>
      <c r="DO966" t="str">
        <f>""</f>
        <v/>
      </c>
      <c r="DP966" t="str">
        <f>""</f>
        <v/>
      </c>
      <c r="DQ966" t="str">
        <f>""</f>
        <v/>
      </c>
      <c r="DR966" t="str">
        <f>""</f>
        <v/>
      </c>
      <c r="DS966" t="str">
        <f>""</f>
        <v/>
      </c>
      <c r="DT966" t="str">
        <f>""</f>
        <v/>
      </c>
      <c r="DU966" t="str">
        <f>""</f>
        <v/>
      </c>
    </row>
    <row r="967" spans="1:125" x14ac:dyDescent="0.25">
      <c r="A967" t="str">
        <f>$A$470</f>
        <v xml:space="preserve">    GAZ PJSC</v>
      </c>
      <c r="B967" t="str">
        <f>$B$470</f>
        <v>GAZA RM Equity</v>
      </c>
      <c r="C967" t="str">
        <f>$C$470</f>
        <v>RR902</v>
      </c>
      <c r="D967" t="str">
        <f>$D$470</f>
        <v>CUR_MKT_CAP</v>
      </c>
      <c r="E967" t="str">
        <f>$E$470</f>
        <v>Dynamic</v>
      </c>
      <c r="F967" t="str">
        <f ca="1">_xll.BDH($B$470,$C$470,$B$509,$B$510,CONCATENATE("Per=",$B$507),"Dts=H","Dir=H",CONCATENATE("Points=",$B$508),"Sort=R","Days=A","Fill=B",CONCATENATE("FX=", $B$506) )</f>
        <v>#N/A Connection</v>
      </c>
      <c r="BN967" t="str">
        <f>""</f>
        <v/>
      </c>
      <c r="BO967" t="str">
        <f>""</f>
        <v/>
      </c>
      <c r="BP967" t="str">
        <f>""</f>
        <v/>
      </c>
      <c r="BQ967" t="str">
        <f>""</f>
        <v/>
      </c>
      <c r="BR967" t="str">
        <f>""</f>
        <v/>
      </c>
      <c r="BS967" t="str">
        <f>""</f>
        <v/>
      </c>
      <c r="BT967" t="str">
        <f>""</f>
        <v/>
      </c>
      <c r="BU967" t="str">
        <f>""</f>
        <v/>
      </c>
      <c r="BV967" t="str">
        <f>""</f>
        <v/>
      </c>
      <c r="BW967" t="str">
        <f>""</f>
        <v/>
      </c>
      <c r="BX967" t="str">
        <f>""</f>
        <v/>
      </c>
      <c r="BY967" t="str">
        <f>""</f>
        <v/>
      </c>
      <c r="BZ967" t="str">
        <f>""</f>
        <v/>
      </c>
      <c r="CA967" t="str">
        <f>""</f>
        <v/>
      </c>
      <c r="CB967" t="str">
        <f>""</f>
        <v/>
      </c>
      <c r="CC967" t="str">
        <f>""</f>
        <v/>
      </c>
      <c r="CD967" t="str">
        <f>""</f>
        <v/>
      </c>
      <c r="CE967" t="str">
        <f>""</f>
        <v/>
      </c>
      <c r="CF967" t="str">
        <f>""</f>
        <v/>
      </c>
      <c r="CG967" t="str">
        <f>""</f>
        <v/>
      </c>
      <c r="CH967" t="str">
        <f>""</f>
        <v/>
      </c>
      <c r="CI967" t="str">
        <f>""</f>
        <v/>
      </c>
      <c r="CJ967" t="str">
        <f>""</f>
        <v/>
      </c>
      <c r="CK967" t="str">
        <f>""</f>
        <v/>
      </c>
      <c r="CL967" t="str">
        <f>""</f>
        <v/>
      </c>
      <c r="CM967" t="str">
        <f>""</f>
        <v/>
      </c>
      <c r="CN967" t="str">
        <f>""</f>
        <v/>
      </c>
      <c r="CO967" t="str">
        <f>""</f>
        <v/>
      </c>
      <c r="CP967" t="str">
        <f>""</f>
        <v/>
      </c>
      <c r="CQ967" t="str">
        <f>""</f>
        <v/>
      </c>
      <c r="CR967" t="str">
        <f>""</f>
        <v/>
      </c>
      <c r="CS967" t="str">
        <f>""</f>
        <v/>
      </c>
      <c r="CT967" t="str">
        <f>""</f>
        <v/>
      </c>
      <c r="CU967" t="str">
        <f>""</f>
        <v/>
      </c>
      <c r="CV967" t="str">
        <f>""</f>
        <v/>
      </c>
      <c r="CW967" t="str">
        <f>""</f>
        <v/>
      </c>
      <c r="CX967" t="str">
        <f>""</f>
        <v/>
      </c>
      <c r="CY967" t="str">
        <f>""</f>
        <v/>
      </c>
      <c r="CZ967" t="str">
        <f>""</f>
        <v/>
      </c>
      <c r="DA967" t="str">
        <f>""</f>
        <v/>
      </c>
      <c r="DB967" t="str">
        <f>""</f>
        <v/>
      </c>
      <c r="DC967" t="str">
        <f>""</f>
        <v/>
      </c>
      <c r="DD967" t="str">
        <f>""</f>
        <v/>
      </c>
      <c r="DE967" t="str">
        <f>""</f>
        <v/>
      </c>
      <c r="DF967" t="str">
        <f>""</f>
        <v/>
      </c>
      <c r="DG967" t="str">
        <f>""</f>
        <v/>
      </c>
      <c r="DH967" t="str">
        <f>""</f>
        <v/>
      </c>
      <c r="DI967" t="str">
        <f>""</f>
        <v/>
      </c>
      <c r="DJ967" t="str">
        <f>""</f>
        <v/>
      </c>
      <c r="DK967" t="str">
        <f>""</f>
        <v/>
      </c>
      <c r="DL967" t="str">
        <f>""</f>
        <v/>
      </c>
      <c r="DM967" t="str">
        <f>""</f>
        <v/>
      </c>
      <c r="DN967" t="str">
        <f>""</f>
        <v/>
      </c>
      <c r="DO967" t="str">
        <f>""</f>
        <v/>
      </c>
      <c r="DP967" t="str">
        <f>""</f>
        <v/>
      </c>
      <c r="DQ967" t="str">
        <f>""</f>
        <v/>
      </c>
      <c r="DR967" t="str">
        <f>""</f>
        <v/>
      </c>
      <c r="DS967" t="str">
        <f>""</f>
        <v/>
      </c>
      <c r="DT967" t="str">
        <f>""</f>
        <v/>
      </c>
      <c r="DU967" t="str">
        <f>""</f>
        <v/>
      </c>
    </row>
    <row r="968" spans="1:125" x14ac:dyDescent="0.25">
      <c r="A968" t="str">
        <f>$A$471</f>
        <v xml:space="preserve">    Geely Automobile Holdings Ltd</v>
      </c>
      <c r="B968" t="str">
        <f>$B$471</f>
        <v>175 HK Equity</v>
      </c>
      <c r="C968" t="str">
        <f>$C$471</f>
        <v>RR902</v>
      </c>
      <c r="D968" t="str">
        <f>$D$471</f>
        <v>CUR_MKT_CAP</v>
      </c>
      <c r="E968" t="str">
        <f>$E$471</f>
        <v>Dynamic</v>
      </c>
      <c r="F968" t="str">
        <f ca="1">_xll.BDH($B$471,$C$471,$B$509,$B$510,CONCATENATE("Per=",$B$507),"Dts=H","Dir=H",CONCATENATE("Points=",$B$508),"Sort=R","Days=A","Fill=B",CONCATENATE("FX=", $B$506) )</f>
        <v>#N/A Connection</v>
      </c>
      <c r="BN968" t="str">
        <f>""</f>
        <v/>
      </c>
      <c r="BO968" t="str">
        <f>""</f>
        <v/>
      </c>
      <c r="BP968" t="str">
        <f>""</f>
        <v/>
      </c>
      <c r="BQ968" t="str">
        <f>""</f>
        <v/>
      </c>
      <c r="BR968" t="str">
        <f>""</f>
        <v/>
      </c>
      <c r="BS968" t="str">
        <f>""</f>
        <v/>
      </c>
      <c r="BT968" t="str">
        <f>""</f>
        <v/>
      </c>
      <c r="BU968" t="str">
        <f>""</f>
        <v/>
      </c>
      <c r="BV968" t="str">
        <f>""</f>
        <v/>
      </c>
      <c r="BW968" t="str">
        <f>""</f>
        <v/>
      </c>
      <c r="BX968" t="str">
        <f>""</f>
        <v/>
      </c>
      <c r="BY968" t="str">
        <f>""</f>
        <v/>
      </c>
      <c r="BZ968" t="str">
        <f>""</f>
        <v/>
      </c>
      <c r="CA968" t="str">
        <f>""</f>
        <v/>
      </c>
      <c r="CB968" t="str">
        <f>""</f>
        <v/>
      </c>
      <c r="CC968" t="str">
        <f>""</f>
        <v/>
      </c>
      <c r="CD968" t="str">
        <f>""</f>
        <v/>
      </c>
      <c r="CE968" t="str">
        <f>""</f>
        <v/>
      </c>
      <c r="CF968" t="str">
        <f>""</f>
        <v/>
      </c>
      <c r="CG968" t="str">
        <f>""</f>
        <v/>
      </c>
      <c r="CH968" t="str">
        <f>""</f>
        <v/>
      </c>
      <c r="CI968" t="str">
        <f>""</f>
        <v/>
      </c>
      <c r="CJ968" t="str">
        <f>""</f>
        <v/>
      </c>
      <c r="CK968" t="str">
        <f>""</f>
        <v/>
      </c>
      <c r="CL968" t="str">
        <f>""</f>
        <v/>
      </c>
      <c r="CM968" t="str">
        <f>""</f>
        <v/>
      </c>
      <c r="CN968" t="str">
        <f>""</f>
        <v/>
      </c>
      <c r="CO968" t="str">
        <f>""</f>
        <v/>
      </c>
      <c r="CP968" t="str">
        <f>""</f>
        <v/>
      </c>
      <c r="CQ968" t="str">
        <f>""</f>
        <v/>
      </c>
      <c r="CR968" t="str">
        <f>""</f>
        <v/>
      </c>
      <c r="CS968" t="str">
        <f>""</f>
        <v/>
      </c>
      <c r="CT968" t="str">
        <f>""</f>
        <v/>
      </c>
      <c r="CU968" t="str">
        <f>""</f>
        <v/>
      </c>
      <c r="CV968" t="str">
        <f>""</f>
        <v/>
      </c>
      <c r="CW968" t="str">
        <f>""</f>
        <v/>
      </c>
      <c r="CX968" t="str">
        <f>""</f>
        <v/>
      </c>
      <c r="CY968" t="str">
        <f>""</f>
        <v/>
      </c>
      <c r="CZ968" t="str">
        <f>""</f>
        <v/>
      </c>
      <c r="DA968" t="str">
        <f>""</f>
        <v/>
      </c>
      <c r="DB968" t="str">
        <f>""</f>
        <v/>
      </c>
      <c r="DC968" t="str">
        <f>""</f>
        <v/>
      </c>
      <c r="DD968" t="str">
        <f>""</f>
        <v/>
      </c>
      <c r="DE968" t="str">
        <f>""</f>
        <v/>
      </c>
      <c r="DF968" t="str">
        <f>""</f>
        <v/>
      </c>
      <c r="DG968" t="str">
        <f>""</f>
        <v/>
      </c>
      <c r="DH968" t="str">
        <f>""</f>
        <v/>
      </c>
      <c r="DI968" t="str">
        <f>""</f>
        <v/>
      </c>
      <c r="DJ968" t="str">
        <f>""</f>
        <v/>
      </c>
      <c r="DK968" t="str">
        <f>""</f>
        <v/>
      </c>
      <c r="DL968" t="str">
        <f>""</f>
        <v/>
      </c>
      <c r="DM968" t="str">
        <f>""</f>
        <v/>
      </c>
      <c r="DN968" t="str">
        <f>""</f>
        <v/>
      </c>
      <c r="DO968" t="str">
        <f>""</f>
        <v/>
      </c>
      <c r="DP968" t="str">
        <f>""</f>
        <v/>
      </c>
      <c r="DQ968" t="str">
        <f>""</f>
        <v/>
      </c>
      <c r="DR968" t="str">
        <f>""</f>
        <v/>
      </c>
      <c r="DS968" t="str">
        <f>""</f>
        <v/>
      </c>
      <c r="DT968" t="str">
        <f>""</f>
        <v/>
      </c>
      <c r="DU968" t="str">
        <f>""</f>
        <v/>
      </c>
    </row>
    <row r="969" spans="1:125" x14ac:dyDescent="0.25">
      <c r="A969" t="str">
        <f>$A$472</f>
        <v xml:space="preserve">    General Motors Co</v>
      </c>
      <c r="B969" t="str">
        <f>$B$472</f>
        <v>GM US Equity</v>
      </c>
      <c r="C969" t="str">
        <f>$C$472</f>
        <v>RR902</v>
      </c>
      <c r="D969" t="str">
        <f>$D$472</f>
        <v>CUR_MKT_CAP</v>
      </c>
      <c r="E969" t="str">
        <f>$E$472</f>
        <v>Dynamic</v>
      </c>
      <c r="F969" t="str">
        <f ca="1">_xll.BDH($B$472,$C$472,$B$509,$B$510,CONCATENATE("Per=",$B$507),"Dts=H","Dir=H",CONCATENATE("Points=",$B$508),"Sort=R","Days=A","Fill=B",CONCATENATE("FX=", $B$506) )</f>
        <v>#N/A Connection</v>
      </c>
      <c r="BN969" t="str">
        <f>""</f>
        <v/>
      </c>
      <c r="BO969" t="str">
        <f>""</f>
        <v/>
      </c>
      <c r="BP969" t="str">
        <f>""</f>
        <v/>
      </c>
      <c r="BQ969" t="str">
        <f>""</f>
        <v/>
      </c>
      <c r="BR969" t="str">
        <f>""</f>
        <v/>
      </c>
      <c r="BS969" t="str">
        <f>""</f>
        <v/>
      </c>
      <c r="BT969" t="str">
        <f>""</f>
        <v/>
      </c>
      <c r="BU969" t="str">
        <f>""</f>
        <v/>
      </c>
      <c r="BV969" t="str">
        <f>""</f>
        <v/>
      </c>
      <c r="BW969" t="str">
        <f>""</f>
        <v/>
      </c>
      <c r="BX969" t="str">
        <f>""</f>
        <v/>
      </c>
      <c r="BY969" t="str">
        <f>""</f>
        <v/>
      </c>
      <c r="BZ969" t="str">
        <f>""</f>
        <v/>
      </c>
      <c r="CA969" t="str">
        <f>""</f>
        <v/>
      </c>
      <c r="CB969" t="str">
        <f>""</f>
        <v/>
      </c>
      <c r="CC969" t="str">
        <f>""</f>
        <v/>
      </c>
      <c r="CD969" t="str">
        <f>""</f>
        <v/>
      </c>
      <c r="CE969" t="str">
        <f>""</f>
        <v/>
      </c>
      <c r="CF969" t="str">
        <f>""</f>
        <v/>
      </c>
      <c r="CG969" t="str">
        <f>""</f>
        <v/>
      </c>
      <c r="CH969" t="str">
        <f>""</f>
        <v/>
      </c>
      <c r="CI969" t="str">
        <f>""</f>
        <v/>
      </c>
      <c r="CJ969" t="str">
        <f>""</f>
        <v/>
      </c>
      <c r="CK969" t="str">
        <f>""</f>
        <v/>
      </c>
      <c r="CL969" t="str">
        <f>""</f>
        <v/>
      </c>
      <c r="CM969" t="str">
        <f>""</f>
        <v/>
      </c>
      <c r="CN969" t="str">
        <f>""</f>
        <v/>
      </c>
      <c r="CO969" t="str">
        <f>""</f>
        <v/>
      </c>
      <c r="CP969" t="str">
        <f>""</f>
        <v/>
      </c>
      <c r="CQ969" t="str">
        <f>""</f>
        <v/>
      </c>
      <c r="CR969" t="str">
        <f>""</f>
        <v/>
      </c>
      <c r="CS969" t="str">
        <f>""</f>
        <v/>
      </c>
      <c r="CT969" t="str">
        <f>""</f>
        <v/>
      </c>
      <c r="CU969" t="str">
        <f>""</f>
        <v/>
      </c>
      <c r="CV969" t="str">
        <f>""</f>
        <v/>
      </c>
      <c r="CW969" t="str">
        <f>""</f>
        <v/>
      </c>
      <c r="CX969" t="str">
        <f>""</f>
        <v/>
      </c>
      <c r="CY969" t="str">
        <f>""</f>
        <v/>
      </c>
      <c r="CZ969" t="str">
        <f>""</f>
        <v/>
      </c>
      <c r="DA969" t="str">
        <f>""</f>
        <v/>
      </c>
      <c r="DB969" t="str">
        <f>""</f>
        <v/>
      </c>
      <c r="DC969" t="str">
        <f>""</f>
        <v/>
      </c>
      <c r="DD969" t="str">
        <f>""</f>
        <v/>
      </c>
      <c r="DE969" t="str">
        <f>""</f>
        <v/>
      </c>
      <c r="DF969" t="str">
        <f>""</f>
        <v/>
      </c>
      <c r="DG969" t="str">
        <f>""</f>
        <v/>
      </c>
      <c r="DH969" t="str">
        <f>""</f>
        <v/>
      </c>
      <c r="DI969" t="str">
        <f>""</f>
        <v/>
      </c>
      <c r="DJ969" t="str">
        <f>""</f>
        <v/>
      </c>
      <c r="DK969" t="str">
        <f>""</f>
        <v/>
      </c>
      <c r="DL969" t="str">
        <f>""</f>
        <v/>
      </c>
      <c r="DM969" t="str">
        <f>""</f>
        <v/>
      </c>
      <c r="DN969" t="str">
        <f>""</f>
        <v/>
      </c>
      <c r="DO969" t="str">
        <f>""</f>
        <v/>
      </c>
      <c r="DP969" t="str">
        <f>""</f>
        <v/>
      </c>
      <c r="DQ969" t="str">
        <f>""</f>
        <v/>
      </c>
      <c r="DR969" t="str">
        <f>""</f>
        <v/>
      </c>
      <c r="DS969" t="str">
        <f>""</f>
        <v/>
      </c>
      <c r="DT969" t="str">
        <f>""</f>
        <v/>
      </c>
      <c r="DU969" t="str">
        <f>""</f>
        <v/>
      </c>
    </row>
    <row r="970" spans="1:125" x14ac:dyDescent="0.25">
      <c r="A970" t="str">
        <f>$A$473</f>
        <v xml:space="preserve">    Great Wall Motor Co Ltd</v>
      </c>
      <c r="B970" t="str">
        <f>$B$473</f>
        <v>2333 HK Equity</v>
      </c>
      <c r="C970" t="str">
        <f>$C$473</f>
        <v>RR902</v>
      </c>
      <c r="D970" t="str">
        <f>$D$473</f>
        <v>CUR_MKT_CAP</v>
      </c>
      <c r="E970" t="str">
        <f>$E$473</f>
        <v>Dynamic</v>
      </c>
      <c r="F970" t="str">
        <f ca="1">_xll.BDH($B$473,$C$473,$B$509,$B$510,CONCATENATE("Per=",$B$507),"Dts=H","Dir=H",CONCATENATE("Points=",$B$508),"Sort=R","Days=A","Fill=B",CONCATENATE("FX=", $B$506) )</f>
        <v>#N/A Connection</v>
      </c>
      <c r="BN970" t="str">
        <f>""</f>
        <v/>
      </c>
      <c r="BO970" t="str">
        <f>""</f>
        <v/>
      </c>
      <c r="BP970" t="str">
        <f>""</f>
        <v/>
      </c>
      <c r="BQ970" t="str">
        <f>""</f>
        <v/>
      </c>
      <c r="BR970" t="str">
        <f>""</f>
        <v/>
      </c>
      <c r="BS970" t="str">
        <f>""</f>
        <v/>
      </c>
      <c r="BT970" t="str">
        <f>""</f>
        <v/>
      </c>
      <c r="BU970" t="str">
        <f>""</f>
        <v/>
      </c>
      <c r="BV970" t="str">
        <f>""</f>
        <v/>
      </c>
      <c r="BW970" t="str">
        <f>""</f>
        <v/>
      </c>
      <c r="BX970" t="str">
        <f>""</f>
        <v/>
      </c>
      <c r="BY970" t="str">
        <f>""</f>
        <v/>
      </c>
      <c r="BZ970" t="str">
        <f>""</f>
        <v/>
      </c>
      <c r="CA970" t="str">
        <f>""</f>
        <v/>
      </c>
      <c r="CB970" t="str">
        <f>""</f>
        <v/>
      </c>
      <c r="CC970" t="str">
        <f>""</f>
        <v/>
      </c>
      <c r="CD970" t="str">
        <f>""</f>
        <v/>
      </c>
      <c r="CE970" t="str">
        <f>""</f>
        <v/>
      </c>
      <c r="CF970" t="str">
        <f>""</f>
        <v/>
      </c>
      <c r="CG970" t="str">
        <f>""</f>
        <v/>
      </c>
      <c r="CH970" t="str">
        <f>""</f>
        <v/>
      </c>
      <c r="CI970" t="str">
        <f>""</f>
        <v/>
      </c>
      <c r="CJ970" t="str">
        <f>""</f>
        <v/>
      </c>
      <c r="CK970" t="str">
        <f>""</f>
        <v/>
      </c>
      <c r="CL970" t="str">
        <f>""</f>
        <v/>
      </c>
      <c r="CM970" t="str">
        <f>""</f>
        <v/>
      </c>
      <c r="CN970" t="str">
        <f>""</f>
        <v/>
      </c>
      <c r="CO970" t="str">
        <f>""</f>
        <v/>
      </c>
      <c r="CP970" t="str">
        <f>""</f>
        <v/>
      </c>
      <c r="CQ970" t="str">
        <f>""</f>
        <v/>
      </c>
      <c r="CR970" t="str">
        <f>""</f>
        <v/>
      </c>
      <c r="CS970" t="str">
        <f>""</f>
        <v/>
      </c>
      <c r="CT970" t="str">
        <f>""</f>
        <v/>
      </c>
      <c r="CU970" t="str">
        <f>""</f>
        <v/>
      </c>
      <c r="CV970" t="str">
        <f>""</f>
        <v/>
      </c>
      <c r="CW970" t="str">
        <f>""</f>
        <v/>
      </c>
      <c r="CX970" t="str">
        <f>""</f>
        <v/>
      </c>
      <c r="CY970" t="str">
        <f>""</f>
        <v/>
      </c>
      <c r="CZ970" t="str">
        <f>""</f>
        <v/>
      </c>
      <c r="DA970" t="str">
        <f>""</f>
        <v/>
      </c>
      <c r="DB970" t="str">
        <f>""</f>
        <v/>
      </c>
      <c r="DC970" t="str">
        <f>""</f>
        <v/>
      </c>
      <c r="DD970" t="str">
        <f>""</f>
        <v/>
      </c>
      <c r="DE970" t="str">
        <f>""</f>
        <v/>
      </c>
      <c r="DF970" t="str">
        <f>""</f>
        <v/>
      </c>
      <c r="DG970" t="str">
        <f>""</f>
        <v/>
      </c>
      <c r="DH970" t="str">
        <f>""</f>
        <v/>
      </c>
      <c r="DI970" t="str">
        <f>""</f>
        <v/>
      </c>
      <c r="DJ970" t="str">
        <f>""</f>
        <v/>
      </c>
      <c r="DK970" t="str">
        <f>""</f>
        <v/>
      </c>
      <c r="DL970" t="str">
        <f>""</f>
        <v/>
      </c>
      <c r="DM970" t="str">
        <f>""</f>
        <v/>
      </c>
      <c r="DN970" t="str">
        <f>""</f>
        <v/>
      </c>
      <c r="DO970" t="str">
        <f>""</f>
        <v/>
      </c>
      <c r="DP970" t="str">
        <f>""</f>
        <v/>
      </c>
      <c r="DQ970" t="str">
        <f>""</f>
        <v/>
      </c>
      <c r="DR970" t="str">
        <f>""</f>
        <v/>
      </c>
      <c r="DS970" t="str">
        <f>""</f>
        <v/>
      </c>
      <c r="DT970" t="str">
        <f>""</f>
        <v/>
      </c>
      <c r="DU970" t="str">
        <f>""</f>
        <v/>
      </c>
    </row>
    <row r="971" spans="1:125" x14ac:dyDescent="0.25">
      <c r="A971" t="str">
        <f>$A$474</f>
        <v xml:space="preserve">    Guangzhou Automobile Group Co Ltd</v>
      </c>
      <c r="B971" t="str">
        <f>$B$474</f>
        <v>2238 HK Equity</v>
      </c>
      <c r="C971" t="str">
        <f>$C$474</f>
        <v>RR902</v>
      </c>
      <c r="D971" t="str">
        <f>$D$474</f>
        <v>CUR_MKT_CAP</v>
      </c>
      <c r="E971" t="str">
        <f>$E$474</f>
        <v>Dynamic</v>
      </c>
      <c r="F971" t="str">
        <f ca="1">_xll.BDH($B$474,$C$474,$B$509,$B$510,CONCATENATE("Per=",$B$507),"Dts=H","Dir=H",CONCATENATE("Points=",$B$508),"Sort=R","Days=A","Fill=B",CONCATENATE("FX=", $B$506) )</f>
        <v>#N/A Connection</v>
      </c>
      <c r="BN971" t="str">
        <f>""</f>
        <v/>
      </c>
      <c r="BO971" t="str">
        <f>""</f>
        <v/>
      </c>
      <c r="BP971" t="str">
        <f>""</f>
        <v/>
      </c>
      <c r="BQ971" t="str">
        <f>""</f>
        <v/>
      </c>
      <c r="BR971" t="str">
        <f>""</f>
        <v/>
      </c>
      <c r="BS971" t="str">
        <f>""</f>
        <v/>
      </c>
      <c r="BT971" t="str">
        <f>""</f>
        <v/>
      </c>
      <c r="BU971" t="str">
        <f>""</f>
        <v/>
      </c>
      <c r="BV971" t="str">
        <f>""</f>
        <v/>
      </c>
      <c r="BW971" t="str">
        <f>""</f>
        <v/>
      </c>
      <c r="BX971" t="str">
        <f>""</f>
        <v/>
      </c>
      <c r="BY971" t="str">
        <f>""</f>
        <v/>
      </c>
      <c r="BZ971" t="str">
        <f>""</f>
        <v/>
      </c>
      <c r="CA971" t="str">
        <f>""</f>
        <v/>
      </c>
      <c r="CB971" t="str">
        <f>""</f>
        <v/>
      </c>
      <c r="CC971" t="str">
        <f>""</f>
        <v/>
      </c>
      <c r="CD971" t="str">
        <f>""</f>
        <v/>
      </c>
      <c r="CE971" t="str">
        <f>""</f>
        <v/>
      </c>
      <c r="CF971" t="str">
        <f>""</f>
        <v/>
      </c>
      <c r="CG971" t="str">
        <f>""</f>
        <v/>
      </c>
      <c r="CH971" t="str">
        <f>""</f>
        <v/>
      </c>
      <c r="CI971" t="str">
        <f>""</f>
        <v/>
      </c>
      <c r="CJ971" t="str">
        <f>""</f>
        <v/>
      </c>
      <c r="CK971" t="str">
        <f>""</f>
        <v/>
      </c>
      <c r="CL971" t="str">
        <f>""</f>
        <v/>
      </c>
      <c r="CM971" t="str">
        <f>""</f>
        <v/>
      </c>
      <c r="CN971" t="str">
        <f>""</f>
        <v/>
      </c>
      <c r="CO971" t="str">
        <f>""</f>
        <v/>
      </c>
      <c r="CP971" t="str">
        <f>""</f>
        <v/>
      </c>
      <c r="CQ971" t="str">
        <f>""</f>
        <v/>
      </c>
      <c r="CR971" t="str">
        <f>""</f>
        <v/>
      </c>
      <c r="CS971" t="str">
        <f>""</f>
        <v/>
      </c>
      <c r="CT971" t="str">
        <f>""</f>
        <v/>
      </c>
      <c r="CU971" t="str">
        <f>""</f>
        <v/>
      </c>
      <c r="CV971" t="str">
        <f>""</f>
        <v/>
      </c>
      <c r="CW971" t="str">
        <f>""</f>
        <v/>
      </c>
      <c r="CX971" t="str">
        <f>""</f>
        <v/>
      </c>
      <c r="CY971" t="str">
        <f>""</f>
        <v/>
      </c>
      <c r="CZ971" t="str">
        <f>""</f>
        <v/>
      </c>
      <c r="DA971" t="str">
        <f>""</f>
        <v/>
      </c>
      <c r="DB971" t="str">
        <f>""</f>
        <v/>
      </c>
      <c r="DC971" t="str">
        <f>""</f>
        <v/>
      </c>
      <c r="DD971" t="str">
        <f>""</f>
        <v/>
      </c>
      <c r="DE971" t="str">
        <f>""</f>
        <v/>
      </c>
      <c r="DF971" t="str">
        <f>""</f>
        <v/>
      </c>
      <c r="DG971" t="str">
        <f>""</f>
        <v/>
      </c>
      <c r="DH971" t="str">
        <f>""</f>
        <v/>
      </c>
      <c r="DI971" t="str">
        <f>""</f>
        <v/>
      </c>
      <c r="DJ971" t="str">
        <f>""</f>
        <v/>
      </c>
      <c r="DK971" t="str">
        <f>""</f>
        <v/>
      </c>
      <c r="DL971" t="str">
        <f>""</f>
        <v/>
      </c>
      <c r="DM971" t="str">
        <f>""</f>
        <v/>
      </c>
      <c r="DN971" t="str">
        <f>""</f>
        <v/>
      </c>
      <c r="DO971" t="str">
        <f>""</f>
        <v/>
      </c>
      <c r="DP971" t="str">
        <f>""</f>
        <v/>
      </c>
      <c r="DQ971" t="str">
        <f>""</f>
        <v/>
      </c>
      <c r="DR971" t="str">
        <f>""</f>
        <v/>
      </c>
      <c r="DS971" t="str">
        <f>""</f>
        <v/>
      </c>
      <c r="DT971" t="str">
        <f>""</f>
        <v/>
      </c>
      <c r="DU971" t="str">
        <f>""</f>
        <v/>
      </c>
    </row>
    <row r="972" spans="1:125" x14ac:dyDescent="0.25">
      <c r="A972" t="str">
        <f>$A$475</f>
        <v xml:space="preserve">    Honda Motor Co Ltd</v>
      </c>
      <c r="B972" t="str">
        <f>$B$475</f>
        <v>7267 JP Equity</v>
      </c>
      <c r="C972" t="str">
        <f>$C$475</f>
        <v>RR902</v>
      </c>
      <c r="D972" t="str">
        <f>$D$475</f>
        <v>CUR_MKT_CAP</v>
      </c>
      <c r="E972" t="str">
        <f>$E$475</f>
        <v>Dynamic</v>
      </c>
      <c r="F972" t="str">
        <f ca="1">_xll.BDH($B$475,$C$475,$B$509,$B$510,CONCATENATE("Per=",$B$507),"Dts=H","Dir=H",CONCATENATE("Points=",$B$508),"Sort=R","Days=A","Fill=B",CONCATENATE("FX=", $B$506) )</f>
        <v>#N/A Connection</v>
      </c>
      <c r="BN972" t="str">
        <f>""</f>
        <v/>
      </c>
      <c r="BO972" t="str">
        <f>""</f>
        <v/>
      </c>
      <c r="BP972" t="str">
        <f>""</f>
        <v/>
      </c>
      <c r="BQ972" t="str">
        <f>""</f>
        <v/>
      </c>
      <c r="BR972" t="str">
        <f>""</f>
        <v/>
      </c>
      <c r="BS972" t="str">
        <f>""</f>
        <v/>
      </c>
      <c r="BT972" t="str">
        <f>""</f>
        <v/>
      </c>
      <c r="BU972" t="str">
        <f>""</f>
        <v/>
      </c>
      <c r="BV972" t="str">
        <f>""</f>
        <v/>
      </c>
      <c r="BW972" t="str">
        <f>""</f>
        <v/>
      </c>
      <c r="BX972" t="str">
        <f>""</f>
        <v/>
      </c>
      <c r="BY972" t="str">
        <f>""</f>
        <v/>
      </c>
      <c r="BZ972" t="str">
        <f>""</f>
        <v/>
      </c>
      <c r="CA972" t="str">
        <f>""</f>
        <v/>
      </c>
      <c r="CB972" t="str">
        <f>""</f>
        <v/>
      </c>
      <c r="CC972" t="str">
        <f>""</f>
        <v/>
      </c>
      <c r="CD972" t="str">
        <f>""</f>
        <v/>
      </c>
      <c r="CE972" t="str">
        <f>""</f>
        <v/>
      </c>
      <c r="CF972" t="str">
        <f>""</f>
        <v/>
      </c>
      <c r="CG972" t="str">
        <f>""</f>
        <v/>
      </c>
      <c r="CH972" t="str">
        <f>""</f>
        <v/>
      </c>
      <c r="CI972" t="str">
        <f>""</f>
        <v/>
      </c>
      <c r="CJ972" t="str">
        <f>""</f>
        <v/>
      </c>
      <c r="CK972" t="str">
        <f>""</f>
        <v/>
      </c>
      <c r="CL972" t="str">
        <f>""</f>
        <v/>
      </c>
      <c r="CM972" t="str">
        <f>""</f>
        <v/>
      </c>
      <c r="CN972" t="str">
        <f>""</f>
        <v/>
      </c>
      <c r="CO972" t="str">
        <f>""</f>
        <v/>
      </c>
      <c r="CP972" t="str">
        <f>""</f>
        <v/>
      </c>
      <c r="CQ972" t="str">
        <f>""</f>
        <v/>
      </c>
      <c r="CR972" t="str">
        <f>""</f>
        <v/>
      </c>
      <c r="CS972" t="str">
        <f>""</f>
        <v/>
      </c>
      <c r="CT972" t="str">
        <f>""</f>
        <v/>
      </c>
      <c r="CU972" t="str">
        <f>""</f>
        <v/>
      </c>
      <c r="CV972" t="str">
        <f>""</f>
        <v/>
      </c>
      <c r="CW972" t="str">
        <f>""</f>
        <v/>
      </c>
      <c r="CX972" t="str">
        <f>""</f>
        <v/>
      </c>
      <c r="CY972" t="str">
        <f>""</f>
        <v/>
      </c>
      <c r="CZ972" t="str">
        <f>""</f>
        <v/>
      </c>
      <c r="DA972" t="str">
        <f>""</f>
        <v/>
      </c>
      <c r="DB972" t="str">
        <f>""</f>
        <v/>
      </c>
      <c r="DC972" t="str">
        <f>""</f>
        <v/>
      </c>
      <c r="DD972" t="str">
        <f>""</f>
        <v/>
      </c>
      <c r="DE972" t="str">
        <f>""</f>
        <v/>
      </c>
      <c r="DF972" t="str">
        <f>""</f>
        <v/>
      </c>
      <c r="DG972" t="str">
        <f>""</f>
        <v/>
      </c>
      <c r="DH972" t="str">
        <f>""</f>
        <v/>
      </c>
      <c r="DI972" t="str">
        <f>""</f>
        <v/>
      </c>
      <c r="DJ972" t="str">
        <f>""</f>
        <v/>
      </c>
      <c r="DK972" t="str">
        <f>""</f>
        <v/>
      </c>
      <c r="DL972" t="str">
        <f>""</f>
        <v/>
      </c>
      <c r="DM972" t="str">
        <f>""</f>
        <v/>
      </c>
      <c r="DN972" t="str">
        <f>""</f>
        <v/>
      </c>
      <c r="DO972" t="str">
        <f>""</f>
        <v/>
      </c>
      <c r="DP972" t="str">
        <f>""</f>
        <v/>
      </c>
      <c r="DQ972" t="str">
        <f>""</f>
        <v/>
      </c>
      <c r="DR972" t="str">
        <f>""</f>
        <v/>
      </c>
      <c r="DS972" t="str">
        <f>""</f>
        <v/>
      </c>
      <c r="DT972" t="str">
        <f>""</f>
        <v/>
      </c>
      <c r="DU972" t="str">
        <f>""</f>
        <v/>
      </c>
    </row>
    <row r="973" spans="1:125" x14ac:dyDescent="0.25">
      <c r="A973" t="str">
        <f>$A$476</f>
        <v xml:space="preserve">    Hyundai Motor Co</v>
      </c>
      <c r="B973" t="str">
        <f>$B$476</f>
        <v>005380 KS Equity</v>
      </c>
      <c r="C973" t="str">
        <f>$C$476</f>
        <v>RR902</v>
      </c>
      <c r="D973" t="str">
        <f>$D$476</f>
        <v>CUR_MKT_CAP</v>
      </c>
      <c r="E973" t="str">
        <f>$E$476</f>
        <v>Dynamic</v>
      </c>
      <c r="F973" t="str">
        <f ca="1">_xll.BDH($B$476,$C$476,$B$509,$B$510,CONCATENATE("Per=",$B$507),"Dts=H","Dir=H",CONCATENATE("Points=",$B$508),"Sort=R","Days=A","Fill=B",CONCATENATE("FX=", $B$506) )</f>
        <v>#N/A Connection</v>
      </c>
      <c r="BN973" t="str">
        <f>""</f>
        <v/>
      </c>
      <c r="BO973" t="str">
        <f>""</f>
        <v/>
      </c>
      <c r="BP973" t="str">
        <f>""</f>
        <v/>
      </c>
      <c r="BQ973" t="str">
        <f>""</f>
        <v/>
      </c>
      <c r="BR973" t="str">
        <f>""</f>
        <v/>
      </c>
      <c r="BS973" t="str">
        <f>""</f>
        <v/>
      </c>
      <c r="BT973" t="str">
        <f>""</f>
        <v/>
      </c>
      <c r="BU973" t="str">
        <f>""</f>
        <v/>
      </c>
      <c r="BV973" t="str">
        <f>""</f>
        <v/>
      </c>
      <c r="BW973" t="str">
        <f>""</f>
        <v/>
      </c>
      <c r="BX973" t="str">
        <f>""</f>
        <v/>
      </c>
      <c r="BY973" t="str">
        <f>""</f>
        <v/>
      </c>
      <c r="BZ973" t="str">
        <f>""</f>
        <v/>
      </c>
      <c r="CA973" t="str">
        <f>""</f>
        <v/>
      </c>
      <c r="CB973" t="str">
        <f>""</f>
        <v/>
      </c>
      <c r="CC973" t="str">
        <f>""</f>
        <v/>
      </c>
      <c r="CD973" t="str">
        <f>""</f>
        <v/>
      </c>
      <c r="CE973" t="str">
        <f>""</f>
        <v/>
      </c>
      <c r="CF973" t="str">
        <f>""</f>
        <v/>
      </c>
      <c r="CG973" t="str">
        <f>""</f>
        <v/>
      </c>
      <c r="CH973" t="str">
        <f>""</f>
        <v/>
      </c>
      <c r="CI973" t="str">
        <f>""</f>
        <v/>
      </c>
      <c r="CJ973" t="str">
        <f>""</f>
        <v/>
      </c>
      <c r="CK973" t="str">
        <f>""</f>
        <v/>
      </c>
      <c r="CL973" t="str">
        <f>""</f>
        <v/>
      </c>
      <c r="CM973" t="str">
        <f>""</f>
        <v/>
      </c>
      <c r="CN973" t="str">
        <f>""</f>
        <v/>
      </c>
      <c r="CO973" t="str">
        <f>""</f>
        <v/>
      </c>
      <c r="CP973" t="str">
        <f>""</f>
        <v/>
      </c>
      <c r="CQ973" t="str">
        <f>""</f>
        <v/>
      </c>
      <c r="CR973" t="str">
        <f>""</f>
        <v/>
      </c>
      <c r="CS973" t="str">
        <f>""</f>
        <v/>
      </c>
      <c r="CT973" t="str">
        <f>""</f>
        <v/>
      </c>
      <c r="CU973" t="str">
        <f>""</f>
        <v/>
      </c>
      <c r="CV973" t="str">
        <f>""</f>
        <v/>
      </c>
      <c r="CW973" t="str">
        <f>""</f>
        <v/>
      </c>
      <c r="CX973" t="str">
        <f>""</f>
        <v/>
      </c>
      <c r="CY973" t="str">
        <f>""</f>
        <v/>
      </c>
      <c r="CZ973" t="str">
        <f>""</f>
        <v/>
      </c>
      <c r="DA973" t="str">
        <f>""</f>
        <v/>
      </c>
      <c r="DB973" t="str">
        <f>""</f>
        <v/>
      </c>
      <c r="DC973" t="str">
        <f>""</f>
        <v/>
      </c>
      <c r="DD973" t="str">
        <f>""</f>
        <v/>
      </c>
      <c r="DE973" t="str">
        <f>""</f>
        <v/>
      </c>
      <c r="DF973" t="str">
        <f>""</f>
        <v/>
      </c>
      <c r="DG973" t="str">
        <f>""</f>
        <v/>
      </c>
      <c r="DH973" t="str">
        <f>""</f>
        <v/>
      </c>
      <c r="DI973" t="str">
        <f>""</f>
        <v/>
      </c>
      <c r="DJ973" t="str">
        <f>""</f>
        <v/>
      </c>
      <c r="DK973" t="str">
        <f>""</f>
        <v/>
      </c>
      <c r="DL973" t="str">
        <f>""</f>
        <v/>
      </c>
      <c r="DM973" t="str">
        <f>""</f>
        <v/>
      </c>
      <c r="DN973" t="str">
        <f>""</f>
        <v/>
      </c>
      <c r="DO973" t="str">
        <f>""</f>
        <v/>
      </c>
      <c r="DP973" t="str">
        <f>""</f>
        <v/>
      </c>
      <c r="DQ973" t="str">
        <f>""</f>
        <v/>
      </c>
      <c r="DR973" t="str">
        <f>""</f>
        <v/>
      </c>
      <c r="DS973" t="str">
        <f>""</f>
        <v/>
      </c>
      <c r="DT973" t="str">
        <f>""</f>
        <v/>
      </c>
      <c r="DU973" t="str">
        <f>""</f>
        <v/>
      </c>
    </row>
    <row r="974" spans="1:125" x14ac:dyDescent="0.25">
      <c r="A974" t="str">
        <f>$A$477</f>
        <v xml:space="preserve">    Kia Motors Corp</v>
      </c>
      <c r="B974" t="str">
        <f>$B$477</f>
        <v>000270 KS Equity</v>
      </c>
      <c r="C974" t="str">
        <f>$C$477</f>
        <v>RR902</v>
      </c>
      <c r="D974" t="str">
        <f>$D$477</f>
        <v>CUR_MKT_CAP</v>
      </c>
      <c r="E974" t="str">
        <f>$E$477</f>
        <v>Dynamic</v>
      </c>
      <c r="F974" t="str">
        <f ca="1">_xll.BDH($B$477,$C$477,$B$509,$B$510,CONCATENATE("Per=",$B$507),"Dts=H","Dir=H",CONCATENATE("Points=",$B$508),"Sort=R","Days=A","Fill=B",CONCATENATE("FX=", $B$506) )</f>
        <v>#N/A Connection</v>
      </c>
      <c r="BN974" t="str">
        <f>""</f>
        <v/>
      </c>
      <c r="BO974" t="str">
        <f>""</f>
        <v/>
      </c>
      <c r="BP974" t="str">
        <f>""</f>
        <v/>
      </c>
      <c r="BQ974" t="str">
        <f>""</f>
        <v/>
      </c>
      <c r="BR974" t="str">
        <f>""</f>
        <v/>
      </c>
      <c r="BS974" t="str">
        <f>""</f>
        <v/>
      </c>
      <c r="BT974" t="str">
        <f>""</f>
        <v/>
      </c>
      <c r="BU974" t="str">
        <f>""</f>
        <v/>
      </c>
      <c r="BV974" t="str">
        <f>""</f>
        <v/>
      </c>
      <c r="BW974" t="str">
        <f>""</f>
        <v/>
      </c>
      <c r="BX974" t="str">
        <f>""</f>
        <v/>
      </c>
      <c r="BY974" t="str">
        <f>""</f>
        <v/>
      </c>
      <c r="BZ974" t="str">
        <f>""</f>
        <v/>
      </c>
      <c r="CA974" t="str">
        <f>""</f>
        <v/>
      </c>
      <c r="CB974" t="str">
        <f>""</f>
        <v/>
      </c>
      <c r="CC974" t="str">
        <f>""</f>
        <v/>
      </c>
      <c r="CD974" t="str">
        <f>""</f>
        <v/>
      </c>
      <c r="CE974" t="str">
        <f>""</f>
        <v/>
      </c>
      <c r="CF974" t="str">
        <f>""</f>
        <v/>
      </c>
      <c r="CG974" t="str">
        <f>""</f>
        <v/>
      </c>
      <c r="CH974" t="str">
        <f>""</f>
        <v/>
      </c>
      <c r="CI974" t="str">
        <f>""</f>
        <v/>
      </c>
      <c r="CJ974" t="str">
        <f>""</f>
        <v/>
      </c>
      <c r="CK974" t="str">
        <f>""</f>
        <v/>
      </c>
      <c r="CL974" t="str">
        <f>""</f>
        <v/>
      </c>
      <c r="CM974" t="str">
        <f>""</f>
        <v/>
      </c>
      <c r="CN974" t="str">
        <f>""</f>
        <v/>
      </c>
      <c r="CO974" t="str">
        <f>""</f>
        <v/>
      </c>
      <c r="CP974" t="str">
        <f>""</f>
        <v/>
      </c>
      <c r="CQ974" t="str">
        <f>""</f>
        <v/>
      </c>
      <c r="CR974" t="str">
        <f>""</f>
        <v/>
      </c>
      <c r="CS974" t="str">
        <f>""</f>
        <v/>
      </c>
      <c r="CT974" t="str">
        <f>""</f>
        <v/>
      </c>
      <c r="CU974" t="str">
        <f>""</f>
        <v/>
      </c>
      <c r="CV974" t="str">
        <f>""</f>
        <v/>
      </c>
      <c r="CW974" t="str">
        <f>""</f>
        <v/>
      </c>
      <c r="CX974" t="str">
        <f>""</f>
        <v/>
      </c>
      <c r="CY974" t="str">
        <f>""</f>
        <v/>
      </c>
      <c r="CZ974" t="str">
        <f>""</f>
        <v/>
      </c>
      <c r="DA974" t="str">
        <f>""</f>
        <v/>
      </c>
      <c r="DB974" t="str">
        <f>""</f>
        <v/>
      </c>
      <c r="DC974" t="str">
        <f>""</f>
        <v/>
      </c>
      <c r="DD974" t="str">
        <f>""</f>
        <v/>
      </c>
      <c r="DE974" t="str">
        <f>""</f>
        <v/>
      </c>
      <c r="DF974" t="str">
        <f>""</f>
        <v/>
      </c>
      <c r="DG974" t="str">
        <f>""</f>
        <v/>
      </c>
      <c r="DH974" t="str">
        <f>""</f>
        <v/>
      </c>
      <c r="DI974" t="str">
        <f>""</f>
        <v/>
      </c>
      <c r="DJ974" t="str">
        <f>""</f>
        <v/>
      </c>
      <c r="DK974" t="str">
        <f>""</f>
        <v/>
      </c>
      <c r="DL974" t="str">
        <f>""</f>
        <v/>
      </c>
      <c r="DM974" t="str">
        <f>""</f>
        <v/>
      </c>
      <c r="DN974" t="str">
        <f>""</f>
        <v/>
      </c>
      <c r="DO974" t="str">
        <f>""</f>
        <v/>
      </c>
      <c r="DP974" t="str">
        <f>""</f>
        <v/>
      </c>
      <c r="DQ974" t="str">
        <f>""</f>
        <v/>
      </c>
      <c r="DR974" t="str">
        <f>""</f>
        <v/>
      </c>
      <c r="DS974" t="str">
        <f>""</f>
        <v/>
      </c>
      <c r="DT974" t="str">
        <f>""</f>
        <v/>
      </c>
      <c r="DU974" t="str">
        <f>""</f>
        <v/>
      </c>
    </row>
    <row r="975" spans="1:125" x14ac:dyDescent="0.25">
      <c r="A975" t="str">
        <f>$A$478</f>
        <v xml:space="preserve">    Mazda Motor Corp</v>
      </c>
      <c r="B975" t="str">
        <f>$B$478</f>
        <v>7261 JP Equity</v>
      </c>
      <c r="C975" t="str">
        <f>$C$478</f>
        <v>RR902</v>
      </c>
      <c r="D975" t="str">
        <f>$D$478</f>
        <v>CUR_MKT_CAP</v>
      </c>
      <c r="E975" t="str">
        <f>$E$478</f>
        <v>Dynamic</v>
      </c>
      <c r="F975" t="str">
        <f ca="1">_xll.BDH($B$478,$C$478,$B$509,$B$510,CONCATENATE("Per=",$B$507),"Dts=H","Dir=H",CONCATENATE("Points=",$B$508),"Sort=R","Days=A","Fill=B",CONCATENATE("FX=", $B$506) )</f>
        <v>#N/A Connection</v>
      </c>
      <c r="BN975" t="str">
        <f>""</f>
        <v/>
      </c>
      <c r="BO975" t="str">
        <f>""</f>
        <v/>
      </c>
      <c r="BP975" t="str">
        <f>""</f>
        <v/>
      </c>
      <c r="BQ975" t="str">
        <f>""</f>
        <v/>
      </c>
      <c r="BR975" t="str">
        <f>""</f>
        <v/>
      </c>
      <c r="BS975" t="str">
        <f>""</f>
        <v/>
      </c>
      <c r="BT975" t="str">
        <f>""</f>
        <v/>
      </c>
      <c r="BU975" t="str">
        <f>""</f>
        <v/>
      </c>
      <c r="BV975" t="str">
        <f>""</f>
        <v/>
      </c>
      <c r="BW975" t="str">
        <f>""</f>
        <v/>
      </c>
      <c r="BX975" t="str">
        <f>""</f>
        <v/>
      </c>
      <c r="BY975" t="str">
        <f>""</f>
        <v/>
      </c>
      <c r="BZ975" t="str">
        <f>""</f>
        <v/>
      </c>
      <c r="CA975" t="str">
        <f>""</f>
        <v/>
      </c>
      <c r="CB975" t="str">
        <f>""</f>
        <v/>
      </c>
      <c r="CC975" t="str">
        <f>""</f>
        <v/>
      </c>
      <c r="CD975" t="str">
        <f>""</f>
        <v/>
      </c>
      <c r="CE975" t="str">
        <f>""</f>
        <v/>
      </c>
      <c r="CF975" t="str">
        <f>""</f>
        <v/>
      </c>
      <c r="CG975" t="str">
        <f>""</f>
        <v/>
      </c>
      <c r="CH975" t="str">
        <f>""</f>
        <v/>
      </c>
      <c r="CI975" t="str">
        <f>""</f>
        <v/>
      </c>
      <c r="CJ975" t="str">
        <f>""</f>
        <v/>
      </c>
      <c r="CK975" t="str">
        <f>""</f>
        <v/>
      </c>
      <c r="CL975" t="str">
        <f>""</f>
        <v/>
      </c>
      <c r="CM975" t="str">
        <f>""</f>
        <v/>
      </c>
      <c r="CN975" t="str">
        <f>""</f>
        <v/>
      </c>
      <c r="CO975" t="str">
        <f>""</f>
        <v/>
      </c>
      <c r="CP975" t="str">
        <f>""</f>
        <v/>
      </c>
      <c r="CQ975" t="str">
        <f>""</f>
        <v/>
      </c>
      <c r="CR975" t="str">
        <f>""</f>
        <v/>
      </c>
      <c r="CS975" t="str">
        <f>""</f>
        <v/>
      </c>
      <c r="CT975" t="str">
        <f>""</f>
        <v/>
      </c>
      <c r="CU975" t="str">
        <f>""</f>
        <v/>
      </c>
      <c r="CV975" t="str">
        <f>""</f>
        <v/>
      </c>
      <c r="CW975" t="str">
        <f>""</f>
        <v/>
      </c>
      <c r="CX975" t="str">
        <f>""</f>
        <v/>
      </c>
      <c r="CY975" t="str">
        <f>""</f>
        <v/>
      </c>
      <c r="CZ975" t="str">
        <f>""</f>
        <v/>
      </c>
      <c r="DA975" t="str">
        <f>""</f>
        <v/>
      </c>
      <c r="DB975" t="str">
        <f>""</f>
        <v/>
      </c>
      <c r="DC975" t="str">
        <f>""</f>
        <v/>
      </c>
      <c r="DD975" t="str">
        <f>""</f>
        <v/>
      </c>
      <c r="DE975" t="str">
        <f>""</f>
        <v/>
      </c>
      <c r="DF975" t="str">
        <f>""</f>
        <v/>
      </c>
      <c r="DG975" t="str">
        <f>""</f>
        <v/>
      </c>
      <c r="DH975" t="str">
        <f>""</f>
        <v/>
      </c>
      <c r="DI975" t="str">
        <f>""</f>
        <v/>
      </c>
      <c r="DJ975" t="str">
        <f>""</f>
        <v/>
      </c>
      <c r="DK975" t="str">
        <f>""</f>
        <v/>
      </c>
      <c r="DL975" t="str">
        <f>""</f>
        <v/>
      </c>
      <c r="DM975" t="str">
        <f>""</f>
        <v/>
      </c>
      <c r="DN975" t="str">
        <f>""</f>
        <v/>
      </c>
      <c r="DO975" t="str">
        <f>""</f>
        <v/>
      </c>
      <c r="DP975" t="str">
        <f>""</f>
        <v/>
      </c>
      <c r="DQ975" t="str">
        <f>""</f>
        <v/>
      </c>
      <c r="DR975" t="str">
        <f>""</f>
        <v/>
      </c>
      <c r="DS975" t="str">
        <f>""</f>
        <v/>
      </c>
      <c r="DT975" t="str">
        <f>""</f>
        <v/>
      </c>
      <c r="DU975" t="str">
        <f>""</f>
        <v/>
      </c>
    </row>
    <row r="976" spans="1:125" x14ac:dyDescent="0.25">
      <c r="A976" t="str">
        <f>$A$479</f>
        <v xml:space="preserve">    Mitsubishi Motors Corp</v>
      </c>
      <c r="B976" t="str">
        <f>$B$479</f>
        <v>7211 JP Equity</v>
      </c>
      <c r="C976" t="str">
        <f>$C$479</f>
        <v>RR902</v>
      </c>
      <c r="D976" t="str">
        <f>$D$479</f>
        <v>CUR_MKT_CAP</v>
      </c>
      <c r="E976" t="str">
        <f>$E$479</f>
        <v>Dynamic</v>
      </c>
      <c r="F976" t="str">
        <f ca="1">_xll.BDH($B$479,$C$479,$B$509,$B$510,CONCATENATE("Per=",$B$507),"Dts=H","Dir=H",CONCATENATE("Points=",$B$508),"Sort=R","Days=A","Fill=B",CONCATENATE("FX=", $B$506) )</f>
        <v>#N/A Connection</v>
      </c>
      <c r="BN976" t="str">
        <f>""</f>
        <v/>
      </c>
      <c r="BO976" t="str">
        <f>""</f>
        <v/>
      </c>
      <c r="BP976" t="str">
        <f>""</f>
        <v/>
      </c>
      <c r="BQ976" t="str">
        <f>""</f>
        <v/>
      </c>
      <c r="BR976" t="str">
        <f>""</f>
        <v/>
      </c>
      <c r="BS976" t="str">
        <f>""</f>
        <v/>
      </c>
      <c r="BT976" t="str">
        <f>""</f>
        <v/>
      </c>
      <c r="BU976" t="str">
        <f>""</f>
        <v/>
      </c>
      <c r="BV976" t="str">
        <f>""</f>
        <v/>
      </c>
      <c r="BW976" t="str">
        <f>""</f>
        <v/>
      </c>
      <c r="BX976" t="str">
        <f>""</f>
        <v/>
      </c>
      <c r="BY976" t="str">
        <f>""</f>
        <v/>
      </c>
      <c r="BZ976" t="str">
        <f>""</f>
        <v/>
      </c>
      <c r="CA976" t="str">
        <f>""</f>
        <v/>
      </c>
      <c r="CB976" t="str">
        <f>""</f>
        <v/>
      </c>
      <c r="CC976" t="str">
        <f>""</f>
        <v/>
      </c>
      <c r="CD976" t="str">
        <f>""</f>
        <v/>
      </c>
      <c r="CE976" t="str">
        <f>""</f>
        <v/>
      </c>
      <c r="CF976" t="str">
        <f>""</f>
        <v/>
      </c>
      <c r="CG976" t="str">
        <f>""</f>
        <v/>
      </c>
      <c r="CH976" t="str">
        <f>""</f>
        <v/>
      </c>
      <c r="CI976" t="str">
        <f>""</f>
        <v/>
      </c>
      <c r="CJ976" t="str">
        <f>""</f>
        <v/>
      </c>
      <c r="CK976" t="str">
        <f>""</f>
        <v/>
      </c>
      <c r="CL976" t="str">
        <f>""</f>
        <v/>
      </c>
      <c r="CM976" t="str">
        <f>""</f>
        <v/>
      </c>
      <c r="CN976" t="str">
        <f>""</f>
        <v/>
      </c>
      <c r="CO976" t="str">
        <f>""</f>
        <v/>
      </c>
      <c r="CP976" t="str">
        <f>""</f>
        <v/>
      </c>
      <c r="CQ976" t="str">
        <f>""</f>
        <v/>
      </c>
      <c r="CR976" t="str">
        <f>""</f>
        <v/>
      </c>
      <c r="CS976" t="str">
        <f>""</f>
        <v/>
      </c>
      <c r="CT976" t="str">
        <f>""</f>
        <v/>
      </c>
      <c r="CU976" t="str">
        <f>""</f>
        <v/>
      </c>
      <c r="CV976" t="str">
        <f>""</f>
        <v/>
      </c>
      <c r="CW976" t="str">
        <f>""</f>
        <v/>
      </c>
      <c r="CX976" t="str">
        <f>""</f>
        <v/>
      </c>
      <c r="CY976" t="str">
        <f>""</f>
        <v/>
      </c>
      <c r="CZ976" t="str">
        <f>""</f>
        <v/>
      </c>
      <c r="DA976" t="str">
        <f>""</f>
        <v/>
      </c>
      <c r="DB976" t="str">
        <f>""</f>
        <v/>
      </c>
      <c r="DC976" t="str">
        <f>""</f>
        <v/>
      </c>
      <c r="DD976" t="str">
        <f>""</f>
        <v/>
      </c>
      <c r="DE976" t="str">
        <f>""</f>
        <v/>
      </c>
      <c r="DF976" t="str">
        <f>""</f>
        <v/>
      </c>
      <c r="DG976" t="str">
        <f>""</f>
        <v/>
      </c>
      <c r="DH976" t="str">
        <f>""</f>
        <v/>
      </c>
      <c r="DI976" t="str">
        <f>""</f>
        <v/>
      </c>
      <c r="DJ976" t="str">
        <f>""</f>
        <v/>
      </c>
      <c r="DK976" t="str">
        <f>""</f>
        <v/>
      </c>
      <c r="DL976" t="str">
        <f>""</f>
        <v/>
      </c>
      <c r="DM976" t="str">
        <f>""</f>
        <v/>
      </c>
      <c r="DN976" t="str">
        <f>""</f>
        <v/>
      </c>
      <c r="DO976" t="str">
        <f>""</f>
        <v/>
      </c>
      <c r="DP976" t="str">
        <f>""</f>
        <v/>
      </c>
      <c r="DQ976" t="str">
        <f>""</f>
        <v/>
      </c>
      <c r="DR976" t="str">
        <f>""</f>
        <v/>
      </c>
      <c r="DS976" t="str">
        <f>""</f>
        <v/>
      </c>
      <c r="DT976" t="str">
        <f>""</f>
        <v/>
      </c>
      <c r="DU976" t="str">
        <f>""</f>
        <v/>
      </c>
    </row>
    <row r="977" spans="1:125" x14ac:dyDescent="0.25">
      <c r="A977" t="str">
        <f>$A$480</f>
        <v xml:space="preserve">    Nissan Motor Co Ltd</v>
      </c>
      <c r="B977" t="str">
        <f>$B$480</f>
        <v>7201 JP Equity</v>
      </c>
      <c r="C977" t="str">
        <f>$C$480</f>
        <v>RR902</v>
      </c>
      <c r="D977" t="str">
        <f>$D$480</f>
        <v>CUR_MKT_CAP</v>
      </c>
      <c r="E977" t="str">
        <f>$E$480</f>
        <v>Dynamic</v>
      </c>
      <c r="F977" t="str">
        <f ca="1">_xll.BDH($B$480,$C$480,$B$509,$B$510,CONCATENATE("Per=",$B$507),"Dts=H","Dir=H",CONCATENATE("Points=",$B$508),"Sort=R","Days=A","Fill=B",CONCATENATE("FX=", $B$506) )</f>
        <v>#N/A Connection</v>
      </c>
      <c r="BN977" t="str">
        <f>""</f>
        <v/>
      </c>
      <c r="BO977" t="str">
        <f>""</f>
        <v/>
      </c>
      <c r="BP977" t="str">
        <f>""</f>
        <v/>
      </c>
      <c r="BQ977" t="str">
        <f>""</f>
        <v/>
      </c>
      <c r="BR977" t="str">
        <f>""</f>
        <v/>
      </c>
      <c r="BS977" t="str">
        <f>""</f>
        <v/>
      </c>
      <c r="BT977" t="str">
        <f>""</f>
        <v/>
      </c>
      <c r="BU977" t="str">
        <f>""</f>
        <v/>
      </c>
      <c r="BV977" t="str">
        <f>""</f>
        <v/>
      </c>
      <c r="BW977" t="str">
        <f>""</f>
        <v/>
      </c>
      <c r="BX977" t="str">
        <f>""</f>
        <v/>
      </c>
      <c r="BY977" t="str">
        <f>""</f>
        <v/>
      </c>
      <c r="BZ977" t="str">
        <f>""</f>
        <v/>
      </c>
      <c r="CA977" t="str">
        <f>""</f>
        <v/>
      </c>
      <c r="CB977" t="str">
        <f>""</f>
        <v/>
      </c>
      <c r="CC977" t="str">
        <f>""</f>
        <v/>
      </c>
      <c r="CD977" t="str">
        <f>""</f>
        <v/>
      </c>
      <c r="CE977" t="str">
        <f>""</f>
        <v/>
      </c>
      <c r="CF977" t="str">
        <f>""</f>
        <v/>
      </c>
      <c r="CG977" t="str">
        <f>""</f>
        <v/>
      </c>
      <c r="CH977" t="str">
        <f>""</f>
        <v/>
      </c>
      <c r="CI977" t="str">
        <f>""</f>
        <v/>
      </c>
      <c r="CJ977" t="str">
        <f>""</f>
        <v/>
      </c>
      <c r="CK977" t="str">
        <f>""</f>
        <v/>
      </c>
      <c r="CL977" t="str">
        <f>""</f>
        <v/>
      </c>
      <c r="CM977" t="str">
        <f>""</f>
        <v/>
      </c>
      <c r="CN977" t="str">
        <f>""</f>
        <v/>
      </c>
      <c r="CO977" t="str">
        <f>""</f>
        <v/>
      </c>
      <c r="CP977" t="str">
        <f>""</f>
        <v/>
      </c>
      <c r="CQ977" t="str">
        <f>""</f>
        <v/>
      </c>
      <c r="CR977" t="str">
        <f>""</f>
        <v/>
      </c>
      <c r="CS977" t="str">
        <f>""</f>
        <v/>
      </c>
      <c r="CT977" t="str">
        <f>""</f>
        <v/>
      </c>
      <c r="CU977" t="str">
        <f>""</f>
        <v/>
      </c>
      <c r="CV977" t="str">
        <f>""</f>
        <v/>
      </c>
      <c r="CW977" t="str">
        <f>""</f>
        <v/>
      </c>
      <c r="CX977" t="str">
        <f>""</f>
        <v/>
      </c>
      <c r="CY977" t="str">
        <f>""</f>
        <v/>
      </c>
      <c r="CZ977" t="str">
        <f>""</f>
        <v/>
      </c>
      <c r="DA977" t="str">
        <f>""</f>
        <v/>
      </c>
      <c r="DB977" t="str">
        <f>""</f>
        <v/>
      </c>
      <c r="DC977" t="str">
        <f>""</f>
        <v/>
      </c>
      <c r="DD977" t="str">
        <f>""</f>
        <v/>
      </c>
      <c r="DE977" t="str">
        <f>""</f>
        <v/>
      </c>
      <c r="DF977" t="str">
        <f>""</f>
        <v/>
      </c>
      <c r="DG977" t="str">
        <f>""</f>
        <v/>
      </c>
      <c r="DH977" t="str">
        <f>""</f>
        <v/>
      </c>
      <c r="DI977" t="str">
        <f>""</f>
        <v/>
      </c>
      <c r="DJ977" t="str">
        <f>""</f>
        <v/>
      </c>
      <c r="DK977" t="str">
        <f>""</f>
        <v/>
      </c>
      <c r="DL977" t="str">
        <f>""</f>
        <v/>
      </c>
      <c r="DM977" t="str">
        <f>""</f>
        <v/>
      </c>
      <c r="DN977" t="str">
        <f>""</f>
        <v/>
      </c>
      <c r="DO977" t="str">
        <f>""</f>
        <v/>
      </c>
      <c r="DP977" t="str">
        <f>""</f>
        <v/>
      </c>
      <c r="DQ977" t="str">
        <f>""</f>
        <v/>
      </c>
      <c r="DR977" t="str">
        <f>""</f>
        <v/>
      </c>
      <c r="DS977" t="str">
        <f>""</f>
        <v/>
      </c>
      <c r="DT977" t="str">
        <f>""</f>
        <v/>
      </c>
      <c r="DU977" t="str">
        <f>""</f>
        <v/>
      </c>
    </row>
    <row r="978" spans="1:125" x14ac:dyDescent="0.25">
      <c r="A978" t="str">
        <f>$A$481</f>
        <v xml:space="preserve">    Peugeot SA</v>
      </c>
      <c r="B978" t="str">
        <f>$B$481</f>
        <v>UG FP Equity</v>
      </c>
      <c r="C978" t="str">
        <f>$C$481</f>
        <v>RR902</v>
      </c>
      <c r="D978" t="str">
        <f>$D$481</f>
        <v>CUR_MKT_CAP</v>
      </c>
      <c r="E978" t="str">
        <f>$E$481</f>
        <v>Dynamic</v>
      </c>
      <c r="F978" t="str">
        <f ca="1">_xll.BDH($B$481,$C$481,$B$509,$B$510,CONCATENATE("Per=",$B$507),"Dts=H","Dir=H",CONCATENATE("Points=",$B$508),"Sort=R","Days=A","Fill=B",CONCATENATE("FX=", $B$506) )</f>
        <v>#N/A Connection</v>
      </c>
      <c r="BN978" t="str">
        <f>""</f>
        <v/>
      </c>
      <c r="BO978" t="str">
        <f>""</f>
        <v/>
      </c>
      <c r="BP978" t="str">
        <f>""</f>
        <v/>
      </c>
      <c r="BQ978" t="str">
        <f>""</f>
        <v/>
      </c>
      <c r="BR978" t="str">
        <f>""</f>
        <v/>
      </c>
      <c r="BS978" t="str">
        <f>""</f>
        <v/>
      </c>
      <c r="BT978" t="str">
        <f>""</f>
        <v/>
      </c>
      <c r="BU978" t="str">
        <f>""</f>
        <v/>
      </c>
      <c r="BV978" t="str">
        <f>""</f>
        <v/>
      </c>
      <c r="BW978" t="str">
        <f>""</f>
        <v/>
      </c>
      <c r="BX978" t="str">
        <f>""</f>
        <v/>
      </c>
      <c r="BY978" t="str">
        <f>""</f>
        <v/>
      </c>
      <c r="BZ978" t="str">
        <f>""</f>
        <v/>
      </c>
      <c r="CA978" t="str">
        <f>""</f>
        <v/>
      </c>
      <c r="CB978" t="str">
        <f>""</f>
        <v/>
      </c>
      <c r="CC978" t="str">
        <f>""</f>
        <v/>
      </c>
      <c r="CD978" t="str">
        <f>""</f>
        <v/>
      </c>
      <c r="CE978" t="str">
        <f>""</f>
        <v/>
      </c>
      <c r="CF978" t="str">
        <f>""</f>
        <v/>
      </c>
      <c r="CG978" t="str">
        <f>""</f>
        <v/>
      </c>
      <c r="CH978" t="str">
        <f>""</f>
        <v/>
      </c>
      <c r="CI978" t="str">
        <f>""</f>
        <v/>
      </c>
      <c r="CJ978" t="str">
        <f>""</f>
        <v/>
      </c>
      <c r="CK978" t="str">
        <f>""</f>
        <v/>
      </c>
      <c r="CL978" t="str">
        <f>""</f>
        <v/>
      </c>
      <c r="CM978" t="str">
        <f>""</f>
        <v/>
      </c>
      <c r="CN978" t="str">
        <f>""</f>
        <v/>
      </c>
      <c r="CO978" t="str">
        <f>""</f>
        <v/>
      </c>
      <c r="CP978" t="str">
        <f>""</f>
        <v/>
      </c>
      <c r="CQ978" t="str">
        <f>""</f>
        <v/>
      </c>
      <c r="CR978" t="str">
        <f>""</f>
        <v/>
      </c>
      <c r="CS978" t="str">
        <f>""</f>
        <v/>
      </c>
      <c r="CT978" t="str">
        <f>""</f>
        <v/>
      </c>
      <c r="CU978" t="str">
        <f>""</f>
        <v/>
      </c>
      <c r="CV978" t="str">
        <f>""</f>
        <v/>
      </c>
      <c r="CW978" t="str">
        <f>""</f>
        <v/>
      </c>
      <c r="CX978" t="str">
        <f>""</f>
        <v/>
      </c>
      <c r="CY978" t="str">
        <f>""</f>
        <v/>
      </c>
      <c r="CZ978" t="str">
        <f>""</f>
        <v/>
      </c>
      <c r="DA978" t="str">
        <f>""</f>
        <v/>
      </c>
      <c r="DB978" t="str">
        <f>""</f>
        <v/>
      </c>
      <c r="DC978" t="str">
        <f>""</f>
        <v/>
      </c>
      <c r="DD978" t="str">
        <f>""</f>
        <v/>
      </c>
      <c r="DE978" t="str">
        <f>""</f>
        <v/>
      </c>
      <c r="DF978" t="str">
        <f>""</f>
        <v/>
      </c>
      <c r="DG978" t="str">
        <f>""</f>
        <v/>
      </c>
      <c r="DH978" t="str">
        <f>""</f>
        <v/>
      </c>
      <c r="DI978" t="str">
        <f>""</f>
        <v/>
      </c>
      <c r="DJ978" t="str">
        <f>""</f>
        <v/>
      </c>
      <c r="DK978" t="str">
        <f>""</f>
        <v/>
      </c>
      <c r="DL978" t="str">
        <f>""</f>
        <v/>
      </c>
      <c r="DM978" t="str">
        <f>""</f>
        <v/>
      </c>
      <c r="DN978" t="str">
        <f>""</f>
        <v/>
      </c>
      <c r="DO978" t="str">
        <f>""</f>
        <v/>
      </c>
      <c r="DP978" t="str">
        <f>""</f>
        <v/>
      </c>
      <c r="DQ978" t="str">
        <f>""</f>
        <v/>
      </c>
      <c r="DR978" t="str">
        <f>""</f>
        <v/>
      </c>
      <c r="DS978" t="str">
        <f>""</f>
        <v/>
      </c>
      <c r="DT978" t="str">
        <f>""</f>
        <v/>
      </c>
      <c r="DU978" t="str">
        <f>""</f>
        <v/>
      </c>
    </row>
    <row r="979" spans="1:125" x14ac:dyDescent="0.25">
      <c r="A979" t="str">
        <f>$A$482</f>
        <v xml:space="preserve">    Renault SA</v>
      </c>
      <c r="B979" t="str">
        <f>$B$482</f>
        <v>RNO FP Equity</v>
      </c>
      <c r="C979" t="str">
        <f>$C$482</f>
        <v>RR902</v>
      </c>
      <c r="D979" t="str">
        <f>$D$482</f>
        <v>CUR_MKT_CAP</v>
      </c>
      <c r="E979" t="str">
        <f>$E$482</f>
        <v>Dynamic</v>
      </c>
      <c r="F979" t="str">
        <f ca="1">_xll.BDH($B$482,$C$482,$B$509,$B$510,CONCATENATE("Per=",$B$507),"Dts=H","Dir=H",CONCATENATE("Points=",$B$508),"Sort=R","Days=A","Fill=B",CONCATENATE("FX=", $B$506) )</f>
        <v>#N/A Connection</v>
      </c>
      <c r="BN979" t="str">
        <f>""</f>
        <v/>
      </c>
      <c r="BO979" t="str">
        <f>""</f>
        <v/>
      </c>
      <c r="BP979" t="str">
        <f>""</f>
        <v/>
      </c>
      <c r="BQ979" t="str">
        <f>""</f>
        <v/>
      </c>
      <c r="BR979" t="str">
        <f>""</f>
        <v/>
      </c>
      <c r="BS979" t="str">
        <f>""</f>
        <v/>
      </c>
      <c r="BT979" t="str">
        <f>""</f>
        <v/>
      </c>
      <c r="BU979" t="str">
        <f>""</f>
        <v/>
      </c>
      <c r="BV979" t="str">
        <f>""</f>
        <v/>
      </c>
      <c r="BW979" t="str">
        <f>""</f>
        <v/>
      </c>
      <c r="BX979" t="str">
        <f>""</f>
        <v/>
      </c>
      <c r="BY979" t="str">
        <f>""</f>
        <v/>
      </c>
      <c r="BZ979" t="str">
        <f>""</f>
        <v/>
      </c>
      <c r="CA979" t="str">
        <f>""</f>
        <v/>
      </c>
      <c r="CB979" t="str">
        <f>""</f>
        <v/>
      </c>
      <c r="CC979" t="str">
        <f>""</f>
        <v/>
      </c>
      <c r="CD979" t="str">
        <f>""</f>
        <v/>
      </c>
      <c r="CE979" t="str">
        <f>""</f>
        <v/>
      </c>
      <c r="CF979" t="str">
        <f>""</f>
        <v/>
      </c>
      <c r="CG979" t="str">
        <f>""</f>
        <v/>
      </c>
      <c r="CH979" t="str">
        <f>""</f>
        <v/>
      </c>
      <c r="CI979" t="str">
        <f>""</f>
        <v/>
      </c>
      <c r="CJ979" t="str">
        <f>""</f>
        <v/>
      </c>
      <c r="CK979" t="str">
        <f>""</f>
        <v/>
      </c>
      <c r="CL979" t="str">
        <f>""</f>
        <v/>
      </c>
      <c r="CM979" t="str">
        <f>""</f>
        <v/>
      </c>
      <c r="CN979" t="str">
        <f>""</f>
        <v/>
      </c>
      <c r="CO979" t="str">
        <f>""</f>
        <v/>
      </c>
      <c r="CP979" t="str">
        <f>""</f>
        <v/>
      </c>
      <c r="CQ979" t="str">
        <f>""</f>
        <v/>
      </c>
      <c r="CR979" t="str">
        <f>""</f>
        <v/>
      </c>
      <c r="CS979" t="str">
        <f>""</f>
        <v/>
      </c>
      <c r="CT979" t="str">
        <f>""</f>
        <v/>
      </c>
      <c r="CU979" t="str">
        <f>""</f>
        <v/>
      </c>
      <c r="CV979" t="str">
        <f>""</f>
        <v/>
      </c>
      <c r="CW979" t="str">
        <f>""</f>
        <v/>
      </c>
      <c r="CX979" t="str">
        <f>""</f>
        <v/>
      </c>
      <c r="CY979" t="str">
        <f>""</f>
        <v/>
      </c>
      <c r="CZ979" t="str">
        <f>""</f>
        <v/>
      </c>
      <c r="DA979" t="str">
        <f>""</f>
        <v/>
      </c>
      <c r="DB979" t="str">
        <f>""</f>
        <v/>
      </c>
      <c r="DC979" t="str">
        <f>""</f>
        <v/>
      </c>
      <c r="DD979" t="str">
        <f>""</f>
        <v/>
      </c>
      <c r="DE979" t="str">
        <f>""</f>
        <v/>
      </c>
      <c r="DF979" t="str">
        <f>""</f>
        <v/>
      </c>
      <c r="DG979" t="str">
        <f>""</f>
        <v/>
      </c>
      <c r="DH979" t="str">
        <f>""</f>
        <v/>
      </c>
      <c r="DI979" t="str">
        <f>""</f>
        <v/>
      </c>
      <c r="DJ979" t="str">
        <f>""</f>
        <v/>
      </c>
      <c r="DK979" t="str">
        <f>""</f>
        <v/>
      </c>
      <c r="DL979" t="str">
        <f>""</f>
        <v/>
      </c>
      <c r="DM979" t="str">
        <f>""</f>
        <v/>
      </c>
      <c r="DN979" t="str">
        <f>""</f>
        <v/>
      </c>
      <c r="DO979" t="str">
        <f>""</f>
        <v/>
      </c>
      <c r="DP979" t="str">
        <f>""</f>
        <v/>
      </c>
      <c r="DQ979" t="str">
        <f>""</f>
        <v/>
      </c>
      <c r="DR979" t="str">
        <f>""</f>
        <v/>
      </c>
      <c r="DS979" t="str">
        <f>""</f>
        <v/>
      </c>
      <c r="DT979" t="str">
        <f>""</f>
        <v/>
      </c>
      <c r="DU979" t="str">
        <f>""</f>
        <v/>
      </c>
    </row>
    <row r="980" spans="1:125" x14ac:dyDescent="0.25">
      <c r="A980" t="str">
        <f>$A$483</f>
        <v xml:space="preserve">    SAIC Motor Corp Ltd</v>
      </c>
      <c r="B980" t="str">
        <f>$B$483</f>
        <v>600104 CH Equity</v>
      </c>
      <c r="C980" t="str">
        <f>$C$483</f>
        <v>RR902</v>
      </c>
      <c r="D980" t="str">
        <f>$D$483</f>
        <v>CUR_MKT_CAP</v>
      </c>
      <c r="E980" t="str">
        <f>$E$483</f>
        <v>Dynamic</v>
      </c>
      <c r="F980" t="str">
        <f ca="1">_xll.BDH($B$483,$C$483,$B$509,$B$510,CONCATENATE("Per=",$B$507),"Dts=H","Dir=H",CONCATENATE("Points=",$B$508),"Sort=R","Days=A","Fill=B",CONCATENATE("FX=", $B$506) )</f>
        <v>#N/A Connection</v>
      </c>
      <c r="BN980" t="str">
        <f>""</f>
        <v/>
      </c>
      <c r="BO980" t="str">
        <f>""</f>
        <v/>
      </c>
      <c r="BP980" t="str">
        <f>""</f>
        <v/>
      </c>
      <c r="BQ980" t="str">
        <f>""</f>
        <v/>
      </c>
      <c r="BR980" t="str">
        <f>""</f>
        <v/>
      </c>
      <c r="BS980" t="str">
        <f>""</f>
        <v/>
      </c>
      <c r="BT980" t="str">
        <f>""</f>
        <v/>
      </c>
      <c r="BU980" t="str">
        <f>""</f>
        <v/>
      </c>
      <c r="BV980" t="str">
        <f>""</f>
        <v/>
      </c>
      <c r="BW980" t="str">
        <f>""</f>
        <v/>
      </c>
      <c r="BX980" t="str">
        <f>""</f>
        <v/>
      </c>
      <c r="BY980" t="str">
        <f>""</f>
        <v/>
      </c>
      <c r="BZ980" t="str">
        <f>""</f>
        <v/>
      </c>
      <c r="CA980" t="str">
        <f>""</f>
        <v/>
      </c>
      <c r="CB980" t="str">
        <f>""</f>
        <v/>
      </c>
      <c r="CC980" t="str">
        <f>""</f>
        <v/>
      </c>
      <c r="CD980" t="str">
        <f>""</f>
        <v/>
      </c>
      <c r="CE980" t="str">
        <f>""</f>
        <v/>
      </c>
      <c r="CF980" t="str">
        <f>""</f>
        <v/>
      </c>
      <c r="CG980" t="str">
        <f>""</f>
        <v/>
      </c>
      <c r="CH980" t="str">
        <f>""</f>
        <v/>
      </c>
      <c r="CI980" t="str">
        <f>""</f>
        <v/>
      </c>
      <c r="CJ980" t="str">
        <f>""</f>
        <v/>
      </c>
      <c r="CK980" t="str">
        <f>""</f>
        <v/>
      </c>
      <c r="CL980" t="str">
        <f>""</f>
        <v/>
      </c>
      <c r="CM980" t="str">
        <f>""</f>
        <v/>
      </c>
      <c r="CN980" t="str">
        <f>""</f>
        <v/>
      </c>
      <c r="CO980" t="str">
        <f>""</f>
        <v/>
      </c>
      <c r="CP980" t="str">
        <f>""</f>
        <v/>
      </c>
      <c r="CQ980" t="str">
        <f>""</f>
        <v/>
      </c>
      <c r="CR980" t="str">
        <f>""</f>
        <v/>
      </c>
      <c r="CS980" t="str">
        <f>""</f>
        <v/>
      </c>
      <c r="CT980" t="str">
        <f>""</f>
        <v/>
      </c>
      <c r="CU980" t="str">
        <f>""</f>
        <v/>
      </c>
      <c r="CV980" t="str">
        <f>""</f>
        <v/>
      </c>
      <c r="CW980" t="str">
        <f>""</f>
        <v/>
      </c>
      <c r="CX980" t="str">
        <f>""</f>
        <v/>
      </c>
      <c r="CY980" t="str">
        <f>""</f>
        <v/>
      </c>
      <c r="CZ980" t="str">
        <f>""</f>
        <v/>
      </c>
      <c r="DA980" t="str">
        <f>""</f>
        <v/>
      </c>
      <c r="DB980" t="str">
        <f>""</f>
        <v/>
      </c>
      <c r="DC980" t="str">
        <f>""</f>
        <v/>
      </c>
      <c r="DD980" t="str">
        <f>""</f>
        <v/>
      </c>
      <c r="DE980" t="str">
        <f>""</f>
        <v/>
      </c>
      <c r="DF980" t="str">
        <f>""</f>
        <v/>
      </c>
      <c r="DG980" t="str">
        <f>""</f>
        <v/>
      </c>
      <c r="DH980" t="str">
        <f>""</f>
        <v/>
      </c>
      <c r="DI980" t="str">
        <f>""</f>
        <v/>
      </c>
      <c r="DJ980" t="str">
        <f>""</f>
        <v/>
      </c>
      <c r="DK980" t="str">
        <f>""</f>
        <v/>
      </c>
      <c r="DL980" t="str">
        <f>""</f>
        <v/>
      </c>
      <c r="DM980" t="str">
        <f>""</f>
        <v/>
      </c>
      <c r="DN980" t="str">
        <f>""</f>
        <v/>
      </c>
      <c r="DO980" t="str">
        <f>""</f>
        <v/>
      </c>
      <c r="DP980" t="str">
        <f>""</f>
        <v/>
      </c>
      <c r="DQ980" t="str">
        <f>""</f>
        <v/>
      </c>
      <c r="DR980" t="str">
        <f>""</f>
        <v/>
      </c>
      <c r="DS980" t="str">
        <f>""</f>
        <v/>
      </c>
      <c r="DT980" t="str">
        <f>""</f>
        <v/>
      </c>
      <c r="DU980" t="str">
        <f>""</f>
        <v/>
      </c>
    </row>
    <row r="981" spans="1:125" x14ac:dyDescent="0.25">
      <c r="A981" t="str">
        <f>$A$484</f>
        <v xml:space="preserve">    Sanyang Motor Co Ltd</v>
      </c>
      <c r="B981" t="str">
        <f>$B$484</f>
        <v>2206 TT Equity</v>
      </c>
      <c r="C981" t="str">
        <f>$C$484</f>
        <v>RR902</v>
      </c>
      <c r="D981" t="str">
        <f>$D$484</f>
        <v>CUR_MKT_CAP</v>
      </c>
      <c r="E981" t="str">
        <f>$E$484</f>
        <v>Dynamic</v>
      </c>
      <c r="F981" t="str">
        <f ca="1">_xll.BDH($B$484,$C$484,$B$509,$B$510,CONCATENATE("Per=",$B$507),"Dts=H","Dir=H",CONCATENATE("Points=",$B$508),"Sort=R","Days=A","Fill=B",CONCATENATE("FX=", $B$506) )</f>
        <v>#N/A Connection</v>
      </c>
      <c r="BN981" t="str">
        <f>""</f>
        <v/>
      </c>
      <c r="BO981" t="str">
        <f>""</f>
        <v/>
      </c>
      <c r="BP981" t="str">
        <f>""</f>
        <v/>
      </c>
      <c r="BQ981" t="str">
        <f>""</f>
        <v/>
      </c>
      <c r="BR981" t="str">
        <f>""</f>
        <v/>
      </c>
      <c r="BS981" t="str">
        <f>""</f>
        <v/>
      </c>
      <c r="BT981" t="str">
        <f>""</f>
        <v/>
      </c>
      <c r="BU981" t="str">
        <f>""</f>
        <v/>
      </c>
      <c r="BV981" t="str">
        <f>""</f>
        <v/>
      </c>
      <c r="BW981" t="str">
        <f>""</f>
        <v/>
      </c>
      <c r="BX981" t="str">
        <f>""</f>
        <v/>
      </c>
      <c r="BY981" t="str">
        <f>""</f>
        <v/>
      </c>
      <c r="BZ981" t="str">
        <f>""</f>
        <v/>
      </c>
      <c r="CA981" t="str">
        <f>""</f>
        <v/>
      </c>
      <c r="CB981" t="str">
        <f>""</f>
        <v/>
      </c>
      <c r="CC981" t="str">
        <f>""</f>
        <v/>
      </c>
      <c r="CD981" t="str">
        <f>""</f>
        <v/>
      </c>
      <c r="CE981" t="str">
        <f>""</f>
        <v/>
      </c>
      <c r="CF981" t="str">
        <f>""</f>
        <v/>
      </c>
      <c r="CG981" t="str">
        <f>""</f>
        <v/>
      </c>
      <c r="CH981" t="str">
        <f>""</f>
        <v/>
      </c>
      <c r="CI981" t="str">
        <f>""</f>
        <v/>
      </c>
      <c r="CJ981" t="str">
        <f>""</f>
        <v/>
      </c>
      <c r="CK981" t="str">
        <f>""</f>
        <v/>
      </c>
      <c r="CL981" t="str">
        <f>""</f>
        <v/>
      </c>
      <c r="CM981" t="str">
        <f>""</f>
        <v/>
      </c>
      <c r="CN981" t="str">
        <f>""</f>
        <v/>
      </c>
      <c r="CO981" t="str">
        <f>""</f>
        <v/>
      </c>
      <c r="CP981" t="str">
        <f>""</f>
        <v/>
      </c>
      <c r="CQ981" t="str">
        <f>""</f>
        <v/>
      </c>
      <c r="CR981" t="str">
        <f>""</f>
        <v/>
      </c>
      <c r="CS981" t="str">
        <f>""</f>
        <v/>
      </c>
      <c r="CT981" t="str">
        <f>""</f>
        <v/>
      </c>
      <c r="CU981" t="str">
        <f>""</f>
        <v/>
      </c>
      <c r="CV981" t="str">
        <f>""</f>
        <v/>
      </c>
      <c r="CW981" t="str">
        <f>""</f>
        <v/>
      </c>
      <c r="CX981" t="str">
        <f>""</f>
        <v/>
      </c>
      <c r="CY981" t="str">
        <f>""</f>
        <v/>
      </c>
      <c r="CZ981" t="str">
        <f>""</f>
        <v/>
      </c>
      <c r="DA981" t="str">
        <f>""</f>
        <v/>
      </c>
      <c r="DB981" t="str">
        <f>""</f>
        <v/>
      </c>
      <c r="DC981" t="str">
        <f>""</f>
        <v/>
      </c>
      <c r="DD981" t="str">
        <f>""</f>
        <v/>
      </c>
      <c r="DE981" t="str">
        <f>""</f>
        <v/>
      </c>
      <c r="DF981" t="str">
        <f>""</f>
        <v/>
      </c>
      <c r="DG981" t="str">
        <f>""</f>
        <v/>
      </c>
      <c r="DH981" t="str">
        <f>""</f>
        <v/>
      </c>
      <c r="DI981" t="str">
        <f>""</f>
        <v/>
      </c>
      <c r="DJ981" t="str">
        <f>""</f>
        <v/>
      </c>
      <c r="DK981" t="str">
        <f>""</f>
        <v/>
      </c>
      <c r="DL981" t="str">
        <f>""</f>
        <v/>
      </c>
      <c r="DM981" t="str">
        <f>""</f>
        <v/>
      </c>
      <c r="DN981" t="str">
        <f>""</f>
        <v/>
      </c>
      <c r="DO981" t="str">
        <f>""</f>
        <v/>
      </c>
      <c r="DP981" t="str">
        <f>""</f>
        <v/>
      </c>
      <c r="DQ981" t="str">
        <f>""</f>
        <v/>
      </c>
      <c r="DR981" t="str">
        <f>""</f>
        <v/>
      </c>
      <c r="DS981" t="str">
        <f>""</f>
        <v/>
      </c>
      <c r="DT981" t="str">
        <f>""</f>
        <v/>
      </c>
      <c r="DU981" t="str">
        <f>""</f>
        <v/>
      </c>
    </row>
    <row r="982" spans="1:125" x14ac:dyDescent="0.25">
      <c r="A982" t="str">
        <f>$A$485</f>
        <v xml:space="preserve">    Sollers PJSC</v>
      </c>
      <c r="B982" t="str">
        <f>$B$485</f>
        <v>SVAV RM Equity</v>
      </c>
      <c r="C982" t="str">
        <f>$C$485</f>
        <v>RR902</v>
      </c>
      <c r="D982" t="str">
        <f>$D$485</f>
        <v>CUR_MKT_CAP</v>
      </c>
      <c r="E982" t="str">
        <f>$E$485</f>
        <v>Dynamic</v>
      </c>
      <c r="F982" t="str">
        <f ca="1">_xll.BDH($B$485,$C$485,$B$509,$B$510,CONCATENATE("Per=",$B$507),"Dts=H","Dir=H",CONCATENATE("Points=",$B$508),"Sort=R","Days=A","Fill=B",CONCATENATE("FX=", $B$506) )</f>
        <v>#N/A Connection</v>
      </c>
      <c r="BN982" t="str">
        <f>""</f>
        <v/>
      </c>
      <c r="BO982" t="str">
        <f>""</f>
        <v/>
      </c>
      <c r="BP982" t="str">
        <f>""</f>
        <v/>
      </c>
      <c r="BQ982" t="str">
        <f>""</f>
        <v/>
      </c>
      <c r="BR982" t="str">
        <f>""</f>
        <v/>
      </c>
      <c r="BS982" t="str">
        <f>""</f>
        <v/>
      </c>
      <c r="BT982" t="str">
        <f>""</f>
        <v/>
      </c>
      <c r="BU982" t="str">
        <f>""</f>
        <v/>
      </c>
      <c r="BV982" t="str">
        <f>""</f>
        <v/>
      </c>
      <c r="BW982" t="str">
        <f>""</f>
        <v/>
      </c>
      <c r="BX982" t="str">
        <f>""</f>
        <v/>
      </c>
      <c r="BY982" t="str">
        <f>""</f>
        <v/>
      </c>
      <c r="BZ982" t="str">
        <f>""</f>
        <v/>
      </c>
      <c r="CA982" t="str">
        <f>""</f>
        <v/>
      </c>
      <c r="CB982" t="str">
        <f>""</f>
        <v/>
      </c>
      <c r="CC982" t="str">
        <f>""</f>
        <v/>
      </c>
      <c r="CD982" t="str">
        <f>""</f>
        <v/>
      </c>
      <c r="CE982" t="str">
        <f>""</f>
        <v/>
      </c>
      <c r="CF982" t="str">
        <f>""</f>
        <v/>
      </c>
      <c r="CG982" t="str">
        <f>""</f>
        <v/>
      </c>
      <c r="CH982" t="str">
        <f>""</f>
        <v/>
      </c>
      <c r="CI982" t="str">
        <f>""</f>
        <v/>
      </c>
      <c r="CJ982" t="str">
        <f>""</f>
        <v/>
      </c>
      <c r="CK982" t="str">
        <f>""</f>
        <v/>
      </c>
      <c r="CL982" t="str">
        <f>""</f>
        <v/>
      </c>
      <c r="CM982" t="str">
        <f>""</f>
        <v/>
      </c>
      <c r="CN982" t="str">
        <f>""</f>
        <v/>
      </c>
      <c r="CO982" t="str">
        <f>""</f>
        <v/>
      </c>
      <c r="CP982" t="str">
        <f>""</f>
        <v/>
      </c>
      <c r="CQ982" t="str">
        <f>""</f>
        <v/>
      </c>
      <c r="CR982" t="str">
        <f>""</f>
        <v/>
      </c>
      <c r="CS982" t="str">
        <f>""</f>
        <v/>
      </c>
      <c r="CT982" t="str">
        <f>""</f>
        <v/>
      </c>
      <c r="CU982" t="str">
        <f>""</f>
        <v/>
      </c>
      <c r="CV982" t="str">
        <f>""</f>
        <v/>
      </c>
      <c r="CW982" t="str">
        <f>""</f>
        <v/>
      </c>
      <c r="CX982" t="str">
        <f>""</f>
        <v/>
      </c>
      <c r="CY982" t="str">
        <f>""</f>
        <v/>
      </c>
      <c r="CZ982" t="str">
        <f>""</f>
        <v/>
      </c>
      <c r="DA982" t="str">
        <f>""</f>
        <v/>
      </c>
      <c r="DB982" t="str">
        <f>""</f>
        <v/>
      </c>
      <c r="DC982" t="str">
        <f>""</f>
        <v/>
      </c>
      <c r="DD982" t="str">
        <f>""</f>
        <v/>
      </c>
      <c r="DE982" t="str">
        <f>""</f>
        <v/>
      </c>
      <c r="DF982" t="str">
        <f>""</f>
        <v/>
      </c>
      <c r="DG982" t="str">
        <f>""</f>
        <v/>
      </c>
      <c r="DH982" t="str">
        <f>""</f>
        <v/>
      </c>
      <c r="DI982" t="str">
        <f>""</f>
        <v/>
      </c>
      <c r="DJ982" t="str">
        <f>""</f>
        <v/>
      </c>
      <c r="DK982" t="str">
        <f>""</f>
        <v/>
      </c>
      <c r="DL982" t="str">
        <f>""</f>
        <v/>
      </c>
      <c r="DM982" t="str">
        <f>""</f>
        <v/>
      </c>
      <c r="DN982" t="str">
        <f>""</f>
        <v/>
      </c>
      <c r="DO982" t="str">
        <f>""</f>
        <v/>
      </c>
      <c r="DP982" t="str">
        <f>""</f>
        <v/>
      </c>
      <c r="DQ982" t="str">
        <f>""</f>
        <v/>
      </c>
      <c r="DR982" t="str">
        <f>""</f>
        <v/>
      </c>
      <c r="DS982" t="str">
        <f>""</f>
        <v/>
      </c>
      <c r="DT982" t="str">
        <f>""</f>
        <v/>
      </c>
      <c r="DU982" t="str">
        <f>""</f>
        <v/>
      </c>
    </row>
    <row r="983" spans="1:125" x14ac:dyDescent="0.25">
      <c r="A983" t="str">
        <f>$A$486</f>
        <v xml:space="preserve">    Ssangyong Motor Co</v>
      </c>
      <c r="B983" t="str">
        <f>$B$486</f>
        <v>003620 KS Equity</v>
      </c>
      <c r="C983" t="str">
        <f>$C$486</f>
        <v>RR902</v>
      </c>
      <c r="D983" t="str">
        <f>$D$486</f>
        <v>CUR_MKT_CAP</v>
      </c>
      <c r="E983" t="str">
        <f>$E$486</f>
        <v>Dynamic</v>
      </c>
      <c r="F983" t="str">
        <f ca="1">_xll.BDH($B$486,$C$486,$B$509,$B$510,CONCATENATE("Per=",$B$507),"Dts=H","Dir=H",CONCATENATE("Points=",$B$508),"Sort=R","Days=A","Fill=B",CONCATENATE("FX=", $B$506) )</f>
        <v>#N/A Connection</v>
      </c>
      <c r="BN983" t="str">
        <f>""</f>
        <v/>
      </c>
      <c r="BO983" t="str">
        <f>""</f>
        <v/>
      </c>
      <c r="BP983" t="str">
        <f>""</f>
        <v/>
      </c>
      <c r="BQ983" t="str">
        <f>""</f>
        <v/>
      </c>
      <c r="BR983" t="str">
        <f>""</f>
        <v/>
      </c>
      <c r="BS983" t="str">
        <f>""</f>
        <v/>
      </c>
      <c r="BT983" t="str">
        <f>""</f>
        <v/>
      </c>
      <c r="BU983" t="str">
        <f>""</f>
        <v/>
      </c>
      <c r="BV983" t="str">
        <f>""</f>
        <v/>
      </c>
      <c r="BW983" t="str">
        <f>""</f>
        <v/>
      </c>
      <c r="BX983" t="str">
        <f>""</f>
        <v/>
      </c>
      <c r="BY983" t="str">
        <f>""</f>
        <v/>
      </c>
      <c r="BZ983" t="str">
        <f>""</f>
        <v/>
      </c>
      <c r="CA983" t="str">
        <f>""</f>
        <v/>
      </c>
      <c r="CB983" t="str">
        <f>""</f>
        <v/>
      </c>
      <c r="CC983" t="str">
        <f>""</f>
        <v/>
      </c>
      <c r="CD983" t="str">
        <f>""</f>
        <v/>
      </c>
      <c r="CE983" t="str">
        <f>""</f>
        <v/>
      </c>
      <c r="CF983" t="str">
        <f>""</f>
        <v/>
      </c>
      <c r="CG983" t="str">
        <f>""</f>
        <v/>
      </c>
      <c r="CH983" t="str">
        <f>""</f>
        <v/>
      </c>
      <c r="CI983" t="str">
        <f>""</f>
        <v/>
      </c>
      <c r="CJ983" t="str">
        <f>""</f>
        <v/>
      </c>
      <c r="CK983" t="str">
        <f>""</f>
        <v/>
      </c>
      <c r="CL983" t="str">
        <f>""</f>
        <v/>
      </c>
      <c r="CM983" t="str">
        <f>""</f>
        <v/>
      </c>
      <c r="CN983" t="str">
        <f>""</f>
        <v/>
      </c>
      <c r="CO983" t="str">
        <f>""</f>
        <v/>
      </c>
      <c r="CP983" t="str">
        <f>""</f>
        <v/>
      </c>
      <c r="CQ983" t="str">
        <f>""</f>
        <v/>
      </c>
      <c r="CR983" t="str">
        <f>""</f>
        <v/>
      </c>
      <c r="CS983" t="str">
        <f>""</f>
        <v/>
      </c>
      <c r="CT983" t="str">
        <f>""</f>
        <v/>
      </c>
      <c r="CU983" t="str">
        <f>""</f>
        <v/>
      </c>
      <c r="CV983" t="str">
        <f>""</f>
        <v/>
      </c>
      <c r="CW983" t="str">
        <f>""</f>
        <v/>
      </c>
      <c r="CX983" t="str">
        <f>""</f>
        <v/>
      </c>
      <c r="CY983" t="str">
        <f>""</f>
        <v/>
      </c>
      <c r="CZ983" t="str">
        <f>""</f>
        <v/>
      </c>
      <c r="DA983" t="str">
        <f>""</f>
        <v/>
      </c>
      <c r="DB983" t="str">
        <f>""</f>
        <v/>
      </c>
      <c r="DC983" t="str">
        <f>""</f>
        <v/>
      </c>
      <c r="DD983" t="str">
        <f>""</f>
        <v/>
      </c>
      <c r="DE983" t="str">
        <f>""</f>
        <v/>
      </c>
      <c r="DF983" t="str">
        <f>""</f>
        <v/>
      </c>
      <c r="DG983" t="str">
        <f>""</f>
        <v/>
      </c>
      <c r="DH983" t="str">
        <f>""</f>
        <v/>
      </c>
      <c r="DI983" t="str">
        <f>""</f>
        <v/>
      </c>
      <c r="DJ983" t="str">
        <f>""</f>
        <v/>
      </c>
      <c r="DK983" t="str">
        <f>""</f>
        <v/>
      </c>
      <c r="DL983" t="str">
        <f>""</f>
        <v/>
      </c>
      <c r="DM983" t="str">
        <f>""</f>
        <v/>
      </c>
      <c r="DN983" t="str">
        <f>""</f>
        <v/>
      </c>
      <c r="DO983" t="str">
        <f>""</f>
        <v/>
      </c>
      <c r="DP983" t="str">
        <f>""</f>
        <v/>
      </c>
      <c r="DQ983" t="str">
        <f>""</f>
        <v/>
      </c>
      <c r="DR983" t="str">
        <f>""</f>
        <v/>
      </c>
      <c r="DS983" t="str">
        <f>""</f>
        <v/>
      </c>
      <c r="DT983" t="str">
        <f>""</f>
        <v/>
      </c>
      <c r="DU983" t="str">
        <f>""</f>
        <v/>
      </c>
    </row>
    <row r="984" spans="1:125" x14ac:dyDescent="0.25">
      <c r="A984" t="str">
        <f>$A$487</f>
        <v xml:space="preserve">    Subaru Corp</v>
      </c>
      <c r="B984" t="str">
        <f>$B$487</f>
        <v>7270 JP Equity</v>
      </c>
      <c r="C984" t="str">
        <f>$C$487</f>
        <v>RR902</v>
      </c>
      <c r="D984" t="str">
        <f>$D$487</f>
        <v>CUR_MKT_CAP</v>
      </c>
      <c r="E984" t="str">
        <f>$E$487</f>
        <v>Dynamic</v>
      </c>
      <c r="F984" t="str">
        <f ca="1">_xll.BDH($B$487,$C$487,$B$509,$B$510,CONCATENATE("Per=",$B$507),"Dts=H","Dir=H",CONCATENATE("Points=",$B$508),"Sort=R","Days=A","Fill=B",CONCATENATE("FX=", $B$506) )</f>
        <v>#N/A Connection</v>
      </c>
      <c r="BN984" t="str">
        <f>""</f>
        <v/>
      </c>
      <c r="BO984" t="str">
        <f>""</f>
        <v/>
      </c>
      <c r="BP984" t="str">
        <f>""</f>
        <v/>
      </c>
      <c r="BQ984" t="str">
        <f>""</f>
        <v/>
      </c>
      <c r="BR984" t="str">
        <f>""</f>
        <v/>
      </c>
      <c r="BS984" t="str">
        <f>""</f>
        <v/>
      </c>
      <c r="BT984" t="str">
        <f>""</f>
        <v/>
      </c>
      <c r="BU984" t="str">
        <f>""</f>
        <v/>
      </c>
      <c r="BV984" t="str">
        <f>""</f>
        <v/>
      </c>
      <c r="BW984" t="str">
        <f>""</f>
        <v/>
      </c>
      <c r="BX984" t="str">
        <f>""</f>
        <v/>
      </c>
      <c r="BY984" t="str">
        <f>""</f>
        <v/>
      </c>
      <c r="BZ984" t="str">
        <f>""</f>
        <v/>
      </c>
      <c r="CA984" t="str">
        <f>""</f>
        <v/>
      </c>
      <c r="CB984" t="str">
        <f>""</f>
        <v/>
      </c>
      <c r="CC984" t="str">
        <f>""</f>
        <v/>
      </c>
      <c r="CD984" t="str">
        <f>""</f>
        <v/>
      </c>
      <c r="CE984" t="str">
        <f>""</f>
        <v/>
      </c>
      <c r="CF984" t="str">
        <f>""</f>
        <v/>
      </c>
      <c r="CG984" t="str">
        <f>""</f>
        <v/>
      </c>
      <c r="CH984" t="str">
        <f>""</f>
        <v/>
      </c>
      <c r="CI984" t="str">
        <f>""</f>
        <v/>
      </c>
      <c r="CJ984" t="str">
        <f>""</f>
        <v/>
      </c>
      <c r="CK984" t="str">
        <f>""</f>
        <v/>
      </c>
      <c r="CL984" t="str">
        <f>""</f>
        <v/>
      </c>
      <c r="CM984" t="str">
        <f>""</f>
        <v/>
      </c>
      <c r="CN984" t="str">
        <f>""</f>
        <v/>
      </c>
      <c r="CO984" t="str">
        <f>""</f>
        <v/>
      </c>
      <c r="CP984" t="str">
        <f>""</f>
        <v/>
      </c>
      <c r="CQ984" t="str">
        <f>""</f>
        <v/>
      </c>
      <c r="CR984" t="str">
        <f>""</f>
        <v/>
      </c>
      <c r="CS984" t="str">
        <f>""</f>
        <v/>
      </c>
      <c r="CT984" t="str">
        <f>""</f>
        <v/>
      </c>
      <c r="CU984" t="str">
        <f>""</f>
        <v/>
      </c>
      <c r="CV984" t="str">
        <f>""</f>
        <v/>
      </c>
      <c r="CW984" t="str">
        <f>""</f>
        <v/>
      </c>
      <c r="CX984" t="str">
        <f>""</f>
        <v/>
      </c>
      <c r="CY984" t="str">
        <f>""</f>
        <v/>
      </c>
      <c r="CZ984" t="str">
        <f>""</f>
        <v/>
      </c>
      <c r="DA984" t="str">
        <f>""</f>
        <v/>
      </c>
      <c r="DB984" t="str">
        <f>""</f>
        <v/>
      </c>
      <c r="DC984" t="str">
        <f>""</f>
        <v/>
      </c>
      <c r="DD984" t="str">
        <f>""</f>
        <v/>
      </c>
      <c r="DE984" t="str">
        <f>""</f>
        <v/>
      </c>
      <c r="DF984" t="str">
        <f>""</f>
        <v/>
      </c>
      <c r="DG984" t="str">
        <f>""</f>
        <v/>
      </c>
      <c r="DH984" t="str">
        <f>""</f>
        <v/>
      </c>
      <c r="DI984" t="str">
        <f>""</f>
        <v/>
      </c>
      <c r="DJ984" t="str">
        <f>""</f>
        <v/>
      </c>
      <c r="DK984" t="str">
        <f>""</f>
        <v/>
      </c>
      <c r="DL984" t="str">
        <f>""</f>
        <v/>
      </c>
      <c r="DM984" t="str">
        <f>""</f>
        <v/>
      </c>
      <c r="DN984" t="str">
        <f>""</f>
        <v/>
      </c>
      <c r="DO984" t="str">
        <f>""</f>
        <v/>
      </c>
      <c r="DP984" t="str">
        <f>""</f>
        <v/>
      </c>
      <c r="DQ984" t="str">
        <f>""</f>
        <v/>
      </c>
      <c r="DR984" t="str">
        <f>""</f>
        <v/>
      </c>
      <c r="DS984" t="str">
        <f>""</f>
        <v/>
      </c>
      <c r="DT984" t="str">
        <f>""</f>
        <v/>
      </c>
      <c r="DU984" t="str">
        <f>""</f>
        <v/>
      </c>
    </row>
    <row r="985" spans="1:125" x14ac:dyDescent="0.25">
      <c r="A985" t="str">
        <f>$A$488</f>
        <v xml:space="preserve">    Suzuki Motor Corp</v>
      </c>
      <c r="B985" t="str">
        <f>$B$488</f>
        <v>7269 JP Equity</v>
      </c>
      <c r="C985" t="str">
        <f>$C$488</f>
        <v>RR902</v>
      </c>
      <c r="D985" t="str">
        <f>$D$488</f>
        <v>CUR_MKT_CAP</v>
      </c>
      <c r="E985" t="str">
        <f>$E$488</f>
        <v>Dynamic</v>
      </c>
      <c r="F985" t="str">
        <f ca="1">_xll.BDH($B$488,$C$488,$B$509,$B$510,CONCATENATE("Per=",$B$507),"Dts=H","Dir=H",CONCATENATE("Points=",$B$508),"Sort=R","Days=A","Fill=B",CONCATENATE("FX=", $B$506) )</f>
        <v>#N/A Connection</v>
      </c>
      <c r="BN985" t="str">
        <f>""</f>
        <v/>
      </c>
      <c r="BO985" t="str">
        <f>""</f>
        <v/>
      </c>
      <c r="BP985" t="str">
        <f>""</f>
        <v/>
      </c>
      <c r="BQ985" t="str">
        <f>""</f>
        <v/>
      </c>
      <c r="BR985" t="str">
        <f>""</f>
        <v/>
      </c>
      <c r="BS985" t="str">
        <f>""</f>
        <v/>
      </c>
      <c r="BT985" t="str">
        <f>""</f>
        <v/>
      </c>
      <c r="BU985" t="str">
        <f>""</f>
        <v/>
      </c>
      <c r="BV985" t="str">
        <f>""</f>
        <v/>
      </c>
      <c r="BW985" t="str">
        <f>""</f>
        <v/>
      </c>
      <c r="BX985" t="str">
        <f>""</f>
        <v/>
      </c>
      <c r="BY985" t="str">
        <f>""</f>
        <v/>
      </c>
      <c r="BZ985" t="str">
        <f>""</f>
        <v/>
      </c>
      <c r="CA985" t="str">
        <f>""</f>
        <v/>
      </c>
      <c r="CB985" t="str">
        <f>""</f>
        <v/>
      </c>
      <c r="CC985" t="str">
        <f>""</f>
        <v/>
      </c>
      <c r="CD985" t="str">
        <f>""</f>
        <v/>
      </c>
      <c r="CE985" t="str">
        <f>""</f>
        <v/>
      </c>
      <c r="CF985" t="str">
        <f>""</f>
        <v/>
      </c>
      <c r="CG985" t="str">
        <f>""</f>
        <v/>
      </c>
      <c r="CH985" t="str">
        <f>""</f>
        <v/>
      </c>
      <c r="CI985" t="str">
        <f>""</f>
        <v/>
      </c>
      <c r="CJ985" t="str">
        <f>""</f>
        <v/>
      </c>
      <c r="CK985" t="str">
        <f>""</f>
        <v/>
      </c>
      <c r="CL985" t="str">
        <f>""</f>
        <v/>
      </c>
      <c r="CM985" t="str">
        <f>""</f>
        <v/>
      </c>
      <c r="CN985" t="str">
        <f>""</f>
        <v/>
      </c>
      <c r="CO985" t="str">
        <f>""</f>
        <v/>
      </c>
      <c r="CP985" t="str">
        <f>""</f>
        <v/>
      </c>
      <c r="CQ985" t="str">
        <f>""</f>
        <v/>
      </c>
      <c r="CR985" t="str">
        <f>""</f>
        <v/>
      </c>
      <c r="CS985" t="str">
        <f>""</f>
        <v/>
      </c>
      <c r="CT985" t="str">
        <f>""</f>
        <v/>
      </c>
      <c r="CU985" t="str">
        <f>""</f>
        <v/>
      </c>
      <c r="CV985" t="str">
        <f>""</f>
        <v/>
      </c>
      <c r="CW985" t="str">
        <f>""</f>
        <v/>
      </c>
      <c r="CX985" t="str">
        <f>""</f>
        <v/>
      </c>
      <c r="CY985" t="str">
        <f>""</f>
        <v/>
      </c>
      <c r="CZ985" t="str">
        <f>""</f>
        <v/>
      </c>
      <c r="DA985" t="str">
        <f>""</f>
        <v/>
      </c>
      <c r="DB985" t="str">
        <f>""</f>
        <v/>
      </c>
      <c r="DC985" t="str">
        <f>""</f>
        <v/>
      </c>
      <c r="DD985" t="str">
        <f>""</f>
        <v/>
      </c>
      <c r="DE985" t="str">
        <f>""</f>
        <v/>
      </c>
      <c r="DF985" t="str">
        <f>""</f>
        <v/>
      </c>
      <c r="DG985" t="str">
        <f>""</f>
        <v/>
      </c>
      <c r="DH985" t="str">
        <f>""</f>
        <v/>
      </c>
      <c r="DI985" t="str">
        <f>""</f>
        <v/>
      </c>
      <c r="DJ985" t="str">
        <f>""</f>
        <v/>
      </c>
      <c r="DK985" t="str">
        <f>""</f>
        <v/>
      </c>
      <c r="DL985" t="str">
        <f>""</f>
        <v/>
      </c>
      <c r="DM985" t="str">
        <f>""</f>
        <v/>
      </c>
      <c r="DN985" t="str">
        <f>""</f>
        <v/>
      </c>
      <c r="DO985" t="str">
        <f>""</f>
        <v/>
      </c>
      <c r="DP985" t="str">
        <f>""</f>
        <v/>
      </c>
      <c r="DQ985" t="str">
        <f>""</f>
        <v/>
      </c>
      <c r="DR985" t="str">
        <f>""</f>
        <v/>
      </c>
      <c r="DS985" t="str">
        <f>""</f>
        <v/>
      </c>
      <c r="DT985" t="str">
        <f>""</f>
        <v/>
      </c>
      <c r="DU985" t="str">
        <f>""</f>
        <v/>
      </c>
    </row>
    <row r="986" spans="1:125" x14ac:dyDescent="0.25">
      <c r="A986" t="str">
        <f>$A$489</f>
        <v xml:space="preserve">    Tata Motors Ltd</v>
      </c>
      <c r="B986" t="str">
        <f>$B$489</f>
        <v>TTMT IN Equity</v>
      </c>
      <c r="C986" t="str">
        <f>$C$489</f>
        <v>RR902</v>
      </c>
      <c r="D986" t="str">
        <f>$D$489</f>
        <v>CUR_MKT_CAP</v>
      </c>
      <c r="E986" t="str">
        <f>$E$489</f>
        <v>Dynamic</v>
      </c>
      <c r="F986" t="str">
        <f ca="1">_xll.BDH($B$489,$C$489,$B$509,$B$510,CONCATENATE("Per=",$B$507),"Dts=H","Dir=H",CONCATENATE("Points=",$B$508),"Sort=R","Days=A","Fill=B",CONCATENATE("FX=", $B$506) )</f>
        <v>#N/A Connection</v>
      </c>
      <c r="BN986" t="str">
        <f>""</f>
        <v/>
      </c>
      <c r="BO986" t="str">
        <f>""</f>
        <v/>
      </c>
      <c r="BP986" t="str">
        <f>""</f>
        <v/>
      </c>
      <c r="BQ986" t="str">
        <f>""</f>
        <v/>
      </c>
      <c r="BR986" t="str">
        <f>""</f>
        <v/>
      </c>
      <c r="BS986" t="str">
        <f>""</f>
        <v/>
      </c>
      <c r="BT986" t="str">
        <f>""</f>
        <v/>
      </c>
      <c r="BU986" t="str">
        <f>""</f>
        <v/>
      </c>
      <c r="BV986" t="str">
        <f>""</f>
        <v/>
      </c>
      <c r="BW986" t="str">
        <f>""</f>
        <v/>
      </c>
      <c r="BX986" t="str">
        <f>""</f>
        <v/>
      </c>
      <c r="BY986" t="str">
        <f>""</f>
        <v/>
      </c>
      <c r="BZ986" t="str">
        <f>""</f>
        <v/>
      </c>
      <c r="CA986" t="str">
        <f>""</f>
        <v/>
      </c>
      <c r="CB986" t="str">
        <f>""</f>
        <v/>
      </c>
      <c r="CC986" t="str">
        <f>""</f>
        <v/>
      </c>
      <c r="CD986" t="str">
        <f>""</f>
        <v/>
      </c>
      <c r="CE986" t="str">
        <f>""</f>
        <v/>
      </c>
      <c r="CF986" t="str">
        <f>""</f>
        <v/>
      </c>
      <c r="CG986" t="str">
        <f>""</f>
        <v/>
      </c>
      <c r="CH986" t="str">
        <f>""</f>
        <v/>
      </c>
      <c r="CI986" t="str">
        <f>""</f>
        <v/>
      </c>
      <c r="CJ986" t="str">
        <f>""</f>
        <v/>
      </c>
      <c r="CK986" t="str">
        <f>""</f>
        <v/>
      </c>
      <c r="CL986" t="str">
        <f>""</f>
        <v/>
      </c>
      <c r="CM986" t="str">
        <f>""</f>
        <v/>
      </c>
      <c r="CN986" t="str">
        <f>""</f>
        <v/>
      </c>
      <c r="CO986" t="str">
        <f>""</f>
        <v/>
      </c>
      <c r="CP986" t="str">
        <f>""</f>
        <v/>
      </c>
      <c r="CQ986" t="str">
        <f>""</f>
        <v/>
      </c>
      <c r="CR986" t="str">
        <f>""</f>
        <v/>
      </c>
      <c r="CS986" t="str">
        <f>""</f>
        <v/>
      </c>
      <c r="CT986" t="str">
        <f>""</f>
        <v/>
      </c>
      <c r="CU986" t="str">
        <f>""</f>
        <v/>
      </c>
      <c r="CV986" t="str">
        <f>""</f>
        <v/>
      </c>
      <c r="CW986" t="str">
        <f>""</f>
        <v/>
      </c>
      <c r="CX986" t="str">
        <f>""</f>
        <v/>
      </c>
      <c r="CY986" t="str">
        <f>""</f>
        <v/>
      </c>
      <c r="CZ986" t="str">
        <f>""</f>
        <v/>
      </c>
      <c r="DA986" t="str">
        <f>""</f>
        <v/>
      </c>
      <c r="DB986" t="str">
        <f>""</f>
        <v/>
      </c>
      <c r="DC986" t="str">
        <f>""</f>
        <v/>
      </c>
      <c r="DD986" t="str">
        <f>""</f>
        <v/>
      </c>
      <c r="DE986" t="str">
        <f>""</f>
        <v/>
      </c>
      <c r="DF986" t="str">
        <f>""</f>
        <v/>
      </c>
      <c r="DG986" t="str">
        <f>""</f>
        <v/>
      </c>
      <c r="DH986" t="str">
        <f>""</f>
        <v/>
      </c>
      <c r="DI986" t="str">
        <f>""</f>
        <v/>
      </c>
      <c r="DJ986" t="str">
        <f>""</f>
        <v/>
      </c>
      <c r="DK986" t="str">
        <f>""</f>
        <v/>
      </c>
      <c r="DL986" t="str">
        <f>""</f>
        <v/>
      </c>
      <c r="DM986" t="str">
        <f>""</f>
        <v/>
      </c>
      <c r="DN986" t="str">
        <f>""</f>
        <v/>
      </c>
      <c r="DO986" t="str">
        <f>""</f>
        <v/>
      </c>
      <c r="DP986" t="str">
        <f>""</f>
        <v/>
      </c>
      <c r="DQ986" t="str">
        <f>""</f>
        <v/>
      </c>
      <c r="DR986" t="str">
        <f>""</f>
        <v/>
      </c>
      <c r="DS986" t="str">
        <f>""</f>
        <v/>
      </c>
      <c r="DT986" t="str">
        <f>""</f>
        <v/>
      </c>
      <c r="DU986" t="str">
        <f>""</f>
        <v/>
      </c>
    </row>
    <row r="987" spans="1:125" x14ac:dyDescent="0.25">
      <c r="A987" t="str">
        <f>$A$490</f>
        <v xml:space="preserve">    Tesla Inc</v>
      </c>
      <c r="B987" t="str">
        <f>$B$490</f>
        <v>TSLA US Equity</v>
      </c>
      <c r="C987" t="str">
        <f>$C$490</f>
        <v>RR902</v>
      </c>
      <c r="D987" t="str">
        <f>$D$490</f>
        <v>CUR_MKT_CAP</v>
      </c>
      <c r="E987" t="str">
        <f>$E$490</f>
        <v>Dynamic</v>
      </c>
      <c r="F987" t="str">
        <f ca="1">_xll.BDH($B$490,$C$490,$B$509,$B$510,CONCATENATE("Per=",$B$507),"Dts=H","Dir=H",CONCATENATE("Points=",$B$508),"Sort=R","Days=A","Fill=B",CONCATENATE("FX=", $B$506) )</f>
        <v>#N/A Connection</v>
      </c>
      <c r="BN987" t="str">
        <f>""</f>
        <v/>
      </c>
      <c r="BO987" t="str">
        <f>""</f>
        <v/>
      </c>
      <c r="BP987" t="str">
        <f>""</f>
        <v/>
      </c>
      <c r="BQ987" t="str">
        <f>""</f>
        <v/>
      </c>
      <c r="BR987" t="str">
        <f>""</f>
        <v/>
      </c>
      <c r="BS987" t="str">
        <f>""</f>
        <v/>
      </c>
      <c r="BT987" t="str">
        <f>""</f>
        <v/>
      </c>
      <c r="BU987" t="str">
        <f>""</f>
        <v/>
      </c>
      <c r="BV987" t="str">
        <f>""</f>
        <v/>
      </c>
      <c r="BW987" t="str">
        <f>""</f>
        <v/>
      </c>
      <c r="BX987" t="str">
        <f>""</f>
        <v/>
      </c>
      <c r="BY987" t="str">
        <f>""</f>
        <v/>
      </c>
      <c r="BZ987" t="str">
        <f>""</f>
        <v/>
      </c>
      <c r="CA987" t="str">
        <f>""</f>
        <v/>
      </c>
      <c r="CB987" t="str">
        <f>""</f>
        <v/>
      </c>
      <c r="CC987" t="str">
        <f>""</f>
        <v/>
      </c>
      <c r="CD987" t="str">
        <f>""</f>
        <v/>
      </c>
      <c r="CE987" t="str">
        <f>""</f>
        <v/>
      </c>
      <c r="CF987" t="str">
        <f>""</f>
        <v/>
      </c>
      <c r="CG987" t="str">
        <f>""</f>
        <v/>
      </c>
      <c r="CH987" t="str">
        <f>""</f>
        <v/>
      </c>
      <c r="CI987" t="str">
        <f>""</f>
        <v/>
      </c>
      <c r="CJ987" t="str">
        <f>""</f>
        <v/>
      </c>
      <c r="CK987" t="str">
        <f>""</f>
        <v/>
      </c>
      <c r="CL987" t="str">
        <f>""</f>
        <v/>
      </c>
      <c r="CM987" t="str">
        <f>""</f>
        <v/>
      </c>
      <c r="CN987" t="str">
        <f>""</f>
        <v/>
      </c>
      <c r="CO987" t="str">
        <f>""</f>
        <v/>
      </c>
      <c r="CP987" t="str">
        <f>""</f>
        <v/>
      </c>
      <c r="CQ987" t="str">
        <f>""</f>
        <v/>
      </c>
      <c r="CR987" t="str">
        <f>""</f>
        <v/>
      </c>
      <c r="CS987" t="str">
        <f>""</f>
        <v/>
      </c>
      <c r="CT987" t="str">
        <f>""</f>
        <v/>
      </c>
      <c r="CU987" t="str">
        <f>""</f>
        <v/>
      </c>
      <c r="CV987" t="str">
        <f>""</f>
        <v/>
      </c>
      <c r="CW987" t="str">
        <f>""</f>
        <v/>
      </c>
      <c r="CX987" t="str">
        <f>""</f>
        <v/>
      </c>
      <c r="CY987" t="str">
        <f>""</f>
        <v/>
      </c>
      <c r="CZ987" t="str">
        <f>""</f>
        <v/>
      </c>
      <c r="DA987" t="str">
        <f>""</f>
        <v/>
      </c>
      <c r="DB987" t="str">
        <f>""</f>
        <v/>
      </c>
      <c r="DC987" t="str">
        <f>""</f>
        <v/>
      </c>
      <c r="DD987" t="str">
        <f>""</f>
        <v/>
      </c>
      <c r="DE987" t="str">
        <f>""</f>
        <v/>
      </c>
      <c r="DF987" t="str">
        <f>""</f>
        <v/>
      </c>
      <c r="DG987" t="str">
        <f>""</f>
        <v/>
      </c>
      <c r="DH987" t="str">
        <f>""</f>
        <v/>
      </c>
      <c r="DI987" t="str">
        <f>""</f>
        <v/>
      </c>
      <c r="DJ987" t="str">
        <f>""</f>
        <v/>
      </c>
      <c r="DK987" t="str">
        <f>""</f>
        <v/>
      </c>
      <c r="DL987" t="str">
        <f>""</f>
        <v/>
      </c>
      <c r="DM987" t="str">
        <f>""</f>
        <v/>
      </c>
      <c r="DN987" t="str">
        <f>""</f>
        <v/>
      </c>
      <c r="DO987" t="str">
        <f>""</f>
        <v/>
      </c>
      <c r="DP987" t="str">
        <f>""</f>
        <v/>
      </c>
      <c r="DQ987" t="str">
        <f>""</f>
        <v/>
      </c>
      <c r="DR987" t="str">
        <f>""</f>
        <v/>
      </c>
      <c r="DS987" t="str">
        <f>""</f>
        <v/>
      </c>
      <c r="DT987" t="str">
        <f>""</f>
        <v/>
      </c>
      <c r="DU987" t="str">
        <f>""</f>
        <v/>
      </c>
    </row>
    <row r="988" spans="1:125" x14ac:dyDescent="0.25">
      <c r="A988" t="str">
        <f>$A$491</f>
        <v xml:space="preserve">    Tianjin Faw Xiali Automobile Co Ltd</v>
      </c>
      <c r="B988" t="str">
        <f>$B$491</f>
        <v>000927 CH Equity</v>
      </c>
      <c r="C988" t="str">
        <f>$C$491</f>
        <v>RR902</v>
      </c>
      <c r="D988" t="str">
        <f>$D$491</f>
        <v>CUR_MKT_CAP</v>
      </c>
      <c r="E988" t="str">
        <f>$E$491</f>
        <v>Dynamic</v>
      </c>
      <c r="F988" t="str">
        <f ca="1">_xll.BDH($B$491,$C$491,$B$509,$B$510,CONCATENATE("Per=",$B$507),"Dts=H","Dir=H",CONCATENATE("Points=",$B$508),"Sort=R","Days=A","Fill=B",CONCATENATE("FX=", $B$506) )</f>
        <v>#N/A Connection</v>
      </c>
      <c r="BN988" t="str">
        <f>""</f>
        <v/>
      </c>
      <c r="BO988" t="str">
        <f>""</f>
        <v/>
      </c>
      <c r="BP988" t="str">
        <f>""</f>
        <v/>
      </c>
      <c r="BQ988" t="str">
        <f>""</f>
        <v/>
      </c>
      <c r="BR988" t="str">
        <f>""</f>
        <v/>
      </c>
      <c r="BS988" t="str">
        <f>""</f>
        <v/>
      </c>
      <c r="BT988" t="str">
        <f>""</f>
        <v/>
      </c>
      <c r="BU988" t="str">
        <f>""</f>
        <v/>
      </c>
      <c r="BV988" t="str">
        <f>""</f>
        <v/>
      </c>
      <c r="BW988" t="str">
        <f>""</f>
        <v/>
      </c>
      <c r="BX988" t="str">
        <f>""</f>
        <v/>
      </c>
      <c r="BY988" t="str">
        <f>""</f>
        <v/>
      </c>
      <c r="BZ988" t="str">
        <f>""</f>
        <v/>
      </c>
      <c r="CA988" t="str">
        <f>""</f>
        <v/>
      </c>
      <c r="CB988" t="str">
        <f>""</f>
        <v/>
      </c>
      <c r="CC988" t="str">
        <f>""</f>
        <v/>
      </c>
      <c r="CD988" t="str">
        <f>""</f>
        <v/>
      </c>
      <c r="CE988" t="str">
        <f>""</f>
        <v/>
      </c>
      <c r="CF988" t="str">
        <f>""</f>
        <v/>
      </c>
      <c r="CG988" t="str">
        <f>""</f>
        <v/>
      </c>
      <c r="CH988" t="str">
        <f>""</f>
        <v/>
      </c>
      <c r="CI988" t="str">
        <f>""</f>
        <v/>
      </c>
      <c r="CJ988" t="str">
        <f>""</f>
        <v/>
      </c>
      <c r="CK988" t="str">
        <f>""</f>
        <v/>
      </c>
      <c r="CL988" t="str">
        <f>""</f>
        <v/>
      </c>
      <c r="CM988" t="str">
        <f>""</f>
        <v/>
      </c>
      <c r="CN988" t="str">
        <f>""</f>
        <v/>
      </c>
      <c r="CO988" t="str">
        <f>""</f>
        <v/>
      </c>
      <c r="CP988" t="str">
        <f>""</f>
        <v/>
      </c>
      <c r="CQ988" t="str">
        <f>""</f>
        <v/>
      </c>
      <c r="CR988" t="str">
        <f>""</f>
        <v/>
      </c>
      <c r="CS988" t="str">
        <f>""</f>
        <v/>
      </c>
      <c r="CT988" t="str">
        <f>""</f>
        <v/>
      </c>
      <c r="CU988" t="str">
        <f>""</f>
        <v/>
      </c>
      <c r="CV988" t="str">
        <f>""</f>
        <v/>
      </c>
      <c r="CW988" t="str">
        <f>""</f>
        <v/>
      </c>
      <c r="CX988" t="str">
        <f>""</f>
        <v/>
      </c>
      <c r="CY988" t="str">
        <f>""</f>
        <v/>
      </c>
      <c r="CZ988" t="str">
        <f>""</f>
        <v/>
      </c>
      <c r="DA988" t="str">
        <f>""</f>
        <v/>
      </c>
      <c r="DB988" t="str">
        <f>""</f>
        <v/>
      </c>
      <c r="DC988" t="str">
        <f>""</f>
        <v/>
      </c>
      <c r="DD988" t="str">
        <f>""</f>
        <v/>
      </c>
      <c r="DE988" t="str">
        <f>""</f>
        <v/>
      </c>
      <c r="DF988" t="str">
        <f>""</f>
        <v/>
      </c>
      <c r="DG988" t="str">
        <f>""</f>
        <v/>
      </c>
      <c r="DH988" t="str">
        <f>""</f>
        <v/>
      </c>
      <c r="DI988" t="str">
        <f>""</f>
        <v/>
      </c>
      <c r="DJ988" t="str">
        <f>""</f>
        <v/>
      </c>
      <c r="DK988" t="str">
        <f>""</f>
        <v/>
      </c>
      <c r="DL988" t="str">
        <f>""</f>
        <v/>
      </c>
      <c r="DM988" t="str">
        <f>""</f>
        <v/>
      </c>
      <c r="DN988" t="str">
        <f>""</f>
        <v/>
      </c>
      <c r="DO988" t="str">
        <f>""</f>
        <v/>
      </c>
      <c r="DP988" t="str">
        <f>""</f>
        <v/>
      </c>
      <c r="DQ988" t="str">
        <f>""</f>
        <v/>
      </c>
      <c r="DR988" t="str">
        <f>""</f>
        <v/>
      </c>
      <c r="DS988" t="str">
        <f>""</f>
        <v/>
      </c>
      <c r="DT988" t="str">
        <f>""</f>
        <v/>
      </c>
      <c r="DU988" t="str">
        <f>""</f>
        <v/>
      </c>
    </row>
    <row r="989" spans="1:125" x14ac:dyDescent="0.25">
      <c r="A989" t="str">
        <f>$A$492</f>
        <v xml:space="preserve">    Tofas Turk Otomobil Fabrikasi AS</v>
      </c>
      <c r="B989" t="str">
        <f>$B$492</f>
        <v>TOASOTRY EO Equity</v>
      </c>
      <c r="C989" t="str">
        <f>$C$492</f>
        <v>RR902</v>
      </c>
      <c r="D989" t="str">
        <f>$D$492</f>
        <v>CUR_MKT_CAP</v>
      </c>
      <c r="E989" t="str">
        <f>$E$492</f>
        <v>Dynamic</v>
      </c>
      <c r="F989" t="str">
        <f ca="1">_xll.BDH($B$492,$C$492,$B$509,$B$510,CONCATENATE("Per=",$B$507),"Dts=H","Dir=H",CONCATENATE("Points=",$B$508),"Sort=R","Days=A","Fill=B",CONCATENATE("FX=", $B$506) )</f>
        <v>#N/A Connection</v>
      </c>
      <c r="BN989" t="str">
        <f>""</f>
        <v/>
      </c>
      <c r="BO989" t="str">
        <f>""</f>
        <v/>
      </c>
      <c r="BP989" t="str">
        <f>""</f>
        <v/>
      </c>
      <c r="BQ989" t="str">
        <f>""</f>
        <v/>
      </c>
      <c r="BR989" t="str">
        <f>""</f>
        <v/>
      </c>
      <c r="BS989" t="str">
        <f>""</f>
        <v/>
      </c>
      <c r="BT989" t="str">
        <f>""</f>
        <v/>
      </c>
      <c r="BU989" t="str">
        <f>""</f>
        <v/>
      </c>
      <c r="BV989" t="str">
        <f>""</f>
        <v/>
      </c>
      <c r="BW989" t="str">
        <f>""</f>
        <v/>
      </c>
      <c r="BX989" t="str">
        <f>""</f>
        <v/>
      </c>
      <c r="BY989" t="str">
        <f>""</f>
        <v/>
      </c>
      <c r="BZ989" t="str">
        <f>""</f>
        <v/>
      </c>
      <c r="CA989" t="str">
        <f>""</f>
        <v/>
      </c>
      <c r="CB989" t="str">
        <f>""</f>
        <v/>
      </c>
      <c r="CC989" t="str">
        <f>""</f>
        <v/>
      </c>
      <c r="CD989" t="str">
        <f>""</f>
        <v/>
      </c>
      <c r="CE989" t="str">
        <f>""</f>
        <v/>
      </c>
      <c r="CF989" t="str">
        <f>""</f>
        <v/>
      </c>
      <c r="CG989" t="str">
        <f>""</f>
        <v/>
      </c>
      <c r="CH989" t="str">
        <f>""</f>
        <v/>
      </c>
      <c r="CI989" t="str">
        <f>""</f>
        <v/>
      </c>
      <c r="CJ989" t="str">
        <f>""</f>
        <v/>
      </c>
      <c r="CK989" t="str">
        <f>""</f>
        <v/>
      </c>
      <c r="CL989" t="str">
        <f>""</f>
        <v/>
      </c>
      <c r="CM989" t="str">
        <f>""</f>
        <v/>
      </c>
      <c r="CN989" t="str">
        <f>""</f>
        <v/>
      </c>
      <c r="CO989" t="str">
        <f>""</f>
        <v/>
      </c>
      <c r="CP989" t="str">
        <f>""</f>
        <v/>
      </c>
      <c r="CQ989" t="str">
        <f>""</f>
        <v/>
      </c>
      <c r="CR989" t="str">
        <f>""</f>
        <v/>
      </c>
      <c r="CS989" t="str">
        <f>""</f>
        <v/>
      </c>
      <c r="CT989" t="str">
        <f>""</f>
        <v/>
      </c>
      <c r="CU989" t="str">
        <f>""</f>
        <v/>
      </c>
      <c r="CV989" t="str">
        <f>""</f>
        <v/>
      </c>
      <c r="CW989" t="str">
        <f>""</f>
        <v/>
      </c>
      <c r="CX989" t="str">
        <f>""</f>
        <v/>
      </c>
      <c r="CY989" t="str">
        <f>""</f>
        <v/>
      </c>
      <c r="CZ989" t="str">
        <f>""</f>
        <v/>
      </c>
      <c r="DA989" t="str">
        <f>""</f>
        <v/>
      </c>
      <c r="DB989" t="str">
        <f>""</f>
        <v/>
      </c>
      <c r="DC989" t="str">
        <f>""</f>
        <v/>
      </c>
      <c r="DD989" t="str">
        <f>""</f>
        <v/>
      </c>
      <c r="DE989" t="str">
        <f>""</f>
        <v/>
      </c>
      <c r="DF989" t="str">
        <f>""</f>
        <v/>
      </c>
      <c r="DG989" t="str">
        <f>""</f>
        <v/>
      </c>
      <c r="DH989" t="str">
        <f>""</f>
        <v/>
      </c>
      <c r="DI989" t="str">
        <f>""</f>
        <v/>
      </c>
      <c r="DJ989" t="str">
        <f>""</f>
        <v/>
      </c>
      <c r="DK989" t="str">
        <f>""</f>
        <v/>
      </c>
      <c r="DL989" t="str">
        <f>""</f>
        <v/>
      </c>
      <c r="DM989" t="str">
        <f>""</f>
        <v/>
      </c>
      <c r="DN989" t="str">
        <f>""</f>
        <v/>
      </c>
      <c r="DO989" t="str">
        <f>""</f>
        <v/>
      </c>
      <c r="DP989" t="str">
        <f>""</f>
        <v/>
      </c>
      <c r="DQ989" t="str">
        <f>""</f>
        <v/>
      </c>
      <c r="DR989" t="str">
        <f>""</f>
        <v/>
      </c>
      <c r="DS989" t="str">
        <f>""</f>
        <v/>
      </c>
      <c r="DT989" t="str">
        <f>""</f>
        <v/>
      </c>
      <c r="DU989" t="str">
        <f>""</f>
        <v/>
      </c>
    </row>
    <row r="990" spans="1:125" x14ac:dyDescent="0.25">
      <c r="A990" t="str">
        <f>$A$493</f>
        <v xml:space="preserve">    Toyota Motor Corp</v>
      </c>
      <c r="B990" t="str">
        <f>$B$493</f>
        <v>7203 JP Equity</v>
      </c>
      <c r="C990" t="str">
        <f>$C$493</f>
        <v>RR902</v>
      </c>
      <c r="D990" t="str">
        <f>$D$493</f>
        <v>CUR_MKT_CAP</v>
      </c>
      <c r="E990" t="str">
        <f>$E$493</f>
        <v>Dynamic</v>
      </c>
      <c r="F990" t="str">
        <f ca="1">_xll.BDH($B$493,$C$493,$B$509,$B$510,CONCATENATE("Per=",$B$507),"Dts=H","Dir=H",CONCATENATE("Points=",$B$508),"Sort=R","Days=A","Fill=B",CONCATENATE("FX=", $B$506) )</f>
        <v>#N/A Connection</v>
      </c>
      <c r="BN990" t="str">
        <f>""</f>
        <v/>
      </c>
      <c r="BO990" t="str">
        <f>""</f>
        <v/>
      </c>
      <c r="BP990" t="str">
        <f>""</f>
        <v/>
      </c>
      <c r="BQ990" t="str">
        <f>""</f>
        <v/>
      </c>
      <c r="BR990" t="str">
        <f>""</f>
        <v/>
      </c>
      <c r="BS990" t="str">
        <f>""</f>
        <v/>
      </c>
      <c r="BT990" t="str">
        <f>""</f>
        <v/>
      </c>
      <c r="BU990" t="str">
        <f>""</f>
        <v/>
      </c>
      <c r="BV990" t="str">
        <f>""</f>
        <v/>
      </c>
      <c r="BW990" t="str">
        <f>""</f>
        <v/>
      </c>
      <c r="BX990" t="str">
        <f>""</f>
        <v/>
      </c>
      <c r="BY990" t="str">
        <f>""</f>
        <v/>
      </c>
      <c r="BZ990" t="str">
        <f>""</f>
        <v/>
      </c>
      <c r="CA990" t="str">
        <f>""</f>
        <v/>
      </c>
      <c r="CB990" t="str">
        <f>""</f>
        <v/>
      </c>
      <c r="CC990" t="str">
        <f>""</f>
        <v/>
      </c>
      <c r="CD990" t="str">
        <f>""</f>
        <v/>
      </c>
      <c r="CE990" t="str">
        <f>""</f>
        <v/>
      </c>
      <c r="CF990" t="str">
        <f>""</f>
        <v/>
      </c>
      <c r="CG990" t="str">
        <f>""</f>
        <v/>
      </c>
      <c r="CH990" t="str">
        <f>""</f>
        <v/>
      </c>
      <c r="CI990" t="str">
        <f>""</f>
        <v/>
      </c>
      <c r="CJ990" t="str">
        <f>""</f>
        <v/>
      </c>
      <c r="CK990" t="str">
        <f>""</f>
        <v/>
      </c>
      <c r="CL990" t="str">
        <f>""</f>
        <v/>
      </c>
      <c r="CM990" t="str">
        <f>""</f>
        <v/>
      </c>
      <c r="CN990" t="str">
        <f>""</f>
        <v/>
      </c>
      <c r="CO990" t="str">
        <f>""</f>
        <v/>
      </c>
      <c r="CP990" t="str">
        <f>""</f>
        <v/>
      </c>
      <c r="CQ990" t="str">
        <f>""</f>
        <v/>
      </c>
      <c r="CR990" t="str">
        <f>""</f>
        <v/>
      </c>
      <c r="CS990" t="str">
        <f>""</f>
        <v/>
      </c>
      <c r="CT990" t="str">
        <f>""</f>
        <v/>
      </c>
      <c r="CU990" t="str">
        <f>""</f>
        <v/>
      </c>
      <c r="CV990" t="str">
        <f>""</f>
        <v/>
      </c>
      <c r="CW990" t="str">
        <f>""</f>
        <v/>
      </c>
      <c r="CX990" t="str">
        <f>""</f>
        <v/>
      </c>
      <c r="CY990" t="str">
        <f>""</f>
        <v/>
      </c>
      <c r="CZ990" t="str">
        <f>""</f>
        <v/>
      </c>
      <c r="DA990" t="str">
        <f>""</f>
        <v/>
      </c>
      <c r="DB990" t="str">
        <f>""</f>
        <v/>
      </c>
      <c r="DC990" t="str">
        <f>""</f>
        <v/>
      </c>
      <c r="DD990" t="str">
        <f>""</f>
        <v/>
      </c>
      <c r="DE990" t="str">
        <f>""</f>
        <v/>
      </c>
      <c r="DF990" t="str">
        <f>""</f>
        <v/>
      </c>
      <c r="DG990" t="str">
        <f>""</f>
        <v/>
      </c>
      <c r="DH990" t="str">
        <f>""</f>
        <v/>
      </c>
      <c r="DI990" t="str">
        <f>""</f>
        <v/>
      </c>
      <c r="DJ990" t="str">
        <f>""</f>
        <v/>
      </c>
      <c r="DK990" t="str">
        <f>""</f>
        <v/>
      </c>
      <c r="DL990" t="str">
        <f>""</f>
        <v/>
      </c>
      <c r="DM990" t="str">
        <f>""</f>
        <v/>
      </c>
      <c r="DN990" t="str">
        <f>""</f>
        <v/>
      </c>
      <c r="DO990" t="str">
        <f>""</f>
        <v/>
      </c>
      <c r="DP990" t="str">
        <f>""</f>
        <v/>
      </c>
      <c r="DQ990" t="str">
        <f>""</f>
        <v/>
      </c>
      <c r="DR990" t="str">
        <f>""</f>
        <v/>
      </c>
      <c r="DS990" t="str">
        <f>""</f>
        <v/>
      </c>
      <c r="DT990" t="str">
        <f>""</f>
        <v/>
      </c>
      <c r="DU990" t="str">
        <f>""</f>
        <v/>
      </c>
    </row>
    <row r="991" spans="1:125" x14ac:dyDescent="0.25">
      <c r="A991" t="str">
        <f>$A$494</f>
        <v xml:space="preserve">    Volkswagen AG</v>
      </c>
      <c r="B991" t="str">
        <f>$B$494</f>
        <v>VOW GR Equity</v>
      </c>
      <c r="C991" t="str">
        <f>$C$494</f>
        <v>RR902</v>
      </c>
      <c r="D991" t="str">
        <f>$D$494</f>
        <v>CUR_MKT_CAP</v>
      </c>
      <c r="E991" t="str">
        <f>$E$494</f>
        <v>Dynamic</v>
      </c>
      <c r="F991" t="str">
        <f ca="1">_xll.BDH($B$494,$C$494,$B$509,$B$510,CONCATENATE("Per=",$B$507),"Dts=H","Dir=H",CONCATENATE("Points=",$B$508),"Sort=R","Days=A","Fill=B",CONCATENATE("FX=", $B$506) )</f>
        <v>#N/A Connection</v>
      </c>
      <c r="BN991" t="str">
        <f>""</f>
        <v/>
      </c>
      <c r="BO991" t="str">
        <f>""</f>
        <v/>
      </c>
      <c r="BP991" t="str">
        <f>""</f>
        <v/>
      </c>
      <c r="BQ991" t="str">
        <f>""</f>
        <v/>
      </c>
      <c r="BR991" t="str">
        <f>""</f>
        <v/>
      </c>
      <c r="BS991" t="str">
        <f>""</f>
        <v/>
      </c>
      <c r="BT991" t="str">
        <f>""</f>
        <v/>
      </c>
      <c r="BU991" t="str">
        <f>""</f>
        <v/>
      </c>
      <c r="BV991" t="str">
        <f>""</f>
        <v/>
      </c>
      <c r="BW991" t="str">
        <f>""</f>
        <v/>
      </c>
      <c r="BX991" t="str">
        <f>""</f>
        <v/>
      </c>
      <c r="BY991" t="str">
        <f>""</f>
        <v/>
      </c>
      <c r="BZ991" t="str">
        <f>""</f>
        <v/>
      </c>
      <c r="CA991" t="str">
        <f>""</f>
        <v/>
      </c>
      <c r="CB991" t="str">
        <f>""</f>
        <v/>
      </c>
      <c r="CC991" t="str">
        <f>""</f>
        <v/>
      </c>
      <c r="CD991" t="str">
        <f>""</f>
        <v/>
      </c>
      <c r="CE991" t="str">
        <f>""</f>
        <v/>
      </c>
      <c r="CF991" t="str">
        <f>""</f>
        <v/>
      </c>
      <c r="CG991" t="str">
        <f>""</f>
        <v/>
      </c>
      <c r="CH991" t="str">
        <f>""</f>
        <v/>
      </c>
      <c r="CI991" t="str">
        <f>""</f>
        <v/>
      </c>
      <c r="CJ991" t="str">
        <f>""</f>
        <v/>
      </c>
      <c r="CK991" t="str">
        <f>""</f>
        <v/>
      </c>
      <c r="CL991" t="str">
        <f>""</f>
        <v/>
      </c>
      <c r="CM991" t="str">
        <f>""</f>
        <v/>
      </c>
      <c r="CN991" t="str">
        <f>""</f>
        <v/>
      </c>
      <c r="CO991" t="str">
        <f>""</f>
        <v/>
      </c>
      <c r="CP991" t="str">
        <f>""</f>
        <v/>
      </c>
      <c r="CQ991" t="str">
        <f>""</f>
        <v/>
      </c>
      <c r="CR991" t="str">
        <f>""</f>
        <v/>
      </c>
      <c r="CS991" t="str">
        <f>""</f>
        <v/>
      </c>
      <c r="CT991" t="str">
        <f>""</f>
        <v/>
      </c>
      <c r="CU991" t="str">
        <f>""</f>
        <v/>
      </c>
      <c r="CV991" t="str">
        <f>""</f>
        <v/>
      </c>
      <c r="CW991" t="str">
        <f>""</f>
        <v/>
      </c>
      <c r="CX991" t="str">
        <f>""</f>
        <v/>
      </c>
      <c r="CY991" t="str">
        <f>""</f>
        <v/>
      </c>
      <c r="CZ991" t="str">
        <f>""</f>
        <v/>
      </c>
      <c r="DA991" t="str">
        <f>""</f>
        <v/>
      </c>
      <c r="DB991" t="str">
        <f>""</f>
        <v/>
      </c>
      <c r="DC991" t="str">
        <f>""</f>
        <v/>
      </c>
      <c r="DD991" t="str">
        <f>""</f>
        <v/>
      </c>
      <c r="DE991" t="str">
        <f>""</f>
        <v/>
      </c>
      <c r="DF991" t="str">
        <f>""</f>
        <v/>
      </c>
      <c r="DG991" t="str">
        <f>""</f>
        <v/>
      </c>
      <c r="DH991" t="str">
        <f>""</f>
        <v/>
      </c>
      <c r="DI991" t="str">
        <f>""</f>
        <v/>
      </c>
      <c r="DJ991" t="str">
        <f>""</f>
        <v/>
      </c>
      <c r="DK991" t="str">
        <f>""</f>
        <v/>
      </c>
      <c r="DL991" t="str">
        <f>""</f>
        <v/>
      </c>
      <c r="DM991" t="str">
        <f>""</f>
        <v/>
      </c>
      <c r="DN991" t="str">
        <f>""</f>
        <v/>
      </c>
      <c r="DO991" t="str">
        <f>""</f>
        <v/>
      </c>
      <c r="DP991" t="str">
        <f>""</f>
        <v/>
      </c>
      <c r="DQ991" t="str">
        <f>""</f>
        <v/>
      </c>
      <c r="DR991" t="str">
        <f>""</f>
        <v/>
      </c>
      <c r="DS991" t="str">
        <f>""</f>
        <v/>
      </c>
      <c r="DT991" t="str">
        <f>""</f>
        <v/>
      </c>
      <c r="DU991" t="str">
        <f>""</f>
        <v/>
      </c>
    </row>
    <row r="992" spans="1:125" x14ac:dyDescent="0.25">
      <c r="A992" t="str">
        <f>$A$495</f>
        <v xml:space="preserve">    Yulon Motor Co Ltd</v>
      </c>
      <c r="B992" t="str">
        <f>$B$495</f>
        <v>2201 TT Equity</v>
      </c>
      <c r="C992" t="str">
        <f>$C$495</f>
        <v>RR902</v>
      </c>
      <c r="D992" t="str">
        <f>$D$495</f>
        <v>CUR_MKT_CAP</v>
      </c>
      <c r="E992" t="str">
        <f>$E$495</f>
        <v>Dynamic</v>
      </c>
      <c r="F992" t="str">
        <f ca="1">_xll.BDH($B$495,$C$495,$B$509,$B$510,CONCATENATE("Per=",$B$507),"Dts=H","Dir=H",CONCATENATE("Points=",$B$508),"Sort=R","Days=A","Fill=B",CONCATENATE("FX=", $B$506) )</f>
        <v>#N/A Connection</v>
      </c>
      <c r="BN992" t="str">
        <f>""</f>
        <v/>
      </c>
      <c r="BO992" t="str">
        <f>""</f>
        <v/>
      </c>
      <c r="BP992" t="str">
        <f>""</f>
        <v/>
      </c>
      <c r="BQ992" t="str">
        <f>""</f>
        <v/>
      </c>
      <c r="BR992" t="str">
        <f>""</f>
        <v/>
      </c>
      <c r="BS992" t="str">
        <f>""</f>
        <v/>
      </c>
      <c r="BT992" t="str">
        <f>""</f>
        <v/>
      </c>
      <c r="BU992" t="str">
        <f>""</f>
        <v/>
      </c>
      <c r="BV992" t="str">
        <f>""</f>
        <v/>
      </c>
      <c r="BW992" t="str">
        <f>""</f>
        <v/>
      </c>
      <c r="BX992" t="str">
        <f>""</f>
        <v/>
      </c>
      <c r="BY992" t="str">
        <f>""</f>
        <v/>
      </c>
      <c r="BZ992" t="str">
        <f>""</f>
        <v/>
      </c>
      <c r="CA992" t="str">
        <f>""</f>
        <v/>
      </c>
      <c r="CB992" t="str">
        <f>""</f>
        <v/>
      </c>
      <c r="CC992" t="str">
        <f>""</f>
        <v/>
      </c>
      <c r="CD992" t="str">
        <f>""</f>
        <v/>
      </c>
      <c r="CE992" t="str">
        <f>""</f>
        <v/>
      </c>
      <c r="CF992" t="str">
        <f>""</f>
        <v/>
      </c>
      <c r="CG992" t="str">
        <f>""</f>
        <v/>
      </c>
      <c r="CH992" t="str">
        <f>""</f>
        <v/>
      </c>
      <c r="CI992" t="str">
        <f>""</f>
        <v/>
      </c>
      <c r="CJ992" t="str">
        <f>""</f>
        <v/>
      </c>
      <c r="CK992" t="str">
        <f>""</f>
        <v/>
      </c>
      <c r="CL992" t="str">
        <f>""</f>
        <v/>
      </c>
      <c r="CM992" t="str">
        <f>""</f>
        <v/>
      </c>
      <c r="CN992" t="str">
        <f>""</f>
        <v/>
      </c>
      <c r="CO992" t="str">
        <f>""</f>
        <v/>
      </c>
      <c r="CP992" t="str">
        <f>""</f>
        <v/>
      </c>
      <c r="CQ992" t="str">
        <f>""</f>
        <v/>
      </c>
      <c r="CR992" t="str">
        <f>""</f>
        <v/>
      </c>
      <c r="CS992" t="str">
        <f>""</f>
        <v/>
      </c>
      <c r="CT992" t="str">
        <f>""</f>
        <v/>
      </c>
      <c r="CU992" t="str">
        <f>""</f>
        <v/>
      </c>
      <c r="CV992" t="str">
        <f>""</f>
        <v/>
      </c>
      <c r="CW992" t="str">
        <f>""</f>
        <v/>
      </c>
      <c r="CX992" t="str">
        <f>""</f>
        <v/>
      </c>
      <c r="CY992" t="str">
        <f>""</f>
        <v/>
      </c>
      <c r="CZ992" t="str">
        <f>""</f>
        <v/>
      </c>
      <c r="DA992" t="str">
        <f>""</f>
        <v/>
      </c>
      <c r="DB992" t="str">
        <f>""</f>
        <v/>
      </c>
      <c r="DC992" t="str">
        <f>""</f>
        <v/>
      </c>
      <c r="DD992" t="str">
        <f>""</f>
        <v/>
      </c>
      <c r="DE992" t="str">
        <f>""</f>
        <v/>
      </c>
      <c r="DF992" t="str">
        <f>""</f>
        <v/>
      </c>
      <c r="DG992" t="str">
        <f>""</f>
        <v/>
      </c>
      <c r="DH992" t="str">
        <f>""</f>
        <v/>
      </c>
      <c r="DI992" t="str">
        <f>""</f>
        <v/>
      </c>
      <c r="DJ992" t="str">
        <f>""</f>
        <v/>
      </c>
      <c r="DK992" t="str">
        <f>""</f>
        <v/>
      </c>
      <c r="DL992" t="str">
        <f>""</f>
        <v/>
      </c>
      <c r="DM992" t="str">
        <f>""</f>
        <v/>
      </c>
      <c r="DN992" t="str">
        <f>""</f>
        <v/>
      </c>
      <c r="DO992" t="str">
        <f>""</f>
        <v/>
      </c>
      <c r="DP992" t="str">
        <f>""</f>
        <v/>
      </c>
      <c r="DQ992" t="str">
        <f>""</f>
        <v/>
      </c>
      <c r="DR992" t="str">
        <f>""</f>
        <v/>
      </c>
      <c r="DS992" t="str">
        <f>""</f>
        <v/>
      </c>
      <c r="DT992" t="str">
        <f>""</f>
        <v/>
      </c>
      <c r="DU992" t="str">
        <f>""</f>
        <v/>
      </c>
    </row>
    <row r="993" spans="1:125" x14ac:dyDescent="0.25">
      <c r="A993" t="str">
        <f>""</f>
        <v/>
      </c>
      <c r="B993" t="str">
        <f>""</f>
        <v/>
      </c>
      <c r="C993" t="str">
        <f>""</f>
        <v/>
      </c>
      <c r="D993" t="str">
        <f>""</f>
        <v/>
      </c>
      <c r="E993" t="str">
        <f>""</f>
        <v/>
      </c>
      <c r="BN993" t="str">
        <f>""</f>
        <v/>
      </c>
      <c r="BO993" t="str">
        <f>""</f>
        <v/>
      </c>
      <c r="BP993" t="str">
        <f>""</f>
        <v/>
      </c>
      <c r="BQ993" t="str">
        <f>""</f>
        <v/>
      </c>
      <c r="BR993" t="str">
        <f>""</f>
        <v/>
      </c>
      <c r="BS993" t="str">
        <f>""</f>
        <v/>
      </c>
      <c r="BT993" t="str">
        <f>""</f>
        <v/>
      </c>
      <c r="BU993" t="str">
        <f>""</f>
        <v/>
      </c>
      <c r="BV993" t="str">
        <f>""</f>
        <v/>
      </c>
      <c r="BW993" t="str">
        <f>""</f>
        <v/>
      </c>
      <c r="BX993" t="str">
        <f>""</f>
        <v/>
      </c>
      <c r="BY993" t="str">
        <f>""</f>
        <v/>
      </c>
      <c r="BZ993" t="str">
        <f>""</f>
        <v/>
      </c>
      <c r="CA993" t="str">
        <f>""</f>
        <v/>
      </c>
      <c r="CB993" t="str">
        <f>""</f>
        <v/>
      </c>
      <c r="CC993" t="str">
        <f>""</f>
        <v/>
      </c>
      <c r="CD993" t="str">
        <f>""</f>
        <v/>
      </c>
      <c r="CE993" t="str">
        <f>""</f>
        <v/>
      </c>
      <c r="CF993" t="str">
        <f>""</f>
        <v/>
      </c>
      <c r="CG993" t="str">
        <f>""</f>
        <v/>
      </c>
      <c r="CH993" t="str">
        <f>""</f>
        <v/>
      </c>
      <c r="CI993" t="str">
        <f>""</f>
        <v/>
      </c>
      <c r="CJ993" t="str">
        <f>""</f>
        <v/>
      </c>
      <c r="CK993" t="str">
        <f>""</f>
        <v/>
      </c>
      <c r="CL993" t="str">
        <f>""</f>
        <v/>
      </c>
      <c r="CM993" t="str">
        <f>""</f>
        <v/>
      </c>
      <c r="CN993" t="str">
        <f>""</f>
        <v/>
      </c>
      <c r="CO993" t="str">
        <f>""</f>
        <v/>
      </c>
      <c r="CP993" t="str">
        <f>""</f>
        <v/>
      </c>
      <c r="CQ993" t="str">
        <f>""</f>
        <v/>
      </c>
      <c r="CR993" t="str">
        <f>""</f>
        <v/>
      </c>
      <c r="CS993" t="str">
        <f>""</f>
        <v/>
      </c>
      <c r="CT993" t="str">
        <f>""</f>
        <v/>
      </c>
      <c r="CU993" t="str">
        <f>""</f>
        <v/>
      </c>
      <c r="CV993" t="str">
        <f>""</f>
        <v/>
      </c>
      <c r="CW993" t="str">
        <f>""</f>
        <v/>
      </c>
      <c r="CX993" t="str">
        <f>""</f>
        <v/>
      </c>
      <c r="CY993" t="str">
        <f>""</f>
        <v/>
      </c>
      <c r="CZ993" t="str">
        <f>""</f>
        <v/>
      </c>
      <c r="DA993" t="str">
        <f>""</f>
        <v/>
      </c>
      <c r="DB993" t="str">
        <f>""</f>
        <v/>
      </c>
      <c r="DC993" t="str">
        <f>""</f>
        <v/>
      </c>
      <c r="DD993" t="str">
        <f>""</f>
        <v/>
      </c>
      <c r="DE993" t="str">
        <f>""</f>
        <v/>
      </c>
      <c r="DF993" t="str">
        <f>""</f>
        <v/>
      </c>
      <c r="DG993" t="str">
        <f>""</f>
        <v/>
      </c>
      <c r="DH993" t="str">
        <f>""</f>
        <v/>
      </c>
      <c r="DI993" t="str">
        <f>""</f>
        <v/>
      </c>
      <c r="DJ993" t="str">
        <f>""</f>
        <v/>
      </c>
      <c r="DK993" t="str">
        <f>""</f>
        <v/>
      </c>
      <c r="DL993" t="str">
        <f>""</f>
        <v/>
      </c>
      <c r="DM993" t="str">
        <f>""</f>
        <v/>
      </c>
      <c r="DN993" t="str">
        <f>""</f>
        <v/>
      </c>
      <c r="DO993" t="str">
        <f>""</f>
        <v/>
      </c>
      <c r="DP993" t="str">
        <f>""</f>
        <v/>
      </c>
      <c r="DQ993" t="str">
        <f>""</f>
        <v/>
      </c>
      <c r="DR993" t="str">
        <f>""</f>
        <v/>
      </c>
      <c r="DS993" t="str">
        <f>""</f>
        <v/>
      </c>
      <c r="DT993" t="str">
        <f>""</f>
        <v/>
      </c>
      <c r="DU993" t="str">
        <f>""</f>
        <v/>
      </c>
    </row>
    <row r="994" spans="1:125" x14ac:dyDescent="0.25">
      <c r="A994" t="str">
        <f>""</f>
        <v/>
      </c>
      <c r="B994" t="str">
        <f>""</f>
        <v/>
      </c>
      <c r="C994" t="str">
        <f>""</f>
        <v/>
      </c>
      <c r="D994" t="str">
        <f>""</f>
        <v/>
      </c>
      <c r="E994" t="str">
        <f>""</f>
        <v/>
      </c>
      <c r="BN994" t="str">
        <f>""</f>
        <v/>
      </c>
      <c r="BO994" t="str">
        <f>""</f>
        <v/>
      </c>
      <c r="BP994" t="str">
        <f>""</f>
        <v/>
      </c>
      <c r="BQ994" t="str">
        <f>""</f>
        <v/>
      </c>
      <c r="BR994" t="str">
        <f>""</f>
        <v/>
      </c>
      <c r="BS994" t="str">
        <f>""</f>
        <v/>
      </c>
      <c r="BT994" t="str">
        <f>""</f>
        <v/>
      </c>
      <c r="BU994" t="str">
        <f>""</f>
        <v/>
      </c>
      <c r="BV994" t="str">
        <f>""</f>
        <v/>
      </c>
      <c r="BW994" t="str">
        <f>""</f>
        <v/>
      </c>
      <c r="BX994" t="str">
        <f>""</f>
        <v/>
      </c>
      <c r="BY994" t="str">
        <f>""</f>
        <v/>
      </c>
      <c r="BZ994" t="str">
        <f>""</f>
        <v/>
      </c>
      <c r="CA994" t="str">
        <f>""</f>
        <v/>
      </c>
      <c r="CB994" t="str">
        <f>""</f>
        <v/>
      </c>
      <c r="CC994" t="str">
        <f>""</f>
        <v/>
      </c>
      <c r="CD994" t="str">
        <f>""</f>
        <v/>
      </c>
      <c r="CE994" t="str">
        <f>""</f>
        <v/>
      </c>
      <c r="CF994" t="str">
        <f>""</f>
        <v/>
      </c>
      <c r="CG994" t="str">
        <f>""</f>
        <v/>
      </c>
      <c r="CH994" t="str">
        <f>""</f>
        <v/>
      </c>
      <c r="CI994" t="str">
        <f>""</f>
        <v/>
      </c>
      <c r="CJ994" t="str">
        <f>""</f>
        <v/>
      </c>
      <c r="CK994" t="str">
        <f>""</f>
        <v/>
      </c>
      <c r="CL994" t="str">
        <f>""</f>
        <v/>
      </c>
      <c r="CM994" t="str">
        <f>""</f>
        <v/>
      </c>
      <c r="CN994" t="str">
        <f>""</f>
        <v/>
      </c>
      <c r="CO994" t="str">
        <f>""</f>
        <v/>
      </c>
      <c r="CP994" t="str">
        <f>""</f>
        <v/>
      </c>
      <c r="CQ994" t="str">
        <f>""</f>
        <v/>
      </c>
      <c r="CR994" t="str">
        <f>""</f>
        <v/>
      </c>
      <c r="CS994" t="str">
        <f>""</f>
        <v/>
      </c>
      <c r="CT994" t="str">
        <f>""</f>
        <v/>
      </c>
      <c r="CU994" t="str">
        <f>""</f>
        <v/>
      </c>
      <c r="CV994" t="str">
        <f>""</f>
        <v/>
      </c>
      <c r="CW994" t="str">
        <f>""</f>
        <v/>
      </c>
      <c r="CX994" t="str">
        <f>""</f>
        <v/>
      </c>
      <c r="CY994" t="str">
        <f>""</f>
        <v/>
      </c>
      <c r="CZ994" t="str">
        <f>""</f>
        <v/>
      </c>
      <c r="DA994" t="str">
        <f>""</f>
        <v/>
      </c>
      <c r="DB994" t="str">
        <f>""</f>
        <v/>
      </c>
      <c r="DC994" t="str">
        <f>""</f>
        <v/>
      </c>
      <c r="DD994" t="str">
        <f>""</f>
        <v/>
      </c>
      <c r="DE994" t="str">
        <f>""</f>
        <v/>
      </c>
      <c r="DF994" t="str">
        <f>""</f>
        <v/>
      </c>
      <c r="DG994" t="str">
        <f>""</f>
        <v/>
      </c>
      <c r="DH994" t="str">
        <f>""</f>
        <v/>
      </c>
      <c r="DI994" t="str">
        <f>""</f>
        <v/>
      </c>
      <c r="DJ994" t="str">
        <f>""</f>
        <v/>
      </c>
      <c r="DK994" t="str">
        <f>""</f>
        <v/>
      </c>
      <c r="DL994" t="str">
        <f>""</f>
        <v/>
      </c>
      <c r="DM994" t="str">
        <f>""</f>
        <v/>
      </c>
      <c r="DN994" t="str">
        <f>""</f>
        <v/>
      </c>
      <c r="DO994" t="str">
        <f>""</f>
        <v/>
      </c>
      <c r="DP994" t="str">
        <f>""</f>
        <v/>
      </c>
      <c r="DQ994" t="str">
        <f>""</f>
        <v/>
      </c>
      <c r="DR994" t="str">
        <f>""</f>
        <v/>
      </c>
      <c r="DS994" t="str">
        <f>""</f>
        <v/>
      </c>
      <c r="DT994" t="str">
        <f>""</f>
        <v/>
      </c>
      <c r="DU994" t="str">
        <f>""</f>
        <v/>
      </c>
    </row>
    <row r="995" spans="1:125" x14ac:dyDescent="0.25">
      <c r="A995" t="str">
        <f>""</f>
        <v/>
      </c>
      <c r="B995" t="str">
        <f>""</f>
        <v/>
      </c>
      <c r="C995" t="str">
        <f>""</f>
        <v/>
      </c>
      <c r="D995" t="str">
        <f>""</f>
        <v/>
      </c>
      <c r="E995" t="str">
        <f>""</f>
        <v/>
      </c>
      <c r="BN995" t="str">
        <f>""</f>
        <v/>
      </c>
      <c r="BO995" t="str">
        <f>""</f>
        <v/>
      </c>
      <c r="BP995" t="str">
        <f>""</f>
        <v/>
      </c>
      <c r="BQ995" t="str">
        <f>""</f>
        <v/>
      </c>
      <c r="BR995" t="str">
        <f>""</f>
        <v/>
      </c>
      <c r="BS995" t="str">
        <f>""</f>
        <v/>
      </c>
      <c r="BT995" t="str">
        <f>""</f>
        <v/>
      </c>
      <c r="BU995" t="str">
        <f>""</f>
        <v/>
      </c>
      <c r="BV995" t="str">
        <f>""</f>
        <v/>
      </c>
      <c r="BW995" t="str">
        <f>""</f>
        <v/>
      </c>
      <c r="BX995" t="str">
        <f>""</f>
        <v/>
      </c>
      <c r="BY995" t="str">
        <f>""</f>
        <v/>
      </c>
      <c r="BZ995" t="str">
        <f>""</f>
        <v/>
      </c>
      <c r="CA995" t="str">
        <f>""</f>
        <v/>
      </c>
      <c r="CB995" t="str">
        <f>""</f>
        <v/>
      </c>
      <c r="CC995" t="str">
        <f>""</f>
        <v/>
      </c>
      <c r="CD995" t="str">
        <f>""</f>
        <v/>
      </c>
      <c r="CE995" t="str">
        <f>""</f>
        <v/>
      </c>
      <c r="CF995" t="str">
        <f>""</f>
        <v/>
      </c>
      <c r="CG995" t="str">
        <f>""</f>
        <v/>
      </c>
      <c r="CH995" t="str">
        <f>""</f>
        <v/>
      </c>
      <c r="CI995" t="str">
        <f>""</f>
        <v/>
      </c>
      <c r="CJ995" t="str">
        <f>""</f>
        <v/>
      </c>
      <c r="CK995" t="str">
        <f>""</f>
        <v/>
      </c>
      <c r="CL995" t="str">
        <f>""</f>
        <v/>
      </c>
      <c r="CM995" t="str">
        <f>""</f>
        <v/>
      </c>
      <c r="CN995" t="str">
        <f>""</f>
        <v/>
      </c>
      <c r="CO995" t="str">
        <f>""</f>
        <v/>
      </c>
      <c r="CP995" t="str">
        <f>""</f>
        <v/>
      </c>
      <c r="CQ995" t="str">
        <f>""</f>
        <v/>
      </c>
      <c r="CR995" t="str">
        <f>""</f>
        <v/>
      </c>
      <c r="CS995" t="str">
        <f>""</f>
        <v/>
      </c>
      <c r="CT995" t="str">
        <f>""</f>
        <v/>
      </c>
      <c r="CU995" t="str">
        <f>""</f>
        <v/>
      </c>
      <c r="CV995" t="str">
        <f>""</f>
        <v/>
      </c>
      <c r="CW995" t="str">
        <f>""</f>
        <v/>
      </c>
      <c r="CX995" t="str">
        <f>""</f>
        <v/>
      </c>
      <c r="CY995" t="str">
        <f>""</f>
        <v/>
      </c>
      <c r="CZ995" t="str">
        <f>""</f>
        <v/>
      </c>
      <c r="DA995" t="str">
        <f>""</f>
        <v/>
      </c>
      <c r="DB995" t="str">
        <f>""</f>
        <v/>
      </c>
      <c r="DC995" t="str">
        <f>""</f>
        <v/>
      </c>
      <c r="DD995" t="str">
        <f>""</f>
        <v/>
      </c>
      <c r="DE995" t="str">
        <f>""</f>
        <v/>
      </c>
      <c r="DF995" t="str">
        <f>""</f>
        <v/>
      </c>
      <c r="DG995" t="str">
        <f>""</f>
        <v/>
      </c>
      <c r="DH995" t="str">
        <f>""</f>
        <v/>
      </c>
      <c r="DI995" t="str">
        <f>""</f>
        <v/>
      </c>
      <c r="DJ995" t="str">
        <f>""</f>
        <v/>
      </c>
      <c r="DK995" t="str">
        <f>""</f>
        <v/>
      </c>
      <c r="DL995" t="str">
        <f>""</f>
        <v/>
      </c>
      <c r="DM995" t="str">
        <f>""</f>
        <v/>
      </c>
      <c r="DN995" t="str">
        <f>""</f>
        <v/>
      </c>
      <c r="DO995" t="str">
        <f>""</f>
        <v/>
      </c>
      <c r="DP995" t="str">
        <f>""</f>
        <v/>
      </c>
      <c r="DQ995" t="str">
        <f>""</f>
        <v/>
      </c>
      <c r="DR995" t="str">
        <f>""</f>
        <v/>
      </c>
      <c r="DS995" t="str">
        <f>""</f>
        <v/>
      </c>
      <c r="DT995" t="str">
        <f>""</f>
        <v/>
      </c>
      <c r="DU995" t="str">
        <f>""</f>
        <v/>
      </c>
    </row>
    <row r="996" spans="1:125" x14ac:dyDescent="0.25">
      <c r="A996" t="str">
        <f>""</f>
        <v/>
      </c>
      <c r="B996" t="str">
        <f>""</f>
        <v/>
      </c>
      <c r="C996" t="str">
        <f>""</f>
        <v/>
      </c>
      <c r="D996" t="str">
        <f>""</f>
        <v/>
      </c>
      <c r="E996" t="str">
        <f>""</f>
        <v/>
      </c>
      <c r="BN996" t="str">
        <f>""</f>
        <v/>
      </c>
      <c r="BO996" t="str">
        <f>""</f>
        <v/>
      </c>
      <c r="BP996" t="str">
        <f>""</f>
        <v/>
      </c>
      <c r="BQ996" t="str">
        <f>""</f>
        <v/>
      </c>
      <c r="BR996" t="str">
        <f>""</f>
        <v/>
      </c>
      <c r="BS996" t="str">
        <f>""</f>
        <v/>
      </c>
      <c r="BT996" t="str">
        <f>""</f>
        <v/>
      </c>
      <c r="BU996" t="str">
        <f>""</f>
        <v/>
      </c>
      <c r="BV996" t="str">
        <f>""</f>
        <v/>
      </c>
      <c r="BW996" t="str">
        <f>""</f>
        <v/>
      </c>
      <c r="BX996" t="str">
        <f>""</f>
        <v/>
      </c>
      <c r="BY996" t="str">
        <f>""</f>
        <v/>
      </c>
      <c r="BZ996" t="str">
        <f>""</f>
        <v/>
      </c>
      <c r="CA996" t="str">
        <f>""</f>
        <v/>
      </c>
      <c r="CB996" t="str">
        <f>""</f>
        <v/>
      </c>
      <c r="CC996" t="str">
        <f>""</f>
        <v/>
      </c>
      <c r="CD996" t="str">
        <f>""</f>
        <v/>
      </c>
      <c r="CE996" t="str">
        <f>""</f>
        <v/>
      </c>
      <c r="CF996" t="str">
        <f>""</f>
        <v/>
      </c>
      <c r="CG996" t="str">
        <f>""</f>
        <v/>
      </c>
      <c r="CH996" t="str">
        <f>""</f>
        <v/>
      </c>
      <c r="CI996" t="str">
        <f>""</f>
        <v/>
      </c>
      <c r="CJ996" t="str">
        <f>""</f>
        <v/>
      </c>
      <c r="CK996" t="str">
        <f>""</f>
        <v/>
      </c>
      <c r="CL996" t="str">
        <f>""</f>
        <v/>
      </c>
      <c r="CM996" t="str">
        <f>""</f>
        <v/>
      </c>
      <c r="CN996" t="str">
        <f>""</f>
        <v/>
      </c>
      <c r="CO996" t="str">
        <f>""</f>
        <v/>
      </c>
      <c r="CP996" t="str">
        <f>""</f>
        <v/>
      </c>
      <c r="CQ996" t="str">
        <f>""</f>
        <v/>
      </c>
      <c r="CR996" t="str">
        <f>""</f>
        <v/>
      </c>
      <c r="CS996" t="str">
        <f>""</f>
        <v/>
      </c>
      <c r="CT996" t="str">
        <f>""</f>
        <v/>
      </c>
      <c r="CU996" t="str">
        <f>""</f>
        <v/>
      </c>
      <c r="CV996" t="str">
        <f>""</f>
        <v/>
      </c>
      <c r="CW996" t="str">
        <f>""</f>
        <v/>
      </c>
      <c r="CX996" t="str">
        <f>""</f>
        <v/>
      </c>
      <c r="CY996" t="str">
        <f>""</f>
        <v/>
      </c>
      <c r="CZ996" t="str">
        <f>""</f>
        <v/>
      </c>
      <c r="DA996" t="str">
        <f>""</f>
        <v/>
      </c>
      <c r="DB996" t="str">
        <f>""</f>
        <v/>
      </c>
      <c r="DC996" t="str">
        <f>""</f>
        <v/>
      </c>
      <c r="DD996" t="str">
        <f>""</f>
        <v/>
      </c>
      <c r="DE996" t="str">
        <f>""</f>
        <v/>
      </c>
      <c r="DF996" t="str">
        <f>""</f>
        <v/>
      </c>
      <c r="DG996" t="str">
        <f>""</f>
        <v/>
      </c>
      <c r="DH996" t="str">
        <f>""</f>
        <v/>
      </c>
      <c r="DI996" t="str">
        <f>""</f>
        <v/>
      </c>
      <c r="DJ996" t="str">
        <f>""</f>
        <v/>
      </c>
      <c r="DK996" t="str">
        <f>""</f>
        <v/>
      </c>
      <c r="DL996" t="str">
        <f>""</f>
        <v/>
      </c>
      <c r="DM996" t="str">
        <f>""</f>
        <v/>
      </c>
      <c r="DN996" t="str">
        <f>""</f>
        <v/>
      </c>
      <c r="DO996" t="str">
        <f>""</f>
        <v/>
      </c>
      <c r="DP996" t="str">
        <f>""</f>
        <v/>
      </c>
      <c r="DQ996" t="str">
        <f>""</f>
        <v/>
      </c>
      <c r="DR996" t="str">
        <f>""</f>
        <v/>
      </c>
      <c r="DS996" t="str">
        <f>""</f>
        <v/>
      </c>
      <c r="DT996" t="str">
        <f>""</f>
        <v/>
      </c>
      <c r="DU996" t="str">
        <f>""</f>
        <v/>
      </c>
    </row>
    <row r="997" spans="1:125" x14ac:dyDescent="0.25">
      <c r="A997" t="str">
        <f>""</f>
        <v/>
      </c>
      <c r="B997" t="str">
        <f>""</f>
        <v/>
      </c>
      <c r="C997" t="str">
        <f>""</f>
        <v/>
      </c>
      <c r="D997" t="str">
        <f>""</f>
        <v/>
      </c>
      <c r="E997" t="str">
        <f>""</f>
        <v/>
      </c>
      <c r="BN997" t="str">
        <f>""</f>
        <v/>
      </c>
      <c r="BO997" t="str">
        <f>""</f>
        <v/>
      </c>
      <c r="BP997" t="str">
        <f>""</f>
        <v/>
      </c>
      <c r="BQ997" t="str">
        <f>""</f>
        <v/>
      </c>
      <c r="BR997" t="str">
        <f>""</f>
        <v/>
      </c>
      <c r="BS997" t="str">
        <f>""</f>
        <v/>
      </c>
      <c r="BT997" t="str">
        <f>""</f>
        <v/>
      </c>
      <c r="BU997" t="str">
        <f>""</f>
        <v/>
      </c>
      <c r="BV997" t="str">
        <f>""</f>
        <v/>
      </c>
      <c r="BW997" t="str">
        <f>""</f>
        <v/>
      </c>
      <c r="BX997" t="str">
        <f>""</f>
        <v/>
      </c>
      <c r="BY997" t="str">
        <f>""</f>
        <v/>
      </c>
      <c r="BZ997" t="str">
        <f>""</f>
        <v/>
      </c>
      <c r="CA997" t="str">
        <f>""</f>
        <v/>
      </c>
      <c r="CB997" t="str">
        <f>""</f>
        <v/>
      </c>
      <c r="CC997" t="str">
        <f>""</f>
        <v/>
      </c>
      <c r="CD997" t="str">
        <f>""</f>
        <v/>
      </c>
      <c r="CE997" t="str">
        <f>""</f>
        <v/>
      </c>
      <c r="CF997" t="str">
        <f>""</f>
        <v/>
      </c>
      <c r="CG997" t="str">
        <f>""</f>
        <v/>
      </c>
      <c r="CH997" t="str">
        <f>""</f>
        <v/>
      </c>
      <c r="CI997" t="str">
        <f>""</f>
        <v/>
      </c>
      <c r="CJ997" t="str">
        <f>""</f>
        <v/>
      </c>
      <c r="CK997" t="str">
        <f>""</f>
        <v/>
      </c>
      <c r="CL997" t="str">
        <f>""</f>
        <v/>
      </c>
      <c r="CM997" t="str">
        <f>""</f>
        <v/>
      </c>
      <c r="CN997" t="str">
        <f>""</f>
        <v/>
      </c>
      <c r="CO997" t="str">
        <f>""</f>
        <v/>
      </c>
      <c r="CP997" t="str">
        <f>""</f>
        <v/>
      </c>
      <c r="CQ997" t="str">
        <f>""</f>
        <v/>
      </c>
      <c r="CR997" t="str">
        <f>""</f>
        <v/>
      </c>
      <c r="CS997" t="str">
        <f>""</f>
        <v/>
      </c>
      <c r="CT997" t="str">
        <f>""</f>
        <v/>
      </c>
      <c r="CU997" t="str">
        <f>""</f>
        <v/>
      </c>
      <c r="CV997" t="str">
        <f>""</f>
        <v/>
      </c>
      <c r="CW997" t="str">
        <f>""</f>
        <v/>
      </c>
      <c r="CX997" t="str">
        <f>""</f>
        <v/>
      </c>
      <c r="CY997" t="str">
        <f>""</f>
        <v/>
      </c>
      <c r="CZ997" t="str">
        <f>""</f>
        <v/>
      </c>
      <c r="DA997" t="str">
        <f>""</f>
        <v/>
      </c>
      <c r="DB997" t="str">
        <f>""</f>
        <v/>
      </c>
      <c r="DC997" t="str">
        <f>""</f>
        <v/>
      </c>
      <c r="DD997" t="str">
        <f>""</f>
        <v/>
      </c>
      <c r="DE997" t="str">
        <f>""</f>
        <v/>
      </c>
      <c r="DF997" t="str">
        <f>""</f>
        <v/>
      </c>
      <c r="DG997" t="str">
        <f>""</f>
        <v/>
      </c>
      <c r="DH997" t="str">
        <f>""</f>
        <v/>
      </c>
      <c r="DI997" t="str">
        <f>""</f>
        <v/>
      </c>
      <c r="DJ997" t="str">
        <f>""</f>
        <v/>
      </c>
      <c r="DK997" t="str">
        <f>""</f>
        <v/>
      </c>
      <c r="DL997" t="str">
        <f>""</f>
        <v/>
      </c>
      <c r="DM997" t="str">
        <f>""</f>
        <v/>
      </c>
      <c r="DN997" t="str">
        <f>""</f>
        <v/>
      </c>
      <c r="DO997" t="str">
        <f>""</f>
        <v/>
      </c>
      <c r="DP997" t="str">
        <f>""</f>
        <v/>
      </c>
      <c r="DQ997" t="str">
        <f>""</f>
        <v/>
      </c>
      <c r="DR997" t="str">
        <f>""</f>
        <v/>
      </c>
      <c r="DS997" t="str">
        <f>""</f>
        <v/>
      </c>
      <c r="DT997" t="str">
        <f>""</f>
        <v/>
      </c>
      <c r="DU997" t="str">
        <f>""</f>
        <v/>
      </c>
    </row>
    <row r="998" spans="1:125" x14ac:dyDescent="0.25">
      <c r="A998" t="str">
        <f>"~~~~~~~~~~~~~~~~~~~~~"</f>
        <v>~~~~~~~~~~~~~~~~~~~~~</v>
      </c>
      <c r="B998" t="str">
        <f>"~~~~~~~~~~~~~~~~~~~~~"</f>
        <v>~~~~~~~~~~~~~~~~~~~~~</v>
      </c>
      <c r="C998" t="str">
        <f>"~~~~~~~~~~~~~~~~~~~~~"</f>
        <v>~~~~~~~~~~~~~~~~~~~~~</v>
      </c>
      <c r="D998" t="str">
        <f>"~~~~~~~~~~~~~~~~~~~~~"</f>
        <v>~~~~~~~~~~~~~~~~~~~~~</v>
      </c>
      <c r="E998" t="str">
        <f>"~~~~~~~~~~~~~~~~~~~~~"</f>
        <v>~~~~~~~~~~~~~~~~~~~~~</v>
      </c>
      <c r="BN998" t="str">
        <f>""</f>
        <v/>
      </c>
      <c r="BO998" t="str">
        <f>""</f>
        <v/>
      </c>
      <c r="BP998" t="str">
        <f>""</f>
        <v/>
      </c>
      <c r="BQ998" t="str">
        <f>""</f>
        <v/>
      </c>
      <c r="BR998" t="str">
        <f>""</f>
        <v/>
      </c>
      <c r="BS998" t="str">
        <f>""</f>
        <v/>
      </c>
      <c r="BT998" t="str">
        <f>""</f>
        <v/>
      </c>
      <c r="BU998" t="str">
        <f>""</f>
        <v/>
      </c>
      <c r="BV998" t="str">
        <f>""</f>
        <v/>
      </c>
      <c r="BW998" t="str">
        <f>""</f>
        <v/>
      </c>
      <c r="BX998" t="str">
        <f>""</f>
        <v/>
      </c>
      <c r="BY998" t="str">
        <f>""</f>
        <v/>
      </c>
      <c r="BZ998" t="str">
        <f>""</f>
        <v/>
      </c>
      <c r="CA998" t="str">
        <f>""</f>
        <v/>
      </c>
      <c r="CB998" t="str">
        <f>""</f>
        <v/>
      </c>
      <c r="CC998" t="str">
        <f>""</f>
        <v/>
      </c>
      <c r="CD998" t="str">
        <f>""</f>
        <v/>
      </c>
      <c r="CE998" t="str">
        <f>""</f>
        <v/>
      </c>
      <c r="CF998" t="str">
        <f>""</f>
        <v/>
      </c>
      <c r="CG998" t="str">
        <f>""</f>
        <v/>
      </c>
      <c r="CH998" t="str">
        <f>""</f>
        <v/>
      </c>
      <c r="CI998" t="str">
        <f>""</f>
        <v/>
      </c>
      <c r="CJ998" t="str">
        <f>""</f>
        <v/>
      </c>
      <c r="CK998" t="str">
        <f>""</f>
        <v/>
      </c>
      <c r="CL998" t="str">
        <f>""</f>
        <v/>
      </c>
      <c r="CM998" t="str">
        <f>""</f>
        <v/>
      </c>
      <c r="CN998" t="str">
        <f>""</f>
        <v/>
      </c>
      <c r="CO998" t="str">
        <f>""</f>
        <v/>
      </c>
      <c r="CP998" t="str">
        <f>""</f>
        <v/>
      </c>
      <c r="CQ998" t="str">
        <f>""</f>
        <v/>
      </c>
      <c r="CR998" t="str">
        <f>""</f>
        <v/>
      </c>
      <c r="CS998" t="str">
        <f>""</f>
        <v/>
      </c>
      <c r="CT998" t="str">
        <f>""</f>
        <v/>
      </c>
      <c r="CU998" t="str">
        <f>""</f>
        <v/>
      </c>
      <c r="CV998" t="str">
        <f>""</f>
        <v/>
      </c>
      <c r="CW998" t="str">
        <f>""</f>
        <v/>
      </c>
      <c r="CX998" t="str">
        <f>""</f>
        <v/>
      </c>
      <c r="CY998" t="str">
        <f>""</f>
        <v/>
      </c>
      <c r="CZ998" t="str">
        <f>""</f>
        <v/>
      </c>
      <c r="DA998" t="str">
        <f>""</f>
        <v/>
      </c>
      <c r="DB998" t="str">
        <f>""</f>
        <v/>
      </c>
      <c r="DC998" t="str">
        <f>""</f>
        <v/>
      </c>
      <c r="DD998" t="str">
        <f>""</f>
        <v/>
      </c>
      <c r="DE998" t="str">
        <f>""</f>
        <v/>
      </c>
      <c r="DF998" t="str">
        <f>""</f>
        <v/>
      </c>
      <c r="DG998" t="str">
        <f>""</f>
        <v/>
      </c>
      <c r="DH998" t="str">
        <f>""</f>
        <v/>
      </c>
      <c r="DI998" t="str">
        <f>""</f>
        <v/>
      </c>
      <c r="DJ998" t="str">
        <f>""</f>
        <v/>
      </c>
      <c r="DK998" t="str">
        <f>""</f>
        <v/>
      </c>
      <c r="DL998" t="str">
        <f>""</f>
        <v/>
      </c>
      <c r="DM998" t="str">
        <f>""</f>
        <v/>
      </c>
      <c r="DN998" t="str">
        <f>""</f>
        <v/>
      </c>
      <c r="DO998" t="str">
        <f>""</f>
        <v/>
      </c>
      <c r="DP998" t="str">
        <f>""</f>
        <v/>
      </c>
      <c r="DQ998" t="str">
        <f>""</f>
        <v/>
      </c>
      <c r="DR998" t="str">
        <f>""</f>
        <v/>
      </c>
      <c r="DS998" t="str">
        <f>""</f>
        <v/>
      </c>
      <c r="DT998" t="str">
        <f>""</f>
        <v/>
      </c>
      <c r="DU998" t="str">
        <f>""</f>
        <v/>
      </c>
    </row>
    <row r="999" spans="1:125" x14ac:dyDescent="0.25">
      <c r="A999" t="str">
        <f>"Rows below for column date calculation"</f>
        <v>Rows below for column date calculation</v>
      </c>
      <c r="BN999" t="str">
        <f>""</f>
        <v/>
      </c>
      <c r="BO999" t="str">
        <f>""</f>
        <v/>
      </c>
      <c r="BP999" t="str">
        <f>""</f>
        <v/>
      </c>
      <c r="BQ999" t="str">
        <f>""</f>
        <v/>
      </c>
      <c r="BR999" t="str">
        <f>""</f>
        <v/>
      </c>
      <c r="BS999" t="str">
        <f>""</f>
        <v/>
      </c>
      <c r="BT999" t="str">
        <f>""</f>
        <v/>
      </c>
      <c r="BU999" t="str">
        <f>""</f>
        <v/>
      </c>
      <c r="BV999" t="str">
        <f>""</f>
        <v/>
      </c>
      <c r="BW999" t="str">
        <f>""</f>
        <v/>
      </c>
      <c r="BX999" t="str">
        <f>""</f>
        <v/>
      </c>
      <c r="BY999" t="str">
        <f>""</f>
        <v/>
      </c>
      <c r="BZ999" t="str">
        <f>""</f>
        <v/>
      </c>
      <c r="CA999" t="str">
        <f>""</f>
        <v/>
      </c>
      <c r="CB999" t="str">
        <f>""</f>
        <v/>
      </c>
      <c r="CC999" t="str">
        <f>""</f>
        <v/>
      </c>
      <c r="CD999" t="str">
        <f>""</f>
        <v/>
      </c>
      <c r="CE999" t="str">
        <f>""</f>
        <v/>
      </c>
      <c r="CF999" t="str">
        <f>""</f>
        <v/>
      </c>
      <c r="CG999" t="str">
        <f>""</f>
        <v/>
      </c>
      <c r="CH999" t="str">
        <f>""</f>
        <v/>
      </c>
      <c r="CI999" t="str">
        <f>""</f>
        <v/>
      </c>
      <c r="CJ999" t="str">
        <f>""</f>
        <v/>
      </c>
      <c r="CK999" t="str">
        <f>""</f>
        <v/>
      </c>
      <c r="CL999" t="str">
        <f>""</f>
        <v/>
      </c>
      <c r="CM999" t="str">
        <f>""</f>
        <v/>
      </c>
      <c r="CN999" t="str">
        <f>""</f>
        <v/>
      </c>
      <c r="CO999" t="str">
        <f>""</f>
        <v/>
      </c>
      <c r="CP999" t="str">
        <f>""</f>
        <v/>
      </c>
      <c r="CQ999" t="str">
        <f>""</f>
        <v/>
      </c>
      <c r="CR999" t="str">
        <f>""</f>
        <v/>
      </c>
      <c r="CS999" t="str">
        <f>""</f>
        <v/>
      </c>
      <c r="CT999" t="str">
        <f>""</f>
        <v/>
      </c>
      <c r="CU999" t="str">
        <f>""</f>
        <v/>
      </c>
      <c r="CV999" t="str">
        <f>""</f>
        <v/>
      </c>
      <c r="CW999" t="str">
        <f>""</f>
        <v/>
      </c>
      <c r="CX999" t="str">
        <f>""</f>
        <v/>
      </c>
      <c r="CY999" t="str">
        <f>""</f>
        <v/>
      </c>
      <c r="CZ999" t="str">
        <f>""</f>
        <v/>
      </c>
      <c r="DA999" t="str">
        <f>""</f>
        <v/>
      </c>
      <c r="DB999" t="str">
        <f>""</f>
        <v/>
      </c>
      <c r="DC999" t="str">
        <f>""</f>
        <v/>
      </c>
      <c r="DD999" t="str">
        <f>""</f>
        <v/>
      </c>
      <c r="DE999" t="str">
        <f>""</f>
        <v/>
      </c>
      <c r="DF999" t="str">
        <f>""</f>
        <v/>
      </c>
      <c r="DG999" t="str">
        <f>""</f>
        <v/>
      </c>
      <c r="DH999" t="str">
        <f>""</f>
        <v/>
      </c>
      <c r="DI999" t="str">
        <f>""</f>
        <v/>
      </c>
      <c r="DJ999" t="str">
        <f>""</f>
        <v/>
      </c>
      <c r="DK999" t="str">
        <f>""</f>
        <v/>
      </c>
      <c r="DL999" t="str">
        <f>""</f>
        <v/>
      </c>
      <c r="DM999" t="str">
        <f>""</f>
        <v/>
      </c>
      <c r="DN999" t="str">
        <f>""</f>
        <v/>
      </c>
      <c r="DO999" t="str">
        <f>""</f>
        <v/>
      </c>
      <c r="DP999" t="str">
        <f>""</f>
        <v/>
      </c>
      <c r="DQ999" t="str">
        <f>""</f>
        <v/>
      </c>
      <c r="DR999" t="str">
        <f>""</f>
        <v/>
      </c>
      <c r="DS999" t="str">
        <f>""</f>
        <v/>
      </c>
      <c r="DT999" t="str">
        <f>""</f>
        <v/>
      </c>
      <c r="DU999" t="str">
        <f>""</f>
        <v/>
      </c>
    </row>
    <row r="1000" spans="1:125" x14ac:dyDescent="0.25">
      <c r="A1000" t="str">
        <f>"Downloaded at"</f>
        <v>Downloaded at</v>
      </c>
      <c r="B1000">
        <f>DATE(2019, 2,28)</f>
        <v>43524</v>
      </c>
      <c r="C1000" t="str">
        <f>""</f>
        <v/>
      </c>
      <c r="D1000" t="str">
        <f>""</f>
        <v/>
      </c>
      <c r="E1000" t="str">
        <f>""</f>
        <v/>
      </c>
      <c r="BN1000" t="str">
        <f>""</f>
        <v/>
      </c>
      <c r="BO1000" t="str">
        <f>""</f>
        <v/>
      </c>
      <c r="BP1000" t="str">
        <f>""</f>
        <v/>
      </c>
      <c r="BQ1000" t="str">
        <f>""</f>
        <v/>
      </c>
      <c r="BR1000" t="str">
        <f>""</f>
        <v/>
      </c>
      <c r="BS1000" t="str">
        <f>""</f>
        <v/>
      </c>
      <c r="BT1000" t="str">
        <f>""</f>
        <v/>
      </c>
      <c r="BU1000" t="str">
        <f>""</f>
        <v/>
      </c>
      <c r="BV1000" t="str">
        <f>""</f>
        <v/>
      </c>
      <c r="BW1000" t="str">
        <f>""</f>
        <v/>
      </c>
      <c r="BX1000" t="str">
        <f>""</f>
        <v/>
      </c>
      <c r="BY1000" t="str">
        <f>""</f>
        <v/>
      </c>
      <c r="BZ1000" t="str">
        <f>""</f>
        <v/>
      </c>
      <c r="CA1000" t="str">
        <f>""</f>
        <v/>
      </c>
      <c r="CB1000" t="str">
        <f>""</f>
        <v/>
      </c>
      <c r="CC1000" t="str">
        <f>""</f>
        <v/>
      </c>
      <c r="CD1000" t="str">
        <f>""</f>
        <v/>
      </c>
      <c r="CE1000" t="str">
        <f>""</f>
        <v/>
      </c>
      <c r="CF1000" t="str">
        <f>""</f>
        <v/>
      </c>
      <c r="CG1000" t="str">
        <f>""</f>
        <v/>
      </c>
      <c r="CH1000" t="str">
        <f>""</f>
        <v/>
      </c>
      <c r="CI1000" t="str">
        <f>""</f>
        <v/>
      </c>
      <c r="CJ1000" t="str">
        <f>""</f>
        <v/>
      </c>
      <c r="CK1000" t="str">
        <f>""</f>
        <v/>
      </c>
      <c r="CL1000" t="str">
        <f>""</f>
        <v/>
      </c>
      <c r="CM1000" t="str">
        <f>""</f>
        <v/>
      </c>
      <c r="CN1000" t="str">
        <f>""</f>
        <v/>
      </c>
      <c r="CO1000" t="str">
        <f>""</f>
        <v/>
      </c>
      <c r="CP1000" t="str">
        <f>""</f>
        <v/>
      </c>
      <c r="CQ1000" t="str">
        <f>""</f>
        <v/>
      </c>
      <c r="CR1000" t="str">
        <f>""</f>
        <v/>
      </c>
      <c r="CS1000" t="str">
        <f>""</f>
        <v/>
      </c>
      <c r="CT1000" t="str">
        <f>""</f>
        <v/>
      </c>
      <c r="CU1000" t="str">
        <f>""</f>
        <v/>
      </c>
      <c r="CV1000" t="str">
        <f>""</f>
        <v/>
      </c>
      <c r="CW1000" t="str">
        <f>""</f>
        <v/>
      </c>
      <c r="CX1000" t="str">
        <f>""</f>
        <v/>
      </c>
      <c r="CY1000" t="str">
        <f>""</f>
        <v/>
      </c>
      <c r="CZ1000" t="str">
        <f>""</f>
        <v/>
      </c>
      <c r="DA1000" t="str">
        <f>""</f>
        <v/>
      </c>
      <c r="DB1000" t="str">
        <f>""</f>
        <v/>
      </c>
      <c r="DC1000" t="str">
        <f>""</f>
        <v/>
      </c>
      <c r="DD1000" t="str">
        <f>""</f>
        <v/>
      </c>
      <c r="DE1000" t="str">
        <f>""</f>
        <v/>
      </c>
      <c r="DF1000" t="str">
        <f>""</f>
        <v/>
      </c>
      <c r="DG1000" t="str">
        <f>""</f>
        <v/>
      </c>
      <c r="DH1000" t="str">
        <f>""</f>
        <v/>
      </c>
      <c r="DI1000" t="str">
        <f>""</f>
        <v/>
      </c>
      <c r="DJ1000" t="str">
        <f>""</f>
        <v/>
      </c>
      <c r="DK1000" t="str">
        <f>""</f>
        <v/>
      </c>
      <c r="DL1000" t="str">
        <f>""</f>
        <v/>
      </c>
      <c r="DM1000" t="str">
        <f>""</f>
        <v/>
      </c>
      <c r="DN1000" t="str">
        <f>""</f>
        <v/>
      </c>
      <c r="DO1000" t="str">
        <f>""</f>
        <v/>
      </c>
      <c r="DP1000" t="str">
        <f>""</f>
        <v/>
      </c>
      <c r="DQ1000" t="str">
        <f>""</f>
        <v/>
      </c>
      <c r="DR1000" t="str">
        <f>""</f>
        <v/>
      </c>
      <c r="DS1000" t="str">
        <f>""</f>
        <v/>
      </c>
      <c r="DT1000" t="str">
        <f>""</f>
        <v/>
      </c>
      <c r="DU1000" t="str">
        <f>""</f>
        <v/>
      </c>
    </row>
    <row r="1001" spans="1:125" x14ac:dyDescent="0.25">
      <c r="A1001" t="str">
        <f>"This is End Date"</f>
        <v>This is End Date</v>
      </c>
      <c r="B1001">
        <f ca="1">$B$510</f>
        <v>43555</v>
      </c>
      <c r="C1001" t="str">
        <f>""</f>
        <v/>
      </c>
      <c r="D1001" t="str">
        <f>""</f>
        <v/>
      </c>
      <c r="E1001" t="str">
        <f>""</f>
        <v/>
      </c>
      <c r="BN1001" t="str">
        <f>""</f>
        <v/>
      </c>
      <c r="BO1001" t="str">
        <f>""</f>
        <v/>
      </c>
      <c r="BP1001" t="str">
        <f>""</f>
        <v/>
      </c>
      <c r="BQ1001" t="str">
        <f>""</f>
        <v/>
      </c>
      <c r="BR1001" t="str">
        <f>""</f>
        <v/>
      </c>
      <c r="BS1001" t="str">
        <f>""</f>
        <v/>
      </c>
      <c r="BT1001" t="str">
        <f>""</f>
        <v/>
      </c>
      <c r="BU1001" t="str">
        <f>""</f>
        <v/>
      </c>
      <c r="BV1001" t="str">
        <f>""</f>
        <v/>
      </c>
      <c r="BW1001" t="str">
        <f>""</f>
        <v/>
      </c>
      <c r="BX1001" t="str">
        <f>""</f>
        <v/>
      </c>
      <c r="BY1001" t="str">
        <f>""</f>
        <v/>
      </c>
      <c r="BZ1001" t="str">
        <f>""</f>
        <v/>
      </c>
      <c r="CA1001" t="str">
        <f>""</f>
        <v/>
      </c>
      <c r="CB1001" t="str">
        <f>""</f>
        <v/>
      </c>
      <c r="CC1001" t="str">
        <f>""</f>
        <v/>
      </c>
      <c r="CD1001" t="str">
        <f>""</f>
        <v/>
      </c>
      <c r="CE1001" t="str">
        <f>""</f>
        <v/>
      </c>
      <c r="CF1001" t="str">
        <f>""</f>
        <v/>
      </c>
      <c r="CG1001" t="str">
        <f>""</f>
        <v/>
      </c>
      <c r="CH1001" t="str">
        <f>""</f>
        <v/>
      </c>
      <c r="CI1001" t="str">
        <f>""</f>
        <v/>
      </c>
      <c r="CJ1001" t="str">
        <f>""</f>
        <v/>
      </c>
      <c r="CK1001" t="str">
        <f>""</f>
        <v/>
      </c>
      <c r="CL1001" t="str">
        <f>""</f>
        <v/>
      </c>
      <c r="CM1001" t="str">
        <f>""</f>
        <v/>
      </c>
      <c r="CN1001" t="str">
        <f>""</f>
        <v/>
      </c>
      <c r="CO1001" t="str">
        <f>""</f>
        <v/>
      </c>
      <c r="CP1001" t="str">
        <f>""</f>
        <v/>
      </c>
      <c r="CQ1001" t="str">
        <f>""</f>
        <v/>
      </c>
      <c r="CR1001" t="str">
        <f>""</f>
        <v/>
      </c>
      <c r="CS1001" t="str">
        <f>""</f>
        <v/>
      </c>
      <c r="CT1001" t="str">
        <f>""</f>
        <v/>
      </c>
      <c r="CU1001" t="str">
        <f>""</f>
        <v/>
      </c>
      <c r="CV1001" t="str">
        <f>""</f>
        <v/>
      </c>
      <c r="CW1001" t="str">
        <f>""</f>
        <v/>
      </c>
      <c r="CX1001" t="str">
        <f>""</f>
        <v/>
      </c>
      <c r="CY1001" t="str">
        <f>""</f>
        <v/>
      </c>
      <c r="CZ1001" t="str">
        <f>""</f>
        <v/>
      </c>
      <c r="DA1001" t="str">
        <f>""</f>
        <v/>
      </c>
      <c r="DB1001" t="str">
        <f>""</f>
        <v/>
      </c>
      <c r="DC1001" t="str">
        <f>""</f>
        <v/>
      </c>
      <c r="DD1001" t="str">
        <f>""</f>
        <v/>
      </c>
      <c r="DE1001" t="str">
        <f>""</f>
        <v/>
      </c>
      <c r="DF1001" t="str">
        <f>""</f>
        <v/>
      </c>
      <c r="DG1001" t="str">
        <f>""</f>
        <v/>
      </c>
      <c r="DH1001" t="str">
        <f>""</f>
        <v/>
      </c>
      <c r="DI1001" t="str">
        <f>""</f>
        <v/>
      </c>
      <c r="DJ1001" t="str">
        <f>""</f>
        <v/>
      </c>
      <c r="DK1001" t="str">
        <f>""</f>
        <v/>
      </c>
      <c r="DL1001" t="str">
        <f>""</f>
        <v/>
      </c>
      <c r="DM1001" t="str">
        <f>""</f>
        <v/>
      </c>
      <c r="DN1001" t="str">
        <f>""</f>
        <v/>
      </c>
      <c r="DO1001" t="str">
        <f>""</f>
        <v/>
      </c>
      <c r="DP1001" t="str">
        <f>""</f>
        <v/>
      </c>
      <c r="DQ1001" t="str">
        <f>""</f>
        <v/>
      </c>
      <c r="DR1001" t="str">
        <f>""</f>
        <v/>
      </c>
      <c r="DS1001" t="str">
        <f>""</f>
        <v/>
      </c>
      <c r="DT1001" t="str">
        <f>""</f>
        <v/>
      </c>
      <c r="DU1001" t="str">
        <f>""</f>
        <v/>
      </c>
    </row>
    <row r="1002" spans="1:125" x14ac:dyDescent="0.25">
      <c r="A1002" t="str">
        <f>"Description"</f>
        <v>Description</v>
      </c>
      <c r="B1002" t="str">
        <f>"Ticker"</f>
        <v>Ticker</v>
      </c>
      <c r="C1002" t="str">
        <f>"Field ID"</f>
        <v>Field ID</v>
      </c>
      <c r="D1002" t="str">
        <f>"Field Mnemonic"</f>
        <v>Field Mnemonic</v>
      </c>
      <c r="E1002" t="str">
        <f>"Data State"</f>
        <v>Data State</v>
      </c>
      <c r="BN1002" t="str">
        <f>""</f>
        <v/>
      </c>
      <c r="BO1002" t="str">
        <f>""</f>
        <v/>
      </c>
      <c r="BP1002" t="str">
        <f>""</f>
        <v/>
      </c>
      <c r="BQ1002" t="str">
        <f>""</f>
        <v/>
      </c>
      <c r="BR1002" t="str">
        <f>""</f>
        <v/>
      </c>
      <c r="BS1002" t="str">
        <f>""</f>
        <v/>
      </c>
      <c r="BT1002" t="str">
        <f>""</f>
        <v/>
      </c>
      <c r="BU1002" t="str">
        <f>""</f>
        <v/>
      </c>
      <c r="BV1002" t="str">
        <f>""</f>
        <v/>
      </c>
      <c r="BW1002" t="str">
        <f>""</f>
        <v/>
      </c>
      <c r="BX1002" t="str">
        <f>""</f>
        <v/>
      </c>
      <c r="BY1002" t="str">
        <f>""</f>
        <v/>
      </c>
      <c r="BZ1002" t="str">
        <f>""</f>
        <v/>
      </c>
      <c r="CA1002" t="str">
        <f>""</f>
        <v/>
      </c>
      <c r="CB1002" t="str">
        <f>""</f>
        <v/>
      </c>
      <c r="CC1002" t="str">
        <f>""</f>
        <v/>
      </c>
      <c r="CD1002" t="str">
        <f>""</f>
        <v/>
      </c>
      <c r="CE1002" t="str">
        <f>""</f>
        <v/>
      </c>
      <c r="CF1002" t="str">
        <f>""</f>
        <v/>
      </c>
      <c r="CG1002" t="str">
        <f>""</f>
        <v/>
      </c>
      <c r="CH1002" t="str">
        <f>""</f>
        <v/>
      </c>
      <c r="CI1002" t="str">
        <f>""</f>
        <v/>
      </c>
      <c r="CJ1002" t="str">
        <f>""</f>
        <v/>
      </c>
      <c r="CK1002" t="str">
        <f>""</f>
        <v/>
      </c>
      <c r="CL1002" t="str">
        <f>""</f>
        <v/>
      </c>
      <c r="CM1002" t="str">
        <f>""</f>
        <v/>
      </c>
      <c r="CN1002" t="str">
        <f>""</f>
        <v/>
      </c>
      <c r="CO1002" t="str">
        <f>""</f>
        <v/>
      </c>
      <c r="CP1002" t="str">
        <f>""</f>
        <v/>
      </c>
      <c r="CQ1002" t="str">
        <f>""</f>
        <v/>
      </c>
      <c r="CR1002" t="str">
        <f>""</f>
        <v/>
      </c>
      <c r="CS1002" t="str">
        <f>""</f>
        <v/>
      </c>
      <c r="CT1002" t="str">
        <f>""</f>
        <v/>
      </c>
      <c r="CU1002" t="str">
        <f>""</f>
        <v/>
      </c>
      <c r="CV1002" t="str">
        <f>""</f>
        <v/>
      </c>
      <c r="CW1002" t="str">
        <f>""</f>
        <v/>
      </c>
      <c r="CX1002" t="str">
        <f>""</f>
        <v/>
      </c>
      <c r="CY1002" t="str">
        <f>""</f>
        <v/>
      </c>
      <c r="CZ1002" t="str">
        <f>""</f>
        <v/>
      </c>
      <c r="DA1002" t="str">
        <f>""</f>
        <v/>
      </c>
      <c r="DB1002" t="str">
        <f>""</f>
        <v/>
      </c>
      <c r="DC1002" t="str">
        <f>""</f>
        <v/>
      </c>
      <c r="DD1002" t="str">
        <f>""</f>
        <v/>
      </c>
      <c r="DE1002" t="str">
        <f>""</f>
        <v/>
      </c>
      <c r="DF1002" t="str">
        <f>""</f>
        <v/>
      </c>
      <c r="DG1002" t="str">
        <f>""</f>
        <v/>
      </c>
      <c r="DH1002" t="str">
        <f>""</f>
        <v/>
      </c>
      <c r="DI1002" t="str">
        <f>""</f>
        <v/>
      </c>
      <c r="DJ1002" t="str">
        <f>""</f>
        <v/>
      </c>
      <c r="DK1002" t="str">
        <f>""</f>
        <v/>
      </c>
      <c r="DL1002" t="str">
        <f>""</f>
        <v/>
      </c>
      <c r="DM1002" t="str">
        <f>""</f>
        <v/>
      </c>
      <c r="DN1002" t="str">
        <f>""</f>
        <v/>
      </c>
      <c r="DO1002" t="str">
        <f>""</f>
        <v/>
      </c>
      <c r="DP1002" t="str">
        <f>""</f>
        <v/>
      </c>
      <c r="DQ1002" t="str">
        <f>""</f>
        <v/>
      </c>
      <c r="DR1002" t="str">
        <f>""</f>
        <v/>
      </c>
      <c r="DS1002" t="str">
        <f>""</f>
        <v/>
      </c>
      <c r="DT1002" t="str">
        <f>""</f>
        <v/>
      </c>
      <c r="DU1002" t="str">
        <f>""</f>
        <v/>
      </c>
    </row>
    <row r="1003" spans="1:125" x14ac:dyDescent="0.25">
      <c r="A1003" t="str">
        <f>"Snapshot Date"</f>
        <v>Snapshot Date</v>
      </c>
      <c r="B1003">
        <f>DATE(2019, 3,31)</f>
        <v>43555</v>
      </c>
      <c r="C1003" t="str">
        <f>""</f>
        <v/>
      </c>
      <c r="D1003" t="str">
        <f>""</f>
        <v/>
      </c>
      <c r="E1003" t="str">
        <f>""</f>
        <v/>
      </c>
      <c r="BN1003" t="str">
        <f>""</f>
        <v/>
      </c>
      <c r="BO1003" t="str">
        <f>""</f>
        <v/>
      </c>
      <c r="BP1003" t="str">
        <f>""</f>
        <v/>
      </c>
      <c r="BQ1003" t="str">
        <f>""</f>
        <v/>
      </c>
      <c r="BR1003" t="str">
        <f>""</f>
        <v/>
      </c>
      <c r="BS1003" t="str">
        <f>""</f>
        <v/>
      </c>
      <c r="BT1003" t="str">
        <f>""</f>
        <v/>
      </c>
      <c r="BU1003" t="str">
        <f>""</f>
        <v/>
      </c>
      <c r="BV1003" t="str">
        <f>""</f>
        <v/>
      </c>
      <c r="BW1003" t="str">
        <f>""</f>
        <v/>
      </c>
      <c r="BX1003" t="str">
        <f>""</f>
        <v/>
      </c>
      <c r="BY1003" t="str">
        <f>""</f>
        <v/>
      </c>
      <c r="BZ1003" t="str">
        <f>""</f>
        <v/>
      </c>
      <c r="CA1003" t="str">
        <f>""</f>
        <v/>
      </c>
      <c r="CB1003" t="str">
        <f>""</f>
        <v/>
      </c>
      <c r="CC1003" t="str">
        <f>""</f>
        <v/>
      </c>
      <c r="CD1003" t="str">
        <f>""</f>
        <v/>
      </c>
      <c r="CE1003" t="str">
        <f>""</f>
        <v/>
      </c>
      <c r="CF1003" t="str">
        <f>""</f>
        <v/>
      </c>
      <c r="CG1003" t="str">
        <f>""</f>
        <v/>
      </c>
      <c r="CH1003" t="str">
        <f>""</f>
        <v/>
      </c>
      <c r="CI1003" t="str">
        <f>""</f>
        <v/>
      </c>
      <c r="CJ1003" t="str">
        <f>""</f>
        <v/>
      </c>
      <c r="CK1003" t="str">
        <f>""</f>
        <v/>
      </c>
      <c r="CL1003" t="str">
        <f>""</f>
        <v/>
      </c>
      <c r="CM1003" t="str">
        <f>""</f>
        <v/>
      </c>
      <c r="CN1003" t="str">
        <f>""</f>
        <v/>
      </c>
      <c r="CO1003" t="str">
        <f>""</f>
        <v/>
      </c>
      <c r="CP1003" t="str">
        <f>""</f>
        <v/>
      </c>
      <c r="CQ1003" t="str">
        <f>""</f>
        <v/>
      </c>
      <c r="CR1003" t="str">
        <f>""</f>
        <v/>
      </c>
      <c r="CS1003" t="str">
        <f>""</f>
        <v/>
      </c>
      <c r="CT1003" t="str">
        <f>""</f>
        <v/>
      </c>
      <c r="CU1003" t="str">
        <f>""</f>
        <v/>
      </c>
      <c r="CV1003" t="str">
        <f>""</f>
        <v/>
      </c>
      <c r="CW1003" t="str">
        <f>""</f>
        <v/>
      </c>
      <c r="CX1003" t="str">
        <f>""</f>
        <v/>
      </c>
      <c r="CY1003" t="str">
        <f>""</f>
        <v/>
      </c>
      <c r="CZ1003" t="str">
        <f>""</f>
        <v/>
      </c>
      <c r="DA1003" t="str">
        <f>""</f>
        <v/>
      </c>
      <c r="DB1003" t="str">
        <f>""</f>
        <v/>
      </c>
      <c r="DC1003" t="str">
        <f>""</f>
        <v/>
      </c>
      <c r="DD1003" t="str">
        <f>""</f>
        <v/>
      </c>
      <c r="DE1003" t="str">
        <f>""</f>
        <v/>
      </c>
      <c r="DF1003" t="str">
        <f>""</f>
        <v/>
      </c>
      <c r="DG1003" t="str">
        <f>""</f>
        <v/>
      </c>
      <c r="DH1003" t="str">
        <f>""</f>
        <v/>
      </c>
      <c r="DI1003" t="str">
        <f>""</f>
        <v/>
      </c>
      <c r="DJ1003" t="str">
        <f>""</f>
        <v/>
      </c>
      <c r="DK1003" t="str">
        <f>""</f>
        <v/>
      </c>
      <c r="DL1003" t="str">
        <f>""</f>
        <v/>
      </c>
      <c r="DM1003" t="str">
        <f>""</f>
        <v/>
      </c>
      <c r="DN1003" t="str">
        <f>""</f>
        <v/>
      </c>
      <c r="DO1003" t="str">
        <f>""</f>
        <v/>
      </c>
      <c r="DP1003" t="str">
        <f>""</f>
        <v/>
      </c>
      <c r="DQ1003" t="str">
        <f>""</f>
        <v/>
      </c>
      <c r="DR1003" t="str">
        <f>""</f>
        <v/>
      </c>
      <c r="DS1003" t="str">
        <f>""</f>
        <v/>
      </c>
      <c r="DT1003" t="str">
        <f>""</f>
        <v/>
      </c>
      <c r="DU1003" t="str">
        <f>""</f>
        <v/>
      </c>
    </row>
    <row r="1004" spans="1:125" x14ac:dyDescent="0.25">
      <c r="A1004" t="str">
        <f>"Snapshot header"</f>
        <v>Snapshot header</v>
      </c>
      <c r="B1004">
        <f>2</f>
        <v>2</v>
      </c>
      <c r="C1004" t="str">
        <f>"2019 Q1"</f>
        <v>2019 Q1</v>
      </c>
      <c r="D1004" t="str">
        <f>"2018 Q4"</f>
        <v>2018 Q4</v>
      </c>
      <c r="E1004" t="str">
        <f>"2018 Q3"</f>
        <v>2018 Q3</v>
      </c>
      <c r="F1004" t="str">
        <f>"2018 Q2"</f>
        <v>2018 Q2</v>
      </c>
      <c r="G1004" t="str">
        <f>"2018 Q1"</f>
        <v>2018 Q1</v>
      </c>
      <c r="H1004" t="str">
        <f>"2017 Q4"</f>
        <v>2017 Q4</v>
      </c>
      <c r="I1004" t="str">
        <f>"2017 Q3"</f>
        <v>2017 Q3</v>
      </c>
      <c r="J1004" t="str">
        <f>"2017 Q2"</f>
        <v>2017 Q2</v>
      </c>
      <c r="K1004" t="str">
        <f>"2017 Q1"</f>
        <v>2017 Q1</v>
      </c>
      <c r="L1004" t="str">
        <f>"2016 Q4"</f>
        <v>2016 Q4</v>
      </c>
      <c r="M1004" t="str">
        <f>"2016 Q3"</f>
        <v>2016 Q3</v>
      </c>
      <c r="N1004" t="str">
        <f>"2016 Q2"</f>
        <v>2016 Q2</v>
      </c>
      <c r="O1004" t="str">
        <f>"2016 Q1"</f>
        <v>2016 Q1</v>
      </c>
      <c r="P1004" t="str">
        <f>"2015 Q4"</f>
        <v>2015 Q4</v>
      </c>
      <c r="Q1004" t="str">
        <f>"2015 Q3"</f>
        <v>2015 Q3</v>
      </c>
      <c r="R1004" t="str">
        <f>"2015 Q2"</f>
        <v>2015 Q2</v>
      </c>
      <c r="S1004" t="str">
        <f>"2015 Q1"</f>
        <v>2015 Q1</v>
      </c>
      <c r="T1004" t="str">
        <f>"2014 Q4"</f>
        <v>2014 Q4</v>
      </c>
      <c r="U1004" t="str">
        <f>"2014 Q3"</f>
        <v>2014 Q3</v>
      </c>
      <c r="V1004" t="str">
        <f>"2014 Q2"</f>
        <v>2014 Q2</v>
      </c>
      <c r="W1004" t="str">
        <f>"2014 Q1"</f>
        <v>2014 Q1</v>
      </c>
      <c r="X1004" t="str">
        <f>"2013 Q4"</f>
        <v>2013 Q4</v>
      </c>
      <c r="Y1004" t="str">
        <f>"2013 Q3"</f>
        <v>2013 Q3</v>
      </c>
      <c r="Z1004" t="str">
        <f>"2013 Q2"</f>
        <v>2013 Q2</v>
      </c>
      <c r="AA1004" t="str">
        <f>"2013 Q1"</f>
        <v>2013 Q1</v>
      </c>
      <c r="AB1004" t="str">
        <f>"2012 Q4"</f>
        <v>2012 Q4</v>
      </c>
      <c r="AC1004" t="str">
        <f>"2012 Q3"</f>
        <v>2012 Q3</v>
      </c>
      <c r="AD1004" t="str">
        <f>"2012 Q2"</f>
        <v>2012 Q2</v>
      </c>
      <c r="AE1004" t="str">
        <f>"2012 Q1"</f>
        <v>2012 Q1</v>
      </c>
      <c r="AF1004" t="str">
        <f>"2011 Q4"</f>
        <v>2011 Q4</v>
      </c>
      <c r="AG1004" t="str">
        <f>"2011 Q3"</f>
        <v>2011 Q3</v>
      </c>
      <c r="AH1004" t="str">
        <f>"2011 Q2"</f>
        <v>2011 Q2</v>
      </c>
      <c r="AI1004" t="str">
        <f>"2011 Q1"</f>
        <v>2011 Q1</v>
      </c>
      <c r="AJ1004" t="str">
        <f>"2010 Q4"</f>
        <v>2010 Q4</v>
      </c>
      <c r="AK1004" t="str">
        <f>"2010 Q3"</f>
        <v>2010 Q3</v>
      </c>
      <c r="AL1004" t="str">
        <f>"2010 Q2"</f>
        <v>2010 Q2</v>
      </c>
      <c r="AM1004" t="str">
        <f>"2010 Q1"</f>
        <v>2010 Q1</v>
      </c>
      <c r="AN1004" t="str">
        <f>"2009 Q4"</f>
        <v>2009 Q4</v>
      </c>
      <c r="AO1004" t="str">
        <f>"2009 Q3"</f>
        <v>2009 Q3</v>
      </c>
      <c r="AP1004" t="str">
        <f>"2009 Q2"</f>
        <v>2009 Q2</v>
      </c>
      <c r="AQ1004" t="str">
        <f>"2009 Q1"</f>
        <v>2009 Q1</v>
      </c>
      <c r="AR1004" t="str">
        <f>"2008 Q4"</f>
        <v>2008 Q4</v>
      </c>
      <c r="AS1004" t="str">
        <f>"2008 Q3"</f>
        <v>2008 Q3</v>
      </c>
      <c r="AT1004" t="str">
        <f>"2008 Q2"</f>
        <v>2008 Q2</v>
      </c>
      <c r="AU1004" t="str">
        <f>"2008 Q1"</f>
        <v>2008 Q1</v>
      </c>
      <c r="AV1004" t="str">
        <f>"2007 Q4"</f>
        <v>2007 Q4</v>
      </c>
      <c r="AW1004" t="str">
        <f>"2007 Q3"</f>
        <v>2007 Q3</v>
      </c>
      <c r="AX1004" t="str">
        <f>"2007 Q2"</f>
        <v>2007 Q2</v>
      </c>
      <c r="AY1004" t="str">
        <f>"2007 Q1"</f>
        <v>2007 Q1</v>
      </c>
      <c r="AZ1004" t="str">
        <f>"2006 Q4"</f>
        <v>2006 Q4</v>
      </c>
      <c r="BA1004" t="str">
        <f>"2006 Q3"</f>
        <v>2006 Q3</v>
      </c>
      <c r="BB1004" t="str">
        <f>"2006 Q2"</f>
        <v>2006 Q2</v>
      </c>
      <c r="BC1004" t="str">
        <f>"2006 Q1"</f>
        <v>2006 Q1</v>
      </c>
      <c r="BD1004" t="str">
        <f>"2005 Q4"</f>
        <v>2005 Q4</v>
      </c>
      <c r="BE1004" t="str">
        <f>"2005 Q3"</f>
        <v>2005 Q3</v>
      </c>
      <c r="BF1004" t="str">
        <f>"2005 Q2"</f>
        <v>2005 Q2</v>
      </c>
      <c r="BG1004" t="str">
        <f>"2005 Q1"</f>
        <v>2005 Q1</v>
      </c>
      <c r="BH1004" t="str">
        <f>"2004 Q4"</f>
        <v>2004 Q4</v>
      </c>
      <c r="BI1004" t="str">
        <f>"2004 Q3"</f>
        <v>2004 Q3</v>
      </c>
      <c r="BJ1004" t="str">
        <f>"2004 Q2"</f>
        <v>2004 Q2</v>
      </c>
      <c r="BN1004" t="str">
        <f>""</f>
        <v/>
      </c>
      <c r="BO1004" t="str">
        <f>""</f>
        <v/>
      </c>
      <c r="BP1004" t="str">
        <f>""</f>
        <v/>
      </c>
      <c r="BQ1004" t="str">
        <f>""</f>
        <v/>
      </c>
      <c r="BR1004" t="str">
        <f>""</f>
        <v/>
      </c>
      <c r="BS1004" t="str">
        <f>""</f>
        <v/>
      </c>
      <c r="BT1004" t="str">
        <f>""</f>
        <v/>
      </c>
      <c r="BU1004" t="str">
        <f>""</f>
        <v/>
      </c>
      <c r="BV1004" t="str">
        <f>""</f>
        <v/>
      </c>
      <c r="BW1004" t="str">
        <f>""</f>
        <v/>
      </c>
      <c r="BX1004" t="str">
        <f>""</f>
        <v/>
      </c>
      <c r="BY1004" t="str">
        <f>""</f>
        <v/>
      </c>
      <c r="BZ1004" t="str">
        <f>""</f>
        <v/>
      </c>
      <c r="CA1004" t="str">
        <f>""</f>
        <v/>
      </c>
      <c r="CB1004" t="str">
        <f>""</f>
        <v/>
      </c>
      <c r="CC1004" t="str">
        <f>""</f>
        <v/>
      </c>
      <c r="CD1004" t="str">
        <f>""</f>
        <v/>
      </c>
      <c r="CE1004" t="str">
        <f>""</f>
        <v/>
      </c>
      <c r="CF1004" t="str">
        <f>""</f>
        <v/>
      </c>
      <c r="CG1004" t="str">
        <f>""</f>
        <v/>
      </c>
      <c r="CH1004" t="str">
        <f>""</f>
        <v/>
      </c>
      <c r="CI1004" t="str">
        <f>""</f>
        <v/>
      </c>
      <c r="CJ1004" t="str">
        <f>""</f>
        <v/>
      </c>
      <c r="CK1004" t="str">
        <f>""</f>
        <v/>
      </c>
      <c r="CL1004" t="str">
        <f>""</f>
        <v/>
      </c>
      <c r="CM1004" t="str">
        <f>""</f>
        <v/>
      </c>
      <c r="CN1004" t="str">
        <f>""</f>
        <v/>
      </c>
      <c r="CO1004" t="str">
        <f>""</f>
        <v/>
      </c>
      <c r="CP1004" t="str">
        <f>""</f>
        <v/>
      </c>
      <c r="CQ1004" t="str">
        <f>""</f>
        <v/>
      </c>
      <c r="CR1004" t="str">
        <f>""</f>
        <v/>
      </c>
      <c r="CS1004" t="str">
        <f>""</f>
        <v/>
      </c>
      <c r="CT1004" t="str">
        <f>""</f>
        <v/>
      </c>
      <c r="CU1004" t="str">
        <f>""</f>
        <v/>
      </c>
      <c r="CV1004" t="str">
        <f>""</f>
        <v/>
      </c>
      <c r="CW1004" t="str">
        <f>""</f>
        <v/>
      </c>
      <c r="CX1004" t="str">
        <f>""</f>
        <v/>
      </c>
      <c r="CY1004" t="str">
        <f>""</f>
        <v/>
      </c>
      <c r="CZ1004" t="str">
        <f>""</f>
        <v/>
      </c>
      <c r="DA1004" t="str">
        <f>""</f>
        <v/>
      </c>
      <c r="DB1004" t="str">
        <f>""</f>
        <v/>
      </c>
      <c r="DC1004" t="str">
        <f>""</f>
        <v/>
      </c>
      <c r="DD1004" t="str">
        <f>""</f>
        <v/>
      </c>
      <c r="DE1004" t="str">
        <f>""</f>
        <v/>
      </c>
      <c r="DF1004" t="str">
        <f>""</f>
        <v/>
      </c>
      <c r="DG1004" t="str">
        <f>""</f>
        <v/>
      </c>
      <c r="DH1004" t="str">
        <f>""</f>
        <v/>
      </c>
      <c r="DI1004" t="str">
        <f>""</f>
        <v/>
      </c>
      <c r="DJ1004" t="str">
        <f>""</f>
        <v/>
      </c>
      <c r="DK1004" t="str">
        <f>""</f>
        <v/>
      </c>
      <c r="DL1004" t="str">
        <f>""</f>
        <v/>
      </c>
      <c r="DM1004" t="str">
        <f>""</f>
        <v/>
      </c>
      <c r="DN1004" t="str">
        <f>""</f>
        <v/>
      </c>
      <c r="DO1004" t="str">
        <f>""</f>
        <v/>
      </c>
      <c r="DP1004" t="str">
        <f>""</f>
        <v/>
      </c>
      <c r="DQ1004" t="str">
        <f>""</f>
        <v/>
      </c>
      <c r="DR1004" t="str">
        <f>""</f>
        <v/>
      </c>
      <c r="DS1004" t="str">
        <f>""</f>
        <v/>
      </c>
      <c r="DT1004" t="str">
        <f>""</f>
        <v/>
      </c>
      <c r="DU1004" t="str">
        <f>""</f>
        <v/>
      </c>
    </row>
    <row r="1005" spans="1:125" x14ac:dyDescent="0.25">
      <c r="A1005" t="str">
        <f>"BDH snapshot header0"</f>
        <v>BDH snapshot header0</v>
      </c>
      <c r="B1005">
        <f>IF(OR(ISERROR($C$1005),ISBLANK($C$1005),ISNUMBER(SEARCH("N/A",$C$1005) ),ISERROR($C$1006),ISBLANK($C$1006)),0,1)</f>
        <v>0</v>
      </c>
      <c r="C1005" t="str">
        <f>_xll.BDH($B$4,$C$4,$B$509,$B$1003,"PER=CQ","Dts=S","DtFmt=FI", "rows=2","Dir=H","Points=60","Sort=R","Days=A","Fill=B","FX=USD" )</f>
        <v>#N/A Connection</v>
      </c>
      <c r="BN1005" t="str">
        <f>""</f>
        <v/>
      </c>
      <c r="BO1005" t="str">
        <f>""</f>
        <v/>
      </c>
      <c r="BP1005" t="str">
        <f>""</f>
        <v/>
      </c>
      <c r="BQ1005" t="str">
        <f>""</f>
        <v/>
      </c>
      <c r="BR1005" t="str">
        <f>""</f>
        <v/>
      </c>
      <c r="BS1005" t="str">
        <f>""</f>
        <v/>
      </c>
      <c r="BT1005" t="str">
        <f>""</f>
        <v/>
      </c>
      <c r="BU1005" t="str">
        <f>""</f>
        <v/>
      </c>
      <c r="BV1005" t="str">
        <f>""</f>
        <v/>
      </c>
      <c r="BW1005" t="str">
        <f>""</f>
        <v/>
      </c>
      <c r="BX1005" t="str">
        <f>""</f>
        <v/>
      </c>
      <c r="BY1005" t="str">
        <f>""</f>
        <v/>
      </c>
      <c r="BZ1005" t="str">
        <f>""</f>
        <v/>
      </c>
      <c r="CA1005" t="str">
        <f>""</f>
        <v/>
      </c>
      <c r="CB1005" t="str">
        <f>""</f>
        <v/>
      </c>
      <c r="CC1005" t="str">
        <f>""</f>
        <v/>
      </c>
      <c r="CD1005" t="str">
        <f>""</f>
        <v/>
      </c>
      <c r="CE1005" t="str">
        <f>""</f>
        <v/>
      </c>
      <c r="CF1005" t="str">
        <f>""</f>
        <v/>
      </c>
      <c r="CG1005" t="str">
        <f>""</f>
        <v/>
      </c>
      <c r="CH1005" t="str">
        <f>""</f>
        <v/>
      </c>
      <c r="CI1005" t="str">
        <f>""</f>
        <v/>
      </c>
      <c r="CJ1005" t="str">
        <f>""</f>
        <v/>
      </c>
      <c r="CK1005" t="str">
        <f>""</f>
        <v/>
      </c>
      <c r="CL1005" t="str">
        <f>""</f>
        <v/>
      </c>
      <c r="CM1005" t="str">
        <f>""</f>
        <v/>
      </c>
      <c r="CN1005" t="str">
        <f>""</f>
        <v/>
      </c>
      <c r="CO1005" t="str">
        <f>""</f>
        <v/>
      </c>
      <c r="CP1005" t="str">
        <f>""</f>
        <v/>
      </c>
      <c r="CQ1005" t="str">
        <f>""</f>
        <v/>
      </c>
      <c r="CR1005" t="str">
        <f>""</f>
        <v/>
      </c>
      <c r="CS1005" t="str">
        <f>""</f>
        <v/>
      </c>
      <c r="CT1005" t="str">
        <f>""</f>
        <v/>
      </c>
      <c r="CU1005" t="str">
        <f>""</f>
        <v/>
      </c>
      <c r="CV1005" t="str">
        <f>""</f>
        <v/>
      </c>
      <c r="CW1005" t="str">
        <f>""</f>
        <v/>
      </c>
      <c r="CX1005" t="str">
        <f>""</f>
        <v/>
      </c>
      <c r="CY1005" t="str">
        <f>""</f>
        <v/>
      </c>
      <c r="CZ1005" t="str">
        <f>""</f>
        <v/>
      </c>
      <c r="DA1005" t="str">
        <f>""</f>
        <v/>
      </c>
      <c r="DB1005" t="str">
        <f>""</f>
        <v/>
      </c>
      <c r="DC1005" t="str">
        <f>""</f>
        <v/>
      </c>
      <c r="DD1005" t="str">
        <f>""</f>
        <v/>
      </c>
      <c r="DE1005" t="str">
        <f>""</f>
        <v/>
      </c>
      <c r="DF1005" t="str">
        <f>""</f>
        <v/>
      </c>
      <c r="DG1005" t="str">
        <f>""</f>
        <v/>
      </c>
      <c r="DH1005" t="str">
        <f>""</f>
        <v/>
      </c>
      <c r="DI1005" t="str">
        <f>""</f>
        <v/>
      </c>
      <c r="DJ1005" t="str">
        <f>""</f>
        <v/>
      </c>
      <c r="DK1005" t="str">
        <f>""</f>
        <v/>
      </c>
      <c r="DL1005" t="str">
        <f>""</f>
        <v/>
      </c>
      <c r="DM1005" t="str">
        <f>""</f>
        <v/>
      </c>
      <c r="DN1005" t="str">
        <f>""</f>
        <v/>
      </c>
      <c r="DO1005" t="str">
        <f>""</f>
        <v/>
      </c>
      <c r="DP1005" t="str">
        <f>""</f>
        <v/>
      </c>
      <c r="DQ1005" t="str">
        <f>""</f>
        <v/>
      </c>
      <c r="DR1005" t="str">
        <f>""</f>
        <v/>
      </c>
      <c r="DS1005" t="str">
        <f>""</f>
        <v/>
      </c>
      <c r="DT1005" t="str">
        <f>""</f>
        <v/>
      </c>
      <c r="DU1005" t="str">
        <f>""</f>
        <v/>
      </c>
    </row>
    <row r="1006" spans="1:125" x14ac:dyDescent="0.25">
      <c r="A1006" t="str">
        <f>"BDH snapshot result0"</f>
        <v>BDH snapshot result0</v>
      </c>
      <c r="BN1006" t="str">
        <f>""</f>
        <v/>
      </c>
      <c r="BO1006" t="str">
        <f>""</f>
        <v/>
      </c>
      <c r="BP1006" t="str">
        <f>""</f>
        <v/>
      </c>
      <c r="BQ1006" t="str">
        <f>""</f>
        <v/>
      </c>
      <c r="BR1006" t="str">
        <f>""</f>
        <v/>
      </c>
      <c r="BS1006" t="str">
        <f>""</f>
        <v/>
      </c>
      <c r="BT1006" t="str">
        <f>""</f>
        <v/>
      </c>
      <c r="BU1006" t="str">
        <f>""</f>
        <v/>
      </c>
      <c r="BV1006" t="str">
        <f>""</f>
        <v/>
      </c>
      <c r="BW1006" t="str">
        <f>""</f>
        <v/>
      </c>
      <c r="BX1006" t="str">
        <f>""</f>
        <v/>
      </c>
      <c r="BY1006" t="str">
        <f>""</f>
        <v/>
      </c>
      <c r="BZ1006" t="str">
        <f>""</f>
        <v/>
      </c>
      <c r="CA1006" t="str">
        <f>""</f>
        <v/>
      </c>
      <c r="CB1006" t="str">
        <f>""</f>
        <v/>
      </c>
      <c r="CC1006" t="str">
        <f>""</f>
        <v/>
      </c>
      <c r="CD1006" t="str">
        <f>""</f>
        <v/>
      </c>
      <c r="CE1006" t="str">
        <f>""</f>
        <v/>
      </c>
      <c r="CF1006" t="str">
        <f>""</f>
        <v/>
      </c>
      <c r="CG1006" t="str">
        <f>""</f>
        <v/>
      </c>
      <c r="CH1006" t="str">
        <f>""</f>
        <v/>
      </c>
      <c r="CI1006" t="str">
        <f>""</f>
        <v/>
      </c>
      <c r="CJ1006" t="str">
        <f>""</f>
        <v/>
      </c>
      <c r="CK1006" t="str">
        <f>""</f>
        <v/>
      </c>
      <c r="CL1006" t="str">
        <f>""</f>
        <v/>
      </c>
      <c r="CM1006" t="str">
        <f>""</f>
        <v/>
      </c>
      <c r="CN1006" t="str">
        <f>""</f>
        <v/>
      </c>
      <c r="CO1006" t="str">
        <f>""</f>
        <v/>
      </c>
      <c r="CP1006" t="str">
        <f>""</f>
        <v/>
      </c>
      <c r="CQ1006" t="str">
        <f>""</f>
        <v/>
      </c>
      <c r="CR1006" t="str">
        <f>""</f>
        <v/>
      </c>
      <c r="CS1006" t="str">
        <f>""</f>
        <v/>
      </c>
      <c r="CT1006" t="str">
        <f>""</f>
        <v/>
      </c>
      <c r="CU1006" t="str">
        <f>""</f>
        <v/>
      </c>
      <c r="CV1006" t="str">
        <f>""</f>
        <v/>
      </c>
      <c r="CW1006" t="str">
        <f>""</f>
        <v/>
      </c>
      <c r="CX1006" t="str">
        <f>""</f>
        <v/>
      </c>
      <c r="CY1006" t="str">
        <f>""</f>
        <v/>
      </c>
      <c r="CZ1006" t="str">
        <f>""</f>
        <v/>
      </c>
      <c r="DA1006" t="str">
        <f>""</f>
        <v/>
      </c>
      <c r="DB1006" t="str">
        <f>""</f>
        <v/>
      </c>
      <c r="DC1006" t="str">
        <f>""</f>
        <v/>
      </c>
      <c r="DD1006" t="str">
        <f>""</f>
        <v/>
      </c>
      <c r="DE1006" t="str">
        <f>""</f>
        <v/>
      </c>
      <c r="DF1006" t="str">
        <f>""</f>
        <v/>
      </c>
      <c r="DG1006" t="str">
        <f>""</f>
        <v/>
      </c>
      <c r="DH1006" t="str">
        <f>""</f>
        <v/>
      </c>
      <c r="DI1006" t="str">
        <f>""</f>
        <v/>
      </c>
      <c r="DJ1006" t="str">
        <f>""</f>
        <v/>
      </c>
      <c r="DK1006" t="str">
        <f>""</f>
        <v/>
      </c>
      <c r="DL1006" t="str">
        <f>""</f>
        <v/>
      </c>
      <c r="DM1006" t="str">
        <f>""</f>
        <v/>
      </c>
      <c r="DN1006" t="str">
        <f>""</f>
        <v/>
      </c>
      <c r="DO1006" t="str">
        <f>""</f>
        <v/>
      </c>
      <c r="DP1006" t="str">
        <f>""</f>
        <v/>
      </c>
      <c r="DQ1006" t="str">
        <f>""</f>
        <v/>
      </c>
      <c r="DR1006" t="str">
        <f>""</f>
        <v/>
      </c>
      <c r="DS1006" t="str">
        <f>""</f>
        <v/>
      </c>
      <c r="DT1006" t="str">
        <f>""</f>
        <v/>
      </c>
      <c r="DU1006" t="str">
        <f>""</f>
        <v/>
      </c>
    </row>
    <row r="1007" spans="1:125" x14ac:dyDescent="0.25">
      <c r="A1007" t="str">
        <f>"BDH snapshot header1"</f>
        <v>BDH snapshot header1</v>
      </c>
      <c r="B1007">
        <f>IF(OR(ISERROR($C$1007),ISBLANK($C$1007),ISNUMBER(SEARCH("N/A",$C$1007) ),ISERROR($C$1008),ISBLANK($C$1008)),0,1)</f>
        <v>0</v>
      </c>
      <c r="C1007" t="str">
        <f>_xll.BDH($B$5,$C$5,$B$509,$B$1003,"PER=CQ","Dts=S","DtFmt=FI", "rows=2","Dir=H","Points=60","Sort=R","Days=A","Fill=B","FX=USD" )</f>
        <v>#N/A Connection</v>
      </c>
      <c r="BN1007" t="str">
        <f>""</f>
        <v/>
      </c>
      <c r="BO1007" t="str">
        <f>""</f>
        <v/>
      </c>
      <c r="BP1007" t="str">
        <f>""</f>
        <v/>
      </c>
      <c r="BQ1007" t="str">
        <f>""</f>
        <v/>
      </c>
      <c r="BR1007" t="str">
        <f>""</f>
        <v/>
      </c>
      <c r="BS1007" t="str">
        <f>""</f>
        <v/>
      </c>
      <c r="BT1007" t="str">
        <f>""</f>
        <v/>
      </c>
      <c r="BU1007" t="str">
        <f>""</f>
        <v/>
      </c>
      <c r="BV1007" t="str">
        <f>""</f>
        <v/>
      </c>
      <c r="BW1007" t="str">
        <f>""</f>
        <v/>
      </c>
      <c r="BX1007" t="str">
        <f>""</f>
        <v/>
      </c>
      <c r="BY1007" t="str">
        <f>""</f>
        <v/>
      </c>
      <c r="BZ1007" t="str">
        <f>""</f>
        <v/>
      </c>
      <c r="CA1007" t="str">
        <f>""</f>
        <v/>
      </c>
      <c r="CB1007" t="str">
        <f>""</f>
        <v/>
      </c>
      <c r="CC1007" t="str">
        <f>""</f>
        <v/>
      </c>
      <c r="CD1007" t="str">
        <f>""</f>
        <v/>
      </c>
      <c r="CE1007" t="str">
        <f>""</f>
        <v/>
      </c>
      <c r="CF1007" t="str">
        <f>""</f>
        <v/>
      </c>
      <c r="CG1007" t="str">
        <f>""</f>
        <v/>
      </c>
      <c r="CH1007" t="str">
        <f>""</f>
        <v/>
      </c>
      <c r="CI1007" t="str">
        <f>""</f>
        <v/>
      </c>
      <c r="CJ1007" t="str">
        <f>""</f>
        <v/>
      </c>
      <c r="CK1007" t="str">
        <f>""</f>
        <v/>
      </c>
      <c r="CL1007" t="str">
        <f>""</f>
        <v/>
      </c>
      <c r="CM1007" t="str">
        <f>""</f>
        <v/>
      </c>
      <c r="CN1007" t="str">
        <f>""</f>
        <v/>
      </c>
      <c r="CO1007" t="str">
        <f>""</f>
        <v/>
      </c>
      <c r="CP1007" t="str">
        <f>""</f>
        <v/>
      </c>
      <c r="CQ1007" t="str">
        <f>""</f>
        <v/>
      </c>
      <c r="CR1007" t="str">
        <f>""</f>
        <v/>
      </c>
      <c r="CS1007" t="str">
        <f>""</f>
        <v/>
      </c>
      <c r="CT1007" t="str">
        <f>""</f>
        <v/>
      </c>
      <c r="CU1007" t="str">
        <f>""</f>
        <v/>
      </c>
      <c r="CV1007" t="str">
        <f>""</f>
        <v/>
      </c>
      <c r="CW1007" t="str">
        <f>""</f>
        <v/>
      </c>
      <c r="CX1007" t="str">
        <f>""</f>
        <v/>
      </c>
      <c r="CY1007" t="str">
        <f>""</f>
        <v/>
      </c>
      <c r="CZ1007" t="str">
        <f>""</f>
        <v/>
      </c>
      <c r="DA1007" t="str">
        <f>""</f>
        <v/>
      </c>
      <c r="DB1007" t="str">
        <f>""</f>
        <v/>
      </c>
      <c r="DC1007" t="str">
        <f>""</f>
        <v/>
      </c>
      <c r="DD1007" t="str">
        <f>""</f>
        <v/>
      </c>
      <c r="DE1007" t="str">
        <f>""</f>
        <v/>
      </c>
      <c r="DF1007" t="str">
        <f>""</f>
        <v/>
      </c>
      <c r="DG1007" t="str">
        <f>""</f>
        <v/>
      </c>
      <c r="DH1007" t="str">
        <f>""</f>
        <v/>
      </c>
      <c r="DI1007" t="str">
        <f>""</f>
        <v/>
      </c>
      <c r="DJ1007" t="str">
        <f>""</f>
        <v/>
      </c>
      <c r="DK1007" t="str">
        <f>""</f>
        <v/>
      </c>
      <c r="DL1007" t="str">
        <f>""</f>
        <v/>
      </c>
      <c r="DM1007" t="str">
        <f>""</f>
        <v/>
      </c>
      <c r="DN1007" t="str">
        <f>""</f>
        <v/>
      </c>
      <c r="DO1007" t="str">
        <f>""</f>
        <v/>
      </c>
      <c r="DP1007" t="str">
        <f>""</f>
        <v/>
      </c>
      <c r="DQ1007" t="str">
        <f>""</f>
        <v/>
      </c>
      <c r="DR1007" t="str">
        <f>""</f>
        <v/>
      </c>
      <c r="DS1007" t="str">
        <f>""</f>
        <v/>
      </c>
      <c r="DT1007" t="str">
        <f>""</f>
        <v/>
      </c>
      <c r="DU1007" t="str">
        <f>""</f>
        <v/>
      </c>
    </row>
    <row r="1008" spans="1:125" x14ac:dyDescent="0.25">
      <c r="A1008" t="str">
        <f>"BDH snapshot result1"</f>
        <v>BDH snapshot result1</v>
      </c>
      <c r="BN1008" t="str">
        <f>""</f>
        <v/>
      </c>
      <c r="BO1008" t="str">
        <f>""</f>
        <v/>
      </c>
      <c r="BP1008" t="str">
        <f>""</f>
        <v/>
      </c>
      <c r="BQ1008" t="str">
        <f>""</f>
        <v/>
      </c>
      <c r="BR1008" t="str">
        <f>""</f>
        <v/>
      </c>
      <c r="BS1008" t="str">
        <f>""</f>
        <v/>
      </c>
      <c r="BT1008" t="str">
        <f>""</f>
        <v/>
      </c>
      <c r="BU1008" t="str">
        <f>""</f>
        <v/>
      </c>
      <c r="BV1008" t="str">
        <f>""</f>
        <v/>
      </c>
      <c r="BW1008" t="str">
        <f>""</f>
        <v/>
      </c>
      <c r="BX1008" t="str">
        <f>""</f>
        <v/>
      </c>
      <c r="BY1008" t="str">
        <f>""</f>
        <v/>
      </c>
      <c r="BZ1008" t="str">
        <f>""</f>
        <v/>
      </c>
      <c r="CA1008" t="str">
        <f>""</f>
        <v/>
      </c>
      <c r="CB1008" t="str">
        <f>""</f>
        <v/>
      </c>
      <c r="CC1008" t="str">
        <f>""</f>
        <v/>
      </c>
      <c r="CD1008" t="str">
        <f>""</f>
        <v/>
      </c>
      <c r="CE1008" t="str">
        <f>""</f>
        <v/>
      </c>
      <c r="CF1008" t="str">
        <f>""</f>
        <v/>
      </c>
      <c r="CG1008" t="str">
        <f>""</f>
        <v/>
      </c>
      <c r="CH1008" t="str">
        <f>""</f>
        <v/>
      </c>
      <c r="CI1008" t="str">
        <f>""</f>
        <v/>
      </c>
      <c r="CJ1008" t="str">
        <f>""</f>
        <v/>
      </c>
      <c r="CK1008" t="str">
        <f>""</f>
        <v/>
      </c>
      <c r="CL1008" t="str">
        <f>""</f>
        <v/>
      </c>
      <c r="CM1008" t="str">
        <f>""</f>
        <v/>
      </c>
      <c r="CN1008" t="str">
        <f>""</f>
        <v/>
      </c>
      <c r="CO1008" t="str">
        <f>""</f>
        <v/>
      </c>
      <c r="CP1008" t="str">
        <f>""</f>
        <v/>
      </c>
      <c r="CQ1008" t="str">
        <f>""</f>
        <v/>
      </c>
      <c r="CR1008" t="str">
        <f>""</f>
        <v/>
      </c>
      <c r="CS1008" t="str">
        <f>""</f>
        <v/>
      </c>
      <c r="CT1008" t="str">
        <f>""</f>
        <v/>
      </c>
      <c r="CU1008" t="str">
        <f>""</f>
        <v/>
      </c>
      <c r="CV1008" t="str">
        <f>""</f>
        <v/>
      </c>
      <c r="CW1008" t="str">
        <f>""</f>
        <v/>
      </c>
      <c r="CX1008" t="str">
        <f>""</f>
        <v/>
      </c>
      <c r="CY1008" t="str">
        <f>""</f>
        <v/>
      </c>
      <c r="CZ1008" t="str">
        <f>""</f>
        <v/>
      </c>
      <c r="DA1008" t="str">
        <f>""</f>
        <v/>
      </c>
      <c r="DB1008" t="str">
        <f>""</f>
        <v/>
      </c>
      <c r="DC1008" t="str">
        <f>""</f>
        <v/>
      </c>
      <c r="DD1008" t="str">
        <f>""</f>
        <v/>
      </c>
      <c r="DE1008" t="str">
        <f>""</f>
        <v/>
      </c>
      <c r="DF1008" t="str">
        <f>""</f>
        <v/>
      </c>
      <c r="DG1008" t="str">
        <f>""</f>
        <v/>
      </c>
      <c r="DH1008" t="str">
        <f>""</f>
        <v/>
      </c>
      <c r="DI1008" t="str">
        <f>""</f>
        <v/>
      </c>
      <c r="DJ1008" t="str">
        <f>""</f>
        <v/>
      </c>
      <c r="DK1008" t="str">
        <f>""</f>
        <v/>
      </c>
      <c r="DL1008" t="str">
        <f>""</f>
        <v/>
      </c>
      <c r="DM1008" t="str">
        <f>""</f>
        <v/>
      </c>
      <c r="DN1008" t="str">
        <f>""</f>
        <v/>
      </c>
      <c r="DO1008" t="str">
        <f>""</f>
        <v/>
      </c>
      <c r="DP1008" t="str">
        <f>""</f>
        <v/>
      </c>
      <c r="DQ1008" t="str">
        <f>""</f>
        <v/>
      </c>
      <c r="DR1008" t="str">
        <f>""</f>
        <v/>
      </c>
      <c r="DS1008" t="str">
        <f>""</f>
        <v/>
      </c>
      <c r="DT1008" t="str">
        <f>""</f>
        <v/>
      </c>
      <c r="DU1008" t="str">
        <f>""</f>
        <v/>
      </c>
    </row>
    <row r="1009" spans="1:125" x14ac:dyDescent="0.25">
      <c r="A1009" t="str">
        <f>"BDH snapshot header2"</f>
        <v>BDH snapshot header2</v>
      </c>
      <c r="B1009">
        <f>IF(OR(ISERROR($C$1009),ISBLANK($C$1009),ISNUMBER(SEARCH("N/A",$C$1009) ),ISERROR($C$1010),ISBLANK($C$1010)),0,1)</f>
        <v>0</v>
      </c>
      <c r="C1009" t="str">
        <f>_xll.BDH($B$6,$C$6,$B$509,$B$1003,"PER=CQ","Dts=S","DtFmt=FI", "rows=2","Dir=H","Points=60","Sort=R","Days=A","Fill=B","FX=USD" )</f>
        <v>#N/A Connection</v>
      </c>
      <c r="BN1009" t="str">
        <f>""</f>
        <v/>
      </c>
      <c r="BO1009" t="str">
        <f>""</f>
        <v/>
      </c>
      <c r="BP1009" t="str">
        <f>""</f>
        <v/>
      </c>
      <c r="BQ1009" t="str">
        <f>""</f>
        <v/>
      </c>
      <c r="BR1009" t="str">
        <f>""</f>
        <v/>
      </c>
      <c r="BS1009" t="str">
        <f>""</f>
        <v/>
      </c>
      <c r="BT1009" t="str">
        <f>""</f>
        <v/>
      </c>
      <c r="BU1009" t="str">
        <f>""</f>
        <v/>
      </c>
      <c r="BV1009" t="str">
        <f>""</f>
        <v/>
      </c>
      <c r="BW1009" t="str">
        <f>""</f>
        <v/>
      </c>
      <c r="BX1009" t="str">
        <f>""</f>
        <v/>
      </c>
      <c r="BY1009" t="str">
        <f>""</f>
        <v/>
      </c>
      <c r="BZ1009" t="str">
        <f>""</f>
        <v/>
      </c>
      <c r="CA1009" t="str">
        <f>""</f>
        <v/>
      </c>
      <c r="CB1009" t="str">
        <f>""</f>
        <v/>
      </c>
      <c r="CC1009" t="str">
        <f>""</f>
        <v/>
      </c>
      <c r="CD1009" t="str">
        <f>""</f>
        <v/>
      </c>
      <c r="CE1009" t="str">
        <f>""</f>
        <v/>
      </c>
      <c r="CF1009" t="str">
        <f>""</f>
        <v/>
      </c>
      <c r="CG1009" t="str">
        <f>""</f>
        <v/>
      </c>
      <c r="CH1009" t="str">
        <f>""</f>
        <v/>
      </c>
      <c r="CI1009" t="str">
        <f>""</f>
        <v/>
      </c>
      <c r="CJ1009" t="str">
        <f>""</f>
        <v/>
      </c>
      <c r="CK1009" t="str">
        <f>""</f>
        <v/>
      </c>
      <c r="CL1009" t="str">
        <f>""</f>
        <v/>
      </c>
      <c r="CM1009" t="str">
        <f>""</f>
        <v/>
      </c>
      <c r="CN1009" t="str">
        <f>""</f>
        <v/>
      </c>
      <c r="CO1009" t="str">
        <f>""</f>
        <v/>
      </c>
      <c r="CP1009" t="str">
        <f>""</f>
        <v/>
      </c>
      <c r="CQ1009" t="str">
        <f>""</f>
        <v/>
      </c>
      <c r="CR1009" t="str">
        <f>""</f>
        <v/>
      </c>
      <c r="CS1009" t="str">
        <f>""</f>
        <v/>
      </c>
      <c r="CT1009" t="str">
        <f>""</f>
        <v/>
      </c>
      <c r="CU1009" t="str">
        <f>""</f>
        <v/>
      </c>
      <c r="CV1009" t="str">
        <f>""</f>
        <v/>
      </c>
      <c r="CW1009" t="str">
        <f>""</f>
        <v/>
      </c>
      <c r="CX1009" t="str">
        <f>""</f>
        <v/>
      </c>
      <c r="CY1009" t="str">
        <f>""</f>
        <v/>
      </c>
      <c r="CZ1009" t="str">
        <f>""</f>
        <v/>
      </c>
      <c r="DA1009" t="str">
        <f>""</f>
        <v/>
      </c>
      <c r="DB1009" t="str">
        <f>""</f>
        <v/>
      </c>
      <c r="DC1009" t="str">
        <f>""</f>
        <v/>
      </c>
      <c r="DD1009" t="str">
        <f>""</f>
        <v/>
      </c>
      <c r="DE1009" t="str">
        <f>""</f>
        <v/>
      </c>
      <c r="DF1009" t="str">
        <f>""</f>
        <v/>
      </c>
      <c r="DG1009" t="str">
        <f>""</f>
        <v/>
      </c>
      <c r="DH1009" t="str">
        <f>""</f>
        <v/>
      </c>
      <c r="DI1009" t="str">
        <f>""</f>
        <v/>
      </c>
      <c r="DJ1009" t="str">
        <f>""</f>
        <v/>
      </c>
      <c r="DK1009" t="str">
        <f>""</f>
        <v/>
      </c>
      <c r="DL1009" t="str">
        <f>""</f>
        <v/>
      </c>
      <c r="DM1009" t="str">
        <f>""</f>
        <v/>
      </c>
      <c r="DN1009" t="str">
        <f>""</f>
        <v/>
      </c>
      <c r="DO1009" t="str">
        <f>""</f>
        <v/>
      </c>
      <c r="DP1009" t="str">
        <f>""</f>
        <v/>
      </c>
      <c r="DQ1009" t="str">
        <f>""</f>
        <v/>
      </c>
      <c r="DR1009" t="str">
        <f>""</f>
        <v/>
      </c>
      <c r="DS1009" t="str">
        <f>""</f>
        <v/>
      </c>
      <c r="DT1009" t="str">
        <f>""</f>
        <v/>
      </c>
      <c r="DU1009" t="str">
        <f>""</f>
        <v/>
      </c>
    </row>
    <row r="1010" spans="1:125" x14ac:dyDescent="0.25">
      <c r="A1010" t="str">
        <f>"BDH snapshot result2"</f>
        <v>BDH snapshot result2</v>
      </c>
      <c r="BN1010" t="str">
        <f>""</f>
        <v/>
      </c>
      <c r="BO1010" t="str">
        <f>""</f>
        <v/>
      </c>
      <c r="BP1010" t="str">
        <f>""</f>
        <v/>
      </c>
      <c r="BQ1010" t="str">
        <f>""</f>
        <v/>
      </c>
      <c r="BR1010" t="str">
        <f>""</f>
        <v/>
      </c>
      <c r="BS1010" t="str">
        <f>""</f>
        <v/>
      </c>
      <c r="BT1010" t="str">
        <f>""</f>
        <v/>
      </c>
      <c r="BU1010" t="str">
        <f>""</f>
        <v/>
      </c>
      <c r="BV1010" t="str">
        <f>""</f>
        <v/>
      </c>
      <c r="BW1010" t="str">
        <f>""</f>
        <v/>
      </c>
      <c r="BX1010" t="str">
        <f>""</f>
        <v/>
      </c>
      <c r="BY1010" t="str">
        <f>""</f>
        <v/>
      </c>
      <c r="BZ1010" t="str">
        <f>""</f>
        <v/>
      </c>
      <c r="CA1010" t="str">
        <f>""</f>
        <v/>
      </c>
      <c r="CB1010" t="str">
        <f>""</f>
        <v/>
      </c>
      <c r="CC1010" t="str">
        <f>""</f>
        <v/>
      </c>
      <c r="CD1010" t="str">
        <f>""</f>
        <v/>
      </c>
      <c r="CE1010" t="str">
        <f>""</f>
        <v/>
      </c>
      <c r="CF1010" t="str">
        <f>""</f>
        <v/>
      </c>
      <c r="CG1010" t="str">
        <f>""</f>
        <v/>
      </c>
      <c r="CH1010" t="str">
        <f>""</f>
        <v/>
      </c>
      <c r="CI1010" t="str">
        <f>""</f>
        <v/>
      </c>
      <c r="CJ1010" t="str">
        <f>""</f>
        <v/>
      </c>
      <c r="CK1010" t="str">
        <f>""</f>
        <v/>
      </c>
      <c r="CL1010" t="str">
        <f>""</f>
        <v/>
      </c>
      <c r="CM1010" t="str">
        <f>""</f>
        <v/>
      </c>
      <c r="CN1010" t="str">
        <f>""</f>
        <v/>
      </c>
      <c r="CO1010" t="str">
        <f>""</f>
        <v/>
      </c>
      <c r="CP1010" t="str">
        <f>""</f>
        <v/>
      </c>
      <c r="CQ1010" t="str">
        <f>""</f>
        <v/>
      </c>
      <c r="CR1010" t="str">
        <f>""</f>
        <v/>
      </c>
      <c r="CS1010" t="str">
        <f>""</f>
        <v/>
      </c>
      <c r="CT1010" t="str">
        <f>""</f>
        <v/>
      </c>
      <c r="CU1010" t="str">
        <f>""</f>
        <v/>
      </c>
      <c r="CV1010" t="str">
        <f>""</f>
        <v/>
      </c>
      <c r="CW1010" t="str">
        <f>""</f>
        <v/>
      </c>
      <c r="CX1010" t="str">
        <f>""</f>
        <v/>
      </c>
      <c r="CY1010" t="str">
        <f>""</f>
        <v/>
      </c>
      <c r="CZ1010" t="str">
        <f>""</f>
        <v/>
      </c>
      <c r="DA1010" t="str">
        <f>""</f>
        <v/>
      </c>
      <c r="DB1010" t="str">
        <f>""</f>
        <v/>
      </c>
      <c r="DC1010" t="str">
        <f>""</f>
        <v/>
      </c>
      <c r="DD1010" t="str">
        <f>""</f>
        <v/>
      </c>
      <c r="DE1010" t="str">
        <f>""</f>
        <v/>
      </c>
      <c r="DF1010" t="str">
        <f>""</f>
        <v/>
      </c>
      <c r="DG1010" t="str">
        <f>""</f>
        <v/>
      </c>
      <c r="DH1010" t="str">
        <f>""</f>
        <v/>
      </c>
      <c r="DI1010" t="str">
        <f>""</f>
        <v/>
      </c>
      <c r="DJ1010" t="str">
        <f>""</f>
        <v/>
      </c>
      <c r="DK1010" t="str">
        <f>""</f>
        <v/>
      </c>
      <c r="DL1010" t="str">
        <f>""</f>
        <v/>
      </c>
      <c r="DM1010" t="str">
        <f>""</f>
        <v/>
      </c>
      <c r="DN1010" t="str">
        <f>""</f>
        <v/>
      </c>
      <c r="DO1010" t="str">
        <f>""</f>
        <v/>
      </c>
      <c r="DP1010" t="str">
        <f>""</f>
        <v/>
      </c>
      <c r="DQ1010" t="str">
        <f>""</f>
        <v/>
      </c>
      <c r="DR1010" t="str">
        <f>""</f>
        <v/>
      </c>
      <c r="DS1010" t="str">
        <f>""</f>
        <v/>
      </c>
      <c r="DT1010" t="str">
        <f>""</f>
        <v/>
      </c>
      <c r="DU1010" t="str">
        <f>""</f>
        <v/>
      </c>
    </row>
    <row r="1011" spans="1:125" x14ac:dyDescent="0.25">
      <c r="A1011" t="str">
        <f>"BDH snapshot"</f>
        <v>BDH snapshot</v>
      </c>
      <c r="B1011">
        <f>IF($B$1005&gt;=1,$B$1005,IF($B$1007&gt;=1,$B$1007,IF($B$1009&gt;=1,$B$1009,$B$1004)))</f>
        <v>2</v>
      </c>
      <c r="C1011" t="str">
        <f>IF($B$1005&gt;=1,$C$1005,IF($B$1007&gt;=1,$C$1007,IF($B$1009&gt;=1,$C$1009,$C$1004)))</f>
        <v>2019 Q1</v>
      </c>
      <c r="D1011" t="str">
        <f>IF($B$1005&gt;=1,$D$1005,IF($B$1007&gt;=1,$D$1007,IF($B$1009&gt;=1,$D$1009,$D$1004)))</f>
        <v>2018 Q4</v>
      </c>
      <c r="E1011" t="str">
        <f>IF($B$1005&gt;=1,$E$1005,IF($B$1007&gt;=1,$E$1007,IF($B$1009&gt;=1,$E$1009,$E$1004)))</f>
        <v>2018 Q3</v>
      </c>
      <c r="F1011" t="str">
        <f>IF($B$1005&gt;=1,$F$1005,IF($B$1007&gt;=1,$F$1007,IF($B$1009&gt;=1,$F$1009,$F$1004)))</f>
        <v>2018 Q2</v>
      </c>
      <c r="G1011" t="str">
        <f>IF($B$1005&gt;=1,$G$1005,IF($B$1007&gt;=1,$G$1007,IF($B$1009&gt;=1,$G$1009,$G$1004)))</f>
        <v>2018 Q1</v>
      </c>
      <c r="H1011" t="str">
        <f>IF($B$1005&gt;=1,$H$1005,IF($B$1007&gt;=1,$H$1007,IF($B$1009&gt;=1,$H$1009,$H$1004)))</f>
        <v>2017 Q4</v>
      </c>
      <c r="I1011" t="str">
        <f>IF($B$1005&gt;=1,$I$1005,IF($B$1007&gt;=1,$I$1007,IF($B$1009&gt;=1,$I$1009,$I$1004)))</f>
        <v>2017 Q3</v>
      </c>
      <c r="J1011" t="str">
        <f>IF($B$1005&gt;=1,$J$1005,IF($B$1007&gt;=1,$J$1007,IF($B$1009&gt;=1,$J$1009,$J$1004)))</f>
        <v>2017 Q2</v>
      </c>
      <c r="K1011" t="str">
        <f>IF($B$1005&gt;=1,$K$1005,IF($B$1007&gt;=1,$K$1007,IF($B$1009&gt;=1,$K$1009,$K$1004)))</f>
        <v>2017 Q1</v>
      </c>
      <c r="L1011" t="str">
        <f>IF($B$1005&gt;=1,$L$1005,IF($B$1007&gt;=1,$L$1007,IF($B$1009&gt;=1,$L$1009,$L$1004)))</f>
        <v>2016 Q4</v>
      </c>
      <c r="M1011" t="str">
        <f>IF($B$1005&gt;=1,$M$1005,IF($B$1007&gt;=1,$M$1007,IF($B$1009&gt;=1,$M$1009,$M$1004)))</f>
        <v>2016 Q3</v>
      </c>
      <c r="N1011" t="str">
        <f>IF($B$1005&gt;=1,$N$1005,IF($B$1007&gt;=1,$N$1007,IF($B$1009&gt;=1,$N$1009,$N$1004)))</f>
        <v>2016 Q2</v>
      </c>
      <c r="O1011" t="str">
        <f>IF($B$1005&gt;=1,$O$1005,IF($B$1007&gt;=1,$O$1007,IF($B$1009&gt;=1,$O$1009,$O$1004)))</f>
        <v>2016 Q1</v>
      </c>
      <c r="P1011" t="str">
        <f>IF($B$1005&gt;=1,$P$1005,IF($B$1007&gt;=1,$P$1007,IF($B$1009&gt;=1,$P$1009,$P$1004)))</f>
        <v>2015 Q4</v>
      </c>
      <c r="Q1011" t="str">
        <f>IF($B$1005&gt;=1,$Q$1005,IF($B$1007&gt;=1,$Q$1007,IF($B$1009&gt;=1,$Q$1009,$Q$1004)))</f>
        <v>2015 Q3</v>
      </c>
      <c r="R1011" t="str">
        <f>IF($B$1005&gt;=1,$R$1005,IF($B$1007&gt;=1,$R$1007,IF($B$1009&gt;=1,$R$1009,$R$1004)))</f>
        <v>2015 Q2</v>
      </c>
      <c r="S1011" t="str">
        <f>IF($B$1005&gt;=1,$S$1005,IF($B$1007&gt;=1,$S$1007,IF($B$1009&gt;=1,$S$1009,$S$1004)))</f>
        <v>2015 Q1</v>
      </c>
      <c r="T1011" t="str">
        <f>IF($B$1005&gt;=1,$T$1005,IF($B$1007&gt;=1,$T$1007,IF($B$1009&gt;=1,$T$1009,$T$1004)))</f>
        <v>2014 Q4</v>
      </c>
      <c r="U1011" t="str">
        <f>IF($B$1005&gt;=1,$U$1005,IF($B$1007&gt;=1,$U$1007,IF($B$1009&gt;=1,$U$1009,$U$1004)))</f>
        <v>2014 Q3</v>
      </c>
      <c r="V1011" t="str">
        <f>IF($B$1005&gt;=1,$V$1005,IF($B$1007&gt;=1,$V$1007,IF($B$1009&gt;=1,$V$1009,$V$1004)))</f>
        <v>2014 Q2</v>
      </c>
      <c r="W1011" t="str">
        <f>IF($B$1005&gt;=1,$W$1005,IF($B$1007&gt;=1,$W$1007,IF($B$1009&gt;=1,$W$1009,$W$1004)))</f>
        <v>2014 Q1</v>
      </c>
      <c r="X1011" t="str">
        <f>IF($B$1005&gt;=1,$X$1005,IF($B$1007&gt;=1,$X$1007,IF($B$1009&gt;=1,$X$1009,$X$1004)))</f>
        <v>2013 Q4</v>
      </c>
      <c r="Y1011" t="str">
        <f>IF($B$1005&gt;=1,$Y$1005,IF($B$1007&gt;=1,$Y$1007,IF($B$1009&gt;=1,$Y$1009,$Y$1004)))</f>
        <v>2013 Q3</v>
      </c>
      <c r="Z1011" t="str">
        <f>IF($B$1005&gt;=1,$Z$1005,IF($B$1007&gt;=1,$Z$1007,IF($B$1009&gt;=1,$Z$1009,$Z$1004)))</f>
        <v>2013 Q2</v>
      </c>
      <c r="AA1011" t="str">
        <f>IF($B$1005&gt;=1,$AA$1005,IF($B$1007&gt;=1,$AA$1007,IF($B$1009&gt;=1,$AA$1009,$AA$1004)))</f>
        <v>2013 Q1</v>
      </c>
      <c r="AB1011" t="str">
        <f>IF($B$1005&gt;=1,$AB$1005,IF($B$1007&gt;=1,$AB$1007,IF($B$1009&gt;=1,$AB$1009,$AB$1004)))</f>
        <v>2012 Q4</v>
      </c>
      <c r="AC1011" t="str">
        <f>IF($B$1005&gt;=1,$AC$1005,IF($B$1007&gt;=1,$AC$1007,IF($B$1009&gt;=1,$AC$1009,$AC$1004)))</f>
        <v>2012 Q3</v>
      </c>
      <c r="AD1011" t="str">
        <f>IF($B$1005&gt;=1,$AD$1005,IF($B$1007&gt;=1,$AD$1007,IF($B$1009&gt;=1,$AD$1009,$AD$1004)))</f>
        <v>2012 Q2</v>
      </c>
      <c r="AE1011" t="str">
        <f>IF($B$1005&gt;=1,$AE$1005,IF($B$1007&gt;=1,$AE$1007,IF($B$1009&gt;=1,$AE$1009,$AE$1004)))</f>
        <v>2012 Q1</v>
      </c>
      <c r="AF1011" t="str">
        <f>IF($B$1005&gt;=1,$AF$1005,IF($B$1007&gt;=1,$AF$1007,IF($B$1009&gt;=1,$AF$1009,$AF$1004)))</f>
        <v>2011 Q4</v>
      </c>
      <c r="AG1011" t="str">
        <f>IF($B$1005&gt;=1,$AG$1005,IF($B$1007&gt;=1,$AG$1007,IF($B$1009&gt;=1,$AG$1009,$AG$1004)))</f>
        <v>2011 Q3</v>
      </c>
      <c r="AH1011" t="str">
        <f>IF($B$1005&gt;=1,$AH$1005,IF($B$1007&gt;=1,$AH$1007,IF($B$1009&gt;=1,$AH$1009,$AH$1004)))</f>
        <v>2011 Q2</v>
      </c>
      <c r="AI1011" t="str">
        <f>IF($B$1005&gt;=1,$AI$1005,IF($B$1007&gt;=1,$AI$1007,IF($B$1009&gt;=1,$AI$1009,$AI$1004)))</f>
        <v>2011 Q1</v>
      </c>
      <c r="AJ1011" t="str">
        <f>IF($B$1005&gt;=1,$AJ$1005,IF($B$1007&gt;=1,$AJ$1007,IF($B$1009&gt;=1,$AJ$1009,$AJ$1004)))</f>
        <v>2010 Q4</v>
      </c>
      <c r="AK1011" t="str">
        <f>IF($B$1005&gt;=1,$AK$1005,IF($B$1007&gt;=1,$AK$1007,IF($B$1009&gt;=1,$AK$1009,$AK$1004)))</f>
        <v>2010 Q3</v>
      </c>
      <c r="AL1011" t="str">
        <f>IF($B$1005&gt;=1,$AL$1005,IF($B$1007&gt;=1,$AL$1007,IF($B$1009&gt;=1,$AL$1009,$AL$1004)))</f>
        <v>2010 Q2</v>
      </c>
      <c r="AM1011" t="str">
        <f>IF($B$1005&gt;=1,$AM$1005,IF($B$1007&gt;=1,$AM$1007,IF($B$1009&gt;=1,$AM$1009,$AM$1004)))</f>
        <v>2010 Q1</v>
      </c>
      <c r="AN1011" t="str">
        <f>IF($B$1005&gt;=1,$AN$1005,IF($B$1007&gt;=1,$AN$1007,IF($B$1009&gt;=1,$AN$1009,$AN$1004)))</f>
        <v>2009 Q4</v>
      </c>
      <c r="AO1011" t="str">
        <f>IF($B$1005&gt;=1,$AO$1005,IF($B$1007&gt;=1,$AO$1007,IF($B$1009&gt;=1,$AO$1009,$AO$1004)))</f>
        <v>2009 Q3</v>
      </c>
      <c r="AP1011" t="str">
        <f>IF($B$1005&gt;=1,$AP$1005,IF($B$1007&gt;=1,$AP$1007,IF($B$1009&gt;=1,$AP$1009,$AP$1004)))</f>
        <v>2009 Q2</v>
      </c>
      <c r="AQ1011" t="str">
        <f>IF($B$1005&gt;=1,$AQ$1005,IF($B$1007&gt;=1,$AQ$1007,IF($B$1009&gt;=1,$AQ$1009,$AQ$1004)))</f>
        <v>2009 Q1</v>
      </c>
      <c r="AR1011" t="str">
        <f>IF($B$1005&gt;=1,$AR$1005,IF($B$1007&gt;=1,$AR$1007,IF($B$1009&gt;=1,$AR$1009,$AR$1004)))</f>
        <v>2008 Q4</v>
      </c>
      <c r="AS1011" t="str">
        <f>IF($B$1005&gt;=1,$AS$1005,IF($B$1007&gt;=1,$AS$1007,IF($B$1009&gt;=1,$AS$1009,$AS$1004)))</f>
        <v>2008 Q3</v>
      </c>
      <c r="AT1011" t="str">
        <f>IF($B$1005&gt;=1,$AT$1005,IF($B$1007&gt;=1,$AT$1007,IF($B$1009&gt;=1,$AT$1009,$AT$1004)))</f>
        <v>2008 Q2</v>
      </c>
      <c r="AU1011" t="str">
        <f>IF($B$1005&gt;=1,$AU$1005,IF($B$1007&gt;=1,$AU$1007,IF($B$1009&gt;=1,$AU$1009,$AU$1004)))</f>
        <v>2008 Q1</v>
      </c>
      <c r="AV1011" t="str">
        <f>IF($B$1005&gt;=1,$AV$1005,IF($B$1007&gt;=1,$AV$1007,IF($B$1009&gt;=1,$AV$1009,$AV$1004)))</f>
        <v>2007 Q4</v>
      </c>
      <c r="AW1011" t="str">
        <f>IF($B$1005&gt;=1,$AW$1005,IF($B$1007&gt;=1,$AW$1007,IF($B$1009&gt;=1,$AW$1009,$AW$1004)))</f>
        <v>2007 Q3</v>
      </c>
      <c r="AX1011" t="str">
        <f>IF($B$1005&gt;=1,$AX$1005,IF($B$1007&gt;=1,$AX$1007,IF($B$1009&gt;=1,$AX$1009,$AX$1004)))</f>
        <v>2007 Q2</v>
      </c>
      <c r="AY1011" t="str">
        <f>IF($B$1005&gt;=1,$AY$1005,IF($B$1007&gt;=1,$AY$1007,IF($B$1009&gt;=1,$AY$1009,$AY$1004)))</f>
        <v>2007 Q1</v>
      </c>
      <c r="AZ1011" t="str">
        <f>IF($B$1005&gt;=1,$AZ$1005,IF($B$1007&gt;=1,$AZ$1007,IF($B$1009&gt;=1,$AZ$1009,$AZ$1004)))</f>
        <v>2006 Q4</v>
      </c>
      <c r="BA1011" t="str">
        <f>IF($B$1005&gt;=1,$BA$1005,IF($B$1007&gt;=1,$BA$1007,IF($B$1009&gt;=1,$BA$1009,$BA$1004)))</f>
        <v>2006 Q3</v>
      </c>
      <c r="BB1011" t="str">
        <f>IF($B$1005&gt;=1,$BB$1005,IF($B$1007&gt;=1,$BB$1007,IF($B$1009&gt;=1,$BB$1009,$BB$1004)))</f>
        <v>2006 Q2</v>
      </c>
      <c r="BC1011" t="str">
        <f>IF($B$1005&gt;=1,$BC$1005,IF($B$1007&gt;=1,$BC$1007,IF($B$1009&gt;=1,$BC$1009,$BC$1004)))</f>
        <v>2006 Q1</v>
      </c>
      <c r="BD1011" t="str">
        <f>IF($B$1005&gt;=1,$BD$1005,IF($B$1007&gt;=1,$BD$1007,IF($B$1009&gt;=1,$BD$1009,$BD$1004)))</f>
        <v>2005 Q4</v>
      </c>
      <c r="BE1011" t="str">
        <f>IF($B$1005&gt;=1,$BE$1005,IF($B$1007&gt;=1,$BE$1007,IF($B$1009&gt;=1,$BE$1009,$BE$1004)))</f>
        <v>2005 Q3</v>
      </c>
      <c r="BF1011" t="str">
        <f>IF($B$1005&gt;=1,$BF$1005,IF($B$1007&gt;=1,$BF$1007,IF($B$1009&gt;=1,$BF$1009,$BF$1004)))</f>
        <v>2005 Q2</v>
      </c>
      <c r="BG1011" t="str">
        <f>IF($B$1005&gt;=1,$BG$1005,IF($B$1007&gt;=1,$BG$1007,IF($B$1009&gt;=1,$BG$1009,$BG$1004)))</f>
        <v>2005 Q1</v>
      </c>
      <c r="BH1011" t="str">
        <f>IF($B$1005&gt;=1,$BH$1005,IF($B$1007&gt;=1,$BH$1007,IF($B$1009&gt;=1,$BH$1009,$BH$1004)))</f>
        <v>2004 Q4</v>
      </c>
      <c r="BI1011" t="str">
        <f>IF($B$1005&gt;=1,$BI$1005,IF($B$1007&gt;=1,$BI$1007,IF($B$1009&gt;=1,$BI$1009,$BI$1004)))</f>
        <v>2004 Q3</v>
      </c>
      <c r="BJ1011" t="str">
        <f>IF($B$1005&gt;=1,$BJ$1005,IF($B$1007&gt;=1,$BJ$1007,IF($B$1009&gt;=1,$BJ$1009,$BJ$1004)))</f>
        <v>2004 Q2</v>
      </c>
      <c r="BN1011" t="str">
        <f>""</f>
        <v/>
      </c>
      <c r="BO1011" t="str">
        <f>""</f>
        <v/>
      </c>
      <c r="BP1011" t="str">
        <f>""</f>
        <v/>
      </c>
      <c r="BQ1011" t="str">
        <f>""</f>
        <v/>
      </c>
      <c r="BR1011" t="str">
        <f>""</f>
        <v/>
      </c>
      <c r="BS1011" t="str">
        <f>""</f>
        <v/>
      </c>
      <c r="BT1011" t="str">
        <f>""</f>
        <v/>
      </c>
      <c r="BU1011" t="str">
        <f>""</f>
        <v/>
      </c>
      <c r="BV1011" t="str">
        <f>""</f>
        <v/>
      </c>
      <c r="BW1011" t="str">
        <f>""</f>
        <v/>
      </c>
      <c r="BX1011" t="str">
        <f>""</f>
        <v/>
      </c>
      <c r="BY1011" t="str">
        <f>""</f>
        <v/>
      </c>
      <c r="BZ1011" t="str">
        <f>""</f>
        <v/>
      </c>
      <c r="CA1011" t="str">
        <f>""</f>
        <v/>
      </c>
      <c r="CB1011" t="str">
        <f>""</f>
        <v/>
      </c>
      <c r="CC1011" t="str">
        <f>""</f>
        <v/>
      </c>
      <c r="CD1011" t="str">
        <f>""</f>
        <v/>
      </c>
      <c r="CE1011" t="str">
        <f>""</f>
        <v/>
      </c>
      <c r="CF1011" t="str">
        <f>""</f>
        <v/>
      </c>
      <c r="CG1011" t="str">
        <f>""</f>
        <v/>
      </c>
      <c r="CH1011" t="str">
        <f>""</f>
        <v/>
      </c>
      <c r="CI1011" t="str">
        <f>""</f>
        <v/>
      </c>
      <c r="CJ1011" t="str">
        <f>""</f>
        <v/>
      </c>
      <c r="CK1011" t="str">
        <f>""</f>
        <v/>
      </c>
      <c r="CL1011" t="str">
        <f>""</f>
        <v/>
      </c>
      <c r="CM1011" t="str">
        <f>""</f>
        <v/>
      </c>
      <c r="CN1011" t="str">
        <f>""</f>
        <v/>
      </c>
      <c r="CO1011" t="str">
        <f>""</f>
        <v/>
      </c>
      <c r="CP1011" t="str">
        <f>""</f>
        <v/>
      </c>
      <c r="CQ1011" t="str">
        <f>""</f>
        <v/>
      </c>
      <c r="CR1011" t="str">
        <f>""</f>
        <v/>
      </c>
      <c r="CS1011" t="str">
        <f>""</f>
        <v/>
      </c>
      <c r="CT1011" t="str">
        <f>""</f>
        <v/>
      </c>
      <c r="CU1011" t="str">
        <f>""</f>
        <v/>
      </c>
      <c r="CV1011" t="str">
        <f>""</f>
        <v/>
      </c>
      <c r="CW1011" t="str">
        <f>""</f>
        <v/>
      </c>
      <c r="CX1011" t="str">
        <f>""</f>
        <v/>
      </c>
      <c r="CY1011" t="str">
        <f>""</f>
        <v/>
      </c>
      <c r="CZ1011" t="str">
        <f>""</f>
        <v/>
      </c>
      <c r="DA1011" t="str">
        <f>""</f>
        <v/>
      </c>
      <c r="DB1011" t="str">
        <f>""</f>
        <v/>
      </c>
      <c r="DC1011" t="str">
        <f>""</f>
        <v/>
      </c>
      <c r="DD1011" t="str">
        <f>""</f>
        <v/>
      </c>
      <c r="DE1011" t="str">
        <f>""</f>
        <v/>
      </c>
      <c r="DF1011" t="str">
        <f>""</f>
        <v/>
      </c>
      <c r="DG1011" t="str">
        <f>""</f>
        <v/>
      </c>
      <c r="DH1011" t="str">
        <f>""</f>
        <v/>
      </c>
      <c r="DI1011" t="str">
        <f>""</f>
        <v/>
      </c>
      <c r="DJ1011" t="str">
        <f>""</f>
        <v/>
      </c>
      <c r="DK1011" t="str">
        <f>""</f>
        <v/>
      </c>
      <c r="DL1011" t="str">
        <f>""</f>
        <v/>
      </c>
      <c r="DM1011" t="str">
        <f>""</f>
        <v/>
      </c>
      <c r="DN1011" t="str">
        <f>""</f>
        <v/>
      </c>
      <c r="DO1011" t="str">
        <f>""</f>
        <v/>
      </c>
      <c r="DP1011" t="str">
        <f>""</f>
        <v/>
      </c>
      <c r="DQ1011" t="str">
        <f>""</f>
        <v/>
      </c>
      <c r="DR1011" t="str">
        <f>""</f>
        <v/>
      </c>
      <c r="DS1011" t="str">
        <f>""</f>
        <v/>
      </c>
      <c r="DT1011" t="str">
        <f>""</f>
        <v/>
      </c>
      <c r="DU1011" t="str">
        <f>""</f>
        <v/>
      </c>
    </row>
    <row r="1012" spans="1:125" x14ac:dyDescent="0.25">
      <c r="A1012" t="str">
        <f>"BDH snapshot title"</f>
        <v>BDH snapshot title</v>
      </c>
      <c r="B1012">
        <f>$B$1011</f>
        <v>2</v>
      </c>
      <c r="C1012" t="str">
        <f>IF(LEN($C$1011)&lt;&gt;8,$C$1011,RIGHT($C$1011,4)&amp;" "&amp;MID($C$1011,3,1)&amp;LEFT($C$1011,1))</f>
        <v>2019 Q1</v>
      </c>
      <c r="D1012" t="str">
        <f>IF(LEN($D$1011)&lt;&gt;8,$D$1011,RIGHT($D$1011,4)&amp;" "&amp;MID($D$1011,3,1)&amp;LEFT($D$1011,1))</f>
        <v>2018 Q4</v>
      </c>
      <c r="E1012" t="str">
        <f>IF(LEN($E$1011)&lt;&gt;8,$E$1011,RIGHT($E$1011,4)&amp;" "&amp;MID($E$1011,3,1)&amp;LEFT($E$1011,1))</f>
        <v>2018 Q3</v>
      </c>
      <c r="F1012" t="str">
        <f>IF(LEN($F$1011)&lt;&gt;8,$F$1011,RIGHT($F$1011,4)&amp;" "&amp;MID($F$1011,3,1)&amp;LEFT($F$1011,1))</f>
        <v>2018 Q2</v>
      </c>
      <c r="G1012" t="str">
        <f>IF(LEN($G$1011)&lt;&gt;8,$G$1011,RIGHT($G$1011,4)&amp;" "&amp;MID($G$1011,3,1)&amp;LEFT($G$1011,1))</f>
        <v>2018 Q1</v>
      </c>
      <c r="H1012" t="str">
        <f>IF(LEN($H$1011)&lt;&gt;8,$H$1011,RIGHT($H$1011,4)&amp;" "&amp;MID($H$1011,3,1)&amp;LEFT($H$1011,1))</f>
        <v>2017 Q4</v>
      </c>
      <c r="I1012" t="str">
        <f>IF(LEN($I$1011)&lt;&gt;8,$I$1011,RIGHT($I$1011,4)&amp;" "&amp;MID($I$1011,3,1)&amp;LEFT($I$1011,1))</f>
        <v>2017 Q3</v>
      </c>
      <c r="J1012" t="str">
        <f>IF(LEN($J$1011)&lt;&gt;8,$J$1011,RIGHT($J$1011,4)&amp;" "&amp;MID($J$1011,3,1)&amp;LEFT($J$1011,1))</f>
        <v>2017 Q2</v>
      </c>
      <c r="K1012" t="str">
        <f>IF(LEN($K$1011)&lt;&gt;8,$K$1011,RIGHT($K$1011,4)&amp;" "&amp;MID($K$1011,3,1)&amp;LEFT($K$1011,1))</f>
        <v>2017 Q1</v>
      </c>
      <c r="L1012" t="str">
        <f>IF(LEN($L$1011)&lt;&gt;8,$L$1011,RIGHT($L$1011,4)&amp;" "&amp;MID($L$1011,3,1)&amp;LEFT($L$1011,1))</f>
        <v>2016 Q4</v>
      </c>
      <c r="M1012" t="str">
        <f>IF(LEN($M$1011)&lt;&gt;8,$M$1011,RIGHT($M$1011,4)&amp;" "&amp;MID($M$1011,3,1)&amp;LEFT($M$1011,1))</f>
        <v>2016 Q3</v>
      </c>
      <c r="N1012" t="str">
        <f>IF(LEN($N$1011)&lt;&gt;8,$N$1011,RIGHT($N$1011,4)&amp;" "&amp;MID($N$1011,3,1)&amp;LEFT($N$1011,1))</f>
        <v>2016 Q2</v>
      </c>
      <c r="O1012" t="str">
        <f>IF(LEN($O$1011)&lt;&gt;8,$O$1011,RIGHT($O$1011,4)&amp;" "&amp;MID($O$1011,3,1)&amp;LEFT($O$1011,1))</f>
        <v>2016 Q1</v>
      </c>
      <c r="P1012" t="str">
        <f>IF(LEN($P$1011)&lt;&gt;8,$P$1011,RIGHT($P$1011,4)&amp;" "&amp;MID($P$1011,3,1)&amp;LEFT($P$1011,1))</f>
        <v>2015 Q4</v>
      </c>
      <c r="Q1012" t="str">
        <f>IF(LEN($Q$1011)&lt;&gt;8,$Q$1011,RIGHT($Q$1011,4)&amp;" "&amp;MID($Q$1011,3,1)&amp;LEFT($Q$1011,1))</f>
        <v>2015 Q3</v>
      </c>
      <c r="R1012" t="str">
        <f>IF(LEN($R$1011)&lt;&gt;8,$R$1011,RIGHT($R$1011,4)&amp;" "&amp;MID($R$1011,3,1)&amp;LEFT($R$1011,1))</f>
        <v>2015 Q2</v>
      </c>
      <c r="S1012" t="str">
        <f>IF(LEN($S$1011)&lt;&gt;8,$S$1011,RIGHT($S$1011,4)&amp;" "&amp;MID($S$1011,3,1)&amp;LEFT($S$1011,1))</f>
        <v>2015 Q1</v>
      </c>
      <c r="T1012" t="str">
        <f>IF(LEN($T$1011)&lt;&gt;8,$T$1011,RIGHT($T$1011,4)&amp;" "&amp;MID($T$1011,3,1)&amp;LEFT($T$1011,1))</f>
        <v>2014 Q4</v>
      </c>
      <c r="U1012" t="str">
        <f>IF(LEN($U$1011)&lt;&gt;8,$U$1011,RIGHT($U$1011,4)&amp;" "&amp;MID($U$1011,3,1)&amp;LEFT($U$1011,1))</f>
        <v>2014 Q3</v>
      </c>
      <c r="V1012" t="str">
        <f>IF(LEN($V$1011)&lt;&gt;8,$V$1011,RIGHT($V$1011,4)&amp;" "&amp;MID($V$1011,3,1)&amp;LEFT($V$1011,1))</f>
        <v>2014 Q2</v>
      </c>
      <c r="W1012" t="str">
        <f>IF(LEN($W$1011)&lt;&gt;8,$W$1011,RIGHT($W$1011,4)&amp;" "&amp;MID($W$1011,3,1)&amp;LEFT($W$1011,1))</f>
        <v>2014 Q1</v>
      </c>
      <c r="X1012" t="str">
        <f>IF(LEN($X$1011)&lt;&gt;8,$X$1011,RIGHT($X$1011,4)&amp;" "&amp;MID($X$1011,3,1)&amp;LEFT($X$1011,1))</f>
        <v>2013 Q4</v>
      </c>
      <c r="Y1012" t="str">
        <f>IF(LEN($Y$1011)&lt;&gt;8,$Y$1011,RIGHT($Y$1011,4)&amp;" "&amp;MID($Y$1011,3,1)&amp;LEFT($Y$1011,1))</f>
        <v>2013 Q3</v>
      </c>
      <c r="Z1012" t="str">
        <f>IF(LEN($Z$1011)&lt;&gt;8,$Z$1011,RIGHT($Z$1011,4)&amp;" "&amp;MID($Z$1011,3,1)&amp;LEFT($Z$1011,1))</f>
        <v>2013 Q2</v>
      </c>
      <c r="AA1012" t="str">
        <f>IF(LEN($AA$1011)&lt;&gt;8,$AA$1011,RIGHT($AA$1011,4)&amp;" "&amp;MID($AA$1011,3,1)&amp;LEFT($AA$1011,1))</f>
        <v>2013 Q1</v>
      </c>
      <c r="AB1012" t="str">
        <f>IF(LEN($AB$1011)&lt;&gt;8,$AB$1011,RIGHT($AB$1011,4)&amp;" "&amp;MID($AB$1011,3,1)&amp;LEFT($AB$1011,1))</f>
        <v>2012 Q4</v>
      </c>
      <c r="AC1012" t="str">
        <f>IF(LEN($AC$1011)&lt;&gt;8,$AC$1011,RIGHT($AC$1011,4)&amp;" "&amp;MID($AC$1011,3,1)&amp;LEFT($AC$1011,1))</f>
        <v>2012 Q3</v>
      </c>
      <c r="AD1012" t="str">
        <f>IF(LEN($AD$1011)&lt;&gt;8,$AD$1011,RIGHT($AD$1011,4)&amp;" "&amp;MID($AD$1011,3,1)&amp;LEFT($AD$1011,1))</f>
        <v>2012 Q2</v>
      </c>
      <c r="AE1012" t="str">
        <f>IF(LEN($AE$1011)&lt;&gt;8,$AE$1011,RIGHT($AE$1011,4)&amp;" "&amp;MID($AE$1011,3,1)&amp;LEFT($AE$1011,1))</f>
        <v>2012 Q1</v>
      </c>
      <c r="AF1012" t="str">
        <f>IF(LEN($AF$1011)&lt;&gt;8,$AF$1011,RIGHT($AF$1011,4)&amp;" "&amp;MID($AF$1011,3,1)&amp;LEFT($AF$1011,1))</f>
        <v>2011 Q4</v>
      </c>
      <c r="AG1012" t="str">
        <f>IF(LEN($AG$1011)&lt;&gt;8,$AG$1011,RIGHT($AG$1011,4)&amp;" "&amp;MID($AG$1011,3,1)&amp;LEFT($AG$1011,1))</f>
        <v>2011 Q3</v>
      </c>
      <c r="AH1012" t="str">
        <f>IF(LEN($AH$1011)&lt;&gt;8,$AH$1011,RIGHT($AH$1011,4)&amp;" "&amp;MID($AH$1011,3,1)&amp;LEFT($AH$1011,1))</f>
        <v>2011 Q2</v>
      </c>
      <c r="AI1012" t="str">
        <f>IF(LEN($AI$1011)&lt;&gt;8,$AI$1011,RIGHT($AI$1011,4)&amp;" "&amp;MID($AI$1011,3,1)&amp;LEFT($AI$1011,1))</f>
        <v>2011 Q1</v>
      </c>
      <c r="AJ1012" t="str">
        <f>IF(LEN($AJ$1011)&lt;&gt;8,$AJ$1011,RIGHT($AJ$1011,4)&amp;" "&amp;MID($AJ$1011,3,1)&amp;LEFT($AJ$1011,1))</f>
        <v>2010 Q4</v>
      </c>
      <c r="AK1012" t="str">
        <f>IF(LEN($AK$1011)&lt;&gt;8,$AK$1011,RIGHT($AK$1011,4)&amp;" "&amp;MID($AK$1011,3,1)&amp;LEFT($AK$1011,1))</f>
        <v>2010 Q3</v>
      </c>
      <c r="AL1012" t="str">
        <f>IF(LEN($AL$1011)&lt;&gt;8,$AL$1011,RIGHT($AL$1011,4)&amp;" "&amp;MID($AL$1011,3,1)&amp;LEFT($AL$1011,1))</f>
        <v>2010 Q2</v>
      </c>
      <c r="AM1012" t="str">
        <f>IF(LEN($AM$1011)&lt;&gt;8,$AM$1011,RIGHT($AM$1011,4)&amp;" "&amp;MID($AM$1011,3,1)&amp;LEFT($AM$1011,1))</f>
        <v>2010 Q1</v>
      </c>
      <c r="AN1012" t="str">
        <f>IF(LEN($AN$1011)&lt;&gt;8,$AN$1011,RIGHT($AN$1011,4)&amp;" "&amp;MID($AN$1011,3,1)&amp;LEFT($AN$1011,1))</f>
        <v>2009 Q4</v>
      </c>
      <c r="AO1012" t="str">
        <f>IF(LEN($AO$1011)&lt;&gt;8,$AO$1011,RIGHT($AO$1011,4)&amp;" "&amp;MID($AO$1011,3,1)&amp;LEFT($AO$1011,1))</f>
        <v>2009 Q3</v>
      </c>
      <c r="AP1012" t="str">
        <f>IF(LEN($AP$1011)&lt;&gt;8,$AP$1011,RIGHT($AP$1011,4)&amp;" "&amp;MID($AP$1011,3,1)&amp;LEFT($AP$1011,1))</f>
        <v>2009 Q2</v>
      </c>
      <c r="AQ1012" t="str">
        <f>IF(LEN($AQ$1011)&lt;&gt;8,$AQ$1011,RIGHT($AQ$1011,4)&amp;" "&amp;MID($AQ$1011,3,1)&amp;LEFT($AQ$1011,1))</f>
        <v>2009 Q1</v>
      </c>
      <c r="AR1012" t="str">
        <f>IF(LEN($AR$1011)&lt;&gt;8,$AR$1011,RIGHT($AR$1011,4)&amp;" "&amp;MID($AR$1011,3,1)&amp;LEFT($AR$1011,1))</f>
        <v>2008 Q4</v>
      </c>
      <c r="AS1012" t="str">
        <f>IF(LEN($AS$1011)&lt;&gt;8,$AS$1011,RIGHT($AS$1011,4)&amp;" "&amp;MID($AS$1011,3,1)&amp;LEFT($AS$1011,1))</f>
        <v>2008 Q3</v>
      </c>
      <c r="AT1012" t="str">
        <f>IF(LEN($AT$1011)&lt;&gt;8,$AT$1011,RIGHT($AT$1011,4)&amp;" "&amp;MID($AT$1011,3,1)&amp;LEFT($AT$1011,1))</f>
        <v>2008 Q2</v>
      </c>
      <c r="AU1012" t="str">
        <f>IF(LEN($AU$1011)&lt;&gt;8,$AU$1011,RIGHT($AU$1011,4)&amp;" "&amp;MID($AU$1011,3,1)&amp;LEFT($AU$1011,1))</f>
        <v>2008 Q1</v>
      </c>
      <c r="AV1012" t="str">
        <f>IF(LEN($AV$1011)&lt;&gt;8,$AV$1011,RIGHT($AV$1011,4)&amp;" "&amp;MID($AV$1011,3,1)&amp;LEFT($AV$1011,1))</f>
        <v>2007 Q4</v>
      </c>
      <c r="AW1012" t="str">
        <f>IF(LEN($AW$1011)&lt;&gt;8,$AW$1011,RIGHT($AW$1011,4)&amp;" "&amp;MID($AW$1011,3,1)&amp;LEFT($AW$1011,1))</f>
        <v>2007 Q3</v>
      </c>
      <c r="AX1012" t="str">
        <f>IF(LEN($AX$1011)&lt;&gt;8,$AX$1011,RIGHT($AX$1011,4)&amp;" "&amp;MID($AX$1011,3,1)&amp;LEFT($AX$1011,1))</f>
        <v>2007 Q2</v>
      </c>
      <c r="AY1012" t="str">
        <f>IF(LEN($AY$1011)&lt;&gt;8,$AY$1011,RIGHT($AY$1011,4)&amp;" "&amp;MID($AY$1011,3,1)&amp;LEFT($AY$1011,1))</f>
        <v>2007 Q1</v>
      </c>
      <c r="AZ1012" t="str">
        <f>IF(LEN($AZ$1011)&lt;&gt;8,$AZ$1011,RIGHT($AZ$1011,4)&amp;" "&amp;MID($AZ$1011,3,1)&amp;LEFT($AZ$1011,1))</f>
        <v>2006 Q4</v>
      </c>
      <c r="BA1012" t="str">
        <f>IF(LEN($BA$1011)&lt;&gt;8,$BA$1011,RIGHT($BA$1011,4)&amp;" "&amp;MID($BA$1011,3,1)&amp;LEFT($BA$1011,1))</f>
        <v>2006 Q3</v>
      </c>
      <c r="BB1012" t="str">
        <f>IF(LEN($BB$1011)&lt;&gt;8,$BB$1011,RIGHT($BB$1011,4)&amp;" "&amp;MID($BB$1011,3,1)&amp;LEFT($BB$1011,1))</f>
        <v>2006 Q2</v>
      </c>
      <c r="BC1012" t="str">
        <f>IF(LEN($BC$1011)&lt;&gt;8,$BC$1011,RIGHT($BC$1011,4)&amp;" "&amp;MID($BC$1011,3,1)&amp;LEFT($BC$1011,1))</f>
        <v>2006 Q1</v>
      </c>
      <c r="BD1012" t="str">
        <f>IF(LEN($BD$1011)&lt;&gt;8,$BD$1011,RIGHT($BD$1011,4)&amp;" "&amp;MID($BD$1011,3,1)&amp;LEFT($BD$1011,1))</f>
        <v>2005 Q4</v>
      </c>
      <c r="BE1012" t="str">
        <f>IF(LEN($BE$1011)&lt;&gt;8,$BE$1011,RIGHT($BE$1011,4)&amp;" "&amp;MID($BE$1011,3,1)&amp;LEFT($BE$1011,1))</f>
        <v>2005 Q3</v>
      </c>
      <c r="BF1012" t="str">
        <f>IF(LEN($BF$1011)&lt;&gt;8,$BF$1011,RIGHT($BF$1011,4)&amp;" "&amp;MID($BF$1011,3,1)&amp;LEFT($BF$1011,1))</f>
        <v>2005 Q2</v>
      </c>
      <c r="BG1012" t="str">
        <f>IF(LEN($BG$1011)&lt;&gt;8,$BG$1011,RIGHT($BG$1011,4)&amp;" "&amp;MID($BG$1011,3,1)&amp;LEFT($BG$1011,1))</f>
        <v>2005 Q1</v>
      </c>
      <c r="BH1012" t="str">
        <f>IF(LEN($BH$1011)&lt;&gt;8,$BH$1011,RIGHT($BH$1011,4)&amp;" "&amp;MID($BH$1011,3,1)&amp;LEFT($BH$1011,1))</f>
        <v>2004 Q4</v>
      </c>
      <c r="BI1012" t="str">
        <f>IF(LEN($BI$1011)&lt;&gt;8,$BI$1011,RIGHT($BI$1011,4)&amp;" "&amp;MID($BI$1011,3,1)&amp;LEFT($BI$1011,1))</f>
        <v>2004 Q3</v>
      </c>
      <c r="BJ1012" t="str">
        <f>IF(LEN($BJ$1011)&lt;&gt;8,$BJ$1011,RIGHT($BJ$1011,4)&amp;" "&amp;MID($BJ$1011,3,1)&amp;LEFT($BJ$1011,1))</f>
        <v>2004 Q2</v>
      </c>
      <c r="BN1012" t="str">
        <f>""</f>
        <v/>
      </c>
      <c r="BO1012" t="str">
        <f>""</f>
        <v/>
      </c>
      <c r="BP1012" t="str">
        <f>""</f>
        <v/>
      </c>
      <c r="BQ1012" t="str">
        <f>""</f>
        <v/>
      </c>
      <c r="BR1012" t="str">
        <f>""</f>
        <v/>
      </c>
      <c r="BS1012" t="str">
        <f>""</f>
        <v/>
      </c>
      <c r="BT1012" t="str">
        <f>""</f>
        <v/>
      </c>
      <c r="BU1012" t="str">
        <f>""</f>
        <v/>
      </c>
      <c r="BV1012" t="str">
        <f>""</f>
        <v/>
      </c>
      <c r="BW1012" t="str">
        <f>""</f>
        <v/>
      </c>
      <c r="BX1012" t="str">
        <f>""</f>
        <v/>
      </c>
      <c r="BY1012" t="str">
        <f>""</f>
        <v/>
      </c>
      <c r="BZ1012" t="str">
        <f>""</f>
        <v/>
      </c>
      <c r="CA1012" t="str">
        <f>""</f>
        <v/>
      </c>
      <c r="CB1012" t="str">
        <f>""</f>
        <v/>
      </c>
      <c r="CC1012" t="str">
        <f>""</f>
        <v/>
      </c>
      <c r="CD1012" t="str">
        <f>""</f>
        <v/>
      </c>
      <c r="CE1012" t="str">
        <f>""</f>
        <v/>
      </c>
      <c r="CF1012" t="str">
        <f>""</f>
        <v/>
      </c>
      <c r="CG1012" t="str">
        <f>""</f>
        <v/>
      </c>
      <c r="CH1012" t="str">
        <f>""</f>
        <v/>
      </c>
      <c r="CI1012" t="str">
        <f>""</f>
        <v/>
      </c>
      <c r="CJ1012" t="str">
        <f>""</f>
        <v/>
      </c>
      <c r="CK1012" t="str">
        <f>""</f>
        <v/>
      </c>
      <c r="CL1012" t="str">
        <f>""</f>
        <v/>
      </c>
      <c r="CM1012" t="str">
        <f>""</f>
        <v/>
      </c>
      <c r="CN1012" t="str">
        <f>""</f>
        <v/>
      </c>
      <c r="CO1012" t="str">
        <f>""</f>
        <v/>
      </c>
      <c r="CP1012" t="str">
        <f>""</f>
        <v/>
      </c>
      <c r="CQ1012" t="str">
        <f>""</f>
        <v/>
      </c>
      <c r="CR1012" t="str">
        <f>""</f>
        <v/>
      </c>
      <c r="CS1012" t="str">
        <f>""</f>
        <v/>
      </c>
      <c r="CT1012" t="str">
        <f>""</f>
        <v/>
      </c>
      <c r="CU1012" t="str">
        <f>""</f>
        <v/>
      </c>
      <c r="CV1012" t="str">
        <f>""</f>
        <v/>
      </c>
      <c r="CW1012" t="str">
        <f>""</f>
        <v/>
      </c>
      <c r="CX1012" t="str">
        <f>""</f>
        <v/>
      </c>
      <c r="CY1012" t="str">
        <f>""</f>
        <v/>
      </c>
      <c r="CZ1012" t="str">
        <f>""</f>
        <v/>
      </c>
      <c r="DA1012" t="str">
        <f>""</f>
        <v/>
      </c>
      <c r="DB1012" t="str">
        <f>""</f>
        <v/>
      </c>
      <c r="DC1012" t="str">
        <f>""</f>
        <v/>
      </c>
      <c r="DD1012" t="str">
        <f>""</f>
        <v/>
      </c>
      <c r="DE1012" t="str">
        <f>""</f>
        <v/>
      </c>
      <c r="DF1012" t="str">
        <f>""</f>
        <v/>
      </c>
      <c r="DG1012" t="str">
        <f>""</f>
        <v/>
      </c>
      <c r="DH1012" t="str">
        <f>""</f>
        <v/>
      </c>
      <c r="DI1012" t="str">
        <f>""</f>
        <v/>
      </c>
      <c r="DJ1012" t="str">
        <f>""</f>
        <v/>
      </c>
      <c r="DK1012" t="str">
        <f>""</f>
        <v/>
      </c>
      <c r="DL1012" t="str">
        <f>""</f>
        <v/>
      </c>
      <c r="DM1012" t="str">
        <f>""</f>
        <v/>
      </c>
      <c r="DN1012" t="str">
        <f>""</f>
        <v/>
      </c>
      <c r="DO1012" t="str">
        <f>""</f>
        <v/>
      </c>
      <c r="DP1012" t="str">
        <f>""</f>
        <v/>
      </c>
      <c r="DQ1012" t="str">
        <f>""</f>
        <v/>
      </c>
      <c r="DR1012" t="str">
        <f>""</f>
        <v/>
      </c>
      <c r="DS1012" t="str">
        <f>""</f>
        <v/>
      </c>
      <c r="DT1012" t="str">
        <f>""</f>
        <v/>
      </c>
      <c r="DU1012" t="str">
        <f>""</f>
        <v/>
      </c>
    </row>
    <row r="1013" spans="1:125" x14ac:dyDescent="0.25">
      <c r="A1013" t="str">
        <f>"BDH dynamic header0"</f>
        <v>BDH dynamic header0</v>
      </c>
      <c r="B1013">
        <f ca="1">IF(OR(ISERROR($C$1013),ISBLANK($C$1013),ISNUMBER(SEARCH("N/A",$C$1013) ),ISERROR($C$1014),ISBLANK($C$1014)),0,1)</f>
        <v>0</v>
      </c>
      <c r="C1013" t="str">
        <f ca="1">_xll.BDH($B$4,$C$4,$B$509,$B$510,"PER=CQ","Dts=S","DtFmt=FI", "rows=2","Dir=H","Points=60","Sort=R","Days=A","Fill=B","FX=USD" )</f>
        <v>#N/A Connection</v>
      </c>
      <c r="BN1013" t="str">
        <f>""</f>
        <v/>
      </c>
      <c r="BO1013" t="str">
        <f>""</f>
        <v/>
      </c>
      <c r="BP1013" t="str">
        <f>""</f>
        <v/>
      </c>
      <c r="BQ1013" t="str">
        <f>""</f>
        <v/>
      </c>
      <c r="BR1013" t="str">
        <f>""</f>
        <v/>
      </c>
      <c r="BS1013" t="str">
        <f>""</f>
        <v/>
      </c>
      <c r="BT1013" t="str">
        <f>""</f>
        <v/>
      </c>
      <c r="BU1013" t="str">
        <f>""</f>
        <v/>
      </c>
      <c r="BV1013" t="str">
        <f>""</f>
        <v/>
      </c>
      <c r="BW1013" t="str">
        <f>""</f>
        <v/>
      </c>
      <c r="BX1013" t="str">
        <f>""</f>
        <v/>
      </c>
      <c r="BY1013" t="str">
        <f>""</f>
        <v/>
      </c>
      <c r="BZ1013" t="str">
        <f>""</f>
        <v/>
      </c>
      <c r="CA1013" t="str">
        <f>""</f>
        <v/>
      </c>
      <c r="CB1013" t="str">
        <f>""</f>
        <v/>
      </c>
      <c r="CC1013" t="str">
        <f>""</f>
        <v/>
      </c>
      <c r="CD1013" t="str">
        <f>""</f>
        <v/>
      </c>
      <c r="CE1013" t="str">
        <f>""</f>
        <v/>
      </c>
      <c r="CF1013" t="str">
        <f>""</f>
        <v/>
      </c>
      <c r="CG1013" t="str">
        <f>""</f>
        <v/>
      </c>
      <c r="CH1013" t="str">
        <f>""</f>
        <v/>
      </c>
      <c r="CI1013" t="str">
        <f>""</f>
        <v/>
      </c>
      <c r="CJ1013" t="str">
        <f>""</f>
        <v/>
      </c>
      <c r="CK1013" t="str">
        <f>""</f>
        <v/>
      </c>
      <c r="CL1013" t="str">
        <f>""</f>
        <v/>
      </c>
      <c r="CM1013" t="str">
        <f>""</f>
        <v/>
      </c>
      <c r="CN1013" t="str">
        <f>""</f>
        <v/>
      </c>
      <c r="CO1013" t="str">
        <f>""</f>
        <v/>
      </c>
      <c r="CP1013" t="str">
        <f>""</f>
        <v/>
      </c>
      <c r="CQ1013" t="str">
        <f>""</f>
        <v/>
      </c>
      <c r="CR1013" t="str">
        <f>""</f>
        <v/>
      </c>
      <c r="CS1013" t="str">
        <f>""</f>
        <v/>
      </c>
      <c r="CT1013" t="str">
        <f>""</f>
        <v/>
      </c>
      <c r="CU1013" t="str">
        <f>""</f>
        <v/>
      </c>
      <c r="CV1013" t="str">
        <f>""</f>
        <v/>
      </c>
      <c r="CW1013" t="str">
        <f>""</f>
        <v/>
      </c>
      <c r="CX1013" t="str">
        <f>""</f>
        <v/>
      </c>
      <c r="CY1013" t="str">
        <f>""</f>
        <v/>
      </c>
      <c r="CZ1013" t="str">
        <f>""</f>
        <v/>
      </c>
      <c r="DA1013" t="str">
        <f>""</f>
        <v/>
      </c>
      <c r="DB1013" t="str">
        <f>""</f>
        <v/>
      </c>
      <c r="DC1013" t="str">
        <f>""</f>
        <v/>
      </c>
      <c r="DD1013" t="str">
        <f>""</f>
        <v/>
      </c>
      <c r="DE1013" t="str">
        <f>""</f>
        <v/>
      </c>
      <c r="DF1013" t="str">
        <f>""</f>
        <v/>
      </c>
      <c r="DG1013" t="str">
        <f>""</f>
        <v/>
      </c>
      <c r="DH1013" t="str">
        <f>""</f>
        <v/>
      </c>
      <c r="DI1013" t="str">
        <f>""</f>
        <v/>
      </c>
      <c r="DJ1013" t="str">
        <f>""</f>
        <v/>
      </c>
      <c r="DK1013" t="str">
        <f>""</f>
        <v/>
      </c>
      <c r="DL1013" t="str">
        <f>""</f>
        <v/>
      </c>
      <c r="DM1013" t="str">
        <f>""</f>
        <v/>
      </c>
      <c r="DN1013" t="str">
        <f>""</f>
        <v/>
      </c>
      <c r="DO1013" t="str">
        <f>""</f>
        <v/>
      </c>
      <c r="DP1013" t="str">
        <f>""</f>
        <v/>
      </c>
      <c r="DQ1013" t="str">
        <f>""</f>
        <v/>
      </c>
      <c r="DR1013" t="str">
        <f>""</f>
        <v/>
      </c>
      <c r="DS1013" t="str">
        <f>""</f>
        <v/>
      </c>
      <c r="DT1013" t="str">
        <f>""</f>
        <v/>
      </c>
      <c r="DU1013" t="str">
        <f>""</f>
        <v/>
      </c>
    </row>
    <row r="1014" spans="1:125" x14ac:dyDescent="0.25">
      <c r="A1014" t="str">
        <f>"BDH dynamic result0"</f>
        <v>BDH dynamic result0</v>
      </c>
      <c r="BN1014" t="str">
        <f>""</f>
        <v/>
      </c>
      <c r="BO1014" t="str">
        <f>""</f>
        <v/>
      </c>
      <c r="BP1014" t="str">
        <f>""</f>
        <v/>
      </c>
      <c r="BQ1014" t="str">
        <f>""</f>
        <v/>
      </c>
      <c r="BR1014" t="str">
        <f>""</f>
        <v/>
      </c>
      <c r="BS1014" t="str">
        <f>""</f>
        <v/>
      </c>
      <c r="BT1014" t="str">
        <f>""</f>
        <v/>
      </c>
      <c r="BU1014" t="str">
        <f>""</f>
        <v/>
      </c>
      <c r="BV1014" t="str">
        <f>""</f>
        <v/>
      </c>
      <c r="BW1014" t="str">
        <f>""</f>
        <v/>
      </c>
      <c r="BX1014" t="str">
        <f>""</f>
        <v/>
      </c>
      <c r="BY1014" t="str">
        <f>""</f>
        <v/>
      </c>
      <c r="BZ1014" t="str">
        <f>""</f>
        <v/>
      </c>
      <c r="CA1014" t="str">
        <f>""</f>
        <v/>
      </c>
      <c r="CB1014" t="str">
        <f>""</f>
        <v/>
      </c>
      <c r="CC1014" t="str">
        <f>""</f>
        <v/>
      </c>
      <c r="CD1014" t="str">
        <f>""</f>
        <v/>
      </c>
      <c r="CE1014" t="str">
        <f>""</f>
        <v/>
      </c>
      <c r="CF1014" t="str">
        <f>""</f>
        <v/>
      </c>
      <c r="CG1014" t="str">
        <f>""</f>
        <v/>
      </c>
      <c r="CH1014" t="str">
        <f>""</f>
        <v/>
      </c>
      <c r="CI1014" t="str">
        <f>""</f>
        <v/>
      </c>
      <c r="CJ1014" t="str">
        <f>""</f>
        <v/>
      </c>
      <c r="CK1014" t="str">
        <f>""</f>
        <v/>
      </c>
      <c r="CL1014" t="str">
        <f>""</f>
        <v/>
      </c>
      <c r="CM1014" t="str">
        <f>""</f>
        <v/>
      </c>
      <c r="CN1014" t="str">
        <f>""</f>
        <v/>
      </c>
      <c r="CO1014" t="str">
        <f>""</f>
        <v/>
      </c>
      <c r="CP1014" t="str">
        <f>""</f>
        <v/>
      </c>
      <c r="CQ1014" t="str">
        <f>""</f>
        <v/>
      </c>
      <c r="CR1014" t="str">
        <f>""</f>
        <v/>
      </c>
      <c r="CS1014" t="str">
        <f>""</f>
        <v/>
      </c>
      <c r="CT1014" t="str">
        <f>""</f>
        <v/>
      </c>
      <c r="CU1014" t="str">
        <f>""</f>
        <v/>
      </c>
      <c r="CV1014" t="str">
        <f>""</f>
        <v/>
      </c>
      <c r="CW1014" t="str">
        <f>""</f>
        <v/>
      </c>
      <c r="CX1014" t="str">
        <f>""</f>
        <v/>
      </c>
      <c r="CY1014" t="str">
        <f>""</f>
        <v/>
      </c>
      <c r="CZ1014" t="str">
        <f>""</f>
        <v/>
      </c>
      <c r="DA1014" t="str">
        <f>""</f>
        <v/>
      </c>
      <c r="DB1014" t="str">
        <f>""</f>
        <v/>
      </c>
      <c r="DC1014" t="str">
        <f>""</f>
        <v/>
      </c>
      <c r="DD1014" t="str">
        <f>""</f>
        <v/>
      </c>
      <c r="DE1014" t="str">
        <f>""</f>
        <v/>
      </c>
      <c r="DF1014" t="str">
        <f>""</f>
        <v/>
      </c>
      <c r="DG1014" t="str">
        <f>""</f>
        <v/>
      </c>
      <c r="DH1014" t="str">
        <f>""</f>
        <v/>
      </c>
      <c r="DI1014" t="str">
        <f>""</f>
        <v/>
      </c>
      <c r="DJ1014" t="str">
        <f>""</f>
        <v/>
      </c>
      <c r="DK1014" t="str">
        <f>""</f>
        <v/>
      </c>
      <c r="DL1014" t="str">
        <f>""</f>
        <v/>
      </c>
      <c r="DM1014" t="str">
        <f>""</f>
        <v/>
      </c>
      <c r="DN1014" t="str">
        <f>""</f>
        <v/>
      </c>
      <c r="DO1014" t="str">
        <f>""</f>
        <v/>
      </c>
      <c r="DP1014" t="str">
        <f>""</f>
        <v/>
      </c>
      <c r="DQ1014" t="str">
        <f>""</f>
        <v/>
      </c>
      <c r="DR1014" t="str">
        <f>""</f>
        <v/>
      </c>
      <c r="DS1014" t="str">
        <f>""</f>
        <v/>
      </c>
      <c r="DT1014" t="str">
        <f>""</f>
        <v/>
      </c>
      <c r="DU1014" t="str">
        <f>""</f>
        <v/>
      </c>
    </row>
    <row r="1015" spans="1:125" x14ac:dyDescent="0.25">
      <c r="A1015" t="str">
        <f>"BDH dynamic header1"</f>
        <v>BDH dynamic header1</v>
      </c>
      <c r="B1015">
        <f ca="1">IF(OR(ISERROR($C$1015),ISBLANK($C$1015),ISNUMBER(SEARCH("N/A",$C$1015) ),ISERROR($C$1016),ISBLANK($C$1016)),0,1)</f>
        <v>0</v>
      </c>
      <c r="C1015" t="str">
        <f ca="1">_xll.BDH($B$5,$C$5,$B$509,$B$510,"PER=CQ","Dts=S","DtFmt=FI", "rows=2","Dir=H","Points=60","Sort=R","Days=A","Fill=B","FX=USD" )</f>
        <v>#N/A Connection</v>
      </c>
      <c r="BN1015" t="str">
        <f>""</f>
        <v/>
      </c>
      <c r="BO1015" t="str">
        <f>""</f>
        <v/>
      </c>
      <c r="BP1015" t="str">
        <f>""</f>
        <v/>
      </c>
      <c r="BQ1015" t="str">
        <f>""</f>
        <v/>
      </c>
      <c r="BR1015" t="str">
        <f>""</f>
        <v/>
      </c>
      <c r="BS1015" t="str">
        <f>""</f>
        <v/>
      </c>
      <c r="BT1015" t="str">
        <f>""</f>
        <v/>
      </c>
      <c r="BU1015" t="str">
        <f>""</f>
        <v/>
      </c>
      <c r="BV1015" t="str">
        <f>""</f>
        <v/>
      </c>
      <c r="BW1015" t="str">
        <f>""</f>
        <v/>
      </c>
      <c r="BX1015" t="str">
        <f>""</f>
        <v/>
      </c>
      <c r="BY1015" t="str">
        <f>""</f>
        <v/>
      </c>
      <c r="BZ1015" t="str">
        <f>""</f>
        <v/>
      </c>
      <c r="CA1015" t="str">
        <f>""</f>
        <v/>
      </c>
      <c r="CB1015" t="str">
        <f>""</f>
        <v/>
      </c>
      <c r="CC1015" t="str">
        <f>""</f>
        <v/>
      </c>
      <c r="CD1015" t="str">
        <f>""</f>
        <v/>
      </c>
      <c r="CE1015" t="str">
        <f>""</f>
        <v/>
      </c>
      <c r="CF1015" t="str">
        <f>""</f>
        <v/>
      </c>
      <c r="CG1015" t="str">
        <f>""</f>
        <v/>
      </c>
      <c r="CH1015" t="str">
        <f>""</f>
        <v/>
      </c>
      <c r="CI1015" t="str">
        <f>""</f>
        <v/>
      </c>
      <c r="CJ1015" t="str">
        <f>""</f>
        <v/>
      </c>
      <c r="CK1015" t="str">
        <f>""</f>
        <v/>
      </c>
      <c r="CL1015" t="str">
        <f>""</f>
        <v/>
      </c>
      <c r="CM1015" t="str">
        <f>""</f>
        <v/>
      </c>
      <c r="CN1015" t="str">
        <f>""</f>
        <v/>
      </c>
      <c r="CO1015" t="str">
        <f>""</f>
        <v/>
      </c>
      <c r="CP1015" t="str">
        <f>""</f>
        <v/>
      </c>
      <c r="CQ1015" t="str">
        <f>""</f>
        <v/>
      </c>
      <c r="CR1015" t="str">
        <f>""</f>
        <v/>
      </c>
      <c r="CS1015" t="str">
        <f>""</f>
        <v/>
      </c>
      <c r="CT1015" t="str">
        <f>""</f>
        <v/>
      </c>
      <c r="CU1015" t="str">
        <f>""</f>
        <v/>
      </c>
      <c r="CV1015" t="str">
        <f>""</f>
        <v/>
      </c>
      <c r="CW1015" t="str">
        <f>""</f>
        <v/>
      </c>
      <c r="CX1015" t="str">
        <f>""</f>
        <v/>
      </c>
      <c r="CY1015" t="str">
        <f>""</f>
        <v/>
      </c>
      <c r="CZ1015" t="str">
        <f>""</f>
        <v/>
      </c>
      <c r="DA1015" t="str">
        <f>""</f>
        <v/>
      </c>
      <c r="DB1015" t="str">
        <f>""</f>
        <v/>
      </c>
      <c r="DC1015" t="str">
        <f>""</f>
        <v/>
      </c>
      <c r="DD1015" t="str">
        <f>""</f>
        <v/>
      </c>
      <c r="DE1015" t="str">
        <f>""</f>
        <v/>
      </c>
      <c r="DF1015" t="str">
        <f>""</f>
        <v/>
      </c>
      <c r="DG1015" t="str">
        <f>""</f>
        <v/>
      </c>
      <c r="DH1015" t="str">
        <f>""</f>
        <v/>
      </c>
      <c r="DI1015" t="str">
        <f>""</f>
        <v/>
      </c>
      <c r="DJ1015" t="str">
        <f>""</f>
        <v/>
      </c>
      <c r="DK1015" t="str">
        <f>""</f>
        <v/>
      </c>
      <c r="DL1015" t="str">
        <f>""</f>
        <v/>
      </c>
      <c r="DM1015" t="str">
        <f>""</f>
        <v/>
      </c>
      <c r="DN1015" t="str">
        <f>""</f>
        <v/>
      </c>
      <c r="DO1015" t="str">
        <f>""</f>
        <v/>
      </c>
      <c r="DP1015" t="str">
        <f>""</f>
        <v/>
      </c>
      <c r="DQ1015" t="str">
        <f>""</f>
        <v/>
      </c>
      <c r="DR1015" t="str">
        <f>""</f>
        <v/>
      </c>
      <c r="DS1015" t="str">
        <f>""</f>
        <v/>
      </c>
      <c r="DT1015" t="str">
        <f>""</f>
        <v/>
      </c>
      <c r="DU1015" t="str">
        <f>""</f>
        <v/>
      </c>
    </row>
    <row r="1016" spans="1:125" x14ac:dyDescent="0.25">
      <c r="A1016" t="str">
        <f>"BDH dynamic result1"</f>
        <v>BDH dynamic result1</v>
      </c>
      <c r="BN1016" t="str">
        <f>""</f>
        <v/>
      </c>
      <c r="BO1016" t="str">
        <f>""</f>
        <v/>
      </c>
      <c r="BP1016" t="str">
        <f>""</f>
        <v/>
      </c>
      <c r="BQ1016" t="str">
        <f>""</f>
        <v/>
      </c>
      <c r="BR1016" t="str">
        <f>""</f>
        <v/>
      </c>
      <c r="BS1016" t="str">
        <f>""</f>
        <v/>
      </c>
      <c r="BT1016" t="str">
        <f>""</f>
        <v/>
      </c>
      <c r="BU1016" t="str">
        <f>""</f>
        <v/>
      </c>
      <c r="BV1016" t="str">
        <f>""</f>
        <v/>
      </c>
      <c r="BW1016" t="str">
        <f>""</f>
        <v/>
      </c>
      <c r="BX1016" t="str">
        <f>""</f>
        <v/>
      </c>
      <c r="BY1016" t="str">
        <f>""</f>
        <v/>
      </c>
      <c r="BZ1016" t="str">
        <f>""</f>
        <v/>
      </c>
      <c r="CA1016" t="str">
        <f>""</f>
        <v/>
      </c>
      <c r="CB1016" t="str">
        <f>""</f>
        <v/>
      </c>
      <c r="CC1016" t="str">
        <f>""</f>
        <v/>
      </c>
      <c r="CD1016" t="str">
        <f>""</f>
        <v/>
      </c>
      <c r="CE1016" t="str">
        <f>""</f>
        <v/>
      </c>
      <c r="CF1016" t="str">
        <f>""</f>
        <v/>
      </c>
      <c r="CG1016" t="str">
        <f>""</f>
        <v/>
      </c>
      <c r="CH1016" t="str">
        <f>""</f>
        <v/>
      </c>
      <c r="CI1016" t="str">
        <f>""</f>
        <v/>
      </c>
      <c r="CJ1016" t="str">
        <f>""</f>
        <v/>
      </c>
      <c r="CK1016" t="str">
        <f>""</f>
        <v/>
      </c>
      <c r="CL1016" t="str">
        <f>""</f>
        <v/>
      </c>
      <c r="CM1016" t="str">
        <f>""</f>
        <v/>
      </c>
      <c r="CN1016" t="str">
        <f>""</f>
        <v/>
      </c>
      <c r="CO1016" t="str">
        <f>""</f>
        <v/>
      </c>
      <c r="CP1016" t="str">
        <f>""</f>
        <v/>
      </c>
      <c r="CQ1016" t="str">
        <f>""</f>
        <v/>
      </c>
      <c r="CR1016" t="str">
        <f>""</f>
        <v/>
      </c>
      <c r="CS1016" t="str">
        <f>""</f>
        <v/>
      </c>
      <c r="CT1016" t="str">
        <f>""</f>
        <v/>
      </c>
      <c r="CU1016" t="str">
        <f>""</f>
        <v/>
      </c>
      <c r="CV1016" t="str">
        <f>""</f>
        <v/>
      </c>
      <c r="CW1016" t="str">
        <f>""</f>
        <v/>
      </c>
      <c r="CX1016" t="str">
        <f>""</f>
        <v/>
      </c>
      <c r="CY1016" t="str">
        <f>""</f>
        <v/>
      </c>
      <c r="CZ1016" t="str">
        <f>""</f>
        <v/>
      </c>
      <c r="DA1016" t="str">
        <f>""</f>
        <v/>
      </c>
      <c r="DB1016" t="str">
        <f>""</f>
        <v/>
      </c>
      <c r="DC1016" t="str">
        <f>""</f>
        <v/>
      </c>
      <c r="DD1016" t="str">
        <f>""</f>
        <v/>
      </c>
      <c r="DE1016" t="str">
        <f>""</f>
        <v/>
      </c>
      <c r="DF1016" t="str">
        <f>""</f>
        <v/>
      </c>
      <c r="DG1016" t="str">
        <f>""</f>
        <v/>
      </c>
      <c r="DH1016" t="str">
        <f>""</f>
        <v/>
      </c>
      <c r="DI1016" t="str">
        <f>""</f>
        <v/>
      </c>
      <c r="DJ1016" t="str">
        <f>""</f>
        <v/>
      </c>
      <c r="DK1016" t="str">
        <f>""</f>
        <v/>
      </c>
      <c r="DL1016" t="str">
        <f>""</f>
        <v/>
      </c>
      <c r="DM1016" t="str">
        <f>""</f>
        <v/>
      </c>
      <c r="DN1016" t="str">
        <f>""</f>
        <v/>
      </c>
      <c r="DO1016" t="str">
        <f>""</f>
        <v/>
      </c>
      <c r="DP1016" t="str">
        <f>""</f>
        <v/>
      </c>
      <c r="DQ1016" t="str">
        <f>""</f>
        <v/>
      </c>
      <c r="DR1016" t="str">
        <f>""</f>
        <v/>
      </c>
      <c r="DS1016" t="str">
        <f>""</f>
        <v/>
      </c>
      <c r="DT1016" t="str">
        <f>""</f>
        <v/>
      </c>
      <c r="DU1016" t="str">
        <f>""</f>
        <v/>
      </c>
    </row>
    <row r="1017" spans="1:125" x14ac:dyDescent="0.25">
      <c r="A1017" t="str">
        <f>"BDH dynamic header2"</f>
        <v>BDH dynamic header2</v>
      </c>
      <c r="B1017">
        <f ca="1">IF(OR(ISERROR($C$1017),ISBLANK($C$1017),ISNUMBER(SEARCH("N/A",$C$1017) ),ISERROR($C$1018),ISBLANK($C$1018)),0,1)</f>
        <v>0</v>
      </c>
      <c r="C1017" t="str">
        <f ca="1">_xll.BDH($B$6,$C$6,$B$509,$B$510,"PER=CQ","Dts=S","DtFmt=FI", "rows=2","Dir=H","Points=60","Sort=R","Days=A","Fill=B","FX=USD" )</f>
        <v>#N/A Connection</v>
      </c>
      <c r="BN1017" t="str">
        <f>""</f>
        <v/>
      </c>
      <c r="BO1017" t="str">
        <f>""</f>
        <v/>
      </c>
      <c r="BP1017" t="str">
        <f>""</f>
        <v/>
      </c>
      <c r="BQ1017" t="str">
        <f>""</f>
        <v/>
      </c>
      <c r="BR1017" t="str">
        <f>""</f>
        <v/>
      </c>
      <c r="BS1017" t="str">
        <f>""</f>
        <v/>
      </c>
      <c r="BT1017" t="str">
        <f>""</f>
        <v/>
      </c>
      <c r="BU1017" t="str">
        <f>""</f>
        <v/>
      </c>
      <c r="BV1017" t="str">
        <f>""</f>
        <v/>
      </c>
      <c r="BW1017" t="str">
        <f>""</f>
        <v/>
      </c>
      <c r="BX1017" t="str">
        <f>""</f>
        <v/>
      </c>
      <c r="BY1017" t="str">
        <f>""</f>
        <v/>
      </c>
      <c r="BZ1017" t="str">
        <f>""</f>
        <v/>
      </c>
      <c r="CA1017" t="str">
        <f>""</f>
        <v/>
      </c>
      <c r="CB1017" t="str">
        <f>""</f>
        <v/>
      </c>
      <c r="CC1017" t="str">
        <f>""</f>
        <v/>
      </c>
      <c r="CD1017" t="str">
        <f>""</f>
        <v/>
      </c>
      <c r="CE1017" t="str">
        <f>""</f>
        <v/>
      </c>
      <c r="CF1017" t="str">
        <f>""</f>
        <v/>
      </c>
      <c r="CG1017" t="str">
        <f>""</f>
        <v/>
      </c>
      <c r="CH1017" t="str">
        <f>""</f>
        <v/>
      </c>
      <c r="CI1017" t="str">
        <f>""</f>
        <v/>
      </c>
      <c r="CJ1017" t="str">
        <f>""</f>
        <v/>
      </c>
      <c r="CK1017" t="str">
        <f>""</f>
        <v/>
      </c>
      <c r="CL1017" t="str">
        <f>""</f>
        <v/>
      </c>
      <c r="CM1017" t="str">
        <f>""</f>
        <v/>
      </c>
      <c r="CN1017" t="str">
        <f>""</f>
        <v/>
      </c>
      <c r="CO1017" t="str">
        <f>""</f>
        <v/>
      </c>
      <c r="CP1017" t="str">
        <f>""</f>
        <v/>
      </c>
      <c r="CQ1017" t="str">
        <f>""</f>
        <v/>
      </c>
      <c r="CR1017" t="str">
        <f>""</f>
        <v/>
      </c>
      <c r="CS1017" t="str">
        <f>""</f>
        <v/>
      </c>
      <c r="CT1017" t="str">
        <f>""</f>
        <v/>
      </c>
      <c r="CU1017" t="str">
        <f>""</f>
        <v/>
      </c>
      <c r="CV1017" t="str">
        <f>""</f>
        <v/>
      </c>
      <c r="CW1017" t="str">
        <f>""</f>
        <v/>
      </c>
      <c r="CX1017" t="str">
        <f>""</f>
        <v/>
      </c>
      <c r="CY1017" t="str">
        <f>""</f>
        <v/>
      </c>
      <c r="CZ1017" t="str">
        <f>""</f>
        <v/>
      </c>
      <c r="DA1017" t="str">
        <f>""</f>
        <v/>
      </c>
      <c r="DB1017" t="str">
        <f>""</f>
        <v/>
      </c>
      <c r="DC1017" t="str">
        <f>""</f>
        <v/>
      </c>
      <c r="DD1017" t="str">
        <f>""</f>
        <v/>
      </c>
      <c r="DE1017" t="str">
        <f>""</f>
        <v/>
      </c>
      <c r="DF1017" t="str">
        <f>""</f>
        <v/>
      </c>
      <c r="DG1017" t="str">
        <f>""</f>
        <v/>
      </c>
      <c r="DH1017" t="str">
        <f>""</f>
        <v/>
      </c>
      <c r="DI1017" t="str">
        <f>""</f>
        <v/>
      </c>
      <c r="DJ1017" t="str">
        <f>""</f>
        <v/>
      </c>
      <c r="DK1017" t="str">
        <f>""</f>
        <v/>
      </c>
      <c r="DL1017" t="str">
        <f>""</f>
        <v/>
      </c>
      <c r="DM1017" t="str">
        <f>""</f>
        <v/>
      </c>
      <c r="DN1017" t="str">
        <f>""</f>
        <v/>
      </c>
      <c r="DO1017" t="str">
        <f>""</f>
        <v/>
      </c>
      <c r="DP1017" t="str">
        <f>""</f>
        <v/>
      </c>
      <c r="DQ1017" t="str">
        <f>""</f>
        <v/>
      </c>
      <c r="DR1017" t="str">
        <f>""</f>
        <v/>
      </c>
      <c r="DS1017" t="str">
        <f>""</f>
        <v/>
      </c>
      <c r="DT1017" t="str">
        <f>""</f>
        <v/>
      </c>
      <c r="DU1017" t="str">
        <f>""</f>
        <v/>
      </c>
    </row>
    <row r="1018" spans="1:125" x14ac:dyDescent="0.25">
      <c r="A1018" t="str">
        <f>"BDH dynamic result2"</f>
        <v>BDH dynamic result2</v>
      </c>
      <c r="BN1018" t="str">
        <f>""</f>
        <v/>
      </c>
      <c r="BO1018" t="str">
        <f>""</f>
        <v/>
      </c>
      <c r="BP1018" t="str">
        <f>""</f>
        <v/>
      </c>
      <c r="BQ1018" t="str">
        <f>""</f>
        <v/>
      </c>
      <c r="BR1018" t="str">
        <f>""</f>
        <v/>
      </c>
      <c r="BS1018" t="str">
        <f>""</f>
        <v/>
      </c>
      <c r="BT1018" t="str">
        <f>""</f>
        <v/>
      </c>
      <c r="BU1018" t="str">
        <f>""</f>
        <v/>
      </c>
      <c r="BV1018" t="str">
        <f>""</f>
        <v/>
      </c>
      <c r="BW1018" t="str">
        <f>""</f>
        <v/>
      </c>
      <c r="BX1018" t="str">
        <f>""</f>
        <v/>
      </c>
      <c r="BY1018" t="str">
        <f>""</f>
        <v/>
      </c>
      <c r="BZ1018" t="str">
        <f>""</f>
        <v/>
      </c>
      <c r="CA1018" t="str">
        <f>""</f>
        <v/>
      </c>
      <c r="CB1018" t="str">
        <f>""</f>
        <v/>
      </c>
      <c r="CC1018" t="str">
        <f>""</f>
        <v/>
      </c>
      <c r="CD1018" t="str">
        <f>""</f>
        <v/>
      </c>
      <c r="CE1018" t="str">
        <f>""</f>
        <v/>
      </c>
      <c r="CF1018" t="str">
        <f>""</f>
        <v/>
      </c>
      <c r="CG1018" t="str">
        <f>""</f>
        <v/>
      </c>
      <c r="CH1018" t="str">
        <f>""</f>
        <v/>
      </c>
      <c r="CI1018" t="str">
        <f>""</f>
        <v/>
      </c>
      <c r="CJ1018" t="str">
        <f>""</f>
        <v/>
      </c>
      <c r="CK1018" t="str">
        <f>""</f>
        <v/>
      </c>
      <c r="CL1018" t="str">
        <f>""</f>
        <v/>
      </c>
      <c r="CM1018" t="str">
        <f>""</f>
        <v/>
      </c>
      <c r="CN1018" t="str">
        <f>""</f>
        <v/>
      </c>
      <c r="CO1018" t="str">
        <f>""</f>
        <v/>
      </c>
      <c r="CP1018" t="str">
        <f>""</f>
        <v/>
      </c>
      <c r="CQ1018" t="str">
        <f>""</f>
        <v/>
      </c>
      <c r="CR1018" t="str">
        <f>""</f>
        <v/>
      </c>
      <c r="CS1018" t="str">
        <f>""</f>
        <v/>
      </c>
      <c r="CT1018" t="str">
        <f>""</f>
        <v/>
      </c>
      <c r="CU1018" t="str">
        <f>""</f>
        <v/>
      </c>
      <c r="CV1018" t="str">
        <f>""</f>
        <v/>
      </c>
      <c r="CW1018" t="str">
        <f>""</f>
        <v/>
      </c>
      <c r="CX1018" t="str">
        <f>""</f>
        <v/>
      </c>
      <c r="CY1018" t="str">
        <f>""</f>
        <v/>
      </c>
      <c r="CZ1018" t="str">
        <f>""</f>
        <v/>
      </c>
      <c r="DA1018" t="str">
        <f>""</f>
        <v/>
      </c>
      <c r="DB1018" t="str">
        <f>""</f>
        <v/>
      </c>
      <c r="DC1018" t="str">
        <f>""</f>
        <v/>
      </c>
      <c r="DD1018" t="str">
        <f>""</f>
        <v/>
      </c>
      <c r="DE1018" t="str">
        <f>""</f>
        <v/>
      </c>
      <c r="DF1018" t="str">
        <f>""</f>
        <v/>
      </c>
      <c r="DG1018" t="str">
        <f>""</f>
        <v/>
      </c>
      <c r="DH1018" t="str">
        <f>""</f>
        <v/>
      </c>
      <c r="DI1018" t="str">
        <f>""</f>
        <v/>
      </c>
      <c r="DJ1018" t="str">
        <f>""</f>
        <v/>
      </c>
      <c r="DK1018" t="str">
        <f>""</f>
        <v/>
      </c>
      <c r="DL1018" t="str">
        <f>""</f>
        <v/>
      </c>
      <c r="DM1018" t="str">
        <f>""</f>
        <v/>
      </c>
      <c r="DN1018" t="str">
        <f>""</f>
        <v/>
      </c>
      <c r="DO1018" t="str">
        <f>""</f>
        <v/>
      </c>
      <c r="DP1018" t="str">
        <f>""</f>
        <v/>
      </c>
      <c r="DQ1018" t="str">
        <f>""</f>
        <v/>
      </c>
      <c r="DR1018" t="str">
        <f>""</f>
        <v/>
      </c>
      <c r="DS1018" t="str">
        <f>""</f>
        <v/>
      </c>
      <c r="DT1018" t="str">
        <f>""</f>
        <v/>
      </c>
      <c r="DU1018" t="str">
        <f>""</f>
        <v/>
      </c>
    </row>
    <row r="1019" spans="1:125" x14ac:dyDescent="0.25">
      <c r="A1019" t="str">
        <f>"BDH dynamic"</f>
        <v>BDH dynamic</v>
      </c>
      <c r="B1019">
        <f ca="1">IF($B$1013&gt;=1,$B$1013,IF($B$1015&gt;=1,$B$1015,IF($B$1017&gt;=1,$B$1017,$B$1004)))</f>
        <v>2</v>
      </c>
      <c r="C1019" t="str">
        <f ca="1">IF($B$1013&gt;=1,$C$1013,IF($B$1015&gt;=1,$C$1015,IF($B$1017&gt;=1,$C$1017,$C$1004)))</f>
        <v>2019 Q1</v>
      </c>
      <c r="D1019" t="str">
        <f ca="1">IF($B$1013&gt;=1,$D$1013,IF($B$1015&gt;=1,$D$1015,IF($B$1017&gt;=1,$D$1017,$D$1004)))</f>
        <v>2018 Q4</v>
      </c>
      <c r="E1019" t="str">
        <f ca="1">IF($B$1013&gt;=1,$E$1013,IF($B$1015&gt;=1,$E$1015,IF($B$1017&gt;=1,$E$1017,$E$1004)))</f>
        <v>2018 Q3</v>
      </c>
      <c r="F1019" t="str">
        <f ca="1">IF($B$1013&gt;=1,$F$1013,IF($B$1015&gt;=1,$F$1015,IF($B$1017&gt;=1,$F$1017,$F$1004)))</f>
        <v>2018 Q2</v>
      </c>
      <c r="G1019" t="str">
        <f ca="1">IF($B$1013&gt;=1,$G$1013,IF($B$1015&gt;=1,$G$1015,IF($B$1017&gt;=1,$G$1017,$G$1004)))</f>
        <v>2018 Q1</v>
      </c>
      <c r="H1019" t="str">
        <f ca="1">IF($B$1013&gt;=1,$H$1013,IF($B$1015&gt;=1,$H$1015,IF($B$1017&gt;=1,$H$1017,$H$1004)))</f>
        <v>2017 Q4</v>
      </c>
      <c r="I1019" t="str">
        <f ca="1">IF($B$1013&gt;=1,$I$1013,IF($B$1015&gt;=1,$I$1015,IF($B$1017&gt;=1,$I$1017,$I$1004)))</f>
        <v>2017 Q3</v>
      </c>
      <c r="J1019" t="str">
        <f ca="1">IF($B$1013&gt;=1,$J$1013,IF($B$1015&gt;=1,$J$1015,IF($B$1017&gt;=1,$J$1017,$J$1004)))</f>
        <v>2017 Q2</v>
      </c>
      <c r="K1019" t="str">
        <f ca="1">IF($B$1013&gt;=1,$K$1013,IF($B$1015&gt;=1,$K$1015,IF($B$1017&gt;=1,$K$1017,$K$1004)))</f>
        <v>2017 Q1</v>
      </c>
      <c r="L1019" t="str">
        <f ca="1">IF($B$1013&gt;=1,$L$1013,IF($B$1015&gt;=1,$L$1015,IF($B$1017&gt;=1,$L$1017,$L$1004)))</f>
        <v>2016 Q4</v>
      </c>
      <c r="M1019" t="str">
        <f ca="1">IF($B$1013&gt;=1,$M$1013,IF($B$1015&gt;=1,$M$1015,IF($B$1017&gt;=1,$M$1017,$M$1004)))</f>
        <v>2016 Q3</v>
      </c>
      <c r="N1019" t="str">
        <f ca="1">IF($B$1013&gt;=1,$N$1013,IF($B$1015&gt;=1,$N$1015,IF($B$1017&gt;=1,$N$1017,$N$1004)))</f>
        <v>2016 Q2</v>
      </c>
      <c r="O1019" t="str">
        <f ca="1">IF($B$1013&gt;=1,$O$1013,IF($B$1015&gt;=1,$O$1015,IF($B$1017&gt;=1,$O$1017,$O$1004)))</f>
        <v>2016 Q1</v>
      </c>
      <c r="P1019" t="str">
        <f ca="1">IF($B$1013&gt;=1,$P$1013,IF($B$1015&gt;=1,$P$1015,IF($B$1017&gt;=1,$P$1017,$P$1004)))</f>
        <v>2015 Q4</v>
      </c>
      <c r="Q1019" t="str">
        <f ca="1">IF($B$1013&gt;=1,$Q$1013,IF($B$1015&gt;=1,$Q$1015,IF($B$1017&gt;=1,$Q$1017,$Q$1004)))</f>
        <v>2015 Q3</v>
      </c>
      <c r="R1019" t="str">
        <f ca="1">IF($B$1013&gt;=1,$R$1013,IF($B$1015&gt;=1,$R$1015,IF($B$1017&gt;=1,$R$1017,$R$1004)))</f>
        <v>2015 Q2</v>
      </c>
      <c r="S1019" t="str">
        <f ca="1">IF($B$1013&gt;=1,$S$1013,IF($B$1015&gt;=1,$S$1015,IF($B$1017&gt;=1,$S$1017,$S$1004)))</f>
        <v>2015 Q1</v>
      </c>
      <c r="T1019" t="str">
        <f ca="1">IF($B$1013&gt;=1,$T$1013,IF($B$1015&gt;=1,$T$1015,IF($B$1017&gt;=1,$T$1017,$T$1004)))</f>
        <v>2014 Q4</v>
      </c>
      <c r="U1019" t="str">
        <f ca="1">IF($B$1013&gt;=1,$U$1013,IF($B$1015&gt;=1,$U$1015,IF($B$1017&gt;=1,$U$1017,$U$1004)))</f>
        <v>2014 Q3</v>
      </c>
      <c r="V1019" t="str">
        <f ca="1">IF($B$1013&gt;=1,$V$1013,IF($B$1015&gt;=1,$V$1015,IF($B$1017&gt;=1,$V$1017,$V$1004)))</f>
        <v>2014 Q2</v>
      </c>
      <c r="W1019" t="str">
        <f ca="1">IF($B$1013&gt;=1,$W$1013,IF($B$1015&gt;=1,$W$1015,IF($B$1017&gt;=1,$W$1017,$W$1004)))</f>
        <v>2014 Q1</v>
      </c>
      <c r="X1019" t="str">
        <f ca="1">IF($B$1013&gt;=1,$X$1013,IF($B$1015&gt;=1,$X$1015,IF($B$1017&gt;=1,$X$1017,$X$1004)))</f>
        <v>2013 Q4</v>
      </c>
      <c r="Y1019" t="str">
        <f ca="1">IF($B$1013&gt;=1,$Y$1013,IF($B$1015&gt;=1,$Y$1015,IF($B$1017&gt;=1,$Y$1017,$Y$1004)))</f>
        <v>2013 Q3</v>
      </c>
      <c r="Z1019" t="str">
        <f ca="1">IF($B$1013&gt;=1,$Z$1013,IF($B$1015&gt;=1,$Z$1015,IF($B$1017&gt;=1,$Z$1017,$Z$1004)))</f>
        <v>2013 Q2</v>
      </c>
      <c r="AA1019" t="str">
        <f ca="1">IF($B$1013&gt;=1,$AA$1013,IF($B$1015&gt;=1,$AA$1015,IF($B$1017&gt;=1,$AA$1017,$AA$1004)))</f>
        <v>2013 Q1</v>
      </c>
      <c r="AB1019" t="str">
        <f ca="1">IF($B$1013&gt;=1,$AB$1013,IF($B$1015&gt;=1,$AB$1015,IF($B$1017&gt;=1,$AB$1017,$AB$1004)))</f>
        <v>2012 Q4</v>
      </c>
      <c r="AC1019" t="str">
        <f ca="1">IF($B$1013&gt;=1,$AC$1013,IF($B$1015&gt;=1,$AC$1015,IF($B$1017&gt;=1,$AC$1017,$AC$1004)))</f>
        <v>2012 Q3</v>
      </c>
      <c r="AD1019" t="str">
        <f ca="1">IF($B$1013&gt;=1,$AD$1013,IF($B$1015&gt;=1,$AD$1015,IF($B$1017&gt;=1,$AD$1017,$AD$1004)))</f>
        <v>2012 Q2</v>
      </c>
      <c r="AE1019" t="str">
        <f ca="1">IF($B$1013&gt;=1,$AE$1013,IF($B$1015&gt;=1,$AE$1015,IF($B$1017&gt;=1,$AE$1017,$AE$1004)))</f>
        <v>2012 Q1</v>
      </c>
      <c r="AF1019" t="str">
        <f ca="1">IF($B$1013&gt;=1,$AF$1013,IF($B$1015&gt;=1,$AF$1015,IF($B$1017&gt;=1,$AF$1017,$AF$1004)))</f>
        <v>2011 Q4</v>
      </c>
      <c r="AG1019" t="str">
        <f ca="1">IF($B$1013&gt;=1,$AG$1013,IF($B$1015&gt;=1,$AG$1015,IF($B$1017&gt;=1,$AG$1017,$AG$1004)))</f>
        <v>2011 Q3</v>
      </c>
      <c r="AH1019" t="str">
        <f ca="1">IF($B$1013&gt;=1,$AH$1013,IF($B$1015&gt;=1,$AH$1015,IF($B$1017&gt;=1,$AH$1017,$AH$1004)))</f>
        <v>2011 Q2</v>
      </c>
      <c r="AI1019" t="str">
        <f ca="1">IF($B$1013&gt;=1,$AI$1013,IF($B$1015&gt;=1,$AI$1015,IF($B$1017&gt;=1,$AI$1017,$AI$1004)))</f>
        <v>2011 Q1</v>
      </c>
      <c r="AJ1019" t="str">
        <f ca="1">IF($B$1013&gt;=1,$AJ$1013,IF($B$1015&gt;=1,$AJ$1015,IF($B$1017&gt;=1,$AJ$1017,$AJ$1004)))</f>
        <v>2010 Q4</v>
      </c>
      <c r="AK1019" t="str">
        <f ca="1">IF($B$1013&gt;=1,$AK$1013,IF($B$1015&gt;=1,$AK$1015,IF($B$1017&gt;=1,$AK$1017,$AK$1004)))</f>
        <v>2010 Q3</v>
      </c>
      <c r="AL1019" t="str">
        <f ca="1">IF($B$1013&gt;=1,$AL$1013,IF($B$1015&gt;=1,$AL$1015,IF($B$1017&gt;=1,$AL$1017,$AL$1004)))</f>
        <v>2010 Q2</v>
      </c>
      <c r="AM1019" t="str">
        <f ca="1">IF($B$1013&gt;=1,$AM$1013,IF($B$1015&gt;=1,$AM$1015,IF($B$1017&gt;=1,$AM$1017,$AM$1004)))</f>
        <v>2010 Q1</v>
      </c>
      <c r="AN1019" t="str">
        <f ca="1">IF($B$1013&gt;=1,$AN$1013,IF($B$1015&gt;=1,$AN$1015,IF($B$1017&gt;=1,$AN$1017,$AN$1004)))</f>
        <v>2009 Q4</v>
      </c>
      <c r="AO1019" t="str">
        <f ca="1">IF($B$1013&gt;=1,$AO$1013,IF($B$1015&gt;=1,$AO$1015,IF($B$1017&gt;=1,$AO$1017,$AO$1004)))</f>
        <v>2009 Q3</v>
      </c>
      <c r="AP1019" t="str">
        <f ca="1">IF($B$1013&gt;=1,$AP$1013,IF($B$1015&gt;=1,$AP$1015,IF($B$1017&gt;=1,$AP$1017,$AP$1004)))</f>
        <v>2009 Q2</v>
      </c>
      <c r="AQ1019" t="str">
        <f ca="1">IF($B$1013&gt;=1,$AQ$1013,IF($B$1015&gt;=1,$AQ$1015,IF($B$1017&gt;=1,$AQ$1017,$AQ$1004)))</f>
        <v>2009 Q1</v>
      </c>
      <c r="AR1019" t="str">
        <f ca="1">IF($B$1013&gt;=1,$AR$1013,IF($B$1015&gt;=1,$AR$1015,IF($B$1017&gt;=1,$AR$1017,$AR$1004)))</f>
        <v>2008 Q4</v>
      </c>
      <c r="AS1019" t="str">
        <f ca="1">IF($B$1013&gt;=1,$AS$1013,IF($B$1015&gt;=1,$AS$1015,IF($B$1017&gt;=1,$AS$1017,$AS$1004)))</f>
        <v>2008 Q3</v>
      </c>
      <c r="AT1019" t="str">
        <f ca="1">IF($B$1013&gt;=1,$AT$1013,IF($B$1015&gt;=1,$AT$1015,IF($B$1017&gt;=1,$AT$1017,$AT$1004)))</f>
        <v>2008 Q2</v>
      </c>
      <c r="AU1019" t="str">
        <f ca="1">IF($B$1013&gt;=1,$AU$1013,IF($B$1015&gt;=1,$AU$1015,IF($B$1017&gt;=1,$AU$1017,$AU$1004)))</f>
        <v>2008 Q1</v>
      </c>
      <c r="AV1019" t="str">
        <f ca="1">IF($B$1013&gt;=1,$AV$1013,IF($B$1015&gt;=1,$AV$1015,IF($B$1017&gt;=1,$AV$1017,$AV$1004)))</f>
        <v>2007 Q4</v>
      </c>
      <c r="AW1019" t="str">
        <f ca="1">IF($B$1013&gt;=1,$AW$1013,IF($B$1015&gt;=1,$AW$1015,IF($B$1017&gt;=1,$AW$1017,$AW$1004)))</f>
        <v>2007 Q3</v>
      </c>
      <c r="AX1019" t="str">
        <f ca="1">IF($B$1013&gt;=1,$AX$1013,IF($B$1015&gt;=1,$AX$1015,IF($B$1017&gt;=1,$AX$1017,$AX$1004)))</f>
        <v>2007 Q2</v>
      </c>
      <c r="AY1019" t="str">
        <f ca="1">IF($B$1013&gt;=1,$AY$1013,IF($B$1015&gt;=1,$AY$1015,IF($B$1017&gt;=1,$AY$1017,$AY$1004)))</f>
        <v>2007 Q1</v>
      </c>
      <c r="AZ1019" t="str">
        <f ca="1">IF($B$1013&gt;=1,$AZ$1013,IF($B$1015&gt;=1,$AZ$1015,IF($B$1017&gt;=1,$AZ$1017,$AZ$1004)))</f>
        <v>2006 Q4</v>
      </c>
      <c r="BA1019" t="str">
        <f ca="1">IF($B$1013&gt;=1,$BA$1013,IF($B$1015&gt;=1,$BA$1015,IF($B$1017&gt;=1,$BA$1017,$BA$1004)))</f>
        <v>2006 Q3</v>
      </c>
      <c r="BB1019" t="str">
        <f ca="1">IF($B$1013&gt;=1,$BB$1013,IF($B$1015&gt;=1,$BB$1015,IF($B$1017&gt;=1,$BB$1017,$BB$1004)))</f>
        <v>2006 Q2</v>
      </c>
      <c r="BC1019" t="str">
        <f ca="1">IF($B$1013&gt;=1,$BC$1013,IF($B$1015&gt;=1,$BC$1015,IF($B$1017&gt;=1,$BC$1017,$BC$1004)))</f>
        <v>2006 Q1</v>
      </c>
      <c r="BD1019" t="str">
        <f ca="1">IF($B$1013&gt;=1,$BD$1013,IF($B$1015&gt;=1,$BD$1015,IF($B$1017&gt;=1,$BD$1017,$BD$1004)))</f>
        <v>2005 Q4</v>
      </c>
      <c r="BE1019" t="str">
        <f ca="1">IF($B$1013&gt;=1,$BE$1013,IF($B$1015&gt;=1,$BE$1015,IF($B$1017&gt;=1,$BE$1017,$BE$1004)))</f>
        <v>2005 Q3</v>
      </c>
      <c r="BF1019" t="str">
        <f ca="1">IF($B$1013&gt;=1,$BF$1013,IF($B$1015&gt;=1,$BF$1015,IF($B$1017&gt;=1,$BF$1017,$BF$1004)))</f>
        <v>2005 Q2</v>
      </c>
      <c r="BG1019" t="str">
        <f ca="1">IF($B$1013&gt;=1,$BG$1013,IF($B$1015&gt;=1,$BG$1015,IF($B$1017&gt;=1,$BG$1017,$BG$1004)))</f>
        <v>2005 Q1</v>
      </c>
      <c r="BH1019" t="str">
        <f ca="1">IF($B$1013&gt;=1,$BH$1013,IF($B$1015&gt;=1,$BH$1015,IF($B$1017&gt;=1,$BH$1017,$BH$1004)))</f>
        <v>2004 Q4</v>
      </c>
      <c r="BI1019" t="str">
        <f ca="1">IF($B$1013&gt;=1,$BI$1013,IF($B$1015&gt;=1,$BI$1015,IF($B$1017&gt;=1,$BI$1017,$BI$1004)))</f>
        <v>2004 Q3</v>
      </c>
      <c r="BJ1019" t="str">
        <f ca="1">IF($B$1013&gt;=1,$BJ$1013,IF($B$1015&gt;=1,$BJ$1015,IF($B$1017&gt;=1,$BJ$1017,$BJ$1004)))</f>
        <v>2004 Q2</v>
      </c>
      <c r="BN1019" t="str">
        <f>""</f>
        <v/>
      </c>
      <c r="BO1019" t="str">
        <f>""</f>
        <v/>
      </c>
      <c r="BP1019" t="str">
        <f>""</f>
        <v/>
      </c>
      <c r="BQ1019" t="str">
        <f>""</f>
        <v/>
      </c>
      <c r="BR1019" t="str">
        <f>""</f>
        <v/>
      </c>
      <c r="BS1019" t="str">
        <f>""</f>
        <v/>
      </c>
      <c r="BT1019" t="str">
        <f>""</f>
        <v/>
      </c>
      <c r="BU1019" t="str">
        <f>""</f>
        <v/>
      </c>
      <c r="BV1019" t="str">
        <f>""</f>
        <v/>
      </c>
      <c r="BW1019" t="str">
        <f>""</f>
        <v/>
      </c>
      <c r="BX1019" t="str">
        <f>""</f>
        <v/>
      </c>
      <c r="BY1019" t="str">
        <f>""</f>
        <v/>
      </c>
      <c r="BZ1019" t="str">
        <f>""</f>
        <v/>
      </c>
      <c r="CA1019" t="str">
        <f>""</f>
        <v/>
      </c>
      <c r="CB1019" t="str">
        <f>""</f>
        <v/>
      </c>
      <c r="CC1019" t="str">
        <f>""</f>
        <v/>
      </c>
      <c r="CD1019" t="str">
        <f>""</f>
        <v/>
      </c>
      <c r="CE1019" t="str">
        <f>""</f>
        <v/>
      </c>
      <c r="CF1019" t="str">
        <f>""</f>
        <v/>
      </c>
      <c r="CG1019" t="str">
        <f>""</f>
        <v/>
      </c>
      <c r="CH1019" t="str">
        <f>""</f>
        <v/>
      </c>
      <c r="CI1019" t="str">
        <f>""</f>
        <v/>
      </c>
      <c r="CJ1019" t="str">
        <f>""</f>
        <v/>
      </c>
      <c r="CK1019" t="str">
        <f>""</f>
        <v/>
      </c>
      <c r="CL1019" t="str">
        <f>""</f>
        <v/>
      </c>
      <c r="CM1019" t="str">
        <f>""</f>
        <v/>
      </c>
      <c r="CN1019" t="str">
        <f>""</f>
        <v/>
      </c>
      <c r="CO1019" t="str">
        <f>""</f>
        <v/>
      </c>
      <c r="CP1019" t="str">
        <f>""</f>
        <v/>
      </c>
      <c r="CQ1019" t="str">
        <f>""</f>
        <v/>
      </c>
      <c r="CR1019" t="str">
        <f>""</f>
        <v/>
      </c>
      <c r="CS1019" t="str">
        <f>""</f>
        <v/>
      </c>
      <c r="CT1019" t="str">
        <f>""</f>
        <v/>
      </c>
      <c r="CU1019" t="str">
        <f>""</f>
        <v/>
      </c>
      <c r="CV1019" t="str">
        <f>""</f>
        <v/>
      </c>
      <c r="CW1019" t="str">
        <f>""</f>
        <v/>
      </c>
      <c r="CX1019" t="str">
        <f>""</f>
        <v/>
      </c>
      <c r="CY1019" t="str">
        <f>""</f>
        <v/>
      </c>
      <c r="CZ1019" t="str">
        <f>""</f>
        <v/>
      </c>
      <c r="DA1019" t="str">
        <f>""</f>
        <v/>
      </c>
      <c r="DB1019" t="str">
        <f>""</f>
        <v/>
      </c>
      <c r="DC1019" t="str">
        <f>""</f>
        <v/>
      </c>
      <c r="DD1019" t="str">
        <f>""</f>
        <v/>
      </c>
      <c r="DE1019" t="str">
        <f>""</f>
        <v/>
      </c>
      <c r="DF1019" t="str">
        <f>""</f>
        <v/>
      </c>
      <c r="DG1019" t="str">
        <f>""</f>
        <v/>
      </c>
      <c r="DH1019" t="str">
        <f>""</f>
        <v/>
      </c>
      <c r="DI1019" t="str">
        <f>""</f>
        <v/>
      </c>
      <c r="DJ1019" t="str">
        <f>""</f>
        <v/>
      </c>
      <c r="DK1019" t="str">
        <f>""</f>
        <v/>
      </c>
      <c r="DL1019" t="str">
        <f>""</f>
        <v/>
      </c>
      <c r="DM1019" t="str">
        <f>""</f>
        <v/>
      </c>
      <c r="DN1019" t="str">
        <f>""</f>
        <v/>
      </c>
      <c r="DO1019" t="str">
        <f>""</f>
        <v/>
      </c>
      <c r="DP1019" t="str">
        <f>""</f>
        <v/>
      </c>
      <c r="DQ1019" t="str">
        <f>""</f>
        <v/>
      </c>
      <c r="DR1019" t="str">
        <f>""</f>
        <v/>
      </c>
      <c r="DS1019" t="str">
        <f>""</f>
        <v/>
      </c>
      <c r="DT1019" t="str">
        <f>""</f>
        <v/>
      </c>
      <c r="DU1019" t="str">
        <f>""</f>
        <v/>
      </c>
    </row>
    <row r="1020" spans="1:125" x14ac:dyDescent="0.25">
      <c r="A1020" t="str">
        <f>"BDH dynamic title"</f>
        <v>BDH dynamic title</v>
      </c>
      <c r="B1020">
        <f ca="1">$B$1019</f>
        <v>2</v>
      </c>
      <c r="C1020" t="str">
        <f ca="1">IF(LEN($C$1019)&lt;&gt;8,$C$1019,RIGHT($C$1019,4)&amp;" "&amp;MID($C$1019,3,1)&amp;LEFT($C$1019,1))</f>
        <v>2019 Q1</v>
      </c>
      <c r="D1020" t="str">
        <f ca="1">IF(LEN($D$1019)&lt;&gt;8,$D$1019,RIGHT($D$1019,4)&amp;" "&amp;MID($D$1019,3,1)&amp;LEFT($D$1019,1))</f>
        <v>2018 Q4</v>
      </c>
      <c r="E1020" t="str">
        <f ca="1">IF(LEN($E$1019)&lt;&gt;8,$E$1019,RIGHT($E$1019,4)&amp;" "&amp;MID($E$1019,3,1)&amp;LEFT($E$1019,1))</f>
        <v>2018 Q3</v>
      </c>
      <c r="F1020" t="str">
        <f ca="1">IF(LEN($F$1019)&lt;&gt;8,$F$1019,RIGHT($F$1019,4)&amp;" "&amp;MID($F$1019,3,1)&amp;LEFT($F$1019,1))</f>
        <v>2018 Q2</v>
      </c>
      <c r="G1020" t="str">
        <f ca="1">IF(LEN($G$1019)&lt;&gt;8,$G$1019,RIGHT($G$1019,4)&amp;" "&amp;MID($G$1019,3,1)&amp;LEFT($G$1019,1))</f>
        <v>2018 Q1</v>
      </c>
      <c r="H1020" t="str">
        <f ca="1">IF(LEN($H$1019)&lt;&gt;8,$H$1019,RIGHT($H$1019,4)&amp;" "&amp;MID($H$1019,3,1)&amp;LEFT($H$1019,1))</f>
        <v>2017 Q4</v>
      </c>
      <c r="I1020" t="str">
        <f ca="1">IF(LEN($I$1019)&lt;&gt;8,$I$1019,RIGHT($I$1019,4)&amp;" "&amp;MID($I$1019,3,1)&amp;LEFT($I$1019,1))</f>
        <v>2017 Q3</v>
      </c>
      <c r="J1020" t="str">
        <f ca="1">IF(LEN($J$1019)&lt;&gt;8,$J$1019,RIGHT($J$1019,4)&amp;" "&amp;MID($J$1019,3,1)&amp;LEFT($J$1019,1))</f>
        <v>2017 Q2</v>
      </c>
      <c r="K1020" t="str">
        <f ca="1">IF(LEN($K$1019)&lt;&gt;8,$K$1019,RIGHT($K$1019,4)&amp;" "&amp;MID($K$1019,3,1)&amp;LEFT($K$1019,1))</f>
        <v>2017 Q1</v>
      </c>
      <c r="L1020" t="str">
        <f ca="1">IF(LEN($L$1019)&lt;&gt;8,$L$1019,RIGHT($L$1019,4)&amp;" "&amp;MID($L$1019,3,1)&amp;LEFT($L$1019,1))</f>
        <v>2016 Q4</v>
      </c>
      <c r="M1020" t="str">
        <f ca="1">IF(LEN($M$1019)&lt;&gt;8,$M$1019,RIGHT($M$1019,4)&amp;" "&amp;MID($M$1019,3,1)&amp;LEFT($M$1019,1))</f>
        <v>2016 Q3</v>
      </c>
      <c r="N1020" t="str">
        <f ca="1">IF(LEN($N$1019)&lt;&gt;8,$N$1019,RIGHT($N$1019,4)&amp;" "&amp;MID($N$1019,3,1)&amp;LEFT($N$1019,1))</f>
        <v>2016 Q2</v>
      </c>
      <c r="O1020" t="str">
        <f ca="1">IF(LEN($O$1019)&lt;&gt;8,$O$1019,RIGHT($O$1019,4)&amp;" "&amp;MID($O$1019,3,1)&amp;LEFT($O$1019,1))</f>
        <v>2016 Q1</v>
      </c>
      <c r="P1020" t="str">
        <f ca="1">IF(LEN($P$1019)&lt;&gt;8,$P$1019,RIGHT($P$1019,4)&amp;" "&amp;MID($P$1019,3,1)&amp;LEFT($P$1019,1))</f>
        <v>2015 Q4</v>
      </c>
      <c r="Q1020" t="str">
        <f ca="1">IF(LEN($Q$1019)&lt;&gt;8,$Q$1019,RIGHT($Q$1019,4)&amp;" "&amp;MID($Q$1019,3,1)&amp;LEFT($Q$1019,1))</f>
        <v>2015 Q3</v>
      </c>
      <c r="R1020" t="str">
        <f ca="1">IF(LEN($R$1019)&lt;&gt;8,$R$1019,RIGHT($R$1019,4)&amp;" "&amp;MID($R$1019,3,1)&amp;LEFT($R$1019,1))</f>
        <v>2015 Q2</v>
      </c>
      <c r="S1020" t="str">
        <f ca="1">IF(LEN($S$1019)&lt;&gt;8,$S$1019,RIGHT($S$1019,4)&amp;" "&amp;MID($S$1019,3,1)&amp;LEFT($S$1019,1))</f>
        <v>2015 Q1</v>
      </c>
      <c r="T1020" t="str">
        <f ca="1">IF(LEN($T$1019)&lt;&gt;8,$T$1019,RIGHT($T$1019,4)&amp;" "&amp;MID($T$1019,3,1)&amp;LEFT($T$1019,1))</f>
        <v>2014 Q4</v>
      </c>
      <c r="U1020" t="str">
        <f ca="1">IF(LEN($U$1019)&lt;&gt;8,$U$1019,RIGHT($U$1019,4)&amp;" "&amp;MID($U$1019,3,1)&amp;LEFT($U$1019,1))</f>
        <v>2014 Q3</v>
      </c>
      <c r="V1020" t="str">
        <f ca="1">IF(LEN($V$1019)&lt;&gt;8,$V$1019,RIGHT($V$1019,4)&amp;" "&amp;MID($V$1019,3,1)&amp;LEFT($V$1019,1))</f>
        <v>2014 Q2</v>
      </c>
      <c r="W1020" t="str">
        <f ca="1">IF(LEN($W$1019)&lt;&gt;8,$W$1019,RIGHT($W$1019,4)&amp;" "&amp;MID($W$1019,3,1)&amp;LEFT($W$1019,1))</f>
        <v>2014 Q1</v>
      </c>
      <c r="X1020" t="str">
        <f ca="1">IF(LEN($X$1019)&lt;&gt;8,$X$1019,RIGHT($X$1019,4)&amp;" "&amp;MID($X$1019,3,1)&amp;LEFT($X$1019,1))</f>
        <v>2013 Q4</v>
      </c>
      <c r="Y1020" t="str">
        <f ca="1">IF(LEN($Y$1019)&lt;&gt;8,$Y$1019,RIGHT($Y$1019,4)&amp;" "&amp;MID($Y$1019,3,1)&amp;LEFT($Y$1019,1))</f>
        <v>2013 Q3</v>
      </c>
      <c r="Z1020" t="str">
        <f ca="1">IF(LEN($Z$1019)&lt;&gt;8,$Z$1019,RIGHT($Z$1019,4)&amp;" "&amp;MID($Z$1019,3,1)&amp;LEFT($Z$1019,1))</f>
        <v>2013 Q2</v>
      </c>
      <c r="AA1020" t="str">
        <f ca="1">IF(LEN($AA$1019)&lt;&gt;8,$AA$1019,RIGHT($AA$1019,4)&amp;" "&amp;MID($AA$1019,3,1)&amp;LEFT($AA$1019,1))</f>
        <v>2013 Q1</v>
      </c>
      <c r="AB1020" t="str">
        <f ca="1">IF(LEN($AB$1019)&lt;&gt;8,$AB$1019,RIGHT($AB$1019,4)&amp;" "&amp;MID($AB$1019,3,1)&amp;LEFT($AB$1019,1))</f>
        <v>2012 Q4</v>
      </c>
      <c r="AC1020" t="str">
        <f ca="1">IF(LEN($AC$1019)&lt;&gt;8,$AC$1019,RIGHT($AC$1019,4)&amp;" "&amp;MID($AC$1019,3,1)&amp;LEFT($AC$1019,1))</f>
        <v>2012 Q3</v>
      </c>
      <c r="AD1020" t="str">
        <f ca="1">IF(LEN($AD$1019)&lt;&gt;8,$AD$1019,RIGHT($AD$1019,4)&amp;" "&amp;MID($AD$1019,3,1)&amp;LEFT($AD$1019,1))</f>
        <v>2012 Q2</v>
      </c>
      <c r="AE1020" t="str">
        <f ca="1">IF(LEN($AE$1019)&lt;&gt;8,$AE$1019,RIGHT($AE$1019,4)&amp;" "&amp;MID($AE$1019,3,1)&amp;LEFT($AE$1019,1))</f>
        <v>2012 Q1</v>
      </c>
      <c r="AF1020" t="str">
        <f ca="1">IF(LEN($AF$1019)&lt;&gt;8,$AF$1019,RIGHT($AF$1019,4)&amp;" "&amp;MID($AF$1019,3,1)&amp;LEFT($AF$1019,1))</f>
        <v>2011 Q4</v>
      </c>
      <c r="AG1020" t="str">
        <f ca="1">IF(LEN($AG$1019)&lt;&gt;8,$AG$1019,RIGHT($AG$1019,4)&amp;" "&amp;MID($AG$1019,3,1)&amp;LEFT($AG$1019,1))</f>
        <v>2011 Q3</v>
      </c>
      <c r="AH1020" t="str">
        <f ca="1">IF(LEN($AH$1019)&lt;&gt;8,$AH$1019,RIGHT($AH$1019,4)&amp;" "&amp;MID($AH$1019,3,1)&amp;LEFT($AH$1019,1))</f>
        <v>2011 Q2</v>
      </c>
      <c r="AI1020" t="str">
        <f ca="1">IF(LEN($AI$1019)&lt;&gt;8,$AI$1019,RIGHT($AI$1019,4)&amp;" "&amp;MID($AI$1019,3,1)&amp;LEFT($AI$1019,1))</f>
        <v>2011 Q1</v>
      </c>
      <c r="AJ1020" t="str">
        <f ca="1">IF(LEN($AJ$1019)&lt;&gt;8,$AJ$1019,RIGHT($AJ$1019,4)&amp;" "&amp;MID($AJ$1019,3,1)&amp;LEFT($AJ$1019,1))</f>
        <v>2010 Q4</v>
      </c>
      <c r="AK1020" t="str">
        <f ca="1">IF(LEN($AK$1019)&lt;&gt;8,$AK$1019,RIGHT($AK$1019,4)&amp;" "&amp;MID($AK$1019,3,1)&amp;LEFT($AK$1019,1))</f>
        <v>2010 Q3</v>
      </c>
      <c r="AL1020" t="str">
        <f ca="1">IF(LEN($AL$1019)&lt;&gt;8,$AL$1019,RIGHT($AL$1019,4)&amp;" "&amp;MID($AL$1019,3,1)&amp;LEFT($AL$1019,1))</f>
        <v>2010 Q2</v>
      </c>
      <c r="AM1020" t="str">
        <f ca="1">IF(LEN($AM$1019)&lt;&gt;8,$AM$1019,RIGHT($AM$1019,4)&amp;" "&amp;MID($AM$1019,3,1)&amp;LEFT($AM$1019,1))</f>
        <v>2010 Q1</v>
      </c>
      <c r="AN1020" t="str">
        <f ca="1">IF(LEN($AN$1019)&lt;&gt;8,$AN$1019,RIGHT($AN$1019,4)&amp;" "&amp;MID($AN$1019,3,1)&amp;LEFT($AN$1019,1))</f>
        <v>2009 Q4</v>
      </c>
      <c r="AO1020" t="str">
        <f ca="1">IF(LEN($AO$1019)&lt;&gt;8,$AO$1019,RIGHT($AO$1019,4)&amp;" "&amp;MID($AO$1019,3,1)&amp;LEFT($AO$1019,1))</f>
        <v>2009 Q3</v>
      </c>
      <c r="AP1020" t="str">
        <f ca="1">IF(LEN($AP$1019)&lt;&gt;8,$AP$1019,RIGHT($AP$1019,4)&amp;" "&amp;MID($AP$1019,3,1)&amp;LEFT($AP$1019,1))</f>
        <v>2009 Q2</v>
      </c>
      <c r="AQ1020" t="str">
        <f ca="1">IF(LEN($AQ$1019)&lt;&gt;8,$AQ$1019,RIGHT($AQ$1019,4)&amp;" "&amp;MID($AQ$1019,3,1)&amp;LEFT($AQ$1019,1))</f>
        <v>2009 Q1</v>
      </c>
      <c r="AR1020" t="str">
        <f ca="1">IF(LEN($AR$1019)&lt;&gt;8,$AR$1019,RIGHT($AR$1019,4)&amp;" "&amp;MID($AR$1019,3,1)&amp;LEFT($AR$1019,1))</f>
        <v>2008 Q4</v>
      </c>
      <c r="AS1020" t="str">
        <f ca="1">IF(LEN($AS$1019)&lt;&gt;8,$AS$1019,RIGHT($AS$1019,4)&amp;" "&amp;MID($AS$1019,3,1)&amp;LEFT($AS$1019,1))</f>
        <v>2008 Q3</v>
      </c>
      <c r="AT1020" t="str">
        <f ca="1">IF(LEN($AT$1019)&lt;&gt;8,$AT$1019,RIGHT($AT$1019,4)&amp;" "&amp;MID($AT$1019,3,1)&amp;LEFT($AT$1019,1))</f>
        <v>2008 Q2</v>
      </c>
      <c r="AU1020" t="str">
        <f ca="1">IF(LEN($AU$1019)&lt;&gt;8,$AU$1019,RIGHT($AU$1019,4)&amp;" "&amp;MID($AU$1019,3,1)&amp;LEFT($AU$1019,1))</f>
        <v>2008 Q1</v>
      </c>
      <c r="AV1020" t="str">
        <f ca="1">IF(LEN($AV$1019)&lt;&gt;8,$AV$1019,RIGHT($AV$1019,4)&amp;" "&amp;MID($AV$1019,3,1)&amp;LEFT($AV$1019,1))</f>
        <v>2007 Q4</v>
      </c>
      <c r="AW1020" t="str">
        <f ca="1">IF(LEN($AW$1019)&lt;&gt;8,$AW$1019,RIGHT($AW$1019,4)&amp;" "&amp;MID($AW$1019,3,1)&amp;LEFT($AW$1019,1))</f>
        <v>2007 Q3</v>
      </c>
      <c r="AX1020" t="str">
        <f ca="1">IF(LEN($AX$1019)&lt;&gt;8,$AX$1019,RIGHT($AX$1019,4)&amp;" "&amp;MID($AX$1019,3,1)&amp;LEFT($AX$1019,1))</f>
        <v>2007 Q2</v>
      </c>
      <c r="AY1020" t="str">
        <f ca="1">IF(LEN($AY$1019)&lt;&gt;8,$AY$1019,RIGHT($AY$1019,4)&amp;" "&amp;MID($AY$1019,3,1)&amp;LEFT($AY$1019,1))</f>
        <v>2007 Q1</v>
      </c>
      <c r="AZ1020" t="str">
        <f ca="1">IF(LEN($AZ$1019)&lt;&gt;8,$AZ$1019,RIGHT($AZ$1019,4)&amp;" "&amp;MID($AZ$1019,3,1)&amp;LEFT($AZ$1019,1))</f>
        <v>2006 Q4</v>
      </c>
      <c r="BA1020" t="str">
        <f ca="1">IF(LEN($BA$1019)&lt;&gt;8,$BA$1019,RIGHT($BA$1019,4)&amp;" "&amp;MID($BA$1019,3,1)&amp;LEFT($BA$1019,1))</f>
        <v>2006 Q3</v>
      </c>
      <c r="BB1020" t="str">
        <f ca="1">IF(LEN($BB$1019)&lt;&gt;8,$BB$1019,RIGHT($BB$1019,4)&amp;" "&amp;MID($BB$1019,3,1)&amp;LEFT($BB$1019,1))</f>
        <v>2006 Q2</v>
      </c>
      <c r="BC1020" t="str">
        <f ca="1">IF(LEN($BC$1019)&lt;&gt;8,$BC$1019,RIGHT($BC$1019,4)&amp;" "&amp;MID($BC$1019,3,1)&amp;LEFT($BC$1019,1))</f>
        <v>2006 Q1</v>
      </c>
      <c r="BD1020" t="str">
        <f ca="1">IF(LEN($BD$1019)&lt;&gt;8,$BD$1019,RIGHT($BD$1019,4)&amp;" "&amp;MID($BD$1019,3,1)&amp;LEFT($BD$1019,1))</f>
        <v>2005 Q4</v>
      </c>
      <c r="BE1020" t="str">
        <f ca="1">IF(LEN($BE$1019)&lt;&gt;8,$BE$1019,RIGHT($BE$1019,4)&amp;" "&amp;MID($BE$1019,3,1)&amp;LEFT($BE$1019,1))</f>
        <v>2005 Q3</v>
      </c>
      <c r="BF1020" t="str">
        <f ca="1">IF(LEN($BF$1019)&lt;&gt;8,$BF$1019,RIGHT($BF$1019,4)&amp;" "&amp;MID($BF$1019,3,1)&amp;LEFT($BF$1019,1))</f>
        <v>2005 Q2</v>
      </c>
      <c r="BG1020" t="str">
        <f ca="1">IF(LEN($BG$1019)&lt;&gt;8,$BG$1019,RIGHT($BG$1019,4)&amp;" "&amp;MID($BG$1019,3,1)&amp;LEFT($BG$1019,1))</f>
        <v>2005 Q1</v>
      </c>
      <c r="BH1020" t="str">
        <f ca="1">IF(LEN($BH$1019)&lt;&gt;8,$BH$1019,RIGHT($BH$1019,4)&amp;" "&amp;MID($BH$1019,3,1)&amp;LEFT($BH$1019,1))</f>
        <v>2004 Q4</v>
      </c>
      <c r="BI1020" t="str">
        <f ca="1">IF(LEN($BI$1019)&lt;&gt;8,$BI$1019,RIGHT($BI$1019,4)&amp;" "&amp;MID($BI$1019,3,1)&amp;LEFT($BI$1019,1))</f>
        <v>2004 Q3</v>
      </c>
      <c r="BJ1020" t="str">
        <f ca="1">IF(LEN($BJ$1019)&lt;&gt;8,$BJ$1019,RIGHT($BJ$1019,4)&amp;" "&amp;MID($BJ$1019,3,1)&amp;LEFT($BJ$1019,1))</f>
        <v>2004 Q2</v>
      </c>
      <c r="BN1020" t="str">
        <f>""</f>
        <v/>
      </c>
      <c r="BO1020" t="str">
        <f>""</f>
        <v/>
      </c>
      <c r="BP1020" t="str">
        <f>""</f>
        <v/>
      </c>
      <c r="BQ1020" t="str">
        <f>""</f>
        <v/>
      </c>
      <c r="BR1020" t="str">
        <f>""</f>
        <v/>
      </c>
      <c r="BS1020" t="str">
        <f>""</f>
        <v/>
      </c>
      <c r="BT1020" t="str">
        <f>""</f>
        <v/>
      </c>
      <c r="BU1020" t="str">
        <f>""</f>
        <v/>
      </c>
      <c r="BV1020" t="str">
        <f>""</f>
        <v/>
      </c>
      <c r="BW1020" t="str">
        <f>""</f>
        <v/>
      </c>
      <c r="BX1020" t="str">
        <f>""</f>
        <v/>
      </c>
      <c r="BY1020" t="str">
        <f>""</f>
        <v/>
      </c>
      <c r="BZ1020" t="str">
        <f>""</f>
        <v/>
      </c>
      <c r="CA1020" t="str">
        <f>""</f>
        <v/>
      </c>
      <c r="CB1020" t="str">
        <f>""</f>
        <v/>
      </c>
      <c r="CC1020" t="str">
        <f>""</f>
        <v/>
      </c>
      <c r="CD1020" t="str">
        <f>""</f>
        <v/>
      </c>
      <c r="CE1020" t="str">
        <f>""</f>
        <v/>
      </c>
      <c r="CF1020" t="str">
        <f>""</f>
        <v/>
      </c>
      <c r="CG1020" t="str">
        <f>""</f>
        <v/>
      </c>
      <c r="CH1020" t="str">
        <f>""</f>
        <v/>
      </c>
      <c r="CI1020" t="str">
        <f>""</f>
        <v/>
      </c>
      <c r="CJ1020" t="str">
        <f>""</f>
        <v/>
      </c>
      <c r="CK1020" t="str">
        <f>""</f>
        <v/>
      </c>
      <c r="CL1020" t="str">
        <f>""</f>
        <v/>
      </c>
      <c r="CM1020" t="str">
        <f>""</f>
        <v/>
      </c>
      <c r="CN1020" t="str">
        <f>""</f>
        <v/>
      </c>
      <c r="CO1020" t="str">
        <f>""</f>
        <v/>
      </c>
      <c r="CP1020" t="str">
        <f>""</f>
        <v/>
      </c>
      <c r="CQ1020" t="str">
        <f>""</f>
        <v/>
      </c>
      <c r="CR1020" t="str">
        <f>""</f>
        <v/>
      </c>
      <c r="CS1020" t="str">
        <f>""</f>
        <v/>
      </c>
      <c r="CT1020" t="str">
        <f>""</f>
        <v/>
      </c>
      <c r="CU1020" t="str">
        <f>""</f>
        <v/>
      </c>
      <c r="CV1020" t="str">
        <f>""</f>
        <v/>
      </c>
      <c r="CW1020" t="str">
        <f>""</f>
        <v/>
      </c>
      <c r="CX1020" t="str">
        <f>""</f>
        <v/>
      </c>
      <c r="CY1020" t="str">
        <f>""</f>
        <v/>
      </c>
      <c r="CZ1020" t="str">
        <f>""</f>
        <v/>
      </c>
      <c r="DA1020" t="str">
        <f>""</f>
        <v/>
      </c>
      <c r="DB1020" t="str">
        <f>""</f>
        <v/>
      </c>
      <c r="DC1020" t="str">
        <f>""</f>
        <v/>
      </c>
      <c r="DD1020" t="str">
        <f>""</f>
        <v/>
      </c>
      <c r="DE1020" t="str">
        <f>""</f>
        <v/>
      </c>
      <c r="DF1020" t="str">
        <f>""</f>
        <v/>
      </c>
      <c r="DG1020" t="str">
        <f>""</f>
        <v/>
      </c>
      <c r="DH1020" t="str">
        <f>""</f>
        <v/>
      </c>
      <c r="DI1020" t="str">
        <f>""</f>
        <v/>
      </c>
      <c r="DJ1020" t="str">
        <f>""</f>
        <v/>
      </c>
      <c r="DK1020" t="str">
        <f>""</f>
        <v/>
      </c>
      <c r="DL1020" t="str">
        <f>""</f>
        <v/>
      </c>
      <c r="DM1020" t="str">
        <f>""</f>
        <v/>
      </c>
      <c r="DN1020" t="str">
        <f>""</f>
        <v/>
      </c>
      <c r="DO1020" t="str">
        <f>""</f>
        <v/>
      </c>
      <c r="DP1020" t="str">
        <f>""</f>
        <v/>
      </c>
      <c r="DQ1020" t="str">
        <f>""</f>
        <v/>
      </c>
      <c r="DR1020" t="str">
        <f>""</f>
        <v/>
      </c>
      <c r="DS1020" t="str">
        <f>""</f>
        <v/>
      </c>
      <c r="DT1020" t="str">
        <f>""</f>
        <v/>
      </c>
      <c r="DU1020" t="str">
        <f>""</f>
        <v/>
      </c>
    </row>
    <row r="1021" spans="1:125" x14ac:dyDescent="0.25">
      <c r="A1021" t="str">
        <f>"No error found"</f>
        <v>No error found</v>
      </c>
      <c r="B1021" t="str">
        <f>""</f>
        <v/>
      </c>
      <c r="C1021" t="str">
        <f>""</f>
        <v/>
      </c>
      <c r="D1021" t="str">
        <f>""</f>
        <v/>
      </c>
      <c r="E1021" t="str">
        <f>""</f>
        <v/>
      </c>
      <c r="BN1021" t="str">
        <f>""</f>
        <v/>
      </c>
      <c r="BO1021" t="str">
        <f>""</f>
        <v/>
      </c>
      <c r="BP1021" t="str">
        <f>""</f>
        <v/>
      </c>
      <c r="BQ1021" t="str">
        <f>""</f>
        <v/>
      </c>
      <c r="BR1021" t="str">
        <f>""</f>
        <v/>
      </c>
      <c r="BS1021" t="str">
        <f>""</f>
        <v/>
      </c>
      <c r="BT1021" t="str">
        <f>""</f>
        <v/>
      </c>
      <c r="BU1021" t="str">
        <f>""</f>
        <v/>
      </c>
      <c r="BV1021" t="str">
        <f>""</f>
        <v/>
      </c>
      <c r="BW1021" t="str">
        <f>""</f>
        <v/>
      </c>
      <c r="BX1021" t="str">
        <f>""</f>
        <v/>
      </c>
      <c r="BY1021" t="str">
        <f>""</f>
        <v/>
      </c>
      <c r="BZ1021" t="str">
        <f>""</f>
        <v/>
      </c>
      <c r="CA1021" t="str">
        <f>""</f>
        <v/>
      </c>
      <c r="CB1021" t="str">
        <f>""</f>
        <v/>
      </c>
      <c r="CC1021" t="str">
        <f>""</f>
        <v/>
      </c>
      <c r="CD1021" t="str">
        <f>""</f>
        <v/>
      </c>
      <c r="CE1021" t="str">
        <f>""</f>
        <v/>
      </c>
      <c r="CF1021" t="str">
        <f>""</f>
        <v/>
      </c>
      <c r="CG1021" t="str">
        <f>""</f>
        <v/>
      </c>
      <c r="CH1021" t="str">
        <f>""</f>
        <v/>
      </c>
      <c r="CI1021" t="str">
        <f>""</f>
        <v/>
      </c>
      <c r="CJ1021" t="str">
        <f>""</f>
        <v/>
      </c>
      <c r="CK1021" t="str">
        <f>""</f>
        <v/>
      </c>
      <c r="CL1021" t="str">
        <f>""</f>
        <v/>
      </c>
      <c r="CM1021" t="str">
        <f>""</f>
        <v/>
      </c>
      <c r="CN1021" t="str">
        <f>""</f>
        <v/>
      </c>
      <c r="CO1021" t="str">
        <f>""</f>
        <v/>
      </c>
      <c r="CP1021" t="str">
        <f>""</f>
        <v/>
      </c>
      <c r="CQ1021" t="str">
        <f>""</f>
        <v/>
      </c>
      <c r="CR1021" t="str">
        <f>""</f>
        <v/>
      </c>
      <c r="CS1021" t="str">
        <f>""</f>
        <v/>
      </c>
      <c r="CT1021" t="str">
        <f>""</f>
        <v/>
      </c>
      <c r="CU1021" t="str">
        <f>""</f>
        <v/>
      </c>
      <c r="CV1021" t="str">
        <f>""</f>
        <v/>
      </c>
      <c r="CW1021" t="str">
        <f>""</f>
        <v/>
      </c>
      <c r="CX1021" t="str">
        <f>""</f>
        <v/>
      </c>
      <c r="CY1021" t="str">
        <f>""</f>
        <v/>
      </c>
      <c r="CZ1021" t="str">
        <f>""</f>
        <v/>
      </c>
      <c r="DA1021" t="str">
        <f>""</f>
        <v/>
      </c>
      <c r="DB1021" t="str">
        <f>""</f>
        <v/>
      </c>
      <c r="DC1021" t="str">
        <f>""</f>
        <v/>
      </c>
      <c r="DD1021" t="str">
        <f>""</f>
        <v/>
      </c>
      <c r="DE1021" t="str">
        <f>""</f>
        <v/>
      </c>
      <c r="DF1021" t="str">
        <f>""</f>
        <v/>
      </c>
      <c r="DG1021" t="str">
        <f>""</f>
        <v/>
      </c>
      <c r="DH1021" t="str">
        <f>""</f>
        <v/>
      </c>
      <c r="DI1021" t="str">
        <f>""</f>
        <v/>
      </c>
      <c r="DJ1021" t="str">
        <f>""</f>
        <v/>
      </c>
      <c r="DK1021" t="str">
        <f>""</f>
        <v/>
      </c>
      <c r="DL1021" t="str">
        <f>""</f>
        <v/>
      </c>
      <c r="DM1021" t="str">
        <f>""</f>
        <v/>
      </c>
      <c r="DN1021" t="str">
        <f>""</f>
        <v/>
      </c>
      <c r="DO1021" t="str">
        <f>""</f>
        <v/>
      </c>
      <c r="DP1021" t="str">
        <f>""</f>
        <v/>
      </c>
      <c r="DQ1021" t="str">
        <f>""</f>
        <v/>
      </c>
      <c r="DR1021" t="str">
        <f>""</f>
        <v/>
      </c>
      <c r="DS1021" t="str">
        <f>""</f>
        <v/>
      </c>
      <c r="DT1021" t="str">
        <f>""</f>
        <v/>
      </c>
      <c r="DU1021" t="str">
        <f>""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workbookViewId="0"/>
  </sheetViews>
  <sheetFormatPr defaultRowHeight="15" x14ac:dyDescent="0.25"/>
  <cols>
    <col min="1" max="1" width="9.140625" bestFit="1" customWidth="1"/>
  </cols>
  <sheetData>
    <row r="1" spans="1:1" x14ac:dyDescent="0.25">
      <c r="A1" s="1"/>
    </row>
    <row r="2" spans="1:1" x14ac:dyDescent="0.25">
      <c r="A2" t="s">
        <v>0</v>
      </c>
    </row>
    <row r="3" spans="1:1" x14ac:dyDescent="0.25">
      <c r="A3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9</v>
      </c>
    </row>
    <row r="14" spans="1:1" x14ac:dyDescent="0.25">
      <c r="A14" t="s">
        <v>10</v>
      </c>
    </row>
    <row r="15" spans="1:1" x14ac:dyDescent="0.25">
      <c r="A15" t="s">
        <v>11</v>
      </c>
    </row>
    <row r="16" spans="1:1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19</v>
      </c>
    </row>
    <row r="25" spans="1:1" x14ac:dyDescent="0.25">
      <c r="A25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29" spans="1:1" x14ac:dyDescent="0.25">
      <c r="A29" t="s">
        <v>24</v>
      </c>
    </row>
    <row r="30" spans="1:1" x14ac:dyDescent="0.25">
      <c r="A30" t="s">
        <v>25</v>
      </c>
    </row>
    <row r="31" spans="1:1" x14ac:dyDescent="0.25">
      <c r="A31" t="s">
        <v>2</v>
      </c>
    </row>
    <row r="32" spans="1:1" x14ac:dyDescent="0.25">
      <c r="A32" t="s">
        <v>26</v>
      </c>
    </row>
    <row r="33" spans="1:1" x14ac:dyDescent="0.25">
      <c r="A3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BIData</vt:lpstr>
      <vt:lpstr>ReferenceData</vt:lpstr>
      <vt:lpstr>Help-Reference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cb3441</cp:lastModifiedBy>
  <dcterms:created xsi:type="dcterms:W3CDTF">2013-04-03T15:49:21Z</dcterms:created>
  <dcterms:modified xsi:type="dcterms:W3CDTF">2019-03-01T00:29:30Z</dcterms:modified>
</cp:coreProperties>
</file>